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calcChain.xml" ContentType="application/vnd.openxmlformats-officedocument.spreadsheetml.calcChain+xml"/>
  <Override PartName="/xl/embeddings/oleObject3.bin" ContentType="application/vnd.openxmlformats-officedocument.oleObject"/>
  <Override PartName="/xl/embeddings/oleObject1.bin" ContentType="application/vnd.openxmlformats-officedocument.oleObject"/>
  <Override PartName="/xl/embeddings/oleObject4.bin" ContentType="application/vnd.openxmlformats-officedocument.oleObject"/>
  <Override PartName="/xl/embeddings/oleObject2.bin" ContentType="application/vnd.openxmlformats-officedocument.oleObject"/>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09"/>
  <workbookPr codeName="ThisWorkbook"/>
  <mc:AlternateContent xmlns:mc="http://schemas.openxmlformats.org/markup-compatibility/2006">
    <mc:Choice Requires="x15">
      <x15ac:absPath xmlns:x15ac="http://schemas.microsoft.com/office/spreadsheetml/2010/11/ac" url="https://tgf-my.sharepoint.com/personal/swetha_srinivasan_theglobalfund_org/Documents/Downloads/"/>
    </mc:Choice>
  </mc:AlternateContent>
  <xr:revisionPtr revIDLastSave="3" documentId="8_{C29AFBA8-AB38-4872-807D-0A7C37867B12}" xr6:coauthVersionLast="47" xr6:coauthVersionMax="47" xr10:uidLastSave="{268899C4-A845-4941-AACB-8716FE30ADBB}"/>
  <bookViews>
    <workbookView xWindow="-120" yWindow="-120" windowWidth="20730" windowHeight="11160" tabRatio="810" xr2:uid="{00000000-000D-0000-FFFF-FFFF00000000}"/>
  </bookViews>
  <sheets>
    <sheet name="Instructions" sheetId="36" r:id="rId1"/>
    <sheet name="Overview - Section A" sheetId="1" r:id="rId2"/>
    <sheet name="Version history" sheetId="25" state="veryHidden" r:id="rId3"/>
    <sheet name="Setup" sheetId="29" state="veryHidden" r:id="rId4"/>
    <sheet name="Impact Indicators - Section B " sheetId="30" r:id="rId5"/>
    <sheet name="Impact Indicator Target Update" sheetId="28" state="veryHidden" r:id="rId6"/>
    <sheet name="Reference Records" sheetId="16" state="veryHidden" r:id="rId7"/>
    <sheet name="Outcome Indicators - Section C " sheetId="31" r:id="rId8"/>
    <sheet name="Coverage Indicators - Section D" sheetId="33" r:id="rId9"/>
    <sheet name=" Disaggregation - Section E " sheetId="32" r:id="rId10"/>
    <sheet name="update Helper" sheetId="27" state="veryHidden" r:id="rId11"/>
    <sheet name="WPTM - Section F" sheetId="34" r:id="rId12"/>
    <sheet name="Target Assumptions" sheetId="37" r:id="rId13"/>
    <sheet name="Print - Summary" sheetId="38" r:id="rId14"/>
    <sheet name="Print - Goals &amp; Impact" sheetId="39" r:id="rId15"/>
    <sheet name="Print - Objectives &amp; Outcome" sheetId="40" r:id="rId16"/>
    <sheet name="Print - Coverage" sheetId="41" r:id="rId17"/>
    <sheet name="Print - WPTM" sheetId="42" r:id="rId18"/>
    <sheet name="Reference records(soft deleted)" sheetId="23" state="veryHidden" r:id="rId19"/>
    <sheet name="Disaggregation Records" sheetId="20" state="veryHidden" r:id="rId20"/>
    <sheet name="Disaggregation Data" sheetId="22" state="veryHidden" r:id="rId21"/>
    <sheet name="Account Role" sheetId="19" state="veryHidden" r:id="rId22"/>
    <sheet name="apttusmetadata" sheetId="13" state="veryHidden" r:id="rId23"/>
  </sheets>
  <externalReferences>
    <externalReference r:id="rId24"/>
    <externalReference r:id="rId25"/>
    <externalReference r:id="rId26"/>
  </externalReferences>
  <definedNames>
    <definedName name="_009096bb_77c7_47e9_ab78_bac00c84b439">'update Helper'!$A$34</definedName>
    <definedName name="_014af77a_8bcb_4d0c_beeb_a3d72f1332b5">'Disaggregation Records'!$G$156</definedName>
    <definedName name="_01bfc0ce_3a93_4136_98df_2e5ab51007c4">'update Helper'!$L$227</definedName>
    <definedName name="_01cccfef_5573_4d36_b9d3_e32bd9199c70">'Overview - Section A'!$AO$17:$AO$19</definedName>
    <definedName name="_0215c642_4079_4a66_b33f_02948e5b161c">'Overview - Section A'!$A$60</definedName>
    <definedName name="_02216ac2_a521_4fa9_9c18_1a31ed051d70">'Reference Records'!$M$88</definedName>
    <definedName name="_02305739_ec80_4503_b191_2e272f7ad158">'Reference records(soft deleted)'!$H$28</definedName>
    <definedName name="_0278b5de_0da4_4498_a134_99a2744a9fab">'Overview - Section A'!$X$124</definedName>
    <definedName name="_033fcd6d_adce_4700_8852_ca583a6bef6b">'Disaggregation Records'!$G$83</definedName>
    <definedName name="_0498dc4a_5706_4cf8_9462_13fccb149fe3">'update Helper'!$M$1003</definedName>
    <definedName name="_04996f6c_b3af_4a4a_8d3a_f5554e96108a">'update Helper'!$S$227</definedName>
    <definedName name="_04a05b73_32c0_4d2d_a31f_5fbde1b204a3">'Reference records(soft deleted)'!$D$143</definedName>
    <definedName name="_053d4715_81a5_4c4e_908e_bbbba2cb81d4">'update Helper'!$O$227</definedName>
    <definedName name="_05de697d_8f2c_4184_9d2e_6faa62695a32" comment="Display Map">'Reference records(soft deleted)'!$B$86:$H$137</definedName>
    <definedName name="_06a30c86_360f_426e_8e45_34c8bc342561" comment="Display Map">'Overview - Section A'!$A$26:$J$28</definedName>
    <definedName name="_06f0afa9_1fe3_42c4_a70c_ee03512b1215">'Reference records(soft deleted)'!$B$143</definedName>
    <definedName name="_07c6e9ba_e1f0_4c5a_9be5_1f8f2de0a270" localSheetId="0">#REF!</definedName>
    <definedName name="_07c6e9ba_e1f0_4c5a_9be5_1f8f2de0a270">'update Helper'!#REF!</definedName>
    <definedName name="_07f6212a_2a5a_452d_b852_a06db9d121bc">'Reference Records'!$M$27</definedName>
    <definedName name="_0883281e_e21d_43ef_9187_230346f845f9">'Overview - Section A'!$C$19</definedName>
    <definedName name="_089c4f14_f445_4edd_986d_5381533aad0a">'update Helper'!$M$43</definedName>
    <definedName name="_08f7c19a_c27f_40de_a822_a141ec3e34e7">'update Helper'!$V$2896</definedName>
    <definedName name="_0a0c24ce_1a3f_4bf9_a8ff_c91c0647302d">'update Helper'!$T$2896</definedName>
    <definedName name="_0a25a90c_3219_438f_af02_7dbbd6432e17">'Reference Records'!$D$1:$D$548</definedName>
    <definedName name="_0b061e63_2d62_4e7f_be44_4eac7747625a">'update Helper'!$K$3</definedName>
    <definedName name="_0ba5fba9_1998_4ded_9b12_f967fc1c76dc">'update Helper'!$E$227</definedName>
    <definedName name="_0bc93981_4b8d_4224_bec6_b5e224b4bbdb">'update Helper'!$W$453</definedName>
    <definedName name="_0be7695c_11a6_45b5_b154_af6d36015894">'Reference Records'!$B$501</definedName>
    <definedName name="_0beac2ba_bbbb_431d_8bce_14dbf66bdf78">'Overview - Section A'!$E$60</definedName>
    <definedName name="_0c1b0ead_b7f7_4836_950e_03f811dc9fa9">'update Helper'!$P$1307</definedName>
    <definedName name="_0c431a0b_6c06_4a8d_9958_df0e381f3233">'update Helper'!$F$3</definedName>
    <definedName name="_0cdb72c3_6724_4a77_bc28_1011a00b051b">'Disaggregation Data'!$K$315</definedName>
    <definedName name="_0d92c2c9_3965_40dd_8ee0_e9f02c0e3ee9">'update Helper'!$C$2896</definedName>
    <definedName name="_0dc96169_1e4e_4b6f_8f38_6c1e88134dc4">'Overview - Section A'!$L$32</definedName>
    <definedName name="_0eecfd33_4a6a_4cbb_afe3_81fb3599f535">'Reference records(soft deleted)'!$D$86:$D$87</definedName>
    <definedName name="_0f39d314_7997_497e_b89c_3c8231e774ea">'Reference Records'!$K$27</definedName>
    <definedName name="_1121e55d_6d32_4888_b652_ac9583a82d46">'update Helper'!$C$3062</definedName>
    <definedName name="_1279d174_765e_40f7_9774_a1502cee1084">'update Helper'!$D$453</definedName>
    <definedName name="_12a1fadf_7dbd_4e62_88ad_9760e11679f7">'update Helper'!$Z$453</definedName>
    <definedName name="_13f5bbc3_a06d_4a3e_b75e_ac6929e1cb91">'Reference Records'!$A$426:$A$427</definedName>
    <definedName name="_144bb8c4_0b16_4558_9e0b_bfebb0a9604a">'update Helper'!$C$1003</definedName>
    <definedName name="_1492cdfa_6f29_4651_b3ea_fe361a5ebb05">'update Helper'!$Q$2896</definedName>
    <definedName name="_14a567c8_d8f6_4162_9aa0_c1538b8740a0" comment="Display Map">'Reference records(soft deleted)'!$B$5:$H$22</definedName>
    <definedName name="_161d698e_cfc0_4369_9f9d_683d632fec4f">'Reference Records'!$O$27</definedName>
    <definedName name="_164e6d09_185f_4eb7_8d48_b40f818dce2a" comment="Display Map">'Reference Records'!$A$87:$M$188</definedName>
    <definedName name="_17dd210d_77d5_4bfa_8e2f_a8749b722a7f">'update Helper'!$U$2896</definedName>
    <definedName name="_185f9a59_e3dc_4a86_b1fd_a4a300de92e9">'Reference records(soft deleted)'!$F$86:$F$87</definedName>
    <definedName name="_1955075b_5332_4022_9e1d_d8310266160b">'Reference Records'!$B$440</definedName>
    <definedName name="_195784db_c268_4c63_8483_153347963bf4">'Reference records(soft deleted)'!$F$87</definedName>
    <definedName name="_198b5a5f_0f03_476f_accf_4c39afec46de">'update Helper'!$L$267</definedName>
    <definedName name="_1a080622_0d74_49cf_97f9_4810bf8030df">'Overview - Section A'!$F$60</definedName>
    <definedName name="_1aa1a76c_dd86_4169_9713_d4769c038cf4">'Overview - Section A'!$AN$5</definedName>
    <definedName name="_1adee5ff_c5c9_43db_9c1e_bb4129b790bf">'Disaggregation Records'!$F$83</definedName>
    <definedName name="_1b8aaee3_08fa_47b6_9b44_c592025d5948">'Reference Records'!$D$253</definedName>
    <definedName name="_1ba5b9ab_2d9b_4eca_b122_0032dff5772a">'Overview - Section A'!$C$19:$C$22</definedName>
    <definedName name="_1c63dced_ef57_49a2_b76c_04f2a67c4e37">'Reference Records'!$C$513</definedName>
    <definedName name="_1c9a6136_ca1e_45b0_8d91_8e499a1c2b64">'update Helper'!$F$267</definedName>
    <definedName name="_1d2f5042_4c04_4e46_a4bd_054a6fef4811">'update Helper'!$Y$453</definedName>
    <definedName name="_1d6a3bac_4285_4496_be35_4b6e94c6c525">'Overview - Section A'!$F$78</definedName>
    <definedName name="_1e4eb8fc_811c_44fb_af4b_e630611aebf1" localSheetId="0">#REF!</definedName>
    <definedName name="_1e4eb8fc_811c_44fb_af4b_e630611aebf1">#REF!</definedName>
    <definedName name="_1e8031e2_fb17_49db_aa23_60e8be628b5d">'update Helper'!$N$1611</definedName>
    <definedName name="_1f7a22d6_7976_4a51_98b5_b72a96a27356">'update Helper'!$N$267</definedName>
    <definedName name="_1f8e424d_2435_4858_bbf5_7f8dd0a93ebd">'update Helper'!$M$2896</definedName>
    <definedName name="_201a9b59_c648_4520_b810_e4a26475e91b">'update Helper'!$L$43</definedName>
    <definedName name="_20610bf4_5e5c_47a3_b8cb_606c8e2d35b3">'Impact Indicator Target Update'!$N$1</definedName>
    <definedName name="_20b37a5d_a9b9_4728_a5db_fa2bcdb4259a">'update Helper'!$G$3</definedName>
    <definedName name="_2107d815_de12_4678_b7bf_30f8521ae049">'Overview - Section A'!$E$8</definedName>
    <definedName name="_214941ba_c471_49a3_8970_f93dba1090ed">'update Helper'!$J$1611</definedName>
    <definedName name="_2155cd87_2f72_4971_9bf3_5e903b4bd350">'Disaggregation Data'!$H$3</definedName>
    <definedName name="_21767732_1f31_4ce6_b119_8446771deb3e">'Reference Records'!$M$4</definedName>
    <definedName name="_21b12a26_ee05_4098_a9bf_fc0cdf7f6adb">'update Helper'!$I$267</definedName>
    <definedName name="_227c1eef_248d_4636_b70f_e17385d0de94">'Disaggregation Data'!$I$3</definedName>
    <definedName name="_233f4b6b_2a85_4f7c_a11c_783789889f27">'update Helper'!$C$453</definedName>
    <definedName name="_23c679e9_b192_40b1_95ad_e2f1dac7a992">'Disaggregation Data'!$M$3</definedName>
    <definedName name="_23debc6e_f89a_4d49_93e8_506d71c4cbb7" comment="Display Map">'Overview - Section A'!$A$123:$AQ$174</definedName>
    <definedName name="_242d575a_eb16_4795_affc_a818f9b0adad" comment="Display Map">'Disaggregation Data'!$D$2:$R$153</definedName>
    <definedName name="_2440afcf_7038_466b_9f8b_f5cb2d881ac0">'update Helper'!$M$1611</definedName>
    <definedName name="_24ce621f_5feb_4421_aa7b_30c973952869">'Overview - Section A'!$Q$32</definedName>
    <definedName name="_256acc1f_d632_49f3_a230_a7c45fed6c7d">'update Helper'!$A$3062</definedName>
    <definedName name="_25903c5a_79da_48aa_a73a_0efa3fa709b3">'Overview - Section A'!$E$7</definedName>
    <definedName name="_25c4f9c3_a465_4509_8e2f_b4c3afc12d62">'Disaggregation Data'!$M$159</definedName>
    <definedName name="_26c11d11_1dfd_419a_b62a_f0e5f18ddf3d">'update Helper'!$O$3</definedName>
    <definedName name="_27c6dfb2_6e2c_4519_aff6_82afcaea4b81">'update Helper'!$H$3062</definedName>
    <definedName name="_295f3441_adc3_4dc5_8a9e_67266d697395">'Overview - Section A'!$N$32</definedName>
    <definedName name="_29ae4ec4_c4dc_4320_ba24_ddaf89e82a28">'Reference Records'!$N$192</definedName>
    <definedName name="_29dc2e64_1893_44f6_9dcf_87e619efff18">'update Helper'!$M$3</definedName>
    <definedName name="_29de1210_4fea_46a8_ac63_eb3a3734b209">'Account Role'!$D$42</definedName>
    <definedName name="_2ab1dfcf_a207_4488_9778_05865ff67402">'Reference records(soft deleted)'!$G$87</definedName>
    <definedName name="_2bad41a3_d2d5_4a30_a026_b211ed401ae9">'Impact Indicator Target Update'!$K$1</definedName>
    <definedName name="_2c6b8785_2f7e_4ce5_948e_2066c6838182">'Reference Records'!$C$4</definedName>
    <definedName name="_2caea628_1956_4c87_bc20_7a08eb818bc7">'update Helper'!$O$1611</definedName>
    <definedName name="_2cce8ee2_6afd_41d1_bcad_99af3d7b16b5">'update Helper'!$J$528</definedName>
    <definedName name="_2d154807_2b4a_4b96_90cc_90540c97cd87">'update Helper'!$H$1003</definedName>
    <definedName name="_2d8b8002_9e00_4e21_821d_5beccbd0b725">'update Helper'!$K$528</definedName>
    <definedName name="_304a4b38_aadb_465f_bec4_ede79462324a" comment="Display Map">'Account Role'!$A$41:$D$326</definedName>
    <definedName name="_30572134_8290_4750_a680_dd1dbf9fbe17" comment="Display Map">'Disaggregation Data'!$D$158:$O$309</definedName>
    <definedName name="_30b03846_ab03_4151_aecb_ffcd8f9380d3">'Reference records(soft deleted)'!$G$250</definedName>
    <definedName name="_31abdfc0_7b3f_4421_9bb3_3010b64c33c6">'Reference Records'!$B$498</definedName>
    <definedName name="_31e1e97a_f8b3_42a3_9dba_54263b984934">'Overview - Section A'!$Q$47</definedName>
    <definedName name="_33898a8c_e55b_4fb6_a523_fc8d172930cd" comment="Display Map">'Reference Records'!$B$3:$P$20</definedName>
    <definedName name="_33f94c69_7ad0_42e4_ae97_cd43ab2f6fb1">'Disaggregation Data'!$D$315</definedName>
    <definedName name="_3591b6e1_d98a_4b26_ac96_a36c0307bfe3">'update Helper'!$AE$3</definedName>
    <definedName name="_3599e6a2_76d5_4a3e_b94f_263ea328a754">'Overview - Section A'!$AN$10</definedName>
    <definedName name="_35d1b49a_9719_423f_baf2_fde871e1bd58">'Overview - Section A'!$O$32</definedName>
    <definedName name="_3656f8fe_1658_4390_b037_f0db08258404">'update Helper'!$D$528</definedName>
    <definedName name="_36c48884_8351_429d_866b_c7cb8ec9bdfb">'Overview - Section A'!$P$32</definedName>
    <definedName name="_37fc5e03_bcc7_4685_9fef_b3f1646865b7">'Reference Records'!$C$508</definedName>
    <definedName name="_38090fcc_c83f_4075_9748_b307f993e767">'Reference records(soft deleted)'!$B$250</definedName>
    <definedName name="_38727489_790b_4106_8b2a_6a8fd7426747">'update Helper'!$I$1611</definedName>
    <definedName name="_388e9f7b_b253_414f_b074_2b51db867bec">'Overview - Section A'!$K$32</definedName>
    <definedName name="_3a54c0cb_5d61_44ab_9f5f_59c0b83c7017" comment="Save Map">'Account Role'!$B$328:$D$328</definedName>
    <definedName name="_3a87c5f7_0769_4a3a_a3e3_82a4b0341068">'Reference Records'!$C$432</definedName>
    <definedName name="_3b16469f_3a28_404f_a919_41ed115ef29e">'Disaggregation Data'!$R$3</definedName>
    <definedName name="_3b7422cb_6445_4aa9_93d7_564b3b552a88">'update Helper'!$M$227</definedName>
    <definedName name="_3c45532e_4503_44c3_aed1_88e3c7145bca">'Reference Records'!$E$192</definedName>
    <definedName name="_3c670222_be49_48d4_a6da_55d70e83d153" comment="Display Map">'Reference Records'!$A$439:$C$494</definedName>
    <definedName name="_3c7e6a65_3704_49f1_aeb5_596f9e172566">'update Helper'!$A$1611</definedName>
    <definedName name="_3d3c76b6_9fcf_4cb5_b2a3_ba632337362e">'Overview - Section A'!$Y$124</definedName>
    <definedName name="_3d6d3512_10c0_4de5_aa42_7ee068d75e48">'Reference Records'!$E$513</definedName>
    <definedName name="_3e588f48_5b47_4e13_ab21_55c135645d97">'Reference Records'!$C$440</definedName>
    <definedName name="_3f09c12b_bc4c_4018_a427_8323f6abdcde">'Impact Indicator Target Update'!$I$1</definedName>
    <definedName name="_3f14779a_3657_4ee9_b857_6b95d77074db">'Reference Records'!$A$440</definedName>
    <definedName name="_3f450a54_eabe_42be_b6a5_18c086a5d786">'Overview - Section A'!$AA$124</definedName>
    <definedName name="_3fdc2ac9_f4a3_4d6a_b2f2_58d6f3e03696">'update Helper'!$I$3</definedName>
    <definedName name="_3fe9ffb0_20f0_4e61_bd05_c39610c7d823">'update Helper'!$J$3</definedName>
    <definedName name="_413e976f_e211_495a_946b_b87ba18376c4">'update Helper'!$A$2896</definedName>
    <definedName name="_4142b5d6_b3a2_4804_93e1_6abaf2166d4c">'Reference records(soft deleted)'!$H$143</definedName>
    <definedName name="_423d3c20_41cf_4997_a293_9b1150fb8eaa">'Overview - Section A'!$AQ$124</definedName>
    <definedName name="_425b05fb_599f_421c_ad67_1b45a511d0c0">'Reference records(soft deleted)'!$D$87:$D$87</definedName>
    <definedName name="_4266c6da_54ca_4a1a_a567_1b51c0445aba">'Overview - Section A'!$C$9</definedName>
    <definedName name="_42a2ef20_7507_4137_ae83_1c4ed24d9bd9">'Reference Records'!$D$192:$D$244</definedName>
    <definedName name="_42e32736_f62b_47ce_92a8_6a1521494e49">'Reference Records'!$B$1:$B$759</definedName>
    <definedName name="_45ed0cc2_06fa_47d2_bf1a_8078df921d9b">'Impact Indicator Target Update'!$B$1</definedName>
    <definedName name="_463898c2_94f9_443e_9360_603b31e51356">'Reference Records'!$F$513</definedName>
    <definedName name="_46d565cf_c4b6_4ba9_91a9_ae6e1f229f25">'update Helper'!$N$453</definedName>
    <definedName name="_4820f755_1815_4142_9c1e_22637b4b3c30" comment="Display Map">'update Helper'!$A$226:$S$257</definedName>
    <definedName name="_493718d5_8d74_4e5b_a628_d7a62c064791">'Overview - Section A'!$AN$11</definedName>
    <definedName name="_49926cff_7d8a_446c_9eaf_1304d30c19db">'update Helper'!$C$1307</definedName>
    <definedName name="_4994889e_24bf_4e57_b5fe_4d250c0b598a">'Reference Records'!$B$427</definedName>
    <definedName name="_4af41944_42f7_4e99_8627_878d677a4e30">'Disaggregation Data'!$O$159</definedName>
    <definedName name="_4b36df75_ea3b_4116_b8ac_4a66abe762ad" comment="Display Map">'Disaggregation Records'!$A$82:$H$152</definedName>
    <definedName name="_4b8d00e4_3b44_4af0_94c2_6912b8089f7c" localSheetId="0">#REF!</definedName>
    <definedName name="_4b8d00e4_3b44_4af0_94c2_6912b8089f7c">'Reference Records'!#REF!</definedName>
    <definedName name="_4d0cf32e_0e05_456f_b4d1_14bd4c608721">'Reference records(soft deleted)'!$B$87</definedName>
    <definedName name="_4d2be4fe_13b2_4faf_828e_93509fa81057" comment="Display Map">'update Helper'!$A$1002:$P$1303</definedName>
    <definedName name="_4d46f88d_b53f_4725_b903_496b8000bb47">'Reference Records'!$P$192</definedName>
    <definedName name="_4db5cf38_f801_4806_bf2c_599132967e52">'Overview - Section A'!$N$47</definedName>
    <definedName name="_4dc32036_026a_4d5f_beb4_03786a15ba27" comment="Save Map">'update Helper'!$B$3:$I$3</definedName>
    <definedName name="_4e28d14a_809b_451a_94f7_5adb1a78a192">'Reference Records'!$B$253</definedName>
    <definedName name="_4e3ce3cc_8312_431b_a087_d993964fb260">'Overview - Section A'!$H$102</definedName>
    <definedName name="_4e5ca0c2_8d28_4ec9_a11a_86be2ce5dab2">Setup!$A$63</definedName>
    <definedName name="_4e82750a_5fea_44c6_80cf_72f682152f92">'Disaggregation Data'!$O$315</definedName>
    <definedName name="_4ede0df7_bdae_485c_a6aa_cd381b32466f">'Overview - Section A'!$A$124</definedName>
    <definedName name="_4ee906e6_a15a_4bd6_a5ab_48f7e9c4ead2">'update Helper'!$P$2896</definedName>
    <definedName name="_4efdea21_451f_4b74_a2f9_191820a288a6">'Reference Records'!$F$508</definedName>
    <definedName name="_4f178b68_20c0_4f6c_b1b2_a19a8fcafba7">'update Helper'!$C$528</definedName>
    <definedName name="_4f36af19_06bf_4c59_990d_586822b3d259">'Overview - Section A'!$A$78</definedName>
    <definedName name="_4f63865c_55fd_464f_93e9_b2225fc74687">'Reference records(soft deleted)'!$H$6</definedName>
    <definedName name="_505724dd_8547_4bc3_976d_4313725e4ae3">'update Helper'!$I$43</definedName>
    <definedName name="_50db2e80_c834_4e54_81d0_095d3a449508">'Overview - Section A'!$AN$11</definedName>
    <definedName name="_51b611bd_a560_42d0_9976_577e62d2b71d">'Overview - Section A'!$A$19</definedName>
    <definedName name="_52d6fc62_59f3_4757_a084_a8aeafb48d9b">'Overview - Section A'!$G$78</definedName>
    <definedName name="_52e13748_1182_4a4a_9d8d_bac741435bb8">'update Helper'!$B$3</definedName>
    <definedName name="_53066892_24de_428a_ae98_ea86638a4c62">'Reference Records'!$B$27</definedName>
    <definedName name="_53737226_720f_44cb_8b6f_c2a7829a2378">'Reference records(soft deleted)'!$D$28</definedName>
    <definedName name="_5486feae_3dbd_4704_9f21_63bc76d59ea7">#REF!</definedName>
    <definedName name="_54eeb97e_db74_4058_898e_3c70d10a60fb">'Overview - Section A'!$E$10</definedName>
    <definedName name="_551ff597_4d6b_4e43_80ec_d627591a4405">'update Helper'!$A$43</definedName>
    <definedName name="_55639097_3c5f_4331_a97c_5edff71d38fc">'update Helper'!$U$453</definedName>
    <definedName name="_556ddeb1_283d_4119_8033_220d00837221">'update Helper'!$G$3062</definedName>
    <definedName name="_567ed919_b486_4c41_bb70_535bc7d4ec41">'update Helper'!$P$227</definedName>
    <definedName name="_57279062_e326_494d_97d1_9dfc8942bd33" comment="Display Map">'Reference records(soft deleted)'!$B$27:$H$82</definedName>
    <definedName name="_572e42ad_37ba_41a9_bff2_b341932489fa">'Disaggregation Data'!$K$159</definedName>
    <definedName name="_5784befd_ba79_46ce_94c3_633c0a4c5b39">'update Helper'!$G$1003</definedName>
    <definedName name="_5872670a_ec38_4a89_ad98_a6d82394eb83">'Reference Records'!$H$513</definedName>
    <definedName name="_58bd3376_047f_4dcd_8c2d_825da0f87b4c">'Reference Records'!$N$4</definedName>
    <definedName name="_59a28839_db65_45dc_8a19_59cbc682c3a6">'Reference records(soft deleted)'!$D$6</definedName>
    <definedName name="_59f95329_4292_4573_afbd_ad38fe5a11b5">'update Helper'!$Q$453</definedName>
    <definedName name="_5a304b38_0560_4d4b_9305_af573a971c7b">'update Helper'!$D$267</definedName>
    <definedName name="_5a6b264f_e866_4180_b32b_be3682daaa02">'Impact Indicator Target Update'!$J$1</definedName>
    <definedName name="_5aa1215d_515a_4048_8b5b_5f42e4881d07">'update Helper'!$P$3</definedName>
    <definedName name="_5b662717_58fe_4dc3_a1c2_362721c391d8">'update Helper'!$W$2896</definedName>
    <definedName name="_5b7858ba_c7ed_4c9b_bc1f_4266d944d694">'update Helper'!$M$1307</definedName>
    <definedName name="_5c348667_29c7_4f46_8bdf_9340e7ffe341">'Reference Records'!$J$253</definedName>
    <definedName name="_5d5f763d_3d34_4982_8228_6a30e5e5d212">'update Helper'!$L$453</definedName>
    <definedName name="_5d657817_9a27_4b37_bcd4_b55f78d6ac1b">'Disaggregation Data'!$I$315</definedName>
    <definedName name="_5da2fc81_49b6_4671_89eb_7b28c003e9be">'Disaggregation Data'!$O$3</definedName>
    <definedName name="_5df64d32_9a5c_414c_86e2_ae3655f5bb58">'update Helper'!$D$1611</definedName>
    <definedName name="_5e1f219c_cae5_40fc_ba27_83bc77b94308">'update Helper'!$B$3062</definedName>
    <definedName name="_5e59b3d2_3706_4a8c_932c_fdb0f6aa3c16">'Reference Records'!$K$4</definedName>
    <definedName name="_5e768e91_687d_4dfb_a07c_b558729186db">'Reference Records'!$D$251:$D$253</definedName>
    <definedName name="_5feb45e7_358f_4fcc_9644_92d1bc740165">'Reference Records'!$D$1:$D$589</definedName>
    <definedName name="_5ffe0d1a_8a84_4337_9fd0_deccf895e752">'Account Role'!$I$3</definedName>
    <definedName name="_60cca16c_2bbf_4012_b9ed_84b4cc4c6513">'Overview - Section A'!$E$27</definedName>
    <definedName name="_62fc5abc_c22f_4886_8298_ae4140ce6a16">'Disaggregation Data'!$N$315</definedName>
    <definedName name="_634c40bd_8cf0_4631_853b_96851e3bcde4">'Disaggregation Records'!$H$3</definedName>
    <definedName name="_63de57f1_547d_4bd8_8c72_4f7979df3206" comment="Display Map">'Disaggregation Records'!$A$155:$H$516</definedName>
    <definedName name="_641e8879_2a7f_4e5b_9221_71c3163e2697">'update Helper'!$C$227</definedName>
    <definedName name="_64b80052_1148_4ad0_a719_2605a229a5dd">'Reference Records'!$A$513</definedName>
    <definedName name="_651c1cff_29dc_4f61_8994_ff4aa592187f">'Reference Records'!$B$4</definedName>
    <definedName name="_654bca83_10b5_4fb3_962f_80e82dfc63ce">'Reference Records'!$B$426:$B$427</definedName>
    <definedName name="_65c26b5a_0465_48fc_a362_f2e87b3413d9">'update Helper'!$A$528</definedName>
    <definedName name="_6665a218_1941_4e63_be83_b389367e3fe6">'update Helper'!$Q$227</definedName>
    <definedName name="_666ecfb3_4890_469f_9405_c844bfec298e">'Disaggregation Data'!$P$3</definedName>
    <definedName name="_66c05feb_5ba4_4d15_8d33_a4f0ff5f795a">'Disaggregation Data'!$H$159</definedName>
    <definedName name="_66ed04dd_0830_439c_b4bc_24d70db2c1e7" comment="Display Map">'update Helper'!$A$1306:$P$1607</definedName>
    <definedName name="_6715a48b_b59c_4776_be88_a55a2bdba187">'update Helper'!$E$1611</definedName>
    <definedName name="_68131f07_373f_4ee5_8db3_e8876679341b">'update Helper'!$J$227</definedName>
    <definedName name="_6817dc8a_703d_4192_a2a8_a72a907275fb">'Reference records(soft deleted)'!$B$6</definedName>
    <definedName name="_6834aec6_db58_4138_a983_eb16ae5d5835">#REF!</definedName>
    <definedName name="_6a3dda26_b269_4afa_8b05_c602a881a167">'Overview - Section A'!$A$47</definedName>
    <definedName name="_6ac60fe2_d872_4a35_a5e2_7132294649ec" comment="Display Map">'Reference records(soft deleted)'!$B$142:$H$243</definedName>
    <definedName name="_6b293db8_2064_47cb_abbc_3f4c6d0caeda">'Overview - Section A'!$E$47</definedName>
    <definedName name="_6b7b095a_5e69_4c56_b186_9b24f30d5a48" localSheetId="0">#REF!</definedName>
    <definedName name="_6b7b095a_5e69_4c56_b186_9b24f30d5a48">'Overview - Section A'!#REF!</definedName>
    <definedName name="_6bcbe3c2_09f3_4a39_a1e3_5ce50bb9544b">'update Helper'!$P$1611</definedName>
    <definedName name="_6ce0ed87_5b35_40ed_9f7a_44a4e37463b9">'update Helper'!$F$43</definedName>
    <definedName name="_6de46edd_2f1b_4343_8ab7_4e70e2856d23">'update Helper'!$C$1611</definedName>
    <definedName name="_6e6943dc_a39b_4021_932f_cfd2e12ee608">'Disaggregation Records'!$A$156</definedName>
    <definedName name="_6e9ed759_a029_439a_93ab_0d062c7d6e8a" comment="Display Map">'Impact Indicator Target Update'!$B$1:$T$1</definedName>
    <definedName name="_6f4021c1_930e_44d0_a39b_d0b8c8bca29b">'update Helper'!$I$1003</definedName>
    <definedName name="_6f7ec15b_c268_485e_b0b1_4f72a84c4bc6" comment="Display Map">'Overview - Section A'!$A$46:$U$53</definedName>
    <definedName name="_7013a04d_f140_4c08_95f4_355fa29beec4">'Overview - Section A'!$J$27</definedName>
    <definedName name="_708bc3f4_3b2b_4cbe_89e1_1871c272480d">'Overview - Section A'!$J$102</definedName>
    <definedName name="_70a5cda6_774c_4166_b372_07fbe25d764a">'update Helper'!$J$267</definedName>
    <definedName name="_7210282b_6d37_40e9_9208_b22105dfdb45">'Reference Records'!$J$88</definedName>
    <definedName name="_73ed6a72_5bb2_4e78_b64b_57d38f0409a1">'Disaggregation Data'!$L$3</definedName>
    <definedName name="_745d292d_fc17_4892_81af_e69f39f278df">'Reference Records'!$K$88</definedName>
    <definedName name="_75127888_d602_45ff_b831_0b6cb5ca1689">'Disaggregation Data'!$H$315</definedName>
    <definedName name="_75417d5f_8186_4610_b9ba_588590a586ac">'Disaggregation Data'!$N$3</definedName>
    <definedName name="_7554e4be_d51b_4eff_b8a1_67f281ff6896">'update Helper'!$E$1003</definedName>
    <definedName name="_75e01dac_a196_4485_8c4e_3c8181e382da">'Reference Records'!$C$440:$C$495</definedName>
    <definedName name="_7638a94a_e06b_4d66_97b8_ac609d3da203" comment="Save Map">'Overview - Section A'!$E$76</definedName>
    <definedName name="_7643b6aa_7bef_476f_ad52_f8748c078a19">'Overview - Section A'!$E$78</definedName>
    <definedName name="_767e167c_49a5_47f2_969d_5168b626be63">'update Helper'!$G$528</definedName>
    <definedName name="_76d9b3fc_33f2_4908_a740_7e43d6a29dea">'update Helper'!$P$1003</definedName>
    <definedName name="_76f43188_477a_485f_9a13_9e30303f1124">'Overview - Section A'!$D$102</definedName>
    <definedName name="_77290f0f_e3b8_410c_9e2a_f33b99973795">'Disaggregation Records'!$B$156</definedName>
    <definedName name="_79161a16_98b0_4d79_baa1_fb3e9caa28f6">'update Helper'!$K$227</definedName>
    <definedName name="_7920b793_d507_4f7a_99e2_756c9f466e52">'Overview - Section A'!$F$102</definedName>
    <definedName name="_7a157943_9cc3_410b_ac27_f2c54152e262">'update Helper'!$G$1307</definedName>
    <definedName name="_7a72f78c_72ee_4007_958d_a1a1ee34b28b">'update Helper'!$C$43</definedName>
    <definedName name="_7ab7b090_6bd0_4a8e_8113_dd21d389a342">'Reference Records'!$D$192:$D$243</definedName>
    <definedName name="_7abccd6d_b26a_464a_a34f_823b62ef9461">'Reference Records'!$A$253</definedName>
    <definedName name="_7bac37da_c8ab_49df_9ce6_06a9736d64f8">'Reference Records'!$J$508</definedName>
    <definedName name="_7c917dad_3e1d_47db_8eb3_2b416550c06c">'update Helper'!$J$2896</definedName>
    <definedName name="_7cbcbc4a_d246_4bbc_a159_edc409a2e4fe">'Reference Records'!$I$88</definedName>
    <definedName name="_7cdc6ffc_7316_43a3_8c10_94815252d4bc">'Overview - Section A'!$E$77</definedName>
    <definedName name="_7dad7a53_3619_44b2_9f14_26d23af8b014">'Impact Indicator Target Update'!$T$1</definedName>
    <definedName name="_7dd1a1e8_b3e5_4977_b435_92933762fedb">'Account Role'!$A$42</definedName>
    <definedName name="_7e97b1d3_ddd6_4d94_b1d6_9a53b33ff98b">'Reference Records'!$D$86:$D$87</definedName>
    <definedName name="_7ea43aa2_3fad_4650_821c_ea2dc5b2b6d6">'Reference Records'!$A$88</definedName>
    <definedName name="_7fc44159_eb0c_4ec6_937c_83795558bd60">'Disaggregation Data'!$E$3</definedName>
    <definedName name="_824188d8_1928_41a5_8873_0ce612bdaed2">'update Helper'!$S$453</definedName>
    <definedName name="_8273a11c_a030_45ba_bf8f_2b577e1aa93b">'Overview - Section A'!$A$27</definedName>
    <definedName name="_8275e2f9_07b9_4fec_af79_daf5bf5849e5">'Reference Records'!$C$498</definedName>
    <definedName name="_82b810a8_4ed0_4323_bc38_7e1a937be1f8">'Overview - Section A'!$AB$124</definedName>
    <definedName name="_8369de31_1390_409f_b55a_fde61d8d7199">'update Helper'!$J$43</definedName>
    <definedName name="_83a8b122_8cd9_4c5d_9e26_19949421dbb8">'Reference Records'!$D$27</definedName>
    <definedName name="_84592985_545c_4142_977f_19911c1d7be1">'Disaggregation Data'!$D$159</definedName>
    <definedName name="_862ffe01_c829_453b_8951_9acfdd7e0f24">'Overview - Section A'!$G$102</definedName>
    <definedName name="_864425d0_252a_4246_909e_cc0826e707f2" comment="Display Map">'Account Role'!$A$2:$I$33</definedName>
    <definedName name="_8680b4e4_73f6_49ed_b636_6796b8fc3007">'update Helper'!$L$3</definedName>
    <definedName name="_86f8d6cf_6f2b_46a8_ae46_64b18c8ca3ae">'update Helper'!$O$1307</definedName>
    <definedName name="_872311fc_11bb_401c_8b93_291ded9ec451" localSheetId="0">#REF!</definedName>
    <definedName name="_872311fc_11bb_401c_8b93_291ded9ec451">#REF!</definedName>
    <definedName name="_8740d754_6057_4f92_9544_9f1b0a96c93b">'update Helper'!$H$3</definedName>
    <definedName name="_876c5893_c8a3_4066_ad24_31365064997d">'Overview - Section A'!$AN$9</definedName>
    <definedName name="_87baeec3_d609_48e9_97d3_9acbc31c6bc4">'Overview - Section A'!$U$47</definedName>
    <definedName name="_8945f316_fd9d_4e19_b3cd_c0c8202a52db">'Reference Records'!$D$192:$D$250</definedName>
    <definedName name="_8a469ed4_8916_4154_bbbf_dd81f3ca6037">'Overview - Section A'!$AN$12</definedName>
    <definedName name="_8a9ff9a8_7b42_4a34_a7bb_8f85ce3a36e0">'Reference Records'!$C$427</definedName>
    <definedName name="_8aa4cf9f_eda6_4444_a907_3c8c602dbf88">'Impact Indicator Target Update'!$H$1</definedName>
    <definedName name="_8c83dafc_06c9_46d5_82dd_2edc4cdd71ef">'Reference Records'!$C$422</definedName>
    <definedName name="_8d086166_aaa3_4eec_872e_985dceb20c48">'Reference Records'!$B$432</definedName>
    <definedName name="_8d18a379_8755_4412_801e_3a24e67a6467" comment="Display Map">'Overview - Section A'!$A$31:$R$40</definedName>
    <definedName name="_8dbce8a5_0984_44b3_b1a6_cf993b957b30">'update Helper'!$A$453</definedName>
    <definedName name="_8f38a2c2_0833_4757_9f3f_fd2bfbb481ac">'Reference Records'!$B$504</definedName>
    <definedName name="_8f4065ff_50b1_4767_83af_862a3935b277">'Overview - Section A'!$P$47</definedName>
    <definedName name="_8f4652fd_6fec_47e2_8e29_9e9058be61aa">'update Helper'!$H$227</definedName>
    <definedName name="_8fa4d884_a5b1_4041_8cad_fbf4720a13d4">'Reference Records'!$G$88</definedName>
    <definedName name="_9118c1eb_0c63_43eb_8ada_bcc3cc31337f">'update Helper'!$V$453</definedName>
    <definedName name="_9163a4e6_3076_442b_bf37_db0a0a62793a">'Reference Records'!$G$27</definedName>
    <definedName name="_92015950_0d4a_4354_be6a_adcd93a70857" localSheetId="0">#REF!</definedName>
    <definedName name="_92015950_0d4a_4354_be6a_adcd93a70857">#REF!</definedName>
    <definedName name="_940f4fc6_4a8e_4e0b_b740_efe451214fab">'update Helper'!$D$227</definedName>
    <definedName name="_94171daa_d427_4741_ae4f_2766c79a4da3">'update Helper'!$T$43</definedName>
    <definedName name="_952eb8f4_4429_4c18_a482_48bc600a28d5">'update Helper'!$X$453</definedName>
    <definedName name="_96bf0d26_21c5_4468_ad6a_07580f9dd34c">'Impact Indicator Target Update'!$Q$1</definedName>
    <definedName name="_979ccfd5_b55a_4492_8e26_a6633c09ca4c" localSheetId="0">#REF!</definedName>
    <definedName name="_979ccfd5_b55a_4492_8e26_a6633c09ca4c">'Reference Records'!#REF!</definedName>
    <definedName name="_97b6ca24_107e_44db_bc88_4db332fdf22a">'update Helper'!$R$453</definedName>
    <definedName name="_97db3924_742c_4f61_af12_dab7752ccc44">'Account Role'!$B$3</definedName>
    <definedName name="_97f1b32c_6621_44f3_b00b_23facc4a8c9f">'Reference Records'!$D$190:$D$192</definedName>
    <definedName name="_9874a6dc_a3b8_4db0_9a74_e4c3c5dd126f">'update Helper'!$G$227</definedName>
    <definedName name="_9898c5eb_afc0_4eaf_8387_942d1b2e57cb">'update Helper'!$N$3</definedName>
    <definedName name="_99c3b064_facc_46ff_8835_927313074f4d">'Disaggregation Records'!$F$3</definedName>
    <definedName name="_9a500917_dab9_4d8c_82b0_84e6e58cb053">'update Helper'!$A$1307</definedName>
    <definedName name="_9a975b68_4a25_421c_bf56_ce3e9602ca12">'Account Role'!$D$329</definedName>
    <definedName name="_9c766a82_9c33_4b1d_9f4c_76c2bcf6e551" comment="Display Map">'update Helper'!$A$1610:$P$2891</definedName>
    <definedName name="_9c8612d6_cb9f_4fcd_b707_4fdfc8d07b47">'Account Role'!$B$329</definedName>
    <definedName name="_9cfc31ab_a677_4d1c_b5d4_df5c521ee5ef">'update Helper'!$N$43</definedName>
    <definedName name="_9d318a0d_d7a3_48e8_a51b_60ca16c1c976">'Disaggregation Data'!$Q$3</definedName>
    <definedName name="_9d4507c5_5622_4e77_997d_65777e4b9b29">'update Helper'!$G$453</definedName>
    <definedName name="_9d5a644f_9e3c_487b_9af4_779a60541f4e">'Reference Records'!$D$88</definedName>
    <definedName name="_9eb66103_54d0_486c_84fe_f3948ec313af">'Disaggregation Records'!$H$156</definedName>
    <definedName name="_9f0d4df8_7f69_41ab_b823_8fad2df76213">'update Helper'!$C$267</definedName>
    <definedName name="_9f29fc9a_a965_4afd_b189_7a3eca59d516">'Reference Records'!$D$1:$D$559</definedName>
    <definedName name="_9f9fdd59_86c9_4295_b308_3619d68d6aaf">'Reference Records'!$C$253</definedName>
    <definedName name="_9ff47b3a_d28b_411b_a98b_bf4244606f53">'Disaggregation Data'!$F$159</definedName>
    <definedName name="_a050c83a_8d4a_49ab_a808_e922507fb301">'update Helper'!$M$453</definedName>
    <definedName name="_a06ae70f_aaf6_4179_9a0c_964df3537fbf" comment="Display Map">'Overview - Section A'!$A$77:$H$90</definedName>
    <definedName name="_a06d7903_f4dc_429c_b13c_c30db338eb1e">#REF!</definedName>
    <definedName name="_a21e317a_560b_434a_9c6a_b52a9755e408">'Reference Records'!$D$189:$D$243</definedName>
    <definedName name="_a2b49755_1adb_4266_aaf8_271d0b7524b1">'update Helper'!$D$1307</definedName>
    <definedName name="_a35161b8_a808_4c7e_845f_e699179b5e0a">'Disaggregation Records'!$H$83</definedName>
    <definedName name="_a3bb9706_a655_4815_ac17_285a5395dd17">'Overview - Section A'!$E$9</definedName>
    <definedName name="_a4f8ca5a_c29b_4e8a_b75c_6e98ee1c35c5">'update Helper'!$A$227</definedName>
    <definedName name="_a56e44bf_ca89_4206_8199_57e3e8408cd6">'update Helper'!$H$1307</definedName>
    <definedName name="_a5dfcb7f_e430_4fb5_9b5b_e22c4b6ca98e">'update Helper'!$H$1611</definedName>
    <definedName name="_a676465c_2e79_4840_afcd_6eb0129d896a">#REF!</definedName>
    <definedName name="_a6da39b6_381d_4803_a309_a76c19e134f0">'Reference Records'!$P$4</definedName>
    <definedName name="_a7b11238_9f6e_4351_921e_572fe001503d">'update Helper'!$A$1003</definedName>
    <definedName name="_a7ecb8b9_6334_4d27_a6e4_bb07adb71898" localSheetId="0">#REF!</definedName>
    <definedName name="_a7ecb8b9_6334_4d27_a6e4_bb07adb71898">'Overview - Section A'!#REF!</definedName>
    <definedName name="_a80237bb_7952_4c04_9a7a_1cdad38cbd16">'Overview - Section A'!$H$60</definedName>
    <definedName name="_a8f46077_3c03_49ff_b812_2b8ac08cae66" comment="Display Map">'Reference Records'!$C$191:$P$242</definedName>
    <definedName name="_aba4e79f_5ce3_41ca_abf0_8cba57c47dec" comment="Display Map">'update Helper'!$A$452:$Z$522</definedName>
    <definedName name="_abbd2de4_555f_487e_a305_ee28249928f4">'Disaggregation Records'!$A$3</definedName>
    <definedName name="_abcb1332_3cc3_40cb_9eb6_e49185148047">'Account Role'!$B$42</definedName>
    <definedName name="_ac5ba2d1_98f0_4aa2_a6c2_322cafcae1b8">'Reference records(soft deleted)'!$G$28</definedName>
    <definedName name="_aca742d7_5b19_4aa5_8a32_739546d173c7">'Disaggregation Data'!$L$315</definedName>
    <definedName name="_aca7f1bf_77d4_41d2_b85a_8fc4694aaa5d">'Disaggregation Records'!$E$156</definedName>
    <definedName name="_ad718d62_e2fd_4c3a_a018_8c8f5eec5644">'Reference Records'!$C$4:$C$24</definedName>
    <definedName name="_ae20a710_31d4_43ea_bb8e_98f8a452d9b5">'update Helper'!$A$267</definedName>
    <definedName name="_aef23396_73a2_4449_b64b_574e315ee717">'Disaggregation Records'!$A$83</definedName>
    <definedName name="_af4893e4_fb2a_43c4_a459_75a79635184d">'Disaggregation Records'!$E$3</definedName>
    <definedName name="_af984491_07b4_45c6_827e_4a5a0e41cd92">'Reference records(soft deleted)'!$F$87:$F$87</definedName>
    <definedName name="_afb1ac33_4702_4bdb_87c5_ccde46f5946b">'update Helper'!$F$1611</definedName>
    <definedName name="_afe46063_176e_42e7_9258_aafceea72a7c">'Account Role'!$E$3</definedName>
    <definedName name="_b00633c8_5ccc_4622_86d1_07ff694c24a1">'update Helper'!$L$528</definedName>
    <definedName name="_b01f6605_c50f_49e5_8841_306b902e21b5">'Reference Records'!$E$253</definedName>
    <definedName name="_b08eede9_e417_4197_bdb0_e7afb6ff7f75">'update Helper'!$F$453</definedName>
    <definedName name="_b160391b_7f82_4ca2_b7a1_742da234e320">'Reference Records'!$B$508</definedName>
    <definedName name="_b184a48f_c367_42e0_abea_de10491cdb89">'Overview - Section A'!$R$124</definedName>
    <definedName name="_b1feba10_b99d_4aa3_a757_8fc1226a1ade">'Reference Records'!$K$253</definedName>
    <definedName name="_b25b57c0_b3c6_4bd0_84af_ecd0c047480e">'Reference Records'!$C$88</definedName>
    <definedName name="_b29140ce_2067_4616_98b2_f6e9312dff45" comment="Display Map">'Reference Records'!$A$497:$C$497</definedName>
    <definedName name="_b29fac7f_0112_4608_9b2f_b935e3a5c47a" localSheetId="0">#REF!</definedName>
    <definedName name="_b29fac7f_0112_4608_9b2f_b935e3a5c47a">#REF!</definedName>
    <definedName name="_b2a433e8_e2eb_496e_9eab_56d34260a1ea">'update Helper'!$O$453</definedName>
    <definedName name="_b3d97873_9416_4540_9180_9e77b15dc15a">'update Helper'!$AD$3</definedName>
    <definedName name="_b517363e_a660_4f5c_8200_ca9f715b3954">'Reference Records'!$E$508</definedName>
    <definedName name="_b5821112_3c0f_46ea_8691_81e5396982ed">'Reference Records'!$B$426</definedName>
    <definedName name="_b5e8f7c0_1f6c_4f34_9e09_d35ca3f3eb39" comment="Display Map">'Reference records(soft deleted)'!$B$249:$G$415</definedName>
    <definedName name="_b625dd51_c3f0_4d71_a2a9_f6fa8dac524b">'Reference records(soft deleted)'!$H$87</definedName>
    <definedName name="_b630336b_3644_4bf6_8d7c_9c418ad44fc5">'Disaggregation Data'!$D$3</definedName>
    <definedName name="_b7198351_a7ba_44b7_a1ec_111ed8317cb2">'Reference Records'!$B$513</definedName>
    <definedName name="_b8526b1f_d531_4d05_a35b_d24976af94b3">'update Helper'!$D$2896</definedName>
    <definedName name="_b88374ec_47cc_43db_8a49_31b8f7dfbe2a">'Reference Records'!$A$498</definedName>
    <definedName name="_b934b5c4_3a3d_4290_b4f5_665f1fa1d8f9">'Disaggregation Data'!$E$159</definedName>
    <definedName name="_b9568051_a72c_4c87_bd12_0a431f6a32e6">'Disaggregation Data'!$I$159</definedName>
    <definedName name="_ba047ad1_b51f_49a2_b3c8_be30d392985a">'Reference Records'!$D$191:$D$249</definedName>
    <definedName name="_ba2bf24f_92d4_4847_a100_634fcade40b6">'Impact Indicator Target Update'!$P$1</definedName>
    <definedName name="_ba6766eb_3a68_462e_a136_4851bdedd0eb">'update Helper'!$F$227</definedName>
    <definedName name="_ba991538_8d20_47dc_8a22_03bf80508d2c">'Disaggregation Data'!$F$3</definedName>
    <definedName name="_bb1c154e_4700_4eae_bb81_f16337d16856">'update Helper'!$D$3</definedName>
    <definedName name="_bcc0af4e_01ec_4ed2_a0bb_891e67117226">'update Helper'!$F$2896</definedName>
    <definedName name="_bcc44ce4_7811_4a37_b19a_adb1c9975c5c">'Overview - Section A'!$O$47</definedName>
    <definedName name="_bd075b26_707d_4b39_aea7_5e22fa05d673">'update Helper'!$F$1307</definedName>
    <definedName name="_bd8c6a42_6cde_4c17_9f1a_04e7b83fd063">'Reference Records'!$E$27</definedName>
    <definedName name="_be2888a7_b322_47d2_be71_a4093cf83c44">'Reference Records'!$D$1:$D$578</definedName>
    <definedName name="_be67395e_f578_42fc_bfe7_912f09db8571">'Disaggregation Records'!$G$3</definedName>
    <definedName name="_bef2cdda_6c4d_45cf_b550_ea24e68795bf">'Overview - Section A'!$M$47</definedName>
    <definedName name="_bf1ad2f1_a865_4b00_8649_f62663e1cb01">'Reference Records'!$D$508</definedName>
    <definedName name="_bf857707_f3ed_43ba_b26e_78e553c3b599">#REF!</definedName>
    <definedName name="_c021eee3_85ca_4b4c_871f_c2ca4000adb3" comment="Display Map">'Reference Records'!$B$26:$P$81</definedName>
    <definedName name="_c07ca49e_51e3_407c_ba04_a326571d945c">'Reference Records'!$O$4</definedName>
    <definedName name="_c0adc2e9_f3e8_47e3_ab9a_3b0590b08e3b">'Reference Records'!$D$191:$D$244</definedName>
    <definedName name="_c0eb8ac6_1c46_4f57_b21f_9a8652dcb01f">'Reference Records'!$A$429</definedName>
    <definedName name="_c0fdc46f_78e0_41d5_9ecf_3d5f1af2a63c">'update Helper'!$R$227</definedName>
    <definedName name="_c169a647_ad7f_4a68_9402_5984b64252f0">'update Helper'!$M$267</definedName>
    <definedName name="_c1e3d9da_0aa8_4938_92fd_28ad968bd219">'Reference Records'!$C$27</definedName>
    <definedName name="_c27248fe_f16e_4b61_a04b_ff479754f280">'Reference Records'!$N$27</definedName>
    <definedName name="_c3255f12_430f_4fb3_ac0c_8418a8f0e420">'update Helper'!$R$2896</definedName>
    <definedName name="_c438aaa1_5662_46ac_b40e_79add5b8ca04">'Overview - Section A'!$C$17:$C$19</definedName>
    <definedName name="_c595585e_bd83_42a8_bd9d_c64c0f83e863">'update Helper'!$K$267</definedName>
    <definedName name="_c7239f8e_e972_4d0a_ac9c_049341720ca8">'Reference Records'!$H$192</definedName>
    <definedName name="_c811d6c6_78b7_497a_b948_2c1cd9a8b3fc">'Overview - Section A'!$Z$124</definedName>
    <definedName name="_c85353e2_2d93_4dee_b666_5a9395f33b51">'Overview - Section A'!$R$32</definedName>
    <definedName name="_c86327a0_756e_47de_9960_fc50ad31348d">'Reference records(soft deleted)'!$G$6</definedName>
    <definedName name="_c904cc72_9432_420c_93d8_3f5f3946db88">'Disaggregation Data'!$E$315</definedName>
    <definedName name="_c92aee90_9ab7_4c5b_90be_8f181e56b287">'Disaggregation Data'!$P$315</definedName>
    <definedName name="_c9d716d6_9c15_4e1f_ac60_1e26110a756c" comment="Display Map">'update Helper'!$A$266:$N$447</definedName>
    <definedName name="_ca4ab06b_5324_40ab_a432_1139d7cb9e9a">'Reference Records'!$D$192</definedName>
    <definedName name="_ca7e0af3_de36_4376_a561_5d3c742acebc">'update Helper'!$E$2896</definedName>
    <definedName name="_cbe75001_1b1f_4684_b8fc_dd97cd572e08">'Reference Records'!$M$192</definedName>
    <definedName name="_cc652be8_c987_44b0_a7b8_b38f24a774fd">'Account Role'!$A$3</definedName>
    <definedName name="_cd1a838d_967d_4df8_8959_da3e91d019c7">'update Helper'!$G$2896</definedName>
    <definedName name="_cd3a8228_a564_4a29_bb53_8d23f3af4f8d">'update Helper'!$C$3</definedName>
    <definedName name="_ced5d642_f902_4116_8eec_365c1d0be056">'update Helper'!$F$528</definedName>
    <definedName name="_cf337c18_bbd6_41ea_aeb8_6889dc68b851">'Reference records(soft deleted)'!$D$87</definedName>
    <definedName name="_cfcb4c96_c88e_4a35_803a_a889e9dd7d09" comment="Display Map">'Disaggregation Data'!$D$314:$Q$955</definedName>
    <definedName name="_d0af162b_ba98_4147_a6fc_7c6ff1aaf471">'Disaggregation Data'!$N$159</definedName>
    <definedName name="_d0c4e2e8_ed5b_4f3b_98ce_3538f040ffdd">'update Helper'!$D$43</definedName>
    <definedName name="_d0e6db09_4210_45d4_bc55_3258a5a7becd">'Reference Records'!$M$3:$M$24</definedName>
    <definedName name="_d1f82863_9819_4548_ae1f_e4cfe92df877">'update Helper'!$I$3062</definedName>
    <definedName name="_d20ef977_ad63_4fe7_833a_109f9e7d5f64">'update Helper'!$C$3</definedName>
    <definedName name="_d24f669d_00e1_4357_b04c_2c97c933dfec">'Overview - Section A'!$I$27</definedName>
    <definedName name="_d2c977b0_75f6_4448_a11e_cb59fc25d8cd" comment="Display Map">'update Helper'!$A$2:$AE$33</definedName>
    <definedName name="_d36529d4_505a_4d7c_b7e5_0c40a3c08386" comment="Display Map">'update Helper'!$A$3061:$I$4022</definedName>
    <definedName name="_d3c97d2c_8f02_48a8_9f55_0d54d7c5d330">'update Helper'!$N$2896</definedName>
    <definedName name="_d55f73ea_40dd_46a0_b46b_1f915532d5da" comment="Display Map">'Overview - Section A'!$A$18:$C$21</definedName>
    <definedName name="_d5b3d3f7_d9f7_482d_8e65_f987f575a087">'Reference Records'!$K$192</definedName>
    <definedName name="_d60e4a5c_ee1a_41d4_9548_2aede18bc786">'update Helper'!$D$1003</definedName>
    <definedName name="_d62bbd88_c7fe_4846_8ed9_76818d8946c8">'Reference Records'!$G$4</definedName>
    <definedName name="_d6de9e79_2a33_496b_9418_d4b52d6dcaf1">'Reference Records'!$B$26:$B$628</definedName>
    <definedName name="_d72177c9_4374_45f7_b5a5_f0b6222e9566">'Reference Records'!$E$4</definedName>
    <definedName name="_d791d01f_0186_458b_a5f9_af82787014ec">'Reference Records'!$L$88</definedName>
    <definedName name="_d8f3b323_94ba_4c08_b760_0447353ff6ee">'Reference Records'!$D$4</definedName>
    <definedName name="_d8fd749f_f8d5_4232_b69a_8b62a79328ac">'Overview - Section A'!$L$47</definedName>
    <definedName name="_d9225ee9_4711_40fa_bb89_6747c9d62bad">'Overview - Section A'!$G$60</definedName>
    <definedName name="_d93c4c11_f795_4c65_88eb_c43040eba27e" comment="Display Map">'Overview - Section A'!$A$101:$J$117</definedName>
    <definedName name="_d9ef6160_0711_4f41_8235_1e8bf2ea40ed" comment="Display Map">'update Helper'!$A$42:$T$223</definedName>
    <definedName name="_da2bea4d_26d3_4c8d_8f53_a31050d37481">'Reference Records'!$B$1:$B$748</definedName>
    <definedName name="_daae6694_aad0_48b5_b679_94999f870976">'Reference records(soft deleted)'!$G$143</definedName>
    <definedName name="_db4e2d75_1080_4f7d_bbb6_279cfc0396d6">'Reference Records'!$B$428</definedName>
    <definedName name="_db554049_85ce_4129_b1fc_a4968be4421e">'Reference records(soft deleted)'!$B$87:$B$138</definedName>
    <definedName name="_dbe1d51c_e6c5_4bb2_a9ef_e1ea7c79ffe4">'Disaggregation Data'!$L$159</definedName>
    <definedName name="_dbff71c9_84bd_4d68_a90c_c6d622652c3f">'update Helper'!$A$3</definedName>
    <definedName name="_dc2a7f24_ba27_4952_af95_2f5f2a447e95">'Disaggregation Data'!$F$315</definedName>
    <definedName name="_dc2cf935_92f5_45ba_a938_c1de3fbd4aec">'update Helper'!$I$2896</definedName>
    <definedName name="_dce503c9_6770_4063_b9a4_70c4486bab14" comment="Display Map">'Reference Records'!$A$512:$F$512</definedName>
    <definedName name="_dd1bf6a4_f36b_4539_baa8_c7f8ba7742c0">'update Helper'!$I$1307</definedName>
    <definedName name="_dd26d46b_6921_487e_9c78_867c8d059003">'update Helper'!$G$3</definedName>
    <definedName name="_dd59b4c1_0127_483f_94d6_e325d726d50b">'update Helper'!$J$1003</definedName>
    <definedName name="_dd5cbb23_508a_4a49_9ee3_de02706f296e">'Reference Records'!$B$88</definedName>
    <definedName name="_dd67381d_8fda_4031_b9f2_2b97d7ad93a0">'update Helper'!$J$1307</definedName>
    <definedName name="_dd82b481_1d70_467c_8a1e_607df41e8dcb">'Reference Records'!$D$1:$D$539</definedName>
    <definedName name="_de349e90_1cd6_4d52_ab09_1d344b331133">'update Helper'!$E$453</definedName>
    <definedName name="_de8310b5_e4d3_4b94_b262_26a424148ac2">#REF!</definedName>
    <definedName name="_e0977557_e4c5_4ef4_9559_6de2a1c73a50">'Overview - Section A'!$A$32</definedName>
    <definedName name="_e1b18bf0_c01a_41f9_9d0f_7ff41a4c9212">'Reference records(soft deleted)'!$B$28</definedName>
    <definedName name="_e2f4a6c9_b971_491e_a3b4_1227bbe38c83">'Reference records(soft deleted)'!$D$250</definedName>
    <definedName name="_e3593433_048f_4c41_83d3_f74a839a639f">'Disaggregation Records'!$E$83</definedName>
    <definedName name="_e3fd5f4b_01b0_4087_9e0e_fd0199800be6">'Overview - Section A'!$I$102</definedName>
    <definedName name="_e483748a_15bd_4bef_9378_0d3e824decd0">'Reference Records'!$L$192</definedName>
    <definedName name="_e4b1e3b9_6a2a_43ea_8ece_3c48082dabab">'Reference Records'!$C$192</definedName>
    <definedName name="_e4ebe33e_2d9b_4fab_b6ee_d23a5404bb5e" comment="Display Map">'update Helper'!$A$2895:$W$3056</definedName>
    <definedName name="_e4f7af1b_dca3_4c5d_8b1f_84c882749f97">'update Helper'!$L$1003</definedName>
    <definedName name="_e588dca0_ef3a_4dbf_9030_9759fda803aa">'update Helper'!$N$227</definedName>
    <definedName name="_e5e0e9c5_229b_41b4_a9b1_b5fd68f1f31c">'Disaggregation Records'!$B$3</definedName>
    <definedName name="_e6d95e65_44bf_4846_b78f_816689d6036f">'Disaggregation Records'!$B$83</definedName>
    <definedName name="_e713ed26_c546_4a6a_a951_288830ca8584">'update Helper'!$E$1307</definedName>
    <definedName name="_e7376eac_dd30_408a_a7f8_cf3a10067c4b">'update Helper'!$Q$3</definedName>
    <definedName name="_e774554e_fb6f_43f6_baf0_c17f0492b38e">'update Helper'!$K$43</definedName>
    <definedName name="_e8ee11f8_cd11_4941_8f4e_979bc348765e">'update Helper'!$G$1611</definedName>
    <definedName name="_ea0a6aff_050a_4e7c_bb67_efe887a6ff8c">'Reference Records'!$B$192:$B$192</definedName>
    <definedName name="_ea72c56b_d1e9_4c5d_ba1d_cc707a1c7a52">'Reference Records'!$C$428</definedName>
    <definedName name="_eabb6097_6646_49fe_9d42_cce1d696601b">'Overview - Section A'!$A$102</definedName>
    <definedName name="_eb865535_e191_4538_9980_a9996247965e">'Reference Records'!$A$26:$A$628</definedName>
    <definedName name="_eb8a8753_6636_439f_a556_a0393f6189cd">'Reference Records'!$B$26:$B$639</definedName>
    <definedName name="_eb940844_13db_4509_a1c4_ff0a8c68abd7">'Disaggregation Records'!$F$156</definedName>
    <definedName name="_ec317833_0071_4b2e_932c_62684bcb2384">'Disaggregation Data'!$M$315</definedName>
    <definedName name="_ecb887c9_f351_4ec2_95ef_320af361ff42" comment="Display Map">'update Helper'!$A$527:$T$996</definedName>
    <definedName name="_ed0f40d6_45a1_4737_908f_0fb3a2e7f6d7">'Reference Records'!$B$431</definedName>
    <definedName name="_ed5e1e73_96fb_4b40_8914_afa833caebc4">'Reference Records'!$P$27</definedName>
    <definedName name="_edacc156_af86_4bf8_90dd_b9a22fc62817">'Account Role'!$D$3</definedName>
    <definedName name="_ee5c2fa9_b685_4c9b_9614_9ed1cefc534c">'update Helper'!$T$528</definedName>
    <definedName name="_ef7c4cda_9fba_4d2c_b2ff_8d22eb3a22ac">'update Helper'!$I$453</definedName>
    <definedName name="_eff8d1d0_83be_4592_a0a6_0649571f1cd1">'update Helper'!$J$453</definedName>
    <definedName name="_f01d1473_f9e7_453c_95a5_ada7b865eabb">'Overview - Section A'!$H$78</definedName>
    <definedName name="_f0e38211_457f_4b07_8179_77ff6278dd2b">'update Helper'!$P$453</definedName>
    <definedName name="_f1c519aa_961b_42b6_a4f4_d9f451ddf622" comment="Display Map">'Overview - Section A'!$A$59:$H$72</definedName>
    <definedName name="_f2045cc5_f4d7_4b1d_8aeb_d44e7918995b">'Disaggregation Data'!$K$3</definedName>
    <definedName name="_f21c8db1_2baf_45f9_a210_b096e419362b">'Overview - Section A'!$E$11</definedName>
    <definedName name="_f25f0134_a952_4eb1_bd5d_4a854d76f318">#REF!</definedName>
    <definedName name="_f2e17f54_33e5_4fb3_8547_527de2a7d0ac">'Overview - Section A'!$C$19:$C$23</definedName>
    <definedName name="_f2fd8fcc_ffb4_4a74_add3_cc75b21c4f97">'update Helper'!$O$1003</definedName>
    <definedName name="_f3654abd_3fbc_41ef_a2e7_0d54ea478341" comment="Display Map">'Disaggregation Records'!$A$2:$H$79</definedName>
    <definedName name="_f49d11bf_1daa_488c_9d5d_301c7c8cbd52">'update Helper'!$T$453</definedName>
    <definedName name="_f686534e_e5b4_42a0_a0f2_a919117d0136">'update Helper'!$K$453</definedName>
    <definedName name="_f6cc91f7_16cd_4c28_ae23_539a66875c7e" comment="Display Map">'Reference Records'!$B$507:$J$507</definedName>
    <definedName name="_f8da171f_1ef1_4701_824e_35a927e47c50">'Overview - Section A'!$Q$124</definedName>
    <definedName name="_fa55b4d1_29cb_4b51_b2d0_8f7892f292e2">'update Helper'!$L$1307</definedName>
    <definedName name="_fb49a0f5_e5ed_4c10_a872_8ffb830e99f7">'update Helper'!$S$2896</definedName>
    <definedName name="_fbe591c5_4692_4048_ae00_0b5a533edf73">'update Helper'!$E$3</definedName>
    <definedName name="_fccfb4fa_0a30_41be_9334_74bc5779fbd3">'Reference Records'!$C$426:$C$427</definedName>
    <definedName name="_fd286dae_26cb_4aad_a5f8_c4e877a2e920" comment="Display Map">'Reference Records'!$A$252:$K$418</definedName>
    <definedName name="_fe1fc4f2_e57c_4328_acb9_6e901a0a2e1c">'Reference Records'!$G$192</definedName>
    <definedName name="_fe54ad0d_3f3e_403b_8c5a_3ee1b37390d2">'Disaggregation Data'!$Q$315</definedName>
    <definedName name="_feae67d4_d3a5_4668_9be8_07f6d66f3049">'update Helper'!$I$528</definedName>
    <definedName name="_ff85bbe8_e093_4bde_9ecb_ca8f310bef73">'Reference Records'!$B$192:$B$250</definedName>
    <definedName name="_xlnm._FilterDatabase" localSheetId="21" hidden="1">'Account Role'!$B:$B</definedName>
    <definedName name="_xlnm._FilterDatabase" localSheetId="1" hidden="1">'Overview - Section A'!$A$31:$R$40</definedName>
    <definedName name="_Hlk113980071" localSheetId="0">Instructions!$A$148</definedName>
    <definedName name="AccountRole" localSheetId="0">OFFSET(#REF!,1,0,MATCH("*",#REF!,-1)-1,1)</definedName>
    <definedName name="AccountRole">OFFSET('Account Role'!$C$3,1,0,MATCH("*",'Account Role'!$C$3:$C$34,-1)-1,1)</definedName>
    <definedName name="AIM_Coverage_Disaggregation__c.AIM_Year__c">apttusmetadata!$AG$2:$AG$30</definedName>
    <definedName name="AIM_Coverage_Indicator__c.AIM_Geographic_Coverage__c">apttusmetadata!$AB$2:$AB$6</definedName>
    <definedName name="AIM_Coverage_Indicator__c.AIM_Rating_Cumulation_Type__c">apttusmetadata!$AC$2:$AC$8</definedName>
    <definedName name="AIM_Coverage_Indicator__c.AIM_Year__c">apttusmetadata!$AD$2:$AD$30</definedName>
    <definedName name="AIM_Coverage_Indicator_Targets_Results__c.AIM_Due_for_Reporting__c">apttusmetadata!$AE$2:$AE$4</definedName>
    <definedName name="AIM_Coverage_Indicator_Targets_Results__c.AIM_Mark_if_target_is_TBD__c">apttusmetadata!$AF$2</definedName>
    <definedName name="AIM_Grant_Revision__c.aim_revision_type__c">apttusmetadata!$AP$2:$AP$5</definedName>
    <definedName name="AIM_Impact_Disaggregation__c.AIM_Baseline_Year__c">apttusmetadata!$AK$2:$AK$30</definedName>
    <definedName name="AIM_Impact_Indicator__c.AIM_Baseline_Year__c">apttusmetadata!$AH$2:$AH$30</definedName>
    <definedName name="AIM_Impact_Indicator_Targets_Results__c.AIM_Mark_if_target_is_TBD__c">apttusmetadata!$AJ$2</definedName>
    <definedName name="AIM_Impact_Indicator_Targets_Results__c.AIM_Year_of_Target__c">apttusmetadata!$AI$2:$AI$30</definedName>
    <definedName name="AIM_Impact_Outcome_References__c.AIM_Data_Type_Target__c">apttusmetadata!$AQ$2:$AQ$4</definedName>
    <definedName name="AIM_Impact_Outcome_References__c.Impact.AIM_Data_Type_Target__c">apttusmetadata!$AV$2:$AV$4</definedName>
    <definedName name="AIM_Impact_Outcome_References__c.Master.AIM_Data_Type_Target__c">apttusmetadata!$AX$2:$AX$5</definedName>
    <definedName name="AIM_Impact_Outcome_References__c.Outcome.AIM_Data_Type_Target__c">apttusmetadata!$AW$2:$AW$4</definedName>
    <definedName name="AIM_Module_Coverage_Interventio_Comp_Ref__c.Coverage.AIM_Data_Type__c">apttusmetadata!$AY$2:$AY$5</definedName>
    <definedName name="AIM_Module_Coverage_Interventio_Comp_Ref__c.Coverage.L1FR_Cumulation_Type__c">apttusmetadata!$AU$2:$AU$4</definedName>
    <definedName name="AIM_Module_Coverage_Interventio_Comp_Ref__c.Coverage_by_Population.AIM_Data_Type__c">apttusmetadata!$AZ$2:$AZ$5</definedName>
    <definedName name="AIM_Module_Coverage_Interventio_Comp_Ref__c.Coverage_by_Population.L1FR_Cumulation_Type__c">apttusmetadata!$AS$2:$AS$4</definedName>
    <definedName name="AIM_Module_Coverage_Interventio_Comp_Ref__c.Intervention.AIM_Data_Type__c">apttusmetadata!$BA$2:$BA$5</definedName>
    <definedName name="AIM_Module_Coverage_Interventio_Comp_Ref__c.Intervention.L1FR_Cumulation_Type__c">apttusmetadata!$AV$2:$AV$4</definedName>
    <definedName name="AIM_Module_Coverage_Interventio_Comp_Ref__c.Intervention_By_Population.AIM_Data_Type__c">apttusmetadata!$BB$2:$BB$5</definedName>
    <definedName name="AIM_Module_Coverage_Interventio_Comp_Ref__c.Intervention_By_Population.L1FR_Cumulation_Type__c">apttusmetadata!$AT$2:$AT$4</definedName>
    <definedName name="AIM_Module_Coverage_Interventio_Comp_Ref__c.L1FR_Cumulation_Type__c">apttusmetadata!$AR$2:$AR$4</definedName>
    <definedName name="AIM_Module_Coverage_Interventio_Comp_Ref__c.Master.L1FR_Cumulation_Type__c">apttusmetadata!$AX$2:$AX$4</definedName>
    <definedName name="AIM_Module_Coverage_Interventio_Comp_Ref__c.Module.L1FR_Cumulation_Type__c">apttusmetadata!$AW$2:$AW$4</definedName>
    <definedName name="AIM_Outcome_Disaggregation__c.AIM_Baseline_Year__c">apttusmetadata!$AM$2:$AM$30</definedName>
    <definedName name="AIM_Outcome_Indicator__c.AIM_Baseline_Year__c">apttusmetadata!$AL$2:$AL$30</definedName>
    <definedName name="AIM_Outcome_Indicator_Targets_Result__c.AIM_Mark_if_target_is_TBD__c">apttusmetadata!$AO$2</definedName>
    <definedName name="AIM_Outcome_Indicator_Targets_Result__c.AIM_Year_of_Target__c">apttusmetadata!$AN$2:$AN$30</definedName>
    <definedName name="AIM_Reporting_Period__c.AIM_Report_Period_Category__c">apttusmetadata!$AA$2</definedName>
    <definedName name="baseline_validation" localSheetId="0">OFFSET(#REF!,1,0,SUMPRODUCT((Instructions!Baseline_years_list&lt;&gt;"")+0)-1,1)</definedName>
    <definedName name="baseline_validation">OFFSET(Setup!$C$31,1,0,SUMPRODUCT((Baseline_years_list&lt;&gt;"")+0)-1,1)</definedName>
    <definedName name="Baseline_years_list" localSheetId="0">#REF!</definedName>
    <definedName name="Baseline_years_list">Setup!$C$31:$C$74</definedName>
    <definedName name="Country" localSheetId="0">IF(#REF!="Funding Request",IF(#REF!&lt;&gt;"",#REF!,#REF!),OFFSET(#REF!,1,0,MATCH(" ",#REF!,-1)-1,1))</definedName>
    <definedName name="Country">IF('Overview - Section A'!$AN$5="Funding Request",IF('Reference Records'!$B$427&lt;&gt;"",'Reference Records'!$B$427,'Reference Records'!$A$1),OFFSET('Reference Records'!$A$498,1,0,MATCH(" ",'Reference Records'!$A$498:$A$499,-1)-1,1))</definedName>
    <definedName name="Coverage_Indicator_Disaggregation">'update Helper'!$A$1609</definedName>
    <definedName name="Coverage_Indicator_Disaggregation_new">' Disaggregation - Section E '!$B$619</definedName>
    <definedName name="Coverage_Indicator_Targets__section_D">'update Helper'!$A$526</definedName>
    <definedName name="Coverage_indicators__secton_D">'update Helper'!$A$451</definedName>
    <definedName name="Coverage_Module" localSheetId="0">OFFSET(#REF!,1,0,MATCH(" ",#REF!,-1)-1,1)</definedName>
    <definedName name="Coverage_Module">OFFSET('Overview - Section A'!$B$102,1,0,MATCH(" ",'Overview - Section A'!$B$102:$B$118,-1)-1,1)</definedName>
    <definedName name="CoverageColumn" localSheetId="0">#REF!</definedName>
    <definedName name="CoverageColumn">'Reference Records'!$A$88:$A$189</definedName>
    <definedName name="CoverageIndicator" localSheetId="0">OFFSET(#REF!,1,0,MATCH("*",#REF!,-1)-1,1)</definedName>
    <definedName name="CoverageIndicator">OFFSET('Reference Records'!$E$88,1,0,MATCH("*",'Reference Records'!$E$88:$E$189,-1)-1,1)</definedName>
    <definedName name="CoverageStart" localSheetId="0">[1]!Coverage[Module]</definedName>
    <definedName name="CoverageStart">'Reference Records'!$A$88:$A$88</definedName>
    <definedName name="_xlnm.Extract" localSheetId="21">'Account Role'!$C:$C</definedName>
    <definedName name="FundingRequestPR" localSheetId="0">IF(#REF!="Funding Request",IF(#REF!&lt;&gt;"",OFFSET(#REF!,1,0,MATCH(" ",#REF!,-1)-1,1),OFFSET(#REF!,1,0,MATCH(" ",#REF!,-1)-1,1)),#REF!)</definedName>
    <definedName name="FundingRequestPR">IF('Overview - Section A'!$AN$5="Funding Request",IF('Reference Records'!$C$427&lt;&gt;"",OFFSET('Account Role'!$C$3,1,0,MATCH(" ",'Account Role'!$C$3:$C$34,-1)-1,1),OFFSET('Account Role'!$C$42,1,0,MATCH(" ",'Account Role'!$C$42:$C$329,-1)-1,1)),'Overview - Section A'!$AN$6)</definedName>
    <definedName name="Impact_indicator___section_B">'update Helper'!$A$1</definedName>
    <definedName name="Impact_Indicator_Disaggregation">'update Helper'!$A$1305</definedName>
    <definedName name="Impact_Indicator_Disaggregation_new">' Disaggregation - Section E '!$B$8</definedName>
    <definedName name="Impact_indicator_targets___section_B">'update Helper'!$A$41</definedName>
    <definedName name="ImpactIndicator" localSheetId="0">OFFSET(#REF!,1,0,MATCH(" ",LEFT(#REF!,255),-1)-1,1)</definedName>
    <definedName name="ImpactIndicator">OFFSET('Reference Records'!$I$4,1,0,MATCH(" ",LEFT('Reference Records'!$I$4:$I$24,255),-1)-1,1)</definedName>
    <definedName name="Instruction__Section_A" localSheetId="0">Instructions!$A$31</definedName>
    <definedName name="Instruction__Section_A">#REF!</definedName>
    <definedName name="InstructionA" localSheetId="0">Instructions!$A$37</definedName>
    <definedName name="InstructionA">#REF!</definedName>
    <definedName name="InstructionB" localSheetId="0">Instructions!#REF!</definedName>
    <definedName name="InstructionB">#REF!</definedName>
    <definedName name="InstructionC" localSheetId="0">Instructions!$A$144</definedName>
    <definedName name="InstructionC">#REF!</definedName>
    <definedName name="InstructionD" localSheetId="0">Instructions!$A$194</definedName>
    <definedName name="InstructionD">#REF!</definedName>
    <definedName name="InstructionE" localSheetId="0">Instructions!$A$261</definedName>
    <definedName name="InstructionE">#REF!</definedName>
    <definedName name="InstructionsSectionF" localSheetId="0">Instructions!$A$278</definedName>
    <definedName name="InstructionsSectionF">#REF!</definedName>
    <definedName name="Intervention_WPTM" localSheetId="0">OFFSET(#REF!,1,0,MATCH("*",#REF!,-1)-1,1)</definedName>
    <definedName name="Intervention_WPTM">OFFSET('Overview - Section A'!$W$124,1,0,MATCH("*",'Overview - Section A'!$W$124:$W$176,-1)-1,1)</definedName>
    <definedName name="KeyActivityColumn" localSheetId="0">#REF!</definedName>
    <definedName name="KeyActivityColumn">'Overview - Section A'!$AD$124:$AD$176</definedName>
    <definedName name="KeyActivityStart" localSheetId="0">#REF!</definedName>
    <definedName name="KeyActivityStart">'Overview - Section A'!$AD$124:$AD$124</definedName>
    <definedName name="LangOffset">#REF!</definedName>
    <definedName name="Language">'Overview - Section A'!$T$3</definedName>
    <definedName name="List" localSheetId="0">#REF!</definedName>
    <definedName name="List">'Account Role'!$B$2:$B$39</definedName>
    <definedName name="MergedAndDistinctPR">IF(SUMPRODUCT(--(Setup!$I$15:$I$41&lt;&gt;""))=0,INDIRECT("FAKE RANGE"),Setup!$I$15:INDEX(Setup!$I$15:$I$41,SUMPRODUCT(--(Setup!$I$15:$I$41&lt;&gt;""))))</definedName>
    <definedName name="Module_List" localSheetId="0">OFFSET(#REF!,1,0,MATCH(" ",LEFT(#REF!,255),-1)-1,1)</definedName>
    <definedName name="Module_List">OFFSET('Reference Records'!$J$192,1,0,MATCH(" ",LEFT('Reference Records'!$J$192:$J$250,255),-1)-1,1)</definedName>
    <definedName name="ModuleColumn" localSheetId="0">[1]!Intervention[Module]</definedName>
    <definedName name="ModuleColumn">'Reference Records'!$A$253:$A$419</definedName>
    <definedName name="Modules" localSheetId="0">OFFSET(#REF!,1,0,MATCH(" ",#REF!,-1)-1,1)</definedName>
    <definedName name="Modules">OFFSET('Overview - Section A'!$B$102,1,0,MATCH(" ",'Overview - Section A'!$B$102:$B$118,-1)-1,1)</definedName>
    <definedName name="ModuleStart" localSheetId="0">#REF!</definedName>
    <definedName name="ModuleStart">'Reference Records'!$A$253</definedName>
    <definedName name="Outcome_Indicator_Disaggregation">'update Helper'!$A$1001</definedName>
    <definedName name="Outcome_Indicator_Disaggregation_new">' Disaggregation - Section E '!$B$314</definedName>
    <definedName name="Outcome_indicators__section_C">'update Helper'!$A$225</definedName>
    <definedName name="Outcome_indicators_Targets__section_C">'update Helper'!$A$265</definedName>
    <definedName name="OutcomeIndicator" localSheetId="0">OFFSET(#REF!,1,0,MATCH(" ",LEFT(#REF!,255),-1)-1,1)</definedName>
    <definedName name="OutcomeIndicator">OFFSET('Reference Records'!$I$27,1,0,MATCH(" ",LEFT('Reference Records'!$I$27:$I$85,255),-1)-1,1)</definedName>
    <definedName name="PICKLISTKEYVALUEPAIR">apttusmetadata!$Y$2:$Z$7</definedName>
    <definedName name="population_by_coverage_reimport">'Reference Records'!$E$512:$H$513</definedName>
    <definedName name="Population_by_intervention" localSheetId="0">#REF!</definedName>
    <definedName name="Population_by_intervention">'Reference Records'!$A$507:$F$508</definedName>
    <definedName name="Population_by_Intervention_name">'Reference Records'!$E$507:$J$508</definedName>
    <definedName name="PopulationByCoverage" localSheetId="0">#REF!</definedName>
    <definedName name="PopulationByCoverage">'Reference Records'!$A$512:$F$513</definedName>
    <definedName name="_xlnm.Print_Area" localSheetId="0">Instructions!$A$1:$B$293</definedName>
    <definedName name="_xlnm.Print_Area" localSheetId="16">'Print - Coverage'!$A:$K</definedName>
    <definedName name="_xlnm.Print_Area" localSheetId="14">'Print - Goals &amp; Impact'!$A:$G</definedName>
    <definedName name="_xlnm.Print_Area" localSheetId="15">'Print - Objectives &amp; Outcome'!$A:$G</definedName>
    <definedName name="_xlnm.Print_Area" localSheetId="13">'Print - Summary'!$A:$G</definedName>
    <definedName name="_xlnm.Print_Area" localSheetId="17">'Print - WPTM'!$A:$I</definedName>
    <definedName name="Print_Coverage">'Print - Coverage'!$A$1</definedName>
    <definedName name="Print_Summary">'Print - Summary'!$A$1</definedName>
    <definedName name="reimportCoverageIndicatorDispaly">'update Helper'!$A$452:$T$453</definedName>
    <definedName name="reimportImpactIndicatorDispaly">'update Helper'!$A$2:$N$3</definedName>
    <definedName name="reimportimpactindicatortargetsDispaly">'update Helper'!$A$42:$O$43</definedName>
    <definedName name="reimportOutcomeindicatorDispaly">'update Helper'!$A$226:$O$227</definedName>
    <definedName name="reimportOutcomeTargetDisplay">'update Helper'!$A$266:$N$267</definedName>
    <definedName name="ResponsiblePR" localSheetId="0">IF(#REF!="Funding Request",OFFSET(#REF!,1,0,MATCH(" ",#REF!,-1)-1,1),OFFSET(#REF!,1,0,MATCH(" ",#REF!,-1)-1,1))</definedName>
    <definedName name="ResponsiblePR">IF('Overview - Section A'!$AN$5="Funding Request",OFFSET('Overview - Section A'!$M$32,1,0,MATCH(" ",'Overview - Section A'!$M$32:$M$41,-1)-1,1),OFFSET('Overview - Section A'!$E$27,1,0,MATCH(" ",'Overview - Section A'!$E$27:$E$29,-1)-1,1))</definedName>
    <definedName name="SectionAPopulation" localSheetId="0">#REF!</definedName>
    <definedName name="SectionAPopulation">'Overview - Section A'!$V$124:$V$175</definedName>
    <definedName name="SectionATab">'Overview - Section A'!$V$13</definedName>
    <definedName name="SectionAUnique">Setup!$L$1:$L$50</definedName>
    <definedName name="SectionBTab">'Impact Indicators - Section B '!$B$4</definedName>
    <definedName name="SectionBTable">'Impact Indicators - Section B '!$A$9:$AA$10</definedName>
    <definedName name="SectionCTab">'Outcome Indicators - Section C '!$B$4</definedName>
    <definedName name="SectionCTable">'Outcome Indicators - Section C '!$A$9:$AA$10</definedName>
    <definedName name="SectionDTab">'Coverage Indicators - Section D'!$B$4</definedName>
    <definedName name="SectionDTable">'Coverage Indicators - Section D'!$A$9:$AL$10</definedName>
    <definedName name="SectionETab">' Disaggregation - Section E '!$F$5</definedName>
    <definedName name="SectionETableBottom">' Disaggregation - Section E '!$B$621:$J$622</definedName>
    <definedName name="SectionETableMiddle">' Disaggregation - Section E '!$B$316:$J$317</definedName>
    <definedName name="SectionETableTop">' Disaggregation - Section E '!$B$10:$J$11</definedName>
    <definedName name="SectionFTab">'WPTM - Section F'!$B$5</definedName>
    <definedName name="Subset" localSheetId="0">OFFSET(#REF!,1,0,MATCH(" ",#REF!,-1)-1,1)</definedName>
    <definedName name="Subset">OFFSET(#REF!,1,0,MATCH(" ",#REF!,-1)-1,1)</definedName>
    <definedName name="WPTM____Section_F">'update Helper'!$A$2894</definedName>
    <definedName name="WPTM_Modules">OFFSET('Overview - Section A'!$B$124,1,0,MATCH(" ",'Overview - Section A'!$B$124:$B$175,-1)-1,1)</definedName>
    <definedName name="WPTM_Results">'update Helper'!$A$3060</definedName>
    <definedName name="XAE_Invalid_PLData">apttusmetadata!$B$1</definedName>
    <definedName name="XAuthorInvalidPicklistData" localSheetId="0">#REF!</definedName>
    <definedName name="XAuthorInvalidPicklistData">apttusmetadata!$B$1</definedName>
  </definedNames>
  <calcPr calcId="191028"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147" i="32" l="1"/>
  <c r="G2149" i="32"/>
  <c r="G2153" i="32"/>
  <c r="R2298" i="32" a="1"/>
  <c r="R2298" i="32" s="1"/>
  <c r="C2297" i="32"/>
  <c r="R2296" i="32" a="1"/>
  <c r="R2296" i="32" s="1"/>
  <c r="C2295" i="32"/>
  <c r="R2294" i="32" a="1"/>
  <c r="R2294" i="32" s="1"/>
  <c r="C2293" i="32"/>
  <c r="R2292" i="32" a="1"/>
  <c r="R2292" i="32" s="1"/>
  <c r="C2291" i="32"/>
  <c r="R2290" i="32" a="1"/>
  <c r="R2290" i="32" s="1"/>
  <c r="C2289" i="32"/>
  <c r="R2288" i="32" a="1"/>
  <c r="R2288" i="32" s="1"/>
  <c r="C2287" i="32"/>
  <c r="R2286" i="32" a="1"/>
  <c r="R2286" i="32" s="1"/>
  <c r="C2285" i="32"/>
  <c r="R2284" i="32" a="1"/>
  <c r="R2284" i="32" s="1"/>
  <c r="C2283" i="32"/>
  <c r="R2282" i="32" a="1"/>
  <c r="R2282" i="32" s="1"/>
  <c r="C2281" i="32"/>
  <c r="R2280" i="32" a="1"/>
  <c r="R2280" i="32" s="1"/>
  <c r="C2279" i="32"/>
  <c r="R2278" i="32" a="1"/>
  <c r="R2278" i="32" s="1"/>
  <c r="C2277" i="32"/>
  <c r="R2276" i="32" a="1"/>
  <c r="R2276" i="32" s="1"/>
  <c r="C2275" i="32"/>
  <c r="R2274" i="32" a="1"/>
  <c r="R2274" i="32" s="1"/>
  <c r="C2273" i="32"/>
  <c r="R2272" i="32" a="1"/>
  <c r="R2272" i="32" s="1"/>
  <c r="C2271" i="32"/>
  <c r="R2270" i="32" a="1"/>
  <c r="R2270" i="32" s="1"/>
  <c r="C2269" i="32"/>
  <c r="R2268" i="32" a="1"/>
  <c r="R2268" i="32" s="1"/>
  <c r="C2267" i="32"/>
  <c r="R2266" i="32" a="1"/>
  <c r="R2266" i="32" s="1"/>
  <c r="C2265" i="32"/>
  <c r="R2264" i="32" a="1"/>
  <c r="R2264" i="32" s="1"/>
  <c r="C2263" i="32"/>
  <c r="R2262" i="32" a="1"/>
  <c r="R2262" i="32" s="1"/>
  <c r="C2261" i="32"/>
  <c r="R2260" i="32" a="1"/>
  <c r="R2260" i="32" s="1"/>
  <c r="C2259" i="32"/>
  <c r="R2258" i="32" a="1"/>
  <c r="R2258" i="32" s="1"/>
  <c r="C2257" i="32"/>
  <c r="R2256" i="32" a="1"/>
  <c r="R2256" i="32" s="1"/>
  <c r="C2255" i="32"/>
  <c r="R2254" i="32" a="1"/>
  <c r="R2254" i="32" s="1"/>
  <c r="C2253" i="32"/>
  <c r="R2252" i="32" a="1"/>
  <c r="R2252" i="32" s="1"/>
  <c r="C2251" i="32"/>
  <c r="R2250" i="32" a="1"/>
  <c r="R2250" i="32" s="1"/>
  <c r="C2249" i="32"/>
  <c r="R2248" i="32" a="1"/>
  <c r="R2248" i="32" s="1"/>
  <c r="C2247" i="32"/>
  <c r="R2246" i="32" a="1"/>
  <c r="R2246" i="32" s="1"/>
  <c r="C2245" i="32"/>
  <c r="R2244" i="32" a="1"/>
  <c r="R2244" i="32" s="1"/>
  <c r="C2243" i="32"/>
  <c r="R2242" i="32" a="1"/>
  <c r="R2242" i="32" s="1"/>
  <c r="C2241" i="32"/>
  <c r="R2240" i="32" a="1"/>
  <c r="R2240" i="32" s="1"/>
  <c r="C2239" i="32"/>
  <c r="R2238" i="32" a="1"/>
  <c r="R2238" i="32" s="1"/>
  <c r="C2237" i="32"/>
  <c r="R2236" i="32" a="1"/>
  <c r="R2236" i="32" s="1"/>
  <c r="C2235" i="32"/>
  <c r="R2234" i="32" a="1"/>
  <c r="R2234" i="32" s="1"/>
  <c r="C2233" i="32"/>
  <c r="R2232" i="32" a="1"/>
  <c r="R2232" i="32" s="1"/>
  <c r="C2231" i="32"/>
  <c r="R2230" i="32" a="1"/>
  <c r="R2230" i="32" s="1"/>
  <c r="C2229" i="32"/>
  <c r="R2228" i="32" a="1"/>
  <c r="R2228" i="32" s="1"/>
  <c r="C2227" i="32"/>
  <c r="R2226" i="32" a="1"/>
  <c r="R2226" i="32" s="1"/>
  <c r="C2225" i="32"/>
  <c r="R2224" i="32" a="1"/>
  <c r="R2224" i="32" s="1"/>
  <c r="C2223" i="32"/>
  <c r="R2222" i="32" a="1"/>
  <c r="R2222" i="32" s="1"/>
  <c r="C2221" i="32"/>
  <c r="R2220" i="32" a="1"/>
  <c r="R2220" i="32" s="1"/>
  <c r="C2219" i="32"/>
  <c r="R2218" i="32" a="1"/>
  <c r="R2218" i="32" s="1"/>
  <c r="C2217" i="32"/>
  <c r="R2216" i="32" a="1"/>
  <c r="R2216" i="32" s="1"/>
  <c r="C2215" i="32"/>
  <c r="R2214" i="32" a="1"/>
  <c r="R2214" i="32" s="1"/>
  <c r="C2213" i="32"/>
  <c r="R2212" i="32" a="1"/>
  <c r="R2212" i="32" s="1"/>
  <c r="C2211" i="32"/>
  <c r="R2210" i="32" a="1"/>
  <c r="R2210" i="32" s="1"/>
  <c r="C2209" i="32"/>
  <c r="R2208" i="32" a="1"/>
  <c r="R2208" i="32" s="1"/>
  <c r="C2207" i="32"/>
  <c r="R2206" i="32" a="1"/>
  <c r="R2206" i="32" s="1"/>
  <c r="C2205" i="32"/>
  <c r="R2204" i="32" a="1"/>
  <c r="R2204" i="32" s="1"/>
  <c r="C2203" i="32"/>
  <c r="R2202" i="32" a="1"/>
  <c r="R2202" i="32" s="1"/>
  <c r="C2201" i="32"/>
  <c r="R2200" i="32" a="1"/>
  <c r="R2200" i="32" s="1"/>
  <c r="C2199" i="32"/>
  <c r="R2198" i="32" a="1"/>
  <c r="R2198" i="32" s="1"/>
  <c r="C2197" i="32"/>
  <c r="R2196" i="32" a="1"/>
  <c r="R2196" i="32" s="1"/>
  <c r="C2195" i="32"/>
  <c r="R2194" i="32" a="1"/>
  <c r="R2194" i="32" s="1"/>
  <c r="C2193" i="32"/>
  <c r="R2192" i="32" a="1"/>
  <c r="R2192" i="32" s="1"/>
  <c r="C2191" i="32"/>
  <c r="R2190" i="32" a="1"/>
  <c r="R2190" i="32" s="1"/>
  <c r="C2189" i="32"/>
  <c r="R2188" i="32" a="1"/>
  <c r="R2188" i="32" s="1"/>
  <c r="C2187" i="32"/>
  <c r="R2186" i="32" a="1"/>
  <c r="R2186" i="32" s="1"/>
  <c r="C2185" i="32"/>
  <c r="R2184" i="32" a="1"/>
  <c r="R2184" i="32" s="1"/>
  <c r="C2183" i="32"/>
  <c r="R2182" i="32" a="1"/>
  <c r="R2182" i="32" s="1"/>
  <c r="C2181" i="32"/>
  <c r="R2180" i="32" a="1"/>
  <c r="R2180" i="32" s="1"/>
  <c r="C2179" i="32"/>
  <c r="R2178" i="32" a="1"/>
  <c r="R2178" i="32" s="1"/>
  <c r="C2177" i="32"/>
  <c r="R2176" i="32" a="1"/>
  <c r="R2176" i="32" s="1"/>
  <c r="C2175" i="32"/>
  <c r="R2174" i="32" a="1"/>
  <c r="R2174" i="32" s="1"/>
  <c r="C2173" i="32"/>
  <c r="R2172" i="32" a="1"/>
  <c r="R2172" i="32" s="1"/>
  <c r="C2171" i="32"/>
  <c r="R2170" i="32" a="1"/>
  <c r="R2170" i="32" s="1"/>
  <c r="C2169" i="32"/>
  <c r="R2168" i="32" a="1"/>
  <c r="R2168" i="32" s="1"/>
  <c r="C2167" i="32"/>
  <c r="R2166" i="32" a="1"/>
  <c r="R2166" i="32" s="1"/>
  <c r="C2165" i="32"/>
  <c r="R2164" i="32" a="1"/>
  <c r="R2164" i="32" s="1"/>
  <c r="C2163" i="32"/>
  <c r="R2162" i="32" a="1"/>
  <c r="R2162" i="32" s="1"/>
  <c r="C2161" i="32"/>
  <c r="R2160" i="32" a="1"/>
  <c r="R2160" i="32" s="1"/>
  <c r="C2159" i="32"/>
  <c r="R2158" i="32" a="1"/>
  <c r="R2158" i="32" s="1"/>
  <c r="C2157" i="32"/>
  <c r="R2156" i="32" a="1"/>
  <c r="R2156" i="32" s="1"/>
  <c r="C2155" i="32"/>
  <c r="R2154" i="32" a="1"/>
  <c r="R2154" i="32" s="1"/>
  <c r="C2153" i="32"/>
  <c r="R2152" i="32" a="1"/>
  <c r="R2152" i="32" s="1"/>
  <c r="C2151" i="32"/>
  <c r="R2150" i="32" a="1"/>
  <c r="R2150" i="32" s="1"/>
  <c r="C2149" i="32"/>
  <c r="R2148" i="32" a="1"/>
  <c r="R2148" i="32" s="1"/>
  <c r="C2147" i="32"/>
  <c r="R2146" i="32" a="1"/>
  <c r="R2146" i="32" s="1"/>
  <c r="C2145" i="32"/>
  <c r="R2144" i="32" a="1"/>
  <c r="R2144" i="32" s="1"/>
  <c r="C2143" i="32"/>
  <c r="R2142" i="32" a="1"/>
  <c r="R2142" i="32" s="1"/>
  <c r="C2141" i="32"/>
  <c r="R2140" i="32" a="1"/>
  <c r="R2140" i="32" s="1"/>
  <c r="C2139" i="32"/>
  <c r="R2138" i="32" a="1"/>
  <c r="R2138" i="32" s="1"/>
  <c r="C2137" i="32"/>
  <c r="R2136" i="32" a="1"/>
  <c r="R2136" i="32" s="1"/>
  <c r="C2135" i="32"/>
  <c r="R2134" i="32" a="1"/>
  <c r="R2134" i="32" s="1"/>
  <c r="C2133" i="32"/>
  <c r="R2132" i="32" a="1"/>
  <c r="R2132" i="32" s="1"/>
  <c r="C2131" i="32"/>
  <c r="R2130" i="32" a="1"/>
  <c r="R2130" i="32" s="1"/>
  <c r="C2129" i="32"/>
  <c r="R2128" i="32" a="1"/>
  <c r="R2128" i="32" s="1"/>
  <c r="C2127" i="32"/>
  <c r="R2126" i="32" a="1"/>
  <c r="R2126" i="32" s="1"/>
  <c r="C2125" i="32"/>
  <c r="R2124" i="32" a="1"/>
  <c r="R2124" i="32" s="1"/>
  <c r="C2123" i="32"/>
  <c r="R2122" i="32" a="1"/>
  <c r="R2122" i="32" s="1"/>
  <c r="C2121" i="32"/>
  <c r="R2120" i="32" a="1"/>
  <c r="R2120" i="32" s="1"/>
  <c r="C2119" i="32"/>
  <c r="R2118" i="32" a="1"/>
  <c r="R2118" i="32" s="1"/>
  <c r="C2117" i="32"/>
  <c r="R2116" i="32" a="1"/>
  <c r="R2116" i="32" s="1"/>
  <c r="C2115" i="32"/>
  <c r="R2114" i="32" a="1"/>
  <c r="R2114" i="32" s="1"/>
  <c r="C2113" i="32"/>
  <c r="R2112" i="32" a="1"/>
  <c r="R2112" i="32" s="1"/>
  <c r="C2111" i="32"/>
  <c r="R2110" i="32" a="1"/>
  <c r="R2110" i="32" s="1"/>
  <c r="C2109" i="32"/>
  <c r="R2108" i="32" a="1"/>
  <c r="R2108" i="32" s="1"/>
  <c r="C2107" i="32"/>
  <c r="R2106" i="32" a="1"/>
  <c r="R2106" i="32" s="1"/>
  <c r="C2105" i="32"/>
  <c r="R2104" i="32" a="1"/>
  <c r="R2104" i="32" s="1"/>
  <c r="C2103" i="32"/>
  <c r="R2102" i="32" a="1"/>
  <c r="R2102" i="32" s="1"/>
  <c r="C2101" i="32"/>
  <c r="R2100" i="32" a="1"/>
  <c r="R2100" i="32" s="1"/>
  <c r="C2099" i="32"/>
  <c r="R2098" i="32" a="1"/>
  <c r="R2098" i="32" s="1"/>
  <c r="C2097" i="32"/>
  <c r="R2096" i="32" a="1"/>
  <c r="R2096" i="32" s="1"/>
  <c r="C2095" i="32"/>
  <c r="R2094" i="32" a="1"/>
  <c r="R2094" i="32" s="1"/>
  <c r="C2093" i="32"/>
  <c r="R2092" i="32" a="1"/>
  <c r="R2092" i="32" s="1"/>
  <c r="C2091" i="32"/>
  <c r="R2090" i="32" a="1"/>
  <c r="R2090" i="32" s="1"/>
  <c r="C2089" i="32"/>
  <c r="R2088" i="32" a="1"/>
  <c r="R2088" i="32" s="1"/>
  <c r="C2087" i="32"/>
  <c r="R2086" i="32" a="1"/>
  <c r="R2086" i="32" s="1"/>
  <c r="C2085" i="32"/>
  <c r="R2084" i="32" a="1"/>
  <c r="R2084" i="32" s="1"/>
  <c r="C2083" i="32"/>
  <c r="R2082" i="32" a="1"/>
  <c r="R2082" i="32" s="1"/>
  <c r="C2081" i="32"/>
  <c r="R2080" i="32" a="1"/>
  <c r="R2080" i="32" s="1"/>
  <c r="C2079" i="32"/>
  <c r="R2078" i="32" a="1"/>
  <c r="R2078" i="32" s="1"/>
  <c r="C2077" i="32"/>
  <c r="R2076" i="32" a="1"/>
  <c r="R2076" i="32" s="1"/>
  <c r="C2075" i="32"/>
  <c r="R2074" i="32" a="1"/>
  <c r="R2074" i="32" s="1"/>
  <c r="C2073" i="32"/>
  <c r="R2072" i="32" a="1"/>
  <c r="R2072" i="32" s="1"/>
  <c r="C2071" i="32"/>
  <c r="R2070" i="32" a="1"/>
  <c r="R2070" i="32" s="1"/>
  <c r="C2069" i="32"/>
  <c r="R2068" i="32" a="1"/>
  <c r="R2068" i="32" s="1"/>
  <c r="C2067" i="32"/>
  <c r="R2066" i="32" a="1"/>
  <c r="R2066" i="32" s="1"/>
  <c r="C2065" i="32"/>
  <c r="R2064" i="32" a="1"/>
  <c r="R2064" i="32" s="1"/>
  <c r="C2063" i="32"/>
  <c r="R2062" i="32" a="1"/>
  <c r="R2062" i="32" s="1"/>
  <c r="C2061" i="32"/>
  <c r="R2060" i="32" a="1"/>
  <c r="R2060" i="32" s="1"/>
  <c r="C2059" i="32"/>
  <c r="R2058" i="32" a="1"/>
  <c r="R2058" i="32" s="1"/>
  <c r="C2057" i="32"/>
  <c r="R2056" i="32" a="1"/>
  <c r="R2056" i="32" s="1"/>
  <c r="C2055" i="32"/>
  <c r="R2054" i="32" a="1"/>
  <c r="R2054" i="32" s="1"/>
  <c r="C2053" i="32"/>
  <c r="R2052" i="32" a="1"/>
  <c r="R2052" i="32" s="1"/>
  <c r="C2051" i="32"/>
  <c r="R2050" i="32" a="1"/>
  <c r="R2050" i="32" s="1"/>
  <c r="C2049" i="32"/>
  <c r="R2048" i="32" a="1"/>
  <c r="R2048" i="32" s="1"/>
  <c r="C2047" i="32"/>
  <c r="R2046" i="32" a="1"/>
  <c r="R2046" i="32" s="1"/>
  <c r="C2045" i="32"/>
  <c r="R2044" i="32" a="1"/>
  <c r="R2044" i="32" s="1"/>
  <c r="C2043" i="32"/>
  <c r="R2042" i="32" a="1"/>
  <c r="R2042" i="32" s="1"/>
  <c r="C2041" i="32"/>
  <c r="R2040" i="32" a="1"/>
  <c r="R2040" i="32" s="1"/>
  <c r="C2039" i="32"/>
  <c r="R2038" i="32" a="1"/>
  <c r="R2038" i="32" s="1"/>
  <c r="C2037" i="32"/>
  <c r="R2036" i="32" a="1"/>
  <c r="R2036" i="32" s="1"/>
  <c r="C2035" i="32"/>
  <c r="R2034" i="32" a="1"/>
  <c r="R2034" i="32" s="1"/>
  <c r="C2033" i="32"/>
  <c r="R2032" i="32" a="1"/>
  <c r="R2032" i="32" s="1"/>
  <c r="C2031" i="32"/>
  <c r="R2030" i="32" a="1"/>
  <c r="R2030" i="32" s="1"/>
  <c r="C2029" i="32"/>
  <c r="R2028" i="32" a="1"/>
  <c r="R2028" i="32" s="1"/>
  <c r="C2027" i="32"/>
  <c r="R2026" i="32" a="1"/>
  <c r="R2026" i="32" s="1"/>
  <c r="C2025" i="32"/>
  <c r="R2024" i="32" a="1"/>
  <c r="R2024" i="32" s="1"/>
  <c r="C2023" i="32"/>
  <c r="R2022" i="32" a="1"/>
  <c r="R2022" i="32" s="1"/>
  <c r="C2021" i="32"/>
  <c r="R2020" i="32" a="1"/>
  <c r="R2020" i="32" s="1"/>
  <c r="C2019" i="32"/>
  <c r="R2018" i="32" a="1"/>
  <c r="R2018" i="32" s="1"/>
  <c r="C2017" i="32"/>
  <c r="R2016" i="32" a="1"/>
  <c r="R2016" i="32" s="1"/>
  <c r="C2015" i="32"/>
  <c r="R2014" i="32" a="1"/>
  <c r="R2014" i="32" s="1"/>
  <c r="C2013" i="32"/>
  <c r="R2012" i="32" a="1"/>
  <c r="R2012" i="32" s="1"/>
  <c r="C2011" i="32"/>
  <c r="R2010" i="32" a="1"/>
  <c r="R2010" i="32" s="1"/>
  <c r="C2009" i="32"/>
  <c r="R2008" i="32" a="1"/>
  <c r="R2008" i="32" s="1"/>
  <c r="C2007" i="32"/>
  <c r="R2006" i="32" a="1"/>
  <c r="R2006" i="32" s="1"/>
  <c r="C2005" i="32"/>
  <c r="R2004" i="32" a="1"/>
  <c r="R2004" i="32" s="1"/>
  <c r="C2003" i="32"/>
  <c r="R2002" i="32" a="1"/>
  <c r="R2002" i="32" s="1"/>
  <c r="C2001" i="32"/>
  <c r="R2000" i="32" a="1"/>
  <c r="R2000" i="32" s="1"/>
  <c r="C1999" i="32"/>
  <c r="R1998" i="32" a="1"/>
  <c r="R1998" i="32" s="1"/>
  <c r="C1997" i="32"/>
  <c r="R1996" i="32" a="1"/>
  <c r="R1996" i="32" s="1"/>
  <c r="C1995" i="32"/>
  <c r="R1994" i="32" a="1"/>
  <c r="R1994" i="32" s="1"/>
  <c r="C1993" i="32"/>
  <c r="R1992" i="32" a="1"/>
  <c r="R1992" i="32" s="1"/>
  <c r="C1991" i="32"/>
  <c r="R1990" i="32" a="1"/>
  <c r="R1990" i="32" s="1"/>
  <c r="C1989" i="32"/>
  <c r="R1988" i="32" a="1"/>
  <c r="R1988" i="32" s="1"/>
  <c r="C1987" i="32"/>
  <c r="R1986" i="32" a="1"/>
  <c r="R1986" i="32" s="1"/>
  <c r="C1985" i="32"/>
  <c r="R1984" i="32" a="1"/>
  <c r="R1984" i="32" s="1"/>
  <c r="C1983" i="32"/>
  <c r="R1982" i="32" a="1"/>
  <c r="R1982" i="32" s="1"/>
  <c r="C1981" i="32"/>
  <c r="R1980" i="32" a="1"/>
  <c r="R1980" i="32" s="1"/>
  <c r="C1979" i="32"/>
  <c r="R1978" i="32" a="1"/>
  <c r="R1978" i="32" s="1"/>
  <c r="C1977" i="32"/>
  <c r="R1976" i="32" a="1"/>
  <c r="R1976" i="32" s="1"/>
  <c r="C1975" i="32"/>
  <c r="R1974" i="32" a="1"/>
  <c r="R1974" i="32" s="1"/>
  <c r="C1973" i="32"/>
  <c r="R1972" i="32" a="1"/>
  <c r="R1972" i="32" s="1"/>
  <c r="C1971" i="32"/>
  <c r="R1970" i="32" a="1"/>
  <c r="R1970" i="32" s="1"/>
  <c r="C1969" i="32"/>
  <c r="R1968" i="32" a="1"/>
  <c r="R1968" i="32" s="1"/>
  <c r="C1967" i="32"/>
  <c r="R1966" i="32" a="1"/>
  <c r="R1966" i="32" s="1"/>
  <c r="C1965" i="32"/>
  <c r="R1964" i="32" a="1"/>
  <c r="R1964" i="32" s="1"/>
  <c r="C1963" i="32"/>
  <c r="R1962" i="32" a="1"/>
  <c r="R1962" i="32" s="1"/>
  <c r="C1961" i="32"/>
  <c r="R1960" i="32" a="1"/>
  <c r="R1960" i="32" s="1"/>
  <c r="C1959" i="32"/>
  <c r="R1958" i="32" a="1"/>
  <c r="R1958" i="32" s="1"/>
  <c r="C1957" i="32"/>
  <c r="R1956" i="32" a="1"/>
  <c r="R1956" i="32" s="1"/>
  <c r="C1955" i="32"/>
  <c r="R1954" i="32" a="1"/>
  <c r="R1954" i="32" s="1"/>
  <c r="C1953" i="32"/>
  <c r="R1952" i="32" a="1"/>
  <c r="R1952" i="32" s="1"/>
  <c r="C1951" i="32"/>
  <c r="R1950" i="32" a="1"/>
  <c r="R1950" i="32" s="1"/>
  <c r="C1949" i="32"/>
  <c r="R1948" i="32" a="1"/>
  <c r="R1948" i="32" s="1"/>
  <c r="C1947" i="32"/>
  <c r="R1946" i="32" a="1"/>
  <c r="R1946" i="32" s="1"/>
  <c r="C1945" i="32"/>
  <c r="R1944" i="32" a="1"/>
  <c r="R1944" i="32" s="1"/>
  <c r="C1943" i="32"/>
  <c r="R1942" i="32" a="1"/>
  <c r="R1942" i="32" s="1"/>
  <c r="C1941" i="32"/>
  <c r="R1940" i="32" a="1"/>
  <c r="R1940" i="32" s="1"/>
  <c r="C1939" i="32"/>
  <c r="R1938" i="32" a="1"/>
  <c r="R1938" i="32" s="1"/>
  <c r="C1937" i="32"/>
  <c r="R1936" i="32" a="1"/>
  <c r="R1936" i="32" s="1"/>
  <c r="C1935" i="32"/>
  <c r="R1934" i="32" a="1"/>
  <c r="R1934" i="32" s="1"/>
  <c r="C1933" i="32"/>
  <c r="R1932" i="32" a="1"/>
  <c r="R1932" i="32" s="1"/>
  <c r="C1931" i="32"/>
  <c r="R1930" i="32" a="1"/>
  <c r="R1930" i="32" s="1"/>
  <c r="C1929" i="32"/>
  <c r="R1928" i="32" a="1"/>
  <c r="R1928" i="32" s="1"/>
  <c r="C1927" i="32"/>
  <c r="R1926" i="32" a="1"/>
  <c r="R1926" i="32" s="1"/>
  <c r="C1925" i="32"/>
  <c r="R1924" i="32" a="1"/>
  <c r="R1924" i="32" s="1"/>
  <c r="C1923" i="32"/>
  <c r="R1922" i="32" a="1"/>
  <c r="R1922" i="32" s="1"/>
  <c r="C1921" i="32"/>
  <c r="R1920" i="32" a="1"/>
  <c r="R1920" i="32" s="1"/>
  <c r="C1919" i="32"/>
  <c r="R1918" i="32" a="1"/>
  <c r="R1918" i="32" s="1"/>
  <c r="C1917" i="32"/>
  <c r="R1916" i="32" a="1"/>
  <c r="R1916" i="32" s="1"/>
  <c r="C1915" i="32"/>
  <c r="R1914" i="32" a="1"/>
  <c r="R1914" i="32" s="1"/>
  <c r="C1913" i="32"/>
  <c r="R1912" i="32" a="1"/>
  <c r="R1912" i="32" s="1"/>
  <c r="C1911" i="32"/>
  <c r="R1910" i="32" a="1"/>
  <c r="R1910" i="32" s="1"/>
  <c r="C1909" i="32"/>
  <c r="R1908" i="32" a="1"/>
  <c r="R1908" i="32" s="1"/>
  <c r="C1907" i="32"/>
  <c r="R1906" i="32" a="1"/>
  <c r="R1906" i="32" s="1"/>
  <c r="C1905" i="32"/>
  <c r="R1904" i="32" a="1"/>
  <c r="R1904" i="32" s="1"/>
  <c r="C1903" i="32"/>
  <c r="R1902" i="32" a="1"/>
  <c r="R1902" i="32" s="1"/>
  <c r="C1901" i="32"/>
  <c r="R1900" i="32" a="1"/>
  <c r="R1900" i="32" s="1"/>
  <c r="C1899" i="32"/>
  <c r="R1898" i="32" a="1"/>
  <c r="R1898" i="32" s="1"/>
  <c r="C1897" i="32"/>
  <c r="R1896" i="32" a="1"/>
  <c r="R1896" i="32" s="1"/>
  <c r="C1895" i="32"/>
  <c r="R1894" i="32" a="1"/>
  <c r="R1894" i="32" s="1"/>
  <c r="C1893" i="32"/>
  <c r="R1892" i="32" a="1"/>
  <c r="R1892" i="32" s="1"/>
  <c r="C1891" i="32"/>
  <c r="R1890" i="32" a="1"/>
  <c r="R1890" i="32" s="1"/>
  <c r="C1889" i="32"/>
  <c r="R1888" i="32" a="1"/>
  <c r="R1888" i="32" s="1"/>
  <c r="C1887" i="32"/>
  <c r="R1886" i="32" a="1"/>
  <c r="R1886" i="32" s="1"/>
  <c r="C1885" i="32"/>
  <c r="R1884" i="32" a="1"/>
  <c r="R1884" i="32" s="1"/>
  <c r="C1883" i="32"/>
  <c r="R1882" i="32" a="1"/>
  <c r="R1882" i="32" s="1"/>
  <c r="C1881" i="32"/>
  <c r="R1880" i="32" a="1"/>
  <c r="R1880" i="32" s="1"/>
  <c r="C1879" i="32"/>
  <c r="R1878" i="32" a="1"/>
  <c r="R1878" i="32" s="1"/>
  <c r="C1877" i="32"/>
  <c r="R1876" i="32" a="1"/>
  <c r="R1876" i="32" s="1"/>
  <c r="C1875" i="32"/>
  <c r="R1874" i="32" a="1"/>
  <c r="R1874" i="32" s="1"/>
  <c r="C1873" i="32"/>
  <c r="R1872" i="32" a="1"/>
  <c r="R1872" i="32" s="1"/>
  <c r="C1871" i="32"/>
  <c r="R1870" i="32" a="1"/>
  <c r="R1870" i="32" s="1"/>
  <c r="C1869" i="32"/>
  <c r="R1868" i="32" a="1"/>
  <c r="R1868" i="32" s="1"/>
  <c r="C1867" i="32"/>
  <c r="R1866" i="32" a="1"/>
  <c r="R1866" i="32" s="1"/>
  <c r="C1865" i="32"/>
  <c r="R1864" i="32" a="1"/>
  <c r="R1864" i="32" s="1"/>
  <c r="C1863" i="32"/>
  <c r="R1862" i="32" a="1"/>
  <c r="R1862" i="32" s="1"/>
  <c r="C1861" i="32"/>
  <c r="R1860" i="32" a="1"/>
  <c r="R1860" i="32" s="1"/>
  <c r="C1859" i="32"/>
  <c r="R1858" i="32" a="1"/>
  <c r="R1858" i="32" s="1"/>
  <c r="C1857" i="32"/>
  <c r="R1856" i="32" a="1"/>
  <c r="R1856" i="32" s="1"/>
  <c r="C1855" i="32"/>
  <c r="R1854" i="32" a="1"/>
  <c r="R1854" i="32" s="1"/>
  <c r="C1853" i="32"/>
  <c r="R1852" i="32" a="1"/>
  <c r="R1852" i="32" s="1"/>
  <c r="C1851" i="32"/>
  <c r="R1850" i="32" a="1"/>
  <c r="R1850" i="32" s="1"/>
  <c r="C1849" i="32"/>
  <c r="R1848" i="32" a="1"/>
  <c r="R1848" i="32" s="1"/>
  <c r="C1847" i="32"/>
  <c r="R1846" i="32" a="1"/>
  <c r="R1846" i="32" s="1"/>
  <c r="C1845" i="32"/>
  <c r="R1844" i="32" a="1"/>
  <c r="R1844" i="32" s="1"/>
  <c r="C1843" i="32"/>
  <c r="R1842" i="32" a="1"/>
  <c r="R1842" i="32" s="1"/>
  <c r="C1841" i="32"/>
  <c r="R1840" i="32" a="1"/>
  <c r="R1840" i="32" s="1"/>
  <c r="C1839" i="32"/>
  <c r="R1838" i="32" a="1"/>
  <c r="R1838" i="32" s="1"/>
  <c r="C1837" i="32"/>
  <c r="R1836" i="32" a="1"/>
  <c r="R1836" i="32" s="1"/>
  <c r="C1835" i="32"/>
  <c r="R1834" i="32" a="1"/>
  <c r="R1834" i="32" s="1"/>
  <c r="C1833" i="32"/>
  <c r="R1832" i="32" a="1"/>
  <c r="R1832" i="32" s="1"/>
  <c r="C1831" i="32"/>
  <c r="R1830" i="32" a="1"/>
  <c r="R1830" i="32" s="1"/>
  <c r="C1829" i="32"/>
  <c r="R1828" i="32" a="1"/>
  <c r="R1828" i="32" s="1"/>
  <c r="C1827" i="32"/>
  <c r="R1826" i="32" a="1"/>
  <c r="R1826" i="32" s="1"/>
  <c r="C1825" i="32"/>
  <c r="R1824" i="32" a="1"/>
  <c r="R1824" i="32" s="1"/>
  <c r="C1823" i="32"/>
  <c r="R1822" i="32" a="1"/>
  <c r="R1822" i="32" s="1"/>
  <c r="C1821" i="32"/>
  <c r="R1820" i="32" a="1"/>
  <c r="R1820" i="32" s="1"/>
  <c r="Q1819" i="32"/>
  <c r="Q1821" i="32" s="1"/>
  <c r="G1819" i="32"/>
  <c r="C1819" i="32"/>
  <c r="A1819" i="32"/>
  <c r="AM69" i="33"/>
  <c r="AN69" i="33" a="1"/>
  <c r="AN69" i="33"/>
  <c r="AO69" i="33"/>
  <c r="AP69" i="33" a="1"/>
  <c r="AP69" i="33"/>
  <c r="AQ69" i="33"/>
  <c r="AR69" i="33"/>
  <c r="AS69" i="33"/>
  <c r="AT69" i="33"/>
  <c r="AU69" i="33"/>
  <c r="AY69" i="33" a="1"/>
  <c r="AY69" i="33"/>
  <c r="AZ69" i="33"/>
  <c r="AM71" i="33"/>
  <c r="AN71" i="33" a="1"/>
  <c r="AN71" i="33"/>
  <c r="AO71" i="33"/>
  <c r="AP71" i="33" a="1"/>
  <c r="AP71" i="33"/>
  <c r="AQ71" i="33"/>
  <c r="AR71" i="33"/>
  <c r="AS71" i="33"/>
  <c r="AT71" i="33"/>
  <c r="AU71" i="33"/>
  <c r="AY71" i="33" a="1"/>
  <c r="AY71" i="33"/>
  <c r="AZ71" i="33"/>
  <c r="AM73" i="33"/>
  <c r="AN73" i="33" a="1"/>
  <c r="AN73" i="33"/>
  <c r="AO73" i="33"/>
  <c r="AP73" i="33" a="1"/>
  <c r="AP73" i="33"/>
  <c r="AQ73" i="33"/>
  <c r="AR73" i="33"/>
  <c r="AS73" i="33"/>
  <c r="AT73" i="33"/>
  <c r="AU73" i="33"/>
  <c r="AY73" i="33" a="1"/>
  <c r="AY73" i="33"/>
  <c r="AZ73" i="33"/>
  <c r="AM75" i="33"/>
  <c r="AN75" i="33" a="1"/>
  <c r="AN75" i="33"/>
  <c r="AO75" i="33"/>
  <c r="AP75" i="33" a="1"/>
  <c r="AP75" i="33"/>
  <c r="AQ75" i="33"/>
  <c r="AR75" i="33"/>
  <c r="AS75" i="33"/>
  <c r="AT75" i="33"/>
  <c r="AU75" i="33"/>
  <c r="AY75" i="33" a="1"/>
  <c r="AY75" i="33"/>
  <c r="AZ75" i="33"/>
  <c r="AM77" i="33"/>
  <c r="AN77" i="33" a="1"/>
  <c r="AN77" i="33"/>
  <c r="AO77" i="33"/>
  <c r="AP77" i="33" a="1"/>
  <c r="AP77" i="33"/>
  <c r="AQ77" i="33"/>
  <c r="AR77" i="33"/>
  <c r="AS77" i="33"/>
  <c r="AT77" i="33"/>
  <c r="AU77" i="33"/>
  <c r="AY77" i="33" a="1"/>
  <c r="AY77" i="33"/>
  <c r="AZ77" i="33"/>
  <c r="AM79" i="33"/>
  <c r="AN79" i="33" a="1"/>
  <c r="AN79" i="33"/>
  <c r="AO79" i="33"/>
  <c r="AP79" i="33" a="1"/>
  <c r="AP79" i="33"/>
  <c r="AQ79" i="33"/>
  <c r="AR79" i="33"/>
  <c r="AS79" i="33"/>
  <c r="AT79" i="33"/>
  <c r="AU79" i="33"/>
  <c r="AY79" i="33" a="1"/>
  <c r="AY79" i="33"/>
  <c r="AZ79" i="33"/>
  <c r="AM81" i="33"/>
  <c r="AN81" i="33" a="1"/>
  <c r="AN81" i="33"/>
  <c r="AO81" i="33"/>
  <c r="AP81" i="33" a="1"/>
  <c r="AP81" i="33"/>
  <c r="AQ81" i="33"/>
  <c r="AR81" i="33"/>
  <c r="AS81" i="33"/>
  <c r="AT81" i="33"/>
  <c r="AU81" i="33"/>
  <c r="AY81" i="33" a="1"/>
  <c r="AY81" i="33"/>
  <c r="AZ81" i="33"/>
  <c r="AM83" i="33"/>
  <c r="AN83" i="33" a="1"/>
  <c r="AN83" i="33"/>
  <c r="AO83" i="33"/>
  <c r="AP83" i="33" a="1"/>
  <c r="AP83" i="33"/>
  <c r="AQ83" i="33"/>
  <c r="AR83" i="33"/>
  <c r="AS83" i="33"/>
  <c r="AT83" i="33"/>
  <c r="AU83" i="33"/>
  <c r="AY83" i="33" a="1"/>
  <c r="AY83" i="33"/>
  <c r="AZ83" i="33"/>
  <c r="AM85" i="33"/>
  <c r="AN85" i="33" a="1"/>
  <c r="AN85" i="33"/>
  <c r="AO85" i="33"/>
  <c r="AP85" i="33" a="1"/>
  <c r="AP85" i="33"/>
  <c r="AQ85" i="33"/>
  <c r="AR85" i="33"/>
  <c r="AS85" i="33"/>
  <c r="AT85" i="33"/>
  <c r="AU85" i="33"/>
  <c r="AY85" i="33" a="1"/>
  <c r="AY85" i="33"/>
  <c r="AZ85" i="33"/>
  <c r="AM87" i="33"/>
  <c r="AN87" i="33" a="1"/>
  <c r="AN87" i="33"/>
  <c r="AO87" i="33"/>
  <c r="AP87" i="33" a="1"/>
  <c r="AP87" i="33"/>
  <c r="AQ87" i="33"/>
  <c r="AR87" i="33"/>
  <c r="AS87" i="33"/>
  <c r="AT87" i="33"/>
  <c r="AU87" i="33"/>
  <c r="AY87" i="33" a="1"/>
  <c r="AY87" i="33"/>
  <c r="AZ87" i="33"/>
  <c r="AM89" i="33"/>
  <c r="AN89" i="33" a="1"/>
  <c r="AN89" i="33"/>
  <c r="AO89" i="33"/>
  <c r="AP89" i="33" a="1"/>
  <c r="AP89" i="33"/>
  <c r="AQ89" i="33"/>
  <c r="AR89" i="33"/>
  <c r="AS89" i="33"/>
  <c r="AT89" i="33"/>
  <c r="AU89" i="33"/>
  <c r="AY89" i="33" a="1"/>
  <c r="AY89" i="33"/>
  <c r="AZ89" i="33"/>
  <c r="AM91" i="33"/>
  <c r="AN91" i="33" a="1"/>
  <c r="AN91" i="33"/>
  <c r="AO91" i="33"/>
  <c r="AP91" i="33" a="1"/>
  <c r="AP91" i="33"/>
  <c r="AQ91" i="33"/>
  <c r="AR91" i="33"/>
  <c r="AS91" i="33"/>
  <c r="AT91" i="33"/>
  <c r="AU91" i="33"/>
  <c r="AY91" i="33" a="1"/>
  <c r="AY91" i="33"/>
  <c r="AZ91" i="33"/>
  <c r="BA89" i="33"/>
  <c r="BA91" i="33"/>
  <c r="BA87" i="33"/>
  <c r="BA85" i="33"/>
  <c r="F69" i="33"/>
  <c r="F71" i="33"/>
  <c r="F73" i="33"/>
  <c r="F75" i="33"/>
  <c r="F77" i="33"/>
  <c r="F79" i="33"/>
  <c r="F81" i="33"/>
  <c r="F83" i="33"/>
  <c r="F85" i="33"/>
  <c r="F87" i="33"/>
  <c r="F89" i="33"/>
  <c r="F91" i="33"/>
  <c r="CK90" i="33" a="1"/>
  <c r="CK90" i="33" s="1"/>
  <c r="CJ90" i="33"/>
  <c r="CI90" i="33"/>
  <c r="BM90" i="33"/>
  <c r="BL90" i="33"/>
  <c r="BK90" i="33"/>
  <c r="BJ90" i="33"/>
  <c r="BI90" i="33"/>
  <c r="BH90" i="33"/>
  <c r="BG90" i="33"/>
  <c r="BF90" i="33"/>
  <c r="BE90" i="33"/>
  <c r="CK89" i="33" a="1"/>
  <c r="CK89" i="33" s="1"/>
  <c r="CJ89" i="33"/>
  <c r="CI89" i="33"/>
  <c r="CE89" i="33"/>
  <c r="CD89" i="33"/>
  <c r="CC89" i="33"/>
  <c r="CB89" i="33"/>
  <c r="CA89" i="33"/>
  <c r="BZ89" i="33"/>
  <c r="BY89" i="33"/>
  <c r="BX89" i="33"/>
  <c r="BW89" i="33"/>
  <c r="CF89" i="33" s="1"/>
  <c r="BV89" i="33"/>
  <c r="BT89" i="33"/>
  <c r="BR89" i="33" a="1"/>
  <c r="BR89" i="33" s="1"/>
  <c r="BU89" i="33" s="1"/>
  <c r="BN89" i="33"/>
  <c r="BM89" i="33"/>
  <c r="BL89" i="33"/>
  <c r="BK89" i="33"/>
  <c r="BJ89" i="33"/>
  <c r="BI89" i="33"/>
  <c r="BH89" i="33"/>
  <c r="BG89" i="33"/>
  <c r="BF89" i="33"/>
  <c r="BE89" i="33"/>
  <c r="BD89" i="33"/>
  <c r="BC89" i="33" a="1"/>
  <c r="BC89" i="33" s="1"/>
  <c r="BP89" i="33"/>
  <c r="I89" i="33"/>
  <c r="CK88" i="33" a="1"/>
  <c r="CK88" i="33" s="1"/>
  <c r="CJ88" i="33"/>
  <c r="CI88" i="33"/>
  <c r="BM88" i="33"/>
  <c r="BL88" i="33"/>
  <c r="BK88" i="33"/>
  <c r="BJ88" i="33"/>
  <c r="BI88" i="33"/>
  <c r="BH88" i="33"/>
  <c r="BG88" i="33"/>
  <c r="BF88" i="33"/>
  <c r="BE88" i="33"/>
  <c r="CK87" i="33" a="1"/>
  <c r="CK87" i="33" s="1"/>
  <c r="CJ87" i="33"/>
  <c r="CI87" i="33"/>
  <c r="CE87" i="33"/>
  <c r="CD87" i="33"/>
  <c r="CC87" i="33"/>
  <c r="CB87" i="33"/>
  <c r="CA87" i="33"/>
  <c r="BZ87" i="33"/>
  <c r="BY87" i="33"/>
  <c r="BX87" i="33"/>
  <c r="BW87" i="33"/>
  <c r="CF87" i="33" s="1"/>
  <c r="BV87" i="33"/>
  <c r="BT87" i="33"/>
  <c r="BR87" i="33" a="1"/>
  <c r="BR87" i="33" s="1"/>
  <c r="BU87" i="33" s="1"/>
  <c r="BN87" i="33"/>
  <c r="BM87" i="33"/>
  <c r="BL87" i="33"/>
  <c r="BK87" i="33"/>
  <c r="BJ87" i="33"/>
  <c r="BI87" i="33"/>
  <c r="BH87" i="33"/>
  <c r="BG87" i="33"/>
  <c r="BF87" i="33"/>
  <c r="BE87" i="33"/>
  <c r="BD87" i="33"/>
  <c r="BC87" i="33" a="1"/>
  <c r="BC87" i="33" s="1"/>
  <c r="BP87" i="33"/>
  <c r="I87" i="33"/>
  <c r="CK86" i="33" a="1"/>
  <c r="CK86" i="33" s="1"/>
  <c r="CJ86" i="33"/>
  <c r="CI86" i="33"/>
  <c r="BM86" i="33"/>
  <c r="BL86" i="33"/>
  <c r="BK86" i="33"/>
  <c r="BJ86" i="33"/>
  <c r="BI86" i="33"/>
  <c r="BH86" i="33"/>
  <c r="BG86" i="33"/>
  <c r="BF86" i="33"/>
  <c r="BE86" i="33"/>
  <c r="CK85" i="33" a="1"/>
  <c r="CK85" i="33" s="1"/>
  <c r="CJ85" i="33"/>
  <c r="CI85" i="33"/>
  <c r="CD85" i="33"/>
  <c r="CC85" i="33"/>
  <c r="CB85" i="33"/>
  <c r="CA85" i="33"/>
  <c r="BZ85" i="33"/>
  <c r="BY85" i="33"/>
  <c r="BX85" i="33"/>
  <c r="BV85" i="33"/>
  <c r="BT85" i="33"/>
  <c r="BR85" i="33" a="1"/>
  <c r="BR85" i="33" s="1"/>
  <c r="BU85" i="33" s="1"/>
  <c r="BM85" i="33"/>
  <c r="BL85" i="33"/>
  <c r="BK85" i="33"/>
  <c r="BJ85" i="33"/>
  <c r="BI85" i="33"/>
  <c r="BH85" i="33"/>
  <c r="BG85" i="33"/>
  <c r="BF85" i="33"/>
  <c r="BE85" i="33"/>
  <c r="BD85" i="33"/>
  <c r="BC85" i="33" a="1"/>
  <c r="BC85" i="33" s="1"/>
  <c r="BP85" i="33"/>
  <c r="BN85" i="33"/>
  <c r="I85" i="33"/>
  <c r="CK84" i="33" a="1"/>
  <c r="CK84" i="33" s="1"/>
  <c r="CJ84" i="33"/>
  <c r="CI84" i="33"/>
  <c r="BM84" i="33"/>
  <c r="BL84" i="33"/>
  <c r="BK84" i="33"/>
  <c r="BJ84" i="33"/>
  <c r="BI84" i="33"/>
  <c r="BH84" i="33"/>
  <c r="BG84" i="33"/>
  <c r="BF84" i="33"/>
  <c r="BE84" i="33"/>
  <c r="CK83" i="33" a="1"/>
  <c r="CK83" i="33" s="1"/>
  <c r="CJ83" i="33"/>
  <c r="CI83" i="33"/>
  <c r="CD83" i="33"/>
  <c r="CC83" i="33"/>
  <c r="CB83" i="33"/>
  <c r="CA83" i="33"/>
  <c r="BZ83" i="33"/>
  <c r="BY83" i="33"/>
  <c r="BX83" i="33"/>
  <c r="BV83" i="33"/>
  <c r="BT83" i="33"/>
  <c r="BR83" i="33" a="1"/>
  <c r="BR83" i="33" s="1"/>
  <c r="BU83" i="33" s="1"/>
  <c r="BM83" i="33"/>
  <c r="BL83" i="33"/>
  <c r="BK83" i="33"/>
  <c r="BJ83" i="33"/>
  <c r="BI83" i="33"/>
  <c r="BH83" i="33"/>
  <c r="BG83" i="33"/>
  <c r="BF83" i="33"/>
  <c r="BE83" i="33"/>
  <c r="BD83" i="33"/>
  <c r="BC83" i="33" a="1"/>
  <c r="BC83" i="33" s="1"/>
  <c r="BA83" i="33"/>
  <c r="BP83" i="33"/>
  <c r="BN83" i="33"/>
  <c r="I83" i="33"/>
  <c r="CK82" i="33" a="1"/>
  <c r="CK82" i="33" s="1"/>
  <c r="CJ82" i="33"/>
  <c r="CI82" i="33"/>
  <c r="BM82" i="33"/>
  <c r="BL82" i="33"/>
  <c r="BK82" i="33"/>
  <c r="BJ82" i="33"/>
  <c r="BI82" i="33"/>
  <c r="BH82" i="33"/>
  <c r="BG82" i="33"/>
  <c r="BF82" i="33"/>
  <c r="BE82" i="33"/>
  <c r="CK81" i="33" a="1"/>
  <c r="CK81" i="33" s="1"/>
  <c r="CJ81" i="33"/>
  <c r="CI81" i="33"/>
  <c r="CD81" i="33"/>
  <c r="CC81" i="33"/>
  <c r="CB81" i="33"/>
  <c r="CA81" i="33"/>
  <c r="BZ81" i="33"/>
  <c r="BY81" i="33"/>
  <c r="BX81" i="33"/>
  <c r="BV81" i="33"/>
  <c r="BT81" i="33"/>
  <c r="BR81" i="33" a="1"/>
  <c r="BR81" i="33" s="1"/>
  <c r="BU81" i="33" s="1"/>
  <c r="BM81" i="33"/>
  <c r="BL81" i="33"/>
  <c r="BK81" i="33"/>
  <c r="BJ81" i="33"/>
  <c r="BI81" i="33"/>
  <c r="BH81" i="33"/>
  <c r="BG81" i="33"/>
  <c r="BF81" i="33"/>
  <c r="BE81" i="33"/>
  <c r="BD81" i="33"/>
  <c r="BC81" i="33" a="1"/>
  <c r="BC81" i="33" s="1"/>
  <c r="BA81" i="33"/>
  <c r="BP81" i="33"/>
  <c r="BN81" i="33"/>
  <c r="I81" i="33"/>
  <c r="CK80" i="33" a="1"/>
  <c r="CK80" i="33" s="1"/>
  <c r="CJ80" i="33"/>
  <c r="CI80" i="33"/>
  <c r="BM80" i="33"/>
  <c r="BL80" i="33"/>
  <c r="BK80" i="33"/>
  <c r="BJ80" i="33"/>
  <c r="BI80" i="33"/>
  <c r="BH80" i="33"/>
  <c r="BG80" i="33"/>
  <c r="BF80" i="33"/>
  <c r="BE80" i="33"/>
  <c r="CK79" i="33" a="1"/>
  <c r="CK79" i="33" s="1"/>
  <c r="CJ79" i="33"/>
  <c r="CI79" i="33"/>
  <c r="CD79" i="33"/>
  <c r="CC79" i="33"/>
  <c r="CB79" i="33"/>
  <c r="CA79" i="33"/>
  <c r="BZ79" i="33"/>
  <c r="BY79" i="33"/>
  <c r="BX79" i="33"/>
  <c r="BV79" i="33"/>
  <c r="BT79" i="33"/>
  <c r="BR79" i="33" a="1"/>
  <c r="BR79" i="33" s="1"/>
  <c r="BU79" i="33" s="1"/>
  <c r="BM79" i="33"/>
  <c r="BL79" i="33"/>
  <c r="BK79" i="33"/>
  <c r="BJ79" i="33"/>
  <c r="BI79" i="33"/>
  <c r="BH79" i="33"/>
  <c r="BG79" i="33"/>
  <c r="BF79" i="33"/>
  <c r="BE79" i="33"/>
  <c r="BD79" i="33"/>
  <c r="BC79" i="33" a="1"/>
  <c r="BC79" i="33" s="1"/>
  <c r="BA79" i="33"/>
  <c r="BP79" i="33"/>
  <c r="BN79" i="33"/>
  <c r="I79" i="33"/>
  <c r="CK78" i="33" a="1"/>
  <c r="CK78" i="33" s="1"/>
  <c r="CJ78" i="33"/>
  <c r="CI78" i="33"/>
  <c r="BM78" i="33"/>
  <c r="BL78" i="33"/>
  <c r="BK78" i="33"/>
  <c r="BJ78" i="33"/>
  <c r="BI78" i="33"/>
  <c r="BH78" i="33"/>
  <c r="BG78" i="33"/>
  <c r="BF78" i="33"/>
  <c r="BE78" i="33"/>
  <c r="CK77" i="33" a="1"/>
  <c r="CK77" i="33" s="1"/>
  <c r="CJ77" i="33"/>
  <c r="CI77" i="33"/>
  <c r="CD77" i="33"/>
  <c r="CC77" i="33"/>
  <c r="CB77" i="33"/>
  <c r="CA77" i="33"/>
  <c r="BZ77" i="33"/>
  <c r="BY77" i="33"/>
  <c r="BX77" i="33"/>
  <c r="BV77" i="33"/>
  <c r="BT77" i="33"/>
  <c r="BR77" i="33" a="1"/>
  <c r="BR77" i="33" s="1"/>
  <c r="BU77" i="33" s="1"/>
  <c r="BM77" i="33"/>
  <c r="BL77" i="33"/>
  <c r="BK77" i="33"/>
  <c r="BJ77" i="33"/>
  <c r="BI77" i="33"/>
  <c r="BH77" i="33"/>
  <c r="BG77" i="33"/>
  <c r="BF77" i="33"/>
  <c r="BE77" i="33"/>
  <c r="BD77" i="33"/>
  <c r="BC77" i="33" a="1"/>
  <c r="BC77" i="33" s="1"/>
  <c r="BA77" i="33"/>
  <c r="BP77" i="33"/>
  <c r="BN77" i="33"/>
  <c r="I77" i="33"/>
  <c r="CK76" i="33" a="1"/>
  <c r="CK76" i="33" s="1"/>
  <c r="CJ76" i="33"/>
  <c r="CI76" i="33"/>
  <c r="BM76" i="33"/>
  <c r="BL76" i="33"/>
  <c r="BK76" i="33"/>
  <c r="BJ76" i="33"/>
  <c r="BI76" i="33"/>
  <c r="BH76" i="33"/>
  <c r="BG76" i="33"/>
  <c r="BF76" i="33"/>
  <c r="BE76" i="33"/>
  <c r="CK75" i="33" a="1"/>
  <c r="CK75" i="33" s="1"/>
  <c r="CJ75" i="33"/>
  <c r="CI75" i="33"/>
  <c r="CD75" i="33"/>
  <c r="CC75" i="33"/>
  <c r="CB75" i="33"/>
  <c r="CA75" i="33"/>
  <c r="BZ75" i="33"/>
  <c r="BY75" i="33"/>
  <c r="BX75" i="33"/>
  <c r="BV75" i="33"/>
  <c r="BT75" i="33"/>
  <c r="BR75" i="33" a="1"/>
  <c r="BR75" i="33" s="1"/>
  <c r="BU75" i="33" s="1"/>
  <c r="BM75" i="33"/>
  <c r="BL75" i="33"/>
  <c r="BK75" i="33"/>
  <c r="BJ75" i="33"/>
  <c r="BI75" i="33"/>
  <c r="BH75" i="33"/>
  <c r="BG75" i="33"/>
  <c r="BF75" i="33"/>
  <c r="BE75" i="33"/>
  <c r="BD75" i="33"/>
  <c r="BC75" i="33" a="1"/>
  <c r="BC75" i="33" s="1"/>
  <c r="BA75" i="33"/>
  <c r="BP75" i="33"/>
  <c r="BN75" i="33"/>
  <c r="I75" i="33"/>
  <c r="CK74" i="33" a="1"/>
  <c r="CK74" i="33" s="1"/>
  <c r="CJ74" i="33"/>
  <c r="CI74" i="33"/>
  <c r="BM74" i="33"/>
  <c r="BL74" i="33"/>
  <c r="BK74" i="33"/>
  <c r="BJ74" i="33"/>
  <c r="BI74" i="33"/>
  <c r="BH74" i="33"/>
  <c r="BG74" i="33"/>
  <c r="BF74" i="33"/>
  <c r="BE74" i="33"/>
  <c r="CK73" i="33" a="1"/>
  <c r="CK73" i="33" s="1"/>
  <c r="CJ73" i="33"/>
  <c r="CI73" i="33"/>
  <c r="CD73" i="33"/>
  <c r="CC73" i="33"/>
  <c r="CB73" i="33"/>
  <c r="CA73" i="33"/>
  <c r="BZ73" i="33"/>
  <c r="BY73" i="33"/>
  <c r="BX73" i="33"/>
  <c r="BV73" i="33"/>
  <c r="BT73" i="33"/>
  <c r="BR73" i="33" a="1"/>
  <c r="BR73" i="33" s="1"/>
  <c r="BU73" i="33" s="1"/>
  <c r="BM73" i="33"/>
  <c r="BL73" i="33"/>
  <c r="BK73" i="33"/>
  <c r="BJ73" i="33"/>
  <c r="BI73" i="33"/>
  <c r="BH73" i="33"/>
  <c r="BG73" i="33"/>
  <c r="BF73" i="33"/>
  <c r="BE73" i="33"/>
  <c r="BD73" i="33"/>
  <c r="BC73" i="33" a="1"/>
  <c r="BC73" i="33" s="1"/>
  <c r="BA73" i="33"/>
  <c r="BP73" i="33"/>
  <c r="BN73" i="33"/>
  <c r="I73" i="33"/>
  <c r="CK72" i="33" a="1"/>
  <c r="CK72" i="33" s="1"/>
  <c r="CJ72" i="33"/>
  <c r="CI72" i="33"/>
  <c r="BM72" i="33"/>
  <c r="BL72" i="33"/>
  <c r="BK72" i="33"/>
  <c r="BJ72" i="33"/>
  <c r="BI72" i="33"/>
  <c r="BH72" i="33"/>
  <c r="BG72" i="33"/>
  <c r="BF72" i="33"/>
  <c r="BE72" i="33"/>
  <c r="CK71" i="33" a="1"/>
  <c r="CK71" i="33" s="1"/>
  <c r="CJ71" i="33"/>
  <c r="CI71" i="33"/>
  <c r="CD71" i="33"/>
  <c r="CC71" i="33"/>
  <c r="CB71" i="33"/>
  <c r="CA71" i="33"/>
  <c r="BZ71" i="33"/>
  <c r="BY71" i="33"/>
  <c r="BX71" i="33"/>
  <c r="BV71" i="33"/>
  <c r="BT71" i="33"/>
  <c r="BR71" i="33" a="1"/>
  <c r="BR71" i="33" s="1"/>
  <c r="BU71" i="33" s="1"/>
  <c r="BM71" i="33"/>
  <c r="BL71" i="33"/>
  <c r="BK71" i="33"/>
  <c r="BJ71" i="33"/>
  <c r="BI71" i="33"/>
  <c r="BH71" i="33"/>
  <c r="BG71" i="33"/>
  <c r="BF71" i="33"/>
  <c r="BE71" i="33"/>
  <c r="BD71" i="33"/>
  <c r="BC71" i="33" a="1"/>
  <c r="BC71" i="33" s="1"/>
  <c r="BA71" i="33"/>
  <c r="BP71" i="33"/>
  <c r="BN71" i="33"/>
  <c r="I71" i="33"/>
  <c r="CK70" i="33" a="1"/>
  <c r="CK70" i="33" s="1"/>
  <c r="CJ70" i="33"/>
  <c r="CI70" i="33"/>
  <c r="BM70" i="33"/>
  <c r="BL70" i="33"/>
  <c r="BK70" i="33"/>
  <c r="BJ70" i="33"/>
  <c r="BI70" i="33"/>
  <c r="BH70" i="33"/>
  <c r="BG70" i="33"/>
  <c r="BF70" i="33"/>
  <c r="BE70" i="33"/>
  <c r="CK69" i="33" a="1"/>
  <c r="CK69" i="33" s="1"/>
  <c r="CJ69" i="33"/>
  <c r="CI69" i="33"/>
  <c r="CD69" i="33"/>
  <c r="CC69" i="33"/>
  <c r="CB69" i="33"/>
  <c r="CA69" i="33"/>
  <c r="BZ69" i="33"/>
  <c r="BY69" i="33"/>
  <c r="BX69" i="33"/>
  <c r="BV69" i="33"/>
  <c r="BT69" i="33"/>
  <c r="BR69" i="33" a="1"/>
  <c r="BR69" i="33" s="1"/>
  <c r="BU69" i="33" s="1"/>
  <c r="BM69" i="33"/>
  <c r="BL69" i="33"/>
  <c r="BK69" i="33"/>
  <c r="BJ69" i="33"/>
  <c r="BI69" i="33"/>
  <c r="BH69" i="33"/>
  <c r="BG69" i="33"/>
  <c r="BF69" i="33"/>
  <c r="BE69" i="33"/>
  <c r="BD69" i="33"/>
  <c r="BC69" i="33" a="1"/>
  <c r="BC69" i="33" s="1"/>
  <c r="BA69" i="33"/>
  <c r="BP69" i="33"/>
  <c r="BN69" i="33"/>
  <c r="I69" i="33"/>
  <c r="CK68" i="33" a="1"/>
  <c r="CK68" i="33" s="1"/>
  <c r="CJ68" i="33"/>
  <c r="CI68" i="33"/>
  <c r="BM68" i="33"/>
  <c r="BL68" i="33"/>
  <c r="BK68" i="33"/>
  <c r="BJ68" i="33"/>
  <c r="BI68" i="33"/>
  <c r="BH68" i="33"/>
  <c r="BG68" i="33"/>
  <c r="BF68" i="33"/>
  <c r="BE68" i="33"/>
  <c r="CK67" i="33" a="1"/>
  <c r="CK67" i="33" s="1"/>
  <c r="CJ67" i="33"/>
  <c r="CI67" i="33"/>
  <c r="BX67" i="33"/>
  <c r="BV67" i="33"/>
  <c r="BT67" i="33"/>
  <c r="BR67" i="33" a="1"/>
  <c r="BR67" i="33" s="1"/>
  <c r="BU67" i="33" s="1"/>
  <c r="BM67" i="33"/>
  <c r="BL67" i="33"/>
  <c r="BK67" i="33"/>
  <c r="BJ67" i="33"/>
  <c r="BI67" i="33"/>
  <c r="BH67" i="33"/>
  <c r="BG67" i="33"/>
  <c r="BF67" i="33"/>
  <c r="BE67" i="33"/>
  <c r="BD67" i="33"/>
  <c r="BC67" i="33" a="1"/>
  <c r="BC67" i="33" s="1"/>
  <c r="BA67" i="33"/>
  <c r="AZ67" i="33"/>
  <c r="BP67" i="33" s="1"/>
  <c r="AY67" i="33" a="1"/>
  <c r="AY67" i="33" s="1"/>
  <c r="AX67" i="33"/>
  <c r="AW67" i="33"/>
  <c r="AV67" i="33"/>
  <c r="AU67" i="33"/>
  <c r="AT67" i="33"/>
  <c r="AS67" i="33"/>
  <c r="AP67" i="33" a="1"/>
  <c r="AP67" i="33" s="1"/>
  <c r="AO67" i="33"/>
  <c r="AN67" i="33" a="1"/>
  <c r="AN67" i="33" s="1"/>
  <c r="AM67" i="33"/>
  <c r="BN67" i="33" s="1"/>
  <c r="CE67" i="33"/>
  <c r="CD67" i="33"/>
  <c r="CC67" i="33"/>
  <c r="CB67" i="33"/>
  <c r="CA67" i="33"/>
  <c r="BZ67" i="33"/>
  <c r="BY67" i="33"/>
  <c r="I67" i="33"/>
  <c r="F67" i="33"/>
  <c r="BW67" i="33" s="1"/>
  <c r="CF67" i="33" s="1"/>
  <c r="CG67" i="33" s="1"/>
  <c r="Q1823" i="32" l="1"/>
  <c r="A1821" i="32"/>
  <c r="AV91" i="33"/>
  <c r="AW91" i="33"/>
  <c r="AX91" i="33"/>
  <c r="AV89" i="33"/>
  <c r="AW89" i="33"/>
  <c r="AX89" i="33"/>
  <c r="AV87" i="33"/>
  <c r="AW87" i="33"/>
  <c r="AX87" i="33"/>
  <c r="AV85" i="33"/>
  <c r="AW85" i="33"/>
  <c r="AX85" i="33"/>
  <c r="AV83" i="33"/>
  <c r="AW83" i="33"/>
  <c r="AX83" i="33"/>
  <c r="AV81" i="33"/>
  <c r="AW81" i="33"/>
  <c r="AX81" i="33"/>
  <c r="AV79" i="33"/>
  <c r="AW79" i="33"/>
  <c r="AX79" i="33"/>
  <c r="AV77" i="33"/>
  <c r="AW77" i="33"/>
  <c r="AX77" i="33"/>
  <c r="AV75" i="33"/>
  <c r="AW75" i="33"/>
  <c r="AX75" i="33"/>
  <c r="AV73" i="33"/>
  <c r="AW73" i="33"/>
  <c r="AX73" i="33"/>
  <c r="AV71" i="33"/>
  <c r="AW71" i="33"/>
  <c r="AX71" i="33"/>
  <c r="AV69" i="33"/>
  <c r="AW69" i="33"/>
  <c r="AX69" i="33"/>
  <c r="CG87" i="33"/>
  <c r="BO87" i="33" s="1"/>
  <c r="BQ87" i="33" s="1"/>
  <c r="BS87" i="33" s="1"/>
  <c r="BB87" i="33" s="1"/>
  <c r="CG89" i="33"/>
  <c r="BO89" i="33" s="1"/>
  <c r="BQ89" i="33" s="1"/>
  <c r="BS89" i="33" s="1"/>
  <c r="BB89" i="33" s="1"/>
  <c r="AR67" i="33"/>
  <c r="AQ67" i="33"/>
  <c r="BW69" i="33"/>
  <c r="CE69" i="33"/>
  <c r="BO67" i="33"/>
  <c r="BQ67" i="33" s="1"/>
  <c r="BS67" i="33" s="1"/>
  <c r="BB67" i="33" s="1"/>
  <c r="Q1825" i="32" l="1"/>
  <c r="A1823" i="32"/>
  <c r="CE71" i="33"/>
  <c r="CF69" i="33"/>
  <c r="CG69" i="33" s="1"/>
  <c r="BO69" i="33" s="1"/>
  <c r="BQ69" i="33" s="1"/>
  <c r="BS69" i="33" s="1"/>
  <c r="BB69" i="33" s="1"/>
  <c r="BW71" i="33"/>
  <c r="CF71" i="33" s="1"/>
  <c r="CG71" i="33" s="1"/>
  <c r="BO71" i="33" s="1"/>
  <c r="BQ71" i="33" s="1"/>
  <c r="BS71" i="33" s="1"/>
  <c r="BB71" i="33" s="1"/>
  <c r="Q1827" i="32" l="1"/>
  <c r="G1825" i="32"/>
  <c r="A1825" i="32"/>
  <c r="BW73" i="33"/>
  <c r="CE73" i="33"/>
  <c r="Q1829" i="32" l="1"/>
  <c r="G1827" i="32"/>
  <c r="A1827" i="32"/>
  <c r="CE75" i="33"/>
  <c r="CF73" i="33"/>
  <c r="CG73" i="33" s="1"/>
  <c r="BO73" i="33" s="1"/>
  <c r="BQ73" i="33" s="1"/>
  <c r="BS73" i="33" s="1"/>
  <c r="BB73" i="33" s="1"/>
  <c r="BW75" i="33"/>
  <c r="CF75" i="33" s="1"/>
  <c r="CG75" i="33" s="1"/>
  <c r="BO75" i="33" s="1"/>
  <c r="BQ75" i="33" s="1"/>
  <c r="BS75" i="33" s="1"/>
  <c r="BB75" i="33" s="1"/>
  <c r="Q1831" i="32" l="1"/>
  <c r="G1829" i="32"/>
  <c r="A1829" i="32"/>
  <c r="BW77" i="33"/>
  <c r="CE77" i="33"/>
  <c r="Q1833" i="32" l="1"/>
  <c r="G1831" i="32"/>
  <c r="A1831" i="32"/>
  <c r="CE79" i="33"/>
  <c r="CF77" i="33"/>
  <c r="CG77" i="33" s="1"/>
  <c r="BO77" i="33" s="1"/>
  <c r="BQ77" i="33" s="1"/>
  <c r="BS77" i="33" s="1"/>
  <c r="BB77" i="33" s="1"/>
  <c r="BW79" i="33"/>
  <c r="CF79" i="33" s="1"/>
  <c r="CG79" i="33" s="1"/>
  <c r="BO79" i="33" s="1"/>
  <c r="BQ79" i="33" s="1"/>
  <c r="BS79" i="33" s="1"/>
  <c r="BB79" i="33" s="1"/>
  <c r="Q1835" i="32" l="1"/>
  <c r="G1833" i="32"/>
  <c r="A1833" i="32"/>
  <c r="BW81" i="33"/>
  <c r="CE81" i="33"/>
  <c r="Q1837" i="32" l="1"/>
  <c r="G1835" i="32"/>
  <c r="A1835" i="32"/>
  <c r="CE83" i="33"/>
  <c r="CF81" i="33"/>
  <c r="CG81" i="33" s="1"/>
  <c r="BO81" i="33" s="1"/>
  <c r="BQ81" i="33" s="1"/>
  <c r="BS81" i="33" s="1"/>
  <c r="BB81" i="33" s="1"/>
  <c r="BW83" i="33"/>
  <c r="CF83" i="33" s="1"/>
  <c r="CG83" i="33" s="1"/>
  <c r="BO83" i="33" s="1"/>
  <c r="BQ83" i="33" s="1"/>
  <c r="BS83" i="33" s="1"/>
  <c r="BB83" i="33" s="1"/>
  <c r="Q1839" i="32" l="1"/>
  <c r="G1837" i="32"/>
  <c r="A1837" i="32"/>
  <c r="BW85" i="33"/>
  <c r="CE85" i="33"/>
  <c r="Q1841" i="32" l="1"/>
  <c r="G1839" i="32"/>
  <c r="A1839" i="32"/>
  <c r="CF85" i="33"/>
  <c r="CG85" i="33" s="1"/>
  <c r="BO85" i="33" s="1"/>
  <c r="BQ85" i="33" s="1"/>
  <c r="BS85" i="33" s="1"/>
  <c r="BB85" i="33" s="1"/>
  <c r="Q1843" i="32" l="1"/>
  <c r="G1841" i="32"/>
  <c r="A1841" i="32"/>
  <c r="Q1845" i="32" l="1"/>
  <c r="G1843" i="32"/>
  <c r="A1843" i="32"/>
  <c r="Q1847" i="32" l="1"/>
  <c r="G1845" i="32"/>
  <c r="A1845" i="32"/>
  <c r="Q1849" i="32" l="1"/>
  <c r="G1847" i="32"/>
  <c r="A1847" i="32"/>
  <c r="Q1851" i="32" l="1"/>
  <c r="G1849" i="32"/>
  <c r="A1849" i="32"/>
  <c r="Q1853" i="32" l="1"/>
  <c r="G1851" i="32"/>
  <c r="A1851" i="32"/>
  <c r="Q1855" i="32" l="1"/>
  <c r="G1853" i="32"/>
  <c r="A1853" i="32"/>
  <c r="Q1857" i="32" l="1"/>
  <c r="G1855" i="32"/>
  <c r="A1855" i="32"/>
  <c r="Q1859" i="32" l="1"/>
  <c r="G1857" i="32"/>
  <c r="A1857" i="32"/>
  <c r="Q1861" i="32" l="1"/>
  <c r="G1859" i="32"/>
  <c r="A1859" i="32"/>
  <c r="Q1863" i="32" l="1"/>
  <c r="A1861" i="32"/>
  <c r="Q1865" i="32" l="1"/>
  <c r="A1863" i="32"/>
  <c r="Q1867" i="32" l="1"/>
  <c r="G1865" i="32"/>
  <c r="A1865" i="32"/>
  <c r="Q1869" i="32" l="1"/>
  <c r="G1867" i="32"/>
  <c r="A1867" i="32"/>
  <c r="Q1871" i="32" l="1"/>
  <c r="G1869" i="32"/>
  <c r="A1869" i="32"/>
  <c r="Q1873" i="32" l="1"/>
  <c r="G1871" i="32"/>
  <c r="A1871" i="32"/>
  <c r="Q1875" i="32" l="1"/>
  <c r="G1873" i="32"/>
  <c r="A1873" i="32"/>
  <c r="Q1877" i="32" l="1"/>
  <c r="G1875" i="32"/>
  <c r="A1875" i="32"/>
  <c r="Q1879" i="32" l="1"/>
  <c r="G1877" i="32"/>
  <c r="A1877" i="32"/>
  <c r="Q1881" i="32" l="1"/>
  <c r="G1879" i="32"/>
  <c r="A1879" i="32"/>
  <c r="Q1883" i="32" l="1"/>
  <c r="G1881" i="32"/>
  <c r="A1881" i="32"/>
  <c r="Q1885" i="32" l="1"/>
  <c r="G1883" i="32"/>
  <c r="A1883" i="32"/>
  <c r="Q1887" i="32" l="1"/>
  <c r="G1885" i="32"/>
  <c r="A1885" i="32"/>
  <c r="Q1889" i="32" l="1"/>
  <c r="G1887" i="32"/>
  <c r="A1887" i="32"/>
  <c r="Q1891" i="32" l="1"/>
  <c r="G1889" i="32"/>
  <c r="A1889" i="32"/>
  <c r="Q1893" i="32" l="1"/>
  <c r="G1891" i="32"/>
  <c r="A1891" i="32"/>
  <c r="Q1895" i="32" l="1"/>
  <c r="G1893" i="32"/>
  <c r="A1893" i="32"/>
  <c r="Q1897" i="32" l="1"/>
  <c r="G1895" i="32"/>
  <c r="A1895" i="32"/>
  <c r="Q1899" i="32" l="1"/>
  <c r="G1897" i="32"/>
  <c r="A1897" i="32"/>
  <c r="Q1901" i="32" l="1"/>
  <c r="G1899" i="32"/>
  <c r="A1899" i="32"/>
  <c r="Q1903" i="32" l="1"/>
  <c r="G1901" i="32"/>
  <c r="A1901" i="32"/>
  <c r="Q1905" i="32" l="1"/>
  <c r="G1903" i="32"/>
  <c r="A1903" i="32"/>
  <c r="Q1907" i="32" l="1"/>
  <c r="G1905" i="32"/>
  <c r="A1905" i="32"/>
  <c r="Q1909" i="32" l="1"/>
  <c r="G1907" i="32"/>
  <c r="A1907" i="32"/>
  <c r="Q1911" i="32" l="1"/>
  <c r="G1909" i="32"/>
  <c r="A1909" i="32"/>
  <c r="Q1913" i="32" l="1"/>
  <c r="G1911" i="32"/>
  <c r="A1911" i="32"/>
  <c r="Q1915" i="32" l="1"/>
  <c r="G1913" i="32"/>
  <c r="A1913" i="32"/>
  <c r="Q1917" i="32" l="1"/>
  <c r="G1915" i="32"/>
  <c r="A1915" i="32"/>
  <c r="Q1919" i="32" l="1"/>
  <c r="G1917" i="32"/>
  <c r="A1917" i="32"/>
  <c r="Q1921" i="32" l="1"/>
  <c r="G1919" i="32"/>
  <c r="A1919" i="32"/>
  <c r="Q1923" i="32" l="1"/>
  <c r="G1921" i="32"/>
  <c r="A1921" i="32"/>
  <c r="Q1925" i="32" l="1"/>
  <c r="G1923" i="32"/>
  <c r="A1923" i="32"/>
  <c r="Q1927" i="32" l="1"/>
  <c r="G1925" i="32"/>
  <c r="A1925" i="32"/>
  <c r="Q1929" i="32" l="1"/>
  <c r="G1927" i="32"/>
  <c r="A1927" i="32"/>
  <c r="Q1931" i="32" l="1"/>
  <c r="G1929" i="32"/>
  <c r="A1929" i="32"/>
  <c r="Q1933" i="32" l="1"/>
  <c r="G1931" i="32"/>
  <c r="A1931" i="32"/>
  <c r="Q1935" i="32" l="1"/>
  <c r="G1933" i="32"/>
  <c r="A1933" i="32"/>
  <c r="Q1937" i="32" l="1"/>
  <c r="G1935" i="32"/>
  <c r="A1935" i="32"/>
  <c r="Q1939" i="32" l="1"/>
  <c r="G1937" i="32"/>
  <c r="A1937" i="32"/>
  <c r="Q1941" i="32" l="1"/>
  <c r="G1939" i="32"/>
  <c r="A1939" i="32"/>
  <c r="Q1943" i="32" l="1"/>
  <c r="G1941" i="32"/>
  <c r="A1941" i="32"/>
  <c r="Q1945" i="32" l="1"/>
  <c r="G1943" i="32"/>
  <c r="A1943" i="32"/>
  <c r="Q1947" i="32" l="1"/>
  <c r="G1945" i="32"/>
  <c r="A1945" i="32"/>
  <c r="Q1949" i="32" l="1"/>
  <c r="G1947" i="32"/>
  <c r="A1947" i="32"/>
  <c r="Q1951" i="32" l="1"/>
  <c r="G1949" i="32"/>
  <c r="A1949" i="32"/>
  <c r="Q1953" i="32" l="1"/>
  <c r="G1951" i="32"/>
  <c r="A1951" i="32"/>
  <c r="Q1955" i="32" l="1"/>
  <c r="G1953" i="32"/>
  <c r="A1953" i="32"/>
  <c r="Q1957" i="32" l="1"/>
  <c r="G1955" i="32"/>
  <c r="A1955" i="32"/>
  <c r="Q1959" i="32" l="1"/>
  <c r="G1957" i="32"/>
  <c r="A1957" i="32"/>
  <c r="Q1961" i="32" l="1"/>
  <c r="G1959" i="32"/>
  <c r="A1959" i="32"/>
  <c r="Q1963" i="32" l="1"/>
  <c r="G1961" i="32"/>
  <c r="A1961" i="32"/>
  <c r="Q1965" i="32" l="1"/>
  <c r="G1963" i="32"/>
  <c r="A1963" i="32"/>
  <c r="Q1967" i="32" l="1"/>
  <c r="G1965" i="32"/>
  <c r="A1965" i="32"/>
  <c r="Q1969" i="32" l="1"/>
  <c r="G1967" i="32"/>
  <c r="A1967" i="32"/>
  <c r="Q1971" i="32" l="1"/>
  <c r="G1969" i="32"/>
  <c r="A1969" i="32"/>
  <c r="Q1973" i="32" l="1"/>
  <c r="G1971" i="32"/>
  <c r="A1971" i="32"/>
  <c r="Q1975" i="32" l="1"/>
  <c r="G1973" i="32"/>
  <c r="A1973" i="32"/>
  <c r="Q1977" i="32" l="1"/>
  <c r="G1975" i="32"/>
  <c r="A1975" i="32"/>
  <c r="Q1979" i="32" l="1"/>
  <c r="G1977" i="32"/>
  <c r="A1977" i="32"/>
  <c r="Q1981" i="32" l="1"/>
  <c r="G1979" i="32"/>
  <c r="A1979" i="32"/>
  <c r="Q1983" i="32" l="1"/>
  <c r="A1981" i="32"/>
  <c r="Q1985" i="32" l="1"/>
  <c r="A1983" i="32"/>
  <c r="Q1987" i="32" l="1"/>
  <c r="A1985" i="32"/>
  <c r="Q1989" i="32" l="1"/>
  <c r="A1987" i="32"/>
  <c r="Q1991" i="32" l="1"/>
  <c r="G1989" i="32"/>
  <c r="A1989" i="32"/>
  <c r="Q1993" i="32" l="1"/>
  <c r="G1991" i="32"/>
  <c r="A1991" i="32"/>
  <c r="Q1995" i="32" l="1"/>
  <c r="G1993" i="32"/>
  <c r="A1993" i="32"/>
  <c r="Q1997" i="32" l="1"/>
  <c r="G1995" i="32"/>
  <c r="A1995" i="32"/>
  <c r="Q1999" i="32" l="1"/>
  <c r="G1997" i="32"/>
  <c r="A1997" i="32"/>
  <c r="Q2001" i="32" l="1"/>
  <c r="G1999" i="32"/>
  <c r="A1999" i="32"/>
  <c r="Q2003" i="32" l="1"/>
  <c r="G2001" i="32"/>
  <c r="A2001" i="32"/>
  <c r="Q2005" i="32" l="1"/>
  <c r="G2003" i="32"/>
  <c r="A2003" i="32"/>
  <c r="Q2007" i="32" l="1"/>
  <c r="G2005" i="32"/>
  <c r="A2005" i="32"/>
  <c r="Q2009" i="32" l="1"/>
  <c r="G2007" i="32"/>
  <c r="A2007" i="32"/>
  <c r="Q2011" i="32" l="1"/>
  <c r="G2009" i="32"/>
  <c r="A2009" i="32"/>
  <c r="Q2013" i="32" l="1"/>
  <c r="G2011" i="32"/>
  <c r="A2011" i="32"/>
  <c r="Q2015" i="32" l="1"/>
  <c r="G2013" i="32"/>
  <c r="A2013" i="32"/>
  <c r="Q2017" i="32" l="1"/>
  <c r="G2015" i="32"/>
  <c r="A2015" i="32"/>
  <c r="Q2019" i="32" l="1"/>
  <c r="G2017" i="32"/>
  <c r="A2017" i="32"/>
  <c r="Q2021" i="32" l="1"/>
  <c r="G2019" i="32"/>
  <c r="A2019" i="32"/>
  <c r="Q2023" i="32" l="1"/>
  <c r="G2021" i="32"/>
  <c r="A2021" i="32"/>
  <c r="Q2025" i="32" l="1"/>
  <c r="G2023" i="32"/>
  <c r="A2023" i="32"/>
  <c r="Q2027" i="32" l="1"/>
  <c r="G2025" i="32"/>
  <c r="A2025" i="32"/>
  <c r="Q2029" i="32" l="1"/>
  <c r="G2027" i="32"/>
  <c r="A2027" i="32"/>
  <c r="Q2031" i="32" l="1"/>
  <c r="G2029" i="32"/>
  <c r="A2029" i="32"/>
  <c r="Q2033" i="32" l="1"/>
  <c r="G2031" i="32"/>
  <c r="A2031" i="32"/>
  <c r="Q2035" i="32" l="1"/>
  <c r="G2033" i="32"/>
  <c r="A2033" i="32"/>
  <c r="Q2037" i="32" l="1"/>
  <c r="G2035" i="32"/>
  <c r="A2035" i="32"/>
  <c r="Q2039" i="32" l="1"/>
  <c r="G2037" i="32"/>
  <c r="A2037" i="32"/>
  <c r="Q2041" i="32" l="1"/>
  <c r="G2039" i="32"/>
  <c r="A2039" i="32"/>
  <c r="Q2043" i="32" l="1"/>
  <c r="G2041" i="32"/>
  <c r="A2041" i="32"/>
  <c r="Q2045" i="32" l="1"/>
  <c r="G2043" i="32"/>
  <c r="A2043" i="32"/>
  <c r="Q2047" i="32" l="1"/>
  <c r="G2045" i="32"/>
  <c r="A2045" i="32"/>
  <c r="Q2049" i="32" l="1"/>
  <c r="G2047" i="32"/>
  <c r="A2047" i="32"/>
  <c r="Q2051" i="32" l="1"/>
  <c r="G2049" i="32"/>
  <c r="A2049" i="32"/>
  <c r="Q2053" i="32" l="1"/>
  <c r="G2051" i="32"/>
  <c r="A2051" i="32"/>
  <c r="Q2055" i="32" l="1"/>
  <c r="G2053" i="32"/>
  <c r="A2053" i="32"/>
  <c r="Q2057" i="32" l="1"/>
  <c r="G2055" i="32"/>
  <c r="A2055" i="32"/>
  <c r="Q2059" i="32" l="1"/>
  <c r="G2057" i="32"/>
  <c r="A2057" i="32"/>
  <c r="Q2061" i="32" l="1"/>
  <c r="G2059" i="32"/>
  <c r="A2059" i="32"/>
  <c r="Q2063" i="32" l="1"/>
  <c r="G2061" i="32"/>
  <c r="A2061" i="32"/>
  <c r="Q2065" i="32" l="1"/>
  <c r="G2063" i="32"/>
  <c r="A2063" i="32"/>
  <c r="Q2067" i="32" l="1"/>
  <c r="G2065" i="32"/>
  <c r="A2065" i="32"/>
  <c r="Q2069" i="32" l="1"/>
  <c r="G2067" i="32"/>
  <c r="A2067" i="32"/>
  <c r="Q2071" i="32" l="1"/>
  <c r="G2069" i="32"/>
  <c r="A2069" i="32"/>
  <c r="Q2073" i="32" l="1"/>
  <c r="G2071" i="32"/>
  <c r="A2071" i="32"/>
  <c r="Q2075" i="32" l="1"/>
  <c r="G2073" i="32"/>
  <c r="A2073" i="32"/>
  <c r="Q2077" i="32" l="1"/>
  <c r="G2075" i="32"/>
  <c r="A2075" i="32"/>
  <c r="Q2079" i="32" l="1"/>
  <c r="G2077" i="32"/>
  <c r="A2077" i="32"/>
  <c r="Q2081" i="32" l="1"/>
  <c r="G2079" i="32"/>
  <c r="A2079" i="32"/>
  <c r="Q2083" i="32" l="1"/>
  <c r="G2081" i="32"/>
  <c r="A2081" i="32"/>
  <c r="Q2085" i="32" l="1"/>
  <c r="G2083" i="32"/>
  <c r="A2083" i="32"/>
  <c r="Q2087" i="32" l="1"/>
  <c r="G2085" i="32"/>
  <c r="A2085" i="32"/>
  <c r="Q2089" i="32" l="1"/>
  <c r="G2087" i="32"/>
  <c r="A2087" i="32"/>
  <c r="Q2091" i="32" l="1"/>
  <c r="G2089" i="32"/>
  <c r="A2089" i="32"/>
  <c r="Q2093" i="32" l="1"/>
  <c r="G2091" i="32"/>
  <c r="A2091" i="32"/>
  <c r="Q2095" i="32" l="1"/>
  <c r="G2093" i="32"/>
  <c r="A2093" i="32"/>
  <c r="Q2097" i="32" l="1"/>
  <c r="G2095" i="32"/>
  <c r="A2095" i="32"/>
  <c r="Q2099" i="32" l="1"/>
  <c r="G2097" i="32"/>
  <c r="A2097" i="32"/>
  <c r="Q2101" i="32" l="1"/>
  <c r="G2099" i="32"/>
  <c r="A2099" i="32"/>
  <c r="Q2103" i="32" l="1"/>
  <c r="G2101" i="32"/>
  <c r="A2101" i="32"/>
  <c r="Q2105" i="32" l="1"/>
  <c r="G2103" i="32"/>
  <c r="A2103" i="32"/>
  <c r="Q2107" i="32" l="1"/>
  <c r="G2105" i="32"/>
  <c r="A2105" i="32"/>
  <c r="Q2109" i="32" l="1"/>
  <c r="G2107" i="32"/>
  <c r="A2107" i="32"/>
  <c r="Q2111" i="32" l="1"/>
  <c r="G2109" i="32"/>
  <c r="A2109" i="32"/>
  <c r="Q2113" i="32" l="1"/>
  <c r="G2111" i="32"/>
  <c r="A2111" i="32"/>
  <c r="Q2115" i="32" l="1"/>
  <c r="G2113" i="32"/>
  <c r="A2113" i="32"/>
  <c r="Q2117" i="32" l="1"/>
  <c r="G2115" i="32"/>
  <c r="A2115" i="32"/>
  <c r="Q2119" i="32" l="1"/>
  <c r="G2117" i="32"/>
  <c r="A2117" i="32"/>
  <c r="Q2121" i="32" l="1"/>
  <c r="G2119" i="32"/>
  <c r="A2119" i="32"/>
  <c r="Q2123" i="32" l="1"/>
  <c r="G2121" i="32"/>
  <c r="A2121" i="32"/>
  <c r="Q2125" i="32" l="1"/>
  <c r="G2123" i="32"/>
  <c r="A2123" i="32"/>
  <c r="Q2127" i="32" l="1"/>
  <c r="G2125" i="32"/>
  <c r="A2125" i="32"/>
  <c r="Q2129" i="32" l="1"/>
  <c r="G2127" i="32"/>
  <c r="A2127" i="32"/>
  <c r="Q2131" i="32" l="1"/>
  <c r="G2129" i="32"/>
  <c r="A2129" i="32"/>
  <c r="Q2133" i="32" l="1"/>
  <c r="G2131" i="32"/>
  <c r="A2131" i="32"/>
  <c r="Q2135" i="32" l="1"/>
  <c r="G2133" i="32"/>
  <c r="A2133" i="32"/>
  <c r="Q2137" i="32" l="1"/>
  <c r="G2135" i="32"/>
  <c r="A2135" i="32"/>
  <c r="Q2139" i="32" l="1"/>
  <c r="G2137" i="32"/>
  <c r="A2137" i="32"/>
  <c r="Q2141" i="32" l="1"/>
  <c r="G2139" i="32"/>
  <c r="A2139" i="32"/>
  <c r="Q2143" i="32" l="1"/>
  <c r="G2141" i="32"/>
  <c r="A2141" i="32"/>
  <c r="Q2145" i="32" l="1"/>
  <c r="G2143" i="32"/>
  <c r="A2143" i="32"/>
  <c r="Q2147" i="32" l="1"/>
  <c r="A2145" i="32"/>
  <c r="Q2149" i="32" l="1"/>
  <c r="A2147" i="32"/>
  <c r="Q2151" i="32" l="1"/>
  <c r="A2149" i="32"/>
  <c r="Q2153" i="32" l="1"/>
  <c r="A2151" i="32"/>
  <c r="Q2155" i="32" l="1"/>
  <c r="A2153" i="32"/>
  <c r="Q2157" i="32" l="1"/>
  <c r="G2155" i="32"/>
  <c r="A2155" i="32"/>
  <c r="Q2159" i="32" l="1"/>
  <c r="G2157" i="32"/>
  <c r="A2157" i="32"/>
  <c r="Q2161" i="32" l="1"/>
  <c r="G2159" i="32"/>
  <c r="A2159" i="32"/>
  <c r="Q2163" i="32" l="1"/>
  <c r="G2161" i="32"/>
  <c r="A2161" i="32"/>
  <c r="Q2165" i="32" l="1"/>
  <c r="G2163" i="32"/>
  <c r="A2163" i="32"/>
  <c r="Q2167" i="32" l="1"/>
  <c r="G2165" i="32"/>
  <c r="A2165" i="32"/>
  <c r="Q2169" i="32" l="1"/>
  <c r="G2167" i="32"/>
  <c r="A2167" i="32"/>
  <c r="Q2171" i="32" l="1"/>
  <c r="G2169" i="32"/>
  <c r="A2169" i="32"/>
  <c r="Q2173" i="32" l="1"/>
  <c r="G2171" i="32"/>
  <c r="A2171" i="32"/>
  <c r="Q2175" i="32" l="1"/>
  <c r="G2173" i="32"/>
  <c r="A2173" i="32"/>
  <c r="Q2177" i="32" l="1"/>
  <c r="G2175" i="32"/>
  <c r="A2175" i="32"/>
  <c r="Q2179" i="32" l="1"/>
  <c r="G2177" i="32"/>
  <c r="A2177" i="32"/>
  <c r="Q2181" i="32" l="1"/>
  <c r="G2179" i="32"/>
  <c r="A2179" i="32"/>
  <c r="Q2183" i="32" l="1"/>
  <c r="G2181" i="32"/>
  <c r="A2181" i="32"/>
  <c r="Q2185" i="32" l="1"/>
  <c r="G2183" i="32"/>
  <c r="A2183" i="32"/>
  <c r="Q2187" i="32" l="1"/>
  <c r="G2185" i="32"/>
  <c r="A2185" i="32"/>
  <c r="Q2189" i="32" l="1"/>
  <c r="G2187" i="32"/>
  <c r="A2187" i="32"/>
  <c r="Q2191" i="32" l="1"/>
  <c r="G2189" i="32"/>
  <c r="A2189" i="32"/>
  <c r="Q2193" i="32" l="1"/>
  <c r="G2191" i="32"/>
  <c r="A2191" i="32"/>
  <c r="Q2195" i="32" l="1"/>
  <c r="G2193" i="32"/>
  <c r="A2193" i="32"/>
  <c r="Q2197" i="32" l="1"/>
  <c r="G2195" i="32"/>
  <c r="A2195" i="32"/>
  <c r="Q2199" i="32" l="1"/>
  <c r="G2197" i="32"/>
  <c r="A2197" i="32"/>
  <c r="Q2201" i="32" l="1"/>
  <c r="G2199" i="32"/>
  <c r="A2199" i="32"/>
  <c r="Q2203" i="32" l="1"/>
  <c r="G2201" i="32"/>
  <c r="A2201" i="32"/>
  <c r="Q2205" i="32" l="1"/>
  <c r="G2203" i="32"/>
  <c r="A2203" i="32"/>
  <c r="Q2207" i="32" l="1"/>
  <c r="G2205" i="32"/>
  <c r="A2205" i="32"/>
  <c r="Q2209" i="32" l="1"/>
  <c r="G2207" i="32"/>
  <c r="A2207" i="32"/>
  <c r="Q2211" i="32" l="1"/>
  <c r="G2209" i="32"/>
  <c r="A2209" i="32"/>
  <c r="Q2213" i="32" l="1"/>
  <c r="G2211" i="32"/>
  <c r="A2211" i="32"/>
  <c r="Q2215" i="32" l="1"/>
  <c r="G2213" i="32"/>
  <c r="A2213" i="32"/>
  <c r="Q2217" i="32" l="1"/>
  <c r="G2215" i="32"/>
  <c r="A2215" i="32"/>
  <c r="Q2219" i="32" l="1"/>
  <c r="G2217" i="32"/>
  <c r="A2217" i="32"/>
  <c r="Q2221" i="32" l="1"/>
  <c r="G2219" i="32"/>
  <c r="A2219" i="32"/>
  <c r="Q2223" i="32" l="1"/>
  <c r="G2221" i="32"/>
  <c r="A2221" i="32"/>
  <c r="Q2225" i="32" l="1"/>
  <c r="G2223" i="32"/>
  <c r="A2223" i="32"/>
  <c r="Q2227" i="32" l="1"/>
  <c r="G2225" i="32"/>
  <c r="A2225" i="32"/>
  <c r="Q2229" i="32" l="1"/>
  <c r="G2227" i="32"/>
  <c r="A2227" i="32"/>
  <c r="Q2231" i="32" l="1"/>
  <c r="G2229" i="32"/>
  <c r="A2229" i="32"/>
  <c r="Q2233" i="32" l="1"/>
  <c r="G2231" i="32"/>
  <c r="A2231" i="32"/>
  <c r="Q2235" i="32" l="1"/>
  <c r="G2233" i="32"/>
  <c r="A2233" i="32"/>
  <c r="Q2237" i="32" l="1"/>
  <c r="G2235" i="32"/>
  <c r="A2235" i="32"/>
  <c r="Q2239" i="32" l="1"/>
  <c r="G2237" i="32"/>
  <c r="A2237" i="32"/>
  <c r="Q2241" i="32" l="1"/>
  <c r="G2239" i="32"/>
  <c r="A2239" i="32"/>
  <c r="Q2243" i="32" l="1"/>
  <c r="G2241" i="32"/>
  <c r="A2241" i="32"/>
  <c r="Q2245" i="32" l="1"/>
  <c r="G2243" i="32"/>
  <c r="A2243" i="32"/>
  <c r="Q2247" i="32" l="1"/>
  <c r="G2245" i="32"/>
  <c r="A2245" i="32"/>
  <c r="Q2249" i="32" l="1"/>
  <c r="G2247" i="32"/>
  <c r="A2247" i="32"/>
  <c r="Q2251" i="32" l="1"/>
  <c r="G2249" i="32"/>
  <c r="A2249" i="32"/>
  <c r="Q2253" i="32" l="1"/>
  <c r="G2251" i="32"/>
  <c r="A2251" i="32"/>
  <c r="Q2255" i="32" l="1"/>
  <c r="G2253" i="32"/>
  <c r="A2253" i="32"/>
  <c r="Q2257" i="32" l="1"/>
  <c r="G2255" i="32"/>
  <c r="A2255" i="32"/>
  <c r="Q2259" i="32" l="1"/>
  <c r="G2257" i="32"/>
  <c r="A2257" i="32"/>
  <c r="Q2261" i="32" l="1"/>
  <c r="G2259" i="32"/>
  <c r="A2259" i="32"/>
  <c r="Q2263" i="32" l="1"/>
  <c r="G2261" i="32"/>
  <c r="A2261" i="32"/>
  <c r="Q2265" i="32" l="1"/>
  <c r="G2263" i="32"/>
  <c r="A2263" i="32"/>
  <c r="Q2267" i="32" l="1"/>
  <c r="G2265" i="32"/>
  <c r="A2265" i="32"/>
  <c r="Q2269" i="32" l="1"/>
  <c r="G2267" i="32"/>
  <c r="A2267" i="32"/>
  <c r="Q2271" i="32" l="1"/>
  <c r="G2269" i="32"/>
  <c r="A2269" i="32"/>
  <c r="Q2273" i="32" l="1"/>
  <c r="G2271" i="32"/>
  <c r="A2271" i="32"/>
  <c r="Q2275" i="32" l="1"/>
  <c r="G2273" i="32"/>
  <c r="A2273" i="32"/>
  <c r="Q2277" i="32" l="1"/>
  <c r="G2275" i="32"/>
  <c r="A2275" i="32"/>
  <c r="Q2279" i="32" l="1"/>
  <c r="G2277" i="32"/>
  <c r="A2277" i="32"/>
  <c r="Q2281" i="32" l="1"/>
  <c r="G2279" i="32"/>
  <c r="A2279" i="32"/>
  <c r="Q2283" i="32" l="1"/>
  <c r="G2281" i="32"/>
  <c r="A2281" i="32"/>
  <c r="Q2285" i="32" l="1"/>
  <c r="G2283" i="32"/>
  <c r="A2283" i="32"/>
  <c r="Q2287" i="32" l="1"/>
  <c r="G2285" i="32"/>
  <c r="A2285" i="32"/>
  <c r="Q2289" i="32" l="1"/>
  <c r="G2287" i="32"/>
  <c r="A2287" i="32"/>
  <c r="Q2291" i="32" l="1"/>
  <c r="G2289" i="32"/>
  <c r="A2289" i="32"/>
  <c r="Q2293" i="32" l="1"/>
  <c r="G2291" i="32"/>
  <c r="A2291" i="32"/>
  <c r="Q2295" i="32" l="1"/>
  <c r="G2293" i="32"/>
  <c r="A2293" i="32"/>
  <c r="Q2297" i="32" l="1"/>
  <c r="G2295" i="32"/>
  <c r="A2295" i="32"/>
  <c r="G2297" i="32" l="1"/>
  <c r="A2297" i="32"/>
  <c r="C4022" i="27" l="1"/>
  <c r="C4021" i="27"/>
  <c r="C4020" i="27"/>
  <c r="C4019" i="27"/>
  <c r="C4018" i="27"/>
  <c r="C4017" i="27"/>
  <c r="C4016" i="27"/>
  <c r="C4015" i="27"/>
  <c r="C4014" i="27"/>
  <c r="C4013" i="27"/>
  <c r="C4012" i="27"/>
  <c r="C4011" i="27"/>
  <c r="C4010" i="27"/>
  <c r="C4009" i="27"/>
  <c r="C4008" i="27"/>
  <c r="C4007" i="27"/>
  <c r="C4006" i="27"/>
  <c r="C4005" i="27"/>
  <c r="C4004" i="27"/>
  <c r="C4003" i="27"/>
  <c r="C4002" i="27"/>
  <c r="C4001" i="27"/>
  <c r="C4000" i="27"/>
  <c r="C3999" i="27"/>
  <c r="C3998" i="27"/>
  <c r="C3997" i="27"/>
  <c r="C3996" i="27"/>
  <c r="C3995" i="27"/>
  <c r="C3994" i="27"/>
  <c r="C3993" i="27"/>
  <c r="C3992" i="27"/>
  <c r="C3991" i="27"/>
  <c r="C3990" i="27"/>
  <c r="C3989" i="27"/>
  <c r="C3988" i="27"/>
  <c r="C3987" i="27"/>
  <c r="C3986" i="27"/>
  <c r="C3985" i="27"/>
  <c r="C3984" i="27"/>
  <c r="C3983" i="27"/>
  <c r="C3982" i="27"/>
  <c r="C3981" i="27"/>
  <c r="C3980" i="27"/>
  <c r="C3979" i="27"/>
  <c r="C3978" i="27"/>
  <c r="C3977" i="27"/>
  <c r="C3976" i="27"/>
  <c r="C3975" i="27"/>
  <c r="C3974" i="27"/>
  <c r="C3973" i="27"/>
  <c r="C3972" i="27"/>
  <c r="C3971" i="27"/>
  <c r="C3970" i="27"/>
  <c r="C3969" i="27"/>
  <c r="C3968" i="27"/>
  <c r="C3967" i="27"/>
  <c r="C3966" i="27"/>
  <c r="C3965" i="27"/>
  <c r="C3964" i="27"/>
  <c r="C3963" i="27"/>
  <c r="C3962" i="27"/>
  <c r="C3961" i="27"/>
  <c r="C3960" i="27"/>
  <c r="C3959" i="27"/>
  <c r="C3958" i="27"/>
  <c r="C3957" i="27"/>
  <c r="C3956" i="27"/>
  <c r="C3955" i="27"/>
  <c r="C3954" i="27"/>
  <c r="C3953" i="27"/>
  <c r="C3952" i="27"/>
  <c r="C3951" i="27"/>
  <c r="C3950" i="27"/>
  <c r="C3949" i="27"/>
  <c r="C3948" i="27"/>
  <c r="C3947" i="27"/>
  <c r="C3946" i="27"/>
  <c r="C3945" i="27"/>
  <c r="C3944" i="27"/>
  <c r="C3943" i="27"/>
  <c r="C3942" i="27"/>
  <c r="C3941" i="27"/>
  <c r="C3940" i="27"/>
  <c r="C3939" i="27"/>
  <c r="C3938" i="27"/>
  <c r="C3937" i="27"/>
  <c r="C3936" i="27"/>
  <c r="C3935" i="27"/>
  <c r="C3934" i="27"/>
  <c r="C3933" i="27"/>
  <c r="C3932" i="27"/>
  <c r="C3931" i="27"/>
  <c r="C3930" i="27"/>
  <c r="C3929" i="27"/>
  <c r="C3928" i="27"/>
  <c r="C3927" i="27"/>
  <c r="C3926" i="27"/>
  <c r="C3925" i="27"/>
  <c r="C3924" i="27"/>
  <c r="C3923" i="27"/>
  <c r="C3922" i="27"/>
  <c r="C3921" i="27"/>
  <c r="C3920" i="27"/>
  <c r="C3919" i="27"/>
  <c r="C3918" i="27"/>
  <c r="C3917" i="27"/>
  <c r="C3916" i="27"/>
  <c r="C3915" i="27"/>
  <c r="C3914" i="27"/>
  <c r="C3913" i="27"/>
  <c r="C3912" i="27"/>
  <c r="C3911" i="27"/>
  <c r="C3910" i="27"/>
  <c r="C3909" i="27"/>
  <c r="C3908" i="27"/>
  <c r="C3907" i="27"/>
  <c r="C3906" i="27"/>
  <c r="C3905" i="27"/>
  <c r="C3904" i="27"/>
  <c r="C3903" i="27"/>
  <c r="C3902" i="27"/>
  <c r="C3901" i="27"/>
  <c r="C3900" i="27"/>
  <c r="C3899" i="27"/>
  <c r="C3898" i="27"/>
  <c r="C3897" i="27"/>
  <c r="C3896" i="27"/>
  <c r="C3895" i="27"/>
  <c r="C3894" i="27"/>
  <c r="C3893" i="27"/>
  <c r="C3892" i="27"/>
  <c r="C3891" i="27"/>
  <c r="C3890" i="27"/>
  <c r="C3889" i="27"/>
  <c r="C3888" i="27"/>
  <c r="C3887" i="27"/>
  <c r="C3886" i="27"/>
  <c r="C3885" i="27"/>
  <c r="C3884" i="27"/>
  <c r="C3883" i="27"/>
  <c r="C3882" i="27"/>
  <c r="C3881" i="27"/>
  <c r="C3880" i="27"/>
  <c r="C3879" i="27"/>
  <c r="C3878" i="27"/>
  <c r="C3877" i="27"/>
  <c r="C3876" i="27"/>
  <c r="C3875" i="27"/>
  <c r="C3874" i="27"/>
  <c r="C3873" i="27"/>
  <c r="C3872" i="27"/>
  <c r="C3871" i="27"/>
  <c r="C3870" i="27"/>
  <c r="C3869" i="27"/>
  <c r="C3868" i="27"/>
  <c r="C3867" i="27"/>
  <c r="C3866" i="27"/>
  <c r="C3865" i="27"/>
  <c r="C3864" i="27"/>
  <c r="C3863" i="27"/>
  <c r="C3862" i="27"/>
  <c r="C3861" i="27"/>
  <c r="C3860" i="27"/>
  <c r="C3859" i="27"/>
  <c r="C3858" i="27"/>
  <c r="C3857" i="27"/>
  <c r="C3856" i="27"/>
  <c r="C3855" i="27"/>
  <c r="C3854" i="27"/>
  <c r="C3853" i="27"/>
  <c r="C3852" i="27"/>
  <c r="C3851" i="27"/>
  <c r="C3850" i="27"/>
  <c r="C3849" i="27"/>
  <c r="C3848" i="27"/>
  <c r="C3847" i="27"/>
  <c r="C3846" i="27"/>
  <c r="C3845" i="27"/>
  <c r="C3844" i="27"/>
  <c r="C3843" i="27"/>
  <c r="C3842" i="27"/>
  <c r="C3841" i="27"/>
  <c r="C3840" i="27"/>
  <c r="C3839" i="27"/>
  <c r="C3838" i="27"/>
  <c r="C3837" i="27"/>
  <c r="C3836" i="27"/>
  <c r="C3835" i="27"/>
  <c r="C3834" i="27"/>
  <c r="C3833" i="27"/>
  <c r="C3832" i="27"/>
  <c r="C3831" i="27"/>
  <c r="C3830" i="27"/>
  <c r="C3829" i="27"/>
  <c r="C3828" i="27"/>
  <c r="C3827" i="27"/>
  <c r="C3826" i="27"/>
  <c r="C3825" i="27"/>
  <c r="C3824" i="27"/>
  <c r="C3823" i="27"/>
  <c r="C3822" i="27"/>
  <c r="C3821" i="27"/>
  <c r="C3820" i="27"/>
  <c r="C3819" i="27"/>
  <c r="C3818" i="27"/>
  <c r="C3817" i="27"/>
  <c r="C3816" i="27"/>
  <c r="C3815" i="27"/>
  <c r="C3814" i="27"/>
  <c r="C3813" i="27"/>
  <c r="C3812" i="27"/>
  <c r="C3811" i="27"/>
  <c r="C3810" i="27"/>
  <c r="C3809" i="27"/>
  <c r="C3808" i="27"/>
  <c r="C3807" i="27"/>
  <c r="C3806" i="27"/>
  <c r="C3805" i="27"/>
  <c r="C3804" i="27"/>
  <c r="C3803" i="27"/>
  <c r="C3802" i="27"/>
  <c r="C3801" i="27"/>
  <c r="C3800" i="27"/>
  <c r="C3799" i="27"/>
  <c r="C3798" i="27"/>
  <c r="C3797" i="27"/>
  <c r="C3796" i="27"/>
  <c r="C3795" i="27"/>
  <c r="C3794" i="27"/>
  <c r="C3793" i="27"/>
  <c r="C3792" i="27"/>
  <c r="C3791" i="27"/>
  <c r="C3790" i="27"/>
  <c r="C3789" i="27"/>
  <c r="C3788" i="27"/>
  <c r="C3787" i="27"/>
  <c r="C3786" i="27"/>
  <c r="C3785" i="27"/>
  <c r="C3784" i="27"/>
  <c r="C3783" i="27"/>
  <c r="C3782" i="27"/>
  <c r="C3781" i="27"/>
  <c r="C3780" i="27"/>
  <c r="C3779" i="27"/>
  <c r="C3778" i="27"/>
  <c r="C3777" i="27"/>
  <c r="C3776" i="27"/>
  <c r="C3775" i="27"/>
  <c r="C3774" i="27"/>
  <c r="C3773" i="27"/>
  <c r="C3772" i="27"/>
  <c r="C3771" i="27"/>
  <c r="C3770" i="27"/>
  <c r="C3769" i="27"/>
  <c r="C3768" i="27"/>
  <c r="C3767" i="27"/>
  <c r="C3766" i="27"/>
  <c r="C3765" i="27"/>
  <c r="C3764" i="27"/>
  <c r="C3763" i="27"/>
  <c r="C3762" i="27"/>
  <c r="C3761" i="27"/>
  <c r="C3760" i="27"/>
  <c r="C3759" i="27"/>
  <c r="C3758" i="27"/>
  <c r="C3757" i="27"/>
  <c r="C3756" i="27"/>
  <c r="C3755" i="27"/>
  <c r="C3754" i="27"/>
  <c r="C3753" i="27"/>
  <c r="C3752" i="27"/>
  <c r="C3751" i="27"/>
  <c r="C3750" i="27"/>
  <c r="C3749" i="27"/>
  <c r="C3748" i="27"/>
  <c r="C3747" i="27"/>
  <c r="C3746" i="27"/>
  <c r="C3745" i="27"/>
  <c r="C3744" i="27"/>
  <c r="C3743" i="27"/>
  <c r="C3742" i="27"/>
  <c r="C3741" i="27"/>
  <c r="C3740" i="27"/>
  <c r="C3739" i="27"/>
  <c r="C3738" i="27"/>
  <c r="C3737" i="27"/>
  <c r="C3736" i="27"/>
  <c r="C3735" i="27"/>
  <c r="C3734" i="27"/>
  <c r="C3733" i="27"/>
  <c r="C3732" i="27"/>
  <c r="C3731" i="27"/>
  <c r="C3730" i="27"/>
  <c r="C3729" i="27"/>
  <c r="C3728" i="27"/>
  <c r="C3727" i="27"/>
  <c r="C3726" i="27"/>
  <c r="C3725" i="27"/>
  <c r="C3724" i="27"/>
  <c r="C3723" i="27"/>
  <c r="C3722" i="27"/>
  <c r="C3721" i="27"/>
  <c r="C3720" i="27"/>
  <c r="C3719" i="27"/>
  <c r="C3718" i="27"/>
  <c r="C3717" i="27"/>
  <c r="C3716" i="27"/>
  <c r="C3715" i="27"/>
  <c r="C3714" i="27"/>
  <c r="C3713" i="27"/>
  <c r="C3712" i="27"/>
  <c r="C3711" i="27"/>
  <c r="C3710" i="27"/>
  <c r="C3709" i="27"/>
  <c r="C3708" i="27"/>
  <c r="C3707" i="27"/>
  <c r="C3706" i="27"/>
  <c r="C3705" i="27"/>
  <c r="C3704" i="27"/>
  <c r="C3703" i="27"/>
  <c r="C3702" i="27"/>
  <c r="C3701" i="27"/>
  <c r="C3700" i="27"/>
  <c r="C3699" i="27"/>
  <c r="C3698" i="27"/>
  <c r="C3697" i="27"/>
  <c r="C3696" i="27"/>
  <c r="C3695" i="27"/>
  <c r="C3694" i="27"/>
  <c r="C3693" i="27"/>
  <c r="C3692" i="27"/>
  <c r="C3691" i="27"/>
  <c r="C3690" i="27"/>
  <c r="C3689" i="27"/>
  <c r="C3688" i="27"/>
  <c r="C3687" i="27"/>
  <c r="C3686" i="27"/>
  <c r="C3685" i="27"/>
  <c r="C3684" i="27"/>
  <c r="C3683" i="27"/>
  <c r="C3682" i="27"/>
  <c r="C3681" i="27"/>
  <c r="C3680" i="27"/>
  <c r="C3679" i="27"/>
  <c r="C3678" i="27"/>
  <c r="C3677" i="27"/>
  <c r="C3676" i="27"/>
  <c r="C3675" i="27"/>
  <c r="C3674" i="27"/>
  <c r="C3673" i="27"/>
  <c r="C3672" i="27"/>
  <c r="C3671" i="27"/>
  <c r="C3670" i="27"/>
  <c r="C3669" i="27"/>
  <c r="C3668" i="27"/>
  <c r="C3667" i="27"/>
  <c r="C3666" i="27"/>
  <c r="C3665" i="27"/>
  <c r="C3664" i="27"/>
  <c r="C3663" i="27"/>
  <c r="C3662" i="27"/>
  <c r="C3661" i="27"/>
  <c r="C3660" i="27"/>
  <c r="C3659" i="27"/>
  <c r="C3658" i="27"/>
  <c r="C3657" i="27"/>
  <c r="C3656" i="27"/>
  <c r="C3655" i="27"/>
  <c r="C3654" i="27"/>
  <c r="C3653" i="27"/>
  <c r="C3652" i="27"/>
  <c r="C3651" i="27"/>
  <c r="C3650" i="27"/>
  <c r="C3649" i="27"/>
  <c r="C3648" i="27"/>
  <c r="C3647" i="27"/>
  <c r="C3646" i="27"/>
  <c r="C3645" i="27"/>
  <c r="C3644" i="27"/>
  <c r="C3643" i="27"/>
  <c r="C3642" i="27"/>
  <c r="C3641" i="27"/>
  <c r="C3640" i="27"/>
  <c r="C3639" i="27"/>
  <c r="C3638" i="27"/>
  <c r="C3637" i="27"/>
  <c r="C3636" i="27"/>
  <c r="C3635" i="27"/>
  <c r="C3634" i="27"/>
  <c r="C3633" i="27"/>
  <c r="C3632" i="27"/>
  <c r="C3631" i="27"/>
  <c r="C3630" i="27"/>
  <c r="C3629" i="27"/>
  <c r="C3628" i="27"/>
  <c r="C3627" i="27"/>
  <c r="C3626" i="27"/>
  <c r="C3625" i="27"/>
  <c r="C3624" i="27"/>
  <c r="C3623" i="27"/>
  <c r="C3622" i="27"/>
  <c r="C3621" i="27"/>
  <c r="C3620" i="27"/>
  <c r="C3619" i="27"/>
  <c r="C3618" i="27"/>
  <c r="C3617" i="27"/>
  <c r="C3616" i="27"/>
  <c r="C3615" i="27"/>
  <c r="C3614" i="27"/>
  <c r="C3613" i="27"/>
  <c r="C3612" i="27"/>
  <c r="C3611" i="27"/>
  <c r="C3610" i="27"/>
  <c r="C3609" i="27"/>
  <c r="C3608" i="27"/>
  <c r="C3607" i="27"/>
  <c r="C3606" i="27"/>
  <c r="C3605" i="27"/>
  <c r="C3604" i="27"/>
  <c r="C3603" i="27"/>
  <c r="C3602" i="27"/>
  <c r="C3601" i="27"/>
  <c r="C3600" i="27"/>
  <c r="C3599" i="27"/>
  <c r="C3598" i="27"/>
  <c r="C3597" i="27"/>
  <c r="C3596" i="27"/>
  <c r="C3595" i="27"/>
  <c r="C3594" i="27"/>
  <c r="C3593" i="27"/>
  <c r="C3592" i="27"/>
  <c r="C3591" i="27"/>
  <c r="C3590" i="27"/>
  <c r="C3589" i="27"/>
  <c r="C3588" i="27"/>
  <c r="C3587" i="27"/>
  <c r="C3586" i="27"/>
  <c r="C3585" i="27"/>
  <c r="C3584" i="27"/>
  <c r="C3583" i="27"/>
  <c r="C3582" i="27"/>
  <c r="C3581" i="27"/>
  <c r="C3580" i="27"/>
  <c r="C3579" i="27"/>
  <c r="C3578" i="27"/>
  <c r="C3577" i="27"/>
  <c r="C3576" i="27"/>
  <c r="C3575" i="27"/>
  <c r="C3574" i="27"/>
  <c r="C3573" i="27"/>
  <c r="C3572" i="27"/>
  <c r="C3571" i="27"/>
  <c r="C3570" i="27"/>
  <c r="C3569" i="27"/>
  <c r="C3568" i="27"/>
  <c r="C3567" i="27"/>
  <c r="C3566" i="27"/>
  <c r="C3565" i="27"/>
  <c r="C3564" i="27"/>
  <c r="C3563" i="27"/>
  <c r="C3562" i="27"/>
  <c r="C3561" i="27"/>
  <c r="C3560" i="27"/>
  <c r="C3559" i="27"/>
  <c r="C3558" i="27"/>
  <c r="C3557" i="27"/>
  <c r="C3556" i="27"/>
  <c r="C3555" i="27"/>
  <c r="C3554" i="27"/>
  <c r="C3553" i="27"/>
  <c r="C3552" i="27"/>
  <c r="C3551" i="27"/>
  <c r="C3550" i="27"/>
  <c r="C3549" i="27"/>
  <c r="C3548" i="27"/>
  <c r="F3548" i="27" s="1"/>
  <c r="C3547" i="27"/>
  <c r="C3546" i="27"/>
  <c r="C3545" i="27"/>
  <c r="C3544" i="27"/>
  <c r="C3543" i="27"/>
  <c r="B4022" i="27"/>
  <c r="B4021" i="27"/>
  <c r="B4020" i="27"/>
  <c r="B4019" i="27"/>
  <c r="B4018" i="27"/>
  <c r="B4017" i="27"/>
  <c r="B4016" i="27"/>
  <c r="B4015" i="27"/>
  <c r="B4014" i="27"/>
  <c r="B4013" i="27"/>
  <c r="B4012" i="27"/>
  <c r="B4011" i="27"/>
  <c r="B4010" i="27"/>
  <c r="B4009" i="27"/>
  <c r="B4008" i="27"/>
  <c r="B4007" i="27"/>
  <c r="B4006" i="27"/>
  <c r="B4005" i="27"/>
  <c r="B4004" i="27"/>
  <c r="B4003" i="27"/>
  <c r="B4002" i="27"/>
  <c r="B4001" i="27"/>
  <c r="B4000" i="27"/>
  <c r="B3999" i="27"/>
  <c r="B3998" i="27"/>
  <c r="B3997" i="27"/>
  <c r="B3996" i="27"/>
  <c r="B3995" i="27"/>
  <c r="B3994" i="27"/>
  <c r="B3993" i="27"/>
  <c r="B3992" i="27"/>
  <c r="B3991" i="27"/>
  <c r="B3990" i="27"/>
  <c r="B3989" i="27"/>
  <c r="B3988" i="27"/>
  <c r="B3987" i="27"/>
  <c r="B3986" i="27"/>
  <c r="B3985" i="27"/>
  <c r="B3984" i="27"/>
  <c r="B3983" i="27"/>
  <c r="B3982" i="27"/>
  <c r="B3981" i="27"/>
  <c r="B3980" i="27"/>
  <c r="B3979" i="27"/>
  <c r="B3978" i="27"/>
  <c r="B3977" i="27"/>
  <c r="B3976" i="27"/>
  <c r="B3975" i="27"/>
  <c r="B3974" i="27"/>
  <c r="B3973" i="27"/>
  <c r="B3972" i="27"/>
  <c r="B3971" i="27"/>
  <c r="B3970" i="27"/>
  <c r="B3969" i="27"/>
  <c r="B3968" i="27"/>
  <c r="B3967" i="27"/>
  <c r="B3966" i="27"/>
  <c r="B3965" i="27"/>
  <c r="B3964" i="27"/>
  <c r="B3963" i="27"/>
  <c r="B3962" i="27"/>
  <c r="B3961" i="27"/>
  <c r="B3960" i="27"/>
  <c r="B3959" i="27"/>
  <c r="B3958" i="27"/>
  <c r="B3957" i="27"/>
  <c r="B3956" i="27"/>
  <c r="B3955" i="27"/>
  <c r="B3954" i="27"/>
  <c r="B3953" i="27"/>
  <c r="B3952" i="27"/>
  <c r="B3951" i="27"/>
  <c r="B3950" i="27"/>
  <c r="B3949" i="27"/>
  <c r="B3948" i="27"/>
  <c r="B3947" i="27"/>
  <c r="B3946" i="27"/>
  <c r="B3945" i="27"/>
  <c r="B3944" i="27"/>
  <c r="B3943" i="27"/>
  <c r="B3942" i="27"/>
  <c r="B3941" i="27"/>
  <c r="B3940" i="27"/>
  <c r="B3939" i="27"/>
  <c r="B3938" i="27"/>
  <c r="B3937" i="27"/>
  <c r="B3936" i="27"/>
  <c r="B3935" i="27"/>
  <c r="B3934" i="27"/>
  <c r="B3933" i="27"/>
  <c r="B3932" i="27"/>
  <c r="B3931" i="27"/>
  <c r="B3930" i="27"/>
  <c r="B3929" i="27"/>
  <c r="B3928" i="27"/>
  <c r="B3927" i="27"/>
  <c r="B3926" i="27"/>
  <c r="B3925" i="27"/>
  <c r="B3924" i="27"/>
  <c r="B3923" i="27"/>
  <c r="B3922" i="27"/>
  <c r="B3921" i="27"/>
  <c r="B3920" i="27"/>
  <c r="B3919" i="27"/>
  <c r="B3918" i="27"/>
  <c r="B3917" i="27"/>
  <c r="B3916" i="27"/>
  <c r="B3915" i="27"/>
  <c r="B3914" i="27"/>
  <c r="B3913" i="27"/>
  <c r="B3912" i="27"/>
  <c r="B3911" i="27"/>
  <c r="B3910" i="27"/>
  <c r="B3909" i="27"/>
  <c r="B3908" i="27"/>
  <c r="B3907" i="27"/>
  <c r="B3906" i="27"/>
  <c r="B3905" i="27"/>
  <c r="B3904" i="27"/>
  <c r="B3903" i="27"/>
  <c r="B3902" i="27"/>
  <c r="B3901" i="27"/>
  <c r="B3900" i="27"/>
  <c r="B3899" i="27"/>
  <c r="B3898" i="27"/>
  <c r="B3897" i="27"/>
  <c r="B3896" i="27"/>
  <c r="B3895" i="27"/>
  <c r="B3894" i="27"/>
  <c r="B3893" i="27"/>
  <c r="B3892" i="27"/>
  <c r="B3891" i="27"/>
  <c r="B3890" i="27"/>
  <c r="B3889" i="27"/>
  <c r="B3888" i="27"/>
  <c r="B3887" i="27"/>
  <c r="B3886" i="27"/>
  <c r="B3885" i="27"/>
  <c r="B3884" i="27"/>
  <c r="B3883" i="27"/>
  <c r="B3882" i="27"/>
  <c r="B3881" i="27"/>
  <c r="B3880" i="27"/>
  <c r="B3879" i="27"/>
  <c r="B3878" i="27"/>
  <c r="B3877" i="27"/>
  <c r="B3876" i="27"/>
  <c r="B3875" i="27"/>
  <c r="B3874" i="27"/>
  <c r="B3873" i="27"/>
  <c r="B3872" i="27"/>
  <c r="B3871" i="27"/>
  <c r="B3870" i="27"/>
  <c r="B3869" i="27"/>
  <c r="B3868" i="27"/>
  <c r="B3867" i="27"/>
  <c r="B3866" i="27"/>
  <c r="B3865" i="27"/>
  <c r="B3864" i="27"/>
  <c r="B3863" i="27"/>
  <c r="B3862" i="27"/>
  <c r="B3861" i="27"/>
  <c r="B3860" i="27"/>
  <c r="B3859" i="27"/>
  <c r="B3858" i="27"/>
  <c r="B3857" i="27"/>
  <c r="B3856" i="27"/>
  <c r="B3855" i="27"/>
  <c r="B3854" i="27"/>
  <c r="B3853" i="27"/>
  <c r="B3852" i="27"/>
  <c r="B3851" i="27"/>
  <c r="B3850" i="27"/>
  <c r="B3849" i="27"/>
  <c r="B3848" i="27"/>
  <c r="B3847" i="27"/>
  <c r="B3846" i="27"/>
  <c r="B3845" i="27"/>
  <c r="B3844" i="27"/>
  <c r="B3843" i="27"/>
  <c r="B3842" i="27"/>
  <c r="B3841" i="27"/>
  <c r="B3840" i="27"/>
  <c r="B3839" i="27"/>
  <c r="B3838" i="27"/>
  <c r="B3837" i="27"/>
  <c r="B3836" i="27"/>
  <c r="B3835" i="27"/>
  <c r="B3834" i="27"/>
  <c r="B3833" i="27"/>
  <c r="B3832" i="27"/>
  <c r="B3831" i="27"/>
  <c r="B3830" i="27"/>
  <c r="B3829" i="27"/>
  <c r="B3828" i="27"/>
  <c r="B3827" i="27"/>
  <c r="B3826" i="27"/>
  <c r="B3825" i="27"/>
  <c r="B3824" i="27"/>
  <c r="B3823" i="27"/>
  <c r="B3822" i="27"/>
  <c r="B3821" i="27"/>
  <c r="B3820" i="27"/>
  <c r="B3819" i="27"/>
  <c r="B3818" i="27"/>
  <c r="B3817" i="27"/>
  <c r="B3816" i="27"/>
  <c r="B3815" i="27"/>
  <c r="B3814" i="27"/>
  <c r="B3813" i="27"/>
  <c r="B3812" i="27"/>
  <c r="B3811" i="27"/>
  <c r="B3810" i="27"/>
  <c r="B3809" i="27"/>
  <c r="B3808" i="27"/>
  <c r="B3807" i="27"/>
  <c r="B3806" i="27"/>
  <c r="B3805" i="27"/>
  <c r="B3804" i="27"/>
  <c r="B3803" i="27"/>
  <c r="B3802" i="27"/>
  <c r="B3801" i="27"/>
  <c r="B3800" i="27"/>
  <c r="B3799" i="27"/>
  <c r="B3798" i="27"/>
  <c r="B3797" i="27"/>
  <c r="B3796" i="27"/>
  <c r="B3795" i="27"/>
  <c r="B3794" i="27"/>
  <c r="B3793" i="27"/>
  <c r="B3792" i="27"/>
  <c r="B3791" i="27"/>
  <c r="B3790" i="27"/>
  <c r="B3789" i="27"/>
  <c r="B3788" i="27"/>
  <c r="B3787" i="27"/>
  <c r="B3786" i="27"/>
  <c r="B3785" i="27"/>
  <c r="B3784" i="27"/>
  <c r="B3783" i="27"/>
  <c r="B3782" i="27"/>
  <c r="B3781" i="27"/>
  <c r="B3780" i="27"/>
  <c r="B3779" i="27"/>
  <c r="B3778" i="27"/>
  <c r="B3777" i="27"/>
  <c r="B3776" i="27"/>
  <c r="B3775" i="27"/>
  <c r="B3774" i="27"/>
  <c r="B3773" i="27"/>
  <c r="B3772" i="27"/>
  <c r="B3771" i="27"/>
  <c r="B3770" i="27"/>
  <c r="B3769" i="27"/>
  <c r="B3768" i="27"/>
  <c r="B3767" i="27"/>
  <c r="B3766" i="27"/>
  <c r="B3765" i="27"/>
  <c r="B3764" i="27"/>
  <c r="B3763" i="27"/>
  <c r="B3762" i="27"/>
  <c r="B3761" i="27"/>
  <c r="B3760" i="27"/>
  <c r="B3759" i="27"/>
  <c r="B3758" i="27"/>
  <c r="B3757" i="27"/>
  <c r="B3756" i="27"/>
  <c r="B3755" i="27"/>
  <c r="B3754" i="27"/>
  <c r="B3753" i="27"/>
  <c r="B3752" i="27"/>
  <c r="B3751" i="27"/>
  <c r="B3750" i="27"/>
  <c r="B3749" i="27"/>
  <c r="B3748" i="27"/>
  <c r="B3747" i="27"/>
  <c r="B3746" i="27"/>
  <c r="B3745" i="27"/>
  <c r="B3744" i="27"/>
  <c r="B3743" i="27"/>
  <c r="B3742" i="27"/>
  <c r="B3741" i="27"/>
  <c r="B3740" i="27"/>
  <c r="B3739" i="27"/>
  <c r="B3738" i="27"/>
  <c r="B3737" i="27"/>
  <c r="B3736" i="27"/>
  <c r="B3735" i="27"/>
  <c r="B3734" i="27"/>
  <c r="B3733" i="27"/>
  <c r="B3732" i="27"/>
  <c r="B3731" i="27"/>
  <c r="B3730" i="27"/>
  <c r="B3729" i="27"/>
  <c r="B3728" i="27"/>
  <c r="B3727" i="27"/>
  <c r="B3726" i="27"/>
  <c r="B3725" i="27"/>
  <c r="B3724" i="27"/>
  <c r="B3723" i="27"/>
  <c r="B3722" i="27"/>
  <c r="B3721" i="27"/>
  <c r="B3720" i="27"/>
  <c r="B3719" i="27"/>
  <c r="B3718" i="27"/>
  <c r="B3717" i="27"/>
  <c r="B3716" i="27"/>
  <c r="B3715" i="27"/>
  <c r="B3714" i="27"/>
  <c r="B3713" i="27"/>
  <c r="B3712" i="27"/>
  <c r="B3711" i="27"/>
  <c r="B3710" i="27"/>
  <c r="B3709" i="27"/>
  <c r="B3708" i="27"/>
  <c r="B3707" i="27"/>
  <c r="B3706" i="27"/>
  <c r="B3705" i="27"/>
  <c r="B3704" i="27"/>
  <c r="B3703" i="27"/>
  <c r="B3702" i="27"/>
  <c r="B3701" i="27"/>
  <c r="B3700" i="27"/>
  <c r="B3699" i="27"/>
  <c r="B3698" i="27"/>
  <c r="B3697" i="27"/>
  <c r="B3696" i="27"/>
  <c r="B3695" i="27"/>
  <c r="B3694" i="27"/>
  <c r="B3693" i="27"/>
  <c r="B3692" i="27"/>
  <c r="B3691" i="27"/>
  <c r="B3690" i="27"/>
  <c r="B3689" i="27"/>
  <c r="B3688" i="27"/>
  <c r="B3687" i="27"/>
  <c r="B3686" i="27"/>
  <c r="B3685" i="27"/>
  <c r="B3684" i="27"/>
  <c r="B3683" i="27"/>
  <c r="B3682" i="27"/>
  <c r="B3681" i="27"/>
  <c r="B3680" i="27"/>
  <c r="B3679" i="27"/>
  <c r="B3678" i="27"/>
  <c r="B3677" i="27"/>
  <c r="B3676" i="27"/>
  <c r="B3675" i="27"/>
  <c r="B3674" i="27"/>
  <c r="B3673" i="27"/>
  <c r="B3672" i="27"/>
  <c r="B3671" i="27"/>
  <c r="B3670" i="27"/>
  <c r="B3669" i="27"/>
  <c r="B3668" i="27"/>
  <c r="B3667" i="27"/>
  <c r="B3666" i="27"/>
  <c r="B3665" i="27"/>
  <c r="B3664" i="27"/>
  <c r="B3663" i="27"/>
  <c r="B3662" i="27"/>
  <c r="B3661" i="27"/>
  <c r="B3660" i="27"/>
  <c r="B3659" i="27"/>
  <c r="B3658" i="27"/>
  <c r="B3657" i="27"/>
  <c r="B3656" i="27"/>
  <c r="B3655" i="27"/>
  <c r="B3654" i="27"/>
  <c r="B3653" i="27"/>
  <c r="B3652" i="27"/>
  <c r="B3651" i="27"/>
  <c r="B3650" i="27"/>
  <c r="B3649" i="27"/>
  <c r="B3648" i="27"/>
  <c r="B3647" i="27"/>
  <c r="B3646" i="27"/>
  <c r="B3645" i="27"/>
  <c r="B3644" i="27"/>
  <c r="B3643" i="27"/>
  <c r="B3642" i="27"/>
  <c r="B3641" i="27"/>
  <c r="B3640" i="27"/>
  <c r="B3639" i="27"/>
  <c r="B3638" i="27"/>
  <c r="B3637" i="27"/>
  <c r="B3636" i="27"/>
  <c r="B3635" i="27"/>
  <c r="B3634" i="27"/>
  <c r="B3633" i="27"/>
  <c r="B3632" i="27"/>
  <c r="B3631" i="27"/>
  <c r="B3630" i="27"/>
  <c r="B3629" i="27"/>
  <c r="B3628" i="27"/>
  <c r="B3627" i="27"/>
  <c r="B3626" i="27"/>
  <c r="B3625" i="27"/>
  <c r="B3624" i="27"/>
  <c r="B3623" i="27"/>
  <c r="B3622" i="27"/>
  <c r="B3621" i="27"/>
  <c r="B3620" i="27"/>
  <c r="B3619" i="27"/>
  <c r="B3618" i="27"/>
  <c r="B3617" i="27"/>
  <c r="B3616" i="27"/>
  <c r="B3615" i="27"/>
  <c r="B3614" i="27"/>
  <c r="B3613" i="27"/>
  <c r="B3612" i="27"/>
  <c r="B3611" i="27"/>
  <c r="B3610" i="27"/>
  <c r="B3609" i="27"/>
  <c r="B3608" i="27"/>
  <c r="B3607" i="27"/>
  <c r="B3606" i="27"/>
  <c r="B3605" i="27"/>
  <c r="B3604" i="27"/>
  <c r="B3603" i="27"/>
  <c r="B3602" i="27"/>
  <c r="B3601" i="27"/>
  <c r="B3600" i="27"/>
  <c r="B3599" i="27"/>
  <c r="B3598" i="27"/>
  <c r="B3597" i="27"/>
  <c r="B3596" i="27"/>
  <c r="B3595" i="27"/>
  <c r="B3594" i="27"/>
  <c r="B3593" i="27"/>
  <c r="B3592" i="27"/>
  <c r="B3591" i="27"/>
  <c r="B3590" i="27"/>
  <c r="B3589" i="27"/>
  <c r="B3588" i="27"/>
  <c r="B3587" i="27"/>
  <c r="B3586" i="27"/>
  <c r="B3585" i="27"/>
  <c r="B3584" i="27"/>
  <c r="B3583" i="27"/>
  <c r="B3582" i="27"/>
  <c r="B3581" i="27"/>
  <c r="B3580" i="27"/>
  <c r="B3579" i="27"/>
  <c r="B3578" i="27"/>
  <c r="B3577" i="27"/>
  <c r="B3576" i="27"/>
  <c r="B3575" i="27"/>
  <c r="B3574" i="27"/>
  <c r="B3573" i="27"/>
  <c r="B3572" i="27"/>
  <c r="B3571" i="27"/>
  <c r="B3570" i="27"/>
  <c r="B3569" i="27"/>
  <c r="B3568" i="27"/>
  <c r="B3567" i="27"/>
  <c r="B3566" i="27"/>
  <c r="B3565" i="27"/>
  <c r="B3564" i="27"/>
  <c r="B3563" i="27"/>
  <c r="B3562" i="27"/>
  <c r="B3561" i="27"/>
  <c r="B3560" i="27"/>
  <c r="B3559" i="27"/>
  <c r="B3558" i="27"/>
  <c r="B3557" i="27"/>
  <c r="B3556" i="27"/>
  <c r="B3555" i="27"/>
  <c r="B3554" i="27"/>
  <c r="B3553" i="27"/>
  <c r="B3552" i="27"/>
  <c r="B3551" i="27"/>
  <c r="B3550" i="27"/>
  <c r="B3549" i="27"/>
  <c r="B3548" i="27"/>
  <c r="B3547" i="27"/>
  <c r="B3546" i="27"/>
  <c r="B3545" i="27"/>
  <c r="B3544" i="27"/>
  <c r="B3543" i="27"/>
  <c r="F3068" i="27"/>
  <c r="F3067" i="27"/>
  <c r="F3066" i="27"/>
  <c r="F3065" i="27"/>
  <c r="F3064" i="27"/>
  <c r="F3063" i="27"/>
  <c r="E3542" i="27"/>
  <c r="E3541" i="27"/>
  <c r="E3540" i="27"/>
  <c r="E3539" i="27"/>
  <c r="E3538" i="27"/>
  <c r="E3537" i="27"/>
  <c r="E3536" i="27"/>
  <c r="E3535" i="27"/>
  <c r="E3534" i="27"/>
  <c r="E3533" i="27"/>
  <c r="E3532" i="27"/>
  <c r="E3531" i="27"/>
  <c r="E3530" i="27"/>
  <c r="E3529" i="27"/>
  <c r="E3528" i="27"/>
  <c r="E3527" i="27"/>
  <c r="E3526" i="27"/>
  <c r="E3525" i="27"/>
  <c r="E3524" i="27"/>
  <c r="E3523" i="27"/>
  <c r="E3522" i="27"/>
  <c r="E3521" i="27"/>
  <c r="E3520" i="27"/>
  <c r="E3519" i="27"/>
  <c r="E3518" i="27"/>
  <c r="E3517" i="27"/>
  <c r="E3516" i="27"/>
  <c r="E3515" i="27"/>
  <c r="E3514" i="27"/>
  <c r="E3513" i="27"/>
  <c r="E3512" i="27"/>
  <c r="E3511" i="27"/>
  <c r="E3510" i="27"/>
  <c r="E3509" i="27"/>
  <c r="E3508" i="27"/>
  <c r="E3507" i="27"/>
  <c r="E3506" i="27"/>
  <c r="E3505" i="27"/>
  <c r="E3504" i="27"/>
  <c r="E3503" i="27"/>
  <c r="E3502" i="27"/>
  <c r="E3501" i="27"/>
  <c r="E3500" i="27"/>
  <c r="E3499" i="27"/>
  <c r="E3498" i="27"/>
  <c r="E3497" i="27"/>
  <c r="E3496" i="27"/>
  <c r="E3495" i="27"/>
  <c r="E3494" i="27"/>
  <c r="E3493" i="27"/>
  <c r="E3492" i="27"/>
  <c r="E3491" i="27"/>
  <c r="E3490" i="27"/>
  <c r="E3489" i="27"/>
  <c r="E3488" i="27"/>
  <c r="E3487" i="27"/>
  <c r="E3486" i="27"/>
  <c r="E3485" i="27"/>
  <c r="E3484" i="27"/>
  <c r="E3483" i="27"/>
  <c r="E3482" i="27"/>
  <c r="E3481" i="27"/>
  <c r="E3480" i="27"/>
  <c r="E3479" i="27"/>
  <c r="E3478" i="27"/>
  <c r="E3477" i="27"/>
  <c r="E3476" i="27"/>
  <c r="E3475" i="27"/>
  <c r="E3474" i="27"/>
  <c r="E3473" i="27"/>
  <c r="E3472" i="27"/>
  <c r="E3471" i="27"/>
  <c r="E3470" i="27"/>
  <c r="E3469" i="27"/>
  <c r="E3468" i="27"/>
  <c r="E3467" i="27"/>
  <c r="E3466" i="27"/>
  <c r="E3465" i="27"/>
  <c r="E3464" i="27"/>
  <c r="E3463" i="27"/>
  <c r="E3462" i="27"/>
  <c r="E3461" i="27"/>
  <c r="E3460" i="27"/>
  <c r="E3459" i="27"/>
  <c r="E3458" i="27"/>
  <c r="E3457" i="27"/>
  <c r="E3456" i="27"/>
  <c r="E3455" i="27"/>
  <c r="E3454" i="27"/>
  <c r="E3453" i="27"/>
  <c r="E3452" i="27"/>
  <c r="E3451" i="27"/>
  <c r="E3450" i="27"/>
  <c r="E3449" i="27"/>
  <c r="E3448" i="27"/>
  <c r="E3447" i="27"/>
  <c r="E3446" i="27"/>
  <c r="E3445" i="27"/>
  <c r="E3444" i="27"/>
  <c r="E3443" i="27"/>
  <c r="E3442" i="27"/>
  <c r="E3441" i="27"/>
  <c r="E3440" i="27"/>
  <c r="E3439" i="27"/>
  <c r="E3438" i="27"/>
  <c r="E3437" i="27"/>
  <c r="E3436" i="27"/>
  <c r="E3435" i="27"/>
  <c r="E3434" i="27"/>
  <c r="E3433" i="27"/>
  <c r="E3432" i="27"/>
  <c r="E3431" i="27"/>
  <c r="E3430" i="27"/>
  <c r="E3429" i="27"/>
  <c r="E3428" i="27"/>
  <c r="E3427" i="27"/>
  <c r="E3426" i="27"/>
  <c r="E3425" i="27"/>
  <c r="E3424" i="27"/>
  <c r="E3423" i="27"/>
  <c r="E3422" i="27"/>
  <c r="E3421" i="27"/>
  <c r="E3420" i="27"/>
  <c r="E3419" i="27"/>
  <c r="E3418" i="27"/>
  <c r="E3417" i="27"/>
  <c r="E3416" i="27"/>
  <c r="E3415" i="27"/>
  <c r="E3414" i="27"/>
  <c r="E3413" i="27"/>
  <c r="E3412" i="27"/>
  <c r="E3411" i="27"/>
  <c r="E3410" i="27"/>
  <c r="E3409" i="27"/>
  <c r="E3408" i="27"/>
  <c r="E3407" i="27"/>
  <c r="E3406" i="27"/>
  <c r="E3405" i="27"/>
  <c r="E3404" i="27"/>
  <c r="E3403" i="27"/>
  <c r="E3402" i="27"/>
  <c r="E3401" i="27"/>
  <c r="E3400" i="27"/>
  <c r="E3399" i="27"/>
  <c r="E3398" i="27"/>
  <c r="E3397" i="27"/>
  <c r="E3396" i="27"/>
  <c r="E3395" i="27"/>
  <c r="E3394" i="27"/>
  <c r="E3393" i="27"/>
  <c r="E3392" i="27"/>
  <c r="E3391" i="27"/>
  <c r="E3390" i="27"/>
  <c r="E3389" i="27"/>
  <c r="E3388" i="27"/>
  <c r="E3387" i="27"/>
  <c r="E3386" i="27"/>
  <c r="E3385" i="27"/>
  <c r="E3384" i="27"/>
  <c r="E3383" i="27"/>
  <c r="E3382" i="27"/>
  <c r="E3381" i="27"/>
  <c r="E3380" i="27"/>
  <c r="E3379" i="27"/>
  <c r="E3378" i="27"/>
  <c r="E3377" i="27"/>
  <c r="E3376" i="27"/>
  <c r="E3375" i="27"/>
  <c r="E3374" i="27"/>
  <c r="E3373" i="27"/>
  <c r="E3372" i="27"/>
  <c r="E3371" i="27"/>
  <c r="E3370" i="27"/>
  <c r="E3369" i="27"/>
  <c r="E3368" i="27"/>
  <c r="E3367" i="27"/>
  <c r="E3366" i="27"/>
  <c r="E3365" i="27"/>
  <c r="E3364" i="27"/>
  <c r="E3363" i="27"/>
  <c r="E3362" i="27"/>
  <c r="E3361" i="27"/>
  <c r="E3360" i="27"/>
  <c r="E3359" i="27"/>
  <c r="E3358" i="27"/>
  <c r="E3357" i="27"/>
  <c r="E3356" i="27"/>
  <c r="E3355" i="27"/>
  <c r="E3354" i="27"/>
  <c r="E3353" i="27"/>
  <c r="E3352" i="27"/>
  <c r="E3351" i="27"/>
  <c r="E3350" i="27"/>
  <c r="E3349" i="27"/>
  <c r="E3348" i="27"/>
  <c r="E3347" i="27"/>
  <c r="E3346" i="27"/>
  <c r="E3345" i="27"/>
  <c r="E3344" i="27"/>
  <c r="E3343" i="27"/>
  <c r="E3342" i="27"/>
  <c r="E3341" i="27"/>
  <c r="E3340" i="27"/>
  <c r="E3339" i="27"/>
  <c r="E3338" i="27"/>
  <c r="E3337" i="27"/>
  <c r="E3336" i="27"/>
  <c r="E3335" i="27"/>
  <c r="E3334" i="27"/>
  <c r="E3333" i="27"/>
  <c r="E3332" i="27"/>
  <c r="E3331" i="27"/>
  <c r="E3330" i="27"/>
  <c r="E3329" i="27"/>
  <c r="E3328" i="27"/>
  <c r="E3327" i="27"/>
  <c r="E3326" i="27"/>
  <c r="E3325" i="27"/>
  <c r="E3324" i="27"/>
  <c r="E3323" i="27"/>
  <c r="E3322" i="27"/>
  <c r="E3321" i="27"/>
  <c r="E3320" i="27"/>
  <c r="E3319" i="27"/>
  <c r="E3318" i="27"/>
  <c r="E3317" i="27"/>
  <c r="E3316" i="27"/>
  <c r="E3315" i="27"/>
  <c r="E3314" i="27"/>
  <c r="E3313" i="27"/>
  <c r="E3312" i="27"/>
  <c r="E3311" i="27"/>
  <c r="E3310" i="27"/>
  <c r="E3309" i="27"/>
  <c r="E3308" i="27"/>
  <c r="E3307" i="27"/>
  <c r="E3306" i="27"/>
  <c r="E3305" i="27"/>
  <c r="E3304" i="27"/>
  <c r="E3303" i="27"/>
  <c r="E3302" i="27"/>
  <c r="E3301" i="27"/>
  <c r="E3300" i="27"/>
  <c r="E3299" i="27"/>
  <c r="E3298" i="27"/>
  <c r="E3297" i="27"/>
  <c r="E3296" i="27"/>
  <c r="E3295" i="27"/>
  <c r="E3294" i="27"/>
  <c r="E3293" i="27"/>
  <c r="E3292" i="27"/>
  <c r="E3291" i="27"/>
  <c r="E3290" i="27"/>
  <c r="E3289" i="27"/>
  <c r="E3288" i="27"/>
  <c r="E3287" i="27"/>
  <c r="E3286" i="27"/>
  <c r="E3285" i="27"/>
  <c r="E3284" i="27"/>
  <c r="E3283" i="27"/>
  <c r="E3282" i="27"/>
  <c r="E3281" i="27"/>
  <c r="E3280" i="27"/>
  <c r="E3279" i="27"/>
  <c r="E3278" i="27"/>
  <c r="E3277" i="27"/>
  <c r="E3276" i="27"/>
  <c r="E3275" i="27"/>
  <c r="E3274" i="27"/>
  <c r="E3273" i="27"/>
  <c r="E3272" i="27"/>
  <c r="E3271" i="27"/>
  <c r="E3270" i="27"/>
  <c r="E3269" i="27"/>
  <c r="E3268" i="27"/>
  <c r="E3267" i="27"/>
  <c r="E3266" i="27"/>
  <c r="E3265" i="27"/>
  <c r="E3264" i="27"/>
  <c r="E3263" i="27"/>
  <c r="E3262" i="27"/>
  <c r="E3261" i="27"/>
  <c r="E3260" i="27"/>
  <c r="E3259" i="27"/>
  <c r="E3258" i="27"/>
  <c r="E3257" i="27"/>
  <c r="E3256" i="27"/>
  <c r="E3255" i="27"/>
  <c r="E3254" i="27"/>
  <c r="E3253" i="27"/>
  <c r="E3252" i="27"/>
  <c r="E3251" i="27"/>
  <c r="E3250" i="27"/>
  <c r="E3249" i="27"/>
  <c r="E3248" i="27"/>
  <c r="E3247" i="27"/>
  <c r="E3246" i="27"/>
  <c r="E3245" i="27"/>
  <c r="E3244" i="27"/>
  <c r="E3243" i="27"/>
  <c r="E3242" i="27"/>
  <c r="E3241" i="27"/>
  <c r="E3240" i="27"/>
  <c r="E3239" i="27"/>
  <c r="E3238" i="27"/>
  <c r="E3237" i="27"/>
  <c r="E3236" i="27"/>
  <c r="E3235" i="27"/>
  <c r="E3234" i="27"/>
  <c r="E3233" i="27"/>
  <c r="C2891" i="27"/>
  <c r="C2890" i="27"/>
  <c r="C2889" i="27"/>
  <c r="C2888" i="27"/>
  <c r="C2887" i="27"/>
  <c r="C2886" i="27"/>
  <c r="C2885" i="27"/>
  <c r="C2884" i="27"/>
  <c r="C2883" i="27"/>
  <c r="C2882" i="27"/>
  <c r="C2881" i="27"/>
  <c r="C2880" i="27"/>
  <c r="C2879" i="27"/>
  <c r="C2878" i="27"/>
  <c r="C2877" i="27"/>
  <c r="C2876" i="27"/>
  <c r="C2875" i="27"/>
  <c r="C2874" i="27"/>
  <c r="C2873" i="27"/>
  <c r="C2872" i="27"/>
  <c r="C2871" i="27"/>
  <c r="C2870" i="27"/>
  <c r="C2869" i="27"/>
  <c r="C2868" i="27"/>
  <c r="C2867" i="27"/>
  <c r="C2866" i="27"/>
  <c r="C2865" i="27"/>
  <c r="C2864" i="27"/>
  <c r="C2863" i="27"/>
  <c r="C2862" i="27"/>
  <c r="C2861" i="27"/>
  <c r="C2860" i="27"/>
  <c r="C2859" i="27"/>
  <c r="C2858" i="27"/>
  <c r="C2857" i="27"/>
  <c r="C2856" i="27"/>
  <c r="C2855" i="27"/>
  <c r="C2854" i="27"/>
  <c r="C2853" i="27"/>
  <c r="C2852" i="27"/>
  <c r="C2851" i="27"/>
  <c r="C2850" i="27"/>
  <c r="C2849" i="27"/>
  <c r="C2848" i="27"/>
  <c r="C2847" i="27"/>
  <c r="C2846" i="27"/>
  <c r="C2845" i="27"/>
  <c r="C2844" i="27"/>
  <c r="C2843" i="27"/>
  <c r="C2842" i="27"/>
  <c r="C2841" i="27"/>
  <c r="C2840" i="27"/>
  <c r="C2839" i="27"/>
  <c r="C2838" i="27"/>
  <c r="C2837" i="27"/>
  <c r="C2836" i="27"/>
  <c r="C2835" i="27"/>
  <c r="C2834" i="27"/>
  <c r="C2833" i="27"/>
  <c r="C2832" i="27"/>
  <c r="C2831" i="27"/>
  <c r="C2830" i="27"/>
  <c r="C2829" i="27"/>
  <c r="C2828" i="27"/>
  <c r="C2827" i="27"/>
  <c r="C2826" i="27"/>
  <c r="C2825" i="27"/>
  <c r="C2824" i="27"/>
  <c r="C2823" i="27"/>
  <c r="C2822" i="27"/>
  <c r="C2821" i="27"/>
  <c r="C2820" i="27"/>
  <c r="C2819" i="27"/>
  <c r="C2818" i="27"/>
  <c r="C2817" i="27"/>
  <c r="C2816" i="27"/>
  <c r="C2815" i="27"/>
  <c r="C2814" i="27"/>
  <c r="C2813" i="27"/>
  <c r="C2812" i="27"/>
  <c r="C2811" i="27"/>
  <c r="C2810" i="27"/>
  <c r="C2809" i="27"/>
  <c r="C2808" i="27"/>
  <c r="C2807" i="27"/>
  <c r="C2806" i="27"/>
  <c r="C2805" i="27"/>
  <c r="C2804" i="27"/>
  <c r="C2803" i="27"/>
  <c r="C2802" i="27"/>
  <c r="C2801" i="27"/>
  <c r="C2800" i="27"/>
  <c r="C2799" i="27"/>
  <c r="C2798" i="27"/>
  <c r="C2797" i="27"/>
  <c r="C2796" i="27"/>
  <c r="C2795" i="27"/>
  <c r="C2794" i="27"/>
  <c r="C2793" i="27"/>
  <c r="C2792" i="27"/>
  <c r="C2791" i="27"/>
  <c r="C2790" i="27"/>
  <c r="C2789" i="27"/>
  <c r="C2788" i="27"/>
  <c r="C2787" i="27"/>
  <c r="C2786" i="27"/>
  <c r="C2785" i="27"/>
  <c r="C2784" i="27"/>
  <c r="C2783" i="27"/>
  <c r="C2782" i="27"/>
  <c r="C2781" i="27"/>
  <c r="C2780" i="27"/>
  <c r="C2779" i="27"/>
  <c r="C2778" i="27"/>
  <c r="C2777" i="27"/>
  <c r="C2776" i="27"/>
  <c r="C2775" i="27"/>
  <c r="C2774" i="27"/>
  <c r="C2773" i="27"/>
  <c r="C2772" i="27"/>
  <c r="C2771" i="27"/>
  <c r="C2770" i="27"/>
  <c r="C2769" i="27"/>
  <c r="C2768" i="27"/>
  <c r="C2767" i="27"/>
  <c r="C2766" i="27"/>
  <c r="C2765" i="27"/>
  <c r="C2764" i="27"/>
  <c r="C2763" i="27"/>
  <c r="C2762" i="27"/>
  <c r="C2761" i="27"/>
  <c r="C2760" i="27"/>
  <c r="C2759" i="27"/>
  <c r="C2758" i="27"/>
  <c r="C2757" i="27"/>
  <c r="C2756" i="27"/>
  <c r="C2755" i="27"/>
  <c r="C2754" i="27"/>
  <c r="C2753" i="27"/>
  <c r="C2752" i="27"/>
  <c r="C2751" i="27"/>
  <c r="C2750" i="27"/>
  <c r="C2749" i="27"/>
  <c r="C2748" i="27"/>
  <c r="C2747" i="27"/>
  <c r="C2746" i="27"/>
  <c r="C2745" i="27"/>
  <c r="C2744" i="27"/>
  <c r="C2743" i="27"/>
  <c r="C2742" i="27"/>
  <c r="C2741" i="27"/>
  <c r="C2740" i="27"/>
  <c r="C2739" i="27"/>
  <c r="C2738" i="27"/>
  <c r="C2737" i="27"/>
  <c r="C2736" i="27"/>
  <c r="C2735" i="27"/>
  <c r="C2734" i="27"/>
  <c r="C2733" i="27"/>
  <c r="C2732" i="27"/>
  <c r="C2731" i="27"/>
  <c r="C2730" i="27"/>
  <c r="C2729" i="27"/>
  <c r="C2728" i="27"/>
  <c r="C2727" i="27"/>
  <c r="C2726" i="27"/>
  <c r="C2725" i="27"/>
  <c r="C2724" i="27"/>
  <c r="C2723" i="27"/>
  <c r="C2722" i="27"/>
  <c r="C2721" i="27"/>
  <c r="C2720" i="27"/>
  <c r="C2719" i="27"/>
  <c r="C2718" i="27"/>
  <c r="C2717" i="27"/>
  <c r="C2716" i="27"/>
  <c r="C2715" i="27"/>
  <c r="C2714" i="27"/>
  <c r="C2713" i="27"/>
  <c r="C2712" i="27"/>
  <c r="C2711" i="27"/>
  <c r="C2710" i="27"/>
  <c r="C2709" i="27"/>
  <c r="C2708" i="27"/>
  <c r="C2707" i="27"/>
  <c r="C2706" i="27"/>
  <c r="C2705" i="27"/>
  <c r="C2704" i="27"/>
  <c r="C2703" i="27"/>
  <c r="C2702" i="27"/>
  <c r="C2701" i="27"/>
  <c r="C2700" i="27"/>
  <c r="C2699" i="27"/>
  <c r="C2698" i="27"/>
  <c r="C2697" i="27"/>
  <c r="C2696" i="27"/>
  <c r="C2695" i="27"/>
  <c r="C2694" i="27"/>
  <c r="C2693" i="27"/>
  <c r="C2692" i="27"/>
  <c r="C2691" i="27"/>
  <c r="C2690" i="27"/>
  <c r="C2689" i="27"/>
  <c r="C2688" i="27"/>
  <c r="C2687" i="27"/>
  <c r="C2686" i="27"/>
  <c r="C2685" i="27"/>
  <c r="C2684" i="27"/>
  <c r="C2683" i="27"/>
  <c r="C2682" i="27"/>
  <c r="C2681" i="27"/>
  <c r="C2680" i="27"/>
  <c r="C2679" i="27"/>
  <c r="C2678" i="27"/>
  <c r="C2677" i="27"/>
  <c r="C2676" i="27"/>
  <c r="C2675" i="27"/>
  <c r="C2674" i="27"/>
  <c r="C2673" i="27"/>
  <c r="C2672" i="27"/>
  <c r="C2671" i="27"/>
  <c r="C2670" i="27"/>
  <c r="C2669" i="27"/>
  <c r="C2668" i="27"/>
  <c r="C2667" i="27"/>
  <c r="C2666" i="27"/>
  <c r="C2665" i="27"/>
  <c r="C2664" i="27"/>
  <c r="C2663" i="27"/>
  <c r="C2662" i="27"/>
  <c r="C2661" i="27"/>
  <c r="C2660" i="27"/>
  <c r="C2659" i="27"/>
  <c r="C2658" i="27"/>
  <c r="C2657" i="27"/>
  <c r="C2656" i="27"/>
  <c r="C2655" i="27"/>
  <c r="C2654" i="27"/>
  <c r="C2653" i="27"/>
  <c r="C2652" i="27"/>
  <c r="C2651" i="27"/>
  <c r="C2650" i="27"/>
  <c r="C2649" i="27"/>
  <c r="C2648" i="27"/>
  <c r="C2647" i="27"/>
  <c r="C2646" i="27"/>
  <c r="C2645" i="27"/>
  <c r="C2644" i="27"/>
  <c r="C2643" i="27"/>
  <c r="C2642" i="27"/>
  <c r="C2641" i="27"/>
  <c r="C2640" i="27"/>
  <c r="C2639" i="27"/>
  <c r="C2638" i="27"/>
  <c r="C2637" i="27"/>
  <c r="C2636" i="27"/>
  <c r="C2635" i="27"/>
  <c r="C2634" i="27"/>
  <c r="C2633" i="27"/>
  <c r="C2632" i="27"/>
  <c r="C2631" i="27"/>
  <c r="C2630" i="27"/>
  <c r="C2629" i="27"/>
  <c r="C2628" i="27"/>
  <c r="C2627" i="27"/>
  <c r="C2626" i="27"/>
  <c r="C2625" i="27"/>
  <c r="C2624" i="27"/>
  <c r="C2623" i="27"/>
  <c r="C2622" i="27"/>
  <c r="C2621" i="27"/>
  <c r="C2620" i="27"/>
  <c r="C2619" i="27"/>
  <c r="C2618" i="27"/>
  <c r="C2617" i="27"/>
  <c r="C2616" i="27"/>
  <c r="C2615" i="27"/>
  <c r="C2614" i="27"/>
  <c r="C2613" i="27"/>
  <c r="C2612" i="27"/>
  <c r="C2611" i="27"/>
  <c r="C2610" i="27"/>
  <c r="C2609" i="27"/>
  <c r="C2608" i="27"/>
  <c r="C2607" i="27"/>
  <c r="C2606" i="27"/>
  <c r="C2605" i="27"/>
  <c r="C2604" i="27"/>
  <c r="C2603" i="27"/>
  <c r="C2602" i="27"/>
  <c r="C2601" i="27"/>
  <c r="C2600" i="27"/>
  <c r="C2599" i="27"/>
  <c r="C2598" i="27"/>
  <c r="C2597" i="27"/>
  <c r="C2596" i="27"/>
  <c r="C2595" i="27"/>
  <c r="C2594" i="27"/>
  <c r="C2593" i="27"/>
  <c r="C2592" i="27"/>
  <c r="C2591" i="27"/>
  <c r="C2590" i="27"/>
  <c r="C2589" i="27"/>
  <c r="C2588" i="27"/>
  <c r="C2587" i="27"/>
  <c r="C2586" i="27"/>
  <c r="C2585" i="27"/>
  <c r="C2584" i="27"/>
  <c r="C2583" i="27"/>
  <c r="C2582" i="27"/>
  <c r="C2581" i="27"/>
  <c r="C2580" i="27"/>
  <c r="C2579" i="27"/>
  <c r="C2578" i="27"/>
  <c r="C2577" i="27"/>
  <c r="C2576" i="27"/>
  <c r="C2575" i="27"/>
  <c r="C2574" i="27"/>
  <c r="C2573" i="27"/>
  <c r="C2572" i="27"/>
  <c r="C2571" i="27"/>
  <c r="C2570" i="27"/>
  <c r="C2569" i="27"/>
  <c r="C2568" i="27"/>
  <c r="C2567" i="27"/>
  <c r="C2566" i="27"/>
  <c r="C2565" i="27"/>
  <c r="C2564" i="27"/>
  <c r="C2563" i="27"/>
  <c r="C2562" i="27"/>
  <c r="C2561" i="27"/>
  <c r="C2560" i="27"/>
  <c r="C2559" i="27"/>
  <c r="C2558" i="27"/>
  <c r="C2557" i="27"/>
  <c r="C2556" i="27"/>
  <c r="C2555" i="27"/>
  <c r="C2554" i="27"/>
  <c r="C2553" i="27"/>
  <c r="C2552" i="27"/>
  <c r="C2551" i="27"/>
  <c r="C2550" i="27"/>
  <c r="C2549" i="27"/>
  <c r="C2548" i="27"/>
  <c r="C2547" i="27"/>
  <c r="C2546" i="27"/>
  <c r="C2545" i="27"/>
  <c r="C2544" i="27"/>
  <c r="C2543" i="27"/>
  <c r="C2542" i="27"/>
  <c r="C2541" i="27"/>
  <c r="C2540" i="27"/>
  <c r="C2539" i="27"/>
  <c r="C2538" i="27"/>
  <c r="C2537" i="27"/>
  <c r="C2536" i="27"/>
  <c r="C2535" i="27"/>
  <c r="C2534" i="27"/>
  <c r="C2533" i="27"/>
  <c r="C2532" i="27"/>
  <c r="C2531" i="27"/>
  <c r="C2530" i="27"/>
  <c r="C2529" i="27"/>
  <c r="C2528" i="27"/>
  <c r="C2527" i="27"/>
  <c r="C2526" i="27"/>
  <c r="C2525" i="27"/>
  <c r="C2524" i="27"/>
  <c r="C2523" i="27"/>
  <c r="C2522" i="27"/>
  <c r="C2521" i="27"/>
  <c r="C2520" i="27"/>
  <c r="C2519" i="27"/>
  <c r="C2518" i="27"/>
  <c r="C2517" i="27"/>
  <c r="C2516" i="27"/>
  <c r="C2515" i="27"/>
  <c r="C2514" i="27"/>
  <c r="C2513" i="27"/>
  <c r="C2512" i="27"/>
  <c r="C2511" i="27"/>
  <c r="C2510" i="27"/>
  <c r="C2509" i="27"/>
  <c r="C2508" i="27"/>
  <c r="C2507" i="27"/>
  <c r="C2506" i="27"/>
  <c r="C2505" i="27"/>
  <c r="C2504" i="27"/>
  <c r="C2503" i="27"/>
  <c r="C2502" i="27"/>
  <c r="C2501" i="27"/>
  <c r="C2500" i="27"/>
  <c r="C2499" i="27"/>
  <c r="C2498" i="27"/>
  <c r="C2497" i="27"/>
  <c r="C2496" i="27"/>
  <c r="C2495" i="27"/>
  <c r="C2494" i="27"/>
  <c r="C2493" i="27"/>
  <c r="C2492" i="27"/>
  <c r="C2491" i="27"/>
  <c r="C2490" i="27"/>
  <c r="C2489" i="27"/>
  <c r="C2488" i="27"/>
  <c r="C2487" i="27"/>
  <c r="C2486" i="27"/>
  <c r="C2485" i="27"/>
  <c r="C2484" i="27"/>
  <c r="C2483" i="27"/>
  <c r="C2482" i="27"/>
  <c r="C2481" i="27"/>
  <c r="C2480" i="27"/>
  <c r="C2479" i="27"/>
  <c r="C2478" i="27"/>
  <c r="C2477" i="27"/>
  <c r="C2476" i="27"/>
  <c r="C2475" i="27"/>
  <c r="C2474" i="27"/>
  <c r="C2473" i="27"/>
  <c r="C2472" i="27"/>
  <c r="C2471" i="27"/>
  <c r="C2470" i="27"/>
  <c r="C2469" i="27"/>
  <c r="C2468" i="27"/>
  <c r="C2467" i="27"/>
  <c r="C2466" i="27"/>
  <c r="C2465" i="27"/>
  <c r="C2464" i="27"/>
  <c r="C2463" i="27"/>
  <c r="C2462" i="27"/>
  <c r="C2461" i="27"/>
  <c r="C2460" i="27"/>
  <c r="C2459" i="27"/>
  <c r="C2458" i="27"/>
  <c r="C2457" i="27"/>
  <c r="C2456" i="27"/>
  <c r="C2455" i="27"/>
  <c r="C2454" i="27"/>
  <c r="C2453" i="27"/>
  <c r="C2452" i="27"/>
  <c r="C2451" i="27"/>
  <c r="C2450" i="27"/>
  <c r="C2449" i="27"/>
  <c r="C2448" i="27"/>
  <c r="C2447" i="27"/>
  <c r="C2446" i="27"/>
  <c r="C2445" i="27"/>
  <c r="C2444" i="27"/>
  <c r="C2443" i="27"/>
  <c r="C2442" i="27"/>
  <c r="C2441" i="27"/>
  <c r="C2440" i="27"/>
  <c r="C2439" i="27"/>
  <c r="C2438" i="27"/>
  <c r="C2437" i="27"/>
  <c r="C2436" i="27"/>
  <c r="C2435" i="27"/>
  <c r="C2434" i="27"/>
  <c r="C2433" i="27"/>
  <c r="C2432" i="27"/>
  <c r="C2431" i="27"/>
  <c r="C2430" i="27"/>
  <c r="C2429" i="27"/>
  <c r="C2428" i="27"/>
  <c r="C2427" i="27"/>
  <c r="C2426" i="27"/>
  <c r="C2425" i="27"/>
  <c r="C2424" i="27"/>
  <c r="C2423" i="27"/>
  <c r="C2422" i="27"/>
  <c r="C2421" i="27"/>
  <c r="C2420" i="27"/>
  <c r="C2419" i="27"/>
  <c r="C2418" i="27"/>
  <c r="C2417" i="27"/>
  <c r="C2416" i="27"/>
  <c r="C2415" i="27"/>
  <c r="C2414" i="27"/>
  <c r="C2413" i="27"/>
  <c r="C2412" i="27"/>
  <c r="C2411" i="27"/>
  <c r="C2410" i="27"/>
  <c r="C2409" i="27"/>
  <c r="C2408" i="27"/>
  <c r="C2407" i="27"/>
  <c r="C2406" i="27"/>
  <c r="C2405" i="27"/>
  <c r="C2404" i="27"/>
  <c r="C2403" i="27"/>
  <c r="C2402" i="27"/>
  <c r="C2401" i="27"/>
  <c r="C2400" i="27"/>
  <c r="C2399" i="27"/>
  <c r="C2398" i="27"/>
  <c r="C2397" i="27"/>
  <c r="C2396" i="27"/>
  <c r="C2395" i="27"/>
  <c r="C2394" i="27"/>
  <c r="C2393" i="27"/>
  <c r="C2392" i="27"/>
  <c r="C2391" i="27"/>
  <c r="C2390" i="27"/>
  <c r="C2389" i="27"/>
  <c r="C2388" i="27"/>
  <c r="C2387" i="27"/>
  <c r="C2386" i="27"/>
  <c r="C2385" i="27"/>
  <c r="C2384" i="27"/>
  <c r="C2383" i="27"/>
  <c r="C2382" i="27"/>
  <c r="C2381" i="27"/>
  <c r="C2380" i="27"/>
  <c r="C2379" i="27"/>
  <c r="C2378" i="27"/>
  <c r="C2377" i="27"/>
  <c r="C2376" i="27"/>
  <c r="C2375" i="27"/>
  <c r="C2374" i="27"/>
  <c r="C2373" i="27"/>
  <c r="C2372" i="27"/>
  <c r="C2371" i="27"/>
  <c r="C2370" i="27"/>
  <c r="C2369" i="27"/>
  <c r="C2368" i="27"/>
  <c r="C2367" i="27"/>
  <c r="C2366" i="27"/>
  <c r="C2365" i="27"/>
  <c r="C2364" i="27"/>
  <c r="C2363" i="27"/>
  <c r="C2362" i="27"/>
  <c r="C2361" i="27"/>
  <c r="C2360" i="27"/>
  <c r="C2359" i="27"/>
  <c r="C2358" i="27"/>
  <c r="C2357" i="27"/>
  <c r="C2356" i="27"/>
  <c r="C2355" i="27"/>
  <c r="C2354" i="27"/>
  <c r="C2353" i="27"/>
  <c r="C2352" i="27"/>
  <c r="C2351" i="27"/>
  <c r="C2350" i="27"/>
  <c r="C2349" i="27"/>
  <c r="C2348" i="27"/>
  <c r="C2347" i="27"/>
  <c r="C2346" i="27"/>
  <c r="C2345" i="27"/>
  <c r="C2344" i="27"/>
  <c r="C2343" i="27"/>
  <c r="C2342" i="27"/>
  <c r="C2341" i="27"/>
  <c r="C2340" i="27"/>
  <c r="C2339" i="27"/>
  <c r="C2338" i="27"/>
  <c r="C2337" i="27"/>
  <c r="C2336" i="27"/>
  <c r="C2335" i="27"/>
  <c r="C2334" i="27"/>
  <c r="C2333" i="27"/>
  <c r="C2332" i="27"/>
  <c r="C2331" i="27"/>
  <c r="C2330" i="27"/>
  <c r="C2329" i="27"/>
  <c r="C2328" i="27"/>
  <c r="C2327" i="27"/>
  <c r="C2326" i="27"/>
  <c r="C2325" i="27"/>
  <c r="C2324" i="27"/>
  <c r="C2323" i="27"/>
  <c r="C2322" i="27"/>
  <c r="C2321" i="27"/>
  <c r="C2320" i="27"/>
  <c r="C2319" i="27"/>
  <c r="C2318" i="27"/>
  <c r="C2317" i="27"/>
  <c r="C2316" i="27"/>
  <c r="C2315" i="27"/>
  <c r="C2314" i="27"/>
  <c r="C2313" i="27"/>
  <c r="C2312" i="27"/>
  <c r="C2311" i="27"/>
  <c r="C2310" i="27"/>
  <c r="C2309" i="27"/>
  <c r="C2308" i="27"/>
  <c r="C2307" i="27"/>
  <c r="C2306" i="27"/>
  <c r="C2305" i="27"/>
  <c r="C2304" i="27"/>
  <c r="C2303" i="27"/>
  <c r="C2302" i="27"/>
  <c r="C2301" i="27"/>
  <c r="C2300" i="27"/>
  <c r="C2299" i="27"/>
  <c r="C2298" i="27"/>
  <c r="C2297" i="27"/>
  <c r="C2296" i="27"/>
  <c r="C2295" i="27"/>
  <c r="C2294" i="27"/>
  <c r="C2293" i="27"/>
  <c r="C2292" i="27"/>
  <c r="C2291" i="27"/>
  <c r="C2290" i="27"/>
  <c r="C2289" i="27"/>
  <c r="C2288" i="27"/>
  <c r="C2287" i="27"/>
  <c r="C2286" i="27"/>
  <c r="C2285" i="27"/>
  <c r="C2284" i="27"/>
  <c r="C2283" i="27"/>
  <c r="C2282" i="27"/>
  <c r="C2281" i="27"/>
  <c r="C2280" i="27"/>
  <c r="C2279" i="27"/>
  <c r="C2278" i="27"/>
  <c r="C2277" i="27"/>
  <c r="C2276" i="27"/>
  <c r="C2275" i="27"/>
  <c r="C2274" i="27"/>
  <c r="C2273" i="27"/>
  <c r="C2272" i="27"/>
  <c r="C2271" i="27"/>
  <c r="C2270" i="27"/>
  <c r="C2269" i="27"/>
  <c r="C2268" i="27"/>
  <c r="C2267" i="27"/>
  <c r="C2266" i="27"/>
  <c r="C2265" i="27"/>
  <c r="C2264" i="27"/>
  <c r="C2263" i="27"/>
  <c r="C2262" i="27"/>
  <c r="C2261" i="27"/>
  <c r="C2260" i="27"/>
  <c r="C2259" i="27"/>
  <c r="C2258" i="27"/>
  <c r="C2257" i="27"/>
  <c r="C2256" i="27"/>
  <c r="C2255" i="27"/>
  <c r="C2254" i="27"/>
  <c r="C2253" i="27"/>
  <c r="C2252" i="27"/>
  <c r="C3056" i="27"/>
  <c r="C3055" i="27"/>
  <c r="C3054" i="27"/>
  <c r="C3053" i="27"/>
  <c r="C3052" i="27"/>
  <c r="C3051" i="27"/>
  <c r="C3050" i="27"/>
  <c r="C3049" i="27"/>
  <c r="C3048" i="27"/>
  <c r="C3047" i="27"/>
  <c r="C3046" i="27"/>
  <c r="C3045" i="27"/>
  <c r="C3044" i="27"/>
  <c r="C3043" i="27"/>
  <c r="C3042" i="27"/>
  <c r="C3041" i="27"/>
  <c r="C3040" i="27"/>
  <c r="C3039" i="27"/>
  <c r="C3038" i="27"/>
  <c r="C3037" i="27"/>
  <c r="C3036" i="27"/>
  <c r="C3035" i="27"/>
  <c r="C3034" i="27"/>
  <c r="C3033" i="27"/>
  <c r="C3032" i="27"/>
  <c r="C3031" i="27"/>
  <c r="C3030" i="27"/>
  <c r="C3029" i="27"/>
  <c r="C3028" i="27"/>
  <c r="C3027" i="27"/>
  <c r="C3026" i="27"/>
  <c r="C3025" i="27"/>
  <c r="C3024" i="27"/>
  <c r="C3023" i="27"/>
  <c r="C3022" i="27"/>
  <c r="C3021" i="27"/>
  <c r="C3020" i="27"/>
  <c r="C3019" i="27"/>
  <c r="C3018" i="27"/>
  <c r="C3017" i="27"/>
  <c r="C3016" i="27"/>
  <c r="C3015" i="27"/>
  <c r="C3014" i="27"/>
  <c r="C3013" i="27"/>
  <c r="C3012" i="27"/>
  <c r="C3011" i="27"/>
  <c r="C3010" i="27"/>
  <c r="C3009" i="27"/>
  <c r="C3008" i="27"/>
  <c r="C3007" i="27"/>
  <c r="C3006" i="27"/>
  <c r="C3005" i="27"/>
  <c r="C3004" i="27"/>
  <c r="C3003" i="27"/>
  <c r="C3002" i="27"/>
  <c r="C3001" i="27"/>
  <c r="C3000" i="27"/>
  <c r="C2999" i="27"/>
  <c r="C2998" i="27"/>
  <c r="C2997" i="27"/>
  <c r="C2996" i="27"/>
  <c r="C2995" i="27"/>
  <c r="C2994" i="27"/>
  <c r="C2993" i="27"/>
  <c r="C2992" i="27"/>
  <c r="C2991" i="27"/>
  <c r="C2990" i="27"/>
  <c r="C2989" i="27"/>
  <c r="C2988" i="27"/>
  <c r="C2987" i="27"/>
  <c r="C2986" i="27"/>
  <c r="C2985" i="27"/>
  <c r="C2984" i="27"/>
  <c r="C2983" i="27"/>
  <c r="C2982" i="27"/>
  <c r="C2981" i="27"/>
  <c r="C2980" i="27"/>
  <c r="C2979" i="27"/>
  <c r="C2978" i="27"/>
  <c r="C2977" i="27"/>
  <c r="C1303" i="27"/>
  <c r="C1302" i="27"/>
  <c r="C1301" i="27"/>
  <c r="C1300" i="27"/>
  <c r="C1299" i="27"/>
  <c r="C1298" i="27"/>
  <c r="C1297" i="27"/>
  <c r="C1296" i="27"/>
  <c r="C1295" i="27"/>
  <c r="C1294" i="27"/>
  <c r="C1293" i="27"/>
  <c r="C1292" i="27"/>
  <c r="C1291" i="27"/>
  <c r="C1290" i="27"/>
  <c r="C1289" i="27"/>
  <c r="C1288" i="27"/>
  <c r="C1287" i="27"/>
  <c r="C1286" i="27"/>
  <c r="C1285" i="27"/>
  <c r="C1284" i="27"/>
  <c r="C1283" i="27"/>
  <c r="C1282" i="27"/>
  <c r="C1281" i="27"/>
  <c r="C1280" i="27"/>
  <c r="C1279" i="27"/>
  <c r="C1278" i="27"/>
  <c r="C1277" i="27"/>
  <c r="C1276" i="27"/>
  <c r="C1275" i="27"/>
  <c r="C1274" i="27"/>
  <c r="C1273" i="27"/>
  <c r="C1272" i="27"/>
  <c r="C1271" i="27"/>
  <c r="C1270" i="27"/>
  <c r="C1269" i="27"/>
  <c r="C1268" i="27"/>
  <c r="C1267" i="27"/>
  <c r="C1266" i="27"/>
  <c r="C1265" i="27"/>
  <c r="C1264" i="27"/>
  <c r="C1263" i="27"/>
  <c r="C1262" i="27"/>
  <c r="C1261" i="27"/>
  <c r="C1260" i="27"/>
  <c r="C1259" i="27"/>
  <c r="C1258" i="27"/>
  <c r="C1257" i="27"/>
  <c r="C1256" i="27"/>
  <c r="C1255" i="27"/>
  <c r="C1254" i="27"/>
  <c r="C1253" i="27"/>
  <c r="C1252" i="27"/>
  <c r="C1251" i="27"/>
  <c r="C1250" i="27"/>
  <c r="C1249" i="27"/>
  <c r="C1248" i="27"/>
  <c r="C1247" i="27"/>
  <c r="C1246" i="27"/>
  <c r="C1245" i="27"/>
  <c r="C1244" i="27"/>
  <c r="C1243" i="27"/>
  <c r="C1242" i="27"/>
  <c r="C1241" i="27"/>
  <c r="C1240" i="27"/>
  <c r="C1239" i="27"/>
  <c r="C1238" i="27"/>
  <c r="C1237" i="27"/>
  <c r="C1236" i="27"/>
  <c r="C1235" i="27"/>
  <c r="C1234" i="27"/>
  <c r="C1233" i="27"/>
  <c r="C1232" i="27"/>
  <c r="C1231" i="27"/>
  <c r="C1230" i="27"/>
  <c r="C1229" i="27"/>
  <c r="C1228" i="27"/>
  <c r="C1227" i="27"/>
  <c r="C1226" i="27"/>
  <c r="C1225" i="27"/>
  <c r="C1224" i="27"/>
  <c r="C1223" i="27"/>
  <c r="C1222" i="27"/>
  <c r="C1221" i="27"/>
  <c r="C1220" i="27"/>
  <c r="C1219" i="27"/>
  <c r="C1218" i="27"/>
  <c r="C1217" i="27"/>
  <c r="C1216" i="27"/>
  <c r="C1215" i="27"/>
  <c r="C1214" i="27"/>
  <c r="C1213" i="27"/>
  <c r="C1212" i="27"/>
  <c r="C1211" i="27"/>
  <c r="C1210" i="27"/>
  <c r="C1209" i="27"/>
  <c r="C1208" i="27"/>
  <c r="C1207" i="27"/>
  <c r="C1206" i="27"/>
  <c r="C1205" i="27"/>
  <c r="C1204" i="27"/>
  <c r="C1203" i="27"/>
  <c r="C1202" i="27"/>
  <c r="C1201" i="27"/>
  <c r="C1200" i="27"/>
  <c r="C1199" i="27"/>
  <c r="C1198" i="27"/>
  <c r="C1197" i="27"/>
  <c r="C1196" i="27"/>
  <c r="C1195" i="27"/>
  <c r="C1194" i="27"/>
  <c r="C1193" i="27"/>
  <c r="C1192" i="27"/>
  <c r="C1191" i="27"/>
  <c r="C1190" i="27"/>
  <c r="C1189" i="27"/>
  <c r="C1188" i="27"/>
  <c r="C1187" i="27"/>
  <c r="C1186" i="27"/>
  <c r="C1185" i="27"/>
  <c r="C1184" i="27"/>
  <c r="C1183" i="27"/>
  <c r="C1182" i="27"/>
  <c r="C1181" i="27"/>
  <c r="C1180" i="27"/>
  <c r="C1179" i="27"/>
  <c r="C1178" i="27"/>
  <c r="C1177" i="27"/>
  <c r="C1176" i="27"/>
  <c r="C1175" i="27"/>
  <c r="C1174" i="27"/>
  <c r="C1173" i="27"/>
  <c r="C1172" i="27"/>
  <c r="C1171" i="27"/>
  <c r="C1170" i="27"/>
  <c r="C1169" i="27"/>
  <c r="C1168" i="27"/>
  <c r="C1167" i="27"/>
  <c r="C1166" i="27"/>
  <c r="C1165" i="27"/>
  <c r="C1164" i="27"/>
  <c r="C1163" i="27"/>
  <c r="C1162" i="27"/>
  <c r="C1161" i="27"/>
  <c r="C1160" i="27"/>
  <c r="C1159" i="27"/>
  <c r="C1158" i="27"/>
  <c r="C1157" i="27"/>
  <c r="C1156" i="27"/>
  <c r="C1155" i="27"/>
  <c r="C1154" i="27"/>
  <c r="C1607" i="27"/>
  <c r="C1606" i="27"/>
  <c r="C1605" i="27"/>
  <c r="C1604" i="27"/>
  <c r="C1603" i="27"/>
  <c r="C1602" i="27"/>
  <c r="C1601" i="27"/>
  <c r="C1600" i="27"/>
  <c r="C1599" i="27"/>
  <c r="C1598" i="27"/>
  <c r="C1597" i="27"/>
  <c r="C1596" i="27"/>
  <c r="C1595" i="27"/>
  <c r="C1594" i="27"/>
  <c r="C1593" i="27"/>
  <c r="C1592" i="27"/>
  <c r="C1591" i="27"/>
  <c r="C1590" i="27"/>
  <c r="C1589" i="27"/>
  <c r="C1588" i="27"/>
  <c r="C1587" i="27"/>
  <c r="C1586" i="27"/>
  <c r="C1585" i="27"/>
  <c r="C1584" i="27"/>
  <c r="C1583" i="27"/>
  <c r="C1582" i="27"/>
  <c r="C1581" i="27"/>
  <c r="C1580" i="27"/>
  <c r="C1579" i="27"/>
  <c r="C1578" i="27"/>
  <c r="C1577" i="27"/>
  <c r="C1576" i="27"/>
  <c r="C1575" i="27"/>
  <c r="C1574" i="27"/>
  <c r="C1573" i="27"/>
  <c r="C1572" i="27"/>
  <c r="C1571" i="27"/>
  <c r="C1570" i="27"/>
  <c r="C1569" i="27"/>
  <c r="C1568" i="27"/>
  <c r="C1567" i="27"/>
  <c r="C1566" i="27"/>
  <c r="C1565" i="27"/>
  <c r="C1564" i="27"/>
  <c r="C1563" i="27"/>
  <c r="C1562" i="27"/>
  <c r="C1561" i="27"/>
  <c r="C1560" i="27"/>
  <c r="C1559" i="27"/>
  <c r="C1558" i="27"/>
  <c r="C1557" i="27"/>
  <c r="C1556" i="27"/>
  <c r="C1555" i="27"/>
  <c r="C1554" i="27"/>
  <c r="C1553" i="27"/>
  <c r="C1552" i="27"/>
  <c r="C1551" i="27"/>
  <c r="C1550" i="27"/>
  <c r="C1549" i="27"/>
  <c r="C1548" i="27"/>
  <c r="C1547" i="27"/>
  <c r="C1546" i="27"/>
  <c r="C1545" i="27"/>
  <c r="C1544" i="27"/>
  <c r="C1543" i="27"/>
  <c r="C1542" i="27"/>
  <c r="C1541" i="27"/>
  <c r="C1540" i="27"/>
  <c r="C1539" i="27"/>
  <c r="C1538" i="27"/>
  <c r="C1537" i="27"/>
  <c r="C1536" i="27"/>
  <c r="C1535" i="27"/>
  <c r="C1534" i="27"/>
  <c r="C1533" i="27"/>
  <c r="C1532" i="27"/>
  <c r="C1531" i="27"/>
  <c r="C1530" i="27"/>
  <c r="C1529" i="27"/>
  <c r="C1528" i="27"/>
  <c r="C1527" i="27"/>
  <c r="C1526" i="27"/>
  <c r="C1525" i="27"/>
  <c r="C1524" i="27"/>
  <c r="C1523" i="27"/>
  <c r="C1522" i="27"/>
  <c r="C1521" i="27"/>
  <c r="C1520" i="27"/>
  <c r="C1519" i="27"/>
  <c r="C1518" i="27"/>
  <c r="C1517" i="27"/>
  <c r="C1516" i="27"/>
  <c r="C1515" i="27"/>
  <c r="C1514" i="27"/>
  <c r="C1513" i="27"/>
  <c r="C1512" i="27"/>
  <c r="C1511" i="27"/>
  <c r="C1510" i="27"/>
  <c r="C1509" i="27"/>
  <c r="C1508" i="27"/>
  <c r="C1507" i="27"/>
  <c r="C1506" i="27"/>
  <c r="C1505" i="27"/>
  <c r="C1504" i="27"/>
  <c r="C1503" i="27"/>
  <c r="C1502" i="27"/>
  <c r="C1501" i="27"/>
  <c r="C1500" i="27"/>
  <c r="C1499" i="27"/>
  <c r="C1498" i="27"/>
  <c r="C1497" i="27"/>
  <c r="C1496" i="27"/>
  <c r="C1495" i="27"/>
  <c r="C1494" i="27"/>
  <c r="C1493" i="27"/>
  <c r="C1492" i="27"/>
  <c r="C1491" i="27"/>
  <c r="C1490" i="27"/>
  <c r="C1489" i="27"/>
  <c r="C1488" i="27"/>
  <c r="C1487" i="27"/>
  <c r="C1486" i="27"/>
  <c r="C1485" i="27"/>
  <c r="C1484" i="27"/>
  <c r="C1483" i="27"/>
  <c r="C1482" i="27"/>
  <c r="C1481" i="27"/>
  <c r="C1480" i="27"/>
  <c r="C1479" i="27"/>
  <c r="C1478" i="27"/>
  <c r="C1477" i="27"/>
  <c r="C1476" i="27"/>
  <c r="C1475" i="27"/>
  <c r="C1474" i="27"/>
  <c r="C1473" i="27"/>
  <c r="C1472" i="27"/>
  <c r="C1471" i="27"/>
  <c r="C1470" i="27"/>
  <c r="C1469" i="27"/>
  <c r="C1468" i="27"/>
  <c r="C1467" i="27"/>
  <c r="C1466" i="27"/>
  <c r="C1465" i="27"/>
  <c r="C1464" i="27"/>
  <c r="C1463" i="27"/>
  <c r="C1462" i="27"/>
  <c r="C1461" i="27"/>
  <c r="C1460" i="27"/>
  <c r="C1459" i="27"/>
  <c r="C1458" i="27"/>
  <c r="O996" i="27"/>
  <c r="O995" i="27"/>
  <c r="O994" i="27"/>
  <c r="O993" i="27"/>
  <c r="O992" i="27"/>
  <c r="O991" i="27"/>
  <c r="O990" i="27"/>
  <c r="O989" i="27"/>
  <c r="O988" i="27"/>
  <c r="O987" i="27"/>
  <c r="O986" i="27"/>
  <c r="O985" i="27"/>
  <c r="O984" i="27"/>
  <c r="O983" i="27"/>
  <c r="O982" i="27"/>
  <c r="O981" i="27"/>
  <c r="O980" i="27"/>
  <c r="O979" i="27"/>
  <c r="O978" i="27"/>
  <c r="O977" i="27"/>
  <c r="O976" i="27"/>
  <c r="O975" i="27"/>
  <c r="O974" i="27"/>
  <c r="O973" i="27"/>
  <c r="O972" i="27"/>
  <c r="O971" i="27"/>
  <c r="O970" i="27"/>
  <c r="O969" i="27"/>
  <c r="O968" i="27"/>
  <c r="O967" i="27"/>
  <c r="O966" i="27"/>
  <c r="O965" i="27"/>
  <c r="O964" i="27"/>
  <c r="O963" i="27"/>
  <c r="O962" i="27"/>
  <c r="O961" i="27"/>
  <c r="O960" i="27"/>
  <c r="O959" i="27"/>
  <c r="O958" i="27"/>
  <c r="O957" i="27"/>
  <c r="O956" i="27"/>
  <c r="O955" i="27"/>
  <c r="O954" i="27"/>
  <c r="O953" i="27"/>
  <c r="O952" i="27"/>
  <c r="O951" i="27"/>
  <c r="O950" i="27"/>
  <c r="O949" i="27"/>
  <c r="O948" i="27"/>
  <c r="O947" i="27"/>
  <c r="O946" i="27"/>
  <c r="O945" i="27"/>
  <c r="O944" i="27"/>
  <c r="O943" i="27"/>
  <c r="O942" i="27"/>
  <c r="O941" i="27"/>
  <c r="O940" i="27"/>
  <c r="O939" i="27"/>
  <c r="O938" i="27"/>
  <c r="O937" i="27"/>
  <c r="O936" i="27"/>
  <c r="O935" i="27"/>
  <c r="O934" i="27"/>
  <c r="O933" i="27"/>
  <c r="O932" i="27"/>
  <c r="O931" i="27"/>
  <c r="O930" i="27"/>
  <c r="O929" i="27"/>
  <c r="O928" i="27"/>
  <c r="O927" i="27"/>
  <c r="O926" i="27"/>
  <c r="O925" i="27"/>
  <c r="O924" i="27"/>
  <c r="O923" i="27"/>
  <c r="O922" i="27"/>
  <c r="O921" i="27"/>
  <c r="O920" i="27"/>
  <c r="O919" i="27"/>
  <c r="O918" i="27"/>
  <c r="O917" i="27"/>
  <c r="O916" i="27"/>
  <c r="O915" i="27"/>
  <c r="O914" i="27"/>
  <c r="O913" i="27"/>
  <c r="O912" i="27"/>
  <c r="O911" i="27"/>
  <c r="O910" i="27"/>
  <c r="O909" i="27"/>
  <c r="O908" i="27"/>
  <c r="O907" i="27"/>
  <c r="O906" i="27"/>
  <c r="O905" i="27"/>
  <c r="O904" i="27"/>
  <c r="O903" i="27"/>
  <c r="O902" i="27"/>
  <c r="O901" i="27"/>
  <c r="O900" i="27"/>
  <c r="O899" i="27"/>
  <c r="O898" i="27"/>
  <c r="O897" i="27"/>
  <c r="O896" i="27"/>
  <c r="O895" i="27"/>
  <c r="O894" i="27"/>
  <c r="O893" i="27"/>
  <c r="O892" i="27"/>
  <c r="O891" i="27"/>
  <c r="O890" i="27"/>
  <c r="O889" i="27"/>
  <c r="O888" i="27"/>
  <c r="O887" i="27"/>
  <c r="O886" i="27"/>
  <c r="O885" i="27"/>
  <c r="O884" i="27"/>
  <c r="O883" i="27"/>
  <c r="O882" i="27"/>
  <c r="O881" i="27"/>
  <c r="O880" i="27"/>
  <c r="O879" i="27"/>
  <c r="O878" i="27"/>
  <c r="O877" i="27"/>
  <c r="O876" i="27"/>
  <c r="O875" i="27"/>
  <c r="O874" i="27"/>
  <c r="O873" i="27"/>
  <c r="O872" i="27"/>
  <c r="O871" i="27"/>
  <c r="O870" i="27"/>
  <c r="O869" i="27"/>
  <c r="O868" i="27"/>
  <c r="O867" i="27"/>
  <c r="O866" i="27"/>
  <c r="O865" i="27"/>
  <c r="O864" i="27"/>
  <c r="O863" i="27"/>
  <c r="O862" i="27"/>
  <c r="O861" i="27"/>
  <c r="O860" i="27"/>
  <c r="O859" i="27"/>
  <c r="O858" i="27"/>
  <c r="O857" i="27"/>
  <c r="O856" i="27"/>
  <c r="O855" i="27"/>
  <c r="O854" i="27"/>
  <c r="O853" i="27"/>
  <c r="O852" i="27"/>
  <c r="O851" i="27"/>
  <c r="O850" i="27"/>
  <c r="O849" i="27"/>
  <c r="O848" i="27"/>
  <c r="O847" i="27"/>
  <c r="O846" i="27"/>
  <c r="O845" i="27"/>
  <c r="O844" i="27"/>
  <c r="O843" i="27"/>
  <c r="O842" i="27"/>
  <c r="O841" i="27"/>
  <c r="O840" i="27"/>
  <c r="O839" i="27"/>
  <c r="O838" i="27"/>
  <c r="O837" i="27"/>
  <c r="O836" i="27"/>
  <c r="O835" i="27"/>
  <c r="O834" i="27"/>
  <c r="O833" i="27"/>
  <c r="O832" i="27"/>
  <c r="O831" i="27"/>
  <c r="O830" i="27"/>
  <c r="O829" i="27"/>
  <c r="O828" i="27"/>
  <c r="O827" i="27"/>
  <c r="O826" i="27"/>
  <c r="O825" i="27"/>
  <c r="O824" i="27"/>
  <c r="O823" i="27"/>
  <c r="O822" i="27"/>
  <c r="O821" i="27"/>
  <c r="O820" i="27"/>
  <c r="O819" i="27"/>
  <c r="O818" i="27"/>
  <c r="O817" i="27"/>
  <c r="O816" i="27"/>
  <c r="O815" i="27"/>
  <c r="O814" i="27"/>
  <c r="O813" i="27"/>
  <c r="O812" i="27"/>
  <c r="O811" i="27"/>
  <c r="O810" i="27"/>
  <c r="O809" i="27"/>
  <c r="O808" i="27"/>
  <c r="O807" i="27"/>
  <c r="O806" i="27"/>
  <c r="O805" i="27"/>
  <c r="O804" i="27"/>
  <c r="O803" i="27"/>
  <c r="O802" i="27"/>
  <c r="O801" i="27"/>
  <c r="O800" i="27"/>
  <c r="O799" i="27"/>
  <c r="O798" i="27"/>
  <c r="O797" i="27"/>
  <c r="O796" i="27"/>
  <c r="O795" i="27"/>
  <c r="O794" i="27"/>
  <c r="O793" i="27"/>
  <c r="O792" i="27"/>
  <c r="O791" i="27"/>
  <c r="O790" i="27"/>
  <c r="O789" i="27"/>
  <c r="O788" i="27"/>
  <c r="O787" i="27"/>
  <c r="O786" i="27"/>
  <c r="O785" i="27"/>
  <c r="O784" i="27"/>
  <c r="O783" i="27"/>
  <c r="O782" i="27"/>
  <c r="O781" i="27"/>
  <c r="O780" i="27"/>
  <c r="O779" i="27"/>
  <c r="O778" i="27"/>
  <c r="O777" i="27"/>
  <c r="O776" i="27"/>
  <c r="O775" i="27"/>
  <c r="O774" i="27"/>
  <c r="O773" i="27"/>
  <c r="O772" i="27"/>
  <c r="O771" i="27"/>
  <c r="O770" i="27"/>
  <c r="O769" i="27"/>
  <c r="O768" i="27"/>
  <c r="O767" i="27"/>
  <c r="O766" i="27"/>
  <c r="O765" i="27"/>
  <c r="O764" i="27"/>
  <c r="O763" i="27"/>
  <c r="N763" i="27"/>
  <c r="F996" i="27"/>
  <c r="F995" i="27"/>
  <c r="F994" i="27"/>
  <c r="F993" i="27"/>
  <c r="F992" i="27"/>
  <c r="F991" i="27"/>
  <c r="F990" i="27"/>
  <c r="F989" i="27"/>
  <c r="F988" i="27"/>
  <c r="F987" i="27"/>
  <c r="F986" i="27"/>
  <c r="F985" i="27"/>
  <c r="F984" i="27"/>
  <c r="F983" i="27"/>
  <c r="F982" i="27"/>
  <c r="F981" i="27"/>
  <c r="F980" i="27"/>
  <c r="F979" i="27"/>
  <c r="F978" i="27"/>
  <c r="F977" i="27"/>
  <c r="F976" i="27"/>
  <c r="F975" i="27"/>
  <c r="F974" i="27"/>
  <c r="F973" i="27"/>
  <c r="F972" i="27"/>
  <c r="F971" i="27"/>
  <c r="F970" i="27"/>
  <c r="F969" i="27"/>
  <c r="F968" i="27"/>
  <c r="F967" i="27"/>
  <c r="F966" i="27"/>
  <c r="F965" i="27"/>
  <c r="F964" i="27"/>
  <c r="F963" i="27"/>
  <c r="F962" i="27"/>
  <c r="F961" i="27"/>
  <c r="F960" i="27"/>
  <c r="F959" i="27"/>
  <c r="F958" i="27"/>
  <c r="F957" i="27"/>
  <c r="F956" i="27"/>
  <c r="F955" i="27"/>
  <c r="F954" i="27"/>
  <c r="F953" i="27"/>
  <c r="F952" i="27"/>
  <c r="F951" i="27"/>
  <c r="F950" i="27"/>
  <c r="F949" i="27"/>
  <c r="F948" i="27"/>
  <c r="F947" i="27"/>
  <c r="F946" i="27"/>
  <c r="F945" i="27"/>
  <c r="F944" i="27"/>
  <c r="F943" i="27"/>
  <c r="F942" i="27"/>
  <c r="F941" i="27"/>
  <c r="F940" i="27"/>
  <c r="F939" i="27"/>
  <c r="F938" i="27"/>
  <c r="F937" i="27"/>
  <c r="F936" i="27"/>
  <c r="F935" i="27"/>
  <c r="F934" i="27"/>
  <c r="F933" i="27"/>
  <c r="F932" i="27"/>
  <c r="F931" i="27"/>
  <c r="F930" i="27"/>
  <c r="F929" i="27"/>
  <c r="F928" i="27"/>
  <c r="F927" i="27"/>
  <c r="F926" i="27"/>
  <c r="F925" i="27"/>
  <c r="F924" i="27"/>
  <c r="F923" i="27"/>
  <c r="F922" i="27"/>
  <c r="F921" i="27"/>
  <c r="F920" i="27"/>
  <c r="F919" i="27"/>
  <c r="F918" i="27"/>
  <c r="F917" i="27"/>
  <c r="F916" i="27"/>
  <c r="F915" i="27"/>
  <c r="F914" i="27"/>
  <c r="F913" i="27"/>
  <c r="F912" i="27"/>
  <c r="F911" i="27"/>
  <c r="F910" i="27"/>
  <c r="F909" i="27"/>
  <c r="F908" i="27"/>
  <c r="F907" i="27"/>
  <c r="F906" i="27"/>
  <c r="F905" i="27"/>
  <c r="F904" i="27"/>
  <c r="F903" i="27"/>
  <c r="F902" i="27"/>
  <c r="F901" i="27"/>
  <c r="F900" i="27"/>
  <c r="F899" i="27"/>
  <c r="F898" i="27"/>
  <c r="F897" i="27"/>
  <c r="F896" i="27"/>
  <c r="F895" i="27"/>
  <c r="F894" i="27"/>
  <c r="F893" i="27"/>
  <c r="F892" i="27"/>
  <c r="F891" i="27"/>
  <c r="F890" i="27"/>
  <c r="F889" i="27"/>
  <c r="F888" i="27"/>
  <c r="F887" i="27"/>
  <c r="F886" i="27"/>
  <c r="F885" i="27"/>
  <c r="F884" i="27"/>
  <c r="F883" i="27"/>
  <c r="F882" i="27"/>
  <c r="F881" i="27"/>
  <c r="F880" i="27"/>
  <c r="F879" i="27"/>
  <c r="F878" i="27"/>
  <c r="F877" i="27"/>
  <c r="F876" i="27"/>
  <c r="F875" i="27"/>
  <c r="F874" i="27"/>
  <c r="F873" i="27"/>
  <c r="F872" i="27"/>
  <c r="F871" i="27"/>
  <c r="F870" i="27"/>
  <c r="F869" i="27"/>
  <c r="F868" i="27"/>
  <c r="F867" i="27"/>
  <c r="F866" i="27"/>
  <c r="F865" i="27"/>
  <c r="F864" i="27"/>
  <c r="F863" i="27"/>
  <c r="F862" i="27"/>
  <c r="F861" i="27"/>
  <c r="F860" i="27"/>
  <c r="F859" i="27"/>
  <c r="F858" i="27"/>
  <c r="F857" i="27"/>
  <c r="F856" i="27"/>
  <c r="F855" i="27"/>
  <c r="F854" i="27"/>
  <c r="F853" i="27"/>
  <c r="F852" i="27"/>
  <c r="F851" i="27"/>
  <c r="F850" i="27"/>
  <c r="F849" i="27"/>
  <c r="F848" i="27"/>
  <c r="F847" i="27"/>
  <c r="F846" i="27"/>
  <c r="F845" i="27"/>
  <c r="F844" i="27"/>
  <c r="F843" i="27"/>
  <c r="F842" i="27"/>
  <c r="F841" i="27"/>
  <c r="F840" i="27"/>
  <c r="F839" i="27"/>
  <c r="F838" i="27"/>
  <c r="F837" i="27"/>
  <c r="F836" i="27"/>
  <c r="F835" i="27"/>
  <c r="F834" i="27"/>
  <c r="F833" i="27"/>
  <c r="F832" i="27"/>
  <c r="F831" i="27"/>
  <c r="F830" i="27"/>
  <c r="F829" i="27"/>
  <c r="F828" i="27"/>
  <c r="F827" i="27"/>
  <c r="F826" i="27"/>
  <c r="F825" i="27"/>
  <c r="F824" i="27"/>
  <c r="F823" i="27"/>
  <c r="F822" i="27"/>
  <c r="F821" i="27"/>
  <c r="F820" i="27"/>
  <c r="F819" i="27"/>
  <c r="F818" i="27"/>
  <c r="F817" i="27"/>
  <c r="F816" i="27"/>
  <c r="F815" i="27"/>
  <c r="F814" i="27"/>
  <c r="F813" i="27"/>
  <c r="F812" i="27"/>
  <c r="F811" i="27"/>
  <c r="F810" i="27"/>
  <c r="F809" i="27"/>
  <c r="F808" i="27"/>
  <c r="F807" i="27"/>
  <c r="F806" i="27"/>
  <c r="F805" i="27"/>
  <c r="F804" i="27"/>
  <c r="F803" i="27"/>
  <c r="F802" i="27"/>
  <c r="F801" i="27"/>
  <c r="F800" i="27"/>
  <c r="F799" i="27"/>
  <c r="F798" i="27"/>
  <c r="F797" i="27"/>
  <c r="F796" i="27"/>
  <c r="F795" i="27"/>
  <c r="F794" i="27"/>
  <c r="F793" i="27"/>
  <c r="F792" i="27"/>
  <c r="F791" i="27"/>
  <c r="F790" i="27"/>
  <c r="F789" i="27"/>
  <c r="F788" i="27"/>
  <c r="F787" i="27"/>
  <c r="F786" i="27"/>
  <c r="F785" i="27"/>
  <c r="F784" i="27"/>
  <c r="F783" i="27"/>
  <c r="F782" i="27"/>
  <c r="F781" i="27"/>
  <c r="F780" i="27"/>
  <c r="F779" i="27"/>
  <c r="F778" i="27"/>
  <c r="F777" i="27"/>
  <c r="F776" i="27"/>
  <c r="F775" i="27"/>
  <c r="F774" i="27"/>
  <c r="F773" i="27"/>
  <c r="F772" i="27"/>
  <c r="F771" i="27"/>
  <c r="F770" i="27"/>
  <c r="F769" i="27"/>
  <c r="F768" i="27"/>
  <c r="F767" i="27"/>
  <c r="F766" i="27"/>
  <c r="F765" i="27"/>
  <c r="F764" i="27"/>
  <c r="F763" i="27"/>
  <c r="F447" i="27"/>
  <c r="F446" i="27"/>
  <c r="F445" i="27"/>
  <c r="F444" i="27"/>
  <c r="F443" i="27"/>
  <c r="F442" i="27"/>
  <c r="F441" i="27"/>
  <c r="F440" i="27"/>
  <c r="F439" i="27"/>
  <c r="F438" i="27"/>
  <c r="F437" i="27"/>
  <c r="F436" i="27"/>
  <c r="F435" i="27"/>
  <c r="F434" i="27"/>
  <c r="F433" i="27"/>
  <c r="F432" i="27"/>
  <c r="F431" i="27"/>
  <c r="F430" i="27"/>
  <c r="F429" i="27"/>
  <c r="F428" i="27"/>
  <c r="F427" i="27"/>
  <c r="F426" i="27"/>
  <c r="F425" i="27"/>
  <c r="F424" i="27"/>
  <c r="F423" i="27"/>
  <c r="F422" i="27"/>
  <c r="F421" i="27"/>
  <c r="F420" i="27"/>
  <c r="F419" i="27"/>
  <c r="F418" i="27"/>
  <c r="F417" i="27"/>
  <c r="F416" i="27"/>
  <c r="F415" i="27"/>
  <c r="F414" i="27"/>
  <c r="F413" i="27"/>
  <c r="F412" i="27"/>
  <c r="F411" i="27"/>
  <c r="F410" i="27"/>
  <c r="F409" i="27"/>
  <c r="F408" i="27"/>
  <c r="F407" i="27"/>
  <c r="F406" i="27"/>
  <c r="F405" i="27"/>
  <c r="F404" i="27"/>
  <c r="F403" i="27"/>
  <c r="F402" i="27"/>
  <c r="F401" i="27"/>
  <c r="F400" i="27"/>
  <c r="F399" i="27"/>
  <c r="F398" i="27"/>
  <c r="F397" i="27"/>
  <c r="F396" i="27"/>
  <c r="F395" i="27"/>
  <c r="F394" i="27"/>
  <c r="F393" i="27"/>
  <c r="F392" i="27"/>
  <c r="F391" i="27"/>
  <c r="F390" i="27"/>
  <c r="F389" i="27"/>
  <c r="F388" i="27"/>
  <c r="F387" i="27"/>
  <c r="F386" i="27"/>
  <c r="F385" i="27"/>
  <c r="F384" i="27"/>
  <c r="F383" i="27"/>
  <c r="F382" i="27"/>
  <c r="F381" i="27"/>
  <c r="F380" i="27"/>
  <c r="F379" i="27"/>
  <c r="F378" i="27"/>
  <c r="F377" i="27"/>
  <c r="F376" i="27"/>
  <c r="F375" i="27"/>
  <c r="F374" i="27"/>
  <c r="F373" i="27"/>
  <c r="F372" i="27"/>
  <c r="F371" i="27"/>
  <c r="F370" i="27"/>
  <c r="F369" i="27"/>
  <c r="F368" i="27"/>
  <c r="F367" i="27"/>
  <c r="F366" i="27"/>
  <c r="F365" i="27"/>
  <c r="F364" i="27"/>
  <c r="F363" i="27"/>
  <c r="H363" i="27" s="1"/>
  <c r="F362" i="27"/>
  <c r="H362" i="27" s="1"/>
  <c r="F361" i="27"/>
  <c r="F360" i="27"/>
  <c r="H360" i="27" s="1"/>
  <c r="F359" i="27"/>
  <c r="H359" i="27" s="1"/>
  <c r="F358" i="27"/>
  <c r="H358" i="27" s="1"/>
  <c r="C447" i="27"/>
  <c r="C446" i="27"/>
  <c r="C445" i="27"/>
  <c r="C444" i="27"/>
  <c r="C443" i="27"/>
  <c r="C442" i="27"/>
  <c r="C441" i="27"/>
  <c r="C440" i="27"/>
  <c r="C439" i="27"/>
  <c r="C438" i="27"/>
  <c r="C437" i="27"/>
  <c r="C436" i="27"/>
  <c r="C435" i="27"/>
  <c r="C434" i="27"/>
  <c r="C433" i="27"/>
  <c r="C432" i="27"/>
  <c r="C431" i="27"/>
  <c r="C430" i="27"/>
  <c r="C429" i="27"/>
  <c r="C428" i="27"/>
  <c r="C427" i="27"/>
  <c r="C426" i="27"/>
  <c r="C425" i="27"/>
  <c r="C424" i="27"/>
  <c r="C423" i="27"/>
  <c r="C422" i="27"/>
  <c r="C421" i="27"/>
  <c r="C420" i="27"/>
  <c r="C419" i="27"/>
  <c r="C418" i="27"/>
  <c r="C417" i="27"/>
  <c r="C416" i="27"/>
  <c r="C415" i="27"/>
  <c r="C414" i="27"/>
  <c r="C413" i="27"/>
  <c r="C412" i="27"/>
  <c r="C411" i="27"/>
  <c r="C410" i="27"/>
  <c r="C409" i="27"/>
  <c r="C408" i="27"/>
  <c r="C407" i="27"/>
  <c r="C406" i="27"/>
  <c r="C405" i="27"/>
  <c r="C404" i="27"/>
  <c r="C403" i="27"/>
  <c r="C402" i="27"/>
  <c r="C401" i="27"/>
  <c r="C400" i="27"/>
  <c r="C399" i="27"/>
  <c r="C398" i="27"/>
  <c r="C397" i="27"/>
  <c r="C396" i="27"/>
  <c r="C395" i="27"/>
  <c r="C394" i="27"/>
  <c r="C393" i="27"/>
  <c r="C392" i="27"/>
  <c r="C391" i="27"/>
  <c r="C390" i="27"/>
  <c r="C389" i="27"/>
  <c r="C388" i="27"/>
  <c r="C387" i="27"/>
  <c r="C386" i="27"/>
  <c r="C385" i="27"/>
  <c r="C384" i="27"/>
  <c r="C383" i="27"/>
  <c r="C382" i="27"/>
  <c r="C381" i="27"/>
  <c r="C380" i="27"/>
  <c r="C379" i="27"/>
  <c r="C378" i="27"/>
  <c r="C377" i="27"/>
  <c r="C376" i="27"/>
  <c r="C375" i="27"/>
  <c r="C374" i="27"/>
  <c r="C373" i="27"/>
  <c r="C372" i="27"/>
  <c r="C371" i="27"/>
  <c r="C370" i="27"/>
  <c r="C369" i="27"/>
  <c r="C368" i="27"/>
  <c r="C367" i="27"/>
  <c r="C366" i="27"/>
  <c r="C365" i="27"/>
  <c r="C364" i="27"/>
  <c r="C363" i="27"/>
  <c r="C362" i="27"/>
  <c r="C361" i="27"/>
  <c r="C360" i="27"/>
  <c r="C359" i="27"/>
  <c r="C358" i="27"/>
  <c r="H273" i="27"/>
  <c r="H272" i="27"/>
  <c r="H271" i="27"/>
  <c r="H270" i="27"/>
  <c r="H269" i="27"/>
  <c r="H268" i="27"/>
  <c r="G357" i="27"/>
  <c r="G356" i="27"/>
  <c r="G355" i="27"/>
  <c r="G354" i="27"/>
  <c r="G353" i="27"/>
  <c r="G352" i="27"/>
  <c r="G351" i="27"/>
  <c r="G350" i="27"/>
  <c r="G349" i="27"/>
  <c r="G348" i="27"/>
  <c r="G347" i="27"/>
  <c r="G346" i="27"/>
  <c r="G345" i="27"/>
  <c r="G344" i="27"/>
  <c r="G343" i="27"/>
  <c r="G342" i="27"/>
  <c r="G341" i="27"/>
  <c r="G340" i="27"/>
  <c r="G339" i="27"/>
  <c r="G338" i="27"/>
  <c r="G337" i="27"/>
  <c r="G336" i="27"/>
  <c r="G335" i="27"/>
  <c r="G334" i="27"/>
  <c r="G333" i="27"/>
  <c r="G332" i="27"/>
  <c r="G331" i="27"/>
  <c r="G330" i="27"/>
  <c r="G329" i="27"/>
  <c r="G328" i="27"/>
  <c r="G327" i="27"/>
  <c r="G326" i="27"/>
  <c r="G325" i="27"/>
  <c r="G324" i="27"/>
  <c r="G323" i="27"/>
  <c r="G322" i="27"/>
  <c r="G321" i="27"/>
  <c r="G320" i="27"/>
  <c r="G319" i="27"/>
  <c r="G318" i="27"/>
  <c r="G317" i="27"/>
  <c r="G316" i="27"/>
  <c r="G315" i="27"/>
  <c r="G314" i="27"/>
  <c r="G313" i="27"/>
  <c r="G312" i="27"/>
  <c r="G311" i="27"/>
  <c r="G310" i="27"/>
  <c r="G309" i="27"/>
  <c r="G308" i="27"/>
  <c r="G307" i="27"/>
  <c r="G306" i="27"/>
  <c r="G305" i="27"/>
  <c r="G304" i="27"/>
  <c r="G303" i="27"/>
  <c r="G302" i="27"/>
  <c r="G301" i="27"/>
  <c r="G300" i="27"/>
  <c r="G299" i="27"/>
  <c r="G298" i="27"/>
  <c r="G297" i="27"/>
  <c r="G296" i="27"/>
  <c r="G295" i="27"/>
  <c r="G294" i="27"/>
  <c r="G293" i="27"/>
  <c r="G292" i="27"/>
  <c r="G291" i="27"/>
  <c r="G290" i="27"/>
  <c r="G289" i="27"/>
  <c r="G288" i="27"/>
  <c r="G287" i="27"/>
  <c r="G286" i="27"/>
  <c r="G285" i="27"/>
  <c r="G284" i="27"/>
  <c r="G283" i="27"/>
  <c r="G282" i="27"/>
  <c r="G281" i="27"/>
  <c r="G280" i="27"/>
  <c r="G279" i="27"/>
  <c r="G278" i="27"/>
  <c r="G277" i="27"/>
  <c r="G276" i="27"/>
  <c r="G275" i="27"/>
  <c r="G274" i="27"/>
  <c r="G273" i="27"/>
  <c r="G272" i="27"/>
  <c r="G271" i="27"/>
  <c r="G270" i="27"/>
  <c r="G269" i="27"/>
  <c r="G268" i="27"/>
  <c r="E357" i="27"/>
  <c r="E356" i="27"/>
  <c r="E355" i="27"/>
  <c r="E354" i="27"/>
  <c r="E353" i="27"/>
  <c r="E352" i="27"/>
  <c r="E351" i="27"/>
  <c r="E350" i="27"/>
  <c r="E349" i="27"/>
  <c r="E348" i="27"/>
  <c r="E347" i="27"/>
  <c r="E346" i="27"/>
  <c r="E345" i="27"/>
  <c r="E344" i="27"/>
  <c r="E343" i="27"/>
  <c r="E342" i="27"/>
  <c r="E341" i="27"/>
  <c r="E340" i="27"/>
  <c r="E339" i="27"/>
  <c r="E338" i="27"/>
  <c r="E337" i="27"/>
  <c r="E336" i="27"/>
  <c r="E335" i="27"/>
  <c r="E334" i="27"/>
  <c r="E333" i="27"/>
  <c r="E332" i="27"/>
  <c r="E331" i="27"/>
  <c r="E330" i="27"/>
  <c r="E329" i="27"/>
  <c r="E328" i="27"/>
  <c r="E327" i="27"/>
  <c r="E326" i="27"/>
  <c r="E325" i="27"/>
  <c r="E324" i="27"/>
  <c r="E323" i="27"/>
  <c r="E322" i="27"/>
  <c r="E321" i="27"/>
  <c r="E320" i="27"/>
  <c r="E319" i="27"/>
  <c r="E318" i="27"/>
  <c r="E317" i="27"/>
  <c r="E316" i="27"/>
  <c r="E315" i="27"/>
  <c r="E314" i="27"/>
  <c r="E313" i="27"/>
  <c r="E312" i="27"/>
  <c r="E311" i="27"/>
  <c r="E310" i="27"/>
  <c r="E309" i="27"/>
  <c r="E308" i="27"/>
  <c r="E307" i="27"/>
  <c r="E306" i="27"/>
  <c r="E305" i="27"/>
  <c r="E304" i="27"/>
  <c r="E303" i="27"/>
  <c r="E302" i="27"/>
  <c r="E301" i="27"/>
  <c r="E300" i="27"/>
  <c r="E299" i="27"/>
  <c r="E298" i="27"/>
  <c r="E297" i="27"/>
  <c r="E296" i="27"/>
  <c r="E295" i="27"/>
  <c r="E294" i="27"/>
  <c r="E293" i="27"/>
  <c r="E292" i="27"/>
  <c r="E291" i="27"/>
  <c r="E290" i="27"/>
  <c r="E289" i="27"/>
  <c r="E288" i="27"/>
  <c r="E287" i="27"/>
  <c r="E286" i="27"/>
  <c r="E285" i="27"/>
  <c r="E284" i="27"/>
  <c r="E283" i="27"/>
  <c r="E282" i="27"/>
  <c r="E281" i="27"/>
  <c r="E280" i="27"/>
  <c r="E279" i="27"/>
  <c r="E278" i="27"/>
  <c r="E277" i="27"/>
  <c r="P223" i="27"/>
  <c r="P222" i="27"/>
  <c r="P221" i="27"/>
  <c r="P220" i="27"/>
  <c r="P219" i="27"/>
  <c r="P218" i="27"/>
  <c r="P217" i="27"/>
  <c r="P216" i="27"/>
  <c r="P215" i="27"/>
  <c r="P214" i="27"/>
  <c r="P213" i="27"/>
  <c r="P212" i="27"/>
  <c r="P211" i="27"/>
  <c r="P210" i="27"/>
  <c r="P209" i="27"/>
  <c r="P208" i="27"/>
  <c r="P207" i="27"/>
  <c r="P206" i="27"/>
  <c r="P205" i="27"/>
  <c r="P204" i="27"/>
  <c r="P203" i="27"/>
  <c r="P202" i="27"/>
  <c r="P201" i="27"/>
  <c r="P200" i="27"/>
  <c r="P199" i="27"/>
  <c r="P198" i="27"/>
  <c r="P197" i="27"/>
  <c r="P196" i="27"/>
  <c r="P195" i="27"/>
  <c r="P194" i="27"/>
  <c r="P193" i="27"/>
  <c r="P192" i="27"/>
  <c r="P191" i="27"/>
  <c r="P190" i="27"/>
  <c r="P189" i="27"/>
  <c r="P188" i="27"/>
  <c r="P187" i="27"/>
  <c r="P186" i="27"/>
  <c r="P185" i="27"/>
  <c r="P184" i="27"/>
  <c r="P183" i="27"/>
  <c r="P182" i="27"/>
  <c r="P181" i="27"/>
  <c r="P180" i="27"/>
  <c r="P179" i="27"/>
  <c r="P178" i="27"/>
  <c r="P177" i="27"/>
  <c r="P176" i="27"/>
  <c r="P175" i="27"/>
  <c r="P174" i="27"/>
  <c r="P173" i="27"/>
  <c r="P172" i="27"/>
  <c r="P171" i="27"/>
  <c r="P170" i="27"/>
  <c r="P169" i="27"/>
  <c r="P168" i="27"/>
  <c r="P167" i="27"/>
  <c r="P166" i="27"/>
  <c r="P165" i="27"/>
  <c r="P164" i="27"/>
  <c r="P163" i="27"/>
  <c r="P162" i="27"/>
  <c r="P161" i="27"/>
  <c r="P160" i="27"/>
  <c r="P159" i="27"/>
  <c r="P158" i="27"/>
  <c r="P157" i="27"/>
  <c r="P156" i="27"/>
  <c r="P155" i="27"/>
  <c r="P154" i="27"/>
  <c r="P153" i="27"/>
  <c r="P152" i="27"/>
  <c r="P151" i="27"/>
  <c r="P150" i="27"/>
  <c r="P149" i="27"/>
  <c r="P148" i="27"/>
  <c r="P147" i="27"/>
  <c r="P146" i="27"/>
  <c r="P145" i="27"/>
  <c r="P144" i="27"/>
  <c r="P143" i="27"/>
  <c r="P142" i="27"/>
  <c r="P141" i="27"/>
  <c r="P140" i="27"/>
  <c r="P139" i="27"/>
  <c r="P138" i="27"/>
  <c r="P137" i="27"/>
  <c r="P136" i="27"/>
  <c r="P135" i="27"/>
  <c r="P134" i="27"/>
  <c r="O223" i="27"/>
  <c r="O222" i="27"/>
  <c r="O221" i="27"/>
  <c r="C221" i="27" s="1"/>
  <c r="O220" i="27"/>
  <c r="C220" i="27" s="1"/>
  <c r="O219" i="27"/>
  <c r="C219" i="27" s="1"/>
  <c r="O218" i="27"/>
  <c r="C218" i="27" s="1"/>
  <c r="O217" i="27"/>
  <c r="C217" i="27" s="1"/>
  <c r="O216" i="27"/>
  <c r="C216" i="27" s="1"/>
  <c r="O215" i="27"/>
  <c r="C215" i="27" s="1"/>
  <c r="O214" i="27"/>
  <c r="C214" i="27" s="1"/>
  <c r="O213" i="27"/>
  <c r="C213" i="27" s="1"/>
  <c r="O212" i="27"/>
  <c r="C212" i="27" s="1"/>
  <c r="O211" i="27"/>
  <c r="C211" i="27" s="1"/>
  <c r="O210" i="27"/>
  <c r="C210" i="27" s="1"/>
  <c r="O209" i="27"/>
  <c r="C209" i="27" s="1"/>
  <c r="O208" i="27"/>
  <c r="C208" i="27" s="1"/>
  <c r="O207" i="27"/>
  <c r="C207" i="27" s="1"/>
  <c r="O206" i="27"/>
  <c r="C206" i="27" s="1"/>
  <c r="O205" i="27"/>
  <c r="C205" i="27" s="1"/>
  <c r="O204" i="27"/>
  <c r="C204" i="27" s="1"/>
  <c r="O203" i="27"/>
  <c r="C203" i="27" s="1"/>
  <c r="O202" i="27"/>
  <c r="C202" i="27" s="1"/>
  <c r="O201" i="27"/>
  <c r="C201" i="27" s="1"/>
  <c r="O200" i="27"/>
  <c r="C200" i="27" s="1"/>
  <c r="O199" i="27"/>
  <c r="C199" i="27" s="1"/>
  <c r="O198" i="27"/>
  <c r="C198" i="27" s="1"/>
  <c r="O197" i="27"/>
  <c r="C197" i="27" s="1"/>
  <c r="O196" i="27"/>
  <c r="C196" i="27" s="1"/>
  <c r="O195" i="27"/>
  <c r="C195" i="27" s="1"/>
  <c r="O194" i="27"/>
  <c r="C194" i="27" s="1"/>
  <c r="O193" i="27"/>
  <c r="C193" i="27" s="1"/>
  <c r="O192" i="27"/>
  <c r="C192" i="27" s="1"/>
  <c r="O191" i="27"/>
  <c r="C191" i="27" s="1"/>
  <c r="O190" i="27"/>
  <c r="C190" i="27" s="1"/>
  <c r="O189" i="27"/>
  <c r="C189" i="27" s="1"/>
  <c r="O188" i="27"/>
  <c r="C188" i="27" s="1"/>
  <c r="O187" i="27"/>
  <c r="C187" i="27" s="1"/>
  <c r="O186" i="27"/>
  <c r="C186" i="27" s="1"/>
  <c r="O185" i="27"/>
  <c r="C185" i="27" s="1"/>
  <c r="O184" i="27"/>
  <c r="C184" i="27" s="1"/>
  <c r="O183" i="27"/>
  <c r="C183" i="27" s="1"/>
  <c r="O182" i="27"/>
  <c r="C182" i="27" s="1"/>
  <c r="O181" i="27"/>
  <c r="C181" i="27" s="1"/>
  <c r="O180" i="27"/>
  <c r="C180" i="27" s="1"/>
  <c r="O179" i="27"/>
  <c r="C179" i="27" s="1"/>
  <c r="O178" i="27"/>
  <c r="C178" i="27" s="1"/>
  <c r="O177" i="27"/>
  <c r="C177" i="27" s="1"/>
  <c r="O176" i="27"/>
  <c r="C176" i="27" s="1"/>
  <c r="O175" i="27"/>
  <c r="C175" i="27" s="1"/>
  <c r="O174" i="27"/>
  <c r="C174" i="27" s="1"/>
  <c r="O173" i="27"/>
  <c r="C173" i="27" s="1"/>
  <c r="O172" i="27"/>
  <c r="C172" i="27" s="1"/>
  <c r="O171" i="27"/>
  <c r="C171" i="27" s="1"/>
  <c r="O170" i="27"/>
  <c r="C170" i="27" s="1"/>
  <c r="O169" i="27"/>
  <c r="C169" i="27" s="1"/>
  <c r="O168" i="27"/>
  <c r="C168" i="27" s="1"/>
  <c r="O167" i="27"/>
  <c r="C167" i="27" s="1"/>
  <c r="O166" i="27"/>
  <c r="C166" i="27" s="1"/>
  <c r="O165" i="27"/>
  <c r="C165" i="27" s="1"/>
  <c r="O164" i="27"/>
  <c r="C164" i="27" s="1"/>
  <c r="O163" i="27"/>
  <c r="C163" i="27" s="1"/>
  <c r="O162" i="27"/>
  <c r="C162" i="27" s="1"/>
  <c r="O161" i="27"/>
  <c r="C161" i="27" s="1"/>
  <c r="O160" i="27"/>
  <c r="C160" i="27" s="1"/>
  <c r="O159" i="27"/>
  <c r="C159" i="27" s="1"/>
  <c r="O158" i="27"/>
  <c r="C158" i="27" s="1"/>
  <c r="O157" i="27"/>
  <c r="C157" i="27" s="1"/>
  <c r="O156" i="27"/>
  <c r="C156" i="27" s="1"/>
  <c r="O155" i="27"/>
  <c r="C155" i="27" s="1"/>
  <c r="O154" i="27"/>
  <c r="C154" i="27" s="1"/>
  <c r="O153" i="27"/>
  <c r="C153" i="27" s="1"/>
  <c r="O152" i="27"/>
  <c r="C152" i="27" s="1"/>
  <c r="O151" i="27"/>
  <c r="C151" i="27" s="1"/>
  <c r="O150" i="27"/>
  <c r="C150" i="27" s="1"/>
  <c r="O149" i="27"/>
  <c r="C149" i="27" s="1"/>
  <c r="O148" i="27"/>
  <c r="C148" i="27" s="1"/>
  <c r="O147" i="27"/>
  <c r="C147" i="27" s="1"/>
  <c r="O146" i="27"/>
  <c r="C146" i="27" s="1"/>
  <c r="O145" i="27"/>
  <c r="C145" i="27" s="1"/>
  <c r="O144" i="27"/>
  <c r="C144" i="27" s="1"/>
  <c r="O143" i="27"/>
  <c r="C143" i="27" s="1"/>
  <c r="O142" i="27"/>
  <c r="C142" i="27" s="1"/>
  <c r="O141" i="27"/>
  <c r="C141" i="27" s="1"/>
  <c r="O140" i="27"/>
  <c r="C140" i="27" s="1"/>
  <c r="O139" i="27"/>
  <c r="C139" i="27" s="1"/>
  <c r="O138" i="27"/>
  <c r="C138" i="27" s="1"/>
  <c r="O137" i="27"/>
  <c r="C137" i="27" s="1"/>
  <c r="O136" i="27"/>
  <c r="C136" i="27" s="1"/>
  <c r="O135" i="27"/>
  <c r="C135" i="27" s="1"/>
  <c r="O134" i="27"/>
  <c r="C134" i="27" s="1"/>
  <c r="F223" i="27"/>
  <c r="F222" i="27"/>
  <c r="F221" i="27"/>
  <c r="F220" i="27"/>
  <c r="F219" i="27"/>
  <c r="F218" i="27"/>
  <c r="F217" i="27"/>
  <c r="F216" i="27"/>
  <c r="F215" i="27"/>
  <c r="F214" i="27"/>
  <c r="F213" i="27"/>
  <c r="F212" i="27"/>
  <c r="F211" i="27"/>
  <c r="F210" i="27"/>
  <c r="F209" i="27"/>
  <c r="F208" i="27"/>
  <c r="F207" i="27"/>
  <c r="F206" i="27"/>
  <c r="F205" i="27"/>
  <c r="F204" i="27"/>
  <c r="F203" i="27"/>
  <c r="F202" i="27"/>
  <c r="F201" i="27"/>
  <c r="F200" i="27"/>
  <c r="F199" i="27"/>
  <c r="F198" i="27"/>
  <c r="F197" i="27"/>
  <c r="F196" i="27"/>
  <c r="F195" i="27"/>
  <c r="F194" i="27"/>
  <c r="F193" i="27"/>
  <c r="F192" i="27"/>
  <c r="F191" i="27"/>
  <c r="F190" i="27"/>
  <c r="F189" i="27"/>
  <c r="F188" i="27"/>
  <c r="F187" i="27"/>
  <c r="F186" i="27"/>
  <c r="F185" i="27"/>
  <c r="F184" i="27"/>
  <c r="F183" i="27"/>
  <c r="F182" i="27"/>
  <c r="F181" i="27"/>
  <c r="F180" i="27"/>
  <c r="F179" i="27"/>
  <c r="F178" i="27"/>
  <c r="F177" i="27"/>
  <c r="F176" i="27"/>
  <c r="F175" i="27"/>
  <c r="F174" i="27"/>
  <c r="F173" i="27"/>
  <c r="F172" i="27"/>
  <c r="F171" i="27"/>
  <c r="F170" i="27"/>
  <c r="F169" i="27"/>
  <c r="F168" i="27"/>
  <c r="F167" i="27"/>
  <c r="F166" i="27"/>
  <c r="F165" i="27"/>
  <c r="F164" i="27"/>
  <c r="F163" i="27"/>
  <c r="F162" i="27"/>
  <c r="F161" i="27"/>
  <c r="F160" i="27"/>
  <c r="F159" i="27"/>
  <c r="F158" i="27"/>
  <c r="F157" i="27"/>
  <c r="F156" i="27"/>
  <c r="F155" i="27"/>
  <c r="F154" i="27"/>
  <c r="F153" i="27"/>
  <c r="F152" i="27"/>
  <c r="F151" i="27"/>
  <c r="F150" i="27"/>
  <c r="F149" i="27"/>
  <c r="F148" i="27"/>
  <c r="F147" i="27"/>
  <c r="F146" i="27"/>
  <c r="F145" i="27"/>
  <c r="F144" i="27"/>
  <c r="F143" i="27"/>
  <c r="F142" i="27"/>
  <c r="F141" i="27"/>
  <c r="F140" i="27"/>
  <c r="F139" i="27"/>
  <c r="F138" i="27"/>
  <c r="H138" i="27" s="1"/>
  <c r="F137" i="27"/>
  <c r="F136" i="27"/>
  <c r="F135" i="27"/>
  <c r="F134" i="27"/>
  <c r="C223" i="27"/>
  <c r="C222" i="27"/>
  <c r="K243" i="27"/>
  <c r="K244" i="27" s="1"/>
  <c r="K245" i="27" s="1"/>
  <c r="K246" i="27" s="1"/>
  <c r="K247" i="27" s="1"/>
  <c r="K248" i="27" s="1"/>
  <c r="K249" i="27" s="1"/>
  <c r="K250" i="27" s="1"/>
  <c r="K251" i="27" s="1"/>
  <c r="K252" i="27" s="1"/>
  <c r="K253" i="27" s="1"/>
  <c r="K254" i="27" s="1"/>
  <c r="K255" i="27" s="1"/>
  <c r="K256" i="27" s="1"/>
  <c r="K257" i="27" s="1"/>
  <c r="H49" i="27"/>
  <c r="H48" i="27"/>
  <c r="H47" i="27"/>
  <c r="H46" i="27"/>
  <c r="H45" i="27"/>
  <c r="H44" i="27"/>
  <c r="G133" i="27"/>
  <c r="G132" i="27"/>
  <c r="G131" i="27"/>
  <c r="G130" i="27"/>
  <c r="G129" i="27"/>
  <c r="G128" i="27"/>
  <c r="G127" i="27"/>
  <c r="G126" i="27"/>
  <c r="G125" i="27"/>
  <c r="G124" i="27"/>
  <c r="G123" i="27"/>
  <c r="G122" i="27"/>
  <c r="G121" i="27"/>
  <c r="G120" i="27"/>
  <c r="G119" i="27"/>
  <c r="G118" i="27"/>
  <c r="G117" i="27"/>
  <c r="G116" i="27"/>
  <c r="G115" i="27"/>
  <c r="G114" i="27"/>
  <c r="G113" i="27"/>
  <c r="G112" i="27"/>
  <c r="G111" i="27"/>
  <c r="G110" i="27"/>
  <c r="G109" i="27"/>
  <c r="G108" i="27"/>
  <c r="G107" i="27"/>
  <c r="G106" i="27"/>
  <c r="G105" i="27"/>
  <c r="G104" i="27"/>
  <c r="G103" i="27"/>
  <c r="G102" i="27"/>
  <c r="G101" i="27"/>
  <c r="G100" i="27"/>
  <c r="G99" i="27"/>
  <c r="G98" i="27"/>
  <c r="G97" i="27"/>
  <c r="G96" i="27"/>
  <c r="G95" i="27"/>
  <c r="G94" i="27"/>
  <c r="G93" i="27"/>
  <c r="G92" i="27"/>
  <c r="G91" i="27"/>
  <c r="G90" i="27"/>
  <c r="G89" i="27"/>
  <c r="G88" i="27"/>
  <c r="G87" i="27"/>
  <c r="G86" i="27"/>
  <c r="G85" i="27"/>
  <c r="G84" i="27"/>
  <c r="G83" i="27"/>
  <c r="G82" i="27"/>
  <c r="G81" i="27"/>
  <c r="G80" i="27"/>
  <c r="G79" i="27"/>
  <c r="G78" i="27"/>
  <c r="G77" i="27"/>
  <c r="G76" i="27"/>
  <c r="G75" i="27"/>
  <c r="G74" i="27"/>
  <c r="G73" i="27"/>
  <c r="G72" i="27"/>
  <c r="G71" i="27"/>
  <c r="G70" i="27"/>
  <c r="G69" i="27"/>
  <c r="G68" i="27"/>
  <c r="G67" i="27"/>
  <c r="G66" i="27"/>
  <c r="G65" i="27"/>
  <c r="G64" i="27"/>
  <c r="G63" i="27"/>
  <c r="G62" i="27"/>
  <c r="G61" i="27"/>
  <c r="G60" i="27"/>
  <c r="G59" i="27"/>
  <c r="G58" i="27"/>
  <c r="G57" i="27"/>
  <c r="G56" i="27"/>
  <c r="G55" i="27"/>
  <c r="G54" i="27"/>
  <c r="G53" i="27"/>
  <c r="G52" i="27"/>
  <c r="G51" i="27"/>
  <c r="G50" i="27"/>
  <c r="G49" i="27"/>
  <c r="G48" i="27"/>
  <c r="G47" i="27"/>
  <c r="G46" i="27"/>
  <c r="G45" i="27"/>
  <c r="G44" i="27"/>
  <c r="E133" i="27"/>
  <c r="E132" i="27"/>
  <c r="E131" i="27"/>
  <c r="E130" i="27"/>
  <c r="E129" i="27"/>
  <c r="E128" i="27"/>
  <c r="E127" i="27"/>
  <c r="E126" i="27"/>
  <c r="E125" i="27"/>
  <c r="E124" i="27"/>
  <c r="E123" i="27"/>
  <c r="E122" i="27"/>
  <c r="E121" i="27"/>
  <c r="E120" i="27"/>
  <c r="E119" i="27"/>
  <c r="E118" i="27"/>
  <c r="E117" i="27"/>
  <c r="E116" i="27"/>
  <c r="E115" i="27"/>
  <c r="E114" i="27"/>
  <c r="E113" i="27"/>
  <c r="E112" i="27"/>
  <c r="E111" i="27"/>
  <c r="E110" i="27"/>
  <c r="E109" i="27"/>
  <c r="E108" i="27"/>
  <c r="E107" i="27"/>
  <c r="E106" i="27"/>
  <c r="E105" i="27"/>
  <c r="E104" i="27"/>
  <c r="E103" i="27"/>
  <c r="E102" i="27"/>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N40" i="1"/>
  <c r="N39" i="1"/>
  <c r="N38" i="1"/>
  <c r="N37" i="1"/>
  <c r="N36" i="1"/>
  <c r="N35" i="1"/>
  <c r="N34" i="1"/>
  <c r="N33" i="1"/>
  <c r="M40" i="1"/>
  <c r="M39" i="1"/>
  <c r="M38" i="1"/>
  <c r="M37" i="1"/>
  <c r="M36" i="1"/>
  <c r="M35" i="1"/>
  <c r="M34" i="1"/>
  <c r="M33" i="1"/>
  <c r="L40" i="1"/>
  <c r="L39" i="1"/>
  <c r="L38" i="1"/>
  <c r="L37" i="1"/>
  <c r="L36" i="1"/>
  <c r="L35" i="1"/>
  <c r="L34" i="1"/>
  <c r="L33" i="1"/>
  <c r="J40" i="1"/>
  <c r="J39" i="1"/>
  <c r="J38" i="1"/>
  <c r="J37" i="1"/>
  <c r="J36" i="1"/>
  <c r="J35" i="1"/>
  <c r="J34" i="1"/>
  <c r="J33" i="1"/>
  <c r="E40" i="1"/>
  <c r="E39" i="1"/>
  <c r="E38" i="1"/>
  <c r="E37" i="1"/>
  <c r="E36" i="1"/>
  <c r="D36" i="1" s="1"/>
  <c r="E35" i="1"/>
  <c r="D35" i="1" s="1"/>
  <c r="E34" i="1"/>
  <c r="D34" i="1" s="1"/>
  <c r="D33" i="1"/>
  <c r="D40" i="1"/>
  <c r="D39" i="1"/>
  <c r="D38" i="1"/>
  <c r="D37" i="1"/>
  <c r="C43" i="19" a="1"/>
  <c r="C43" i="19" s="1"/>
  <c r="J955" i="22"/>
  <c r="J954" i="22"/>
  <c r="J953" i="22"/>
  <c r="J952" i="22"/>
  <c r="J951" i="22"/>
  <c r="J950" i="22"/>
  <c r="J949" i="22"/>
  <c r="J948" i="22"/>
  <c r="J947" i="22"/>
  <c r="J946" i="22"/>
  <c r="J945" i="22"/>
  <c r="J944" i="22"/>
  <c r="J943" i="22"/>
  <c r="J942" i="22"/>
  <c r="J941" i="22"/>
  <c r="J940" i="22"/>
  <c r="J939" i="22"/>
  <c r="J938" i="22"/>
  <c r="J937" i="22"/>
  <c r="J936" i="22"/>
  <c r="J935" i="22"/>
  <c r="J934" i="22"/>
  <c r="J933" i="22"/>
  <c r="J932" i="22"/>
  <c r="J931" i="22"/>
  <c r="J930" i="22"/>
  <c r="J929" i="22"/>
  <c r="J928" i="22"/>
  <c r="J927" i="22"/>
  <c r="J926" i="22"/>
  <c r="J925" i="22"/>
  <c r="J924" i="22"/>
  <c r="J923" i="22"/>
  <c r="J922" i="22"/>
  <c r="J921" i="22"/>
  <c r="J920" i="22"/>
  <c r="J919" i="22"/>
  <c r="J918" i="22"/>
  <c r="J917" i="22"/>
  <c r="J916" i="22"/>
  <c r="J915" i="22"/>
  <c r="J914" i="22"/>
  <c r="J913" i="22"/>
  <c r="J912" i="22"/>
  <c r="J911" i="22"/>
  <c r="J910" i="22"/>
  <c r="J909" i="22"/>
  <c r="J908" i="22"/>
  <c r="J907" i="22"/>
  <c r="J906" i="22"/>
  <c r="J905" i="22"/>
  <c r="J904" i="22"/>
  <c r="J903" i="22"/>
  <c r="J902" i="22"/>
  <c r="J901" i="22"/>
  <c r="J900" i="22"/>
  <c r="J899" i="22"/>
  <c r="J898" i="22"/>
  <c r="J897" i="22"/>
  <c r="J896" i="22"/>
  <c r="J895" i="22"/>
  <c r="J894" i="22"/>
  <c r="J893" i="22"/>
  <c r="J892" i="22"/>
  <c r="J891" i="22"/>
  <c r="J890" i="22"/>
  <c r="J889" i="22"/>
  <c r="J888" i="22"/>
  <c r="J887" i="22"/>
  <c r="J886" i="22"/>
  <c r="J885" i="22"/>
  <c r="J884" i="22"/>
  <c r="J883" i="22"/>
  <c r="J882" i="22"/>
  <c r="J881" i="22"/>
  <c r="J880" i="22"/>
  <c r="J879" i="22"/>
  <c r="J878" i="22"/>
  <c r="J877" i="22"/>
  <c r="J876" i="22"/>
  <c r="J875" i="22"/>
  <c r="J874" i="22"/>
  <c r="J873" i="22"/>
  <c r="J872" i="22"/>
  <c r="J871" i="22"/>
  <c r="J870" i="22"/>
  <c r="J869" i="22"/>
  <c r="J868" i="22"/>
  <c r="J867" i="22"/>
  <c r="J866" i="22"/>
  <c r="J865" i="22"/>
  <c r="J864" i="22"/>
  <c r="J863" i="22"/>
  <c r="J862" i="22"/>
  <c r="J861" i="22"/>
  <c r="J860" i="22"/>
  <c r="J859" i="22"/>
  <c r="J858" i="22"/>
  <c r="J857" i="22"/>
  <c r="J856" i="22"/>
  <c r="J855" i="22"/>
  <c r="J854" i="22"/>
  <c r="J853" i="22"/>
  <c r="J852" i="22"/>
  <c r="J851" i="22"/>
  <c r="J850" i="22"/>
  <c r="J849" i="22"/>
  <c r="J848" i="22"/>
  <c r="J847" i="22"/>
  <c r="J846" i="22"/>
  <c r="J845" i="22"/>
  <c r="J844" i="22"/>
  <c r="J843" i="22"/>
  <c r="J842" i="22"/>
  <c r="J841" i="22"/>
  <c r="J840" i="22"/>
  <c r="J839" i="22"/>
  <c r="J838" i="22"/>
  <c r="J837" i="22"/>
  <c r="J836" i="22"/>
  <c r="J835" i="22"/>
  <c r="J834" i="22"/>
  <c r="J833" i="22"/>
  <c r="J832" i="22"/>
  <c r="J831" i="22"/>
  <c r="J830" i="22"/>
  <c r="J829" i="22"/>
  <c r="J828" i="22"/>
  <c r="J827" i="22"/>
  <c r="J826" i="22"/>
  <c r="J825" i="22"/>
  <c r="J824" i="22"/>
  <c r="J823" i="22"/>
  <c r="J822" i="22"/>
  <c r="J821" i="22"/>
  <c r="J820" i="22"/>
  <c r="J819" i="22"/>
  <c r="J818" i="22"/>
  <c r="J817" i="22"/>
  <c r="J816" i="22"/>
  <c r="J815" i="22"/>
  <c r="J814" i="22"/>
  <c r="J813" i="22"/>
  <c r="J812" i="22"/>
  <c r="J811" i="22"/>
  <c r="J810" i="22"/>
  <c r="J809" i="22"/>
  <c r="J808" i="22"/>
  <c r="J807" i="22"/>
  <c r="J806" i="22"/>
  <c r="J805" i="22"/>
  <c r="J804" i="22"/>
  <c r="J803" i="22"/>
  <c r="J802" i="22"/>
  <c r="J801" i="22"/>
  <c r="J800" i="22"/>
  <c r="J799" i="22"/>
  <c r="J798" i="22"/>
  <c r="J797" i="22"/>
  <c r="J796" i="22"/>
  <c r="J795" i="22"/>
  <c r="J794" i="22"/>
  <c r="J793" i="22"/>
  <c r="J792" i="22"/>
  <c r="J791" i="22"/>
  <c r="J790" i="22"/>
  <c r="J789" i="22"/>
  <c r="J788" i="22"/>
  <c r="J787" i="22"/>
  <c r="J786" i="22"/>
  <c r="J785" i="22"/>
  <c r="J784" i="22"/>
  <c r="J783" i="22"/>
  <c r="J782" i="22"/>
  <c r="J781" i="22"/>
  <c r="J780" i="22"/>
  <c r="J779" i="22"/>
  <c r="J778" i="22"/>
  <c r="J777" i="22"/>
  <c r="J776" i="22"/>
  <c r="J775" i="22"/>
  <c r="J774" i="22"/>
  <c r="J773" i="22"/>
  <c r="J772" i="22"/>
  <c r="J771" i="22"/>
  <c r="J770" i="22"/>
  <c r="J769" i="22"/>
  <c r="J768" i="22"/>
  <c r="J767" i="22"/>
  <c r="J766" i="22"/>
  <c r="J765" i="22"/>
  <c r="J764" i="22"/>
  <c r="J763" i="22"/>
  <c r="J762" i="22"/>
  <c r="J761" i="22"/>
  <c r="J760" i="22"/>
  <c r="J759" i="22"/>
  <c r="J758" i="22"/>
  <c r="J757" i="22"/>
  <c r="J756" i="22"/>
  <c r="J755" i="22"/>
  <c r="J754" i="22"/>
  <c r="J753" i="22"/>
  <c r="J752" i="22"/>
  <c r="J751" i="22"/>
  <c r="J750" i="22"/>
  <c r="J749" i="22"/>
  <c r="J748" i="22"/>
  <c r="J747" i="22"/>
  <c r="J746" i="22"/>
  <c r="J745" i="22"/>
  <c r="J744" i="22"/>
  <c r="J743" i="22"/>
  <c r="J742" i="22"/>
  <c r="J741" i="22"/>
  <c r="J740" i="22"/>
  <c r="J739" i="22"/>
  <c r="J738" i="22"/>
  <c r="J737" i="22"/>
  <c r="J736" i="22"/>
  <c r="J735" i="22"/>
  <c r="J734" i="22"/>
  <c r="J733" i="22"/>
  <c r="J732" i="22"/>
  <c r="J731" i="22"/>
  <c r="J730" i="22"/>
  <c r="J729" i="22"/>
  <c r="J728" i="22"/>
  <c r="J727" i="22"/>
  <c r="J726" i="22"/>
  <c r="J725" i="22"/>
  <c r="J724" i="22"/>
  <c r="J723" i="22"/>
  <c r="J722" i="22"/>
  <c r="J721" i="22"/>
  <c r="J720" i="22"/>
  <c r="J719" i="22"/>
  <c r="J718" i="22"/>
  <c r="J717" i="22"/>
  <c r="J716" i="22"/>
  <c r="J715" i="22"/>
  <c r="J714" i="22"/>
  <c r="J713" i="22"/>
  <c r="J712" i="22"/>
  <c r="J711" i="22"/>
  <c r="J710" i="22"/>
  <c r="J709" i="22"/>
  <c r="J708" i="22"/>
  <c r="J707" i="22"/>
  <c r="J706" i="22"/>
  <c r="J705" i="22"/>
  <c r="J704" i="22"/>
  <c r="J703" i="22"/>
  <c r="J702" i="22"/>
  <c r="J701" i="22"/>
  <c r="J700" i="22"/>
  <c r="J699" i="22"/>
  <c r="J698" i="22"/>
  <c r="J697" i="22"/>
  <c r="J696" i="22"/>
  <c r="J695" i="22"/>
  <c r="J694" i="22"/>
  <c r="J693" i="22"/>
  <c r="J692" i="22"/>
  <c r="J691" i="22"/>
  <c r="J690" i="22"/>
  <c r="J689" i="22"/>
  <c r="J688" i="22"/>
  <c r="J687" i="22"/>
  <c r="J686" i="22"/>
  <c r="J685" i="22"/>
  <c r="J684" i="22"/>
  <c r="J683" i="22"/>
  <c r="J682" i="22"/>
  <c r="J681" i="22"/>
  <c r="J680" i="22"/>
  <c r="J679" i="22"/>
  <c r="J678" i="22"/>
  <c r="J677" i="22"/>
  <c r="J676" i="22"/>
  <c r="J675" i="22"/>
  <c r="J674" i="22"/>
  <c r="J673" i="22"/>
  <c r="J672" i="22"/>
  <c r="J671" i="22"/>
  <c r="J670" i="22"/>
  <c r="J669" i="22"/>
  <c r="J668" i="22"/>
  <c r="J667" i="22"/>
  <c r="J666" i="22"/>
  <c r="J665" i="22"/>
  <c r="J664" i="22"/>
  <c r="J663" i="22"/>
  <c r="J662" i="22"/>
  <c r="J661" i="22"/>
  <c r="J660" i="22"/>
  <c r="J659" i="22"/>
  <c r="J658" i="22"/>
  <c r="J657" i="22"/>
  <c r="J656" i="22"/>
  <c r="J655" i="22"/>
  <c r="J654" i="22"/>
  <c r="J653" i="22"/>
  <c r="J652" i="22"/>
  <c r="J651" i="22"/>
  <c r="J650" i="22"/>
  <c r="J649" i="22"/>
  <c r="J648" i="22"/>
  <c r="J647" i="22"/>
  <c r="J646" i="22"/>
  <c r="J645" i="22"/>
  <c r="J644" i="22"/>
  <c r="J643" i="22"/>
  <c r="J642" i="22"/>
  <c r="J641" i="22"/>
  <c r="J640" i="22"/>
  <c r="J639" i="22"/>
  <c r="J638" i="22"/>
  <c r="J637" i="22"/>
  <c r="J636" i="22"/>
  <c r="J635" i="22"/>
  <c r="J634" i="22"/>
  <c r="J633" i="22"/>
  <c r="J632" i="22"/>
  <c r="J631" i="22"/>
  <c r="J630" i="22"/>
  <c r="J629" i="22"/>
  <c r="J628" i="22"/>
  <c r="J627" i="22"/>
  <c r="J626" i="22"/>
  <c r="J625" i="22"/>
  <c r="J624" i="22"/>
  <c r="J623" i="22"/>
  <c r="J622" i="22"/>
  <c r="J621" i="22"/>
  <c r="J620" i="22"/>
  <c r="J619" i="22"/>
  <c r="J618" i="22"/>
  <c r="J617" i="22"/>
  <c r="J616" i="22"/>
  <c r="J615" i="22"/>
  <c r="J614" i="22"/>
  <c r="J613" i="22"/>
  <c r="J612" i="22"/>
  <c r="J611" i="22"/>
  <c r="J610" i="22"/>
  <c r="J609" i="22"/>
  <c r="J608" i="22"/>
  <c r="J607" i="22"/>
  <c r="J606" i="22"/>
  <c r="J605" i="22"/>
  <c r="J604" i="22"/>
  <c r="J603" i="22"/>
  <c r="J602" i="22"/>
  <c r="J601" i="22"/>
  <c r="J600" i="22"/>
  <c r="J599" i="22"/>
  <c r="J598" i="22"/>
  <c r="J597" i="22"/>
  <c r="J596" i="22"/>
  <c r="J595" i="22"/>
  <c r="J594" i="22"/>
  <c r="J593" i="22"/>
  <c r="J592" i="22"/>
  <c r="J591" i="22"/>
  <c r="J590" i="22"/>
  <c r="J589" i="22"/>
  <c r="J588" i="22"/>
  <c r="J587" i="22"/>
  <c r="J586" i="22"/>
  <c r="J585" i="22"/>
  <c r="J584" i="22"/>
  <c r="J583" i="22"/>
  <c r="J582" i="22"/>
  <c r="J581" i="22"/>
  <c r="J580" i="22"/>
  <c r="J579" i="22"/>
  <c r="J578" i="22"/>
  <c r="J577" i="22"/>
  <c r="J576" i="22"/>
  <c r="J575" i="22"/>
  <c r="J574" i="22"/>
  <c r="J573" i="22"/>
  <c r="J572" i="22"/>
  <c r="J571" i="22"/>
  <c r="J570" i="22"/>
  <c r="J569" i="22"/>
  <c r="J568" i="22"/>
  <c r="J567" i="22"/>
  <c r="J566" i="22"/>
  <c r="J565" i="22"/>
  <c r="J564" i="22"/>
  <c r="J563" i="22"/>
  <c r="J562" i="22"/>
  <c r="J561" i="22"/>
  <c r="J560" i="22"/>
  <c r="J559" i="22"/>
  <c r="J558" i="22"/>
  <c r="J557" i="22"/>
  <c r="J556" i="22"/>
  <c r="J555" i="22"/>
  <c r="J554" i="22"/>
  <c r="J553" i="22"/>
  <c r="J552" i="22"/>
  <c r="J551" i="22"/>
  <c r="J550" i="22"/>
  <c r="J549" i="22"/>
  <c r="J548" i="22"/>
  <c r="J547" i="22"/>
  <c r="J546" i="22"/>
  <c r="J545" i="22"/>
  <c r="J544" i="22"/>
  <c r="J543" i="22"/>
  <c r="J542" i="22"/>
  <c r="J541" i="22"/>
  <c r="J540" i="22"/>
  <c r="J539" i="22"/>
  <c r="J538" i="22"/>
  <c r="J537" i="22"/>
  <c r="J536" i="22"/>
  <c r="J535" i="22"/>
  <c r="J534" i="22"/>
  <c r="J533" i="22"/>
  <c r="J532" i="22"/>
  <c r="J531" i="22"/>
  <c r="J530" i="22"/>
  <c r="J529" i="22"/>
  <c r="J528" i="22"/>
  <c r="J527" i="22"/>
  <c r="J526" i="22"/>
  <c r="J525" i="22"/>
  <c r="J524" i="22"/>
  <c r="J523" i="22"/>
  <c r="J522" i="22"/>
  <c r="J521" i="22"/>
  <c r="J520" i="22"/>
  <c r="J519" i="22"/>
  <c r="J518" i="22"/>
  <c r="J517" i="22"/>
  <c r="J516" i="22"/>
  <c r="J515" i="22"/>
  <c r="J514" i="22"/>
  <c r="J513" i="22"/>
  <c r="J512" i="22"/>
  <c r="J511" i="22"/>
  <c r="J510" i="22"/>
  <c r="J509" i="22"/>
  <c r="J508" i="22"/>
  <c r="J507" i="22"/>
  <c r="J506" i="22"/>
  <c r="J505" i="22"/>
  <c r="J504" i="22"/>
  <c r="J503" i="22"/>
  <c r="J502" i="22"/>
  <c r="J501" i="22"/>
  <c r="J500" i="22"/>
  <c r="J499" i="22"/>
  <c r="J498" i="22"/>
  <c r="J497" i="22"/>
  <c r="J496" i="22"/>
  <c r="J495" i="22"/>
  <c r="J494" i="22"/>
  <c r="J493" i="22"/>
  <c r="J492" i="22"/>
  <c r="J491" i="22"/>
  <c r="J490" i="22"/>
  <c r="J489" i="22"/>
  <c r="J488" i="22"/>
  <c r="J487" i="22"/>
  <c r="J486" i="22"/>
  <c r="J485" i="22"/>
  <c r="J484" i="22"/>
  <c r="J483" i="22"/>
  <c r="J482" i="22"/>
  <c r="J481" i="22"/>
  <c r="J480" i="22"/>
  <c r="J479" i="22"/>
  <c r="J478" i="22"/>
  <c r="J477" i="22"/>
  <c r="J476" i="22"/>
  <c r="J475" i="22"/>
  <c r="J474" i="22"/>
  <c r="J473" i="22"/>
  <c r="J472" i="22"/>
  <c r="J471" i="22"/>
  <c r="J470" i="22"/>
  <c r="J469" i="22"/>
  <c r="J468" i="22"/>
  <c r="J467" i="22"/>
  <c r="J466" i="22"/>
  <c r="J465" i="22"/>
  <c r="J464" i="22"/>
  <c r="J463" i="22"/>
  <c r="J462" i="22"/>
  <c r="J461" i="22"/>
  <c r="J460" i="22"/>
  <c r="J459" i="22"/>
  <c r="J458" i="22"/>
  <c r="J457" i="22"/>
  <c r="J456" i="22"/>
  <c r="J455" i="22"/>
  <c r="J454" i="22"/>
  <c r="J453" i="22"/>
  <c r="J452" i="22"/>
  <c r="J451" i="22"/>
  <c r="J450" i="22"/>
  <c r="J449" i="22"/>
  <c r="J448" i="22"/>
  <c r="J447" i="22"/>
  <c r="J446" i="22"/>
  <c r="J445" i="22"/>
  <c r="J444" i="22"/>
  <c r="J443" i="22"/>
  <c r="J442" i="22"/>
  <c r="J441" i="22"/>
  <c r="J440" i="22"/>
  <c r="J439" i="22"/>
  <c r="J438" i="22"/>
  <c r="J437" i="22"/>
  <c r="J436" i="22"/>
  <c r="J435" i="22"/>
  <c r="J434" i="22"/>
  <c r="J433" i="22"/>
  <c r="J432" i="22"/>
  <c r="J431" i="22"/>
  <c r="J430" i="22"/>
  <c r="J429" i="22"/>
  <c r="J428" i="22"/>
  <c r="J427" i="22"/>
  <c r="J426" i="22"/>
  <c r="J425" i="22"/>
  <c r="J424" i="22"/>
  <c r="J423" i="22"/>
  <c r="J422" i="22"/>
  <c r="J421" i="22"/>
  <c r="J420" i="22"/>
  <c r="J419" i="22"/>
  <c r="J418" i="22"/>
  <c r="J417" i="22"/>
  <c r="J416" i="22"/>
  <c r="J415" i="22"/>
  <c r="J414" i="22"/>
  <c r="J413" i="22"/>
  <c r="J412" i="22"/>
  <c r="J411" i="22"/>
  <c r="J410" i="22"/>
  <c r="J409" i="22"/>
  <c r="J408" i="22"/>
  <c r="J407" i="22"/>
  <c r="J406" i="22"/>
  <c r="J405" i="22"/>
  <c r="J404" i="22"/>
  <c r="J403" i="22"/>
  <c r="J402" i="22"/>
  <c r="J401" i="22"/>
  <c r="J400" i="22"/>
  <c r="J399" i="22"/>
  <c r="J398" i="22"/>
  <c r="J397" i="22"/>
  <c r="J396" i="22"/>
  <c r="J395" i="22"/>
  <c r="J394" i="22"/>
  <c r="J393" i="22"/>
  <c r="J392" i="22"/>
  <c r="J391" i="22"/>
  <c r="J390" i="22"/>
  <c r="J389" i="22"/>
  <c r="J388" i="22"/>
  <c r="J387" i="22"/>
  <c r="J386" i="22"/>
  <c r="J385" i="22"/>
  <c r="J384" i="22"/>
  <c r="J383" i="22"/>
  <c r="J382" i="22"/>
  <c r="J381" i="22"/>
  <c r="J380" i="22"/>
  <c r="J379" i="22"/>
  <c r="J378" i="22"/>
  <c r="J377" i="22"/>
  <c r="J376" i="22"/>
  <c r="J375" i="22"/>
  <c r="J374" i="22"/>
  <c r="J373" i="22"/>
  <c r="J372" i="22"/>
  <c r="J371" i="22"/>
  <c r="J370" i="22"/>
  <c r="J369" i="22"/>
  <c r="J368" i="22"/>
  <c r="J367" i="22"/>
  <c r="J366" i="22"/>
  <c r="J365" i="22"/>
  <c r="J364" i="22"/>
  <c r="J363" i="22"/>
  <c r="J362" i="22"/>
  <c r="J361" i="22"/>
  <c r="J360" i="22"/>
  <c r="J359" i="22"/>
  <c r="J358" i="22"/>
  <c r="J357" i="22"/>
  <c r="J356" i="22"/>
  <c r="J355" i="22"/>
  <c r="J354" i="22"/>
  <c r="J353" i="22"/>
  <c r="J352" i="22"/>
  <c r="J351" i="22"/>
  <c r="J350" i="22"/>
  <c r="J349" i="22"/>
  <c r="J348" i="22"/>
  <c r="J347" i="22"/>
  <c r="J346" i="22"/>
  <c r="J345" i="22"/>
  <c r="J344" i="22"/>
  <c r="J343" i="22"/>
  <c r="J342" i="22"/>
  <c r="J341" i="22"/>
  <c r="J340" i="22"/>
  <c r="J339" i="22"/>
  <c r="J338" i="22"/>
  <c r="J337" i="22"/>
  <c r="J336" i="22"/>
  <c r="J335" i="22"/>
  <c r="J334" i="22"/>
  <c r="J333" i="22"/>
  <c r="J332" i="22"/>
  <c r="J331" i="22"/>
  <c r="J330" i="22"/>
  <c r="J329" i="22"/>
  <c r="J328" i="22"/>
  <c r="J327" i="22"/>
  <c r="J326" i="22"/>
  <c r="J325" i="22"/>
  <c r="J324" i="22"/>
  <c r="J323" i="22"/>
  <c r="J322" i="22"/>
  <c r="J321" i="22"/>
  <c r="J320" i="22"/>
  <c r="J319" i="22"/>
  <c r="J318" i="22"/>
  <c r="J317" i="22"/>
  <c r="J316" i="22"/>
  <c r="J309" i="22"/>
  <c r="J308" i="22"/>
  <c r="J307" i="22"/>
  <c r="J306" i="22"/>
  <c r="J305" i="22"/>
  <c r="J304" i="22"/>
  <c r="J303" i="22"/>
  <c r="J302" i="22"/>
  <c r="J301" i="22"/>
  <c r="J300" i="22"/>
  <c r="J299" i="22"/>
  <c r="J298" i="22"/>
  <c r="J297" i="22"/>
  <c r="J296" i="22"/>
  <c r="J295" i="22"/>
  <c r="J294" i="22"/>
  <c r="J293" i="22"/>
  <c r="J292" i="22"/>
  <c r="J291" i="22"/>
  <c r="J290" i="22"/>
  <c r="J289" i="22"/>
  <c r="J288" i="22"/>
  <c r="J287" i="22"/>
  <c r="J286" i="22"/>
  <c r="J285" i="22"/>
  <c r="J284" i="22"/>
  <c r="J283" i="22"/>
  <c r="J282" i="22"/>
  <c r="J281" i="22"/>
  <c r="J280" i="22"/>
  <c r="J279" i="22"/>
  <c r="J278" i="22"/>
  <c r="J277" i="22"/>
  <c r="J276" i="22"/>
  <c r="J275" i="22"/>
  <c r="J274" i="22"/>
  <c r="J273" i="22"/>
  <c r="J272" i="22"/>
  <c r="J271" i="22"/>
  <c r="J270" i="22"/>
  <c r="J269" i="22"/>
  <c r="J268" i="22"/>
  <c r="J267" i="22"/>
  <c r="J266" i="22"/>
  <c r="J265" i="22"/>
  <c r="J264" i="22"/>
  <c r="J263" i="22"/>
  <c r="J262" i="22"/>
  <c r="J261" i="22"/>
  <c r="J260" i="22"/>
  <c r="J259" i="22"/>
  <c r="J258" i="22"/>
  <c r="J257" i="22"/>
  <c r="J256" i="22"/>
  <c r="J255" i="22"/>
  <c r="J254" i="22"/>
  <c r="J253" i="22"/>
  <c r="J252" i="22"/>
  <c r="J251" i="22"/>
  <c r="J250" i="22"/>
  <c r="J249" i="22"/>
  <c r="J248" i="22"/>
  <c r="J247" i="22"/>
  <c r="J246" i="22"/>
  <c r="J245" i="22"/>
  <c r="J244" i="22"/>
  <c r="J243" i="22"/>
  <c r="J242" i="22"/>
  <c r="J241" i="22"/>
  <c r="J240" i="22"/>
  <c r="J239" i="22"/>
  <c r="J238" i="22"/>
  <c r="J237" i="22"/>
  <c r="J236" i="22"/>
  <c r="J235" i="22"/>
  <c r="J234" i="22"/>
  <c r="J233" i="22"/>
  <c r="J232" i="22"/>
  <c r="J231" i="22"/>
  <c r="J230" i="22"/>
  <c r="J229" i="22"/>
  <c r="J228" i="22"/>
  <c r="J227" i="22"/>
  <c r="J226" i="22"/>
  <c r="J225" i="22"/>
  <c r="J224" i="22"/>
  <c r="J223" i="22"/>
  <c r="J222" i="22"/>
  <c r="J221" i="22"/>
  <c r="J220" i="22"/>
  <c r="J219" i="22"/>
  <c r="J218" i="22"/>
  <c r="J217" i="22"/>
  <c r="J216" i="22"/>
  <c r="J215" i="22"/>
  <c r="J214" i="22"/>
  <c r="J213" i="22"/>
  <c r="J212" i="22"/>
  <c r="J211" i="22"/>
  <c r="J210" i="22"/>
  <c r="J209" i="22"/>
  <c r="J208" i="22"/>
  <c r="J207" i="22"/>
  <c r="J206" i="22"/>
  <c r="J205" i="22"/>
  <c r="J204" i="22"/>
  <c r="J203" i="22"/>
  <c r="J202" i="22"/>
  <c r="J201" i="22"/>
  <c r="J200" i="22"/>
  <c r="J199" i="22"/>
  <c r="J198" i="22"/>
  <c r="J197" i="22"/>
  <c r="J196" i="22"/>
  <c r="J195" i="22"/>
  <c r="J194" i="22"/>
  <c r="J193" i="22"/>
  <c r="J192" i="22"/>
  <c r="J191" i="22"/>
  <c r="J190" i="22"/>
  <c r="J189" i="22"/>
  <c r="J188" i="22"/>
  <c r="J187" i="22"/>
  <c r="J186" i="22"/>
  <c r="J185" i="22"/>
  <c r="J184" i="22"/>
  <c r="J183" i="22"/>
  <c r="J182" i="22"/>
  <c r="J181" i="22"/>
  <c r="J180" i="22"/>
  <c r="J179" i="22"/>
  <c r="J178" i="22"/>
  <c r="J177" i="22"/>
  <c r="J176" i="22"/>
  <c r="J175" i="22"/>
  <c r="J174" i="22"/>
  <c r="J173" i="22"/>
  <c r="J172" i="22"/>
  <c r="J171" i="22"/>
  <c r="J170" i="22"/>
  <c r="J169" i="22"/>
  <c r="J168" i="22"/>
  <c r="J167" i="22"/>
  <c r="J166" i="22"/>
  <c r="J165" i="22"/>
  <c r="J164" i="22"/>
  <c r="J163" i="22"/>
  <c r="J162" i="22"/>
  <c r="J161" i="22"/>
  <c r="J160" i="22"/>
  <c r="J153" i="22"/>
  <c r="J152" i="22"/>
  <c r="J151" i="22"/>
  <c r="J150" i="22"/>
  <c r="J149" i="22"/>
  <c r="J148" i="22"/>
  <c r="J147" i="22"/>
  <c r="J146" i="22"/>
  <c r="J145" i="22"/>
  <c r="J144" i="22"/>
  <c r="J143" i="22"/>
  <c r="J142" i="22"/>
  <c r="J141" i="22"/>
  <c r="J140" i="22"/>
  <c r="J139" i="22"/>
  <c r="J138" i="22"/>
  <c r="J137" i="22"/>
  <c r="J136" i="22"/>
  <c r="J135" i="22"/>
  <c r="J134" i="22"/>
  <c r="J133" i="22"/>
  <c r="J132" i="22"/>
  <c r="J131" i="22"/>
  <c r="J130" i="22"/>
  <c r="J129" i="22"/>
  <c r="J128" i="22"/>
  <c r="J127" i="22"/>
  <c r="J126" i="22"/>
  <c r="J125" i="22"/>
  <c r="J124" i="22"/>
  <c r="J123" i="22"/>
  <c r="J122" i="22"/>
  <c r="J121" i="22"/>
  <c r="J120" i="22"/>
  <c r="J119" i="22"/>
  <c r="J118" i="22"/>
  <c r="J117" i="22"/>
  <c r="J116" i="22"/>
  <c r="J115" i="22"/>
  <c r="J114" i="22"/>
  <c r="J113" i="22"/>
  <c r="J112" i="22"/>
  <c r="J111" i="22"/>
  <c r="J110" i="22"/>
  <c r="J109" i="22"/>
  <c r="J108" i="22"/>
  <c r="J107" i="22"/>
  <c r="J106" i="22"/>
  <c r="J105" i="22"/>
  <c r="J104" i="22"/>
  <c r="J103" i="22"/>
  <c r="J102" i="22"/>
  <c r="J101" i="22"/>
  <c r="J100" i="22"/>
  <c r="J99" i="22"/>
  <c r="J98" i="22"/>
  <c r="J97" i="22"/>
  <c r="J96" i="22"/>
  <c r="J95" i="22"/>
  <c r="J94" i="22"/>
  <c r="J93" i="22"/>
  <c r="J92" i="22"/>
  <c r="J91" i="22"/>
  <c r="J90" i="22"/>
  <c r="J89" i="22"/>
  <c r="J88" i="22"/>
  <c r="J87" i="22"/>
  <c r="J86" i="22"/>
  <c r="J85" i="22"/>
  <c r="J84" i="22"/>
  <c r="J83" i="22"/>
  <c r="J82" i="22"/>
  <c r="J81" i="22"/>
  <c r="J80" i="22"/>
  <c r="J79" i="22"/>
  <c r="J78" i="22"/>
  <c r="J77" i="22"/>
  <c r="J76" i="22"/>
  <c r="J75" i="22"/>
  <c r="J74" i="22"/>
  <c r="J73" i="22"/>
  <c r="J72" i="22"/>
  <c r="J71" i="22"/>
  <c r="J70" i="22"/>
  <c r="J69" i="22"/>
  <c r="J68" i="22"/>
  <c r="J67" i="22"/>
  <c r="J66" i="22"/>
  <c r="J65" i="22"/>
  <c r="J64" i="22"/>
  <c r="J63" i="22"/>
  <c r="J62" i="22"/>
  <c r="J61" i="22"/>
  <c r="J60" i="22"/>
  <c r="J59" i="22"/>
  <c r="J58" i="22"/>
  <c r="J57" i="22"/>
  <c r="J56" i="22"/>
  <c r="J55" i="22"/>
  <c r="J54" i="22"/>
  <c r="J53" i="22"/>
  <c r="J52" i="22"/>
  <c r="J51" i="22"/>
  <c r="J50" i="22"/>
  <c r="J49" i="22"/>
  <c r="J48" i="22"/>
  <c r="J47" i="22"/>
  <c r="J46" i="22"/>
  <c r="J45" i="22"/>
  <c r="J44" i="22"/>
  <c r="J43" i="22"/>
  <c r="J42" i="22"/>
  <c r="J41" i="22"/>
  <c r="J40" i="22"/>
  <c r="J39" i="22"/>
  <c r="J38" i="22"/>
  <c r="J37" i="22"/>
  <c r="J36" i="22"/>
  <c r="J35" i="22"/>
  <c r="J34" i="22"/>
  <c r="J33" i="22"/>
  <c r="J32" i="22"/>
  <c r="J31" i="22"/>
  <c r="J30" i="22"/>
  <c r="J29" i="22"/>
  <c r="J28" i="22"/>
  <c r="J27" i="22"/>
  <c r="J26" i="22"/>
  <c r="J25" i="22"/>
  <c r="J24" i="22"/>
  <c r="J23" i="22"/>
  <c r="J22" i="22"/>
  <c r="J21" i="22"/>
  <c r="J20" i="22"/>
  <c r="J19" i="22"/>
  <c r="J18" i="22"/>
  <c r="J17" i="22"/>
  <c r="J16" i="22"/>
  <c r="J15" i="22"/>
  <c r="J14" i="22"/>
  <c r="J13" i="22"/>
  <c r="J12" i="22"/>
  <c r="J11" i="22"/>
  <c r="J10" i="22"/>
  <c r="J9" i="22"/>
  <c r="J8" i="22"/>
  <c r="J7" i="22"/>
  <c r="J6" i="22"/>
  <c r="J5" i="22"/>
  <c r="J4" i="22"/>
  <c r="H33" i="19"/>
  <c r="H32" i="19"/>
  <c r="H31" i="19"/>
  <c r="H30" i="19"/>
  <c r="H29" i="19"/>
  <c r="H28" i="19"/>
  <c r="H27" i="19"/>
  <c r="H26" i="19"/>
  <c r="H25" i="19"/>
  <c r="H24" i="19"/>
  <c r="H23" i="19"/>
  <c r="H22" i="19"/>
  <c r="H21" i="19"/>
  <c r="H20" i="19"/>
  <c r="H19" i="19"/>
  <c r="H18" i="19"/>
  <c r="H17" i="19"/>
  <c r="H16" i="19"/>
  <c r="H15" i="19"/>
  <c r="H14" i="19"/>
  <c r="H13" i="19"/>
  <c r="H12" i="19"/>
  <c r="H11" i="19"/>
  <c r="H10" i="19"/>
  <c r="H9" i="19"/>
  <c r="H8" i="19"/>
  <c r="H7" i="19"/>
  <c r="H6" i="19"/>
  <c r="H5" i="19"/>
  <c r="H4" i="19"/>
  <c r="F33" i="19"/>
  <c r="F32" i="19"/>
  <c r="F31" i="19"/>
  <c r="F30" i="19"/>
  <c r="F29" i="19"/>
  <c r="F28" i="19"/>
  <c r="F27" i="19"/>
  <c r="F26" i="19"/>
  <c r="F25" i="19"/>
  <c r="F24" i="19"/>
  <c r="F23" i="19"/>
  <c r="F22" i="19"/>
  <c r="F21" i="19"/>
  <c r="F20" i="19"/>
  <c r="F19" i="19"/>
  <c r="F18" i="19"/>
  <c r="F17" i="19"/>
  <c r="F16" i="19"/>
  <c r="F15" i="19"/>
  <c r="F14" i="19"/>
  <c r="F13" i="19"/>
  <c r="F12" i="19"/>
  <c r="F11" i="19"/>
  <c r="F10" i="19"/>
  <c r="F9" i="19"/>
  <c r="F8" i="19"/>
  <c r="F7" i="19"/>
  <c r="F6" i="19"/>
  <c r="F5" i="19"/>
  <c r="F4" i="19"/>
  <c r="I412" i="16"/>
  <c r="I408" i="16"/>
  <c r="I407" i="16"/>
  <c r="I400" i="16"/>
  <c r="I396" i="16"/>
  <c r="I395" i="16"/>
  <c r="I388" i="16"/>
  <c r="I384" i="16"/>
  <c r="I383" i="16"/>
  <c r="I376" i="16"/>
  <c r="I372" i="16"/>
  <c r="I371" i="16"/>
  <c r="I364" i="16"/>
  <c r="I360" i="16"/>
  <c r="I359" i="16"/>
  <c r="I352" i="16"/>
  <c r="I348" i="16"/>
  <c r="I347" i="16"/>
  <c r="I340" i="16"/>
  <c r="I336" i="16"/>
  <c r="I335" i="16"/>
  <c r="I328" i="16"/>
  <c r="I324" i="16"/>
  <c r="I323" i="16"/>
  <c r="I316" i="16"/>
  <c r="I312" i="16"/>
  <c r="I311" i="16"/>
  <c r="I304" i="16"/>
  <c r="I300" i="16"/>
  <c r="I299" i="16"/>
  <c r="I292" i="16"/>
  <c r="I288" i="16"/>
  <c r="I287" i="16"/>
  <c r="I280" i="16"/>
  <c r="I276" i="16"/>
  <c r="I275" i="16"/>
  <c r="I268" i="16"/>
  <c r="I264" i="16"/>
  <c r="I263" i="16"/>
  <c r="I256" i="16"/>
  <c r="H418" i="16"/>
  <c r="H417" i="16"/>
  <c r="H416" i="16"/>
  <c r="H415" i="16"/>
  <c r="H414" i="16"/>
  <c r="H413" i="16"/>
  <c r="H412" i="16"/>
  <c r="H411" i="16"/>
  <c r="H410" i="16"/>
  <c r="H409" i="16"/>
  <c r="H408" i="16"/>
  <c r="H407" i="16"/>
  <c r="H406" i="16"/>
  <c r="H405" i="16"/>
  <c r="H404" i="16"/>
  <c r="H403" i="16"/>
  <c r="H402" i="16"/>
  <c r="H401" i="16"/>
  <c r="H400" i="16"/>
  <c r="H399" i="16"/>
  <c r="H398" i="16"/>
  <c r="H397" i="16"/>
  <c r="H396" i="16"/>
  <c r="H395" i="16"/>
  <c r="H394" i="16"/>
  <c r="H393" i="16"/>
  <c r="H392" i="16"/>
  <c r="H391" i="16"/>
  <c r="H390" i="16"/>
  <c r="H389" i="16"/>
  <c r="H388" i="16"/>
  <c r="H387" i="16"/>
  <c r="H386" i="16"/>
  <c r="H385" i="16"/>
  <c r="H384" i="16"/>
  <c r="H383" i="16"/>
  <c r="H382" i="16"/>
  <c r="H381" i="16"/>
  <c r="H380" i="16"/>
  <c r="H379" i="16"/>
  <c r="H378" i="16"/>
  <c r="H377" i="16"/>
  <c r="H376" i="16"/>
  <c r="H375" i="16"/>
  <c r="H374" i="16"/>
  <c r="H373" i="16"/>
  <c r="H372" i="16"/>
  <c r="H371" i="16"/>
  <c r="H370" i="16"/>
  <c r="H369" i="16"/>
  <c r="H368" i="16"/>
  <c r="H367" i="16"/>
  <c r="H366" i="16"/>
  <c r="H365" i="16"/>
  <c r="H364" i="16"/>
  <c r="H363" i="16"/>
  <c r="H362" i="16"/>
  <c r="H361" i="16"/>
  <c r="H360" i="16"/>
  <c r="H359" i="16"/>
  <c r="H358" i="16"/>
  <c r="H357" i="16"/>
  <c r="H356" i="16"/>
  <c r="H355" i="16"/>
  <c r="H354" i="16"/>
  <c r="H353" i="16"/>
  <c r="H352" i="16"/>
  <c r="H351" i="16"/>
  <c r="H350" i="16"/>
  <c r="H349" i="16"/>
  <c r="H348" i="16"/>
  <c r="H347" i="16"/>
  <c r="H346" i="16"/>
  <c r="H345" i="16"/>
  <c r="H344" i="16"/>
  <c r="H343" i="16"/>
  <c r="H342" i="16"/>
  <c r="H341" i="16"/>
  <c r="H340" i="16"/>
  <c r="H339" i="16"/>
  <c r="H338" i="16"/>
  <c r="H337" i="16"/>
  <c r="H336" i="16"/>
  <c r="H335" i="16"/>
  <c r="H334" i="16"/>
  <c r="H333" i="16"/>
  <c r="H332" i="16"/>
  <c r="H331" i="16"/>
  <c r="H330" i="16"/>
  <c r="H329" i="16"/>
  <c r="H328" i="16"/>
  <c r="H327" i="16"/>
  <c r="H326" i="16"/>
  <c r="H325" i="16"/>
  <c r="H324" i="16"/>
  <c r="H323" i="16"/>
  <c r="H322" i="16"/>
  <c r="H321" i="16"/>
  <c r="H320" i="16"/>
  <c r="H319" i="16"/>
  <c r="H318" i="16"/>
  <c r="H317" i="16"/>
  <c r="H316" i="16"/>
  <c r="H315" i="16"/>
  <c r="H314" i="16"/>
  <c r="H313" i="16"/>
  <c r="H312" i="16"/>
  <c r="H311" i="16"/>
  <c r="H310" i="16"/>
  <c r="H309" i="16"/>
  <c r="H308" i="16"/>
  <c r="H307" i="16"/>
  <c r="H306" i="16"/>
  <c r="H305" i="16"/>
  <c r="H304" i="16"/>
  <c r="H303" i="16"/>
  <c r="H302" i="16"/>
  <c r="H301" i="16"/>
  <c r="H300" i="16"/>
  <c r="H299" i="16"/>
  <c r="H298" i="16"/>
  <c r="H297" i="16"/>
  <c r="H296" i="16"/>
  <c r="H295" i="16"/>
  <c r="H294" i="16"/>
  <c r="H293" i="16"/>
  <c r="H292" i="16"/>
  <c r="H291" i="16"/>
  <c r="H290" i="16"/>
  <c r="H289" i="16"/>
  <c r="H288" i="16"/>
  <c r="H287" i="16"/>
  <c r="H286" i="16"/>
  <c r="H285" i="16"/>
  <c r="H284" i="16"/>
  <c r="H283" i="16"/>
  <c r="H282" i="16"/>
  <c r="H281" i="16"/>
  <c r="H280" i="16"/>
  <c r="H279" i="16"/>
  <c r="H278" i="16"/>
  <c r="H277" i="16"/>
  <c r="H276" i="16"/>
  <c r="H275" i="16"/>
  <c r="H274" i="16"/>
  <c r="H273" i="16"/>
  <c r="H272" i="16"/>
  <c r="H271" i="16"/>
  <c r="H270" i="16"/>
  <c r="H269" i="16"/>
  <c r="H268" i="16"/>
  <c r="H267" i="16"/>
  <c r="H266" i="16"/>
  <c r="H265" i="16"/>
  <c r="H264" i="16"/>
  <c r="H263" i="16"/>
  <c r="H262" i="16"/>
  <c r="H261" i="16"/>
  <c r="H260" i="16"/>
  <c r="H259" i="16"/>
  <c r="H258" i="16"/>
  <c r="H257" i="16"/>
  <c r="H256" i="16"/>
  <c r="H255" i="16"/>
  <c r="H254" i="16"/>
  <c r="G418" i="16"/>
  <c r="G417" i="16"/>
  <c r="G416" i="16"/>
  <c r="G415" i="16"/>
  <c r="G414" i="16"/>
  <c r="G413" i="16"/>
  <c r="G412" i="16"/>
  <c r="G411" i="16"/>
  <c r="G410" i="16"/>
  <c r="G409" i="16"/>
  <c r="G408" i="16"/>
  <c r="G407" i="16"/>
  <c r="G406" i="16"/>
  <c r="G405" i="16"/>
  <c r="G404" i="16"/>
  <c r="G403" i="16"/>
  <c r="G402" i="16"/>
  <c r="G401" i="16"/>
  <c r="G400" i="16"/>
  <c r="G399" i="16"/>
  <c r="G398" i="16"/>
  <c r="G397" i="16"/>
  <c r="G396" i="16"/>
  <c r="G395" i="16"/>
  <c r="G394" i="16"/>
  <c r="G393" i="16"/>
  <c r="G392" i="16"/>
  <c r="G391" i="16"/>
  <c r="G390" i="16"/>
  <c r="G389" i="16"/>
  <c r="G388" i="16"/>
  <c r="G387" i="16"/>
  <c r="G386" i="16"/>
  <c r="G385" i="16"/>
  <c r="G384" i="16"/>
  <c r="G383" i="16"/>
  <c r="G382" i="16"/>
  <c r="G381" i="16"/>
  <c r="G380" i="16"/>
  <c r="G379" i="16"/>
  <c r="G378" i="16"/>
  <c r="G377" i="16"/>
  <c r="G376" i="16"/>
  <c r="G375" i="16"/>
  <c r="G374" i="16"/>
  <c r="G373" i="16"/>
  <c r="G372" i="16"/>
  <c r="G371" i="16"/>
  <c r="G370" i="16"/>
  <c r="G369" i="16"/>
  <c r="G368" i="16"/>
  <c r="G367" i="16"/>
  <c r="G366" i="16"/>
  <c r="G365" i="16"/>
  <c r="G364" i="16"/>
  <c r="G363" i="16"/>
  <c r="G362" i="16"/>
  <c r="G361" i="16"/>
  <c r="G360" i="16"/>
  <c r="G359" i="16"/>
  <c r="G358" i="16"/>
  <c r="G357" i="16"/>
  <c r="G356" i="16"/>
  <c r="G355" i="16"/>
  <c r="G354" i="16"/>
  <c r="G353" i="16"/>
  <c r="G352" i="16"/>
  <c r="G351" i="16"/>
  <c r="G350" i="16"/>
  <c r="G349" i="16"/>
  <c r="G348" i="16"/>
  <c r="G347" i="16"/>
  <c r="G346" i="16"/>
  <c r="G345" i="16"/>
  <c r="G344" i="16"/>
  <c r="G343" i="16"/>
  <c r="G342" i="16"/>
  <c r="G341" i="16"/>
  <c r="G340" i="16"/>
  <c r="G339" i="16"/>
  <c r="G338" i="16"/>
  <c r="G337" i="16"/>
  <c r="G336" i="16"/>
  <c r="G335" i="16"/>
  <c r="G334" i="16"/>
  <c r="G333" i="16"/>
  <c r="G332" i="16"/>
  <c r="G331" i="16"/>
  <c r="G330" i="16"/>
  <c r="G329" i="16"/>
  <c r="G328" i="16"/>
  <c r="G327" i="16"/>
  <c r="G326" i="16"/>
  <c r="G325" i="16"/>
  <c r="G324" i="16"/>
  <c r="G323" i="16"/>
  <c r="G322" i="16"/>
  <c r="G321" i="16"/>
  <c r="G320" i="16"/>
  <c r="G319" i="16"/>
  <c r="G318" i="16"/>
  <c r="G317" i="16"/>
  <c r="G316" i="16"/>
  <c r="G315" i="16"/>
  <c r="G314" i="16"/>
  <c r="G313" i="16"/>
  <c r="G312" i="16"/>
  <c r="G311" i="16"/>
  <c r="G310" i="16"/>
  <c r="G309" i="16"/>
  <c r="G308" i="16"/>
  <c r="G307" i="16"/>
  <c r="G306" i="16"/>
  <c r="G305" i="16"/>
  <c r="G304" i="16"/>
  <c r="G303" i="16"/>
  <c r="G302" i="16"/>
  <c r="G301" i="16"/>
  <c r="G300" i="16"/>
  <c r="G299" i="16"/>
  <c r="G298" i="16"/>
  <c r="G297" i="16"/>
  <c r="G296" i="16"/>
  <c r="G295" i="16"/>
  <c r="G294" i="16"/>
  <c r="G293" i="16"/>
  <c r="G292" i="16"/>
  <c r="G291" i="16"/>
  <c r="G290" i="16"/>
  <c r="G289" i="16"/>
  <c r="G288" i="16"/>
  <c r="G287" i="16"/>
  <c r="G286" i="16"/>
  <c r="G285" i="16"/>
  <c r="G284" i="16"/>
  <c r="G283" i="16"/>
  <c r="G282" i="16"/>
  <c r="G281" i="16"/>
  <c r="G280" i="16"/>
  <c r="G279" i="16"/>
  <c r="G278" i="16"/>
  <c r="G277" i="16"/>
  <c r="G276" i="16"/>
  <c r="G275" i="16"/>
  <c r="G274" i="16"/>
  <c r="G273" i="16"/>
  <c r="G272" i="16"/>
  <c r="G271" i="16"/>
  <c r="G270" i="16"/>
  <c r="G269" i="16"/>
  <c r="G268" i="16"/>
  <c r="G267" i="16"/>
  <c r="G266" i="16"/>
  <c r="G265" i="16"/>
  <c r="G264" i="16"/>
  <c r="G263" i="16"/>
  <c r="G262" i="16"/>
  <c r="G261" i="16"/>
  <c r="G260" i="16"/>
  <c r="G259" i="16"/>
  <c r="G258" i="16"/>
  <c r="G257" i="16"/>
  <c r="G256" i="16"/>
  <c r="G255" i="16"/>
  <c r="G254" i="16"/>
  <c r="F418" i="16"/>
  <c r="I418" i="16" s="1"/>
  <c r="F417" i="16"/>
  <c r="I417" i="16" s="1"/>
  <c r="F416" i="16"/>
  <c r="I416" i="16" s="1"/>
  <c r="F415" i="16"/>
  <c r="I415" i="16" s="1"/>
  <c r="F414" i="16"/>
  <c r="I414" i="16" s="1"/>
  <c r="F413" i="16"/>
  <c r="I413" i="16" s="1"/>
  <c r="F412" i="16"/>
  <c r="F411" i="16"/>
  <c r="I411" i="16" s="1"/>
  <c r="F410" i="16"/>
  <c r="I410" i="16" s="1"/>
  <c r="F409" i="16"/>
  <c r="I409" i="16" s="1"/>
  <c r="F408" i="16"/>
  <c r="F407" i="16"/>
  <c r="F406" i="16"/>
  <c r="I406" i="16" s="1"/>
  <c r="F405" i="16"/>
  <c r="I405" i="16" s="1"/>
  <c r="F404" i="16"/>
  <c r="I404" i="16" s="1"/>
  <c r="F403" i="16"/>
  <c r="I403" i="16" s="1"/>
  <c r="F402" i="16"/>
  <c r="I402" i="16" s="1"/>
  <c r="F401" i="16"/>
  <c r="I401" i="16" s="1"/>
  <c r="F400" i="16"/>
  <c r="F399" i="16"/>
  <c r="I399" i="16" s="1"/>
  <c r="F398" i="16"/>
  <c r="I398" i="16" s="1"/>
  <c r="F397" i="16"/>
  <c r="I397" i="16" s="1"/>
  <c r="F396" i="16"/>
  <c r="F395" i="16"/>
  <c r="F394" i="16"/>
  <c r="I394" i="16" s="1"/>
  <c r="F393" i="16"/>
  <c r="I393" i="16" s="1"/>
  <c r="F392" i="16"/>
  <c r="I392" i="16" s="1"/>
  <c r="F391" i="16"/>
  <c r="I391" i="16" s="1"/>
  <c r="F390" i="16"/>
  <c r="I390" i="16" s="1"/>
  <c r="F389" i="16"/>
  <c r="I389" i="16" s="1"/>
  <c r="F388" i="16"/>
  <c r="F387" i="16"/>
  <c r="I387" i="16" s="1"/>
  <c r="F386" i="16"/>
  <c r="I386" i="16" s="1"/>
  <c r="F385" i="16"/>
  <c r="I385" i="16" s="1"/>
  <c r="F384" i="16"/>
  <c r="F383" i="16"/>
  <c r="F382" i="16"/>
  <c r="I382" i="16" s="1"/>
  <c r="F381" i="16"/>
  <c r="I381" i="16" s="1"/>
  <c r="F380" i="16"/>
  <c r="I380" i="16" s="1"/>
  <c r="F379" i="16"/>
  <c r="I379" i="16" s="1"/>
  <c r="F378" i="16"/>
  <c r="I378" i="16" s="1"/>
  <c r="F377" i="16"/>
  <c r="I377" i="16" s="1"/>
  <c r="F376" i="16"/>
  <c r="F375" i="16"/>
  <c r="I375" i="16" s="1"/>
  <c r="F374" i="16"/>
  <c r="I374" i="16" s="1"/>
  <c r="F373" i="16"/>
  <c r="I373" i="16" s="1"/>
  <c r="F372" i="16"/>
  <c r="F371" i="16"/>
  <c r="F370" i="16"/>
  <c r="I370" i="16" s="1"/>
  <c r="F369" i="16"/>
  <c r="I369" i="16" s="1"/>
  <c r="F368" i="16"/>
  <c r="I368" i="16" s="1"/>
  <c r="F367" i="16"/>
  <c r="I367" i="16" s="1"/>
  <c r="F366" i="16"/>
  <c r="I366" i="16" s="1"/>
  <c r="F365" i="16"/>
  <c r="I365" i="16" s="1"/>
  <c r="F364" i="16"/>
  <c r="F363" i="16"/>
  <c r="I363" i="16" s="1"/>
  <c r="F362" i="16"/>
  <c r="I362" i="16" s="1"/>
  <c r="F361" i="16"/>
  <c r="I361" i="16" s="1"/>
  <c r="F360" i="16"/>
  <c r="F359" i="16"/>
  <c r="F358" i="16"/>
  <c r="I358" i="16" s="1"/>
  <c r="F357" i="16"/>
  <c r="I357" i="16" s="1"/>
  <c r="F356" i="16"/>
  <c r="I356" i="16" s="1"/>
  <c r="F355" i="16"/>
  <c r="I355" i="16" s="1"/>
  <c r="F354" i="16"/>
  <c r="I354" i="16" s="1"/>
  <c r="F353" i="16"/>
  <c r="I353" i="16" s="1"/>
  <c r="F352" i="16"/>
  <c r="F351" i="16"/>
  <c r="I351" i="16" s="1"/>
  <c r="F350" i="16"/>
  <c r="I350" i="16" s="1"/>
  <c r="F349" i="16"/>
  <c r="I349" i="16" s="1"/>
  <c r="F348" i="16"/>
  <c r="F347" i="16"/>
  <c r="F346" i="16"/>
  <c r="I346" i="16" s="1"/>
  <c r="F345" i="16"/>
  <c r="I345" i="16" s="1"/>
  <c r="F344" i="16"/>
  <c r="I344" i="16" s="1"/>
  <c r="F343" i="16"/>
  <c r="I343" i="16" s="1"/>
  <c r="F342" i="16"/>
  <c r="I342" i="16" s="1"/>
  <c r="F341" i="16"/>
  <c r="I341" i="16" s="1"/>
  <c r="F340" i="16"/>
  <c r="F339" i="16"/>
  <c r="I339" i="16" s="1"/>
  <c r="F338" i="16"/>
  <c r="I338" i="16" s="1"/>
  <c r="F337" i="16"/>
  <c r="I337" i="16" s="1"/>
  <c r="F336" i="16"/>
  <c r="F335" i="16"/>
  <c r="F334" i="16"/>
  <c r="I334" i="16" s="1"/>
  <c r="F333" i="16"/>
  <c r="I333" i="16" s="1"/>
  <c r="F332" i="16"/>
  <c r="I332" i="16" s="1"/>
  <c r="F331" i="16"/>
  <c r="I331" i="16" s="1"/>
  <c r="F330" i="16"/>
  <c r="I330" i="16" s="1"/>
  <c r="F329" i="16"/>
  <c r="I329" i="16" s="1"/>
  <c r="F328" i="16"/>
  <c r="F327" i="16"/>
  <c r="I327" i="16" s="1"/>
  <c r="F326" i="16"/>
  <c r="I326" i="16" s="1"/>
  <c r="F325" i="16"/>
  <c r="I325" i="16" s="1"/>
  <c r="F324" i="16"/>
  <c r="F323" i="16"/>
  <c r="F322" i="16"/>
  <c r="I322" i="16" s="1"/>
  <c r="F321" i="16"/>
  <c r="I321" i="16" s="1"/>
  <c r="F320" i="16"/>
  <c r="I320" i="16" s="1"/>
  <c r="F319" i="16"/>
  <c r="I319" i="16" s="1"/>
  <c r="F318" i="16"/>
  <c r="I318" i="16" s="1"/>
  <c r="F317" i="16"/>
  <c r="I317" i="16" s="1"/>
  <c r="F316" i="16"/>
  <c r="F315" i="16"/>
  <c r="I315" i="16" s="1"/>
  <c r="F314" i="16"/>
  <c r="I314" i="16" s="1"/>
  <c r="F313" i="16"/>
  <c r="I313" i="16" s="1"/>
  <c r="F312" i="16"/>
  <c r="F311" i="16"/>
  <c r="F310" i="16"/>
  <c r="I310" i="16" s="1"/>
  <c r="F309" i="16"/>
  <c r="I309" i="16" s="1"/>
  <c r="F308" i="16"/>
  <c r="I308" i="16" s="1"/>
  <c r="F307" i="16"/>
  <c r="I307" i="16" s="1"/>
  <c r="F306" i="16"/>
  <c r="I306" i="16" s="1"/>
  <c r="F305" i="16"/>
  <c r="I305" i="16" s="1"/>
  <c r="F304" i="16"/>
  <c r="F303" i="16"/>
  <c r="I303" i="16" s="1"/>
  <c r="F302" i="16"/>
  <c r="I302" i="16" s="1"/>
  <c r="F301" i="16"/>
  <c r="I301" i="16" s="1"/>
  <c r="F300" i="16"/>
  <c r="F299" i="16"/>
  <c r="F298" i="16"/>
  <c r="I298" i="16" s="1"/>
  <c r="F297" i="16"/>
  <c r="I297" i="16" s="1"/>
  <c r="F296" i="16"/>
  <c r="I296" i="16" s="1"/>
  <c r="F295" i="16"/>
  <c r="I295" i="16" s="1"/>
  <c r="F294" i="16"/>
  <c r="I294" i="16" s="1"/>
  <c r="F293" i="16"/>
  <c r="I293" i="16" s="1"/>
  <c r="F292" i="16"/>
  <c r="F291" i="16"/>
  <c r="I291" i="16" s="1"/>
  <c r="F290" i="16"/>
  <c r="I290" i="16" s="1"/>
  <c r="F289" i="16"/>
  <c r="I289" i="16" s="1"/>
  <c r="F288" i="16"/>
  <c r="F287" i="16"/>
  <c r="F286" i="16"/>
  <c r="I286" i="16" s="1"/>
  <c r="F285" i="16"/>
  <c r="I285" i="16" s="1"/>
  <c r="F284" i="16"/>
  <c r="I284" i="16" s="1"/>
  <c r="F283" i="16"/>
  <c r="I283" i="16" s="1"/>
  <c r="F282" i="16"/>
  <c r="I282" i="16" s="1"/>
  <c r="F281" i="16"/>
  <c r="I281" i="16" s="1"/>
  <c r="F280" i="16"/>
  <c r="F279" i="16"/>
  <c r="I279" i="16" s="1"/>
  <c r="F278" i="16"/>
  <c r="I278" i="16" s="1"/>
  <c r="F277" i="16"/>
  <c r="I277" i="16" s="1"/>
  <c r="F276" i="16"/>
  <c r="F275" i="16"/>
  <c r="F274" i="16"/>
  <c r="I274" i="16" s="1"/>
  <c r="F273" i="16"/>
  <c r="I273" i="16" s="1"/>
  <c r="F272" i="16"/>
  <c r="I272" i="16" s="1"/>
  <c r="F271" i="16"/>
  <c r="I271" i="16" s="1"/>
  <c r="F270" i="16"/>
  <c r="I270" i="16" s="1"/>
  <c r="F269" i="16"/>
  <c r="I269" i="16" s="1"/>
  <c r="F268" i="16"/>
  <c r="F267" i="16"/>
  <c r="I267" i="16" s="1"/>
  <c r="F266" i="16"/>
  <c r="I266" i="16" s="1"/>
  <c r="F265" i="16"/>
  <c r="I265" i="16" s="1"/>
  <c r="F264" i="16"/>
  <c r="F263" i="16"/>
  <c r="F262" i="16"/>
  <c r="I262" i="16" s="1"/>
  <c r="F261" i="16"/>
  <c r="I261" i="16" s="1"/>
  <c r="F260" i="16"/>
  <c r="I260" i="16" s="1"/>
  <c r="F259" i="16"/>
  <c r="I259" i="16" s="1"/>
  <c r="F258" i="16"/>
  <c r="I258" i="16" s="1"/>
  <c r="F257" i="16"/>
  <c r="I257" i="16" s="1"/>
  <c r="F256" i="16"/>
  <c r="F255" i="16"/>
  <c r="I255" i="16" s="1"/>
  <c r="F254" i="16"/>
  <c r="I254" i="16" s="1"/>
  <c r="F188" i="16"/>
  <c r="F187" i="16"/>
  <c r="F186" i="16"/>
  <c r="F185" i="16"/>
  <c r="F184" i="16"/>
  <c r="F183" i="16"/>
  <c r="F182" i="16"/>
  <c r="F181" i="16"/>
  <c r="F180" i="16"/>
  <c r="F179" i="16"/>
  <c r="F178" i="16"/>
  <c r="F177" i="16"/>
  <c r="F176" i="16"/>
  <c r="F175" i="16"/>
  <c r="F174" i="16"/>
  <c r="F173" i="16"/>
  <c r="F172" i="16"/>
  <c r="F171" i="16"/>
  <c r="F170" i="16"/>
  <c r="F169" i="16"/>
  <c r="F168" i="16"/>
  <c r="F167" i="16"/>
  <c r="F166" i="16"/>
  <c r="F165" i="16"/>
  <c r="F164" i="16"/>
  <c r="F163" i="16"/>
  <c r="F162" i="16"/>
  <c r="F161" i="16"/>
  <c r="F160" i="16"/>
  <c r="F159" i="16"/>
  <c r="F158" i="16"/>
  <c r="F157" i="16"/>
  <c r="F156" i="16"/>
  <c r="F155" i="16"/>
  <c r="F154" i="16"/>
  <c r="F153" i="16"/>
  <c r="F152" i="16"/>
  <c r="F151" i="16"/>
  <c r="F150" i="16"/>
  <c r="F149" i="16"/>
  <c r="F148" i="16"/>
  <c r="F147" i="16"/>
  <c r="F146" i="16"/>
  <c r="F145" i="16"/>
  <c r="F144" i="16"/>
  <c r="F143" i="16"/>
  <c r="F142" i="16"/>
  <c r="F141" i="16"/>
  <c r="F140" i="16"/>
  <c r="F139" i="16"/>
  <c r="F138" i="16"/>
  <c r="F137" i="16"/>
  <c r="F136" i="16"/>
  <c r="F135" i="16"/>
  <c r="F134" i="16"/>
  <c r="F133" i="16"/>
  <c r="F132" i="16"/>
  <c r="F131" i="16"/>
  <c r="F130" i="16"/>
  <c r="F129" i="16"/>
  <c r="F128" i="16"/>
  <c r="F127" i="16"/>
  <c r="F126" i="16"/>
  <c r="F125" i="16"/>
  <c r="F124" i="16"/>
  <c r="F123" i="16"/>
  <c r="F122" i="16"/>
  <c r="F121" i="16"/>
  <c r="F120" i="16"/>
  <c r="F119" i="16"/>
  <c r="F118" i="16"/>
  <c r="F117" i="16"/>
  <c r="F116" i="16"/>
  <c r="F115" i="16"/>
  <c r="F114" i="16"/>
  <c r="F113" i="16"/>
  <c r="F112" i="16"/>
  <c r="F111" i="16"/>
  <c r="F110" i="16"/>
  <c r="F109" i="16"/>
  <c r="F108" i="16"/>
  <c r="F107" i="16"/>
  <c r="F106" i="16"/>
  <c r="F105" i="16"/>
  <c r="F104" i="16"/>
  <c r="F103" i="16"/>
  <c r="F102" i="16"/>
  <c r="F101" i="16"/>
  <c r="F100" i="16"/>
  <c r="F99" i="16"/>
  <c r="F98" i="16"/>
  <c r="F97" i="16"/>
  <c r="F96" i="16"/>
  <c r="F95" i="16"/>
  <c r="F94" i="16"/>
  <c r="F93" i="16"/>
  <c r="F92" i="16"/>
  <c r="F91" i="16"/>
  <c r="F90" i="16"/>
  <c r="F89" i="16"/>
  <c r="F242" i="16"/>
  <c r="F241" i="16"/>
  <c r="F240" i="16"/>
  <c r="F239" i="16"/>
  <c r="F238" i="16"/>
  <c r="F237" i="16"/>
  <c r="F236" i="16"/>
  <c r="F235" i="16"/>
  <c r="F234" i="16"/>
  <c r="F233" i="16"/>
  <c r="F232" i="16"/>
  <c r="F231" i="16"/>
  <c r="F230" i="16"/>
  <c r="F229" i="16"/>
  <c r="F228" i="16"/>
  <c r="F227" i="16"/>
  <c r="F226" i="16"/>
  <c r="F225" i="16"/>
  <c r="F224" i="16"/>
  <c r="F223" i="16"/>
  <c r="F222" i="16"/>
  <c r="F221" i="16"/>
  <c r="F220" i="16"/>
  <c r="F219" i="16"/>
  <c r="F218" i="16"/>
  <c r="F217" i="16"/>
  <c r="F216" i="16"/>
  <c r="F215" i="16"/>
  <c r="F214" i="16"/>
  <c r="F213" i="16"/>
  <c r="F212" i="16"/>
  <c r="F211" i="16"/>
  <c r="F210" i="16"/>
  <c r="F209" i="16"/>
  <c r="F208" i="16"/>
  <c r="F207" i="16"/>
  <c r="F206" i="16"/>
  <c r="F205" i="16"/>
  <c r="F204" i="16"/>
  <c r="F203" i="16"/>
  <c r="F202" i="16"/>
  <c r="F201" i="16"/>
  <c r="F200" i="16"/>
  <c r="F199" i="16"/>
  <c r="F198" i="16"/>
  <c r="F197" i="16"/>
  <c r="F196" i="16"/>
  <c r="F195" i="16"/>
  <c r="F194" i="16"/>
  <c r="F193"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D516" i="20"/>
  <c r="D515" i="20"/>
  <c r="D514" i="20"/>
  <c r="D513" i="20"/>
  <c r="D512" i="20"/>
  <c r="D511" i="20"/>
  <c r="D510" i="20"/>
  <c r="D509" i="20"/>
  <c r="D508" i="20"/>
  <c r="D507" i="20"/>
  <c r="D506" i="20"/>
  <c r="D505" i="20"/>
  <c r="D504" i="20"/>
  <c r="D503" i="20"/>
  <c r="D502" i="20"/>
  <c r="D501" i="20"/>
  <c r="D500" i="20"/>
  <c r="D499" i="20"/>
  <c r="D498" i="20"/>
  <c r="D497" i="20"/>
  <c r="D496" i="20"/>
  <c r="D495" i="20"/>
  <c r="D494" i="20"/>
  <c r="D493" i="20"/>
  <c r="D492" i="20"/>
  <c r="D491" i="20"/>
  <c r="D490" i="20"/>
  <c r="D489" i="20"/>
  <c r="D488" i="20"/>
  <c r="D487" i="20"/>
  <c r="D486" i="20"/>
  <c r="D485" i="20"/>
  <c r="D484" i="20"/>
  <c r="D483" i="20"/>
  <c r="D482" i="20"/>
  <c r="D481" i="20"/>
  <c r="D480" i="20"/>
  <c r="D479" i="20"/>
  <c r="D478" i="20"/>
  <c r="D477" i="20"/>
  <c r="D476" i="20"/>
  <c r="D475" i="20"/>
  <c r="D474" i="20"/>
  <c r="D473" i="20"/>
  <c r="D472" i="20"/>
  <c r="D471" i="20"/>
  <c r="D470" i="20"/>
  <c r="D469" i="20"/>
  <c r="D468" i="20"/>
  <c r="D467" i="20"/>
  <c r="D466" i="20"/>
  <c r="D465" i="20"/>
  <c r="D464" i="20"/>
  <c r="D463" i="20"/>
  <c r="D462" i="20"/>
  <c r="D461" i="20"/>
  <c r="D460" i="20"/>
  <c r="D459" i="20"/>
  <c r="D458" i="20"/>
  <c r="D457" i="20"/>
  <c r="D456" i="20"/>
  <c r="D455" i="20"/>
  <c r="D454" i="20"/>
  <c r="D453" i="20"/>
  <c r="D452" i="20"/>
  <c r="D451" i="20"/>
  <c r="D450" i="20"/>
  <c r="D449" i="20"/>
  <c r="D448" i="20"/>
  <c r="D447" i="20"/>
  <c r="D446" i="20"/>
  <c r="D445" i="20"/>
  <c r="D444" i="20"/>
  <c r="D443" i="20"/>
  <c r="D442" i="20"/>
  <c r="D441" i="20"/>
  <c r="D440" i="20"/>
  <c r="D439" i="20"/>
  <c r="D438" i="20"/>
  <c r="D437" i="20"/>
  <c r="D436" i="20"/>
  <c r="D435" i="20"/>
  <c r="D434" i="20"/>
  <c r="D433" i="20"/>
  <c r="D432" i="20"/>
  <c r="D431" i="20"/>
  <c r="D430" i="20"/>
  <c r="D429" i="20"/>
  <c r="D428" i="20"/>
  <c r="D427" i="20"/>
  <c r="D426" i="20"/>
  <c r="D425" i="20"/>
  <c r="D424" i="20"/>
  <c r="D423" i="20"/>
  <c r="D422" i="20"/>
  <c r="D421" i="20"/>
  <c r="D420" i="20"/>
  <c r="D419" i="20"/>
  <c r="D418" i="20"/>
  <c r="D417" i="20"/>
  <c r="D416" i="20"/>
  <c r="D415" i="20"/>
  <c r="D414" i="20"/>
  <c r="D413" i="20"/>
  <c r="D412" i="20"/>
  <c r="D411" i="20"/>
  <c r="D410" i="20"/>
  <c r="D409" i="20"/>
  <c r="D408" i="20"/>
  <c r="D407" i="20"/>
  <c r="D406" i="20"/>
  <c r="D405" i="20"/>
  <c r="D404" i="20"/>
  <c r="D403" i="20"/>
  <c r="D402" i="20"/>
  <c r="D401" i="20"/>
  <c r="D400" i="20"/>
  <c r="D399" i="20"/>
  <c r="D398" i="20"/>
  <c r="D397" i="20"/>
  <c r="D396" i="20"/>
  <c r="D395" i="20"/>
  <c r="D394" i="20"/>
  <c r="D393" i="20"/>
  <c r="D392" i="20"/>
  <c r="D391" i="20"/>
  <c r="D390" i="20"/>
  <c r="D389" i="20"/>
  <c r="D388" i="20"/>
  <c r="D387" i="20"/>
  <c r="D386" i="20"/>
  <c r="D385" i="20"/>
  <c r="D384" i="20"/>
  <c r="D383" i="20"/>
  <c r="D382" i="20"/>
  <c r="D381" i="20"/>
  <c r="D380" i="20"/>
  <c r="D379" i="20"/>
  <c r="D378" i="20"/>
  <c r="D377" i="20"/>
  <c r="D376" i="20"/>
  <c r="D375" i="20"/>
  <c r="D374" i="20"/>
  <c r="D373" i="20"/>
  <c r="D372" i="20"/>
  <c r="D371" i="20"/>
  <c r="D370" i="20"/>
  <c r="D369" i="20"/>
  <c r="D368" i="20"/>
  <c r="D367" i="20"/>
  <c r="D366" i="20"/>
  <c r="D365" i="20"/>
  <c r="D364" i="20"/>
  <c r="D363" i="20"/>
  <c r="D362" i="20"/>
  <c r="D361" i="20"/>
  <c r="D360" i="20"/>
  <c r="D359" i="20"/>
  <c r="D358" i="20"/>
  <c r="D357" i="20"/>
  <c r="D356" i="20"/>
  <c r="D355" i="20"/>
  <c r="D354" i="20"/>
  <c r="D353" i="20"/>
  <c r="D352" i="20"/>
  <c r="D351" i="20"/>
  <c r="D350" i="20"/>
  <c r="D349" i="20"/>
  <c r="D348" i="20"/>
  <c r="D347" i="20"/>
  <c r="D346" i="20"/>
  <c r="D345" i="20"/>
  <c r="D344" i="20"/>
  <c r="D343" i="20"/>
  <c r="D342" i="20"/>
  <c r="D341" i="20"/>
  <c r="D340" i="20"/>
  <c r="D339" i="20"/>
  <c r="D338" i="20"/>
  <c r="D337" i="20"/>
  <c r="D336" i="20"/>
  <c r="D335" i="20"/>
  <c r="D334" i="20"/>
  <c r="D333" i="20"/>
  <c r="D332" i="20"/>
  <c r="D331" i="20"/>
  <c r="D330" i="20"/>
  <c r="D329" i="20"/>
  <c r="D328" i="20"/>
  <c r="D327" i="20"/>
  <c r="D326" i="20"/>
  <c r="D325" i="20"/>
  <c r="D324" i="20"/>
  <c r="D323" i="20"/>
  <c r="D322" i="20"/>
  <c r="D321" i="20"/>
  <c r="D320" i="20"/>
  <c r="D319" i="20"/>
  <c r="D318" i="20"/>
  <c r="D317" i="20"/>
  <c r="D316" i="20"/>
  <c r="D315" i="20"/>
  <c r="D314" i="20"/>
  <c r="D313" i="20"/>
  <c r="D312" i="20"/>
  <c r="D311" i="20"/>
  <c r="D310" i="20"/>
  <c r="D309" i="20"/>
  <c r="D308" i="20"/>
  <c r="D307" i="20"/>
  <c r="D306" i="20"/>
  <c r="D305" i="20"/>
  <c r="D304" i="20"/>
  <c r="D303" i="20"/>
  <c r="D302" i="20"/>
  <c r="D301" i="20"/>
  <c r="D300" i="20"/>
  <c r="D299" i="20"/>
  <c r="D298" i="20"/>
  <c r="D297" i="20"/>
  <c r="D296" i="20"/>
  <c r="D295" i="20"/>
  <c r="D294" i="20"/>
  <c r="D293" i="20"/>
  <c r="D292" i="20"/>
  <c r="D291" i="20"/>
  <c r="D290" i="20"/>
  <c r="D289" i="20"/>
  <c r="D288" i="20"/>
  <c r="D287" i="20"/>
  <c r="D286" i="20"/>
  <c r="D285" i="20"/>
  <c r="D284" i="20"/>
  <c r="D283" i="20"/>
  <c r="D282" i="20"/>
  <c r="D281" i="20"/>
  <c r="D280" i="20"/>
  <c r="D279" i="20"/>
  <c r="D278" i="20"/>
  <c r="D277" i="20"/>
  <c r="D276" i="20"/>
  <c r="D275" i="20"/>
  <c r="D274" i="20"/>
  <c r="D273" i="20"/>
  <c r="D272" i="20"/>
  <c r="D271" i="20"/>
  <c r="D270" i="20"/>
  <c r="D269" i="20"/>
  <c r="D268" i="20"/>
  <c r="D267" i="20"/>
  <c r="D266" i="20"/>
  <c r="D265" i="20"/>
  <c r="D264" i="20"/>
  <c r="D263" i="20"/>
  <c r="D262" i="20"/>
  <c r="D261" i="20"/>
  <c r="D260" i="20"/>
  <c r="D259" i="20"/>
  <c r="D258" i="20"/>
  <c r="D257" i="20"/>
  <c r="D256" i="20"/>
  <c r="D255" i="20"/>
  <c r="D254" i="20"/>
  <c r="D253" i="20"/>
  <c r="D252" i="20"/>
  <c r="D251" i="20"/>
  <c r="D250" i="20"/>
  <c r="D249" i="20"/>
  <c r="D248" i="20"/>
  <c r="D247" i="20"/>
  <c r="D246" i="20"/>
  <c r="D245" i="20"/>
  <c r="D244" i="20"/>
  <c r="D243" i="20"/>
  <c r="D242" i="20"/>
  <c r="D241" i="20"/>
  <c r="D240" i="20"/>
  <c r="D239" i="20"/>
  <c r="D238" i="20"/>
  <c r="D237" i="20"/>
  <c r="D236" i="20"/>
  <c r="D235" i="20"/>
  <c r="D234" i="20"/>
  <c r="D233" i="20"/>
  <c r="D232" i="20"/>
  <c r="D231" i="20"/>
  <c r="D230" i="20"/>
  <c r="D229" i="20"/>
  <c r="D228" i="20"/>
  <c r="D227" i="20"/>
  <c r="D226" i="20"/>
  <c r="D225" i="20"/>
  <c r="D224" i="20"/>
  <c r="D223" i="20"/>
  <c r="D222" i="20"/>
  <c r="D221" i="20"/>
  <c r="D220" i="20"/>
  <c r="D219" i="20"/>
  <c r="D218" i="20"/>
  <c r="D217" i="20"/>
  <c r="D216" i="20"/>
  <c r="D215" i="20"/>
  <c r="D214" i="20"/>
  <c r="D213" i="20"/>
  <c r="D212" i="20"/>
  <c r="D211" i="20"/>
  <c r="D210" i="20"/>
  <c r="D209" i="20"/>
  <c r="D208" i="20"/>
  <c r="D207" i="20"/>
  <c r="D206" i="20"/>
  <c r="D205" i="20"/>
  <c r="D204" i="20"/>
  <c r="D203" i="20"/>
  <c r="D202" i="20"/>
  <c r="D201" i="20"/>
  <c r="D200" i="20"/>
  <c r="D199" i="20"/>
  <c r="D198" i="20"/>
  <c r="D197" i="20"/>
  <c r="D196" i="20"/>
  <c r="D195" i="20"/>
  <c r="D194" i="20"/>
  <c r="D193" i="20"/>
  <c r="D192" i="20"/>
  <c r="D191" i="20"/>
  <c r="D190" i="20"/>
  <c r="D189" i="20"/>
  <c r="D188" i="20"/>
  <c r="D187" i="20"/>
  <c r="D186" i="20"/>
  <c r="D185" i="20"/>
  <c r="D184" i="20"/>
  <c r="D183" i="20"/>
  <c r="D182" i="20"/>
  <c r="D181" i="20"/>
  <c r="D180" i="20"/>
  <c r="D179" i="20"/>
  <c r="D178" i="20"/>
  <c r="D177" i="20"/>
  <c r="D176" i="20"/>
  <c r="D175" i="20"/>
  <c r="D174" i="20"/>
  <c r="D173" i="20"/>
  <c r="D172" i="20"/>
  <c r="D171" i="20"/>
  <c r="D170" i="20"/>
  <c r="D169" i="20"/>
  <c r="D168" i="20"/>
  <c r="D167" i="20"/>
  <c r="D166" i="20"/>
  <c r="D165" i="20"/>
  <c r="D164" i="20"/>
  <c r="D163" i="20"/>
  <c r="D162" i="20"/>
  <c r="D161" i="20"/>
  <c r="D160" i="20"/>
  <c r="D159" i="20"/>
  <c r="D158" i="20"/>
  <c r="D157" i="20"/>
  <c r="C514" i="20"/>
  <c r="C515" i="20" s="1"/>
  <c r="C516" i="20" s="1"/>
  <c r="C510" i="20"/>
  <c r="C511" i="20" s="1"/>
  <c r="C512" i="20" s="1"/>
  <c r="C513" i="20" s="1"/>
  <c r="C505" i="20"/>
  <c r="C506" i="20" s="1"/>
  <c r="C507" i="20" s="1"/>
  <c r="C508" i="20" s="1"/>
  <c r="C509" i="20" s="1"/>
  <c r="C503" i="20"/>
  <c r="C504" i="20" s="1"/>
  <c r="C490" i="20"/>
  <c r="C491" i="20" s="1"/>
  <c r="C492" i="20" s="1"/>
  <c r="C493" i="20" s="1"/>
  <c r="C494" i="20" s="1"/>
  <c r="C495" i="20" s="1"/>
  <c r="C496" i="20" s="1"/>
  <c r="C497" i="20" s="1"/>
  <c r="C498" i="20" s="1"/>
  <c r="C499" i="20" s="1"/>
  <c r="C500" i="20" s="1"/>
  <c r="C501" i="20" s="1"/>
  <c r="C502" i="20" s="1"/>
  <c r="C488" i="20"/>
  <c r="C489" i="20" s="1"/>
  <c r="C486" i="20"/>
  <c r="C487" i="20" s="1"/>
  <c r="C485" i="20"/>
  <c r="C484" i="20"/>
  <c r="C482" i="20"/>
  <c r="C483" i="20" s="1"/>
  <c r="C478" i="20"/>
  <c r="C479" i="20" s="1"/>
  <c r="C480" i="20" s="1"/>
  <c r="C481" i="20" s="1"/>
  <c r="C477" i="20"/>
  <c r="C471" i="20"/>
  <c r="C472" i="20" s="1"/>
  <c r="C473" i="20" s="1"/>
  <c r="C474" i="20" s="1"/>
  <c r="C475" i="20" s="1"/>
  <c r="C476" i="20" s="1"/>
  <c r="C469" i="20"/>
  <c r="C470" i="20" s="1"/>
  <c r="C468" i="20"/>
  <c r="C464" i="20"/>
  <c r="C465" i="20" s="1"/>
  <c r="C466" i="20" s="1"/>
  <c r="C467" i="20" s="1"/>
  <c r="C462" i="20"/>
  <c r="C463" i="20" s="1"/>
  <c r="C461" i="20"/>
  <c r="C460" i="20"/>
  <c r="C458" i="20"/>
  <c r="C459" i="20" s="1"/>
  <c r="C454" i="20"/>
  <c r="C455" i="20" s="1"/>
  <c r="C456" i="20" s="1"/>
  <c r="C457" i="20" s="1"/>
  <c r="C453" i="20"/>
  <c r="C447" i="20"/>
  <c r="C448" i="20" s="1"/>
  <c r="C449" i="20" s="1"/>
  <c r="C450" i="20" s="1"/>
  <c r="C451" i="20" s="1"/>
  <c r="C452" i="20" s="1"/>
  <c r="C442" i="20"/>
  <c r="C443" i="20" s="1"/>
  <c r="C444" i="20" s="1"/>
  <c r="C445" i="20" s="1"/>
  <c r="C446" i="20" s="1"/>
  <c r="C439" i="20"/>
  <c r="C440" i="20" s="1"/>
  <c r="C441" i="20" s="1"/>
  <c r="C438" i="20"/>
  <c r="C437" i="20"/>
  <c r="C430" i="20"/>
  <c r="C431" i="20" s="1"/>
  <c r="C432" i="20" s="1"/>
  <c r="C433" i="20" s="1"/>
  <c r="C434" i="20" s="1"/>
  <c r="C435" i="20" s="1"/>
  <c r="C436" i="20" s="1"/>
  <c r="C422" i="20"/>
  <c r="C423" i="20" s="1"/>
  <c r="C424" i="20" s="1"/>
  <c r="C425" i="20" s="1"/>
  <c r="C426" i="20" s="1"/>
  <c r="C427" i="20" s="1"/>
  <c r="C428" i="20" s="1"/>
  <c r="C429" i="20" s="1"/>
  <c r="C418" i="20"/>
  <c r="C419" i="20" s="1"/>
  <c r="C420" i="20" s="1"/>
  <c r="C421" i="20" s="1"/>
  <c r="C417" i="20"/>
  <c r="C414" i="20"/>
  <c r="C415" i="20" s="1"/>
  <c r="C416" i="20" s="1"/>
  <c r="C413" i="20"/>
  <c r="C409" i="20"/>
  <c r="C410" i="20" s="1"/>
  <c r="C411" i="20" s="1"/>
  <c r="C412" i="20" s="1"/>
  <c r="C408" i="20"/>
  <c r="C402" i="20"/>
  <c r="C403" i="20" s="1"/>
  <c r="C404" i="20" s="1"/>
  <c r="C405" i="20" s="1"/>
  <c r="C406" i="20" s="1"/>
  <c r="C407" i="20" s="1"/>
  <c r="C401" i="20"/>
  <c r="C394" i="20"/>
  <c r="C395" i="20" s="1"/>
  <c r="C396" i="20" s="1"/>
  <c r="C397" i="20" s="1"/>
  <c r="C398" i="20" s="1"/>
  <c r="C399" i="20" s="1"/>
  <c r="C400" i="20" s="1"/>
  <c r="C386" i="20"/>
  <c r="C387" i="20" s="1"/>
  <c r="C388" i="20" s="1"/>
  <c r="C389" i="20" s="1"/>
  <c r="C390" i="20" s="1"/>
  <c r="C391" i="20" s="1"/>
  <c r="C392" i="20" s="1"/>
  <c r="C393" i="20" s="1"/>
  <c r="C382" i="20"/>
  <c r="C383" i="20" s="1"/>
  <c r="C384" i="20" s="1"/>
  <c r="C385" i="20" s="1"/>
  <c r="C381" i="20"/>
  <c r="C378" i="20"/>
  <c r="C379" i="20" s="1"/>
  <c r="C380" i="20" s="1"/>
  <c r="C377" i="20"/>
  <c r="C376" i="20"/>
  <c r="C373" i="20"/>
  <c r="C374" i="20" s="1"/>
  <c r="C375" i="20" s="1"/>
  <c r="C372" i="20"/>
  <c r="C362" i="20"/>
  <c r="C363" i="20" s="1"/>
  <c r="C364" i="20" s="1"/>
  <c r="C365" i="20" s="1"/>
  <c r="C366" i="20" s="1"/>
  <c r="C367" i="20" s="1"/>
  <c r="C368" i="20" s="1"/>
  <c r="C369" i="20" s="1"/>
  <c r="C370" i="20" s="1"/>
  <c r="C371" i="20" s="1"/>
  <c r="C358" i="20"/>
  <c r="C359" i="20" s="1"/>
  <c r="C360" i="20" s="1"/>
  <c r="C361" i="20" s="1"/>
  <c r="C354" i="20"/>
  <c r="C355" i="20" s="1"/>
  <c r="C356" i="20" s="1"/>
  <c r="C357" i="20" s="1"/>
  <c r="C350" i="20"/>
  <c r="C351" i="20" s="1"/>
  <c r="C352" i="20" s="1"/>
  <c r="C353" i="20" s="1"/>
  <c r="C346" i="20"/>
  <c r="C347" i="20" s="1"/>
  <c r="C348" i="20" s="1"/>
  <c r="C349" i="20" s="1"/>
  <c r="C345" i="20"/>
  <c r="C342" i="20"/>
  <c r="C343" i="20" s="1"/>
  <c r="C344" i="20" s="1"/>
  <c r="C341" i="20"/>
  <c r="C340" i="20"/>
  <c r="C335" i="20"/>
  <c r="C336" i="20" s="1"/>
  <c r="C337" i="20" s="1"/>
  <c r="C338" i="20" s="1"/>
  <c r="C339" i="20" s="1"/>
  <c r="C332" i="20"/>
  <c r="C333" i="20" s="1"/>
  <c r="C334" i="20" s="1"/>
  <c r="C330" i="20"/>
  <c r="C331" i="20" s="1"/>
  <c r="C329" i="20"/>
  <c r="C327" i="20"/>
  <c r="C328" i="20" s="1"/>
  <c r="C325" i="20"/>
  <c r="C326" i="20" s="1"/>
  <c r="C324" i="20"/>
  <c r="C323" i="20"/>
  <c r="C322" i="20"/>
  <c r="C321" i="20"/>
  <c r="C318" i="20"/>
  <c r="C319" i="20" s="1"/>
  <c r="C320" i="20" s="1"/>
  <c r="C317" i="20"/>
  <c r="C313" i="20"/>
  <c r="C314" i="20" s="1"/>
  <c r="C315" i="20" s="1"/>
  <c r="C316" i="20" s="1"/>
  <c r="C310" i="20"/>
  <c r="C311" i="20" s="1"/>
  <c r="C312" i="20" s="1"/>
  <c r="C309" i="20"/>
  <c r="C306" i="20"/>
  <c r="C307" i="20" s="1"/>
  <c r="C308" i="20" s="1"/>
  <c r="C305" i="20"/>
  <c r="C298" i="20"/>
  <c r="C299" i="20" s="1"/>
  <c r="C300" i="20" s="1"/>
  <c r="C301" i="20" s="1"/>
  <c r="C302" i="20" s="1"/>
  <c r="C303" i="20" s="1"/>
  <c r="C304" i="20" s="1"/>
  <c r="C289" i="20"/>
  <c r="C290" i="20" s="1"/>
  <c r="C291" i="20" s="1"/>
  <c r="C292" i="20" s="1"/>
  <c r="C293" i="20" s="1"/>
  <c r="C294" i="20" s="1"/>
  <c r="C295" i="20" s="1"/>
  <c r="C296" i="20" s="1"/>
  <c r="C297" i="20" s="1"/>
  <c r="C288" i="20"/>
  <c r="C287" i="20"/>
  <c r="C282" i="20"/>
  <c r="C283" i="20" s="1"/>
  <c r="C284" i="20" s="1"/>
  <c r="C285" i="20" s="1"/>
  <c r="C286" i="20" s="1"/>
  <c r="C281" i="20"/>
  <c r="C274" i="20"/>
  <c r="C275" i="20" s="1"/>
  <c r="C276" i="20" s="1"/>
  <c r="C277" i="20" s="1"/>
  <c r="C278" i="20" s="1"/>
  <c r="C279" i="20" s="1"/>
  <c r="C280" i="20" s="1"/>
  <c r="C265" i="20"/>
  <c r="C266" i="20" s="1"/>
  <c r="C267" i="20" s="1"/>
  <c r="C268" i="20" s="1"/>
  <c r="C269" i="20" s="1"/>
  <c r="C270" i="20" s="1"/>
  <c r="C271" i="20" s="1"/>
  <c r="C272" i="20" s="1"/>
  <c r="C273" i="20" s="1"/>
  <c r="C264" i="20"/>
  <c r="C259" i="20"/>
  <c r="C260" i="20" s="1"/>
  <c r="C261" i="20" s="1"/>
  <c r="C262" i="20" s="1"/>
  <c r="C263" i="20" s="1"/>
  <c r="C253" i="20"/>
  <c r="C254" i="20" s="1"/>
  <c r="C255" i="20" s="1"/>
  <c r="C256" i="20" s="1"/>
  <c r="C257" i="20" s="1"/>
  <c r="C258" i="20" s="1"/>
  <c r="C252" i="20"/>
  <c r="C251" i="20"/>
  <c r="C246" i="20"/>
  <c r="C247" i="20" s="1"/>
  <c r="C248" i="20" s="1"/>
  <c r="C249" i="20" s="1"/>
  <c r="C250" i="20" s="1"/>
  <c r="C241" i="20"/>
  <c r="C242" i="20" s="1"/>
  <c r="C243" i="20" s="1"/>
  <c r="C244" i="20" s="1"/>
  <c r="C245" i="20" s="1"/>
  <c r="C240" i="20"/>
  <c r="C239" i="20"/>
  <c r="C238" i="20"/>
  <c r="C237" i="20"/>
  <c r="C234" i="20"/>
  <c r="C235" i="20" s="1"/>
  <c r="C236" i="20" s="1"/>
  <c r="C226" i="20"/>
  <c r="C227" i="20" s="1"/>
  <c r="C228" i="20" s="1"/>
  <c r="C229" i="20" s="1"/>
  <c r="C230" i="20" s="1"/>
  <c r="C231" i="20" s="1"/>
  <c r="C232" i="20" s="1"/>
  <c r="C233" i="20" s="1"/>
  <c r="C222" i="20"/>
  <c r="C223" i="20" s="1"/>
  <c r="C224" i="20" s="1"/>
  <c r="C225" i="20" s="1"/>
  <c r="C218" i="20"/>
  <c r="C219" i="20" s="1"/>
  <c r="C220" i="20" s="1"/>
  <c r="C221" i="20" s="1"/>
  <c r="C217" i="20"/>
  <c r="C216" i="20"/>
  <c r="C214" i="20"/>
  <c r="C215" i="20" s="1"/>
  <c r="C212" i="20"/>
  <c r="C213" i="20" s="1"/>
  <c r="C210" i="20"/>
  <c r="C211" i="20" s="1"/>
  <c r="C209" i="20"/>
  <c r="C206" i="20"/>
  <c r="C207" i="20" s="1"/>
  <c r="C208" i="20" s="1"/>
  <c r="C205" i="20"/>
  <c r="C204" i="20"/>
  <c r="C203" i="20"/>
  <c r="C198" i="20"/>
  <c r="C199" i="20" s="1"/>
  <c r="C200" i="20" s="1"/>
  <c r="C201" i="20" s="1"/>
  <c r="C202" i="20" s="1"/>
  <c r="C190" i="20"/>
  <c r="C191" i="20" s="1"/>
  <c r="C192" i="20" s="1"/>
  <c r="C193" i="20" s="1"/>
  <c r="C194" i="20" s="1"/>
  <c r="C195" i="20" s="1"/>
  <c r="C196" i="20" s="1"/>
  <c r="C197" i="20" s="1"/>
  <c r="C186" i="20"/>
  <c r="C187" i="20" s="1"/>
  <c r="C188" i="20" s="1"/>
  <c r="C189" i="20" s="1"/>
  <c r="C185" i="20"/>
  <c r="C181" i="20"/>
  <c r="C182" i="20" s="1"/>
  <c r="C183" i="20" s="1"/>
  <c r="C184" i="20" s="1"/>
  <c r="C180" i="20"/>
  <c r="C174" i="20"/>
  <c r="C175" i="20" s="1"/>
  <c r="C176" i="20" s="1"/>
  <c r="C177" i="20" s="1"/>
  <c r="C178" i="20" s="1"/>
  <c r="C179" i="20" s="1"/>
  <c r="C173" i="20"/>
  <c r="C172" i="20"/>
  <c r="C163" i="20"/>
  <c r="C164" i="20" s="1"/>
  <c r="C165" i="20" s="1"/>
  <c r="C166" i="20" s="1"/>
  <c r="C167" i="20" s="1"/>
  <c r="C168" i="20" s="1"/>
  <c r="C169" i="20" s="1"/>
  <c r="C170" i="20" s="1"/>
  <c r="C171" i="20" s="1"/>
  <c r="C157" i="20"/>
  <c r="C158" i="20" s="1"/>
  <c r="C159" i="20" s="1"/>
  <c r="C160" i="20" s="1"/>
  <c r="C161" i="20" s="1"/>
  <c r="C162" i="20" s="1"/>
  <c r="D146" i="20"/>
  <c r="D141" i="20"/>
  <c r="D137" i="20"/>
  <c r="D136" i="20"/>
  <c r="D135" i="20"/>
  <c r="D134" i="20"/>
  <c r="D133" i="20"/>
  <c r="D132" i="20"/>
  <c r="D129" i="20"/>
  <c r="D125" i="20"/>
  <c r="D117" i="20"/>
  <c r="D113" i="20"/>
  <c r="D100" i="20"/>
  <c r="D99" i="20"/>
  <c r="D98" i="20"/>
  <c r="D97" i="20"/>
  <c r="D96" i="20"/>
  <c r="D95" i="20"/>
  <c r="D94" i="20"/>
  <c r="D93" i="20"/>
  <c r="D86" i="20"/>
  <c r="D85" i="20"/>
  <c r="D84" i="20"/>
  <c r="C149" i="20"/>
  <c r="C150" i="20" s="1"/>
  <c r="C151" i="20" s="1"/>
  <c r="C152" i="20" s="1"/>
  <c r="D152" i="20" s="1"/>
  <c r="C141" i="20"/>
  <c r="C142" i="20" s="1"/>
  <c r="C143" i="20" s="1"/>
  <c r="C144" i="20" s="1"/>
  <c r="C145" i="20" s="1"/>
  <c r="C146" i="20" s="1"/>
  <c r="C147" i="20" s="1"/>
  <c r="C148" i="20" s="1"/>
  <c r="D148" i="20" s="1"/>
  <c r="C139" i="20"/>
  <c r="C140" i="20" s="1"/>
  <c r="D140" i="20" s="1"/>
  <c r="C137" i="20"/>
  <c r="C138" i="20" s="1"/>
  <c r="D138" i="20" s="1"/>
  <c r="C134" i="20"/>
  <c r="C135" i="20" s="1"/>
  <c r="C136" i="20" s="1"/>
  <c r="C132" i="20"/>
  <c r="C133" i="20" s="1"/>
  <c r="C129" i="20"/>
  <c r="C130" i="20" s="1"/>
  <c r="C131" i="20" s="1"/>
  <c r="D131" i="20" s="1"/>
  <c r="C127" i="20"/>
  <c r="C128" i="20" s="1"/>
  <c r="D128" i="20" s="1"/>
  <c r="C123" i="20"/>
  <c r="C124" i="20" s="1"/>
  <c r="C125" i="20" s="1"/>
  <c r="C126" i="20" s="1"/>
  <c r="D126" i="20" s="1"/>
  <c r="C118" i="20"/>
  <c r="C119" i="20" s="1"/>
  <c r="C120" i="20" s="1"/>
  <c r="C121" i="20" s="1"/>
  <c r="C122" i="20" s="1"/>
  <c r="D122" i="20" s="1"/>
  <c r="C113" i="20"/>
  <c r="C114" i="20" s="1"/>
  <c r="C115" i="20" s="1"/>
  <c r="C116" i="20" s="1"/>
  <c r="C117" i="20" s="1"/>
  <c r="C111" i="20"/>
  <c r="C112" i="20" s="1"/>
  <c r="D112" i="20" s="1"/>
  <c r="C109" i="20"/>
  <c r="D109" i="20" s="1"/>
  <c r="C101" i="20"/>
  <c r="C102" i="20" s="1"/>
  <c r="C103" i="20" s="1"/>
  <c r="C104" i="20" s="1"/>
  <c r="C105" i="20" s="1"/>
  <c r="C106" i="20" s="1"/>
  <c r="C107" i="20" s="1"/>
  <c r="C108" i="20" s="1"/>
  <c r="D108" i="20" s="1"/>
  <c r="C98" i="20"/>
  <c r="C99" i="20" s="1"/>
  <c r="C100" i="20" s="1"/>
  <c r="C94" i="20"/>
  <c r="C95" i="20" s="1"/>
  <c r="C96" i="20" s="1"/>
  <c r="C97" i="20" s="1"/>
  <c r="C90" i="20"/>
  <c r="C91" i="20" s="1"/>
  <c r="C92" i="20" s="1"/>
  <c r="C93" i="20" s="1"/>
  <c r="C86" i="20"/>
  <c r="C87" i="20" s="1"/>
  <c r="C88" i="20" s="1"/>
  <c r="C89" i="20" s="1"/>
  <c r="D89" i="20" s="1"/>
  <c r="C84" i="20"/>
  <c r="C85" i="20" s="1"/>
  <c r="D59" i="20"/>
  <c r="D58" i="20"/>
  <c r="D48" i="20"/>
  <c r="D12" i="20"/>
  <c r="D9" i="20"/>
  <c r="D8" i="20"/>
  <c r="C76" i="20"/>
  <c r="C77" i="20" s="1"/>
  <c r="C78" i="20" s="1"/>
  <c r="C79" i="20" s="1"/>
  <c r="D79" i="20" s="1"/>
  <c r="C73" i="20"/>
  <c r="C74" i="20" s="1"/>
  <c r="C75" i="20" s="1"/>
  <c r="D75" i="20" s="1"/>
  <c r="C70" i="20"/>
  <c r="C71" i="20" s="1"/>
  <c r="C72" i="20" s="1"/>
  <c r="D72" i="20" s="1"/>
  <c r="C67" i="20"/>
  <c r="D67" i="20" s="1"/>
  <c r="C65" i="20"/>
  <c r="C66" i="20" s="1"/>
  <c r="D66" i="20" s="1"/>
  <c r="C60" i="20"/>
  <c r="C61" i="20" s="1"/>
  <c r="C58" i="20"/>
  <c r="C59" i="20" s="1"/>
  <c r="C55" i="20"/>
  <c r="D55" i="20" s="1"/>
  <c r="C48" i="20"/>
  <c r="C49" i="20" s="1"/>
  <c r="C50" i="20" s="1"/>
  <c r="C51" i="20" s="1"/>
  <c r="C52" i="20" s="1"/>
  <c r="C53" i="20" s="1"/>
  <c r="C54" i="20" s="1"/>
  <c r="D54" i="20" s="1"/>
  <c r="C43" i="20"/>
  <c r="D43" i="20" s="1"/>
  <c r="C38" i="20"/>
  <c r="C39" i="20" s="1"/>
  <c r="C40" i="20" s="1"/>
  <c r="C41" i="20" s="1"/>
  <c r="C42" i="20" s="1"/>
  <c r="D42" i="20" s="1"/>
  <c r="C33" i="20"/>
  <c r="C34" i="20" s="1"/>
  <c r="C35" i="20" s="1"/>
  <c r="C36" i="20" s="1"/>
  <c r="C37" i="20" s="1"/>
  <c r="D37" i="20" s="1"/>
  <c r="C31" i="20"/>
  <c r="D31" i="20" s="1"/>
  <c r="C29" i="20"/>
  <c r="C30" i="20" s="1"/>
  <c r="D30" i="20" s="1"/>
  <c r="C20" i="20"/>
  <c r="C21" i="20" s="1"/>
  <c r="C22" i="20" s="1"/>
  <c r="C23" i="20" s="1"/>
  <c r="C24" i="20" s="1"/>
  <c r="C25" i="20" s="1"/>
  <c r="C26" i="20" s="1"/>
  <c r="C27" i="20" s="1"/>
  <c r="C28" i="20" s="1"/>
  <c r="D28" i="20" s="1"/>
  <c r="C12" i="20"/>
  <c r="C13" i="20" s="1"/>
  <c r="C4" i="20"/>
  <c r="C5" i="20" s="1"/>
  <c r="C6" i="20" s="1"/>
  <c r="C7" i="20" s="1"/>
  <c r="C8" i="20" s="1"/>
  <c r="C9" i="20" s="1"/>
  <c r="C10" i="20" s="1"/>
  <c r="C11" i="20" s="1"/>
  <c r="D11" i="20" s="1"/>
  <c r="L53" i="1"/>
  <c r="L52" i="1"/>
  <c r="L50" i="1"/>
  <c r="K53" i="1"/>
  <c r="K52" i="1"/>
  <c r="K51" i="1"/>
  <c r="L51" i="1" s="1"/>
  <c r="K50" i="1"/>
  <c r="K49" i="1"/>
  <c r="L49" i="1" s="1"/>
  <c r="K48" i="1"/>
  <c r="L48" i="1" s="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G174" i="1"/>
  <c r="AG173" i="1"/>
  <c r="AG172" i="1"/>
  <c r="AG171" i="1"/>
  <c r="AG170" i="1"/>
  <c r="AG169" i="1"/>
  <c r="AG168" i="1"/>
  <c r="AG167" i="1"/>
  <c r="AG166" i="1"/>
  <c r="AG165" i="1"/>
  <c r="AG164" i="1"/>
  <c r="AG163" i="1"/>
  <c r="AG162" i="1"/>
  <c r="AG161" i="1"/>
  <c r="AG160" i="1"/>
  <c r="AG159" i="1"/>
  <c r="AG158" i="1"/>
  <c r="AG157" i="1"/>
  <c r="AG156" i="1"/>
  <c r="AG155" i="1"/>
  <c r="AG154" i="1"/>
  <c r="AG153" i="1"/>
  <c r="AG152" i="1"/>
  <c r="AG151" i="1"/>
  <c r="AG150" i="1"/>
  <c r="AG149" i="1"/>
  <c r="AG148" i="1"/>
  <c r="AG147" i="1"/>
  <c r="AG146" i="1"/>
  <c r="AG145" i="1"/>
  <c r="AG144" i="1"/>
  <c r="AG143" i="1"/>
  <c r="AG142" i="1"/>
  <c r="AG141" i="1"/>
  <c r="AG140" i="1"/>
  <c r="AG139" i="1"/>
  <c r="AG138" i="1"/>
  <c r="AG137" i="1"/>
  <c r="AG136" i="1"/>
  <c r="AG135" i="1"/>
  <c r="AG134" i="1"/>
  <c r="AG133" i="1"/>
  <c r="AG132" i="1"/>
  <c r="AG131" i="1"/>
  <c r="AG130" i="1"/>
  <c r="AG129" i="1"/>
  <c r="AG128" i="1"/>
  <c r="AG127" i="1"/>
  <c r="AG126" i="1"/>
  <c r="AG125" i="1"/>
  <c r="Z17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Z126" i="1"/>
  <c r="Z125" i="1"/>
  <c r="K154" i="1"/>
  <c r="E154" i="1" s="1"/>
  <c r="U154" i="1" s="1"/>
  <c r="K153" i="1"/>
  <c r="E153" i="1" s="1"/>
  <c r="AD153" i="1" s="1"/>
  <c r="K152" i="1"/>
  <c r="E152" i="1" s="1"/>
  <c r="AD152" i="1" s="1"/>
  <c r="K151" i="1"/>
  <c r="E151" i="1" s="1"/>
  <c r="K150" i="1"/>
  <c r="Y150" i="1" s="1"/>
  <c r="K149" i="1"/>
  <c r="Y149" i="1" s="1"/>
  <c r="K148" i="1"/>
  <c r="Y148" i="1" s="1"/>
  <c r="K147" i="1"/>
  <c r="E147" i="1" s="1"/>
  <c r="K146" i="1"/>
  <c r="W146" i="1" s="1"/>
  <c r="K145" i="1"/>
  <c r="E145" i="1" s="1"/>
  <c r="AF145" i="1" s="1"/>
  <c r="K144" i="1"/>
  <c r="Y144" i="1" s="1"/>
  <c r="K143" i="1"/>
  <c r="Y143" i="1" s="1"/>
  <c r="K142" i="1"/>
  <c r="E142" i="1" s="1"/>
  <c r="U142" i="1" s="1"/>
  <c r="K141" i="1"/>
  <c r="E141" i="1" s="1"/>
  <c r="AD141" i="1" s="1"/>
  <c r="K140" i="1"/>
  <c r="E140" i="1" s="1"/>
  <c r="AD140" i="1" s="1"/>
  <c r="K139" i="1"/>
  <c r="E139" i="1" s="1"/>
  <c r="K138" i="1"/>
  <c r="Y138" i="1" s="1"/>
  <c r="K137" i="1"/>
  <c r="Y137" i="1" s="1"/>
  <c r="K136" i="1"/>
  <c r="Y136" i="1" s="1"/>
  <c r="K135" i="1"/>
  <c r="E135" i="1" s="1"/>
  <c r="AF135" i="1" s="1"/>
  <c r="K134" i="1"/>
  <c r="E134" i="1" s="1"/>
  <c r="K133" i="1"/>
  <c r="E133" i="1" s="1"/>
  <c r="AF133" i="1" s="1"/>
  <c r="K132" i="1"/>
  <c r="Y132" i="1" s="1"/>
  <c r="K131" i="1"/>
  <c r="Y131" i="1" s="1"/>
  <c r="K130" i="1"/>
  <c r="E130" i="1" s="1"/>
  <c r="U130" i="1" s="1"/>
  <c r="K129" i="1"/>
  <c r="E129" i="1" s="1"/>
  <c r="AD129" i="1" s="1"/>
  <c r="K128" i="1"/>
  <c r="E128" i="1" s="1"/>
  <c r="AD128" i="1" s="1"/>
  <c r="K127" i="1"/>
  <c r="E127" i="1" s="1"/>
  <c r="K126" i="1"/>
  <c r="Y126" i="1" s="1"/>
  <c r="K125" i="1"/>
  <c r="Y125" i="1" s="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E117" i="1"/>
  <c r="I117" i="1" s="1"/>
  <c r="E116" i="1"/>
  <c r="I116" i="1" s="1"/>
  <c r="E115" i="1"/>
  <c r="I115" i="1" s="1"/>
  <c r="E114" i="1"/>
  <c r="C114" i="1" s="1"/>
  <c r="E113" i="1"/>
  <c r="C113" i="1" s="1"/>
  <c r="E112" i="1"/>
  <c r="C112" i="1" s="1"/>
  <c r="E111" i="1"/>
  <c r="C111" i="1" s="1"/>
  <c r="E110" i="1"/>
  <c r="I110" i="1" s="1"/>
  <c r="E109" i="1"/>
  <c r="I109" i="1" s="1"/>
  <c r="E108" i="1"/>
  <c r="C108" i="1" s="1"/>
  <c r="E107" i="1"/>
  <c r="C107" i="1" s="1"/>
  <c r="E106" i="1"/>
  <c r="C106" i="1" s="1"/>
  <c r="E105" i="1"/>
  <c r="I105" i="1" s="1"/>
  <c r="E104" i="1"/>
  <c r="I104" i="1" s="1"/>
  <c r="E103" i="1"/>
  <c r="C103" i="1" s="1"/>
  <c r="G90" i="1"/>
  <c r="G89" i="1"/>
  <c r="G88" i="1"/>
  <c r="G87" i="1"/>
  <c r="G86" i="1"/>
  <c r="G85" i="1"/>
  <c r="G84" i="1"/>
  <c r="G83" i="1"/>
  <c r="G82" i="1"/>
  <c r="G81" i="1"/>
  <c r="G80" i="1"/>
  <c r="G79" i="1"/>
  <c r="G72" i="1"/>
  <c r="G71" i="1"/>
  <c r="G70" i="1"/>
  <c r="G69" i="1"/>
  <c r="G68" i="1"/>
  <c r="G67" i="1"/>
  <c r="G66" i="1"/>
  <c r="G65" i="1"/>
  <c r="G64" i="1"/>
  <c r="G63" i="1"/>
  <c r="G62" i="1"/>
  <c r="G61" i="1"/>
  <c r="B24" i="29" a="1"/>
  <c r="B24" i="29" s="1"/>
  <c r="AI2" i="27"/>
  <c r="AI3" i="27" s="1"/>
  <c r="AI34" i="27" s="1"/>
  <c r="AI35" i="27" s="1"/>
  <c r="AI36" i="27" s="1"/>
  <c r="AI37" i="27" s="1"/>
  <c r="AI38" i="27" s="1"/>
  <c r="AI39" i="27" s="1"/>
  <c r="AI40" i="27" s="1"/>
  <c r="BX10" i="31"/>
  <c r="BX12" i="31"/>
  <c r="BX14" i="31"/>
  <c r="BX16" i="31"/>
  <c r="BX18" i="31"/>
  <c r="BX20" i="31"/>
  <c r="BX22" i="31"/>
  <c r="BX24" i="31"/>
  <c r="BX26" i="31"/>
  <c r="BX28" i="31"/>
  <c r="BX30" i="31"/>
  <c r="BX32" i="31"/>
  <c r="BX34" i="31"/>
  <c r="BX36" i="31"/>
  <c r="BX38" i="31"/>
  <c r="BL10" i="30"/>
  <c r="BL12" i="30"/>
  <c r="BL14" i="30"/>
  <c r="BL16" i="30"/>
  <c r="BL18" i="30"/>
  <c r="BL20" i="30"/>
  <c r="BL22" i="30"/>
  <c r="BL24" i="30"/>
  <c r="BL26" i="30"/>
  <c r="BL28" i="30"/>
  <c r="BL30" i="30"/>
  <c r="BL32" i="30"/>
  <c r="BL34" i="30"/>
  <c r="BL36" i="30"/>
  <c r="BL38" i="30"/>
  <c r="BM10" i="30" a="1"/>
  <c r="BM10" i="30" s="1"/>
  <c r="BM12" i="30" a="1"/>
  <c r="BM12" i="30" s="1"/>
  <c r="BM14" i="30" a="1"/>
  <c r="BM14" i="30" s="1"/>
  <c r="BM16" i="30" a="1"/>
  <c r="BM16" i="30" s="1"/>
  <c r="BM18" i="30" a="1"/>
  <c r="BM18" i="30" s="1"/>
  <c r="BM20" i="30" a="1"/>
  <c r="BM20" i="30" s="1"/>
  <c r="BM22" i="30" a="1"/>
  <c r="BM22" i="30" s="1"/>
  <c r="BM24" i="30" a="1"/>
  <c r="BM24" i="30" s="1"/>
  <c r="BM26" i="30" a="1"/>
  <c r="BM26" i="30" s="1"/>
  <c r="BM28" i="30" a="1"/>
  <c r="BM28" i="30" s="1"/>
  <c r="BM30" i="30" a="1"/>
  <c r="BM30" i="30" s="1"/>
  <c r="BM32" i="30" a="1"/>
  <c r="BM32" i="30" s="1"/>
  <c r="BM34" i="30" a="1"/>
  <c r="BM34" i="30" s="1"/>
  <c r="BM36" i="30" a="1"/>
  <c r="BM36" i="30" s="1"/>
  <c r="BM38" i="30" a="1"/>
  <c r="BM38" i="30" s="1"/>
  <c r="BY10" i="31" a="1"/>
  <c r="BY10" i="31" s="1"/>
  <c r="BY12" i="31" a="1"/>
  <c r="BY12" i="31" s="1"/>
  <c r="BY14" i="31" a="1"/>
  <c r="BY14" i="31" s="1"/>
  <c r="BY16" i="31" a="1"/>
  <c r="BY16" i="31" s="1"/>
  <c r="BY18" i="31" a="1"/>
  <c r="BY18" i="31" s="1"/>
  <c r="BY20" i="31" a="1"/>
  <c r="BY20" i="31" s="1"/>
  <c r="BY22" i="31" a="1"/>
  <c r="BY22" i="31" s="1"/>
  <c r="BY24" i="31" a="1"/>
  <c r="BY24" i="31" s="1"/>
  <c r="BY26" i="31" a="1"/>
  <c r="BY26" i="31" s="1"/>
  <c r="BY28" i="31" a="1"/>
  <c r="BY28" i="31" s="1"/>
  <c r="BY30" i="31" a="1"/>
  <c r="BY30" i="31" s="1"/>
  <c r="BY32" i="31" a="1"/>
  <c r="BY32" i="31" s="1"/>
  <c r="BY34" i="31" a="1"/>
  <c r="BY34" i="31" s="1"/>
  <c r="BY36" i="31" a="1"/>
  <c r="BY36" i="31" s="1"/>
  <c r="BY38" i="31" a="1"/>
  <c r="BY38" i="31" s="1"/>
  <c r="CK10" i="33" a="1"/>
  <c r="CK10" i="33" s="1"/>
  <c r="CK12" i="33" a="1"/>
  <c r="CK12" i="33" s="1"/>
  <c r="CK14" i="33" a="1"/>
  <c r="CK14" i="33" s="1"/>
  <c r="CK16" i="33" a="1"/>
  <c r="CK16" i="33" s="1"/>
  <c r="CK18" i="33" a="1"/>
  <c r="CK18" i="33" s="1"/>
  <c r="CK20" i="33" a="1"/>
  <c r="CK20" i="33" s="1"/>
  <c r="CK22" i="33" a="1"/>
  <c r="CK22" i="33" s="1"/>
  <c r="CK24" i="33" a="1"/>
  <c r="CK24" i="33" s="1"/>
  <c r="CK26" i="33" a="1"/>
  <c r="CK26" i="33" s="1"/>
  <c r="CK28" i="33" a="1"/>
  <c r="CK28" i="33" s="1"/>
  <c r="CK30" i="33" a="1"/>
  <c r="CK30" i="33" s="1"/>
  <c r="CK32" i="33" a="1"/>
  <c r="CK32" i="33" s="1"/>
  <c r="CK34" i="33" a="1"/>
  <c r="CK34" i="33" s="1"/>
  <c r="CK36" i="33" a="1"/>
  <c r="CK36" i="33" s="1"/>
  <c r="CK38" i="33" a="1"/>
  <c r="CK38" i="33" s="1"/>
  <c r="CK40" i="33" a="1"/>
  <c r="CK40" i="33" s="1"/>
  <c r="CK42" i="33" a="1"/>
  <c r="CK42" i="33" s="1"/>
  <c r="CK44" i="33" a="1"/>
  <c r="CK44" i="33" s="1"/>
  <c r="CK46" i="33" a="1"/>
  <c r="CK46" i="33" s="1"/>
  <c r="CK48" i="33" a="1"/>
  <c r="CK48" i="33" s="1"/>
  <c r="CK50" i="33" a="1"/>
  <c r="CK50" i="33" s="1"/>
  <c r="CK52" i="33" a="1"/>
  <c r="CK52" i="33" s="1"/>
  <c r="CK54" i="33" a="1"/>
  <c r="CK54" i="33" s="1"/>
  <c r="CK56" i="33" a="1"/>
  <c r="CK56" i="33" s="1"/>
  <c r="CK58" i="33" a="1"/>
  <c r="CK58" i="33" s="1"/>
  <c r="CK60" i="33" a="1"/>
  <c r="CK60" i="33" s="1"/>
  <c r="CK62" i="33" a="1"/>
  <c r="CK62" i="33" s="1"/>
  <c r="CK64" i="33" a="1"/>
  <c r="CK64" i="33" s="1"/>
  <c r="CK66" i="33" a="1"/>
  <c r="CK66" i="33" s="1"/>
  <c r="CK92" i="33" a="1"/>
  <c r="CK92" i="33" s="1"/>
  <c r="K10" i="1"/>
  <c r="B124" i="1" a="1"/>
  <c r="B124" i="1" s="1"/>
  <c r="G986" i="27"/>
  <c r="G974" i="27"/>
  <c r="G985" i="27"/>
  <c r="G973" i="27"/>
  <c r="G996" i="27"/>
  <c r="G984" i="27"/>
  <c r="G995" i="27"/>
  <c r="G983" i="27"/>
  <c r="G994" i="27"/>
  <c r="G982" i="27"/>
  <c r="G993" i="27"/>
  <c r="G981" i="27"/>
  <c r="G991" i="27"/>
  <c r="G979" i="27"/>
  <c r="G990" i="27"/>
  <c r="G977" i="27"/>
  <c r="G976" i="27"/>
  <c r="G882" i="27"/>
  <c r="G870" i="27"/>
  <c r="G858" i="27"/>
  <c r="G846" i="27"/>
  <c r="G834" i="27"/>
  <c r="G822" i="27"/>
  <c r="G810" i="27"/>
  <c r="G798" i="27"/>
  <c r="G786" i="27"/>
  <c r="G975" i="27"/>
  <c r="G881" i="27"/>
  <c r="G869" i="27"/>
  <c r="G857" i="27"/>
  <c r="G845" i="27"/>
  <c r="G833" i="27"/>
  <c r="G821" i="27"/>
  <c r="G809" i="27"/>
  <c r="G797" i="27"/>
  <c r="G785" i="27"/>
  <c r="G880" i="27"/>
  <c r="G868" i="27"/>
  <c r="G856" i="27"/>
  <c r="G844" i="27"/>
  <c r="G832" i="27"/>
  <c r="G820" i="27"/>
  <c r="G808" i="27"/>
  <c r="G796" i="27"/>
  <c r="G784" i="27"/>
  <c r="G879" i="27"/>
  <c r="G867" i="27"/>
  <c r="G855" i="27"/>
  <c r="G843" i="27"/>
  <c r="G831" i="27"/>
  <c r="G819" i="27"/>
  <c r="G807" i="27"/>
  <c r="G795" i="27"/>
  <c r="G783" i="27"/>
  <c r="G877" i="27"/>
  <c r="G865" i="27"/>
  <c r="G853" i="27"/>
  <c r="G841" i="27"/>
  <c r="G829" i="27"/>
  <c r="G817" i="27"/>
  <c r="G805" i="27"/>
  <c r="G793" i="27"/>
  <c r="G992" i="27"/>
  <c r="G876" i="27"/>
  <c r="G864" i="27"/>
  <c r="G852" i="27"/>
  <c r="G840" i="27"/>
  <c r="G828" i="27"/>
  <c r="G816" i="27"/>
  <c r="G804" i="27"/>
  <c r="G989" i="27"/>
  <c r="G875" i="27"/>
  <c r="G863" i="27"/>
  <c r="G851" i="27"/>
  <c r="G839" i="27"/>
  <c r="G827" i="27"/>
  <c r="G815" i="27"/>
  <c r="G803" i="27"/>
  <c r="G791" i="27"/>
  <c r="G988" i="27"/>
  <c r="G874" i="27"/>
  <c r="G862" i="27"/>
  <c r="G850" i="27"/>
  <c r="G838" i="27"/>
  <c r="G826" i="27"/>
  <c r="G814" i="27"/>
  <c r="G802" i="27"/>
  <c r="G790" i="27"/>
  <c r="G987" i="27"/>
  <c r="G873" i="27"/>
  <c r="G861" i="27"/>
  <c r="G849" i="27"/>
  <c r="G837" i="27"/>
  <c r="G825" i="27"/>
  <c r="G813" i="27"/>
  <c r="G801" i="27"/>
  <c r="G789" i="27"/>
  <c r="G860" i="27"/>
  <c r="G812" i="27"/>
  <c r="G980" i="27"/>
  <c r="G859" i="27"/>
  <c r="G811" i="27"/>
  <c r="G854" i="27"/>
  <c r="G806" i="27"/>
  <c r="G848" i="27"/>
  <c r="G800" i="27"/>
  <c r="G847" i="27"/>
  <c r="G799" i="27"/>
  <c r="G842" i="27"/>
  <c r="G794" i="27"/>
  <c r="G836" i="27"/>
  <c r="G788" i="27"/>
  <c r="G835" i="27"/>
  <c r="G787" i="27"/>
  <c r="G878" i="27"/>
  <c r="G830" i="27"/>
  <c r="G818" i="27"/>
  <c r="G872" i="27"/>
  <c r="G824" i="27"/>
  <c r="G866" i="27"/>
  <c r="G871" i="27"/>
  <c r="G823" i="27"/>
  <c r="E3546" i="27" l="1"/>
  <c r="E3696" i="27"/>
  <c r="E3549" i="27"/>
  <c r="E3740" i="27"/>
  <c r="E3664" i="27"/>
  <c r="E3724" i="27"/>
  <c r="E3657" i="27"/>
  <c r="E3677" i="27"/>
  <c r="E3701" i="27"/>
  <c r="E3725" i="27"/>
  <c r="E3761" i="27"/>
  <c r="E3797" i="27"/>
  <c r="E3833" i="27"/>
  <c r="E3869" i="27"/>
  <c r="E3953" i="27"/>
  <c r="E3690" i="27"/>
  <c r="E3750" i="27"/>
  <c r="E3822" i="27"/>
  <c r="E3978" i="27"/>
  <c r="E3990" i="27"/>
  <c r="E4002" i="27"/>
  <c r="E4014" i="27"/>
  <c r="E3547" i="27"/>
  <c r="F3547" i="27"/>
  <c r="E3559" i="27"/>
  <c r="E3571" i="27"/>
  <c r="E3583" i="27"/>
  <c r="E3595" i="27"/>
  <c r="E3607" i="27"/>
  <c r="E3619" i="27"/>
  <c r="E3631" i="27"/>
  <c r="E3643" i="27"/>
  <c r="E3655" i="27"/>
  <c r="E3667" i="27"/>
  <c r="E3679" i="27"/>
  <c r="E3691" i="27"/>
  <c r="E3703" i="27"/>
  <c r="E3715" i="27"/>
  <c r="E3727" i="27"/>
  <c r="E3739" i="27"/>
  <c r="E3751" i="27"/>
  <c r="E3763" i="27"/>
  <c r="E3775" i="27"/>
  <c r="E3787" i="27"/>
  <c r="E3799" i="27"/>
  <c r="E3811" i="27"/>
  <c r="E3823" i="27"/>
  <c r="E3835" i="27"/>
  <c r="E3847" i="27"/>
  <c r="E3859" i="27"/>
  <c r="E3871" i="27"/>
  <c r="E3883" i="27"/>
  <c r="E3895" i="27"/>
  <c r="E3907" i="27"/>
  <c r="E3919" i="27"/>
  <c r="E3931" i="27"/>
  <c r="E3943" i="27"/>
  <c r="E3955" i="27"/>
  <c r="E3967" i="27"/>
  <c r="E3979" i="27"/>
  <c r="E3991" i="27"/>
  <c r="E4003" i="27"/>
  <c r="E4015" i="27"/>
  <c r="E3793" i="27"/>
  <c r="E3560" i="27"/>
  <c r="E3572" i="27"/>
  <c r="E3596" i="27"/>
  <c r="E3608" i="27"/>
  <c r="E3632" i="27"/>
  <c r="E3644" i="27"/>
  <c r="E3656" i="27"/>
  <c r="E3668" i="27"/>
  <c r="E3680" i="27"/>
  <c r="E3692" i="27"/>
  <c r="E3704" i="27"/>
  <c r="E3716" i="27"/>
  <c r="E3728" i="27"/>
  <c r="E3752" i="27"/>
  <c r="E3764" i="27"/>
  <c r="E3776" i="27"/>
  <c r="E3788" i="27"/>
  <c r="E3848" i="27"/>
  <c r="E3585" i="27"/>
  <c r="E3621" i="27"/>
  <c r="E3741" i="27"/>
  <c r="E3849" i="27"/>
  <c r="E3905" i="27"/>
  <c r="E3658" i="27"/>
  <c r="E3966" i="27"/>
  <c r="E3552" i="27"/>
  <c r="E3588" i="27"/>
  <c r="E3624" i="27"/>
  <c r="E3709" i="27"/>
  <c r="E3745" i="27"/>
  <c r="E3757" i="27"/>
  <c r="E3853" i="27"/>
  <c r="E3865" i="27"/>
  <c r="E3913" i="27"/>
  <c r="E3925" i="27"/>
  <c r="E3973" i="27"/>
  <c r="E3548" i="27"/>
  <c r="E3554" i="27"/>
  <c r="E3590" i="27"/>
  <c r="E3626" i="27"/>
  <c r="E3674" i="27"/>
  <c r="E3710" i="27"/>
  <c r="E3584" i="27"/>
  <c r="E3620" i="27"/>
  <c r="E3824" i="27"/>
  <c r="E3860" i="27"/>
  <c r="E3896" i="27"/>
  <c r="E3908" i="27"/>
  <c r="E3920" i="27"/>
  <c r="E3932" i="27"/>
  <c r="E3956" i="27"/>
  <c r="E3968" i="27"/>
  <c r="E3980" i="27"/>
  <c r="E3992" i="27"/>
  <c r="E4004" i="27"/>
  <c r="E4016" i="27"/>
  <c r="E3697" i="27"/>
  <c r="E3906" i="27"/>
  <c r="E3669" i="27"/>
  <c r="E3681" i="27"/>
  <c r="E3693" i="27"/>
  <c r="E3705" i="27"/>
  <c r="E3717" i="27"/>
  <c r="E3729" i="27"/>
  <c r="E3753" i="27"/>
  <c r="E3765" i="27"/>
  <c r="E3789" i="27"/>
  <c r="E3801" i="27"/>
  <c r="E3825" i="27"/>
  <c r="E3837" i="27"/>
  <c r="E3861" i="27"/>
  <c r="E3873" i="27"/>
  <c r="E3897" i="27"/>
  <c r="E3921" i="27"/>
  <c r="E3957" i="27"/>
  <c r="E3969" i="27"/>
  <c r="E3981" i="27"/>
  <c r="E3993" i="27"/>
  <c r="E4005" i="27"/>
  <c r="E4017" i="27"/>
  <c r="E3661" i="27"/>
  <c r="E3800" i="27"/>
  <c r="E3909" i="27"/>
  <c r="E3550" i="27"/>
  <c r="E3562" i="27"/>
  <c r="E3574" i="27"/>
  <c r="E3586" i="27"/>
  <c r="E3598" i="27"/>
  <c r="E3610" i="27"/>
  <c r="E3622" i="27"/>
  <c r="E3634" i="27"/>
  <c r="E3646" i="27"/>
  <c r="E3682" i="27"/>
  <c r="E3694" i="27"/>
  <c r="E3706" i="27"/>
  <c r="E3718" i="27"/>
  <c r="E3742" i="27"/>
  <c r="E3754" i="27"/>
  <c r="E3778" i="27"/>
  <c r="E3790" i="27"/>
  <c r="E3814" i="27"/>
  <c r="E3826" i="27"/>
  <c r="E3850" i="27"/>
  <c r="E3862" i="27"/>
  <c r="E3886" i="27"/>
  <c r="E3898" i="27"/>
  <c r="E3910" i="27"/>
  <c r="E3934" i="27"/>
  <c r="E3946" i="27"/>
  <c r="E3958" i="27"/>
  <c r="E3970" i="27"/>
  <c r="E3982" i="27"/>
  <c r="E3994" i="27"/>
  <c r="E4006" i="27"/>
  <c r="E3802" i="27"/>
  <c r="E3858" i="27"/>
  <c r="E3551" i="27"/>
  <c r="E3563" i="27"/>
  <c r="E3575" i="27"/>
  <c r="E3587" i="27"/>
  <c r="E3599" i="27"/>
  <c r="E3611" i="27"/>
  <c r="E3623" i="27"/>
  <c r="E3635" i="27"/>
  <c r="E3647" i="27"/>
  <c r="E3659" i="27"/>
  <c r="E3695" i="27"/>
  <c r="E3707" i="27"/>
  <c r="E3719" i="27"/>
  <c r="E3731" i="27"/>
  <c r="E3743" i="27"/>
  <c r="E3755" i="27"/>
  <c r="E3767" i="27"/>
  <c r="E3779" i="27"/>
  <c r="E3791" i="27"/>
  <c r="E3803" i="27"/>
  <c r="E3815" i="27"/>
  <c r="E3827" i="27"/>
  <c r="E3839" i="27"/>
  <c r="E3851" i="27"/>
  <c r="E3863" i="27"/>
  <c r="E3875" i="27"/>
  <c r="E3887" i="27"/>
  <c r="E3899" i="27"/>
  <c r="E3911" i="27"/>
  <c r="E3923" i="27"/>
  <c r="E3935" i="27"/>
  <c r="E3947" i="27"/>
  <c r="E3959" i="27"/>
  <c r="E3971" i="27"/>
  <c r="E3983" i="27"/>
  <c r="E3995" i="27"/>
  <c r="E4007" i="27"/>
  <c r="E3670" i="27"/>
  <c r="E3812" i="27"/>
  <c r="E3922" i="27"/>
  <c r="E3660" i="27"/>
  <c r="E3672" i="27"/>
  <c r="E3708" i="27"/>
  <c r="E3720" i="27"/>
  <c r="E3732" i="27"/>
  <c r="E3744" i="27"/>
  <c r="E3756" i="27"/>
  <c r="E3768" i="27"/>
  <c r="E3780" i="27"/>
  <c r="E3792" i="27"/>
  <c r="E3804" i="27"/>
  <c r="E3816" i="27"/>
  <c r="E3828" i="27"/>
  <c r="E3840" i="27"/>
  <c r="E3852" i="27"/>
  <c r="E3864" i="27"/>
  <c r="E3876" i="27"/>
  <c r="E3888" i="27"/>
  <c r="E3900" i="27"/>
  <c r="E3912" i="27"/>
  <c r="E3924" i="27"/>
  <c r="E3936" i="27"/>
  <c r="E3948" i="27"/>
  <c r="E3960" i="27"/>
  <c r="E3972" i="27"/>
  <c r="E3984" i="27"/>
  <c r="E3996" i="27"/>
  <c r="E4008" i="27"/>
  <c r="E4020" i="27"/>
  <c r="E3561" i="27"/>
  <c r="E3597" i="27"/>
  <c r="E3633" i="27"/>
  <c r="E3671" i="27"/>
  <c r="E3813" i="27"/>
  <c r="E3553" i="27"/>
  <c r="E3565" i="27"/>
  <c r="E3577" i="27"/>
  <c r="E3589" i="27"/>
  <c r="E3601" i="27"/>
  <c r="E3613" i="27"/>
  <c r="E3625" i="27"/>
  <c r="E3637" i="27"/>
  <c r="E3649" i="27"/>
  <c r="E3673" i="27"/>
  <c r="E3685" i="27"/>
  <c r="E3721" i="27"/>
  <c r="E3733" i="27"/>
  <c r="E3769" i="27"/>
  <c r="E3805" i="27"/>
  <c r="E3841" i="27"/>
  <c r="E3877" i="27"/>
  <c r="E3901" i="27"/>
  <c r="E3937" i="27"/>
  <c r="E3949" i="27"/>
  <c r="E3961" i="27"/>
  <c r="E3985" i="27"/>
  <c r="E4009" i="27"/>
  <c r="E3564" i="27"/>
  <c r="E3600" i="27"/>
  <c r="E3636" i="27"/>
  <c r="E3714" i="27"/>
  <c r="E3817" i="27"/>
  <c r="E3872" i="27"/>
  <c r="E3997" i="27"/>
  <c r="E3662" i="27"/>
  <c r="E3686" i="27"/>
  <c r="E3698" i="27"/>
  <c r="E3722" i="27"/>
  <c r="E3734" i="27"/>
  <c r="E3746" i="27"/>
  <c r="E3758" i="27"/>
  <c r="E3770" i="27"/>
  <c r="E3782" i="27"/>
  <c r="E3794" i="27"/>
  <c r="E3806" i="27"/>
  <c r="E3818" i="27"/>
  <c r="E3830" i="27"/>
  <c r="E3842" i="27"/>
  <c r="E3854" i="27"/>
  <c r="E3866" i="27"/>
  <c r="E3878" i="27"/>
  <c r="E3890" i="27"/>
  <c r="E3902" i="27"/>
  <c r="E3914" i="27"/>
  <c r="E3926" i="27"/>
  <c r="E3938" i="27"/>
  <c r="E3950" i="27"/>
  <c r="E3962" i="27"/>
  <c r="E3974" i="27"/>
  <c r="E3986" i="27"/>
  <c r="E3998" i="27"/>
  <c r="E4010" i="27"/>
  <c r="E4022" i="27"/>
  <c r="E3566" i="27"/>
  <c r="E3602" i="27"/>
  <c r="E3638" i="27"/>
  <c r="E3766" i="27"/>
  <c r="E3874" i="27"/>
  <c r="E3933" i="27"/>
  <c r="F3543" i="27"/>
  <c r="E3543" i="27"/>
  <c r="E3555" i="27"/>
  <c r="E3567" i="27"/>
  <c r="E3579" i="27"/>
  <c r="E3591" i="27"/>
  <c r="E3603" i="27"/>
  <c r="E3615" i="27"/>
  <c r="E3627" i="27"/>
  <c r="E3639" i="27"/>
  <c r="E3651" i="27"/>
  <c r="E3663" i="27"/>
  <c r="E3675" i="27"/>
  <c r="E3687" i="27"/>
  <c r="E3699" i="27"/>
  <c r="E3711" i="27"/>
  <c r="E3723" i="27"/>
  <c r="E3735" i="27"/>
  <c r="E3747" i="27"/>
  <c r="E3759" i="27"/>
  <c r="E3771" i="27"/>
  <c r="E3783" i="27"/>
  <c r="E3795" i="27"/>
  <c r="E3807" i="27"/>
  <c r="E3819" i="27"/>
  <c r="E3831" i="27"/>
  <c r="E3843" i="27"/>
  <c r="E3855" i="27"/>
  <c r="E3867" i="27"/>
  <c r="E3879" i="27"/>
  <c r="E3891" i="27"/>
  <c r="E3903" i="27"/>
  <c r="E3915" i="27"/>
  <c r="E3927" i="27"/>
  <c r="E3939" i="27"/>
  <c r="E3951" i="27"/>
  <c r="E3963" i="27"/>
  <c r="E3975" i="27"/>
  <c r="E3987" i="27"/>
  <c r="E3999" i="27"/>
  <c r="E4011" i="27"/>
  <c r="E3683" i="27"/>
  <c r="E3829" i="27"/>
  <c r="E3884" i="27"/>
  <c r="E3944" i="27"/>
  <c r="F3544" i="27"/>
  <c r="E3544" i="27"/>
  <c r="E3556" i="27"/>
  <c r="E3568" i="27"/>
  <c r="E3580" i="27"/>
  <c r="E3592" i="27"/>
  <c r="E3604" i="27"/>
  <c r="E3616" i="27"/>
  <c r="E3628" i="27"/>
  <c r="E3640" i="27"/>
  <c r="E3652" i="27"/>
  <c r="E3676" i="27"/>
  <c r="E3700" i="27"/>
  <c r="E3712" i="27"/>
  <c r="E3736" i="27"/>
  <c r="E3748" i="27"/>
  <c r="E3760" i="27"/>
  <c r="E3772" i="27"/>
  <c r="E3784" i="27"/>
  <c r="E3796" i="27"/>
  <c r="E3808" i="27"/>
  <c r="E3820" i="27"/>
  <c r="E3832" i="27"/>
  <c r="E3844" i="27"/>
  <c r="E3856" i="27"/>
  <c r="E3868" i="27"/>
  <c r="E3880" i="27"/>
  <c r="E3892" i="27"/>
  <c r="E3904" i="27"/>
  <c r="E3916" i="27"/>
  <c r="E3928" i="27"/>
  <c r="E3940" i="27"/>
  <c r="E3952" i="27"/>
  <c r="E3964" i="27"/>
  <c r="E3976" i="27"/>
  <c r="E3988" i="27"/>
  <c r="E4000" i="27"/>
  <c r="E4012" i="27"/>
  <c r="E3573" i="27"/>
  <c r="E3609" i="27"/>
  <c r="E3645" i="27"/>
  <c r="E3684" i="27"/>
  <c r="E3777" i="27"/>
  <c r="E3885" i="27"/>
  <c r="E3945" i="27"/>
  <c r="F3545" i="27"/>
  <c r="E3545" i="27"/>
  <c r="E3557" i="27"/>
  <c r="E3569" i="27"/>
  <c r="E3581" i="27"/>
  <c r="E3593" i="27"/>
  <c r="E3605" i="27"/>
  <c r="E3617" i="27"/>
  <c r="E3629" i="27"/>
  <c r="E3641" i="27"/>
  <c r="E3653" i="27"/>
  <c r="E3665" i="27"/>
  <c r="E3689" i="27"/>
  <c r="E3713" i="27"/>
  <c r="E3737" i="27"/>
  <c r="E3749" i="27"/>
  <c r="E3773" i="27"/>
  <c r="E3785" i="27"/>
  <c r="E3809" i="27"/>
  <c r="E3821" i="27"/>
  <c r="E3845" i="27"/>
  <c r="E3857" i="27"/>
  <c r="E3881" i="27"/>
  <c r="E3893" i="27"/>
  <c r="E3917" i="27"/>
  <c r="E3929" i="27"/>
  <c r="E3941" i="27"/>
  <c r="E3965" i="27"/>
  <c r="E3977" i="27"/>
  <c r="E3989" i="27"/>
  <c r="E4001" i="27"/>
  <c r="E4013" i="27"/>
  <c r="E3576" i="27"/>
  <c r="E3612" i="27"/>
  <c r="E3648" i="27"/>
  <c r="E3688" i="27"/>
  <c r="E3781" i="27"/>
  <c r="E3836" i="27"/>
  <c r="E3889" i="27"/>
  <c r="E4021" i="27"/>
  <c r="E3558" i="27"/>
  <c r="E3570" i="27"/>
  <c r="E3582" i="27"/>
  <c r="E3594" i="27"/>
  <c r="E3606" i="27"/>
  <c r="E3618" i="27"/>
  <c r="E3630" i="27"/>
  <c r="E3642" i="27"/>
  <c r="E3654" i="27"/>
  <c r="E3666" i="27"/>
  <c r="E3678" i="27"/>
  <c r="E3702" i="27"/>
  <c r="E3726" i="27"/>
  <c r="E3738" i="27"/>
  <c r="E3762" i="27"/>
  <c r="E3774" i="27"/>
  <c r="E3798" i="27"/>
  <c r="E3810" i="27"/>
  <c r="E3834" i="27"/>
  <c r="E3846" i="27"/>
  <c r="E3870" i="27"/>
  <c r="E3882" i="27"/>
  <c r="E3918" i="27"/>
  <c r="E3930" i="27"/>
  <c r="E3942" i="27"/>
  <c r="E3954" i="27"/>
  <c r="E3578" i="27"/>
  <c r="E3614" i="27"/>
  <c r="E3650" i="27"/>
  <c r="E3730" i="27"/>
  <c r="E3786" i="27"/>
  <c r="E3838" i="27"/>
  <c r="E3894" i="27"/>
  <c r="F3546" i="27"/>
  <c r="E4019" i="27"/>
  <c r="E4018" i="27"/>
  <c r="E358" i="27"/>
  <c r="H364" i="27"/>
  <c r="H367" i="27"/>
  <c r="H415" i="27"/>
  <c r="E360" i="27"/>
  <c r="E363" i="27"/>
  <c r="N363" i="27" s="1"/>
  <c r="E397" i="27"/>
  <c r="E432" i="27"/>
  <c r="E359" i="27"/>
  <c r="H414" i="27"/>
  <c r="E361" i="27"/>
  <c r="E430" i="27"/>
  <c r="E376" i="27"/>
  <c r="E383" i="27"/>
  <c r="H278" i="27"/>
  <c r="H290" i="27"/>
  <c r="H302" i="27"/>
  <c r="H314" i="27"/>
  <c r="E384" i="27"/>
  <c r="H366" i="27"/>
  <c r="H277" i="27"/>
  <c r="E412" i="27"/>
  <c r="E419" i="27"/>
  <c r="E424" i="27"/>
  <c r="E431" i="27"/>
  <c r="H279" i="27"/>
  <c r="H291" i="27"/>
  <c r="H303" i="27"/>
  <c r="H315" i="27"/>
  <c r="E385" i="27"/>
  <c r="E433" i="27"/>
  <c r="E366" i="27"/>
  <c r="E375" i="27"/>
  <c r="E374" i="27"/>
  <c r="E378" i="27"/>
  <c r="E387" i="27"/>
  <c r="E386" i="27"/>
  <c r="E390" i="27"/>
  <c r="E399" i="27"/>
  <c r="E398" i="27"/>
  <c r="E402" i="27"/>
  <c r="E411" i="27"/>
  <c r="E410" i="27"/>
  <c r="E414" i="27"/>
  <c r="E423" i="27"/>
  <c r="E422" i="27"/>
  <c r="E426" i="27"/>
  <c r="E435" i="27"/>
  <c r="E434" i="27"/>
  <c r="E438" i="27"/>
  <c r="E447" i="27"/>
  <c r="E446" i="27"/>
  <c r="AI41" i="27"/>
  <c r="H418" i="27" s="1"/>
  <c r="H327" i="27"/>
  <c r="H326" i="27"/>
  <c r="H324" i="27"/>
  <c r="H322" i="27"/>
  <c r="H289" i="27"/>
  <c r="H301" i="27"/>
  <c r="H313" i="27"/>
  <c r="E382" i="27"/>
  <c r="E400" i="27"/>
  <c r="E407" i="27"/>
  <c r="E436" i="27"/>
  <c r="E443" i="27"/>
  <c r="H412" i="27"/>
  <c r="H280" i="27"/>
  <c r="H292" i="27"/>
  <c r="H304" i="27"/>
  <c r="H316" i="27"/>
  <c r="E394" i="27"/>
  <c r="E442" i="27"/>
  <c r="E367" i="27"/>
  <c r="E379" i="27"/>
  <c r="E391" i="27"/>
  <c r="E403" i="27"/>
  <c r="E415" i="27"/>
  <c r="E427" i="27"/>
  <c r="E439" i="27"/>
  <c r="H376" i="27"/>
  <c r="H281" i="27"/>
  <c r="H293" i="27"/>
  <c r="H305" i="27"/>
  <c r="H317" i="27"/>
  <c r="E396" i="27"/>
  <c r="E444" i="27"/>
  <c r="H378" i="27"/>
  <c r="E364" i="27"/>
  <c r="E371" i="27"/>
  <c r="H282" i="27"/>
  <c r="H294" i="27"/>
  <c r="H306" i="27"/>
  <c r="H318" i="27"/>
  <c r="E445" i="27"/>
  <c r="H379" i="27"/>
  <c r="E388" i="27"/>
  <c r="E395" i="27"/>
  <c r="H283" i="27"/>
  <c r="H295" i="27"/>
  <c r="H307" i="27"/>
  <c r="H319" i="27"/>
  <c r="E406" i="27"/>
  <c r="H370" i="27"/>
  <c r="H382" i="27"/>
  <c r="H394" i="27"/>
  <c r="H406" i="27"/>
  <c r="H388" i="27"/>
  <c r="E408" i="27"/>
  <c r="H371" i="27"/>
  <c r="H383" i="27"/>
  <c r="H395" i="27"/>
  <c r="H407" i="27"/>
  <c r="H390" i="27"/>
  <c r="H284" i="27"/>
  <c r="H308" i="27"/>
  <c r="H285" i="27"/>
  <c r="H297" i="27"/>
  <c r="H309" i="27"/>
  <c r="H321" i="27"/>
  <c r="E409" i="27"/>
  <c r="H372" i="27"/>
  <c r="H384" i="27"/>
  <c r="H396" i="27"/>
  <c r="H408" i="27"/>
  <c r="H391" i="27"/>
  <c r="H296" i="27"/>
  <c r="H320" i="27"/>
  <c r="H274" i="27"/>
  <c r="H286" i="27"/>
  <c r="H298" i="27"/>
  <c r="H310" i="27"/>
  <c r="H323" i="27"/>
  <c r="E370" i="27"/>
  <c r="E418" i="27"/>
  <c r="E368" i="27"/>
  <c r="E380" i="27"/>
  <c r="E392" i="27"/>
  <c r="E404" i="27"/>
  <c r="E416" i="27"/>
  <c r="E428" i="27"/>
  <c r="E440" i="27"/>
  <c r="H400" i="27"/>
  <c r="H275" i="27"/>
  <c r="H287" i="27"/>
  <c r="H299" i="27"/>
  <c r="H311" i="27"/>
  <c r="H325" i="27"/>
  <c r="E372" i="27"/>
  <c r="E420" i="27"/>
  <c r="H374" i="27"/>
  <c r="H386" i="27"/>
  <c r="H398" i="27"/>
  <c r="H410" i="27"/>
  <c r="H402" i="27"/>
  <c r="H140" i="27"/>
  <c r="H152" i="27"/>
  <c r="H164" i="27"/>
  <c r="H276" i="27"/>
  <c r="H288" i="27"/>
  <c r="H300" i="27"/>
  <c r="H312" i="27"/>
  <c r="E373" i="27"/>
  <c r="E421" i="27"/>
  <c r="H375" i="27"/>
  <c r="H387" i="27"/>
  <c r="H399" i="27"/>
  <c r="H411" i="27"/>
  <c r="H403" i="27"/>
  <c r="H365" i="27"/>
  <c r="H377" i="27"/>
  <c r="H389" i="27"/>
  <c r="H401" i="27"/>
  <c r="H413" i="27"/>
  <c r="E362" i="27"/>
  <c r="H368" i="27"/>
  <c r="H380" i="27"/>
  <c r="H392" i="27"/>
  <c r="H404" i="27"/>
  <c r="H416" i="27"/>
  <c r="H369" i="27"/>
  <c r="H381" i="27"/>
  <c r="H393" i="27"/>
  <c r="H405" i="27"/>
  <c r="H417" i="27"/>
  <c r="E365" i="27"/>
  <c r="E377" i="27"/>
  <c r="E389" i="27"/>
  <c r="E401" i="27"/>
  <c r="E413" i="27"/>
  <c r="E425" i="27"/>
  <c r="E437" i="27"/>
  <c r="H361" i="27"/>
  <c r="H373" i="27"/>
  <c r="H385" i="27"/>
  <c r="H397" i="27"/>
  <c r="H409" i="27"/>
  <c r="E369" i="27"/>
  <c r="E381" i="27"/>
  <c r="E393" i="27"/>
  <c r="E405" i="27"/>
  <c r="E417" i="27"/>
  <c r="E429" i="27"/>
  <c r="E441" i="27"/>
  <c r="H158" i="27"/>
  <c r="H171" i="27"/>
  <c r="H53" i="27"/>
  <c r="H56" i="27"/>
  <c r="H101" i="27"/>
  <c r="H174" i="27"/>
  <c r="H186" i="27"/>
  <c r="E178" i="27"/>
  <c r="E140" i="27"/>
  <c r="E134" i="27"/>
  <c r="E164" i="27"/>
  <c r="E168" i="27"/>
  <c r="L168" i="27" s="1"/>
  <c r="G168" i="27" s="1"/>
  <c r="E181" i="27"/>
  <c r="I181" i="27" s="1"/>
  <c r="E197" i="27"/>
  <c r="E212" i="27"/>
  <c r="E206" i="27"/>
  <c r="E169" i="27"/>
  <c r="I169" i="27" s="1"/>
  <c r="E193" i="27"/>
  <c r="I193" i="27" s="1"/>
  <c r="E205" i="27"/>
  <c r="J205" i="27" s="1"/>
  <c r="E182" i="27"/>
  <c r="E146" i="27"/>
  <c r="E203" i="27"/>
  <c r="E221" i="27"/>
  <c r="E154" i="27"/>
  <c r="E192" i="27"/>
  <c r="N192" i="27" s="1"/>
  <c r="E143" i="27"/>
  <c r="E149" i="27"/>
  <c r="E142" i="27"/>
  <c r="E176" i="27"/>
  <c r="E190" i="27"/>
  <c r="E135" i="27"/>
  <c r="E144" i="27"/>
  <c r="E141" i="27"/>
  <c r="H135" i="27"/>
  <c r="E136" i="27"/>
  <c r="E147" i="27"/>
  <c r="H147" i="27"/>
  <c r="E156" i="27"/>
  <c r="E155" i="27"/>
  <c r="E151" i="27"/>
  <c r="E159" i="27"/>
  <c r="E163" i="27"/>
  <c r="H159" i="27"/>
  <c r="E165" i="27"/>
  <c r="E171" i="27"/>
  <c r="E177" i="27"/>
  <c r="E179" i="27"/>
  <c r="E180" i="27"/>
  <c r="E183" i="27"/>
  <c r="E191" i="27"/>
  <c r="E184" i="27"/>
  <c r="H183" i="27"/>
  <c r="E195" i="27"/>
  <c r="E204" i="27"/>
  <c r="E199" i="27"/>
  <c r="E196" i="27"/>
  <c r="E207" i="27"/>
  <c r="E213" i="27"/>
  <c r="E216" i="27"/>
  <c r="E211" i="27"/>
  <c r="E208" i="27"/>
  <c r="E219" i="27"/>
  <c r="H148" i="27"/>
  <c r="E137" i="27"/>
  <c r="E152" i="27"/>
  <c r="E166" i="27"/>
  <c r="E194" i="27"/>
  <c r="E209" i="27"/>
  <c r="H137" i="27"/>
  <c r="H149" i="27"/>
  <c r="H134" i="27"/>
  <c r="H182" i="27"/>
  <c r="H136" i="27"/>
  <c r="E139" i="27"/>
  <c r="E153" i="27"/>
  <c r="E167" i="27"/>
  <c r="E138" i="27"/>
  <c r="E150" i="27"/>
  <c r="E162" i="27"/>
  <c r="E174" i="27"/>
  <c r="E186" i="27"/>
  <c r="E198" i="27"/>
  <c r="E210" i="27"/>
  <c r="E217" i="27"/>
  <c r="E222" i="27"/>
  <c r="H176" i="27"/>
  <c r="H188" i="27"/>
  <c r="H146" i="27"/>
  <c r="H194" i="27"/>
  <c r="H65" i="27"/>
  <c r="E170" i="27"/>
  <c r="E185" i="27"/>
  <c r="E200" i="27"/>
  <c r="E214" i="27"/>
  <c r="H141" i="27"/>
  <c r="H153" i="27"/>
  <c r="H165" i="27"/>
  <c r="H177" i="27"/>
  <c r="H189" i="27"/>
  <c r="H68" i="27"/>
  <c r="E157" i="27"/>
  <c r="E172" i="27"/>
  <c r="E187" i="27"/>
  <c r="E201" i="27"/>
  <c r="E215" i="27"/>
  <c r="H142" i="27"/>
  <c r="H154" i="27"/>
  <c r="H166" i="27"/>
  <c r="H178" i="27"/>
  <c r="H190" i="27"/>
  <c r="H150" i="27"/>
  <c r="H77" i="27"/>
  <c r="E158" i="27"/>
  <c r="E173" i="27"/>
  <c r="E188" i="27"/>
  <c r="E202" i="27"/>
  <c r="H143" i="27"/>
  <c r="H155" i="27"/>
  <c r="H167" i="27"/>
  <c r="H179" i="27"/>
  <c r="H191" i="27"/>
  <c r="H80" i="27"/>
  <c r="E145" i="27"/>
  <c r="E160" i="27"/>
  <c r="E175" i="27"/>
  <c r="E189" i="27"/>
  <c r="E218" i="27"/>
  <c r="H144" i="27"/>
  <c r="H156" i="27"/>
  <c r="H168" i="27"/>
  <c r="H180" i="27"/>
  <c r="H192" i="27"/>
  <c r="H89" i="27"/>
  <c r="E161" i="27"/>
  <c r="H145" i="27"/>
  <c r="H157" i="27"/>
  <c r="H169" i="27"/>
  <c r="H181" i="27"/>
  <c r="H193" i="27"/>
  <c r="H162" i="27"/>
  <c r="H92" i="27"/>
  <c r="E148" i="27"/>
  <c r="E223" i="27"/>
  <c r="E220" i="27"/>
  <c r="H170" i="27"/>
  <c r="H160" i="27"/>
  <c r="H172" i="27"/>
  <c r="H184" i="27"/>
  <c r="H196" i="27"/>
  <c r="H161" i="27"/>
  <c r="H173" i="27"/>
  <c r="H185" i="27"/>
  <c r="H139" i="27"/>
  <c r="H151" i="27"/>
  <c r="H163" i="27"/>
  <c r="H175" i="27"/>
  <c r="H187" i="27"/>
  <c r="H199" i="27"/>
  <c r="H51" i="27"/>
  <c r="H63" i="27"/>
  <c r="H75" i="27"/>
  <c r="H87" i="27"/>
  <c r="H99" i="27"/>
  <c r="H52" i="27"/>
  <c r="H64" i="27"/>
  <c r="H76" i="27"/>
  <c r="H88" i="27"/>
  <c r="H100" i="27"/>
  <c r="H54" i="27"/>
  <c r="H66" i="27"/>
  <c r="H78" i="27"/>
  <c r="H90" i="27"/>
  <c r="H102" i="27"/>
  <c r="H55" i="27"/>
  <c r="H67" i="27"/>
  <c r="H79" i="27"/>
  <c r="H91" i="27"/>
  <c r="H103" i="27"/>
  <c r="H57" i="27"/>
  <c r="H69" i="27"/>
  <c r="H81" i="27"/>
  <c r="H93" i="27"/>
  <c r="H105" i="27"/>
  <c r="H58" i="27"/>
  <c r="H70" i="27"/>
  <c r="H82" i="27"/>
  <c r="H94" i="27"/>
  <c r="H59" i="27"/>
  <c r="H71" i="27"/>
  <c r="H83" i="27"/>
  <c r="H95" i="27"/>
  <c r="H60" i="27"/>
  <c r="H72" i="27"/>
  <c r="H84" i="27"/>
  <c r="H96" i="27"/>
  <c r="H61" i="27"/>
  <c r="H73" i="27"/>
  <c r="H85" i="27"/>
  <c r="H97" i="27"/>
  <c r="H50" i="27"/>
  <c r="H62" i="27"/>
  <c r="H74" i="27"/>
  <c r="H86" i="27"/>
  <c r="H98" i="27"/>
  <c r="C116" i="1"/>
  <c r="C104" i="1"/>
  <c r="C115" i="1"/>
  <c r="C117" i="1"/>
  <c r="G111" i="1"/>
  <c r="C44" i="19" a="1"/>
  <c r="C44" i="19" s="1"/>
  <c r="C45" i="19" a="1"/>
  <c r="C45" i="19" s="1"/>
  <c r="E131" i="1"/>
  <c r="U131" i="1" s="1"/>
  <c r="E143" i="1"/>
  <c r="U143" i="1" s="1"/>
  <c r="E144" i="1"/>
  <c r="AF144" i="1" s="1"/>
  <c r="U128" i="1"/>
  <c r="E126" i="1"/>
  <c r="AF126" i="1" s="1"/>
  <c r="E132" i="1"/>
  <c r="AF132" i="1" s="1"/>
  <c r="E138" i="1"/>
  <c r="AF138" i="1" s="1"/>
  <c r="D105" i="20"/>
  <c r="D106" i="20"/>
  <c r="D118" i="20"/>
  <c r="D130" i="20"/>
  <c r="D142" i="20"/>
  <c r="D33" i="20"/>
  <c r="C110" i="20"/>
  <c r="D110" i="20" s="1"/>
  <c r="D107" i="20"/>
  <c r="D119" i="20"/>
  <c r="D143" i="20"/>
  <c r="D120" i="20"/>
  <c r="D144" i="20"/>
  <c r="D121" i="20"/>
  <c r="D145" i="20"/>
  <c r="D76" i="20"/>
  <c r="D87" i="20"/>
  <c r="D111" i="20"/>
  <c r="D123" i="20"/>
  <c r="D147" i="20"/>
  <c r="D20" i="20"/>
  <c r="D88" i="20"/>
  <c r="D124" i="20"/>
  <c r="D149" i="20"/>
  <c r="D22" i="20"/>
  <c r="D90" i="20"/>
  <c r="D102" i="20"/>
  <c r="D114" i="20"/>
  <c r="D150" i="20"/>
  <c r="D25" i="20"/>
  <c r="D21" i="20"/>
  <c r="D101" i="20"/>
  <c r="D23" i="20"/>
  <c r="D91" i="20"/>
  <c r="D103" i="20"/>
  <c r="D115" i="20"/>
  <c r="D127" i="20"/>
  <c r="D139" i="20"/>
  <c r="D151" i="20"/>
  <c r="D24" i="20"/>
  <c r="D92" i="20"/>
  <c r="D104" i="20"/>
  <c r="D116" i="20"/>
  <c r="C62" i="20"/>
  <c r="D61" i="20"/>
  <c r="C14" i="20"/>
  <c r="D13" i="20"/>
  <c r="C32" i="20"/>
  <c r="D32" i="20" s="1"/>
  <c r="D10" i="20"/>
  <c r="D34" i="20"/>
  <c r="D70" i="20"/>
  <c r="D35" i="20"/>
  <c r="D71" i="20"/>
  <c r="C68" i="20"/>
  <c r="D36" i="20"/>
  <c r="D60" i="20"/>
  <c r="D49" i="20"/>
  <c r="D73" i="20"/>
  <c r="C44" i="20"/>
  <c r="D26" i="20"/>
  <c r="D38" i="20"/>
  <c r="D50" i="20"/>
  <c r="D74" i="20"/>
  <c r="D27" i="20"/>
  <c r="D39" i="20"/>
  <c r="D51" i="20"/>
  <c r="D5" i="20"/>
  <c r="D29" i="20"/>
  <c r="D41" i="20"/>
  <c r="D53" i="20"/>
  <c r="D65" i="20"/>
  <c r="D77" i="20"/>
  <c r="D52" i="20"/>
  <c r="C56" i="20"/>
  <c r="D6" i="20"/>
  <c r="D78" i="20"/>
  <c r="D4" i="20"/>
  <c r="D40" i="20"/>
  <c r="D7" i="20"/>
  <c r="C110" i="1"/>
  <c r="E136" i="1"/>
  <c r="AF136" i="1" s="1"/>
  <c r="U140" i="1"/>
  <c r="E137" i="1"/>
  <c r="AF137" i="1" s="1"/>
  <c r="U152" i="1"/>
  <c r="Y128" i="1"/>
  <c r="Y134" i="1"/>
  <c r="Y140" i="1"/>
  <c r="W126" i="1"/>
  <c r="Y146" i="1"/>
  <c r="E148" i="1"/>
  <c r="AF148" i="1" s="1"/>
  <c r="W132" i="1"/>
  <c r="Y152" i="1"/>
  <c r="E149" i="1"/>
  <c r="AF149" i="1" s="1"/>
  <c r="W138" i="1"/>
  <c r="E150" i="1"/>
  <c r="AF150" i="1" s="1"/>
  <c r="W144" i="1"/>
  <c r="E125" i="1"/>
  <c r="AF125" i="1" s="1"/>
  <c r="W150" i="1"/>
  <c r="AF134" i="1"/>
  <c r="U134" i="1"/>
  <c r="AD134" i="1"/>
  <c r="G109" i="1"/>
  <c r="W130" i="1"/>
  <c r="W142" i="1"/>
  <c r="W154" i="1"/>
  <c r="AD130" i="1"/>
  <c r="AD142" i="1"/>
  <c r="AD154" i="1"/>
  <c r="AF127" i="1"/>
  <c r="AF139" i="1"/>
  <c r="AF151" i="1"/>
  <c r="AF147" i="1"/>
  <c r="G110" i="1"/>
  <c r="U133" i="1"/>
  <c r="U145" i="1"/>
  <c r="W131" i="1"/>
  <c r="W143" i="1"/>
  <c r="Y127" i="1"/>
  <c r="Y139" i="1"/>
  <c r="Y151" i="1"/>
  <c r="AF128" i="1"/>
  <c r="AF140" i="1"/>
  <c r="AF152" i="1"/>
  <c r="AF141" i="1"/>
  <c r="I106" i="1"/>
  <c r="U135" i="1"/>
  <c r="U147" i="1"/>
  <c r="W133" i="1"/>
  <c r="W145" i="1"/>
  <c r="Y129" i="1"/>
  <c r="Y141" i="1"/>
  <c r="Y153" i="1"/>
  <c r="AD133" i="1"/>
  <c r="AD145" i="1"/>
  <c r="AF130" i="1"/>
  <c r="AF142" i="1"/>
  <c r="AF154" i="1"/>
  <c r="C109" i="1"/>
  <c r="I107" i="1"/>
  <c r="E146" i="1"/>
  <c r="W134" i="1"/>
  <c r="Y130" i="1"/>
  <c r="Y142" i="1"/>
  <c r="Y154" i="1"/>
  <c r="AF153" i="1"/>
  <c r="I108" i="1"/>
  <c r="W135" i="1"/>
  <c r="W147" i="1"/>
  <c r="AD135" i="1"/>
  <c r="AD147" i="1"/>
  <c r="AF129" i="1"/>
  <c r="W136" i="1"/>
  <c r="W148" i="1"/>
  <c r="U127" i="1"/>
  <c r="U139" i="1"/>
  <c r="U151" i="1"/>
  <c r="W125" i="1"/>
  <c r="W137" i="1"/>
  <c r="W149" i="1"/>
  <c r="Y133" i="1"/>
  <c r="Y145" i="1"/>
  <c r="U129" i="1"/>
  <c r="U141" i="1"/>
  <c r="U153" i="1"/>
  <c r="W127" i="1"/>
  <c r="W139" i="1"/>
  <c r="W151" i="1"/>
  <c r="Y135" i="1"/>
  <c r="Y147" i="1"/>
  <c r="AD127" i="1"/>
  <c r="AD139" i="1"/>
  <c r="AD151" i="1"/>
  <c r="W128" i="1"/>
  <c r="W140" i="1"/>
  <c r="W152" i="1"/>
  <c r="W129" i="1"/>
  <c r="W141" i="1"/>
  <c r="W153" i="1"/>
  <c r="G112" i="1"/>
  <c r="G113" i="1"/>
  <c r="G114" i="1"/>
  <c r="I111" i="1"/>
  <c r="C105" i="1"/>
  <c r="G103" i="1"/>
  <c r="G115" i="1"/>
  <c r="I112" i="1"/>
  <c r="G104" i="1"/>
  <c r="G116" i="1"/>
  <c r="I113" i="1"/>
  <c r="G105" i="1"/>
  <c r="G117" i="1"/>
  <c r="I114" i="1"/>
  <c r="G106" i="1"/>
  <c r="I103" i="1"/>
  <c r="G107" i="1"/>
  <c r="G108" i="1"/>
  <c r="AP124" i="1"/>
  <c r="K124" i="1"/>
  <c r="C1423" i="32"/>
  <c r="G8" i="38"/>
  <c r="F8" i="38"/>
  <c r="G6" i="38"/>
  <c r="F6" i="38"/>
  <c r="F3549" i="27" l="1"/>
  <c r="F3550" i="27" s="1"/>
  <c r="F3551" i="27" s="1"/>
  <c r="F3552" i="27" s="1"/>
  <c r="H107" i="27"/>
  <c r="H109" i="27"/>
  <c r="H106" i="27"/>
  <c r="I363" i="27"/>
  <c r="K363" i="27"/>
  <c r="M363" i="27"/>
  <c r="L363" i="27"/>
  <c r="G363" i="27" s="1"/>
  <c r="J363" i="27"/>
  <c r="M368" i="27"/>
  <c r="K368" i="27"/>
  <c r="I368" i="27"/>
  <c r="N368" i="27"/>
  <c r="L368" i="27"/>
  <c r="G368" i="27" s="1"/>
  <c r="J368" i="27"/>
  <c r="AI42" i="27"/>
  <c r="H329" i="27"/>
  <c r="H328" i="27"/>
  <c r="H333" i="27"/>
  <c r="H330" i="27"/>
  <c r="H332" i="27"/>
  <c r="H331" i="27"/>
  <c r="H197" i="27"/>
  <c r="M428" i="27"/>
  <c r="K428" i="27"/>
  <c r="I428" i="27"/>
  <c r="N428" i="27"/>
  <c r="L428" i="27"/>
  <c r="G428" i="27" s="1"/>
  <c r="J428" i="27"/>
  <c r="N446" i="27"/>
  <c r="L446" i="27"/>
  <c r="G446" i="27" s="1"/>
  <c r="J446" i="27"/>
  <c r="M446" i="27"/>
  <c r="K446" i="27"/>
  <c r="I446" i="27"/>
  <c r="N410" i="27"/>
  <c r="L410" i="27"/>
  <c r="G410" i="27" s="1"/>
  <c r="J410" i="27"/>
  <c r="M410" i="27"/>
  <c r="K410" i="27"/>
  <c r="I410" i="27"/>
  <c r="N374" i="27"/>
  <c r="L374" i="27"/>
  <c r="G374" i="27" s="1"/>
  <c r="J374" i="27"/>
  <c r="M374" i="27"/>
  <c r="K374" i="27"/>
  <c r="I374" i="27"/>
  <c r="M405" i="27"/>
  <c r="K405" i="27"/>
  <c r="I405" i="27"/>
  <c r="N405" i="27"/>
  <c r="L405" i="27"/>
  <c r="G405" i="27" s="1"/>
  <c r="J405" i="27"/>
  <c r="H423" i="27"/>
  <c r="M416" i="27"/>
  <c r="K416" i="27"/>
  <c r="I416" i="27"/>
  <c r="N416" i="27"/>
  <c r="L416" i="27"/>
  <c r="G416" i="27" s="1"/>
  <c r="J416" i="27"/>
  <c r="H419" i="27"/>
  <c r="N447" i="27"/>
  <c r="L447" i="27"/>
  <c r="G447" i="27" s="1"/>
  <c r="J447" i="27"/>
  <c r="M447" i="27"/>
  <c r="K447" i="27"/>
  <c r="I447" i="27"/>
  <c r="N411" i="27"/>
  <c r="L411" i="27"/>
  <c r="G411" i="27" s="1"/>
  <c r="J411" i="27"/>
  <c r="M411" i="27"/>
  <c r="K411" i="27"/>
  <c r="I411" i="27"/>
  <c r="N375" i="27"/>
  <c r="L375" i="27"/>
  <c r="G375" i="27" s="1"/>
  <c r="J375" i="27"/>
  <c r="M375" i="27"/>
  <c r="K375" i="27"/>
  <c r="I375" i="27"/>
  <c r="M393" i="27"/>
  <c r="K393" i="27"/>
  <c r="I393" i="27"/>
  <c r="N393" i="27"/>
  <c r="L393" i="27"/>
  <c r="G393" i="27" s="1"/>
  <c r="J393" i="27"/>
  <c r="M440" i="27"/>
  <c r="K440" i="27"/>
  <c r="I440" i="27"/>
  <c r="N440" i="27"/>
  <c r="L440" i="27"/>
  <c r="G440" i="27" s="1"/>
  <c r="J440" i="27"/>
  <c r="H195" i="27"/>
  <c r="H104" i="27"/>
  <c r="M441" i="27"/>
  <c r="K441" i="27"/>
  <c r="I441" i="27"/>
  <c r="N441" i="27"/>
  <c r="L441" i="27"/>
  <c r="G441" i="27" s="1"/>
  <c r="J441" i="27"/>
  <c r="N362" i="27"/>
  <c r="L362" i="27"/>
  <c r="G362" i="27" s="1"/>
  <c r="J362" i="27"/>
  <c r="M362" i="27"/>
  <c r="K362" i="27"/>
  <c r="I362" i="27"/>
  <c r="M404" i="27"/>
  <c r="K404" i="27"/>
  <c r="I404" i="27"/>
  <c r="N404" i="27"/>
  <c r="L404" i="27"/>
  <c r="G404" i="27" s="1"/>
  <c r="J404" i="27"/>
  <c r="M429" i="27"/>
  <c r="K429" i="27"/>
  <c r="I429" i="27"/>
  <c r="N429" i="27"/>
  <c r="L429" i="27"/>
  <c r="G429" i="27" s="1"/>
  <c r="J429" i="27"/>
  <c r="M392" i="27"/>
  <c r="K392" i="27"/>
  <c r="I392" i="27"/>
  <c r="N392" i="27"/>
  <c r="L392" i="27"/>
  <c r="G392" i="27" s="1"/>
  <c r="J392" i="27"/>
  <c r="H198" i="27"/>
  <c r="M417" i="27"/>
  <c r="K417" i="27"/>
  <c r="I417" i="27"/>
  <c r="N417" i="27"/>
  <c r="L417" i="27"/>
  <c r="G417" i="27" s="1"/>
  <c r="J417" i="27"/>
  <c r="M380" i="27"/>
  <c r="K380" i="27"/>
  <c r="I380" i="27"/>
  <c r="N380" i="27"/>
  <c r="L380" i="27"/>
  <c r="G380" i="27" s="1"/>
  <c r="J380" i="27"/>
  <c r="N434" i="27"/>
  <c r="L434" i="27"/>
  <c r="G434" i="27" s="1"/>
  <c r="J434" i="27"/>
  <c r="M434" i="27"/>
  <c r="K434" i="27"/>
  <c r="I434" i="27"/>
  <c r="N398" i="27"/>
  <c r="L398" i="27"/>
  <c r="G398" i="27" s="1"/>
  <c r="J398" i="27"/>
  <c r="M398" i="27"/>
  <c r="K398" i="27"/>
  <c r="I398" i="27"/>
  <c r="N435" i="27"/>
  <c r="L435" i="27"/>
  <c r="G435" i="27" s="1"/>
  <c r="J435" i="27"/>
  <c r="M435" i="27"/>
  <c r="K435" i="27"/>
  <c r="I435" i="27"/>
  <c r="N399" i="27"/>
  <c r="L399" i="27"/>
  <c r="G399" i="27" s="1"/>
  <c r="J399" i="27"/>
  <c r="M399" i="27"/>
  <c r="K399" i="27"/>
  <c r="I399" i="27"/>
  <c r="M381" i="27"/>
  <c r="K381" i="27"/>
  <c r="I381" i="27"/>
  <c r="N381" i="27"/>
  <c r="L381" i="27"/>
  <c r="G381" i="27" s="1"/>
  <c r="J381" i="27"/>
  <c r="H422" i="27"/>
  <c r="H108" i="27"/>
  <c r="M369" i="27"/>
  <c r="K369" i="27"/>
  <c r="I369" i="27"/>
  <c r="N369" i="27"/>
  <c r="L369" i="27"/>
  <c r="G369" i="27" s="1"/>
  <c r="J369" i="27"/>
  <c r="H420" i="27"/>
  <c r="N422" i="27"/>
  <c r="L422" i="27"/>
  <c r="G422" i="27" s="1"/>
  <c r="J422" i="27"/>
  <c r="M422" i="27"/>
  <c r="K422" i="27"/>
  <c r="I422" i="27"/>
  <c r="N386" i="27"/>
  <c r="L386" i="27"/>
  <c r="G386" i="27" s="1"/>
  <c r="J386" i="27"/>
  <c r="M386" i="27"/>
  <c r="K386" i="27"/>
  <c r="I386" i="27"/>
  <c r="N423" i="27"/>
  <c r="L423" i="27"/>
  <c r="G423" i="27" s="1"/>
  <c r="J423" i="27"/>
  <c r="M423" i="27"/>
  <c r="K423" i="27"/>
  <c r="I423" i="27"/>
  <c r="N387" i="27"/>
  <c r="L387" i="27"/>
  <c r="G387" i="27" s="1"/>
  <c r="J387" i="27"/>
  <c r="M387" i="27"/>
  <c r="K387" i="27"/>
  <c r="I387" i="27"/>
  <c r="H421" i="27"/>
  <c r="K181" i="27"/>
  <c r="N168" i="27"/>
  <c r="K169" i="27"/>
  <c r="M169" i="27"/>
  <c r="J169" i="27"/>
  <c r="K193" i="27"/>
  <c r="L169" i="27"/>
  <c r="G169" i="27" s="1"/>
  <c r="M193" i="27"/>
  <c r="N169" i="27"/>
  <c r="J193" i="27"/>
  <c r="M168" i="27"/>
  <c r="I205" i="27"/>
  <c r="K168" i="27"/>
  <c r="I168" i="27"/>
  <c r="K205" i="27"/>
  <c r="M205" i="27"/>
  <c r="L205" i="27"/>
  <c r="G205" i="27" s="1"/>
  <c r="N205" i="27"/>
  <c r="L193" i="27"/>
  <c r="G193" i="27" s="1"/>
  <c r="N193" i="27"/>
  <c r="J168" i="27"/>
  <c r="M181" i="27"/>
  <c r="J181" i="27"/>
  <c r="K192" i="27"/>
  <c r="L181" i="27"/>
  <c r="G181" i="27" s="1"/>
  <c r="I192" i="27"/>
  <c r="N181" i="27"/>
  <c r="M192" i="27"/>
  <c r="J192" i="27"/>
  <c r="L192" i="27"/>
  <c r="G192" i="27" s="1"/>
  <c r="M138" i="27"/>
  <c r="K138" i="27"/>
  <c r="I138" i="27"/>
  <c r="L138" i="27"/>
  <c r="G138" i="27" s="1"/>
  <c r="N138" i="27"/>
  <c r="J138" i="27"/>
  <c r="M198" i="27"/>
  <c r="K198" i="27"/>
  <c r="I198" i="27"/>
  <c r="N198" i="27"/>
  <c r="J198" i="27"/>
  <c r="L198" i="27"/>
  <c r="G198" i="27" s="1"/>
  <c r="M211" i="27"/>
  <c r="K211" i="27"/>
  <c r="I211" i="27"/>
  <c r="N211" i="27"/>
  <c r="L211" i="27"/>
  <c r="G211" i="27" s="1"/>
  <c r="J211" i="27"/>
  <c r="M163" i="27"/>
  <c r="K163" i="27"/>
  <c r="I163" i="27"/>
  <c r="N163" i="27"/>
  <c r="L163" i="27"/>
  <c r="G163" i="27" s="1"/>
  <c r="J163" i="27"/>
  <c r="N144" i="27"/>
  <c r="L144" i="27"/>
  <c r="G144" i="27" s="1"/>
  <c r="J144" i="27"/>
  <c r="M144" i="27"/>
  <c r="I144" i="27"/>
  <c r="K144" i="27"/>
  <c r="M210" i="27"/>
  <c r="K210" i="27"/>
  <c r="I210" i="27"/>
  <c r="J210" i="27"/>
  <c r="L210" i="27"/>
  <c r="G210" i="27" s="1"/>
  <c r="N210" i="27"/>
  <c r="M187" i="27"/>
  <c r="K187" i="27"/>
  <c r="I187" i="27"/>
  <c r="N187" i="27"/>
  <c r="L187" i="27"/>
  <c r="G187" i="27" s="1"/>
  <c r="J187" i="27"/>
  <c r="N216" i="27"/>
  <c r="L216" i="27"/>
  <c r="G216" i="27" s="1"/>
  <c r="J216" i="27"/>
  <c r="I216" i="27"/>
  <c r="K216" i="27"/>
  <c r="M216" i="27"/>
  <c r="M186" i="27"/>
  <c r="K186" i="27"/>
  <c r="I186" i="27"/>
  <c r="L186" i="27"/>
  <c r="G186" i="27" s="1"/>
  <c r="N186" i="27"/>
  <c r="J186" i="27"/>
  <c r="M151" i="27"/>
  <c r="K151" i="27"/>
  <c r="I151" i="27"/>
  <c r="N151" i="27"/>
  <c r="L151" i="27"/>
  <c r="G151" i="27" s="1"/>
  <c r="J151" i="27"/>
  <c r="M223" i="27"/>
  <c r="K223" i="27"/>
  <c r="I223" i="27"/>
  <c r="N223" i="27"/>
  <c r="L223" i="27"/>
  <c r="G223" i="27" s="1"/>
  <c r="J223" i="27"/>
  <c r="M175" i="27"/>
  <c r="K175" i="27"/>
  <c r="I175" i="27"/>
  <c r="N175" i="27"/>
  <c r="L175" i="27"/>
  <c r="G175" i="27" s="1"/>
  <c r="J175" i="27"/>
  <c r="M174" i="27"/>
  <c r="K174" i="27"/>
  <c r="I174" i="27"/>
  <c r="J174" i="27"/>
  <c r="L174" i="27"/>
  <c r="G174" i="27" s="1"/>
  <c r="N174" i="27"/>
  <c r="N180" i="27"/>
  <c r="L180" i="27"/>
  <c r="G180" i="27" s="1"/>
  <c r="J180" i="27"/>
  <c r="K180" i="27"/>
  <c r="M180" i="27"/>
  <c r="I180" i="27"/>
  <c r="N156" i="27"/>
  <c r="L156" i="27"/>
  <c r="G156" i="27" s="1"/>
  <c r="J156" i="27"/>
  <c r="I156" i="27"/>
  <c r="K156" i="27"/>
  <c r="M156" i="27"/>
  <c r="N157" i="27"/>
  <c r="L157" i="27"/>
  <c r="G157" i="27" s="1"/>
  <c r="J157" i="27"/>
  <c r="M157" i="27"/>
  <c r="K157" i="27"/>
  <c r="I157" i="27"/>
  <c r="N145" i="27"/>
  <c r="L145" i="27"/>
  <c r="G145" i="27" s="1"/>
  <c r="J145" i="27"/>
  <c r="M145" i="27"/>
  <c r="K145" i="27"/>
  <c r="I145" i="27"/>
  <c r="M162" i="27"/>
  <c r="K162" i="27"/>
  <c r="I162" i="27"/>
  <c r="J162" i="27"/>
  <c r="L162" i="27"/>
  <c r="G162" i="27" s="1"/>
  <c r="N162" i="27"/>
  <c r="M222" i="27"/>
  <c r="K222" i="27"/>
  <c r="I222" i="27"/>
  <c r="J222" i="27"/>
  <c r="L222" i="27"/>
  <c r="G222" i="27" s="1"/>
  <c r="N222" i="27"/>
  <c r="M199" i="27"/>
  <c r="K199" i="27"/>
  <c r="I199" i="27"/>
  <c r="N199" i="27"/>
  <c r="L199" i="27"/>
  <c r="G199" i="27" s="1"/>
  <c r="J199" i="27"/>
  <c r="M150" i="27"/>
  <c r="K150" i="27"/>
  <c r="I150" i="27"/>
  <c r="N150" i="27"/>
  <c r="J150" i="27"/>
  <c r="L150" i="27"/>
  <c r="G150" i="27" s="1"/>
  <c r="M139" i="27"/>
  <c r="K139" i="27"/>
  <c r="I139" i="27"/>
  <c r="N139" i="27"/>
  <c r="L139" i="27"/>
  <c r="G139" i="27" s="1"/>
  <c r="J139" i="27"/>
  <c r="N217" i="27"/>
  <c r="L217" i="27"/>
  <c r="G217" i="27" s="1"/>
  <c r="J217" i="27"/>
  <c r="M217" i="27"/>
  <c r="K217" i="27"/>
  <c r="I217" i="27"/>
  <c r="N204" i="27"/>
  <c r="L204" i="27"/>
  <c r="G204" i="27" s="1"/>
  <c r="J204" i="27"/>
  <c r="I204" i="27"/>
  <c r="K204" i="27"/>
  <c r="M204" i="27"/>
  <c r="AD149" i="1"/>
  <c r="AF143" i="1"/>
  <c r="AF131" i="1"/>
  <c r="AD136" i="1"/>
  <c r="AD131" i="1"/>
  <c r="C46" i="19" a="1"/>
  <c r="C46" i="19" s="1"/>
  <c r="C47" i="19" a="1"/>
  <c r="C47" i="19" s="1"/>
  <c r="U149" i="1"/>
  <c r="AD143" i="1"/>
  <c r="AD137" i="1"/>
  <c r="U137" i="1"/>
  <c r="U132" i="1"/>
  <c r="AD126" i="1"/>
  <c r="U126" i="1"/>
  <c r="U148" i="1"/>
  <c r="AD144" i="1"/>
  <c r="U144" i="1"/>
  <c r="U138" i="1"/>
  <c r="AD150" i="1"/>
  <c r="AD132" i="1"/>
  <c r="U136" i="1"/>
  <c r="AD148" i="1"/>
  <c r="U150" i="1"/>
  <c r="AD138" i="1"/>
  <c r="C69" i="20"/>
  <c r="D69" i="20" s="1"/>
  <c r="D68" i="20"/>
  <c r="C57" i="20"/>
  <c r="D57" i="20" s="1"/>
  <c r="D56" i="20"/>
  <c r="C15" i="20"/>
  <c r="D14" i="20"/>
  <c r="C45" i="20"/>
  <c r="D44" i="20"/>
  <c r="C63" i="20"/>
  <c r="D62" i="20"/>
  <c r="U125" i="1"/>
  <c r="AD125" i="1"/>
  <c r="AF146" i="1"/>
  <c r="AD146" i="1"/>
  <c r="U146" i="1"/>
  <c r="B7" i="40"/>
  <c r="B8" i="40"/>
  <c r="B9" i="40"/>
  <c r="B10" i="40"/>
  <c r="B11" i="40"/>
  <c r="B12" i="40"/>
  <c r="B13" i="40"/>
  <c r="B14" i="40"/>
  <c r="B15" i="40"/>
  <c r="B16" i="40"/>
  <c r="B17" i="40"/>
  <c r="B6" i="40"/>
  <c r="B7" i="39"/>
  <c r="B8" i="39"/>
  <c r="B9" i="39"/>
  <c r="B10" i="39"/>
  <c r="B11" i="39"/>
  <c r="B12" i="39"/>
  <c r="B13" i="39"/>
  <c r="B14" i="39"/>
  <c r="B15" i="39"/>
  <c r="B16" i="39"/>
  <c r="B17" i="39"/>
  <c r="B6" i="39"/>
  <c r="F267" i="27"/>
  <c r="F43" i="27"/>
  <c r="G888" i="27"/>
  <c r="G954" i="27"/>
  <c r="G972" i="27"/>
  <c r="G900" i="27"/>
  <c r="G942" i="27"/>
  <c r="G906" i="27"/>
  <c r="G911" i="27"/>
  <c r="G912" i="27"/>
  <c r="G941" i="27"/>
  <c r="G887" i="27"/>
  <c r="G918" i="27"/>
  <c r="G959" i="27"/>
  <c r="G960" i="27"/>
  <c r="G894" i="27"/>
  <c r="G971" i="27"/>
  <c r="G899" i="27"/>
  <c r="G923" i="27"/>
  <c r="G935" i="27"/>
  <c r="G893" i="27"/>
  <c r="G966" i="27"/>
  <c r="G929" i="27"/>
  <c r="G917" i="27"/>
  <c r="G924" i="27"/>
  <c r="G936" i="27"/>
  <c r="G905" i="27"/>
  <c r="G947" i="27"/>
  <c r="G948" i="27"/>
  <c r="G953" i="27"/>
  <c r="G930" i="27"/>
  <c r="G965" i="27"/>
  <c r="F3553" i="27" l="1"/>
  <c r="A363" i="27"/>
  <c r="A375" i="27"/>
  <c r="A447" i="27"/>
  <c r="A422" i="27"/>
  <c r="A435" i="27"/>
  <c r="A416" i="27"/>
  <c r="A423" i="27"/>
  <c r="A369" i="27"/>
  <c r="A417" i="27"/>
  <c r="A428" i="27"/>
  <c r="A429" i="27"/>
  <c r="A404" i="27"/>
  <c r="A441" i="27"/>
  <c r="A398" i="27"/>
  <c r="A410" i="27"/>
  <c r="A440" i="27"/>
  <c r="AI43" i="27"/>
  <c r="H339" i="27"/>
  <c r="H338" i="27"/>
  <c r="H336" i="27"/>
  <c r="H334" i="27"/>
  <c r="H337" i="27"/>
  <c r="H426" i="27"/>
  <c r="H335" i="27"/>
  <c r="H200" i="27"/>
  <c r="H111" i="27"/>
  <c r="H112" i="27"/>
  <c r="H424" i="27"/>
  <c r="H110" i="27"/>
  <c r="H429" i="27"/>
  <c r="H203" i="27"/>
  <c r="H201" i="27"/>
  <c r="H114" i="27"/>
  <c r="H205" i="27"/>
  <c r="H427" i="27"/>
  <c r="H425" i="27"/>
  <c r="H202" i="27"/>
  <c r="H204" i="27"/>
  <c r="H113" i="27"/>
  <c r="H115" i="27"/>
  <c r="H428" i="27"/>
  <c r="A362" i="27"/>
  <c r="A387" i="27"/>
  <c r="A380" i="27"/>
  <c r="A405" i="27"/>
  <c r="A411" i="27"/>
  <c r="A386" i="27"/>
  <c r="A399" i="27"/>
  <c r="A392" i="27"/>
  <c r="A368" i="27"/>
  <c r="A381" i="27"/>
  <c r="A434" i="27"/>
  <c r="A374" i="27"/>
  <c r="A446" i="27"/>
  <c r="A393" i="27"/>
  <c r="H267" i="27"/>
  <c r="E273" i="27"/>
  <c r="E272" i="27"/>
  <c r="E271" i="27"/>
  <c r="E270" i="27"/>
  <c r="E269" i="27"/>
  <c r="E268" i="27"/>
  <c r="E276" i="27"/>
  <c r="E275" i="27"/>
  <c r="E274" i="27"/>
  <c r="A193" i="27"/>
  <c r="T193" i="27" s="1"/>
  <c r="A169" i="27"/>
  <c r="T169" i="27" s="1"/>
  <c r="A168" i="27"/>
  <c r="T168" i="27" s="1"/>
  <c r="A205" i="27"/>
  <c r="T205" i="27" s="1"/>
  <c r="A181" i="27"/>
  <c r="T181" i="27" s="1"/>
  <c r="A192" i="27"/>
  <c r="T192" i="27" s="1"/>
  <c r="A150" i="27"/>
  <c r="T150" i="27" s="1"/>
  <c r="A186" i="27"/>
  <c r="T186" i="27" s="1"/>
  <c r="A180" i="27"/>
  <c r="T180" i="27" s="1"/>
  <c r="A199" i="27"/>
  <c r="T199" i="27" s="1"/>
  <c r="A162" i="27"/>
  <c r="T162" i="27" s="1"/>
  <c r="A174" i="27"/>
  <c r="T174" i="27" s="1"/>
  <c r="A223" i="27"/>
  <c r="T223" i="27" s="1"/>
  <c r="A151" i="27"/>
  <c r="T151" i="27" s="1"/>
  <c r="A211" i="27"/>
  <c r="T211" i="27" s="1"/>
  <c r="A187" i="27"/>
  <c r="T187" i="27" s="1"/>
  <c r="A222" i="27"/>
  <c r="T222" i="27" s="1"/>
  <c r="A175" i="27"/>
  <c r="T175" i="27" s="1"/>
  <c r="A216" i="27"/>
  <c r="T216" i="27" s="1"/>
  <c r="A163" i="27"/>
  <c r="T163" i="27" s="1"/>
  <c r="A210" i="27"/>
  <c r="T210" i="27" s="1"/>
  <c r="A139" i="27"/>
  <c r="T139" i="27" s="1"/>
  <c r="A198" i="27"/>
  <c r="T198" i="27" s="1"/>
  <c r="A138" i="27"/>
  <c r="T138" i="27" s="1"/>
  <c r="A204" i="27"/>
  <c r="T204" i="27" s="1"/>
  <c r="A217" i="27"/>
  <c r="T217" i="27" s="1"/>
  <c r="A144" i="27"/>
  <c r="T144" i="27" s="1"/>
  <c r="A145" i="27"/>
  <c r="T145" i="27" s="1"/>
  <c r="A157" i="27"/>
  <c r="T157" i="27" s="1"/>
  <c r="A156" i="27"/>
  <c r="T156" i="27" s="1"/>
  <c r="H43" i="27"/>
  <c r="E49" i="27"/>
  <c r="E48" i="27"/>
  <c r="E47" i="27"/>
  <c r="E46" i="27"/>
  <c r="E45" i="27"/>
  <c r="E44" i="27"/>
  <c r="E50" i="27"/>
  <c r="E52" i="27"/>
  <c r="E51" i="27"/>
  <c r="C48" i="19" a="1"/>
  <c r="C48" i="19" s="1"/>
  <c r="C49" i="19" a="1"/>
  <c r="C49" i="19" s="1"/>
  <c r="C64" i="20"/>
  <c r="D64" i="20" s="1"/>
  <c r="D63" i="20"/>
  <c r="C46" i="20"/>
  <c r="D45" i="20"/>
  <c r="C16" i="20"/>
  <c r="D15" i="20"/>
  <c r="K47" i="1"/>
  <c r="F3555" i="27" l="1"/>
  <c r="F3554" i="27"/>
  <c r="AI224" i="27"/>
  <c r="H344" i="27"/>
  <c r="H341" i="27"/>
  <c r="H345" i="27"/>
  <c r="H343" i="27"/>
  <c r="H342" i="27"/>
  <c r="H340" i="27"/>
  <c r="H206" i="27"/>
  <c r="H207" i="27"/>
  <c r="H208" i="27"/>
  <c r="H433" i="27"/>
  <c r="H120" i="27"/>
  <c r="H434" i="27"/>
  <c r="H211" i="27"/>
  <c r="H432" i="27"/>
  <c r="H210" i="27"/>
  <c r="H117" i="27"/>
  <c r="H430" i="27"/>
  <c r="H119" i="27"/>
  <c r="H118" i="27"/>
  <c r="H209" i="27"/>
  <c r="H431" i="27"/>
  <c r="H435" i="27"/>
  <c r="H121" i="27"/>
  <c r="H116" i="27"/>
  <c r="C50" i="19" a="1"/>
  <c r="C50" i="19" s="1"/>
  <c r="C17" i="20"/>
  <c r="D16" i="20"/>
  <c r="C47" i="20"/>
  <c r="D47" i="20" s="1"/>
  <c r="D46" i="20"/>
  <c r="C1307" i="27"/>
  <c r="C1003" i="27"/>
  <c r="C1611" i="27"/>
  <c r="AB2" i="27"/>
  <c r="E22" i="29" s="1"/>
  <c r="AA2" i="27"/>
  <c r="E21" i="29" s="1"/>
  <c r="Z2" i="27"/>
  <c r="F3556" i="27" l="1"/>
  <c r="AI225" i="27"/>
  <c r="H351" i="27"/>
  <c r="H350" i="27"/>
  <c r="H348" i="27"/>
  <c r="H346" i="27"/>
  <c r="H349" i="27"/>
  <c r="H347" i="27"/>
  <c r="H438" i="27"/>
  <c r="H212" i="27"/>
  <c r="H123" i="27"/>
  <c r="H213" i="27"/>
  <c r="H437" i="27"/>
  <c r="H217" i="27"/>
  <c r="H122" i="27"/>
  <c r="H126" i="27"/>
  <c r="H439" i="27"/>
  <c r="H441" i="27"/>
  <c r="H215" i="27"/>
  <c r="H124" i="27"/>
  <c r="H440" i="27"/>
  <c r="H125" i="27"/>
  <c r="H127" i="27"/>
  <c r="H436" i="27"/>
  <c r="H214" i="27"/>
  <c r="H216" i="27"/>
  <c r="C51" i="19" a="1"/>
  <c r="C51" i="19" s="1"/>
  <c r="C52" i="19" a="1"/>
  <c r="C52" i="19" s="1"/>
  <c r="C18" i="20"/>
  <c r="D17" i="20"/>
  <c r="P43" i="27"/>
  <c r="B21" i="29"/>
  <c r="O528" i="27"/>
  <c r="E528" i="27"/>
  <c r="AU9" i="33"/>
  <c r="F3557" i="27" l="1"/>
  <c r="O529" i="27"/>
  <c r="O530" i="27" s="1"/>
  <c r="O531" i="27" s="1"/>
  <c r="O532" i="27" s="1"/>
  <c r="O533" i="27" s="1"/>
  <c r="O534" i="27" s="1"/>
  <c r="O535" i="27" s="1"/>
  <c r="O536" i="27" s="1"/>
  <c r="O537" i="27" s="1"/>
  <c r="O538" i="27" s="1"/>
  <c r="O539" i="27" s="1"/>
  <c r="O540" i="27" s="1"/>
  <c r="O541" i="27" s="1"/>
  <c r="O542" i="27" s="1"/>
  <c r="O543" i="27" s="1"/>
  <c r="O544" i="27" s="1"/>
  <c r="O545" i="27" s="1"/>
  <c r="O546" i="27" s="1"/>
  <c r="O547" i="27" s="1"/>
  <c r="O548" i="27" s="1"/>
  <c r="O549" i="27" s="1"/>
  <c r="O550" i="27" s="1"/>
  <c r="O551" i="27" s="1"/>
  <c r="O552" i="27" s="1"/>
  <c r="O553" i="27" s="1"/>
  <c r="O554" i="27" s="1"/>
  <c r="O555" i="27" s="1"/>
  <c r="O556" i="27" s="1"/>
  <c r="O557" i="27" s="1"/>
  <c r="O558" i="27" s="1"/>
  <c r="O559" i="27" s="1"/>
  <c r="O560" i="27" s="1"/>
  <c r="O561" i="27" s="1"/>
  <c r="O562" i="27" s="1"/>
  <c r="O563" i="27" s="1"/>
  <c r="O564" i="27" s="1"/>
  <c r="O565" i="27" s="1"/>
  <c r="O566" i="27" s="1"/>
  <c r="O567" i="27" s="1"/>
  <c r="O568" i="27" s="1"/>
  <c r="O569" i="27" s="1"/>
  <c r="O570" i="27" s="1"/>
  <c r="O571" i="27" s="1"/>
  <c r="O572" i="27" s="1"/>
  <c r="O573" i="27" s="1"/>
  <c r="O574" i="27" s="1"/>
  <c r="O575" i="27" s="1"/>
  <c r="O576" i="27" s="1"/>
  <c r="O577" i="27" s="1"/>
  <c r="O578" i="27" s="1"/>
  <c r="O579" i="27" s="1"/>
  <c r="O580" i="27" s="1"/>
  <c r="O581" i="27" s="1"/>
  <c r="O582" i="27" s="1"/>
  <c r="O583" i="27" s="1"/>
  <c r="O584" i="27" s="1"/>
  <c r="O585" i="27" s="1"/>
  <c r="O586" i="27" s="1"/>
  <c r="O587" i="27" s="1"/>
  <c r="O588" i="27" s="1"/>
  <c r="O589" i="27" s="1"/>
  <c r="O590" i="27" s="1"/>
  <c r="O591" i="27" s="1"/>
  <c r="O592" i="27" s="1"/>
  <c r="O593" i="27" s="1"/>
  <c r="O594" i="27" s="1"/>
  <c r="O595" i="27" s="1"/>
  <c r="O596" i="27" s="1"/>
  <c r="O597" i="27" s="1"/>
  <c r="O598" i="27" s="1"/>
  <c r="O599" i="27" s="1"/>
  <c r="O600" i="27" s="1"/>
  <c r="O601" i="27" s="1"/>
  <c r="O602" i="27" s="1"/>
  <c r="O603" i="27" s="1"/>
  <c r="O604" i="27" s="1"/>
  <c r="O605" i="27" s="1"/>
  <c r="O606" i="27" s="1"/>
  <c r="O607" i="27" s="1"/>
  <c r="O608" i="27" s="1"/>
  <c r="O609" i="27" s="1"/>
  <c r="O610" i="27" s="1"/>
  <c r="O611" i="27" s="1"/>
  <c r="O612" i="27" s="1"/>
  <c r="O613" i="27" s="1"/>
  <c r="O614" i="27" s="1"/>
  <c r="O615" i="27" s="1"/>
  <c r="O616" i="27" s="1"/>
  <c r="O617" i="27" s="1"/>
  <c r="O618" i="27" s="1"/>
  <c r="O619" i="27" s="1"/>
  <c r="O620" i="27" s="1"/>
  <c r="O621" i="27" s="1"/>
  <c r="O622" i="27" s="1"/>
  <c r="O623" i="27" s="1"/>
  <c r="O624" i="27" s="1"/>
  <c r="O625" i="27" s="1"/>
  <c r="O626" i="27" s="1"/>
  <c r="O627" i="27" s="1"/>
  <c r="O628" i="27" s="1"/>
  <c r="O629" i="27" s="1"/>
  <c r="O630" i="27" s="1"/>
  <c r="O631" i="27" s="1"/>
  <c r="O632" i="27" s="1"/>
  <c r="O633" i="27" s="1"/>
  <c r="O634" i="27" s="1"/>
  <c r="O635" i="27" s="1"/>
  <c r="O636" i="27" s="1"/>
  <c r="O637" i="27" s="1"/>
  <c r="O638" i="27" s="1"/>
  <c r="O639" i="27" s="1"/>
  <c r="O640" i="27" s="1"/>
  <c r="O641" i="27" s="1"/>
  <c r="O642" i="27" s="1"/>
  <c r="O643" i="27" s="1"/>
  <c r="O644" i="27" s="1"/>
  <c r="O645" i="27" s="1"/>
  <c r="O646" i="27" s="1"/>
  <c r="O647" i="27" s="1"/>
  <c r="O648" i="27" s="1"/>
  <c r="O649" i="27" s="1"/>
  <c r="O650" i="27" s="1"/>
  <c r="O651" i="27" s="1"/>
  <c r="O652" i="27" s="1"/>
  <c r="O653" i="27" s="1"/>
  <c r="O654" i="27" s="1"/>
  <c r="O655" i="27" s="1"/>
  <c r="O656" i="27" s="1"/>
  <c r="O657" i="27" s="1"/>
  <c r="O658" i="27" s="1"/>
  <c r="O659" i="27" s="1"/>
  <c r="O660" i="27" s="1"/>
  <c r="O661" i="27" s="1"/>
  <c r="O662" i="27" s="1"/>
  <c r="O663" i="27" s="1"/>
  <c r="O664" i="27" s="1"/>
  <c r="O665" i="27" s="1"/>
  <c r="O666" i="27" s="1"/>
  <c r="O667" i="27" s="1"/>
  <c r="O668" i="27" s="1"/>
  <c r="O669" i="27" s="1"/>
  <c r="O670" i="27" s="1"/>
  <c r="O671" i="27" s="1"/>
  <c r="O672" i="27" s="1"/>
  <c r="O673" i="27" s="1"/>
  <c r="O674" i="27" s="1"/>
  <c r="O675" i="27" s="1"/>
  <c r="O676" i="27" s="1"/>
  <c r="O677" i="27" s="1"/>
  <c r="O678" i="27" s="1"/>
  <c r="O679" i="27" s="1"/>
  <c r="O680" i="27" s="1"/>
  <c r="O681" i="27" s="1"/>
  <c r="O682" i="27" s="1"/>
  <c r="O683" i="27" s="1"/>
  <c r="O684" i="27" s="1"/>
  <c r="O685" i="27" s="1"/>
  <c r="O686" i="27" s="1"/>
  <c r="O687" i="27" s="1"/>
  <c r="O688" i="27" s="1"/>
  <c r="O689" i="27" s="1"/>
  <c r="O690" i="27" s="1"/>
  <c r="O691" i="27" s="1"/>
  <c r="O692" i="27" s="1"/>
  <c r="O693" i="27" s="1"/>
  <c r="O694" i="27" s="1"/>
  <c r="O695" i="27" s="1"/>
  <c r="O696" i="27" s="1"/>
  <c r="O697" i="27" s="1"/>
  <c r="O698" i="27" s="1"/>
  <c r="O699" i="27" s="1"/>
  <c r="O700" i="27" s="1"/>
  <c r="O701" i="27" s="1"/>
  <c r="O702" i="27" s="1"/>
  <c r="O703" i="27" s="1"/>
  <c r="O704" i="27" s="1"/>
  <c r="O705" i="27" s="1"/>
  <c r="O706" i="27" s="1"/>
  <c r="O707" i="27" s="1"/>
  <c r="O708" i="27" s="1"/>
  <c r="O709" i="27" s="1"/>
  <c r="O710" i="27" s="1"/>
  <c r="O711" i="27" s="1"/>
  <c r="O712" i="27" s="1"/>
  <c r="O713" i="27" s="1"/>
  <c r="O714" i="27" s="1"/>
  <c r="O715" i="27" s="1"/>
  <c r="O716" i="27" s="1"/>
  <c r="O717" i="27" s="1"/>
  <c r="O718" i="27" s="1"/>
  <c r="O719" i="27" s="1"/>
  <c r="O720" i="27" s="1"/>
  <c r="O721" i="27" s="1"/>
  <c r="O722" i="27" s="1"/>
  <c r="O723" i="27" s="1"/>
  <c r="O724" i="27" s="1"/>
  <c r="O725" i="27" s="1"/>
  <c r="O726" i="27" s="1"/>
  <c r="O727" i="27" s="1"/>
  <c r="O728" i="27" s="1"/>
  <c r="O729" i="27" s="1"/>
  <c r="O730" i="27" s="1"/>
  <c r="O731" i="27" s="1"/>
  <c r="O732" i="27" s="1"/>
  <c r="O733" i="27" s="1"/>
  <c r="O734" i="27" s="1"/>
  <c r="O735" i="27" s="1"/>
  <c r="O736" i="27" s="1"/>
  <c r="O737" i="27" s="1"/>
  <c r="O738" i="27" s="1"/>
  <c r="O739" i="27" s="1"/>
  <c r="O740" i="27" s="1"/>
  <c r="O741" i="27" s="1"/>
  <c r="O742" i="27" s="1"/>
  <c r="O743" i="27" s="1"/>
  <c r="O744" i="27" s="1"/>
  <c r="O745" i="27" s="1"/>
  <c r="O746" i="27" s="1"/>
  <c r="O747" i="27" s="1"/>
  <c r="O748" i="27" s="1"/>
  <c r="O749" i="27" s="1"/>
  <c r="O750" i="27" s="1"/>
  <c r="O751" i="27" s="1"/>
  <c r="O752" i="27" s="1"/>
  <c r="O753" i="27" s="1"/>
  <c r="O754" i="27" s="1"/>
  <c r="O755" i="27" s="1"/>
  <c r="O756" i="27" s="1"/>
  <c r="O757" i="27" s="1"/>
  <c r="O758" i="27" s="1"/>
  <c r="O759" i="27" s="1"/>
  <c r="O760" i="27" s="1"/>
  <c r="O761" i="27" s="1"/>
  <c r="O762" i="27" s="1"/>
  <c r="H133" i="27"/>
  <c r="H356" i="27"/>
  <c r="H353" i="27"/>
  <c r="H357" i="27"/>
  <c r="H355" i="27"/>
  <c r="H352" i="27"/>
  <c r="H354" i="27"/>
  <c r="H445" i="27"/>
  <c r="H218" i="27"/>
  <c r="H128" i="27"/>
  <c r="H130" i="27"/>
  <c r="H446" i="27"/>
  <c r="H444" i="27"/>
  <c r="H221" i="27"/>
  <c r="H129" i="27"/>
  <c r="H219" i="27"/>
  <c r="H220" i="27"/>
  <c r="H223" i="27"/>
  <c r="H222" i="27"/>
  <c r="H132" i="27"/>
  <c r="H442" i="27"/>
  <c r="H131" i="27"/>
  <c r="H443" i="27"/>
  <c r="H447" i="27"/>
  <c r="P44" i="27"/>
  <c r="P45" i="27" s="1"/>
  <c r="P46" i="27" s="1"/>
  <c r="P47" i="27" s="1"/>
  <c r="P48" i="27" s="1"/>
  <c r="P49" i="27" s="1"/>
  <c r="P50" i="27" s="1"/>
  <c r="P51" i="27" s="1"/>
  <c r="P52" i="27" s="1"/>
  <c r="P53" i="27" s="1"/>
  <c r="P54" i="27" s="1"/>
  <c r="P55" i="27" s="1"/>
  <c r="P56" i="27" s="1"/>
  <c r="P57" i="27" s="1"/>
  <c r="P58" i="27" s="1"/>
  <c r="P59" i="27" s="1"/>
  <c r="P60" i="27" s="1"/>
  <c r="P61" i="27" s="1"/>
  <c r="P62" i="27" s="1"/>
  <c r="P63" i="27" s="1"/>
  <c r="P64" i="27" s="1"/>
  <c r="P65" i="27" s="1"/>
  <c r="P66" i="27" s="1"/>
  <c r="P67" i="27" s="1"/>
  <c r="P68" i="27" s="1"/>
  <c r="P69" i="27" s="1"/>
  <c r="P70" i="27" s="1"/>
  <c r="P71" i="27" s="1"/>
  <c r="P72" i="27" s="1"/>
  <c r="P73" i="27" s="1"/>
  <c r="P74" i="27" s="1"/>
  <c r="P75" i="27" s="1"/>
  <c r="P76" i="27" s="1"/>
  <c r="P77" i="27" s="1"/>
  <c r="P78" i="27" s="1"/>
  <c r="P79" i="27" s="1"/>
  <c r="P80" i="27" s="1"/>
  <c r="P81" i="27" s="1"/>
  <c r="P82" i="27" s="1"/>
  <c r="P83" i="27" s="1"/>
  <c r="P84" i="27" s="1"/>
  <c r="P85" i="27" s="1"/>
  <c r="P86" i="27" s="1"/>
  <c r="P87" i="27" s="1"/>
  <c r="P88" i="27" s="1"/>
  <c r="P89" i="27" s="1"/>
  <c r="P90" i="27" s="1"/>
  <c r="P91" i="27" s="1"/>
  <c r="P92" i="27" s="1"/>
  <c r="P93" i="27" s="1"/>
  <c r="P94" i="27" s="1"/>
  <c r="P95" i="27" s="1"/>
  <c r="P96" i="27" s="1"/>
  <c r="P97" i="27" s="1"/>
  <c r="P98" i="27" s="1"/>
  <c r="P99" i="27" s="1"/>
  <c r="P100" i="27" s="1"/>
  <c r="P101" i="27" s="1"/>
  <c r="P102" i="27" s="1"/>
  <c r="P103" i="27" s="1"/>
  <c r="P104" i="27" s="1"/>
  <c r="P105" i="27" s="1"/>
  <c r="P106" i="27" s="1"/>
  <c r="P107" i="27" s="1"/>
  <c r="P108" i="27" s="1"/>
  <c r="P109" i="27" s="1"/>
  <c r="P110" i="27" s="1"/>
  <c r="P111" i="27" s="1"/>
  <c r="P112" i="27" s="1"/>
  <c r="P113" i="27" s="1"/>
  <c r="P114" i="27" s="1"/>
  <c r="P115" i="27" s="1"/>
  <c r="P116" i="27" s="1"/>
  <c r="P117" i="27" s="1"/>
  <c r="P118" i="27" s="1"/>
  <c r="P119" i="27" s="1"/>
  <c r="P120" i="27" s="1"/>
  <c r="P121" i="27" s="1"/>
  <c r="P122" i="27" s="1"/>
  <c r="P123" i="27" s="1"/>
  <c r="P124" i="27" s="1"/>
  <c r="P125" i="27" s="1"/>
  <c r="P126" i="27" s="1"/>
  <c r="P127" i="27" s="1"/>
  <c r="P128" i="27" s="1"/>
  <c r="P129" i="27" s="1"/>
  <c r="P130" i="27" s="1"/>
  <c r="P131" i="27" s="1"/>
  <c r="P132" i="27" s="1"/>
  <c r="P133" i="27" s="1"/>
  <c r="K17" i="41"/>
  <c r="C53" i="19" a="1"/>
  <c r="C53" i="19" s="1"/>
  <c r="C56" i="19" a="1"/>
  <c r="C56" i="19" s="1"/>
  <c r="C54" i="19" a="1"/>
  <c r="C54" i="19" s="1"/>
  <c r="C55" i="19" s="1" a="1"/>
  <c r="C55" i="19" s="1"/>
  <c r="C19" i="20"/>
  <c r="D19" i="20" s="1"/>
  <c r="D18" i="20"/>
  <c r="L528" i="27"/>
  <c r="J528" i="27"/>
  <c r="K528" i="27"/>
  <c r="I528" i="27"/>
  <c r="K18" i="41"/>
  <c r="J18" i="41"/>
  <c r="J17" i="41"/>
  <c r="I18" i="41"/>
  <c r="I17" i="41"/>
  <c r="H18" i="41"/>
  <c r="H17" i="41"/>
  <c r="N528" i="27"/>
  <c r="F3558" i="27" l="1"/>
  <c r="X2" i="27"/>
  <c r="B22" i="29"/>
  <c r="C57" i="19" a="1"/>
  <c r="C57" i="19" s="1"/>
  <c r="C58" i="19" s="1" a="1"/>
  <c r="C58" i="19" s="1"/>
  <c r="C59" i="19" a="1"/>
  <c r="C59" i="19" s="1"/>
  <c r="C60" i="19" s="1" a="1"/>
  <c r="C60" i="19" s="1"/>
  <c r="C61" i="19" s="1" a="1"/>
  <c r="C61" i="19" s="1"/>
  <c r="C62" i="19" s="1" a="1"/>
  <c r="C62" i="19" s="1"/>
  <c r="C63" i="19" s="1" a="1"/>
  <c r="C63" i="19" s="1"/>
  <c r="C64" i="19" s="1" a="1"/>
  <c r="C64" i="19" s="1"/>
  <c r="C65" i="19" s="1" a="1"/>
  <c r="C65" i="19" s="1"/>
  <c r="C66" i="19" s="1" a="1"/>
  <c r="C66" i="19" s="1"/>
  <c r="C67" i="19" s="1" a="1"/>
  <c r="C67" i="19" s="1"/>
  <c r="C68" i="19" s="1" a="1"/>
  <c r="C68" i="19" s="1"/>
  <c r="C69" i="19" s="1" a="1"/>
  <c r="C69" i="19" s="1"/>
  <c r="C70" i="19" s="1" a="1"/>
  <c r="C70" i="19" s="1"/>
  <c r="C71" i="19" s="1" a="1"/>
  <c r="C71" i="19" s="1"/>
  <c r="C72" i="19" s="1" a="1"/>
  <c r="C72" i="19" s="1"/>
  <c r="C73" i="19" s="1" a="1"/>
  <c r="C73" i="19" s="1"/>
  <c r="C74" i="19" s="1" a="1"/>
  <c r="C74" i="19" s="1"/>
  <c r="C75" i="19" s="1" a="1"/>
  <c r="C75" i="19" s="1"/>
  <c r="C76" i="19" s="1" a="1"/>
  <c r="C76" i="19" s="1"/>
  <c r="C77" i="19" s="1" a="1"/>
  <c r="C77" i="19" s="1"/>
  <c r="C78" i="19" s="1" a="1"/>
  <c r="C78" i="19" s="1"/>
  <c r="C79" i="19" s="1" a="1"/>
  <c r="C79" i="19" s="1"/>
  <c r="C80" i="19" s="1" a="1"/>
  <c r="C80" i="19" s="1"/>
  <c r="C81" i="19" s="1" a="1"/>
  <c r="C81" i="19" s="1"/>
  <c r="C82" i="19" s="1" a="1"/>
  <c r="C82" i="19" s="1"/>
  <c r="C83" i="19" s="1" a="1"/>
  <c r="C83" i="19" s="1"/>
  <c r="C84" i="19" s="1" a="1"/>
  <c r="C84" i="19" s="1"/>
  <c r="C85" i="19" s="1" a="1"/>
  <c r="C85" i="19" s="1"/>
  <c r="C86" i="19" s="1" a="1"/>
  <c r="C86" i="19" s="1"/>
  <c r="C87" i="19" s="1" a="1"/>
  <c r="C87" i="19" s="1"/>
  <c r="C88" i="19" s="1" a="1"/>
  <c r="C88" i="19" s="1"/>
  <c r="C89" i="19" s="1" a="1"/>
  <c r="C89" i="19" s="1"/>
  <c r="C90" i="19" s="1" a="1"/>
  <c r="C90" i="19" s="1"/>
  <c r="C91" i="19" s="1" a="1"/>
  <c r="C91" i="19" s="1"/>
  <c r="C92" i="19" s="1" a="1"/>
  <c r="C92" i="19" s="1"/>
  <c r="C93" i="19" s="1" a="1"/>
  <c r="C93" i="19" s="1"/>
  <c r="C94" i="19" s="1" a="1"/>
  <c r="C94" i="19" s="1"/>
  <c r="C95" i="19" s="1" a="1"/>
  <c r="C95" i="19" s="1"/>
  <c r="C96" i="19" s="1" a="1"/>
  <c r="C96" i="19" s="1"/>
  <c r="C97" i="19" s="1" a="1"/>
  <c r="C97" i="19" s="1"/>
  <c r="C98" i="19" s="1" a="1"/>
  <c r="C98" i="19" s="1"/>
  <c r="C99" i="19" s="1" a="1"/>
  <c r="C99" i="19" s="1"/>
  <c r="C100" i="19" s="1" a="1"/>
  <c r="C100" i="19" s="1"/>
  <c r="C101" i="19" s="1" a="1"/>
  <c r="C101" i="19" s="1"/>
  <c r="C102" i="19" s="1" a="1"/>
  <c r="C102" i="19" s="1"/>
  <c r="C103" i="19" s="1" a="1"/>
  <c r="C103" i="19" s="1"/>
  <c r="C104" i="19" s="1" a="1"/>
  <c r="C104" i="19" s="1"/>
  <c r="C105" i="19" s="1" a="1"/>
  <c r="C105" i="19" s="1"/>
  <c r="C106" i="19" s="1" a="1"/>
  <c r="C106" i="19" s="1"/>
  <c r="C107" i="19" s="1" a="1"/>
  <c r="C107" i="19" s="1"/>
  <c r="C108" i="19" s="1" a="1"/>
  <c r="C108" i="19" s="1"/>
  <c r="C109" i="19" s="1" a="1"/>
  <c r="C109" i="19" s="1"/>
  <c r="C110" i="19" s="1" a="1"/>
  <c r="C110" i="19" s="1"/>
  <c r="C111" i="19" s="1" a="1"/>
  <c r="C111" i="19" s="1"/>
  <c r="C112" i="19" s="1" a="1"/>
  <c r="C112" i="19" s="1"/>
  <c r="C113" i="19" s="1" a="1"/>
  <c r="C113" i="19" s="1"/>
  <c r="C114" i="19" s="1" a="1"/>
  <c r="C114" i="19" s="1"/>
  <c r="C115" i="19" s="1" a="1"/>
  <c r="C115" i="19" s="1"/>
  <c r="C116" i="19" s="1" a="1"/>
  <c r="C116" i="19" s="1"/>
  <c r="C117" i="19" s="1" a="1"/>
  <c r="C117" i="19" s="1"/>
  <c r="C118" i="19" s="1" a="1"/>
  <c r="C118" i="19" s="1"/>
  <c r="C119" i="19" s="1" a="1"/>
  <c r="C119" i="19" s="1"/>
  <c r="C120" i="19" s="1" a="1"/>
  <c r="C120" i="19" s="1"/>
  <c r="C121" i="19" s="1" a="1"/>
  <c r="C121" i="19" s="1"/>
  <c r="C122" i="19" s="1" a="1"/>
  <c r="C122" i="19" s="1"/>
  <c r="C123" i="19" s="1" a="1"/>
  <c r="C123" i="19" s="1"/>
  <c r="C124" i="19" s="1" a="1"/>
  <c r="C124" i="19" s="1"/>
  <c r="C125" i="19" s="1" a="1"/>
  <c r="C125" i="19" s="1"/>
  <c r="C126" i="19" s="1" a="1"/>
  <c r="C126" i="19" s="1"/>
  <c r="C127" i="19" s="1" a="1"/>
  <c r="C127" i="19" s="1"/>
  <c r="C128" i="19" s="1" a="1"/>
  <c r="C128" i="19" s="1"/>
  <c r="C129" i="19" s="1" a="1"/>
  <c r="C129" i="19" s="1"/>
  <c r="C130" i="19" s="1" a="1"/>
  <c r="C130" i="19" s="1"/>
  <c r="C131" i="19" s="1" a="1"/>
  <c r="C131" i="19" s="1"/>
  <c r="C132" i="19" s="1" a="1"/>
  <c r="C132" i="19" s="1"/>
  <c r="C133" i="19" s="1" a="1"/>
  <c r="C133" i="19" s="1"/>
  <c r="C134" i="19" s="1" a="1"/>
  <c r="C134" i="19" s="1"/>
  <c r="C135" i="19" s="1" a="1"/>
  <c r="C135" i="19" s="1"/>
  <c r="C136" i="19" s="1" a="1"/>
  <c r="C136" i="19" s="1"/>
  <c r="C137" i="19" s="1" a="1"/>
  <c r="C137" i="19" s="1"/>
  <c r="C138" i="19" s="1" a="1"/>
  <c r="C138" i="19" s="1"/>
  <c r="C139" i="19" s="1" a="1"/>
  <c r="C139" i="19" s="1"/>
  <c r="C140" i="19" s="1" a="1"/>
  <c r="C140" i="19" s="1"/>
  <c r="C141" i="19" s="1" a="1"/>
  <c r="C141" i="19" s="1"/>
  <c r="C142" i="19" s="1" a="1"/>
  <c r="C142" i="19" s="1"/>
  <c r="C143" i="19" s="1" a="1"/>
  <c r="C143" i="19" s="1"/>
  <c r="C144" i="19" s="1" a="1"/>
  <c r="C144" i="19" s="1"/>
  <c r="C145" i="19" s="1" a="1"/>
  <c r="C145" i="19" s="1"/>
  <c r="C146" i="19" s="1" a="1"/>
  <c r="C146" i="19" s="1"/>
  <c r="C147" i="19" s="1" a="1"/>
  <c r="C147" i="19" s="1"/>
  <c r="C148" i="19" s="1" a="1"/>
  <c r="C148" i="19" s="1"/>
  <c r="C149" i="19" s="1" a="1"/>
  <c r="C149" i="19" s="1"/>
  <c r="C150" i="19" s="1" a="1"/>
  <c r="C150" i="19" s="1"/>
  <c r="C151" i="19" s="1" a="1"/>
  <c r="C151" i="19" s="1"/>
  <c r="C152" i="19" s="1" a="1"/>
  <c r="C152" i="19" s="1"/>
  <c r="C153" i="19" s="1" a="1"/>
  <c r="C153" i="19" s="1"/>
  <c r="C154" i="19" s="1" a="1"/>
  <c r="C154" i="19" s="1"/>
  <c r="C155" i="19" s="1" a="1"/>
  <c r="C155" i="19" s="1"/>
  <c r="C156" i="19" s="1" a="1"/>
  <c r="C156" i="19" s="1"/>
  <c r="C157" i="19" s="1" a="1"/>
  <c r="C157" i="19" s="1"/>
  <c r="C158" i="19" s="1" a="1"/>
  <c r="C158" i="19" s="1"/>
  <c r="C159" i="19" s="1" a="1"/>
  <c r="C159" i="19" s="1"/>
  <c r="C160" i="19" s="1" a="1"/>
  <c r="C160" i="19" s="1"/>
  <c r="C161" i="19" s="1" a="1"/>
  <c r="C161" i="19" s="1"/>
  <c r="C162" i="19" s="1" a="1"/>
  <c r="C162" i="19" s="1"/>
  <c r="C163" i="19" s="1" a="1"/>
  <c r="C163" i="19" s="1"/>
  <c r="C164" i="19" s="1" a="1"/>
  <c r="C164" i="19" s="1"/>
  <c r="C165" i="19" s="1" a="1"/>
  <c r="C165" i="19" s="1"/>
  <c r="C166" i="19" s="1" a="1"/>
  <c r="C166" i="19" s="1"/>
  <c r="C167" i="19" s="1" a="1"/>
  <c r="C167" i="19" s="1"/>
  <c r="C168" i="19" s="1" a="1"/>
  <c r="C168" i="19" s="1"/>
  <c r="C169" i="19" s="1" a="1"/>
  <c r="C169" i="19" s="1"/>
  <c r="C170" i="19" s="1" a="1"/>
  <c r="C170" i="19" s="1"/>
  <c r="C171" i="19" s="1" a="1"/>
  <c r="C171" i="19" s="1"/>
  <c r="C172" i="19" s="1" a="1"/>
  <c r="C172" i="19" s="1"/>
  <c r="C173" i="19" s="1" a="1"/>
  <c r="C173" i="19" s="1"/>
  <c r="C174" i="19" s="1" a="1"/>
  <c r="C174" i="19" s="1"/>
  <c r="C175" i="19" s="1" a="1"/>
  <c r="C175" i="19" s="1"/>
  <c r="C176" i="19" s="1" a="1"/>
  <c r="C176" i="19" s="1"/>
  <c r="C177" i="19" s="1" a="1"/>
  <c r="C177" i="19" s="1"/>
  <c r="C178" i="19" s="1" a="1"/>
  <c r="C178" i="19" s="1"/>
  <c r="C179" i="19" s="1" a="1"/>
  <c r="C179" i="19" s="1"/>
  <c r="C180" i="19" s="1" a="1"/>
  <c r="C180" i="19" s="1"/>
  <c r="C181" i="19" s="1" a="1"/>
  <c r="C181" i="19" s="1"/>
  <c r="C182" i="19" s="1" a="1"/>
  <c r="C182" i="19" s="1"/>
  <c r="C183" i="19" s="1" a="1"/>
  <c r="C183" i="19" s="1"/>
  <c r="C184" i="19" s="1" a="1"/>
  <c r="C184" i="19" s="1"/>
  <c r="C185" i="19" s="1" a="1"/>
  <c r="C185" i="19" s="1"/>
  <c r="C186" i="19" s="1" a="1"/>
  <c r="C186" i="19" s="1"/>
  <c r="C187" i="19" s="1" a="1"/>
  <c r="C187" i="19" s="1"/>
  <c r="C188" i="19" s="1" a="1"/>
  <c r="C188" i="19" s="1"/>
  <c r="C189" i="19" s="1" a="1"/>
  <c r="C189" i="19" s="1"/>
  <c r="C190" i="19" s="1" a="1"/>
  <c r="C190" i="19" s="1"/>
  <c r="C191" i="19" s="1" a="1"/>
  <c r="C191" i="19" s="1"/>
  <c r="C192" i="19" s="1" a="1"/>
  <c r="C192" i="19" s="1"/>
  <c r="C193" i="19" s="1" a="1"/>
  <c r="C193" i="19" s="1"/>
  <c r="C194" i="19" s="1" a="1"/>
  <c r="C194" i="19" s="1"/>
  <c r="C195" i="19" s="1" a="1"/>
  <c r="C195" i="19" s="1"/>
  <c r="C196" i="19" s="1" a="1"/>
  <c r="C196" i="19" s="1"/>
  <c r="C197" i="19" s="1" a="1"/>
  <c r="C197" i="19" s="1"/>
  <c r="C198" i="19" s="1" a="1"/>
  <c r="C198" i="19" s="1"/>
  <c r="C199" i="19" s="1" a="1"/>
  <c r="C199" i="19" s="1"/>
  <c r="C200" i="19" s="1" a="1"/>
  <c r="C200" i="19" s="1"/>
  <c r="C201" i="19" s="1" a="1"/>
  <c r="C201" i="19" s="1"/>
  <c r="C202" i="19" s="1" a="1"/>
  <c r="C202" i="19" s="1"/>
  <c r="C203" i="19" s="1" a="1"/>
  <c r="C203" i="19" s="1"/>
  <c r="C204" i="19" s="1" a="1"/>
  <c r="C204" i="19" s="1"/>
  <c r="C205" i="19" s="1" a="1"/>
  <c r="C205" i="19" s="1"/>
  <c r="C206" i="19" s="1" a="1"/>
  <c r="C206" i="19" s="1"/>
  <c r="C207" i="19" s="1" a="1"/>
  <c r="C207" i="19" s="1"/>
  <c r="C208" i="19" s="1" a="1"/>
  <c r="C208" i="19" s="1"/>
  <c r="C209" i="19" s="1" a="1"/>
  <c r="C209" i="19" s="1"/>
  <c r="C210" i="19" s="1" a="1"/>
  <c r="C210" i="19" s="1"/>
  <c r="C211" i="19" s="1" a="1"/>
  <c r="C211" i="19" s="1"/>
  <c r="C212" i="19" s="1" a="1"/>
  <c r="C212" i="19" s="1"/>
  <c r="C213" i="19" s="1" a="1"/>
  <c r="C213" i="19" s="1"/>
  <c r="C214" i="19" s="1" a="1"/>
  <c r="C214" i="19" s="1"/>
  <c r="C215" i="19" s="1" a="1"/>
  <c r="C215" i="19" s="1"/>
  <c r="C216" i="19" s="1" a="1"/>
  <c r="C216" i="19" s="1"/>
  <c r="C217" i="19" s="1" a="1"/>
  <c r="C217" i="19" s="1"/>
  <c r="C218" i="19" s="1" a="1"/>
  <c r="C218" i="19" s="1"/>
  <c r="C219" i="19" s="1" a="1"/>
  <c r="C219" i="19" s="1"/>
  <c r="C220" i="19" s="1" a="1"/>
  <c r="C220" i="19" s="1"/>
  <c r="C221" i="19" s="1" a="1"/>
  <c r="C221" i="19" s="1"/>
  <c r="C222" i="19" s="1" a="1"/>
  <c r="C222" i="19" s="1"/>
  <c r="C223" i="19" s="1" a="1"/>
  <c r="C223" i="19" s="1"/>
  <c r="C224" i="19" s="1" a="1"/>
  <c r="C224" i="19" s="1"/>
  <c r="C225" i="19" s="1" a="1"/>
  <c r="C225" i="19" s="1"/>
  <c r="C226" i="19" s="1" a="1"/>
  <c r="C226" i="19" s="1"/>
  <c r="C227" i="19" s="1" a="1"/>
  <c r="C227" i="19" s="1"/>
  <c r="C228" i="19" s="1" a="1"/>
  <c r="C228" i="19" s="1"/>
  <c r="C229" i="19" s="1" a="1"/>
  <c r="C229" i="19" s="1"/>
  <c r="C230" i="19" s="1" a="1"/>
  <c r="C230" i="19" s="1"/>
  <c r="C231" i="19" s="1" a="1"/>
  <c r="C231" i="19" s="1"/>
  <c r="C232" i="19" s="1" a="1"/>
  <c r="C232" i="19" s="1"/>
  <c r="C233" i="19" s="1" a="1"/>
  <c r="C233" i="19" s="1"/>
  <c r="C234" i="19" s="1" a="1"/>
  <c r="C234" i="19" s="1"/>
  <c r="C235" i="19" s="1" a="1"/>
  <c r="C235" i="19" s="1"/>
  <c r="C236" i="19" s="1" a="1"/>
  <c r="C236" i="19" s="1"/>
  <c r="C237" i="19" s="1" a="1"/>
  <c r="C237" i="19" s="1"/>
  <c r="C238" i="19" s="1" a="1"/>
  <c r="C238" i="19" s="1"/>
  <c r="C239" i="19" s="1" a="1"/>
  <c r="C239" i="19" s="1"/>
  <c r="C240" i="19" s="1" a="1"/>
  <c r="C240" i="19" s="1"/>
  <c r="C241" i="19" s="1" a="1"/>
  <c r="C241" i="19" s="1"/>
  <c r="C242" i="19" s="1" a="1"/>
  <c r="C242" i="19" s="1"/>
  <c r="C243" i="19" s="1" a="1"/>
  <c r="C243" i="19" s="1"/>
  <c r="C244" i="19" s="1" a="1"/>
  <c r="C244" i="19" s="1"/>
  <c r="C245" i="19" s="1" a="1"/>
  <c r="C245" i="19" s="1"/>
  <c r="C246" i="19" s="1" a="1"/>
  <c r="C246" i="19" s="1"/>
  <c r="C247" i="19" s="1" a="1"/>
  <c r="C247" i="19" s="1"/>
  <c r="C248" i="19" s="1" a="1"/>
  <c r="C248" i="19" s="1"/>
  <c r="C249" i="19" s="1" a="1"/>
  <c r="C249" i="19" s="1"/>
  <c r="C250" i="19" s="1" a="1"/>
  <c r="C250" i="19" s="1"/>
  <c r="C251" i="19" s="1" a="1"/>
  <c r="C251" i="19" s="1"/>
  <c r="C252" i="19" s="1" a="1"/>
  <c r="C252" i="19" s="1"/>
  <c r="C253" i="19" s="1" a="1"/>
  <c r="C253" i="19" s="1"/>
  <c r="C254" i="19" s="1" a="1"/>
  <c r="C254" i="19" s="1"/>
  <c r="C255" i="19" s="1" a="1"/>
  <c r="C255" i="19" s="1"/>
  <c r="C256" i="19" s="1" a="1"/>
  <c r="C256" i="19" s="1"/>
  <c r="C257" i="19" s="1" a="1"/>
  <c r="C257" i="19" s="1"/>
  <c r="C258" i="19" s="1" a="1"/>
  <c r="C258" i="19" s="1"/>
  <c r="C259" i="19" s="1" a="1"/>
  <c r="C259" i="19" s="1"/>
  <c r="C260" i="19" s="1" a="1"/>
  <c r="C260" i="19" s="1"/>
  <c r="C261" i="19" s="1" a="1"/>
  <c r="C261" i="19" s="1"/>
  <c r="C262" i="19" s="1" a="1"/>
  <c r="C262" i="19" s="1"/>
  <c r="C263" i="19" s="1" a="1"/>
  <c r="C263" i="19" s="1"/>
  <c r="C264" i="19" s="1" a="1"/>
  <c r="C264" i="19" s="1"/>
  <c r="C265" i="19" s="1" a="1"/>
  <c r="C265" i="19" s="1"/>
  <c r="C266" i="19" s="1" a="1"/>
  <c r="C266" i="19" s="1"/>
  <c r="C267" i="19" s="1" a="1"/>
  <c r="C267" i="19" s="1"/>
  <c r="C268" i="19" s="1" a="1"/>
  <c r="C268" i="19" s="1"/>
  <c r="C269" i="19" s="1" a="1"/>
  <c r="C269" i="19" s="1"/>
  <c r="C270" i="19" s="1" a="1"/>
  <c r="C270" i="19" s="1"/>
  <c r="C271" i="19" s="1" a="1"/>
  <c r="C271" i="19" s="1"/>
  <c r="C272" i="19" s="1" a="1"/>
  <c r="C272" i="19" s="1"/>
  <c r="C273" i="19" s="1" a="1"/>
  <c r="C273" i="19" s="1"/>
  <c r="C274" i="19" s="1" a="1"/>
  <c r="C274" i="19" s="1"/>
  <c r="C275" i="19" s="1" a="1"/>
  <c r="C275" i="19" s="1"/>
  <c r="C276" i="19" s="1" a="1"/>
  <c r="C276" i="19" s="1"/>
  <c r="C277" i="19" s="1" a="1"/>
  <c r="C277" i="19" s="1"/>
  <c r="C278" i="19" s="1" a="1"/>
  <c r="C278" i="19" s="1"/>
  <c r="C279" i="19" s="1" a="1"/>
  <c r="C279" i="19" s="1"/>
  <c r="C280" i="19" s="1" a="1"/>
  <c r="C280" i="19" s="1"/>
  <c r="C281" i="19" s="1" a="1"/>
  <c r="C281" i="19" s="1"/>
  <c r="C282" i="19" s="1" a="1"/>
  <c r="C282" i="19" s="1"/>
  <c r="C283" i="19" s="1" a="1"/>
  <c r="C283" i="19" s="1"/>
  <c r="C284" i="19" s="1" a="1"/>
  <c r="C284" i="19" s="1"/>
  <c r="C285" i="19" s="1" a="1"/>
  <c r="C285" i="19" s="1"/>
  <c r="C286" i="19" s="1" a="1"/>
  <c r="C286" i="19" s="1"/>
  <c r="C287" i="19" s="1" a="1"/>
  <c r="C287" i="19" s="1"/>
  <c r="C288" i="19" s="1" a="1"/>
  <c r="C288" i="19" s="1"/>
  <c r="C289" i="19" s="1" a="1"/>
  <c r="C289" i="19" s="1"/>
  <c r="C290" i="19" s="1" a="1"/>
  <c r="C290" i="19" s="1"/>
  <c r="C291" i="19" s="1" a="1"/>
  <c r="C291" i="19" s="1"/>
  <c r="C292" i="19" s="1" a="1"/>
  <c r="C292" i="19" s="1"/>
  <c r="C293" i="19" s="1" a="1"/>
  <c r="C293" i="19" s="1"/>
  <c r="C294" i="19" s="1" a="1"/>
  <c r="C294" i="19" s="1"/>
  <c r="C295" i="19" s="1" a="1"/>
  <c r="C295" i="19" s="1"/>
  <c r="C296" i="19" s="1" a="1"/>
  <c r="C296" i="19" s="1"/>
  <c r="C297" i="19" s="1" a="1"/>
  <c r="C297" i="19" s="1"/>
  <c r="C298" i="19" s="1" a="1"/>
  <c r="C298" i="19" s="1"/>
  <c r="C299" i="19" s="1" a="1"/>
  <c r="C299" i="19" s="1"/>
  <c r="C300" i="19" s="1" a="1"/>
  <c r="C300" i="19" s="1"/>
  <c r="C301" i="19" s="1" a="1"/>
  <c r="C301" i="19" s="1"/>
  <c r="C302" i="19" s="1" a="1"/>
  <c r="C302" i="19" s="1"/>
  <c r="C303" i="19" s="1" a="1"/>
  <c r="C303" i="19" s="1"/>
  <c r="C304" i="19" s="1" a="1"/>
  <c r="C304" i="19" s="1"/>
  <c r="C305" i="19" s="1" a="1"/>
  <c r="C305" i="19" s="1"/>
  <c r="C306" i="19" s="1" a="1"/>
  <c r="C306" i="19" s="1"/>
  <c r="C307" i="19" s="1" a="1"/>
  <c r="C307" i="19" s="1"/>
  <c r="C308" i="19" s="1" a="1"/>
  <c r="C308" i="19" s="1"/>
  <c r="C309" i="19" s="1" a="1"/>
  <c r="C309" i="19" s="1"/>
  <c r="C310" i="19" s="1" a="1"/>
  <c r="C310" i="19" s="1"/>
  <c r="C311" i="19" s="1" a="1"/>
  <c r="C311" i="19" s="1"/>
  <c r="C312" i="19" s="1" a="1"/>
  <c r="C312" i="19" s="1"/>
  <c r="C313" i="19" s="1" a="1"/>
  <c r="C313" i="19" s="1"/>
  <c r="C314" i="19" s="1" a="1"/>
  <c r="C314" i="19" s="1"/>
  <c r="C315" i="19" s="1" a="1"/>
  <c r="C315" i="19" s="1"/>
  <c r="C316" i="19" s="1" a="1"/>
  <c r="C316" i="19" s="1"/>
  <c r="C317" i="19" s="1" a="1"/>
  <c r="C317" i="19" s="1"/>
  <c r="C318" i="19" s="1" a="1"/>
  <c r="C318" i="19" s="1"/>
  <c r="C319" i="19" s="1" a="1"/>
  <c r="C319" i="19" s="1"/>
  <c r="C320" i="19" s="1" a="1"/>
  <c r="C320" i="19" s="1"/>
  <c r="C321" i="19" s="1" a="1"/>
  <c r="C321" i="19" s="1"/>
  <c r="C322" i="19" s="1" a="1"/>
  <c r="C322" i="19" s="1"/>
  <c r="C323" i="19" s="1" a="1"/>
  <c r="C323" i="19" s="1"/>
  <c r="C324" i="19" s="1" a="1"/>
  <c r="C324" i="19" s="1"/>
  <c r="C325" i="19" s="1" a="1"/>
  <c r="C325" i="19" s="1"/>
  <c r="C326" i="19" s="1" a="1"/>
  <c r="C326" i="19" s="1"/>
  <c r="G34" i="29"/>
  <c r="G35" i="29"/>
  <c r="G36" i="29"/>
  <c r="G37" i="29"/>
  <c r="G38" i="29"/>
  <c r="G39" i="29"/>
  <c r="G40" i="29"/>
  <c r="G41" i="29"/>
  <c r="G33" i="29"/>
  <c r="G25" i="29"/>
  <c r="G26" i="29"/>
  <c r="G27" i="29"/>
  <c r="G28" i="29"/>
  <c r="G29" i="29"/>
  <c r="G30" i="29"/>
  <c r="G31" i="29"/>
  <c r="G32" i="29"/>
  <c r="G24" i="29"/>
  <c r="G15" i="29"/>
  <c r="G16" i="29"/>
  <c r="G17" i="29"/>
  <c r="G18" i="29"/>
  <c r="G19" i="29"/>
  <c r="G20" i="29"/>
  <c r="G21" i="29"/>
  <c r="G22" i="29"/>
  <c r="G23" i="29"/>
  <c r="E32" i="1"/>
  <c r="F3559" i="27" l="1"/>
  <c r="N2" i="29"/>
  <c r="B26" i="29"/>
  <c r="H453" i="27"/>
  <c r="H454" i="27" s="1"/>
  <c r="H455" i="27" s="1"/>
  <c r="H456" i="27" s="1"/>
  <c r="H457" i="27" s="1"/>
  <c r="H458" i="27" s="1"/>
  <c r="H459" i="27" s="1"/>
  <c r="H460" i="27" s="1"/>
  <c r="H461" i="27" s="1"/>
  <c r="H462" i="27" s="1"/>
  <c r="H463" i="27" s="1"/>
  <c r="H464" i="27" s="1"/>
  <c r="H465" i="27" s="1"/>
  <c r="H466" i="27" s="1"/>
  <c r="H467" i="27" s="1"/>
  <c r="H468" i="27" s="1"/>
  <c r="H469" i="27" s="1"/>
  <c r="H470" i="27" s="1"/>
  <c r="H471" i="27" s="1"/>
  <c r="H472" i="27" s="1"/>
  <c r="H473" i="27" s="1"/>
  <c r="H474" i="27" s="1"/>
  <c r="H475" i="27" s="1"/>
  <c r="H476" i="27" s="1"/>
  <c r="H477" i="27" s="1"/>
  <c r="H478" i="27" s="1"/>
  <c r="H479" i="27" s="1"/>
  <c r="H480" i="27" s="1"/>
  <c r="H481" i="27" s="1"/>
  <c r="H482" i="27" s="1"/>
  <c r="H483" i="27" s="1"/>
  <c r="H484" i="27" s="1"/>
  <c r="H485" i="27" s="1"/>
  <c r="H486" i="27" s="1"/>
  <c r="H487" i="27" s="1"/>
  <c r="H488" i="27" s="1"/>
  <c r="H489" i="27" s="1"/>
  <c r="H490" i="27" s="1"/>
  <c r="H491" i="27" s="1"/>
  <c r="H492" i="27" s="1"/>
  <c r="H493" i="27" s="1"/>
  <c r="B453" i="27"/>
  <c r="B454" i="27" s="1"/>
  <c r="B455" i="27" s="1"/>
  <c r="B456" i="27" s="1"/>
  <c r="B457" i="27" s="1"/>
  <c r="B458" i="27" s="1"/>
  <c r="B459" i="27" s="1"/>
  <c r="B460" i="27" s="1"/>
  <c r="B461" i="27" s="1"/>
  <c r="B462" i="27" s="1"/>
  <c r="B463" i="27" s="1"/>
  <c r="B464" i="27" s="1"/>
  <c r="B465" i="27" s="1"/>
  <c r="B466" i="27" s="1"/>
  <c r="B467" i="27" s="1"/>
  <c r="B468" i="27" s="1"/>
  <c r="B469" i="27" s="1"/>
  <c r="B470" i="27" s="1"/>
  <c r="B471" i="27" s="1"/>
  <c r="B472" i="27" s="1"/>
  <c r="B473" i="27" s="1"/>
  <c r="B474" i="27" s="1"/>
  <c r="B475" i="27" s="1"/>
  <c r="B476" i="27" s="1"/>
  <c r="B477" i="27" s="1"/>
  <c r="B478" i="27" s="1"/>
  <c r="B479" i="27" s="1"/>
  <c r="B480" i="27" s="1"/>
  <c r="B481" i="27" s="1"/>
  <c r="B482" i="27" s="1"/>
  <c r="B483" i="27" s="1"/>
  <c r="B484" i="27" s="1"/>
  <c r="B485" i="27" s="1"/>
  <c r="B486" i="27" s="1"/>
  <c r="B487" i="27" s="1"/>
  <c r="B488" i="27" s="1"/>
  <c r="B489" i="27" s="1"/>
  <c r="B490" i="27" s="1"/>
  <c r="B491" i="27" s="1"/>
  <c r="B492" i="27" s="1"/>
  <c r="B493" i="27" s="1"/>
  <c r="Y453" i="27"/>
  <c r="X453" i="27"/>
  <c r="Z453" i="27"/>
  <c r="E453" i="27"/>
  <c r="W453" i="27"/>
  <c r="L453" i="27"/>
  <c r="N453" i="27"/>
  <c r="O453" i="27"/>
  <c r="D453" i="27"/>
  <c r="J453" i="27" a="1"/>
  <c r="P453" i="27"/>
  <c r="R453" i="27"/>
  <c r="F453" i="27"/>
  <c r="Q453" i="27"/>
  <c r="G453" i="27"/>
  <c r="F3561" i="27" l="1"/>
  <c r="F3560" i="27"/>
  <c r="B494" i="27"/>
  <c r="C493" i="27"/>
  <c r="H494" i="27"/>
  <c r="J453" i="27"/>
  <c r="C453" i="27"/>
  <c r="C2896" i="27"/>
  <c r="I453" i="27"/>
  <c r="F3562" i="27" l="1"/>
  <c r="B495" i="27"/>
  <c r="C494" i="27"/>
  <c r="H495" i="27"/>
  <c r="O43" i="27"/>
  <c r="I227" i="27"/>
  <c r="I228" i="27" s="1"/>
  <c r="I229" i="27" s="1"/>
  <c r="I230" i="27" s="1"/>
  <c r="I231" i="27" s="1"/>
  <c r="I232" i="27" s="1"/>
  <c r="I233" i="27" s="1"/>
  <c r="I234" i="27" s="1"/>
  <c r="I235" i="27" s="1"/>
  <c r="I236" i="27" s="1"/>
  <c r="I237" i="27" s="1"/>
  <c r="I238" i="27" s="1"/>
  <c r="I3" i="27"/>
  <c r="I4" i="27" s="1"/>
  <c r="I5" i="27" s="1"/>
  <c r="I6" i="27" s="1"/>
  <c r="I7" i="27" s="1"/>
  <c r="I8" i="27" s="1"/>
  <c r="I9" i="27" s="1"/>
  <c r="I10" i="27" s="1"/>
  <c r="I11" i="27" s="1"/>
  <c r="I12" i="27" s="1"/>
  <c r="I13" i="27" s="1"/>
  <c r="I14" i="27" s="1"/>
  <c r="I15" i="27" s="1"/>
  <c r="I16" i="27" s="1"/>
  <c r="I17" i="27" s="1"/>
  <c r="I18" i="27" s="1"/>
  <c r="I19" i="27" s="1"/>
  <c r="B227" i="27"/>
  <c r="B228" i="27" s="1"/>
  <c r="B229" i="27" s="1"/>
  <c r="B230" i="27" s="1"/>
  <c r="B231" i="27" s="1"/>
  <c r="B232" i="27" s="1"/>
  <c r="B233" i="27" s="1"/>
  <c r="B234" i="27" s="1"/>
  <c r="B235" i="27" s="1"/>
  <c r="B236" i="27" s="1"/>
  <c r="B237" i="27" s="1"/>
  <c r="B238" i="27" s="1"/>
  <c r="B239" i="27" s="1"/>
  <c r="B240" i="27" s="1"/>
  <c r="B241" i="27" s="1"/>
  <c r="B242" i="27" s="1"/>
  <c r="B243" i="27" s="1"/>
  <c r="B3" i="27"/>
  <c r="B4" i="27" s="1"/>
  <c r="B5" i="27" s="1"/>
  <c r="B6" i="27" s="1"/>
  <c r="B7" i="27" s="1"/>
  <c r="B8" i="27" s="1"/>
  <c r="B9" i="27" s="1"/>
  <c r="B10" i="27" s="1"/>
  <c r="B11" i="27" s="1"/>
  <c r="B12" i="27" s="1"/>
  <c r="B13" i="27" s="1"/>
  <c r="B14" i="27" s="1"/>
  <c r="B15" i="27" s="1"/>
  <c r="B16" i="27" s="1"/>
  <c r="B17" i="27" s="1"/>
  <c r="B18" i="27" s="1"/>
  <c r="B19" i="27" s="1"/>
  <c r="B267" i="27"/>
  <c r="B268" i="27" s="1"/>
  <c r="B269" i="27" s="1"/>
  <c r="B270" i="27" s="1"/>
  <c r="B271" i="27" s="1"/>
  <c r="B272" i="27" s="1"/>
  <c r="B273" i="27" s="1"/>
  <c r="B274" i="27" s="1"/>
  <c r="B275" i="27" s="1"/>
  <c r="B276" i="27" s="1"/>
  <c r="B277" i="27" s="1"/>
  <c r="B278" i="27" s="1"/>
  <c r="B279" i="27" s="1"/>
  <c r="B280" i="27" s="1"/>
  <c r="B281" i="27" s="1"/>
  <c r="B282" i="27" s="1"/>
  <c r="B283" i="27" s="1"/>
  <c r="B284" i="27" s="1"/>
  <c r="B285" i="27" s="1"/>
  <c r="B286" i="27" s="1"/>
  <c r="B287" i="27" s="1"/>
  <c r="B288" i="27" s="1"/>
  <c r="B289" i="27" s="1"/>
  <c r="B290" i="27" s="1"/>
  <c r="B291" i="27" s="1"/>
  <c r="B292" i="27" s="1"/>
  <c r="B293" i="27" s="1"/>
  <c r="B294" i="27" s="1"/>
  <c r="B295" i="27" s="1"/>
  <c r="B296" i="27" s="1"/>
  <c r="B297" i="27" s="1"/>
  <c r="B298" i="27" s="1"/>
  <c r="B299" i="27" s="1"/>
  <c r="B300" i="27" s="1"/>
  <c r="B301" i="27" s="1"/>
  <c r="B302" i="27" s="1"/>
  <c r="B303" i="27" s="1"/>
  <c r="B304" i="27" s="1"/>
  <c r="B305" i="27" s="1"/>
  <c r="B306" i="27" s="1"/>
  <c r="B307" i="27" s="1"/>
  <c r="B308" i="27" s="1"/>
  <c r="B309" i="27" s="1"/>
  <c r="B310" i="27" s="1"/>
  <c r="B311" i="27" s="1"/>
  <c r="B312" i="27" s="1"/>
  <c r="B313" i="27" s="1"/>
  <c r="B314" i="27" s="1"/>
  <c r="B315" i="27" s="1"/>
  <c r="B316" i="27" s="1"/>
  <c r="B317" i="27" s="1"/>
  <c r="B318" i="27" s="1"/>
  <c r="B319" i="27" s="1"/>
  <c r="B320" i="27" s="1"/>
  <c r="B321" i="27" s="1"/>
  <c r="B322" i="27" s="1"/>
  <c r="B323" i="27" s="1"/>
  <c r="B324" i="27" s="1"/>
  <c r="B325" i="27" s="1"/>
  <c r="B326" i="27" s="1"/>
  <c r="B327" i="27" s="1"/>
  <c r="B328" i="27" s="1"/>
  <c r="B329" i="27" s="1"/>
  <c r="B330" i="27" s="1"/>
  <c r="B331" i="27" s="1"/>
  <c r="B332" i="27" s="1"/>
  <c r="B333" i="27" s="1"/>
  <c r="B334" i="27" s="1"/>
  <c r="B335" i="27" s="1"/>
  <c r="B336" i="27" s="1"/>
  <c r="B337" i="27" s="1"/>
  <c r="B338" i="27" s="1"/>
  <c r="B339" i="27" s="1"/>
  <c r="B340" i="27" s="1"/>
  <c r="B341" i="27" s="1"/>
  <c r="B342" i="27" s="1"/>
  <c r="B343" i="27" s="1"/>
  <c r="B344" i="27" s="1"/>
  <c r="B345" i="27" s="1"/>
  <c r="B346" i="27" s="1"/>
  <c r="B347" i="27" s="1"/>
  <c r="B348" i="27" s="1"/>
  <c r="B349" i="27" s="1"/>
  <c r="B350" i="27" s="1"/>
  <c r="B351" i="27" s="1"/>
  <c r="B352" i="27" s="1"/>
  <c r="B353" i="27" s="1"/>
  <c r="B354" i="27" s="1"/>
  <c r="B355" i="27" s="1"/>
  <c r="B356" i="27" s="1"/>
  <c r="B357" i="27" s="1"/>
  <c r="B358" i="27" s="1"/>
  <c r="B359" i="27" s="1"/>
  <c r="B360" i="27" s="1"/>
  <c r="B361" i="27" s="1"/>
  <c r="B362" i="27" s="1"/>
  <c r="B363" i="27" s="1"/>
  <c r="B364" i="27" s="1"/>
  <c r="B365" i="27" s="1"/>
  <c r="B366" i="27" s="1"/>
  <c r="B367" i="27" s="1"/>
  <c r="B368" i="27" s="1"/>
  <c r="B369" i="27" s="1"/>
  <c r="B370" i="27" s="1"/>
  <c r="B371" i="27" s="1"/>
  <c r="B372" i="27" s="1"/>
  <c r="B373" i="27" s="1"/>
  <c r="B374" i="27" s="1"/>
  <c r="B375" i="27" s="1"/>
  <c r="B376" i="27" s="1"/>
  <c r="B377" i="27" s="1"/>
  <c r="B378" i="27" s="1"/>
  <c r="B379" i="27" s="1"/>
  <c r="B380" i="27" s="1"/>
  <c r="B381" i="27" s="1"/>
  <c r="B382" i="27" s="1"/>
  <c r="B383" i="27" s="1"/>
  <c r="B384" i="27" s="1"/>
  <c r="B385" i="27" s="1"/>
  <c r="B386" i="27" s="1"/>
  <c r="B387" i="27" s="1"/>
  <c r="B388" i="27" s="1"/>
  <c r="B389" i="27" s="1"/>
  <c r="B390" i="27" s="1"/>
  <c r="B391" i="27" s="1"/>
  <c r="B392" i="27" s="1"/>
  <c r="B393" i="27" s="1"/>
  <c r="B394" i="27" s="1"/>
  <c r="B395" i="27" s="1"/>
  <c r="B396" i="27" s="1"/>
  <c r="B397" i="27" s="1"/>
  <c r="B398" i="27" s="1"/>
  <c r="B399" i="27" s="1"/>
  <c r="B400" i="27" s="1"/>
  <c r="B401" i="27" s="1"/>
  <c r="B402" i="27" s="1"/>
  <c r="B403" i="27" s="1"/>
  <c r="B404" i="27" s="1"/>
  <c r="B405" i="27" s="1"/>
  <c r="B406" i="27" s="1"/>
  <c r="B407" i="27" s="1"/>
  <c r="B408" i="27" s="1"/>
  <c r="B409" i="27" s="1"/>
  <c r="B410" i="27" s="1"/>
  <c r="B411" i="27" s="1"/>
  <c r="B412" i="27" s="1"/>
  <c r="B413" i="27" s="1"/>
  <c r="B414" i="27" s="1"/>
  <c r="B415" i="27" s="1"/>
  <c r="B416" i="27" s="1"/>
  <c r="B417" i="27" s="1"/>
  <c r="B418" i="27" s="1"/>
  <c r="B419" i="27" s="1"/>
  <c r="B420" i="27" s="1"/>
  <c r="B421" i="27" s="1"/>
  <c r="B422" i="27" s="1"/>
  <c r="B423" i="27" s="1"/>
  <c r="B424" i="27" s="1"/>
  <c r="B425" i="27" s="1"/>
  <c r="B426" i="27" s="1"/>
  <c r="B427" i="27" s="1"/>
  <c r="B428" i="27" s="1"/>
  <c r="B429" i="27" s="1"/>
  <c r="B430" i="27" s="1"/>
  <c r="B431" i="27" s="1"/>
  <c r="B432" i="27" s="1"/>
  <c r="B433" i="27" s="1"/>
  <c r="B434" i="27" s="1"/>
  <c r="B435" i="27" s="1"/>
  <c r="B436" i="27" s="1"/>
  <c r="B437" i="27" s="1"/>
  <c r="B438" i="27" s="1"/>
  <c r="B439" i="27" s="1"/>
  <c r="B440" i="27" s="1"/>
  <c r="B441" i="27" s="1"/>
  <c r="B442" i="27" s="1"/>
  <c r="B443" i="27" s="1"/>
  <c r="B444" i="27" s="1"/>
  <c r="B445" i="27" s="1"/>
  <c r="B446" i="27" s="1"/>
  <c r="B447" i="27" s="1"/>
  <c r="B2896" i="27"/>
  <c r="B2897" i="27" s="1"/>
  <c r="B2898" i="27" s="1"/>
  <c r="B2899" i="27" s="1"/>
  <c r="B2900" i="27" s="1"/>
  <c r="B2901" i="27" s="1"/>
  <c r="B2902" i="27" s="1"/>
  <c r="B2903" i="27" s="1"/>
  <c r="B2904" i="27" s="1"/>
  <c r="B2905" i="27" s="1"/>
  <c r="B2906" i="27" s="1"/>
  <c r="B2907" i="27" s="1"/>
  <c r="B2908" i="27" s="1"/>
  <c r="B2909" i="27" s="1"/>
  <c r="B2910" i="27" s="1"/>
  <c r="B2911" i="27" s="1"/>
  <c r="B2912" i="27" s="1"/>
  <c r="B2913" i="27" s="1"/>
  <c r="B2914" i="27" s="1"/>
  <c r="B2915" i="27" s="1"/>
  <c r="B2916" i="27" s="1"/>
  <c r="B2917" i="27" s="1"/>
  <c r="B2918" i="27" s="1"/>
  <c r="B2919" i="27" s="1"/>
  <c r="B2920" i="27" s="1"/>
  <c r="B2921" i="27" s="1"/>
  <c r="B2922" i="27" s="1"/>
  <c r="B2923" i="27" s="1"/>
  <c r="B2924" i="27" s="1"/>
  <c r="B2925" i="27" s="1"/>
  <c r="B2926" i="27" s="1"/>
  <c r="B2927" i="27" s="1"/>
  <c r="B2928" i="27" s="1"/>
  <c r="B2929" i="27" s="1"/>
  <c r="B2930" i="27" s="1"/>
  <c r="B2931" i="27" s="1"/>
  <c r="B2932" i="27" s="1"/>
  <c r="B2933" i="27" s="1"/>
  <c r="B2934" i="27" s="1"/>
  <c r="B2935" i="27" s="1"/>
  <c r="B2936" i="27" s="1"/>
  <c r="B2937" i="27" s="1"/>
  <c r="B2938" i="27" s="1"/>
  <c r="B2939" i="27" s="1"/>
  <c r="B2940" i="27" s="1"/>
  <c r="B2941" i="27" s="1"/>
  <c r="B2942" i="27" s="1"/>
  <c r="B2943" i="27" s="1"/>
  <c r="B2944" i="27" s="1"/>
  <c r="B2945" i="27" s="1"/>
  <c r="B2946" i="27" s="1"/>
  <c r="B2947" i="27" s="1"/>
  <c r="B2948" i="27" s="1"/>
  <c r="B2949" i="27" s="1"/>
  <c r="B2950" i="27" s="1"/>
  <c r="B2951" i="27" s="1"/>
  <c r="B2952" i="27" s="1"/>
  <c r="B2953" i="27" s="1"/>
  <c r="B2954" i="27" s="1"/>
  <c r="B2955" i="27" s="1"/>
  <c r="B2956" i="27" s="1"/>
  <c r="B2957" i="27" s="1"/>
  <c r="B2958" i="27" s="1"/>
  <c r="B2959" i="27" s="1"/>
  <c r="B2960" i="27" s="1"/>
  <c r="B2961" i="27" s="1"/>
  <c r="B2962" i="27" s="1"/>
  <c r="B2963" i="27" s="1"/>
  <c r="B2964" i="27" s="1"/>
  <c r="B2965" i="27" s="1"/>
  <c r="B2966" i="27" s="1"/>
  <c r="B2967" i="27" s="1"/>
  <c r="B2968" i="27" s="1"/>
  <c r="B2969" i="27" s="1"/>
  <c r="B2970" i="27" s="1"/>
  <c r="B2971" i="27" s="1"/>
  <c r="B2972" i="27" s="1"/>
  <c r="B2973" i="27" s="1"/>
  <c r="B2974" i="27" s="1"/>
  <c r="B2975" i="27" s="1"/>
  <c r="B2976" i="27" s="1"/>
  <c r="B2977" i="27" s="1"/>
  <c r="G978" i="27"/>
  <c r="V2896" i="27"/>
  <c r="U2896" i="27"/>
  <c r="AD3" i="27"/>
  <c r="AE3" i="27"/>
  <c r="S227" i="27" a="1"/>
  <c r="M227" i="27" a="1"/>
  <c r="P2896" i="27"/>
  <c r="D2896" i="27"/>
  <c r="R2896" i="27"/>
  <c r="M3" i="27" a="1"/>
  <c r="F2896" i="27"/>
  <c r="R227" i="27" a="1"/>
  <c r="F3563" i="27" l="1"/>
  <c r="B2978" i="27"/>
  <c r="I239" i="27"/>
  <c r="C495" i="27"/>
  <c r="H496" i="27"/>
  <c r="B496" i="27"/>
  <c r="B244" i="27"/>
  <c r="I20" i="27"/>
  <c r="C19" i="27"/>
  <c r="B20" i="27"/>
  <c r="R227" i="27"/>
  <c r="S227" i="27"/>
  <c r="M3" i="27"/>
  <c r="M227" i="27"/>
  <c r="C227" i="27"/>
  <c r="C3" i="27"/>
  <c r="C267" i="27"/>
  <c r="G763" i="27"/>
  <c r="J2896" i="27"/>
  <c r="F3564" i="27" l="1"/>
  <c r="B2979" i="27"/>
  <c r="I240" i="27"/>
  <c r="B497" i="27"/>
  <c r="C496" i="27"/>
  <c r="H497" i="27"/>
  <c r="B245" i="27"/>
  <c r="I21" i="27"/>
  <c r="C20" i="27"/>
  <c r="B21" i="27"/>
  <c r="AS1" i="1"/>
  <c r="G764" i="27"/>
  <c r="F3565" i="27" l="1"/>
  <c r="B2980" i="27"/>
  <c r="I241" i="27"/>
  <c r="C497" i="27"/>
  <c r="H498" i="27"/>
  <c r="B498" i="27"/>
  <c r="B246" i="27"/>
  <c r="C21" i="27"/>
  <c r="I22" i="27"/>
  <c r="B22" i="27"/>
  <c r="H508" i="16"/>
  <c r="G765" i="27"/>
  <c r="F3566" i="27" l="1"/>
  <c r="F3567" i="27"/>
  <c r="B2981" i="27"/>
  <c r="I242" i="27"/>
  <c r="B499" i="27"/>
  <c r="C498" i="27"/>
  <c r="H499" i="27"/>
  <c r="B247" i="27"/>
  <c r="B23" i="27"/>
  <c r="C22" i="27"/>
  <c r="I23" i="27"/>
  <c r="G508" i="16"/>
  <c r="G766" i="27"/>
  <c r="F3568" i="27" l="1"/>
  <c r="B2982" i="27"/>
  <c r="I243" i="27"/>
  <c r="B500" i="27"/>
  <c r="H500" i="27"/>
  <c r="C499" i="27"/>
  <c r="B248" i="27"/>
  <c r="C23" i="27"/>
  <c r="I24" i="27"/>
  <c r="B24" i="27"/>
  <c r="H253" i="16"/>
  <c r="G253" i="16"/>
  <c r="I508" i="16"/>
  <c r="F124" i="1"/>
  <c r="G767" i="27"/>
  <c r="F3569" i="27" l="1"/>
  <c r="B2983" i="27"/>
  <c r="I244" i="27"/>
  <c r="C243" i="27"/>
  <c r="H501" i="27"/>
  <c r="C500" i="27"/>
  <c r="B501" i="27"/>
  <c r="B249" i="27"/>
  <c r="B25" i="27"/>
  <c r="C24" i="27"/>
  <c r="I25" i="27"/>
  <c r="L143" i="1"/>
  <c r="L130" i="1"/>
  <c r="L142" i="1"/>
  <c r="L154" i="1"/>
  <c r="L131" i="1"/>
  <c r="L126" i="1"/>
  <c r="L139" i="1"/>
  <c r="L129" i="1"/>
  <c r="L132" i="1"/>
  <c r="L127" i="1"/>
  <c r="L140" i="1"/>
  <c r="L153" i="1"/>
  <c r="L149" i="1"/>
  <c r="L152" i="1"/>
  <c r="L147" i="1"/>
  <c r="L137" i="1"/>
  <c r="L151" i="1"/>
  <c r="L145" i="1"/>
  <c r="L135" i="1"/>
  <c r="L128" i="1"/>
  <c r="L144" i="1"/>
  <c r="L148" i="1"/>
  <c r="L138" i="1"/>
  <c r="L133" i="1"/>
  <c r="L134" i="1"/>
  <c r="L141" i="1"/>
  <c r="L146" i="1"/>
  <c r="L136" i="1"/>
  <c r="L125" i="1"/>
  <c r="L150" i="1"/>
  <c r="AT9" i="33"/>
  <c r="G768" i="27"/>
  <c r="F493" i="27"/>
  <c r="E493" i="27"/>
  <c r="F3570" i="27" l="1"/>
  <c r="B2984" i="27"/>
  <c r="I245" i="27"/>
  <c r="C244" i="27"/>
  <c r="B502" i="27"/>
  <c r="H502" i="27"/>
  <c r="C501" i="27"/>
  <c r="B250" i="27"/>
  <c r="B26" i="27"/>
  <c r="C25" i="27"/>
  <c r="I26" i="27"/>
  <c r="N139" i="1"/>
  <c r="AO139" i="1"/>
  <c r="M139" i="1"/>
  <c r="AA139" i="1"/>
  <c r="O139" i="1" s="1"/>
  <c r="AC139" i="1"/>
  <c r="M138" i="1"/>
  <c r="N138" i="1"/>
  <c r="AO138" i="1"/>
  <c r="AC138" i="1"/>
  <c r="AA138" i="1"/>
  <c r="O138" i="1" s="1"/>
  <c r="AO128" i="1"/>
  <c r="M128" i="1"/>
  <c r="AC128" i="1"/>
  <c r="AA128" i="1"/>
  <c r="O128" i="1" s="1"/>
  <c r="N128" i="1"/>
  <c r="N126" i="1"/>
  <c r="AA126" i="1"/>
  <c r="O126" i="1" s="1"/>
  <c r="AO126" i="1"/>
  <c r="AC126" i="1"/>
  <c r="M126" i="1"/>
  <c r="M148" i="1"/>
  <c r="AA148" i="1"/>
  <c r="O148" i="1" s="1"/>
  <c r="N148" i="1"/>
  <c r="AC148" i="1"/>
  <c r="AO148" i="1"/>
  <c r="M135" i="1"/>
  <c r="AO135" i="1"/>
  <c r="AC135" i="1"/>
  <c r="AA135" i="1"/>
  <c r="O135" i="1" s="1"/>
  <c r="N135" i="1"/>
  <c r="N125" i="1"/>
  <c r="M125" i="1"/>
  <c r="AC125" i="1"/>
  <c r="AA125" i="1"/>
  <c r="O125" i="1" s="1"/>
  <c r="AO125" i="1"/>
  <c r="M131" i="1"/>
  <c r="N131" i="1"/>
  <c r="AC131" i="1"/>
  <c r="AA131" i="1"/>
  <c r="O131" i="1" s="1"/>
  <c r="AO131" i="1"/>
  <c r="M132" i="1"/>
  <c r="AO132" i="1"/>
  <c r="AC132" i="1"/>
  <c r="N132" i="1"/>
  <c r="AA132" i="1"/>
  <c r="O132" i="1" s="1"/>
  <c r="M154" i="1"/>
  <c r="N154" i="1"/>
  <c r="AC154" i="1"/>
  <c r="AA154" i="1"/>
  <c r="O154" i="1" s="1"/>
  <c r="AO154" i="1"/>
  <c r="N133" i="1"/>
  <c r="M133" i="1"/>
  <c r="AA133" i="1"/>
  <c r="O133" i="1" s="1"/>
  <c r="AO133" i="1"/>
  <c r="AC133" i="1"/>
  <c r="M144" i="1"/>
  <c r="N144" i="1"/>
  <c r="AO144" i="1"/>
  <c r="AC144" i="1"/>
  <c r="AA144" i="1"/>
  <c r="O144" i="1" s="1"/>
  <c r="M150" i="1"/>
  <c r="AA150" i="1"/>
  <c r="O150" i="1" s="1"/>
  <c r="AO150" i="1"/>
  <c r="N150" i="1"/>
  <c r="AC150" i="1"/>
  <c r="N137" i="1"/>
  <c r="AA137" i="1"/>
  <c r="O137" i="1" s="1"/>
  <c r="AO137" i="1"/>
  <c r="AC137" i="1"/>
  <c r="M137" i="1"/>
  <c r="M142" i="1"/>
  <c r="N142" i="1"/>
  <c r="AC142" i="1"/>
  <c r="AO142" i="1"/>
  <c r="AA142" i="1"/>
  <c r="O142" i="1" s="1"/>
  <c r="N153" i="1"/>
  <c r="M153" i="1"/>
  <c r="AO153" i="1"/>
  <c r="AA153" i="1"/>
  <c r="O153" i="1" s="1"/>
  <c r="AC153" i="1"/>
  <c r="N127" i="1"/>
  <c r="M127" i="1"/>
  <c r="AA127" i="1"/>
  <c r="O127" i="1" s="1"/>
  <c r="AO127" i="1"/>
  <c r="AC127" i="1"/>
  <c r="AA145" i="1"/>
  <c r="O145" i="1" s="1"/>
  <c r="N145" i="1"/>
  <c r="AO145" i="1"/>
  <c r="M145" i="1"/>
  <c r="AC145" i="1"/>
  <c r="M136" i="1"/>
  <c r="AC136" i="1"/>
  <c r="N136" i="1"/>
  <c r="AO136" i="1"/>
  <c r="AA136" i="1"/>
  <c r="O136" i="1" s="1"/>
  <c r="M147" i="1"/>
  <c r="AA147" i="1"/>
  <c r="O147" i="1" s="1"/>
  <c r="N147" i="1"/>
  <c r="AO147" i="1"/>
  <c r="AC147" i="1"/>
  <c r="AO152" i="1"/>
  <c r="M152" i="1"/>
  <c r="N152" i="1"/>
  <c r="AC152" i="1"/>
  <c r="AA152" i="1"/>
  <c r="O152" i="1" s="1"/>
  <c r="AO130" i="1"/>
  <c r="AA130" i="1"/>
  <c r="O130" i="1" s="1"/>
  <c r="M130" i="1"/>
  <c r="N130" i="1"/>
  <c r="AC130" i="1"/>
  <c r="AO140" i="1"/>
  <c r="AC140" i="1"/>
  <c r="N140" i="1"/>
  <c r="M140" i="1"/>
  <c r="AA140" i="1"/>
  <c r="O140" i="1" s="1"/>
  <c r="N129" i="1"/>
  <c r="AA129" i="1"/>
  <c r="O129" i="1" s="1"/>
  <c r="AO129" i="1"/>
  <c r="AC129" i="1"/>
  <c r="M129" i="1"/>
  <c r="N151" i="1"/>
  <c r="AO151" i="1"/>
  <c r="AA151" i="1"/>
  <c r="O151" i="1" s="1"/>
  <c r="M151" i="1"/>
  <c r="AC151" i="1"/>
  <c r="AA146" i="1"/>
  <c r="O146" i="1" s="1"/>
  <c r="AC146" i="1"/>
  <c r="N146" i="1"/>
  <c r="M146" i="1"/>
  <c r="AO146" i="1"/>
  <c r="M141" i="1"/>
  <c r="N141" i="1"/>
  <c r="AO141" i="1"/>
  <c r="AA141" i="1"/>
  <c r="O141" i="1" s="1"/>
  <c r="AC141" i="1"/>
  <c r="M134" i="1"/>
  <c r="N134" i="1"/>
  <c r="AC134" i="1"/>
  <c r="AA134" i="1"/>
  <c r="O134" i="1" s="1"/>
  <c r="AO134" i="1"/>
  <c r="N149" i="1"/>
  <c r="AA149" i="1"/>
  <c r="O149" i="1" s="1"/>
  <c r="AO149" i="1"/>
  <c r="M149" i="1"/>
  <c r="AC149" i="1"/>
  <c r="M143" i="1"/>
  <c r="AC143" i="1"/>
  <c r="AA143" i="1"/>
  <c r="O143" i="1" s="1"/>
  <c r="N143" i="1"/>
  <c r="AO143" i="1"/>
  <c r="AT11" i="33"/>
  <c r="AE9" i="34"/>
  <c r="B27" i="29"/>
  <c r="G769" i="27"/>
  <c r="F9" i="33"/>
  <c r="D493" i="27" s="1"/>
  <c r="F3571" i="27" l="1"/>
  <c r="B2985" i="27"/>
  <c r="I246" i="27"/>
  <c r="C245" i="27"/>
  <c r="H503" i="27"/>
  <c r="C502" i="27"/>
  <c r="B503" i="27"/>
  <c r="B251" i="27"/>
  <c r="B27" i="27"/>
  <c r="C26" i="27"/>
  <c r="I27" i="27"/>
  <c r="BW9" i="33"/>
  <c r="AT13" i="33"/>
  <c r="AD9" i="34"/>
  <c r="J31" i="1"/>
  <c r="J32" i="1"/>
  <c r="AD9" i="31"/>
  <c r="AE9" i="31"/>
  <c r="G770" i="27"/>
  <c r="E243" i="27"/>
  <c r="F243" i="27"/>
  <c r="L243" i="27"/>
  <c r="J495" i="27" a="1"/>
  <c r="F3572" i="27" l="1"/>
  <c r="F3573" i="27"/>
  <c r="B2986" i="27"/>
  <c r="I247" i="27"/>
  <c r="C246" i="27"/>
  <c r="J495" i="27"/>
  <c r="B504" i="27"/>
  <c r="H504" i="27"/>
  <c r="C503" i="27"/>
  <c r="B252" i="27"/>
  <c r="B28" i="27"/>
  <c r="C27" i="27"/>
  <c r="I28" i="27"/>
  <c r="CK13" i="33" a="1"/>
  <c r="CK13" i="33" s="1"/>
  <c r="AT15" i="33"/>
  <c r="AE11" i="31"/>
  <c r="AD10" i="34"/>
  <c r="AG9" i="30"/>
  <c r="AH9" i="30"/>
  <c r="G771" i="27"/>
  <c r="Y495" i="27"/>
  <c r="L19" i="27"/>
  <c r="L244" i="27"/>
  <c r="F3574" i="27" l="1"/>
  <c r="B2987" i="27"/>
  <c r="C247" i="27"/>
  <c r="I248" i="27"/>
  <c r="B505" i="27"/>
  <c r="C504" i="27"/>
  <c r="H505" i="27"/>
  <c r="B253" i="27"/>
  <c r="I29" i="27"/>
  <c r="C28" i="27"/>
  <c r="B29" i="27"/>
  <c r="AT17" i="33"/>
  <c r="AE13" i="31"/>
  <c r="AD11" i="34"/>
  <c r="AH11" i="30"/>
  <c r="Q621" i="32"/>
  <c r="Q316" i="32"/>
  <c r="Q318" i="32" s="1"/>
  <c r="Q320" i="32" s="1"/>
  <c r="Q322" i="32" s="1"/>
  <c r="Q324" i="32" s="1"/>
  <c r="Q326" i="32" s="1"/>
  <c r="Q328" i="32" s="1"/>
  <c r="Q330" i="32" s="1"/>
  <c r="Q332" i="32" s="1"/>
  <c r="Q334" i="32" s="1"/>
  <c r="Q336" i="32" s="1"/>
  <c r="Q338" i="32" s="1"/>
  <c r="Q340" i="32" s="1"/>
  <c r="Q342" i="32" s="1"/>
  <c r="Q344" i="32" s="1"/>
  <c r="Q346" i="32" s="1"/>
  <c r="Q348" i="32" s="1"/>
  <c r="Q350" i="32" s="1"/>
  <c r="Q352" i="32" s="1"/>
  <c r="Q354" i="32" s="1"/>
  <c r="Q356" i="32" s="1"/>
  <c r="Q358" i="32" s="1"/>
  <c r="Q360" i="32" s="1"/>
  <c r="Q362" i="32" s="1"/>
  <c r="Q364" i="32" s="1"/>
  <c r="Q366" i="32" s="1"/>
  <c r="Q368" i="32" s="1"/>
  <c r="Q370" i="32" s="1"/>
  <c r="Q372" i="32" s="1"/>
  <c r="Q374" i="32" s="1"/>
  <c r="Q376" i="32" s="1"/>
  <c r="Q378" i="32" s="1"/>
  <c r="Q380" i="32" s="1"/>
  <c r="Q382" i="32" s="1"/>
  <c r="Q384" i="32" s="1"/>
  <c r="Q386" i="32" s="1"/>
  <c r="Q388" i="32" s="1"/>
  <c r="Q390" i="32" s="1"/>
  <c r="Q392" i="32" s="1"/>
  <c r="Q394" i="32" s="1"/>
  <c r="Q396" i="32" s="1"/>
  <c r="Q398" i="32" s="1"/>
  <c r="Q400" i="32" s="1"/>
  <c r="Q402" i="32" s="1"/>
  <c r="Q404" i="32" s="1"/>
  <c r="Q406" i="32" s="1"/>
  <c r="Q408" i="32" s="1"/>
  <c r="Q410" i="32" s="1"/>
  <c r="Q412" i="32" s="1"/>
  <c r="Q414" i="32" s="1"/>
  <c r="Q416" i="32" s="1"/>
  <c r="Q418" i="32" s="1"/>
  <c r="G772" i="27"/>
  <c r="L245" i="27"/>
  <c r="L20" i="27"/>
  <c r="F3575" i="27" l="1"/>
  <c r="B2988" i="27"/>
  <c r="I249" i="27"/>
  <c r="C248" i="27"/>
  <c r="C505" i="27"/>
  <c r="H506" i="27"/>
  <c r="B506" i="27"/>
  <c r="B254" i="27"/>
  <c r="B30" i="27"/>
  <c r="I30" i="27"/>
  <c r="C29" i="27"/>
  <c r="Q420" i="32"/>
  <c r="Q422" i="32" s="1"/>
  <c r="Q424" i="32" s="1"/>
  <c r="Q426" i="32" s="1"/>
  <c r="Q428" i="32" s="1"/>
  <c r="Q430" i="32" s="1"/>
  <c r="Q432" i="32" s="1"/>
  <c r="Q434" i="32" s="1"/>
  <c r="Q436" i="32" s="1"/>
  <c r="Q438" i="32" s="1"/>
  <c r="Q440" i="32" s="1"/>
  <c r="Q442" i="32" s="1"/>
  <c r="Q444" i="32" s="1"/>
  <c r="Q446" i="32" s="1"/>
  <c r="Q448" i="32" s="1"/>
  <c r="Q450" i="32" s="1"/>
  <c r="Q452" i="32" s="1"/>
  <c r="Q454" i="32" s="1"/>
  <c r="Q456" i="32" s="1"/>
  <c r="Q458" i="32" s="1"/>
  <c r="Q460" i="32" s="1"/>
  <c r="Q462" i="32" s="1"/>
  <c r="Q464" i="32" s="1"/>
  <c r="Q466" i="32" s="1"/>
  <c r="Q468" i="32" s="1"/>
  <c r="Q470" i="32" s="1"/>
  <c r="Q472" i="32" s="1"/>
  <c r="Q474" i="32" s="1"/>
  <c r="Q476" i="32" s="1"/>
  <c r="Q478" i="32" s="1"/>
  <c r="Q480" i="32" s="1"/>
  <c r="Q482" i="32" s="1"/>
  <c r="Q484" i="32" s="1"/>
  <c r="Q486" i="32" s="1"/>
  <c r="Q488" i="32" s="1"/>
  <c r="Q490" i="32" s="1"/>
  <c r="Q492" i="32" s="1"/>
  <c r="Q494" i="32" s="1"/>
  <c r="Q496" i="32" s="1"/>
  <c r="Q498" i="32" s="1"/>
  <c r="Q500" i="32" s="1"/>
  <c r="Q502" i="32" s="1"/>
  <c r="Q504" i="32" s="1"/>
  <c r="Q506" i="32" s="1"/>
  <c r="Q508" i="32" s="1"/>
  <c r="Q510" i="32" s="1"/>
  <c r="Q512" i="32" s="1"/>
  <c r="Q514" i="32" s="1"/>
  <c r="Q516" i="32" s="1"/>
  <c r="Q518" i="32" s="1"/>
  <c r="Q520" i="32" s="1"/>
  <c r="Q522" i="32" s="1"/>
  <c r="Q524" i="32" s="1"/>
  <c r="Q526" i="32" s="1"/>
  <c r="Q528" i="32" s="1"/>
  <c r="Q530" i="32" s="1"/>
  <c r="Q532" i="32" s="1"/>
  <c r="Q534" i="32" s="1"/>
  <c r="Q536" i="32" s="1"/>
  <c r="Q538" i="32" s="1"/>
  <c r="Q540" i="32" s="1"/>
  <c r="Q542" i="32" s="1"/>
  <c r="Q544" i="32" s="1"/>
  <c r="Q546" i="32" s="1"/>
  <c r="Q548" i="32" s="1"/>
  <c r="Q550" i="32" s="1"/>
  <c r="Q552" i="32" s="1"/>
  <c r="Q554" i="32" s="1"/>
  <c r="Q556" i="32" s="1"/>
  <c r="Q558" i="32" s="1"/>
  <c r="Q560" i="32" s="1"/>
  <c r="Q562" i="32" s="1"/>
  <c r="Q564" i="32" s="1"/>
  <c r="Q566" i="32" s="1"/>
  <c r="Q568" i="32" s="1"/>
  <c r="Q570" i="32" s="1"/>
  <c r="Q572" i="32" s="1"/>
  <c r="Q574" i="32" s="1"/>
  <c r="Q576" i="32" s="1"/>
  <c r="Q578" i="32" s="1"/>
  <c r="Q580" i="32" s="1"/>
  <c r="Q582" i="32" s="1"/>
  <c r="Q584" i="32" s="1"/>
  <c r="Q586" i="32" s="1"/>
  <c r="Q588" i="32" s="1"/>
  <c r="Q590" i="32" s="1"/>
  <c r="Q592" i="32" s="1"/>
  <c r="Q594" i="32" s="1"/>
  <c r="Q596" i="32" s="1"/>
  <c r="Q598" i="32" s="1"/>
  <c r="Q600" i="32" s="1"/>
  <c r="Q602" i="32" s="1"/>
  <c r="Q604" i="32" s="1"/>
  <c r="Q606" i="32" s="1"/>
  <c r="Q608" i="32" s="1"/>
  <c r="Q610" i="32" s="1"/>
  <c r="Q612" i="32" s="1"/>
  <c r="Q614" i="32" s="1"/>
  <c r="Q623" i="32"/>
  <c r="AT19" i="33"/>
  <c r="AE15" i="31"/>
  <c r="AD12" i="34"/>
  <c r="AH13" i="30"/>
  <c r="G513" i="16"/>
  <c r="G512" i="16"/>
  <c r="G773" i="27"/>
  <c r="L246" i="27"/>
  <c r="J21" i="27"/>
  <c r="F3576" i="27" l="1"/>
  <c r="B2989" i="27"/>
  <c r="I250" i="27"/>
  <c r="C249" i="27"/>
  <c r="B507" i="27"/>
  <c r="C506" i="27"/>
  <c r="H507" i="27"/>
  <c r="B255" i="27"/>
  <c r="B31" i="27"/>
  <c r="I31" i="27"/>
  <c r="C30" i="27"/>
  <c r="BM13" i="30" a="1"/>
  <c r="BM13" i="30" s="1"/>
  <c r="Q625" i="32"/>
  <c r="AT21" i="33"/>
  <c r="AE17" i="31"/>
  <c r="AD13" i="34"/>
  <c r="AH15" i="30"/>
  <c r="H3" i="19"/>
  <c r="H2" i="19"/>
  <c r="Q10" i="32"/>
  <c r="G774" i="27"/>
  <c r="AE21" i="27"/>
  <c r="J22" i="27"/>
  <c r="L247" i="27"/>
  <c r="F3577" i="27" l="1"/>
  <c r="B2990" i="27"/>
  <c r="C250" i="27"/>
  <c r="I251" i="27"/>
  <c r="C507" i="27"/>
  <c r="H508" i="27"/>
  <c r="B508" i="27"/>
  <c r="B256" i="27"/>
  <c r="B32" i="27"/>
  <c r="I32" i="27"/>
  <c r="C31" i="27"/>
  <c r="Q12" i="32"/>
  <c r="Q14" i="32" s="1"/>
  <c r="BM15" i="30" a="1"/>
  <c r="BM15" i="30" s="1"/>
  <c r="Q627" i="32"/>
  <c r="AT23" i="33"/>
  <c r="AE19" i="31"/>
  <c r="AD14" i="34"/>
  <c r="AH17" i="30"/>
  <c r="G775" i="27"/>
  <c r="AE22" i="27"/>
  <c r="J23" i="27"/>
  <c r="L248" i="27"/>
  <c r="F3578" i="27" l="1"/>
  <c r="F3579" i="27"/>
  <c r="B2991" i="27"/>
  <c r="I252" i="27"/>
  <c r="C251" i="27"/>
  <c r="B509" i="27"/>
  <c r="C508" i="27"/>
  <c r="H509" i="27"/>
  <c r="B257" i="27"/>
  <c r="I33" i="27"/>
  <c r="C32" i="27"/>
  <c r="B33" i="27"/>
  <c r="BM17" i="30" a="1"/>
  <c r="BM17" i="30" s="1"/>
  <c r="Q16" i="32"/>
  <c r="Q629" i="32"/>
  <c r="AT25" i="33"/>
  <c r="AE21" i="31"/>
  <c r="AD15" i="34"/>
  <c r="AH19" i="30"/>
  <c r="G776" i="27"/>
  <c r="AE23" i="27"/>
  <c r="J24" i="27"/>
  <c r="L249" i="27"/>
  <c r="F3580" i="27" l="1"/>
  <c r="B2992" i="27"/>
  <c r="C252" i="27"/>
  <c r="I253" i="27"/>
  <c r="B510" i="27"/>
  <c r="C509" i="27"/>
  <c r="H510" i="27"/>
  <c r="C33" i="27"/>
  <c r="BM19" i="30" a="1"/>
  <c r="BM19" i="30" s="1"/>
  <c r="Q18" i="32"/>
  <c r="Q631" i="32"/>
  <c r="AT27" i="33"/>
  <c r="AH21" i="30"/>
  <c r="AE23" i="31"/>
  <c r="AD16" i="34"/>
  <c r="G777" i="27"/>
  <c r="AE24" i="27"/>
  <c r="J25" i="27"/>
  <c r="L250" i="27"/>
  <c r="F3581" i="27" l="1"/>
  <c r="B2993" i="27"/>
  <c r="C253" i="27"/>
  <c r="I254" i="27"/>
  <c r="B511" i="27"/>
  <c r="C510" i="27"/>
  <c r="H511" i="27"/>
  <c r="BM21" i="30" a="1"/>
  <c r="BM21" i="30" s="1"/>
  <c r="AH23" i="30"/>
  <c r="AH25" i="30" s="1"/>
  <c r="Q20" i="32"/>
  <c r="Q633" i="32"/>
  <c r="AT29" i="33"/>
  <c r="AE25" i="31"/>
  <c r="AD17" i="34"/>
  <c r="G778" i="27"/>
  <c r="AE25" i="27"/>
  <c r="L251" i="27"/>
  <c r="F3582" i="27" l="1"/>
  <c r="B2994" i="27"/>
  <c r="C254" i="27"/>
  <c r="I255" i="27"/>
  <c r="B512" i="27"/>
  <c r="H512" i="27"/>
  <c r="C511" i="27"/>
  <c r="BM23" i="30" a="1"/>
  <c r="BM23" i="30" s="1"/>
  <c r="BM25" i="30" a="1"/>
  <c r="BM25" i="30" s="1"/>
  <c r="Q22" i="32"/>
  <c r="Q635" i="32"/>
  <c r="AT31" i="33"/>
  <c r="AE27" i="31"/>
  <c r="AD18" i="34"/>
  <c r="AH27" i="30"/>
  <c r="G779" i="27"/>
  <c r="AE26" i="27"/>
  <c r="AE27" i="27"/>
  <c r="F3583" i="27" l="1"/>
  <c r="B2995" i="27"/>
  <c r="I256" i="27"/>
  <c r="C255" i="27"/>
  <c r="H513" i="27"/>
  <c r="C512" i="27"/>
  <c r="B513" i="27"/>
  <c r="BM27" i="30" a="1"/>
  <c r="BM27" i="30" s="1"/>
  <c r="Q24" i="32"/>
  <c r="Q637" i="32"/>
  <c r="AT33" i="33"/>
  <c r="AH29" i="30"/>
  <c r="AE29" i="31"/>
  <c r="AD19" i="34"/>
  <c r="G780" i="27"/>
  <c r="AE28" i="27"/>
  <c r="L253" i="27"/>
  <c r="F3584" i="27" l="1"/>
  <c r="F3585" i="27"/>
  <c r="B2996" i="27"/>
  <c r="I257" i="27"/>
  <c r="C256" i="27"/>
  <c r="B514" i="27"/>
  <c r="H514" i="27"/>
  <c r="C513" i="27"/>
  <c r="BM29" i="30" a="1"/>
  <c r="BM29" i="30" s="1"/>
  <c r="AH31" i="30"/>
  <c r="AH33" i="30" s="1"/>
  <c r="Q26" i="32"/>
  <c r="Q28" i="32" s="1"/>
  <c r="Q639" i="32"/>
  <c r="AT35" i="33"/>
  <c r="AE31" i="31"/>
  <c r="AD20" i="34"/>
  <c r="G781" i="27"/>
  <c r="AE29" i="27"/>
  <c r="L31" i="27"/>
  <c r="L254" i="27"/>
  <c r="H31" i="27"/>
  <c r="F3586" i="27" l="1"/>
  <c r="B2997" i="27"/>
  <c r="C257" i="27"/>
  <c r="H515" i="27"/>
  <c r="C514" i="27"/>
  <c r="B515" i="27"/>
  <c r="BM31" i="30" a="1"/>
  <c r="BM31" i="30" s="1"/>
  <c r="BM33" i="30" a="1"/>
  <c r="BM33" i="30" s="1"/>
  <c r="BI33" i="30"/>
  <c r="Q30" i="32"/>
  <c r="Q641" i="32"/>
  <c r="AT37" i="33"/>
  <c r="AE33" i="31"/>
  <c r="AD21" i="34"/>
  <c r="AH35" i="30"/>
  <c r="G782" i="27"/>
  <c r="AE31" i="27"/>
  <c r="AE30" i="27"/>
  <c r="L255" i="27"/>
  <c r="F3587" i="27" l="1"/>
  <c r="B2998" i="27"/>
  <c r="B516" i="27"/>
  <c r="H516" i="27"/>
  <c r="C515" i="27"/>
  <c r="BM35" i="30" a="1"/>
  <c r="BM35" i="30" s="1"/>
  <c r="Q32" i="32"/>
  <c r="Q643" i="32"/>
  <c r="AT39" i="33"/>
  <c r="AE35" i="31"/>
  <c r="AD22" i="34"/>
  <c r="AH37" i="30"/>
  <c r="AE32" i="27"/>
  <c r="J33" i="27"/>
  <c r="L256" i="27"/>
  <c r="F3588" i="27" l="1"/>
  <c r="B2999" i="27"/>
  <c r="C516" i="27"/>
  <c r="H517" i="27"/>
  <c r="B517" i="27"/>
  <c r="BM37" i="30" a="1"/>
  <c r="BM37" i="30" s="1"/>
  <c r="Q34" i="32"/>
  <c r="Q645" i="32"/>
  <c r="AT41" i="33"/>
  <c r="AE37" i="31"/>
  <c r="AD23" i="34"/>
  <c r="AG124" i="1"/>
  <c r="AE33" i="27"/>
  <c r="L257" i="27"/>
  <c r="F3589" i="27" l="1"/>
  <c r="B3000" i="27"/>
  <c r="B518" i="27"/>
  <c r="C517" i="27"/>
  <c r="H518" i="27"/>
  <c r="Q36" i="32"/>
  <c r="Q647" i="32"/>
  <c r="AT43" i="33"/>
  <c r="AD24" i="34"/>
  <c r="D32" i="1"/>
  <c r="F3590" i="27" l="1"/>
  <c r="F3591" i="27"/>
  <c r="B3001" i="27"/>
  <c r="B519" i="27"/>
  <c r="C518" i="27"/>
  <c r="H519" i="27"/>
  <c r="Q38" i="32"/>
  <c r="Q649" i="32"/>
  <c r="AT45" i="33"/>
  <c r="AD25" i="34"/>
  <c r="E102" i="1"/>
  <c r="C102" i="1"/>
  <c r="F3592" i="27" l="1"/>
  <c r="B3002" i="27"/>
  <c r="B520" i="27"/>
  <c r="C519" i="27"/>
  <c r="H520" i="27"/>
  <c r="B102" i="1" a="1"/>
  <c r="B102" i="1" s="1"/>
  <c r="B103" i="1" s="1" a="1"/>
  <c r="B103" i="1" s="1"/>
  <c r="B104" i="1" s="1" a="1"/>
  <c r="B104" i="1" s="1"/>
  <c r="X136" i="1"/>
  <c r="AH136" i="1" s="1"/>
  <c r="X130" i="1"/>
  <c r="AH130" i="1" s="1"/>
  <c r="X142" i="1"/>
  <c r="AH142" i="1" s="1"/>
  <c r="X154" i="1"/>
  <c r="AH154" i="1" s="1"/>
  <c r="X148" i="1"/>
  <c r="AH148" i="1" s="1"/>
  <c r="X140" i="1"/>
  <c r="AH140" i="1" s="1"/>
  <c r="X127" i="1"/>
  <c r="AH127" i="1" s="1"/>
  <c r="X129" i="1"/>
  <c r="AH129" i="1" s="1"/>
  <c r="X152" i="1"/>
  <c r="AH152" i="1" s="1"/>
  <c r="X126" i="1"/>
  <c r="AH126" i="1" s="1"/>
  <c r="X150" i="1"/>
  <c r="AH150" i="1" s="1"/>
  <c r="X147" i="1"/>
  <c r="AH147" i="1" s="1"/>
  <c r="X138" i="1"/>
  <c r="AH138" i="1" s="1"/>
  <c r="X139" i="1"/>
  <c r="AH139" i="1" s="1"/>
  <c r="X141" i="1"/>
  <c r="AH141" i="1" s="1"/>
  <c r="X151" i="1"/>
  <c r="AH151" i="1" s="1"/>
  <c r="X134" i="1"/>
  <c r="AH134" i="1" s="1"/>
  <c r="X153" i="1"/>
  <c r="AH153" i="1" s="1"/>
  <c r="X125" i="1"/>
  <c r="AH125" i="1" s="1"/>
  <c r="X144" i="1"/>
  <c r="AH144" i="1" s="1"/>
  <c r="X131" i="1"/>
  <c r="AH131" i="1" s="1"/>
  <c r="X137" i="1"/>
  <c r="AH137" i="1" s="1"/>
  <c r="X143" i="1"/>
  <c r="AH143" i="1" s="1"/>
  <c r="X132" i="1"/>
  <c r="AH132" i="1" s="1"/>
  <c r="X133" i="1"/>
  <c r="AH133" i="1" s="1"/>
  <c r="X149" i="1"/>
  <c r="AH149" i="1" s="1"/>
  <c r="X128" i="1"/>
  <c r="AH128" i="1" s="1"/>
  <c r="X145" i="1"/>
  <c r="AH145" i="1" s="1"/>
  <c r="X135" i="1"/>
  <c r="AH135" i="1" s="1"/>
  <c r="X146" i="1"/>
  <c r="AH146" i="1" s="1"/>
  <c r="CJ26" i="33"/>
  <c r="CJ50" i="33"/>
  <c r="CJ28" i="33"/>
  <c r="CJ52" i="33"/>
  <c r="CJ30" i="33"/>
  <c r="CJ54" i="33"/>
  <c r="CJ32" i="33"/>
  <c r="CJ56" i="33"/>
  <c r="CJ10" i="33"/>
  <c r="CJ34" i="33"/>
  <c r="CJ58" i="33"/>
  <c r="CJ12" i="33"/>
  <c r="CJ36" i="33"/>
  <c r="CJ60" i="33"/>
  <c r="CJ14" i="33"/>
  <c r="CJ38" i="33"/>
  <c r="CJ62" i="33"/>
  <c r="CJ48" i="33"/>
  <c r="CJ16" i="33"/>
  <c r="CJ40" i="33"/>
  <c r="CJ64" i="33"/>
  <c r="CJ24" i="33"/>
  <c r="CJ18" i="33"/>
  <c r="CJ42" i="33"/>
  <c r="CJ66" i="33"/>
  <c r="CJ20" i="33"/>
  <c r="CJ44" i="33"/>
  <c r="CJ92" i="33"/>
  <c r="CJ22" i="33"/>
  <c r="CJ46" i="33"/>
  <c r="Q40" i="32"/>
  <c r="Q651" i="32"/>
  <c r="AT47" i="33"/>
  <c r="AD26" i="34"/>
  <c r="F3593" i="27" l="1"/>
  <c r="B3003" i="27"/>
  <c r="C520" i="27"/>
  <c r="H521" i="27"/>
  <c r="B521" i="27"/>
  <c r="B105" i="1" a="1"/>
  <c r="B105" i="1" s="1"/>
  <c r="Q42" i="32"/>
  <c r="Q653" i="32"/>
  <c r="AT49" i="33"/>
  <c r="AD27" i="34"/>
  <c r="C3062" i="27"/>
  <c r="B3062" i="27"/>
  <c r="F3594" i="27" l="1"/>
  <c r="E3062" i="27"/>
  <c r="E3230" i="27"/>
  <c r="E3229" i="27"/>
  <c r="E3228" i="27"/>
  <c r="E3132" i="27"/>
  <c r="E3227" i="27"/>
  <c r="E3232" i="27"/>
  <c r="E3231" i="27"/>
  <c r="E3206" i="27"/>
  <c r="E3196" i="27"/>
  <c r="E3162" i="27"/>
  <c r="E3223" i="27"/>
  <c r="E3178" i="27"/>
  <c r="E3155" i="27"/>
  <c r="E3135" i="27"/>
  <c r="E3113" i="27"/>
  <c r="E3103" i="27"/>
  <c r="E3140" i="27"/>
  <c r="E3141" i="27"/>
  <c r="E3119" i="27"/>
  <c r="E3120" i="27"/>
  <c r="E3110" i="27"/>
  <c r="E3104" i="27"/>
  <c r="E3146" i="27"/>
  <c r="E3208" i="27"/>
  <c r="E3174" i="27"/>
  <c r="E3163" i="27"/>
  <c r="E3190" i="27"/>
  <c r="E3179" i="27"/>
  <c r="E3147" i="27"/>
  <c r="E3125" i="27"/>
  <c r="E3115" i="27"/>
  <c r="E3152" i="27"/>
  <c r="E3070" i="27"/>
  <c r="E3131" i="27"/>
  <c r="E3073" i="27"/>
  <c r="E3122" i="27"/>
  <c r="E3079" i="27"/>
  <c r="E3159" i="27"/>
  <c r="E3220" i="27"/>
  <c r="E3186" i="27"/>
  <c r="E3194" i="27"/>
  <c r="E3202" i="27"/>
  <c r="E3169" i="27"/>
  <c r="E3076" i="27"/>
  <c r="E3137" i="27"/>
  <c r="E3127" i="27"/>
  <c r="E3164" i="27"/>
  <c r="E3082" i="27"/>
  <c r="E3143" i="27"/>
  <c r="E3085" i="27"/>
  <c r="E3134" i="27"/>
  <c r="E3105" i="27"/>
  <c r="E3098" i="27"/>
  <c r="E3171" i="27"/>
  <c r="E3218" i="27"/>
  <c r="E3198" i="27"/>
  <c r="E3165" i="27"/>
  <c r="E3214" i="27"/>
  <c r="E3181" i="27"/>
  <c r="E3088" i="27"/>
  <c r="E3078" i="27"/>
  <c r="E3139" i="27"/>
  <c r="E3176" i="27"/>
  <c r="E3094" i="27"/>
  <c r="E3144" i="27"/>
  <c r="E3097" i="27"/>
  <c r="E3130" i="27"/>
  <c r="E3216" i="27"/>
  <c r="E3117" i="27"/>
  <c r="E3107" i="27"/>
  <c r="E3183" i="27"/>
  <c r="E3149" i="27"/>
  <c r="E3210" i="27"/>
  <c r="E3177" i="27"/>
  <c r="E3226" i="27"/>
  <c r="E3193" i="27"/>
  <c r="E3100" i="27"/>
  <c r="E3090" i="27"/>
  <c r="E3080" i="27"/>
  <c r="E3188" i="27"/>
  <c r="E3106" i="27"/>
  <c r="E3156" i="27"/>
  <c r="E3109" i="27"/>
  <c r="E3180" i="27"/>
  <c r="E3133" i="27"/>
  <c r="E3086" i="27"/>
  <c r="E3195" i="27"/>
  <c r="E3161" i="27"/>
  <c r="E3222" i="27"/>
  <c r="E3189" i="27"/>
  <c r="E3170" i="27"/>
  <c r="E3205" i="27"/>
  <c r="E3112" i="27"/>
  <c r="E3102" i="27"/>
  <c r="E3128" i="27"/>
  <c r="E3200" i="27"/>
  <c r="E3118" i="27"/>
  <c r="E3168" i="27"/>
  <c r="E3121" i="27"/>
  <c r="E3212" i="27"/>
  <c r="E3069" i="27"/>
  <c r="E3083" i="27"/>
  <c r="E3096" i="27"/>
  <c r="E3207" i="27"/>
  <c r="E3173" i="27"/>
  <c r="E3158" i="27"/>
  <c r="E3201" i="27"/>
  <c r="E3154" i="27"/>
  <c r="E3217" i="27"/>
  <c r="E3124" i="27"/>
  <c r="E3114" i="27"/>
  <c r="E3074" i="27"/>
  <c r="E3219" i="27"/>
  <c r="E3185" i="27"/>
  <c r="E3151" i="27"/>
  <c r="E3213" i="27"/>
  <c r="E3167" i="27"/>
  <c r="E3075" i="27"/>
  <c r="E3136" i="27"/>
  <c r="E3126" i="27"/>
  <c r="E3224" i="27"/>
  <c r="E3081" i="27"/>
  <c r="E3142" i="27"/>
  <c r="E3192" i="27"/>
  <c r="E3145" i="27"/>
  <c r="E3204" i="27"/>
  <c r="E3084" i="27"/>
  <c r="E3092" i="27"/>
  <c r="E3072" i="27"/>
  <c r="E3108" i="27"/>
  <c r="E3197" i="27"/>
  <c r="E3175" i="27"/>
  <c r="E3225" i="27"/>
  <c r="E3191" i="27"/>
  <c r="E3087" i="27"/>
  <c r="E3148" i="27"/>
  <c r="E3138" i="27"/>
  <c r="E3068" i="27"/>
  <c r="E3093" i="27"/>
  <c r="E3071" i="27"/>
  <c r="E3067" i="27"/>
  <c r="E3095" i="27"/>
  <c r="E3160" i="27"/>
  <c r="E3209" i="27"/>
  <c r="E3187" i="27"/>
  <c r="E3157" i="27"/>
  <c r="E3203" i="27"/>
  <c r="E3099" i="27"/>
  <c r="E3077" i="27"/>
  <c r="E3172" i="27"/>
  <c r="E3221" i="27"/>
  <c r="E3199" i="27"/>
  <c r="E3153" i="27"/>
  <c r="E3215" i="27"/>
  <c r="E3111" i="27"/>
  <c r="E3089" i="27"/>
  <c r="E3184" i="27"/>
  <c r="E3150" i="27"/>
  <c r="E3211" i="27"/>
  <c r="E3166" i="27"/>
  <c r="E3182" i="27"/>
  <c r="E3123" i="27"/>
  <c r="E3101" i="27"/>
  <c r="E3091" i="27"/>
  <c r="E3116" i="27"/>
  <c r="E3129" i="27"/>
  <c r="E3064" i="27"/>
  <c r="E3063" i="27"/>
  <c r="E3066" i="27"/>
  <c r="E3065" i="27"/>
  <c r="B3004" i="27"/>
  <c r="C521" i="27"/>
  <c r="H522" i="27"/>
  <c r="B522" i="27"/>
  <c r="B106" i="1" a="1"/>
  <c r="B106" i="1" s="1"/>
  <c r="B107" i="1" s="1" a="1"/>
  <c r="B107" i="1" s="1"/>
  <c r="H3062" i="27"/>
  <c r="I3062" i="27"/>
  <c r="Q44" i="32"/>
  <c r="Q655" i="32"/>
  <c r="AT51" i="33"/>
  <c r="AD28" i="34"/>
  <c r="D3062" i="27"/>
  <c r="D3063" i="27" s="1"/>
  <c r="D3064" i="27" s="1"/>
  <c r="D3065" i="27" s="1"/>
  <c r="D3066" i="27" s="1"/>
  <c r="D3067" i="27" s="1"/>
  <c r="D3068" i="27" s="1"/>
  <c r="D3069" i="27" s="1"/>
  <c r="D3070" i="27" s="1"/>
  <c r="D3071" i="27" s="1"/>
  <c r="D3072" i="27" s="1"/>
  <c r="D3073" i="27" s="1"/>
  <c r="D3074" i="27" s="1"/>
  <c r="D3075" i="27" s="1"/>
  <c r="D3076" i="27" s="1"/>
  <c r="D3077" i="27" s="1"/>
  <c r="D3078" i="27" s="1"/>
  <c r="D3079" i="27" s="1"/>
  <c r="D3080" i="27" s="1"/>
  <c r="D3081" i="27" s="1"/>
  <c r="D3082" i="27" s="1"/>
  <c r="D3083" i="27" s="1"/>
  <c r="D3084" i="27" s="1"/>
  <c r="D3085" i="27" s="1"/>
  <c r="D3086" i="27" s="1"/>
  <c r="D3087" i="27" s="1"/>
  <c r="D3088" i="27" s="1"/>
  <c r="D3089" i="27" s="1"/>
  <c r="D3090" i="27" s="1"/>
  <c r="D3091" i="27" s="1"/>
  <c r="D3092" i="27" s="1"/>
  <c r="D3093" i="27" s="1"/>
  <c r="D3094" i="27" s="1"/>
  <c r="D3095" i="27" s="1"/>
  <c r="D3096" i="27" s="1"/>
  <c r="D3097" i="27" s="1"/>
  <c r="D3098" i="27" s="1"/>
  <c r="D3099" i="27" s="1"/>
  <c r="D3100" i="27" s="1"/>
  <c r="D3101" i="27" s="1"/>
  <c r="D3102" i="27" s="1"/>
  <c r="D3103" i="27" s="1"/>
  <c r="D3104" i="27" s="1"/>
  <c r="D3105" i="27" s="1"/>
  <c r="D3106" i="27" s="1"/>
  <c r="D3107" i="27" s="1"/>
  <c r="D3108" i="27" s="1"/>
  <c r="D3109" i="27" s="1"/>
  <c r="D3110" i="27" s="1"/>
  <c r="D3111" i="27" s="1"/>
  <c r="D3112" i="27" s="1"/>
  <c r="D3113" i="27" s="1"/>
  <c r="D3114" i="27" s="1"/>
  <c r="D3115" i="27" s="1"/>
  <c r="D3116" i="27" s="1"/>
  <c r="D3117" i="27" s="1"/>
  <c r="D3118" i="27" s="1"/>
  <c r="D3119" i="27" s="1"/>
  <c r="D3120" i="27" s="1"/>
  <c r="D3121" i="27" s="1"/>
  <c r="D3122" i="27" s="1"/>
  <c r="D3123" i="27" s="1"/>
  <c r="D3124" i="27" s="1"/>
  <c r="D3125" i="27" s="1"/>
  <c r="D3126" i="27" s="1"/>
  <c r="D3127" i="27" s="1"/>
  <c r="D3128" i="27" s="1"/>
  <c r="D3129" i="27" s="1"/>
  <c r="D3130" i="27" s="1"/>
  <c r="D3131" i="27" s="1"/>
  <c r="D3132" i="27" s="1"/>
  <c r="D3133" i="27" s="1"/>
  <c r="D3134" i="27" s="1"/>
  <c r="D3135" i="27" s="1"/>
  <c r="D3136" i="27" s="1"/>
  <c r="D3137" i="27" s="1"/>
  <c r="D3138" i="27" s="1"/>
  <c r="D3139" i="27" s="1"/>
  <c r="D3140" i="27" s="1"/>
  <c r="D3141" i="27" s="1"/>
  <c r="D3142" i="27" s="1"/>
  <c r="D3143" i="27" s="1"/>
  <c r="D3144" i="27" s="1"/>
  <c r="D3145" i="27" s="1"/>
  <c r="D3146" i="27" s="1"/>
  <c r="D3147" i="27" s="1"/>
  <c r="D3148" i="27" s="1"/>
  <c r="D3149" i="27" s="1"/>
  <c r="D3150" i="27" s="1"/>
  <c r="D3151" i="27" s="1"/>
  <c r="D3152" i="27" s="1"/>
  <c r="D3153" i="27" s="1"/>
  <c r="D3154" i="27" s="1"/>
  <c r="D3155" i="27" s="1"/>
  <c r="D3156" i="27" s="1"/>
  <c r="D3157" i="27" s="1"/>
  <c r="D3158" i="27" s="1"/>
  <c r="D3159" i="27" s="1"/>
  <c r="D3160" i="27" s="1"/>
  <c r="D3161" i="27" s="1"/>
  <c r="D3162" i="27" s="1"/>
  <c r="D3163" i="27" s="1"/>
  <c r="D3164" i="27" s="1"/>
  <c r="D3165" i="27" s="1"/>
  <c r="D3166" i="27" s="1"/>
  <c r="D3167" i="27" s="1"/>
  <c r="D3168" i="27" s="1"/>
  <c r="D3169" i="27" s="1"/>
  <c r="D3170" i="27" s="1"/>
  <c r="D3171" i="27" s="1"/>
  <c r="D3172" i="27" s="1"/>
  <c r="D3173" i="27" s="1"/>
  <c r="D3174" i="27" s="1"/>
  <c r="D3175" i="27" s="1"/>
  <c r="D3176" i="27" s="1"/>
  <c r="D3177" i="27" s="1"/>
  <c r="D3178" i="27" s="1"/>
  <c r="D3179" i="27" s="1"/>
  <c r="D3180" i="27" s="1"/>
  <c r="D3181" i="27" s="1"/>
  <c r="D3182" i="27" s="1"/>
  <c r="D3183" i="27" s="1"/>
  <c r="D3184" i="27" s="1"/>
  <c r="D3185" i="27" s="1"/>
  <c r="D3186" i="27" s="1"/>
  <c r="D3187" i="27" s="1"/>
  <c r="D3188" i="27" s="1"/>
  <c r="D3189" i="27" s="1"/>
  <c r="D3190" i="27" s="1"/>
  <c r="D3191" i="27" s="1"/>
  <c r="D3192" i="27" s="1"/>
  <c r="D3193" i="27" s="1"/>
  <c r="D3194" i="27" s="1"/>
  <c r="D3195" i="27" s="1"/>
  <c r="D3196" i="27" s="1"/>
  <c r="D3197" i="27" s="1"/>
  <c r="D3198" i="27" s="1"/>
  <c r="D3199" i="27" s="1"/>
  <c r="D3200" i="27" s="1"/>
  <c r="D3201" i="27" s="1"/>
  <c r="D3202" i="27" s="1"/>
  <c r="D3203" i="27" s="1"/>
  <c r="D3204" i="27" s="1"/>
  <c r="D3205" i="27" s="1"/>
  <c r="D3206" i="27" s="1"/>
  <c r="D3207" i="27" s="1"/>
  <c r="D3208" i="27" s="1"/>
  <c r="D3209" i="27" s="1"/>
  <c r="D3210" i="27" s="1"/>
  <c r="D3211" i="27" s="1"/>
  <c r="D3212" i="27" s="1"/>
  <c r="D3213" i="27" s="1"/>
  <c r="D3214" i="27" s="1"/>
  <c r="D3215" i="27" s="1"/>
  <c r="D3216" i="27" s="1"/>
  <c r="D3217" i="27" s="1"/>
  <c r="D3218" i="27" s="1"/>
  <c r="D3219" i="27" s="1"/>
  <c r="D3220" i="27" s="1"/>
  <c r="D3221" i="27" s="1"/>
  <c r="D3222" i="27" s="1"/>
  <c r="D3223" i="27" s="1"/>
  <c r="D3224" i="27" s="1"/>
  <c r="D3225" i="27" s="1"/>
  <c r="D3226" i="27" s="1"/>
  <c r="D3227" i="27" s="1"/>
  <c r="D3228" i="27" s="1"/>
  <c r="D3229" i="27" s="1"/>
  <c r="D3230" i="27" s="1"/>
  <c r="D3231" i="27" s="1"/>
  <c r="D3232" i="27" s="1"/>
  <c r="D3233" i="27" s="1"/>
  <c r="D3234" i="27" s="1"/>
  <c r="D3235" i="27" s="1"/>
  <c r="D3236" i="27" s="1"/>
  <c r="D3237" i="27" s="1"/>
  <c r="D3238" i="27" s="1"/>
  <c r="D3239" i="27" s="1"/>
  <c r="D3240" i="27" s="1"/>
  <c r="D3241" i="27" s="1"/>
  <c r="D3242" i="27" s="1"/>
  <c r="D3243" i="27" s="1"/>
  <c r="D3244" i="27" s="1"/>
  <c r="D3245" i="27" s="1"/>
  <c r="D3246" i="27" s="1"/>
  <c r="D3247" i="27" s="1"/>
  <c r="D3248" i="27" s="1"/>
  <c r="D3249" i="27" s="1"/>
  <c r="D3250" i="27" s="1"/>
  <c r="D3251" i="27" s="1"/>
  <c r="D3252" i="27" s="1"/>
  <c r="D3253" i="27" s="1"/>
  <c r="D3254" i="27" s="1"/>
  <c r="D3255" i="27" s="1"/>
  <c r="D3256" i="27" s="1"/>
  <c r="D3257" i="27" s="1"/>
  <c r="D3258" i="27" s="1"/>
  <c r="D3259" i="27" s="1"/>
  <c r="D3260" i="27" s="1"/>
  <c r="D3261" i="27" s="1"/>
  <c r="D3262" i="27" s="1"/>
  <c r="D3263" i="27" s="1"/>
  <c r="D3264" i="27" s="1"/>
  <c r="D3265" i="27" s="1"/>
  <c r="D3266" i="27" s="1"/>
  <c r="D3267" i="27" s="1"/>
  <c r="D3268" i="27" s="1"/>
  <c r="D3269" i="27" s="1"/>
  <c r="D3270" i="27" s="1"/>
  <c r="D3271" i="27" s="1"/>
  <c r="D3272" i="27" s="1"/>
  <c r="D3273" i="27" s="1"/>
  <c r="D3274" i="27" s="1"/>
  <c r="D3275" i="27" s="1"/>
  <c r="D3276" i="27" s="1"/>
  <c r="D3277" i="27" s="1"/>
  <c r="D3278" i="27" s="1"/>
  <c r="D3279" i="27" s="1"/>
  <c r="D3280" i="27" s="1"/>
  <c r="D3281" i="27" s="1"/>
  <c r="D3282" i="27" s="1"/>
  <c r="D3283" i="27" s="1"/>
  <c r="D3284" i="27" s="1"/>
  <c r="D3285" i="27" s="1"/>
  <c r="D3286" i="27" s="1"/>
  <c r="D3287" i="27" s="1"/>
  <c r="D3288" i="27" s="1"/>
  <c r="D3289" i="27" s="1"/>
  <c r="D3290" i="27" s="1"/>
  <c r="D3291" i="27" s="1"/>
  <c r="D3292" i="27" s="1"/>
  <c r="D3293" i="27" s="1"/>
  <c r="D3294" i="27" s="1"/>
  <c r="D3295" i="27" s="1"/>
  <c r="D3296" i="27" s="1"/>
  <c r="D3297" i="27" s="1"/>
  <c r="D3298" i="27" s="1"/>
  <c r="D3299" i="27" s="1"/>
  <c r="D3300" i="27" s="1"/>
  <c r="D3301" i="27" s="1"/>
  <c r="D3302" i="27" s="1"/>
  <c r="D3303" i="27" s="1"/>
  <c r="D3304" i="27" s="1"/>
  <c r="D3305" i="27" s="1"/>
  <c r="D3306" i="27" s="1"/>
  <c r="D3307" i="27" s="1"/>
  <c r="D3308" i="27" s="1"/>
  <c r="D3309" i="27" s="1"/>
  <c r="D3310" i="27" s="1"/>
  <c r="D3311" i="27" s="1"/>
  <c r="D3312" i="27" s="1"/>
  <c r="D3313" i="27" s="1"/>
  <c r="D3314" i="27" s="1"/>
  <c r="D3315" i="27" s="1"/>
  <c r="D3316" i="27" s="1"/>
  <c r="D3317" i="27" s="1"/>
  <c r="D3318" i="27" s="1"/>
  <c r="D3319" i="27" s="1"/>
  <c r="D3320" i="27" s="1"/>
  <c r="D3321" i="27" s="1"/>
  <c r="D3322" i="27" s="1"/>
  <c r="D3323" i="27" s="1"/>
  <c r="D3324" i="27" s="1"/>
  <c r="D3325" i="27" s="1"/>
  <c r="D3326" i="27" s="1"/>
  <c r="D3327" i="27" s="1"/>
  <c r="D3328" i="27" s="1"/>
  <c r="D3329" i="27" s="1"/>
  <c r="D3330" i="27" s="1"/>
  <c r="D3331" i="27" s="1"/>
  <c r="D3332" i="27" s="1"/>
  <c r="D3333" i="27" s="1"/>
  <c r="D3334" i="27" s="1"/>
  <c r="D3335" i="27" s="1"/>
  <c r="D3336" i="27" s="1"/>
  <c r="D3337" i="27" s="1"/>
  <c r="D3338" i="27" s="1"/>
  <c r="D3339" i="27" s="1"/>
  <c r="D3340" i="27" s="1"/>
  <c r="D3341" i="27" s="1"/>
  <c r="D3342" i="27" s="1"/>
  <c r="D3343" i="27" s="1"/>
  <c r="D3344" i="27" s="1"/>
  <c r="D3345" i="27" s="1"/>
  <c r="D3346" i="27" s="1"/>
  <c r="D3347" i="27" s="1"/>
  <c r="D3348" i="27" s="1"/>
  <c r="D3349" i="27" s="1"/>
  <c r="D3350" i="27" s="1"/>
  <c r="D3351" i="27" s="1"/>
  <c r="D3352" i="27" s="1"/>
  <c r="D3353" i="27" s="1"/>
  <c r="D3354" i="27" s="1"/>
  <c r="D3355" i="27" s="1"/>
  <c r="D3356" i="27" s="1"/>
  <c r="D3357" i="27" s="1"/>
  <c r="D3358" i="27" s="1"/>
  <c r="D3359" i="27" s="1"/>
  <c r="D3360" i="27" s="1"/>
  <c r="D3361" i="27" s="1"/>
  <c r="D3362" i="27" s="1"/>
  <c r="D3363" i="27" s="1"/>
  <c r="D3364" i="27" s="1"/>
  <c r="D3365" i="27" s="1"/>
  <c r="D3366" i="27" s="1"/>
  <c r="D3367" i="27" s="1"/>
  <c r="D3368" i="27" s="1"/>
  <c r="D3369" i="27" s="1"/>
  <c r="D3370" i="27" s="1"/>
  <c r="D3371" i="27" s="1"/>
  <c r="D3372" i="27" s="1"/>
  <c r="D3373" i="27" s="1"/>
  <c r="D3374" i="27" s="1"/>
  <c r="D3375" i="27" s="1"/>
  <c r="D3376" i="27" s="1"/>
  <c r="D3377" i="27" s="1"/>
  <c r="D3378" i="27" s="1"/>
  <c r="D3379" i="27" s="1"/>
  <c r="D3380" i="27" s="1"/>
  <c r="D3381" i="27" s="1"/>
  <c r="D3382" i="27" s="1"/>
  <c r="D3383" i="27" s="1"/>
  <c r="D3384" i="27" s="1"/>
  <c r="D3385" i="27" s="1"/>
  <c r="D3386" i="27" s="1"/>
  <c r="D3387" i="27" s="1"/>
  <c r="D3388" i="27" s="1"/>
  <c r="D3389" i="27" s="1"/>
  <c r="D3390" i="27" s="1"/>
  <c r="D3391" i="27" s="1"/>
  <c r="D3392" i="27" s="1"/>
  <c r="D3393" i="27" s="1"/>
  <c r="D3394" i="27" s="1"/>
  <c r="D3395" i="27" s="1"/>
  <c r="D3396" i="27" s="1"/>
  <c r="D3397" i="27" s="1"/>
  <c r="D3398" i="27" s="1"/>
  <c r="D3399" i="27" s="1"/>
  <c r="D3400" i="27" s="1"/>
  <c r="D3401" i="27" s="1"/>
  <c r="D3402" i="27" s="1"/>
  <c r="D3403" i="27" s="1"/>
  <c r="D3404" i="27" s="1"/>
  <c r="D3405" i="27" s="1"/>
  <c r="D3406" i="27" s="1"/>
  <c r="D3407" i="27" s="1"/>
  <c r="D3408" i="27" s="1"/>
  <c r="D3409" i="27" s="1"/>
  <c r="D3410" i="27" s="1"/>
  <c r="D3411" i="27" s="1"/>
  <c r="D3412" i="27" s="1"/>
  <c r="D3413" i="27" s="1"/>
  <c r="D3414" i="27" s="1"/>
  <c r="D3415" i="27" s="1"/>
  <c r="D3416" i="27" s="1"/>
  <c r="D3417" i="27" s="1"/>
  <c r="D3418" i="27" s="1"/>
  <c r="D3419" i="27" s="1"/>
  <c r="D3420" i="27" s="1"/>
  <c r="D3421" i="27" s="1"/>
  <c r="D3422" i="27" s="1"/>
  <c r="D3423" i="27" s="1"/>
  <c r="D3424" i="27" s="1"/>
  <c r="D3425" i="27" s="1"/>
  <c r="D3426" i="27" s="1"/>
  <c r="D3427" i="27" s="1"/>
  <c r="D3428" i="27" s="1"/>
  <c r="D3429" i="27" s="1"/>
  <c r="D3430" i="27" s="1"/>
  <c r="D3431" i="27" s="1"/>
  <c r="D3432" i="27" s="1"/>
  <c r="D3433" i="27" s="1"/>
  <c r="D3434" i="27" s="1"/>
  <c r="D3435" i="27" s="1"/>
  <c r="D3436" i="27" s="1"/>
  <c r="D3437" i="27" s="1"/>
  <c r="D3438" i="27" s="1"/>
  <c r="D3439" i="27" s="1"/>
  <c r="D3440" i="27" s="1"/>
  <c r="D3441" i="27" s="1"/>
  <c r="D3442" i="27" s="1"/>
  <c r="D3443" i="27" s="1"/>
  <c r="D3444" i="27" s="1"/>
  <c r="D3445" i="27" s="1"/>
  <c r="D3446" i="27" s="1"/>
  <c r="D3447" i="27" s="1"/>
  <c r="D3448" i="27" s="1"/>
  <c r="D3449" i="27" s="1"/>
  <c r="D3450" i="27" s="1"/>
  <c r="D3451" i="27" s="1"/>
  <c r="D3452" i="27" s="1"/>
  <c r="D3453" i="27" s="1"/>
  <c r="D3454" i="27" s="1"/>
  <c r="D3455" i="27" s="1"/>
  <c r="D3456" i="27" s="1"/>
  <c r="D3457" i="27" s="1"/>
  <c r="D3458" i="27" s="1"/>
  <c r="D3459" i="27" s="1"/>
  <c r="D3460" i="27" s="1"/>
  <c r="D3461" i="27" s="1"/>
  <c r="D3462" i="27" s="1"/>
  <c r="D3463" i="27" s="1"/>
  <c r="D3464" i="27" s="1"/>
  <c r="D3465" i="27" s="1"/>
  <c r="D3466" i="27" s="1"/>
  <c r="D3467" i="27" s="1"/>
  <c r="D3468" i="27" s="1"/>
  <c r="D3469" i="27" s="1"/>
  <c r="D3470" i="27" s="1"/>
  <c r="D3471" i="27" s="1"/>
  <c r="D3472" i="27" s="1"/>
  <c r="D3473" i="27" s="1"/>
  <c r="D3474" i="27" s="1"/>
  <c r="D3475" i="27" s="1"/>
  <c r="D3476" i="27" s="1"/>
  <c r="D3477" i="27" s="1"/>
  <c r="D3478" i="27" s="1"/>
  <c r="D3479" i="27" s="1"/>
  <c r="D3480" i="27" s="1"/>
  <c r="D3481" i="27" s="1"/>
  <c r="D3482" i="27" s="1"/>
  <c r="D3483" i="27" s="1"/>
  <c r="D3484" i="27" s="1"/>
  <c r="D3485" i="27" s="1"/>
  <c r="D3486" i="27" s="1"/>
  <c r="D3487" i="27" s="1"/>
  <c r="D3488" i="27" s="1"/>
  <c r="D3489" i="27" s="1"/>
  <c r="D3490" i="27" s="1"/>
  <c r="D3491" i="27" s="1"/>
  <c r="D3492" i="27" s="1"/>
  <c r="D3493" i="27" s="1"/>
  <c r="D3494" i="27" s="1"/>
  <c r="D3495" i="27" s="1"/>
  <c r="D3496" i="27" s="1"/>
  <c r="D3497" i="27" s="1"/>
  <c r="D3498" i="27" s="1"/>
  <c r="D3499" i="27" s="1"/>
  <c r="D3500" i="27" s="1"/>
  <c r="D3501" i="27" s="1"/>
  <c r="D3502" i="27" s="1"/>
  <c r="D3503" i="27" s="1"/>
  <c r="D3504" i="27" s="1"/>
  <c r="D3505" i="27" s="1"/>
  <c r="D3506" i="27" s="1"/>
  <c r="D3507" i="27" s="1"/>
  <c r="D3508" i="27" s="1"/>
  <c r="D3509" i="27" s="1"/>
  <c r="D3510" i="27" s="1"/>
  <c r="D3511" i="27" s="1"/>
  <c r="D3512" i="27" s="1"/>
  <c r="D3513" i="27" s="1"/>
  <c r="D3514" i="27" s="1"/>
  <c r="D3515" i="27" s="1"/>
  <c r="D3516" i="27" s="1"/>
  <c r="D3517" i="27" s="1"/>
  <c r="D3518" i="27" s="1"/>
  <c r="D3519" i="27" s="1"/>
  <c r="D3520" i="27" s="1"/>
  <c r="D3521" i="27" s="1"/>
  <c r="D3522" i="27" s="1"/>
  <c r="D3523" i="27" s="1"/>
  <c r="D3524" i="27" s="1"/>
  <c r="D3525" i="27" s="1"/>
  <c r="D3526" i="27" s="1"/>
  <c r="D3527" i="27" s="1"/>
  <c r="D3528" i="27" s="1"/>
  <c r="D3529" i="27" s="1"/>
  <c r="D3530" i="27" s="1"/>
  <c r="D3531" i="27" s="1"/>
  <c r="D3532" i="27" s="1"/>
  <c r="D3533" i="27" s="1"/>
  <c r="D3534" i="27" s="1"/>
  <c r="D3535" i="27" s="1"/>
  <c r="D3536" i="27" s="1"/>
  <c r="D3537" i="27" s="1"/>
  <c r="D3538" i="27" s="1"/>
  <c r="D3539" i="27" s="1"/>
  <c r="D3540" i="27" s="1"/>
  <c r="D3541" i="27" s="1"/>
  <c r="D3542" i="27" s="1"/>
  <c r="D3543" i="27" s="1"/>
  <c r="D3544" i="27" s="1"/>
  <c r="D3545" i="27" s="1"/>
  <c r="D3546" i="27" s="1"/>
  <c r="D3547" i="27" s="1"/>
  <c r="D3548" i="27" s="1"/>
  <c r="D3549" i="27" s="1"/>
  <c r="D3550" i="27" s="1"/>
  <c r="D3551" i="27" s="1"/>
  <c r="D3552" i="27" s="1"/>
  <c r="D3553" i="27" s="1"/>
  <c r="D3554" i="27" s="1"/>
  <c r="D3555" i="27" s="1"/>
  <c r="D3556" i="27" s="1"/>
  <c r="D3557" i="27" s="1"/>
  <c r="D3558" i="27" s="1"/>
  <c r="D3559" i="27" s="1"/>
  <c r="D3560" i="27" s="1"/>
  <c r="D3561" i="27" s="1"/>
  <c r="D3562" i="27" s="1"/>
  <c r="D3563" i="27" s="1"/>
  <c r="D3564" i="27" s="1"/>
  <c r="D3565" i="27" s="1"/>
  <c r="D3566" i="27" s="1"/>
  <c r="D3567" i="27" s="1"/>
  <c r="D3568" i="27" s="1"/>
  <c r="D3569" i="27" s="1"/>
  <c r="D3570" i="27" s="1"/>
  <c r="D3571" i="27" s="1"/>
  <c r="D3572" i="27" s="1"/>
  <c r="D3573" i="27" s="1"/>
  <c r="D3574" i="27" s="1"/>
  <c r="D3575" i="27" s="1"/>
  <c r="D3576" i="27" s="1"/>
  <c r="D3577" i="27" s="1"/>
  <c r="D3578" i="27" s="1"/>
  <c r="D3579" i="27" s="1"/>
  <c r="D3580" i="27" s="1"/>
  <c r="D3581" i="27" s="1"/>
  <c r="D3582" i="27" s="1"/>
  <c r="D3583" i="27" s="1"/>
  <c r="D3584" i="27" s="1"/>
  <c r="D3585" i="27" s="1"/>
  <c r="D3586" i="27" s="1"/>
  <c r="D3587" i="27" s="1"/>
  <c r="D3588" i="27" s="1"/>
  <c r="D3589" i="27" s="1"/>
  <c r="D3590" i="27" s="1"/>
  <c r="D3591" i="27" s="1"/>
  <c r="D3592" i="27" s="1"/>
  <c r="D3593" i="27" s="1"/>
  <c r="D3594" i="27" s="1"/>
  <c r="D3595" i="27" s="1"/>
  <c r="D3596" i="27" s="1"/>
  <c r="D3597" i="27" s="1"/>
  <c r="D3598" i="27" s="1"/>
  <c r="D3599" i="27" s="1"/>
  <c r="D3600" i="27" s="1"/>
  <c r="D3601" i="27" s="1"/>
  <c r="D3602" i="27" s="1"/>
  <c r="D3603" i="27" s="1"/>
  <c r="D3604" i="27" s="1"/>
  <c r="D3605" i="27" s="1"/>
  <c r="D3606" i="27" s="1"/>
  <c r="D3607" i="27" s="1"/>
  <c r="D3608" i="27" s="1"/>
  <c r="D3609" i="27" s="1"/>
  <c r="D3610" i="27" s="1"/>
  <c r="D3611" i="27" s="1"/>
  <c r="D3612" i="27" s="1"/>
  <c r="D3613" i="27" s="1"/>
  <c r="D3614" i="27" s="1"/>
  <c r="D3615" i="27" s="1"/>
  <c r="D3616" i="27" s="1"/>
  <c r="D3617" i="27" s="1"/>
  <c r="D3618" i="27" s="1"/>
  <c r="D3619" i="27" s="1"/>
  <c r="D3620" i="27" s="1"/>
  <c r="D3621" i="27" s="1"/>
  <c r="D3622" i="27" s="1"/>
  <c r="D3623" i="27" s="1"/>
  <c r="D3624" i="27" s="1"/>
  <c r="D3625" i="27" s="1"/>
  <c r="D3626" i="27" s="1"/>
  <c r="D3627" i="27" s="1"/>
  <c r="D3628" i="27" s="1"/>
  <c r="D3629" i="27" s="1"/>
  <c r="D3630" i="27" s="1"/>
  <c r="D3631" i="27" s="1"/>
  <c r="D3632" i="27" s="1"/>
  <c r="D3633" i="27" s="1"/>
  <c r="D3634" i="27" s="1"/>
  <c r="D3635" i="27" s="1"/>
  <c r="D3636" i="27" s="1"/>
  <c r="D3637" i="27" s="1"/>
  <c r="D3638" i="27" s="1"/>
  <c r="D3639" i="27" s="1"/>
  <c r="D3640" i="27" s="1"/>
  <c r="D3641" i="27" s="1"/>
  <c r="D3642" i="27" s="1"/>
  <c r="D3643" i="27" s="1"/>
  <c r="D3644" i="27" s="1"/>
  <c r="D3645" i="27" s="1"/>
  <c r="D3646" i="27" s="1"/>
  <c r="D3647" i="27" s="1"/>
  <c r="D3648" i="27" s="1"/>
  <c r="D3649" i="27" s="1"/>
  <c r="D3650" i="27" s="1"/>
  <c r="D3651" i="27" s="1"/>
  <c r="D3652" i="27" s="1"/>
  <c r="D3653" i="27" s="1"/>
  <c r="D3654" i="27" s="1"/>
  <c r="D3655" i="27" s="1"/>
  <c r="D3656" i="27" s="1"/>
  <c r="D3657" i="27" s="1"/>
  <c r="D3658" i="27" s="1"/>
  <c r="D3659" i="27" s="1"/>
  <c r="D3660" i="27" s="1"/>
  <c r="D3661" i="27" s="1"/>
  <c r="D3662" i="27" s="1"/>
  <c r="D3663" i="27" s="1"/>
  <c r="D3664" i="27" s="1"/>
  <c r="D3665" i="27" s="1"/>
  <c r="D3666" i="27" s="1"/>
  <c r="D3667" i="27" s="1"/>
  <c r="D3668" i="27" s="1"/>
  <c r="D3669" i="27" s="1"/>
  <c r="D3670" i="27" s="1"/>
  <c r="D3671" i="27" s="1"/>
  <c r="D3672" i="27" s="1"/>
  <c r="D3673" i="27" s="1"/>
  <c r="D3674" i="27" s="1"/>
  <c r="D3675" i="27" s="1"/>
  <c r="D3676" i="27" s="1"/>
  <c r="D3677" i="27" s="1"/>
  <c r="D3678" i="27" s="1"/>
  <c r="D3679" i="27" s="1"/>
  <c r="D3680" i="27" s="1"/>
  <c r="D3681" i="27" s="1"/>
  <c r="D3682" i="27" s="1"/>
  <c r="D3683" i="27" s="1"/>
  <c r="D3684" i="27" s="1"/>
  <c r="D3685" i="27" s="1"/>
  <c r="D3686" i="27" s="1"/>
  <c r="D3687" i="27" s="1"/>
  <c r="D3688" i="27" s="1"/>
  <c r="D3689" i="27" s="1"/>
  <c r="D3690" i="27" s="1"/>
  <c r="D3691" i="27" s="1"/>
  <c r="D3692" i="27" s="1"/>
  <c r="D3693" i="27" s="1"/>
  <c r="D3694" i="27" s="1"/>
  <c r="D3695" i="27" s="1"/>
  <c r="D3696" i="27" s="1"/>
  <c r="D3697" i="27" s="1"/>
  <c r="D3698" i="27" s="1"/>
  <c r="D3699" i="27" s="1"/>
  <c r="D3700" i="27" s="1"/>
  <c r="D3701" i="27" s="1"/>
  <c r="D3702" i="27" s="1"/>
  <c r="D3703" i="27" s="1"/>
  <c r="D3704" i="27" s="1"/>
  <c r="D3705" i="27" s="1"/>
  <c r="D3706" i="27" s="1"/>
  <c r="D3707" i="27" s="1"/>
  <c r="D3708" i="27" s="1"/>
  <c r="D3709" i="27" s="1"/>
  <c r="D3710" i="27" s="1"/>
  <c r="D3711" i="27" s="1"/>
  <c r="D3712" i="27" s="1"/>
  <c r="D3713" i="27" s="1"/>
  <c r="D3714" i="27" s="1"/>
  <c r="D3715" i="27" s="1"/>
  <c r="D3716" i="27" s="1"/>
  <c r="D3717" i="27" s="1"/>
  <c r="D3718" i="27" s="1"/>
  <c r="D3719" i="27" s="1"/>
  <c r="D3720" i="27" s="1"/>
  <c r="D3721" i="27" s="1"/>
  <c r="D3722" i="27" s="1"/>
  <c r="D3723" i="27" s="1"/>
  <c r="D3724" i="27" s="1"/>
  <c r="D3725" i="27" s="1"/>
  <c r="D3726" i="27" s="1"/>
  <c r="D3727" i="27" s="1"/>
  <c r="D3728" i="27" s="1"/>
  <c r="D3729" i="27" s="1"/>
  <c r="D3730" i="27" s="1"/>
  <c r="D3731" i="27" s="1"/>
  <c r="D3732" i="27" s="1"/>
  <c r="D3733" i="27" s="1"/>
  <c r="D3734" i="27" s="1"/>
  <c r="D3735" i="27" s="1"/>
  <c r="D3736" i="27" s="1"/>
  <c r="D3737" i="27" s="1"/>
  <c r="D3738" i="27" s="1"/>
  <c r="D3739" i="27" s="1"/>
  <c r="D3740" i="27" s="1"/>
  <c r="D3741" i="27" s="1"/>
  <c r="D3742" i="27" s="1"/>
  <c r="D3743" i="27" s="1"/>
  <c r="D3744" i="27" s="1"/>
  <c r="D3745" i="27" s="1"/>
  <c r="D3746" i="27" s="1"/>
  <c r="D3747" i="27" s="1"/>
  <c r="D3748" i="27" s="1"/>
  <c r="D3749" i="27" s="1"/>
  <c r="D3750" i="27" s="1"/>
  <c r="D3751" i="27" s="1"/>
  <c r="D3752" i="27" s="1"/>
  <c r="D3753" i="27" s="1"/>
  <c r="D3754" i="27" s="1"/>
  <c r="D3755" i="27" s="1"/>
  <c r="D3756" i="27" s="1"/>
  <c r="D3757" i="27" s="1"/>
  <c r="D3758" i="27" s="1"/>
  <c r="D3759" i="27" s="1"/>
  <c r="D3760" i="27" s="1"/>
  <c r="D3761" i="27" s="1"/>
  <c r="D3762" i="27" s="1"/>
  <c r="D3763" i="27" s="1"/>
  <c r="D3764" i="27" s="1"/>
  <c r="D3765" i="27" s="1"/>
  <c r="D3766" i="27" s="1"/>
  <c r="D3767" i="27" s="1"/>
  <c r="D3768" i="27" s="1"/>
  <c r="D3769" i="27" s="1"/>
  <c r="D3770" i="27" s="1"/>
  <c r="D3771" i="27" s="1"/>
  <c r="D3772" i="27" s="1"/>
  <c r="D3773" i="27" s="1"/>
  <c r="D3774" i="27" s="1"/>
  <c r="D3775" i="27" s="1"/>
  <c r="D3776" i="27" s="1"/>
  <c r="D3777" i="27" s="1"/>
  <c r="D3778" i="27" s="1"/>
  <c r="D3779" i="27" s="1"/>
  <c r="D3780" i="27" s="1"/>
  <c r="D3781" i="27" s="1"/>
  <c r="D3782" i="27" s="1"/>
  <c r="D3783" i="27" s="1"/>
  <c r="D3784" i="27" s="1"/>
  <c r="D3785" i="27" s="1"/>
  <c r="D3786" i="27" s="1"/>
  <c r="D3787" i="27" s="1"/>
  <c r="D3788" i="27" s="1"/>
  <c r="D3789" i="27" s="1"/>
  <c r="D3790" i="27" s="1"/>
  <c r="D3791" i="27" s="1"/>
  <c r="D3792" i="27" s="1"/>
  <c r="D3793" i="27" s="1"/>
  <c r="D3794" i="27" s="1"/>
  <c r="D3795" i="27" s="1"/>
  <c r="D3796" i="27" s="1"/>
  <c r="D3797" i="27" s="1"/>
  <c r="D3798" i="27" s="1"/>
  <c r="D3799" i="27" s="1"/>
  <c r="D3800" i="27" s="1"/>
  <c r="D3801" i="27" s="1"/>
  <c r="D3802" i="27" s="1"/>
  <c r="D3803" i="27" s="1"/>
  <c r="D3804" i="27" s="1"/>
  <c r="D3805" i="27" s="1"/>
  <c r="D3806" i="27" s="1"/>
  <c r="D3807" i="27" s="1"/>
  <c r="D3808" i="27" s="1"/>
  <c r="D3809" i="27" s="1"/>
  <c r="D3810" i="27" s="1"/>
  <c r="D3811" i="27" s="1"/>
  <c r="D3812" i="27" s="1"/>
  <c r="D3813" i="27" s="1"/>
  <c r="D3814" i="27" s="1"/>
  <c r="D3815" i="27" s="1"/>
  <c r="D3816" i="27" s="1"/>
  <c r="D3817" i="27" s="1"/>
  <c r="D3818" i="27" s="1"/>
  <c r="D3819" i="27" s="1"/>
  <c r="D3820" i="27" s="1"/>
  <c r="D3821" i="27" s="1"/>
  <c r="D3822" i="27" s="1"/>
  <c r="D3823" i="27" s="1"/>
  <c r="D3824" i="27" s="1"/>
  <c r="D3825" i="27" s="1"/>
  <c r="D3826" i="27" s="1"/>
  <c r="D3827" i="27" s="1"/>
  <c r="D3828" i="27" s="1"/>
  <c r="D3829" i="27" s="1"/>
  <c r="D3830" i="27" s="1"/>
  <c r="D3831" i="27" s="1"/>
  <c r="D3832" i="27" s="1"/>
  <c r="D3833" i="27" s="1"/>
  <c r="D3834" i="27" s="1"/>
  <c r="D3835" i="27" s="1"/>
  <c r="D3836" i="27" s="1"/>
  <c r="D3837" i="27" s="1"/>
  <c r="D3838" i="27" s="1"/>
  <c r="D3839" i="27" s="1"/>
  <c r="D3840" i="27" s="1"/>
  <c r="D3841" i="27" s="1"/>
  <c r="D3842" i="27" s="1"/>
  <c r="D3843" i="27" s="1"/>
  <c r="D3844" i="27" s="1"/>
  <c r="D3845" i="27" s="1"/>
  <c r="D3846" i="27" s="1"/>
  <c r="D3847" i="27" s="1"/>
  <c r="D3848" i="27" s="1"/>
  <c r="D3849" i="27" s="1"/>
  <c r="D3850" i="27" s="1"/>
  <c r="D3851" i="27" s="1"/>
  <c r="D3852" i="27" s="1"/>
  <c r="D3853" i="27" s="1"/>
  <c r="D3854" i="27" s="1"/>
  <c r="D3855" i="27" s="1"/>
  <c r="D3856" i="27" s="1"/>
  <c r="D3857" i="27" s="1"/>
  <c r="D3858" i="27" s="1"/>
  <c r="D3859" i="27" s="1"/>
  <c r="D3860" i="27" s="1"/>
  <c r="D3861" i="27" s="1"/>
  <c r="D3862" i="27" s="1"/>
  <c r="D3863" i="27" s="1"/>
  <c r="D3864" i="27" s="1"/>
  <c r="D3865" i="27" s="1"/>
  <c r="D3866" i="27" s="1"/>
  <c r="D3867" i="27" s="1"/>
  <c r="D3868" i="27" s="1"/>
  <c r="D3869" i="27" s="1"/>
  <c r="D3870" i="27" s="1"/>
  <c r="D3871" i="27" s="1"/>
  <c r="D3872" i="27" s="1"/>
  <c r="D3873" i="27" s="1"/>
  <c r="D3874" i="27" s="1"/>
  <c r="D3875" i="27" s="1"/>
  <c r="D3876" i="27" s="1"/>
  <c r="D3877" i="27" s="1"/>
  <c r="D3878" i="27" s="1"/>
  <c r="D3879" i="27" s="1"/>
  <c r="D3880" i="27" s="1"/>
  <c r="D3881" i="27" s="1"/>
  <c r="D3882" i="27" s="1"/>
  <c r="D3883" i="27" s="1"/>
  <c r="D3884" i="27" s="1"/>
  <c r="D3885" i="27" s="1"/>
  <c r="D3886" i="27" s="1"/>
  <c r="D3887" i="27" s="1"/>
  <c r="D3888" i="27" s="1"/>
  <c r="D3889" i="27" s="1"/>
  <c r="D3890" i="27" s="1"/>
  <c r="D3891" i="27" s="1"/>
  <c r="D3892" i="27" s="1"/>
  <c r="D3893" i="27" s="1"/>
  <c r="D3894" i="27" s="1"/>
  <c r="D3895" i="27" s="1"/>
  <c r="D3896" i="27" s="1"/>
  <c r="D3897" i="27" s="1"/>
  <c r="D3898" i="27" s="1"/>
  <c r="D3899" i="27" s="1"/>
  <c r="D3900" i="27" s="1"/>
  <c r="D3901" i="27" s="1"/>
  <c r="D3902" i="27" s="1"/>
  <c r="D3903" i="27" s="1"/>
  <c r="D3904" i="27" s="1"/>
  <c r="D3905" i="27" s="1"/>
  <c r="D3906" i="27" s="1"/>
  <c r="D3907" i="27" s="1"/>
  <c r="D3908" i="27" s="1"/>
  <c r="D3909" i="27" s="1"/>
  <c r="D3910" i="27" s="1"/>
  <c r="D3911" i="27" s="1"/>
  <c r="D3912" i="27" s="1"/>
  <c r="D3913" i="27" s="1"/>
  <c r="D3914" i="27" s="1"/>
  <c r="D3915" i="27" s="1"/>
  <c r="D3916" i="27" s="1"/>
  <c r="D3917" i="27" s="1"/>
  <c r="D3918" i="27" s="1"/>
  <c r="D3919" i="27" s="1"/>
  <c r="D3920" i="27" s="1"/>
  <c r="D3921" i="27" s="1"/>
  <c r="D3922" i="27" s="1"/>
  <c r="D3923" i="27" s="1"/>
  <c r="D3924" i="27" s="1"/>
  <c r="D3925" i="27" s="1"/>
  <c r="D3926" i="27" s="1"/>
  <c r="D3927" i="27" s="1"/>
  <c r="D3928" i="27" s="1"/>
  <c r="D3929" i="27" s="1"/>
  <c r="D3930" i="27" s="1"/>
  <c r="D3931" i="27" s="1"/>
  <c r="D3932" i="27" s="1"/>
  <c r="D3933" i="27" s="1"/>
  <c r="D3934" i="27" s="1"/>
  <c r="D3935" i="27" s="1"/>
  <c r="D3936" i="27" s="1"/>
  <c r="D3937" i="27" s="1"/>
  <c r="D3938" i="27" s="1"/>
  <c r="D3939" i="27" s="1"/>
  <c r="D3940" i="27" s="1"/>
  <c r="D3941" i="27" s="1"/>
  <c r="D3942" i="27" s="1"/>
  <c r="D3943" i="27" s="1"/>
  <c r="D3944" i="27" s="1"/>
  <c r="D3945" i="27" s="1"/>
  <c r="D3946" i="27" s="1"/>
  <c r="D3947" i="27" s="1"/>
  <c r="D3948" i="27" s="1"/>
  <c r="D3949" i="27" s="1"/>
  <c r="D3950" i="27" s="1"/>
  <c r="D3951" i="27" s="1"/>
  <c r="D3952" i="27" s="1"/>
  <c r="D3953" i="27" s="1"/>
  <c r="D3954" i="27" s="1"/>
  <c r="D3955" i="27" s="1"/>
  <c r="D3956" i="27" s="1"/>
  <c r="D3957" i="27" s="1"/>
  <c r="D3958" i="27" s="1"/>
  <c r="D3959" i="27" s="1"/>
  <c r="D3960" i="27" s="1"/>
  <c r="D3961" i="27" s="1"/>
  <c r="D3962" i="27" s="1"/>
  <c r="D3963" i="27" s="1"/>
  <c r="D3964" i="27" s="1"/>
  <c r="D3965" i="27" s="1"/>
  <c r="D3966" i="27" s="1"/>
  <c r="D3967" i="27" s="1"/>
  <c r="D3968" i="27" s="1"/>
  <c r="D3969" i="27" s="1"/>
  <c r="D3970" i="27" s="1"/>
  <c r="D3971" i="27" s="1"/>
  <c r="D3972" i="27" s="1"/>
  <c r="D3973" i="27" s="1"/>
  <c r="D3974" i="27" s="1"/>
  <c r="D3975" i="27" s="1"/>
  <c r="D3976" i="27" s="1"/>
  <c r="D3977" i="27" s="1"/>
  <c r="D3978" i="27" s="1"/>
  <c r="D3979" i="27" s="1"/>
  <c r="D3980" i="27" s="1"/>
  <c r="D3981" i="27" s="1"/>
  <c r="D3982" i="27" s="1"/>
  <c r="D3983" i="27" s="1"/>
  <c r="D3984" i="27" s="1"/>
  <c r="D3985" i="27" s="1"/>
  <c r="D3986" i="27" s="1"/>
  <c r="D3987" i="27" s="1"/>
  <c r="D3988" i="27" s="1"/>
  <c r="D3989" i="27" s="1"/>
  <c r="D3990" i="27" s="1"/>
  <c r="D3991" i="27" s="1"/>
  <c r="D3992" i="27" s="1"/>
  <c r="D3993" i="27" s="1"/>
  <c r="D3994" i="27" s="1"/>
  <c r="D3995" i="27" s="1"/>
  <c r="D3996" i="27" s="1"/>
  <c r="D3997" i="27" s="1"/>
  <c r="D3998" i="27" s="1"/>
  <c r="D3999" i="27" s="1"/>
  <c r="D4000" i="27" s="1"/>
  <c r="D4001" i="27" s="1"/>
  <c r="D4002" i="27" s="1"/>
  <c r="D4003" i="27" s="1"/>
  <c r="D4004" i="27" s="1"/>
  <c r="D4005" i="27" s="1"/>
  <c r="D4006" i="27" s="1"/>
  <c r="D4007" i="27" s="1"/>
  <c r="D4008" i="27" s="1"/>
  <c r="D4009" i="27" s="1"/>
  <c r="D4010" i="27" s="1"/>
  <c r="D4011" i="27" s="1"/>
  <c r="D4012" i="27" s="1"/>
  <c r="D4013" i="27" s="1"/>
  <c r="D4014" i="27" s="1"/>
  <c r="D4015" i="27" s="1"/>
  <c r="D4016" i="27" s="1"/>
  <c r="D4017" i="27" s="1"/>
  <c r="D4018" i="27" s="1"/>
  <c r="D4019" i="27" s="1"/>
  <c r="D4020" i="27" s="1"/>
  <c r="D4021" i="27" s="1"/>
  <c r="D4022" i="27" s="1"/>
  <c r="F3595" i="27" l="1"/>
  <c r="F3069" i="27"/>
  <c r="F3070" i="27" s="1"/>
  <c r="F3071" i="27" s="1"/>
  <c r="F3072" i="27" s="1"/>
  <c r="F3073" i="27" s="1"/>
  <c r="B3005" i="27"/>
  <c r="C522" i="27"/>
  <c r="V2" i="27" s="1"/>
  <c r="B108" i="1" a="1"/>
  <c r="B108" i="1" s="1"/>
  <c r="B109" i="1" s="1" a="1"/>
  <c r="B109" i="1" s="1"/>
  <c r="B110" i="1" s="1" a="1"/>
  <c r="B110" i="1" s="1"/>
  <c r="B111" i="1" s="1" a="1"/>
  <c r="B111" i="1" s="1"/>
  <c r="B112" i="1" s="1" a="1"/>
  <c r="B112" i="1" s="1"/>
  <c r="B113" i="1" s="1" a="1"/>
  <c r="B113" i="1" s="1"/>
  <c r="B114" i="1" s="1" a="1"/>
  <c r="B114" i="1" s="1"/>
  <c r="B115" i="1" s="1" a="1"/>
  <c r="B115" i="1" s="1"/>
  <c r="B116" i="1" s="1" a="1"/>
  <c r="B116" i="1" s="1"/>
  <c r="B117" i="1" s="1" a="1"/>
  <c r="B117" i="1" s="1"/>
  <c r="Q46" i="32"/>
  <c r="Q657" i="32"/>
  <c r="AT53" i="33"/>
  <c r="AD29" i="34"/>
  <c r="F3" i="19"/>
  <c r="F3596" i="27" l="1"/>
  <c r="F3597" i="27"/>
  <c r="F3074" i="27"/>
  <c r="F3075" i="27"/>
  <c r="F3076" i="27" s="1"/>
  <c r="F3077" i="27" s="1"/>
  <c r="F3078" i="27" s="1"/>
  <c r="F3079" i="27" s="1"/>
  <c r="B3006" i="27"/>
  <c r="T2" i="27"/>
  <c r="AU11" i="33" s="1"/>
  <c r="AU13" i="33" s="1"/>
  <c r="AU15" i="33" s="1"/>
  <c r="AU17" i="33" s="1"/>
  <c r="AU19" i="33" s="1"/>
  <c r="AU21" i="33" s="1"/>
  <c r="AU23" i="33" s="1"/>
  <c r="AU25" i="33" s="1"/>
  <c r="AU27" i="33" s="1"/>
  <c r="AU29" i="33" s="1"/>
  <c r="AU31" i="33" s="1"/>
  <c r="AU33" i="33" s="1"/>
  <c r="AU35" i="33" s="1"/>
  <c r="AU37" i="33" s="1"/>
  <c r="AU39" i="33" s="1"/>
  <c r="AU41" i="33" s="1"/>
  <c r="AU43" i="33" s="1"/>
  <c r="AU45" i="33" s="1"/>
  <c r="AU47" i="33" s="1"/>
  <c r="AU49" i="33" s="1"/>
  <c r="AU51" i="33" s="1"/>
  <c r="AU53" i="33" s="1"/>
  <c r="AU55" i="33" s="1"/>
  <c r="AU57" i="33" s="1"/>
  <c r="AU59" i="33" s="1"/>
  <c r="AU61" i="33" s="1"/>
  <c r="AU63" i="33" s="1"/>
  <c r="AU65" i="33" s="1"/>
  <c r="W2" i="27"/>
  <c r="E529" i="27" s="1"/>
  <c r="E530" i="27" s="1"/>
  <c r="E531" i="27" s="1"/>
  <c r="E532" i="27" s="1"/>
  <c r="E533" i="27" s="1"/>
  <c r="E534" i="27" s="1"/>
  <c r="E535" i="27" s="1"/>
  <c r="E536" i="27" s="1"/>
  <c r="E537" i="27" s="1"/>
  <c r="E538" i="27" s="1"/>
  <c r="E539" i="27" s="1"/>
  <c r="E540" i="27" s="1"/>
  <c r="E541" i="27" s="1"/>
  <c r="E542" i="27" s="1"/>
  <c r="E543" i="27" s="1"/>
  <c r="E544" i="27" s="1"/>
  <c r="E545" i="27" s="1"/>
  <c r="E546" i="27" s="1"/>
  <c r="E547" i="27" s="1"/>
  <c r="E548" i="27" s="1"/>
  <c r="E549" i="27" s="1"/>
  <c r="E550" i="27" s="1"/>
  <c r="E551" i="27" s="1"/>
  <c r="E552" i="27" s="1"/>
  <c r="E553" i="27" s="1"/>
  <c r="E554" i="27" s="1"/>
  <c r="E555" i="27" s="1"/>
  <c r="E556" i="27" s="1"/>
  <c r="E557" i="27" s="1"/>
  <c r="E558" i="27" s="1"/>
  <c r="E559" i="27" s="1"/>
  <c r="E560" i="27" s="1"/>
  <c r="E561" i="27" s="1"/>
  <c r="E562" i="27" s="1"/>
  <c r="E563" i="27" s="1"/>
  <c r="E564" i="27" s="1"/>
  <c r="E565" i="27" s="1"/>
  <c r="E566" i="27" s="1"/>
  <c r="E567" i="27" s="1"/>
  <c r="E568" i="27" s="1"/>
  <c r="E569" i="27" s="1"/>
  <c r="E570" i="27" s="1"/>
  <c r="E571" i="27" s="1"/>
  <c r="E572" i="27" s="1"/>
  <c r="E573" i="27" s="1"/>
  <c r="E574" i="27" s="1"/>
  <c r="E575" i="27" s="1"/>
  <c r="E576" i="27" s="1"/>
  <c r="E577" i="27" s="1"/>
  <c r="E578" i="27" s="1"/>
  <c r="E579" i="27" s="1"/>
  <c r="E580" i="27" s="1"/>
  <c r="E581" i="27" s="1"/>
  <c r="E582" i="27" s="1"/>
  <c r="E583" i="27" s="1"/>
  <c r="E584" i="27" s="1"/>
  <c r="E585" i="27" s="1"/>
  <c r="E586" i="27" s="1"/>
  <c r="E587" i="27" s="1"/>
  <c r="E588" i="27" s="1"/>
  <c r="E589" i="27" s="1"/>
  <c r="E590" i="27" s="1"/>
  <c r="E591" i="27" s="1"/>
  <c r="E592" i="27" s="1"/>
  <c r="E593" i="27" s="1"/>
  <c r="E594" i="27" s="1"/>
  <c r="E595" i="27" s="1"/>
  <c r="E596" i="27" s="1"/>
  <c r="E597" i="27" s="1"/>
  <c r="E598" i="27" s="1"/>
  <c r="E599" i="27" s="1"/>
  <c r="E600" i="27" s="1"/>
  <c r="E601" i="27" s="1"/>
  <c r="E602" i="27" s="1"/>
  <c r="E603" i="27" s="1"/>
  <c r="E604" i="27" s="1"/>
  <c r="E605" i="27" s="1"/>
  <c r="E606" i="27" s="1"/>
  <c r="E607" i="27" s="1"/>
  <c r="E608" i="27" s="1"/>
  <c r="E609" i="27" s="1"/>
  <c r="E610" i="27" s="1"/>
  <c r="E611" i="27" s="1"/>
  <c r="E612" i="27" s="1"/>
  <c r="E613" i="27" s="1"/>
  <c r="E614" i="27" s="1"/>
  <c r="E615" i="27" s="1"/>
  <c r="E616" i="27" s="1"/>
  <c r="E617" i="27" s="1"/>
  <c r="E618" i="27" s="1"/>
  <c r="E619" i="27" s="1"/>
  <c r="E620" i="27" s="1"/>
  <c r="E621" i="27" s="1"/>
  <c r="E622" i="27" s="1"/>
  <c r="E623" i="27" s="1"/>
  <c r="E624" i="27" s="1"/>
  <c r="E625" i="27" s="1"/>
  <c r="E626" i="27" s="1"/>
  <c r="E627" i="27" s="1"/>
  <c r="E628" i="27" s="1"/>
  <c r="E629" i="27" s="1"/>
  <c r="E630" i="27" s="1"/>
  <c r="E631" i="27" s="1"/>
  <c r="E632" i="27" s="1"/>
  <c r="E633" i="27" s="1"/>
  <c r="E634" i="27" s="1"/>
  <c r="E635" i="27" s="1"/>
  <c r="E636" i="27" s="1"/>
  <c r="E637" i="27" s="1"/>
  <c r="E638" i="27" s="1"/>
  <c r="E639" i="27" s="1"/>
  <c r="E640" i="27" s="1"/>
  <c r="E641" i="27" s="1"/>
  <c r="E642" i="27" s="1"/>
  <c r="E643" i="27" s="1"/>
  <c r="E644" i="27" s="1"/>
  <c r="E645" i="27" s="1"/>
  <c r="E646" i="27" s="1"/>
  <c r="E647" i="27" s="1"/>
  <c r="E648" i="27" s="1"/>
  <c r="E649" i="27" s="1"/>
  <c r="E650" i="27" s="1"/>
  <c r="E651" i="27" s="1"/>
  <c r="E652" i="27" s="1"/>
  <c r="E653" i="27" s="1"/>
  <c r="E654" i="27" s="1"/>
  <c r="E655" i="27" s="1"/>
  <c r="E656" i="27" s="1"/>
  <c r="E657" i="27" s="1"/>
  <c r="E658" i="27" s="1"/>
  <c r="E659" i="27" s="1"/>
  <c r="E660" i="27" s="1"/>
  <c r="E661" i="27" s="1"/>
  <c r="E662" i="27" s="1"/>
  <c r="E663" i="27" s="1"/>
  <c r="E664" i="27" s="1"/>
  <c r="E665" i="27" s="1"/>
  <c r="E666" i="27" s="1"/>
  <c r="E667" i="27" s="1"/>
  <c r="E668" i="27" s="1"/>
  <c r="E669" i="27" s="1"/>
  <c r="E670" i="27" s="1"/>
  <c r="E671" i="27" s="1"/>
  <c r="E672" i="27" s="1"/>
  <c r="E673" i="27" s="1"/>
  <c r="E674" i="27" s="1"/>
  <c r="E675" i="27" s="1"/>
  <c r="E676" i="27" s="1"/>
  <c r="E677" i="27" s="1"/>
  <c r="E678" i="27" s="1"/>
  <c r="E679" i="27" s="1"/>
  <c r="E680" i="27" s="1"/>
  <c r="E681" i="27" s="1"/>
  <c r="E682" i="27" s="1"/>
  <c r="E683" i="27" s="1"/>
  <c r="E684" i="27" s="1"/>
  <c r="E685" i="27" s="1"/>
  <c r="E686" i="27" s="1"/>
  <c r="E687" i="27" s="1"/>
  <c r="E688" i="27" s="1"/>
  <c r="E689" i="27" s="1"/>
  <c r="E690" i="27" s="1"/>
  <c r="E691" i="27" s="1"/>
  <c r="E692" i="27" s="1"/>
  <c r="E693" i="27" s="1"/>
  <c r="E694" i="27" s="1"/>
  <c r="E695" i="27" s="1"/>
  <c r="E696" i="27" s="1"/>
  <c r="E697" i="27" s="1"/>
  <c r="E698" i="27" s="1"/>
  <c r="E699" i="27" s="1"/>
  <c r="E700" i="27" s="1"/>
  <c r="E701" i="27" s="1"/>
  <c r="E702" i="27" s="1"/>
  <c r="E703" i="27" s="1"/>
  <c r="E704" i="27" s="1"/>
  <c r="E705" i="27" s="1"/>
  <c r="E706" i="27" s="1"/>
  <c r="E707" i="27" s="1"/>
  <c r="E708" i="27" s="1"/>
  <c r="E709" i="27" s="1"/>
  <c r="E710" i="27" s="1"/>
  <c r="E711" i="27" s="1"/>
  <c r="E712" i="27" s="1"/>
  <c r="E713" i="27" s="1"/>
  <c r="E714" i="27" s="1"/>
  <c r="E715" i="27" s="1"/>
  <c r="E716" i="27" s="1"/>
  <c r="E717" i="27" s="1"/>
  <c r="E718" i="27" s="1"/>
  <c r="E719" i="27" s="1"/>
  <c r="E720" i="27" s="1"/>
  <c r="E721" i="27" s="1"/>
  <c r="E722" i="27" s="1"/>
  <c r="E723" i="27" s="1"/>
  <c r="E724" i="27" s="1"/>
  <c r="E725" i="27" s="1"/>
  <c r="E726" i="27" s="1"/>
  <c r="E727" i="27" s="1"/>
  <c r="E728" i="27" s="1"/>
  <c r="E729" i="27" s="1"/>
  <c r="E730" i="27" s="1"/>
  <c r="E731" i="27" s="1"/>
  <c r="E732" i="27" s="1"/>
  <c r="E733" i="27" s="1"/>
  <c r="E734" i="27" s="1"/>
  <c r="E735" i="27" s="1"/>
  <c r="E736" i="27" s="1"/>
  <c r="E737" i="27" s="1"/>
  <c r="E738" i="27" s="1"/>
  <c r="E739" i="27" s="1"/>
  <c r="E740" i="27" s="1"/>
  <c r="E741" i="27" s="1"/>
  <c r="E742" i="27" s="1"/>
  <c r="E743" i="27" s="1"/>
  <c r="E744" i="27" s="1"/>
  <c r="E745" i="27" s="1"/>
  <c r="E746" i="27" s="1"/>
  <c r="E747" i="27" s="1"/>
  <c r="E748" i="27" s="1"/>
  <c r="E749" i="27" s="1"/>
  <c r="E750" i="27" s="1"/>
  <c r="E751" i="27" s="1"/>
  <c r="E752" i="27" s="1"/>
  <c r="E753" i="27" s="1"/>
  <c r="E754" i="27" s="1"/>
  <c r="E755" i="27" s="1"/>
  <c r="E756" i="27" s="1"/>
  <c r="E757" i="27" s="1"/>
  <c r="E758" i="27" s="1"/>
  <c r="E759" i="27" s="1"/>
  <c r="E760" i="27" s="1"/>
  <c r="E761" i="27" s="1"/>
  <c r="E762" i="27" s="1"/>
  <c r="E763" i="27" s="1"/>
  <c r="Q48" i="32"/>
  <c r="Q659" i="32"/>
  <c r="AT55" i="33"/>
  <c r="AD30" i="34"/>
  <c r="F3598" i="27" l="1"/>
  <c r="F3081" i="27"/>
  <c r="F3082" i="27" s="1"/>
  <c r="F3083" i="27" s="1"/>
  <c r="F3084" i="27" s="1"/>
  <c r="F3085" i="27" s="1"/>
  <c r="F3080" i="27"/>
  <c r="B3007" i="27"/>
  <c r="J763" i="27"/>
  <c r="L763" i="27"/>
  <c r="I763" i="27"/>
  <c r="K763" i="27"/>
  <c r="E764" i="27"/>
  <c r="Q50" i="32"/>
  <c r="Q661" i="32"/>
  <c r="AT57" i="33"/>
  <c r="AD31" i="34"/>
  <c r="F2" i="19"/>
  <c r="F3599" i="27" l="1"/>
  <c r="F3086" i="27"/>
  <c r="F3087" i="27"/>
  <c r="F3088" i="27" s="1"/>
  <c r="F3089" i="27" s="1"/>
  <c r="F3090" i="27" s="1"/>
  <c r="F3091" i="27" s="1"/>
  <c r="B3008" i="27"/>
  <c r="K764" i="27"/>
  <c r="J764" i="27"/>
  <c r="L764" i="27"/>
  <c r="E765" i="27"/>
  <c r="I764" i="27"/>
  <c r="A763" i="27"/>
  <c r="Q52" i="32"/>
  <c r="Q663" i="32"/>
  <c r="AT59" i="33"/>
  <c r="AD32" i="34"/>
  <c r="A33" i="29"/>
  <c r="F3600" i="27" l="1"/>
  <c r="F3093" i="27"/>
  <c r="F3094" i="27" s="1"/>
  <c r="F3095" i="27" s="1"/>
  <c r="F3096" i="27" s="1"/>
  <c r="F3097" i="27" s="1"/>
  <c r="F3092" i="27"/>
  <c r="A764" i="27"/>
  <c r="B3009" i="27"/>
  <c r="K765" i="27"/>
  <c r="L765" i="27"/>
  <c r="I765" i="27"/>
  <c r="J765" i="27"/>
  <c r="E766" i="27"/>
  <c r="Q54" i="32"/>
  <c r="Q665" i="32"/>
  <c r="AT61" i="33"/>
  <c r="AD33" i="34"/>
  <c r="F3601" i="27" l="1"/>
  <c r="F3099" i="27"/>
  <c r="F3100" i="27" s="1"/>
  <c r="F3101" i="27" s="1"/>
  <c r="F3102" i="27" s="1"/>
  <c r="F3103" i="27" s="1"/>
  <c r="F3098" i="27"/>
  <c r="B3010" i="27"/>
  <c r="L766" i="27"/>
  <c r="I766" i="27"/>
  <c r="K766" i="27"/>
  <c r="E767" i="27"/>
  <c r="J766" i="27"/>
  <c r="A765" i="27"/>
  <c r="Q56" i="32"/>
  <c r="Q667" i="32"/>
  <c r="AT63" i="33"/>
  <c r="AD34" i="34"/>
  <c r="K227" i="27"/>
  <c r="F3602" i="27" l="1"/>
  <c r="F3603" i="27"/>
  <c r="F3105" i="27"/>
  <c r="F3106" i="27" s="1"/>
  <c r="F3107" i="27" s="1"/>
  <c r="F3108" i="27" s="1"/>
  <c r="F3109" i="27" s="1"/>
  <c r="F3104" i="27"/>
  <c r="B3011" i="27"/>
  <c r="A766" i="27"/>
  <c r="L767" i="27"/>
  <c r="I767" i="27"/>
  <c r="K767" i="27"/>
  <c r="E768" i="27"/>
  <c r="J767" i="27"/>
  <c r="Q58" i="32"/>
  <c r="Q669" i="32"/>
  <c r="AT65" i="33"/>
  <c r="AD35" i="34"/>
  <c r="F3604" i="27" l="1"/>
  <c r="F3111" i="27"/>
  <c r="F3112" i="27" s="1"/>
  <c r="F3113" i="27" s="1"/>
  <c r="F3114" i="27" s="1"/>
  <c r="F3115" i="27" s="1"/>
  <c r="F3110" i="27"/>
  <c r="B3012" i="27"/>
  <c r="K768" i="27"/>
  <c r="I768" i="27"/>
  <c r="J768" i="27"/>
  <c r="L768" i="27"/>
  <c r="E769" i="27"/>
  <c r="A767" i="27"/>
  <c r="Q60" i="32"/>
  <c r="Q671" i="32"/>
  <c r="AD36" i="34"/>
  <c r="F3605" i="27" l="1"/>
  <c r="F3117" i="27"/>
  <c r="F3118" i="27" s="1"/>
  <c r="F3119" i="27" s="1"/>
  <c r="F3120" i="27" s="1"/>
  <c r="F3121" i="27" s="1"/>
  <c r="F3116" i="27"/>
  <c r="B3013" i="27"/>
  <c r="L769" i="27"/>
  <c r="I769" i="27"/>
  <c r="K769" i="27"/>
  <c r="J769" i="27"/>
  <c r="E770" i="27"/>
  <c r="A768" i="27"/>
  <c r="Q62" i="32"/>
  <c r="Q673" i="32"/>
  <c r="AD37" i="34"/>
  <c r="F3606" i="27" l="1"/>
  <c r="F3123" i="27"/>
  <c r="F3124" i="27" s="1"/>
  <c r="F3125" i="27" s="1"/>
  <c r="F3126" i="27" s="1"/>
  <c r="F3127" i="27" s="1"/>
  <c r="F3122" i="27"/>
  <c r="B3014" i="27"/>
  <c r="A769" i="27"/>
  <c r="L770" i="27"/>
  <c r="I770" i="27"/>
  <c r="K770" i="27"/>
  <c r="J770" i="27"/>
  <c r="E771" i="27"/>
  <c r="Q64" i="32"/>
  <c r="Q675" i="32"/>
  <c r="AD38" i="34"/>
  <c r="F3607" i="27" l="1"/>
  <c r="F3129" i="27"/>
  <c r="F3130" i="27" s="1"/>
  <c r="F3131" i="27" s="1"/>
  <c r="F3132" i="27" s="1"/>
  <c r="F3133" i="27" s="1"/>
  <c r="F3128" i="27"/>
  <c r="B3015" i="27"/>
  <c r="A770" i="27"/>
  <c r="L771" i="27"/>
  <c r="K771" i="27"/>
  <c r="J771" i="27"/>
  <c r="E772" i="27"/>
  <c r="I771" i="27"/>
  <c r="Q66" i="32"/>
  <c r="Q677" i="32"/>
  <c r="AD39" i="34"/>
  <c r="F3609" i="27" l="1"/>
  <c r="F3608" i="27"/>
  <c r="F3134" i="27"/>
  <c r="F3135" i="27"/>
  <c r="F3136" i="27" s="1"/>
  <c r="F3137" i="27" s="1"/>
  <c r="F3138" i="27" s="1"/>
  <c r="F3139" i="27" s="1"/>
  <c r="B3016" i="27"/>
  <c r="A771" i="27"/>
  <c r="K772" i="27"/>
  <c r="J772" i="27"/>
  <c r="L772" i="27"/>
  <c r="E773" i="27"/>
  <c r="I772" i="27"/>
  <c r="Q68" i="32"/>
  <c r="Q679" i="32"/>
  <c r="AD40" i="34"/>
  <c r="E43" i="27"/>
  <c r="F3610" i="27" l="1"/>
  <c r="F3140" i="27"/>
  <c r="F3141" i="27"/>
  <c r="F3142" i="27" s="1"/>
  <c r="F3143" i="27" s="1"/>
  <c r="F3144" i="27" s="1"/>
  <c r="F3145" i="27" s="1"/>
  <c r="B3017" i="27"/>
  <c r="A772" i="27"/>
  <c r="L773" i="27"/>
  <c r="K773" i="27"/>
  <c r="J773" i="27"/>
  <c r="E774" i="27"/>
  <c r="I773" i="27"/>
  <c r="Q70" i="32"/>
  <c r="N43" i="27"/>
  <c r="I43" i="27"/>
  <c r="K43" i="27"/>
  <c r="M43" i="27"/>
  <c r="J43" i="27"/>
  <c r="Q681" i="32"/>
  <c r="AD41" i="34"/>
  <c r="L27" i="16"/>
  <c r="L26" i="16"/>
  <c r="F3611" i="27" l="1"/>
  <c r="F3146" i="27"/>
  <c r="F3147" i="27"/>
  <c r="F3148" i="27" s="1"/>
  <c r="F3149" i="27" s="1"/>
  <c r="F3150" i="27" s="1"/>
  <c r="F3151" i="27" s="1"/>
  <c r="B3018" i="27"/>
  <c r="A773" i="27"/>
  <c r="L774" i="27"/>
  <c r="K774" i="27"/>
  <c r="J774" i="27"/>
  <c r="I774" i="27"/>
  <c r="E775" i="27"/>
  <c r="Q72" i="32"/>
  <c r="A43" i="27"/>
  <c r="Q683" i="32"/>
  <c r="AD42" i="34"/>
  <c r="F3612" i="27" l="1"/>
  <c r="F3152" i="27"/>
  <c r="F3153" i="27"/>
  <c r="F3154" i="27" s="1"/>
  <c r="F3155" i="27" s="1"/>
  <c r="F3156" i="27" s="1"/>
  <c r="F3157" i="27" s="1"/>
  <c r="B3019" i="27"/>
  <c r="K775" i="27"/>
  <c r="J775" i="27"/>
  <c r="I775" i="27"/>
  <c r="E776" i="27"/>
  <c r="L775" i="27"/>
  <c r="A774" i="27"/>
  <c r="Q74" i="32"/>
  <c r="Q685" i="32"/>
  <c r="AD43" i="34"/>
  <c r="F3613" i="27" l="1"/>
  <c r="F3158" i="27"/>
  <c r="F3159" i="27"/>
  <c r="F3160" i="27" s="1"/>
  <c r="F3161" i="27" s="1"/>
  <c r="F3162" i="27" s="1"/>
  <c r="F3163" i="27" s="1"/>
  <c r="B3020" i="27"/>
  <c r="K776" i="27"/>
  <c r="J776" i="27"/>
  <c r="L776" i="27"/>
  <c r="I776" i="27"/>
  <c r="E777" i="27"/>
  <c r="A775" i="27"/>
  <c r="Q76" i="32"/>
  <c r="Q687" i="32"/>
  <c r="AD44" i="34"/>
  <c r="F3614" i="27" l="1"/>
  <c r="F3615" i="27"/>
  <c r="F3165" i="27"/>
  <c r="F3166" i="27" s="1"/>
  <c r="F3167" i="27" s="1"/>
  <c r="F3168" i="27" s="1"/>
  <c r="F3169" i="27" s="1"/>
  <c r="F3164" i="27"/>
  <c r="B3021" i="27"/>
  <c r="A776" i="27"/>
  <c r="K777" i="27"/>
  <c r="I777" i="27"/>
  <c r="L777" i="27"/>
  <c r="J777" i="27"/>
  <c r="E778" i="27"/>
  <c r="Q78" i="32"/>
  <c r="Q689" i="32"/>
  <c r="AD45" i="34"/>
  <c r="F3616" i="27" l="1"/>
  <c r="F3171" i="27"/>
  <c r="F3172" i="27" s="1"/>
  <c r="F3173" i="27" s="1"/>
  <c r="F3174" i="27" s="1"/>
  <c r="F3175" i="27" s="1"/>
  <c r="F3170" i="27"/>
  <c r="B3022" i="27"/>
  <c r="A777" i="27"/>
  <c r="L778" i="27"/>
  <c r="K778" i="27"/>
  <c r="I778" i="27"/>
  <c r="J778" i="27"/>
  <c r="E779" i="27"/>
  <c r="Q80" i="32"/>
  <c r="Q691" i="32"/>
  <c r="AD46" i="34"/>
  <c r="F88" i="16"/>
  <c r="F3617" i="27" l="1"/>
  <c r="F3177" i="27"/>
  <c r="F3178" i="27" s="1"/>
  <c r="F3179" i="27" s="1"/>
  <c r="F3180" i="27" s="1"/>
  <c r="F3181" i="27" s="1"/>
  <c r="F3176" i="27"/>
  <c r="B3023" i="27"/>
  <c r="A778" i="27"/>
  <c r="L779" i="27"/>
  <c r="I779" i="27"/>
  <c r="K779" i="27"/>
  <c r="E780" i="27"/>
  <c r="J779" i="27"/>
  <c r="Q82" i="32"/>
  <c r="Q693" i="32"/>
  <c r="AD47" i="34"/>
  <c r="F253" i="16"/>
  <c r="I253" i="16" s="1"/>
  <c r="F3618" i="27" l="1"/>
  <c r="F3183" i="27"/>
  <c r="F3184" i="27" s="1"/>
  <c r="F3185" i="27" s="1"/>
  <c r="F3186" i="27" s="1"/>
  <c r="F3187" i="27" s="1"/>
  <c r="F3182" i="27"/>
  <c r="B3024" i="27"/>
  <c r="A779" i="27"/>
  <c r="K780" i="27"/>
  <c r="I780" i="27"/>
  <c r="L780" i="27"/>
  <c r="J780" i="27"/>
  <c r="E781" i="27"/>
  <c r="Q84" i="32"/>
  <c r="Q695" i="32"/>
  <c r="AD48" i="34"/>
  <c r="F3619" i="27" l="1"/>
  <c r="F3189" i="27"/>
  <c r="F3190" i="27" s="1"/>
  <c r="F3191" i="27" s="1"/>
  <c r="F3192" i="27" s="1"/>
  <c r="F3193" i="27" s="1"/>
  <c r="F3188" i="27"/>
  <c r="B3025" i="27"/>
  <c r="L781" i="27"/>
  <c r="I781" i="27"/>
  <c r="J781" i="27"/>
  <c r="K781" i="27"/>
  <c r="E782" i="27"/>
  <c r="A780" i="27"/>
  <c r="Q86" i="32"/>
  <c r="Q697" i="32"/>
  <c r="AD49" i="34"/>
  <c r="F3620" i="27" l="1"/>
  <c r="F3621" i="27"/>
  <c r="F3195" i="27"/>
  <c r="F3196" i="27" s="1"/>
  <c r="F3197" i="27" s="1"/>
  <c r="F3198" i="27" s="1"/>
  <c r="F3199" i="27" s="1"/>
  <c r="F3194" i="27"/>
  <c r="B3026" i="27"/>
  <c r="A781" i="27"/>
  <c r="L782" i="27"/>
  <c r="I782" i="27"/>
  <c r="J782" i="27"/>
  <c r="E783" i="27"/>
  <c r="K782" i="27"/>
  <c r="Q88" i="32"/>
  <c r="Q699" i="32"/>
  <c r="AD50" i="34"/>
  <c r="B25" i="29"/>
  <c r="F3622" i="27" l="1"/>
  <c r="F3201" i="27"/>
  <c r="F3202" i="27" s="1"/>
  <c r="F3203" i="27" s="1"/>
  <c r="F3204" i="27" s="1"/>
  <c r="F3205" i="27" s="1"/>
  <c r="F3200" i="27"/>
  <c r="B3027" i="27"/>
  <c r="A782" i="27"/>
  <c r="L783" i="27"/>
  <c r="J783" i="27"/>
  <c r="K783" i="27"/>
  <c r="E784" i="27"/>
  <c r="I783" i="27"/>
  <c r="Q90" i="32"/>
  <c r="Q701" i="32"/>
  <c r="AD51" i="34"/>
  <c r="F3623" i="27" l="1"/>
  <c r="F3206" i="27"/>
  <c r="F3207" i="27"/>
  <c r="F3208" i="27" s="1"/>
  <c r="F3209" i="27" s="1"/>
  <c r="F3210" i="27" s="1"/>
  <c r="F3211" i="27" s="1"/>
  <c r="B3028" i="27"/>
  <c r="A783" i="27"/>
  <c r="J784" i="27"/>
  <c r="L784" i="27"/>
  <c r="K784" i="27"/>
  <c r="E785" i="27"/>
  <c r="I784" i="27"/>
  <c r="Q92" i="32"/>
  <c r="Q703" i="32"/>
  <c r="AD52" i="34"/>
  <c r="F3624" i="27" l="1"/>
  <c r="F3212" i="27"/>
  <c r="F3213" i="27"/>
  <c r="F3214" i="27" s="1"/>
  <c r="F3215" i="27" s="1"/>
  <c r="F3216" i="27" s="1"/>
  <c r="F3217" i="27" s="1"/>
  <c r="B3029" i="27"/>
  <c r="A784" i="27"/>
  <c r="L785" i="27"/>
  <c r="K785" i="27"/>
  <c r="J785" i="27"/>
  <c r="E786" i="27"/>
  <c r="I785" i="27"/>
  <c r="Q94" i="32"/>
  <c r="Q705" i="32"/>
  <c r="AD53" i="34"/>
  <c r="H2" i="29"/>
  <c r="F3625" i="27" l="1"/>
  <c r="F3218" i="27"/>
  <c r="F3219" i="27"/>
  <c r="F3220" i="27" s="1"/>
  <c r="F3221" i="27" s="1"/>
  <c r="F3222" i="27" s="1"/>
  <c r="F3223" i="27" s="1"/>
  <c r="B3030" i="27"/>
  <c r="A785" i="27"/>
  <c r="L786" i="27"/>
  <c r="J786" i="27"/>
  <c r="K786" i="27"/>
  <c r="I786" i="27"/>
  <c r="E787" i="27"/>
  <c r="Q96" i="32"/>
  <c r="Q707" i="32"/>
  <c r="AD54" i="34"/>
  <c r="G2" i="29"/>
  <c r="F2" i="29"/>
  <c r="F3627" i="27" l="1"/>
  <c r="F3626" i="27"/>
  <c r="F3225" i="27"/>
  <c r="F3226" i="27" s="1"/>
  <c r="F3227" i="27" s="1"/>
  <c r="F3228" i="27" s="1"/>
  <c r="F3229" i="27" s="1"/>
  <c r="F3224" i="27"/>
  <c r="B3031" i="27"/>
  <c r="J787" i="27"/>
  <c r="L787" i="27"/>
  <c r="K787" i="27"/>
  <c r="I787" i="27"/>
  <c r="E788" i="27"/>
  <c r="A786" i="27"/>
  <c r="Q98" i="32"/>
  <c r="Q709" i="32"/>
  <c r="AD55" i="34"/>
  <c r="G3" i="29"/>
  <c r="F3" i="29"/>
  <c r="E2" i="29"/>
  <c r="D2" i="29"/>
  <c r="D3" i="29" s="1"/>
  <c r="F3628" i="27" l="1"/>
  <c r="F3230" i="27"/>
  <c r="F3231" i="27"/>
  <c r="F3232" i="27" s="1"/>
  <c r="F3233" i="27" s="1"/>
  <c r="F3234" i="27" s="1"/>
  <c r="F3235" i="27" s="1"/>
  <c r="B3032" i="27"/>
  <c r="A787" i="27"/>
  <c r="K788" i="27"/>
  <c r="J788" i="27"/>
  <c r="L788" i="27"/>
  <c r="I788" i="27"/>
  <c r="E789" i="27"/>
  <c r="Q100" i="32"/>
  <c r="Q711" i="32"/>
  <c r="AD56" i="34"/>
  <c r="B9" i="29"/>
  <c r="E3" i="29"/>
  <c r="C2" i="29"/>
  <c r="C3" i="29" s="1"/>
  <c r="F3629" i="27" l="1"/>
  <c r="F3237" i="27"/>
  <c r="F3238" i="27" s="1"/>
  <c r="F3239" i="27" s="1"/>
  <c r="F3240" i="27" s="1"/>
  <c r="F3241" i="27" s="1"/>
  <c r="F3236" i="27"/>
  <c r="B3033" i="27"/>
  <c r="A788" i="27"/>
  <c r="K789" i="27"/>
  <c r="L789" i="27"/>
  <c r="I789" i="27"/>
  <c r="J789" i="27"/>
  <c r="E790" i="27"/>
  <c r="Q102" i="32"/>
  <c r="Q713" i="32"/>
  <c r="AD57" i="34"/>
  <c r="B10" i="29"/>
  <c r="C10" i="29" s="1"/>
  <c r="C9" i="29"/>
  <c r="B2" i="29"/>
  <c r="B3" i="29" s="1"/>
  <c r="F3630" i="27" l="1"/>
  <c r="F3242" i="27"/>
  <c r="F3243" i="27"/>
  <c r="F3244" i="27" s="1"/>
  <c r="F3245" i="27" s="1"/>
  <c r="F3246" i="27" s="1"/>
  <c r="F3247" i="27" s="1"/>
  <c r="B3034" i="27"/>
  <c r="L790" i="27"/>
  <c r="K790" i="27"/>
  <c r="I790" i="27"/>
  <c r="J790" i="27"/>
  <c r="E791" i="27"/>
  <c r="A789" i="27"/>
  <c r="Q104" i="32"/>
  <c r="Q715" i="32"/>
  <c r="AD58" i="34"/>
  <c r="B23" i="29"/>
  <c r="F3631" i="27" l="1"/>
  <c r="F3249" i="27"/>
  <c r="F3250" i="27" s="1"/>
  <c r="F3251" i="27" s="1"/>
  <c r="F3252" i="27" s="1"/>
  <c r="F3253" i="27" s="1"/>
  <c r="F3248" i="27"/>
  <c r="B3035" i="27"/>
  <c r="A790" i="27"/>
  <c r="K791" i="27"/>
  <c r="L791" i="27"/>
  <c r="I791" i="27"/>
  <c r="J791" i="27"/>
  <c r="E792" i="27"/>
  <c r="Q106" i="32"/>
  <c r="Q717" i="32"/>
  <c r="AD59" i="34"/>
  <c r="F3633" i="27" l="1"/>
  <c r="F3632" i="27"/>
  <c r="F3254" i="27"/>
  <c r="F3255" i="27"/>
  <c r="F3256" i="27" s="1"/>
  <c r="F3257" i="27" s="1"/>
  <c r="F3258" i="27" s="1"/>
  <c r="F3259" i="27" s="1"/>
  <c r="B3036" i="27"/>
  <c r="K792" i="27"/>
  <c r="L792" i="27"/>
  <c r="I792" i="27"/>
  <c r="J792" i="27"/>
  <c r="E793" i="27"/>
  <c r="A791" i="27"/>
  <c r="Q108" i="32"/>
  <c r="Q719" i="32"/>
  <c r="AD60" i="34"/>
  <c r="F3634" i="27" l="1"/>
  <c r="F3261" i="27"/>
  <c r="F3262" i="27" s="1"/>
  <c r="F3263" i="27" s="1"/>
  <c r="F3264" i="27" s="1"/>
  <c r="F3265" i="27" s="1"/>
  <c r="F3260" i="27"/>
  <c r="B3037" i="27"/>
  <c r="L793" i="27"/>
  <c r="I793" i="27"/>
  <c r="K793" i="27"/>
  <c r="J793" i="27"/>
  <c r="E794" i="27"/>
  <c r="A792" i="27"/>
  <c r="Q110" i="32"/>
  <c r="Q721" i="32"/>
  <c r="AD61" i="34"/>
  <c r="R2" i="28"/>
  <c r="E2" i="28" s="1"/>
  <c r="F3635" i="27" l="1"/>
  <c r="F3266" i="27"/>
  <c r="F3267" i="27"/>
  <c r="F3268" i="27" s="1"/>
  <c r="F3269" i="27" s="1"/>
  <c r="F3270" i="27" s="1"/>
  <c r="F3271" i="27" s="1"/>
  <c r="B3038" i="27"/>
  <c r="A793" i="27"/>
  <c r="L794" i="27"/>
  <c r="I794" i="27"/>
  <c r="K794" i="27"/>
  <c r="J794" i="27"/>
  <c r="E795" i="27"/>
  <c r="C2" i="28"/>
  <c r="N2" i="28" s="1"/>
  <c r="A2" i="28" s="1"/>
  <c r="Q112" i="32"/>
  <c r="F2" i="28"/>
  <c r="Q723" i="32"/>
  <c r="AD62" i="34"/>
  <c r="D2" i="28"/>
  <c r="F3636" i="27" l="1"/>
  <c r="F3273" i="27"/>
  <c r="F3274" i="27" s="1"/>
  <c r="F3275" i="27" s="1"/>
  <c r="F3276" i="27" s="1"/>
  <c r="F3277" i="27" s="1"/>
  <c r="F3272" i="27"/>
  <c r="B3039" i="27"/>
  <c r="A794" i="27"/>
  <c r="L795" i="27"/>
  <c r="K795" i="27"/>
  <c r="J795" i="27"/>
  <c r="I795" i="27"/>
  <c r="E796" i="27"/>
  <c r="K2" i="28"/>
  <c r="I2" i="28"/>
  <c r="J2" i="28"/>
  <c r="H2" i="28"/>
  <c r="B2" i="28"/>
  <c r="Q114" i="32"/>
  <c r="Q725" i="32"/>
  <c r="AD63" i="34"/>
  <c r="F3637" i="27" l="1"/>
  <c r="F3278" i="27"/>
  <c r="F3279" i="27"/>
  <c r="F3280" i="27" s="1"/>
  <c r="F3281" i="27" s="1"/>
  <c r="F3282" i="27" s="1"/>
  <c r="F3283" i="27" s="1"/>
  <c r="B3040" i="27"/>
  <c r="K796" i="27"/>
  <c r="L796" i="27"/>
  <c r="J796" i="27"/>
  <c r="I796" i="27"/>
  <c r="E797" i="27"/>
  <c r="A795" i="27"/>
  <c r="Q116" i="32"/>
  <c r="Q727" i="32"/>
  <c r="AD64" i="34"/>
  <c r="J41" i="27"/>
  <c r="J224" i="27"/>
  <c r="J225" i="27"/>
  <c r="J264" i="27"/>
  <c r="J265" i="27"/>
  <c r="J450" i="27"/>
  <c r="J451" i="27"/>
  <c r="J525" i="27"/>
  <c r="J526" i="27"/>
  <c r="J998" i="27"/>
  <c r="J2892" i="27"/>
  <c r="J2893" i="27"/>
  <c r="J2894" i="27"/>
  <c r="J3057" i="27"/>
  <c r="J3058" i="27"/>
  <c r="J3059" i="27"/>
  <c r="J3060" i="27"/>
  <c r="J3061" i="27"/>
  <c r="J3062" i="27"/>
  <c r="J4023" i="27"/>
  <c r="J4024" i="27"/>
  <c r="J4025" i="27"/>
  <c r="J4026" i="27"/>
  <c r="J4027" i="27"/>
  <c r="J4028" i="27"/>
  <c r="J4029" i="27"/>
  <c r="J4030" i="27"/>
  <c r="J4031" i="27"/>
  <c r="J4032" i="27"/>
  <c r="J4033" i="27"/>
  <c r="J4034" i="27"/>
  <c r="J4035" i="27"/>
  <c r="J4036" i="27"/>
  <c r="J4037" i="27"/>
  <c r="J4038" i="27"/>
  <c r="J4039" i="27"/>
  <c r="J4040" i="27"/>
  <c r="J4041" i="27"/>
  <c r="J4042" i="27"/>
  <c r="J4043" i="27"/>
  <c r="J4044" i="27"/>
  <c r="J4045" i="27"/>
  <c r="J4046" i="27"/>
  <c r="J4047" i="27"/>
  <c r="J4048" i="27"/>
  <c r="J4049" i="27"/>
  <c r="J4050" i="27"/>
  <c r="J4051" i="27"/>
  <c r="J4052" i="27"/>
  <c r="J4053" i="27"/>
  <c r="J4054" i="27"/>
  <c r="J4055" i="27"/>
  <c r="J4056" i="27"/>
  <c r="J4057" i="27"/>
  <c r="J4058" i="27"/>
  <c r="J4059" i="27"/>
  <c r="J4060" i="27"/>
  <c r="J4061" i="27"/>
  <c r="J4062" i="27"/>
  <c r="J4063" i="27"/>
  <c r="J4064" i="27"/>
  <c r="J4065" i="27"/>
  <c r="J4066" i="27"/>
  <c r="J4067" i="27"/>
  <c r="J4068" i="27"/>
  <c r="J4069" i="27"/>
  <c r="J4070" i="27"/>
  <c r="J4071" i="27"/>
  <c r="J4072" i="27"/>
  <c r="J4073" i="27"/>
  <c r="J4074" i="27"/>
  <c r="J4075" i="27"/>
  <c r="J4076" i="27"/>
  <c r="J4077" i="27"/>
  <c r="J4078" i="27"/>
  <c r="J4079" i="27"/>
  <c r="J4080" i="27"/>
  <c r="J4081" i="27"/>
  <c r="J4082" i="27"/>
  <c r="J4083" i="27"/>
  <c r="J4084" i="27"/>
  <c r="J4085" i="27"/>
  <c r="J4086" i="27"/>
  <c r="J4087" i="27"/>
  <c r="J4088" i="27"/>
  <c r="J4089" i="27"/>
  <c r="J4090" i="27"/>
  <c r="J4091" i="27"/>
  <c r="J4092" i="27"/>
  <c r="J4093" i="27"/>
  <c r="J4094" i="27"/>
  <c r="J4095" i="27"/>
  <c r="J4096" i="27"/>
  <c r="J4097" i="27"/>
  <c r="J4098" i="27"/>
  <c r="J4099" i="27"/>
  <c r="J4100" i="27"/>
  <c r="J4101" i="27"/>
  <c r="J4102" i="27"/>
  <c r="J4103" i="27"/>
  <c r="J4104" i="27"/>
  <c r="J4105" i="27"/>
  <c r="J4106" i="27"/>
  <c r="J4107" i="27"/>
  <c r="J4108" i="27"/>
  <c r="J4109" i="27"/>
  <c r="J4110" i="27"/>
  <c r="J4111" i="27"/>
  <c r="J4112" i="27"/>
  <c r="J4113" i="27"/>
  <c r="J4114" i="27"/>
  <c r="J4115" i="27"/>
  <c r="J4116" i="27"/>
  <c r="J4117" i="27"/>
  <c r="J4118" i="27"/>
  <c r="J4119" i="27"/>
  <c r="J4120" i="27"/>
  <c r="J4121" i="27"/>
  <c r="J4122" i="27"/>
  <c r="J4123" i="27"/>
  <c r="J4124" i="27"/>
  <c r="J4125" i="27"/>
  <c r="J4126" i="27"/>
  <c r="J4127" i="27"/>
  <c r="J4128" i="27"/>
  <c r="J4129" i="27"/>
  <c r="J4130" i="27"/>
  <c r="J4131" i="27"/>
  <c r="J4132" i="27"/>
  <c r="J4133" i="27"/>
  <c r="J4134" i="27"/>
  <c r="J4135" i="27"/>
  <c r="J4136" i="27"/>
  <c r="J4137" i="27"/>
  <c r="J4138" i="27"/>
  <c r="J4139" i="27"/>
  <c r="J4140" i="27"/>
  <c r="J4141" i="27"/>
  <c r="J4142" i="27"/>
  <c r="J4143" i="27"/>
  <c r="J4144" i="27"/>
  <c r="J4145" i="27"/>
  <c r="J4146" i="27"/>
  <c r="J4147" i="27"/>
  <c r="J4148" i="27"/>
  <c r="J4149" i="27"/>
  <c r="J4150" i="27"/>
  <c r="J4151" i="27"/>
  <c r="J4152" i="27"/>
  <c r="J4153" i="27"/>
  <c r="J4154" i="27"/>
  <c r="J4155" i="27"/>
  <c r="J4156" i="27"/>
  <c r="J4157" i="27"/>
  <c r="J4158" i="27"/>
  <c r="J4159" i="27"/>
  <c r="J4160" i="27"/>
  <c r="J4161" i="27"/>
  <c r="J4162" i="27"/>
  <c r="J4163" i="27"/>
  <c r="J4164" i="27"/>
  <c r="J4165" i="27"/>
  <c r="J4166" i="27"/>
  <c r="J4167" i="27"/>
  <c r="J4168" i="27"/>
  <c r="J4169" i="27"/>
  <c r="J4170" i="27"/>
  <c r="J4171" i="27"/>
  <c r="J4172" i="27"/>
  <c r="J4173" i="27"/>
  <c r="J4174" i="27"/>
  <c r="J4175" i="27"/>
  <c r="J4176" i="27"/>
  <c r="J4177" i="27"/>
  <c r="J4178" i="27"/>
  <c r="J4179" i="27"/>
  <c r="J4180" i="27"/>
  <c r="J4181" i="27"/>
  <c r="J4182" i="27"/>
  <c r="J4183" i="27"/>
  <c r="J4184" i="27"/>
  <c r="J4185" i="27"/>
  <c r="J4186" i="27"/>
  <c r="J4187" i="27"/>
  <c r="J4188" i="27"/>
  <c r="J4189" i="27"/>
  <c r="J4190" i="27"/>
  <c r="J4191" i="27"/>
  <c r="J4192" i="27"/>
  <c r="J4193" i="27"/>
  <c r="J4194" i="27"/>
  <c r="J4195" i="27"/>
  <c r="J4196" i="27"/>
  <c r="J4197" i="27"/>
  <c r="J4198" i="27"/>
  <c r="J4199" i="27"/>
  <c r="J4200" i="27"/>
  <c r="J4201" i="27"/>
  <c r="J4202" i="27"/>
  <c r="J4203" i="27"/>
  <c r="J4204" i="27"/>
  <c r="J4205" i="27"/>
  <c r="J4206" i="27"/>
  <c r="J4207" i="27"/>
  <c r="J4208" i="27"/>
  <c r="J4209" i="27"/>
  <c r="J4210" i="27"/>
  <c r="J4211" i="27"/>
  <c r="J4212" i="27"/>
  <c r="J4213" i="27"/>
  <c r="J4214" i="27"/>
  <c r="J4215" i="27"/>
  <c r="J4216" i="27"/>
  <c r="J4217" i="27"/>
  <c r="J4218" i="27"/>
  <c r="J4219" i="27"/>
  <c r="J4220" i="27"/>
  <c r="J4221" i="27"/>
  <c r="J4222" i="27"/>
  <c r="J4223" i="27"/>
  <c r="J4224" i="27"/>
  <c r="J4225" i="27"/>
  <c r="J4226" i="27"/>
  <c r="J4227" i="27"/>
  <c r="J4228" i="27"/>
  <c r="J4229" i="27"/>
  <c r="J4230" i="27"/>
  <c r="J4231" i="27"/>
  <c r="J4232" i="27"/>
  <c r="J4233" i="27"/>
  <c r="J4234" i="27"/>
  <c r="J4235" i="27"/>
  <c r="J4236" i="27"/>
  <c r="J4237" i="27"/>
  <c r="J4238" i="27"/>
  <c r="J4239" i="27"/>
  <c r="J4240" i="27"/>
  <c r="J4241" i="27"/>
  <c r="J4242" i="27"/>
  <c r="J4243" i="27"/>
  <c r="J4244" i="27"/>
  <c r="J4245" i="27"/>
  <c r="J4246" i="27"/>
  <c r="J4247" i="27"/>
  <c r="J4248" i="27"/>
  <c r="J4249" i="27"/>
  <c r="J4250" i="27"/>
  <c r="J4251" i="27"/>
  <c r="J4252" i="27"/>
  <c r="J4253" i="27"/>
  <c r="J4254" i="27"/>
  <c r="J4255" i="27"/>
  <c r="J4256" i="27"/>
  <c r="J4257" i="27"/>
  <c r="J4258" i="27"/>
  <c r="J4259" i="27"/>
  <c r="J4260" i="27"/>
  <c r="J4261" i="27"/>
  <c r="J4262" i="27"/>
  <c r="J4263" i="27"/>
  <c r="J4264" i="27"/>
  <c r="J4265" i="27"/>
  <c r="J4266" i="27"/>
  <c r="J4267" i="27"/>
  <c r="J4268" i="27"/>
  <c r="J4269" i="27"/>
  <c r="J4270" i="27"/>
  <c r="J4271" i="27"/>
  <c r="J4272" i="27"/>
  <c r="J4273" i="27"/>
  <c r="J4274" i="27"/>
  <c r="J4275" i="27"/>
  <c r="J4276" i="27"/>
  <c r="J4277" i="27"/>
  <c r="J4278" i="27"/>
  <c r="J4279" i="27"/>
  <c r="J4280" i="27"/>
  <c r="J4281" i="27"/>
  <c r="J4282" i="27"/>
  <c r="J4283" i="27"/>
  <c r="J4284" i="27"/>
  <c r="J4285" i="27"/>
  <c r="J4286" i="27"/>
  <c r="J4287" i="27"/>
  <c r="J4288" i="27"/>
  <c r="J4289" i="27"/>
  <c r="J4290" i="27"/>
  <c r="J4291" i="27"/>
  <c r="J4292" i="27"/>
  <c r="J4293" i="27"/>
  <c r="J4294" i="27"/>
  <c r="J4295" i="27"/>
  <c r="J4296" i="27"/>
  <c r="J4297" i="27"/>
  <c r="J4298" i="27"/>
  <c r="J4299" i="27"/>
  <c r="J4300" i="27"/>
  <c r="J4301" i="27"/>
  <c r="J4302" i="27"/>
  <c r="J4303" i="27"/>
  <c r="J4304" i="27"/>
  <c r="J4305" i="27"/>
  <c r="J4306" i="27"/>
  <c r="J4307" i="27"/>
  <c r="J4308" i="27"/>
  <c r="J4309" i="27"/>
  <c r="J4310" i="27"/>
  <c r="J4311" i="27"/>
  <c r="J4312" i="27"/>
  <c r="J4313" i="27"/>
  <c r="J4314" i="27"/>
  <c r="J4315" i="27"/>
  <c r="J4316" i="27"/>
  <c r="J4317" i="27"/>
  <c r="J4318" i="27"/>
  <c r="J4319" i="27"/>
  <c r="J4320" i="27"/>
  <c r="J4321" i="27"/>
  <c r="J4322" i="27"/>
  <c r="J4323" i="27"/>
  <c r="J4324" i="27"/>
  <c r="J4325" i="27"/>
  <c r="J4326" i="27"/>
  <c r="J4327" i="27"/>
  <c r="J4328" i="27"/>
  <c r="J4329" i="27"/>
  <c r="J4330" i="27"/>
  <c r="J4331" i="27"/>
  <c r="J4332" i="27"/>
  <c r="J4333" i="27"/>
  <c r="J4334" i="27"/>
  <c r="J4335" i="27"/>
  <c r="J4336" i="27"/>
  <c r="J4337" i="27"/>
  <c r="J4338" i="27"/>
  <c r="J4339" i="27"/>
  <c r="J4340" i="27"/>
  <c r="J4341" i="27"/>
  <c r="J4342" i="27"/>
  <c r="J4343" i="27"/>
  <c r="J4344" i="27"/>
  <c r="J4345" i="27"/>
  <c r="J4346" i="27"/>
  <c r="J4347" i="27"/>
  <c r="J4348" i="27"/>
  <c r="J4349" i="27"/>
  <c r="J4350" i="27"/>
  <c r="J4351" i="27"/>
  <c r="J4352" i="27"/>
  <c r="J4353" i="27"/>
  <c r="J4354" i="27"/>
  <c r="J4355" i="27"/>
  <c r="J4356" i="27"/>
  <c r="J4357" i="27"/>
  <c r="J4358" i="27"/>
  <c r="J4359" i="27"/>
  <c r="J4360" i="27"/>
  <c r="J4361" i="27"/>
  <c r="J4362" i="27"/>
  <c r="J4363" i="27"/>
  <c r="J4364" i="27"/>
  <c r="J4365" i="27"/>
  <c r="J4366" i="27"/>
  <c r="J4367" i="27"/>
  <c r="J4368" i="27"/>
  <c r="J4369" i="27"/>
  <c r="J4370" i="27"/>
  <c r="J4371" i="27"/>
  <c r="J4372" i="27"/>
  <c r="J4373" i="27"/>
  <c r="J4374" i="27"/>
  <c r="J4375" i="27"/>
  <c r="J4376" i="27"/>
  <c r="J4377" i="27"/>
  <c r="J4378" i="27"/>
  <c r="J4379" i="27"/>
  <c r="J4380" i="27"/>
  <c r="J4381" i="27"/>
  <c r="J4382" i="27"/>
  <c r="J4383" i="27"/>
  <c r="J4384" i="27"/>
  <c r="J4385" i="27"/>
  <c r="J4386" i="27"/>
  <c r="J4387" i="27"/>
  <c r="J4388" i="27"/>
  <c r="J4389" i="27"/>
  <c r="J4390" i="27"/>
  <c r="J4391" i="27"/>
  <c r="J4392" i="27"/>
  <c r="J4393" i="27"/>
  <c r="J4394" i="27"/>
  <c r="J4395" i="27"/>
  <c r="J4396" i="27"/>
  <c r="J4397" i="27"/>
  <c r="J4398" i="27"/>
  <c r="J4399" i="27"/>
  <c r="J4400" i="27"/>
  <c r="J4401" i="27"/>
  <c r="J4402" i="27"/>
  <c r="J4403" i="27"/>
  <c r="J4404" i="27"/>
  <c r="J4405" i="27"/>
  <c r="J4406" i="27"/>
  <c r="J4407" i="27"/>
  <c r="J4408" i="27"/>
  <c r="J4409" i="27"/>
  <c r="J4410" i="27"/>
  <c r="J4411" i="27"/>
  <c r="J4412" i="27"/>
  <c r="J4413" i="27"/>
  <c r="J4414" i="27"/>
  <c r="J4415" i="27"/>
  <c r="J4416" i="27"/>
  <c r="J4417" i="27"/>
  <c r="J4418" i="27"/>
  <c r="J4419" i="27"/>
  <c r="J4420" i="27"/>
  <c r="J4421" i="27"/>
  <c r="J4422" i="27"/>
  <c r="J4423" i="27"/>
  <c r="J4424" i="27"/>
  <c r="J4425" i="27"/>
  <c r="J4426" i="27"/>
  <c r="J4427" i="27"/>
  <c r="J4428" i="27"/>
  <c r="J4429" i="27"/>
  <c r="J4430" i="27"/>
  <c r="J4431" i="27"/>
  <c r="J4432" i="27"/>
  <c r="J4433" i="27"/>
  <c r="J4434" i="27"/>
  <c r="J4435" i="27"/>
  <c r="J4436" i="27"/>
  <c r="J4437" i="27"/>
  <c r="J4438" i="27"/>
  <c r="J4439" i="27"/>
  <c r="J4440" i="27"/>
  <c r="J4441" i="27"/>
  <c r="J4442" i="27"/>
  <c r="J4443" i="27"/>
  <c r="J4444" i="27"/>
  <c r="J4445" i="27"/>
  <c r="J4446" i="27"/>
  <c r="J4447" i="27"/>
  <c r="J4448" i="27"/>
  <c r="J4449" i="27"/>
  <c r="J4450" i="27"/>
  <c r="J4451" i="27"/>
  <c r="J4452" i="27"/>
  <c r="J4453" i="27"/>
  <c r="J4454" i="27"/>
  <c r="J4455" i="27"/>
  <c r="J4456" i="27"/>
  <c r="J4457" i="27"/>
  <c r="J4458" i="27"/>
  <c r="J4459" i="27"/>
  <c r="J4460" i="27"/>
  <c r="J4461" i="27"/>
  <c r="J4462" i="27"/>
  <c r="J4463" i="27"/>
  <c r="J4464" i="27"/>
  <c r="J4465" i="27"/>
  <c r="J4466" i="27"/>
  <c r="J4467" i="27"/>
  <c r="J4468" i="27"/>
  <c r="J4469" i="27"/>
  <c r="J4470" i="27"/>
  <c r="J4471" i="27"/>
  <c r="J4472" i="27"/>
  <c r="J4473" i="27"/>
  <c r="J4474" i="27"/>
  <c r="J4475" i="27"/>
  <c r="J4476" i="27"/>
  <c r="J4477" i="27"/>
  <c r="J4478" i="27"/>
  <c r="J4479" i="27"/>
  <c r="J4480" i="27"/>
  <c r="J4481" i="27"/>
  <c r="J4482" i="27"/>
  <c r="J4483" i="27"/>
  <c r="J4484" i="27"/>
  <c r="J4485" i="27"/>
  <c r="J4486" i="27"/>
  <c r="J4487" i="27"/>
  <c r="J4488" i="27"/>
  <c r="J4489" i="27"/>
  <c r="J4490" i="27"/>
  <c r="J4491" i="27"/>
  <c r="J4492" i="27"/>
  <c r="J4493" i="27"/>
  <c r="J4494" i="27"/>
  <c r="J4495" i="27"/>
  <c r="J4496" i="27"/>
  <c r="J4497" i="27"/>
  <c r="J4498" i="27"/>
  <c r="J4499" i="27"/>
  <c r="J4500" i="27"/>
  <c r="J4501" i="27"/>
  <c r="J4502" i="27"/>
  <c r="J4503" i="27"/>
  <c r="J4504" i="27"/>
  <c r="J4505" i="27"/>
  <c r="J4506" i="27"/>
  <c r="J4507" i="27"/>
  <c r="J4508" i="27"/>
  <c r="J4509" i="27"/>
  <c r="J4510" i="27"/>
  <c r="J4511" i="27"/>
  <c r="J4512" i="27"/>
  <c r="J4513" i="27"/>
  <c r="J4514" i="27"/>
  <c r="J4515" i="27"/>
  <c r="J4516" i="27"/>
  <c r="J4517" i="27"/>
  <c r="J4518" i="27"/>
  <c r="J4519" i="27"/>
  <c r="J4520" i="27"/>
  <c r="J4521" i="27"/>
  <c r="J4522" i="27"/>
  <c r="J4523" i="27"/>
  <c r="J4524" i="27"/>
  <c r="J4525" i="27"/>
  <c r="J4526" i="27"/>
  <c r="J4527" i="27"/>
  <c r="J4528" i="27"/>
  <c r="J4529" i="27"/>
  <c r="J4530" i="27"/>
  <c r="J4531" i="27"/>
  <c r="J4532" i="27"/>
  <c r="J4533" i="27"/>
  <c r="J4534" i="27"/>
  <c r="J4535" i="27"/>
  <c r="J4536" i="27"/>
  <c r="J4537" i="27"/>
  <c r="J4538" i="27"/>
  <c r="J4539" i="27"/>
  <c r="J4540" i="27"/>
  <c r="J4541" i="27"/>
  <c r="J4542" i="27"/>
  <c r="J4543" i="27"/>
  <c r="J4544" i="27"/>
  <c r="J4545" i="27"/>
  <c r="J4546" i="27"/>
  <c r="J4547" i="27"/>
  <c r="J4548" i="27"/>
  <c r="J4549" i="27"/>
  <c r="J4550" i="27"/>
  <c r="J4551" i="27"/>
  <c r="J4552" i="27"/>
  <c r="J4553" i="27"/>
  <c r="J4554" i="27"/>
  <c r="J4555" i="27"/>
  <c r="J4556" i="27"/>
  <c r="J4557" i="27"/>
  <c r="J4558" i="27"/>
  <c r="J4559" i="27"/>
  <c r="J4560" i="27"/>
  <c r="J4561" i="27"/>
  <c r="J4562" i="27"/>
  <c r="J4563" i="27"/>
  <c r="J4564" i="27"/>
  <c r="J4565" i="27"/>
  <c r="J4566" i="27"/>
  <c r="J4567" i="27"/>
  <c r="J4568" i="27"/>
  <c r="J4569" i="27"/>
  <c r="J4570" i="27"/>
  <c r="J4571" i="27"/>
  <c r="J4572" i="27"/>
  <c r="J4573" i="27"/>
  <c r="J4574" i="27"/>
  <c r="J4575" i="27"/>
  <c r="J4576" i="27"/>
  <c r="J4577" i="27"/>
  <c r="J4578" i="27"/>
  <c r="J4579" i="27"/>
  <c r="J4580" i="27"/>
  <c r="J4581" i="27"/>
  <c r="J4582" i="27"/>
  <c r="J4583" i="27"/>
  <c r="J4584" i="27"/>
  <c r="J4585" i="27"/>
  <c r="J4586" i="27"/>
  <c r="J4587" i="27"/>
  <c r="J4588" i="27"/>
  <c r="J4589" i="27"/>
  <c r="J4590" i="27"/>
  <c r="J4591" i="27"/>
  <c r="J4592" i="27"/>
  <c r="J4593" i="27"/>
  <c r="J4594" i="27"/>
  <c r="J4595" i="27"/>
  <c r="J4596" i="27"/>
  <c r="J4597" i="27"/>
  <c r="J4598" i="27"/>
  <c r="J4599" i="27"/>
  <c r="J4600" i="27"/>
  <c r="J4601" i="27"/>
  <c r="J4602" i="27"/>
  <c r="J4603" i="27"/>
  <c r="J4604" i="27"/>
  <c r="J4605" i="27"/>
  <c r="J4606" i="27"/>
  <c r="J4607" i="27"/>
  <c r="J4608" i="27"/>
  <c r="J4609" i="27"/>
  <c r="J4610" i="27"/>
  <c r="J4611" i="27"/>
  <c r="J4612" i="27"/>
  <c r="F3638" i="27" l="1"/>
  <c r="F3639" i="27"/>
  <c r="F3285" i="27"/>
  <c r="F3286" i="27" s="1"/>
  <c r="F3287" i="27" s="1"/>
  <c r="F3288" i="27" s="1"/>
  <c r="F3289" i="27" s="1"/>
  <c r="F3284" i="27"/>
  <c r="B3041" i="27"/>
  <c r="A796" i="27"/>
  <c r="L797" i="27"/>
  <c r="K797" i="27"/>
  <c r="J797" i="27"/>
  <c r="I797" i="27"/>
  <c r="E798" i="27"/>
  <c r="Q118" i="32"/>
  <c r="Q729" i="32"/>
  <c r="AD65" i="34"/>
  <c r="L2" i="28"/>
  <c r="P2" i="28" s="1"/>
  <c r="F3640" i="27" l="1"/>
  <c r="F3290" i="27"/>
  <c r="F3291" i="27"/>
  <c r="F3292" i="27" s="1"/>
  <c r="F3293" i="27" s="1"/>
  <c r="F3294" i="27" s="1"/>
  <c r="F3295" i="27" s="1"/>
  <c r="B3042" i="27"/>
  <c r="L798" i="27"/>
  <c r="K798" i="27"/>
  <c r="J798" i="27"/>
  <c r="I798" i="27"/>
  <c r="E799" i="27"/>
  <c r="A797" i="27"/>
  <c r="Q120" i="32"/>
  <c r="Q731" i="32"/>
  <c r="AD66" i="34"/>
  <c r="B192" i="16" a="1"/>
  <c r="B192" i="16" s="1"/>
  <c r="I192" i="16" a="1"/>
  <c r="I192" i="16" s="1"/>
  <c r="H27" i="16" a="1"/>
  <c r="H27" i="16" s="1"/>
  <c r="H4" i="16" a="1"/>
  <c r="H4" i="16" s="1"/>
  <c r="F3641" i="27" l="1"/>
  <c r="F3297" i="27"/>
  <c r="F3298" i="27" s="1"/>
  <c r="F3299" i="27" s="1"/>
  <c r="F3300" i="27" s="1"/>
  <c r="F3301" i="27" s="1"/>
  <c r="F3296" i="27"/>
  <c r="B3043" i="27"/>
  <c r="K799" i="27"/>
  <c r="J799" i="27"/>
  <c r="I799" i="27"/>
  <c r="L799" i="27"/>
  <c r="E800" i="27"/>
  <c r="A798" i="27"/>
  <c r="I193" i="16" a="1"/>
  <c r="I193" i="16" s="1"/>
  <c r="J193" i="16" s="1" a="1"/>
  <c r="J193" i="16" s="1"/>
  <c r="H28" i="16" a="1"/>
  <c r="H28" i="16" s="1"/>
  <c r="I28" i="16" s="1" a="1"/>
  <c r="I28" i="16" s="1"/>
  <c r="H5" i="16" a="1"/>
  <c r="H5" i="16" s="1"/>
  <c r="I5" i="16" s="1" a="1"/>
  <c r="I5" i="16" s="1"/>
  <c r="Q122" i="32"/>
  <c r="Q733" i="32"/>
  <c r="AD67" i="34"/>
  <c r="J192" i="16" a="1"/>
  <c r="J192" i="16" s="1"/>
  <c r="I27" i="16" a="1"/>
  <c r="I27" i="16" s="1"/>
  <c r="I4" i="16" a="1"/>
  <c r="I4" i="16" s="1"/>
  <c r="F3642" i="27" l="1"/>
  <c r="F3302" i="27"/>
  <c r="F3303" i="27"/>
  <c r="F3304" i="27" s="1"/>
  <c r="F3305" i="27" s="1"/>
  <c r="F3306" i="27" s="1"/>
  <c r="F3307" i="27" s="1"/>
  <c r="B3044" i="27"/>
  <c r="A799" i="27"/>
  <c r="K800" i="27"/>
  <c r="J800" i="27"/>
  <c r="L800" i="27"/>
  <c r="E801" i="27"/>
  <c r="I800" i="27"/>
  <c r="I194" i="16" a="1"/>
  <c r="I194" i="16" s="1"/>
  <c r="J194" i="16" s="1" a="1"/>
  <c r="J194" i="16" s="1"/>
  <c r="H29" i="16" a="1"/>
  <c r="H29" i="16" s="1"/>
  <c r="I29" i="16" s="1" a="1"/>
  <c r="I29" i="16" s="1"/>
  <c r="H6" i="16" a="1"/>
  <c r="H6" i="16" s="1"/>
  <c r="I6" i="16" s="1" a="1"/>
  <c r="I6" i="16" s="1"/>
  <c r="Q124" i="32"/>
  <c r="Q735" i="32"/>
  <c r="AD68" i="34"/>
  <c r="B504" i="16"/>
  <c r="F3643" i="27" l="1"/>
  <c r="F3309" i="27"/>
  <c r="F3310" i="27" s="1"/>
  <c r="F3311" i="27" s="1"/>
  <c r="F3312" i="27" s="1"/>
  <c r="F3313" i="27" s="1"/>
  <c r="F3308" i="27"/>
  <c r="B3045" i="27"/>
  <c r="A800" i="27"/>
  <c r="K801" i="27"/>
  <c r="I801" i="27"/>
  <c r="J801" i="27"/>
  <c r="L801" i="27"/>
  <c r="E802" i="27"/>
  <c r="I195" i="16" a="1"/>
  <c r="I195" i="16" s="1"/>
  <c r="J195" i="16" s="1" a="1"/>
  <c r="J195" i="16" s="1"/>
  <c r="H30" i="16" a="1"/>
  <c r="H30" i="16" s="1"/>
  <c r="I30" i="16" s="1" a="1"/>
  <c r="I30" i="16" s="1"/>
  <c r="H7" i="16" a="1"/>
  <c r="H7" i="16" s="1"/>
  <c r="I7" i="16" s="1" a="1"/>
  <c r="I7" i="16" s="1"/>
  <c r="K173" i="1"/>
  <c r="K161" i="1"/>
  <c r="K172" i="1"/>
  <c r="K160" i="1"/>
  <c r="K171" i="1"/>
  <c r="K159" i="1"/>
  <c r="K170" i="1"/>
  <c r="K158" i="1"/>
  <c r="K157" i="1"/>
  <c r="K169" i="1"/>
  <c r="K168" i="1"/>
  <c r="K156" i="1"/>
  <c r="K167" i="1"/>
  <c r="K155" i="1"/>
  <c r="K166" i="1"/>
  <c r="K165" i="1"/>
  <c r="K164" i="1"/>
  <c r="K163" i="1"/>
  <c r="K174" i="1"/>
  <c r="K162" i="1"/>
  <c r="Q126" i="32"/>
  <c r="Q737" i="32"/>
  <c r="AD69" i="34"/>
  <c r="A27" i="1"/>
  <c r="F3644" i="27" l="1"/>
  <c r="F3645" i="27"/>
  <c r="F3314" i="27"/>
  <c r="F3315" i="27"/>
  <c r="F3316" i="27" s="1"/>
  <c r="F3317" i="27" s="1"/>
  <c r="F3318" i="27" s="1"/>
  <c r="F3319" i="27" s="1"/>
  <c r="B3046" i="27"/>
  <c r="L802" i="27"/>
  <c r="I802" i="27"/>
  <c r="J802" i="27"/>
  <c r="E803" i="27"/>
  <c r="K802" i="27"/>
  <c r="A801" i="27"/>
  <c r="I196" i="16" a="1"/>
  <c r="I196" i="16" s="1"/>
  <c r="J196" i="16" s="1" a="1"/>
  <c r="J196" i="16" s="1"/>
  <c r="H31" i="16" a="1"/>
  <c r="H31" i="16" s="1"/>
  <c r="I31" i="16" s="1" a="1"/>
  <c r="I31" i="16" s="1"/>
  <c r="H8" i="16" a="1"/>
  <c r="H8" i="16" s="1"/>
  <c r="Y156" i="1"/>
  <c r="E156" i="1"/>
  <c r="W156" i="1"/>
  <c r="Y168" i="1"/>
  <c r="W168" i="1"/>
  <c r="E168" i="1"/>
  <c r="E169" i="1"/>
  <c r="W169" i="1"/>
  <c r="Y169" i="1"/>
  <c r="E157" i="1"/>
  <c r="Y157" i="1"/>
  <c r="W157" i="1"/>
  <c r="Y162" i="1"/>
  <c r="W162" i="1"/>
  <c r="E162" i="1"/>
  <c r="E158" i="1"/>
  <c r="W158" i="1"/>
  <c r="Y158" i="1"/>
  <c r="W170" i="1"/>
  <c r="E170" i="1"/>
  <c r="Y170" i="1"/>
  <c r="E163" i="1"/>
  <c r="W163" i="1"/>
  <c r="Y163" i="1"/>
  <c r="E159" i="1"/>
  <c r="W159" i="1"/>
  <c r="Y159" i="1"/>
  <c r="E164" i="1"/>
  <c r="Y164" i="1"/>
  <c r="W164" i="1"/>
  <c r="E171" i="1"/>
  <c r="W171" i="1"/>
  <c r="Y171" i="1"/>
  <c r="E165" i="1"/>
  <c r="Y165" i="1"/>
  <c r="W165" i="1"/>
  <c r="Y160" i="1"/>
  <c r="E160" i="1"/>
  <c r="W160" i="1"/>
  <c r="Y174" i="1"/>
  <c r="E174" i="1"/>
  <c r="W174" i="1"/>
  <c r="E166" i="1"/>
  <c r="Y166" i="1"/>
  <c r="W166" i="1"/>
  <c r="Y172" i="1"/>
  <c r="E172" i="1"/>
  <c r="W172" i="1"/>
  <c r="Y155" i="1"/>
  <c r="E155" i="1"/>
  <c r="W155" i="1"/>
  <c r="Y161" i="1"/>
  <c r="E161" i="1"/>
  <c r="W161" i="1"/>
  <c r="Y167" i="1"/>
  <c r="E167" i="1"/>
  <c r="W167" i="1"/>
  <c r="Y173" i="1"/>
  <c r="W173" i="1"/>
  <c r="E173" i="1"/>
  <c r="Q128" i="32"/>
  <c r="Q739" i="32"/>
  <c r="AD70" i="34"/>
  <c r="F3646" i="27" l="1"/>
  <c r="F3321" i="27"/>
  <c r="F3322" i="27" s="1"/>
  <c r="F3323" i="27" s="1"/>
  <c r="F3324" i="27" s="1"/>
  <c r="F3325" i="27" s="1"/>
  <c r="F3320" i="27"/>
  <c r="B3047" i="27"/>
  <c r="K803" i="27"/>
  <c r="L803" i="27"/>
  <c r="I803" i="27"/>
  <c r="E804" i="27"/>
  <c r="J803" i="27"/>
  <c r="A802" i="27"/>
  <c r="I197" i="16" a="1"/>
  <c r="I197" i="16" s="1"/>
  <c r="J197" i="16" s="1" a="1"/>
  <c r="J197" i="16" s="1"/>
  <c r="H32" i="16" a="1"/>
  <c r="H32" i="16" s="1"/>
  <c r="H9" i="16" a="1"/>
  <c r="H9" i="16" s="1"/>
  <c r="I9" i="16" s="1" a="1"/>
  <c r="I9" i="16" s="1"/>
  <c r="I8" i="16" a="1"/>
  <c r="I8" i="16" s="1"/>
  <c r="AF157" i="1"/>
  <c r="AD157" i="1"/>
  <c r="U157" i="1"/>
  <c r="L157" i="1" s="1"/>
  <c r="X157" i="1"/>
  <c r="AH157" i="1" s="1"/>
  <c r="AF169" i="1"/>
  <c r="AD169" i="1"/>
  <c r="U169" i="1"/>
  <c r="L169" i="1" s="1"/>
  <c r="X169" i="1"/>
  <c r="AH169" i="1" s="1"/>
  <c r="AF168" i="1"/>
  <c r="AD168" i="1"/>
  <c r="U168" i="1"/>
  <c r="L168" i="1" s="1"/>
  <c r="X168" i="1"/>
  <c r="AH168" i="1" s="1"/>
  <c r="AF171" i="1"/>
  <c r="U171" i="1"/>
  <c r="L171" i="1" s="1"/>
  <c r="AD171" i="1"/>
  <c r="X171" i="1"/>
  <c r="AH171" i="1" s="1"/>
  <c r="AF160" i="1"/>
  <c r="AD160" i="1"/>
  <c r="U160" i="1"/>
  <c r="L160" i="1" s="1"/>
  <c r="X160" i="1"/>
  <c r="AH160" i="1" s="1"/>
  <c r="AD158" i="1"/>
  <c r="AF158" i="1"/>
  <c r="U158" i="1"/>
  <c r="L158" i="1" s="1"/>
  <c r="X158" i="1"/>
  <c r="AH158" i="1" s="1"/>
  <c r="AF161" i="1"/>
  <c r="AD161" i="1"/>
  <c r="U161" i="1"/>
  <c r="L161" i="1" s="1"/>
  <c r="X161" i="1"/>
  <c r="AH161" i="1" s="1"/>
  <c r="AD164" i="1"/>
  <c r="AF164" i="1"/>
  <c r="U164" i="1"/>
  <c r="L164" i="1" s="1"/>
  <c r="X164" i="1"/>
  <c r="AH164" i="1" s="1"/>
  <c r="U159" i="1"/>
  <c r="L159" i="1" s="1"/>
  <c r="AD159" i="1"/>
  <c r="AF159" i="1"/>
  <c r="X159" i="1"/>
  <c r="AH159" i="1" s="1"/>
  <c r="U162" i="1"/>
  <c r="L162" i="1" s="1"/>
  <c r="AD162" i="1"/>
  <c r="AF162" i="1"/>
  <c r="X162" i="1"/>
  <c r="AH162" i="1" s="1"/>
  <c r="U166" i="1"/>
  <c r="L166" i="1" s="1"/>
  <c r="AD166" i="1"/>
  <c r="AF166" i="1"/>
  <c r="X166" i="1"/>
  <c r="AH166" i="1" s="1"/>
  <c r="AF174" i="1"/>
  <c r="U174" i="1"/>
  <c r="L174" i="1" s="1"/>
  <c r="AD174" i="1"/>
  <c r="X174" i="1"/>
  <c r="AH174" i="1" s="1"/>
  <c r="AF172" i="1"/>
  <c r="AD172" i="1"/>
  <c r="U172" i="1"/>
  <c r="L172" i="1" s="1"/>
  <c r="X172" i="1"/>
  <c r="AH172" i="1" s="1"/>
  <c r="AD165" i="1"/>
  <c r="U165" i="1"/>
  <c r="L165" i="1" s="1"/>
  <c r="AF165" i="1"/>
  <c r="X165" i="1"/>
  <c r="AH165" i="1" s="1"/>
  <c r="AF170" i="1"/>
  <c r="AD170" i="1"/>
  <c r="U170" i="1"/>
  <c r="L170" i="1" s="1"/>
  <c r="X170" i="1"/>
  <c r="AH170" i="1" s="1"/>
  <c r="AF173" i="1"/>
  <c r="U173" i="1"/>
  <c r="L173" i="1" s="1"/>
  <c r="AD173" i="1"/>
  <c r="X173" i="1"/>
  <c r="AH173" i="1" s="1"/>
  <c r="AF156" i="1"/>
  <c r="U156" i="1"/>
  <c r="L156" i="1" s="1"/>
  <c r="AD156" i="1"/>
  <c r="X156" i="1"/>
  <c r="AH156" i="1" s="1"/>
  <c r="U155" i="1"/>
  <c r="L155" i="1" s="1"/>
  <c r="AF155" i="1"/>
  <c r="AD155" i="1"/>
  <c r="X155" i="1"/>
  <c r="AH155" i="1" s="1"/>
  <c r="U167" i="1"/>
  <c r="L167" i="1" s="1"/>
  <c r="AF167" i="1"/>
  <c r="AD167" i="1"/>
  <c r="X167" i="1"/>
  <c r="AH167" i="1" s="1"/>
  <c r="AF163" i="1"/>
  <c r="AD163" i="1"/>
  <c r="U163" i="1"/>
  <c r="L163" i="1" s="1"/>
  <c r="X163" i="1"/>
  <c r="AH163" i="1" s="1"/>
  <c r="Q130" i="32"/>
  <c r="Q741" i="32"/>
  <c r="AD71" i="34"/>
  <c r="F3647" i="27" l="1"/>
  <c r="F3326" i="27"/>
  <c r="F3327" i="27"/>
  <c r="F3328" i="27" s="1"/>
  <c r="F3329" i="27" s="1"/>
  <c r="F3330" i="27" s="1"/>
  <c r="F3331" i="27" s="1"/>
  <c r="B3048" i="27"/>
  <c r="K804" i="27"/>
  <c r="I804" i="27"/>
  <c r="L804" i="27"/>
  <c r="J804" i="27"/>
  <c r="E805" i="27"/>
  <c r="A803" i="27"/>
  <c r="I198" i="16" a="1"/>
  <c r="I198" i="16" s="1"/>
  <c r="H33" i="16" a="1"/>
  <c r="H33" i="16" s="1"/>
  <c r="I32" i="16" a="1"/>
  <c r="I32" i="16" s="1"/>
  <c r="H10" i="16" a="1"/>
  <c r="H10" i="16" s="1"/>
  <c r="AO158" i="1"/>
  <c r="M158" i="1"/>
  <c r="N158" i="1"/>
  <c r="AA158" i="1"/>
  <c r="O158" i="1" s="1"/>
  <c r="AC158" i="1"/>
  <c r="M168" i="1"/>
  <c r="N168" i="1"/>
  <c r="AC168" i="1"/>
  <c r="AO168" i="1"/>
  <c r="AA168" i="1"/>
  <c r="O168" i="1" s="1"/>
  <c r="N174" i="1"/>
  <c r="AO174" i="1"/>
  <c r="AC174" i="1"/>
  <c r="AA174" i="1"/>
  <c r="O174" i="1" s="1"/>
  <c r="M174" i="1"/>
  <c r="M159" i="1"/>
  <c r="AO159" i="1"/>
  <c r="N159" i="1"/>
  <c r="AC159" i="1"/>
  <c r="AA159" i="1"/>
  <c r="O159" i="1" s="1"/>
  <c r="AO170" i="1"/>
  <c r="N170" i="1"/>
  <c r="AC170" i="1"/>
  <c r="M170" i="1"/>
  <c r="AA170" i="1"/>
  <c r="O170" i="1" s="1"/>
  <c r="M169" i="1"/>
  <c r="N169" i="1"/>
  <c r="AA169" i="1"/>
  <c r="O169" i="1" s="1"/>
  <c r="AO169" i="1"/>
  <c r="AC169" i="1"/>
  <c r="N163" i="1"/>
  <c r="M163" i="1"/>
  <c r="AO163" i="1"/>
  <c r="AC163" i="1"/>
  <c r="AA163" i="1"/>
  <c r="O163" i="1" s="1"/>
  <c r="N165" i="1"/>
  <c r="AA165" i="1"/>
  <c r="O165" i="1" s="1"/>
  <c r="AC165" i="1"/>
  <c r="M165" i="1"/>
  <c r="AO165" i="1"/>
  <c r="AO164" i="1"/>
  <c r="N164" i="1"/>
  <c r="M164" i="1"/>
  <c r="AC164" i="1"/>
  <c r="AA164" i="1"/>
  <c r="O164" i="1" s="1"/>
  <c r="AA166" i="1"/>
  <c r="O166" i="1" s="1"/>
  <c r="AO166" i="1"/>
  <c r="M166" i="1"/>
  <c r="AC166" i="1"/>
  <c r="N166" i="1"/>
  <c r="M160" i="1"/>
  <c r="N160" i="1"/>
  <c r="AO160" i="1"/>
  <c r="AA160" i="1"/>
  <c r="O160" i="1" s="1"/>
  <c r="AC160" i="1"/>
  <c r="N156" i="1"/>
  <c r="AO156" i="1"/>
  <c r="M156" i="1"/>
  <c r="AA156" i="1"/>
  <c r="O156" i="1" s="1"/>
  <c r="AC156" i="1"/>
  <c r="M172" i="1"/>
  <c r="N172" i="1"/>
  <c r="AA172" i="1"/>
  <c r="O172" i="1" s="1"/>
  <c r="AO172" i="1"/>
  <c r="AC172" i="1"/>
  <c r="N161" i="1"/>
  <c r="AO161" i="1"/>
  <c r="AC161" i="1"/>
  <c r="AA161" i="1"/>
  <c r="O161" i="1" s="1"/>
  <c r="M161" i="1"/>
  <c r="N157" i="1"/>
  <c r="M157" i="1"/>
  <c r="AO157" i="1"/>
  <c r="AC157" i="1"/>
  <c r="AA157" i="1"/>
  <c r="O157" i="1" s="1"/>
  <c r="N155" i="1"/>
  <c r="M155" i="1"/>
  <c r="AC155" i="1"/>
  <c r="AA155" i="1"/>
  <c r="O155" i="1" s="1"/>
  <c r="AO155" i="1"/>
  <c r="N173" i="1"/>
  <c r="M173" i="1"/>
  <c r="AA173" i="1"/>
  <c r="O173" i="1" s="1"/>
  <c r="AC173" i="1"/>
  <c r="AO173" i="1"/>
  <c r="M171" i="1"/>
  <c r="N171" i="1"/>
  <c r="AO171" i="1"/>
  <c r="AC171" i="1"/>
  <c r="AA171" i="1"/>
  <c r="O171" i="1" s="1"/>
  <c r="N167" i="1"/>
  <c r="M167" i="1"/>
  <c r="AC167" i="1"/>
  <c r="AA167" i="1"/>
  <c r="O167" i="1" s="1"/>
  <c r="AO167" i="1"/>
  <c r="M162" i="1"/>
  <c r="AO162" i="1"/>
  <c r="AA162" i="1"/>
  <c r="O162" i="1" s="1"/>
  <c r="N162" i="1"/>
  <c r="AC162" i="1"/>
  <c r="Q132" i="32"/>
  <c r="Q743" i="32"/>
  <c r="AD72" i="34"/>
  <c r="F3648" i="27" l="1"/>
  <c r="F3333" i="27"/>
  <c r="F3334" i="27" s="1"/>
  <c r="F3335" i="27" s="1"/>
  <c r="F3336" i="27" s="1"/>
  <c r="F3337" i="27" s="1"/>
  <c r="F3332" i="27"/>
  <c r="B3049" i="27"/>
  <c r="L805" i="27"/>
  <c r="I805" i="27"/>
  <c r="J805" i="27"/>
  <c r="K805" i="27"/>
  <c r="E806" i="27"/>
  <c r="A804" i="27"/>
  <c r="J198" i="16" a="1"/>
  <c r="J198" i="16" s="1"/>
  <c r="I199" i="16" a="1"/>
  <c r="I199" i="16" s="1"/>
  <c r="I33" i="16" a="1"/>
  <c r="I33" i="16" s="1"/>
  <c r="H34" i="16" a="1"/>
  <c r="H34" i="16" s="1"/>
  <c r="I10" i="16" a="1"/>
  <c r="I10" i="16" s="1"/>
  <c r="H11" i="16" a="1"/>
  <c r="H11" i="16" s="1"/>
  <c r="Q134" i="32"/>
  <c r="Q745" i="32"/>
  <c r="AD73" i="34"/>
  <c r="I102" i="1"/>
  <c r="F3649" i="27" l="1"/>
  <c r="F3338" i="27"/>
  <c r="F3339" i="27"/>
  <c r="F3340" i="27" s="1"/>
  <c r="F3341" i="27" s="1"/>
  <c r="F3342" i="27" s="1"/>
  <c r="F3343" i="27" s="1"/>
  <c r="B3050" i="27"/>
  <c r="L806" i="27"/>
  <c r="I806" i="27"/>
  <c r="J806" i="27"/>
  <c r="E807" i="27"/>
  <c r="K806" i="27"/>
  <c r="A805" i="27"/>
  <c r="J199" i="16" a="1"/>
  <c r="J199" i="16" s="1"/>
  <c r="I200" i="16" a="1"/>
  <c r="I200" i="16" s="1"/>
  <c r="I34" i="16" a="1"/>
  <c r="I34" i="16" s="1"/>
  <c r="H35" i="16" a="1"/>
  <c r="H35" i="16" s="1"/>
  <c r="H12" i="16" a="1"/>
  <c r="H12" i="16" s="1"/>
  <c r="I11" i="16" a="1"/>
  <c r="I11" i="16" s="1"/>
  <c r="Q136" i="32"/>
  <c r="Q747" i="32"/>
  <c r="AD74" i="34"/>
  <c r="F3650" i="27" l="1"/>
  <c r="F3651" i="27"/>
  <c r="F3345" i="27"/>
  <c r="F3346" i="27" s="1"/>
  <c r="F3347" i="27" s="1"/>
  <c r="F3348" i="27" s="1"/>
  <c r="F3349" i="27" s="1"/>
  <c r="F3344" i="27"/>
  <c r="B3051" i="27"/>
  <c r="A806" i="27"/>
  <c r="L807" i="27"/>
  <c r="J807" i="27"/>
  <c r="K807" i="27"/>
  <c r="E808" i="27"/>
  <c r="I807" i="27"/>
  <c r="J200" i="16" a="1"/>
  <c r="J200" i="16" s="1"/>
  <c r="I201" i="16" a="1"/>
  <c r="I201" i="16" s="1"/>
  <c r="H36" i="16" a="1"/>
  <c r="H36" i="16" s="1"/>
  <c r="I35" i="16" a="1"/>
  <c r="I35" i="16" s="1"/>
  <c r="H13" i="16" a="1"/>
  <c r="H13" i="16" s="1"/>
  <c r="I12" i="16" a="1"/>
  <c r="I12" i="16" s="1"/>
  <c r="Q138" i="32"/>
  <c r="Q749" i="32"/>
  <c r="AD75" i="34"/>
  <c r="L47" i="1"/>
  <c r="F3652" i="27" l="1"/>
  <c r="F3350" i="27"/>
  <c r="F3351" i="27"/>
  <c r="F3352" i="27" s="1"/>
  <c r="F3353" i="27" s="1"/>
  <c r="F3354" i="27" s="1"/>
  <c r="F3355" i="27" s="1"/>
  <c r="B3052" i="27"/>
  <c r="A807" i="27"/>
  <c r="K808" i="27"/>
  <c r="J808" i="27"/>
  <c r="L808" i="27"/>
  <c r="E809" i="27"/>
  <c r="I808" i="27"/>
  <c r="I202" i="16" a="1"/>
  <c r="I202" i="16" s="1"/>
  <c r="J201" i="16" a="1"/>
  <c r="J201" i="16" s="1"/>
  <c r="H37" i="16" a="1"/>
  <c r="H37" i="16" s="1"/>
  <c r="I36" i="16" a="1"/>
  <c r="I36" i="16" s="1"/>
  <c r="H14" i="16" a="1"/>
  <c r="H14" i="16" s="1"/>
  <c r="I13" i="16" a="1"/>
  <c r="I13" i="16" s="1"/>
  <c r="Q140" i="32"/>
  <c r="Q751" i="32"/>
  <c r="AD76" i="34"/>
  <c r="F3653" i="27" l="1"/>
  <c r="F3357" i="27"/>
  <c r="F3358" i="27" s="1"/>
  <c r="F3359" i="27" s="1"/>
  <c r="F3360" i="27" s="1"/>
  <c r="F3361" i="27" s="1"/>
  <c r="F3356" i="27"/>
  <c r="B3053" i="27"/>
  <c r="A808" i="27"/>
  <c r="L809" i="27"/>
  <c r="K809" i="27"/>
  <c r="J809" i="27"/>
  <c r="E810" i="27"/>
  <c r="I809" i="27"/>
  <c r="J202" i="16" a="1"/>
  <c r="J202" i="16" s="1"/>
  <c r="I203" i="16" a="1"/>
  <c r="I203" i="16" s="1"/>
  <c r="I37" i="16" a="1"/>
  <c r="I37" i="16" s="1"/>
  <c r="H38" i="16" a="1"/>
  <c r="H38" i="16" s="1"/>
  <c r="H15" i="16" a="1"/>
  <c r="H15" i="16" s="1"/>
  <c r="I14" i="16" a="1"/>
  <c r="I14" i="16" s="1"/>
  <c r="Q142" i="32"/>
  <c r="Q753" i="32"/>
  <c r="AD77" i="34"/>
  <c r="E6" i="1"/>
  <c r="E5" i="1"/>
  <c r="B6" i="38" s="1"/>
  <c r="F3654" i="27" l="1"/>
  <c r="F3362" i="27"/>
  <c r="F3363" i="27"/>
  <c r="F3364" i="27" s="1"/>
  <c r="F3365" i="27" s="1"/>
  <c r="F3366" i="27" s="1"/>
  <c r="F3367" i="27" s="1"/>
  <c r="B3054" i="27"/>
  <c r="A809" i="27"/>
  <c r="L810" i="27"/>
  <c r="J810" i="27"/>
  <c r="K810" i="27"/>
  <c r="I810" i="27"/>
  <c r="E811" i="27"/>
  <c r="I204" i="16" a="1"/>
  <c r="I204" i="16" s="1"/>
  <c r="J203" i="16" a="1"/>
  <c r="J203" i="16" s="1"/>
  <c r="H39" i="16" a="1"/>
  <c r="H39" i="16" s="1"/>
  <c r="I38" i="16" a="1"/>
  <c r="I38" i="16" s="1"/>
  <c r="H16" i="16" a="1"/>
  <c r="H16" i="16" s="1"/>
  <c r="I15" i="16" a="1"/>
  <c r="I15" i="16" s="1"/>
  <c r="AN12" i="1"/>
  <c r="B8" i="38"/>
  <c r="Q144" i="32"/>
  <c r="Q755" i="32"/>
  <c r="AD78" i="34"/>
  <c r="AN11" i="1"/>
  <c r="F3655" i="27" l="1"/>
  <c r="F3369" i="27"/>
  <c r="F3370" i="27" s="1"/>
  <c r="F3371" i="27" s="1"/>
  <c r="F3372" i="27" s="1"/>
  <c r="F3373" i="27" s="1"/>
  <c r="F3368" i="27"/>
  <c r="B3055" i="27"/>
  <c r="A810" i="27"/>
  <c r="K811" i="27"/>
  <c r="J811" i="27"/>
  <c r="L811" i="27"/>
  <c r="I811" i="27"/>
  <c r="E812" i="27"/>
  <c r="I205" i="16" a="1"/>
  <c r="I205" i="16" s="1"/>
  <c r="J204" i="16" a="1"/>
  <c r="J204" i="16" s="1"/>
  <c r="H40" i="16" a="1"/>
  <c r="H40" i="16" s="1"/>
  <c r="I39" i="16" a="1"/>
  <c r="I39" i="16" s="1"/>
  <c r="H17" i="16" a="1"/>
  <c r="H17" i="16" s="1"/>
  <c r="I16" i="16" a="1"/>
  <c r="I16" i="16" s="1"/>
  <c r="Q146" i="32"/>
  <c r="Q757" i="32"/>
  <c r="AD79" i="34"/>
  <c r="AN9" i="1"/>
  <c r="F3657" i="27" l="1"/>
  <c r="F3656" i="27"/>
  <c r="F3374" i="27"/>
  <c r="F3375" i="27"/>
  <c r="F3376" i="27" s="1"/>
  <c r="F3377" i="27" s="1"/>
  <c r="F3378" i="27" s="1"/>
  <c r="F3379" i="27" s="1"/>
  <c r="B3056" i="27"/>
  <c r="K812" i="27"/>
  <c r="J812" i="27"/>
  <c r="L812" i="27"/>
  <c r="I812" i="27"/>
  <c r="E813" i="27"/>
  <c r="A811" i="27"/>
  <c r="I206" i="16" a="1"/>
  <c r="I206" i="16" s="1"/>
  <c r="J205" i="16" a="1"/>
  <c r="J205" i="16" s="1"/>
  <c r="H41" i="16" a="1"/>
  <c r="H41" i="16" s="1"/>
  <c r="I40" i="16" a="1"/>
  <c r="I40" i="16" s="1"/>
  <c r="H18" i="16" a="1"/>
  <c r="H18" i="16" s="1"/>
  <c r="I17" i="16" a="1"/>
  <c r="I17" i="16" s="1"/>
  <c r="Q148" i="32"/>
  <c r="Q759" i="32"/>
  <c r="AD80" i="34"/>
  <c r="F192" i="16"/>
  <c r="F3658" i="27" l="1"/>
  <c r="F3381" i="27"/>
  <c r="F3382" i="27" s="1"/>
  <c r="F3383" i="27" s="1"/>
  <c r="F3384" i="27" s="1"/>
  <c r="F3385" i="27" s="1"/>
  <c r="F3380" i="27"/>
  <c r="K813" i="27"/>
  <c r="L813" i="27"/>
  <c r="I813" i="27"/>
  <c r="J813" i="27"/>
  <c r="E814" i="27"/>
  <c r="A812" i="27"/>
  <c r="I207" i="16" a="1"/>
  <c r="I207" i="16" s="1"/>
  <c r="J206" i="16" a="1"/>
  <c r="J206" i="16" s="1"/>
  <c r="H42" i="16" a="1"/>
  <c r="H42" i="16" s="1"/>
  <c r="I41" i="16" a="1"/>
  <c r="I41" i="16" s="1"/>
  <c r="H19" i="16" a="1"/>
  <c r="H19" i="16" s="1"/>
  <c r="I18" i="16" a="1"/>
  <c r="I18" i="16" s="1"/>
  <c r="Q150" i="32"/>
  <c r="Q761" i="32"/>
  <c r="AD81" i="34"/>
  <c r="AR199" i="1"/>
  <c r="E9" i="1"/>
  <c r="B10" i="38" s="1"/>
  <c r="F3659" i="27" l="1"/>
  <c r="F3386" i="27"/>
  <c r="F3387" i="27"/>
  <c r="F3388" i="27" s="1"/>
  <c r="F3389" i="27" s="1"/>
  <c r="F3390" i="27" s="1"/>
  <c r="F3391" i="27" s="1"/>
  <c r="A813" i="27"/>
  <c r="L814" i="27"/>
  <c r="I814" i="27"/>
  <c r="K814" i="27"/>
  <c r="E815" i="27"/>
  <c r="J814" i="27"/>
  <c r="I208" i="16" a="1"/>
  <c r="I208" i="16" s="1"/>
  <c r="J207" i="16" a="1"/>
  <c r="J207" i="16" s="1"/>
  <c r="H43" i="16" a="1"/>
  <c r="H43" i="16" s="1"/>
  <c r="I42" i="16" a="1"/>
  <c r="I42" i="16" s="1"/>
  <c r="H20" i="16" a="1"/>
  <c r="H20" i="16" s="1"/>
  <c r="I20" i="16" s="1" a="1"/>
  <c r="I20" i="16" s="1"/>
  <c r="I19" i="16" a="1"/>
  <c r="I19" i="16" s="1"/>
  <c r="Q152" i="32"/>
  <c r="Q763" i="32"/>
  <c r="AD82" i="34"/>
  <c r="B47" i="1"/>
  <c r="B48" i="1" s="1"/>
  <c r="B49" i="1" s="1"/>
  <c r="B50" i="1" s="1"/>
  <c r="B51" i="1" s="1"/>
  <c r="B52" i="1" s="1"/>
  <c r="B53" i="1" s="1"/>
  <c r="F3660" i="27" l="1"/>
  <c r="F3393" i="27"/>
  <c r="F3394" i="27" s="1"/>
  <c r="F3395" i="27" s="1"/>
  <c r="F3396" i="27" s="1"/>
  <c r="F3397" i="27" s="1"/>
  <c r="F3392" i="27"/>
  <c r="A814" i="27"/>
  <c r="K815" i="27"/>
  <c r="L815" i="27"/>
  <c r="I815" i="27"/>
  <c r="E816" i="27"/>
  <c r="J815" i="27"/>
  <c r="I209" i="16" a="1"/>
  <c r="I209" i="16" s="1"/>
  <c r="J208" i="16" a="1"/>
  <c r="J208" i="16" s="1"/>
  <c r="H44" i="16" a="1"/>
  <c r="H44" i="16" s="1"/>
  <c r="I43" i="16" a="1"/>
  <c r="I43" i="16" s="1"/>
  <c r="BD12" i="30"/>
  <c r="AP33" i="30" a="1"/>
  <c r="AP33" i="30" s="1"/>
  <c r="AP23" i="30" a="1"/>
  <c r="AP23" i="30" s="1"/>
  <c r="BD16" i="30"/>
  <c r="AP25" i="30" a="1"/>
  <c r="AP25" i="30" s="1"/>
  <c r="AP15" i="30" a="1"/>
  <c r="AP15" i="30" s="1"/>
  <c r="BD20" i="30"/>
  <c r="BD28" i="30"/>
  <c r="BD24" i="30"/>
  <c r="BD10" i="30"/>
  <c r="AP37" i="30" a="1"/>
  <c r="AP37" i="30" s="1"/>
  <c r="BD26" i="30"/>
  <c r="BD38" i="30"/>
  <c r="BD30" i="30"/>
  <c r="BD34" i="30"/>
  <c r="AP13" i="30" a="1"/>
  <c r="AP13" i="30" s="1"/>
  <c r="BD36" i="30"/>
  <c r="AP21" i="30" a="1"/>
  <c r="AP21" i="30" s="1"/>
  <c r="AP27" i="30" a="1"/>
  <c r="AP27" i="30" s="1"/>
  <c r="AP35" i="30" a="1"/>
  <c r="AP35" i="30" s="1"/>
  <c r="BD32" i="30"/>
  <c r="BD22" i="30"/>
  <c r="AP31" i="30" a="1"/>
  <c r="AP31" i="30" s="1"/>
  <c r="AP19" i="30" a="1"/>
  <c r="AP19" i="30" s="1"/>
  <c r="BD18" i="30"/>
  <c r="AP29" i="30" a="1"/>
  <c r="AP29" i="30" s="1"/>
  <c r="BD14" i="30"/>
  <c r="AP17" i="30" a="1"/>
  <c r="AP17" i="30" s="1"/>
  <c r="K688" i="41"/>
  <c r="K352" i="41"/>
  <c r="J828" i="41"/>
  <c r="J492" i="41"/>
  <c r="J156" i="41"/>
  <c r="J16" i="41"/>
  <c r="B243" i="42"/>
  <c r="B91" i="42"/>
  <c r="K660" i="41"/>
  <c r="K324" i="41"/>
  <c r="J800" i="41"/>
  <c r="J464" i="41"/>
  <c r="J128" i="41"/>
  <c r="B194" i="42"/>
  <c r="J772" i="41"/>
  <c r="K632" i="41"/>
  <c r="K296" i="41"/>
  <c r="J436" i="41"/>
  <c r="J100" i="41"/>
  <c r="B145" i="42"/>
  <c r="J408" i="41"/>
  <c r="K576" i="41"/>
  <c r="K240" i="41"/>
  <c r="J716" i="41"/>
  <c r="J380" i="41"/>
  <c r="J44" i="41"/>
  <c r="B483" i="42"/>
  <c r="B434" i="42"/>
  <c r="K184" i="41"/>
  <c r="K548" i="41"/>
  <c r="K212" i="41"/>
  <c r="J688" i="41"/>
  <c r="J352" i="41"/>
  <c r="K520" i="41"/>
  <c r="K828" i="41"/>
  <c r="K492" i="41"/>
  <c r="K156" i="41"/>
  <c r="J632" i="41"/>
  <c r="J296" i="41"/>
  <c r="B488" i="42"/>
  <c r="B336" i="42"/>
  <c r="B47" i="42"/>
  <c r="J520" i="41"/>
  <c r="S7" i="34"/>
  <c r="K268" i="41"/>
  <c r="J660" i="41"/>
  <c r="B385" i="42"/>
  <c r="K800" i="41"/>
  <c r="K464" i="41"/>
  <c r="K128" i="41"/>
  <c r="J604" i="41"/>
  <c r="J268" i="41"/>
  <c r="B439" i="42"/>
  <c r="B287" i="42"/>
  <c r="B42" i="42"/>
  <c r="AI7" i="33"/>
  <c r="K380" i="41"/>
  <c r="J184" i="41"/>
  <c r="B140" i="42"/>
  <c r="J744" i="41"/>
  <c r="J72" i="41"/>
  <c r="B96" i="42"/>
  <c r="K772" i="41"/>
  <c r="K436" i="41"/>
  <c r="K100" i="41"/>
  <c r="J576" i="41"/>
  <c r="J240" i="41"/>
  <c r="B390" i="42"/>
  <c r="B238" i="42"/>
  <c r="K716" i="41"/>
  <c r="K44" i="41"/>
  <c r="B292" i="42"/>
  <c r="K744" i="41"/>
  <c r="K408" i="41"/>
  <c r="K72" i="41"/>
  <c r="J548" i="41"/>
  <c r="J212" i="41"/>
  <c r="B341" i="42"/>
  <c r="B189" i="42"/>
  <c r="AF7" i="33"/>
  <c r="K16" i="41"/>
  <c r="K604" i="41"/>
  <c r="J324" i="41"/>
  <c r="G17" i="38"/>
  <c r="F16" i="38"/>
  <c r="F17" i="38"/>
  <c r="G16" i="38"/>
  <c r="R2" i="27"/>
  <c r="AG11" i="30" s="1"/>
  <c r="S2" i="27"/>
  <c r="Q154" i="32"/>
  <c r="Q765" i="32"/>
  <c r="AD83" i="34"/>
  <c r="A47" i="1"/>
  <c r="F3661" i="27" l="1"/>
  <c r="F3398" i="27"/>
  <c r="F3399" i="27"/>
  <c r="F3400" i="27" s="1"/>
  <c r="F3401" i="27" s="1"/>
  <c r="F3402" i="27" s="1"/>
  <c r="F3403" i="27" s="1"/>
  <c r="K816" i="27"/>
  <c r="I816" i="27"/>
  <c r="L816" i="27"/>
  <c r="J816" i="27"/>
  <c r="E817" i="27"/>
  <c r="A815" i="27"/>
  <c r="I210" i="16" a="1"/>
  <c r="I210" i="16" s="1"/>
  <c r="J209" i="16" a="1"/>
  <c r="J209" i="16" s="1"/>
  <c r="H45" i="16" a="1"/>
  <c r="H45" i="16" s="1"/>
  <c r="I44" i="16" a="1"/>
  <c r="I44" i="16" s="1"/>
  <c r="BF26" i="30"/>
  <c r="BG26" i="30"/>
  <c r="BF22" i="30"/>
  <c r="BG22" i="30"/>
  <c r="BG10" i="30"/>
  <c r="BF10" i="30"/>
  <c r="BF24" i="30"/>
  <c r="BG24" i="30"/>
  <c r="BG28" i="30"/>
  <c r="BF28" i="30"/>
  <c r="BE28" i="30" s="1"/>
  <c r="BF20" i="30"/>
  <c r="BG20" i="30"/>
  <c r="BF32" i="30"/>
  <c r="BG32" i="30"/>
  <c r="BF36" i="30"/>
  <c r="BG36" i="30"/>
  <c r="BF16" i="30"/>
  <c r="BG16" i="30"/>
  <c r="BG14" i="30"/>
  <c r="BF14" i="30"/>
  <c r="BG34" i="30"/>
  <c r="BF34" i="30"/>
  <c r="BE34" i="30" s="1"/>
  <c r="BF30" i="30"/>
  <c r="BG30" i="30"/>
  <c r="BF18" i="30"/>
  <c r="BG18" i="30"/>
  <c r="BG38" i="30"/>
  <c r="BF38" i="30"/>
  <c r="BG12" i="30"/>
  <c r="BF12" i="30"/>
  <c r="BE12" i="30" s="1"/>
  <c r="Q156" i="32"/>
  <c r="AG13" i="30"/>
  <c r="Q767" i="32"/>
  <c r="AD84" i="34"/>
  <c r="E47" i="1"/>
  <c r="N32" i="1"/>
  <c r="L32" i="1"/>
  <c r="F3663" i="27" l="1"/>
  <c r="F3662" i="27"/>
  <c r="F3405" i="27"/>
  <c r="F3406" i="27" s="1"/>
  <c r="F3407" i="27" s="1"/>
  <c r="F3408" i="27" s="1"/>
  <c r="F3409" i="27" s="1"/>
  <c r="F3404" i="27"/>
  <c r="L817" i="27"/>
  <c r="I817" i="27"/>
  <c r="K817" i="27"/>
  <c r="J817" i="27"/>
  <c r="E818" i="27"/>
  <c r="A816" i="27"/>
  <c r="BE14" i="30"/>
  <c r="BE10" i="30"/>
  <c r="BE38" i="30"/>
  <c r="I211" i="16" a="1"/>
  <c r="I211" i="16" s="1"/>
  <c r="J210" i="16" a="1"/>
  <c r="J210" i="16" s="1"/>
  <c r="BE20" i="30"/>
  <c r="H46" i="16" a="1"/>
  <c r="H46" i="16" s="1"/>
  <c r="I45" i="16" a="1"/>
  <c r="I45" i="16" s="1"/>
  <c r="BE30" i="30"/>
  <c r="BE16" i="30"/>
  <c r="BE22" i="30"/>
  <c r="BE36" i="30"/>
  <c r="BE24" i="30"/>
  <c r="BE18" i="30"/>
  <c r="BE32" i="30"/>
  <c r="BE26" i="30"/>
  <c r="T47" i="1"/>
  <c r="A48" i="1"/>
  <c r="E48" i="1" s="1"/>
  <c r="BL9" i="33"/>
  <c r="BM10" i="33"/>
  <c r="BM9" i="33"/>
  <c r="BL10" i="33"/>
  <c r="BK10" i="33"/>
  <c r="BK9" i="33"/>
  <c r="BJ9" i="33"/>
  <c r="BJ10" i="33"/>
  <c r="AG15" i="30"/>
  <c r="Q158" i="32"/>
  <c r="Q769" i="32"/>
  <c r="I15" i="29"/>
  <c r="B12" i="38" s="1"/>
  <c r="AD85" i="34"/>
  <c r="M32" i="1"/>
  <c r="I2896" i="27"/>
  <c r="S453" i="27"/>
  <c r="W2896" i="27"/>
  <c r="F3664" i="27" l="1"/>
  <c r="F3410" i="27"/>
  <c r="F3411" i="27"/>
  <c r="F3412" i="27" s="1"/>
  <c r="F3413" i="27" s="1"/>
  <c r="F3414" i="27" s="1"/>
  <c r="F3415" i="27" s="1"/>
  <c r="L818" i="27"/>
  <c r="I818" i="27"/>
  <c r="K818" i="27"/>
  <c r="J818" i="27"/>
  <c r="E819" i="27"/>
  <c r="A817" i="27"/>
  <c r="I212" i="16" a="1"/>
  <c r="I212" i="16" s="1"/>
  <c r="J211" i="16" a="1"/>
  <c r="J211" i="16" s="1"/>
  <c r="H47" i="16" a="1"/>
  <c r="H47" i="16" s="1"/>
  <c r="I46" i="16" a="1"/>
  <c r="I46" i="16" s="1"/>
  <c r="N48" i="1"/>
  <c r="T48" i="1"/>
  <c r="A49" i="1"/>
  <c r="G10" i="38"/>
  <c r="D220" i="39"/>
  <c r="E220" i="39" s="1"/>
  <c r="F220" i="39" s="1"/>
  <c r="G220" i="39" s="1"/>
  <c r="D828" i="41"/>
  <c r="K7" i="31"/>
  <c r="D382" i="40"/>
  <c r="E382" i="40" s="1"/>
  <c r="F382" i="40" s="1"/>
  <c r="G382" i="40" s="1"/>
  <c r="D355" i="40"/>
  <c r="E355" i="40" s="1"/>
  <c r="F355" i="40" s="1"/>
  <c r="G355" i="40" s="1"/>
  <c r="B404" i="42"/>
  <c r="D301" i="40"/>
  <c r="E301" i="40" s="1"/>
  <c r="F301" i="40" s="1"/>
  <c r="G301" i="40" s="1"/>
  <c r="B355" i="42"/>
  <c r="B306" i="42"/>
  <c r="D247" i="40"/>
  <c r="E247" i="40" s="1"/>
  <c r="F247" i="40" s="1"/>
  <c r="G247" i="40" s="1"/>
  <c r="D604" i="41"/>
  <c r="B159" i="42"/>
  <c r="D112" i="40"/>
  <c r="E112" i="40" s="1"/>
  <c r="F112" i="40" s="1"/>
  <c r="G112" i="40" s="1"/>
  <c r="D464" i="41"/>
  <c r="D576" i="41"/>
  <c r="D436" i="41"/>
  <c r="G7" i="34"/>
  <c r="D328" i="40"/>
  <c r="E328" i="40" s="1"/>
  <c r="F328" i="40" s="1"/>
  <c r="G328" i="40" s="1"/>
  <c r="D380" i="41"/>
  <c r="D296" i="41"/>
  <c r="D352" i="41"/>
  <c r="D492" i="41"/>
  <c r="D58" i="40"/>
  <c r="E58" i="40" s="1"/>
  <c r="F58" i="40" s="1"/>
  <c r="G58" i="40" s="1"/>
  <c r="D800" i="41"/>
  <c r="D193" i="39"/>
  <c r="E193" i="39" s="1"/>
  <c r="F193" i="39" s="1"/>
  <c r="G193" i="39" s="1"/>
  <c r="D382" i="39"/>
  <c r="E382" i="39" s="1"/>
  <c r="F382" i="39" s="1"/>
  <c r="G382" i="39" s="1"/>
  <c r="D220" i="40"/>
  <c r="E220" i="40" s="1"/>
  <c r="F220" i="40" s="1"/>
  <c r="G220" i="40" s="1"/>
  <c r="B257" i="42"/>
  <c r="D139" i="40"/>
  <c r="E139" i="40" s="1"/>
  <c r="F139" i="40" s="1"/>
  <c r="G139" i="40" s="1"/>
  <c r="D128" i="41"/>
  <c r="D100" i="41"/>
  <c r="D139" i="39"/>
  <c r="E139" i="39" s="1"/>
  <c r="F139" i="39" s="1"/>
  <c r="G139" i="39" s="1"/>
  <c r="D44" i="41"/>
  <c r="F10" i="38"/>
  <c r="D156" i="41"/>
  <c r="D72" i="41"/>
  <c r="D166" i="39"/>
  <c r="E166" i="39" s="1"/>
  <c r="F166" i="39" s="1"/>
  <c r="G166" i="39" s="1"/>
  <c r="D660" i="41"/>
  <c r="D355" i="39"/>
  <c r="E355" i="39" s="1"/>
  <c r="F355" i="39" s="1"/>
  <c r="G355" i="39" s="1"/>
  <c r="D193" i="40"/>
  <c r="E193" i="40" s="1"/>
  <c r="F193" i="40" s="1"/>
  <c r="G193" i="40" s="1"/>
  <c r="D274" i="39"/>
  <c r="E274" i="39" s="1"/>
  <c r="F274" i="39" s="1"/>
  <c r="G274" i="39" s="1"/>
  <c r="D744" i="41"/>
  <c r="B110" i="42"/>
  <c r="D324" i="41"/>
  <c r="D632" i="41"/>
  <c r="D31" i="39"/>
  <c r="E31" i="39" s="1"/>
  <c r="F31" i="39" s="1"/>
  <c r="G31" i="39" s="1"/>
  <c r="D408" i="41"/>
  <c r="D548" i="41"/>
  <c r="N7" i="33"/>
  <c r="B12" i="42"/>
  <c r="D212" i="41"/>
  <c r="D85" i="40"/>
  <c r="E85" i="40" s="1"/>
  <c r="F85" i="40" s="1"/>
  <c r="G85" i="40" s="1"/>
  <c r="K7" i="30"/>
  <c r="D166" i="40"/>
  <c r="E166" i="40" s="1"/>
  <c r="F166" i="40" s="1"/>
  <c r="G166" i="40" s="1"/>
  <c r="B61" i="42"/>
  <c r="D409" i="39"/>
  <c r="E409" i="39" s="1"/>
  <c r="F409" i="39" s="1"/>
  <c r="G409" i="39" s="1"/>
  <c r="D58" i="39"/>
  <c r="E58" i="39" s="1"/>
  <c r="F58" i="39" s="1"/>
  <c r="G58" i="39" s="1"/>
  <c r="D268" i="41"/>
  <c r="D31" i="40"/>
  <c r="E31" i="40" s="1"/>
  <c r="F31" i="40" s="1"/>
  <c r="G31" i="40" s="1"/>
  <c r="D772" i="41"/>
  <c r="D520" i="41"/>
  <c r="D301" i="39"/>
  <c r="E301" i="39" s="1"/>
  <c r="F301" i="39" s="1"/>
  <c r="G301" i="39" s="1"/>
  <c r="D184" i="41"/>
  <c r="D688" i="41"/>
  <c r="B453" i="42"/>
  <c r="D85" i="39"/>
  <c r="E85" i="39" s="1"/>
  <c r="F85" i="39" s="1"/>
  <c r="G85" i="39" s="1"/>
  <c r="D274" i="40"/>
  <c r="E274" i="40" s="1"/>
  <c r="F274" i="40" s="1"/>
  <c r="G274" i="40" s="1"/>
  <c r="D328" i="39"/>
  <c r="E328" i="39" s="1"/>
  <c r="F328" i="39" s="1"/>
  <c r="G328" i="39" s="1"/>
  <c r="D16" i="41"/>
  <c r="D247" i="39"/>
  <c r="E247" i="39" s="1"/>
  <c r="F247" i="39" s="1"/>
  <c r="G247" i="39" s="1"/>
  <c r="D409" i="40"/>
  <c r="E409" i="40" s="1"/>
  <c r="F409" i="40" s="1"/>
  <c r="G409" i="40" s="1"/>
  <c r="D112" i="39"/>
  <c r="E112" i="39" s="1"/>
  <c r="F112" i="39" s="1"/>
  <c r="G112" i="39" s="1"/>
  <c r="D240" i="41"/>
  <c r="D716" i="41"/>
  <c r="B208" i="42"/>
  <c r="Q160" i="32"/>
  <c r="AG17" i="30"/>
  <c r="Q771" i="32"/>
  <c r="I16" i="29"/>
  <c r="B13" i="38" s="1"/>
  <c r="AD86" i="34"/>
  <c r="F3665" i="27" l="1"/>
  <c r="F3417" i="27"/>
  <c r="F3418" i="27" s="1"/>
  <c r="F3419" i="27" s="1"/>
  <c r="F3420" i="27" s="1"/>
  <c r="F3421" i="27" s="1"/>
  <c r="F3416" i="27"/>
  <c r="L819" i="27"/>
  <c r="K819" i="27"/>
  <c r="J819" i="27"/>
  <c r="E820" i="27"/>
  <c r="I819" i="27"/>
  <c r="A819" i="27" s="1"/>
  <c r="A818" i="27"/>
  <c r="L430" i="27"/>
  <c r="G430" i="27" s="1"/>
  <c r="L358" i="27"/>
  <c r="G358" i="27" s="1"/>
  <c r="L394" i="27"/>
  <c r="G394" i="27" s="1"/>
  <c r="L400" i="27"/>
  <c r="G400" i="27" s="1"/>
  <c r="L364" i="27"/>
  <c r="G364" i="27" s="1"/>
  <c r="L382" i="27"/>
  <c r="G382" i="27" s="1"/>
  <c r="L418" i="27"/>
  <c r="G418" i="27" s="1"/>
  <c r="L436" i="27"/>
  <c r="G436" i="27" s="1"/>
  <c r="L424" i="27"/>
  <c r="G424" i="27" s="1"/>
  <c r="L412" i="27"/>
  <c r="G412" i="27" s="1"/>
  <c r="L442" i="27"/>
  <c r="G442" i="27" s="1"/>
  <c r="L370" i="27"/>
  <c r="G370" i="27" s="1"/>
  <c r="L388" i="27"/>
  <c r="G388" i="27" s="1"/>
  <c r="L376" i="27"/>
  <c r="G376" i="27" s="1"/>
  <c r="L406" i="27"/>
  <c r="G406" i="27" s="1"/>
  <c r="L134" i="27"/>
  <c r="G134" i="27" s="1"/>
  <c r="L206" i="27"/>
  <c r="G206" i="27" s="1"/>
  <c r="L182" i="27"/>
  <c r="G182" i="27" s="1"/>
  <c r="L212" i="27"/>
  <c r="G212" i="27" s="1"/>
  <c r="L164" i="27"/>
  <c r="G164" i="27" s="1"/>
  <c r="L146" i="27"/>
  <c r="G146" i="27" s="1"/>
  <c r="L140" i="27"/>
  <c r="G140" i="27" s="1"/>
  <c r="L152" i="27"/>
  <c r="G152" i="27" s="1"/>
  <c r="L170" i="27"/>
  <c r="G170" i="27" s="1"/>
  <c r="L158" i="27"/>
  <c r="G158" i="27" s="1"/>
  <c r="L194" i="27"/>
  <c r="G194" i="27" s="1"/>
  <c r="L176" i="27"/>
  <c r="G176" i="27" s="1"/>
  <c r="L188" i="27"/>
  <c r="G188" i="27" s="1"/>
  <c r="L218" i="27"/>
  <c r="G218" i="27" s="1"/>
  <c r="L200" i="27"/>
  <c r="G200" i="27" s="1"/>
  <c r="I213" i="16" a="1"/>
  <c r="I213" i="16" s="1"/>
  <c r="J212" i="16" a="1"/>
  <c r="J212" i="16" s="1"/>
  <c r="H48" i="16" a="1"/>
  <c r="H48" i="16" s="1"/>
  <c r="I47" i="16" a="1"/>
  <c r="I47" i="16" s="1"/>
  <c r="E49" i="1"/>
  <c r="E352" i="41" s="1"/>
  <c r="B17" i="42"/>
  <c r="F11" i="38"/>
  <c r="E156" i="41"/>
  <c r="O7" i="30"/>
  <c r="O7" i="31"/>
  <c r="AG19" i="30"/>
  <c r="Q162" i="32"/>
  <c r="Q773" i="32"/>
  <c r="I17" i="29"/>
  <c r="B14" i="38" s="1"/>
  <c r="AD87" i="34"/>
  <c r="L43" i="27"/>
  <c r="G43" i="27" s="1"/>
  <c r="J315" i="22"/>
  <c r="J159" i="22"/>
  <c r="N152" i="27"/>
  <c r="F3666" i="27" l="1"/>
  <c r="F3422" i="27"/>
  <c r="F3423" i="27"/>
  <c r="F3424" i="27" s="1"/>
  <c r="F3425" i="27" s="1"/>
  <c r="F3426" i="27" s="1"/>
  <c r="F3427" i="27" s="1"/>
  <c r="K820" i="27"/>
  <c r="L820" i="27"/>
  <c r="J820" i="27"/>
  <c r="E821" i="27"/>
  <c r="I820" i="27"/>
  <c r="E212" i="41"/>
  <c r="L359" i="27"/>
  <c r="G359" i="27" s="1"/>
  <c r="L365" i="27"/>
  <c r="G365" i="27" s="1"/>
  <c r="L377" i="27"/>
  <c r="G377" i="27" s="1"/>
  <c r="L443" i="27"/>
  <c r="G443" i="27" s="1"/>
  <c r="L371" i="27"/>
  <c r="G371" i="27" s="1"/>
  <c r="L383" i="27"/>
  <c r="G383" i="27" s="1"/>
  <c r="L407" i="27"/>
  <c r="G407" i="27" s="1"/>
  <c r="L437" i="27"/>
  <c r="G437" i="27" s="1"/>
  <c r="L425" i="27"/>
  <c r="G425" i="27" s="1"/>
  <c r="L413" i="27"/>
  <c r="G413" i="27" s="1"/>
  <c r="L395" i="27"/>
  <c r="G395" i="27" s="1"/>
  <c r="L401" i="27"/>
  <c r="G401" i="27" s="1"/>
  <c r="L431" i="27"/>
  <c r="G431" i="27" s="1"/>
  <c r="L389" i="27"/>
  <c r="G389" i="27" s="1"/>
  <c r="L419" i="27"/>
  <c r="G419" i="27" s="1"/>
  <c r="B409" i="42"/>
  <c r="L213" i="27"/>
  <c r="G213" i="27" s="1"/>
  <c r="L201" i="27"/>
  <c r="G201" i="27" s="1"/>
  <c r="L141" i="27"/>
  <c r="G141" i="27" s="1"/>
  <c r="L147" i="27"/>
  <c r="G147" i="27" s="1"/>
  <c r="L171" i="27"/>
  <c r="G171" i="27" s="1"/>
  <c r="L165" i="27"/>
  <c r="G165" i="27" s="1"/>
  <c r="L189" i="27"/>
  <c r="G189" i="27" s="1"/>
  <c r="L177" i="27"/>
  <c r="G177" i="27" s="1"/>
  <c r="L195" i="27"/>
  <c r="G195" i="27" s="1"/>
  <c r="L159" i="27"/>
  <c r="G159" i="27" s="1"/>
  <c r="L183" i="27"/>
  <c r="G183" i="27" s="1"/>
  <c r="L207" i="27"/>
  <c r="G207" i="27" s="1"/>
  <c r="L219" i="27"/>
  <c r="G219" i="27" s="1"/>
  <c r="L135" i="27"/>
  <c r="G135" i="27" s="1"/>
  <c r="L153" i="27"/>
  <c r="G153" i="27" s="1"/>
  <c r="E576" i="41"/>
  <c r="E492" i="41"/>
  <c r="E324" i="41"/>
  <c r="E828" i="41"/>
  <c r="E632" i="41"/>
  <c r="E380" i="41"/>
  <c r="E128" i="41"/>
  <c r="E604" i="41"/>
  <c r="E16" i="41"/>
  <c r="E436" i="41"/>
  <c r="B262" i="42"/>
  <c r="B458" i="42"/>
  <c r="E772" i="41"/>
  <c r="E744" i="41"/>
  <c r="E184" i="41"/>
  <c r="E72" i="41"/>
  <c r="E100" i="41"/>
  <c r="E268" i="41"/>
  <c r="E240" i="41"/>
  <c r="E660" i="41"/>
  <c r="B115" i="42"/>
  <c r="E800" i="41"/>
  <c r="E408" i="41"/>
  <c r="E716" i="41"/>
  <c r="E548" i="41"/>
  <c r="I7" i="34"/>
  <c r="B360" i="42"/>
  <c r="Q7" i="33"/>
  <c r="E688" i="41"/>
  <c r="E296" i="41"/>
  <c r="B213" i="42"/>
  <c r="E44" i="41"/>
  <c r="B311" i="42"/>
  <c r="E520" i="41"/>
  <c r="E464" i="41"/>
  <c r="B164" i="42"/>
  <c r="B66" i="42"/>
  <c r="I214" i="16" a="1"/>
  <c r="I214" i="16" s="1"/>
  <c r="J213" i="16" a="1"/>
  <c r="J213" i="16" s="1"/>
  <c r="H49" i="16" a="1"/>
  <c r="H49" i="16" s="1"/>
  <c r="I48" i="16" a="1"/>
  <c r="I48" i="16" s="1"/>
  <c r="N49" i="1"/>
  <c r="T49" i="1"/>
  <c r="A50" i="1"/>
  <c r="G11" i="38"/>
  <c r="S7" i="30"/>
  <c r="S7" i="31"/>
  <c r="AG21" i="30"/>
  <c r="AG23" i="30" s="1"/>
  <c r="I18" i="29"/>
  <c r="Q164" i="32"/>
  <c r="Q775" i="32"/>
  <c r="AD88" i="34"/>
  <c r="J3" i="22"/>
  <c r="J158" i="27"/>
  <c r="N177" i="27"/>
  <c r="I207" i="27"/>
  <c r="N171" i="27"/>
  <c r="M135" i="27"/>
  <c r="I189" i="27"/>
  <c r="I134" i="27"/>
  <c r="M176" i="27"/>
  <c r="I176" i="27"/>
  <c r="I146" i="27"/>
  <c r="M146" i="27"/>
  <c r="N140" i="27"/>
  <c r="M189" i="27"/>
  <c r="N146" i="27"/>
  <c r="N194" i="27"/>
  <c r="M213" i="27"/>
  <c r="J176" i="27"/>
  <c r="M153" i="27"/>
  <c r="N200" i="27"/>
  <c r="I141" i="27"/>
  <c r="J146" i="27"/>
  <c r="J188" i="27"/>
  <c r="I171" i="27"/>
  <c r="J135" i="27"/>
  <c r="M171" i="27"/>
  <c r="J147" i="27"/>
  <c r="J177" i="27"/>
  <c r="J182" i="27"/>
  <c r="M212" i="27"/>
  <c r="N218" i="27"/>
  <c r="J206" i="27"/>
  <c r="I213" i="27"/>
  <c r="I195" i="27"/>
  <c r="J165" i="27"/>
  <c r="J141" i="27"/>
  <c r="M159" i="27"/>
  <c r="M152" i="27"/>
  <c r="N188" i="27"/>
  <c r="I152" i="27"/>
  <c r="M194" i="27"/>
  <c r="J164" i="27"/>
  <c r="M207" i="27"/>
  <c r="J195" i="27"/>
  <c r="I219" i="27"/>
  <c r="I159" i="27"/>
  <c r="I135" i="27"/>
  <c r="M164" i="27"/>
  <c r="J134" i="27"/>
  <c r="J218" i="27"/>
  <c r="I140" i="27"/>
  <c r="I194" i="27"/>
  <c r="J213" i="27"/>
  <c r="J153" i="27"/>
  <c r="N135" i="27"/>
  <c r="I147" i="27"/>
  <c r="I206" i="27"/>
  <c r="J200" i="27"/>
  <c r="J194" i="27"/>
  <c r="N147" i="27"/>
  <c r="M134" i="27"/>
  <c r="I177" i="27"/>
  <c r="N141" i="27"/>
  <c r="N212" i="27"/>
  <c r="M165" i="27"/>
  <c r="N201" i="27"/>
  <c r="J219" i="27"/>
  <c r="N183" i="27"/>
  <c r="M183" i="27"/>
  <c r="I153" i="27"/>
  <c r="I170" i="27"/>
  <c r="M188" i="27"/>
  <c r="N206" i="27"/>
  <c r="J152" i="27"/>
  <c r="N170" i="27"/>
  <c r="M147" i="27"/>
  <c r="I200" i="27"/>
  <c r="J140" i="27"/>
  <c r="M182" i="27"/>
  <c r="N165" i="27"/>
  <c r="M195" i="27"/>
  <c r="J201" i="27"/>
  <c r="N219" i="27"/>
  <c r="M141" i="27"/>
  <c r="I158" i="27"/>
  <c r="J212" i="27"/>
  <c r="N164" i="27"/>
  <c r="I188" i="27"/>
  <c r="I212" i="27"/>
  <c r="N189" i="27"/>
  <c r="N207" i="27"/>
  <c r="M158" i="27"/>
  <c r="M218" i="27"/>
  <c r="M201" i="27"/>
  <c r="N213" i="27"/>
  <c r="J159" i="27"/>
  <c r="I165" i="27"/>
  <c r="N153" i="27"/>
  <c r="M200" i="27"/>
  <c r="N134" i="27"/>
  <c r="I218" i="27"/>
  <c r="N176" i="27"/>
  <c r="J189" i="27"/>
  <c r="N195" i="27"/>
  <c r="J170" i="27"/>
  <c r="I183" i="27"/>
  <c r="I201" i="27"/>
  <c r="N159" i="27"/>
  <c r="M219" i="27"/>
  <c r="J183" i="27"/>
  <c r="M140" i="27"/>
  <c r="N158" i="27"/>
  <c r="I164" i="27"/>
  <c r="M170" i="27"/>
  <c r="J171" i="27"/>
  <c r="I182" i="27"/>
  <c r="M177" i="27"/>
  <c r="M206" i="27"/>
  <c r="J207" i="27"/>
  <c r="N182" i="27"/>
  <c r="A820" i="27" l="1"/>
  <c r="F3667" i="27"/>
  <c r="F3429" i="27"/>
  <c r="F3430" i="27" s="1"/>
  <c r="F3431" i="27" s="1"/>
  <c r="F3432" i="27" s="1"/>
  <c r="F3433" i="27" s="1"/>
  <c r="F3428" i="27"/>
  <c r="L821" i="27"/>
  <c r="K821" i="27"/>
  <c r="J821" i="27"/>
  <c r="E822" i="27"/>
  <c r="I821" i="27"/>
  <c r="L360" i="27"/>
  <c r="G360" i="27" s="1"/>
  <c r="L432" i="27"/>
  <c r="G432" i="27" s="1"/>
  <c r="L444" i="27"/>
  <c r="G444" i="27" s="1"/>
  <c r="L420" i="27"/>
  <c r="G420" i="27" s="1"/>
  <c r="L390" i="27"/>
  <c r="G390" i="27" s="1"/>
  <c r="L378" i="27"/>
  <c r="G378" i="27" s="1"/>
  <c r="L372" i="27"/>
  <c r="G372" i="27" s="1"/>
  <c r="L402" i="27"/>
  <c r="G402" i="27" s="1"/>
  <c r="L426" i="27"/>
  <c r="G426" i="27" s="1"/>
  <c r="L384" i="27"/>
  <c r="G384" i="27" s="1"/>
  <c r="L396" i="27"/>
  <c r="G396" i="27" s="1"/>
  <c r="L408" i="27"/>
  <c r="G408" i="27" s="1"/>
  <c r="L366" i="27"/>
  <c r="G366" i="27" s="1"/>
  <c r="L414" i="27"/>
  <c r="G414" i="27" s="1"/>
  <c r="L438" i="27"/>
  <c r="G438" i="27" s="1"/>
  <c r="L154" i="27"/>
  <c r="G154" i="27" s="1"/>
  <c r="L178" i="27"/>
  <c r="G178" i="27" s="1"/>
  <c r="L184" i="27"/>
  <c r="G184" i="27" s="1"/>
  <c r="L160" i="27"/>
  <c r="G160" i="27" s="1"/>
  <c r="L136" i="27"/>
  <c r="G136" i="27" s="1"/>
  <c r="L190" i="27"/>
  <c r="G190" i="27" s="1"/>
  <c r="L202" i="27"/>
  <c r="G202" i="27" s="1"/>
  <c r="L214" i="27"/>
  <c r="G214" i="27" s="1"/>
  <c r="L172" i="27"/>
  <c r="G172" i="27" s="1"/>
  <c r="L148" i="27"/>
  <c r="G148" i="27" s="1"/>
  <c r="L196" i="27"/>
  <c r="G196" i="27" s="1"/>
  <c r="L166" i="27"/>
  <c r="G166" i="27" s="1"/>
  <c r="L142" i="27"/>
  <c r="G142" i="27" s="1"/>
  <c r="L208" i="27"/>
  <c r="G208" i="27" s="1"/>
  <c r="L220" i="27"/>
  <c r="G220" i="27" s="1"/>
  <c r="P25" i="30"/>
  <c r="P19" i="30"/>
  <c r="P17" i="30"/>
  <c r="I215" i="16" a="1"/>
  <c r="I215" i="16" s="1"/>
  <c r="J214" i="16" a="1"/>
  <c r="J214" i="16" s="1"/>
  <c r="L21" i="30"/>
  <c r="H50" i="16" a="1"/>
  <c r="H50" i="16" s="1"/>
  <c r="I49" i="16" a="1"/>
  <c r="I49" i="16" s="1"/>
  <c r="L37" i="30"/>
  <c r="P33" i="30"/>
  <c r="L31" i="30"/>
  <c r="L9" i="30"/>
  <c r="L17" i="30"/>
  <c r="P27" i="30"/>
  <c r="L27" i="30"/>
  <c r="P21" i="30"/>
  <c r="P37" i="30"/>
  <c r="P15" i="30"/>
  <c r="P35" i="30"/>
  <c r="P11" i="30"/>
  <c r="P23" i="30"/>
  <c r="L29" i="30"/>
  <c r="L33" i="30"/>
  <c r="P29" i="30"/>
  <c r="P9" i="30"/>
  <c r="E50" i="1"/>
  <c r="T7" i="33" s="1"/>
  <c r="F12" i="38"/>
  <c r="P13" i="30"/>
  <c r="P31" i="30"/>
  <c r="L15" i="30"/>
  <c r="L13" i="30"/>
  <c r="L23" i="30"/>
  <c r="W7" i="31"/>
  <c r="L11" i="30"/>
  <c r="W7" i="30"/>
  <c r="L25" i="30"/>
  <c r="L19" i="30"/>
  <c r="L35" i="30"/>
  <c r="I19" i="29"/>
  <c r="B16" i="38" s="1"/>
  <c r="B15" i="38"/>
  <c r="AG25" i="30"/>
  <c r="Q166" i="32"/>
  <c r="Q777" i="32"/>
  <c r="F27" i="16" a="1"/>
  <c r="F27" i="16" s="1"/>
  <c r="K171" i="27"/>
  <c r="K147" i="27"/>
  <c r="M160" i="27"/>
  <c r="J220" i="27"/>
  <c r="J202" i="27"/>
  <c r="N184" i="27"/>
  <c r="M202" i="27"/>
  <c r="K140" i="27"/>
  <c r="I160" i="27"/>
  <c r="I166" i="27"/>
  <c r="J172" i="27"/>
  <c r="K188" i="27"/>
  <c r="K219" i="27"/>
  <c r="K201" i="27"/>
  <c r="J190" i="27"/>
  <c r="N214" i="27"/>
  <c r="M136" i="27"/>
  <c r="N142" i="27"/>
  <c r="I190" i="27"/>
  <c r="K182" i="27"/>
  <c r="K158" i="27"/>
  <c r="K164" i="27"/>
  <c r="N160" i="27"/>
  <c r="K159" i="27"/>
  <c r="K170" i="27"/>
  <c r="K153" i="27"/>
  <c r="K152" i="27"/>
  <c r="J196" i="27"/>
  <c r="M148" i="27"/>
  <c r="I142" i="27"/>
  <c r="N178" i="27"/>
  <c r="M142" i="27"/>
  <c r="I208" i="27"/>
  <c r="J154" i="27"/>
  <c r="J148" i="27"/>
  <c r="M154" i="27"/>
  <c r="K213" i="27"/>
  <c r="K146" i="27"/>
  <c r="I220" i="27"/>
  <c r="N154" i="27"/>
  <c r="J166" i="27"/>
  <c r="I148" i="27"/>
  <c r="M220" i="27"/>
  <c r="M208" i="27"/>
  <c r="N196" i="27"/>
  <c r="J178" i="27"/>
  <c r="I214" i="27"/>
  <c r="K141" i="27"/>
  <c r="K176" i="27"/>
  <c r="N166" i="27"/>
  <c r="N220" i="27"/>
  <c r="N136" i="27"/>
  <c r="J142" i="27"/>
  <c r="K135" i="27"/>
  <c r="K212" i="27"/>
  <c r="K218" i="27"/>
  <c r="K177" i="27"/>
  <c r="I172" i="27"/>
  <c r="I202" i="27"/>
  <c r="N172" i="27"/>
  <c r="N148" i="27"/>
  <c r="I184" i="27"/>
  <c r="M166" i="27"/>
  <c r="K183" i="27"/>
  <c r="K189" i="27"/>
  <c r="M190" i="27"/>
  <c r="K207" i="27"/>
  <c r="K194" i="27"/>
  <c r="J208" i="27"/>
  <c r="M172" i="27"/>
  <c r="J184" i="27"/>
  <c r="K200" i="27"/>
  <c r="K206" i="27"/>
  <c r="N190" i="27"/>
  <c r="N208" i="27"/>
  <c r="J160" i="27"/>
  <c r="I178" i="27"/>
  <c r="J214" i="27"/>
  <c r="I136" i="27"/>
  <c r="K134" i="27"/>
  <c r="K195" i="27"/>
  <c r="M214" i="27"/>
  <c r="N202" i="27"/>
  <c r="I154" i="27"/>
  <c r="M184" i="27"/>
  <c r="I196" i="27"/>
  <c r="K165" i="27"/>
  <c r="M178" i="27"/>
  <c r="J136" i="27"/>
  <c r="M196" i="27"/>
  <c r="F3668" i="27" l="1"/>
  <c r="F3669" i="27"/>
  <c r="F3434" i="27"/>
  <c r="F3435" i="27"/>
  <c r="F3436" i="27" s="1"/>
  <c r="F3437" i="27" s="1"/>
  <c r="F3438" i="27" s="1"/>
  <c r="F3439" i="27" s="1"/>
  <c r="A821" i="27"/>
  <c r="L822" i="27"/>
  <c r="K822" i="27"/>
  <c r="J822" i="27"/>
  <c r="I822" i="27"/>
  <c r="E823" i="27"/>
  <c r="L361" i="27"/>
  <c r="G361" i="27" s="1"/>
  <c r="L397" i="27"/>
  <c r="G397" i="27" s="1"/>
  <c r="L373" i="27"/>
  <c r="G373" i="27" s="1"/>
  <c r="L427" i="27"/>
  <c r="G427" i="27" s="1"/>
  <c r="L403" i="27"/>
  <c r="G403" i="27" s="1"/>
  <c r="L445" i="27"/>
  <c r="G445" i="27" s="1"/>
  <c r="L367" i="27"/>
  <c r="G367" i="27" s="1"/>
  <c r="L409" i="27"/>
  <c r="G409" i="27" s="1"/>
  <c r="L385" i="27"/>
  <c r="G385" i="27" s="1"/>
  <c r="L433" i="27"/>
  <c r="G433" i="27" s="1"/>
  <c r="L421" i="27"/>
  <c r="G421" i="27" s="1"/>
  <c r="L391" i="27"/>
  <c r="G391" i="27" s="1"/>
  <c r="L379" i="27"/>
  <c r="G379" i="27" s="1"/>
  <c r="L439" i="27"/>
  <c r="G439" i="27" s="1"/>
  <c r="L415" i="27"/>
  <c r="G415" i="27" s="1"/>
  <c r="A165" i="27"/>
  <c r="T165" i="27" s="1"/>
  <c r="A195" i="27"/>
  <c r="T195" i="27" s="1"/>
  <c r="A134" i="27"/>
  <c r="T134" i="27" s="1"/>
  <c r="A206" i="27"/>
  <c r="T206" i="27" s="1"/>
  <c r="A200" i="27"/>
  <c r="T200" i="27" s="1"/>
  <c r="A194" i="27"/>
  <c r="T194" i="27" s="1"/>
  <c r="A207" i="27"/>
  <c r="T207" i="27" s="1"/>
  <c r="A189" i="27"/>
  <c r="T189" i="27" s="1"/>
  <c r="A183" i="27"/>
  <c r="T183" i="27" s="1"/>
  <c r="A177" i="27"/>
  <c r="T177" i="27" s="1"/>
  <c r="A218" i="27"/>
  <c r="T218" i="27" s="1"/>
  <c r="A212" i="27"/>
  <c r="T212" i="27" s="1"/>
  <c r="A135" i="27"/>
  <c r="T135" i="27" s="1"/>
  <c r="A176" i="27"/>
  <c r="T176" i="27" s="1"/>
  <c r="A141" i="27"/>
  <c r="T141" i="27" s="1"/>
  <c r="A146" i="27"/>
  <c r="T146" i="27" s="1"/>
  <c r="A213" i="27"/>
  <c r="T213" i="27" s="1"/>
  <c r="A152" i="27"/>
  <c r="T152" i="27" s="1"/>
  <c r="A153" i="27"/>
  <c r="T153" i="27" s="1"/>
  <c r="A170" i="27"/>
  <c r="T170" i="27" s="1"/>
  <c r="A159" i="27"/>
  <c r="T159" i="27" s="1"/>
  <c r="A164" i="27"/>
  <c r="T164" i="27" s="1"/>
  <c r="A158" i="27"/>
  <c r="T158" i="27" s="1"/>
  <c r="A182" i="27"/>
  <c r="T182" i="27" s="1"/>
  <c r="A201" i="27"/>
  <c r="T201" i="27" s="1"/>
  <c r="A219" i="27"/>
  <c r="T219" i="27" s="1"/>
  <c r="A188" i="27"/>
  <c r="T188" i="27" s="1"/>
  <c r="A140" i="27"/>
  <c r="T140" i="27" s="1"/>
  <c r="A147" i="27"/>
  <c r="T147" i="27" s="1"/>
  <c r="A171" i="27"/>
  <c r="T171" i="27" s="1"/>
  <c r="L203" i="27"/>
  <c r="G203" i="27" s="1"/>
  <c r="L143" i="27"/>
  <c r="G143" i="27" s="1"/>
  <c r="L197" i="27"/>
  <c r="G197" i="27" s="1"/>
  <c r="L221" i="27"/>
  <c r="G221" i="27" s="1"/>
  <c r="L185" i="27"/>
  <c r="G185" i="27" s="1"/>
  <c r="L161" i="27"/>
  <c r="G161" i="27" s="1"/>
  <c r="L191" i="27"/>
  <c r="G191" i="27" s="1"/>
  <c r="L167" i="27"/>
  <c r="G167" i="27" s="1"/>
  <c r="L173" i="27"/>
  <c r="G173" i="27" s="1"/>
  <c r="L137" i="27"/>
  <c r="G137" i="27" s="1"/>
  <c r="L179" i="27"/>
  <c r="G179" i="27" s="1"/>
  <c r="L215" i="27"/>
  <c r="G215" i="27" s="1"/>
  <c r="L149" i="27"/>
  <c r="G149" i="27" s="1"/>
  <c r="L155" i="27"/>
  <c r="G155" i="27" s="1"/>
  <c r="L209" i="27"/>
  <c r="G209" i="27" s="1"/>
  <c r="T33" i="30"/>
  <c r="I216" i="16" a="1"/>
  <c r="I216" i="16" s="1"/>
  <c r="J215" i="16" a="1"/>
  <c r="J215" i="16" s="1"/>
  <c r="F28" i="16" a="1"/>
  <c r="F28" i="16" s="1"/>
  <c r="F29" i="16" s="1" a="1"/>
  <c r="F29" i="16" s="1"/>
  <c r="H51" i="16" a="1"/>
  <c r="H51" i="16" s="1"/>
  <c r="I50" i="16" a="1"/>
  <c r="I50" i="16" s="1"/>
  <c r="B218" i="42"/>
  <c r="F352" i="41"/>
  <c r="F128" i="41"/>
  <c r="F212" i="41"/>
  <c r="F772" i="41"/>
  <c r="F744" i="41"/>
  <c r="B22" i="42"/>
  <c r="B120" i="42"/>
  <c r="F44" i="41"/>
  <c r="B71" i="42"/>
  <c r="F100" i="41"/>
  <c r="T21" i="30"/>
  <c r="F72" i="41"/>
  <c r="F548" i="41"/>
  <c r="B267" i="42"/>
  <c r="B414" i="42"/>
  <c r="B169" i="42"/>
  <c r="B365" i="42"/>
  <c r="F268" i="41"/>
  <c r="F492" i="41"/>
  <c r="F16" i="41"/>
  <c r="F688" i="41"/>
  <c r="B463" i="42"/>
  <c r="B316" i="42"/>
  <c r="F464" i="41"/>
  <c r="F828" i="41"/>
  <c r="F296" i="41"/>
  <c r="F660" i="41"/>
  <c r="F604" i="41"/>
  <c r="F408" i="41"/>
  <c r="K7" i="34"/>
  <c r="F380" i="41"/>
  <c r="F520" i="41"/>
  <c r="F632" i="41"/>
  <c r="F800" i="41"/>
  <c r="F184" i="41"/>
  <c r="F576" i="41"/>
  <c r="F436" i="41"/>
  <c r="F156" i="41"/>
  <c r="F716" i="41"/>
  <c r="F240" i="41"/>
  <c r="N50" i="1"/>
  <c r="T50" i="1"/>
  <c r="T15" i="30"/>
  <c r="F324" i="41"/>
  <c r="T11" i="30"/>
  <c r="T29" i="30"/>
  <c r="T9" i="30"/>
  <c r="T17" i="30"/>
  <c r="T35" i="30"/>
  <c r="T19" i="30"/>
  <c r="T25" i="30"/>
  <c r="A51" i="1"/>
  <c r="G12" i="38"/>
  <c r="T13" i="30"/>
  <c r="T31" i="30"/>
  <c r="T23" i="30"/>
  <c r="T37" i="30"/>
  <c r="T27" i="30"/>
  <c r="X19" i="31"/>
  <c r="X31" i="31"/>
  <c r="X15" i="31"/>
  <c r="X33" i="31"/>
  <c r="X17" i="31"/>
  <c r="X25" i="31"/>
  <c r="X11" i="31"/>
  <c r="X37" i="31"/>
  <c r="X23" i="31"/>
  <c r="X21" i="31"/>
  <c r="X35" i="31"/>
  <c r="X9" i="31"/>
  <c r="X29" i="31"/>
  <c r="X27" i="31"/>
  <c r="X13" i="31"/>
  <c r="X17" i="30"/>
  <c r="X21" i="30"/>
  <c r="X25" i="30"/>
  <c r="X9" i="30"/>
  <c r="X27" i="30"/>
  <c r="X35" i="30"/>
  <c r="X29" i="30"/>
  <c r="X13" i="30"/>
  <c r="X31" i="30"/>
  <c r="X15" i="30"/>
  <c r="X11" i="30"/>
  <c r="X37" i="30"/>
  <c r="X19" i="30"/>
  <c r="X23" i="30"/>
  <c r="X33" i="30"/>
  <c r="I20" i="29"/>
  <c r="B17" i="38" s="1"/>
  <c r="AG27" i="30"/>
  <c r="Q168" i="32"/>
  <c r="Q779" i="32"/>
  <c r="F4" i="16" a="1"/>
  <c r="F4" i="16" s="1"/>
  <c r="M373" i="27"/>
  <c r="I427" i="27"/>
  <c r="K397" i="27"/>
  <c r="I445" i="27"/>
  <c r="I379" i="27"/>
  <c r="J391" i="27"/>
  <c r="N445" i="27"/>
  <c r="M367" i="27"/>
  <c r="J421" i="27"/>
  <c r="K445" i="27"/>
  <c r="I415" i="27"/>
  <c r="K421" i="27"/>
  <c r="I439" i="27"/>
  <c r="M379" i="27"/>
  <c r="I391" i="27"/>
  <c r="M397" i="27"/>
  <c r="M427" i="27"/>
  <c r="N373" i="27"/>
  <c r="K379" i="27"/>
  <c r="J397" i="27"/>
  <c r="J361" i="27"/>
  <c r="J433" i="27"/>
  <c r="I421" i="27"/>
  <c r="K415" i="27"/>
  <c r="N427" i="27"/>
  <c r="I433" i="27"/>
  <c r="J445" i="27"/>
  <c r="K403" i="27"/>
  <c r="I397" i="27"/>
  <c r="N385" i="27"/>
  <c r="N361" i="27"/>
  <c r="J373" i="27"/>
  <c r="I403" i="27"/>
  <c r="N409" i="27"/>
  <c r="M439" i="27"/>
  <c r="J385" i="27"/>
  <c r="M433" i="27"/>
  <c r="K361" i="27"/>
  <c r="M445" i="27"/>
  <c r="M361" i="27"/>
  <c r="K373" i="27"/>
  <c r="N421" i="27"/>
  <c r="N379" i="27"/>
  <c r="N433" i="27"/>
  <c r="K427" i="27"/>
  <c r="J439" i="27"/>
  <c r="J409" i="27"/>
  <c r="K433" i="27"/>
  <c r="I385" i="27"/>
  <c r="N439" i="27"/>
  <c r="M415" i="27"/>
  <c r="N391" i="27"/>
  <c r="J379" i="27"/>
  <c r="I409" i="27"/>
  <c r="K385" i="27"/>
  <c r="J415" i="27"/>
  <c r="N415" i="27"/>
  <c r="N367" i="27"/>
  <c r="M403" i="27"/>
  <c r="I373" i="27"/>
  <c r="I361" i="27"/>
  <c r="K409" i="27"/>
  <c r="K367" i="27"/>
  <c r="J403" i="27"/>
  <c r="K439" i="27"/>
  <c r="M391" i="27"/>
  <c r="K391" i="27"/>
  <c r="I367" i="27"/>
  <c r="J427" i="27"/>
  <c r="M409" i="27"/>
  <c r="M421" i="27"/>
  <c r="N397" i="27"/>
  <c r="N403" i="27"/>
  <c r="M385" i="27"/>
  <c r="J367" i="27"/>
  <c r="K208" i="27"/>
  <c r="K154" i="27"/>
  <c r="K202" i="27"/>
  <c r="M191" i="27"/>
  <c r="K185" i="27"/>
  <c r="N143" i="27"/>
  <c r="K203" i="27"/>
  <c r="I143" i="27"/>
  <c r="M215" i="27"/>
  <c r="K178" i="27"/>
  <c r="K173" i="27"/>
  <c r="J191" i="27"/>
  <c r="N203" i="27"/>
  <c r="K155" i="27"/>
  <c r="K221" i="27"/>
  <c r="J137" i="27"/>
  <c r="K142" i="27"/>
  <c r="J149" i="27"/>
  <c r="K215" i="27"/>
  <c r="N179" i="27"/>
  <c r="K167" i="27"/>
  <c r="K220" i="27"/>
  <c r="J161" i="27"/>
  <c r="M221" i="27"/>
  <c r="K191" i="27"/>
  <c r="K196" i="27"/>
  <c r="K190" i="27"/>
  <c r="N209" i="27"/>
  <c r="N149" i="27"/>
  <c r="K197" i="27"/>
  <c r="M167" i="27"/>
  <c r="N173" i="27"/>
  <c r="K209" i="27"/>
  <c r="M185" i="27"/>
  <c r="I191" i="27"/>
  <c r="N221" i="27"/>
  <c r="N215" i="27"/>
  <c r="K214" i="27"/>
  <c r="I209" i="27"/>
  <c r="I185" i="27"/>
  <c r="M143" i="27"/>
  <c r="I137" i="27"/>
  <c r="J185" i="27"/>
  <c r="K137" i="27"/>
  <c r="J179" i="27"/>
  <c r="N167" i="27"/>
  <c r="J215" i="27"/>
  <c r="J167" i="27"/>
  <c r="I203" i="27"/>
  <c r="M173" i="27"/>
  <c r="K172" i="27"/>
  <c r="K136" i="27"/>
  <c r="I179" i="27"/>
  <c r="J173" i="27"/>
  <c r="J221" i="27"/>
  <c r="M179" i="27"/>
  <c r="I155" i="27"/>
  <c r="M209" i="27"/>
  <c r="N155" i="27"/>
  <c r="M149" i="27"/>
  <c r="J203" i="27"/>
  <c r="M197" i="27"/>
  <c r="I197" i="27"/>
  <c r="M203" i="27"/>
  <c r="K160" i="27"/>
  <c r="K149" i="27"/>
  <c r="N191" i="27"/>
  <c r="J209" i="27"/>
  <c r="I173" i="27"/>
  <c r="K161" i="27"/>
  <c r="M161" i="27"/>
  <c r="K179" i="27"/>
  <c r="M137" i="27"/>
  <c r="N161" i="27"/>
  <c r="N137" i="27"/>
  <c r="J155" i="27"/>
  <c r="I221" i="27"/>
  <c r="N185" i="27"/>
  <c r="K143" i="27"/>
  <c r="K166" i="27"/>
  <c r="K148" i="27"/>
  <c r="I215" i="27"/>
  <c r="I167" i="27"/>
  <c r="J197" i="27"/>
  <c r="I149" i="27"/>
  <c r="J143" i="27"/>
  <c r="N197" i="27"/>
  <c r="K184" i="27"/>
  <c r="M155" i="27"/>
  <c r="I161" i="27"/>
  <c r="F3670" i="27" l="1"/>
  <c r="F3441" i="27"/>
  <c r="F3442" i="27" s="1"/>
  <c r="F3443" i="27" s="1"/>
  <c r="F3444" i="27" s="1"/>
  <c r="F3445" i="27" s="1"/>
  <c r="F3440" i="27"/>
  <c r="A822" i="27"/>
  <c r="K823" i="27"/>
  <c r="L823" i="27"/>
  <c r="J823" i="27"/>
  <c r="I823" i="27"/>
  <c r="E824" i="27"/>
  <c r="A367" i="27"/>
  <c r="A361" i="27"/>
  <c r="A373" i="27"/>
  <c r="A409" i="27"/>
  <c r="A385" i="27"/>
  <c r="A403" i="27"/>
  <c r="A397" i="27"/>
  <c r="A433" i="27"/>
  <c r="A421" i="27"/>
  <c r="A391" i="27"/>
  <c r="A439" i="27"/>
  <c r="A415" i="27"/>
  <c r="A379" i="27"/>
  <c r="A445" i="27"/>
  <c r="A427" i="27"/>
  <c r="A161" i="27"/>
  <c r="T161" i="27" s="1"/>
  <c r="A184" i="27"/>
  <c r="T184" i="27" s="1"/>
  <c r="A149" i="27"/>
  <c r="T149" i="27" s="1"/>
  <c r="A167" i="27"/>
  <c r="T167" i="27" s="1"/>
  <c r="A215" i="27"/>
  <c r="T215" i="27" s="1"/>
  <c r="A148" i="27"/>
  <c r="T148" i="27" s="1"/>
  <c r="A166" i="27"/>
  <c r="T166" i="27" s="1"/>
  <c r="A221" i="27"/>
  <c r="T221" i="27" s="1"/>
  <c r="A173" i="27"/>
  <c r="T173" i="27" s="1"/>
  <c r="A160" i="27"/>
  <c r="T160" i="27" s="1"/>
  <c r="A197" i="27"/>
  <c r="T197" i="27" s="1"/>
  <c r="A155" i="27"/>
  <c r="T155" i="27" s="1"/>
  <c r="A179" i="27"/>
  <c r="T179" i="27" s="1"/>
  <c r="A136" i="27"/>
  <c r="T136" i="27" s="1"/>
  <c r="A172" i="27"/>
  <c r="T172" i="27" s="1"/>
  <c r="A203" i="27"/>
  <c r="T203" i="27" s="1"/>
  <c r="A137" i="27"/>
  <c r="T137" i="27" s="1"/>
  <c r="A185" i="27"/>
  <c r="T185" i="27" s="1"/>
  <c r="A209" i="27"/>
  <c r="T209" i="27" s="1"/>
  <c r="A214" i="27"/>
  <c r="T214" i="27" s="1"/>
  <c r="A191" i="27"/>
  <c r="T191" i="27" s="1"/>
  <c r="A190" i="27"/>
  <c r="T190" i="27" s="1"/>
  <c r="A196" i="27"/>
  <c r="T196" i="27" s="1"/>
  <c r="A220" i="27"/>
  <c r="T220" i="27" s="1"/>
  <c r="A142" i="27"/>
  <c r="T142" i="27" s="1"/>
  <c r="A178" i="27"/>
  <c r="T178" i="27" s="1"/>
  <c r="A143" i="27"/>
  <c r="T143" i="27" s="1"/>
  <c r="A202" i="27"/>
  <c r="T202" i="27" s="1"/>
  <c r="A154" i="27"/>
  <c r="T154" i="27" s="1"/>
  <c r="A208" i="27"/>
  <c r="T208" i="27" s="1"/>
  <c r="I217" i="16" a="1"/>
  <c r="I217" i="16" s="1"/>
  <c r="J216" i="16" a="1"/>
  <c r="J216" i="16" s="1"/>
  <c r="H52" i="16" a="1"/>
  <c r="H52" i="16" s="1"/>
  <c r="I51" i="16" a="1"/>
  <c r="I51" i="16" s="1"/>
  <c r="F30" i="16" a="1"/>
  <c r="F30" i="16" s="1"/>
  <c r="F5" i="16" a="1"/>
  <c r="F5" i="16" s="1"/>
  <c r="F6" i="16" s="1" a="1"/>
  <c r="F6" i="16" s="1"/>
  <c r="E51" i="1"/>
  <c r="G352" i="41" s="1"/>
  <c r="F13" i="38"/>
  <c r="G184" i="41"/>
  <c r="G688" i="41"/>
  <c r="I21" i="29"/>
  <c r="I22" i="29" s="1"/>
  <c r="Q170" i="32"/>
  <c r="AG29" i="30"/>
  <c r="Q781" i="32"/>
  <c r="C42" i="19" a="1"/>
  <c r="C42" i="19" s="1"/>
  <c r="C3" i="19" a="1"/>
  <c r="C3" i="19" s="1"/>
  <c r="G892" i="27"/>
  <c r="G904" i="27"/>
  <c r="G886" i="27"/>
  <c r="G970" i="27"/>
  <c r="G898" i="27"/>
  <c r="G952" i="27"/>
  <c r="G934" i="27"/>
  <c r="G910" i="27"/>
  <c r="G928" i="27"/>
  <c r="G940" i="27"/>
  <c r="G922" i="27"/>
  <c r="G958" i="27"/>
  <c r="G946" i="27"/>
  <c r="G916" i="27"/>
  <c r="G964" i="27"/>
  <c r="F3671" i="27" l="1"/>
  <c r="F3446" i="27"/>
  <c r="F3447" i="27"/>
  <c r="F3448" i="27" s="1"/>
  <c r="F3449" i="27" s="1"/>
  <c r="F3450" i="27" s="1"/>
  <c r="F3451" i="27" s="1"/>
  <c r="A823" i="27"/>
  <c r="K824" i="27"/>
  <c r="L824" i="27"/>
  <c r="J824" i="27"/>
  <c r="I824" i="27"/>
  <c r="E825" i="27"/>
  <c r="C4" i="19" a="1"/>
  <c r="C4" i="19" s="1"/>
  <c r="C5" i="19" s="1" a="1"/>
  <c r="C5" i="19" s="1"/>
  <c r="B419" i="42"/>
  <c r="B272" i="42"/>
  <c r="G576" i="41"/>
  <c r="G324" i="41"/>
  <c r="G520" i="41"/>
  <c r="B174" i="42"/>
  <c r="B27" i="42"/>
  <c r="G464" i="41"/>
  <c r="B223" i="42"/>
  <c r="G268" i="41"/>
  <c r="G212" i="41"/>
  <c r="G72" i="41"/>
  <c r="I218" i="16" a="1"/>
  <c r="I218" i="16" s="1"/>
  <c r="J217" i="16" a="1"/>
  <c r="J217" i="16" s="1"/>
  <c r="F31" i="16" a="1"/>
  <c r="F31" i="16" s="1"/>
  <c r="H53" i="16" a="1"/>
  <c r="H53" i="16" s="1"/>
  <c r="I52" i="16" a="1"/>
  <c r="I52" i="16" s="1"/>
  <c r="F7" i="16" a="1"/>
  <c r="F7" i="16" s="1"/>
  <c r="G380" i="41"/>
  <c r="G436" i="41"/>
  <c r="G16" i="41"/>
  <c r="M7" i="34"/>
  <c r="G744" i="41"/>
  <c r="G408" i="41"/>
  <c r="B76" i="42"/>
  <c r="G296" i="41"/>
  <c r="G660" i="41"/>
  <c r="G604" i="41"/>
  <c r="G128" i="41"/>
  <c r="G800" i="41"/>
  <c r="G240" i="41"/>
  <c r="B468" i="42"/>
  <c r="B125" i="42"/>
  <c r="B321" i="42"/>
  <c r="G492" i="41"/>
  <c r="G156" i="41"/>
  <c r="G548" i="41"/>
  <c r="G828" i="41"/>
  <c r="G44" i="41"/>
  <c r="W7" i="33"/>
  <c r="G716" i="41"/>
  <c r="B370" i="42"/>
  <c r="G100" i="41"/>
  <c r="G772" i="41"/>
  <c r="G632" i="41"/>
  <c r="N51" i="1"/>
  <c r="T51" i="1"/>
  <c r="A52" i="1"/>
  <c r="G13" i="38"/>
  <c r="I23" i="29"/>
  <c r="AG31" i="30"/>
  <c r="Q172" i="32"/>
  <c r="Q783" i="32"/>
  <c r="Z124" i="1"/>
  <c r="G102" i="1"/>
  <c r="G78" i="1"/>
  <c r="G60" i="1"/>
  <c r="F3672" i="27" l="1"/>
  <c r="F3453" i="27"/>
  <c r="F3454" i="27" s="1"/>
  <c r="F3455" i="27" s="1"/>
  <c r="F3456" i="27" s="1"/>
  <c r="F3457" i="27" s="1"/>
  <c r="F3452" i="27"/>
  <c r="A824" i="27"/>
  <c r="K825" i="27"/>
  <c r="I825" i="27"/>
  <c r="L825" i="27"/>
  <c r="J825" i="27"/>
  <c r="E826" i="27"/>
  <c r="C6" i="19" a="1"/>
  <c r="C6" i="19" s="1"/>
  <c r="I219" i="16" a="1"/>
  <c r="I219" i="16" s="1"/>
  <c r="J218" i="16" a="1"/>
  <c r="J218" i="16" s="1"/>
  <c r="H54" i="16" a="1"/>
  <c r="H54" i="16" s="1"/>
  <c r="I53" i="16" a="1"/>
  <c r="I53" i="16" s="1"/>
  <c r="F32" i="16" a="1"/>
  <c r="F32" i="16" s="1"/>
  <c r="F8" i="16" a="1"/>
  <c r="F8" i="16" s="1"/>
  <c r="E52" i="1"/>
  <c r="H660" i="41" s="1"/>
  <c r="F14" i="38"/>
  <c r="I24" i="29"/>
  <c r="AG33" i="30"/>
  <c r="Q174" i="32"/>
  <c r="Q785" i="32"/>
  <c r="F3673" i="27" l="1"/>
  <c r="F3458" i="27"/>
  <c r="F3459" i="27"/>
  <c r="F3460" i="27" s="1"/>
  <c r="F3461" i="27" s="1"/>
  <c r="F3462" i="27" s="1"/>
  <c r="F3463" i="27" s="1"/>
  <c r="L826" i="27"/>
  <c r="K826" i="27"/>
  <c r="I826" i="27"/>
  <c r="J826" i="27"/>
  <c r="E827" i="27"/>
  <c r="A825" i="27"/>
  <c r="C7" i="19" a="1"/>
  <c r="C7" i="19" s="1"/>
  <c r="I220" i="16" a="1"/>
  <c r="I220" i="16" s="1"/>
  <c r="J219" i="16" a="1"/>
  <c r="J219" i="16" s="1"/>
  <c r="H100" i="41"/>
  <c r="O7" i="34"/>
  <c r="H436" i="41"/>
  <c r="H72" i="41"/>
  <c r="H240" i="41"/>
  <c r="H408" i="41"/>
  <c r="H212" i="41"/>
  <c r="H296" i="41"/>
  <c r="H548" i="41"/>
  <c r="H380" i="41"/>
  <c r="H772" i="41"/>
  <c r="H324" i="41"/>
  <c r="H352" i="41"/>
  <c r="H464" i="41"/>
  <c r="H688" i="41"/>
  <c r="H632" i="41"/>
  <c r="B277" i="42"/>
  <c r="B130" i="42"/>
  <c r="H576" i="41"/>
  <c r="B81" i="42"/>
  <c r="H268" i="41"/>
  <c r="H800" i="41"/>
  <c r="F33" i="16" a="1"/>
  <c r="F33" i="16" s="1"/>
  <c r="F34" i="16" s="1" a="1"/>
  <c r="F34" i="16" s="1"/>
  <c r="F35" i="16" s="1" a="1"/>
  <c r="F35" i="16" s="1"/>
  <c r="F36" i="16" s="1" a="1"/>
  <c r="F36" i="16" s="1"/>
  <c r="F37" i="16" s="1" a="1"/>
  <c r="F37" i="16" s="1"/>
  <c r="F38" i="16" s="1" a="1"/>
  <c r="F38" i="16" s="1"/>
  <c r="F39" i="16" s="1" a="1"/>
  <c r="F39" i="16" s="1"/>
  <c r="F40" i="16" s="1" a="1"/>
  <c r="F40" i="16" s="1"/>
  <c r="F41" i="16" s="1" a="1"/>
  <c r="F41" i="16" s="1"/>
  <c r="F42" i="16" s="1" a="1"/>
  <c r="F42" i="16" s="1"/>
  <c r="F43" i="16" s="1" a="1"/>
  <c r="F43" i="16" s="1"/>
  <c r="F44" i="16" s="1" a="1"/>
  <c r="F44" i="16" s="1"/>
  <c r="F45" i="16" s="1" a="1"/>
  <c r="F45" i="16" s="1"/>
  <c r="F46" i="16" s="1" a="1"/>
  <c r="F46" i="16" s="1"/>
  <c r="F47" i="16" s="1" a="1"/>
  <c r="F47" i="16" s="1"/>
  <c r="F48" i="16" s="1" a="1"/>
  <c r="F48" i="16" s="1"/>
  <c r="F49" i="16" s="1" a="1"/>
  <c r="F49" i="16" s="1"/>
  <c r="F50" i="16" s="1" a="1"/>
  <c r="F50" i="16" s="1"/>
  <c r="F51" i="16" s="1" a="1"/>
  <c r="F51" i="16" s="1"/>
  <c r="F52" i="16" s="1" a="1"/>
  <c r="F52" i="16" s="1"/>
  <c r="F53" i="16" s="1" a="1"/>
  <c r="F53" i="16" s="1"/>
  <c r="F54" i="16" s="1" a="1"/>
  <c r="F54" i="16" s="1"/>
  <c r="F55" i="16" s="1" a="1"/>
  <c r="F55" i="16" s="1"/>
  <c r="F56" i="16" s="1" a="1"/>
  <c r="F56" i="16" s="1"/>
  <c r="F57" i="16" s="1" a="1"/>
  <c r="F57" i="16" s="1"/>
  <c r="F58" i="16" s="1" a="1"/>
  <c r="F58" i="16" s="1"/>
  <c r="F59" i="16" s="1" a="1"/>
  <c r="F59" i="16" s="1"/>
  <c r="F60" i="16" s="1" a="1"/>
  <c r="F60" i="16" s="1"/>
  <c r="F61" i="16" s="1" a="1"/>
  <c r="F61" i="16" s="1"/>
  <c r="F62" i="16" s="1" a="1"/>
  <c r="F62" i="16" s="1"/>
  <c r="F63" i="16" s="1" a="1"/>
  <c r="F63" i="16" s="1"/>
  <c r="F64" i="16" s="1" a="1"/>
  <c r="F64" i="16" s="1"/>
  <c r="F65" i="16" s="1" a="1"/>
  <c r="F65" i="16" s="1"/>
  <c r="F66" i="16" s="1" a="1"/>
  <c r="F66" i="16" s="1"/>
  <c r="F67" i="16" s="1" a="1"/>
  <c r="F67" i="16" s="1"/>
  <c r="F68" i="16" s="1" a="1"/>
  <c r="F68" i="16" s="1"/>
  <c r="F69" i="16" s="1" a="1"/>
  <c r="F69" i="16" s="1"/>
  <c r="F70" i="16" s="1" a="1"/>
  <c r="F70" i="16" s="1"/>
  <c r="F71" i="16" s="1" a="1"/>
  <c r="F71" i="16" s="1"/>
  <c r="F72" i="16" s="1" a="1"/>
  <c r="F72" i="16" s="1"/>
  <c r="F73" i="16" s="1" a="1"/>
  <c r="F73" i="16" s="1"/>
  <c r="F74" i="16" s="1" a="1"/>
  <c r="F74" i="16" s="1"/>
  <c r="F75" i="16" s="1" a="1"/>
  <c r="F75" i="16" s="1"/>
  <c r="F76" i="16" s="1" a="1"/>
  <c r="F76" i="16" s="1"/>
  <c r="F77" i="16" s="1" a="1"/>
  <c r="F77" i="16" s="1"/>
  <c r="F78" i="16" s="1" a="1"/>
  <c r="F78" i="16" s="1"/>
  <c r="F79" i="16" s="1" a="1"/>
  <c r="F79" i="16" s="1"/>
  <c r="F80" i="16" s="1" a="1"/>
  <c r="F80" i="16" s="1"/>
  <c r="F81" i="16" s="1" a="1"/>
  <c r="F81" i="16" s="1"/>
  <c r="H55" i="16" a="1"/>
  <c r="H55" i="16" s="1"/>
  <c r="I54" i="16" a="1"/>
  <c r="I54" i="16" s="1"/>
  <c r="F9" i="16" a="1"/>
  <c r="F9" i="16" s="1"/>
  <c r="F10" i="16" s="1" a="1"/>
  <c r="F10" i="16" s="1"/>
  <c r="F11" i="16" s="1" a="1"/>
  <c r="F11" i="16" s="1"/>
  <c r="F12" i="16" s="1" a="1"/>
  <c r="F12" i="16" s="1"/>
  <c r="F13" i="16" s="1" a="1"/>
  <c r="F13" i="16" s="1"/>
  <c r="F14" i="16" s="1" a="1"/>
  <c r="F14" i="16" s="1"/>
  <c r="F15" i="16" s="1" a="1"/>
  <c r="F15" i="16" s="1"/>
  <c r="F16" i="16" s="1" a="1"/>
  <c r="F16" i="16" s="1"/>
  <c r="F17" i="16" s="1" a="1"/>
  <c r="F17" i="16" s="1"/>
  <c r="F18" i="16" s="1" a="1"/>
  <c r="F18" i="16" s="1"/>
  <c r="F19" i="16" s="1" a="1"/>
  <c r="F19" i="16" s="1"/>
  <c r="F20" i="16" s="1" a="1"/>
  <c r="F20" i="16" s="1"/>
  <c r="H492" i="41"/>
  <c r="H604" i="41"/>
  <c r="H184" i="41"/>
  <c r="B32" i="42"/>
  <c r="B179" i="42"/>
  <c r="H156" i="41"/>
  <c r="H744" i="41"/>
  <c r="B228" i="42"/>
  <c r="Z7" i="33"/>
  <c r="B473" i="42"/>
  <c r="H828" i="41"/>
  <c r="H44" i="41"/>
  <c r="B424" i="42"/>
  <c r="H520" i="41"/>
  <c r="B375" i="42"/>
  <c r="H16" i="41"/>
  <c r="H128" i="41"/>
  <c r="H716" i="41"/>
  <c r="B326" i="42"/>
  <c r="N52" i="1"/>
  <c r="T52" i="1"/>
  <c r="A53" i="1"/>
  <c r="G14" i="38"/>
  <c r="I25" i="29"/>
  <c r="I26" i="29" s="1"/>
  <c r="I27" i="29" s="1"/>
  <c r="I28" i="29" s="1"/>
  <c r="I29" i="29" s="1"/>
  <c r="I30" i="29" s="1"/>
  <c r="I31" i="29" s="1"/>
  <c r="I32" i="29" s="1"/>
  <c r="I33" i="29" s="1"/>
  <c r="I34" i="29" s="1"/>
  <c r="I35" i="29" s="1"/>
  <c r="I36" i="29" s="1"/>
  <c r="I37" i="29" s="1"/>
  <c r="I38" i="29" s="1"/>
  <c r="I39" i="29" s="1"/>
  <c r="I40" i="29" s="1"/>
  <c r="I41" i="29" s="1"/>
  <c r="Q176" i="32"/>
  <c r="AG35" i="30"/>
  <c r="Q787" i="32"/>
  <c r="A1140" i="19" a="1"/>
  <c r="A1140" i="19" s="1"/>
  <c r="A1141" i="19" s="1" a="1"/>
  <c r="A1141" i="19" s="1"/>
  <c r="A1142" i="19" s="1" a="1"/>
  <c r="A1142" i="19" s="1"/>
  <c r="A1143" i="19" s="1" a="1"/>
  <c r="A1143" i="19" s="1"/>
  <c r="C156" i="20"/>
  <c r="D156" i="20" s="1"/>
  <c r="C83" i="20"/>
  <c r="D83" i="20" s="1"/>
  <c r="C3" i="20"/>
  <c r="D3" i="20" s="1"/>
  <c r="F3675" i="27" l="1"/>
  <c r="F3674" i="27"/>
  <c r="F3465" i="27"/>
  <c r="F3466" i="27" s="1"/>
  <c r="F3467" i="27" s="1"/>
  <c r="F3468" i="27" s="1"/>
  <c r="F3469" i="27" s="1"/>
  <c r="F3464" i="27"/>
  <c r="K827" i="27"/>
  <c r="L827" i="27"/>
  <c r="I827" i="27"/>
  <c r="E828" i="27"/>
  <c r="J827" i="27"/>
  <c r="A826" i="27"/>
  <c r="C8" i="19" a="1"/>
  <c r="C8" i="19" s="1"/>
  <c r="C9" i="19" s="1" a="1"/>
  <c r="C9" i="19" s="1"/>
  <c r="C10" i="19" s="1" a="1"/>
  <c r="C10" i="19" s="1"/>
  <c r="C11" i="19" s="1" a="1"/>
  <c r="C11" i="19" s="1"/>
  <c r="C12" i="19" s="1" a="1"/>
  <c r="C12" i="19" s="1"/>
  <c r="C13" i="19" s="1" a="1"/>
  <c r="C13" i="19" s="1"/>
  <c r="C14" i="19" s="1" a="1"/>
  <c r="C14" i="19" s="1"/>
  <c r="C15" i="19" s="1" a="1"/>
  <c r="C15" i="19" s="1"/>
  <c r="C16" i="19" s="1" a="1"/>
  <c r="C16" i="19" s="1"/>
  <c r="C17" i="19" s="1" a="1"/>
  <c r="C17" i="19" s="1"/>
  <c r="C18" i="19" s="1" a="1"/>
  <c r="C18" i="19" s="1"/>
  <c r="C19" i="19" s="1" a="1"/>
  <c r="C19" i="19" s="1"/>
  <c r="C20" i="19" s="1" a="1"/>
  <c r="C20" i="19" s="1"/>
  <c r="C21" i="19" s="1" a="1"/>
  <c r="C21" i="19" s="1"/>
  <c r="C22" i="19" s="1" a="1"/>
  <c r="C22" i="19" s="1"/>
  <c r="C23" i="19" s="1" a="1"/>
  <c r="C23" i="19" s="1"/>
  <c r="C24" i="19" s="1" a="1"/>
  <c r="C24" i="19" s="1"/>
  <c r="C25" i="19" s="1" a="1"/>
  <c r="C25" i="19" s="1"/>
  <c r="C26" i="19" s="1" a="1"/>
  <c r="C26" i="19" s="1"/>
  <c r="C27" i="19" s="1" a="1"/>
  <c r="C27" i="19" s="1"/>
  <c r="C28" i="19" s="1" a="1"/>
  <c r="C28" i="19" s="1"/>
  <c r="C29" i="19" s="1" a="1"/>
  <c r="C29" i="19" s="1"/>
  <c r="C30" i="19" s="1" a="1"/>
  <c r="C30" i="19" s="1"/>
  <c r="C31" i="19" s="1" a="1"/>
  <c r="C31" i="19" s="1"/>
  <c r="C32" i="19" s="1" a="1"/>
  <c r="C32" i="19" s="1"/>
  <c r="C33" i="19" s="1" a="1"/>
  <c r="C33" i="19" s="1"/>
  <c r="I221" i="16" a="1"/>
  <c r="I221" i="16" s="1"/>
  <c r="J220" i="16" a="1"/>
  <c r="J220" i="16" s="1"/>
  <c r="H56" i="16" a="1"/>
  <c r="H56" i="16" s="1"/>
  <c r="I55" i="16" a="1"/>
  <c r="I55" i="16" s="1"/>
  <c r="E53" i="1"/>
  <c r="T53" i="1" s="1"/>
  <c r="F15" i="38"/>
  <c r="R630" i="32" a="1"/>
  <c r="R630" i="32" s="1"/>
  <c r="R642" i="32" a="1"/>
  <c r="R642" i="32" s="1"/>
  <c r="R654" i="32" a="1"/>
  <c r="R654" i="32" s="1"/>
  <c r="R666" i="32" a="1"/>
  <c r="R666" i="32" s="1"/>
  <c r="R678" i="32" a="1"/>
  <c r="R678" i="32" s="1"/>
  <c r="R690" i="32" a="1"/>
  <c r="R690" i="32" s="1"/>
  <c r="R702" i="32" a="1"/>
  <c r="R702" i="32" s="1"/>
  <c r="R714" i="32" a="1"/>
  <c r="R714" i="32" s="1"/>
  <c r="R726" i="32" a="1"/>
  <c r="R726" i="32" s="1"/>
  <c r="R738" i="32" a="1"/>
  <c r="R738" i="32" s="1"/>
  <c r="R750" i="32" a="1"/>
  <c r="R750" i="32" s="1"/>
  <c r="R762" i="32" a="1"/>
  <c r="R762" i="32" s="1"/>
  <c r="R774" i="32" a="1"/>
  <c r="R774" i="32" s="1"/>
  <c r="R786" i="32" a="1"/>
  <c r="R786" i="32" s="1"/>
  <c r="R804" i="32" a="1"/>
  <c r="R804" i="32" s="1"/>
  <c r="R828" i="32" a="1"/>
  <c r="R828" i="32" s="1"/>
  <c r="R852" i="32" a="1"/>
  <c r="R852" i="32" s="1"/>
  <c r="R876" i="32" a="1"/>
  <c r="R876" i="32" s="1"/>
  <c r="R900" i="32" a="1"/>
  <c r="R900" i="32" s="1"/>
  <c r="R922" i="32" a="1"/>
  <c r="R922" i="32" s="1"/>
  <c r="R934" i="32" a="1"/>
  <c r="R934" i="32" s="1"/>
  <c r="R946" i="32" a="1"/>
  <c r="R946" i="32" s="1"/>
  <c r="R970" i="32" a="1"/>
  <c r="R970" i="32" s="1"/>
  <c r="R994" i="32" a="1"/>
  <c r="R994" i="32" s="1"/>
  <c r="R1018" i="32" a="1"/>
  <c r="R1018" i="32" s="1"/>
  <c r="R1042" i="32" a="1"/>
  <c r="R1042" i="32" s="1"/>
  <c r="R1066" i="32" a="1"/>
  <c r="R1066" i="32" s="1"/>
  <c r="R1090" i="32" a="1"/>
  <c r="R1090" i="32" s="1"/>
  <c r="R1114" i="32" a="1"/>
  <c r="R1114" i="32" s="1"/>
  <c r="R1138" i="32" a="1"/>
  <c r="R1138" i="32" s="1"/>
  <c r="R1162" i="32" a="1"/>
  <c r="R1162" i="32" s="1"/>
  <c r="R1186" i="32" a="1"/>
  <c r="R1186" i="32" s="1"/>
  <c r="R1210" i="32" a="1"/>
  <c r="R1210" i="32" s="1"/>
  <c r="R1234" i="32" a="1"/>
  <c r="R1234" i="32" s="1"/>
  <c r="R1258" i="32" a="1"/>
  <c r="R1258" i="32" s="1"/>
  <c r="R1282" i="32" a="1"/>
  <c r="R1282" i="32" s="1"/>
  <c r="R1306" i="32" a="1"/>
  <c r="R1306" i="32" s="1"/>
  <c r="R1330" i="32" a="1"/>
  <c r="R1330" i="32" s="1"/>
  <c r="R1354" i="32" a="1"/>
  <c r="R1354" i="32" s="1"/>
  <c r="R1372" i="32" a="1"/>
  <c r="R1372" i="32" s="1"/>
  <c r="R1384" i="32" a="1"/>
  <c r="R1384" i="32" s="1"/>
  <c r="R1396" i="32" a="1"/>
  <c r="R1396" i="32" s="1"/>
  <c r="R1408" i="32" a="1"/>
  <c r="R1408" i="32" s="1"/>
  <c r="R1420" i="32" a="1"/>
  <c r="R1420" i="32" s="1"/>
  <c r="R1444" i="32" a="1"/>
  <c r="R1444" i="32" s="1"/>
  <c r="R1456" i="32" a="1"/>
  <c r="R1456" i="32" s="1"/>
  <c r="R1468" i="32" a="1"/>
  <c r="R1468" i="32" s="1"/>
  <c r="R1492" i="32" a="1"/>
  <c r="R1492" i="32" s="1"/>
  <c r="R1516" i="32" a="1"/>
  <c r="R1516" i="32" s="1"/>
  <c r="R1540" i="32" a="1"/>
  <c r="R1540" i="32" s="1"/>
  <c r="R1564" i="32" a="1"/>
  <c r="R1564" i="32" s="1"/>
  <c r="R1600" i="32" a="1"/>
  <c r="R1600" i="32" s="1"/>
  <c r="R1648" i="32" a="1"/>
  <c r="R1648" i="32" s="1"/>
  <c r="R1696" i="32" a="1"/>
  <c r="R1696" i="32" s="1"/>
  <c r="R1744" i="32" a="1"/>
  <c r="R1744" i="32" s="1"/>
  <c r="R1792" i="32" a="1"/>
  <c r="R1792" i="32" s="1"/>
  <c r="R806" i="32" a="1"/>
  <c r="R806" i="32" s="1"/>
  <c r="R830" i="32" a="1"/>
  <c r="R830" i="32" s="1"/>
  <c r="R854" i="32" a="1"/>
  <c r="R854" i="32" s="1"/>
  <c r="R878" i="32" a="1"/>
  <c r="R878" i="32" s="1"/>
  <c r="R902" i="32" a="1"/>
  <c r="R902" i="32" s="1"/>
  <c r="R948" i="32" a="1"/>
  <c r="R948" i="32" s="1"/>
  <c r="R972" i="32" a="1"/>
  <c r="R972" i="32" s="1"/>
  <c r="R996" i="32" a="1"/>
  <c r="R996" i="32" s="1"/>
  <c r="R1020" i="32" a="1"/>
  <c r="R1020" i="32" s="1"/>
  <c r="R1044" i="32" a="1"/>
  <c r="R1044" i="32" s="1"/>
  <c r="R1068" i="32" a="1"/>
  <c r="R1068" i="32" s="1"/>
  <c r="R1092" i="32" a="1"/>
  <c r="R1092" i="32" s="1"/>
  <c r="R1116" i="32" a="1"/>
  <c r="R1116" i="32" s="1"/>
  <c r="R1140" i="32" a="1"/>
  <c r="R1140" i="32" s="1"/>
  <c r="R1164" i="32" a="1"/>
  <c r="R1164" i="32" s="1"/>
  <c r="R1188" i="32" a="1"/>
  <c r="R1188" i="32" s="1"/>
  <c r="R1212" i="32" a="1"/>
  <c r="R1212" i="32" s="1"/>
  <c r="R1236" i="32" a="1"/>
  <c r="R1236" i="32" s="1"/>
  <c r="R1260" i="32" a="1"/>
  <c r="R1260" i="32" s="1"/>
  <c r="R1284" i="32" a="1"/>
  <c r="R1284" i="32" s="1"/>
  <c r="R1308" i="32" a="1"/>
  <c r="R1308" i="32" s="1"/>
  <c r="R1332" i="32" a="1"/>
  <c r="R1332" i="32" s="1"/>
  <c r="R1356" i="32" a="1"/>
  <c r="R1356" i="32" s="1"/>
  <c r="R1578" i="32" a="1"/>
  <c r="R1578" i="32" s="1"/>
  <c r="R1602" i="32" a="1"/>
  <c r="R1602" i="32" s="1"/>
  <c r="R1626" i="32" a="1"/>
  <c r="R1626" i="32" s="1"/>
  <c r="R1650" i="32" a="1"/>
  <c r="R1650" i="32" s="1"/>
  <c r="R1674" i="32" a="1"/>
  <c r="R1674" i="32" s="1"/>
  <c r="R1698" i="32" a="1"/>
  <c r="R1698" i="32" s="1"/>
  <c r="R1722" i="32" a="1"/>
  <c r="R1722" i="32" s="1"/>
  <c r="R1746" i="32" a="1"/>
  <c r="R1746" i="32" s="1"/>
  <c r="R1770" i="32" a="1"/>
  <c r="R1770" i="32" s="1"/>
  <c r="R1794" i="32" a="1"/>
  <c r="R1794" i="32" s="1"/>
  <c r="R1818" i="32" a="1"/>
  <c r="R1818" i="32" s="1"/>
  <c r="R1410" i="32" a="1"/>
  <c r="R1410" i="32" s="1"/>
  <c r="R1446" i="32" a="1"/>
  <c r="R1446" i="32" s="1"/>
  <c r="R1470" i="32" a="1"/>
  <c r="R1470" i="32" s="1"/>
  <c r="R1494" i="32" a="1"/>
  <c r="R1494" i="32" s="1"/>
  <c r="R1518" i="32" a="1"/>
  <c r="R1518" i="32" s="1"/>
  <c r="R1542" i="32" a="1"/>
  <c r="R1542" i="32" s="1"/>
  <c r="R1566" i="32" a="1"/>
  <c r="R1566" i="32" s="1"/>
  <c r="R1604" i="32" a="1"/>
  <c r="R1604" i="32" s="1"/>
  <c r="R1628" i="32" a="1"/>
  <c r="R1628" i="32" s="1"/>
  <c r="R1676" i="32" a="1"/>
  <c r="R1676" i="32" s="1"/>
  <c r="R1724" i="32" a="1"/>
  <c r="R1724" i="32" s="1"/>
  <c r="R1772" i="32" a="1"/>
  <c r="R1772" i="32" s="1"/>
  <c r="R2300" i="32" a="1"/>
  <c r="R2300" i="32" s="1"/>
  <c r="R632" i="32" a="1"/>
  <c r="R632" i="32" s="1"/>
  <c r="R644" i="32" a="1"/>
  <c r="R644" i="32" s="1"/>
  <c r="R656" i="32" a="1"/>
  <c r="R656" i="32" s="1"/>
  <c r="R668" i="32" a="1"/>
  <c r="R668" i="32" s="1"/>
  <c r="R680" i="32" a="1"/>
  <c r="R680" i="32" s="1"/>
  <c r="R692" i="32" a="1"/>
  <c r="R692" i="32" s="1"/>
  <c r="R704" i="32" a="1"/>
  <c r="R704" i="32" s="1"/>
  <c r="R716" i="32" a="1"/>
  <c r="R716" i="32" s="1"/>
  <c r="R728" i="32" a="1"/>
  <c r="R728" i="32" s="1"/>
  <c r="R740" i="32" a="1"/>
  <c r="R740" i="32" s="1"/>
  <c r="R752" i="32" a="1"/>
  <c r="R752" i="32" s="1"/>
  <c r="R764" i="32" a="1"/>
  <c r="R764" i="32" s="1"/>
  <c r="R776" i="32" a="1"/>
  <c r="R776" i="32" s="1"/>
  <c r="R788" i="32" a="1"/>
  <c r="R788" i="32" s="1"/>
  <c r="R808" i="32" a="1"/>
  <c r="R808" i="32" s="1"/>
  <c r="R832" i="32" a="1"/>
  <c r="R832" i="32" s="1"/>
  <c r="R856" i="32" a="1"/>
  <c r="R856" i="32" s="1"/>
  <c r="R880" i="32" a="1"/>
  <c r="R880" i="32" s="1"/>
  <c r="R904" i="32" a="1"/>
  <c r="R904" i="32" s="1"/>
  <c r="R924" i="32" a="1"/>
  <c r="R924" i="32" s="1"/>
  <c r="R936" i="32" a="1"/>
  <c r="R936" i="32" s="1"/>
  <c r="R950" i="32" a="1"/>
  <c r="R950" i="32" s="1"/>
  <c r="R974" i="32" a="1"/>
  <c r="R974" i="32" s="1"/>
  <c r="R998" i="32" a="1"/>
  <c r="R998" i="32" s="1"/>
  <c r="R1022" i="32" a="1"/>
  <c r="R1022" i="32" s="1"/>
  <c r="R1046" i="32" a="1"/>
  <c r="R1046" i="32" s="1"/>
  <c r="R1070" i="32" a="1"/>
  <c r="R1070" i="32" s="1"/>
  <c r="R1094" i="32" a="1"/>
  <c r="R1094" i="32" s="1"/>
  <c r="R1118" i="32" a="1"/>
  <c r="R1118" i="32" s="1"/>
  <c r="R1142" i="32" a="1"/>
  <c r="R1142" i="32" s="1"/>
  <c r="R1166" i="32" a="1"/>
  <c r="R1166" i="32" s="1"/>
  <c r="R1190" i="32" a="1"/>
  <c r="R1190" i="32" s="1"/>
  <c r="R1214" i="32" a="1"/>
  <c r="R1214" i="32" s="1"/>
  <c r="R1238" i="32" a="1"/>
  <c r="R1238" i="32" s="1"/>
  <c r="R1262" i="32" a="1"/>
  <c r="R1262" i="32" s="1"/>
  <c r="R1286" i="32" a="1"/>
  <c r="R1286" i="32" s="1"/>
  <c r="R1310" i="32" a="1"/>
  <c r="R1310" i="32" s="1"/>
  <c r="R1334" i="32" a="1"/>
  <c r="R1334" i="32" s="1"/>
  <c r="R1358" i="32" a="1"/>
  <c r="R1358" i="32" s="1"/>
  <c r="R1374" i="32" a="1"/>
  <c r="R1374" i="32" s="1"/>
  <c r="R1386" i="32" a="1"/>
  <c r="R1386" i="32" s="1"/>
  <c r="R1398" i="32" a="1"/>
  <c r="R1398" i="32" s="1"/>
  <c r="R1422" i="32" a="1"/>
  <c r="R1422" i="32" s="1"/>
  <c r="R1434" i="32" a="1"/>
  <c r="R1434" i="32" s="1"/>
  <c r="R1458" i="32" a="1"/>
  <c r="R1458" i="32" s="1"/>
  <c r="R1482" i="32" a="1"/>
  <c r="R1482" i="32" s="1"/>
  <c r="R1506" i="32" a="1"/>
  <c r="R1506" i="32" s="1"/>
  <c r="R1530" i="32" a="1"/>
  <c r="R1530" i="32" s="1"/>
  <c r="R1554" i="32" a="1"/>
  <c r="R1554" i="32" s="1"/>
  <c r="R1580" i="32" a="1"/>
  <c r="R1580" i="32" s="1"/>
  <c r="R1652" i="32" a="1"/>
  <c r="R1652" i="32" s="1"/>
  <c r="R1700" i="32" a="1"/>
  <c r="R1700" i="32" s="1"/>
  <c r="R1748" i="32" a="1"/>
  <c r="R1748" i="32" s="1"/>
  <c r="R1796" i="32" a="1"/>
  <c r="R1796" i="32" s="1"/>
  <c r="R810" i="32" a="1"/>
  <c r="R810" i="32" s="1"/>
  <c r="R834" i="32" a="1"/>
  <c r="R834" i="32" s="1"/>
  <c r="R858" i="32" a="1"/>
  <c r="R858" i="32" s="1"/>
  <c r="R882" i="32" a="1"/>
  <c r="R882" i="32" s="1"/>
  <c r="R906" i="32" a="1"/>
  <c r="R906" i="32" s="1"/>
  <c r="R952" i="32" a="1"/>
  <c r="R952" i="32" s="1"/>
  <c r="R976" i="32" a="1"/>
  <c r="R976" i="32" s="1"/>
  <c r="R1000" i="32" a="1"/>
  <c r="R1000" i="32" s="1"/>
  <c r="R1024" i="32" a="1"/>
  <c r="R1024" i="32" s="1"/>
  <c r="R1048" i="32" a="1"/>
  <c r="R1048" i="32" s="1"/>
  <c r="R1072" i="32" a="1"/>
  <c r="R1072" i="32" s="1"/>
  <c r="R1096" i="32" a="1"/>
  <c r="R1096" i="32" s="1"/>
  <c r="R1120" i="32" a="1"/>
  <c r="R1120" i="32" s="1"/>
  <c r="R1144" i="32" a="1"/>
  <c r="R1144" i="32" s="1"/>
  <c r="R1168" i="32" a="1"/>
  <c r="R1168" i="32" s="1"/>
  <c r="R1192" i="32" a="1"/>
  <c r="R1192" i="32" s="1"/>
  <c r="R1216" i="32" a="1"/>
  <c r="R1216" i="32" s="1"/>
  <c r="R1240" i="32" a="1"/>
  <c r="R1240" i="32" s="1"/>
  <c r="R1264" i="32" a="1"/>
  <c r="R1264" i="32" s="1"/>
  <c r="R1288" i="32" a="1"/>
  <c r="R1288" i="32" s="1"/>
  <c r="R1312" i="32" a="1"/>
  <c r="R1312" i="32" s="1"/>
  <c r="R1336" i="32" a="1"/>
  <c r="R1336" i="32" s="1"/>
  <c r="R1360" i="32" a="1"/>
  <c r="R1360" i="32" s="1"/>
  <c r="R1582" i="32" a="1"/>
  <c r="R1582" i="32" s="1"/>
  <c r="R1606" i="32" a="1"/>
  <c r="R1606" i="32" s="1"/>
  <c r="R1630" i="32" a="1"/>
  <c r="R1630" i="32" s="1"/>
  <c r="R1654" i="32" a="1"/>
  <c r="R1654" i="32" s="1"/>
  <c r="R1678" i="32" a="1"/>
  <c r="R1678" i="32" s="1"/>
  <c r="R1702" i="32" a="1"/>
  <c r="R1702" i="32" s="1"/>
  <c r="R1726" i="32" a="1"/>
  <c r="R1726" i="32" s="1"/>
  <c r="R1750" i="32" a="1"/>
  <c r="R1750" i="32" s="1"/>
  <c r="R1774" i="32" a="1"/>
  <c r="R1774" i="32" s="1"/>
  <c r="R1798" i="32" a="1"/>
  <c r="R1798" i="32" s="1"/>
  <c r="R1448" i="32" a="1"/>
  <c r="R1448" i="32" s="1"/>
  <c r="R1484" i="32" a="1"/>
  <c r="R1484" i="32" s="1"/>
  <c r="R1508" i="32" a="1"/>
  <c r="R1508" i="32" s="1"/>
  <c r="R1532" i="32" a="1"/>
  <c r="R1532" i="32" s="1"/>
  <c r="R1556" i="32" a="1"/>
  <c r="R1556" i="32" s="1"/>
  <c r="R1584" i="32" a="1"/>
  <c r="R1584" i="32" s="1"/>
  <c r="R1632" i="32" a="1"/>
  <c r="R1632" i="32" s="1"/>
  <c r="R1680" i="32" a="1"/>
  <c r="R1680" i="32" s="1"/>
  <c r="R1728" i="32" a="1"/>
  <c r="R1728" i="32" s="1"/>
  <c r="R1800" i="32" a="1"/>
  <c r="R1800" i="32" s="1"/>
  <c r="R622" i="32" a="1"/>
  <c r="R622" i="32" s="1"/>
  <c r="R634" i="32" a="1"/>
  <c r="R634" i="32" s="1"/>
  <c r="R646" i="32" a="1"/>
  <c r="R646" i="32" s="1"/>
  <c r="R658" i="32" a="1"/>
  <c r="R658" i="32" s="1"/>
  <c r="R670" i="32" a="1"/>
  <c r="R670" i="32" s="1"/>
  <c r="R682" i="32" a="1"/>
  <c r="R682" i="32" s="1"/>
  <c r="R694" i="32" a="1"/>
  <c r="R694" i="32" s="1"/>
  <c r="R706" i="32" a="1"/>
  <c r="R706" i="32" s="1"/>
  <c r="R718" i="32" a="1"/>
  <c r="R718" i="32" s="1"/>
  <c r="R730" i="32" a="1"/>
  <c r="R730" i="32" s="1"/>
  <c r="R742" i="32" a="1"/>
  <c r="R742" i="32" s="1"/>
  <c r="R754" i="32" a="1"/>
  <c r="R754" i="32" s="1"/>
  <c r="R766" i="32" a="1"/>
  <c r="R766" i="32" s="1"/>
  <c r="R778" i="32" a="1"/>
  <c r="R778" i="32" s="1"/>
  <c r="R790" i="32" a="1"/>
  <c r="R790" i="32" s="1"/>
  <c r="R812" i="32" a="1"/>
  <c r="R812" i="32" s="1"/>
  <c r="R836" i="32" a="1"/>
  <c r="R836" i="32" s="1"/>
  <c r="R860" i="32" a="1"/>
  <c r="R860" i="32" s="1"/>
  <c r="R884" i="32" a="1"/>
  <c r="R884" i="32" s="1"/>
  <c r="R908" i="32" a="1"/>
  <c r="R908" i="32" s="1"/>
  <c r="R926" i="32" a="1"/>
  <c r="R926" i="32" s="1"/>
  <c r="R938" i="32" a="1"/>
  <c r="R938" i="32" s="1"/>
  <c r="R954" i="32" a="1"/>
  <c r="R954" i="32" s="1"/>
  <c r="R978" i="32" a="1"/>
  <c r="R978" i="32" s="1"/>
  <c r="R1002" i="32" a="1"/>
  <c r="R1002" i="32" s="1"/>
  <c r="R1026" i="32" a="1"/>
  <c r="R1026" i="32" s="1"/>
  <c r="R1050" i="32" a="1"/>
  <c r="R1050" i="32" s="1"/>
  <c r="R1074" i="32" a="1"/>
  <c r="R1074" i="32" s="1"/>
  <c r="R1098" i="32" a="1"/>
  <c r="R1098" i="32" s="1"/>
  <c r="R1122" i="32" a="1"/>
  <c r="R1122" i="32" s="1"/>
  <c r="R1146" i="32" a="1"/>
  <c r="R1146" i="32" s="1"/>
  <c r="R1170" i="32" a="1"/>
  <c r="R1170" i="32" s="1"/>
  <c r="R1194" i="32" a="1"/>
  <c r="R1194" i="32" s="1"/>
  <c r="R1218" i="32" a="1"/>
  <c r="R1218" i="32" s="1"/>
  <c r="R1242" i="32" a="1"/>
  <c r="R1242" i="32" s="1"/>
  <c r="R1266" i="32" a="1"/>
  <c r="R1266" i="32" s="1"/>
  <c r="R1290" i="32" a="1"/>
  <c r="R1290" i="32" s="1"/>
  <c r="R1314" i="32" a="1"/>
  <c r="R1314" i="32" s="1"/>
  <c r="R1338" i="32" a="1"/>
  <c r="R1338" i="32" s="1"/>
  <c r="R1362" i="32" a="1"/>
  <c r="R1362" i="32" s="1"/>
  <c r="R1376" i="32" a="1"/>
  <c r="R1376" i="32" s="1"/>
  <c r="R1388" i="32" a="1"/>
  <c r="R1388" i="32" s="1"/>
  <c r="R1400" i="32" a="1"/>
  <c r="R1400" i="32" s="1"/>
  <c r="R1412" i="32" a="1"/>
  <c r="R1412" i="32" s="1"/>
  <c r="R1424" i="32" a="1"/>
  <c r="R1424" i="32" s="1"/>
  <c r="R1436" i="32" a="1"/>
  <c r="R1436" i="32" s="1"/>
  <c r="R1460" i="32" a="1"/>
  <c r="R1460" i="32" s="1"/>
  <c r="R1472" i="32" a="1"/>
  <c r="R1472" i="32" s="1"/>
  <c r="R1496" i="32" a="1"/>
  <c r="R1496" i="32" s="1"/>
  <c r="R1520" i="32" a="1"/>
  <c r="R1520" i="32" s="1"/>
  <c r="R1544" i="32" a="1"/>
  <c r="R1544" i="32" s="1"/>
  <c r="R1568" i="32" a="1"/>
  <c r="R1568" i="32" s="1"/>
  <c r="R1608" i="32" a="1"/>
  <c r="R1608" i="32" s="1"/>
  <c r="R1656" i="32" a="1"/>
  <c r="R1656" i="32" s="1"/>
  <c r="R1704" i="32" a="1"/>
  <c r="R1704" i="32" s="1"/>
  <c r="R1752" i="32" a="1"/>
  <c r="R1752" i="32" s="1"/>
  <c r="R1776" i="32" a="1"/>
  <c r="R1776" i="32" s="1"/>
  <c r="R814" i="32" a="1"/>
  <c r="R814" i="32" s="1"/>
  <c r="R838" i="32" a="1"/>
  <c r="R838" i="32" s="1"/>
  <c r="R862" i="32" a="1"/>
  <c r="R862" i="32" s="1"/>
  <c r="R886" i="32" a="1"/>
  <c r="R886" i="32" s="1"/>
  <c r="R910" i="32" a="1"/>
  <c r="R910" i="32" s="1"/>
  <c r="R956" i="32" a="1"/>
  <c r="R956" i="32" s="1"/>
  <c r="R980" i="32" a="1"/>
  <c r="R980" i="32" s="1"/>
  <c r="R1004" i="32" a="1"/>
  <c r="R1004" i="32" s="1"/>
  <c r="R1028" i="32" a="1"/>
  <c r="R1028" i="32" s="1"/>
  <c r="R1052" i="32" a="1"/>
  <c r="R1052" i="32" s="1"/>
  <c r="R1076" i="32" a="1"/>
  <c r="R1076" i="32" s="1"/>
  <c r="R1100" i="32" a="1"/>
  <c r="R1100" i="32" s="1"/>
  <c r="R1124" i="32" a="1"/>
  <c r="R1124" i="32" s="1"/>
  <c r="R1148" i="32" a="1"/>
  <c r="R1148" i="32" s="1"/>
  <c r="R1172" i="32" a="1"/>
  <c r="R1172" i="32" s="1"/>
  <c r="R1196" i="32" a="1"/>
  <c r="R1196" i="32" s="1"/>
  <c r="R1220" i="32" a="1"/>
  <c r="R1220" i="32" s="1"/>
  <c r="R1244" i="32" a="1"/>
  <c r="R1244" i="32" s="1"/>
  <c r="R1268" i="32" a="1"/>
  <c r="R1268" i="32" s="1"/>
  <c r="R1292" i="32" a="1"/>
  <c r="R1292" i="32" s="1"/>
  <c r="R1316" i="32" a="1"/>
  <c r="R1316" i="32" s="1"/>
  <c r="R1340" i="32" a="1"/>
  <c r="R1340" i="32" s="1"/>
  <c r="R1364" i="32" a="1"/>
  <c r="R1364" i="32" s="1"/>
  <c r="R1586" i="32" a="1"/>
  <c r="R1586" i="32" s="1"/>
  <c r="R1610" i="32" a="1"/>
  <c r="R1610" i="32" s="1"/>
  <c r="R1634" i="32" a="1"/>
  <c r="R1634" i="32" s="1"/>
  <c r="R1658" i="32" a="1"/>
  <c r="R1658" i="32" s="1"/>
  <c r="R1682" i="32" a="1"/>
  <c r="R1682" i="32" s="1"/>
  <c r="R1706" i="32" a="1"/>
  <c r="R1706" i="32" s="1"/>
  <c r="R1730" i="32" a="1"/>
  <c r="R1730" i="32" s="1"/>
  <c r="R1754" i="32" a="1"/>
  <c r="R1754" i="32" s="1"/>
  <c r="R1778" i="32" a="1"/>
  <c r="R1778" i="32" s="1"/>
  <c r="R1802" i="32" a="1"/>
  <c r="R1802" i="32" s="1"/>
  <c r="R1438" i="32" a="1"/>
  <c r="R1438" i="32" s="1"/>
  <c r="R1474" i="32" a="1"/>
  <c r="R1474" i="32" s="1"/>
  <c r="R1498" i="32" a="1"/>
  <c r="R1498" i="32" s="1"/>
  <c r="R1522" i="32" a="1"/>
  <c r="R1522" i="32" s="1"/>
  <c r="R1546" i="32" a="1"/>
  <c r="R1546" i="32" s="1"/>
  <c r="R1570" i="32" a="1"/>
  <c r="R1570" i="32" s="1"/>
  <c r="R1612" i="32" a="1"/>
  <c r="R1612" i="32" s="1"/>
  <c r="R1660" i="32" a="1"/>
  <c r="R1660" i="32" s="1"/>
  <c r="R1708" i="32" a="1"/>
  <c r="R1708" i="32" s="1"/>
  <c r="R1756" i="32" a="1"/>
  <c r="R1756" i="32" s="1"/>
  <c r="R1804" i="32" a="1"/>
  <c r="R1804" i="32" s="1"/>
  <c r="R624" i="32" a="1"/>
  <c r="R624" i="32" s="1"/>
  <c r="R636" i="32" a="1"/>
  <c r="R636" i="32" s="1"/>
  <c r="R648" i="32" a="1"/>
  <c r="R648" i="32" s="1"/>
  <c r="R660" i="32" a="1"/>
  <c r="R660" i="32" s="1"/>
  <c r="R672" i="32" a="1"/>
  <c r="R672" i="32" s="1"/>
  <c r="R684" i="32" a="1"/>
  <c r="R684" i="32" s="1"/>
  <c r="R696" i="32" a="1"/>
  <c r="R696" i="32" s="1"/>
  <c r="R708" i="32" a="1"/>
  <c r="R708" i="32" s="1"/>
  <c r="R720" i="32" a="1"/>
  <c r="R720" i="32" s="1"/>
  <c r="R732" i="32" a="1"/>
  <c r="R732" i="32" s="1"/>
  <c r="R744" i="32" a="1"/>
  <c r="R744" i="32" s="1"/>
  <c r="R756" i="32" a="1"/>
  <c r="R756" i="32" s="1"/>
  <c r="R768" i="32" a="1"/>
  <c r="R768" i="32" s="1"/>
  <c r="R780" i="32" a="1"/>
  <c r="R780" i="32" s="1"/>
  <c r="R792" i="32" a="1"/>
  <c r="R792" i="32" s="1"/>
  <c r="R816" i="32" a="1"/>
  <c r="R816" i="32" s="1"/>
  <c r="R840" i="32" a="1"/>
  <c r="R840" i="32" s="1"/>
  <c r="R864" i="32" a="1"/>
  <c r="R864" i="32" s="1"/>
  <c r="R888" i="32" a="1"/>
  <c r="R888" i="32" s="1"/>
  <c r="R912" i="32" a="1"/>
  <c r="R912" i="32" s="1"/>
  <c r="R928" i="32" a="1"/>
  <c r="R928" i="32" s="1"/>
  <c r="R940" i="32" a="1"/>
  <c r="R940" i="32" s="1"/>
  <c r="R958" i="32" a="1"/>
  <c r="R958" i="32" s="1"/>
  <c r="R982" i="32" a="1"/>
  <c r="R982" i="32" s="1"/>
  <c r="R1006" i="32" a="1"/>
  <c r="R1006" i="32" s="1"/>
  <c r="R1030" i="32" a="1"/>
  <c r="R1030" i="32" s="1"/>
  <c r="R1054" i="32" a="1"/>
  <c r="R1054" i="32" s="1"/>
  <c r="R1078" i="32" a="1"/>
  <c r="R1078" i="32" s="1"/>
  <c r="R1102" i="32" a="1"/>
  <c r="R1102" i="32" s="1"/>
  <c r="R1126" i="32" a="1"/>
  <c r="R1126" i="32" s="1"/>
  <c r="R1150" i="32" a="1"/>
  <c r="R1150" i="32" s="1"/>
  <c r="R1174" i="32" a="1"/>
  <c r="R1174" i="32" s="1"/>
  <c r="R1198" i="32" a="1"/>
  <c r="R1198" i="32" s="1"/>
  <c r="R1222" i="32" a="1"/>
  <c r="R1222" i="32" s="1"/>
  <c r="R1246" i="32" a="1"/>
  <c r="R1246" i="32" s="1"/>
  <c r="R1270" i="32" a="1"/>
  <c r="R1270" i="32" s="1"/>
  <c r="R1294" i="32" a="1"/>
  <c r="R1294" i="32" s="1"/>
  <c r="R1318" i="32" a="1"/>
  <c r="R1318" i="32" s="1"/>
  <c r="R1342" i="32" a="1"/>
  <c r="R1342" i="32" s="1"/>
  <c r="R1366" i="32" a="1"/>
  <c r="R1366" i="32" s="1"/>
  <c r="R1378" i="32" a="1"/>
  <c r="R1378" i="32" s="1"/>
  <c r="R1390" i="32" a="1"/>
  <c r="R1390" i="32" s="1"/>
  <c r="R1402" i="32" a="1"/>
  <c r="R1402" i="32" s="1"/>
  <c r="R1414" i="32" a="1"/>
  <c r="R1414" i="32" s="1"/>
  <c r="R1426" i="32" a="1"/>
  <c r="R1426" i="32" s="1"/>
  <c r="R1450" i="32" a="1"/>
  <c r="R1450" i="32" s="1"/>
  <c r="R1462" i="32" a="1"/>
  <c r="R1462" i="32" s="1"/>
  <c r="R1486" i="32" a="1"/>
  <c r="R1486" i="32" s="1"/>
  <c r="R1510" i="32" a="1"/>
  <c r="R1510" i="32" s="1"/>
  <c r="R1534" i="32" a="1"/>
  <c r="R1534" i="32" s="1"/>
  <c r="R1558" i="32" a="1"/>
  <c r="R1558" i="32" s="1"/>
  <c r="R1588" i="32" a="1"/>
  <c r="R1588" i="32" s="1"/>
  <c r="R1636" i="32" a="1"/>
  <c r="R1636" i="32" s="1"/>
  <c r="R1684" i="32" a="1"/>
  <c r="R1684" i="32" s="1"/>
  <c r="R1732" i="32" a="1"/>
  <c r="R1732" i="32" s="1"/>
  <c r="R1780" i="32" a="1"/>
  <c r="R1780" i="32" s="1"/>
  <c r="R794" i="32" a="1"/>
  <c r="R794" i="32" s="1"/>
  <c r="R818" i="32" a="1"/>
  <c r="R818" i="32" s="1"/>
  <c r="R842" i="32" a="1"/>
  <c r="R842" i="32" s="1"/>
  <c r="R866" i="32" a="1"/>
  <c r="R866" i="32" s="1"/>
  <c r="R890" i="32" a="1"/>
  <c r="R890" i="32" s="1"/>
  <c r="R914" i="32" a="1"/>
  <c r="R914" i="32" s="1"/>
  <c r="R960" i="32" a="1"/>
  <c r="R960" i="32" s="1"/>
  <c r="R984" i="32" a="1"/>
  <c r="R984" i="32" s="1"/>
  <c r="R1008" i="32" a="1"/>
  <c r="R1008" i="32" s="1"/>
  <c r="R1032" i="32" a="1"/>
  <c r="R1032" i="32" s="1"/>
  <c r="R1056" i="32" a="1"/>
  <c r="R1056" i="32" s="1"/>
  <c r="R1080" i="32" a="1"/>
  <c r="R1080" i="32" s="1"/>
  <c r="R1104" i="32" a="1"/>
  <c r="R1104" i="32" s="1"/>
  <c r="R1128" i="32" a="1"/>
  <c r="R1128" i="32" s="1"/>
  <c r="R1152" i="32" a="1"/>
  <c r="R1152" i="32" s="1"/>
  <c r="R1176" i="32" a="1"/>
  <c r="R1176" i="32" s="1"/>
  <c r="R1200" i="32" a="1"/>
  <c r="R1200" i="32" s="1"/>
  <c r="R1224" i="32" a="1"/>
  <c r="R1224" i="32" s="1"/>
  <c r="R1248" i="32" a="1"/>
  <c r="R1248" i="32" s="1"/>
  <c r="R1272" i="32" a="1"/>
  <c r="R1272" i="32" s="1"/>
  <c r="R1296" i="32" a="1"/>
  <c r="R1296" i="32" s="1"/>
  <c r="R1320" i="32" a="1"/>
  <c r="R1320" i="32" s="1"/>
  <c r="R1344" i="32" a="1"/>
  <c r="R1344" i="32" s="1"/>
  <c r="R1590" i="32" a="1"/>
  <c r="R1590" i="32" s="1"/>
  <c r="R1614" i="32" a="1"/>
  <c r="R1614" i="32" s="1"/>
  <c r="R1638" i="32" a="1"/>
  <c r="R1638" i="32" s="1"/>
  <c r="R1662" i="32" a="1"/>
  <c r="R1662" i="32" s="1"/>
  <c r="R1686" i="32" a="1"/>
  <c r="R1686" i="32" s="1"/>
  <c r="R1710" i="32" a="1"/>
  <c r="R1710" i="32" s="1"/>
  <c r="R1734" i="32" a="1"/>
  <c r="R1734" i="32" s="1"/>
  <c r="R1758" i="32" a="1"/>
  <c r="R1758" i="32" s="1"/>
  <c r="R1782" i="32" a="1"/>
  <c r="R1782" i="32" s="1"/>
  <c r="R1806" i="32" a="1"/>
  <c r="R1806" i="32" s="1"/>
  <c r="R1440" i="32" a="1"/>
  <c r="R1440" i="32" s="1"/>
  <c r="R1476" i="32" a="1"/>
  <c r="R1476" i="32" s="1"/>
  <c r="R1500" i="32" a="1"/>
  <c r="R1500" i="32" s="1"/>
  <c r="R1524" i="32" a="1"/>
  <c r="R1524" i="32" s="1"/>
  <c r="R1548" i="32" a="1"/>
  <c r="R1548" i="32" s="1"/>
  <c r="R1572" i="32" a="1"/>
  <c r="R1572" i="32" s="1"/>
  <c r="R1616" i="32" a="1"/>
  <c r="R1616" i="32" s="1"/>
  <c r="R1664" i="32" a="1"/>
  <c r="R1664" i="32" s="1"/>
  <c r="R1712" i="32" a="1"/>
  <c r="R1712" i="32" s="1"/>
  <c r="R1760" i="32" a="1"/>
  <c r="R1760" i="32" s="1"/>
  <c r="R1784" i="32" a="1"/>
  <c r="R1784" i="32" s="1"/>
  <c r="R626" i="32" a="1"/>
  <c r="R626" i="32" s="1"/>
  <c r="R638" i="32" a="1"/>
  <c r="R638" i="32" s="1"/>
  <c r="R650" i="32" a="1"/>
  <c r="R650" i="32" s="1"/>
  <c r="R662" i="32" a="1"/>
  <c r="R662" i="32" s="1"/>
  <c r="R674" i="32" a="1"/>
  <c r="R674" i="32" s="1"/>
  <c r="R686" i="32" a="1"/>
  <c r="R686" i="32" s="1"/>
  <c r="R698" i="32" a="1"/>
  <c r="R698" i="32" s="1"/>
  <c r="R710" i="32" a="1"/>
  <c r="R710" i="32" s="1"/>
  <c r="R722" i="32" a="1"/>
  <c r="R722" i="32" s="1"/>
  <c r="R734" i="32" a="1"/>
  <c r="R734" i="32" s="1"/>
  <c r="R746" i="32" a="1"/>
  <c r="R746" i="32" s="1"/>
  <c r="R758" i="32" a="1"/>
  <c r="R758" i="32" s="1"/>
  <c r="R770" i="32" a="1"/>
  <c r="R770" i="32" s="1"/>
  <c r="R782" i="32" a="1"/>
  <c r="R782" i="32" s="1"/>
  <c r="R796" i="32" a="1"/>
  <c r="R796" i="32" s="1"/>
  <c r="R820" i="32" a="1"/>
  <c r="R820" i="32" s="1"/>
  <c r="R844" i="32" a="1"/>
  <c r="R844" i="32" s="1"/>
  <c r="R868" i="32" a="1"/>
  <c r="R868" i="32" s="1"/>
  <c r="R892" i="32" a="1"/>
  <c r="R892" i="32" s="1"/>
  <c r="R916" i="32" a="1"/>
  <c r="R916" i="32" s="1"/>
  <c r="R930" i="32" a="1"/>
  <c r="R930" i="32" s="1"/>
  <c r="R942" i="32" a="1"/>
  <c r="R942" i="32" s="1"/>
  <c r="R962" i="32" a="1"/>
  <c r="R962" i="32" s="1"/>
  <c r="R986" i="32" a="1"/>
  <c r="R986" i="32" s="1"/>
  <c r="R1010" i="32" a="1"/>
  <c r="R1010" i="32" s="1"/>
  <c r="R1034" i="32" a="1"/>
  <c r="R1034" i="32" s="1"/>
  <c r="R1058" i="32" a="1"/>
  <c r="R1058" i="32" s="1"/>
  <c r="R1082" i="32" a="1"/>
  <c r="R1082" i="32" s="1"/>
  <c r="R1106" i="32" a="1"/>
  <c r="R1106" i="32" s="1"/>
  <c r="R1130" i="32" a="1"/>
  <c r="R1130" i="32" s="1"/>
  <c r="R1154" i="32" a="1"/>
  <c r="R1154" i="32" s="1"/>
  <c r="R1178" i="32" a="1"/>
  <c r="R1178" i="32" s="1"/>
  <c r="R1202" i="32" a="1"/>
  <c r="R1202" i="32" s="1"/>
  <c r="R1226" i="32" a="1"/>
  <c r="R1226" i="32" s="1"/>
  <c r="R1250" i="32" a="1"/>
  <c r="R1250" i="32" s="1"/>
  <c r="R1274" i="32" a="1"/>
  <c r="R1274" i="32" s="1"/>
  <c r="R1298" i="32" a="1"/>
  <c r="R1298" i="32" s="1"/>
  <c r="R1322" i="32" a="1"/>
  <c r="R1322" i="32" s="1"/>
  <c r="R1346" i="32" a="1"/>
  <c r="R1346" i="32" s="1"/>
  <c r="R1368" i="32" a="1"/>
  <c r="R1368" i="32" s="1"/>
  <c r="R1380" i="32" a="1"/>
  <c r="R1380" i="32" s="1"/>
  <c r="R1392" i="32" a="1"/>
  <c r="R1392" i="32" s="1"/>
  <c r="R1404" i="32" a="1"/>
  <c r="R1404" i="32" s="1"/>
  <c r="R1416" i="32" a="1"/>
  <c r="R1416" i="32" s="1"/>
  <c r="R1428" i="32" a="1"/>
  <c r="R1428" i="32" s="1"/>
  <c r="R1452" i="32" a="1"/>
  <c r="R1452" i="32" s="1"/>
  <c r="R1464" i="32" a="1"/>
  <c r="R1464" i="32" s="1"/>
  <c r="R1488" i="32" a="1"/>
  <c r="R1488" i="32" s="1"/>
  <c r="R1512" i="32" a="1"/>
  <c r="R1512" i="32" s="1"/>
  <c r="R1536" i="32" a="1"/>
  <c r="R1536" i="32" s="1"/>
  <c r="R1560" i="32" a="1"/>
  <c r="R1560" i="32" s="1"/>
  <c r="R1592" i="32" a="1"/>
  <c r="R1592" i="32" s="1"/>
  <c r="R1640" i="32" a="1"/>
  <c r="R1640" i="32" s="1"/>
  <c r="R1688" i="32" a="1"/>
  <c r="R1688" i="32" s="1"/>
  <c r="R1736" i="32" a="1"/>
  <c r="R1736" i="32" s="1"/>
  <c r="R1808" i="32" a="1"/>
  <c r="R1808" i="32" s="1"/>
  <c r="R798" i="32" a="1"/>
  <c r="R798" i="32" s="1"/>
  <c r="R822" i="32" a="1"/>
  <c r="R822" i="32" s="1"/>
  <c r="R846" i="32" a="1"/>
  <c r="R846" i="32" s="1"/>
  <c r="R870" i="32" a="1"/>
  <c r="R870" i="32" s="1"/>
  <c r="R894" i="32" a="1"/>
  <c r="R894" i="32" s="1"/>
  <c r="R918" i="32" a="1"/>
  <c r="R918" i="32" s="1"/>
  <c r="R964" i="32" a="1"/>
  <c r="R964" i="32" s="1"/>
  <c r="R988" i="32" a="1"/>
  <c r="R988" i="32" s="1"/>
  <c r="R1012" i="32" a="1"/>
  <c r="R1012" i="32" s="1"/>
  <c r="R1036" i="32" a="1"/>
  <c r="R1036" i="32" s="1"/>
  <c r="R1060" i="32" a="1"/>
  <c r="R1060" i="32" s="1"/>
  <c r="R1084" i="32" a="1"/>
  <c r="R1084" i="32" s="1"/>
  <c r="R1108" i="32" a="1"/>
  <c r="R1108" i="32" s="1"/>
  <c r="R1132" i="32" a="1"/>
  <c r="R1132" i="32" s="1"/>
  <c r="R1156" i="32" a="1"/>
  <c r="R1156" i="32" s="1"/>
  <c r="R1180" i="32" a="1"/>
  <c r="R1180" i="32" s="1"/>
  <c r="R1204" i="32" a="1"/>
  <c r="R1204" i="32" s="1"/>
  <c r="R1228" i="32" a="1"/>
  <c r="R1228" i="32" s="1"/>
  <c r="R1252" i="32" a="1"/>
  <c r="R1252" i="32" s="1"/>
  <c r="R1276" i="32" a="1"/>
  <c r="R1276" i="32" s="1"/>
  <c r="R1300" i="32" a="1"/>
  <c r="R1300" i="32" s="1"/>
  <c r="R1324" i="32" a="1"/>
  <c r="R1324" i="32" s="1"/>
  <c r="R1348" i="32" a="1"/>
  <c r="R1348" i="32" s="1"/>
  <c r="R1594" i="32" a="1"/>
  <c r="R1594" i="32" s="1"/>
  <c r="R1618" i="32" a="1"/>
  <c r="R1618" i="32" s="1"/>
  <c r="R1642" i="32" a="1"/>
  <c r="R1642" i="32" s="1"/>
  <c r="R1666" i="32" a="1"/>
  <c r="R1666" i="32" s="1"/>
  <c r="R1690" i="32" a="1"/>
  <c r="R1690" i="32" s="1"/>
  <c r="R1714" i="32" a="1"/>
  <c r="R1714" i="32" s="1"/>
  <c r="R1738" i="32" a="1"/>
  <c r="R1738" i="32" s="1"/>
  <c r="R1762" i="32" a="1"/>
  <c r="R1762" i="32" s="1"/>
  <c r="R1786" i="32" a="1"/>
  <c r="R1786" i="32" s="1"/>
  <c r="R1810" i="32" a="1"/>
  <c r="R1810" i="32" s="1"/>
  <c r="R1418" i="32" a="1"/>
  <c r="R1418" i="32" s="1"/>
  <c r="R1454" i="32" a="1"/>
  <c r="R1454" i="32" s="1"/>
  <c r="R1478" i="32" a="1"/>
  <c r="R1478" i="32" s="1"/>
  <c r="R1502" i="32" a="1"/>
  <c r="R1502" i="32" s="1"/>
  <c r="R1526" i="32" a="1"/>
  <c r="R1526" i="32" s="1"/>
  <c r="R1538" i="32" a="1"/>
  <c r="R1538" i="32" s="1"/>
  <c r="R1562" i="32" a="1"/>
  <c r="R1562" i="32" s="1"/>
  <c r="R1596" i="32" a="1"/>
  <c r="R1596" i="32" s="1"/>
  <c r="R1644" i="32" a="1"/>
  <c r="R1644" i="32" s="1"/>
  <c r="R1692" i="32" a="1"/>
  <c r="R1692" i="32" s="1"/>
  <c r="R1740" i="32" a="1"/>
  <c r="R1740" i="32" s="1"/>
  <c r="R1788" i="32" a="1"/>
  <c r="R1788" i="32" s="1"/>
  <c r="R628" i="32" a="1"/>
  <c r="R628" i="32" s="1"/>
  <c r="R640" i="32" a="1"/>
  <c r="R640" i="32" s="1"/>
  <c r="R652" i="32" a="1"/>
  <c r="R652" i="32" s="1"/>
  <c r="R664" i="32" a="1"/>
  <c r="R664" i="32" s="1"/>
  <c r="R676" i="32" a="1"/>
  <c r="R676" i="32" s="1"/>
  <c r="R688" i="32" a="1"/>
  <c r="R688" i="32" s="1"/>
  <c r="R700" i="32" a="1"/>
  <c r="R700" i="32" s="1"/>
  <c r="R712" i="32" a="1"/>
  <c r="R712" i="32" s="1"/>
  <c r="R724" i="32" a="1"/>
  <c r="R724" i="32" s="1"/>
  <c r="R736" i="32" a="1"/>
  <c r="R736" i="32" s="1"/>
  <c r="R748" i="32" a="1"/>
  <c r="R748" i="32" s="1"/>
  <c r="R760" i="32" a="1"/>
  <c r="R760" i="32" s="1"/>
  <c r="R772" i="32" a="1"/>
  <c r="R772" i="32" s="1"/>
  <c r="R784" i="32" a="1"/>
  <c r="R784" i="32" s="1"/>
  <c r="R800" i="32" a="1"/>
  <c r="R800" i="32" s="1"/>
  <c r="R824" i="32" a="1"/>
  <c r="R824" i="32" s="1"/>
  <c r="R848" i="32" a="1"/>
  <c r="R848" i="32" s="1"/>
  <c r="R872" i="32" a="1"/>
  <c r="R872" i="32" s="1"/>
  <c r="R896" i="32" a="1"/>
  <c r="R896" i="32" s="1"/>
  <c r="R920" i="32" a="1"/>
  <c r="R920" i="32" s="1"/>
  <c r="R932" i="32" a="1"/>
  <c r="R932" i="32" s="1"/>
  <c r="R944" i="32" a="1"/>
  <c r="R944" i="32" s="1"/>
  <c r="R966" i="32" a="1"/>
  <c r="R966" i="32" s="1"/>
  <c r="R990" i="32" a="1"/>
  <c r="R990" i="32" s="1"/>
  <c r="R1014" i="32" a="1"/>
  <c r="R1014" i="32" s="1"/>
  <c r="R1038" i="32" a="1"/>
  <c r="R1038" i="32" s="1"/>
  <c r="R1062" i="32" a="1"/>
  <c r="R1062" i="32" s="1"/>
  <c r="R1086" i="32" a="1"/>
  <c r="R1086" i="32" s="1"/>
  <c r="R1110" i="32" a="1"/>
  <c r="R1110" i="32" s="1"/>
  <c r="R1134" i="32" a="1"/>
  <c r="R1134" i="32" s="1"/>
  <c r="R1158" i="32" a="1"/>
  <c r="R1158" i="32" s="1"/>
  <c r="R1182" i="32" a="1"/>
  <c r="R1182" i="32" s="1"/>
  <c r="R1206" i="32" a="1"/>
  <c r="R1206" i="32" s="1"/>
  <c r="R1230" i="32" a="1"/>
  <c r="R1230" i="32" s="1"/>
  <c r="R1254" i="32" a="1"/>
  <c r="R1254" i="32" s="1"/>
  <c r="R1278" i="32" a="1"/>
  <c r="R1278" i="32" s="1"/>
  <c r="R1302" i="32" a="1"/>
  <c r="R1302" i="32" s="1"/>
  <c r="R1326" i="32" a="1"/>
  <c r="R1326" i="32" s="1"/>
  <c r="R1350" i="32" a="1"/>
  <c r="R1350" i="32" s="1"/>
  <c r="R1370" i="32" a="1"/>
  <c r="R1370" i="32" s="1"/>
  <c r="R1382" i="32" a="1"/>
  <c r="R1382" i="32" s="1"/>
  <c r="R1394" i="32" a="1"/>
  <c r="R1394" i="32" s="1"/>
  <c r="R1406" i="32" a="1"/>
  <c r="R1406" i="32" s="1"/>
  <c r="R1430" i="32" a="1"/>
  <c r="R1430" i="32" s="1"/>
  <c r="R1442" i="32" a="1"/>
  <c r="R1442" i="32" s="1"/>
  <c r="R1466" i="32" a="1"/>
  <c r="R1466" i="32" s="1"/>
  <c r="R1490" i="32" a="1"/>
  <c r="R1490" i="32" s="1"/>
  <c r="R1514" i="32" a="1"/>
  <c r="R1514" i="32" s="1"/>
  <c r="R1550" i="32" a="1"/>
  <c r="R1550" i="32" s="1"/>
  <c r="R1574" i="32" a="1"/>
  <c r="R1574" i="32" s="1"/>
  <c r="R1620" i="32" a="1"/>
  <c r="R1620" i="32" s="1"/>
  <c r="R1668" i="32" a="1"/>
  <c r="R1668" i="32" s="1"/>
  <c r="R1716" i="32" a="1"/>
  <c r="R1716" i="32" s="1"/>
  <c r="R1764" i="32" a="1"/>
  <c r="R1764" i="32" s="1"/>
  <c r="R1812" i="32" a="1"/>
  <c r="R1812" i="32" s="1"/>
  <c r="R802" i="32" a="1"/>
  <c r="R802" i="32" s="1"/>
  <c r="R826" i="32" a="1"/>
  <c r="R826" i="32" s="1"/>
  <c r="R850" i="32" a="1"/>
  <c r="R850" i="32" s="1"/>
  <c r="R874" i="32" a="1"/>
  <c r="R874" i="32" s="1"/>
  <c r="R898" i="32" a="1"/>
  <c r="R898" i="32" s="1"/>
  <c r="R968" i="32" a="1"/>
  <c r="R968" i="32" s="1"/>
  <c r="R992" i="32" a="1"/>
  <c r="R992" i="32" s="1"/>
  <c r="R1016" i="32" a="1"/>
  <c r="R1016" i="32" s="1"/>
  <c r="R1040" i="32" a="1"/>
  <c r="R1040" i="32" s="1"/>
  <c r="R1064" i="32" a="1"/>
  <c r="R1064" i="32" s="1"/>
  <c r="R1088" i="32" a="1"/>
  <c r="R1088" i="32" s="1"/>
  <c r="R1112" i="32" a="1"/>
  <c r="R1112" i="32" s="1"/>
  <c r="R1136" i="32" a="1"/>
  <c r="R1136" i="32" s="1"/>
  <c r="R1160" i="32" a="1"/>
  <c r="R1160" i="32" s="1"/>
  <c r="R1184" i="32" a="1"/>
  <c r="R1184" i="32" s="1"/>
  <c r="R1208" i="32" a="1"/>
  <c r="R1208" i="32" s="1"/>
  <c r="R1232" i="32" a="1"/>
  <c r="R1232" i="32" s="1"/>
  <c r="R1256" i="32" a="1"/>
  <c r="R1256" i="32" s="1"/>
  <c r="R1280" i="32" a="1"/>
  <c r="R1280" i="32" s="1"/>
  <c r="R1304" i="32" a="1"/>
  <c r="R1304" i="32" s="1"/>
  <c r="R1328" i="32" a="1"/>
  <c r="R1328" i="32" s="1"/>
  <c r="R1352" i="32" a="1"/>
  <c r="R1352" i="32" s="1"/>
  <c r="R1598" i="32" a="1"/>
  <c r="R1598" i="32" s="1"/>
  <c r="R1622" i="32" a="1"/>
  <c r="R1622" i="32" s="1"/>
  <c r="R1646" i="32" a="1"/>
  <c r="R1646" i="32" s="1"/>
  <c r="R1670" i="32" a="1"/>
  <c r="R1670" i="32" s="1"/>
  <c r="R1694" i="32" a="1"/>
  <c r="R1694" i="32" s="1"/>
  <c r="R1718" i="32" a="1"/>
  <c r="R1718" i="32" s="1"/>
  <c r="R1742" i="32" a="1"/>
  <c r="R1742" i="32" s="1"/>
  <c r="R1766" i="32" a="1"/>
  <c r="R1766" i="32" s="1"/>
  <c r="R1790" i="32" a="1"/>
  <c r="R1790" i="32" s="1"/>
  <c r="R1814" i="32" a="1"/>
  <c r="R1814" i="32" s="1"/>
  <c r="R1432" i="32" a="1"/>
  <c r="R1432" i="32" s="1"/>
  <c r="R1480" i="32" a="1"/>
  <c r="R1480" i="32" s="1"/>
  <c r="R1504" i="32" a="1"/>
  <c r="R1504" i="32" s="1"/>
  <c r="R1528" i="32" a="1"/>
  <c r="R1528" i="32" s="1"/>
  <c r="R1552" i="32" a="1"/>
  <c r="R1552" i="32" s="1"/>
  <c r="R1576" i="32" a="1"/>
  <c r="R1576" i="32" s="1"/>
  <c r="R1624" i="32" a="1"/>
  <c r="R1624" i="32" s="1"/>
  <c r="R1672" i="32" a="1"/>
  <c r="R1672" i="32" s="1"/>
  <c r="R1720" i="32" a="1"/>
  <c r="R1720" i="32" s="1"/>
  <c r="R1768" i="32" a="1"/>
  <c r="R1768" i="32" s="1"/>
  <c r="R1816" i="32" a="1"/>
  <c r="R1816" i="32" s="1"/>
  <c r="R501" i="32" a="1"/>
  <c r="R501" i="32" s="1"/>
  <c r="R525" i="32" a="1"/>
  <c r="R525" i="32" s="1"/>
  <c r="R549" i="32" a="1"/>
  <c r="R549" i="32" s="1"/>
  <c r="R573" i="32" a="1"/>
  <c r="R573" i="32" s="1"/>
  <c r="R597" i="32" a="1"/>
  <c r="R597" i="32" s="1"/>
  <c r="R351" i="32" a="1"/>
  <c r="R351" i="32" s="1"/>
  <c r="R399" i="32" a="1"/>
  <c r="R399" i="32" s="1"/>
  <c r="R423" i="32" a="1"/>
  <c r="R423" i="32" s="1"/>
  <c r="R471" i="32" a="1"/>
  <c r="R471" i="32" s="1"/>
  <c r="R575" i="32" a="1"/>
  <c r="R575" i="32" s="1"/>
  <c r="R327" i="32" a="1"/>
  <c r="R327" i="32" s="1"/>
  <c r="R339" i="32" a="1"/>
  <c r="R339" i="32" s="1"/>
  <c r="R429" i="32" a="1"/>
  <c r="R429" i="32" s="1"/>
  <c r="R587" i="32" a="1"/>
  <c r="R587" i="32" s="1"/>
  <c r="R505" i="32" a="1"/>
  <c r="R505" i="32" s="1"/>
  <c r="R529" i="32" a="1"/>
  <c r="R529" i="32" s="1"/>
  <c r="R553" i="32" a="1"/>
  <c r="R553" i="32" s="1"/>
  <c r="R577" i="32" a="1"/>
  <c r="R577" i="32" s="1"/>
  <c r="R601" i="32" a="1"/>
  <c r="R601" i="32" s="1"/>
  <c r="R461" i="32" a="1"/>
  <c r="R461" i="32" s="1"/>
  <c r="R507" i="32" a="1"/>
  <c r="R507" i="32" s="1"/>
  <c r="R555" i="32" a="1"/>
  <c r="R555" i="32" s="1"/>
  <c r="R603" i="32" a="1"/>
  <c r="R603" i="32" s="1"/>
  <c r="R513" i="32" a="1"/>
  <c r="R513" i="32" s="1"/>
  <c r="R369" i="32" a="1"/>
  <c r="R369" i="32" s="1"/>
  <c r="R465" i="32" a="1"/>
  <c r="R465" i="32" s="1"/>
  <c r="R317" i="32" a="1"/>
  <c r="R317" i="32" s="1"/>
  <c r="R329" i="32" a="1"/>
  <c r="R329" i="32" s="1"/>
  <c r="R341" i="32" a="1"/>
  <c r="R341" i="32" s="1"/>
  <c r="R353" i="32" a="1"/>
  <c r="R353" i="32" s="1"/>
  <c r="R365" i="32" a="1"/>
  <c r="R365" i="32" s="1"/>
  <c r="R377" i="32" a="1"/>
  <c r="R377" i="32" s="1"/>
  <c r="R389" i="32" a="1"/>
  <c r="R389" i="32" s="1"/>
  <c r="R401" i="32" a="1"/>
  <c r="R401" i="32" s="1"/>
  <c r="R413" i="32" a="1"/>
  <c r="R413" i="32" s="1"/>
  <c r="R425" i="32" a="1"/>
  <c r="R425" i="32" s="1"/>
  <c r="R437" i="32" a="1"/>
  <c r="R437" i="32" s="1"/>
  <c r="R449" i="32" a="1"/>
  <c r="R449" i="32" s="1"/>
  <c r="R473" i="32" a="1"/>
  <c r="R473" i="32" s="1"/>
  <c r="R485" i="32" a="1"/>
  <c r="R485" i="32" s="1"/>
  <c r="R531" i="32" a="1"/>
  <c r="R531" i="32" s="1"/>
  <c r="R579" i="32" a="1"/>
  <c r="R579" i="32" s="1"/>
  <c r="R537" i="32" a="1"/>
  <c r="R537" i="32" s="1"/>
  <c r="R405" i="32" a="1"/>
  <c r="R405" i="32" s="1"/>
  <c r="R563" i="32" a="1"/>
  <c r="R563" i="32" s="1"/>
  <c r="R509" i="32" a="1"/>
  <c r="R509" i="32" s="1"/>
  <c r="R533" i="32" a="1"/>
  <c r="R533" i="32" s="1"/>
  <c r="R557" i="32" a="1"/>
  <c r="R557" i="32" s="1"/>
  <c r="R581" i="32" a="1"/>
  <c r="R581" i="32" s="1"/>
  <c r="R605" i="32" a="1"/>
  <c r="R605" i="32" s="1"/>
  <c r="R463" i="32" a="1"/>
  <c r="R463" i="32" s="1"/>
  <c r="R511" i="32" a="1"/>
  <c r="R511" i="32" s="1"/>
  <c r="R559" i="32" a="1"/>
  <c r="R559" i="32" s="1"/>
  <c r="R607" i="32" a="1"/>
  <c r="R607" i="32" s="1"/>
  <c r="R561" i="32" a="1"/>
  <c r="R561" i="32" s="1"/>
  <c r="R345" i="32" a="1"/>
  <c r="R345" i="32" s="1"/>
  <c r="R453" i="32" a="1"/>
  <c r="R453" i="32" s="1"/>
  <c r="R319" i="32" a="1"/>
  <c r="R319" i="32" s="1"/>
  <c r="R331" i="32" a="1"/>
  <c r="R331" i="32" s="1"/>
  <c r="R343" i="32" a="1"/>
  <c r="R343" i="32" s="1"/>
  <c r="R355" i="32" a="1"/>
  <c r="R355" i="32" s="1"/>
  <c r="R367" i="32" a="1"/>
  <c r="R367" i="32" s="1"/>
  <c r="R379" i="32" a="1"/>
  <c r="R379" i="32" s="1"/>
  <c r="R391" i="32" a="1"/>
  <c r="R391" i="32" s="1"/>
  <c r="R403" i="32" a="1"/>
  <c r="R403" i="32" s="1"/>
  <c r="R415" i="32" a="1"/>
  <c r="R415" i="32" s="1"/>
  <c r="R427" i="32" a="1"/>
  <c r="R427" i="32" s="1"/>
  <c r="R439" i="32" a="1"/>
  <c r="R439" i="32" s="1"/>
  <c r="R451" i="32" a="1"/>
  <c r="R451" i="32" s="1"/>
  <c r="R475" i="32" a="1"/>
  <c r="R475" i="32" s="1"/>
  <c r="R487" i="32" a="1"/>
  <c r="R487" i="32" s="1"/>
  <c r="R535" i="32" a="1"/>
  <c r="R535" i="32" s="1"/>
  <c r="R583" i="32" a="1"/>
  <c r="R583" i="32" s="1"/>
  <c r="R609" i="32" a="1"/>
  <c r="R609" i="32" s="1"/>
  <c r="R393" i="32" a="1"/>
  <c r="R393" i="32" s="1"/>
  <c r="R515" i="32" a="1"/>
  <c r="R515" i="32" s="1"/>
  <c r="R321" i="32" a="1"/>
  <c r="R321" i="32" s="1"/>
  <c r="R493" i="32" a="1"/>
  <c r="R493" i="32" s="1"/>
  <c r="R517" i="32" a="1"/>
  <c r="R517" i="32" s="1"/>
  <c r="R541" i="32" a="1"/>
  <c r="R541" i="32" s="1"/>
  <c r="R565" i="32" a="1"/>
  <c r="R565" i="32" s="1"/>
  <c r="R589" i="32" a="1"/>
  <c r="R589" i="32" s="1"/>
  <c r="R613" i="32" a="1"/>
  <c r="R613" i="32" s="1"/>
  <c r="R479" i="32" a="1"/>
  <c r="R479" i="32" s="1"/>
  <c r="R543" i="32" a="1"/>
  <c r="R543" i="32" s="1"/>
  <c r="R591" i="32" a="1"/>
  <c r="R591" i="32" s="1"/>
  <c r="R375" i="32" a="1"/>
  <c r="R375" i="32" s="1"/>
  <c r="R435" i="32" a="1"/>
  <c r="R435" i="32" s="1"/>
  <c r="R483" i="32" a="1"/>
  <c r="R483" i="32" s="1"/>
  <c r="R599" i="32" a="1"/>
  <c r="R599" i="32" s="1"/>
  <c r="R585" i="32" a="1"/>
  <c r="R585" i="32" s="1"/>
  <c r="R381" i="32" a="1"/>
  <c r="R381" i="32" s="1"/>
  <c r="R491" i="32" a="1"/>
  <c r="R491" i="32" s="1"/>
  <c r="R323" i="32" a="1"/>
  <c r="R323" i="32" s="1"/>
  <c r="R335" i="32" a="1"/>
  <c r="R335" i="32" s="1"/>
  <c r="R347" i="32" a="1"/>
  <c r="R347" i="32" s="1"/>
  <c r="R359" i="32" a="1"/>
  <c r="R359" i="32" s="1"/>
  <c r="R371" i="32" a="1"/>
  <c r="R371" i="32" s="1"/>
  <c r="R383" i="32" a="1"/>
  <c r="R383" i="32" s="1"/>
  <c r="R395" i="32" a="1"/>
  <c r="R395" i="32" s="1"/>
  <c r="R407" i="32" a="1"/>
  <c r="R407" i="32" s="1"/>
  <c r="R419" i="32" a="1"/>
  <c r="R419" i="32" s="1"/>
  <c r="R431" i="32" a="1"/>
  <c r="R431" i="32" s="1"/>
  <c r="R443" i="32" a="1"/>
  <c r="R443" i="32" s="1"/>
  <c r="R455" i="32" a="1"/>
  <c r="R455" i="32" s="1"/>
  <c r="R467" i="32" a="1"/>
  <c r="R467" i="32" s="1"/>
  <c r="R495" i="32" a="1"/>
  <c r="R495" i="32" s="1"/>
  <c r="R519" i="32" a="1"/>
  <c r="R519" i="32" s="1"/>
  <c r="R567" i="32" a="1"/>
  <c r="R567" i="32" s="1"/>
  <c r="R615" i="32" a="1"/>
  <c r="R615" i="32" s="1"/>
  <c r="R387" i="32" a="1"/>
  <c r="R387" i="32" s="1"/>
  <c r="R459" i="32" a="1"/>
  <c r="R459" i="32" s="1"/>
  <c r="R527" i="32" a="1"/>
  <c r="R527" i="32" s="1"/>
  <c r="R333" i="32" a="1"/>
  <c r="R333" i="32" s="1"/>
  <c r="R477" i="32" a="1"/>
  <c r="R477" i="32" s="1"/>
  <c r="R611" i="32" a="1"/>
  <c r="R611" i="32" s="1"/>
  <c r="R497" i="32" a="1"/>
  <c r="R497" i="32" s="1"/>
  <c r="R521" i="32" a="1"/>
  <c r="R521" i="32" s="1"/>
  <c r="R545" i="32" a="1"/>
  <c r="R545" i="32" s="1"/>
  <c r="R569" i="32" a="1"/>
  <c r="R569" i="32" s="1"/>
  <c r="R593" i="32" a="1"/>
  <c r="R593" i="32" s="1"/>
  <c r="R469" i="32" a="1"/>
  <c r="R469" i="32" s="1"/>
  <c r="R523" i="32" a="1"/>
  <c r="R523" i="32" s="1"/>
  <c r="R571" i="32" a="1"/>
  <c r="R571" i="32" s="1"/>
  <c r="R363" i="32" a="1"/>
  <c r="R363" i="32" s="1"/>
  <c r="R447" i="32" a="1"/>
  <c r="R447" i="32" s="1"/>
  <c r="R503" i="32" a="1"/>
  <c r="R503" i="32" s="1"/>
  <c r="R357" i="32" a="1"/>
  <c r="R357" i="32" s="1"/>
  <c r="R441" i="32" a="1"/>
  <c r="R441" i="32" s="1"/>
  <c r="R325" i="32" a="1"/>
  <c r="R325" i="32" s="1"/>
  <c r="R337" i="32" a="1"/>
  <c r="R337" i="32" s="1"/>
  <c r="R349" i="32" a="1"/>
  <c r="R349" i="32" s="1"/>
  <c r="R361" i="32" a="1"/>
  <c r="R361" i="32" s="1"/>
  <c r="R373" i="32" a="1"/>
  <c r="R373" i="32" s="1"/>
  <c r="R385" i="32" a="1"/>
  <c r="R385" i="32" s="1"/>
  <c r="R397" i="32" a="1"/>
  <c r="R397" i="32" s="1"/>
  <c r="R409" i="32" a="1"/>
  <c r="R409" i="32" s="1"/>
  <c r="R421" i="32" a="1"/>
  <c r="R421" i="32" s="1"/>
  <c r="R433" i="32" a="1"/>
  <c r="R433" i="32" s="1"/>
  <c r="R445" i="32" a="1"/>
  <c r="R445" i="32" s="1"/>
  <c r="R457" i="32" a="1"/>
  <c r="R457" i="32" s="1"/>
  <c r="R481" i="32" a="1"/>
  <c r="R481" i="32" s="1"/>
  <c r="R499" i="32" a="1"/>
  <c r="R499" i="32" s="1"/>
  <c r="R547" i="32" a="1"/>
  <c r="R547" i="32" s="1"/>
  <c r="R595" i="32" a="1"/>
  <c r="R595" i="32" s="1"/>
  <c r="R411" i="32" a="1"/>
  <c r="R411" i="32" s="1"/>
  <c r="R551" i="32" a="1"/>
  <c r="R551" i="32" s="1"/>
  <c r="R489" i="32" a="1"/>
  <c r="R489" i="32" s="1"/>
  <c r="R417" i="32" a="1"/>
  <c r="R417" i="32" s="1"/>
  <c r="R539" i="32" a="1"/>
  <c r="R539" i="32" s="1"/>
  <c r="R203" i="32" a="1"/>
  <c r="R203" i="32" s="1"/>
  <c r="R227" i="32" a="1"/>
  <c r="R227" i="32" s="1"/>
  <c r="R251" i="32" a="1"/>
  <c r="R251" i="32" s="1"/>
  <c r="R275" i="32" a="1"/>
  <c r="R275" i="32" s="1"/>
  <c r="R299" i="32" a="1"/>
  <c r="R299" i="32" s="1"/>
  <c r="R169" i="32" a="1"/>
  <c r="R169" i="32" s="1"/>
  <c r="R205" i="32" a="1"/>
  <c r="R205" i="32" s="1"/>
  <c r="R253" i="32" a="1"/>
  <c r="R253" i="32" s="1"/>
  <c r="R301" i="32" a="1"/>
  <c r="R301" i="32" s="1"/>
  <c r="R131" i="32" a="1"/>
  <c r="R131" i="32" s="1"/>
  <c r="R297" i="32" a="1"/>
  <c r="R297" i="32" s="1"/>
  <c r="R13" i="32" a="1"/>
  <c r="R13" i="32" s="1"/>
  <c r="R25" i="32" a="1"/>
  <c r="R25" i="32" s="1"/>
  <c r="R37" i="32" a="1"/>
  <c r="R37" i="32" s="1"/>
  <c r="R49" i="32" a="1"/>
  <c r="R49" i="32" s="1"/>
  <c r="R61" i="32" a="1"/>
  <c r="R61" i="32" s="1"/>
  <c r="R73" i="32" a="1"/>
  <c r="R73" i="32" s="1"/>
  <c r="R85" i="32" a="1"/>
  <c r="R85" i="32" s="1"/>
  <c r="R97" i="32" a="1"/>
  <c r="R97" i="32" s="1"/>
  <c r="R109" i="32" a="1"/>
  <c r="R109" i="32" s="1"/>
  <c r="R121" i="32" a="1"/>
  <c r="R121" i="32" s="1"/>
  <c r="R133" i="32" a="1"/>
  <c r="R133" i="32" s="1"/>
  <c r="R145" i="32" a="1"/>
  <c r="R145" i="32" s="1"/>
  <c r="R157" i="32" a="1"/>
  <c r="R157" i="32" s="1"/>
  <c r="R181" i="32" a="1"/>
  <c r="R181" i="32" s="1"/>
  <c r="R229" i="32" a="1"/>
  <c r="R229" i="32" s="1"/>
  <c r="R277" i="32" a="1"/>
  <c r="R277" i="32" s="1"/>
  <c r="R167" i="32" a="1"/>
  <c r="R167" i="32" s="1"/>
  <c r="R183" i="32" a="1"/>
  <c r="R183" i="32" s="1"/>
  <c r="R207" i="32" a="1"/>
  <c r="R207" i="32" s="1"/>
  <c r="R231" i="32" a="1"/>
  <c r="R231" i="32" s="1"/>
  <c r="R255" i="32" a="1"/>
  <c r="R255" i="32" s="1"/>
  <c r="R279" i="32" a="1"/>
  <c r="R279" i="32" s="1"/>
  <c r="R303" i="32" a="1"/>
  <c r="R303" i="32" s="1"/>
  <c r="R159" i="32" a="1"/>
  <c r="R159" i="32" s="1"/>
  <c r="R209" i="32" a="1"/>
  <c r="R209" i="32" s="1"/>
  <c r="R257" i="32" a="1"/>
  <c r="R257" i="32" s="1"/>
  <c r="R305" i="32" a="1"/>
  <c r="R305" i="32" s="1"/>
  <c r="R155" i="32" a="1"/>
  <c r="R155" i="32" s="1"/>
  <c r="R15" i="32" a="1"/>
  <c r="R15" i="32" s="1"/>
  <c r="R27" i="32" a="1"/>
  <c r="R27" i="32" s="1"/>
  <c r="R39" i="32" a="1"/>
  <c r="R39" i="32" s="1"/>
  <c r="R51" i="32" a="1"/>
  <c r="R51" i="32" s="1"/>
  <c r="R63" i="32" a="1"/>
  <c r="R63" i="32" s="1"/>
  <c r="R75" i="32" a="1"/>
  <c r="R75" i="32" s="1"/>
  <c r="R87" i="32" a="1"/>
  <c r="R87" i="32" s="1"/>
  <c r="R99" i="32" a="1"/>
  <c r="R99" i="32" s="1"/>
  <c r="R111" i="32" a="1"/>
  <c r="R111" i="32" s="1"/>
  <c r="R123" i="32" a="1"/>
  <c r="R123" i="32" s="1"/>
  <c r="R135" i="32" a="1"/>
  <c r="R135" i="32" s="1"/>
  <c r="R147" i="32" a="1"/>
  <c r="R147" i="32" s="1"/>
  <c r="R171" i="32" a="1"/>
  <c r="R171" i="32" s="1"/>
  <c r="R185" i="32" a="1"/>
  <c r="R185" i="32" s="1"/>
  <c r="R233" i="32" a="1"/>
  <c r="R233" i="32" s="1"/>
  <c r="R281" i="32" a="1"/>
  <c r="R281" i="32" s="1"/>
  <c r="R71" i="32" a="1"/>
  <c r="R71" i="32" s="1"/>
  <c r="R187" i="32" a="1"/>
  <c r="R187" i="32" s="1"/>
  <c r="R211" i="32" a="1"/>
  <c r="R211" i="32" s="1"/>
  <c r="R235" i="32" a="1"/>
  <c r="R235" i="32" s="1"/>
  <c r="R259" i="32" a="1"/>
  <c r="R259" i="32" s="1"/>
  <c r="R283" i="32" a="1"/>
  <c r="R283" i="32" s="1"/>
  <c r="R307" i="32" a="1"/>
  <c r="R307" i="32" s="1"/>
  <c r="R161" i="32" a="1"/>
  <c r="R161" i="32" s="1"/>
  <c r="R213" i="32" a="1"/>
  <c r="R213" i="32" s="1"/>
  <c r="R261" i="32" a="1"/>
  <c r="R261" i="32" s="1"/>
  <c r="R285" i="32" a="1"/>
  <c r="R285" i="32" s="1"/>
  <c r="R11" i="32" a="1"/>
  <c r="R11" i="32" s="1"/>
  <c r="R225" i="32" a="1"/>
  <c r="R225" i="32" s="1"/>
  <c r="R17" i="32" a="1"/>
  <c r="R17" i="32" s="1"/>
  <c r="R29" i="32" a="1"/>
  <c r="R29" i="32" s="1"/>
  <c r="R41" i="32" a="1"/>
  <c r="R41" i="32" s="1"/>
  <c r="R53" i="32" a="1"/>
  <c r="R53" i="32" s="1"/>
  <c r="R65" i="32" a="1"/>
  <c r="R65" i="32" s="1"/>
  <c r="R77" i="32" a="1"/>
  <c r="R77" i="32" s="1"/>
  <c r="R89" i="32" a="1"/>
  <c r="R89" i="32" s="1"/>
  <c r="R101" i="32" a="1"/>
  <c r="R101" i="32" s="1"/>
  <c r="R113" i="32" a="1"/>
  <c r="R113" i="32" s="1"/>
  <c r="R125" i="32" a="1"/>
  <c r="R125" i="32" s="1"/>
  <c r="R137" i="32" a="1"/>
  <c r="R137" i="32" s="1"/>
  <c r="R149" i="32" a="1"/>
  <c r="R149" i="32" s="1"/>
  <c r="R173" i="32" a="1"/>
  <c r="R173" i="32" s="1"/>
  <c r="R189" i="32" a="1"/>
  <c r="R189" i="32" s="1"/>
  <c r="R237" i="32" a="1"/>
  <c r="R237" i="32" s="1"/>
  <c r="R309" i="32" a="1"/>
  <c r="R309" i="32" s="1"/>
  <c r="R59" i="32" a="1"/>
  <c r="R59" i="32" s="1"/>
  <c r="R191" i="32" a="1"/>
  <c r="R191" i="32" s="1"/>
  <c r="R215" i="32" a="1"/>
  <c r="R215" i="32" s="1"/>
  <c r="R239" i="32" a="1"/>
  <c r="R239" i="32" s="1"/>
  <c r="R263" i="32" a="1"/>
  <c r="R263" i="32" s="1"/>
  <c r="R287" i="32" a="1"/>
  <c r="R287" i="32" s="1"/>
  <c r="R193" i="32" a="1"/>
  <c r="R193" i="32" s="1"/>
  <c r="R241" i="32" a="1"/>
  <c r="R241" i="32" s="1"/>
  <c r="R289" i="32" a="1"/>
  <c r="R289" i="32" s="1"/>
  <c r="R47" i="32" a="1"/>
  <c r="R47" i="32" s="1"/>
  <c r="R249" i="32" a="1"/>
  <c r="R249" i="32" s="1"/>
  <c r="R19" i="32" a="1"/>
  <c r="R19" i="32" s="1"/>
  <c r="R31" i="32" a="1"/>
  <c r="R31" i="32" s="1"/>
  <c r="R43" i="32" a="1"/>
  <c r="R43" i="32" s="1"/>
  <c r="R55" i="32" a="1"/>
  <c r="R55" i="32" s="1"/>
  <c r="R67" i="32" a="1"/>
  <c r="R67" i="32" s="1"/>
  <c r="R79" i="32" a="1"/>
  <c r="R79" i="32" s="1"/>
  <c r="R91" i="32" a="1"/>
  <c r="R91" i="32" s="1"/>
  <c r="R103" i="32" a="1"/>
  <c r="R103" i="32" s="1"/>
  <c r="R115" i="32" a="1"/>
  <c r="R115" i="32" s="1"/>
  <c r="R127" i="32" a="1"/>
  <c r="R127" i="32" s="1"/>
  <c r="R139" i="32" a="1"/>
  <c r="R139" i="32" s="1"/>
  <c r="R151" i="32" a="1"/>
  <c r="R151" i="32" s="1"/>
  <c r="R163" i="32" a="1"/>
  <c r="R163" i="32" s="1"/>
  <c r="R175" i="32" a="1"/>
  <c r="R175" i="32" s="1"/>
  <c r="R217" i="32" a="1"/>
  <c r="R217" i="32" s="1"/>
  <c r="R265" i="32" a="1"/>
  <c r="R265" i="32" s="1"/>
  <c r="R83" i="32" a="1"/>
  <c r="R83" i="32" s="1"/>
  <c r="R119" i="32" a="1"/>
  <c r="R119" i="32" s="1"/>
  <c r="R179" i="32" a="1"/>
  <c r="R179" i="32" s="1"/>
  <c r="R195" i="32" a="1"/>
  <c r="R195" i="32" s="1"/>
  <c r="R219" i="32" a="1"/>
  <c r="R219" i="32" s="1"/>
  <c r="R243" i="32" a="1"/>
  <c r="R243" i="32" s="1"/>
  <c r="R267" i="32" a="1"/>
  <c r="R267" i="32" s="1"/>
  <c r="R291" i="32" a="1"/>
  <c r="R291" i="32" s="1"/>
  <c r="R177" i="32" a="1"/>
  <c r="R177" i="32" s="1"/>
  <c r="R245" i="32" a="1"/>
  <c r="R245" i="32" s="1"/>
  <c r="R293" i="32" a="1"/>
  <c r="R293" i="32" s="1"/>
  <c r="R107" i="32" a="1"/>
  <c r="R107" i="32" s="1"/>
  <c r="R21" i="32" a="1"/>
  <c r="R21" i="32" s="1"/>
  <c r="R33" i="32" a="1"/>
  <c r="R33" i="32" s="1"/>
  <c r="R45" i="32" a="1"/>
  <c r="R45" i="32" s="1"/>
  <c r="R57" i="32" a="1"/>
  <c r="R57" i="32" s="1"/>
  <c r="R69" i="32" a="1"/>
  <c r="R69" i="32" s="1"/>
  <c r="R81" i="32" a="1"/>
  <c r="R81" i="32" s="1"/>
  <c r="R93" i="32" a="1"/>
  <c r="R93" i="32" s="1"/>
  <c r="R105" i="32" a="1"/>
  <c r="R105" i="32" s="1"/>
  <c r="R117" i="32" a="1"/>
  <c r="R117" i="32" s="1"/>
  <c r="R129" i="32" a="1"/>
  <c r="R129" i="32" s="1"/>
  <c r="R141" i="32" a="1"/>
  <c r="R141" i="32" s="1"/>
  <c r="R153" i="32" a="1"/>
  <c r="R153" i="32" s="1"/>
  <c r="R165" i="32" a="1"/>
  <c r="R165" i="32" s="1"/>
  <c r="R197" i="32" a="1"/>
  <c r="R197" i="32" s="1"/>
  <c r="R221" i="32" a="1"/>
  <c r="R221" i="32" s="1"/>
  <c r="R269" i="32" a="1"/>
  <c r="R269" i="32" s="1"/>
  <c r="R35" i="32" a="1"/>
  <c r="R35" i="32" s="1"/>
  <c r="R273" i="32" a="1"/>
  <c r="R273" i="32" s="1"/>
  <c r="R199" i="32" a="1"/>
  <c r="R199" i="32" s="1"/>
  <c r="R223" i="32" a="1"/>
  <c r="R223" i="32" s="1"/>
  <c r="R247" i="32" a="1"/>
  <c r="R247" i="32" s="1"/>
  <c r="R271" i="32" a="1"/>
  <c r="R271" i="32" s="1"/>
  <c r="R295" i="32" a="1"/>
  <c r="R295" i="32" s="1"/>
  <c r="R23" i="32" a="1"/>
  <c r="R23" i="32" s="1"/>
  <c r="R95" i="32" a="1"/>
  <c r="R95" i="32" s="1"/>
  <c r="R143" i="32" a="1"/>
  <c r="R143" i="32" s="1"/>
  <c r="R201" i="32" a="1"/>
  <c r="R201" i="32" s="1"/>
  <c r="Q178" i="32"/>
  <c r="AG37" i="30"/>
  <c r="O2301" i="32" a="1"/>
  <c r="O2301" i="32" s="1"/>
  <c r="N2301" i="32" a="1"/>
  <c r="N2301" i="32" s="1"/>
  <c r="Q789" i="32"/>
  <c r="B1140" i="19"/>
  <c r="B1141" i="19" s="1"/>
  <c r="B1142" i="19" s="1"/>
  <c r="B1143" i="19" s="1"/>
  <c r="F3676" i="27" l="1"/>
  <c r="F3470" i="27"/>
  <c r="F3471" i="27"/>
  <c r="F3472" i="27" s="1"/>
  <c r="F3473" i="27" s="1"/>
  <c r="F3474" i="27" s="1"/>
  <c r="F3475" i="27" s="1"/>
  <c r="K828" i="27"/>
  <c r="I828" i="27"/>
  <c r="J828" i="27"/>
  <c r="L828" i="27"/>
  <c r="E829" i="27"/>
  <c r="A827" i="27"/>
  <c r="I44" i="41"/>
  <c r="I16" i="41"/>
  <c r="I660" i="41"/>
  <c r="B37" i="42"/>
  <c r="I604" i="41"/>
  <c r="B184" i="42"/>
  <c r="I772" i="41"/>
  <c r="I688" i="41"/>
  <c r="I100" i="41"/>
  <c r="I828" i="41"/>
  <c r="I380" i="41"/>
  <c r="B282" i="42"/>
  <c r="B380" i="42"/>
  <c r="I520" i="41"/>
  <c r="I156" i="41"/>
  <c r="I72" i="41"/>
  <c r="I632" i="41"/>
  <c r="I464" i="41"/>
  <c r="I408" i="41"/>
  <c r="I716" i="41"/>
  <c r="I212" i="41"/>
  <c r="Q7" i="34"/>
  <c r="I352" i="41"/>
  <c r="I324" i="41"/>
  <c r="AC7" i="33"/>
  <c r="I548" i="41"/>
  <c r="B86" i="42"/>
  <c r="I744" i="41"/>
  <c r="I492" i="41"/>
  <c r="I296" i="41"/>
  <c r="I128" i="41"/>
  <c r="I184" i="41"/>
  <c r="B135" i="42"/>
  <c r="I576" i="41"/>
  <c r="I800" i="41"/>
  <c r="I240" i="41"/>
  <c r="B233" i="42"/>
  <c r="I222" i="16" a="1"/>
  <c r="I222" i="16" s="1"/>
  <c r="J221" i="16" a="1"/>
  <c r="J221" i="16" s="1"/>
  <c r="B429" i="42"/>
  <c r="I436" i="41"/>
  <c r="B478" i="42"/>
  <c r="B331" i="42"/>
  <c r="I268" i="41"/>
  <c r="H57" i="16" a="1"/>
  <c r="H57" i="16" s="1"/>
  <c r="I56" i="16" a="1"/>
  <c r="I56" i="16" s="1"/>
  <c r="G15" i="38"/>
  <c r="N53" i="1"/>
  <c r="Q180" i="32"/>
  <c r="Q791" i="32"/>
  <c r="F3677" i="27" l="1"/>
  <c r="F3477" i="27"/>
  <c r="F3478" i="27" s="1"/>
  <c r="F3479" i="27" s="1"/>
  <c r="F3480" i="27" s="1"/>
  <c r="F3481" i="27" s="1"/>
  <c r="F3476" i="27"/>
  <c r="L829" i="27"/>
  <c r="K829" i="27"/>
  <c r="I829" i="27"/>
  <c r="J829" i="27"/>
  <c r="E830" i="27"/>
  <c r="A828" i="27"/>
  <c r="I223" i="16" a="1"/>
  <c r="I223" i="16" s="1"/>
  <c r="J222" i="16" a="1"/>
  <c r="J222" i="16" s="1"/>
  <c r="H58" i="16" a="1"/>
  <c r="H58" i="16" s="1"/>
  <c r="I57" i="16" a="1"/>
  <c r="I57" i="16" s="1"/>
  <c r="Q182" i="32"/>
  <c r="Q793" i="32"/>
  <c r="N47" i="1"/>
  <c r="F3678" i="27" l="1"/>
  <c r="F3482" i="27"/>
  <c r="F3483" i="27"/>
  <c r="F3484" i="27" s="1"/>
  <c r="F3485" i="27" s="1"/>
  <c r="F3486" i="27" s="1"/>
  <c r="F3487" i="27" s="1"/>
  <c r="A829" i="27"/>
  <c r="L830" i="27"/>
  <c r="I830" i="27"/>
  <c r="J830" i="27"/>
  <c r="E831" i="27"/>
  <c r="K830" i="27"/>
  <c r="I224" i="16" a="1"/>
  <c r="I224" i="16" s="1"/>
  <c r="J223" i="16" a="1"/>
  <c r="J223" i="16" s="1"/>
  <c r="H59" i="16" a="1"/>
  <c r="H59" i="16" s="1"/>
  <c r="I58" i="16" a="1"/>
  <c r="I58" i="16" s="1"/>
  <c r="Q184" i="32"/>
  <c r="Q795" i="32"/>
  <c r="U2" i="28"/>
  <c r="F3679" i="27" l="1"/>
  <c r="F3489" i="27"/>
  <c r="F3490" i="27" s="1"/>
  <c r="F3491" i="27" s="1"/>
  <c r="F3492" i="27" s="1"/>
  <c r="F3493" i="27" s="1"/>
  <c r="F3488" i="27"/>
  <c r="A830" i="27"/>
  <c r="L831" i="27"/>
  <c r="J831" i="27"/>
  <c r="E832" i="27"/>
  <c r="I831" i="27"/>
  <c r="K831" i="27"/>
  <c r="I225" i="16" a="1"/>
  <c r="I225" i="16" s="1"/>
  <c r="J224" i="16" a="1"/>
  <c r="J224" i="16" s="1"/>
  <c r="H60" i="16" a="1"/>
  <c r="H60" i="16" s="1"/>
  <c r="I59" i="16" a="1"/>
  <c r="I59" i="16" s="1"/>
  <c r="Q186" i="32"/>
  <c r="Q797" i="32"/>
  <c r="T43" i="27"/>
  <c r="F3680" i="27" l="1"/>
  <c r="F3681" i="27"/>
  <c r="F3494" i="27"/>
  <c r="F3495" i="27"/>
  <c r="F3496" i="27" s="1"/>
  <c r="F3497" i="27" s="1"/>
  <c r="F3498" i="27" s="1"/>
  <c r="F3499" i="27" s="1"/>
  <c r="K832" i="27"/>
  <c r="J832" i="27"/>
  <c r="E833" i="27"/>
  <c r="I832" i="27"/>
  <c r="L832" i="27"/>
  <c r="A831" i="27"/>
  <c r="I226" i="16" a="1"/>
  <c r="I226" i="16" s="1"/>
  <c r="J225" i="16" a="1"/>
  <c r="J225" i="16" s="1"/>
  <c r="H61" i="16" a="1"/>
  <c r="H61" i="16" s="1"/>
  <c r="I60" i="16" a="1"/>
  <c r="I60" i="16" s="1"/>
  <c r="Q188" i="32"/>
  <c r="Q799" i="32"/>
  <c r="F3682" i="27" l="1"/>
  <c r="F3501" i="27"/>
  <c r="F3502" i="27" s="1"/>
  <c r="F3503" i="27" s="1"/>
  <c r="F3504" i="27" s="1"/>
  <c r="F3505" i="27" s="1"/>
  <c r="F3500" i="27"/>
  <c r="A832" i="27"/>
  <c r="L833" i="27"/>
  <c r="K833" i="27"/>
  <c r="J833" i="27"/>
  <c r="E834" i="27"/>
  <c r="I833" i="27"/>
  <c r="I227" i="16" a="1"/>
  <c r="I227" i="16" s="1"/>
  <c r="J226" i="16" a="1"/>
  <c r="J226" i="16" s="1"/>
  <c r="H62" i="16" a="1"/>
  <c r="H62" i="16" s="1"/>
  <c r="I61" i="16" a="1"/>
  <c r="I61" i="16" s="1"/>
  <c r="B414" i="39"/>
  <c r="D411" i="39"/>
  <c r="D410" i="39"/>
  <c r="E346" i="39"/>
  <c r="B198" i="39"/>
  <c r="B171" i="39"/>
  <c r="B144" i="39"/>
  <c r="B117" i="39"/>
  <c r="B90" i="39"/>
  <c r="AS37" i="30"/>
  <c r="AS38" i="30"/>
  <c r="Q190" i="32"/>
  <c r="Q801" i="32"/>
  <c r="A833" i="27" l="1"/>
  <c r="F3683" i="27"/>
  <c r="F3506" i="27"/>
  <c r="F3507" i="27"/>
  <c r="F3508" i="27" s="1"/>
  <c r="F3509" i="27" s="1"/>
  <c r="F3510" i="27" s="1"/>
  <c r="F3511" i="27" s="1"/>
  <c r="L834" i="27"/>
  <c r="J834" i="27"/>
  <c r="I834" i="27"/>
  <c r="K834" i="27"/>
  <c r="E835" i="27"/>
  <c r="I228" i="16" a="1"/>
  <c r="I228" i="16" s="1"/>
  <c r="J227" i="16" a="1"/>
  <c r="J227" i="16" s="1"/>
  <c r="H63" i="16" a="1"/>
  <c r="H63" i="16" s="1"/>
  <c r="I62" i="16" a="1"/>
  <c r="I62" i="16" s="1"/>
  <c r="Q192" i="32"/>
  <c r="Q803" i="32"/>
  <c r="F3684" i="27" l="1"/>
  <c r="F3513" i="27"/>
  <c r="F3514" i="27" s="1"/>
  <c r="F3515" i="27" s="1"/>
  <c r="F3516" i="27" s="1"/>
  <c r="F3517" i="27" s="1"/>
  <c r="F3512" i="27"/>
  <c r="A834" i="27"/>
  <c r="K835" i="27"/>
  <c r="J835" i="27"/>
  <c r="I835" i="27"/>
  <c r="L835" i="27"/>
  <c r="E836" i="27"/>
  <c r="I229" i="16" a="1"/>
  <c r="I229" i="16" s="1"/>
  <c r="J228" i="16" a="1"/>
  <c r="J228" i="16" s="1"/>
  <c r="H64" i="16" a="1"/>
  <c r="H64" i="16" s="1"/>
  <c r="I63" i="16" a="1"/>
  <c r="I63" i="16" s="1"/>
  <c r="Q194" i="32"/>
  <c r="Q805" i="32"/>
  <c r="F3685" i="27" l="1"/>
  <c r="F3518" i="27"/>
  <c r="F3519" i="27"/>
  <c r="F3520" i="27" s="1"/>
  <c r="F3521" i="27" s="1"/>
  <c r="F3522" i="27" s="1"/>
  <c r="F3523" i="27" s="1"/>
  <c r="K836" i="27"/>
  <c r="J836" i="27"/>
  <c r="I836" i="27"/>
  <c r="L836" i="27"/>
  <c r="E837" i="27"/>
  <c r="A835" i="27"/>
  <c r="I230" i="16" a="1"/>
  <c r="I230" i="16" s="1"/>
  <c r="J229" i="16" a="1"/>
  <c r="J229" i="16" s="1"/>
  <c r="H65" i="16" a="1"/>
  <c r="H65" i="16" s="1"/>
  <c r="I64" i="16" a="1"/>
  <c r="I64" i="16" s="1"/>
  <c r="Q196" i="32"/>
  <c r="Q807" i="32"/>
  <c r="U2" i="27"/>
  <c r="F3062" i="27"/>
  <c r="F3687" i="27" l="1"/>
  <c r="F3686" i="27"/>
  <c r="F3525" i="27"/>
  <c r="F3526" i="27" s="1"/>
  <c r="F3527" i="27" s="1"/>
  <c r="F3528" i="27" s="1"/>
  <c r="F3529" i="27" s="1"/>
  <c r="F3524" i="27"/>
  <c r="A836" i="27"/>
  <c r="K837" i="27"/>
  <c r="I837" i="27"/>
  <c r="L837" i="27"/>
  <c r="J837" i="27"/>
  <c r="E838" i="27"/>
  <c r="I231" i="16" a="1"/>
  <c r="I231" i="16" s="1"/>
  <c r="J230" i="16" a="1"/>
  <c r="J230" i="16" s="1"/>
  <c r="H66" i="16" a="1"/>
  <c r="H66" i="16" s="1"/>
  <c r="I65" i="16" a="1"/>
  <c r="I65" i="16" s="1"/>
  <c r="Q198" i="32"/>
  <c r="Q809" i="32"/>
  <c r="F3688" i="27" l="1"/>
  <c r="F3530" i="27"/>
  <c r="F3531" i="27"/>
  <c r="F3532" i="27" s="1"/>
  <c r="F3533" i="27" s="1"/>
  <c r="F3534" i="27" s="1"/>
  <c r="F3535" i="27" s="1"/>
  <c r="L838" i="27"/>
  <c r="I838" i="27"/>
  <c r="K838" i="27"/>
  <c r="J838" i="27"/>
  <c r="E839" i="27"/>
  <c r="A837" i="27"/>
  <c r="I232" i="16" a="1"/>
  <c r="I232" i="16" s="1"/>
  <c r="J231" i="16" a="1"/>
  <c r="J231" i="16" s="1"/>
  <c r="H67" i="16" a="1"/>
  <c r="H67" i="16" s="1"/>
  <c r="I66" i="16" a="1"/>
  <c r="I66" i="16" s="1"/>
  <c r="Q200" i="32"/>
  <c r="Q811" i="32"/>
  <c r="F3689" i="27" l="1"/>
  <c r="F3537" i="27"/>
  <c r="F3538" i="27" s="1"/>
  <c r="F3539" i="27" s="1"/>
  <c r="F3540" i="27" s="1"/>
  <c r="F3541" i="27" s="1"/>
  <c r="F3542" i="27" s="1"/>
  <c r="F3536" i="27"/>
  <c r="A838" i="27"/>
  <c r="K839" i="27"/>
  <c r="L839" i="27"/>
  <c r="I839" i="27"/>
  <c r="J839" i="27"/>
  <c r="E840" i="27"/>
  <c r="I233" i="16" a="1"/>
  <c r="I233" i="16" s="1"/>
  <c r="J232" i="16" a="1"/>
  <c r="J232" i="16" s="1"/>
  <c r="H68" i="16" a="1"/>
  <c r="H68" i="16" s="1"/>
  <c r="I67" i="16" a="1"/>
  <c r="I67" i="16" s="1"/>
  <c r="AE19" i="30" a="1"/>
  <c r="AE19" i="30" s="1"/>
  <c r="AB19" i="30" a="1"/>
  <c r="AB19" i="30" s="1"/>
  <c r="H19" i="30" s="1"/>
  <c r="B157" i="39"/>
  <c r="BD19" i="30"/>
  <c r="AE13" i="30" a="1"/>
  <c r="AE13" i="30" s="1"/>
  <c r="AB13" i="30" a="1"/>
  <c r="AB13" i="30" s="1"/>
  <c r="H13" i="30" s="1"/>
  <c r="B80" i="39" s="1"/>
  <c r="BD13" i="30"/>
  <c r="B76" i="39"/>
  <c r="BD23" i="30"/>
  <c r="AE23" i="30" a="1"/>
  <c r="AE23" i="30" s="1"/>
  <c r="AB23" i="30" a="1"/>
  <c r="AB23" i="30" s="1"/>
  <c r="H23" i="30" s="1"/>
  <c r="B211" i="39"/>
  <c r="BD31" i="30"/>
  <c r="B319" i="39"/>
  <c r="AB31" i="30" a="1"/>
  <c r="AB31" i="30" s="1"/>
  <c r="H31" i="30" s="1"/>
  <c r="AE31" i="30" a="1"/>
  <c r="AE31" i="30" s="1"/>
  <c r="AE35" i="30" a="1"/>
  <c r="AE35" i="30" s="1"/>
  <c r="BD35" i="30"/>
  <c r="B373" i="39"/>
  <c r="AB35" i="30" a="1"/>
  <c r="AB35" i="30" s="1"/>
  <c r="H35" i="30" s="1"/>
  <c r="B377" i="39" s="1"/>
  <c r="AE37" i="30" a="1"/>
  <c r="AE37" i="30" s="1"/>
  <c r="BD37" i="30"/>
  <c r="B400" i="39"/>
  <c r="AB37" i="30" a="1"/>
  <c r="AB37" i="30" s="1"/>
  <c r="H37" i="30" s="1"/>
  <c r="B184" i="39"/>
  <c r="AE21" i="30" a="1"/>
  <c r="AE21" i="30" s="1"/>
  <c r="AB21" i="30" a="1"/>
  <c r="AB21" i="30" s="1"/>
  <c r="H21" i="30" s="1"/>
  <c r="B188" i="39" s="1"/>
  <c r="BD21" i="30"/>
  <c r="AE29" i="30" a="1"/>
  <c r="AE29" i="30" s="1"/>
  <c r="BD29" i="30"/>
  <c r="AB29" i="30" a="1"/>
  <c r="AB29" i="30" s="1"/>
  <c r="H29" i="30" s="1"/>
  <c r="AC29" i="30" s="1"/>
  <c r="C220" i="32" s="1"/>
  <c r="L220" i="32" s="1"/>
  <c r="R220" i="32" s="1" a="1"/>
  <c r="R220" i="32" s="1"/>
  <c r="B292" i="39"/>
  <c r="B265" i="39"/>
  <c r="AB27" i="30" a="1"/>
  <c r="AB27" i="30" s="1"/>
  <c r="H27" i="30" s="1"/>
  <c r="B269" i="39" s="1"/>
  <c r="AE27" i="30" a="1"/>
  <c r="AE27" i="30" s="1"/>
  <c r="BD27" i="30"/>
  <c r="B103" i="39"/>
  <c r="BD15" i="30"/>
  <c r="AB15" i="30" a="1"/>
  <c r="AB15" i="30" s="1"/>
  <c r="H15" i="30" s="1"/>
  <c r="AE15" i="30" a="1"/>
  <c r="AE15" i="30" s="1"/>
  <c r="B238" i="39"/>
  <c r="AB25" i="30" a="1"/>
  <c r="AB25" i="30" s="1"/>
  <c r="H25" i="30" s="1"/>
  <c r="AE25" i="30" a="1"/>
  <c r="AE25" i="30" s="1"/>
  <c r="BD25" i="30"/>
  <c r="AB17" i="30" a="1"/>
  <c r="AB17" i="30" s="1"/>
  <c r="H17" i="30" s="1"/>
  <c r="BD17" i="30"/>
  <c r="B130" i="39"/>
  <c r="AE17" i="30" a="1"/>
  <c r="AE17" i="30" s="1"/>
  <c r="AB33" i="30" a="1"/>
  <c r="AB33" i="30" s="1"/>
  <c r="H33" i="30" s="1"/>
  <c r="B350" i="39" s="1"/>
  <c r="B346" i="39"/>
  <c r="BD33" i="30"/>
  <c r="AD33" i="30"/>
  <c r="AE33" i="30" a="1"/>
  <c r="AE33" i="30" s="1"/>
  <c r="Q202" i="32"/>
  <c r="Q813" i="32"/>
  <c r="M33" i="27" a="1"/>
  <c r="M26" i="27" a="1"/>
  <c r="M28" i="27" a="1"/>
  <c r="M31" i="27" a="1"/>
  <c r="M27" i="27" a="1"/>
  <c r="M23" i="27" a="1"/>
  <c r="M25" i="27" a="1"/>
  <c r="M24" i="27" a="1"/>
  <c r="M30" i="27" a="1"/>
  <c r="M22" i="27" a="1"/>
  <c r="M21" i="27" a="1"/>
  <c r="M32" i="27" a="1"/>
  <c r="M29" i="27" a="1"/>
  <c r="F3690" i="27" l="1"/>
  <c r="K840" i="27"/>
  <c r="I840" i="27"/>
  <c r="L840" i="27"/>
  <c r="J840" i="27"/>
  <c r="E841" i="27"/>
  <c r="A839" i="27"/>
  <c r="M29" i="27"/>
  <c r="M32" i="27"/>
  <c r="M21" i="27"/>
  <c r="M22" i="27"/>
  <c r="M30" i="27"/>
  <c r="M24" i="27"/>
  <c r="M25" i="27"/>
  <c r="M23" i="27"/>
  <c r="M27" i="27"/>
  <c r="M31" i="27"/>
  <c r="A31" i="27" s="1"/>
  <c r="M28" i="27"/>
  <c r="M26" i="27"/>
  <c r="M33" i="27"/>
  <c r="I234" i="16" a="1"/>
  <c r="I234" i="16" s="1"/>
  <c r="J233" i="16" a="1"/>
  <c r="J233" i="16" s="1"/>
  <c r="H69" i="16" a="1"/>
  <c r="H69" i="16" s="1"/>
  <c r="I68" i="16" a="1"/>
  <c r="I68" i="16" s="1"/>
  <c r="AC35" i="30"/>
  <c r="C278" i="32" s="1"/>
  <c r="L278" i="32" s="1"/>
  <c r="R278" i="32" s="1" a="1"/>
  <c r="R278" i="32" s="1"/>
  <c r="B323" i="39"/>
  <c r="B107" i="39"/>
  <c r="AC13" i="30"/>
  <c r="C66" i="32" s="1"/>
  <c r="L66" i="32" s="1"/>
  <c r="R66" i="32" s="1" a="1"/>
  <c r="R66" i="32" s="1"/>
  <c r="AC31" i="30"/>
  <c r="C238" i="32" s="1"/>
  <c r="L238" i="32" s="1"/>
  <c r="R238" i="32" s="1" a="1"/>
  <c r="R238" i="32" s="1"/>
  <c r="AC33" i="30"/>
  <c r="C262" i="32" s="1"/>
  <c r="L262" i="32" s="1"/>
  <c r="R262" i="32" s="1" a="1"/>
  <c r="R262" i="32" s="1"/>
  <c r="C214" i="32"/>
  <c r="L214" i="32" s="1"/>
  <c r="C226" i="32"/>
  <c r="L226" i="32" s="1"/>
  <c r="C224" i="32"/>
  <c r="L224" i="32" s="1"/>
  <c r="C228" i="32"/>
  <c r="L228" i="32" s="1"/>
  <c r="C210" i="32"/>
  <c r="L210" i="32" s="1"/>
  <c r="B242" i="39"/>
  <c r="C222" i="32"/>
  <c r="L222" i="32" s="1"/>
  <c r="C212" i="32"/>
  <c r="L212" i="32" s="1"/>
  <c r="C218" i="32"/>
  <c r="L218" i="32" s="1"/>
  <c r="C216" i="32"/>
  <c r="L216" i="32" s="1"/>
  <c r="B134" i="39"/>
  <c r="B296" i="39"/>
  <c r="AC37" i="30"/>
  <c r="B404" i="39"/>
  <c r="B215" i="39"/>
  <c r="B161" i="39"/>
  <c r="M220" i="32" a="1"/>
  <c r="M220" i="32" s="1"/>
  <c r="D220" i="32" s="1"/>
  <c r="O220" i="32" a="1"/>
  <c r="O220" i="32" s="1"/>
  <c r="N220" i="32" a="1"/>
  <c r="N220" i="32" s="1"/>
  <c r="E220" i="32" s="1"/>
  <c r="Q204" i="32"/>
  <c r="Q815" i="32"/>
  <c r="F3691" i="27" l="1"/>
  <c r="L841" i="27"/>
  <c r="I841" i="27"/>
  <c r="K841" i="27"/>
  <c r="J841" i="27"/>
  <c r="E842" i="27"/>
  <c r="A840" i="27"/>
  <c r="I235" i="16" a="1"/>
  <c r="I235" i="16" s="1"/>
  <c r="J234" i="16" a="1"/>
  <c r="J234" i="16" s="1"/>
  <c r="H70" i="16" a="1"/>
  <c r="H70" i="16" s="1"/>
  <c r="I69" i="16" a="1"/>
  <c r="I69" i="16" s="1"/>
  <c r="O216" i="32" a="1"/>
  <c r="O216" i="32" s="1"/>
  <c r="R216" i="32" a="1"/>
  <c r="R216" i="32" s="1"/>
  <c r="O212" i="32" a="1"/>
  <c r="O212" i="32" s="1"/>
  <c r="R212" i="32" a="1"/>
  <c r="R212" i="32" s="1"/>
  <c r="N210" i="32" a="1"/>
  <c r="N210" i="32" s="1"/>
  <c r="E210" i="32" s="1"/>
  <c r="R210" i="32" a="1"/>
  <c r="R210" i="32" s="1"/>
  <c r="N226" i="32" a="1"/>
  <c r="N226" i="32" s="1"/>
  <c r="E226" i="32" s="1"/>
  <c r="R226" i="32" a="1"/>
  <c r="R226" i="32" s="1"/>
  <c r="M218" i="32" a="1"/>
  <c r="M218" i="32" s="1"/>
  <c r="D218" i="32" s="1"/>
  <c r="R218" i="32" a="1"/>
  <c r="R218" i="32" s="1"/>
  <c r="O222" i="32" a="1"/>
  <c r="O222" i="32" s="1"/>
  <c r="R222" i="32" a="1"/>
  <c r="R222" i="32" s="1"/>
  <c r="O228" i="32" a="1"/>
  <c r="O228" i="32" s="1"/>
  <c r="R228" i="32" a="1"/>
  <c r="R228" i="32" s="1"/>
  <c r="M224" i="32" a="1"/>
  <c r="M224" i="32" s="1"/>
  <c r="D224" i="32" s="1"/>
  <c r="R224" i="32" a="1"/>
  <c r="R224" i="32" s="1"/>
  <c r="M214" i="32" a="1"/>
  <c r="M214" i="32" s="1"/>
  <c r="D214" i="32" s="1"/>
  <c r="R214" i="32" a="1"/>
  <c r="R214" i="32" s="1"/>
  <c r="C286" i="32"/>
  <c r="L286" i="32" s="1"/>
  <c r="M286" i="32" s="1" a="1"/>
  <c r="M286" i="32" s="1"/>
  <c r="D286" i="32" s="1"/>
  <c r="C260" i="32"/>
  <c r="L260" i="32" s="1"/>
  <c r="O214" i="32" a="1"/>
  <c r="O214" i="32" s="1"/>
  <c r="C272" i="32"/>
  <c r="L272" i="32" s="1"/>
  <c r="N272" i="32" s="1" a="1"/>
  <c r="N272" i="32" s="1"/>
  <c r="E272" i="32" s="1"/>
  <c r="C274" i="32"/>
  <c r="L274" i="32" s="1"/>
  <c r="N274" i="32" s="1" a="1"/>
  <c r="N274" i="32" s="1"/>
  <c r="E274" i="32" s="1"/>
  <c r="C288" i="32"/>
  <c r="L288" i="32" s="1"/>
  <c r="C282" i="32"/>
  <c r="L282" i="32" s="1"/>
  <c r="C264" i="32"/>
  <c r="L264" i="32" s="1"/>
  <c r="C232" i="32"/>
  <c r="L232" i="32" s="1"/>
  <c r="N216" i="32" a="1"/>
  <c r="N216" i="32" s="1"/>
  <c r="E216" i="32" s="1"/>
  <c r="C280" i="32"/>
  <c r="L280" i="32" s="1"/>
  <c r="C284" i="32"/>
  <c r="L284" i="32" s="1"/>
  <c r="C270" i="32"/>
  <c r="L270" i="32" s="1"/>
  <c r="C276" i="32"/>
  <c r="L276" i="32" s="1"/>
  <c r="C68" i="32"/>
  <c r="L68" i="32" s="1"/>
  <c r="C64" i="32"/>
  <c r="L64" i="32" s="1"/>
  <c r="N214" i="32" a="1"/>
  <c r="N214" i="32" s="1"/>
  <c r="E214" i="32" s="1"/>
  <c r="O226" i="32" a="1"/>
  <c r="O226" i="32" s="1"/>
  <c r="C248" i="32"/>
  <c r="L248" i="32" s="1"/>
  <c r="O210" i="32" a="1"/>
  <c r="O210" i="32" s="1"/>
  <c r="C256" i="32"/>
  <c r="L256" i="32" s="1"/>
  <c r="C268" i="32"/>
  <c r="L268" i="32" s="1"/>
  <c r="C250" i="32"/>
  <c r="L250" i="32" s="1"/>
  <c r="C254" i="32"/>
  <c r="L254" i="32" s="1"/>
  <c r="C258" i="32"/>
  <c r="L258" i="32" s="1"/>
  <c r="C234" i="32"/>
  <c r="L234" i="32" s="1"/>
  <c r="C242" i="32"/>
  <c r="L242" i="32" s="1"/>
  <c r="C230" i="32"/>
  <c r="L230" i="32" s="1"/>
  <c r="C236" i="32"/>
  <c r="L236" i="32" s="1"/>
  <c r="C246" i="32"/>
  <c r="L246" i="32" s="1"/>
  <c r="C60" i="32"/>
  <c r="L60" i="32" s="1"/>
  <c r="C54" i="32"/>
  <c r="L54" i="32" s="1"/>
  <c r="C56" i="32"/>
  <c r="L56" i="32" s="1"/>
  <c r="C58" i="32"/>
  <c r="L58" i="32" s="1"/>
  <c r="C62" i="32"/>
  <c r="L62" i="32" s="1"/>
  <c r="N212" i="32" a="1"/>
  <c r="N212" i="32" s="1"/>
  <c r="E212" i="32" s="1"/>
  <c r="M226" i="32" a="1"/>
  <c r="M226" i="32" s="1"/>
  <c r="D226" i="32" s="1"/>
  <c r="C244" i="32"/>
  <c r="L244" i="32" s="1"/>
  <c r="C240" i="32"/>
  <c r="L240" i="32" s="1"/>
  <c r="C52" i="32"/>
  <c r="L52" i="32" s="1"/>
  <c r="C50" i="32"/>
  <c r="L50" i="32" s="1"/>
  <c r="C266" i="32"/>
  <c r="L266" i="32" s="1"/>
  <c r="C252" i="32"/>
  <c r="L252" i="32" s="1"/>
  <c r="N218" i="32" a="1"/>
  <c r="N218" i="32" s="1"/>
  <c r="E218" i="32" s="1"/>
  <c r="N222" i="32" a="1"/>
  <c r="N222" i="32" s="1"/>
  <c r="E222" i="32" s="1"/>
  <c r="O224" i="32" a="1"/>
  <c r="O224" i="32" s="1"/>
  <c r="M210" i="32" a="1"/>
  <c r="M210" i="32" s="1"/>
  <c r="D210" i="32" s="1"/>
  <c r="O218" i="32" a="1"/>
  <c r="O218" i="32" s="1"/>
  <c r="M222" i="32" a="1"/>
  <c r="M222" i="32" s="1"/>
  <c r="D222" i="32" s="1"/>
  <c r="N224" i="32" a="1"/>
  <c r="N224" i="32" s="1"/>
  <c r="E224" i="32" s="1"/>
  <c r="N228" i="32" a="1"/>
  <c r="N228" i="32" s="1"/>
  <c r="E228" i="32" s="1"/>
  <c r="M228" i="32" a="1"/>
  <c r="M228" i="32" s="1"/>
  <c r="D228" i="32" s="1"/>
  <c r="M216" i="32" a="1"/>
  <c r="M216" i="32" s="1"/>
  <c r="D216" i="32" s="1"/>
  <c r="M212" i="32" a="1"/>
  <c r="M212" i="32" s="1"/>
  <c r="D212" i="32" s="1"/>
  <c r="C296" i="32"/>
  <c r="L296" i="32" s="1"/>
  <c r="R296" i="32" s="1" a="1"/>
  <c r="R296" i="32" s="1"/>
  <c r="C290" i="32"/>
  <c r="L290" i="32" s="1"/>
  <c r="R290" i="32" s="1" a="1"/>
  <c r="R290" i="32" s="1"/>
  <c r="C298" i="32"/>
  <c r="L298" i="32" s="1"/>
  <c r="R298" i="32" s="1" a="1"/>
  <c r="R298" i="32" s="1"/>
  <c r="C300" i="32"/>
  <c r="L300" i="32" s="1"/>
  <c r="R300" i="32" s="1" a="1"/>
  <c r="R300" i="32" s="1"/>
  <c r="C304" i="32"/>
  <c r="L304" i="32" s="1"/>
  <c r="R304" i="32" s="1" a="1"/>
  <c r="R304" i="32" s="1"/>
  <c r="C302" i="32"/>
  <c r="L302" i="32" s="1"/>
  <c r="R302" i="32" s="1" a="1"/>
  <c r="R302" i="32" s="1"/>
  <c r="C308" i="32"/>
  <c r="L308" i="32" s="1"/>
  <c r="R308" i="32" s="1" a="1"/>
  <c r="R308" i="32" s="1"/>
  <c r="C306" i="32"/>
  <c r="L306" i="32" s="1"/>
  <c r="R306" i="32" s="1" a="1"/>
  <c r="R306" i="32" s="1"/>
  <c r="C294" i="32"/>
  <c r="L294" i="32" s="1"/>
  <c r="R294" i="32" s="1" a="1"/>
  <c r="R294" i="32" s="1"/>
  <c r="C292" i="32"/>
  <c r="L292" i="32" s="1"/>
  <c r="R292" i="32" s="1" a="1"/>
  <c r="R292" i="32" s="1"/>
  <c r="N262" i="32" a="1"/>
  <c r="N262" i="32" s="1"/>
  <c r="E262" i="32" s="1"/>
  <c r="M262" i="32" a="1"/>
  <c r="M262" i="32" s="1"/>
  <c r="D262" i="32" s="1"/>
  <c r="O262" i="32" a="1"/>
  <c r="O262" i="32" s="1"/>
  <c r="O278" i="32" a="1"/>
  <c r="O278" i="32" s="1"/>
  <c r="M278" i="32" a="1"/>
  <c r="M278" i="32" s="1"/>
  <c r="D278" i="32" s="1"/>
  <c r="N278" i="32" a="1"/>
  <c r="N278" i="32" s="1"/>
  <c r="E278" i="32" s="1"/>
  <c r="N238" i="32" a="1"/>
  <c r="N238" i="32" s="1"/>
  <c r="E238" i="32" s="1"/>
  <c r="O238" i="32" a="1"/>
  <c r="O238" i="32" s="1"/>
  <c r="M238" i="32" a="1"/>
  <c r="M238" i="32" s="1"/>
  <c r="D238" i="32" s="1"/>
  <c r="M66" i="32" a="1"/>
  <c r="M66" i="32" s="1"/>
  <c r="D66" i="32" s="1"/>
  <c r="O66" i="32" a="1"/>
  <c r="O66" i="32" s="1"/>
  <c r="N66" i="32" a="1"/>
  <c r="N66" i="32" s="1"/>
  <c r="E66" i="32" s="1"/>
  <c r="Q206" i="32"/>
  <c r="Q817" i="32"/>
  <c r="F3693" i="27" l="1"/>
  <c r="F3692" i="27"/>
  <c r="L842" i="27"/>
  <c r="I842" i="27"/>
  <c r="K842" i="27"/>
  <c r="J842" i="27"/>
  <c r="E843" i="27"/>
  <c r="A841" i="27"/>
  <c r="I236" i="16" a="1"/>
  <c r="I236" i="16" s="1"/>
  <c r="J235" i="16" a="1"/>
  <c r="J235" i="16" s="1"/>
  <c r="H71" i="16" a="1"/>
  <c r="H71" i="16" s="1"/>
  <c r="I70" i="16" a="1"/>
  <c r="I70" i="16" s="1"/>
  <c r="M252" i="32" a="1"/>
  <c r="M252" i="32" s="1"/>
  <c r="D252" i="32" s="1"/>
  <c r="R252" i="32" a="1"/>
  <c r="R252" i="32" s="1"/>
  <c r="N50" i="32" a="1"/>
  <c r="N50" i="32" s="1"/>
  <c r="E50" i="32" s="1"/>
  <c r="R50" i="32" a="1"/>
  <c r="R50" i="32" s="1"/>
  <c r="M240" i="32" a="1"/>
  <c r="M240" i="32" s="1"/>
  <c r="D240" i="32" s="1"/>
  <c r="R240" i="32" a="1"/>
  <c r="R240" i="32" s="1"/>
  <c r="O62" i="32" a="1"/>
  <c r="O62" i="32" s="1"/>
  <c r="R62" i="32" a="1"/>
  <c r="R62" i="32" s="1"/>
  <c r="N56" i="32" a="1"/>
  <c r="N56" i="32" s="1"/>
  <c r="E56" i="32" s="1"/>
  <c r="R56" i="32" a="1"/>
  <c r="R56" i="32" s="1"/>
  <c r="M60" i="32" a="1"/>
  <c r="M60" i="32" s="1"/>
  <c r="D60" i="32" s="1"/>
  <c r="R60" i="32" a="1"/>
  <c r="R60" i="32" s="1"/>
  <c r="M236" i="32" a="1"/>
  <c r="M236" i="32" s="1"/>
  <c r="D236" i="32" s="1"/>
  <c r="R236" i="32" a="1"/>
  <c r="R236" i="32" s="1"/>
  <c r="O242" i="32" a="1"/>
  <c r="O242" i="32" s="1"/>
  <c r="R242" i="32" a="1"/>
  <c r="R242" i="32" s="1"/>
  <c r="O258" i="32" a="1"/>
  <c r="O258" i="32" s="1"/>
  <c r="R258" i="32" a="1"/>
  <c r="R258" i="32" s="1"/>
  <c r="O250" i="32" a="1"/>
  <c r="O250" i="32" s="1"/>
  <c r="R250" i="32" a="1"/>
  <c r="R250" i="32" s="1"/>
  <c r="M256" i="32" a="1"/>
  <c r="M256" i="32" s="1"/>
  <c r="D256" i="32" s="1"/>
  <c r="R256" i="32" a="1"/>
  <c r="R256" i="32" s="1"/>
  <c r="M64" i="32" a="1"/>
  <c r="M64" i="32" s="1"/>
  <c r="D64" i="32" s="1"/>
  <c r="R64" i="32" a="1"/>
  <c r="R64" i="32" s="1"/>
  <c r="O68" i="32" a="1"/>
  <c r="O68" i="32" s="1"/>
  <c r="R68" i="32" a="1"/>
  <c r="R68" i="32" s="1"/>
  <c r="O270" i="32" a="1"/>
  <c r="O270" i="32" s="1"/>
  <c r="R270" i="32" a="1"/>
  <c r="R270" i="32" s="1"/>
  <c r="N280" i="32" a="1"/>
  <c r="N280" i="32" s="1"/>
  <c r="E280" i="32" s="1"/>
  <c r="R280" i="32" a="1"/>
  <c r="R280" i="32" s="1"/>
  <c r="N264" i="32" a="1"/>
  <c r="N264" i="32" s="1"/>
  <c r="E264" i="32" s="1"/>
  <c r="R264" i="32" a="1"/>
  <c r="R264" i="32" s="1"/>
  <c r="M288" i="32" a="1"/>
  <c r="M288" i="32" s="1"/>
  <c r="D288" i="32" s="1"/>
  <c r="R288" i="32" a="1"/>
  <c r="R288" i="32" s="1"/>
  <c r="M272" i="32" a="1"/>
  <c r="M272" i="32" s="1"/>
  <c r="D272" i="32" s="1"/>
  <c r="R272" i="32" a="1"/>
  <c r="R272" i="32" s="1"/>
  <c r="N260" i="32" a="1"/>
  <c r="N260" i="32" s="1"/>
  <c r="E260" i="32" s="1"/>
  <c r="R260" i="32" a="1"/>
  <c r="R260" i="32" s="1"/>
  <c r="N266" i="32" a="1"/>
  <c r="N266" i="32" s="1"/>
  <c r="E266" i="32" s="1"/>
  <c r="R266" i="32" a="1"/>
  <c r="R266" i="32" s="1"/>
  <c r="N52" i="32" a="1"/>
  <c r="N52" i="32" s="1"/>
  <c r="E52" i="32" s="1"/>
  <c r="R52" i="32" a="1"/>
  <c r="R52" i="32" s="1"/>
  <c r="M244" i="32" a="1"/>
  <c r="M244" i="32" s="1"/>
  <c r="D244" i="32" s="1"/>
  <c r="R244" i="32" a="1"/>
  <c r="R244" i="32" s="1"/>
  <c r="O58" i="32" a="1"/>
  <c r="O58" i="32" s="1"/>
  <c r="R58" i="32" a="1"/>
  <c r="R58" i="32" s="1"/>
  <c r="N54" i="32" a="1"/>
  <c r="N54" i="32" s="1"/>
  <c r="E54" i="32" s="1"/>
  <c r="R54" i="32" a="1"/>
  <c r="R54" i="32" s="1"/>
  <c r="M246" i="32" a="1"/>
  <c r="M246" i="32" s="1"/>
  <c r="D246" i="32" s="1"/>
  <c r="R246" i="32" a="1"/>
  <c r="R246" i="32" s="1"/>
  <c r="N230" i="32" a="1"/>
  <c r="N230" i="32" s="1"/>
  <c r="E230" i="32" s="1"/>
  <c r="R230" i="32" a="1"/>
  <c r="R230" i="32" s="1"/>
  <c r="O234" i="32" a="1"/>
  <c r="O234" i="32" s="1"/>
  <c r="R234" i="32" a="1"/>
  <c r="R234" i="32" s="1"/>
  <c r="N254" i="32" a="1"/>
  <c r="N254" i="32" s="1"/>
  <c r="E254" i="32" s="1"/>
  <c r="R254" i="32" a="1"/>
  <c r="R254" i="32" s="1"/>
  <c r="M268" i="32" a="1"/>
  <c r="M268" i="32" s="1"/>
  <c r="D268" i="32" s="1"/>
  <c r="R268" i="32" a="1"/>
  <c r="R268" i="32" s="1"/>
  <c r="O248" i="32" a="1"/>
  <c r="O248" i="32" s="1"/>
  <c r="R248" i="32" a="1"/>
  <c r="R248" i="32" s="1"/>
  <c r="N276" i="32" a="1"/>
  <c r="N276" i="32" s="1"/>
  <c r="E276" i="32" s="1"/>
  <c r="R276" i="32" a="1"/>
  <c r="R276" i="32" s="1"/>
  <c r="N284" i="32" a="1"/>
  <c r="N284" i="32" s="1"/>
  <c r="E284" i="32" s="1"/>
  <c r="R284" i="32" a="1"/>
  <c r="R284" i="32" s="1"/>
  <c r="O232" i="32" a="1"/>
  <c r="O232" i="32" s="1"/>
  <c r="R232" i="32" a="1"/>
  <c r="R232" i="32" s="1"/>
  <c r="N282" i="32" a="1"/>
  <c r="N282" i="32" s="1"/>
  <c r="E282" i="32" s="1"/>
  <c r="R282" i="32" a="1"/>
  <c r="R282" i="32" s="1"/>
  <c r="O274" i="32" a="1"/>
  <c r="O274" i="32" s="1"/>
  <c r="R274" i="32" a="1"/>
  <c r="R274" i="32" s="1"/>
  <c r="N286" i="32" a="1"/>
  <c r="N286" i="32" s="1"/>
  <c r="E286" i="32" s="1"/>
  <c r="R286" i="32" a="1"/>
  <c r="R286" i="32" s="1"/>
  <c r="O286" i="32" a="1"/>
  <c r="O286" i="32" s="1"/>
  <c r="O260" i="32" a="1"/>
  <c r="O260" i="32" s="1"/>
  <c r="M260" i="32" a="1"/>
  <c r="M260" i="32" s="1"/>
  <c r="D260" i="32" s="1"/>
  <c r="O272" i="32" a="1"/>
  <c r="O272" i="32" s="1"/>
  <c r="O264" i="32" a="1"/>
  <c r="O264" i="32" s="1"/>
  <c r="M276" i="32" a="1"/>
  <c r="M276" i="32" s="1"/>
  <c r="D276" i="32" s="1"/>
  <c r="O284" i="32" a="1"/>
  <c r="O284" i="32" s="1"/>
  <c r="N246" i="32" a="1"/>
  <c r="N246" i="32" s="1"/>
  <c r="E246" i="32" s="1"/>
  <c r="M282" i="32" a="1"/>
  <c r="M282" i="32" s="1"/>
  <c r="D282" i="32" s="1"/>
  <c r="M68" i="32" a="1"/>
  <c r="M68" i="32" s="1"/>
  <c r="D68" i="32" s="1"/>
  <c r="O64" i="32" a="1"/>
  <c r="O64" i="32" s="1"/>
  <c r="O280" i="32" a="1"/>
  <c r="O280" i="32" s="1"/>
  <c r="N288" i="32" a="1"/>
  <c r="N288" i="32" s="1"/>
  <c r="E288" i="32" s="1"/>
  <c r="M232" i="32" a="1"/>
  <c r="M232" i="32" s="1"/>
  <c r="D232" i="32" s="1"/>
  <c r="O276" i="32" a="1"/>
  <c r="O276" i="32" s="1"/>
  <c r="M284" i="32" a="1"/>
  <c r="M284" i="32" s="1"/>
  <c r="D284" i="32" s="1"/>
  <c r="O282" i="32" a="1"/>
  <c r="O282" i="32" s="1"/>
  <c r="M274" i="32" a="1"/>
  <c r="M274" i="32" s="1"/>
  <c r="D274" i="32" s="1"/>
  <c r="M270" i="32" a="1"/>
  <c r="M270" i="32" s="1"/>
  <c r="D270" i="32" s="1"/>
  <c r="M264" i="32" a="1"/>
  <c r="M264" i="32" s="1"/>
  <c r="D264" i="32" s="1"/>
  <c r="N232" i="32" a="1"/>
  <c r="N232" i="32" s="1"/>
  <c r="E232" i="32" s="1"/>
  <c r="N68" i="32" a="1"/>
  <c r="N68" i="32" s="1"/>
  <c r="E68" i="32" s="1"/>
  <c r="N64" i="32" a="1"/>
  <c r="N64" i="32" s="1"/>
  <c r="E64" i="32" s="1"/>
  <c r="N270" i="32" a="1"/>
  <c r="N270" i="32" s="1"/>
  <c r="E270" i="32" s="1"/>
  <c r="M280" i="32" a="1"/>
  <c r="M280" i="32" s="1"/>
  <c r="D280" i="32" s="1"/>
  <c r="O288" i="32" a="1"/>
  <c r="O288" i="32" s="1"/>
  <c r="M248" i="32" a="1"/>
  <c r="M248" i="32" s="1"/>
  <c r="D248" i="32" s="1"/>
  <c r="O52" i="32" a="1"/>
  <c r="O52" i="32" s="1"/>
  <c r="N58" i="32" a="1"/>
  <c r="N58" i="32" s="1"/>
  <c r="E58" i="32" s="1"/>
  <c r="N248" i="32" a="1"/>
  <c r="N248" i="32" s="1"/>
  <c r="E248" i="32" s="1"/>
  <c r="O268" i="32" a="1"/>
  <c r="O268" i="32" s="1"/>
  <c r="M266" i="32" a="1"/>
  <c r="M266" i="32" s="1"/>
  <c r="D266" i="32" s="1"/>
  <c r="O54" i="32" a="1"/>
  <c r="O54" i="32" s="1"/>
  <c r="M230" i="32" a="1"/>
  <c r="M230" i="32" s="1"/>
  <c r="D230" i="32" s="1"/>
  <c r="O240" i="32" a="1"/>
  <c r="O240" i="32" s="1"/>
  <c r="O60" i="32" a="1"/>
  <c r="O60" i="32" s="1"/>
  <c r="M56" i="32" a="1"/>
  <c r="M56" i="32" s="1"/>
  <c r="D56" i="32" s="1"/>
  <c r="N62" i="32" a="1"/>
  <c r="N62" i="32" s="1"/>
  <c r="E62" i="32" s="1"/>
  <c r="N258" i="32" a="1"/>
  <c r="N258" i="32" s="1"/>
  <c r="E258" i="32" s="1"/>
  <c r="O252" i="32" a="1"/>
  <c r="O252" i="32" s="1"/>
  <c r="O256" i="32" a="1"/>
  <c r="O256" i="32" s="1"/>
  <c r="M250" i="32" a="1"/>
  <c r="M250" i="32" s="1"/>
  <c r="D250" i="32" s="1"/>
  <c r="M50" i="32" a="1"/>
  <c r="M50" i="32" s="1"/>
  <c r="D50" i="32" s="1"/>
  <c r="M242" i="32" a="1"/>
  <c r="M242" i="32" s="1"/>
  <c r="D242" i="32" s="1"/>
  <c r="N236" i="32" a="1"/>
  <c r="N236" i="32" s="1"/>
  <c r="E236" i="32" s="1"/>
  <c r="N268" i="32" a="1"/>
  <c r="N268" i="32" s="1"/>
  <c r="E268" i="32" s="1"/>
  <c r="O254" i="32" a="1"/>
  <c r="O254" i="32" s="1"/>
  <c r="O244" i="32" a="1"/>
  <c r="O244" i="32" s="1"/>
  <c r="O266" i="32" a="1"/>
  <c r="O266" i="32" s="1"/>
  <c r="M58" i="32" a="1"/>
  <c r="M58" i="32" s="1"/>
  <c r="D58" i="32" s="1"/>
  <c r="M234" i="32" a="1"/>
  <c r="M234" i="32" s="1"/>
  <c r="D234" i="32" s="1"/>
  <c r="O230" i="32" a="1"/>
  <c r="O230" i="32" s="1"/>
  <c r="N256" i="32" a="1"/>
  <c r="N256" i="32" s="1"/>
  <c r="E256" i="32" s="1"/>
  <c r="N250" i="32" a="1"/>
  <c r="N250" i="32" s="1"/>
  <c r="E250" i="32" s="1"/>
  <c r="M258" i="32" a="1"/>
  <c r="M258" i="32" s="1"/>
  <c r="D258" i="32" s="1"/>
  <c r="N240" i="32" a="1"/>
  <c r="N240" i="32" s="1"/>
  <c r="E240" i="32" s="1"/>
  <c r="N60" i="32" a="1"/>
  <c r="N60" i="32" s="1"/>
  <c r="E60" i="32" s="1"/>
  <c r="O56" i="32" a="1"/>
  <c r="O56" i="32" s="1"/>
  <c r="M62" i="32" a="1"/>
  <c r="M62" i="32" s="1"/>
  <c r="D62" i="32" s="1"/>
  <c r="N242" i="32" a="1"/>
  <c r="N242" i="32" s="1"/>
  <c r="E242" i="32" s="1"/>
  <c r="O236" i="32" a="1"/>
  <c r="O236" i="32" s="1"/>
  <c r="M254" i="32" a="1"/>
  <c r="M254" i="32" s="1"/>
  <c r="D254" i="32" s="1"/>
  <c r="O50" i="32" a="1"/>
  <c r="O50" i="32" s="1"/>
  <c r="N244" i="32" a="1"/>
  <c r="N244" i="32" s="1"/>
  <c r="E244" i="32" s="1"/>
  <c r="M54" i="32" a="1"/>
  <c r="M54" i="32" s="1"/>
  <c r="D54" i="32" s="1"/>
  <c r="N234" i="32" a="1"/>
  <c r="N234" i="32" s="1"/>
  <c r="E234" i="32" s="1"/>
  <c r="O246" i="32" a="1"/>
  <c r="O246" i="32" s="1"/>
  <c r="M52" i="32" a="1"/>
  <c r="M52" i="32" s="1"/>
  <c r="D52" i="32" s="1"/>
  <c r="N252" i="32" a="1"/>
  <c r="N252" i="32" s="1"/>
  <c r="E252" i="32" s="1"/>
  <c r="O294" i="32" a="1"/>
  <c r="O294" i="32" s="1"/>
  <c r="M294" i="32" a="1"/>
  <c r="M294" i="32" s="1"/>
  <c r="D294" i="32" s="1"/>
  <c r="N294" i="32" a="1"/>
  <c r="N294" i="32" s="1"/>
  <c r="E294" i="32" s="1"/>
  <c r="N308" i="32" a="1"/>
  <c r="N308" i="32" s="1"/>
  <c r="E308" i="32" s="1"/>
  <c r="O308" i="32" a="1"/>
  <c r="O308" i="32" s="1"/>
  <c r="M308" i="32" a="1"/>
  <c r="M308" i="32" s="1"/>
  <c r="D308" i="32" s="1"/>
  <c r="O304" i="32" a="1"/>
  <c r="O304" i="32" s="1"/>
  <c r="N304" i="32" a="1"/>
  <c r="N304" i="32" s="1"/>
  <c r="E304" i="32" s="1"/>
  <c r="M304" i="32" a="1"/>
  <c r="M304" i="32" s="1"/>
  <c r="D304" i="32" s="1"/>
  <c r="O298" i="32" a="1"/>
  <c r="O298" i="32" s="1"/>
  <c r="N298" i="32" a="1"/>
  <c r="N298" i="32" s="1"/>
  <c r="E298" i="32" s="1"/>
  <c r="M298" i="32" a="1"/>
  <c r="M298" i="32" s="1"/>
  <c r="D298" i="32" s="1"/>
  <c r="O296" i="32" a="1"/>
  <c r="O296" i="32" s="1"/>
  <c r="M296" i="32" a="1"/>
  <c r="M296" i="32" s="1"/>
  <c r="D296" i="32" s="1"/>
  <c r="N296" i="32" a="1"/>
  <c r="N296" i="32" s="1"/>
  <c r="E296" i="32" s="1"/>
  <c r="M292" i="32" a="1"/>
  <c r="M292" i="32" s="1"/>
  <c r="D292" i="32" s="1"/>
  <c r="O292" i="32" a="1"/>
  <c r="O292" i="32" s="1"/>
  <c r="N292" i="32" a="1"/>
  <c r="N292" i="32" s="1"/>
  <c r="E292" i="32" s="1"/>
  <c r="M306" i="32" a="1"/>
  <c r="M306" i="32" s="1"/>
  <c r="D306" i="32" s="1"/>
  <c r="O306" i="32" a="1"/>
  <c r="O306" i="32" s="1"/>
  <c r="N306" i="32" a="1"/>
  <c r="N306" i="32" s="1"/>
  <c r="E306" i="32" s="1"/>
  <c r="O302" i="32" a="1"/>
  <c r="O302" i="32" s="1"/>
  <c r="M302" i="32" a="1"/>
  <c r="M302" i="32" s="1"/>
  <c r="D302" i="32" s="1"/>
  <c r="N302" i="32" a="1"/>
  <c r="N302" i="32" s="1"/>
  <c r="E302" i="32" s="1"/>
  <c r="M300" i="32" a="1"/>
  <c r="M300" i="32" s="1"/>
  <c r="D300" i="32" s="1"/>
  <c r="N300" i="32" a="1"/>
  <c r="N300" i="32" s="1"/>
  <c r="E300" i="32" s="1"/>
  <c r="O300" i="32" a="1"/>
  <c r="O300" i="32" s="1"/>
  <c r="M290" i="32" a="1"/>
  <c r="M290" i="32" s="1"/>
  <c r="D290" i="32" s="1"/>
  <c r="O290" i="32" a="1"/>
  <c r="O290" i="32" s="1"/>
  <c r="N290" i="32" a="1"/>
  <c r="N290" i="32" s="1"/>
  <c r="E290" i="32" s="1"/>
  <c r="Q208" i="32"/>
  <c r="A3062" i="27"/>
  <c r="Q819" i="32"/>
  <c r="F3694" i="27" l="1"/>
  <c r="L843" i="27"/>
  <c r="K843" i="27"/>
  <c r="J843" i="27"/>
  <c r="I843" i="27"/>
  <c r="E844" i="27"/>
  <c r="A842" i="27"/>
  <c r="I237" i="16" a="1"/>
  <c r="I237" i="16" s="1"/>
  <c r="J236" i="16" a="1"/>
  <c r="J236" i="16" s="1"/>
  <c r="H72" i="16" a="1"/>
  <c r="H72" i="16" s="1"/>
  <c r="I71" i="16" a="1"/>
  <c r="I71" i="16" s="1"/>
  <c r="Q210" i="32"/>
  <c r="Q821" i="32"/>
  <c r="F3695" i="27" l="1"/>
  <c r="A843" i="27"/>
  <c r="K844" i="27"/>
  <c r="L844" i="27"/>
  <c r="J844" i="27"/>
  <c r="I844" i="27"/>
  <c r="E845" i="27"/>
  <c r="I238" i="16" a="1"/>
  <c r="I238" i="16" s="1"/>
  <c r="J237" i="16" a="1"/>
  <c r="J237" i="16" s="1"/>
  <c r="H73" i="16" a="1"/>
  <c r="H73" i="16" s="1"/>
  <c r="I72" i="16" a="1"/>
  <c r="I72" i="16" s="1"/>
  <c r="Q212" i="32"/>
  <c r="Q823" i="32"/>
  <c r="F3696" i="27" l="1"/>
  <c r="A844" i="27"/>
  <c r="L845" i="27"/>
  <c r="K845" i="27"/>
  <c r="J845" i="27"/>
  <c r="E846" i="27"/>
  <c r="I845" i="27"/>
  <c r="I239" i="16" a="1"/>
  <c r="I239" i="16" s="1"/>
  <c r="J238" i="16" a="1"/>
  <c r="J238" i="16" s="1"/>
  <c r="H74" i="16" a="1"/>
  <c r="H74" i="16" s="1"/>
  <c r="I73" i="16" a="1"/>
  <c r="I73" i="16" s="1"/>
  <c r="Q214" i="32"/>
  <c r="Q825" i="32"/>
  <c r="F3697" i="27" l="1"/>
  <c r="A845" i="27"/>
  <c r="L846" i="27"/>
  <c r="J846" i="27"/>
  <c r="K846" i="27"/>
  <c r="I846" i="27"/>
  <c r="E847" i="27"/>
  <c r="I240" i="16" a="1"/>
  <c r="I240" i="16" s="1"/>
  <c r="J239" i="16" a="1"/>
  <c r="J239" i="16" s="1"/>
  <c r="H75" i="16" a="1"/>
  <c r="H75" i="16" s="1"/>
  <c r="I74" i="16" a="1"/>
  <c r="I74" i="16" s="1"/>
  <c r="Q216" i="32"/>
  <c r="Q827" i="32"/>
  <c r="F3699" i="27" l="1"/>
  <c r="F3698" i="27"/>
  <c r="A846" i="27"/>
  <c r="K847" i="27"/>
  <c r="J847" i="27"/>
  <c r="L847" i="27"/>
  <c r="I847" i="27"/>
  <c r="E848" i="27"/>
  <c r="I241" i="16" a="1"/>
  <c r="I241" i="16" s="1"/>
  <c r="J240" i="16" a="1"/>
  <c r="J240" i="16" s="1"/>
  <c r="H76" i="16" a="1"/>
  <c r="H76" i="16" s="1"/>
  <c r="I75" i="16" a="1"/>
  <c r="I75" i="16" s="1"/>
  <c r="Q218" i="32"/>
  <c r="Q829" i="32"/>
  <c r="F3700" i="27" l="1"/>
  <c r="K848" i="27"/>
  <c r="J848" i="27"/>
  <c r="L848" i="27"/>
  <c r="I848" i="27"/>
  <c r="E849" i="27"/>
  <c r="A847" i="27"/>
  <c r="I242" i="16" a="1"/>
  <c r="I242" i="16" s="1"/>
  <c r="J242" i="16" s="1" a="1"/>
  <c r="J242" i="16" s="1"/>
  <c r="J241" i="16" a="1"/>
  <c r="J241" i="16" s="1"/>
  <c r="H77" i="16" a="1"/>
  <c r="H77" i="16" s="1"/>
  <c r="I76" i="16" a="1"/>
  <c r="I76" i="16" s="1"/>
  <c r="Q220" i="32"/>
  <c r="Q831" i="32"/>
  <c r="F3701" i="27" l="1"/>
  <c r="A848" i="27"/>
  <c r="K849" i="27"/>
  <c r="L849" i="27"/>
  <c r="I849" i="27"/>
  <c r="J849" i="27"/>
  <c r="E850" i="27"/>
  <c r="H78" i="16" a="1"/>
  <c r="H78" i="16" s="1"/>
  <c r="I77" i="16" a="1"/>
  <c r="I77" i="16" s="1"/>
  <c r="Q222" i="32"/>
  <c r="Q833" i="32"/>
  <c r="F3702" i="27" l="1"/>
  <c r="L850" i="27"/>
  <c r="K850" i="27"/>
  <c r="I850" i="27"/>
  <c r="J850" i="27"/>
  <c r="E851" i="27"/>
  <c r="A849" i="27"/>
  <c r="H79" i="16" a="1"/>
  <c r="H79" i="16" s="1"/>
  <c r="I78" i="16" a="1"/>
  <c r="I78" i="16" s="1"/>
  <c r="Q224" i="32"/>
  <c r="Q835" i="32"/>
  <c r="F3703" i="27" l="1"/>
  <c r="K851" i="27"/>
  <c r="L851" i="27"/>
  <c r="I851" i="27"/>
  <c r="E852" i="27"/>
  <c r="J851" i="27"/>
  <c r="A850" i="27"/>
  <c r="H80" i="16" a="1"/>
  <c r="H80" i="16" s="1"/>
  <c r="I79" i="16" a="1"/>
  <c r="I79" i="16" s="1"/>
  <c r="Q226" i="32"/>
  <c r="Q837" i="32"/>
  <c r="F3705" i="27" l="1"/>
  <c r="F3704" i="27"/>
  <c r="K852" i="27"/>
  <c r="L852" i="27"/>
  <c r="I852" i="27"/>
  <c r="J852" i="27"/>
  <c r="E853" i="27"/>
  <c r="A851" i="27"/>
  <c r="H81" i="16" a="1"/>
  <c r="H81" i="16" s="1"/>
  <c r="I81" i="16" s="1" a="1"/>
  <c r="I81" i="16" s="1"/>
  <c r="I80" i="16" a="1"/>
  <c r="I80" i="16" s="1"/>
  <c r="Q228" i="32"/>
  <c r="Q839" i="32"/>
  <c r="F3706" i="27" l="1"/>
  <c r="L853" i="27"/>
  <c r="I853" i="27"/>
  <c r="K853" i="27"/>
  <c r="J853" i="27"/>
  <c r="E854" i="27"/>
  <c r="A852" i="27"/>
  <c r="BP18" i="31"/>
  <c r="BP14" i="31"/>
  <c r="BP22" i="31"/>
  <c r="BP12" i="31"/>
  <c r="BP34" i="31"/>
  <c r="BP26" i="31"/>
  <c r="BP38" i="31"/>
  <c r="BP10" i="31"/>
  <c r="BP36" i="31"/>
  <c r="BP32" i="31"/>
  <c r="BP24" i="31"/>
  <c r="BP20" i="31"/>
  <c r="BP30" i="31"/>
  <c r="BP28" i="31"/>
  <c r="BP16" i="31"/>
  <c r="Q230" i="32"/>
  <c r="Q841" i="32"/>
  <c r="F3707" i="27" l="1"/>
  <c r="A853" i="27"/>
  <c r="L854" i="27"/>
  <c r="I854" i="27"/>
  <c r="K854" i="27"/>
  <c r="J854" i="27"/>
  <c r="E855" i="27"/>
  <c r="BR32" i="31"/>
  <c r="BQ32" i="31"/>
  <c r="BQ10" i="31"/>
  <c r="BR10" i="31"/>
  <c r="BQ38" i="31"/>
  <c r="BR38" i="31"/>
  <c r="BQ26" i="31"/>
  <c r="BR26" i="31"/>
  <c r="BR24" i="31"/>
  <c r="BQ24" i="31"/>
  <c r="BS24" i="31" s="1"/>
  <c r="BR34" i="31"/>
  <c r="BQ34" i="31"/>
  <c r="BS34" i="31" s="1"/>
  <c r="BR12" i="31"/>
  <c r="BQ12" i="31"/>
  <c r="BQ36" i="31"/>
  <c r="BR36" i="31"/>
  <c r="BR22" i="31"/>
  <c r="BQ22" i="31"/>
  <c r="BR16" i="31"/>
  <c r="BQ16" i="31"/>
  <c r="BS16" i="31" s="1"/>
  <c r="BQ14" i="31"/>
  <c r="BR14" i="31"/>
  <c r="BQ20" i="31"/>
  <c r="BR20" i="31"/>
  <c r="BR28" i="31"/>
  <c r="BQ28" i="31"/>
  <c r="BQ30" i="31"/>
  <c r="BR30" i="31"/>
  <c r="BQ18" i="31"/>
  <c r="BR18" i="31"/>
  <c r="Q232" i="32"/>
  <c r="Q843" i="32"/>
  <c r="BS22" i="31" l="1"/>
  <c r="F3708" i="27"/>
  <c r="L855" i="27"/>
  <c r="K855" i="27"/>
  <c r="J855" i="27"/>
  <c r="E856" i="27"/>
  <c r="I855" i="27"/>
  <c r="A854" i="27"/>
  <c r="BS14" i="31"/>
  <c r="BS26" i="31"/>
  <c r="BS36" i="31"/>
  <c r="BS18" i="31"/>
  <c r="BS38" i="31"/>
  <c r="BS10" i="31"/>
  <c r="BS30" i="31"/>
  <c r="BS28" i="31"/>
  <c r="BS12" i="31"/>
  <c r="BS32" i="31"/>
  <c r="BS20" i="31"/>
  <c r="Q234" i="32"/>
  <c r="Q845" i="32"/>
  <c r="F3709" i="27" l="1"/>
  <c r="A855" i="27"/>
  <c r="K856" i="27"/>
  <c r="L856" i="27"/>
  <c r="J856" i="27"/>
  <c r="E857" i="27"/>
  <c r="I856" i="27"/>
  <c r="Q236" i="32"/>
  <c r="Q847" i="32"/>
  <c r="F3710" i="27" l="1"/>
  <c r="F3711" i="27"/>
  <c r="A856" i="27"/>
  <c r="L857" i="27"/>
  <c r="K857" i="27"/>
  <c r="J857" i="27"/>
  <c r="E858" i="27"/>
  <c r="I857" i="27"/>
  <c r="Q238" i="32"/>
  <c r="Q849" i="32"/>
  <c r="F3712" i="27" l="1"/>
  <c r="A857" i="27"/>
  <c r="L858" i="27"/>
  <c r="J858" i="27"/>
  <c r="I858" i="27"/>
  <c r="K858" i="27"/>
  <c r="E859" i="27"/>
  <c r="Q240" i="32"/>
  <c r="Q851" i="32"/>
  <c r="F3713" i="27" l="1"/>
  <c r="A858" i="27"/>
  <c r="K859" i="27"/>
  <c r="J859" i="27"/>
  <c r="I859" i="27"/>
  <c r="L859" i="27"/>
  <c r="E860" i="27"/>
  <c r="Q242" i="32"/>
  <c r="Q853" i="32"/>
  <c r="F3714" i="27" l="1"/>
  <c r="K860" i="27"/>
  <c r="L860" i="27"/>
  <c r="J860" i="27"/>
  <c r="I860" i="27"/>
  <c r="E861" i="27"/>
  <c r="A859" i="27"/>
  <c r="Q244" i="32"/>
  <c r="Q855" i="32"/>
  <c r="F3715" i="27" l="1"/>
  <c r="K861" i="27"/>
  <c r="L861" i="27"/>
  <c r="I861" i="27"/>
  <c r="J861" i="27"/>
  <c r="E862" i="27"/>
  <c r="A860" i="27"/>
  <c r="Q246" i="32"/>
  <c r="Q857" i="32"/>
  <c r="F3716" i="27" l="1"/>
  <c r="F3717" i="27"/>
  <c r="L862" i="27"/>
  <c r="I862" i="27"/>
  <c r="K862" i="27"/>
  <c r="E863" i="27"/>
  <c r="J862" i="27"/>
  <c r="A861" i="27"/>
  <c r="A2896" i="27"/>
  <c r="Q248" i="32"/>
  <c r="A528" i="27"/>
  <c r="Q859" i="32"/>
  <c r="F3718" i="27" l="1"/>
  <c r="A862" i="27"/>
  <c r="K863" i="27"/>
  <c r="L863" i="27"/>
  <c r="I863" i="27"/>
  <c r="E864" i="27"/>
  <c r="J863" i="27"/>
  <c r="Q250" i="32"/>
  <c r="Q861" i="32"/>
  <c r="F3719" i="27" l="1"/>
  <c r="A863" i="27"/>
  <c r="K864" i="27"/>
  <c r="I864" i="27"/>
  <c r="J864" i="27"/>
  <c r="L864" i="27"/>
  <c r="E865" i="27"/>
  <c r="Q252" i="32"/>
  <c r="Q863" i="32"/>
  <c r="F3720" i="27" l="1"/>
  <c r="L865" i="27"/>
  <c r="I865" i="27"/>
  <c r="J865" i="27"/>
  <c r="K865" i="27"/>
  <c r="E866" i="27"/>
  <c r="A864" i="27"/>
  <c r="Q254" i="32"/>
  <c r="Q865" i="32"/>
  <c r="F3721" i="27" l="1"/>
  <c r="A865" i="27"/>
  <c r="L866" i="27"/>
  <c r="I866" i="27"/>
  <c r="J866" i="27"/>
  <c r="K866" i="27"/>
  <c r="E867" i="27"/>
  <c r="Q256" i="32"/>
  <c r="Q867" i="32"/>
  <c r="F3722" i="27" l="1"/>
  <c r="F3723" i="27"/>
  <c r="A866" i="27"/>
  <c r="L867" i="27"/>
  <c r="J867" i="27"/>
  <c r="K867" i="27"/>
  <c r="E868" i="27"/>
  <c r="I867" i="27"/>
  <c r="Q258" i="32"/>
  <c r="Q869" i="32"/>
  <c r="F3724" i="27" l="1"/>
  <c r="A867" i="27"/>
  <c r="K868" i="27"/>
  <c r="J868" i="27"/>
  <c r="L868" i="27"/>
  <c r="E869" i="27"/>
  <c r="I868" i="27"/>
  <c r="Q260" i="32"/>
  <c r="Q871" i="32"/>
  <c r="F3725" i="27" l="1"/>
  <c r="A868" i="27"/>
  <c r="L869" i="27"/>
  <c r="K869" i="27"/>
  <c r="J869" i="27"/>
  <c r="E870" i="27"/>
  <c r="I869" i="27"/>
  <c r="Q262" i="32"/>
  <c r="Q873" i="32"/>
  <c r="F3726" i="27" l="1"/>
  <c r="A869" i="27"/>
  <c r="L870" i="27"/>
  <c r="J870" i="27"/>
  <c r="K870" i="27"/>
  <c r="I870" i="27"/>
  <c r="E871" i="27"/>
  <c r="Q264" i="32"/>
  <c r="Q875" i="32"/>
  <c r="F3727" i="27" l="1"/>
  <c r="A870" i="27"/>
  <c r="K871" i="27"/>
  <c r="J871" i="27"/>
  <c r="I871" i="27"/>
  <c r="L871" i="27"/>
  <c r="E872" i="27"/>
  <c r="Q266" i="32"/>
  <c r="Q877" i="32"/>
  <c r="F3729" i="27" l="1"/>
  <c r="F3728" i="27"/>
  <c r="A871" i="27"/>
  <c r="K872" i="27"/>
  <c r="L872" i="27"/>
  <c r="J872" i="27"/>
  <c r="I872" i="27"/>
  <c r="E873" i="27"/>
  <c r="Q268" i="32"/>
  <c r="Q879" i="32"/>
  <c r="F3730" i="27" l="1"/>
  <c r="K873" i="27"/>
  <c r="L873" i="27"/>
  <c r="I873" i="27"/>
  <c r="J873" i="27"/>
  <c r="E874" i="27"/>
  <c r="A872" i="27"/>
  <c r="Q270" i="32"/>
  <c r="Q881" i="32"/>
  <c r="F3731" i="27" l="1"/>
  <c r="L874" i="27"/>
  <c r="I874" i="27"/>
  <c r="K874" i="27"/>
  <c r="J874" i="27"/>
  <c r="E875" i="27"/>
  <c r="A873" i="27"/>
  <c r="BE9" i="33"/>
  <c r="E49" i="39"/>
  <c r="E22" i="39"/>
  <c r="C17" i="41"/>
  <c r="C18" i="41"/>
  <c r="BE10" i="33"/>
  <c r="BD9" i="31"/>
  <c r="C32" i="40"/>
  <c r="Q272" i="32"/>
  <c r="Q883" i="32"/>
  <c r="F3732" i="27" l="1"/>
  <c r="K875" i="27"/>
  <c r="L875" i="27"/>
  <c r="I875" i="27"/>
  <c r="E876" i="27"/>
  <c r="J875" i="27"/>
  <c r="A874" i="27"/>
  <c r="C19" i="41"/>
  <c r="Q274" i="32"/>
  <c r="Q885" i="32"/>
  <c r="F3733" i="27" l="1"/>
  <c r="K876" i="27"/>
  <c r="I876" i="27"/>
  <c r="L876" i="27"/>
  <c r="J876" i="27"/>
  <c r="E877" i="27"/>
  <c r="A875" i="27"/>
  <c r="Q276" i="32"/>
  <c r="Q887" i="32"/>
  <c r="F3734" i="27" l="1"/>
  <c r="F3735" i="27"/>
  <c r="L877" i="27"/>
  <c r="I877" i="27"/>
  <c r="K877" i="27"/>
  <c r="J877" i="27"/>
  <c r="E878" i="27"/>
  <c r="A876" i="27"/>
  <c r="Q278" i="32"/>
  <c r="Q889" i="32"/>
  <c r="F3736" i="27" l="1"/>
  <c r="A877" i="27"/>
  <c r="L878" i="27"/>
  <c r="I878" i="27"/>
  <c r="K878" i="27"/>
  <c r="J878" i="27"/>
  <c r="E879" i="27"/>
  <c r="Q280" i="32"/>
  <c r="Q891" i="32"/>
  <c r="C43" i="27"/>
  <c r="F3737" i="27" l="1"/>
  <c r="L879" i="27"/>
  <c r="K879" i="27"/>
  <c r="J879" i="27"/>
  <c r="E880" i="27"/>
  <c r="I879" i="27"/>
  <c r="A878" i="27"/>
  <c r="O133" i="27"/>
  <c r="O121" i="27"/>
  <c r="O109" i="27"/>
  <c r="O97" i="27"/>
  <c r="O85" i="27"/>
  <c r="O73" i="27"/>
  <c r="O61" i="27"/>
  <c r="O49" i="27"/>
  <c r="O72" i="27"/>
  <c r="O60" i="27"/>
  <c r="O48" i="27"/>
  <c r="O66" i="27"/>
  <c r="O50" i="27"/>
  <c r="O132" i="27"/>
  <c r="O120" i="27"/>
  <c r="O108" i="27"/>
  <c r="O96" i="27"/>
  <c r="O84" i="27"/>
  <c r="O131" i="27"/>
  <c r="O119" i="27"/>
  <c r="O107" i="27"/>
  <c r="O95" i="27"/>
  <c r="O83" i="27"/>
  <c r="O71" i="27"/>
  <c r="O59" i="27"/>
  <c r="O47" i="27"/>
  <c r="O67" i="27"/>
  <c r="O114" i="27"/>
  <c r="O86" i="27"/>
  <c r="O130" i="27"/>
  <c r="O118" i="27"/>
  <c r="O106" i="27"/>
  <c r="O94" i="27"/>
  <c r="O82" i="27"/>
  <c r="O70" i="27"/>
  <c r="O58" i="27"/>
  <c r="O46" i="27"/>
  <c r="O91" i="27"/>
  <c r="O102" i="27"/>
  <c r="O110" i="27"/>
  <c r="O129" i="27"/>
  <c r="O117" i="27"/>
  <c r="O105" i="27"/>
  <c r="O93" i="27"/>
  <c r="O81" i="27"/>
  <c r="O69" i="27"/>
  <c r="O57" i="27"/>
  <c r="O45" i="27"/>
  <c r="O55" i="27"/>
  <c r="O90" i="27"/>
  <c r="O62" i="27"/>
  <c r="O128" i="27"/>
  <c r="O116" i="27"/>
  <c r="O104" i="27"/>
  <c r="O92" i="27"/>
  <c r="O80" i="27"/>
  <c r="O68" i="27"/>
  <c r="O56" i="27"/>
  <c r="O44" i="27"/>
  <c r="O127" i="27"/>
  <c r="O115" i="27"/>
  <c r="O103" i="27"/>
  <c r="O79" i="27"/>
  <c r="O126" i="27"/>
  <c r="O78" i="27"/>
  <c r="O54" i="27"/>
  <c r="O74" i="27"/>
  <c r="O125" i="27"/>
  <c r="O113" i="27"/>
  <c r="O101" i="27"/>
  <c r="O89" i="27"/>
  <c r="O77" i="27"/>
  <c r="O65" i="27"/>
  <c r="O53" i="27"/>
  <c r="O112" i="27"/>
  <c r="O64" i="27"/>
  <c r="O123" i="27"/>
  <c r="O99" i="27"/>
  <c r="O75" i="27"/>
  <c r="O51" i="27"/>
  <c r="O98" i="27"/>
  <c r="O124" i="27"/>
  <c r="O100" i="27"/>
  <c r="O88" i="27"/>
  <c r="O76" i="27"/>
  <c r="O52" i="27"/>
  <c r="O111" i="27"/>
  <c r="O87" i="27"/>
  <c r="O63" i="27"/>
  <c r="O122" i="27"/>
  <c r="Q282" i="32"/>
  <c r="Q893" i="32"/>
  <c r="F3738" i="27" l="1"/>
  <c r="A879" i="27"/>
  <c r="K880" i="27"/>
  <c r="J880" i="27"/>
  <c r="L880" i="27"/>
  <c r="E881" i="27"/>
  <c r="I880" i="27"/>
  <c r="Q284" i="32"/>
  <c r="Q895" i="32"/>
  <c r="F3739" i="27" l="1"/>
  <c r="A880" i="27"/>
  <c r="L881" i="27"/>
  <c r="K881" i="27"/>
  <c r="J881" i="27"/>
  <c r="E882" i="27"/>
  <c r="I881" i="27"/>
  <c r="Q286" i="32"/>
  <c r="Q897" i="32"/>
  <c r="L2" i="29" a="1"/>
  <c r="L2" i="29" s="1"/>
  <c r="F3741" i="27" l="1"/>
  <c r="F3740" i="27"/>
  <c r="A881" i="27"/>
  <c r="L882" i="27"/>
  <c r="K882" i="27"/>
  <c r="J882" i="27"/>
  <c r="I882" i="27"/>
  <c r="E883" i="27"/>
  <c r="Q288" i="32"/>
  <c r="Q899" i="32"/>
  <c r="L3" i="29" a="1"/>
  <c r="L3" i="29" s="1"/>
  <c r="L4" i="29" s="1" a="1"/>
  <c r="L4" i="29" s="1"/>
  <c r="F3742" i="27" l="1"/>
  <c r="K883" i="27"/>
  <c r="J883" i="27"/>
  <c r="L883" i="27"/>
  <c r="I883" i="27"/>
  <c r="E884" i="27"/>
  <c r="A882" i="27"/>
  <c r="Q290" i="32"/>
  <c r="Q901" i="32"/>
  <c r="L5" i="29" a="1"/>
  <c r="L5" i="29" s="1"/>
  <c r="F3743" i="27" l="1"/>
  <c r="A883" i="27"/>
  <c r="K884" i="27"/>
  <c r="L884" i="27"/>
  <c r="J884" i="27"/>
  <c r="I884" i="27"/>
  <c r="E885" i="27"/>
  <c r="A453" i="27"/>
  <c r="Q292" i="32"/>
  <c r="Q903" i="32"/>
  <c r="L6" i="29" a="1"/>
  <c r="L6" i="29" s="1"/>
  <c r="L7" i="29" s="1" a="1"/>
  <c r="L7" i="29" s="1"/>
  <c r="F3744" i="27" l="1"/>
  <c r="K885" i="27"/>
  <c r="L885" i="27"/>
  <c r="I885" i="27"/>
  <c r="J885" i="27"/>
  <c r="E886" i="27"/>
  <c r="A884" i="27"/>
  <c r="Q294" i="32"/>
  <c r="Q905" i="32"/>
  <c r="L8" i="29" a="1"/>
  <c r="L8" i="29" s="1"/>
  <c r="L9" i="29" s="1" a="1"/>
  <c r="L9" i="29" s="1"/>
  <c r="F3745" i="27" l="1"/>
  <c r="L886" i="27"/>
  <c r="K886" i="27"/>
  <c r="I886" i="27"/>
  <c r="J886" i="27"/>
  <c r="E887" i="27"/>
  <c r="A885" i="27"/>
  <c r="C33" i="40"/>
  <c r="BD10" i="31"/>
  <c r="E22" i="40"/>
  <c r="Q296" i="32"/>
  <c r="Q907" i="32"/>
  <c r="L10" i="29" a="1"/>
  <c r="L10" i="29" s="1"/>
  <c r="F3747" i="27" l="1"/>
  <c r="F3746" i="27"/>
  <c r="K887" i="27"/>
  <c r="L887" i="27"/>
  <c r="I887" i="27"/>
  <c r="J887" i="27"/>
  <c r="E888" i="27"/>
  <c r="A886" i="27"/>
  <c r="L1423" i="32"/>
  <c r="Q298" i="32"/>
  <c r="Q909" i="32"/>
  <c r="L11" i="29" a="1"/>
  <c r="L11" i="29" s="1"/>
  <c r="L12" i="29" s="1" a="1"/>
  <c r="L12" i="29" s="1"/>
  <c r="L13" i="29" s="1" a="1"/>
  <c r="L13" i="29" s="1"/>
  <c r="L14" i="29" s="1" a="1"/>
  <c r="L14" i="29" s="1"/>
  <c r="L15" i="29" s="1" a="1"/>
  <c r="L15" i="29" s="1"/>
  <c r="L16" i="29" s="1" a="1"/>
  <c r="L16" i="29" s="1"/>
  <c r="L17" i="29" s="1" a="1"/>
  <c r="L17" i="29" s="1"/>
  <c r="L18" i="29" s="1" a="1"/>
  <c r="L18" i="29" s="1"/>
  <c r="L19" i="29" s="1" a="1"/>
  <c r="L19" i="29" s="1"/>
  <c r="L20" i="29" s="1" a="1"/>
  <c r="L20" i="29" s="1"/>
  <c r="L21" i="29" s="1" a="1"/>
  <c r="L21" i="29" s="1"/>
  <c r="L22" i="29" s="1" a="1"/>
  <c r="L22" i="29" s="1"/>
  <c r="L23" i="29" s="1" a="1"/>
  <c r="L23" i="29" s="1"/>
  <c r="L24" i="29" s="1" a="1"/>
  <c r="L24" i="29" s="1"/>
  <c r="L25" i="29" s="1" a="1"/>
  <c r="L25" i="29" s="1"/>
  <c r="L26" i="29" s="1" a="1"/>
  <c r="L26" i="29" s="1"/>
  <c r="L27" i="29" s="1" a="1"/>
  <c r="L27" i="29" s="1"/>
  <c r="L28" i="29" s="1" a="1"/>
  <c r="L28" i="29" s="1"/>
  <c r="L29" i="29" s="1" a="1"/>
  <c r="L29" i="29" s="1"/>
  <c r="L30" i="29" s="1" a="1"/>
  <c r="L30" i="29" s="1"/>
  <c r="L31" i="29" s="1" a="1"/>
  <c r="L31" i="29" s="1"/>
  <c r="L32" i="29" s="1" a="1"/>
  <c r="L32" i="29" s="1"/>
  <c r="L33" i="29" s="1" a="1"/>
  <c r="L33" i="29" s="1"/>
  <c r="L34" i="29" s="1" a="1"/>
  <c r="L34" i="29" s="1"/>
  <c r="L35" i="29" s="1" a="1"/>
  <c r="L35" i="29" s="1"/>
  <c r="L36" i="29" s="1" a="1"/>
  <c r="L36" i="29" s="1"/>
  <c r="L37" i="29" s="1" a="1"/>
  <c r="L37" i="29" s="1"/>
  <c r="L38" i="29" s="1" a="1"/>
  <c r="L38" i="29" s="1"/>
  <c r="L39" i="29" s="1" a="1"/>
  <c r="L39" i="29" s="1"/>
  <c r="L40" i="29" s="1" a="1"/>
  <c r="L40" i="29" s="1"/>
  <c r="L41" i="29" s="1" a="1"/>
  <c r="L41" i="29" s="1"/>
  <c r="L42" i="29" s="1" a="1"/>
  <c r="L42" i="29" s="1"/>
  <c r="L43" i="29" s="1" a="1"/>
  <c r="L43" i="29" s="1"/>
  <c r="L44" i="29" s="1" a="1"/>
  <c r="L44" i="29" s="1"/>
  <c r="L45" i="29" s="1" a="1"/>
  <c r="L45" i="29" s="1"/>
  <c r="L46" i="29" s="1" a="1"/>
  <c r="L46" i="29" s="1"/>
  <c r="L47" i="29" s="1" a="1"/>
  <c r="L47" i="29" s="1"/>
  <c r="L48" i="29" s="1" a="1"/>
  <c r="L48" i="29" s="1"/>
  <c r="L49" i="29" s="1" a="1"/>
  <c r="L49" i="29" s="1"/>
  <c r="F3748" i="27" l="1"/>
  <c r="K888" i="27"/>
  <c r="I888" i="27"/>
  <c r="L888" i="27"/>
  <c r="J888" i="27"/>
  <c r="E889" i="27"/>
  <c r="A887" i="27"/>
  <c r="N1423" i="32" a="1"/>
  <c r="N1423" i="32" s="1"/>
  <c r="E1423" i="32" s="1"/>
  <c r="R1423" i="32" a="1"/>
  <c r="R1423" i="32" s="1"/>
  <c r="M1423" i="32" a="1"/>
  <c r="M1423" i="32" s="1"/>
  <c r="D1423" i="32" s="1"/>
  <c r="O1423" i="32" a="1"/>
  <c r="O1423" i="32" s="1"/>
  <c r="Q300" i="32"/>
  <c r="Q911" i="32"/>
  <c r="F3749" i="27" l="1"/>
  <c r="L889" i="27"/>
  <c r="I889" i="27"/>
  <c r="J889" i="27"/>
  <c r="K889" i="27"/>
  <c r="E890" i="27"/>
  <c r="A888" i="27"/>
  <c r="Q302" i="32"/>
  <c r="Q913" i="32"/>
  <c r="F3750" i="27" l="1"/>
  <c r="A889" i="27"/>
  <c r="L890" i="27"/>
  <c r="I890" i="27"/>
  <c r="J890" i="27"/>
  <c r="K890" i="27"/>
  <c r="E891" i="27"/>
  <c r="Q304" i="32"/>
  <c r="Q915" i="32"/>
  <c r="F3751" i="27" l="1"/>
  <c r="A890" i="27"/>
  <c r="L891" i="27"/>
  <c r="J891" i="27"/>
  <c r="I891" i="27"/>
  <c r="E892" i="27"/>
  <c r="K891" i="27"/>
  <c r="Q306" i="32"/>
  <c r="Q917" i="32"/>
  <c r="F3752" i="27" l="1"/>
  <c r="F3753" i="27"/>
  <c r="K892" i="27"/>
  <c r="L892" i="27"/>
  <c r="J892" i="27"/>
  <c r="I892" i="27"/>
  <c r="E893" i="27"/>
  <c r="A891" i="27"/>
  <c r="Q308" i="32"/>
  <c r="Q919" i="32"/>
  <c r="F3754" i="27" l="1"/>
  <c r="A892" i="27"/>
  <c r="L893" i="27"/>
  <c r="K893" i="27"/>
  <c r="J893" i="27"/>
  <c r="E894" i="27"/>
  <c r="I893" i="27"/>
  <c r="Q921" i="32"/>
  <c r="F3755" i="27" l="1"/>
  <c r="A893" i="27"/>
  <c r="L894" i="27"/>
  <c r="J894" i="27"/>
  <c r="K894" i="27"/>
  <c r="I894" i="27"/>
  <c r="E895" i="27"/>
  <c r="Q923" i="32"/>
  <c r="F3756" i="27" l="1"/>
  <c r="A894" i="27"/>
  <c r="K895" i="27"/>
  <c r="J895" i="27"/>
  <c r="L895" i="27"/>
  <c r="I895" i="27"/>
  <c r="E896" i="27"/>
  <c r="Q925" i="32"/>
  <c r="F3757" i="27" l="1"/>
  <c r="A895" i="27"/>
  <c r="K896" i="27"/>
  <c r="L896" i="27"/>
  <c r="J896" i="27"/>
  <c r="I896" i="27"/>
  <c r="E897" i="27"/>
  <c r="Q927" i="32"/>
  <c r="F3759" i="27" l="1"/>
  <c r="F3758" i="27"/>
  <c r="K897" i="27"/>
  <c r="L897" i="27"/>
  <c r="I897" i="27"/>
  <c r="J897" i="27"/>
  <c r="E898" i="27"/>
  <c r="A896" i="27"/>
  <c r="Q929" i="32"/>
  <c r="F3760" i="27" l="1"/>
  <c r="L898" i="27"/>
  <c r="I898" i="27"/>
  <c r="K898" i="27"/>
  <c r="J898" i="27"/>
  <c r="E899" i="27"/>
  <c r="A897" i="27"/>
  <c r="Q931" i="32"/>
  <c r="F3761" i="27" l="1"/>
  <c r="A898" i="27"/>
  <c r="K899" i="27"/>
  <c r="L899" i="27"/>
  <c r="I899" i="27"/>
  <c r="E900" i="27"/>
  <c r="J899" i="27"/>
  <c r="Q933" i="32"/>
  <c r="F3762" i="27" l="1"/>
  <c r="K900" i="27"/>
  <c r="L900" i="27"/>
  <c r="I900" i="27"/>
  <c r="J900" i="27"/>
  <c r="E901" i="27"/>
  <c r="A899" i="27"/>
  <c r="Q935" i="32"/>
  <c r="F3763" i="27" l="1"/>
  <c r="L901" i="27"/>
  <c r="I901" i="27"/>
  <c r="K901" i="27"/>
  <c r="J901" i="27"/>
  <c r="E902" i="27"/>
  <c r="A900" i="27"/>
  <c r="Q937" i="32"/>
  <c r="F3765" i="27" l="1"/>
  <c r="F3764" i="27"/>
  <c r="A901" i="27"/>
  <c r="L902" i="27"/>
  <c r="I902" i="27"/>
  <c r="K902" i="27"/>
  <c r="J902" i="27"/>
  <c r="E903" i="27"/>
  <c r="Q939" i="32"/>
  <c r="F3766" i="27" l="1"/>
  <c r="L903" i="27"/>
  <c r="K903" i="27"/>
  <c r="J903" i="27"/>
  <c r="E904" i="27"/>
  <c r="I903" i="27"/>
  <c r="A902" i="27"/>
  <c r="Q941" i="32"/>
  <c r="F3767" i="27" l="1"/>
  <c r="A903" i="27"/>
  <c r="K904" i="27"/>
  <c r="L904" i="27"/>
  <c r="J904" i="27"/>
  <c r="E905" i="27"/>
  <c r="I904" i="27"/>
  <c r="Q943" i="32"/>
  <c r="F3768" i="27" l="1"/>
  <c r="A904" i="27"/>
  <c r="L905" i="27"/>
  <c r="K905" i="27"/>
  <c r="J905" i="27"/>
  <c r="E906" i="27"/>
  <c r="I905" i="27"/>
  <c r="Q945" i="32"/>
  <c r="F3769" i="27" l="1"/>
  <c r="A905" i="27"/>
  <c r="L906" i="27"/>
  <c r="J906" i="27"/>
  <c r="K906" i="27"/>
  <c r="I906" i="27"/>
  <c r="E907" i="27"/>
  <c r="Q947" i="32"/>
  <c r="F3771" i="27" l="1"/>
  <c r="F3770" i="27"/>
  <c r="A906" i="27"/>
  <c r="K907" i="27"/>
  <c r="J907" i="27"/>
  <c r="I907" i="27"/>
  <c r="L907" i="27"/>
  <c r="E908" i="27"/>
  <c r="Q949" i="32"/>
  <c r="F3772" i="27" l="1"/>
  <c r="K908" i="27"/>
  <c r="L908" i="27"/>
  <c r="J908" i="27"/>
  <c r="I908" i="27"/>
  <c r="E909" i="27"/>
  <c r="A907" i="27"/>
  <c r="Q951" i="32"/>
  <c r="F3773" i="27" l="1"/>
  <c r="K909" i="27"/>
  <c r="L909" i="27"/>
  <c r="I909" i="27"/>
  <c r="J909" i="27"/>
  <c r="E910" i="27"/>
  <c r="A908" i="27"/>
  <c r="Q953" i="32"/>
  <c r="F3774" i="27" l="1"/>
  <c r="L910" i="27"/>
  <c r="K910" i="27"/>
  <c r="I910" i="27"/>
  <c r="E911" i="27"/>
  <c r="J910" i="27"/>
  <c r="A909" i="27"/>
  <c r="Q955" i="32"/>
  <c r="F3775" i="27" l="1"/>
  <c r="K911" i="27"/>
  <c r="L911" i="27"/>
  <c r="I911" i="27"/>
  <c r="E912" i="27"/>
  <c r="J911" i="27"/>
  <c r="A910" i="27"/>
  <c r="Q957" i="32"/>
  <c r="F3776" i="27" l="1"/>
  <c r="F3777" i="27"/>
  <c r="A911" i="27"/>
  <c r="K912" i="27"/>
  <c r="I912" i="27"/>
  <c r="J912" i="27"/>
  <c r="L912" i="27"/>
  <c r="E913" i="27"/>
  <c r="Q959" i="32"/>
  <c r="F3778" i="27" l="1"/>
  <c r="L913" i="27"/>
  <c r="K913" i="27"/>
  <c r="I913" i="27"/>
  <c r="J913" i="27"/>
  <c r="E914" i="27"/>
  <c r="A912" i="27"/>
  <c r="Q961" i="32"/>
  <c r="F3779" i="27" l="1"/>
  <c r="L914" i="27"/>
  <c r="J914" i="27"/>
  <c r="K914" i="27"/>
  <c r="I914" i="27"/>
  <c r="E915" i="27"/>
  <c r="A913" i="27"/>
  <c r="Q963" i="32"/>
  <c r="F3780" i="27" l="1"/>
  <c r="L915" i="27"/>
  <c r="J915" i="27"/>
  <c r="E916" i="27"/>
  <c r="I915" i="27"/>
  <c r="K915" i="27"/>
  <c r="A914" i="27"/>
  <c r="Q965" i="32"/>
  <c r="F3781" i="27" l="1"/>
  <c r="A915" i="27"/>
  <c r="K916" i="27"/>
  <c r="J916" i="27"/>
  <c r="E917" i="27"/>
  <c r="I916" i="27"/>
  <c r="L916" i="27"/>
  <c r="Q967" i="32"/>
  <c r="F3782" i="27" l="1"/>
  <c r="F3783" i="27"/>
  <c r="A916" i="27"/>
  <c r="L917" i="27"/>
  <c r="K917" i="27"/>
  <c r="J917" i="27"/>
  <c r="E918" i="27"/>
  <c r="I917" i="27"/>
  <c r="Q969" i="32"/>
  <c r="F3784" i="27" l="1"/>
  <c r="A917" i="27"/>
  <c r="L918" i="27"/>
  <c r="J918" i="27"/>
  <c r="I918" i="27"/>
  <c r="K918" i="27"/>
  <c r="E919" i="27"/>
  <c r="Q971" i="32"/>
  <c r="F3785" i="27" l="1"/>
  <c r="K919" i="27"/>
  <c r="J919" i="27"/>
  <c r="I919" i="27"/>
  <c r="L919" i="27"/>
  <c r="E920" i="27"/>
  <c r="A918" i="27"/>
  <c r="Q973" i="32"/>
  <c r="F3786" i="27" l="1"/>
  <c r="K920" i="27"/>
  <c r="L920" i="27"/>
  <c r="J920" i="27"/>
  <c r="I920" i="27"/>
  <c r="E921" i="27"/>
  <c r="A919" i="27"/>
  <c r="Q975" i="32"/>
  <c r="F3787" i="27" l="1"/>
  <c r="A920" i="27"/>
  <c r="K921" i="27"/>
  <c r="L921" i="27"/>
  <c r="J921" i="27"/>
  <c r="I921" i="27"/>
  <c r="E922" i="27"/>
  <c r="Q977" i="32"/>
  <c r="F3789" i="27" l="1"/>
  <c r="F3788" i="27"/>
  <c r="A921" i="27"/>
  <c r="L922" i="27"/>
  <c r="I922" i="27"/>
  <c r="J922" i="27"/>
  <c r="K922" i="27"/>
  <c r="E923" i="27"/>
  <c r="Q979" i="32"/>
  <c r="F3790" i="27" l="1"/>
  <c r="A922" i="27"/>
  <c r="K923" i="27"/>
  <c r="L923" i="27"/>
  <c r="I923" i="27"/>
  <c r="J923" i="27"/>
  <c r="E924" i="27"/>
  <c r="Q981" i="32"/>
  <c r="F3791" i="27" l="1"/>
  <c r="K924" i="27"/>
  <c r="I924" i="27"/>
  <c r="L924" i="27"/>
  <c r="E925" i="27"/>
  <c r="J924" i="27"/>
  <c r="A923" i="27"/>
  <c r="Q983" i="32"/>
  <c r="F3792" i="27" l="1"/>
  <c r="L925" i="27"/>
  <c r="I925" i="27"/>
  <c r="K925" i="27"/>
  <c r="J925" i="27"/>
  <c r="E926" i="27"/>
  <c r="A924" i="27"/>
  <c r="Q985" i="32"/>
  <c r="F3793" i="27" l="1"/>
  <c r="A925" i="27"/>
  <c r="L926" i="27"/>
  <c r="J926" i="27"/>
  <c r="I926" i="27"/>
  <c r="K926" i="27"/>
  <c r="E927" i="27"/>
  <c r="Q987" i="32"/>
  <c r="F3794" i="27" l="1"/>
  <c r="F3795" i="27"/>
  <c r="L927" i="27"/>
  <c r="J927" i="27"/>
  <c r="K927" i="27"/>
  <c r="E928" i="27"/>
  <c r="I927" i="27"/>
  <c r="A926" i="27"/>
  <c r="Q989" i="32"/>
  <c r="F3796" i="27" l="1"/>
  <c r="A927" i="27"/>
  <c r="K928" i="27"/>
  <c r="L928" i="27"/>
  <c r="J928" i="27"/>
  <c r="E929" i="27"/>
  <c r="I928" i="27"/>
  <c r="Q991" i="32"/>
  <c r="F3797" i="27" l="1"/>
  <c r="A928" i="27"/>
  <c r="L929" i="27"/>
  <c r="K929" i="27"/>
  <c r="J929" i="27"/>
  <c r="E930" i="27"/>
  <c r="I929" i="27"/>
  <c r="Q993" i="32"/>
  <c r="E267" i="27"/>
  <c r="F3798" i="27" l="1"/>
  <c r="A929" i="27"/>
  <c r="L930" i="27"/>
  <c r="K930" i="27"/>
  <c r="J930" i="27"/>
  <c r="I930" i="27"/>
  <c r="E931" i="27"/>
  <c r="K267" i="27"/>
  <c r="N267" i="27"/>
  <c r="I267" i="27"/>
  <c r="M267" i="27"/>
  <c r="J267" i="27"/>
  <c r="AD11" i="31"/>
  <c r="Q995" i="32"/>
  <c r="L267" i="27"/>
  <c r="G267" i="27" s="1"/>
  <c r="G792" i="27"/>
  <c r="L252" i="27"/>
  <c r="F3799" i="27" l="1"/>
  <c r="A930" i="27"/>
  <c r="K931" i="27"/>
  <c r="J931" i="27"/>
  <c r="L931" i="27"/>
  <c r="I931" i="27"/>
  <c r="E932" i="27"/>
  <c r="AD13" i="31"/>
  <c r="Q997" i="32"/>
  <c r="B527" i="27"/>
  <c r="AE10" i="34"/>
  <c r="J418" i="27"/>
  <c r="M418" i="27"/>
  <c r="N430" i="27"/>
  <c r="M376" i="27"/>
  <c r="I376" i="27"/>
  <c r="I443" i="27"/>
  <c r="J371" i="27"/>
  <c r="N365" i="27"/>
  <c r="M413" i="27"/>
  <c r="N383" i="27"/>
  <c r="J364" i="27"/>
  <c r="M358" i="27"/>
  <c r="N424" i="27"/>
  <c r="M424" i="27"/>
  <c r="N364" i="27"/>
  <c r="M407" i="27"/>
  <c r="M383" i="27"/>
  <c r="J437" i="27"/>
  <c r="M371" i="27"/>
  <c r="N377" i="27"/>
  <c r="N402" i="27"/>
  <c r="M444" i="27"/>
  <c r="I372" i="27"/>
  <c r="N444" i="27"/>
  <c r="N396" i="27"/>
  <c r="I402" i="27"/>
  <c r="I394" i="27"/>
  <c r="I425" i="27"/>
  <c r="I384" i="27"/>
  <c r="J366" i="27"/>
  <c r="N382" i="27"/>
  <c r="N407" i="27"/>
  <c r="N442" i="27"/>
  <c r="M360" i="27"/>
  <c r="N414" i="27"/>
  <c r="M436" i="27"/>
  <c r="M432" i="27"/>
  <c r="I396" i="27"/>
  <c r="J442" i="27"/>
  <c r="N376" i="27"/>
  <c r="I442" i="27"/>
  <c r="N394" i="27"/>
  <c r="M400" i="27"/>
  <c r="I395" i="27"/>
  <c r="J389" i="27"/>
  <c r="J413" i="27"/>
  <c r="I431" i="27"/>
  <c r="M431" i="27"/>
  <c r="N384" i="27"/>
  <c r="M402" i="27"/>
  <c r="I444" i="27"/>
  <c r="J390" i="27"/>
  <c r="I388" i="27"/>
  <c r="I413" i="27"/>
  <c r="J408" i="27"/>
  <c r="I365" i="27"/>
  <c r="N420" i="27"/>
  <c r="N370" i="27"/>
  <c r="N359" i="27"/>
  <c r="J414" i="27"/>
  <c r="I358" i="27"/>
  <c r="J394" i="27"/>
  <c r="I377" i="27"/>
  <c r="I414" i="27"/>
  <c r="N378" i="27"/>
  <c r="I370" i="27"/>
  <c r="I400" i="27"/>
  <c r="J412" i="27"/>
  <c r="M388" i="27"/>
  <c r="N400" i="27"/>
  <c r="I401" i="27"/>
  <c r="I383" i="27"/>
  <c r="M425" i="27"/>
  <c r="M401" i="27"/>
  <c r="M419" i="27"/>
  <c r="N438" i="27"/>
  <c r="M396" i="27"/>
  <c r="J432" i="27"/>
  <c r="M420" i="27"/>
  <c r="I378" i="27"/>
  <c r="N358" i="27"/>
  <c r="J425" i="27"/>
  <c r="N425" i="27"/>
  <c r="J376" i="27"/>
  <c r="M378" i="27"/>
  <c r="J396" i="27"/>
  <c r="I382" i="27"/>
  <c r="J431" i="27"/>
  <c r="M394" i="27"/>
  <c r="I359" i="27"/>
  <c r="M366" i="27"/>
  <c r="M414" i="27"/>
  <c r="J378" i="27"/>
  <c r="J388" i="27"/>
  <c r="N406" i="27"/>
  <c r="J382" i="27"/>
  <c r="M382" i="27"/>
  <c r="N388" i="27"/>
  <c r="M377" i="27"/>
  <c r="M359" i="27"/>
  <c r="J401" i="27"/>
  <c r="I371" i="27"/>
  <c r="N395" i="27"/>
  <c r="J372" i="27"/>
  <c r="N372" i="27"/>
  <c r="I360" i="27"/>
  <c r="J420" i="27"/>
  <c r="I426" i="27"/>
  <c r="I418" i="27"/>
  <c r="J407" i="27"/>
  <c r="J426" i="27"/>
  <c r="J384" i="27"/>
  <c r="J365" i="27"/>
  <c r="N443" i="27"/>
  <c r="M370" i="27"/>
  <c r="I407" i="27"/>
  <c r="M430" i="27"/>
  <c r="N412" i="27"/>
  <c r="M364" i="27"/>
  <c r="M442" i="27"/>
  <c r="J400" i="27"/>
  <c r="N418" i="27"/>
  <c r="J359" i="27"/>
  <c r="J383" i="27"/>
  <c r="N389" i="27"/>
  <c r="N413" i="27"/>
  <c r="I389" i="27"/>
  <c r="I390" i="27"/>
  <c r="I408" i="27"/>
  <c r="I366" i="27"/>
  <c r="N360" i="27"/>
  <c r="N426" i="27"/>
  <c r="M372" i="27"/>
  <c r="J402" i="27"/>
  <c r="N366" i="27"/>
  <c r="J370" i="27"/>
  <c r="N419" i="27"/>
  <c r="I437" i="27"/>
  <c r="I438" i="27"/>
  <c r="J377" i="27"/>
  <c r="M437" i="27"/>
  <c r="M384" i="27"/>
  <c r="M412" i="27"/>
  <c r="I364" i="27"/>
  <c r="J358" i="27"/>
  <c r="J436" i="27"/>
  <c r="I412" i="27"/>
  <c r="N401" i="27"/>
  <c r="M443" i="27"/>
  <c r="M389" i="27"/>
  <c r="J395" i="27"/>
  <c r="J443" i="27"/>
  <c r="J438" i="27"/>
  <c r="M408" i="27"/>
  <c r="M406" i="27"/>
  <c r="I432" i="27"/>
  <c r="N436" i="27"/>
  <c r="N408" i="27"/>
  <c r="J424" i="27"/>
  <c r="J444" i="27"/>
  <c r="J430" i="27"/>
  <c r="I424" i="27"/>
  <c r="I436" i="27"/>
  <c r="J406" i="27"/>
  <c r="I406" i="27"/>
  <c r="M395" i="27"/>
  <c r="I419" i="27"/>
  <c r="J419" i="27"/>
  <c r="N371" i="27"/>
  <c r="M365" i="27"/>
  <c r="J360" i="27"/>
  <c r="M438" i="27"/>
  <c r="N390" i="27"/>
  <c r="M390" i="27"/>
  <c r="I420" i="27"/>
  <c r="I430" i="27"/>
  <c r="N432" i="27"/>
  <c r="N437" i="27"/>
  <c r="N431" i="27"/>
  <c r="M426" i="27"/>
  <c r="F3801" i="27" l="1"/>
  <c r="F3800" i="27"/>
  <c r="A931" i="27"/>
  <c r="K932" i="27"/>
  <c r="L932" i="27"/>
  <c r="J932" i="27"/>
  <c r="I932" i="27"/>
  <c r="E933" i="27"/>
  <c r="T37" i="31"/>
  <c r="P33" i="31"/>
  <c r="L23" i="31"/>
  <c r="T17" i="31"/>
  <c r="L13" i="31"/>
  <c r="T23" i="31"/>
  <c r="P21" i="31"/>
  <c r="P17" i="31"/>
  <c r="P23" i="31"/>
  <c r="L15" i="31"/>
  <c r="P37" i="31"/>
  <c r="L21" i="31"/>
  <c r="T21" i="31"/>
  <c r="T9" i="31"/>
  <c r="L31" i="31"/>
  <c r="P11" i="31"/>
  <c r="P29" i="31"/>
  <c r="T13" i="31"/>
  <c r="T15" i="31"/>
  <c r="P13" i="31"/>
  <c r="L25" i="31"/>
  <c r="L33" i="31"/>
  <c r="T35" i="31"/>
  <c r="L35" i="31"/>
  <c r="L9" i="31"/>
  <c r="P9" i="31"/>
  <c r="T11" i="31"/>
  <c r="T25" i="31"/>
  <c r="T31" i="31"/>
  <c r="P31" i="31"/>
  <c r="P25" i="31"/>
  <c r="P15" i="31"/>
  <c r="T29" i="31"/>
  <c r="L17" i="31"/>
  <c r="L19" i="31"/>
  <c r="L27" i="31"/>
  <c r="T33" i="31"/>
  <c r="P27" i="31"/>
  <c r="P19" i="31"/>
  <c r="L37" i="31"/>
  <c r="T19" i="31"/>
  <c r="P35" i="31"/>
  <c r="L11" i="31"/>
  <c r="T27" i="31"/>
  <c r="L29" i="31"/>
  <c r="AD15" i="31"/>
  <c r="AD17" i="31" s="1"/>
  <c r="E265" i="40"/>
  <c r="E157" i="40"/>
  <c r="E238" i="40"/>
  <c r="E211" i="40"/>
  <c r="E292" i="40"/>
  <c r="E346" i="40"/>
  <c r="E184" i="40"/>
  <c r="E49" i="40"/>
  <c r="E76" i="40"/>
  <c r="E103" i="40"/>
  <c r="E373" i="40"/>
  <c r="E400" i="40"/>
  <c r="E130" i="40"/>
  <c r="E319" i="40"/>
  <c r="A267" i="27"/>
  <c r="Q999" i="32"/>
  <c r="AE11" i="34"/>
  <c r="B528" i="27"/>
  <c r="M528" i="27"/>
  <c r="F528" i="27"/>
  <c r="G955" i="27"/>
  <c r="G933" i="27"/>
  <c r="G926" i="27"/>
  <c r="G967" i="27"/>
  <c r="G945" i="27"/>
  <c r="G915" i="27"/>
  <c r="G925" i="27"/>
  <c r="G921" i="27"/>
  <c r="G944" i="27"/>
  <c r="G914" i="27"/>
  <c r="G895" i="27"/>
  <c r="G909" i="27"/>
  <c r="G931" i="27"/>
  <c r="G932" i="27"/>
  <c r="G939" i="27"/>
  <c r="G950" i="27"/>
  <c r="G920" i="27"/>
  <c r="G961" i="27"/>
  <c r="G943" i="27"/>
  <c r="G902" i="27"/>
  <c r="G919" i="27"/>
  <c r="G949" i="27"/>
  <c r="G951" i="27"/>
  <c r="G883" i="27"/>
  <c r="G927" i="27"/>
  <c r="G908" i="27"/>
  <c r="G957" i="27"/>
  <c r="G885" i="27"/>
  <c r="G890" i="27"/>
  <c r="G897" i="27"/>
  <c r="G937" i="27"/>
  <c r="G896" i="27"/>
  <c r="G938" i="27"/>
  <c r="G968" i="27"/>
  <c r="G889" i="27"/>
  <c r="G884" i="27"/>
  <c r="G913" i="27"/>
  <c r="G901" i="27"/>
  <c r="G963" i="27"/>
  <c r="G907" i="27"/>
  <c r="G969" i="27"/>
  <c r="G962" i="27"/>
  <c r="G903" i="27"/>
  <c r="G956" i="27"/>
  <c r="G891" i="27"/>
  <c r="K384" i="27"/>
  <c r="K365" i="27"/>
  <c r="K408" i="27"/>
  <c r="K442" i="27"/>
  <c r="K437" i="27"/>
  <c r="K424" i="27"/>
  <c r="K370" i="27"/>
  <c r="K419" i="27"/>
  <c r="K426" i="27"/>
  <c r="K390" i="27"/>
  <c r="K366" i="27"/>
  <c r="K402" i="27"/>
  <c r="K372" i="27"/>
  <c r="K425" i="27"/>
  <c r="K395" i="27"/>
  <c r="K378" i="27"/>
  <c r="K407" i="27"/>
  <c r="K364" i="27"/>
  <c r="K394" i="27"/>
  <c r="K413" i="27"/>
  <c r="K389" i="27"/>
  <c r="K383" i="27"/>
  <c r="K371" i="27"/>
  <c r="K377" i="27"/>
  <c r="K414" i="27"/>
  <c r="K432" i="27"/>
  <c r="K401" i="27"/>
  <c r="K406" i="27"/>
  <c r="K420" i="27"/>
  <c r="K418" i="27"/>
  <c r="K436" i="27"/>
  <c r="K444" i="27"/>
  <c r="K376" i="27"/>
  <c r="K430" i="27"/>
  <c r="K382" i="27"/>
  <c r="K396" i="27"/>
  <c r="K400" i="27"/>
  <c r="K443" i="27"/>
  <c r="K438" i="27"/>
  <c r="K388" i="27"/>
  <c r="K358" i="27"/>
  <c r="K412" i="27"/>
  <c r="K431" i="27"/>
  <c r="K360" i="27"/>
  <c r="K359" i="27"/>
  <c r="F3802" i="27" l="1"/>
  <c r="A932" i="27"/>
  <c r="K933" i="27"/>
  <c r="L933" i="27"/>
  <c r="J933" i="27"/>
  <c r="I933" i="27"/>
  <c r="E934" i="27"/>
  <c r="N529" i="27"/>
  <c r="H528" i="27"/>
  <c r="B529" i="27"/>
  <c r="N530" i="27" s="1"/>
  <c r="A359" i="27"/>
  <c r="A360" i="27"/>
  <c r="A431" i="27"/>
  <c r="A412" i="27"/>
  <c r="A358" i="27"/>
  <c r="A388" i="27"/>
  <c r="A438" i="27"/>
  <c r="A443" i="27"/>
  <c r="A400" i="27"/>
  <c r="A396" i="27"/>
  <c r="A382" i="27"/>
  <c r="A430" i="27"/>
  <c r="A376" i="27"/>
  <c r="A444" i="27"/>
  <c r="A436" i="27"/>
  <c r="A418" i="27"/>
  <c r="A420" i="27"/>
  <c r="A406" i="27"/>
  <c r="A401" i="27"/>
  <c r="A432" i="27"/>
  <c r="A414" i="27"/>
  <c r="A377" i="27"/>
  <c r="A371" i="27"/>
  <c r="A383" i="27"/>
  <c r="A389" i="27"/>
  <c r="A413" i="27"/>
  <c r="A394" i="27"/>
  <c r="A364" i="27"/>
  <c r="A407" i="27"/>
  <c r="A378" i="27"/>
  <c r="A395" i="27"/>
  <c r="A425" i="27"/>
  <c r="A372" i="27"/>
  <c r="A402" i="27"/>
  <c r="A366" i="27"/>
  <c r="A390" i="27"/>
  <c r="A426" i="27"/>
  <c r="A419" i="27"/>
  <c r="A370" i="27"/>
  <c r="A424" i="27"/>
  <c r="A437" i="27"/>
  <c r="A442" i="27"/>
  <c r="A408" i="27"/>
  <c r="A365" i="27"/>
  <c r="A384" i="27"/>
  <c r="Q1001" i="32"/>
  <c r="C528" i="27"/>
  <c r="M529" i="27" s="1"/>
  <c r="AE12" i="34"/>
  <c r="AD19" i="31"/>
  <c r="F3803" i="27" l="1"/>
  <c r="A933" i="27"/>
  <c r="L934" i="27"/>
  <c r="J934" i="27"/>
  <c r="K934" i="27"/>
  <c r="I934" i="27"/>
  <c r="E935" i="27"/>
  <c r="B530" i="27"/>
  <c r="N531" i="27" s="1"/>
  <c r="H529" i="27"/>
  <c r="H530" i="27" s="1"/>
  <c r="M530" i="27"/>
  <c r="AY13" i="33" a="1"/>
  <c r="AY13" i="33" s="1"/>
  <c r="B63" i="41"/>
  <c r="BV13" i="33"/>
  <c r="AZ13" i="33" s="1"/>
  <c r="BC13" i="33" a="1"/>
  <c r="BC13" i="33" s="1"/>
  <c r="AP13" i="33" a="1"/>
  <c r="AP13" i="33" s="1"/>
  <c r="AN13" i="33" a="1"/>
  <c r="AN13" i="33" s="1"/>
  <c r="I13" i="33" s="1"/>
  <c r="B67" i="41" s="1"/>
  <c r="Q1003" i="32"/>
  <c r="AE13" i="34"/>
  <c r="AD21" i="31"/>
  <c r="W495" i="27"/>
  <c r="M531" i="27" l="1"/>
  <c r="F3804" i="27"/>
  <c r="K935" i="27"/>
  <c r="L935" i="27"/>
  <c r="J935" i="27"/>
  <c r="I935" i="27"/>
  <c r="E936" i="27"/>
  <c r="A934" i="27"/>
  <c r="B531" i="27"/>
  <c r="M532" i="27"/>
  <c r="AV13" i="33"/>
  <c r="AW13" i="33"/>
  <c r="AX13" i="33"/>
  <c r="AQ13" i="33"/>
  <c r="AR13" i="33"/>
  <c r="Q1005" i="32"/>
  <c r="AE14" i="34"/>
  <c r="AD23" i="31"/>
  <c r="F3805" i="27" l="1"/>
  <c r="K936" i="27"/>
  <c r="I936" i="27"/>
  <c r="L936" i="27"/>
  <c r="J936" i="27"/>
  <c r="E937" i="27"/>
  <c r="A935" i="27"/>
  <c r="B532" i="27"/>
  <c r="M533" i="27" s="1"/>
  <c r="N532" i="27"/>
  <c r="N533" i="27"/>
  <c r="H531" i="27"/>
  <c r="Q1007" i="32"/>
  <c r="AE15" i="34"/>
  <c r="AD25" i="31"/>
  <c r="H532" i="27" l="1"/>
  <c r="F3806" i="27"/>
  <c r="F3807" i="27"/>
  <c r="L937" i="27"/>
  <c r="I937" i="27"/>
  <c r="K937" i="27"/>
  <c r="J937" i="27"/>
  <c r="E938" i="27"/>
  <c r="A936" i="27"/>
  <c r="B533" i="27"/>
  <c r="Q1009" i="32"/>
  <c r="AE16" i="34"/>
  <c r="AD27" i="31"/>
  <c r="F3808" i="27" l="1"/>
  <c r="L938" i="27"/>
  <c r="J938" i="27"/>
  <c r="I938" i="27"/>
  <c r="K938" i="27"/>
  <c r="E939" i="27"/>
  <c r="A937" i="27"/>
  <c r="B534" i="27"/>
  <c r="N534" i="27"/>
  <c r="M534" i="27"/>
  <c r="H533" i="27"/>
  <c r="Q1011" i="32"/>
  <c r="AE17" i="34"/>
  <c r="AD29" i="31"/>
  <c r="F3809" i="27" l="1"/>
  <c r="L939" i="27"/>
  <c r="J939" i="27"/>
  <c r="K939" i="27"/>
  <c r="I939" i="27"/>
  <c r="E940" i="27"/>
  <c r="A938" i="27"/>
  <c r="H534" i="27"/>
  <c r="M535" i="27"/>
  <c r="N535" i="27"/>
  <c r="B535" i="27"/>
  <c r="N536" i="27" s="1"/>
  <c r="Q1013" i="32"/>
  <c r="AE18" i="34"/>
  <c r="AD31" i="31"/>
  <c r="F3810" i="27" l="1"/>
  <c r="A939" i="27"/>
  <c r="K940" i="27"/>
  <c r="L940" i="27"/>
  <c r="I940" i="27"/>
  <c r="J940" i="27"/>
  <c r="E941" i="27"/>
  <c r="B536" i="27"/>
  <c r="M536" i="27"/>
  <c r="H535" i="27"/>
  <c r="H536" i="27" s="1"/>
  <c r="Q1015" i="32"/>
  <c r="AE19" i="34"/>
  <c r="AD33" i="31"/>
  <c r="F3811" i="27" l="1"/>
  <c r="L941" i="27"/>
  <c r="K941" i="27"/>
  <c r="J941" i="27"/>
  <c r="E942" i="27"/>
  <c r="I941" i="27"/>
  <c r="A940" i="27"/>
  <c r="B537" i="27"/>
  <c r="M537" i="27"/>
  <c r="N537" i="27"/>
  <c r="Q1017" i="32"/>
  <c r="AE20" i="34"/>
  <c r="AD35" i="31"/>
  <c r="F3813" i="27" l="1"/>
  <c r="F3812" i="27"/>
  <c r="A941" i="27"/>
  <c r="L942" i="27"/>
  <c r="K942" i="27"/>
  <c r="J942" i="27"/>
  <c r="I942" i="27"/>
  <c r="E943" i="27"/>
  <c r="B538" i="27"/>
  <c r="N538" i="27"/>
  <c r="M538" i="27"/>
  <c r="H537" i="27"/>
  <c r="Q1019" i="32"/>
  <c r="AE21" i="34"/>
  <c r="AD37" i="31"/>
  <c r="H538" i="27" l="1"/>
  <c r="F3814" i="27"/>
  <c r="K943" i="27"/>
  <c r="L943" i="27"/>
  <c r="J943" i="27"/>
  <c r="I943" i="27"/>
  <c r="E944" i="27"/>
  <c r="A942" i="27"/>
  <c r="B539" i="27"/>
  <c r="N539" i="27"/>
  <c r="M539" i="27"/>
  <c r="Q1021" i="32"/>
  <c r="AE22" i="34"/>
  <c r="F3815" i="27" l="1"/>
  <c r="K944" i="27"/>
  <c r="L944" i="27"/>
  <c r="J944" i="27"/>
  <c r="I944" i="27"/>
  <c r="E945" i="27"/>
  <c r="A943" i="27"/>
  <c r="B540" i="27"/>
  <c r="M540" i="27"/>
  <c r="N540" i="27"/>
  <c r="H539" i="27"/>
  <c r="Q1023" i="32"/>
  <c r="AE23" i="34"/>
  <c r="H540" i="27" l="1"/>
  <c r="F3816" i="27"/>
  <c r="K945" i="27"/>
  <c r="L945" i="27"/>
  <c r="J945" i="27"/>
  <c r="I945" i="27"/>
  <c r="E946" i="27"/>
  <c r="A944" i="27"/>
  <c r="B541" i="27"/>
  <c r="N541" i="27"/>
  <c r="M541" i="27"/>
  <c r="Q1025" i="32"/>
  <c r="AE24" i="34"/>
  <c r="F3817" i="27" l="1"/>
  <c r="L946" i="27"/>
  <c r="J946" i="27"/>
  <c r="I946" i="27"/>
  <c r="K946" i="27"/>
  <c r="E947" i="27"/>
  <c r="A945" i="27"/>
  <c r="B542" i="27"/>
  <c r="M542" i="27"/>
  <c r="N542" i="27"/>
  <c r="H541" i="27"/>
  <c r="Q1027" i="32"/>
  <c r="AE25" i="34"/>
  <c r="H542" i="27" l="1"/>
  <c r="F3819" i="27"/>
  <c r="F3818" i="27"/>
  <c r="A946" i="27"/>
  <c r="K947" i="27"/>
  <c r="L947" i="27"/>
  <c r="J947" i="27"/>
  <c r="I947" i="27"/>
  <c r="E948" i="27"/>
  <c r="B543" i="27"/>
  <c r="M543" i="27"/>
  <c r="N543" i="27"/>
  <c r="Q1029" i="32"/>
  <c r="AE26" i="34"/>
  <c r="F3820" i="27" l="1"/>
  <c r="K948" i="27"/>
  <c r="L948" i="27"/>
  <c r="J948" i="27"/>
  <c r="I948" i="27"/>
  <c r="E949" i="27"/>
  <c r="A947" i="27"/>
  <c r="B544" i="27"/>
  <c r="N544" i="27"/>
  <c r="M544" i="27"/>
  <c r="H543" i="27"/>
  <c r="Q1031" i="32"/>
  <c r="AE27" i="34"/>
  <c r="F3821" i="27" l="1"/>
  <c r="H544" i="27"/>
  <c r="A948" i="27"/>
  <c r="L949" i="27"/>
  <c r="J949" i="27"/>
  <c r="I949" i="27"/>
  <c r="K949" i="27"/>
  <c r="E950" i="27"/>
  <c r="B545" i="27"/>
  <c r="M545" i="27"/>
  <c r="N545" i="27"/>
  <c r="Q1033" i="32"/>
  <c r="AE28" i="34"/>
  <c r="F3822" i="27" l="1"/>
  <c r="L950" i="27"/>
  <c r="J950" i="27"/>
  <c r="I950" i="27"/>
  <c r="E951" i="27"/>
  <c r="K950" i="27"/>
  <c r="A949" i="27"/>
  <c r="B546" i="27"/>
  <c r="N546" i="27"/>
  <c r="M546" i="27"/>
  <c r="H545" i="27"/>
  <c r="Q1035" i="32"/>
  <c r="AE29" i="34"/>
  <c r="F3823" i="27" l="1"/>
  <c r="H546" i="27"/>
  <c r="L951" i="27"/>
  <c r="J951" i="27"/>
  <c r="K951" i="27"/>
  <c r="E952" i="27"/>
  <c r="I951" i="27"/>
  <c r="A950" i="27"/>
  <c r="B547" i="27"/>
  <c r="M547" i="27"/>
  <c r="N547" i="27"/>
  <c r="Q1037" i="32"/>
  <c r="AE30" i="34"/>
  <c r="F3824" i="27" l="1"/>
  <c r="F3825" i="27"/>
  <c r="A951" i="27"/>
  <c r="K952" i="27"/>
  <c r="L952" i="27"/>
  <c r="J952" i="27"/>
  <c r="E953" i="27"/>
  <c r="I952" i="27"/>
  <c r="B548" i="27"/>
  <c r="N548" i="27"/>
  <c r="M548" i="27"/>
  <c r="H547" i="27"/>
  <c r="Q1039" i="32"/>
  <c r="AE31" i="34"/>
  <c r="H548" i="27" l="1"/>
  <c r="F3826" i="27"/>
  <c r="A952" i="27"/>
  <c r="L953" i="27"/>
  <c r="K953" i="27"/>
  <c r="J953" i="27"/>
  <c r="E954" i="27"/>
  <c r="I953" i="27"/>
  <c r="B549" i="27"/>
  <c r="N549" i="27"/>
  <c r="M549" i="27"/>
  <c r="Q1041" i="32"/>
  <c r="AE32" i="34"/>
  <c r="F3827" i="27" l="1"/>
  <c r="A953" i="27"/>
  <c r="L954" i="27"/>
  <c r="K954" i="27"/>
  <c r="I954" i="27"/>
  <c r="J954" i="27"/>
  <c r="E955" i="27"/>
  <c r="B550" i="27"/>
  <c r="M550" i="27"/>
  <c r="N550" i="27"/>
  <c r="H549" i="27"/>
  <c r="Q1043" i="32"/>
  <c r="AE33" i="34"/>
  <c r="H550" i="27" l="1"/>
  <c r="F3828" i="27"/>
  <c r="A954" i="27"/>
  <c r="K955" i="27"/>
  <c r="I955" i="27"/>
  <c r="J955" i="27"/>
  <c r="L955" i="27"/>
  <c r="E956" i="27"/>
  <c r="B551" i="27"/>
  <c r="N551" i="27"/>
  <c r="M551" i="27"/>
  <c r="Q1045" i="32"/>
  <c r="AE34" i="34"/>
  <c r="F3829" i="27" l="1"/>
  <c r="K956" i="27"/>
  <c r="L956" i="27"/>
  <c r="I956" i="27"/>
  <c r="J956" i="27"/>
  <c r="E957" i="27"/>
  <c r="A955" i="27"/>
  <c r="B552" i="27"/>
  <c r="M552" i="27"/>
  <c r="N552" i="27"/>
  <c r="H551" i="27"/>
  <c r="Q1047" i="32"/>
  <c r="AE35" i="34"/>
  <c r="F3831" i="27" l="1"/>
  <c r="F3830" i="27"/>
  <c r="H552" i="27"/>
  <c r="K957" i="27"/>
  <c r="L957" i="27"/>
  <c r="I957" i="27"/>
  <c r="J957" i="27"/>
  <c r="E958" i="27"/>
  <c r="A956" i="27"/>
  <c r="B553" i="27"/>
  <c r="N553" i="27"/>
  <c r="M553" i="27"/>
  <c r="Q1049" i="32"/>
  <c r="AE36" i="34"/>
  <c r="F3832" i="27" l="1"/>
  <c r="A957" i="27"/>
  <c r="L958" i="27"/>
  <c r="I958" i="27"/>
  <c r="J958" i="27"/>
  <c r="K958" i="27"/>
  <c r="E959" i="27"/>
  <c r="B554" i="27"/>
  <c r="N554" i="27"/>
  <c r="M554" i="27"/>
  <c r="H553" i="27"/>
  <c r="Q1051" i="32"/>
  <c r="AE37" i="34"/>
  <c r="H554" i="27" l="1"/>
  <c r="F3833" i="27"/>
  <c r="A958" i="27"/>
  <c r="K959" i="27"/>
  <c r="L959" i="27"/>
  <c r="I959" i="27"/>
  <c r="J959" i="27"/>
  <c r="E960" i="27"/>
  <c r="B555" i="27"/>
  <c r="M555" i="27"/>
  <c r="N555" i="27"/>
  <c r="Q1053" i="32"/>
  <c r="AE38" i="34"/>
  <c r="F3834" i="27" l="1"/>
  <c r="K960" i="27"/>
  <c r="I960" i="27"/>
  <c r="J960" i="27"/>
  <c r="E961" i="27"/>
  <c r="L960" i="27"/>
  <c r="A959" i="27"/>
  <c r="B556" i="27"/>
  <c r="M556" i="27"/>
  <c r="N556" i="27"/>
  <c r="H555" i="27"/>
  <c r="Q1055" i="32"/>
  <c r="AE39" i="34"/>
  <c r="F3835" i="27" l="1"/>
  <c r="H556" i="27"/>
  <c r="A960" i="27"/>
  <c r="L961" i="27"/>
  <c r="I961" i="27"/>
  <c r="J961" i="27"/>
  <c r="K961" i="27"/>
  <c r="E962" i="27"/>
  <c r="B557" i="27"/>
  <c r="N557" i="27"/>
  <c r="M557" i="27"/>
  <c r="Q1057" i="32"/>
  <c r="AE40" i="34"/>
  <c r="F3837" i="27" l="1"/>
  <c r="F3836" i="27"/>
  <c r="A961" i="27"/>
  <c r="L962" i="27"/>
  <c r="J962" i="27"/>
  <c r="I962" i="27"/>
  <c r="K962" i="27"/>
  <c r="E963" i="27"/>
  <c r="B558" i="27"/>
  <c r="N558" i="27"/>
  <c r="M558" i="27"/>
  <c r="H557" i="27"/>
  <c r="Q1059" i="32"/>
  <c r="AE41" i="34"/>
  <c r="H558" i="27" l="1"/>
  <c r="F3838" i="27"/>
  <c r="L963" i="27"/>
  <c r="J963" i="27"/>
  <c r="K963" i="27"/>
  <c r="E964" i="27"/>
  <c r="I963" i="27"/>
  <c r="A962" i="27"/>
  <c r="B559" i="27"/>
  <c r="M559" i="27"/>
  <c r="N559" i="27"/>
  <c r="Q1061" i="32"/>
  <c r="AE42" i="34"/>
  <c r="F3839" i="27" l="1"/>
  <c r="A963" i="27"/>
  <c r="K964" i="27"/>
  <c r="J964" i="27"/>
  <c r="E965" i="27"/>
  <c r="I964" i="27"/>
  <c r="L964" i="27"/>
  <c r="B560" i="27"/>
  <c r="N560" i="27"/>
  <c r="M560" i="27"/>
  <c r="H559" i="27"/>
  <c r="Q1063" i="32"/>
  <c r="AE43" i="34"/>
  <c r="H560" i="27" l="1"/>
  <c r="F3840" i="27"/>
  <c r="A964" i="27"/>
  <c r="L965" i="27"/>
  <c r="K965" i="27"/>
  <c r="J965" i="27"/>
  <c r="E966" i="27"/>
  <c r="I965" i="27"/>
  <c r="B561" i="27"/>
  <c r="M561" i="27"/>
  <c r="N561" i="27"/>
  <c r="Q1065" i="32"/>
  <c r="AE44" i="34"/>
  <c r="F3841" i="27" l="1"/>
  <c r="A965" i="27"/>
  <c r="L966" i="27"/>
  <c r="K966" i="27"/>
  <c r="I966" i="27"/>
  <c r="J966" i="27"/>
  <c r="E967" i="27"/>
  <c r="B562" i="27"/>
  <c r="N562" i="27"/>
  <c r="M562" i="27"/>
  <c r="H561" i="27"/>
  <c r="Q1067" i="32"/>
  <c r="AE45" i="34"/>
  <c r="H562" i="27" l="1"/>
  <c r="F3843" i="27"/>
  <c r="F3842" i="27"/>
  <c r="K967" i="27"/>
  <c r="I967" i="27"/>
  <c r="L967" i="27"/>
  <c r="J967" i="27"/>
  <c r="E968" i="27"/>
  <c r="A966" i="27"/>
  <c r="B563" i="27"/>
  <c r="M563" i="27"/>
  <c r="N563" i="27"/>
  <c r="Q1069" i="32"/>
  <c r="AE46" i="34"/>
  <c r="F3844" i="27" l="1"/>
  <c r="A967" i="27"/>
  <c r="K968" i="27"/>
  <c r="L968" i="27"/>
  <c r="I968" i="27"/>
  <c r="J968" i="27"/>
  <c r="E969" i="27"/>
  <c r="B564" i="27"/>
  <c r="M564" i="27"/>
  <c r="N564" i="27"/>
  <c r="H563" i="27"/>
  <c r="Q1071" i="32"/>
  <c r="AE47" i="34"/>
  <c r="H564" i="27" l="1"/>
  <c r="F3845" i="27"/>
  <c r="A968" i="27"/>
  <c r="K969" i="27"/>
  <c r="L969" i="27"/>
  <c r="I969" i="27"/>
  <c r="J969" i="27"/>
  <c r="E970" i="27"/>
  <c r="B565" i="27"/>
  <c r="M565" i="27"/>
  <c r="N565" i="27"/>
  <c r="Q1073" i="32"/>
  <c r="AE48" i="34"/>
  <c r="F3846" i="27" l="1"/>
  <c r="A969" i="27"/>
  <c r="L970" i="27"/>
  <c r="K970" i="27"/>
  <c r="I970" i="27"/>
  <c r="J970" i="27"/>
  <c r="E971" i="27"/>
  <c r="B566" i="27"/>
  <c r="M566" i="27"/>
  <c r="N566" i="27"/>
  <c r="H565" i="27"/>
  <c r="Q1075" i="32"/>
  <c r="AE49" i="34"/>
  <c r="F3847" i="27" l="1"/>
  <c r="H566" i="27"/>
  <c r="K971" i="27"/>
  <c r="L971" i="27"/>
  <c r="I971" i="27"/>
  <c r="J971" i="27"/>
  <c r="E972" i="27"/>
  <c r="A970" i="27"/>
  <c r="B567" i="27"/>
  <c r="N567" i="27"/>
  <c r="M567" i="27"/>
  <c r="Q1077" i="32"/>
  <c r="AE50" i="34"/>
  <c r="F3849" i="27" l="1"/>
  <c r="F3848" i="27"/>
  <c r="A971" i="27"/>
  <c r="K972" i="27"/>
  <c r="I972" i="27"/>
  <c r="J972" i="27"/>
  <c r="L972" i="27"/>
  <c r="E973" i="27"/>
  <c r="B568" i="27"/>
  <c r="M568" i="27"/>
  <c r="N568" i="27"/>
  <c r="H567" i="27"/>
  <c r="Q1079" i="32"/>
  <c r="AE51" i="34"/>
  <c r="H568" i="27" l="1"/>
  <c r="F3850" i="27"/>
  <c r="A972" i="27"/>
  <c r="L973" i="27"/>
  <c r="K973" i="27"/>
  <c r="I973" i="27"/>
  <c r="J973" i="27"/>
  <c r="E974" i="27"/>
  <c r="B569" i="27"/>
  <c r="M569" i="27"/>
  <c r="N569" i="27"/>
  <c r="Q1081" i="32"/>
  <c r="AE52" i="34"/>
  <c r="F3851" i="27" l="1"/>
  <c r="L974" i="27"/>
  <c r="J974" i="27"/>
  <c r="I974" i="27"/>
  <c r="K974" i="27"/>
  <c r="E975" i="27"/>
  <c r="A973" i="27"/>
  <c r="B570" i="27"/>
  <c r="M570" i="27"/>
  <c r="N570" i="27"/>
  <c r="H569" i="27"/>
  <c r="Q1083" i="32"/>
  <c r="AE53" i="34"/>
  <c r="F3852" i="27" l="1"/>
  <c r="H570" i="27"/>
  <c r="L975" i="27"/>
  <c r="J975" i="27"/>
  <c r="K975" i="27"/>
  <c r="E976" i="27"/>
  <c r="I975" i="27"/>
  <c r="A974" i="27"/>
  <c r="B571" i="27"/>
  <c r="M571" i="27"/>
  <c r="N571" i="27"/>
  <c r="Q1085" i="32"/>
  <c r="AE54" i="34"/>
  <c r="F3853" i="27" l="1"/>
  <c r="A975" i="27"/>
  <c r="K976" i="27"/>
  <c r="J976" i="27"/>
  <c r="L976" i="27"/>
  <c r="E977" i="27"/>
  <c r="I976" i="27"/>
  <c r="B572" i="27"/>
  <c r="N572" i="27"/>
  <c r="M572" i="27"/>
  <c r="H571" i="27"/>
  <c r="Q1087" i="32"/>
  <c r="AE55" i="34"/>
  <c r="H572" i="27" l="1"/>
  <c r="F3854" i="27"/>
  <c r="F3855" i="27"/>
  <c r="A976" i="27"/>
  <c r="L977" i="27"/>
  <c r="K977" i="27"/>
  <c r="J977" i="27"/>
  <c r="E978" i="27"/>
  <c r="I977" i="27"/>
  <c r="B573" i="27"/>
  <c r="M573" i="27"/>
  <c r="N573" i="27"/>
  <c r="Q1089" i="32"/>
  <c r="AE56" i="34"/>
  <c r="F3856" i="27" l="1"/>
  <c r="A977" i="27"/>
  <c r="L978" i="27"/>
  <c r="J978" i="27"/>
  <c r="I978" i="27"/>
  <c r="K978" i="27"/>
  <c r="E979" i="27"/>
  <c r="B574" i="27"/>
  <c r="N574" i="27"/>
  <c r="M574" i="27"/>
  <c r="H573" i="27"/>
  <c r="Q1091" i="32"/>
  <c r="AE57" i="34"/>
  <c r="H574" i="27" l="1"/>
  <c r="F3857" i="27"/>
  <c r="A978" i="27"/>
  <c r="K979" i="27"/>
  <c r="J979" i="27"/>
  <c r="L979" i="27"/>
  <c r="I979" i="27"/>
  <c r="E980" i="27"/>
  <c r="B575" i="27"/>
  <c r="M575" i="27"/>
  <c r="N575" i="27"/>
  <c r="Q1093" i="32"/>
  <c r="AE58" i="34"/>
  <c r="F3858" i="27" l="1"/>
  <c r="A979" i="27"/>
  <c r="K980" i="27"/>
  <c r="L980" i="27"/>
  <c r="I980" i="27"/>
  <c r="J980" i="27"/>
  <c r="E981" i="27"/>
  <c r="B576" i="27"/>
  <c r="N576" i="27"/>
  <c r="M576" i="27"/>
  <c r="H575" i="27"/>
  <c r="Q1095" i="32"/>
  <c r="AE59" i="34"/>
  <c r="F3859" i="27" l="1"/>
  <c r="H576" i="27"/>
  <c r="K981" i="27"/>
  <c r="L981" i="27"/>
  <c r="I981" i="27"/>
  <c r="J981" i="27"/>
  <c r="E982" i="27"/>
  <c r="A980" i="27"/>
  <c r="B577" i="27"/>
  <c r="N577" i="27"/>
  <c r="M577" i="27"/>
  <c r="Q1097" i="32"/>
  <c r="AE60" i="34"/>
  <c r="F3860" i="27" l="1"/>
  <c r="F3861" i="27"/>
  <c r="L982" i="27"/>
  <c r="I982" i="27"/>
  <c r="K982" i="27"/>
  <c r="E983" i="27"/>
  <c r="J982" i="27"/>
  <c r="A981" i="27"/>
  <c r="B578" i="27"/>
  <c r="M578" i="27"/>
  <c r="N578" i="27"/>
  <c r="H577" i="27"/>
  <c r="Q1099" i="32"/>
  <c r="AE61" i="34"/>
  <c r="F3862" i="27" l="1"/>
  <c r="H578" i="27"/>
  <c r="A982" i="27"/>
  <c r="K983" i="27"/>
  <c r="L983" i="27"/>
  <c r="I983" i="27"/>
  <c r="J983" i="27"/>
  <c r="E984" i="27"/>
  <c r="B579" i="27"/>
  <c r="M579" i="27"/>
  <c r="N579" i="27"/>
  <c r="Q1101" i="32"/>
  <c r="AE62" i="34"/>
  <c r="F3863" i="27" l="1"/>
  <c r="K984" i="27"/>
  <c r="I984" i="27"/>
  <c r="L984" i="27"/>
  <c r="J984" i="27"/>
  <c r="E985" i="27"/>
  <c r="A983" i="27"/>
  <c r="B580" i="27"/>
  <c r="M580" i="27"/>
  <c r="N580" i="27"/>
  <c r="H579" i="27"/>
  <c r="Q1103" i="32"/>
  <c r="AE63" i="34"/>
  <c r="H580" i="27" l="1"/>
  <c r="F3864" i="27"/>
  <c r="A984" i="27"/>
  <c r="L985" i="27"/>
  <c r="I985" i="27"/>
  <c r="J985" i="27"/>
  <c r="K985" i="27"/>
  <c r="E986" i="27"/>
  <c r="B581" i="27"/>
  <c r="M581" i="27"/>
  <c r="N581" i="27"/>
  <c r="Q1105" i="32"/>
  <c r="AE64" i="34"/>
  <c r="F3865" i="27" l="1"/>
  <c r="A985" i="27"/>
  <c r="L986" i="27"/>
  <c r="J986" i="27"/>
  <c r="I986" i="27"/>
  <c r="K986" i="27"/>
  <c r="E987" i="27"/>
  <c r="B582" i="27"/>
  <c r="N582" i="27"/>
  <c r="M582" i="27"/>
  <c r="H581" i="27"/>
  <c r="Q1107" i="32"/>
  <c r="AE65" i="34"/>
  <c r="H582" i="27" l="1"/>
  <c r="F3866" i="27"/>
  <c r="F3867" i="27"/>
  <c r="L987" i="27"/>
  <c r="J987" i="27"/>
  <c r="K987" i="27"/>
  <c r="I987" i="27"/>
  <c r="E988" i="27"/>
  <c r="A986" i="27"/>
  <c r="B583" i="27"/>
  <c r="N583" i="27"/>
  <c r="M583" i="27"/>
  <c r="Q1109" i="32"/>
  <c r="AE66" i="34"/>
  <c r="F3868" i="27" l="1"/>
  <c r="K988" i="27"/>
  <c r="L988" i="27"/>
  <c r="J988" i="27"/>
  <c r="I988" i="27"/>
  <c r="E989" i="27"/>
  <c r="A987" i="27"/>
  <c r="B584" i="27"/>
  <c r="M584" i="27"/>
  <c r="N584" i="27"/>
  <c r="H583" i="27"/>
  <c r="Q1111" i="32"/>
  <c r="AE67" i="34"/>
  <c r="H584" i="27" l="1"/>
  <c r="F3869" i="27"/>
  <c r="A988" i="27"/>
  <c r="L989" i="27"/>
  <c r="K989" i="27"/>
  <c r="J989" i="27"/>
  <c r="E990" i="27"/>
  <c r="I989" i="27"/>
  <c r="B585" i="27"/>
  <c r="N585" i="27"/>
  <c r="M585" i="27"/>
  <c r="Q1113" i="32"/>
  <c r="AE68" i="34"/>
  <c r="F3870" i="27" l="1"/>
  <c r="A989" i="27"/>
  <c r="L990" i="27"/>
  <c r="J990" i="27"/>
  <c r="K990" i="27"/>
  <c r="I990" i="27"/>
  <c r="E991" i="27"/>
  <c r="B586" i="27"/>
  <c r="N586" i="27"/>
  <c r="M586" i="27"/>
  <c r="H585" i="27"/>
  <c r="Q1115" i="32"/>
  <c r="AE69" i="34"/>
  <c r="F3871" i="27" l="1"/>
  <c r="H586" i="27"/>
  <c r="K991" i="27"/>
  <c r="L991" i="27"/>
  <c r="J991" i="27"/>
  <c r="I991" i="27"/>
  <c r="E992" i="27"/>
  <c r="A990" i="27"/>
  <c r="B587" i="27"/>
  <c r="M587" i="27"/>
  <c r="N587" i="27"/>
  <c r="Q1117" i="32"/>
  <c r="AE70" i="34"/>
  <c r="F3872" i="27" l="1"/>
  <c r="F3873" i="27"/>
  <c r="K992" i="27"/>
  <c r="L992" i="27"/>
  <c r="J992" i="27"/>
  <c r="I992" i="27"/>
  <c r="E993" i="27"/>
  <c r="A991" i="27"/>
  <c r="B588" i="27"/>
  <c r="N588" i="27"/>
  <c r="M588" i="27"/>
  <c r="H587" i="27"/>
  <c r="Q1119" i="32"/>
  <c r="AE71" i="34"/>
  <c r="H588" i="27" l="1"/>
  <c r="F3874" i="27"/>
  <c r="K993" i="27"/>
  <c r="L993" i="27"/>
  <c r="J993" i="27"/>
  <c r="I993" i="27"/>
  <c r="E994" i="27"/>
  <c r="A992" i="27"/>
  <c r="B589" i="27"/>
  <c r="M589" i="27"/>
  <c r="N589" i="27"/>
  <c r="Q1121" i="32"/>
  <c r="AE72" i="34"/>
  <c r="F3875" i="27" l="1"/>
  <c r="L994" i="27"/>
  <c r="J994" i="27"/>
  <c r="K994" i="27"/>
  <c r="I994" i="27"/>
  <c r="E995" i="27"/>
  <c r="A993" i="27"/>
  <c r="B590" i="27"/>
  <c r="M590" i="27"/>
  <c r="N590" i="27"/>
  <c r="H589" i="27"/>
  <c r="Q1123" i="32"/>
  <c r="AE73" i="34"/>
  <c r="F3876" i="27" l="1"/>
  <c r="H590" i="27"/>
  <c r="K995" i="27"/>
  <c r="L995" i="27"/>
  <c r="I995" i="27"/>
  <c r="J995" i="27"/>
  <c r="E996" i="27"/>
  <c r="A994" i="27"/>
  <c r="B591" i="27"/>
  <c r="N591" i="27"/>
  <c r="M591" i="27"/>
  <c r="Q1125" i="32"/>
  <c r="AE74" i="34"/>
  <c r="F3877" i="27" l="1"/>
  <c r="K996" i="27"/>
  <c r="L996" i="27"/>
  <c r="I996" i="27"/>
  <c r="J996" i="27"/>
  <c r="A995" i="27"/>
  <c r="B592" i="27"/>
  <c r="N592" i="27"/>
  <c r="M592" i="27"/>
  <c r="H591" i="27"/>
  <c r="H592" i="27" s="1"/>
  <c r="Q1127" i="32"/>
  <c r="AE75" i="34"/>
  <c r="F3878" i="27" l="1"/>
  <c r="F3879" i="27"/>
  <c r="A996" i="27"/>
  <c r="B593" i="27"/>
  <c r="N593" i="27"/>
  <c r="M593" i="27"/>
  <c r="Q1129" i="32"/>
  <c r="AE76" i="34"/>
  <c r="F3880" i="27" l="1"/>
  <c r="B594" i="27"/>
  <c r="N594" i="27"/>
  <c r="M594" i="27"/>
  <c r="H593" i="27"/>
  <c r="H594" i="27" s="1"/>
  <c r="Q1131" i="32"/>
  <c r="AE77" i="34"/>
  <c r="F3881" i="27" l="1"/>
  <c r="B595" i="27"/>
  <c r="M595" i="27"/>
  <c r="N595" i="27"/>
  <c r="Q1133" i="32"/>
  <c r="AE78" i="34"/>
  <c r="F3882" i="27" l="1"/>
  <c r="B596" i="27"/>
  <c r="N596" i="27"/>
  <c r="M596" i="27"/>
  <c r="H595" i="27"/>
  <c r="H596" i="27" s="1"/>
  <c r="Q1135" i="32"/>
  <c r="AE79" i="34"/>
  <c r="F3883" i="27" l="1"/>
  <c r="B597" i="27"/>
  <c r="N597" i="27"/>
  <c r="M597" i="27"/>
  <c r="Q1137" i="32"/>
  <c r="AE80" i="34"/>
  <c r="F3885" i="27" l="1"/>
  <c r="F3884" i="27"/>
  <c r="B598" i="27"/>
  <c r="M598" i="27"/>
  <c r="N598" i="27"/>
  <c r="H597" i="27"/>
  <c r="H598" i="27" s="1"/>
  <c r="Q1139" i="32"/>
  <c r="AE81" i="34"/>
  <c r="F3886" i="27" l="1"/>
  <c r="B599" i="27"/>
  <c r="N599" i="27"/>
  <c r="M599" i="27"/>
  <c r="Q1141" i="32"/>
  <c r="AE82" i="34"/>
  <c r="F3887" i="27" l="1"/>
  <c r="B600" i="27"/>
  <c r="N600" i="27"/>
  <c r="M600" i="27"/>
  <c r="H599" i="27"/>
  <c r="H600" i="27" s="1"/>
  <c r="Q1143" i="32"/>
  <c r="AE83" i="34"/>
  <c r="F3888" i="27" l="1"/>
  <c r="B601" i="27"/>
  <c r="N601" i="27"/>
  <c r="M601" i="27"/>
  <c r="Q1145" i="32"/>
  <c r="AE84" i="34"/>
  <c r="F3889" i="27" l="1"/>
  <c r="B602" i="27"/>
  <c r="M602" i="27"/>
  <c r="N602" i="27"/>
  <c r="H601" i="27"/>
  <c r="H602" i="27" s="1"/>
  <c r="Q1147" i="32"/>
  <c r="AE85" i="34"/>
  <c r="F3891" i="27" l="1"/>
  <c r="F3890" i="27"/>
  <c r="B603" i="27"/>
  <c r="M603" i="27"/>
  <c r="N603" i="27"/>
  <c r="Q1149" i="32"/>
  <c r="AE86" i="34"/>
  <c r="F3892" i="27" l="1"/>
  <c r="B604" i="27"/>
  <c r="M604" i="27"/>
  <c r="N604" i="27"/>
  <c r="H603" i="27"/>
  <c r="H604" i="27" s="1"/>
  <c r="Q1151" i="32"/>
  <c r="AE87" i="34"/>
  <c r="F3893" i="27" l="1"/>
  <c r="B605" i="27"/>
  <c r="M605" i="27"/>
  <c r="N605" i="27"/>
  <c r="Q1153" i="32"/>
  <c r="AE88" i="34"/>
  <c r="F3894" i="27" l="1"/>
  <c r="B606" i="27"/>
  <c r="M606" i="27"/>
  <c r="N606" i="27"/>
  <c r="H605" i="27"/>
  <c r="H606" i="27" s="1"/>
  <c r="Q1155" i="32"/>
  <c r="F3895" i="27" l="1"/>
  <c r="B607" i="27"/>
  <c r="N607" i="27"/>
  <c r="M607" i="27"/>
  <c r="Q1157" i="32"/>
  <c r="F3897" i="27" l="1"/>
  <c r="F3896" i="27"/>
  <c r="B608" i="27"/>
  <c r="M608" i="27"/>
  <c r="N608" i="27"/>
  <c r="H607" i="27"/>
  <c r="H608" i="27" s="1"/>
  <c r="Q1159" i="32"/>
  <c r="F3898" i="27" l="1"/>
  <c r="B609" i="27"/>
  <c r="M609" i="27"/>
  <c r="N609" i="27"/>
  <c r="Q1161" i="32"/>
  <c r="F3899" i="27" l="1"/>
  <c r="B610" i="27"/>
  <c r="M610" i="27"/>
  <c r="N610" i="27"/>
  <c r="H609" i="27"/>
  <c r="H610" i="27" s="1"/>
  <c r="Q1163" i="32"/>
  <c r="F3900" i="27" l="1"/>
  <c r="B611" i="27"/>
  <c r="M611" i="27"/>
  <c r="N611" i="27"/>
  <c r="Q1165" i="32"/>
  <c r="F3901" i="27" l="1"/>
  <c r="B612" i="27"/>
  <c r="N612" i="27"/>
  <c r="M612" i="27"/>
  <c r="H611" i="27"/>
  <c r="H612" i="27" s="1"/>
  <c r="Q1167" i="32"/>
  <c r="F3903" i="27" l="1"/>
  <c r="F3902" i="27"/>
  <c r="B613" i="27"/>
  <c r="M613" i="27"/>
  <c r="N613" i="27"/>
  <c r="Q1169" i="32"/>
  <c r="F3904" i="27" l="1"/>
  <c r="B614" i="27"/>
  <c r="N614" i="27"/>
  <c r="M614" i="27"/>
  <c r="H613" i="27"/>
  <c r="H614" i="27" s="1"/>
  <c r="Q1171" i="32"/>
  <c r="F3905" i="27" l="1"/>
  <c r="B615" i="27"/>
  <c r="M615" i="27"/>
  <c r="N615" i="27"/>
  <c r="Q1173" i="32"/>
  <c r="F3906" i="27" l="1"/>
  <c r="B616" i="27"/>
  <c r="N616" i="27"/>
  <c r="M616" i="27"/>
  <c r="H615" i="27"/>
  <c r="H616" i="27" s="1"/>
  <c r="Q1175" i="32"/>
  <c r="F3907" i="27" l="1"/>
  <c r="B617" i="27"/>
  <c r="M617" i="27"/>
  <c r="N617" i="27"/>
  <c r="Q1177" i="32"/>
  <c r="F3909" i="27" l="1"/>
  <c r="F3908" i="27"/>
  <c r="B618" i="27"/>
  <c r="N618" i="27"/>
  <c r="M618" i="27"/>
  <c r="H617" i="27"/>
  <c r="H618" i="27" s="1"/>
  <c r="Q1179" i="32"/>
  <c r="F3910" i="27" l="1"/>
  <c r="B619" i="27"/>
  <c r="M619" i="27"/>
  <c r="N619" i="27"/>
  <c r="Q1181" i="32"/>
  <c r="F3911" i="27" l="1"/>
  <c r="B620" i="27"/>
  <c r="M620" i="27"/>
  <c r="N620" i="27"/>
  <c r="H619" i="27"/>
  <c r="F140" i="39"/>
  <c r="AU17" i="30"/>
  <c r="E59" i="39"/>
  <c r="AT11" i="30"/>
  <c r="AS16" i="30"/>
  <c r="D114" i="39"/>
  <c r="E168" i="39"/>
  <c r="AT20" i="30"/>
  <c r="AU30" i="30"/>
  <c r="F303" i="39"/>
  <c r="AT9" i="30"/>
  <c r="E32" i="39"/>
  <c r="D383" i="39"/>
  <c r="AS35" i="30"/>
  <c r="D141" i="39"/>
  <c r="AS18" i="30"/>
  <c r="F411" i="39"/>
  <c r="AU38" i="30"/>
  <c r="D275" i="39"/>
  <c r="AS27" i="30"/>
  <c r="D195" i="39"/>
  <c r="AS22" i="30"/>
  <c r="AU12" i="30"/>
  <c r="F60" i="39"/>
  <c r="E384" i="39"/>
  <c r="AT36" i="30"/>
  <c r="F33" i="39"/>
  <c r="AU10" i="30"/>
  <c r="E87" i="39"/>
  <c r="AT14" i="30"/>
  <c r="AS19" i="30"/>
  <c r="D167" i="39"/>
  <c r="AS23" i="30"/>
  <c r="D221" i="39"/>
  <c r="F195" i="39"/>
  <c r="AU22" i="30"/>
  <c r="AT28" i="30"/>
  <c r="E276" i="39"/>
  <c r="D303" i="39"/>
  <c r="AS30" i="30"/>
  <c r="E275" i="39"/>
  <c r="AT27" i="30"/>
  <c r="D59" i="39"/>
  <c r="AS11" i="30"/>
  <c r="AT35" i="30"/>
  <c r="E383" i="39"/>
  <c r="AU34" i="30"/>
  <c r="F357" i="39"/>
  <c r="E410" i="39"/>
  <c r="AT37" i="30"/>
  <c r="F32" i="39"/>
  <c r="AU9" i="30"/>
  <c r="F222" i="39"/>
  <c r="AU24" i="30"/>
  <c r="AU35" i="30"/>
  <c r="F383" i="39"/>
  <c r="AU31" i="30"/>
  <c r="F329" i="39"/>
  <c r="AU29" i="30"/>
  <c r="F302" i="39"/>
  <c r="AS12" i="30"/>
  <c r="D60" i="39"/>
  <c r="AT23" i="30"/>
  <c r="E221" i="39"/>
  <c r="D329" i="39"/>
  <c r="AS31" i="30"/>
  <c r="AT38" i="30"/>
  <c r="E411" i="39"/>
  <c r="AT10" i="30"/>
  <c r="E33" i="39"/>
  <c r="AU16" i="30"/>
  <c r="F114" i="39"/>
  <c r="F167" i="39"/>
  <c r="AU19" i="30"/>
  <c r="AS17" i="30"/>
  <c r="D140" i="39"/>
  <c r="D87" i="39"/>
  <c r="AS14" i="30"/>
  <c r="F384" i="39"/>
  <c r="AU36" i="30"/>
  <c r="E302" i="39"/>
  <c r="AT29" i="30"/>
  <c r="AT18" i="30"/>
  <c r="E141" i="39"/>
  <c r="AU20" i="30"/>
  <c r="F168" i="39"/>
  <c r="AU28" i="30"/>
  <c r="F276" i="39"/>
  <c r="AU11" i="30"/>
  <c r="F59" i="39"/>
  <c r="AS10" i="30"/>
  <c r="D33" i="39"/>
  <c r="D302" i="39"/>
  <c r="AS29" i="30"/>
  <c r="F248" i="39"/>
  <c r="AU25" i="30"/>
  <c r="F356" i="39"/>
  <c r="AU33" i="30"/>
  <c r="AS15" i="30"/>
  <c r="D113" i="39"/>
  <c r="D357" i="39"/>
  <c r="AS34" i="30"/>
  <c r="AT31" i="30"/>
  <c r="E329" i="39"/>
  <c r="AS25" i="30"/>
  <c r="D248" i="39"/>
  <c r="E167" i="39"/>
  <c r="AT19" i="30"/>
  <c r="F275" i="39"/>
  <c r="AU27" i="30"/>
  <c r="AS13" i="30"/>
  <c r="D86" i="39"/>
  <c r="E86" i="39"/>
  <c r="AT13" i="30"/>
  <c r="AU15" i="30"/>
  <c r="F113" i="39"/>
  <c r="AU18" i="30"/>
  <c r="F141" i="39"/>
  <c r="AT12" i="30"/>
  <c r="E60" i="39"/>
  <c r="F86" i="39"/>
  <c r="AU13" i="30"/>
  <c r="E356" i="39"/>
  <c r="AT33" i="30"/>
  <c r="F249" i="39"/>
  <c r="AU26" i="30"/>
  <c r="AU23" i="30"/>
  <c r="F221" i="39"/>
  <c r="AS24" i="30"/>
  <c r="D222" i="39"/>
  <c r="AU21" i="30"/>
  <c r="F194" i="39"/>
  <c r="D356" i="39"/>
  <c r="AS33" i="30"/>
  <c r="D249" i="39"/>
  <c r="AS26" i="30"/>
  <c r="E303" i="39"/>
  <c r="AT30" i="30"/>
  <c r="AT21" i="30"/>
  <c r="E194" i="39"/>
  <c r="E330" i="39"/>
  <c r="AT32" i="30"/>
  <c r="AS32" i="30"/>
  <c r="D330" i="39"/>
  <c r="F330" i="39"/>
  <c r="AU32" i="30"/>
  <c r="AT15" i="30"/>
  <c r="E113" i="39"/>
  <c r="AS28" i="30"/>
  <c r="D276" i="39"/>
  <c r="AT25" i="30"/>
  <c r="E248" i="39"/>
  <c r="E222" i="39"/>
  <c r="AT24" i="30"/>
  <c r="F87" i="39"/>
  <c r="AU14" i="30"/>
  <c r="E195" i="39"/>
  <c r="AT22" i="30"/>
  <c r="AU37" i="30"/>
  <c r="F410" i="39"/>
  <c r="E357" i="39"/>
  <c r="AT34" i="30"/>
  <c r="AS36" i="30"/>
  <c r="D384" i="39"/>
  <c r="E249" i="39"/>
  <c r="AT26" i="30"/>
  <c r="D168" i="39"/>
  <c r="AS20" i="30"/>
  <c r="AT16" i="30"/>
  <c r="E114" i="39"/>
  <c r="AS21" i="30"/>
  <c r="D194" i="39"/>
  <c r="AT17" i="30"/>
  <c r="E140" i="39"/>
  <c r="Q1183" i="32"/>
  <c r="F3912" i="27" l="1"/>
  <c r="H620" i="27"/>
  <c r="B621" i="27"/>
  <c r="N621" i="27"/>
  <c r="M621" i="27"/>
  <c r="E32" i="40"/>
  <c r="BF9" i="31"/>
  <c r="BE22" i="31"/>
  <c r="D195" i="40"/>
  <c r="F383" i="40"/>
  <c r="BG35" i="31"/>
  <c r="D140" i="40"/>
  <c r="BE17" i="31"/>
  <c r="BH28" i="31"/>
  <c r="G276" i="40"/>
  <c r="BH18" i="31"/>
  <c r="G141" i="40"/>
  <c r="E114" i="40"/>
  <c r="BF16" i="31"/>
  <c r="BE31" i="31"/>
  <c r="D329" i="40"/>
  <c r="BG36" i="31"/>
  <c r="F384" i="40"/>
  <c r="D357" i="40"/>
  <c r="BE34" i="31"/>
  <c r="BE35" i="31"/>
  <c r="D383" i="40"/>
  <c r="E59" i="40"/>
  <c r="BF11" i="31"/>
  <c r="BF21" i="31"/>
  <c r="E194" i="40"/>
  <c r="BE32" i="31"/>
  <c r="D330" i="40"/>
  <c r="F141" i="40"/>
  <c r="BG18" i="31"/>
  <c r="F302" i="40"/>
  <c r="BG29" i="31"/>
  <c r="BF28" i="31"/>
  <c r="E276" i="40"/>
  <c r="BF33" i="31"/>
  <c r="E356" i="40"/>
  <c r="F167" i="40"/>
  <c r="BG19" i="31"/>
  <c r="D113" i="40"/>
  <c r="BE15" i="31"/>
  <c r="F222" i="40"/>
  <c r="BG24" i="31"/>
  <c r="BG26" i="31"/>
  <c r="F249" i="40"/>
  <c r="E248" i="40"/>
  <c r="BF25" i="31"/>
  <c r="G357" i="40"/>
  <c r="BH34" i="31"/>
  <c r="G222" i="40"/>
  <c r="BH24" i="31"/>
  <c r="BH22" i="31"/>
  <c r="G195" i="40"/>
  <c r="G168" i="40"/>
  <c r="BH20" i="31"/>
  <c r="F194" i="40"/>
  <c r="BG21" i="31"/>
  <c r="BG14" i="31"/>
  <c r="F87" i="40"/>
  <c r="E87" i="40"/>
  <c r="BF14" i="31"/>
  <c r="BF37" i="31"/>
  <c r="E410" i="40"/>
  <c r="BH23" i="31"/>
  <c r="G221" i="40"/>
  <c r="D248" i="40"/>
  <c r="BE25" i="31"/>
  <c r="E60" i="40"/>
  <c r="BF12" i="31"/>
  <c r="G330" i="40"/>
  <c r="BH32" i="31"/>
  <c r="D141" i="40"/>
  <c r="BE18" i="31"/>
  <c r="F411" i="40"/>
  <c r="BG38" i="31"/>
  <c r="G32" i="40"/>
  <c r="BH9" i="31"/>
  <c r="BH29" i="31"/>
  <c r="G302" i="40"/>
  <c r="BG13" i="31"/>
  <c r="F86" i="40"/>
  <c r="F113" i="40"/>
  <c r="BG15" i="31"/>
  <c r="F357" i="40"/>
  <c r="BG34" i="31"/>
  <c r="E195" i="40"/>
  <c r="BF22" i="31"/>
  <c r="E33" i="40"/>
  <c r="BF10" i="31"/>
  <c r="F33" i="40"/>
  <c r="BG10" i="31"/>
  <c r="BE38" i="31"/>
  <c r="D411" i="40"/>
  <c r="E249" i="40"/>
  <c r="BF26" i="31"/>
  <c r="BH10" i="31"/>
  <c r="G33" i="40"/>
  <c r="BE11" i="31"/>
  <c r="D59" i="40"/>
  <c r="BF17" i="31"/>
  <c r="E140" i="40"/>
  <c r="F275" i="40"/>
  <c r="BG27" i="31"/>
  <c r="BE14" i="31"/>
  <c r="D87" i="40"/>
  <c r="BG17" i="31"/>
  <c r="F140" i="40"/>
  <c r="E303" i="40"/>
  <c r="BF30" i="31"/>
  <c r="E275" i="40"/>
  <c r="BF27" i="31"/>
  <c r="D275" i="40"/>
  <c r="BE27" i="31"/>
  <c r="BE36" i="31"/>
  <c r="D384" i="40"/>
  <c r="G87" i="40"/>
  <c r="BH14" i="31"/>
  <c r="BF23" i="31"/>
  <c r="E221" i="40"/>
  <c r="G383" i="40"/>
  <c r="BH35" i="31"/>
  <c r="BH13" i="31"/>
  <c r="G86" i="40"/>
  <c r="BG32" i="31"/>
  <c r="F330" i="40"/>
  <c r="F59" i="40"/>
  <c r="BG11" i="31"/>
  <c r="BF24" i="31"/>
  <c r="E222" i="40"/>
  <c r="G114" i="40"/>
  <c r="BH16" i="31"/>
  <c r="BG23" i="31"/>
  <c r="F221" i="40"/>
  <c r="BH38" i="31"/>
  <c r="G411" i="40"/>
  <c r="F303" i="40"/>
  <c r="BG30" i="31"/>
  <c r="BF19" i="31"/>
  <c r="E167" i="40"/>
  <c r="D302" i="40"/>
  <c r="BE29" i="31"/>
  <c r="BG28" i="31"/>
  <c r="F276" i="40"/>
  <c r="BE37" i="31"/>
  <c r="D410" i="40"/>
  <c r="G60" i="40"/>
  <c r="BH12" i="31"/>
  <c r="BE23" i="31"/>
  <c r="D221" i="40"/>
  <c r="BH26" i="31"/>
  <c r="G249" i="40"/>
  <c r="D168" i="40"/>
  <c r="BE20" i="31"/>
  <c r="E86" i="40"/>
  <c r="BF13" i="31"/>
  <c r="BF35" i="31"/>
  <c r="E383" i="40"/>
  <c r="BF15" i="31"/>
  <c r="E113" i="40"/>
  <c r="BF20" i="31"/>
  <c r="E168" i="40"/>
  <c r="BH17" i="31"/>
  <c r="G140" i="40"/>
  <c r="BF32" i="31"/>
  <c r="E330" i="40"/>
  <c r="G194" i="40"/>
  <c r="BH21" i="31"/>
  <c r="BG33" i="31"/>
  <c r="F356" i="40"/>
  <c r="BH25" i="31"/>
  <c r="G248" i="40"/>
  <c r="BH36" i="31"/>
  <c r="G384" i="40"/>
  <c r="BE10" i="31"/>
  <c r="D33" i="40"/>
  <c r="G275" i="40"/>
  <c r="BH27" i="31"/>
  <c r="BG20" i="31"/>
  <c r="F168" i="40"/>
  <c r="BF34" i="31"/>
  <c r="E357" i="40"/>
  <c r="F329" i="40"/>
  <c r="BG31" i="31"/>
  <c r="BG16" i="31"/>
  <c r="F114" i="40"/>
  <c r="D60" i="40"/>
  <c r="BE12" i="31"/>
  <c r="E302" i="40"/>
  <c r="BF29" i="31"/>
  <c r="D32" i="40"/>
  <c r="BE9" i="31"/>
  <c r="D194" i="40"/>
  <c r="BE21" i="31"/>
  <c r="F410" i="40"/>
  <c r="BG37" i="31"/>
  <c r="BE30" i="31"/>
  <c r="D303" i="40"/>
  <c r="F60" i="40"/>
  <c r="BG12" i="31"/>
  <c r="BE28" i="31"/>
  <c r="D276" i="40"/>
  <c r="BE16" i="31"/>
  <c r="D114" i="40"/>
  <c r="BH33" i="31"/>
  <c r="G356" i="40"/>
  <c r="E411" i="40"/>
  <c r="BF38" i="31"/>
  <c r="BF31" i="31"/>
  <c r="E329" i="40"/>
  <c r="BE26" i="31"/>
  <c r="D249" i="40"/>
  <c r="G113" i="40"/>
  <c r="BH15" i="31"/>
  <c r="BE33" i="31"/>
  <c r="D356" i="40"/>
  <c r="G410" i="40"/>
  <c r="BH37" i="31"/>
  <c r="BH30" i="31"/>
  <c r="G303" i="40"/>
  <c r="BF36" i="31"/>
  <c r="E384" i="40"/>
  <c r="BE24" i="31"/>
  <c r="D222" i="40"/>
  <c r="BF18" i="31"/>
  <c r="E141" i="40"/>
  <c r="BG22" i="31"/>
  <c r="F195" i="40"/>
  <c r="BE19" i="31"/>
  <c r="D167" i="40"/>
  <c r="BH11" i="31"/>
  <c r="G59" i="40"/>
  <c r="BG9" i="31"/>
  <c r="F32" i="40"/>
  <c r="BG25" i="31"/>
  <c r="F248" i="40"/>
  <c r="BH31" i="31"/>
  <c r="G329" i="40"/>
  <c r="G167" i="40"/>
  <c r="BH19" i="31"/>
  <c r="BE13" i="31"/>
  <c r="D86" i="40"/>
  <c r="Q1185" i="32"/>
  <c r="F3913" i="27" l="1"/>
  <c r="B622" i="27"/>
  <c r="N622" i="27"/>
  <c r="M622" i="27"/>
  <c r="H621" i="27"/>
  <c r="AY15" i="30"/>
  <c r="E115" i="39"/>
  <c r="E196" i="39"/>
  <c r="AY21" i="30"/>
  <c r="AY19" i="30"/>
  <c r="E169" i="39"/>
  <c r="AZ33" i="30"/>
  <c r="F358" i="39"/>
  <c r="AZ35" i="30"/>
  <c r="F385" i="39"/>
  <c r="D61" i="39"/>
  <c r="AX11" i="30"/>
  <c r="D385" i="39"/>
  <c r="AX35" i="30"/>
  <c r="AZ21" i="30"/>
  <c r="F196" i="39"/>
  <c r="D142" i="39"/>
  <c r="AX17" i="30"/>
  <c r="E385" i="39"/>
  <c r="AY35" i="30"/>
  <c r="AY25" i="30"/>
  <c r="E250" i="39"/>
  <c r="F88" i="39"/>
  <c r="AZ13" i="30"/>
  <c r="F250" i="39"/>
  <c r="AZ25" i="30"/>
  <c r="AZ31" i="30"/>
  <c r="F331" i="39"/>
  <c r="AY27" i="30"/>
  <c r="E277" i="39"/>
  <c r="AX27" i="30"/>
  <c r="D277" i="39"/>
  <c r="AX33" i="30"/>
  <c r="D358" i="39"/>
  <c r="AX13" i="30"/>
  <c r="D88" i="39"/>
  <c r="D250" i="39"/>
  <c r="AX25" i="30"/>
  <c r="AX29" i="30"/>
  <c r="D304" i="39"/>
  <c r="AY23" i="30"/>
  <c r="E223" i="39"/>
  <c r="AV30" i="30"/>
  <c r="G303" i="39"/>
  <c r="AV32" i="30"/>
  <c r="G330" i="39"/>
  <c r="G222" i="39"/>
  <c r="AV24" i="30"/>
  <c r="G114" i="39"/>
  <c r="AV16" i="30"/>
  <c r="AV37" i="30"/>
  <c r="G410" i="39"/>
  <c r="AV29" i="30"/>
  <c r="G302" i="39"/>
  <c r="G194" i="39"/>
  <c r="AV21" i="30"/>
  <c r="G86" i="39"/>
  <c r="AV13" i="30"/>
  <c r="AV38" i="30"/>
  <c r="G411" i="39"/>
  <c r="AV26" i="30"/>
  <c r="G249" i="39"/>
  <c r="AV18" i="30"/>
  <c r="G141" i="39"/>
  <c r="AV10" i="30"/>
  <c r="G33" i="39"/>
  <c r="AV31" i="30"/>
  <c r="G329" i="39"/>
  <c r="AV23" i="30"/>
  <c r="G221" i="39"/>
  <c r="AV15" i="30"/>
  <c r="G113" i="39"/>
  <c r="F223" i="39"/>
  <c r="AZ23" i="30"/>
  <c r="AY31" i="30"/>
  <c r="E331" i="39"/>
  <c r="F304" i="39"/>
  <c r="AZ29" i="30"/>
  <c r="AY37" i="30"/>
  <c r="E412" i="39"/>
  <c r="D169" i="39"/>
  <c r="AX19" i="30"/>
  <c r="E61" i="39"/>
  <c r="AY11" i="30"/>
  <c r="AY17" i="30"/>
  <c r="E142" i="39"/>
  <c r="AZ11" i="30"/>
  <c r="F61" i="39"/>
  <c r="F169" i="39"/>
  <c r="AZ19" i="30"/>
  <c r="D196" i="39"/>
  <c r="AX21" i="30"/>
  <c r="AZ37" i="30"/>
  <c r="F412" i="39"/>
  <c r="AY33" i="30"/>
  <c r="E358" i="39"/>
  <c r="E88" i="39"/>
  <c r="AY13" i="30"/>
  <c r="D331" i="39"/>
  <c r="AX31" i="30"/>
  <c r="AZ9" i="30"/>
  <c r="F34" i="39"/>
  <c r="AX23" i="30"/>
  <c r="D223" i="39"/>
  <c r="AZ17" i="30"/>
  <c r="F142" i="39"/>
  <c r="AZ15" i="30"/>
  <c r="F115" i="39"/>
  <c r="AZ27" i="30"/>
  <c r="F277" i="39"/>
  <c r="D115" i="39"/>
  <c r="AX15" i="30"/>
  <c r="E304" i="39"/>
  <c r="AY29" i="30"/>
  <c r="E34" i="39"/>
  <c r="AY9" i="30"/>
  <c r="G384" i="39"/>
  <c r="AV36" i="30"/>
  <c r="G276" i="39"/>
  <c r="AV28" i="30"/>
  <c r="G168" i="39"/>
  <c r="AV20" i="30"/>
  <c r="G60" i="39"/>
  <c r="AV12" i="30"/>
  <c r="AV33" i="30"/>
  <c r="G356" i="39"/>
  <c r="G248" i="39"/>
  <c r="AV25" i="30"/>
  <c r="AV17" i="30"/>
  <c r="G140" i="39"/>
  <c r="AV9" i="30"/>
  <c r="G32" i="39"/>
  <c r="AV34" i="30"/>
  <c r="G357" i="39"/>
  <c r="G195" i="39"/>
  <c r="AV22" i="30"/>
  <c r="G87" i="39"/>
  <c r="AV14" i="30"/>
  <c r="AV35" i="30"/>
  <c r="G383" i="39"/>
  <c r="AV27" i="30"/>
  <c r="G275" i="39"/>
  <c r="AV19" i="30"/>
  <c r="G167" i="39"/>
  <c r="G59" i="39"/>
  <c r="AV11" i="30"/>
  <c r="AX37" i="30"/>
  <c r="D412" i="39"/>
  <c r="BC9" i="31"/>
  <c r="BM19" i="31"/>
  <c r="G169" i="40"/>
  <c r="BL9" i="31"/>
  <c r="F34" i="40"/>
  <c r="D358" i="40"/>
  <c r="BJ33" i="31"/>
  <c r="BM15" i="31"/>
  <c r="G115" i="40"/>
  <c r="BK29" i="31"/>
  <c r="E304" i="40"/>
  <c r="BM25" i="31"/>
  <c r="G250" i="40"/>
  <c r="BL33" i="31"/>
  <c r="F358" i="40"/>
  <c r="G142" i="40"/>
  <c r="BM17" i="31"/>
  <c r="BK15" i="31"/>
  <c r="E115" i="40"/>
  <c r="D223" i="40"/>
  <c r="BJ23" i="31"/>
  <c r="D412" i="40"/>
  <c r="BJ37" i="31"/>
  <c r="E169" i="40"/>
  <c r="BK19" i="31"/>
  <c r="BL11" i="31"/>
  <c r="F61" i="40"/>
  <c r="G385" i="40"/>
  <c r="BM35" i="31"/>
  <c r="BL17" i="31"/>
  <c r="F142" i="40"/>
  <c r="BL27" i="31"/>
  <c r="F277" i="40"/>
  <c r="E142" i="40"/>
  <c r="BK17" i="31"/>
  <c r="BJ11" i="31"/>
  <c r="D61" i="40"/>
  <c r="BL13" i="31"/>
  <c r="F88" i="40"/>
  <c r="G304" i="40"/>
  <c r="BM29" i="31"/>
  <c r="F196" i="40"/>
  <c r="BL21" i="31"/>
  <c r="E358" i="40"/>
  <c r="BK33" i="31"/>
  <c r="BL29" i="31"/>
  <c r="F304" i="40"/>
  <c r="E61" i="40"/>
  <c r="BK11" i="31"/>
  <c r="D331" i="40"/>
  <c r="BJ31" i="31"/>
  <c r="BJ17" i="31"/>
  <c r="D142" i="40"/>
  <c r="BL35" i="31"/>
  <c r="F385" i="40"/>
  <c r="D88" i="40"/>
  <c r="BJ13" i="31"/>
  <c r="G331" i="40"/>
  <c r="BM31" i="31"/>
  <c r="BL25" i="31"/>
  <c r="F250" i="40"/>
  <c r="G61" i="40"/>
  <c r="BM11" i="31"/>
  <c r="D169" i="40"/>
  <c r="BJ19" i="31"/>
  <c r="G412" i="40"/>
  <c r="BM37" i="31"/>
  <c r="E331" i="40"/>
  <c r="BK31" i="31"/>
  <c r="G358" i="40"/>
  <c r="BM33" i="31"/>
  <c r="F412" i="40"/>
  <c r="BL37" i="31"/>
  <c r="D196" i="40"/>
  <c r="BJ21" i="31"/>
  <c r="BJ9" i="31"/>
  <c r="D34" i="40"/>
  <c r="F331" i="40"/>
  <c r="BL31" i="31"/>
  <c r="BM27" i="31"/>
  <c r="G277" i="40"/>
  <c r="G196" i="40"/>
  <c r="BM21" i="31"/>
  <c r="E385" i="40"/>
  <c r="BK35" i="31"/>
  <c r="BK13" i="31"/>
  <c r="E88" i="40"/>
  <c r="D304" i="40"/>
  <c r="BJ29" i="31"/>
  <c r="BL23" i="31"/>
  <c r="F223" i="40"/>
  <c r="BM13" i="31"/>
  <c r="G88" i="40"/>
  <c r="BK23" i="31"/>
  <c r="E223" i="40"/>
  <c r="BJ27" i="31"/>
  <c r="D277" i="40"/>
  <c r="E277" i="40"/>
  <c r="BK27" i="31"/>
  <c r="F115" i="40"/>
  <c r="BL15" i="31"/>
  <c r="BM9" i="31"/>
  <c r="G34" i="40"/>
  <c r="BJ25" i="31"/>
  <c r="D250" i="40"/>
  <c r="BM23" i="31"/>
  <c r="G223" i="40"/>
  <c r="BK37" i="31"/>
  <c r="E412" i="40"/>
  <c r="E250" i="40"/>
  <c r="BK25" i="31"/>
  <c r="BJ15" i="31"/>
  <c r="D115" i="40"/>
  <c r="F169" i="40"/>
  <c r="BL19" i="31"/>
  <c r="BK21" i="31"/>
  <c r="E196" i="40"/>
  <c r="D385" i="40"/>
  <c r="BJ35" i="31"/>
  <c r="E34" i="40"/>
  <c r="BK9" i="31"/>
  <c r="AX9" i="30"/>
  <c r="D34" i="39"/>
  <c r="D32" i="39"/>
  <c r="AS9" i="30"/>
  <c r="Q1187" i="32"/>
  <c r="F3915" i="27" l="1"/>
  <c r="F3914" i="27"/>
  <c r="H622" i="27"/>
  <c r="B623" i="27"/>
  <c r="N623" i="27"/>
  <c r="M623" i="27"/>
  <c r="BA11" i="30"/>
  <c r="G61" i="39"/>
  <c r="BA27" i="30"/>
  <c r="G277" i="39"/>
  <c r="BA9" i="30"/>
  <c r="G34" i="39"/>
  <c r="BA25" i="30"/>
  <c r="G250" i="39"/>
  <c r="G115" i="39"/>
  <c r="BA15" i="30"/>
  <c r="G331" i="39"/>
  <c r="BA31" i="30"/>
  <c r="G196" i="39"/>
  <c r="BA21" i="30"/>
  <c r="BA37" i="30"/>
  <c r="G412" i="39"/>
  <c r="BA19" i="30"/>
  <c r="G169" i="39"/>
  <c r="G385" i="39"/>
  <c r="BA35" i="30"/>
  <c r="BA17" i="30"/>
  <c r="G142" i="39"/>
  <c r="G358" i="39"/>
  <c r="BA33" i="30"/>
  <c r="G223" i="39"/>
  <c r="BA23" i="30"/>
  <c r="G88" i="39"/>
  <c r="BA13" i="30"/>
  <c r="G304" i="39"/>
  <c r="BA29" i="30"/>
  <c r="Q1189" i="32"/>
  <c r="F3916" i="27" l="1"/>
  <c r="B624" i="27"/>
  <c r="N624" i="27"/>
  <c r="M624" i="27"/>
  <c r="H623" i="27"/>
  <c r="H624" i="27" s="1"/>
  <c r="Q1191" i="32"/>
  <c r="F3917" i="27" l="1"/>
  <c r="B625" i="27"/>
  <c r="N625" i="27"/>
  <c r="M625" i="27"/>
  <c r="Q1193" i="32"/>
  <c r="F3918" i="27" l="1"/>
  <c r="B626" i="27"/>
  <c r="M626" i="27"/>
  <c r="N626" i="27"/>
  <c r="H625" i="27"/>
  <c r="H626" i="27" s="1"/>
  <c r="Q1195" i="32"/>
  <c r="F3919" i="27" l="1"/>
  <c r="B627" i="27"/>
  <c r="N627" i="27"/>
  <c r="M627" i="27"/>
  <c r="Q1197" i="32"/>
  <c r="F3921" i="27" l="1"/>
  <c r="F3920" i="27"/>
  <c r="B628" i="27"/>
  <c r="M628" i="27"/>
  <c r="N628" i="27"/>
  <c r="H627" i="27"/>
  <c r="H628" i="27" s="1"/>
  <c r="Q1199" i="32"/>
  <c r="F3922" i="27" l="1"/>
  <c r="B629" i="27"/>
  <c r="N629" i="27"/>
  <c r="M629" i="27"/>
  <c r="Q1201" i="32"/>
  <c r="F3923" i="27" l="1"/>
  <c r="B630" i="27"/>
  <c r="M630" i="27"/>
  <c r="N630" i="27"/>
  <c r="H629" i="27"/>
  <c r="H630" i="27" s="1"/>
  <c r="Q1203" i="32"/>
  <c r="F3924" i="27" l="1"/>
  <c r="B631" i="27"/>
  <c r="M631" i="27"/>
  <c r="N631" i="27"/>
  <c r="Q1205" i="32"/>
  <c r="F3925" i="27" l="1"/>
  <c r="B632" i="27"/>
  <c r="N632" i="27"/>
  <c r="M632" i="27"/>
  <c r="H631" i="27"/>
  <c r="H632" i="27" s="1"/>
  <c r="Q1207" i="32"/>
  <c r="G504" i="27"/>
  <c r="R2983" i="27"/>
  <c r="L27" i="27"/>
  <c r="R3042" i="27"/>
  <c r="A731" i="32"/>
  <c r="F497" i="27"/>
  <c r="A128" i="32"/>
  <c r="F244" i="27"/>
  <c r="O496" i="27"/>
  <c r="H3568" i="27"/>
  <c r="R493" i="27"/>
  <c r="F245" i="27"/>
  <c r="J3020" i="27"/>
  <c r="Q521" i="27"/>
  <c r="A655" i="32"/>
  <c r="H3701" i="27"/>
  <c r="A510" i="32"/>
  <c r="G500" i="27"/>
  <c r="H3555" i="27"/>
  <c r="A232" i="32"/>
  <c r="H3677" i="27"/>
  <c r="I503" i="27"/>
  <c r="M243" i="27" a="1"/>
  <c r="I3797" i="27"/>
  <c r="M254" i="27" a="1"/>
  <c r="Q508" i="27"/>
  <c r="F504" i="27"/>
  <c r="A70" i="32"/>
  <c r="I3815" i="27"/>
  <c r="A190" i="32"/>
  <c r="G21" i="27"/>
  <c r="I517" i="27"/>
  <c r="H3804" i="27"/>
  <c r="H3791" i="27"/>
  <c r="O508" i="27"/>
  <c r="H3581" i="27"/>
  <c r="I3697" i="27"/>
  <c r="H3638" i="27"/>
  <c r="G518" i="27"/>
  <c r="J2992" i="27"/>
  <c r="Q510" i="27"/>
  <c r="G251" i="27"/>
  <c r="P517" i="27"/>
  <c r="G528" i="27"/>
  <c r="A332" i="32"/>
  <c r="I493" i="27"/>
  <c r="A244" i="32"/>
  <c r="A214" i="32"/>
  <c r="A657" i="32"/>
  <c r="A106" i="32"/>
  <c r="E244" i="27"/>
  <c r="I3719" i="27"/>
  <c r="A180" i="32"/>
  <c r="H3730" i="27"/>
  <c r="F3015" i="27"/>
  <c r="J3025" i="27"/>
  <c r="N501" i="27"/>
  <c r="A837" i="32"/>
  <c r="A210" i="32"/>
  <c r="G26" i="27"/>
  <c r="K511" i="27"/>
  <c r="H3761" i="27"/>
  <c r="F252" i="27"/>
  <c r="O243" i="27"/>
  <c r="A1097" i="32"/>
  <c r="K505" i="27"/>
  <c r="F3050" i="27"/>
  <c r="A390" i="32"/>
  <c r="P3039" i="27"/>
  <c r="I3621" i="27"/>
  <c r="N27" i="27"/>
  <c r="I3759" i="27"/>
  <c r="I3577" i="27"/>
  <c r="H3702" i="27"/>
  <c r="K520" i="27"/>
  <c r="A973" i="32"/>
  <c r="A653" i="32"/>
  <c r="A961" i="32"/>
  <c r="G497" i="27"/>
  <c r="H3857" i="27"/>
  <c r="R2982" i="27"/>
  <c r="I3690" i="27"/>
  <c r="A659" i="32"/>
  <c r="E495" i="27"/>
  <c r="A993" i="32"/>
  <c r="O254" i="27"/>
  <c r="A608" i="32"/>
  <c r="O512" i="27"/>
  <c r="J3044" i="27"/>
  <c r="F2997" i="27"/>
  <c r="J3031" i="27"/>
  <c r="F2982" i="27"/>
  <c r="M255" i="27" a="1"/>
  <c r="F3036" i="27"/>
  <c r="O494" i="27"/>
  <c r="I3848" i="27"/>
  <c r="A342" i="32"/>
  <c r="A857" i="32"/>
  <c r="J3054" i="27"/>
  <c r="I3571" i="27"/>
  <c r="N246" i="27"/>
  <c r="I3840" i="27"/>
  <c r="H3591" i="27"/>
  <c r="H3716" i="27"/>
  <c r="I3819" i="27"/>
  <c r="A172" i="32"/>
  <c r="A919" i="32"/>
  <c r="I3573" i="27"/>
  <c r="E246" i="27"/>
  <c r="P496" i="27"/>
  <c r="A454" i="32"/>
  <c r="P501" i="27"/>
  <c r="H3851" i="27"/>
  <c r="I3742" i="27"/>
  <c r="I3910" i="27"/>
  <c r="H3733" i="27"/>
  <c r="H3796" i="27"/>
  <c r="I3607" i="27"/>
  <c r="H3619" i="27"/>
  <c r="A627" i="32"/>
  <c r="K521" i="27"/>
  <c r="A386" i="32"/>
  <c r="G520" i="27"/>
  <c r="A1033" i="32"/>
  <c r="A661" i="32"/>
  <c r="I3606" i="27"/>
  <c r="J3029" i="27"/>
  <c r="I3652" i="27"/>
  <c r="P2995" i="27"/>
  <c r="I3693" i="27"/>
  <c r="A534" i="32"/>
  <c r="H3590" i="27"/>
  <c r="A773" i="32"/>
  <c r="R3036" i="27"/>
  <c r="F2996" i="27"/>
  <c r="H3903" i="27"/>
  <c r="H3571" i="27"/>
  <c r="F521" i="27"/>
  <c r="H251" i="27"/>
  <c r="A208" i="32"/>
  <c r="I3683" i="27"/>
  <c r="A226" i="32"/>
  <c r="G514" i="27"/>
  <c r="I3834" i="27"/>
  <c r="I3677" i="27"/>
  <c r="A414" i="32"/>
  <c r="A194" i="32"/>
  <c r="H3586" i="27"/>
  <c r="P2994" i="27"/>
  <c r="I3633" i="27"/>
  <c r="A580" i="32"/>
  <c r="A639" i="32"/>
  <c r="A807" i="32"/>
  <c r="I3775" i="27"/>
  <c r="H3744" i="27"/>
  <c r="A92" i="32"/>
  <c r="J3032" i="27"/>
  <c r="H3688" i="27"/>
  <c r="R522" i="27"/>
  <c r="A933" i="32"/>
  <c r="A629" i="32"/>
  <c r="H3617" i="27"/>
  <c r="H3819" i="27"/>
  <c r="H3892" i="27"/>
  <c r="I3723" i="27"/>
  <c r="R3044" i="27"/>
  <c r="O513" i="27"/>
  <c r="E497" i="27"/>
  <c r="N21" i="27"/>
  <c r="A110" i="32"/>
  <c r="A260" i="32"/>
  <c r="A484" i="32"/>
  <c r="I515" i="27"/>
  <c r="G28" i="27"/>
  <c r="H3762" i="27"/>
  <c r="A1101" i="32"/>
  <c r="Q493" i="27"/>
  <c r="R512" i="27"/>
  <c r="H3891" i="27"/>
  <c r="I3923" i="27"/>
  <c r="R3040" i="27"/>
  <c r="H3604" i="27"/>
  <c r="Q502" i="27"/>
  <c r="A675" i="32"/>
  <c r="I3876" i="27"/>
  <c r="H3662" i="27"/>
  <c r="L517" i="27"/>
  <c r="I3646" i="27"/>
  <c r="A150" i="32"/>
  <c r="P3037" i="27"/>
  <c r="H3739" i="27"/>
  <c r="P2992" i="27"/>
  <c r="A621" i="32"/>
  <c r="N518" i="27"/>
  <c r="E22" i="27"/>
  <c r="S505" i="27"/>
  <c r="I3623" i="27"/>
  <c r="A1041" i="32"/>
  <c r="F27" i="27"/>
  <c r="I3550" i="27"/>
  <c r="H3888" i="27"/>
  <c r="I3810" i="27"/>
  <c r="O502" i="27"/>
  <c r="P3041" i="27"/>
  <c r="H3691" i="27"/>
  <c r="O227" i="27"/>
  <c r="I3809" i="27"/>
  <c r="I3605" i="27"/>
  <c r="O514" i="27"/>
  <c r="H3698" i="27"/>
  <c r="Q519" i="27"/>
  <c r="I3598" i="27"/>
  <c r="A881" i="32"/>
  <c r="O251" i="27"/>
  <c r="A709" i="32"/>
  <c r="K32" i="27"/>
  <c r="H3750" i="27"/>
  <c r="I508" i="27"/>
  <c r="I3709" i="27"/>
  <c r="A32" i="32"/>
  <c r="I3619" i="27"/>
  <c r="A699" i="32"/>
  <c r="A44" i="32"/>
  <c r="H3612" i="27"/>
  <c r="I506" i="27"/>
  <c r="H3754" i="27"/>
  <c r="H3603" i="27"/>
  <c r="K517" i="27"/>
  <c r="F28" i="27"/>
  <c r="I3912" i="27"/>
  <c r="A366" i="32"/>
  <c r="N19" i="27"/>
  <c r="H3610" i="27"/>
  <c r="A1135" i="32"/>
  <c r="P3054" i="27"/>
  <c r="I3657" i="27"/>
  <c r="A598" i="32"/>
  <c r="I3706" i="27"/>
  <c r="H3900" i="27"/>
  <c r="A1143" i="32"/>
  <c r="A62" i="32"/>
  <c r="A570" i="32"/>
  <c r="A16" i="32"/>
  <c r="R2985" i="27"/>
  <c r="I3599" i="27"/>
  <c r="P519" i="27"/>
  <c r="I3890" i="27"/>
  <c r="P3023" i="27"/>
  <c r="H3809" i="27"/>
  <c r="H3732" i="27"/>
  <c r="I3551" i="27"/>
  <c r="G30" i="27"/>
  <c r="H3776" i="27"/>
  <c r="H3883" i="27"/>
  <c r="N506" i="27"/>
  <c r="I3821" i="27"/>
  <c r="E501" i="27"/>
  <c r="K26" i="27"/>
  <c r="A867" i="32"/>
  <c r="F3005" i="27"/>
  <c r="A536" i="32"/>
  <c r="J30" i="27"/>
  <c r="N515" i="27"/>
  <c r="H3660" i="27"/>
  <c r="I3634" i="27"/>
  <c r="A725" i="32"/>
  <c r="H3798" i="27"/>
  <c r="I3905" i="27"/>
  <c r="A572" i="32"/>
  <c r="R3023" i="27"/>
  <c r="A1045" i="32"/>
  <c r="K27" i="27"/>
  <c r="L500" i="27"/>
  <c r="F498" i="27"/>
  <c r="H3825" i="27"/>
  <c r="G249" i="27"/>
  <c r="J3056" i="27"/>
  <c r="I3692" i="27"/>
  <c r="N516" i="27"/>
  <c r="E503" i="27"/>
  <c r="I3589" i="27"/>
  <c r="M2" i="28"/>
  <c r="R3046" i="27"/>
  <c r="A264" i="32"/>
  <c r="N500" i="27"/>
  <c r="I3578" i="27"/>
  <c r="J3000" i="27"/>
  <c r="N31" i="27"/>
  <c r="L30" i="27"/>
  <c r="M251" i="27" a="1"/>
  <c r="H3880" i="27"/>
  <c r="O503" i="27"/>
  <c r="A951" i="32"/>
  <c r="F23" i="27"/>
  <c r="A1015" i="32"/>
  <c r="H3594" i="27"/>
  <c r="H3775" i="27"/>
  <c r="A442" i="32"/>
  <c r="H3771" i="27"/>
  <c r="I3643" i="27"/>
  <c r="R510" i="27"/>
  <c r="M252" i="27" a="1"/>
  <c r="A438" i="32"/>
  <c r="R3032" i="27"/>
  <c r="P3036" i="27"/>
  <c r="J2998" i="27"/>
  <c r="F24" i="27"/>
  <c r="A691" i="32"/>
  <c r="E500" i="27"/>
  <c r="O247" i="27"/>
  <c r="F3007" i="27"/>
  <c r="I3862" i="27"/>
  <c r="A384" i="32"/>
  <c r="E20" i="27"/>
  <c r="H3695" i="27"/>
  <c r="H3763" i="27"/>
  <c r="H3656" i="27"/>
  <c r="P3025" i="27"/>
  <c r="I3650" i="27"/>
  <c r="P2993" i="27"/>
  <c r="A791" i="32"/>
  <c r="H3803" i="27"/>
  <c r="I3830" i="27"/>
  <c r="R2993" i="27"/>
  <c r="H3738" i="27"/>
  <c r="P503" i="27"/>
  <c r="N250" i="27"/>
  <c r="F3027" i="27"/>
  <c r="H3871" i="27"/>
  <c r="F3049" i="27"/>
  <c r="G519" i="27"/>
  <c r="R3009" i="27"/>
  <c r="H3815" i="27"/>
  <c r="I3713" i="27"/>
  <c r="I3904" i="27"/>
  <c r="A434" i="32"/>
  <c r="H3668" i="27"/>
  <c r="L504" i="27"/>
  <c r="A22" i="32"/>
  <c r="H3849" i="27"/>
  <c r="G510" i="27"/>
  <c r="A544" i="32"/>
  <c r="O495" i="27"/>
  <c r="J20" i="27"/>
  <c r="H3684" i="27"/>
  <c r="A673" i="32"/>
  <c r="N33" i="27"/>
  <c r="P3013" i="27"/>
  <c r="I3669" i="27"/>
  <c r="F510" i="27"/>
  <c r="J3036" i="27"/>
  <c r="P2986" i="27"/>
  <c r="I3710" i="27"/>
  <c r="S500" i="27"/>
  <c r="I3786" i="27"/>
  <c r="H3913" i="27"/>
  <c r="E21" i="27"/>
  <c r="I3835" i="27"/>
  <c r="I3841" i="27"/>
  <c r="A168" i="32"/>
  <c r="F257" i="27"/>
  <c r="P515" i="27"/>
  <c r="R2978" i="27"/>
  <c r="K28" i="27"/>
  <c r="I3702" i="27"/>
  <c r="K19" i="27"/>
  <c r="A266" i="32"/>
  <c r="I3711" i="27"/>
  <c r="I507" i="27"/>
  <c r="I3889" i="27"/>
  <c r="A937" i="32"/>
  <c r="J2977" i="27"/>
  <c r="F251" i="27"/>
  <c r="J19" i="27"/>
  <c r="F505" i="27"/>
  <c r="H3663" i="27"/>
  <c r="F2983" i="27"/>
  <c r="A885" i="32"/>
  <c r="R2984" i="27"/>
  <c r="R497" i="27"/>
  <c r="I3684" i="27"/>
  <c r="A614" i="32"/>
  <c r="I3674" i="27"/>
  <c r="R515" i="27"/>
  <c r="P3052" i="27"/>
  <c r="A623" i="32"/>
  <c r="A743" i="32"/>
  <c r="F2994" i="27"/>
  <c r="A230" i="32"/>
  <c r="L518" i="27"/>
  <c r="F3047" i="27"/>
  <c r="H3631" i="27"/>
  <c r="A118" i="32"/>
  <c r="H254" i="27"/>
  <c r="P2979" i="27"/>
  <c r="P3019" i="27"/>
  <c r="P3056" i="27"/>
  <c r="I512" i="27"/>
  <c r="J3012" i="27"/>
  <c r="H3742" i="27"/>
  <c r="I3580" i="27"/>
  <c r="P3001" i="27"/>
  <c r="A799" i="32"/>
  <c r="S522" i="27"/>
  <c r="H3623" i="27"/>
  <c r="H3674" i="27"/>
  <c r="J2980" i="27"/>
  <c r="H3769" i="27"/>
  <c r="H3858" i="27"/>
  <c r="H3562" i="27"/>
  <c r="S520" i="27"/>
  <c r="I3581" i="27"/>
  <c r="H29" i="27"/>
  <c r="H3563" i="27"/>
  <c r="E257" i="27"/>
  <c r="A604" i="32"/>
  <c r="I3753" i="27"/>
  <c r="I3546" i="27"/>
  <c r="P3011" i="27"/>
  <c r="N502" i="27"/>
  <c r="K515" i="27"/>
  <c r="A418" i="32"/>
  <c r="A907" i="32"/>
  <c r="I3900" i="27"/>
  <c r="N244" i="27"/>
  <c r="I3756" i="27"/>
  <c r="A625" i="32"/>
  <c r="H250" i="27"/>
  <c r="A236" i="32"/>
  <c r="I3776" i="27"/>
  <c r="I3873" i="27"/>
  <c r="A542" i="32"/>
  <c r="K502" i="27"/>
  <c r="H3697" i="27"/>
  <c r="E28" i="27"/>
  <c r="O249" i="27"/>
  <c r="H3630" i="27"/>
  <c r="A1109" i="32"/>
  <c r="I3796" i="27"/>
  <c r="L519" i="27"/>
  <c r="H3648" i="27"/>
  <c r="P3038" i="27"/>
  <c r="K509" i="27"/>
  <c r="I3882" i="27"/>
  <c r="A877" i="32"/>
  <c r="R3026" i="27"/>
  <c r="I3547" i="27"/>
  <c r="H3575" i="27"/>
  <c r="A677" i="32"/>
  <c r="A34" i="32"/>
  <c r="P2987" i="27"/>
  <c r="O255" i="27"/>
  <c r="A526" i="32"/>
  <c r="Q517" i="27"/>
  <c r="A606" i="32"/>
  <c r="G29" i="27"/>
  <c r="A875" i="32"/>
  <c r="R3007" i="27"/>
  <c r="H3826" i="27"/>
  <c r="L497" i="27"/>
  <c r="A829" i="32"/>
  <c r="I3765" i="27"/>
  <c r="Q499" i="27"/>
  <c r="A268" i="32"/>
  <c r="A554" i="32"/>
  <c r="R495" i="27"/>
  <c r="H3808" i="27"/>
  <c r="K22" i="27"/>
  <c r="I511" i="27"/>
  <c r="I3740" i="27"/>
  <c r="A1113" i="32"/>
  <c r="I3750" i="27"/>
  <c r="L506" i="27"/>
  <c r="I3552" i="27"/>
  <c r="A182" i="32"/>
  <c r="R3024" i="27"/>
  <c r="P3012" i="27"/>
  <c r="A1165" i="32"/>
  <c r="G227" i="27"/>
  <c r="S513" i="27"/>
  <c r="I3698" i="27"/>
  <c r="L25" i="27"/>
  <c r="A594" i="32"/>
  <c r="A701" i="32"/>
  <c r="A983" i="32"/>
  <c r="L514" i="27"/>
  <c r="H3641" i="27"/>
  <c r="J3017" i="27"/>
  <c r="L494" i="27"/>
  <c r="L496" i="27"/>
  <c r="A420" i="32"/>
  <c r="I3564" i="27"/>
  <c r="I3772" i="27"/>
  <c r="L21" i="27"/>
  <c r="F3009" i="27"/>
  <c r="H3723" i="27"/>
  <c r="N243" i="27"/>
  <c r="I3798" i="27"/>
  <c r="A184" i="32"/>
  <c r="A112" i="32"/>
  <c r="P3031" i="27"/>
  <c r="H3565" i="27"/>
  <c r="F518" i="27"/>
  <c r="I3782" i="27"/>
  <c r="E508" i="27"/>
  <c r="N503" i="27"/>
  <c r="A679" i="32"/>
  <c r="I3921" i="27"/>
  <c r="R3033" i="27"/>
  <c r="H3924" i="27"/>
  <c r="F25" i="27"/>
  <c r="E496" i="27"/>
  <c r="R518" i="27"/>
  <c r="A925" i="32"/>
  <c r="H3592" i="27"/>
  <c r="E521" i="27"/>
  <c r="A749" i="32"/>
  <c r="I3638" i="27"/>
  <c r="A1017" i="32"/>
  <c r="H3557" i="27"/>
  <c r="P2998" i="27"/>
  <c r="L510" i="27"/>
  <c r="G20" i="27"/>
  <c r="R503" i="27"/>
  <c r="J3040" i="27"/>
  <c r="R3006" i="27"/>
  <c r="S510" i="27"/>
  <c r="J2988" i="27"/>
  <c r="A1019" i="32"/>
  <c r="H3608" i="27"/>
  <c r="A520" i="32"/>
  <c r="I3903" i="27"/>
  <c r="A464" i="32"/>
  <c r="A234" i="32"/>
  <c r="A667" i="32"/>
  <c r="R3048" i="27"/>
  <c r="I3553" i="27"/>
  <c r="A1085" i="32"/>
  <c r="I3615" i="27"/>
  <c r="H3806" i="27"/>
  <c r="N509" i="27"/>
  <c r="H3811" i="27"/>
  <c r="J2984" i="27"/>
  <c r="I3561" i="27"/>
  <c r="I3696" i="27"/>
  <c r="A250" i="32"/>
  <c r="H3813" i="27"/>
  <c r="I3729" i="27"/>
  <c r="A967" i="32"/>
  <c r="H3651" i="27"/>
  <c r="A893" i="32"/>
  <c r="F3000" i="27"/>
  <c r="A751" i="32"/>
  <c r="I3688" i="27"/>
  <c r="I3788" i="27"/>
  <c r="O252" i="27"/>
  <c r="P3034" i="27"/>
  <c r="A212" i="32"/>
  <c r="E253" i="27"/>
  <c r="H3728" i="27"/>
  <c r="I3673" i="27"/>
  <c r="S499" i="27"/>
  <c r="J251" i="27"/>
  <c r="N521" i="27"/>
  <c r="R3047" i="27"/>
  <c r="I3837" i="27"/>
  <c r="H3792" i="27"/>
  <c r="H3700" i="27"/>
  <c r="J3024" i="27"/>
  <c r="O504" i="27"/>
  <c r="H3609" i="27"/>
  <c r="I3572" i="27"/>
  <c r="I3625" i="27"/>
  <c r="H3713" i="27"/>
  <c r="H3644" i="27"/>
  <c r="H3709" i="27"/>
  <c r="A114" i="32"/>
  <c r="I3734" i="27"/>
  <c r="E511" i="27"/>
  <c r="A1029" i="32"/>
  <c r="H3918" i="27"/>
  <c r="I3838" i="27"/>
  <c r="A827" i="32"/>
  <c r="N28" i="27"/>
  <c r="A755" i="32"/>
  <c r="A1053" i="32"/>
  <c r="H27" i="27"/>
  <c r="N256" i="27"/>
  <c r="A1023" i="32"/>
  <c r="H3898" i="27"/>
  <c r="O518" i="27"/>
  <c r="N496" i="27"/>
  <c r="I3847" i="27"/>
  <c r="I3725" i="27"/>
  <c r="A176" i="32"/>
  <c r="I3891" i="27"/>
  <c r="A1011" i="32"/>
  <c r="A1095" i="32"/>
  <c r="H3564" i="27"/>
  <c r="J2991" i="27"/>
  <c r="J3003" i="27"/>
  <c r="H3560" i="27"/>
  <c r="F3014" i="27"/>
  <c r="A452" i="32"/>
  <c r="S519" i="27"/>
  <c r="O509" i="27"/>
  <c r="H3805" i="27"/>
  <c r="H3637" i="27"/>
  <c r="R2996" i="27"/>
  <c r="I3639" i="27"/>
  <c r="I3694" i="27"/>
  <c r="E252" i="27"/>
  <c r="N499" i="27"/>
  <c r="R499" i="27"/>
  <c r="I3721" i="27"/>
  <c r="J3007" i="27"/>
  <c r="I3728" i="27"/>
  <c r="A578" i="32"/>
  <c r="N20" i="27"/>
  <c r="I3872" i="27"/>
  <c r="A681" i="32"/>
  <c r="A1043" i="32"/>
  <c r="E30" i="27"/>
  <c r="I3864" i="27"/>
  <c r="H3863" i="27"/>
  <c r="H3567" i="27"/>
  <c r="G521" i="27"/>
  <c r="R3010" i="27"/>
  <c r="H3781" i="27"/>
  <c r="F3003" i="27"/>
  <c r="S495" i="27"/>
  <c r="A456" i="32"/>
  <c r="H3704" i="27"/>
  <c r="A663" i="32"/>
  <c r="I3614" i="27"/>
  <c r="O499" i="27"/>
  <c r="A641" i="32"/>
  <c r="N495" i="27"/>
  <c r="I3626" i="27"/>
  <c r="H3787" i="27"/>
  <c r="H3696" i="27"/>
  <c r="H3679" i="27"/>
  <c r="H3710" i="27"/>
  <c r="F22" i="27"/>
  <c r="H3585" i="27"/>
  <c r="J3028" i="27"/>
  <c r="E24" i="27"/>
  <c r="J3037" i="27"/>
  <c r="J257" i="27"/>
  <c r="A1125" i="32"/>
  <c r="E515" i="27"/>
  <c r="H3810" i="27"/>
  <c r="A558" i="32"/>
  <c r="A400" i="32"/>
  <c r="P514" i="27"/>
  <c r="A406" i="32"/>
  <c r="A631" i="32"/>
  <c r="A879" i="32"/>
  <c r="Q518" i="27"/>
  <c r="I3893" i="27"/>
  <c r="K496" i="27"/>
  <c r="I3895" i="27"/>
  <c r="A1077" i="32"/>
  <c r="H3839" i="27"/>
  <c r="K501" i="27"/>
  <c r="I3660" i="27"/>
  <c r="L516" i="27"/>
  <c r="I3662" i="27"/>
  <c r="A154" i="32"/>
  <c r="I3758" i="27"/>
  <c r="R3049" i="27"/>
  <c r="K494" i="27"/>
  <c r="E255" i="27"/>
  <c r="A865" i="32"/>
  <c r="A54" i="32"/>
  <c r="J3023" i="27"/>
  <c r="P2991" i="27"/>
  <c r="A793" i="32"/>
  <c r="A222" i="32"/>
  <c r="A466" i="32"/>
  <c r="A1061" i="32"/>
  <c r="H3870" i="27"/>
  <c r="H3578" i="27"/>
  <c r="N519" i="27"/>
  <c r="P2996" i="27"/>
  <c r="H3577" i="27"/>
  <c r="A1059" i="32"/>
  <c r="R502" i="27"/>
  <c r="I3560" i="27"/>
  <c r="P3003" i="27"/>
  <c r="F3004" i="27"/>
  <c r="A1127" i="32"/>
  <c r="I3720" i="27"/>
  <c r="R519" i="27"/>
  <c r="R514" i="27"/>
  <c r="A304" i="32"/>
  <c r="A717" i="32"/>
  <c r="I3795" i="27"/>
  <c r="I3653" i="27"/>
  <c r="H3584" i="27"/>
  <c r="H3802" i="27"/>
  <c r="M257" i="27" a="1"/>
  <c r="A538" i="32"/>
  <c r="I3592" i="27"/>
  <c r="G255" i="27"/>
  <c r="A1063" i="32"/>
  <c r="A1183" i="32"/>
  <c r="I3602" i="27"/>
  <c r="H3884" i="27"/>
  <c r="H3751" i="27"/>
  <c r="A566" i="32"/>
  <c r="I3671" i="27"/>
  <c r="P3002" i="27"/>
  <c r="P522" i="27"/>
  <c r="H3546" i="27"/>
  <c r="A985" i="32"/>
  <c r="A777" i="32"/>
  <c r="H3908" i="27"/>
  <c r="A1003" i="32"/>
  <c r="F2984" i="27"/>
  <c r="R3019" i="27"/>
  <c r="A815" i="32"/>
  <c r="A949" i="32"/>
  <c r="I3715" i="27"/>
  <c r="H3682" i="27"/>
  <c r="I3816" i="27"/>
  <c r="F500" i="27"/>
  <c r="I3808" i="27"/>
  <c r="A30" i="32"/>
  <c r="I3920" i="27"/>
  <c r="I3850" i="27"/>
  <c r="G252" i="27"/>
  <c r="F507" i="27"/>
  <c r="A979" i="32"/>
  <c r="I3778" i="27"/>
  <c r="J243" i="27"/>
  <c r="G23" i="27"/>
  <c r="H3675" i="27"/>
  <c r="A348" i="32"/>
  <c r="K508" i="27"/>
  <c r="I3883" i="27"/>
  <c r="I3664" i="27"/>
  <c r="J3002" i="27"/>
  <c r="H3914" i="27"/>
  <c r="P2985" i="27"/>
  <c r="F3034" i="27"/>
  <c r="A102" i="32"/>
  <c r="A1057" i="32"/>
  <c r="I3732" i="27"/>
  <c r="A290" i="32"/>
  <c r="J2993" i="27"/>
  <c r="A1067" i="32"/>
  <c r="Q501" i="27"/>
  <c r="I3879" i="27"/>
  <c r="N520" i="27"/>
  <c r="A767" i="32"/>
  <c r="H3840" i="27"/>
  <c r="I3789" i="27"/>
  <c r="A1173" i="32"/>
  <c r="O244" i="27"/>
  <c r="N25" i="27"/>
  <c r="E26" i="27"/>
  <c r="R3045" i="27"/>
  <c r="P3028" i="27"/>
  <c r="I3853" i="27"/>
  <c r="A302" i="32"/>
  <c r="J2997" i="27"/>
  <c r="H3671" i="27"/>
  <c r="H3645" i="27"/>
  <c r="S509" i="27"/>
  <c r="H3621" i="27"/>
  <c r="F3016" i="27"/>
  <c r="P3010" i="27"/>
  <c r="A883" i="32"/>
  <c r="I500" i="27"/>
  <c r="A88" i="32"/>
  <c r="S514" i="27"/>
  <c r="I3919" i="27"/>
  <c r="I3645" i="27"/>
  <c r="F3" i="27"/>
  <c r="H3606" i="27"/>
  <c r="H3661" i="27"/>
  <c r="O248" i="27"/>
  <c r="E520" i="27"/>
  <c r="F3056" i="27"/>
  <c r="A977" i="32"/>
  <c r="A586" i="32"/>
  <c r="H3814" i="27"/>
  <c r="H3597" i="27"/>
  <c r="I3622" i="27"/>
  <c r="I3628" i="27"/>
  <c r="L502" i="27"/>
  <c r="A1075" i="32"/>
  <c r="H3752" i="27"/>
  <c r="I3896" i="27"/>
  <c r="H3800" i="27"/>
  <c r="H3724" i="27"/>
  <c r="I3556" i="27"/>
  <c r="G522" i="27"/>
  <c r="Q504" i="27"/>
  <c r="A486" i="32"/>
  <c r="A562" i="32"/>
  <c r="H3876" i="27"/>
  <c r="E19" i="27"/>
  <c r="S517" i="27"/>
  <c r="A643" i="32"/>
  <c r="I3833" i="27"/>
  <c r="F3041" i="27"/>
  <c r="I3846" i="27"/>
  <c r="I510" i="27"/>
  <c r="H3861" i="27"/>
  <c r="I3829" i="27"/>
  <c r="A645" i="32"/>
  <c r="I501" i="27"/>
  <c r="A374" i="32"/>
  <c r="K498" i="27"/>
  <c r="O517" i="27"/>
  <c r="A508" i="32"/>
  <c r="A440" i="32"/>
  <c r="I3863" i="27"/>
  <c r="E9" i="31"/>
  <c r="D243" i="27" s="1"/>
  <c r="Q520" i="27"/>
  <c r="I3700" i="27"/>
  <c r="H3614" i="27"/>
  <c r="P516" i="27"/>
  <c r="A851" i="32"/>
  <c r="I3544" i="27"/>
  <c r="A476" i="32"/>
  <c r="H3642" i="27"/>
  <c r="H26" i="27"/>
  <c r="I3675" i="27"/>
  <c r="H3620" i="27"/>
  <c r="F515" i="27"/>
  <c r="A258" i="32"/>
  <c r="I3751" i="27"/>
  <c r="F256" i="27"/>
  <c r="F496" i="27"/>
  <c r="L499" i="27"/>
  <c r="J2979" i="27"/>
  <c r="H3639" i="27"/>
  <c r="I3814" i="27"/>
  <c r="R3022" i="27"/>
  <c r="H3910" i="27"/>
  <c r="R3041" i="27"/>
  <c r="F3012" i="27"/>
  <c r="I3701" i="27"/>
  <c r="I3869" i="27"/>
  <c r="H3550" i="27"/>
  <c r="I3548" i="27"/>
  <c r="H3843" i="27"/>
  <c r="I3746" i="27"/>
  <c r="A368" i="32"/>
  <c r="Q515" i="27"/>
  <c r="L515" i="27"/>
  <c r="R517" i="27"/>
  <c r="I3909" i="27"/>
  <c r="G246" i="27"/>
  <c r="F3024" i="27"/>
  <c r="A488" i="32"/>
  <c r="A330" i="32"/>
  <c r="I3860" i="27"/>
  <c r="O511" i="27"/>
  <c r="H3845" i="27"/>
  <c r="K510" i="27"/>
  <c r="I3670" i="27"/>
  <c r="S512" i="27"/>
  <c r="I3724" i="27"/>
  <c r="A1025" i="32"/>
  <c r="F2988" i="27"/>
  <c r="R2979" i="27"/>
  <c r="A48" i="32"/>
  <c r="F494" i="27"/>
  <c r="H3777" i="27"/>
  <c r="H3673" i="27"/>
  <c r="H3753" i="27"/>
  <c r="I3874" i="27"/>
  <c r="F3055" i="27"/>
  <c r="P497" i="27"/>
  <c r="A871" i="32"/>
  <c r="H3556" i="27"/>
  <c r="H3875" i="27"/>
  <c r="K33" i="27"/>
  <c r="J2982" i="27"/>
  <c r="I3757" i="27"/>
  <c r="I3595" i="27"/>
  <c r="H3588" i="27"/>
  <c r="A132" i="32"/>
  <c r="I3878" i="27"/>
  <c r="A843" i="32"/>
  <c r="Q496" i="27"/>
  <c r="H3886" i="27"/>
  <c r="A346" i="32"/>
  <c r="H3736" i="27"/>
  <c r="A412" i="32"/>
  <c r="H3765" i="27"/>
  <c r="I3825" i="27"/>
  <c r="F506" i="27"/>
  <c r="F3043" i="27"/>
  <c r="E3" i="27"/>
  <c r="A903" i="32"/>
  <c r="L503" i="27"/>
  <c r="H3600" i="27"/>
  <c r="I3823" i="27"/>
  <c r="F21" i="27"/>
  <c r="H3566" i="27"/>
  <c r="I3771" i="27"/>
  <c r="A100" i="32"/>
  <c r="A1035" i="32"/>
  <c r="I3760" i="27"/>
  <c r="I3832" i="27"/>
  <c r="H3799" i="27"/>
  <c r="R500" i="27"/>
  <c r="P493" i="27"/>
  <c r="L521" i="27"/>
  <c r="I3773" i="27"/>
  <c r="A785" i="32"/>
  <c r="I3678" i="27"/>
  <c r="G33" i="27"/>
  <c r="F3011" i="27"/>
  <c r="H227" i="27"/>
  <c r="P2997" i="27"/>
  <c r="F3054" i="27"/>
  <c r="I3781" i="27"/>
  <c r="I3877" i="27"/>
  <c r="A1171" i="32"/>
  <c r="J3046" i="27"/>
  <c r="H3795" i="27"/>
  <c r="I3582" i="27"/>
  <c r="I3612" i="27"/>
  <c r="R498" i="27"/>
  <c r="J250" i="27"/>
  <c r="H3544" i="27"/>
  <c r="A392" i="32"/>
  <c r="J3048" i="27"/>
  <c r="P2999" i="27"/>
  <c r="F29" i="27"/>
  <c r="S501" i="27"/>
  <c r="S511" i="27"/>
  <c r="H3829" i="27"/>
  <c r="R3043" i="27"/>
  <c r="G253" i="27"/>
  <c r="N498" i="27"/>
  <c r="K507" i="27"/>
  <c r="A294" i="32"/>
  <c r="Q503" i="27"/>
  <c r="H3582" i="27"/>
  <c r="I3787" i="27"/>
  <c r="A584" i="32"/>
  <c r="H3659" i="27"/>
  <c r="E251" i="27"/>
  <c r="F2986" i="27"/>
  <c r="G502" i="27"/>
  <c r="O507" i="27"/>
  <c r="R520" i="27"/>
  <c r="H3837" i="27"/>
  <c r="K21" i="27"/>
  <c r="I3842" i="27"/>
  <c r="H3862" i="27"/>
  <c r="H3731" i="27"/>
  <c r="I3793" i="27"/>
  <c r="R3039" i="27"/>
  <c r="I3568" i="27"/>
  <c r="N510" i="27"/>
  <c r="I3792" i="27"/>
  <c r="H3664" i="27"/>
  <c r="N522" i="27"/>
  <c r="I504" i="27"/>
  <c r="A262" i="32"/>
  <c r="O500" i="27"/>
  <c r="A228" i="32"/>
  <c r="A957" i="32"/>
  <c r="H25" i="27"/>
  <c r="A1099" i="32"/>
  <c r="A122" i="32"/>
  <c r="Q495" i="27"/>
  <c r="E502" i="27"/>
  <c r="I3610" i="27"/>
  <c r="O521" i="27"/>
  <c r="A138" i="32"/>
  <c r="J3050" i="27"/>
  <c r="I3632" i="27"/>
  <c r="I3594" i="27"/>
  <c r="I3716" i="27"/>
  <c r="A416" i="32"/>
  <c r="AG9" i="34"/>
  <c r="A935" i="32"/>
  <c r="F3040" i="27"/>
  <c r="A460" i="32"/>
  <c r="H3635" i="27"/>
  <c r="A98" i="32"/>
  <c r="I3785" i="27"/>
  <c r="H3748" i="27"/>
  <c r="A448" i="32"/>
  <c r="I3596" i="27"/>
  <c r="R516" i="27"/>
  <c r="H3827" i="27"/>
  <c r="R3028" i="27"/>
  <c r="H3741" i="27"/>
  <c r="H3549" i="27"/>
  <c r="K500" i="27"/>
  <c r="A1117" i="32"/>
  <c r="G507" i="27"/>
  <c r="I3593" i="27"/>
  <c r="A376" i="32"/>
  <c r="A853" i="32"/>
  <c r="P3024" i="27"/>
  <c r="H244" i="27"/>
  <c r="A733" i="32"/>
  <c r="A552" i="32"/>
  <c r="R3037" i="27"/>
  <c r="A1037" i="32"/>
  <c r="K25" i="27"/>
  <c r="P3021" i="27"/>
  <c r="E516" i="27"/>
  <c r="J3006" i="27"/>
  <c r="H3872" i="27"/>
  <c r="F255" i="27"/>
  <c r="I3672" i="27"/>
  <c r="A256" i="32"/>
  <c r="I3892" i="27"/>
  <c r="G244" i="27"/>
  <c r="I3557" i="27"/>
  <c r="I3717" i="27"/>
  <c r="G3" i="27"/>
  <c r="A1073" i="32"/>
  <c r="O520" i="27"/>
  <c r="A246" i="32"/>
  <c r="A12" i="32"/>
  <c r="A248" i="32"/>
  <c r="A546" i="32"/>
  <c r="H252" i="27"/>
  <c r="R2995" i="27"/>
  <c r="I3763" i="27"/>
  <c r="I3722" i="27"/>
  <c r="J2983" i="27"/>
  <c r="J3030" i="27"/>
  <c r="R2998" i="27"/>
  <c r="I496" i="27"/>
  <c r="I3738" i="27"/>
  <c r="I3755" i="27"/>
  <c r="A192" i="32"/>
  <c r="E245" i="27"/>
  <c r="H3756" i="27"/>
  <c r="J3018" i="27"/>
  <c r="I3689" i="27"/>
  <c r="L520" i="27"/>
  <c r="A136" i="32"/>
  <c r="J2995" i="27"/>
  <c r="K453" i="27"/>
  <c r="K513" i="27"/>
  <c r="I3591" i="27"/>
  <c r="H3593" i="27"/>
  <c r="N29" i="27"/>
  <c r="H3694" i="27"/>
  <c r="H3877" i="27"/>
  <c r="A430" i="32"/>
  <c r="A729" i="32"/>
  <c r="H3866" i="27"/>
  <c r="A689" i="32"/>
  <c r="A737" i="32"/>
  <c r="F3051" i="27"/>
  <c r="A705" i="32"/>
  <c r="I3736" i="27"/>
  <c r="H3595" i="27"/>
  <c r="I3727" i="27"/>
  <c r="A156" i="32"/>
  <c r="A14" i="32"/>
  <c r="I3609" i="27"/>
  <c r="F20" i="27"/>
  <c r="A178" i="32"/>
  <c r="A1007" i="32"/>
  <c r="F517" i="27"/>
  <c r="P3046" i="27"/>
  <c r="H3561" i="27"/>
  <c r="I3916" i="27"/>
  <c r="F3053" i="27"/>
  <c r="A789" i="32"/>
  <c r="I3768" i="27"/>
  <c r="R3029" i="27"/>
  <c r="K504" i="27"/>
  <c r="I3779" i="27"/>
  <c r="I3714" i="27"/>
  <c r="N227" i="27"/>
  <c r="I3613" i="27"/>
  <c r="I3784" i="27"/>
  <c r="E494" i="27"/>
  <c r="A116" i="32"/>
  <c r="R3050" i="27"/>
  <c r="A202" i="32"/>
  <c r="A146" i="32"/>
  <c r="G32" i="27"/>
  <c r="R3054" i="27"/>
  <c r="S518" i="27"/>
  <c r="H3554" i="27"/>
  <c r="H3833" i="27"/>
  <c r="J2990" i="27"/>
  <c r="H256" i="27"/>
  <c r="H3685" i="27"/>
  <c r="A516" i="32"/>
  <c r="H247" i="27"/>
  <c r="P506" i="27"/>
  <c r="H3905" i="27"/>
  <c r="K499" i="27"/>
  <c r="R3021" i="27"/>
  <c r="H3622" i="27"/>
  <c r="A298" i="32"/>
  <c r="F254" i="27"/>
  <c r="P494" i="27"/>
  <c r="J3009" i="27"/>
  <c r="F3039" i="27"/>
  <c r="H3717" i="27"/>
  <c r="A1091" i="32"/>
  <c r="H21" i="27"/>
  <c r="R2990" i="27"/>
  <c r="J3038" i="27"/>
  <c r="H3828" i="27"/>
  <c r="H3690" i="27"/>
  <c r="O522" i="27"/>
  <c r="A863" i="32"/>
  <c r="H3919" i="27"/>
  <c r="H3613" i="27"/>
  <c r="E227" i="27"/>
  <c r="O257" i="27"/>
  <c r="N507" i="27"/>
  <c r="A845" i="32"/>
  <c r="G508" i="27"/>
  <c r="H3816" i="27"/>
  <c r="A216" i="32"/>
  <c r="H3670" i="27"/>
  <c r="K20" i="27"/>
  <c r="K516" i="27"/>
  <c r="I520" i="27"/>
  <c r="H3616" i="27"/>
  <c r="A316" i="32"/>
  <c r="I3831" i="27"/>
  <c r="A1051" i="32"/>
  <c r="E514" i="27"/>
  <c r="F508" i="27"/>
  <c r="H257" i="27"/>
  <c r="H3583" i="27"/>
  <c r="I3851" i="27"/>
  <c r="P3005" i="27"/>
  <c r="A1149" i="32"/>
  <c r="A588" i="32"/>
  <c r="A478" i="32"/>
  <c r="A380" i="32"/>
  <c r="Q497" i="27"/>
  <c r="A166" i="32"/>
  <c r="H3548" i="27"/>
  <c r="I3545" i="27"/>
  <c r="J245" i="27"/>
  <c r="P2981" i="27"/>
  <c r="H3678" i="27"/>
  <c r="A480" i="32"/>
  <c r="J2987" i="27"/>
  <c r="R3013" i="27"/>
  <c r="H3579" i="27"/>
  <c r="A220" i="32"/>
  <c r="E517" i="27"/>
  <c r="A308" i="32"/>
  <c r="O253" i="27"/>
  <c r="J3052" i="27"/>
  <c r="G24" i="27"/>
  <c r="A861" i="32"/>
  <c r="I3562" i="27"/>
  <c r="A582" i="32"/>
  <c r="K497" i="27"/>
  <c r="P3026" i="27"/>
  <c r="P3014" i="27"/>
  <c r="A779" i="32"/>
  <c r="F516" i="27"/>
  <c r="A68" i="32"/>
  <c r="F3025" i="27"/>
  <c r="H3773" i="27"/>
  <c r="F3037" i="27"/>
  <c r="H3553" i="27"/>
  <c r="M246" i="27" a="1"/>
  <c r="H3915" i="27"/>
  <c r="P3047" i="27"/>
  <c r="L512" i="27"/>
  <c r="I3799" i="27"/>
  <c r="J2989" i="27"/>
  <c r="A142" i="32"/>
  <c r="A64" i="32"/>
  <c r="A444" i="32"/>
  <c r="F227" i="27"/>
  <c r="H3821" i="27"/>
  <c r="Q505" i="27"/>
  <c r="R3018" i="27"/>
  <c r="A723" i="32"/>
  <c r="F514" i="27"/>
  <c r="A745" i="32"/>
  <c r="A90" i="32"/>
  <c r="I498" i="27"/>
  <c r="F3035" i="27"/>
  <c r="A462" i="32"/>
  <c r="H3797" i="27"/>
  <c r="A196" i="32"/>
  <c r="A971" i="32"/>
  <c r="P3006" i="27"/>
  <c r="H3785" i="27"/>
  <c r="H249" i="27"/>
  <c r="I497" i="27"/>
  <c r="J3019" i="27"/>
  <c r="J248" i="27"/>
  <c r="G245" i="27"/>
  <c r="A825" i="32"/>
  <c r="A765" i="32"/>
  <c r="A186" i="32"/>
  <c r="I3642" i="27"/>
  <c r="H3559" i="27"/>
  <c r="A849" i="32"/>
  <c r="H3650" i="27"/>
  <c r="A995" i="32"/>
  <c r="P3020" i="27"/>
  <c r="R508" i="27"/>
  <c r="G248" i="27"/>
  <c r="J3039" i="27"/>
  <c r="A817" i="32"/>
  <c r="F2979" i="27"/>
  <c r="I3867" i="27"/>
  <c r="I3886" i="27"/>
  <c r="I3558" i="27"/>
  <c r="A887" i="32"/>
  <c r="A402" i="32"/>
  <c r="S507" i="27"/>
  <c r="R494" i="27"/>
  <c r="A899" i="32"/>
  <c r="H3735" i="27"/>
  <c r="H3812" i="27"/>
  <c r="O515" i="27"/>
  <c r="H3572" i="27"/>
  <c r="A494" i="32"/>
  <c r="F26" i="27"/>
  <c r="A328" i="32"/>
  <c r="J255" i="27"/>
  <c r="H3552" i="27"/>
  <c r="I3747" i="27"/>
  <c r="A761" i="32"/>
  <c r="A28" i="32"/>
  <c r="I3777" i="27"/>
  <c r="A188" i="32"/>
  <c r="E250" i="27"/>
  <c r="I3813" i="27"/>
  <c r="F503" i="27"/>
  <c r="F2977" i="27"/>
  <c r="F2991" i="27"/>
  <c r="I3583" i="27"/>
  <c r="H3576" i="27"/>
  <c r="A174" i="32"/>
  <c r="S521" i="27"/>
  <c r="I3565" i="27"/>
  <c r="H3847" i="27"/>
  <c r="H3718" i="27"/>
  <c r="N23" i="27"/>
  <c r="H3657" i="27"/>
  <c r="A338" i="32"/>
  <c r="H3618" i="27"/>
  <c r="I3744" i="27"/>
  <c r="A502" i="32"/>
  <c r="H3824" i="27"/>
  <c r="H3720" i="27"/>
  <c r="M256" i="27" a="1"/>
  <c r="H3854" i="27"/>
  <c r="A108" i="32"/>
  <c r="A891" i="32"/>
  <c r="I3826" i="27"/>
  <c r="I3859" i="27"/>
  <c r="H3874" i="27"/>
  <c r="A965" i="32"/>
  <c r="H3669" i="27"/>
  <c r="I3661" i="27"/>
  <c r="I3654" i="27"/>
  <c r="F3028" i="27"/>
  <c r="A610" i="32"/>
  <c r="A1157" i="32"/>
  <c r="S508" i="27"/>
  <c r="A1031" i="32"/>
  <c r="A270" i="32"/>
  <c r="H3654" i="27"/>
  <c r="P2990" i="27"/>
  <c r="A757" i="32"/>
  <c r="A909" i="32"/>
  <c r="G506" i="27"/>
  <c r="F2978" i="27"/>
  <c r="H3838" i="27"/>
  <c r="I3918" i="27"/>
  <c r="P3015" i="27"/>
  <c r="R3016" i="27"/>
  <c r="P3004" i="27"/>
  <c r="A913" i="32"/>
  <c r="K518" i="27"/>
  <c r="H3912" i="27"/>
  <c r="A550" i="32"/>
  <c r="N249" i="27"/>
  <c r="H3707" i="27"/>
  <c r="E248" i="27"/>
  <c r="A378" i="32"/>
  <c r="S506" i="27"/>
  <c r="J256" i="27"/>
  <c r="R506" i="27"/>
  <c r="J3055" i="27"/>
  <c r="J29" i="27"/>
  <c r="I3801" i="27"/>
  <c r="A200" i="32"/>
  <c r="H3587" i="27"/>
  <c r="A364" i="32"/>
  <c r="G19" i="27"/>
  <c r="A504" i="32"/>
  <c r="I3748" i="27"/>
  <c r="A18" i="32"/>
  <c r="F511" i="27"/>
  <c r="I3730" i="27"/>
  <c r="I3752" i="27"/>
  <c r="H3607" i="27"/>
  <c r="A518" i="32"/>
  <c r="J3053" i="27"/>
  <c r="I3737" i="27"/>
  <c r="I3745" i="27"/>
  <c r="A795" i="32"/>
  <c r="H3747" i="27"/>
  <c r="R3001" i="27"/>
  <c r="A1139" i="32"/>
  <c r="A74" i="32"/>
  <c r="J3043" i="27"/>
  <c r="A242" i="32"/>
  <c r="N24" i="27"/>
  <c r="N30" i="27"/>
  <c r="A1141" i="32"/>
  <c r="H3865" i="27"/>
  <c r="G496" i="27"/>
  <c r="F3017" i="27"/>
  <c r="H3881" i="27"/>
  <c r="A727" i="32"/>
  <c r="A394" i="32"/>
  <c r="J3022" i="27"/>
  <c r="Q522" i="27"/>
  <c r="I3549" i="27"/>
  <c r="F247" i="27"/>
  <c r="N252" i="27"/>
  <c r="H3721" i="27"/>
  <c r="I3712" i="27"/>
  <c r="J252" i="27"/>
  <c r="E29" i="27"/>
  <c r="J2978" i="27"/>
  <c r="N494" i="27"/>
  <c r="I3695" i="27"/>
  <c r="H3909" i="27"/>
  <c r="H3598" i="27"/>
  <c r="R521" i="27"/>
  <c r="A1115" i="32"/>
  <c r="I3570" i="27"/>
  <c r="A855" i="32"/>
  <c r="H3615" i="27"/>
  <c r="H3629" i="27"/>
  <c r="A274" i="32"/>
  <c r="A713" i="32"/>
  <c r="I3699" i="27"/>
  <c r="J3013" i="27"/>
  <c r="H3574" i="27"/>
  <c r="I3767" i="27"/>
  <c r="H30" i="27"/>
  <c r="I3559" i="27"/>
  <c r="I3783" i="27"/>
  <c r="N504" i="27"/>
  <c r="F253" i="27"/>
  <c r="P3040" i="27"/>
  <c r="H3655" i="27"/>
  <c r="A282" i="32"/>
  <c r="I3820" i="27"/>
  <c r="P3053" i="27"/>
  <c r="H3551" i="27"/>
  <c r="A1121" i="32"/>
  <c r="H3627" i="27"/>
  <c r="P3042" i="27"/>
  <c r="K3" i="27"/>
  <c r="I3665" i="27"/>
  <c r="A280" i="32"/>
  <c r="I522" i="27"/>
  <c r="H3596" i="27"/>
  <c r="F248" i="27"/>
  <c r="H3801" i="27"/>
  <c r="Q507" i="27"/>
  <c r="I3852" i="27"/>
  <c r="H3681" i="27"/>
  <c r="P3018" i="27"/>
  <c r="A470" i="32"/>
  <c r="L522" i="27"/>
  <c r="F3032" i="27"/>
  <c r="I3641" i="27"/>
  <c r="A813" i="32"/>
  <c r="H3835" i="27"/>
  <c r="I3770" i="27"/>
  <c r="H3712" i="27"/>
  <c r="A370" i="32"/>
  <c r="A450" i="32"/>
  <c r="A428" i="32"/>
  <c r="R3052" i="27"/>
  <c r="H3711" i="27"/>
  <c r="H3725" i="27"/>
  <c r="A1039" i="32"/>
  <c r="I3897" i="27"/>
  <c r="H3869" i="27"/>
  <c r="A548" i="32"/>
  <c r="A42" i="32"/>
  <c r="N493" i="27"/>
  <c r="R3038" i="27"/>
  <c r="I516" i="27"/>
  <c r="H3916" i="27"/>
  <c r="I3601" i="27"/>
  <c r="F3021" i="27"/>
  <c r="J3004" i="27"/>
  <c r="O506" i="27"/>
  <c r="R507" i="27"/>
  <c r="R3027" i="27"/>
  <c r="A292" i="32"/>
  <c r="I3906" i="27"/>
  <c r="I3574" i="27"/>
  <c r="A278" i="32"/>
  <c r="I3603" i="27"/>
  <c r="F3045" i="27"/>
  <c r="Q494" i="27"/>
  <c r="H3768" i="27"/>
  <c r="I3894" i="27"/>
  <c r="A426" i="32"/>
  <c r="F3029" i="27"/>
  <c r="I3870" i="27"/>
  <c r="N254" i="27"/>
  <c r="I3618" i="27"/>
  <c r="R3008" i="27"/>
  <c r="A424" i="32"/>
  <c r="G254" i="27"/>
  <c r="H3693" i="27"/>
  <c r="H32" i="27"/>
  <c r="I3731" i="27"/>
  <c r="A590" i="32"/>
  <c r="H3784" i="27"/>
  <c r="A633" i="32"/>
  <c r="A997" i="32"/>
  <c r="I3749" i="27"/>
  <c r="A921" i="32"/>
  <c r="A388" i="32"/>
  <c r="A873" i="32"/>
  <c r="H3628" i="27"/>
  <c r="J3034" i="27"/>
  <c r="A612" i="32"/>
  <c r="A769" i="32"/>
  <c r="H3764" i="27"/>
  <c r="H3842" i="27"/>
  <c r="F2981" i="27"/>
  <c r="A524" i="32"/>
  <c r="A240" i="32"/>
  <c r="P3043" i="27"/>
  <c r="A835" i="32"/>
  <c r="R2994" i="27"/>
  <c r="R3051" i="27"/>
  <c r="H3896" i="27"/>
  <c r="H3746" i="27"/>
  <c r="G503" i="27"/>
  <c r="I502" i="27"/>
  <c r="I3630" i="27"/>
  <c r="A697" i="32"/>
  <c r="H3719" i="27"/>
  <c r="H3699" i="27"/>
  <c r="A707" i="32"/>
  <c r="G499" i="27"/>
  <c r="H3708" i="27"/>
  <c r="H3605" i="27"/>
  <c r="A360" i="32"/>
  <c r="P3045" i="27"/>
  <c r="L29" i="27"/>
  <c r="I3885" i="27"/>
  <c r="H3665" i="27"/>
  <c r="G501" i="27"/>
  <c r="I3791" i="27"/>
  <c r="I3579" i="27"/>
  <c r="A1133" i="32"/>
  <c r="Q514" i="27"/>
  <c r="A1071" i="32"/>
  <c r="A468" i="32"/>
  <c r="H3602" i="27"/>
  <c r="A436" i="32"/>
  <c r="H3626" i="27"/>
  <c r="N508" i="27"/>
  <c r="H3601" i="27"/>
  <c r="A224" i="32"/>
  <c r="P2989" i="27"/>
  <c r="R3004" i="27"/>
  <c r="H33" i="27"/>
  <c r="S498" i="27"/>
  <c r="L508" i="27"/>
  <c r="A58" i="32"/>
  <c r="O493" i="27"/>
  <c r="A354" i="32"/>
  <c r="M248" i="27" a="1"/>
  <c r="F520" i="27"/>
  <c r="A1153" i="32"/>
  <c r="I3866" i="27"/>
  <c r="P2982" i="27"/>
  <c r="P507" i="27"/>
  <c r="A254" i="32"/>
  <c r="S496" i="27"/>
  <c r="N517" i="27"/>
  <c r="H3680" i="27"/>
  <c r="I3703" i="27"/>
  <c r="I3624" i="27"/>
  <c r="P3048" i="27"/>
  <c r="J3026" i="27"/>
  <c r="I3735" i="27"/>
  <c r="G515" i="27"/>
  <c r="K522" i="27"/>
  <c r="A805" i="32"/>
  <c r="I3743" i="27"/>
  <c r="G495" i="27"/>
  <c r="A514" i="32"/>
  <c r="O498" i="27"/>
  <c r="G256" i="27"/>
  <c r="J28" i="27"/>
  <c r="I3543" i="27"/>
  <c r="A915" i="32"/>
  <c r="A1047" i="32"/>
  <c r="H3818" i="27"/>
  <c r="I3663" i="27"/>
  <c r="I3656" i="27"/>
  <c r="K493" i="27"/>
  <c r="A24" i="32"/>
  <c r="I3827" i="27"/>
  <c r="F3030" i="27"/>
  <c r="S493" i="27"/>
  <c r="A819" i="32"/>
  <c r="A458" i="32"/>
  <c r="I3590" i="27"/>
  <c r="A350" i="32"/>
  <c r="A576" i="32"/>
  <c r="I3567" i="27"/>
  <c r="H3923" i="27"/>
  <c r="A320" i="32"/>
  <c r="J3021" i="27"/>
  <c r="A1191" i="32"/>
  <c r="A1155" i="32"/>
  <c r="E23" i="27"/>
  <c r="I3855" i="27"/>
  <c r="F2992" i="27"/>
  <c r="A955" i="32"/>
  <c r="I3843" i="27"/>
  <c r="H3734" i="27"/>
  <c r="A144" i="32"/>
  <c r="J253" i="27"/>
  <c r="G22" i="27"/>
  <c r="P3044" i="27"/>
  <c r="A396" i="32"/>
  <c r="E498" i="27"/>
  <c r="F3013" i="27"/>
  <c r="I3666" i="27"/>
  <c r="R3020" i="27"/>
  <c r="A498" i="32"/>
  <c r="A148" i="32"/>
  <c r="A781" i="32"/>
  <c r="H3759" i="27"/>
  <c r="A1079" i="32"/>
  <c r="H3687" i="27"/>
  <c r="I3803" i="27"/>
  <c r="A969" i="32"/>
  <c r="A124" i="32"/>
  <c r="N255" i="27"/>
  <c r="R3031" i="27"/>
  <c r="P520" i="27"/>
  <c r="H3788" i="27"/>
  <c r="G31" i="27"/>
  <c r="H3743" i="27"/>
  <c r="R3035" i="27"/>
  <c r="I3811" i="27"/>
  <c r="A1161" i="32"/>
  <c r="P3035" i="27"/>
  <c r="F3001" i="27"/>
  <c r="F3038" i="27"/>
  <c r="P3027" i="27"/>
  <c r="A522" i="32"/>
  <c r="J3035" i="27"/>
  <c r="H3740" i="27"/>
  <c r="P3008" i="27"/>
  <c r="I3616" i="27"/>
  <c r="G511" i="27"/>
  <c r="A1107" i="32"/>
  <c r="A528" i="32"/>
  <c r="H3766" i="27"/>
  <c r="A1151" i="32"/>
  <c r="A801" i="32"/>
  <c r="A1049" i="32"/>
  <c r="H3911" i="27"/>
  <c r="A218" i="32"/>
  <c r="A324" i="32"/>
  <c r="F3023" i="27"/>
  <c r="S497" i="27"/>
  <c r="R2987" i="27"/>
  <c r="H3859" i="27"/>
  <c r="H3834" i="27"/>
  <c r="F519" i="27"/>
  <c r="H3760" i="27"/>
  <c r="A408" i="32"/>
  <c r="H3772" i="27"/>
  <c r="A532" i="32"/>
  <c r="N247" i="27"/>
  <c r="M250" i="27" a="1"/>
  <c r="J3051" i="27"/>
  <c r="R496" i="27"/>
  <c r="I3585" i="27"/>
  <c r="I3705" i="27"/>
  <c r="A10" i="32"/>
  <c r="H3745" i="27"/>
  <c r="O501" i="27"/>
  <c r="A1189" i="32"/>
  <c r="A1187" i="32"/>
  <c r="H3887" i="27"/>
  <c r="H3780" i="27"/>
  <c r="I3780" i="27"/>
  <c r="P500" i="27"/>
  <c r="J247" i="27"/>
  <c r="H3832" i="27"/>
  <c r="J244" i="27"/>
  <c r="A1175" i="32"/>
  <c r="H3558" i="27"/>
  <c r="E504" i="27"/>
  <c r="P3033" i="27"/>
  <c r="P3017" i="27"/>
  <c r="I3631" i="27"/>
  <c r="H3907" i="27"/>
  <c r="H3737" i="27"/>
  <c r="A38" i="32"/>
  <c r="A356" i="32"/>
  <c r="A721" i="32"/>
  <c r="H3853" i="27"/>
  <c r="H3634" i="27"/>
  <c r="A86" i="32"/>
  <c r="H3767" i="27"/>
  <c r="A80" i="32"/>
  <c r="R504" i="27"/>
  <c r="A82" i="32"/>
  <c r="R2980" i="27"/>
  <c r="H3844" i="27"/>
  <c r="A72" i="32"/>
  <c r="I3764" i="27"/>
  <c r="A556" i="32"/>
  <c r="F501" i="27"/>
  <c r="R3017" i="27"/>
  <c r="P502" i="27"/>
  <c r="A787" i="32"/>
  <c r="A783" i="32"/>
  <c r="I3924" i="27"/>
  <c r="A1137" i="32"/>
  <c r="I3887" i="27"/>
  <c r="A1131" i="32"/>
  <c r="H3580" i="27"/>
  <c r="N257" i="27"/>
  <c r="A939" i="32"/>
  <c r="P510" i="27"/>
  <c r="S504" i="27"/>
  <c r="A276" i="32"/>
  <c r="I3708" i="27"/>
  <c r="A160" i="32"/>
  <c r="A130" i="32"/>
  <c r="A206" i="32"/>
  <c r="I3681" i="27"/>
  <c r="A1009" i="32"/>
  <c r="A592" i="32"/>
  <c r="H3790" i="27"/>
  <c r="J3047" i="27"/>
  <c r="I3586" i="27"/>
  <c r="A1145" i="32"/>
  <c r="J3016" i="27"/>
  <c r="P3049" i="27"/>
  <c r="L493" i="27"/>
  <c r="H3878" i="27"/>
  <c r="A252" i="32"/>
  <c r="J2986" i="27"/>
  <c r="F499" i="27"/>
  <c r="I3739" i="27"/>
  <c r="E519" i="27"/>
  <c r="H3705" i="27"/>
  <c r="O510" i="27"/>
  <c r="R2997" i="27"/>
  <c r="R3056" i="27"/>
  <c r="I3804" i="27"/>
  <c r="A901" i="32"/>
  <c r="H3706" i="27"/>
  <c r="A1201" i="32"/>
  <c r="A1203" i="32"/>
  <c r="I3844" i="27"/>
  <c r="H255" i="27"/>
  <c r="I3726" i="27"/>
  <c r="A158" i="32"/>
  <c r="R3030" i="27"/>
  <c r="I3884" i="27"/>
  <c r="A104" i="32"/>
  <c r="A1013" i="32"/>
  <c r="I3802" i="27"/>
  <c r="K23" i="27"/>
  <c r="A1089" i="32"/>
  <c r="A422" i="32"/>
  <c r="A841" i="32"/>
  <c r="I3913" i="27"/>
  <c r="H3683" i="27"/>
  <c r="E27" i="27"/>
  <c r="H3882" i="27"/>
  <c r="A52" i="32"/>
  <c r="F3019" i="27"/>
  <c r="H3611" i="27"/>
  <c r="A647" i="32"/>
  <c r="H3727" i="27"/>
  <c r="E247" i="27"/>
  <c r="P2977" i="27"/>
  <c r="A803" i="32"/>
  <c r="A927" i="32"/>
  <c r="L26" i="27"/>
  <c r="N251" i="27"/>
  <c r="E522" i="27"/>
  <c r="A482" i="32"/>
  <c r="H3676" i="27"/>
  <c r="G250" i="27"/>
  <c r="A1185" i="32"/>
  <c r="I3563" i="27"/>
  <c r="E507" i="27"/>
  <c r="E31" i="27"/>
  <c r="A56" i="32"/>
  <c r="A671" i="32"/>
  <c r="I3651" i="27"/>
  <c r="H3848" i="27"/>
  <c r="A286" i="32"/>
  <c r="A66" i="32"/>
  <c r="H3895" i="27"/>
  <c r="K30" i="27"/>
  <c r="E499" i="27"/>
  <c r="I3922" i="27"/>
  <c r="H3640" i="27"/>
  <c r="H3836" i="27"/>
  <c r="J3014" i="27"/>
  <c r="G517" i="27"/>
  <c r="I3668" i="27"/>
  <c r="I3805" i="27"/>
  <c r="F512" i="27"/>
  <c r="I3865" i="27"/>
  <c r="A568" i="32"/>
  <c r="A410" i="32"/>
  <c r="O519" i="27"/>
  <c r="A1119" i="32"/>
  <c r="I495" i="27"/>
  <c r="A362" i="32"/>
  <c r="A404" i="32"/>
  <c r="A685" i="32"/>
  <c r="Q516" i="27"/>
  <c r="J3005" i="27"/>
  <c r="F2993" i="27"/>
  <c r="H3714" i="27"/>
  <c r="L507" i="27"/>
  <c r="H3879" i="27"/>
  <c r="A859" i="32"/>
  <c r="A490" i="32"/>
  <c r="S502" i="27"/>
  <c r="I3762" i="27"/>
  <c r="H3770" i="27"/>
  <c r="A943" i="32"/>
  <c r="A36" i="32"/>
  <c r="A929" i="32"/>
  <c r="H24" i="27"/>
  <c r="J2996" i="27"/>
  <c r="A683" i="32"/>
  <c r="I3914" i="27"/>
  <c r="A432" i="32"/>
  <c r="I3555" i="27"/>
  <c r="A164" i="32"/>
  <c r="I3584" i="27"/>
  <c r="R3005" i="27"/>
  <c r="A797" i="32"/>
  <c r="H28" i="27"/>
  <c r="Q512" i="27"/>
  <c r="H3890" i="27"/>
  <c r="H3820" i="27"/>
  <c r="G25" i="27"/>
  <c r="A574" i="32"/>
  <c r="R3002" i="27"/>
  <c r="A905" i="32"/>
  <c r="H3672" i="27"/>
  <c r="I3807" i="27"/>
  <c r="I3682" i="27"/>
  <c r="A318" i="32"/>
  <c r="I3733" i="27"/>
  <c r="O497" i="27"/>
  <c r="A602" i="32"/>
  <c r="I3647" i="27"/>
  <c r="I3608" i="27"/>
  <c r="F3008" i="27"/>
  <c r="E510" i="27"/>
  <c r="I3915" i="27"/>
  <c r="Q498" i="27"/>
  <c r="A496" i="32"/>
  <c r="H3786" i="27"/>
  <c r="F2989" i="27"/>
  <c r="I3637" i="27"/>
  <c r="N514" i="27"/>
  <c r="F19" i="27"/>
  <c r="A506" i="32"/>
  <c r="A1123" i="32"/>
  <c r="A981" i="32"/>
  <c r="F246" i="27"/>
  <c r="R3000" i="27"/>
  <c r="I3741" i="27"/>
  <c r="P504" i="27"/>
  <c r="A492" i="32"/>
  <c r="H3636" i="27"/>
  <c r="I3754" i="27"/>
  <c r="K512" i="27"/>
  <c r="G27" i="27"/>
  <c r="H3860" i="27"/>
  <c r="F3020" i="27"/>
  <c r="P3029" i="27"/>
  <c r="G498" i="27"/>
  <c r="J227" i="27"/>
  <c r="P3007" i="27"/>
  <c r="A306" i="32"/>
  <c r="N511" i="27"/>
  <c r="A953" i="32"/>
  <c r="A669" i="32"/>
  <c r="H3589" i="27"/>
  <c r="S494" i="27"/>
  <c r="A1001" i="32"/>
  <c r="A134" i="32"/>
  <c r="H3868" i="27"/>
  <c r="K31" i="27"/>
  <c r="F3010" i="27"/>
  <c r="P3030" i="27"/>
  <c r="H245" i="27"/>
  <c r="A1103" i="32"/>
  <c r="J249" i="27"/>
  <c r="J26" i="27"/>
  <c r="Q506" i="27"/>
  <c r="L3" i="27"/>
  <c r="J27" i="27"/>
  <c r="F3052" i="27"/>
  <c r="A540" i="32"/>
  <c r="P512" i="27"/>
  <c r="O505" i="27"/>
  <c r="I3761" i="27"/>
  <c r="H3703" i="27"/>
  <c r="H3543" i="27"/>
  <c r="F250" i="27"/>
  <c r="H3715" i="27"/>
  <c r="A947" i="32"/>
  <c r="H3823" i="27"/>
  <c r="A715" i="32"/>
  <c r="H3758" i="27"/>
  <c r="H3666" i="27"/>
  <c r="A987" i="32"/>
  <c r="A635" i="32"/>
  <c r="F3018" i="27"/>
  <c r="A1111" i="32"/>
  <c r="A649" i="32"/>
  <c r="H3625" i="27"/>
  <c r="J3015" i="27"/>
  <c r="O256" i="27"/>
  <c r="R3012" i="27"/>
  <c r="P511" i="27"/>
  <c r="A847" i="32"/>
  <c r="L511" i="27"/>
  <c r="A1163" i="32"/>
  <c r="A775" i="32"/>
  <c r="I3908" i="27"/>
  <c r="H3689" i="27"/>
  <c r="P508" i="27"/>
  <c r="P2980" i="27"/>
  <c r="F31" i="27"/>
  <c r="H3643" i="27"/>
  <c r="H3846" i="27"/>
  <c r="A941" i="32"/>
  <c r="H3783" i="27"/>
  <c r="R3011" i="27"/>
  <c r="F33" i="27"/>
  <c r="N22" i="27"/>
  <c r="I3575" i="27"/>
  <c r="A40" i="32"/>
  <c r="A917" i="32"/>
  <c r="H3902" i="27"/>
  <c r="A372" i="32"/>
  <c r="R501" i="27"/>
  <c r="I3822" i="27"/>
  <c r="F2980" i="27"/>
  <c r="H3573" i="27"/>
  <c r="I3691" i="27"/>
  <c r="P3022" i="27"/>
  <c r="L513" i="27"/>
  <c r="G247" i="27"/>
  <c r="I3640" i="27"/>
  <c r="H3856" i="27"/>
  <c r="L24" i="27"/>
  <c r="A326" i="32"/>
  <c r="H3897" i="27"/>
  <c r="F3031" i="27"/>
  <c r="A1195" i="32"/>
  <c r="A831" i="32"/>
  <c r="H3726" i="27"/>
  <c r="A96" i="32"/>
  <c r="A1193" i="32"/>
  <c r="A300" i="32"/>
  <c r="G516" i="27"/>
  <c r="R2992" i="27"/>
  <c r="A26" i="32"/>
  <c r="A1005" i="32"/>
  <c r="I519" i="27"/>
  <c r="J3049" i="27"/>
  <c r="A472" i="32"/>
  <c r="H3633" i="27"/>
  <c r="A703" i="32"/>
  <c r="D3" i="27"/>
  <c r="I3824" i="27"/>
  <c r="J3001" i="27"/>
  <c r="N253" i="27"/>
  <c r="A991" i="32"/>
  <c r="P499" i="27"/>
  <c r="I3917" i="27"/>
  <c r="A889" i="32"/>
  <c r="L501" i="27"/>
  <c r="J3045" i="27"/>
  <c r="S515" i="27"/>
  <c r="G512" i="27"/>
  <c r="I3629" i="27"/>
  <c r="H20" i="27"/>
  <c r="A665" i="32"/>
  <c r="A358" i="32"/>
  <c r="A162" i="32"/>
  <c r="E256" i="27"/>
  <c r="J31" i="27"/>
  <c r="H19" i="27"/>
  <c r="A46" i="32"/>
  <c r="R2999" i="27"/>
  <c r="A821" i="32"/>
  <c r="J3033" i="27"/>
  <c r="R3034" i="27"/>
  <c r="K29" i="27"/>
  <c r="H3778" i="27"/>
  <c r="A989" i="32"/>
  <c r="A78" i="32"/>
  <c r="I3818" i="27"/>
  <c r="F495" i="27"/>
  <c r="H3855" i="27"/>
  <c r="I3686" i="27"/>
  <c r="A340" i="32"/>
  <c r="K519" i="27"/>
  <c r="P3051" i="27"/>
  <c r="I3620" i="27"/>
  <c r="I3774" i="27"/>
  <c r="A1179" i="32"/>
  <c r="A1105" i="32"/>
  <c r="I499" i="27"/>
  <c r="F3042" i="27"/>
  <c r="A120" i="32"/>
  <c r="I3898" i="27"/>
  <c r="E506" i="27"/>
  <c r="A959" i="32"/>
  <c r="I3707" i="27"/>
  <c r="H3906" i="27"/>
  <c r="H3867" i="27"/>
  <c r="A60" i="32"/>
  <c r="A637" i="32"/>
  <c r="A1083" i="32"/>
  <c r="A198" i="32"/>
  <c r="I3667" i="27"/>
  <c r="R3003" i="27"/>
  <c r="H3885" i="27"/>
  <c r="L23" i="27"/>
  <c r="R2991" i="27"/>
  <c r="P2984" i="27"/>
  <c r="H3624" i="27"/>
  <c r="L495" i="27"/>
  <c r="A152" i="32"/>
  <c r="H3729" i="27"/>
  <c r="F2999" i="27"/>
  <c r="I3868" i="27"/>
  <c r="A999" i="32"/>
  <c r="I3888" i="27"/>
  <c r="I3617" i="27"/>
  <c r="H248" i="27"/>
  <c r="I3858" i="27"/>
  <c r="J2999" i="27"/>
  <c r="A94" i="32"/>
  <c r="H246" i="27"/>
  <c r="H3917" i="27"/>
  <c r="H3899" i="27"/>
  <c r="A564" i="32"/>
  <c r="F249" i="27"/>
  <c r="F502" i="27"/>
  <c r="I3839" i="27"/>
  <c r="N32" i="27"/>
  <c r="A1087" i="32"/>
  <c r="N512" i="27"/>
  <c r="A1093" i="32"/>
  <c r="I3685" i="27"/>
  <c r="F3002" i="27"/>
  <c r="A911" i="32"/>
  <c r="F522" i="27"/>
  <c r="H3841" i="27"/>
  <c r="H3782" i="27"/>
  <c r="L33" i="27"/>
  <c r="R2986" i="27"/>
  <c r="I3554" i="27"/>
  <c r="O250" i="27"/>
  <c r="A823" i="32"/>
  <c r="H3920" i="27"/>
  <c r="A1199" i="32"/>
  <c r="K514" i="27"/>
  <c r="A140" i="32"/>
  <c r="H3894" i="27"/>
  <c r="A1129" i="32"/>
  <c r="I3790" i="27"/>
  <c r="H3922" i="27"/>
  <c r="R3015" i="27"/>
  <c r="H3547" i="27"/>
  <c r="M247" i="27" a="1"/>
  <c r="P3000" i="27"/>
  <c r="A512" i="32"/>
  <c r="L22" i="27"/>
  <c r="I3794" i="27"/>
  <c r="I3679" i="27"/>
  <c r="E32" i="27"/>
  <c r="N248" i="27"/>
  <c r="G243" i="27"/>
  <c r="H3749" i="27"/>
  <c r="A687" i="32"/>
  <c r="A1021" i="32"/>
  <c r="A296" i="32"/>
  <c r="A344" i="32"/>
  <c r="I3597" i="27"/>
  <c r="H3653" i="27"/>
  <c r="R511" i="27"/>
  <c r="A560" i="32"/>
  <c r="H3864" i="27"/>
  <c r="R2989" i="27"/>
  <c r="A695" i="32"/>
  <c r="N497" i="27"/>
  <c r="I3687" i="27"/>
  <c r="H3822" i="27"/>
  <c r="H3904" i="27"/>
  <c r="H3658" i="27"/>
  <c r="P498" i="27"/>
  <c r="I3604" i="27"/>
  <c r="A897" i="32"/>
  <c r="Q509" i="27"/>
  <c r="A84" i="32"/>
  <c r="P3050" i="27"/>
  <c r="A272" i="32"/>
  <c r="A530" i="32"/>
  <c r="I3676" i="27"/>
  <c r="Q511" i="27"/>
  <c r="O516" i="27"/>
  <c r="F2998" i="27"/>
  <c r="I3911" i="27"/>
  <c r="E512" i="27"/>
  <c r="J3027" i="27"/>
  <c r="I521" i="27"/>
  <c r="A238" i="32"/>
  <c r="R3055" i="27"/>
  <c r="A1081" i="32"/>
  <c r="A382" i="32"/>
  <c r="J2994" i="27"/>
  <c r="P521" i="27"/>
  <c r="H3901" i="27"/>
  <c r="R2977" i="27"/>
  <c r="H3850" i="27"/>
  <c r="A398" i="32"/>
  <c r="A284" i="32"/>
  <c r="A895" i="32"/>
  <c r="I3766" i="27"/>
  <c r="H3830" i="27"/>
  <c r="H3647" i="27"/>
  <c r="A923" i="32"/>
  <c r="A20" i="32"/>
  <c r="H3852" i="27"/>
  <c r="J3008" i="27"/>
  <c r="M245" i="27" a="1"/>
  <c r="J3010" i="27"/>
  <c r="A500" i="32"/>
  <c r="J2981" i="27"/>
  <c r="H3667" i="27"/>
  <c r="S503" i="27"/>
  <c r="H3692" i="27"/>
  <c r="M244" i="27" a="1"/>
  <c r="A735" i="32"/>
  <c r="A1147" i="32"/>
  <c r="I3849" i="27"/>
  <c r="I3636" i="27"/>
  <c r="J3042" i="27"/>
  <c r="I3800" i="27"/>
  <c r="I3836" i="27"/>
  <c r="K506" i="27"/>
  <c r="I3812" i="27"/>
  <c r="F3006" i="27"/>
  <c r="H3649" i="27"/>
  <c r="H3789" i="27"/>
  <c r="H3817" i="27"/>
  <c r="A76" i="32"/>
  <c r="E33" i="27"/>
  <c r="A833" i="32"/>
  <c r="A1177" i="32"/>
  <c r="A747" i="32"/>
  <c r="E249" i="27"/>
  <c r="H3" i="27"/>
  <c r="I3649" i="27"/>
  <c r="H22" i="27"/>
  <c r="I3854" i="27"/>
  <c r="A809" i="32"/>
  <c r="A651" i="32"/>
  <c r="Q513" i="27"/>
  <c r="I3856" i="27"/>
  <c r="I3704" i="27"/>
  <c r="H3889" i="27"/>
  <c r="F32" i="27"/>
  <c r="A763" i="32"/>
  <c r="I3659" i="27"/>
  <c r="I3899" i="27"/>
  <c r="I3817" i="27"/>
  <c r="A446" i="32"/>
  <c r="A474" i="32"/>
  <c r="H3774" i="27"/>
  <c r="G257" i="27"/>
  <c r="P518" i="27"/>
  <c r="R3014" i="27"/>
  <c r="I3611" i="27"/>
  <c r="H3652" i="27"/>
  <c r="I3857" i="27"/>
  <c r="J3011" i="27"/>
  <c r="I3769" i="27"/>
  <c r="H243" i="27"/>
  <c r="A719" i="32"/>
  <c r="A753" i="32"/>
  <c r="H3807" i="27"/>
  <c r="F2985" i="27"/>
  <c r="A811" i="32"/>
  <c r="H3921" i="27"/>
  <c r="J3041" i="27"/>
  <c r="H3545" i="27"/>
  <c r="A839" i="32"/>
  <c r="I3718" i="27"/>
  <c r="A1055" i="32"/>
  <c r="F2987" i="27"/>
  <c r="H3893" i="27"/>
  <c r="H3570" i="27"/>
  <c r="A170" i="32"/>
  <c r="L227" i="27"/>
  <c r="G493" i="27"/>
  <c r="F3022" i="27"/>
  <c r="E518" i="27"/>
  <c r="A322" i="32"/>
  <c r="A711" i="32"/>
  <c r="I518" i="27"/>
  <c r="G494" i="27"/>
  <c r="I3635" i="27"/>
  <c r="K503" i="27"/>
  <c r="A288" i="32"/>
  <c r="O246" i="27"/>
  <c r="I3861" i="27"/>
  <c r="O245" i="27"/>
  <c r="P2983" i="27"/>
  <c r="A1069" i="32"/>
  <c r="I3806" i="27"/>
  <c r="P3009" i="27"/>
  <c r="F3033" i="27"/>
  <c r="A975" i="32"/>
  <c r="A352" i="32"/>
  <c r="D227" i="27"/>
  <c r="H3831" i="27"/>
  <c r="I3881" i="27"/>
  <c r="A1027" i="32"/>
  <c r="N26" i="27"/>
  <c r="J3" i="27"/>
  <c r="I3845" i="27"/>
  <c r="I3828" i="27"/>
  <c r="N3" i="27"/>
  <c r="F3044" i="27"/>
  <c r="A693" i="32"/>
  <c r="F3026" i="27"/>
  <c r="I3600" i="27"/>
  <c r="I3569" i="27"/>
  <c r="A596" i="32"/>
  <c r="I3901" i="27"/>
  <c r="I3648" i="27"/>
  <c r="R2988" i="27"/>
  <c r="A50" i="32"/>
  <c r="P495" i="27"/>
  <c r="J254" i="27"/>
  <c r="S516" i="27"/>
  <c r="A931" i="32"/>
  <c r="J246" i="27"/>
  <c r="I3655" i="27"/>
  <c r="A600" i="32"/>
  <c r="P3055" i="27"/>
  <c r="I494" i="27"/>
  <c r="Q500" i="27"/>
  <c r="A1159" i="32"/>
  <c r="I514" i="27"/>
  <c r="I3587" i="27"/>
  <c r="P3032" i="27"/>
  <c r="I3644" i="27"/>
  <c r="I3875" i="27"/>
  <c r="E254" i="27"/>
  <c r="A336" i="32"/>
  <c r="A739" i="32"/>
  <c r="N245" i="27"/>
  <c r="E25" i="27"/>
  <c r="H3793" i="27"/>
  <c r="I3588" i="27"/>
  <c r="A1169" i="32"/>
  <c r="F3046" i="27"/>
  <c r="A204" i="32"/>
  <c r="P2978" i="27"/>
  <c r="A771" i="32"/>
  <c r="H3757" i="27"/>
  <c r="M249" i="27" a="1"/>
  <c r="H3686" i="27"/>
  <c r="F2990" i="27"/>
  <c r="N505" i="27"/>
  <c r="I3907" i="27"/>
  <c r="K24" i="27"/>
  <c r="A334" i="32"/>
  <c r="A1167" i="32"/>
  <c r="H253" i="27"/>
  <c r="F3048" i="27"/>
  <c r="H3569" i="27"/>
  <c r="I3871" i="27"/>
  <c r="P3016" i="27"/>
  <c r="H3873" i="27"/>
  <c r="L28" i="27"/>
  <c r="H3794" i="27"/>
  <c r="I3627" i="27"/>
  <c r="H3599" i="27"/>
  <c r="H3632" i="27"/>
  <c r="H3755" i="27"/>
  <c r="A1197" i="32"/>
  <c r="K495" i="27"/>
  <c r="F30" i="27"/>
  <c r="I3680" i="27"/>
  <c r="A741" i="32"/>
  <c r="R3025" i="27"/>
  <c r="I3880" i="27"/>
  <c r="A963" i="32"/>
  <c r="I3576" i="27"/>
  <c r="F2995" i="27"/>
  <c r="H3779" i="27"/>
  <c r="A759" i="32"/>
  <c r="I3658" i="27"/>
  <c r="J2985" i="27"/>
  <c r="H3722" i="27"/>
  <c r="I3566" i="27"/>
  <c r="M253" i="27" a="1"/>
  <c r="P2988" i="27"/>
  <c r="L498" i="27"/>
  <c r="R2981" i="27"/>
  <c r="A1181" i="32"/>
  <c r="H3646" i="27"/>
  <c r="R3053" i="27"/>
  <c r="A1065" i="32"/>
  <c r="H23" i="27"/>
  <c r="I3902" i="27"/>
  <c r="A869" i="32"/>
  <c r="A126" i="32"/>
  <c r="A945" i="32"/>
  <c r="A1207" i="32"/>
  <c r="A1205" i="32"/>
  <c r="L32" i="27"/>
  <c r="J511" i="27" a="1"/>
  <c r="J496" i="27" a="1"/>
  <c r="J501" i="27" a="1"/>
  <c r="J516" i="27" a="1"/>
  <c r="J494" i="27" a="1"/>
  <c r="J512" i="27" a="1"/>
  <c r="J502" i="27" a="1"/>
  <c r="J514" i="27" a="1"/>
  <c r="J500" i="27" a="1"/>
  <c r="J518" i="27" a="1"/>
  <c r="J504" i="27" a="1"/>
  <c r="J517" i="27" a="1"/>
  <c r="J519" i="27" a="1"/>
  <c r="J499" i="27" a="1"/>
  <c r="J522" i="27" a="1"/>
  <c r="J513" i="27" a="1"/>
  <c r="J493" i="27" a="1"/>
  <c r="J509" i="27" a="1"/>
  <c r="J498" i="27" a="1"/>
  <c r="J520" i="27" a="1"/>
  <c r="J515" i="27" a="1"/>
  <c r="J506" i="27" a="1"/>
  <c r="J508" i="27" a="1"/>
  <c r="J521" i="27" a="1"/>
  <c r="J510" i="27" a="1"/>
  <c r="J507" i="27" a="1"/>
  <c r="J497" i="27" a="1"/>
  <c r="J503" i="27" a="1"/>
  <c r="J505" i="27" a="1"/>
  <c r="I2991" i="27"/>
  <c r="W2991" i="27"/>
  <c r="I2996" i="27"/>
  <c r="W2996" i="27"/>
  <c r="W3003" i="27"/>
  <c r="I3003" i="27"/>
  <c r="I3046" i="27"/>
  <c r="W3046" i="27"/>
  <c r="I3020" i="27"/>
  <c r="W3020" i="27"/>
  <c r="I3042" i="27"/>
  <c r="W3042" i="27"/>
  <c r="I3048" i="27"/>
  <c r="W3048" i="27"/>
  <c r="I3025" i="27"/>
  <c r="W3025" i="27"/>
  <c r="W3045" i="27"/>
  <c r="I3045" i="27"/>
  <c r="I2984" i="27"/>
  <c r="W2984" i="27"/>
  <c r="I2979" i="27"/>
  <c r="W2979" i="27"/>
  <c r="W3040" i="27"/>
  <c r="I3040" i="27"/>
  <c r="I2987" i="27"/>
  <c r="W2987" i="27"/>
  <c r="W2990" i="27"/>
  <c r="I2990" i="27"/>
  <c r="I3049" i="27"/>
  <c r="W3049" i="27"/>
  <c r="W3051" i="27"/>
  <c r="I3051" i="27"/>
  <c r="I3055" i="27"/>
  <c r="W3055" i="27"/>
  <c r="I3016" i="27"/>
  <c r="W3016" i="27"/>
  <c r="I3043" i="27"/>
  <c r="W3043" i="27"/>
  <c r="I3036" i="27"/>
  <c r="W3036" i="27"/>
  <c r="W3021" i="27"/>
  <c r="I3021" i="27"/>
  <c r="W3013" i="27"/>
  <c r="I3013" i="27"/>
  <c r="I3001" i="27"/>
  <c r="W3001" i="27"/>
  <c r="I2998" i="27"/>
  <c r="W2998" i="27"/>
  <c r="I3030" i="27"/>
  <c r="W3030" i="27"/>
  <c r="I3014" i="27"/>
  <c r="W3014" i="27"/>
  <c r="I2978" i="27"/>
  <c r="W2978" i="27"/>
  <c r="I3018" i="27"/>
  <c r="W3018" i="27"/>
  <c r="I3032" i="27"/>
  <c r="W3032" i="27"/>
  <c r="I3029" i="27"/>
  <c r="W3029" i="27"/>
  <c r="W3024" i="27"/>
  <c r="I3024" i="27"/>
  <c r="I3044" i="27"/>
  <c r="W3044" i="27"/>
  <c r="W3038" i="27"/>
  <c r="I3038" i="27"/>
  <c r="I2999" i="27"/>
  <c r="W2999" i="27"/>
  <c r="I2997" i="27"/>
  <c r="W2997" i="27"/>
  <c r="I2989" i="27"/>
  <c r="W2989" i="27"/>
  <c r="I3017" i="27"/>
  <c r="W3017" i="27"/>
  <c r="I3039" i="27"/>
  <c r="W3039" i="27"/>
  <c r="I2982" i="27"/>
  <c r="W2982" i="27"/>
  <c r="W3035" i="27"/>
  <c r="I3035" i="27"/>
  <c r="I2980" i="27"/>
  <c r="W2980" i="27"/>
  <c r="I2977" i="27"/>
  <c r="W2977" i="27"/>
  <c r="I3050" i="27"/>
  <c r="W3050" i="27"/>
  <c r="I2995" i="27"/>
  <c r="W2995" i="27"/>
  <c r="I3026" i="27"/>
  <c r="W3026" i="27"/>
  <c r="I3054" i="27"/>
  <c r="W3054" i="27"/>
  <c r="W3009" i="27"/>
  <c r="I3009" i="27"/>
  <c r="I3031" i="27"/>
  <c r="W3031" i="27"/>
  <c r="I2981" i="27"/>
  <c r="W2981" i="27"/>
  <c r="I3047" i="27"/>
  <c r="W3047" i="27"/>
  <c r="W2985" i="27"/>
  <c r="I2985" i="27"/>
  <c r="I3022" i="27"/>
  <c r="W3022" i="27"/>
  <c r="I2986" i="27"/>
  <c r="W2986" i="27"/>
  <c r="I3010" i="27"/>
  <c r="W3010" i="27"/>
  <c r="I3007" i="27"/>
  <c r="W3007" i="27"/>
  <c r="I2992" i="27"/>
  <c r="W2992" i="27"/>
  <c r="I3019" i="27"/>
  <c r="W3019" i="27"/>
  <c r="I3006" i="27"/>
  <c r="W3006" i="27"/>
  <c r="I3033" i="27"/>
  <c r="W3033" i="27"/>
  <c r="I3015" i="27"/>
  <c r="W3015" i="27"/>
  <c r="I2994" i="27"/>
  <c r="W2994" i="27"/>
  <c r="I3002" i="27"/>
  <c r="W3002" i="27"/>
  <c r="W3000" i="27"/>
  <c r="I3000" i="27"/>
  <c r="W3028" i="27"/>
  <c r="I3028" i="27"/>
  <c r="I2988" i="27"/>
  <c r="W2988" i="27"/>
  <c r="W3011" i="27"/>
  <c r="I3011" i="27"/>
  <c r="W3008" i="27"/>
  <c r="I3008" i="27"/>
  <c r="I3056" i="27"/>
  <c r="W3056" i="27"/>
  <c r="W3023" i="27"/>
  <c r="I3023" i="27"/>
  <c r="W3012" i="27"/>
  <c r="I3012" i="27"/>
  <c r="I3053" i="27"/>
  <c r="W3053" i="27"/>
  <c r="I2983" i="27"/>
  <c r="W2983" i="27"/>
  <c r="I3005" i="27"/>
  <c r="W3005" i="27"/>
  <c r="I3027" i="27"/>
  <c r="W3027" i="27"/>
  <c r="I3037" i="27"/>
  <c r="W3037" i="27"/>
  <c r="W3052" i="27"/>
  <c r="I3052" i="27"/>
  <c r="I2993" i="27"/>
  <c r="W2993" i="27"/>
  <c r="I3004" i="27"/>
  <c r="W3004" i="27"/>
  <c r="I3041" i="27"/>
  <c r="W3041" i="27"/>
  <c r="W3034" i="27"/>
  <c r="I3034" i="27"/>
  <c r="A3646" i="27" l="1"/>
  <c r="A3722" i="27"/>
  <c r="A3779" i="27"/>
  <c r="A3755" i="27"/>
  <c r="A3632" i="27"/>
  <c r="A3599" i="27"/>
  <c r="A3794" i="27"/>
  <c r="A3873" i="27"/>
  <c r="A3569" i="27"/>
  <c r="A3686" i="27"/>
  <c r="A3757" i="27"/>
  <c r="A3793" i="27"/>
  <c r="A3831" i="27"/>
  <c r="A3570" i="27"/>
  <c r="A3893" i="27"/>
  <c r="A3545" i="27"/>
  <c r="A3921" i="27"/>
  <c r="A3807" i="27"/>
  <c r="A3652" i="27"/>
  <c r="A3774" i="27"/>
  <c r="A3889" i="27"/>
  <c r="A3817" i="27"/>
  <c r="A3789" i="27"/>
  <c r="A3649" i="27"/>
  <c r="A3692" i="27"/>
  <c r="A3667" i="27"/>
  <c r="A3852" i="27"/>
  <c r="A3647" i="27"/>
  <c r="A3830" i="27"/>
  <c r="A3850" i="27"/>
  <c r="A3901" i="27"/>
  <c r="A3658" i="27"/>
  <c r="A3904" i="27"/>
  <c r="A3822" i="27"/>
  <c r="A3864" i="27"/>
  <c r="A3653" i="27"/>
  <c r="A3749" i="27"/>
  <c r="A3547" i="27"/>
  <c r="A3922" i="27"/>
  <c r="A3894" i="27"/>
  <c r="A3920" i="27"/>
  <c r="A3782" i="27"/>
  <c r="A3841" i="27"/>
  <c r="A3899" i="27"/>
  <c r="A3917" i="27"/>
  <c r="A3729" i="27"/>
  <c r="A3624" i="27"/>
  <c r="A3885" i="27"/>
  <c r="A3867" i="27"/>
  <c r="A3906" i="27"/>
  <c r="A3855" i="27"/>
  <c r="A3778" i="27"/>
  <c r="A3633" i="27"/>
  <c r="A3726" i="27"/>
  <c r="A3897" i="27"/>
  <c r="A3856" i="27"/>
  <c r="A3573" i="27"/>
  <c r="A3902" i="27"/>
  <c r="A3783" i="27"/>
  <c r="A3846" i="27"/>
  <c r="A3643" i="27"/>
  <c r="A3689" i="27"/>
  <c r="A3625" i="27"/>
  <c r="A3666" i="27"/>
  <c r="A3758" i="27"/>
  <c r="A3823" i="27"/>
  <c r="A3715" i="27"/>
  <c r="A3543" i="27"/>
  <c r="A3703" i="27"/>
  <c r="A3868" i="27"/>
  <c r="A3589" i="27"/>
  <c r="A3860" i="27"/>
  <c r="A3636" i="27"/>
  <c r="A3786" i="27"/>
  <c r="A3672" i="27"/>
  <c r="A3820" i="27"/>
  <c r="A3890" i="27"/>
  <c r="A3770" i="27"/>
  <c r="A3879" i="27"/>
  <c r="A3714" i="27"/>
  <c r="A3836" i="27"/>
  <c r="A3640" i="27"/>
  <c r="A3895" i="27"/>
  <c r="A3848" i="27"/>
  <c r="A3676" i="27"/>
  <c r="A3727" i="27"/>
  <c r="A3611" i="27"/>
  <c r="A3882" i="27"/>
  <c r="A3683" i="27"/>
  <c r="A3706" i="27"/>
  <c r="A3705" i="27"/>
  <c r="A3878" i="27"/>
  <c r="A3790" i="27"/>
  <c r="A3580" i="27"/>
  <c r="A3844" i="27"/>
  <c r="A3767" i="27"/>
  <c r="A3634" i="27"/>
  <c r="A3853" i="27"/>
  <c r="A3737" i="27"/>
  <c r="A3907" i="27"/>
  <c r="A3558" i="27"/>
  <c r="A3832" i="27"/>
  <c r="A3780" i="27"/>
  <c r="A3887" i="27"/>
  <c r="A3745" i="27"/>
  <c r="A3772" i="27"/>
  <c r="A3760" i="27"/>
  <c r="A3834" i="27"/>
  <c r="A3859" i="27"/>
  <c r="A3911" i="27"/>
  <c r="A3766" i="27"/>
  <c r="A3740" i="27"/>
  <c r="A3743" i="27"/>
  <c r="A3788" i="27"/>
  <c r="A3687" i="27"/>
  <c r="A3759" i="27"/>
  <c r="A3734" i="27"/>
  <c r="A3923" i="27"/>
  <c r="A3818" i="27"/>
  <c r="A3680" i="27"/>
  <c r="A3601" i="27"/>
  <c r="A3626" i="27"/>
  <c r="A3602" i="27"/>
  <c r="A3665" i="27"/>
  <c r="A3605" i="27"/>
  <c r="A3708" i="27"/>
  <c r="A3699" i="27"/>
  <c r="A3719" i="27"/>
  <c r="A3746" i="27"/>
  <c r="A3896" i="27"/>
  <c r="A3842" i="27"/>
  <c r="A3764" i="27"/>
  <c r="A3628" i="27"/>
  <c r="A3784" i="27"/>
  <c r="A3693" i="27"/>
  <c r="A3768" i="27"/>
  <c r="A3916" i="27"/>
  <c r="A3869" i="27"/>
  <c r="A3725" i="27"/>
  <c r="A3711" i="27"/>
  <c r="A3712" i="27"/>
  <c r="A3835" i="27"/>
  <c r="A3681" i="27"/>
  <c r="A3801" i="27"/>
  <c r="A3596" i="27"/>
  <c r="A3627" i="27"/>
  <c r="A3551" i="27"/>
  <c r="A3655" i="27"/>
  <c r="A3574" i="27"/>
  <c r="A3629" i="27"/>
  <c r="A3615" i="27"/>
  <c r="A3598" i="27"/>
  <c r="A3909" i="27"/>
  <c r="A3721" i="27"/>
  <c r="A3881" i="27"/>
  <c r="A3865" i="27"/>
  <c r="A3747" i="27"/>
  <c r="A3607" i="27"/>
  <c r="A3587" i="27"/>
  <c r="A3707" i="27"/>
  <c r="A3912" i="27"/>
  <c r="A3838" i="27"/>
  <c r="A3654" i="27"/>
  <c r="A3669" i="27"/>
  <c r="A3874" i="27"/>
  <c r="A3854" i="27"/>
  <c r="A3720" i="27"/>
  <c r="A3824" i="27"/>
  <c r="A3618" i="27"/>
  <c r="A3657" i="27"/>
  <c r="A3718" i="27"/>
  <c r="A3847" i="27"/>
  <c r="A3576" i="27"/>
  <c r="A3552" i="27"/>
  <c r="A3572" i="27"/>
  <c r="A3812" i="27"/>
  <c r="A3735" i="27"/>
  <c r="A3650" i="27"/>
  <c r="A3559" i="27"/>
  <c r="A3785" i="27"/>
  <c r="A3797" i="27"/>
  <c r="A3821" i="27"/>
  <c r="A3915" i="27"/>
  <c r="A3553" i="27"/>
  <c r="A3773" i="27"/>
  <c r="A3579" i="27"/>
  <c r="A3678" i="27"/>
  <c r="A3548" i="27"/>
  <c r="A3583" i="27"/>
  <c r="A3616" i="27"/>
  <c r="A3670" i="27"/>
  <c r="A3816" i="27"/>
  <c r="A3613" i="27"/>
  <c r="A3919" i="27"/>
  <c r="A3690" i="27"/>
  <c r="A3828" i="27"/>
  <c r="A3717" i="27"/>
  <c r="A3622" i="27"/>
  <c r="A3905" i="27"/>
  <c r="A3685" i="27"/>
  <c r="A3833" i="27"/>
  <c r="A3554" i="27"/>
  <c r="A3561" i="27"/>
  <c r="A3595" i="27"/>
  <c r="A3866" i="27"/>
  <c r="A3877" i="27"/>
  <c r="A3694" i="27"/>
  <c r="A3593" i="27"/>
  <c r="A3756" i="27"/>
  <c r="A3872" i="27"/>
  <c r="A3549" i="27"/>
  <c r="A3741" i="27"/>
  <c r="A3827" i="27"/>
  <c r="A3748" i="27"/>
  <c r="A3635" i="27"/>
  <c r="A3664" i="27"/>
  <c r="A3731" i="27"/>
  <c r="A3862" i="27"/>
  <c r="A3837" i="27"/>
  <c r="A3659" i="27"/>
  <c r="A3582" i="27"/>
  <c r="A3829" i="27"/>
  <c r="A3544" i="27"/>
  <c r="A3795" i="27"/>
  <c r="A3799" i="27"/>
  <c r="A3566" i="27"/>
  <c r="A3600" i="27"/>
  <c r="A3765" i="27"/>
  <c r="A3736" i="27"/>
  <c r="A3886" i="27"/>
  <c r="A3588" i="27"/>
  <c r="A3875" i="27"/>
  <c r="A3556" i="27"/>
  <c r="A3753" i="27"/>
  <c r="A3673" i="27"/>
  <c r="A3777" i="27"/>
  <c r="A3845" i="27"/>
  <c r="A3843" i="27"/>
  <c r="A3550" i="27"/>
  <c r="A3910" i="27"/>
  <c r="A3639" i="27"/>
  <c r="A3620" i="27"/>
  <c r="A3642" i="27"/>
  <c r="A3614" i="27"/>
  <c r="A3861" i="27"/>
  <c r="A3876" i="27"/>
  <c r="A3724" i="27"/>
  <c r="A3800" i="27"/>
  <c r="A3752" i="27"/>
  <c r="A3597" i="27"/>
  <c r="A3814" i="27"/>
  <c r="A3661" i="27"/>
  <c r="A3606" i="27"/>
  <c r="A3621" i="27"/>
  <c r="A3645" i="27"/>
  <c r="A3671" i="27"/>
  <c r="A3840" i="27"/>
  <c r="A3914" i="27"/>
  <c r="A3675" i="27"/>
  <c r="A3682" i="27"/>
  <c r="A3908" i="27"/>
  <c r="A3546" i="27"/>
  <c r="A3751" i="27"/>
  <c r="A3884" i="27"/>
  <c r="A3802" i="27"/>
  <c r="A3584" i="27"/>
  <c r="A3577" i="27"/>
  <c r="A3578" i="27"/>
  <c r="A3870" i="27"/>
  <c r="A3839" i="27"/>
  <c r="A3810" i="27"/>
  <c r="A3585" i="27"/>
  <c r="A3710" i="27"/>
  <c r="A3679" i="27"/>
  <c r="A3696" i="27"/>
  <c r="A3787" i="27"/>
  <c r="A3704" i="27"/>
  <c r="A3781" i="27"/>
  <c r="A3567" i="27"/>
  <c r="A3863" i="27"/>
  <c r="A3637" i="27"/>
  <c r="A3805" i="27"/>
  <c r="A3560" i="27"/>
  <c r="A3564" i="27"/>
  <c r="A3898" i="27"/>
  <c r="A3918" i="27"/>
  <c r="A3709" i="27"/>
  <c r="A3644" i="27"/>
  <c r="A3713" i="27"/>
  <c r="A3609" i="27"/>
  <c r="A3700" i="27"/>
  <c r="A3792" i="27"/>
  <c r="A3728" i="27"/>
  <c r="A3651" i="27"/>
  <c r="A3813" i="27"/>
  <c r="A3811" i="27"/>
  <c r="A3806" i="27"/>
  <c r="A3608" i="27"/>
  <c r="A3557" i="27"/>
  <c r="A3592" i="27"/>
  <c r="A3924" i="27"/>
  <c r="A3565" i="27"/>
  <c r="A3723" i="27"/>
  <c r="A3641" i="27"/>
  <c r="A3808" i="27"/>
  <c r="A3826" i="27"/>
  <c r="A3575" i="27"/>
  <c r="A3648" i="27"/>
  <c r="A3630" i="27"/>
  <c r="A3697" i="27"/>
  <c r="A3563" i="27"/>
  <c r="A3562" i="27"/>
  <c r="A3858" i="27"/>
  <c r="A3769" i="27"/>
  <c r="A3674" i="27"/>
  <c r="A3623" i="27"/>
  <c r="A3742" i="27"/>
  <c r="A3631" i="27"/>
  <c r="A3663" i="27"/>
  <c r="A3913" i="27"/>
  <c r="A3684" i="27"/>
  <c r="A3849" i="27"/>
  <c r="A3668" i="27"/>
  <c r="A3815" i="27"/>
  <c r="A3871" i="27"/>
  <c r="A3738" i="27"/>
  <c r="A3803" i="27"/>
  <c r="A3656" i="27"/>
  <c r="A3763" i="27"/>
  <c r="A3695" i="27"/>
  <c r="A3771" i="27"/>
  <c r="A3775" i="27"/>
  <c r="A3594" i="27"/>
  <c r="A3880" i="27"/>
  <c r="A3825" i="27"/>
  <c r="A3798" i="27"/>
  <c r="A3660" i="27"/>
  <c r="A3883" i="27"/>
  <c r="A3776" i="27"/>
  <c r="A3732" i="27"/>
  <c r="A3809" i="27"/>
  <c r="A3900" i="27"/>
  <c r="A3610" i="27"/>
  <c r="A3603" i="27"/>
  <c r="A3754" i="27"/>
  <c r="A3612" i="27"/>
  <c r="A3750" i="27"/>
  <c r="A3698" i="27"/>
  <c r="A3691" i="27"/>
  <c r="A3888" i="27"/>
  <c r="A3739" i="27"/>
  <c r="A3662" i="27"/>
  <c r="A3604" i="27"/>
  <c r="A3891" i="27"/>
  <c r="A3762" i="27"/>
  <c r="A3892" i="27"/>
  <c r="A3819" i="27"/>
  <c r="A3617" i="27"/>
  <c r="A3688" i="27"/>
  <c r="A3744" i="27"/>
  <c r="A3586" i="27"/>
  <c r="A3571" i="27"/>
  <c r="A3903" i="27"/>
  <c r="A3590" i="27"/>
  <c r="A3619" i="27"/>
  <c r="A3796" i="27"/>
  <c r="A3733" i="27"/>
  <c r="A3851" i="27"/>
  <c r="A3716" i="27"/>
  <c r="A3591" i="27"/>
  <c r="A3857" i="27"/>
  <c r="A3702" i="27"/>
  <c r="A3761" i="27"/>
  <c r="A3730" i="27"/>
  <c r="A3638" i="27"/>
  <c r="A3581" i="27"/>
  <c r="A3791" i="27"/>
  <c r="A3804" i="27"/>
  <c r="A3677" i="27"/>
  <c r="A3555" i="27"/>
  <c r="A3701" i="27"/>
  <c r="A3568" i="27"/>
  <c r="F3926" i="27"/>
  <c r="F3927" i="27"/>
  <c r="G2501" i="27"/>
  <c r="G2453" i="27"/>
  <c r="H2509" i="27"/>
  <c r="H2336" i="27"/>
  <c r="G2525" i="27"/>
  <c r="G2477" i="27"/>
  <c r="G2429" i="27"/>
  <c r="G2390" i="27"/>
  <c r="G2391" i="27"/>
  <c r="N2320" i="27"/>
  <c r="G2381" i="27"/>
  <c r="J2260" i="27"/>
  <c r="H2253" i="27"/>
  <c r="H2344" i="27"/>
  <c r="J2392" i="27"/>
  <c r="H2440" i="27"/>
  <c r="J2476" i="27"/>
  <c r="H2488" i="27"/>
  <c r="J2524" i="27"/>
  <c r="H2536" i="27"/>
  <c r="J2273" i="27"/>
  <c r="J2309" i="27"/>
  <c r="I2345" i="27"/>
  <c r="J2381" i="27"/>
  <c r="H2393" i="27"/>
  <c r="J2429" i="27"/>
  <c r="H2441" i="27"/>
  <c r="J2477" i="27"/>
  <c r="H2489" i="27"/>
  <c r="J2525" i="27"/>
  <c r="H2537" i="27"/>
  <c r="N2262" i="27"/>
  <c r="H2502" i="27"/>
  <c r="N2442" i="27"/>
  <c r="J2490" i="27"/>
  <c r="I2538" i="27"/>
  <c r="N2263" i="27"/>
  <c r="J2275" i="27"/>
  <c r="N2311" i="27"/>
  <c r="J2323" i="27"/>
  <c r="G2335" i="27"/>
  <c r="N2359" i="27"/>
  <c r="I2371" i="27"/>
  <c r="G2383" i="27"/>
  <c r="J2419" i="27"/>
  <c r="G2431" i="27"/>
  <c r="H2467" i="27"/>
  <c r="G2537" i="27"/>
  <c r="G2274" i="27"/>
  <c r="H2418" i="27"/>
  <c r="G2478" i="27"/>
  <c r="G2402" i="27"/>
  <c r="G2403" i="27"/>
  <c r="G2272" i="27"/>
  <c r="J2332" i="27"/>
  <c r="N2296" i="27"/>
  <c r="G2260" i="27"/>
  <c r="N2368" i="27"/>
  <c r="J2380" i="27"/>
  <c r="J2428" i="27"/>
  <c r="N2261" i="27"/>
  <c r="I2273" i="27"/>
  <c r="N2297" i="27"/>
  <c r="I2309" i="27"/>
  <c r="N2333" i="27"/>
  <c r="N2369" i="27"/>
  <c r="N2417" i="27"/>
  <c r="N2465" i="27"/>
  <c r="N2513" i="27"/>
  <c r="J2310" i="27"/>
  <c r="G2358" i="27"/>
  <c r="I2502" i="27"/>
  <c r="H2298" i="27"/>
  <c r="I2346" i="27"/>
  <c r="I2275" i="27"/>
  <c r="G2287" i="27"/>
  <c r="H2335" i="27"/>
  <c r="N2491" i="27"/>
  <c r="I2503" i="27"/>
  <c r="G2515" i="27"/>
  <c r="N2334" i="27"/>
  <c r="J2370" i="27"/>
  <c r="I2418" i="27"/>
  <c r="G2414" i="27"/>
  <c r="G2415" i="27"/>
  <c r="I2332" i="27"/>
  <c r="G2344" i="27"/>
  <c r="I2380" i="27"/>
  <c r="G2392" i="27"/>
  <c r="N2416" i="27"/>
  <c r="I2428" i="27"/>
  <c r="G2440" i="27"/>
  <c r="N2464" i="27"/>
  <c r="I2476" i="27"/>
  <c r="G2488" i="27"/>
  <c r="N2512" i="27"/>
  <c r="I2524" i="27"/>
  <c r="G2536" i="27"/>
  <c r="H2273" i="27"/>
  <c r="H2309" i="27"/>
  <c r="H2345" i="27"/>
  <c r="I2381" i="27"/>
  <c r="I2429" i="27"/>
  <c r="I2477" i="27"/>
  <c r="I2525" i="27"/>
  <c r="H2310" i="27"/>
  <c r="N2406" i="27"/>
  <c r="I2298" i="27"/>
  <c r="G2346" i="27"/>
  <c r="H2490" i="27"/>
  <c r="G2538" i="27"/>
  <c r="H2323" i="27"/>
  <c r="G2371" i="27"/>
  <c r="N2395" i="27"/>
  <c r="J2407" i="27"/>
  <c r="H2419" i="27"/>
  <c r="N2443" i="27"/>
  <c r="J2455" i="27"/>
  <c r="G2467" i="27"/>
  <c r="J2503" i="27"/>
  <c r="H2515" i="27"/>
  <c r="N2526" i="27"/>
  <c r="G2438" i="27"/>
  <c r="G2439" i="27"/>
  <c r="N2308" i="27"/>
  <c r="I2320" i="27"/>
  <c r="H2332" i="27"/>
  <c r="H2380" i="27"/>
  <c r="H2428" i="27"/>
  <c r="H2476" i="27"/>
  <c r="H2524" i="27"/>
  <c r="J2261" i="27"/>
  <c r="J2333" i="27"/>
  <c r="J2369" i="27"/>
  <c r="H2381" i="27"/>
  <c r="H2429" i="27"/>
  <c r="H2477" i="27"/>
  <c r="H2525" i="27"/>
  <c r="J2262" i="27"/>
  <c r="J2454" i="27"/>
  <c r="G2502" i="27"/>
  <c r="J2298" i="27"/>
  <c r="I2263" i="27"/>
  <c r="H2275" i="27"/>
  <c r="N2299" i="27"/>
  <c r="J2311" i="27"/>
  <c r="N2347" i="27"/>
  <c r="J2359" i="27"/>
  <c r="H2371" i="27"/>
  <c r="I2407" i="27"/>
  <c r="G2419" i="27"/>
  <c r="I2455" i="27"/>
  <c r="H2503" i="27"/>
  <c r="J2539" i="27"/>
  <c r="I2310" i="27"/>
  <c r="H2370" i="27"/>
  <c r="G2418" i="27"/>
  <c r="H2437" i="27"/>
  <c r="G2258" i="27"/>
  <c r="G2450" i="27"/>
  <c r="G2259" i="27"/>
  <c r="G2451" i="27"/>
  <c r="N2284" i="27"/>
  <c r="H2320" i="27"/>
  <c r="J2296" i="27"/>
  <c r="H2361" i="27"/>
  <c r="N2356" i="27"/>
  <c r="I2368" i="27"/>
  <c r="N2404" i="27"/>
  <c r="I2416" i="27"/>
  <c r="J2464" i="27"/>
  <c r="N2500" i="27"/>
  <c r="J2512" i="27"/>
  <c r="J2297" i="27"/>
  <c r="I2333" i="27"/>
  <c r="N2405" i="27"/>
  <c r="J2417" i="27"/>
  <c r="N2453" i="27"/>
  <c r="J2465" i="27"/>
  <c r="N2501" i="27"/>
  <c r="J2513" i="27"/>
  <c r="G2270" i="27"/>
  <c r="G2462" i="27"/>
  <c r="I2280" i="27"/>
  <c r="G2271" i="27"/>
  <c r="G2463" i="27"/>
  <c r="J2308" i="27"/>
  <c r="J2320" i="27"/>
  <c r="G2332" i="27"/>
  <c r="I2296" i="27"/>
  <c r="H2368" i="27"/>
  <c r="G2380" i="27"/>
  <c r="H2416" i="27"/>
  <c r="G2428" i="27"/>
  <c r="N2452" i="27"/>
  <c r="I2464" i="27"/>
  <c r="G2476" i="27"/>
  <c r="I2512" i="27"/>
  <c r="G2524" i="27"/>
  <c r="I2261" i="27"/>
  <c r="N2285" i="27"/>
  <c r="I2297" i="27"/>
  <c r="N2321" i="27"/>
  <c r="H2333" i="27"/>
  <c r="N2357" i="27"/>
  <c r="I2369" i="27"/>
  <c r="J2405" i="27"/>
  <c r="I2417" i="27"/>
  <c r="I2465" i="27"/>
  <c r="I2513" i="27"/>
  <c r="I2262" i="27"/>
  <c r="J2406" i="27"/>
  <c r="G2298" i="27"/>
  <c r="H2442" i="27"/>
  <c r="G2490" i="27"/>
  <c r="G2294" i="27"/>
  <c r="G2486" i="27"/>
  <c r="G2295" i="27"/>
  <c r="G2487" i="27"/>
  <c r="I2308" i="27"/>
  <c r="H2296" i="27"/>
  <c r="N2260" i="27"/>
  <c r="H2397" i="27"/>
  <c r="J2368" i="27"/>
  <c r="J2404" i="27"/>
  <c r="J2416" i="27"/>
  <c r="J2452" i="27"/>
  <c r="H2464" i="27"/>
  <c r="J2500" i="27"/>
  <c r="H2512" i="27"/>
  <c r="H2261" i="27"/>
  <c r="H2297" i="27"/>
  <c r="H2369" i="27"/>
  <c r="H2417" i="27"/>
  <c r="J2453" i="27"/>
  <c r="H2465" i="27"/>
  <c r="J2501" i="27"/>
  <c r="H2513" i="27"/>
  <c r="N2358" i="27"/>
  <c r="G2454" i="27"/>
  <c r="N2346" i="27"/>
  <c r="J2394" i="27"/>
  <c r="I2442" i="27"/>
  <c r="G2263" i="27"/>
  <c r="N2287" i="27"/>
  <c r="H2311" i="27"/>
  <c r="N2335" i="27"/>
  <c r="I2347" i="27"/>
  <c r="J2395" i="27"/>
  <c r="H2407" i="27"/>
  <c r="G2455" i="27"/>
  <c r="I2479" i="27"/>
  <c r="H2539" i="27"/>
  <c r="H2334" i="27"/>
  <c r="G2370" i="27"/>
  <c r="H2526" i="27"/>
  <c r="G2306" i="27"/>
  <c r="G2498" i="27"/>
  <c r="G2307" i="27"/>
  <c r="G2499" i="27"/>
  <c r="N2272" i="27"/>
  <c r="J2284" i="27"/>
  <c r="H2308" i="27"/>
  <c r="G2320" i="27"/>
  <c r="J2356" i="27"/>
  <c r="N2392" i="27"/>
  <c r="I2404" i="27"/>
  <c r="N2440" i="27"/>
  <c r="I2452" i="27"/>
  <c r="N2536" i="27"/>
  <c r="J2285" i="27"/>
  <c r="J2321" i="27"/>
  <c r="N2393" i="27"/>
  <c r="I2405" i="27"/>
  <c r="N2441" i="27"/>
  <c r="N2489" i="27"/>
  <c r="N2537" i="27"/>
  <c r="H2406" i="27"/>
  <c r="H2365" i="27"/>
  <c r="H2394" i="27"/>
  <c r="H2263" i="27"/>
  <c r="J2299" i="27"/>
  <c r="G2311" i="27"/>
  <c r="J2347" i="27"/>
  <c r="G2359" i="27"/>
  <c r="H2395" i="27"/>
  <c r="J2479" i="27"/>
  <c r="H2491" i="27"/>
  <c r="N2515" i="27"/>
  <c r="I2527" i="27"/>
  <c r="G2297" i="27"/>
  <c r="I2334" i="27"/>
  <c r="N2418" i="27"/>
  <c r="G2318" i="27"/>
  <c r="G2510" i="27"/>
  <c r="G2319" i="27"/>
  <c r="G2511" i="27"/>
  <c r="J2272" i="27"/>
  <c r="I2284" i="27"/>
  <c r="G2296" i="27"/>
  <c r="N2344" i="27"/>
  <c r="I2356" i="27"/>
  <c r="G2368" i="27"/>
  <c r="G2416" i="27"/>
  <c r="G2464" i="27"/>
  <c r="N2488" i="27"/>
  <c r="I2500" i="27"/>
  <c r="G2512" i="27"/>
  <c r="J2536" i="27"/>
  <c r="J2357" i="27"/>
  <c r="I2453" i="27"/>
  <c r="I2501" i="27"/>
  <c r="G2262" i="27"/>
  <c r="I2406" i="27"/>
  <c r="N2502" i="27"/>
  <c r="G2442" i="27"/>
  <c r="N2538" i="27"/>
  <c r="J2383" i="27"/>
  <c r="N2419" i="27"/>
  <c r="J2431" i="27"/>
  <c r="G2443" i="27"/>
  <c r="N2467" i="27"/>
  <c r="G2491" i="27"/>
  <c r="J2527" i="27"/>
  <c r="G2539" i="27"/>
  <c r="G2345" i="27"/>
  <c r="J2274" i="27"/>
  <c r="J2478" i="27"/>
  <c r="G2342" i="27"/>
  <c r="G2534" i="27"/>
  <c r="G2343" i="27"/>
  <c r="G2535" i="27"/>
  <c r="I2272" i="27"/>
  <c r="H2284" i="27"/>
  <c r="G2308" i="27"/>
  <c r="H2260" i="27"/>
  <c r="H2372" i="27"/>
  <c r="I2344" i="27"/>
  <c r="H2356" i="27"/>
  <c r="H2404" i="27"/>
  <c r="H2452" i="27"/>
  <c r="H2500" i="27"/>
  <c r="G2354" i="27"/>
  <c r="G2355" i="27"/>
  <c r="H2272" i="27"/>
  <c r="N2332" i="27"/>
  <c r="G2285" i="27"/>
  <c r="I2260" i="27"/>
  <c r="H2516" i="27"/>
  <c r="I2392" i="27"/>
  <c r="N2428" i="27"/>
  <c r="I2440" i="27"/>
  <c r="N2476" i="27"/>
  <c r="J2488" i="27"/>
  <c r="N2524" i="27"/>
  <c r="H2285" i="27"/>
  <c r="H2321" i="27"/>
  <c r="H2357" i="27"/>
  <c r="N2381" i="27"/>
  <c r="J2393" i="27"/>
  <c r="N2429" i="27"/>
  <c r="J2441" i="27"/>
  <c r="N2477" i="27"/>
  <c r="I2489" i="27"/>
  <c r="N2525" i="27"/>
  <c r="J2537" i="27"/>
  <c r="H2358" i="27"/>
  <c r="G2406" i="27"/>
  <c r="J2538" i="27"/>
  <c r="J2287" i="27"/>
  <c r="H2299" i="27"/>
  <c r="I2335" i="27"/>
  <c r="G2347" i="27"/>
  <c r="H2431" i="27"/>
  <c r="G2479" i="27"/>
  <c r="N2503" i="27"/>
  <c r="I2515" i="27"/>
  <c r="H2527" i="27"/>
  <c r="N2380" i="27"/>
  <c r="N2454" i="27"/>
  <c r="H2538" i="27"/>
  <c r="I2311" i="27"/>
  <c r="I2359" i="27"/>
  <c r="G2489" i="27"/>
  <c r="G2526" i="27"/>
  <c r="I2264" i="27"/>
  <c r="H2312" i="27"/>
  <c r="N2336" i="27"/>
  <c r="I2348" i="27"/>
  <c r="G2360" i="27"/>
  <c r="H2396" i="27"/>
  <c r="N2420" i="27"/>
  <c r="J2432" i="27"/>
  <c r="G2444" i="27"/>
  <c r="I2480" i="27"/>
  <c r="H2528" i="27"/>
  <c r="J2382" i="27"/>
  <c r="I2430" i="27"/>
  <c r="N2514" i="27"/>
  <c r="J2277" i="27"/>
  <c r="N2313" i="27"/>
  <c r="H2337" i="27"/>
  <c r="J2409" i="27"/>
  <c r="H2421" i="27"/>
  <c r="I2457" i="27"/>
  <c r="G2469" i="27"/>
  <c r="I2505" i="27"/>
  <c r="H2517" i="27"/>
  <c r="J2326" i="27"/>
  <c r="H2374" i="27"/>
  <c r="N2446" i="27"/>
  <c r="H2494" i="27"/>
  <c r="H2542" i="27"/>
  <c r="G2309" i="27"/>
  <c r="G2254" i="27"/>
  <c r="J2398" i="27"/>
  <c r="G2470" i="27"/>
  <c r="J2279" i="27"/>
  <c r="G2291" i="27"/>
  <c r="J2327" i="27"/>
  <c r="G2339" i="27"/>
  <c r="G2333" i="27"/>
  <c r="H2392" i="27"/>
  <c r="I2321" i="27"/>
  <c r="H2454" i="27"/>
  <c r="J2263" i="27"/>
  <c r="H2359" i="27"/>
  <c r="G2407" i="27"/>
  <c r="H2455" i="27"/>
  <c r="G2503" i="27"/>
  <c r="N2274" i="27"/>
  <c r="N2288" i="27"/>
  <c r="J2300" i="27"/>
  <c r="G2312" i="27"/>
  <c r="J2384" i="27"/>
  <c r="I2432" i="27"/>
  <c r="N2504" i="27"/>
  <c r="J2516" i="27"/>
  <c r="G2528" i="27"/>
  <c r="N2322" i="27"/>
  <c r="N2265" i="27"/>
  <c r="G2289" i="27"/>
  <c r="I2325" i="27"/>
  <c r="G2373" i="27"/>
  <c r="N2397" i="27"/>
  <c r="I2409" i="27"/>
  <c r="G2421" i="27"/>
  <c r="H2505" i="27"/>
  <c r="G2374" i="27"/>
  <c r="J2446" i="27"/>
  <c r="G2494" i="27"/>
  <c r="J2530" i="27"/>
  <c r="G2542" i="27"/>
  <c r="G2357" i="27"/>
  <c r="N2350" i="27"/>
  <c r="I2398" i="27"/>
  <c r="I2279" i="27"/>
  <c r="N2315" i="27"/>
  <c r="H2293" i="27"/>
  <c r="G2404" i="27"/>
  <c r="J2346" i="27"/>
  <c r="N2275" i="27"/>
  <c r="N2323" i="27"/>
  <c r="N2371" i="27"/>
  <c r="J2515" i="27"/>
  <c r="J2252" i="27"/>
  <c r="G2264" i="27"/>
  <c r="I2300" i="27"/>
  <c r="H2348" i="27"/>
  <c r="N2372" i="27"/>
  <c r="I2384" i="27"/>
  <c r="G2396" i="27"/>
  <c r="J2420" i="27"/>
  <c r="H2432" i="27"/>
  <c r="N2456" i="27"/>
  <c r="J2468" i="27"/>
  <c r="G2480" i="27"/>
  <c r="I2516" i="27"/>
  <c r="I2424" i="27"/>
  <c r="H2382" i="27"/>
  <c r="G2430" i="27"/>
  <c r="I2277" i="27"/>
  <c r="J2313" i="27"/>
  <c r="N2349" i="27"/>
  <c r="J2361" i="27"/>
  <c r="H2373" i="27"/>
  <c r="J2445" i="27"/>
  <c r="H2457" i="27"/>
  <c r="N2481" i="27"/>
  <c r="J2493" i="27"/>
  <c r="N2529" i="27"/>
  <c r="J2541" i="27"/>
  <c r="N2278" i="27"/>
  <c r="I2326" i="27"/>
  <c r="I2446" i="27"/>
  <c r="I2530" i="27"/>
  <c r="G2366" i="27"/>
  <c r="N2345" i="27"/>
  <c r="J2502" i="27"/>
  <c r="H2346" i="27"/>
  <c r="I2323" i="27"/>
  <c r="I2419" i="27"/>
  <c r="I2467" i="27"/>
  <c r="H2274" i="27"/>
  <c r="J2418" i="27"/>
  <c r="I2252" i="27"/>
  <c r="N2324" i="27"/>
  <c r="J2336" i="27"/>
  <c r="G2348" i="27"/>
  <c r="I2468" i="27"/>
  <c r="N2540" i="27"/>
  <c r="J2322" i="27"/>
  <c r="I2382" i="27"/>
  <c r="J2265" i="27"/>
  <c r="N2301" i="27"/>
  <c r="I2313" i="27"/>
  <c r="G2325" i="27"/>
  <c r="I2361" i="27"/>
  <c r="G2409" i="27"/>
  <c r="N2433" i="27"/>
  <c r="I2445" i="27"/>
  <c r="G2457" i="27"/>
  <c r="I2493" i="27"/>
  <c r="G2505" i="27"/>
  <c r="I2541" i="27"/>
  <c r="J2278" i="27"/>
  <c r="H2326" i="27"/>
  <c r="N2434" i="27"/>
  <c r="H2446" i="27"/>
  <c r="N2518" i="27"/>
  <c r="H2530" i="27"/>
  <c r="H2264" i="27"/>
  <c r="I2350" i="27"/>
  <c r="G2398" i="27"/>
  <c r="N2255" i="27"/>
  <c r="N2267" i="27"/>
  <c r="G2279" i="27"/>
  <c r="J2315" i="27"/>
  <c r="G2327" i="27"/>
  <c r="J2440" i="27"/>
  <c r="J2345" i="27"/>
  <c r="I2441" i="27"/>
  <c r="I2537" i="27"/>
  <c r="H2262" i="27"/>
  <c r="N2394" i="27"/>
  <c r="G2275" i="27"/>
  <c r="G2323" i="27"/>
  <c r="N2479" i="27"/>
  <c r="N2527" i="27"/>
  <c r="I2274" i="27"/>
  <c r="N2478" i="27"/>
  <c r="H2252" i="27"/>
  <c r="N2276" i="27"/>
  <c r="J2288" i="27"/>
  <c r="G2300" i="27"/>
  <c r="I2336" i="27"/>
  <c r="H2384" i="27"/>
  <c r="N2408" i="27"/>
  <c r="I2420" i="27"/>
  <c r="G2432" i="27"/>
  <c r="H2468" i="27"/>
  <c r="N2492" i="27"/>
  <c r="J2504" i="27"/>
  <c r="G2516" i="27"/>
  <c r="N2286" i="27"/>
  <c r="N2466" i="27"/>
  <c r="J2514" i="27"/>
  <c r="H2277" i="27"/>
  <c r="N2385" i="27"/>
  <c r="J2397" i="27"/>
  <c r="H2409" i="27"/>
  <c r="H2541" i="27"/>
  <c r="G2326" i="27"/>
  <c r="J2434" i="27"/>
  <c r="G2446" i="27"/>
  <c r="J2518" i="27"/>
  <c r="G2530" i="27"/>
  <c r="H2408" i="27"/>
  <c r="J2302" i="27"/>
  <c r="I2267" i="27"/>
  <c r="H2257" i="27"/>
  <c r="G2452" i="27"/>
  <c r="I2357" i="27"/>
  <c r="H2453" i="27"/>
  <c r="N2310" i="27"/>
  <c r="I2394" i="27"/>
  <c r="N2383" i="27"/>
  <c r="N2431" i="27"/>
  <c r="I2288" i="27"/>
  <c r="N2360" i="27"/>
  <c r="J2372" i="27"/>
  <c r="G2384" i="27"/>
  <c r="J2456" i="27"/>
  <c r="I2504" i="27"/>
  <c r="G2367" i="27"/>
  <c r="G2394" i="27"/>
  <c r="I2287" i="27"/>
  <c r="J2335" i="27"/>
  <c r="I2383" i="27"/>
  <c r="I2431" i="27"/>
  <c r="H2478" i="27"/>
  <c r="G2252" i="27"/>
  <c r="H2288" i="27"/>
  <c r="N2312" i="27"/>
  <c r="J2324" i="27"/>
  <c r="G2336" i="27"/>
  <c r="I2372" i="27"/>
  <c r="H2420" i="27"/>
  <c r="N2444" i="27"/>
  <c r="I2456" i="27"/>
  <c r="G2468" i="27"/>
  <c r="H2504" i="27"/>
  <c r="I2540" i="27"/>
  <c r="I2322" i="27"/>
  <c r="I2514" i="27"/>
  <c r="J2301" i="27"/>
  <c r="H2313" i="27"/>
  <c r="I2349" i="27"/>
  <c r="N2421" i="27"/>
  <c r="J2433" i="27"/>
  <c r="H2445" i="27"/>
  <c r="I2481" i="27"/>
  <c r="G2493" i="27"/>
  <c r="I2529" i="27"/>
  <c r="G2541" i="27"/>
  <c r="H2278" i="27"/>
  <c r="N2422" i="27"/>
  <c r="H2434" i="27"/>
  <c r="H2518" i="27"/>
  <c r="I2488" i="27"/>
  <c r="N2273" i="27"/>
  <c r="G2310" i="27"/>
  <c r="J2442" i="27"/>
  <c r="H2287" i="27"/>
  <c r="H2383" i="27"/>
  <c r="H2479" i="27"/>
  <c r="G2527" i="27"/>
  <c r="J2334" i="27"/>
  <c r="I2478" i="27"/>
  <c r="J2276" i="27"/>
  <c r="I2324" i="27"/>
  <c r="N2396" i="27"/>
  <c r="J2408" i="27"/>
  <c r="G2420" i="27"/>
  <c r="J2492" i="27"/>
  <c r="N2528" i="27"/>
  <c r="J2540" i="27"/>
  <c r="J2286" i="27"/>
  <c r="N2430" i="27"/>
  <c r="J2466" i="27"/>
  <c r="J2253" i="27"/>
  <c r="G2265" i="27"/>
  <c r="N2289" i="27"/>
  <c r="I2301" i="27"/>
  <c r="G2313" i="27"/>
  <c r="J2337" i="27"/>
  <c r="N2373" i="27"/>
  <c r="J2385" i="27"/>
  <c r="G2397" i="27"/>
  <c r="I2433" i="27"/>
  <c r="G2278" i="27"/>
  <c r="J2422" i="27"/>
  <c r="G2434" i="27"/>
  <c r="J2506" i="27"/>
  <c r="G2518" i="27"/>
  <c r="N2254" i="27"/>
  <c r="I2255" i="27"/>
  <c r="G2500" i="27"/>
  <c r="J2358" i="27"/>
  <c r="N2490" i="27"/>
  <c r="I2443" i="27"/>
  <c r="J2491" i="27"/>
  <c r="N2539" i="27"/>
  <c r="G2334" i="27"/>
  <c r="N2264" i="27"/>
  <c r="I2276" i="27"/>
  <c r="G2288" i="27"/>
  <c r="H2324" i="27"/>
  <c r="N2348" i="27"/>
  <c r="J2360" i="27"/>
  <c r="G2372" i="27"/>
  <c r="I2408" i="27"/>
  <c r="H2456" i="27"/>
  <c r="N2480" i="27"/>
  <c r="I2492" i="27"/>
  <c r="G2504" i="27"/>
  <c r="H2540" i="27"/>
  <c r="H2286" i="27"/>
  <c r="G2322" i="27"/>
  <c r="H2466" i="27"/>
  <c r="G2514" i="27"/>
  <c r="H2265" i="27"/>
  <c r="H2349" i="27"/>
  <c r="I2385" i="27"/>
  <c r="N2457" i="27"/>
  <c r="J2469" i="27"/>
  <c r="G2481" i="27"/>
  <c r="N2505" i="27"/>
  <c r="J2517" i="27"/>
  <c r="H2529" i="27"/>
  <c r="I2422" i="27"/>
  <c r="I2506" i="27"/>
  <c r="N2542" i="27"/>
  <c r="J2254" i="27"/>
  <c r="H2302" i="27"/>
  <c r="N2470" i="27"/>
  <c r="H2255" i="27"/>
  <c r="G2284" i="27"/>
  <c r="I2285" i="27"/>
  <c r="J2489" i="27"/>
  <c r="I2358" i="27"/>
  <c r="I2299" i="27"/>
  <c r="I2395" i="27"/>
  <c r="J2443" i="27"/>
  <c r="I2491" i="27"/>
  <c r="I2539" i="27"/>
  <c r="N2370" i="27"/>
  <c r="J2312" i="27"/>
  <c r="I2360" i="27"/>
  <c r="N2432" i="27"/>
  <c r="J2444" i="27"/>
  <c r="G2456" i="27"/>
  <c r="J2528" i="27"/>
  <c r="I2286" i="27"/>
  <c r="N2382" i="27"/>
  <c r="I2466" i="27"/>
  <c r="I2253" i="27"/>
  <c r="J2289" i="27"/>
  <c r="G2301" i="27"/>
  <c r="N2325" i="27"/>
  <c r="I2337" i="27"/>
  <c r="G2349" i="27"/>
  <c r="N2409" i="27"/>
  <c r="J2421" i="27"/>
  <c r="G2433" i="27"/>
  <c r="I2469" i="27"/>
  <c r="H2481" i="27"/>
  <c r="I2517" i="27"/>
  <c r="G2529" i="27"/>
  <c r="J2374" i="27"/>
  <c r="H2422" i="27"/>
  <c r="N2494" i="27"/>
  <c r="H2506" i="27"/>
  <c r="J2344" i="27"/>
  <c r="I2536" i="27"/>
  <c r="I2393" i="27"/>
  <c r="I2490" i="27"/>
  <c r="G2299" i="27"/>
  <c r="H2347" i="27"/>
  <c r="G2395" i="27"/>
  <c r="H2443" i="27"/>
  <c r="G2393" i="27"/>
  <c r="J2526" i="27"/>
  <c r="H2276" i="27"/>
  <c r="N2300" i="27"/>
  <c r="I2312" i="27"/>
  <c r="G2324" i="27"/>
  <c r="H2360" i="27"/>
  <c r="N2384" i="27"/>
  <c r="J2396" i="27"/>
  <c r="G2408" i="27"/>
  <c r="I2444" i="27"/>
  <c r="H2492" i="27"/>
  <c r="G2337" i="27"/>
  <c r="N2541" i="27"/>
  <c r="I2454" i="27"/>
  <c r="I2542" i="27"/>
  <c r="I2254" i="27"/>
  <c r="N2291" i="27"/>
  <c r="H2327" i="27"/>
  <c r="H2363" i="27"/>
  <c r="H2411" i="27"/>
  <c r="H2459" i="27"/>
  <c r="H2507" i="27"/>
  <c r="N2531" i="27"/>
  <c r="H2433" i="27"/>
  <c r="J2362" i="27"/>
  <c r="H2410" i="27"/>
  <c r="N2268" i="27"/>
  <c r="J2280" i="27"/>
  <c r="J2316" i="27"/>
  <c r="G2328" i="27"/>
  <c r="J2364" i="27"/>
  <c r="G2376" i="27"/>
  <c r="N2400" i="27"/>
  <c r="J2412" i="27"/>
  <c r="N2448" i="27"/>
  <c r="H2460" i="27"/>
  <c r="J2472" i="27"/>
  <c r="N2496" i="27"/>
  <c r="I2508" i="27"/>
  <c r="I2290" i="27"/>
  <c r="N2458" i="27"/>
  <c r="I2257" i="27"/>
  <c r="I2341" i="27"/>
  <c r="G2389" i="27"/>
  <c r="J2425" i="27"/>
  <c r="G2356" i="27"/>
  <c r="N2252" i="27"/>
  <c r="G2382" i="27"/>
  <c r="G2277" i="27"/>
  <c r="J2349" i="27"/>
  <c r="J2481" i="27"/>
  <c r="I2278" i="27"/>
  <c r="H2254" i="27"/>
  <c r="N2398" i="27"/>
  <c r="J2351" i="27"/>
  <c r="G2363" i="27"/>
  <c r="J2399" i="27"/>
  <c r="G2411" i="27"/>
  <c r="J2447" i="27"/>
  <c r="G2459" i="27"/>
  <c r="J2495" i="27"/>
  <c r="G2507" i="27"/>
  <c r="J2543" i="27"/>
  <c r="I2362" i="27"/>
  <c r="G2410" i="27"/>
  <c r="N2256" i="27"/>
  <c r="J2268" i="27"/>
  <c r="H2316" i="27"/>
  <c r="I2364" i="27"/>
  <c r="I2412" i="27"/>
  <c r="G2460" i="27"/>
  <c r="H2508" i="27"/>
  <c r="N2532" i="27"/>
  <c r="H2290" i="27"/>
  <c r="G2257" i="27"/>
  <c r="N2281" i="27"/>
  <c r="J2293" i="27"/>
  <c r="H2305" i="27"/>
  <c r="G2341" i="27"/>
  <c r="N2365" i="27"/>
  <c r="J2377" i="27"/>
  <c r="H2389" i="27"/>
  <c r="I2425" i="27"/>
  <c r="G2473" i="27"/>
  <c r="J2509" i="27"/>
  <c r="H2521" i="27"/>
  <c r="J2264" i="27"/>
  <c r="N2468" i="27"/>
  <c r="J2430" i="27"/>
  <c r="I2421" i="27"/>
  <c r="J2494" i="27"/>
  <c r="H2398" i="27"/>
  <c r="J2267" i="27"/>
  <c r="I2351" i="27"/>
  <c r="I2399" i="27"/>
  <c r="I2447" i="27"/>
  <c r="I2495" i="27"/>
  <c r="I2543" i="27"/>
  <c r="N2314" i="27"/>
  <c r="I2268" i="27"/>
  <c r="N2304" i="27"/>
  <c r="G2316" i="27"/>
  <c r="N2352" i="27"/>
  <c r="H2364" i="27"/>
  <c r="H2412" i="27"/>
  <c r="N2436" i="27"/>
  <c r="I2448" i="27"/>
  <c r="J2496" i="27"/>
  <c r="G2508" i="27"/>
  <c r="J2544" i="27"/>
  <c r="G2290" i="27"/>
  <c r="J2458" i="27"/>
  <c r="I2293" i="27"/>
  <c r="I2377" i="27"/>
  <c r="G2425" i="27"/>
  <c r="N2449" i="27"/>
  <c r="J2461" i="27"/>
  <c r="N2497" i="27"/>
  <c r="I2509" i="27"/>
  <c r="N2533" i="27"/>
  <c r="N2282" i="27"/>
  <c r="G2276" i="27"/>
  <c r="J2480" i="27"/>
  <c r="H2430" i="27"/>
  <c r="I2289" i="27"/>
  <c r="N2361" i="27"/>
  <c r="N2493" i="27"/>
  <c r="N2326" i="27"/>
  <c r="I2494" i="27"/>
  <c r="N2302" i="27"/>
  <c r="H2267" i="27"/>
  <c r="J2291" i="27"/>
  <c r="I2315" i="27"/>
  <c r="H2351" i="27"/>
  <c r="N2387" i="27"/>
  <c r="H2399" i="27"/>
  <c r="J2435" i="27"/>
  <c r="H2447" i="27"/>
  <c r="J2483" i="27"/>
  <c r="H2495" i="27"/>
  <c r="N2519" i="27"/>
  <c r="H2543" i="27"/>
  <c r="J2314" i="27"/>
  <c r="H2362" i="27"/>
  <c r="H2268" i="27"/>
  <c r="N2292" i="27"/>
  <c r="I2304" i="27"/>
  <c r="H2352" i="27"/>
  <c r="G2364" i="27"/>
  <c r="J2400" i="27"/>
  <c r="G2412" i="27"/>
  <c r="H2448" i="27"/>
  <c r="I2460" i="27"/>
  <c r="N2484" i="27"/>
  <c r="H2496" i="27"/>
  <c r="I2544" i="27"/>
  <c r="I2458" i="27"/>
  <c r="N2269" i="27"/>
  <c r="G2293" i="27"/>
  <c r="N2317" i="27"/>
  <c r="J2329" i="27"/>
  <c r="H2341" i="27"/>
  <c r="G2377" i="27"/>
  <c r="N2401" i="27"/>
  <c r="J2413" i="27"/>
  <c r="H2425" i="27"/>
  <c r="I2461" i="27"/>
  <c r="G2509" i="27"/>
  <c r="N2298" i="27"/>
  <c r="G2492" i="27"/>
  <c r="G2361" i="27"/>
  <c r="H2493" i="27"/>
  <c r="N2506" i="27"/>
  <c r="I2302" i="27"/>
  <c r="G2267" i="27"/>
  <c r="I2291" i="27"/>
  <c r="H2315" i="27"/>
  <c r="G2351" i="27"/>
  <c r="J2387" i="27"/>
  <c r="G2399" i="27"/>
  <c r="I2435" i="27"/>
  <c r="G2447" i="27"/>
  <c r="N2483" i="27"/>
  <c r="G2495" i="27"/>
  <c r="J2531" i="27"/>
  <c r="G2543" i="27"/>
  <c r="G2362" i="27"/>
  <c r="J2256" i="27"/>
  <c r="G2268" i="27"/>
  <c r="J2304" i="27"/>
  <c r="I2316" i="27"/>
  <c r="J2352" i="27"/>
  <c r="I2400" i="27"/>
  <c r="G2448" i="27"/>
  <c r="G2496" i="27"/>
  <c r="N2520" i="27"/>
  <c r="H2544" i="27"/>
  <c r="N2386" i="27"/>
  <c r="H2458" i="27"/>
  <c r="I2281" i="27"/>
  <c r="I2329" i="27"/>
  <c r="J2365" i="27"/>
  <c r="I2413" i="27"/>
  <c r="G2461" i="27"/>
  <c r="N2485" i="27"/>
  <c r="J2497" i="27"/>
  <c r="N2309" i="27"/>
  <c r="N2516" i="27"/>
  <c r="H2301" i="27"/>
  <c r="J2373" i="27"/>
  <c r="I2374" i="27"/>
  <c r="G2506" i="27"/>
  <c r="G2302" i="27"/>
  <c r="J2470" i="27"/>
  <c r="H2291" i="27"/>
  <c r="G2315" i="27"/>
  <c r="N2339" i="27"/>
  <c r="J2375" i="27"/>
  <c r="I2387" i="27"/>
  <c r="N2423" i="27"/>
  <c r="N2435" i="27"/>
  <c r="N2471" i="27"/>
  <c r="I2483" i="27"/>
  <c r="I2531" i="27"/>
  <c r="J2266" i="27"/>
  <c r="I2314" i="27"/>
  <c r="I2256" i="27"/>
  <c r="H2304" i="27"/>
  <c r="N2340" i="27"/>
  <c r="G2352" i="27"/>
  <c r="N2388" i="27"/>
  <c r="H2400" i="27"/>
  <c r="J2436" i="27"/>
  <c r="N2472" i="27"/>
  <c r="J2484" i="27"/>
  <c r="I2496" i="27"/>
  <c r="J2532" i="27"/>
  <c r="G2544" i="27"/>
  <c r="J2386" i="27"/>
  <c r="G2458" i="27"/>
  <c r="G2281" i="27"/>
  <c r="N2305" i="27"/>
  <c r="G2329" i="27"/>
  <c r="N2353" i="27"/>
  <c r="H2377" i="27"/>
  <c r="G2413" i="27"/>
  <c r="N2437" i="27"/>
  <c r="J2449" i="27"/>
  <c r="H2461" i="27"/>
  <c r="I2497" i="27"/>
  <c r="N2521" i="27"/>
  <c r="H2444" i="27"/>
  <c r="N2270" i="27"/>
  <c r="I2282" i="27"/>
  <c r="H2405" i="27"/>
  <c r="G2466" i="27"/>
  <c r="I2373" i="27"/>
  <c r="N2445" i="27"/>
  <c r="J2505" i="27"/>
  <c r="N2374" i="27"/>
  <c r="I2470" i="27"/>
  <c r="J2339" i="27"/>
  <c r="H2387" i="27"/>
  <c r="H2435" i="27"/>
  <c r="H2483" i="27"/>
  <c r="H2501" i="27"/>
  <c r="J2348" i="27"/>
  <c r="I2528" i="27"/>
  <c r="H2514" i="27"/>
  <c r="N2253" i="27"/>
  <c r="G2445" i="27"/>
  <c r="N2517" i="27"/>
  <c r="I2518" i="27"/>
  <c r="G2261" i="27"/>
  <c r="H2470" i="27"/>
  <c r="J2303" i="27"/>
  <c r="I2339" i="27"/>
  <c r="N2375" i="27"/>
  <c r="G2387" i="27"/>
  <c r="J2423" i="27"/>
  <c r="G2435" i="27"/>
  <c r="J2471" i="27"/>
  <c r="G2483" i="27"/>
  <c r="J2519" i="27"/>
  <c r="G2531" i="27"/>
  <c r="G2441" i="27"/>
  <c r="H2385" i="27"/>
  <c r="G2422" i="27"/>
  <c r="N2530" i="27"/>
  <c r="G2405" i="27"/>
  <c r="J2350" i="27"/>
  <c r="N2279" i="27"/>
  <c r="N2303" i="27"/>
  <c r="N2327" i="27"/>
  <c r="H2339" i="27"/>
  <c r="N2363" i="27"/>
  <c r="I2375" i="27"/>
  <c r="I2423" i="27"/>
  <c r="I2471" i="27"/>
  <c r="N2507" i="27"/>
  <c r="I2519" i="27"/>
  <c r="I2266" i="27"/>
  <c r="N2410" i="27"/>
  <c r="I2482" i="27"/>
  <c r="H2292" i="27"/>
  <c r="H2340" i="27"/>
  <c r="I2388" i="27"/>
  <c r="G2436" i="27"/>
  <c r="I2472" i="27"/>
  <c r="G2484" i="27"/>
  <c r="N2508" i="27"/>
  <c r="J2520" i="27"/>
  <c r="G2532" i="27"/>
  <c r="G2386" i="27"/>
  <c r="I2269" i="27"/>
  <c r="G2317" i="27"/>
  <c r="J2353" i="27"/>
  <c r="I2401" i="27"/>
  <c r="N2473" i="27"/>
  <c r="I2485" i="27"/>
  <c r="G2533" i="27"/>
  <c r="N2407" i="27"/>
  <c r="I2370" i="27"/>
  <c r="G2540" i="27"/>
  <c r="G2286" i="27"/>
  <c r="G2253" i="27"/>
  <c r="N2455" i="27"/>
  <c r="I2526" i="27"/>
  <c r="I2396" i="27"/>
  <c r="H2322" i="27"/>
  <c r="I2265" i="27"/>
  <c r="N2337" i="27"/>
  <c r="I2397" i="27"/>
  <c r="N2469" i="27"/>
  <c r="J2529" i="27"/>
  <c r="I2434" i="27"/>
  <c r="G2350" i="27"/>
  <c r="J2255" i="27"/>
  <c r="H2279" i="27"/>
  <c r="H2303" i="27"/>
  <c r="G2375" i="27"/>
  <c r="N2399" i="27"/>
  <c r="N2411" i="27"/>
  <c r="G2423" i="27"/>
  <c r="N2459" i="27"/>
  <c r="G2471" i="27"/>
  <c r="G2519" i="27"/>
  <c r="G2266" i="27"/>
  <c r="J2410" i="27"/>
  <c r="G2482" i="27"/>
  <c r="H2280" i="27"/>
  <c r="I2328" i="27"/>
  <c r="H2376" i="27"/>
  <c r="N2412" i="27"/>
  <c r="H2424" i="27"/>
  <c r="G2472" i="27"/>
  <c r="H2520" i="27"/>
  <c r="N2544" i="27"/>
  <c r="J2290" i="27"/>
  <c r="H2338" i="27"/>
  <c r="I2305" i="27"/>
  <c r="G2353" i="27"/>
  <c r="I2437" i="27"/>
  <c r="N2509" i="27"/>
  <c r="I2521" i="27"/>
  <c r="N2277" i="27"/>
  <c r="H2469" i="27"/>
  <c r="H2401" i="27"/>
  <c r="J2542" i="27"/>
  <c r="G2255" i="27"/>
  <c r="G2303" i="27"/>
  <c r="I2327" i="27"/>
  <c r="N2351" i="27"/>
  <c r="I2363" i="27"/>
  <c r="I2411" i="27"/>
  <c r="N2447" i="27"/>
  <c r="I2459" i="27"/>
  <c r="N2495" i="27"/>
  <c r="I2507" i="27"/>
  <c r="H2289" i="27"/>
  <c r="N2362" i="27"/>
  <c r="I2410" i="27"/>
  <c r="G2280" i="27"/>
  <c r="N2316" i="27"/>
  <c r="H2328" i="27"/>
  <c r="J2376" i="27"/>
  <c r="G2424" i="27"/>
  <c r="J2460" i="27"/>
  <c r="J2508" i="27"/>
  <c r="G2520" i="27"/>
  <c r="G2338" i="27"/>
  <c r="J2257" i="27"/>
  <c r="H2269" i="27"/>
  <c r="G2305" i="27"/>
  <c r="N2329" i="27"/>
  <c r="J2341" i="27"/>
  <c r="H2353" i="27"/>
  <c r="I2389" i="27"/>
  <c r="N2413" i="27"/>
  <c r="G2437" i="27"/>
  <c r="I2473" i="27"/>
  <c r="H2485" i="27"/>
  <c r="G2521" i="27"/>
  <c r="J2325" i="27"/>
  <c r="I2303" i="27"/>
  <c r="J2507" i="27"/>
  <c r="G2256" i="27"/>
  <c r="H2388" i="27"/>
  <c r="N2257" i="27"/>
  <c r="I2317" i="27"/>
  <c r="N2389" i="27"/>
  <c r="G2449" i="27"/>
  <c r="H2497" i="27"/>
  <c r="H2270" i="27"/>
  <c r="N2294" i="27"/>
  <c r="H2306" i="27"/>
  <c r="H2354" i="27"/>
  <c r="I2402" i="27"/>
  <c r="H2450" i="27"/>
  <c r="J2498" i="27"/>
  <c r="G2282" i="27"/>
  <c r="N2271" i="27"/>
  <c r="I2283" i="27"/>
  <c r="G2385" i="27"/>
  <c r="H2519" i="27"/>
  <c r="H2266" i="27"/>
  <c r="J2328" i="27"/>
  <c r="G2388" i="27"/>
  <c r="N2460" i="27"/>
  <c r="I2520" i="27"/>
  <c r="H2317" i="27"/>
  <c r="J2389" i="27"/>
  <c r="H2449" i="27"/>
  <c r="I2270" i="27"/>
  <c r="I2354" i="27"/>
  <c r="H2402" i="27"/>
  <c r="I2498" i="27"/>
  <c r="N2522" i="27"/>
  <c r="G2330" i="27"/>
  <c r="J2371" i="27"/>
  <c r="H2283" i="27"/>
  <c r="I2331" i="27"/>
  <c r="I2379" i="27"/>
  <c r="I2427" i="27"/>
  <c r="I2475" i="27"/>
  <c r="H2523" i="27"/>
  <c r="G2475" i="27"/>
  <c r="J2457" i="27"/>
  <c r="H2531" i="27"/>
  <c r="H2314" i="27"/>
  <c r="J2340" i="27"/>
  <c r="G2400" i="27"/>
  <c r="H2532" i="27"/>
  <c r="N2461" i="27"/>
  <c r="N2258" i="27"/>
  <c r="J2294" i="27"/>
  <c r="N2330" i="27"/>
  <c r="J2342" i="27"/>
  <c r="N2378" i="27"/>
  <c r="J2390" i="27"/>
  <c r="N2426" i="27"/>
  <c r="J2438" i="27"/>
  <c r="N2474" i="27"/>
  <c r="J2486" i="27"/>
  <c r="J2534" i="27"/>
  <c r="G2378" i="27"/>
  <c r="H2331" i="27"/>
  <c r="J2367" i="27"/>
  <c r="H2379" i="27"/>
  <c r="H2427" i="27"/>
  <c r="J2463" i="27"/>
  <c r="H2475" i="27"/>
  <c r="J2523" i="27"/>
  <c r="G2523" i="27"/>
  <c r="H2439" i="27"/>
  <c r="J2427" i="27"/>
  <c r="I2523" i="27"/>
  <c r="G2517" i="27"/>
  <c r="J2363" i="27"/>
  <c r="N2543" i="27"/>
  <c r="G2314" i="27"/>
  <c r="I2340" i="27"/>
  <c r="I2532" i="27"/>
  <c r="J2269" i="27"/>
  <c r="N2341" i="27"/>
  <c r="J2401" i="27"/>
  <c r="I2294" i="27"/>
  <c r="I2306" i="27"/>
  <c r="H2342" i="27"/>
  <c r="H2390" i="27"/>
  <c r="I2438" i="27"/>
  <c r="I2450" i="27"/>
  <c r="J2474" i="27"/>
  <c r="H2486" i="27"/>
  <c r="H2534" i="27"/>
  <c r="G2426" i="27"/>
  <c r="N2259" i="27"/>
  <c r="J2271" i="27"/>
  <c r="N2307" i="27"/>
  <c r="J2319" i="27"/>
  <c r="N2355" i="27"/>
  <c r="N2403" i="27"/>
  <c r="J2415" i="27"/>
  <c r="N2451" i="27"/>
  <c r="I2463" i="27"/>
  <c r="N2499" i="27"/>
  <c r="J2511" i="27"/>
  <c r="I2307" i="27"/>
  <c r="I2403" i="27"/>
  <c r="J2402" i="27"/>
  <c r="H2391" i="27"/>
  <c r="J2379" i="27"/>
  <c r="H2375" i="27"/>
  <c r="N2280" i="27"/>
  <c r="G2340" i="27"/>
  <c r="H2472" i="27"/>
  <c r="N2290" i="27"/>
  <c r="G2269" i="27"/>
  <c r="G2401" i="27"/>
  <c r="G2273" i="27"/>
  <c r="H2294" i="27"/>
  <c r="I2390" i="27"/>
  <c r="H2438" i="27"/>
  <c r="J2522" i="27"/>
  <c r="I2534" i="27"/>
  <c r="G2474" i="27"/>
  <c r="I2271" i="27"/>
  <c r="I2319" i="27"/>
  <c r="I2367" i="27"/>
  <c r="I2415" i="27"/>
  <c r="I2511" i="27"/>
  <c r="J2259" i="27"/>
  <c r="N2415" i="27"/>
  <c r="J2292" i="27"/>
  <c r="I2352" i="27"/>
  <c r="I2484" i="27"/>
  <c r="N2338" i="27"/>
  <c r="J2281" i="27"/>
  <c r="J2521" i="27"/>
  <c r="G2321" i="27"/>
  <c r="J2258" i="27"/>
  <c r="N2318" i="27"/>
  <c r="J2330" i="27"/>
  <c r="I2342" i="27"/>
  <c r="N2366" i="27"/>
  <c r="J2378" i="27"/>
  <c r="N2414" i="27"/>
  <c r="J2426" i="27"/>
  <c r="N2462" i="27"/>
  <c r="I2486" i="27"/>
  <c r="N2510" i="27"/>
  <c r="G2522" i="27"/>
  <c r="H2271" i="27"/>
  <c r="J2307" i="27"/>
  <c r="H2319" i="27"/>
  <c r="H2367" i="27"/>
  <c r="H2415" i="27"/>
  <c r="H2463" i="27"/>
  <c r="H2511" i="27"/>
  <c r="H2329" i="27"/>
  <c r="N2438" i="27"/>
  <c r="G2379" i="27"/>
  <c r="N2319" i="27"/>
  <c r="N2463" i="27"/>
  <c r="J2411" i="27"/>
  <c r="I2292" i="27"/>
  <c r="N2424" i="27"/>
  <c r="H2484" i="27"/>
  <c r="J2338" i="27"/>
  <c r="H2281" i="27"/>
  <c r="H2413" i="27"/>
  <c r="J2473" i="27"/>
  <c r="G2369" i="27"/>
  <c r="I2258" i="27"/>
  <c r="H2282" i="27"/>
  <c r="I2330" i="27"/>
  <c r="H2378" i="27"/>
  <c r="H2426" i="27"/>
  <c r="I2474" i="27"/>
  <c r="H2522" i="27"/>
  <c r="I2259" i="27"/>
  <c r="N2295" i="27"/>
  <c r="N2343" i="27"/>
  <c r="J2355" i="27"/>
  <c r="N2391" i="27"/>
  <c r="J2403" i="27"/>
  <c r="N2439" i="27"/>
  <c r="J2451" i="27"/>
  <c r="N2487" i="27"/>
  <c r="I2499" i="27"/>
  <c r="N2535" i="27"/>
  <c r="J2450" i="27"/>
  <c r="H2295" i="27"/>
  <c r="N2511" i="27"/>
  <c r="H2423" i="27"/>
  <c r="G2292" i="27"/>
  <c r="N2364" i="27"/>
  <c r="J2424" i="27"/>
  <c r="I2338" i="27"/>
  <c r="N2293" i="27"/>
  <c r="I2353" i="27"/>
  <c r="N2425" i="27"/>
  <c r="J2533" i="27"/>
  <c r="G2417" i="27"/>
  <c r="H2258" i="27"/>
  <c r="H2330" i="27"/>
  <c r="J2366" i="27"/>
  <c r="I2378" i="27"/>
  <c r="I2426" i="27"/>
  <c r="H2474" i="27"/>
  <c r="I2522" i="27"/>
  <c r="I2355" i="27"/>
  <c r="I2451" i="27"/>
  <c r="H2499" i="27"/>
  <c r="N2482" i="27"/>
  <c r="G2304" i="27"/>
  <c r="I2436" i="27"/>
  <c r="I2386" i="27"/>
  <c r="I2365" i="27"/>
  <c r="J2485" i="27"/>
  <c r="I2533" i="27"/>
  <c r="G2465" i="27"/>
  <c r="J2282" i="27"/>
  <c r="N2306" i="27"/>
  <c r="J2318" i="27"/>
  <c r="N2354" i="27"/>
  <c r="N2402" i="27"/>
  <c r="J2414" i="27"/>
  <c r="N2450" i="27"/>
  <c r="J2462" i="27"/>
  <c r="N2498" i="27"/>
  <c r="J2510" i="27"/>
  <c r="H2259" i="27"/>
  <c r="H2307" i="27"/>
  <c r="J2343" i="27"/>
  <c r="H2355" i="27"/>
  <c r="H2403" i="27"/>
  <c r="J2439" i="27"/>
  <c r="H2451" i="27"/>
  <c r="J2487" i="27"/>
  <c r="J2499" i="27"/>
  <c r="H2535" i="27"/>
  <c r="H2480" i="27"/>
  <c r="N2328" i="27"/>
  <c r="H2300" i="27"/>
  <c r="J2306" i="27"/>
  <c r="J2354" i="27"/>
  <c r="J2283" i="27"/>
  <c r="H2487" i="27"/>
  <c r="J2331" i="27"/>
  <c r="H2350" i="27"/>
  <c r="J2459" i="27"/>
  <c r="J2482" i="27"/>
  <c r="N2376" i="27"/>
  <c r="H2436" i="27"/>
  <c r="H2386" i="27"/>
  <c r="G2365" i="27"/>
  <c r="G2485" i="27"/>
  <c r="H2533" i="27"/>
  <c r="G2513" i="27"/>
  <c r="H2318" i="27"/>
  <c r="I2366" i="27"/>
  <c r="H2414" i="27"/>
  <c r="H2462" i="27"/>
  <c r="I2510" i="27"/>
  <c r="N2283" i="27"/>
  <c r="J2295" i="27"/>
  <c r="N2331" i="27"/>
  <c r="I2343" i="27"/>
  <c r="N2379" i="27"/>
  <c r="J2391" i="27"/>
  <c r="N2427" i="27"/>
  <c r="N2475" i="27"/>
  <c r="J2535" i="27"/>
  <c r="G2283" i="27"/>
  <c r="H2256" i="27"/>
  <c r="J2448" i="27"/>
  <c r="J2317" i="27"/>
  <c r="G2497" i="27"/>
  <c r="J2270" i="27"/>
  <c r="N2486" i="27"/>
  <c r="H2473" i="27"/>
  <c r="J2475" i="27"/>
  <c r="G2427" i="27"/>
  <c r="H2471" i="27"/>
  <c r="H2482" i="27"/>
  <c r="I2376" i="27"/>
  <c r="J2305" i="27"/>
  <c r="N2377" i="27"/>
  <c r="J2437" i="27"/>
  <c r="I2318" i="27"/>
  <c r="H2366" i="27"/>
  <c r="I2414" i="27"/>
  <c r="I2462" i="27"/>
  <c r="H2510" i="27"/>
  <c r="N2534" i="27"/>
  <c r="H2325" i="27"/>
  <c r="I2295" i="27"/>
  <c r="H2343" i="27"/>
  <c r="I2391" i="27"/>
  <c r="I2439" i="27"/>
  <c r="I2487" i="27"/>
  <c r="N2523" i="27"/>
  <c r="I2535" i="27"/>
  <c r="G2331" i="27"/>
  <c r="J2467" i="27"/>
  <c r="N2266" i="27"/>
  <c r="J2388" i="27"/>
  <c r="I2449" i="27"/>
  <c r="N2342" i="27"/>
  <c r="N2390" i="27"/>
  <c r="H2498" i="27"/>
  <c r="N2367" i="27"/>
  <c r="A2995" i="27"/>
  <c r="A3048" i="27"/>
  <c r="A2990" i="27"/>
  <c r="A3046" i="27"/>
  <c r="A3026" i="27"/>
  <c r="A3044" i="27"/>
  <c r="A3033" i="27"/>
  <c r="A3022" i="27"/>
  <c r="A2987" i="27"/>
  <c r="A2985" i="27"/>
  <c r="A3006" i="27"/>
  <c r="A2998" i="27"/>
  <c r="A3002" i="27"/>
  <c r="A2999" i="27"/>
  <c r="A3042" i="27"/>
  <c r="A3031" i="27"/>
  <c r="A2980" i="27"/>
  <c r="A3018" i="27"/>
  <c r="A3052" i="27"/>
  <c r="A3010" i="27"/>
  <c r="A3020" i="27"/>
  <c r="A2989" i="27"/>
  <c r="A3008" i="27"/>
  <c r="A2993" i="27"/>
  <c r="A3019" i="27"/>
  <c r="A3023" i="27"/>
  <c r="A3038" i="27"/>
  <c r="A3001" i="27"/>
  <c r="A3013" i="27"/>
  <c r="A2992" i="27"/>
  <c r="A3030" i="27"/>
  <c r="A2981" i="27"/>
  <c r="A3029" i="27"/>
  <c r="A3045" i="27"/>
  <c r="A3021" i="27"/>
  <c r="A3032" i="27"/>
  <c r="A3017" i="27"/>
  <c r="A2978" i="27"/>
  <c r="A3028" i="27"/>
  <c r="A2991" i="27"/>
  <c r="A2977" i="27"/>
  <c r="A2979" i="27"/>
  <c r="A3035" i="27"/>
  <c r="A3037" i="27"/>
  <c r="A3025" i="27"/>
  <c r="A3039" i="27"/>
  <c r="A3053" i="27"/>
  <c r="A3051" i="27"/>
  <c r="A3040" i="27"/>
  <c r="A2986" i="27"/>
  <c r="A3054" i="27"/>
  <c r="A3011" i="27"/>
  <c r="A3043" i="27"/>
  <c r="A3055" i="27"/>
  <c r="A2988" i="27"/>
  <c r="A3024" i="27"/>
  <c r="A3012" i="27"/>
  <c r="A3041" i="27"/>
  <c r="A3056" i="27"/>
  <c r="A3016" i="27"/>
  <c r="A3034" i="27"/>
  <c r="A2984" i="27"/>
  <c r="A3004" i="27"/>
  <c r="A3003" i="27"/>
  <c r="A3014" i="27"/>
  <c r="A3000" i="27"/>
  <c r="A3009" i="27"/>
  <c r="A3047" i="27"/>
  <c r="A2994" i="27"/>
  <c r="A2983" i="27"/>
  <c r="A3049" i="27"/>
  <c r="A3027" i="27"/>
  <c r="A3007" i="27"/>
  <c r="A3005" i="27"/>
  <c r="A2996" i="27"/>
  <c r="A3036" i="27"/>
  <c r="A2982" i="27"/>
  <c r="A2997" i="27"/>
  <c r="A3050" i="27"/>
  <c r="A3015" i="27"/>
  <c r="J1303" i="27"/>
  <c r="J1267" i="27"/>
  <c r="J1231" i="27"/>
  <c r="J1201" i="27"/>
  <c r="J1177" i="27"/>
  <c r="I1303" i="27"/>
  <c r="I1280" i="27"/>
  <c r="I1262" i="27"/>
  <c r="I1241" i="27"/>
  <c r="I1219" i="27"/>
  <c r="I1201" i="27"/>
  <c r="I1158" i="27"/>
  <c r="H1286" i="27"/>
  <c r="H1268" i="27"/>
  <c r="H1247" i="27"/>
  <c r="H1226" i="27"/>
  <c r="H1210" i="27"/>
  <c r="J1286" i="27"/>
  <c r="J1166" i="27"/>
  <c r="I1231" i="27"/>
  <c r="H1280" i="27"/>
  <c r="H1186" i="27"/>
  <c r="L1238" i="27"/>
  <c r="J1219" i="27"/>
  <c r="I1292" i="27"/>
  <c r="I1213" i="27"/>
  <c r="H1298" i="27"/>
  <c r="H1221" i="27"/>
  <c r="L1286" i="27"/>
  <c r="J1250" i="27"/>
  <c r="I1274" i="27"/>
  <c r="I1191" i="27"/>
  <c r="H1259" i="27"/>
  <c r="H1201" i="27"/>
  <c r="H1162" i="27"/>
  <c r="L1190" i="27"/>
  <c r="J1190" i="27"/>
  <c r="I1253" i="27"/>
  <c r="I1170" i="27"/>
  <c r="H1237" i="27"/>
  <c r="H1174" i="27"/>
  <c r="H1192" i="27"/>
  <c r="H1252" i="27"/>
  <c r="I1264" i="27"/>
  <c r="L1288" i="27"/>
  <c r="L1156" i="27"/>
  <c r="H1222" i="27"/>
  <c r="H1283" i="27"/>
  <c r="I1261" i="27"/>
  <c r="H1250" i="27"/>
  <c r="L1169" i="27"/>
  <c r="H1193" i="27"/>
  <c r="H1217" i="27"/>
  <c r="H1241" i="27"/>
  <c r="H1265" i="27"/>
  <c r="H1289" i="27"/>
  <c r="G1253" i="27"/>
  <c r="I1232" i="27"/>
  <c r="G1266" i="27"/>
  <c r="I1298" i="27"/>
  <c r="G1255" i="27"/>
  <c r="I1195" i="27"/>
  <c r="L1298" i="27"/>
  <c r="G1220" i="27"/>
  <c r="H1267" i="27"/>
  <c r="G1245" i="27"/>
  <c r="L1257" i="27"/>
  <c r="H1258" i="27"/>
  <c r="L1282" i="27"/>
  <c r="G1186" i="27"/>
  <c r="H1269" i="27"/>
  <c r="J1268" i="27"/>
  <c r="I1211" i="27"/>
  <c r="L1235" i="27"/>
  <c r="L1259" i="27"/>
  <c r="L1283" i="27"/>
  <c r="G1199" i="27"/>
  <c r="H1196" i="27"/>
  <c r="J1269" i="27"/>
  <c r="G1164" i="27"/>
  <c r="H1158" i="27"/>
  <c r="J1160" i="27"/>
  <c r="L1237" i="27"/>
  <c r="L1168" i="27"/>
  <c r="I1180" i="27"/>
  <c r="L1204" i="27"/>
  <c r="G1264" i="27"/>
  <c r="J1288" i="27"/>
  <c r="J1156" i="27"/>
  <c r="I1240" i="27"/>
  <c r="I1228" i="27"/>
  <c r="L1184" i="27"/>
  <c r="J1173" i="27"/>
  <c r="G1180" i="27"/>
  <c r="H1284" i="27"/>
  <c r="J1169" i="27"/>
  <c r="G1265" i="27"/>
  <c r="I1275" i="27"/>
  <c r="G1278" i="27"/>
  <c r="J1172" i="27"/>
  <c r="L1183" i="27"/>
  <c r="L1219" i="27"/>
  <c r="L1255" i="27"/>
  <c r="L1291" i="27"/>
  <c r="G1267" i="27"/>
  <c r="I1217" i="27"/>
  <c r="G1232" i="27"/>
  <c r="H1285" i="27"/>
  <c r="I1173" i="27"/>
  <c r="I1221" i="27"/>
  <c r="I1269" i="27"/>
  <c r="G1257" i="27"/>
  <c r="I1174" i="27"/>
  <c r="I1198" i="27"/>
  <c r="I1222" i="27"/>
  <c r="I1246" i="27"/>
  <c r="J1282" i="27"/>
  <c r="G1198" i="27"/>
  <c r="H1291" i="27"/>
  <c r="J1235" i="27"/>
  <c r="J1259" i="27"/>
  <c r="J1283" i="27"/>
  <c r="G1211" i="27"/>
  <c r="H1232" i="27"/>
  <c r="I1164" i="27"/>
  <c r="I1188" i="27"/>
  <c r="I1212" i="27"/>
  <c r="I1236" i="27"/>
  <c r="I1260" i="27"/>
  <c r="I1284" i="27"/>
  <c r="G1176" i="27"/>
  <c r="H1170" i="27"/>
  <c r="J1184" i="27"/>
  <c r="L1201" i="27"/>
  <c r="J1237" i="27"/>
  <c r="J1168" i="27"/>
  <c r="H1180" i="27"/>
  <c r="J1204" i="27"/>
  <c r="I1252" i="27"/>
  <c r="H1288" i="27"/>
  <c r="I1300" i="27"/>
  <c r="I1216" i="27"/>
  <c r="H1163" i="27"/>
  <c r="G1192" i="27"/>
  <c r="I1285" i="27"/>
  <c r="L1274" i="27"/>
  <c r="G1277" i="27"/>
  <c r="I1297" i="27"/>
  <c r="L1206" i="27"/>
  <c r="L1230" i="27"/>
  <c r="L1254" i="27"/>
  <c r="L1278" i="27"/>
  <c r="L1302" i="27"/>
  <c r="G1290" i="27"/>
  <c r="J1196" i="27"/>
  <c r="G1279" i="27"/>
  <c r="I1238" i="27"/>
  <c r="G1244" i="27"/>
  <c r="G1269" i="27"/>
  <c r="H1282" i="27"/>
  <c r="G1210" i="27"/>
  <c r="I1159" i="27"/>
  <c r="I1187" i="27"/>
  <c r="L1211" i="27"/>
  <c r="H1204" i="27"/>
  <c r="L1276" i="27"/>
  <c r="G1228" i="27"/>
  <c r="I1208" i="27"/>
  <c r="J1197" i="27"/>
  <c r="J1175" i="27"/>
  <c r="H1164" i="27"/>
  <c r="G1204" i="27"/>
  <c r="I1286" i="27"/>
  <c r="G1289" i="27"/>
  <c r="J1220" i="27"/>
  <c r="L1182" i="27"/>
  <c r="J1206" i="27"/>
  <c r="J1230" i="27"/>
  <c r="J1254" i="27"/>
  <c r="J1278" i="27"/>
  <c r="J1302" i="27"/>
  <c r="G1158" i="27"/>
  <c r="G1302" i="27"/>
  <c r="J1256" i="27"/>
  <c r="G1291" i="27"/>
  <c r="I1256" i="27"/>
  <c r="G1256" i="27"/>
  <c r="I1178" i="27"/>
  <c r="L1160" i="27"/>
  <c r="G1281" i="27"/>
  <c r="L1174" i="27"/>
  <c r="L1198" i="27"/>
  <c r="L1222" i="27"/>
  <c r="L1246" i="27"/>
  <c r="I1270" i="27"/>
  <c r="G1222" i="27"/>
  <c r="I1181" i="27"/>
  <c r="G1235" i="27"/>
  <c r="H1292" i="27"/>
  <c r="L1172" i="27"/>
  <c r="L1164" i="27"/>
  <c r="L1188" i="27"/>
  <c r="L1212" i="27"/>
  <c r="L1236" i="27"/>
  <c r="L1260" i="27"/>
  <c r="L1284" i="27"/>
  <c r="G1200" i="27"/>
  <c r="H1197" i="27"/>
  <c r="J1274" i="27"/>
  <c r="L1273" i="27"/>
  <c r="G1252" i="27"/>
  <c r="J1276" i="27"/>
  <c r="G1300" i="27"/>
  <c r="I1156" i="27"/>
  <c r="I1254" i="27"/>
  <c r="J1171" i="27"/>
  <c r="H1220" i="27"/>
  <c r="H1209" i="27"/>
  <c r="H1187" i="27"/>
  <c r="H1176" i="27"/>
  <c r="I1165" i="27"/>
  <c r="G1216" i="27"/>
  <c r="L1205" i="27"/>
  <c r="L1229" i="27"/>
  <c r="L1253" i="27"/>
  <c r="L1277" i="27"/>
  <c r="L1301" i="27"/>
  <c r="G1301" i="27"/>
  <c r="J1255" i="27"/>
  <c r="J1182" i="27"/>
  <c r="H1206" i="27"/>
  <c r="H1230" i="27"/>
  <c r="H1254" i="27"/>
  <c r="H1278" i="27"/>
  <c r="H1302" i="27"/>
  <c r="G1170" i="27"/>
  <c r="H1223" i="27"/>
  <c r="J1292" i="27"/>
  <c r="G1159" i="27"/>
  <c r="G1303" i="27"/>
  <c r="I1278" i="27"/>
  <c r="G1268" i="27"/>
  <c r="I1196" i="27"/>
  <c r="L1208" i="27"/>
  <c r="I1185" i="27"/>
  <c r="I1233" i="27"/>
  <c r="I1281" i="27"/>
  <c r="G1293" i="27"/>
  <c r="J1174" i="27"/>
  <c r="J1198" i="27"/>
  <c r="J1222" i="27"/>
  <c r="J1246" i="27"/>
  <c r="G1234" i="27"/>
  <c r="I1202" i="27"/>
  <c r="I1163" i="27"/>
  <c r="L1187" i="27"/>
  <c r="I1247" i="27"/>
  <c r="I1271" i="27"/>
  <c r="I1295" i="27"/>
  <c r="G1247" i="27"/>
  <c r="I1160" i="27"/>
  <c r="L1220" i="27"/>
  <c r="J1164" i="27"/>
  <c r="J1188" i="27"/>
  <c r="J1212" i="27"/>
  <c r="J1236" i="27"/>
  <c r="J1260" i="27"/>
  <c r="J1284" i="27"/>
  <c r="G1212" i="27"/>
  <c r="H1233" i="27"/>
  <c r="I1168" i="27"/>
  <c r="L1192" i="27"/>
  <c r="H1276" i="27"/>
  <c r="I1288" i="27"/>
  <c r="G1154" i="27"/>
  <c r="H1156" i="27"/>
  <c r="I1167" i="27"/>
  <c r="J1195" i="27"/>
  <c r="L1232" i="27"/>
  <c r="J1221" i="27"/>
  <c r="J1199" i="27"/>
  <c r="H1188" i="27"/>
  <c r="I1177" i="27"/>
  <c r="G1240" i="27"/>
  <c r="L1181" i="27"/>
  <c r="J1205" i="27"/>
  <c r="J1229" i="27"/>
  <c r="J1253" i="27"/>
  <c r="J1277" i="27"/>
  <c r="J1301" i="27"/>
  <c r="G1169" i="27"/>
  <c r="H1175" i="27"/>
  <c r="L1158" i="27"/>
  <c r="G1182" i="27"/>
  <c r="H1261" i="27"/>
  <c r="L1159" i="27"/>
  <c r="L1195" i="27"/>
  <c r="L1231" i="27"/>
  <c r="L1267" i="27"/>
  <c r="L1303" i="27"/>
  <c r="G1171" i="27"/>
  <c r="H1165" i="27"/>
  <c r="I1299" i="27"/>
  <c r="G1280" i="27"/>
  <c r="I1218" i="27"/>
  <c r="L1256" i="27"/>
  <c r="H1155" i="27"/>
  <c r="H1246" i="27"/>
  <c r="L1270" i="27"/>
  <c r="I1294" i="27"/>
  <c r="G1246" i="27"/>
  <c r="I1220" i="27"/>
  <c r="L1166" i="27"/>
  <c r="I1223" i="27"/>
  <c r="H1168" i="27"/>
  <c r="J1192" i="27"/>
  <c r="I1204" i="27"/>
  <c r="L1264" i="27"/>
  <c r="I1179" i="27"/>
  <c r="H1207" i="27"/>
  <c r="J1244" i="27"/>
  <c r="H1211" i="27"/>
  <c r="J1181" i="27"/>
  <c r="H1205" i="27"/>
  <c r="H1229" i="27"/>
  <c r="H1253" i="27"/>
  <c r="H1277" i="27"/>
  <c r="H1301" i="27"/>
  <c r="G1181" i="27"/>
  <c r="H1202" i="27"/>
  <c r="J1158" i="27"/>
  <c r="G1194" i="27"/>
  <c r="I1154" i="27"/>
  <c r="G1183" i="27"/>
  <c r="H1177" i="27"/>
  <c r="G1292" i="27"/>
  <c r="I1239" i="27"/>
  <c r="G1173" i="27"/>
  <c r="H1167" i="27"/>
  <c r="J1270" i="27"/>
  <c r="G1258" i="27"/>
  <c r="I1242" i="27"/>
  <c r="L1214" i="27"/>
  <c r="L1163" i="27"/>
  <c r="L1247" i="27"/>
  <c r="L1271" i="27"/>
  <c r="L1295" i="27"/>
  <c r="G1271" i="27"/>
  <c r="I1243" i="27"/>
  <c r="G1236" i="27"/>
  <c r="H1293" i="27"/>
  <c r="J1264" i="27"/>
  <c r="G1288" i="27"/>
  <c r="I1203" i="27"/>
  <c r="I1287" i="27"/>
  <c r="H1243" i="27"/>
  <c r="H1256" i="27"/>
  <c r="H1245" i="27"/>
  <c r="J1223" i="27"/>
  <c r="H1212" i="27"/>
  <c r="I1190" i="27"/>
  <c r="G1193" i="27"/>
  <c r="H1238" i="27"/>
  <c r="I1302" i="27"/>
  <c r="G1206" i="27"/>
  <c r="I1172" i="27"/>
  <c r="G1195" i="27"/>
  <c r="H1189" i="27"/>
  <c r="G1160" i="27"/>
  <c r="H1154" i="27"/>
  <c r="I1279" i="27"/>
  <c r="I1197" i="27"/>
  <c r="I1245" i="27"/>
  <c r="I1293" i="27"/>
  <c r="G1185" i="27"/>
  <c r="H1179" i="27"/>
  <c r="I1162" i="27"/>
  <c r="I1186" i="27"/>
  <c r="I1210" i="27"/>
  <c r="I1234" i="27"/>
  <c r="H1270" i="27"/>
  <c r="L1294" i="27"/>
  <c r="G1270" i="27"/>
  <c r="I1263" i="27"/>
  <c r="L1262" i="27"/>
  <c r="I1199" i="27"/>
  <c r="L1223" i="27"/>
  <c r="J1247" i="27"/>
  <c r="J1271" i="27"/>
  <c r="J1295" i="27"/>
  <c r="G1283" i="27"/>
  <c r="I1265" i="27"/>
  <c r="I1176" i="27"/>
  <c r="I1200" i="27"/>
  <c r="I1224" i="27"/>
  <c r="I1248" i="27"/>
  <c r="I1272" i="27"/>
  <c r="I1296" i="27"/>
  <c r="G1248" i="27"/>
  <c r="I1183" i="27"/>
  <c r="L1173" i="27"/>
  <c r="L1177" i="27"/>
  <c r="H1264" i="27"/>
  <c r="I1276" i="27"/>
  <c r="I1227" i="27"/>
  <c r="L1240" i="27"/>
  <c r="L1228" i="27"/>
  <c r="I1255" i="27"/>
  <c r="I1268" i="27"/>
  <c r="J1257" i="27"/>
  <c r="H1224" i="27"/>
  <c r="H1213" i="27"/>
  <c r="G1205" i="27"/>
  <c r="H1260" i="27"/>
  <c r="L1194" i="27"/>
  <c r="L1218" i="27"/>
  <c r="L1242" i="27"/>
  <c r="L1266" i="27"/>
  <c r="L1290" i="27"/>
  <c r="G1218" i="27"/>
  <c r="I1194" i="27"/>
  <c r="G1207" i="27"/>
  <c r="H1208" i="27"/>
  <c r="G1172" i="27"/>
  <c r="H1166" i="27"/>
  <c r="I1301" i="27"/>
  <c r="G1197" i="27"/>
  <c r="I1258" i="27"/>
  <c r="J1294" i="27"/>
  <c r="G1282" i="27"/>
  <c r="J1154" i="27"/>
  <c r="G1295" i="27"/>
  <c r="J1159" i="27"/>
  <c r="G1260" i="27"/>
  <c r="I1205" i="27"/>
  <c r="L1221" i="27"/>
  <c r="L1180" i="27"/>
  <c r="I1192" i="27"/>
  <c r="L1252" i="27"/>
  <c r="L1300" i="27"/>
  <c r="J1240" i="27"/>
  <c r="J1228" i="27"/>
  <c r="L1216" i="27"/>
  <c r="J1291" i="27"/>
  <c r="L1280" i="27"/>
  <c r="H1281" i="27"/>
  <c r="I1225" i="27"/>
  <c r="J1214" i="27"/>
  <c r="G1217" i="27"/>
  <c r="I1171" i="27"/>
  <c r="L1196" i="27"/>
  <c r="J1194" i="27"/>
  <c r="J1218" i="27"/>
  <c r="J1242" i="27"/>
  <c r="J1266" i="27"/>
  <c r="J1290" i="27"/>
  <c r="G1230" i="27"/>
  <c r="I1215" i="27"/>
  <c r="L1197" i="27"/>
  <c r="L1171" i="27"/>
  <c r="L1207" i="27"/>
  <c r="L1243" i="27"/>
  <c r="L1279" i="27"/>
  <c r="G1219" i="27"/>
  <c r="H1244" i="27"/>
  <c r="L1154" i="27"/>
  <c r="G1184" i="27"/>
  <c r="H1178" i="27"/>
  <c r="J1226" i="27"/>
  <c r="G1209" i="27"/>
  <c r="L1162" i="27"/>
  <c r="L1186" i="27"/>
  <c r="J1180" i="27"/>
  <c r="J1241" i="27"/>
  <c r="L1292" i="27"/>
  <c r="L1250" i="27"/>
  <c r="J1216" i="27"/>
  <c r="L1265" i="27"/>
  <c r="L1170" i="27"/>
  <c r="I1257" i="27"/>
  <c r="L1210" i="27"/>
  <c r="H1294" i="27"/>
  <c r="I1175" i="27"/>
  <c r="J1207" i="27"/>
  <c r="L1248" i="27"/>
  <c r="H1272" i="27"/>
  <c r="G1237" i="27"/>
  <c r="H1255" i="27"/>
  <c r="J1279" i="27"/>
  <c r="G1202" i="27"/>
  <c r="H1219" i="27"/>
  <c r="J1280" i="27"/>
  <c r="L1215" i="27"/>
  <c r="L1251" i="27"/>
  <c r="L1287" i="27"/>
  <c r="G1215" i="27"/>
  <c r="H1236" i="27"/>
  <c r="J1281" i="27"/>
  <c r="J1252" i="27"/>
  <c r="H1216" i="27"/>
  <c r="H1249" i="27"/>
  <c r="J1265" i="27"/>
  <c r="J1170" i="27"/>
  <c r="J1210" i="27"/>
  <c r="G1162" i="27"/>
  <c r="G1163" i="27"/>
  <c r="J1233" i="27"/>
  <c r="J1248" i="27"/>
  <c r="I1226" i="27"/>
  <c r="G1249" i="27"/>
  <c r="H1273" i="27"/>
  <c r="G1214" i="27"/>
  <c r="H1235" i="27"/>
  <c r="L1179" i="27"/>
  <c r="J1215" i="27"/>
  <c r="J1251" i="27"/>
  <c r="J1287" i="27"/>
  <c r="G1227" i="27"/>
  <c r="H1257" i="27"/>
  <c r="H1182" i="27"/>
  <c r="J1243" i="27"/>
  <c r="H1303" i="27"/>
  <c r="L1226" i="27"/>
  <c r="L1289" i="27"/>
  <c r="H1194" i="27"/>
  <c r="G1242" i="27"/>
  <c r="G1196" i="27"/>
  <c r="G1174" i="27"/>
  <c r="L1175" i="27"/>
  <c r="G1175" i="27"/>
  <c r="L1200" i="27"/>
  <c r="I1244" i="27"/>
  <c r="L1285" i="27"/>
  <c r="G1261" i="27"/>
  <c r="H1295" i="27"/>
  <c r="G1226" i="27"/>
  <c r="H1274" i="27"/>
  <c r="J1179" i="27"/>
  <c r="H1215" i="27"/>
  <c r="H1251" i="27"/>
  <c r="H1287" i="27"/>
  <c r="G1239" i="27"/>
  <c r="H1279" i="27"/>
  <c r="H1234" i="27"/>
  <c r="G1276" i="27"/>
  <c r="H1160" i="27"/>
  <c r="J1238" i="27"/>
  <c r="J1289" i="27"/>
  <c r="G1254" i="27"/>
  <c r="G1208" i="27"/>
  <c r="L1234" i="27"/>
  <c r="G1294" i="27"/>
  <c r="L1199" i="27"/>
  <c r="G1187" i="27"/>
  <c r="L1268" i="27"/>
  <c r="J1200" i="27"/>
  <c r="I1266" i="27"/>
  <c r="J1285" i="27"/>
  <c r="G1273" i="27"/>
  <c r="I1166" i="27"/>
  <c r="G1238" i="27"/>
  <c r="H1296" i="27"/>
  <c r="G1251" i="27"/>
  <c r="H1297" i="27"/>
  <c r="L1165" i="27"/>
  <c r="J1300" i="27"/>
  <c r="H1218" i="27"/>
  <c r="I1237" i="27"/>
  <c r="H1190" i="27"/>
  <c r="G1221" i="27"/>
  <c r="J1234" i="27"/>
  <c r="H1195" i="27"/>
  <c r="I1283" i="27"/>
  <c r="G1223" i="27"/>
  <c r="J1208" i="27"/>
  <c r="L1189" i="27"/>
  <c r="L1249" i="27"/>
  <c r="G1285" i="27"/>
  <c r="I1184" i="27"/>
  <c r="G1250" i="27"/>
  <c r="I1189" i="27"/>
  <c r="L1191" i="27"/>
  <c r="L1227" i="27"/>
  <c r="L1263" i="27"/>
  <c r="L1299" i="27"/>
  <c r="G1263" i="27"/>
  <c r="I1169" i="27"/>
  <c r="G1190" i="27"/>
  <c r="H1200" i="27"/>
  <c r="H1300" i="27"/>
  <c r="G1156" i="27"/>
  <c r="I1277" i="27"/>
  <c r="H1225" i="27"/>
  <c r="G1233" i="27"/>
  <c r="H1231" i="27"/>
  <c r="G1259" i="27"/>
  <c r="L1272" i="27"/>
  <c r="J1249" i="27"/>
  <c r="G1297" i="27"/>
  <c r="I1206" i="27"/>
  <c r="L1178" i="27"/>
  <c r="G1262" i="27"/>
  <c r="I1207" i="27"/>
  <c r="J1191" i="27"/>
  <c r="J1227" i="27"/>
  <c r="J1263" i="27"/>
  <c r="J1299" i="27"/>
  <c r="G1275" i="27"/>
  <c r="I1230" i="27"/>
  <c r="L1185" i="27"/>
  <c r="J1183" i="27"/>
  <c r="G1203" i="27"/>
  <c r="J1293" i="27"/>
  <c r="L1193" i="27"/>
  <c r="G1229" i="27"/>
  <c r="H1242" i="27"/>
  <c r="L1245" i="27"/>
  <c r="G1231" i="27"/>
  <c r="J1262" i="27"/>
  <c r="L1161" i="27"/>
  <c r="J1178" i="27"/>
  <c r="J1272" i="27"/>
  <c r="G1188" i="27"/>
  <c r="L1297" i="27"/>
  <c r="G1165" i="27"/>
  <c r="H1159" i="27"/>
  <c r="I1249" i="27"/>
  <c r="G1274" i="27"/>
  <c r="I1229" i="27"/>
  <c r="H1191" i="27"/>
  <c r="H1227" i="27"/>
  <c r="H1263" i="27"/>
  <c r="H1299" i="27"/>
  <c r="G1287" i="27"/>
  <c r="I1251" i="27"/>
  <c r="L1233" i="27"/>
  <c r="J1296" i="27"/>
  <c r="G1225" i="27"/>
  <c r="J1167" i="27"/>
  <c r="G1168" i="27"/>
  <c r="J1193" i="27"/>
  <c r="G1241" i="27"/>
  <c r="L1293" i="27"/>
  <c r="G1243" i="27"/>
  <c r="J1298" i="27"/>
  <c r="L1209" i="27"/>
  <c r="L1258" i="27"/>
  <c r="J1202" i="27"/>
  <c r="I1235" i="27"/>
  <c r="H1169" i="27"/>
  <c r="L1224" i="27"/>
  <c r="G1224" i="27"/>
  <c r="L1269" i="27"/>
  <c r="L1213" i="27"/>
  <c r="J1297" i="27"/>
  <c r="G1177" i="27"/>
  <c r="H1171" i="27"/>
  <c r="I1267" i="27"/>
  <c r="G1286" i="27"/>
  <c r="I1250" i="27"/>
  <c r="L1155" i="27"/>
  <c r="G1155" i="27"/>
  <c r="G1299" i="27"/>
  <c r="I1273" i="27"/>
  <c r="L1281" i="27"/>
  <c r="I1259" i="27"/>
  <c r="H1240" i="27"/>
  <c r="L1217" i="27"/>
  <c r="I1193" i="27"/>
  <c r="H1266" i="27"/>
  <c r="H1262" i="27"/>
  <c r="J1162" i="27"/>
  <c r="J1258" i="27"/>
  <c r="J1232" i="27"/>
  <c r="H1181" i="27"/>
  <c r="J1224" i="27"/>
  <c r="G1272" i="27"/>
  <c r="J1213" i="27"/>
  <c r="L1261" i="27"/>
  <c r="G1189" i="27"/>
  <c r="H1183" i="27"/>
  <c r="I1289" i="27"/>
  <c r="G1298" i="27"/>
  <c r="I1290" i="27"/>
  <c r="J1155" i="27"/>
  <c r="L1203" i="27"/>
  <c r="L1239" i="27"/>
  <c r="L1275" i="27"/>
  <c r="G1167" i="27"/>
  <c r="I1291" i="27"/>
  <c r="J1217" i="27"/>
  <c r="I1214" i="27"/>
  <c r="I1155" i="27"/>
  <c r="H1271" i="27"/>
  <c r="L1176" i="27"/>
  <c r="G1284" i="27"/>
  <c r="J1261" i="27"/>
  <c r="G1201" i="27"/>
  <c r="H1198" i="27"/>
  <c r="J1185" i="27"/>
  <c r="G1166" i="27"/>
  <c r="H1172" i="27"/>
  <c r="J1163" i="27"/>
  <c r="J1203" i="27"/>
  <c r="J1239" i="27"/>
  <c r="J1275" i="27"/>
  <c r="G1179" i="27"/>
  <c r="H1173" i="27"/>
  <c r="J1165" i="27"/>
  <c r="G1178" i="27"/>
  <c r="H1185" i="27"/>
  <c r="J1211" i="27"/>
  <c r="J1245" i="27"/>
  <c r="H1228" i="27"/>
  <c r="H1248" i="27"/>
  <c r="L1241" i="27"/>
  <c r="L1244" i="27"/>
  <c r="H1290" i="27"/>
  <c r="L1202" i="27"/>
  <c r="I1209" i="27"/>
  <c r="J1186" i="27"/>
  <c r="I1282" i="27"/>
  <c r="I1182" i="27"/>
  <c r="J1176" i="27"/>
  <c r="L1296" i="27"/>
  <c r="G1296" i="27"/>
  <c r="L1225" i="27"/>
  <c r="G1213" i="27"/>
  <c r="H1214" i="27"/>
  <c r="J1209" i="27"/>
  <c r="H1184" i="27"/>
  <c r="J1187" i="27"/>
  <c r="L1167" i="27"/>
  <c r="H1203" i="27"/>
  <c r="H1239" i="27"/>
  <c r="H1275" i="27"/>
  <c r="G1191" i="27"/>
  <c r="J1189" i="27"/>
  <c r="J1225" i="27"/>
  <c r="J1273" i="27"/>
  <c r="H1199" i="27"/>
  <c r="H1584" i="27"/>
  <c r="G1601" i="27"/>
  <c r="G1589" i="27"/>
  <c r="L1565" i="27"/>
  <c r="K1592" i="27"/>
  <c r="K1567" i="27"/>
  <c r="J1597" i="27"/>
  <c r="J1573" i="27"/>
  <c r="J1549" i="27"/>
  <c r="J1525" i="27"/>
  <c r="I1603" i="27"/>
  <c r="I1579" i="27"/>
  <c r="I1555" i="27"/>
  <c r="I1531" i="27"/>
  <c r="H1560" i="27"/>
  <c r="H1513" i="27"/>
  <c r="G1599" i="27"/>
  <c r="G1587" i="27"/>
  <c r="K1558" i="27"/>
  <c r="I1570" i="27"/>
  <c r="H1508" i="27"/>
  <c r="I1546" i="27"/>
  <c r="G1548" i="27"/>
  <c r="G1500" i="27"/>
  <c r="F1602" i="27"/>
  <c r="G1541" i="27"/>
  <c r="G1493" i="27"/>
  <c r="I1506" i="27"/>
  <c r="H1470" i="27"/>
  <c r="G1539" i="27"/>
  <c r="G1536" i="27"/>
  <c r="G1488" i="27"/>
  <c r="J1588" i="27"/>
  <c r="G1596" i="27"/>
  <c r="G1529" i="27"/>
  <c r="G1481" i="27"/>
  <c r="J1564" i="27"/>
  <c r="H1602" i="27"/>
  <c r="G1584" i="27"/>
  <c r="G1527" i="27"/>
  <c r="G1479" i="27"/>
  <c r="F1581" i="27"/>
  <c r="F1485" i="27"/>
  <c r="J1540" i="27"/>
  <c r="H1587" i="27"/>
  <c r="G1577" i="27"/>
  <c r="G1524" i="27"/>
  <c r="G1476" i="27"/>
  <c r="J1516" i="27"/>
  <c r="H1572" i="27"/>
  <c r="G1572" i="27"/>
  <c r="G1517" i="27"/>
  <c r="G1469" i="27"/>
  <c r="J1492" i="27"/>
  <c r="G1565" i="27"/>
  <c r="J1468" i="27"/>
  <c r="G1560" i="27"/>
  <c r="G1512" i="27"/>
  <c r="G1464" i="27"/>
  <c r="F1593" i="27"/>
  <c r="I1594" i="27"/>
  <c r="H1524" i="27"/>
  <c r="G1553" i="27"/>
  <c r="G1505" i="27"/>
  <c r="F1607" i="27"/>
  <c r="F1559" i="27"/>
  <c r="G1491" i="27"/>
  <c r="L1474" i="27"/>
  <c r="H1510" i="27"/>
  <c r="H1467" i="27"/>
  <c r="I1491" i="27"/>
  <c r="H1503" i="27"/>
  <c r="I1527" i="27"/>
  <c r="P1563" i="27"/>
  <c r="H1504" i="27"/>
  <c r="G1515" i="27"/>
  <c r="L1458" i="27"/>
  <c r="G1470" i="27"/>
  <c r="J1494" i="27"/>
  <c r="G1506" i="27"/>
  <c r="L1530" i="27"/>
  <c r="J1578" i="27"/>
  <c r="I1590" i="27"/>
  <c r="F1482" i="27"/>
  <c r="L1459" i="27"/>
  <c r="J1472" i="27"/>
  <c r="H1484" i="27"/>
  <c r="G1496" i="27"/>
  <c r="G1604" i="27"/>
  <c r="M1485" i="27"/>
  <c r="A1485" i="27" s="1"/>
  <c r="L1521" i="27"/>
  <c r="L1569" i="27"/>
  <c r="M1581" i="27"/>
  <c r="A1581" i="27" s="1"/>
  <c r="G1593" i="27"/>
  <c r="H1463" i="27"/>
  <c r="J1487" i="27"/>
  <c r="I1511" i="27"/>
  <c r="H1535" i="27"/>
  <c r="G1547" i="27"/>
  <c r="P1571" i="27"/>
  <c r="H1583" i="27"/>
  <c r="G1595" i="27"/>
  <c r="H1498" i="27"/>
  <c r="L1582" i="27"/>
  <c r="L1606" i="27"/>
  <c r="G1480" i="27"/>
  <c r="H1591" i="27"/>
  <c r="H1592" i="27"/>
  <c r="M1572" i="27"/>
  <c r="A1572" i="27" s="1"/>
  <c r="H1548" i="27"/>
  <c r="K1603" i="27"/>
  <c r="I1573" i="27"/>
  <c r="L1597" i="27"/>
  <c r="F1597" i="27"/>
  <c r="H1489" i="27"/>
  <c r="I1526" i="27"/>
  <c r="L1550" i="27"/>
  <c r="K1586" i="27"/>
  <c r="G1580" i="27"/>
  <c r="J1488" i="27"/>
  <c r="L1575" i="27"/>
  <c r="F1587" i="27"/>
  <c r="J1585" i="27"/>
  <c r="I1480" i="27"/>
  <c r="F1487" i="27"/>
  <c r="K1486" i="27"/>
  <c r="J1474" i="27"/>
  <c r="J1503" i="27"/>
  <c r="L1563" i="27"/>
  <c r="H1516" i="27"/>
  <c r="J1481" i="27"/>
  <c r="J1458" i="27"/>
  <c r="J1530" i="27"/>
  <c r="I1542" i="27"/>
  <c r="P1566" i="27"/>
  <c r="I1578" i="27"/>
  <c r="G1590" i="27"/>
  <c r="J1459" i="27"/>
  <c r="L1460" i="27"/>
  <c r="F1484" i="27"/>
  <c r="I1470" i="27"/>
  <c r="L1473" i="27"/>
  <c r="K1485" i="27"/>
  <c r="H1497" i="27"/>
  <c r="J1521" i="27"/>
  <c r="J1569" i="27"/>
  <c r="K1581" i="27"/>
  <c r="F1590" i="27"/>
  <c r="I1487" i="27"/>
  <c r="I1499" i="27"/>
  <c r="L1571" i="27"/>
  <c r="M1583" i="27"/>
  <c r="A1583" i="27" s="1"/>
  <c r="H1486" i="27"/>
  <c r="L1462" i="27"/>
  <c r="P1558" i="27"/>
  <c r="J1582" i="27"/>
  <c r="J1606" i="27"/>
  <c r="G1504" i="27"/>
  <c r="I1532" i="27"/>
  <c r="L1505" i="27"/>
  <c r="K1572" i="27"/>
  <c r="H1596" i="27"/>
  <c r="L1512" i="27"/>
  <c r="L1513" i="27"/>
  <c r="P1573" i="27"/>
  <c r="G1483" i="27"/>
  <c r="H1517" i="27"/>
  <c r="M1562" i="27"/>
  <c r="A1562" i="27" s="1"/>
  <c r="I1586" i="27"/>
  <c r="G1592" i="27"/>
  <c r="J1512" i="27"/>
  <c r="M1587" i="27"/>
  <c r="A1587" i="27" s="1"/>
  <c r="F1599" i="27"/>
  <c r="K1483" i="27"/>
  <c r="G1510" i="27"/>
  <c r="M1479" i="27"/>
  <c r="A1479" i="27" s="1"/>
  <c r="L1491" i="27"/>
  <c r="L1527" i="27"/>
  <c r="J1563" i="27"/>
  <c r="J1528" i="27"/>
  <c r="L1493" i="27"/>
  <c r="P1482" i="27"/>
  <c r="G1494" i="27"/>
  <c r="I1530" i="27"/>
  <c r="G1542" i="27"/>
  <c r="L1566" i="27"/>
  <c r="M1578" i="27"/>
  <c r="A1578" i="27" s="1"/>
  <c r="F1578" i="27"/>
  <c r="J1460" i="27"/>
  <c r="I1472" i="27"/>
  <c r="I1484" i="27"/>
  <c r="I1496" i="27"/>
  <c r="G1495" i="27"/>
  <c r="J1473" i="27"/>
  <c r="G1485" i="27"/>
  <c r="G1533" i="27"/>
  <c r="H1569" i="27"/>
  <c r="G1581" i="27"/>
  <c r="P1605" i="27"/>
  <c r="H1458" i="27"/>
  <c r="L1475" i="27"/>
  <c r="K1487" i="27"/>
  <c r="L1523" i="27"/>
  <c r="J1571" i="27"/>
  <c r="K1583" i="27"/>
  <c r="K1595" i="27"/>
  <c r="F1595" i="27"/>
  <c r="F1486" i="27"/>
  <c r="J1462" i="27"/>
  <c r="G1498" i="27"/>
  <c r="L1558" i="27"/>
  <c r="H1582" i="27"/>
  <c r="H1606" i="27"/>
  <c r="F1571" i="27"/>
  <c r="J1478" i="27"/>
  <c r="G1474" i="27"/>
  <c r="K1479" i="27"/>
  <c r="J1491" i="27"/>
  <c r="I1551" i="27"/>
  <c r="F1563" i="27"/>
  <c r="G1540" i="27"/>
  <c r="H1505" i="27"/>
  <c r="L1482" i="27"/>
  <c r="L1518" i="27"/>
  <c r="J1566" i="27"/>
  <c r="K1578" i="27"/>
  <c r="H1590" i="27"/>
  <c r="H1519" i="27"/>
  <c r="H1459" i="27"/>
  <c r="H1472" i="27"/>
  <c r="K1484" i="27"/>
  <c r="L1509" i="27"/>
  <c r="H1521" i="27"/>
  <c r="L1557" i="27"/>
  <c r="M1569" i="27"/>
  <c r="A1569" i="27" s="1"/>
  <c r="L1605" i="27"/>
  <c r="I1485" i="27"/>
  <c r="J1475" i="27"/>
  <c r="G1487" i="27"/>
  <c r="J1523" i="27"/>
  <c r="G1535" i="27"/>
  <c r="P1559" i="27"/>
  <c r="H1571" i="27"/>
  <c r="G1583" i="27"/>
  <c r="P1607" i="27"/>
  <c r="H1482" i="27"/>
  <c r="J1558" i="27"/>
  <c r="M1582" i="27"/>
  <c r="A1582" i="27" s="1"/>
  <c r="M1606" i="27"/>
  <c r="A1606" i="27" s="1"/>
  <c r="G1528" i="27"/>
  <c r="I1580" i="27"/>
  <c r="M1584" i="27"/>
  <c r="A1584" i="27" s="1"/>
  <c r="I1495" i="27"/>
  <c r="L1489" i="27"/>
  <c r="M1585" i="27"/>
  <c r="A1585" i="27" s="1"/>
  <c r="G1519" i="27"/>
  <c r="H1549" i="27"/>
  <c r="M1478" i="27"/>
  <c r="A1478" i="27" s="1"/>
  <c r="I1562" i="27"/>
  <c r="L1586" i="27"/>
  <c r="F1574" i="27"/>
  <c r="H1478" i="27"/>
  <c r="J1560" i="27"/>
  <c r="I1587" i="27"/>
  <c r="H1599" i="27"/>
  <c r="L1464" i="27"/>
  <c r="F1583" i="27"/>
  <c r="H1502" i="27"/>
  <c r="I1510" i="27"/>
  <c r="I1479" i="27"/>
  <c r="H1491" i="27"/>
  <c r="I1515" i="27"/>
  <c r="J1527" i="27"/>
  <c r="H1563" i="27"/>
  <c r="J1552" i="27"/>
  <c r="L1517" i="27"/>
  <c r="G1458" i="27"/>
  <c r="J1482" i="27"/>
  <c r="I1494" i="27"/>
  <c r="J1518" i="27"/>
  <c r="H1542" i="27"/>
  <c r="K1566" i="27"/>
  <c r="H1578" i="27"/>
  <c r="P1602" i="27"/>
  <c r="H1460" i="27"/>
  <c r="G1484" i="27"/>
  <c r="L1461" i="27"/>
  <c r="G1473" i="27"/>
  <c r="H1485" i="27"/>
  <c r="J1509" i="27"/>
  <c r="I1521" i="27"/>
  <c r="I1533" i="27"/>
  <c r="J1557" i="27"/>
  <c r="I1569" i="27"/>
  <c r="I1581" i="27"/>
  <c r="J1605" i="27"/>
  <c r="H1523" i="27"/>
  <c r="L1559" i="27"/>
  <c r="M1571" i="27"/>
  <c r="A1571" i="27" s="1"/>
  <c r="L1607" i="27"/>
  <c r="I1523" i="27"/>
  <c r="G1462" i="27"/>
  <c r="I1498" i="27"/>
  <c r="L1534" i="27"/>
  <c r="H1558" i="27"/>
  <c r="K1582" i="27"/>
  <c r="K1606" i="27"/>
  <c r="G1552" i="27"/>
  <c r="I1604" i="27"/>
  <c r="K1584" i="27"/>
  <c r="I1512" i="27"/>
  <c r="I1525" i="27"/>
  <c r="L1549" i="27"/>
  <c r="K1585" i="27"/>
  <c r="G1531" i="27"/>
  <c r="H1579" i="27"/>
  <c r="K1478" i="27"/>
  <c r="L1502" i="27"/>
  <c r="P1562" i="27"/>
  <c r="M1598" i="27"/>
  <c r="A1598" i="27" s="1"/>
  <c r="F1586" i="27"/>
  <c r="H1490" i="27"/>
  <c r="J1584" i="27"/>
  <c r="P1587" i="27"/>
  <c r="I1464" i="27"/>
  <c r="H1514" i="27"/>
  <c r="P1479" i="27"/>
  <c r="H1527" i="27"/>
  <c r="L1551" i="27"/>
  <c r="G1563" i="27"/>
  <c r="H1564" i="27"/>
  <c r="L1529" i="27"/>
  <c r="M1482" i="27"/>
  <c r="A1482" i="27" s="1"/>
  <c r="H1530" i="27"/>
  <c r="M1566" i="27"/>
  <c r="A1566" i="27" s="1"/>
  <c r="G1578" i="27"/>
  <c r="L1602" i="27"/>
  <c r="I1543" i="27"/>
  <c r="G1472" i="27"/>
  <c r="H1520" i="27"/>
  <c r="G1521" i="27"/>
  <c r="H1557" i="27"/>
  <c r="G1569" i="27"/>
  <c r="P1593" i="27"/>
  <c r="H1605" i="27"/>
  <c r="L1463" i="27"/>
  <c r="G1475" i="27"/>
  <c r="H1487" i="27"/>
  <c r="L1511" i="27"/>
  <c r="I1535" i="27"/>
  <c r="J1559" i="27"/>
  <c r="I1571" i="27"/>
  <c r="I1583" i="27"/>
  <c r="J1607" i="27"/>
  <c r="F1605" i="27"/>
  <c r="J1534" i="27"/>
  <c r="M1558" i="27"/>
  <c r="A1558" i="27" s="1"/>
  <c r="P1594" i="27"/>
  <c r="G1564" i="27"/>
  <c r="J1502" i="27"/>
  <c r="I1536" i="27"/>
  <c r="I1584" i="27"/>
  <c r="F1560" i="27"/>
  <c r="I1534" i="27"/>
  <c r="M1561" i="27"/>
  <c r="A1561" i="27" s="1"/>
  <c r="I1585" i="27"/>
  <c r="G1543" i="27"/>
  <c r="H1597" i="27"/>
  <c r="P1478" i="27"/>
  <c r="I1538" i="27"/>
  <c r="H1554" i="27"/>
  <c r="L1522" i="27"/>
  <c r="J1526" i="27"/>
  <c r="I1474" i="27"/>
  <c r="L1479" i="27"/>
  <c r="L1515" i="27"/>
  <c r="H1551" i="27"/>
  <c r="J1575" i="27"/>
  <c r="J1576" i="27"/>
  <c r="J1553" i="27"/>
  <c r="I1458" i="27"/>
  <c r="I1482" i="27"/>
  <c r="H1518" i="27"/>
  <c r="F1566" i="27"/>
  <c r="J1522" i="27"/>
  <c r="J1550" i="27"/>
  <c r="H1474" i="27"/>
  <c r="H1479" i="27"/>
  <c r="J1515" i="27"/>
  <c r="J1599" i="27"/>
  <c r="G1588" i="27"/>
  <c r="H1565" i="27"/>
  <c r="K1482" i="27"/>
  <c r="L1506" i="27"/>
  <c r="J1554" i="27"/>
  <c r="I1566" i="27"/>
  <c r="P1590" i="27"/>
  <c r="M1602" i="27"/>
  <c r="A1602" i="27" s="1"/>
  <c r="H1567" i="27"/>
  <c r="G1460" i="27"/>
  <c r="L1496" i="27"/>
  <c r="I1544" i="27"/>
  <c r="I1473" i="27"/>
  <c r="J1497" i="27"/>
  <c r="J1545" i="27"/>
  <c r="K1569" i="27"/>
  <c r="J1593" i="27"/>
  <c r="K1605" i="27"/>
  <c r="H1511" i="27"/>
  <c r="L1547" i="27"/>
  <c r="M1559" i="27"/>
  <c r="A1559" i="27" s="1"/>
  <c r="L1595" i="27"/>
  <c r="M1607" i="27"/>
  <c r="A1607" i="27" s="1"/>
  <c r="L1486" i="27"/>
  <c r="L1572" i="27"/>
  <c r="H1462" i="27"/>
  <c r="J1477" i="27"/>
  <c r="G1551" i="27"/>
  <c r="L1570" i="27"/>
  <c r="J1594" i="27"/>
  <c r="F1558" i="27"/>
  <c r="G1600" i="27"/>
  <c r="H1522" i="27"/>
  <c r="H1562" i="27"/>
  <c r="I1467" i="27"/>
  <c r="F1479" i="27"/>
  <c r="I1503" i="27"/>
  <c r="I1539" i="27"/>
  <c r="J1551" i="27"/>
  <c r="H1539" i="27"/>
  <c r="J1600" i="27"/>
  <c r="J1577" i="27"/>
  <c r="L1470" i="27"/>
  <c r="G1482" i="27"/>
  <c r="J1506" i="27"/>
  <c r="I1518" i="27"/>
  <c r="I1554" i="27"/>
  <c r="G1566" i="27"/>
  <c r="L1590" i="27"/>
  <c r="I1602" i="27"/>
  <c r="K1579" i="27"/>
  <c r="I1459" i="27"/>
  <c r="P1484" i="27"/>
  <c r="J1496" i="27"/>
  <c r="H1473" i="27"/>
  <c r="G1509" i="27"/>
  <c r="H1545" i="27"/>
  <c r="J1574" i="27"/>
  <c r="J1479" i="27"/>
  <c r="H1515" i="27"/>
  <c r="M1563" i="27"/>
  <c r="A1563" i="27" s="1"/>
  <c r="G1468" i="27"/>
  <c r="L1589" i="27"/>
  <c r="J1470" i="27"/>
  <c r="H1506" i="27"/>
  <c r="G1518" i="27"/>
  <c r="L1542" i="27"/>
  <c r="J1590" i="27"/>
  <c r="G1602" i="27"/>
  <c r="I1591" i="27"/>
  <c r="G1471" i="27"/>
  <c r="I1460" i="27"/>
  <c r="L1484" i="27"/>
  <c r="H1568" i="27"/>
  <c r="P1485" i="27"/>
  <c r="G1497" i="27"/>
  <c r="F1569" i="27"/>
  <c r="I1522" i="27"/>
  <c r="J1598" i="27"/>
  <c r="L1510" i="27"/>
  <c r="L1467" i="27"/>
  <c r="L1503" i="27"/>
  <c r="L1539" i="27"/>
  <c r="K1563" i="27"/>
  <c r="J1480" i="27"/>
  <c r="L1601" i="27"/>
  <c r="J1542" i="27"/>
  <c r="P1578" i="27"/>
  <c r="M1590" i="27"/>
  <c r="A1590" i="27" s="1"/>
  <c r="G1603" i="27"/>
  <c r="I1483" i="27"/>
  <c r="J1484" i="27"/>
  <c r="H1496" i="27"/>
  <c r="K1580" i="27"/>
  <c r="L1485" i="27"/>
  <c r="I1509" i="27"/>
  <c r="J1533" i="27"/>
  <c r="I1545" i="27"/>
  <c r="I1557" i="27"/>
  <c r="J1581" i="27"/>
  <c r="K1593" i="27"/>
  <c r="I1605" i="27"/>
  <c r="P1487" i="27"/>
  <c r="H1499" i="27"/>
  <c r="G1511" i="27"/>
  <c r="L1535" i="27"/>
  <c r="L1583" i="27"/>
  <c r="M1595" i="27"/>
  <c r="A1595" i="27" s="1"/>
  <c r="K1607" i="27"/>
  <c r="I1486" i="27"/>
  <c r="L1498" i="27"/>
  <c r="H1561" i="27"/>
  <c r="I1488" i="27"/>
  <c r="J1546" i="27"/>
  <c r="M1570" i="27"/>
  <c r="A1570" i="27" s="1"/>
  <c r="K1594" i="27"/>
  <c r="F1594" i="27"/>
  <c r="H1543" i="27"/>
  <c r="H1544" i="27"/>
  <c r="K1560" i="27"/>
  <c r="H1476" i="27"/>
  <c r="M1573" i="27"/>
  <c r="A1573" i="27" s="1"/>
  <c r="I1597" i="27"/>
  <c r="F1573" i="27"/>
  <c r="H1465" i="27"/>
  <c r="K1604" i="27"/>
  <c r="I1550" i="27"/>
  <c r="L1574" i="27"/>
  <c r="G1522" i="27"/>
  <c r="J1510" i="27"/>
  <c r="J1467" i="27"/>
  <c r="J1539" i="27"/>
  <c r="I1563" i="27"/>
  <c r="G1492" i="27"/>
  <c r="G1467" i="27"/>
  <c r="L1494" i="27"/>
  <c r="G1554" i="27"/>
  <c r="L1578" i="27"/>
  <c r="K1590" i="27"/>
  <c r="K1602" i="27"/>
  <c r="H1507" i="27"/>
  <c r="L1472" i="27"/>
  <c r="M1484" i="27"/>
  <c r="A1484" i="27" s="1"/>
  <c r="I1592" i="27"/>
  <c r="J1485" i="27"/>
  <c r="I1497" i="27"/>
  <c r="H1533" i="27"/>
  <c r="G1545" i="27"/>
  <c r="P1569" i="27"/>
  <c r="H1581" i="27"/>
  <c r="I1593" i="27"/>
  <c r="I1463" i="27"/>
  <c r="L1487" i="27"/>
  <c r="G1499" i="27"/>
  <c r="J1535" i="27"/>
  <c r="G1530" i="27"/>
  <c r="L1581" i="27"/>
  <c r="H1475" i="27"/>
  <c r="H1547" i="27"/>
  <c r="H1595" i="27"/>
  <c r="H1575" i="27"/>
  <c r="M1594" i="27"/>
  <c r="A1594" i="27" s="1"/>
  <c r="G1576" i="27"/>
  <c r="K1570" i="27"/>
  <c r="I1513" i="27"/>
  <c r="K1573" i="27"/>
  <c r="H1477" i="27"/>
  <c r="L1490" i="27"/>
  <c r="L1598" i="27"/>
  <c r="F1562" i="27"/>
  <c r="H1598" i="27"/>
  <c r="K1587" i="27"/>
  <c r="J1489" i="27"/>
  <c r="K1480" i="27"/>
  <c r="I1540" i="27"/>
  <c r="L1564" i="27"/>
  <c r="K1600" i="27"/>
  <c r="F1480" i="27"/>
  <c r="G1546" i="27"/>
  <c r="H1600" i="27"/>
  <c r="M1577" i="27"/>
  <c r="A1577" i="27" s="1"/>
  <c r="H1469" i="27"/>
  <c r="P1560" i="27"/>
  <c r="P1567" i="27"/>
  <c r="P1603" i="27"/>
  <c r="F1567" i="27"/>
  <c r="G1561" i="27"/>
  <c r="H1603" i="27"/>
  <c r="P1584" i="27"/>
  <c r="M1568" i="27"/>
  <c r="A1568" i="27" s="1"/>
  <c r="M1604" i="27"/>
  <c r="A1604" i="27" s="1"/>
  <c r="G1490" i="27"/>
  <c r="H1541" i="27"/>
  <c r="K1591" i="27"/>
  <c r="L1554" i="27"/>
  <c r="L1497" i="27"/>
  <c r="L1593" i="27"/>
  <c r="M1487" i="27"/>
  <c r="A1487" i="27" s="1"/>
  <c r="I1547" i="27"/>
  <c r="I1595" i="27"/>
  <c r="H1494" i="27"/>
  <c r="J1501" i="27"/>
  <c r="P1606" i="27"/>
  <c r="H1500" i="27"/>
  <c r="L1584" i="27"/>
  <c r="L1573" i="27"/>
  <c r="H1531" i="27"/>
  <c r="I1502" i="27"/>
  <c r="K1562" i="27"/>
  <c r="F1598" i="27"/>
  <c r="I1478" i="27"/>
  <c r="L1587" i="27"/>
  <c r="J1513" i="27"/>
  <c r="P1480" i="27"/>
  <c r="M1576" i="27"/>
  <c r="A1576" i="27" s="1"/>
  <c r="I1600" i="27"/>
  <c r="G1558" i="27"/>
  <c r="I1465" i="27"/>
  <c r="K1577" i="27"/>
  <c r="F1481" i="27"/>
  <c r="H1481" i="27"/>
  <c r="L1476" i="27"/>
  <c r="L1495" i="27"/>
  <c r="L1531" i="27"/>
  <c r="L1567" i="27"/>
  <c r="L1603" i="27"/>
  <c r="F1579" i="27"/>
  <c r="G1573" i="27"/>
  <c r="I1471" i="27"/>
  <c r="P1580" i="27"/>
  <c r="G1502" i="27"/>
  <c r="H1556" i="27"/>
  <c r="L1488" i="27"/>
  <c r="K1597" i="27"/>
  <c r="L1524" i="27"/>
  <c r="L1576" i="27"/>
  <c r="G1606" i="27"/>
  <c r="L1507" i="27"/>
  <c r="H1483" i="27"/>
  <c r="H1566" i="27"/>
  <c r="H1509" i="27"/>
  <c r="H1593" i="27"/>
  <c r="L1499" i="27"/>
  <c r="H1559" i="27"/>
  <c r="H1607" i="27"/>
  <c r="I1462" i="27"/>
  <c r="H1534" i="27"/>
  <c r="H1528" i="27"/>
  <c r="F1572" i="27"/>
  <c r="L1525" i="27"/>
  <c r="P1585" i="27"/>
  <c r="I1477" i="27"/>
  <c r="L1562" i="27"/>
  <c r="G1508" i="27"/>
  <c r="I1519" i="27"/>
  <c r="M1599" i="27"/>
  <c r="A1599" i="27" s="1"/>
  <c r="J1537" i="27"/>
  <c r="L1480" i="27"/>
  <c r="I1516" i="27"/>
  <c r="L1540" i="27"/>
  <c r="K1576" i="27"/>
  <c r="P1600" i="27"/>
  <c r="G1570" i="27"/>
  <c r="I1568" i="27"/>
  <c r="I1469" i="27"/>
  <c r="I1505" i="27"/>
  <c r="I1541" i="27"/>
  <c r="I1577" i="27"/>
  <c r="H1493" i="27"/>
  <c r="L1548" i="27"/>
  <c r="J1495" i="27"/>
  <c r="J1531" i="27"/>
  <c r="J1567" i="27"/>
  <c r="J1603" i="27"/>
  <c r="F1591" i="27"/>
  <c r="G1585" i="27"/>
  <c r="I1507" i="27"/>
  <c r="L1508" i="27"/>
  <c r="L1544" i="27"/>
  <c r="L1580" i="27"/>
  <c r="G1514" i="27"/>
  <c r="H1574" i="27"/>
  <c r="L1560" i="27"/>
  <c r="I1537" i="27"/>
  <c r="P1599" i="27"/>
  <c r="I1552" i="27"/>
  <c r="K1481" i="27"/>
  <c r="K1589" i="27"/>
  <c r="L1471" i="27"/>
  <c r="L1543" i="27"/>
  <c r="F1483" i="27"/>
  <c r="J1493" i="27"/>
  <c r="G1550" i="27"/>
  <c r="M1593" i="27"/>
  <c r="A1593" i="27" s="1"/>
  <c r="J1499" i="27"/>
  <c r="K1559" i="27"/>
  <c r="G1607" i="27"/>
  <c r="H1576" i="27"/>
  <c r="F1584" i="27"/>
  <c r="L1465" i="27"/>
  <c r="L1585" i="27"/>
  <c r="J1505" i="27"/>
  <c r="I1514" i="27"/>
  <c r="M1574" i="27"/>
  <c r="A1574" i="27" s="1"/>
  <c r="G1520" i="27"/>
  <c r="J1464" i="27"/>
  <c r="K1599" i="27"/>
  <c r="J1561" i="27"/>
  <c r="I1576" i="27"/>
  <c r="L1600" i="27"/>
  <c r="G1582" i="27"/>
  <c r="J1466" i="27"/>
  <c r="P1577" i="27"/>
  <c r="H1538" i="27"/>
  <c r="P1572" i="27"/>
  <c r="M1567" i="27"/>
  <c r="A1567" i="27" s="1"/>
  <c r="M1603" i="27"/>
  <c r="A1603" i="27" s="1"/>
  <c r="F1603" i="27"/>
  <c r="G1597" i="27"/>
  <c r="I1524" i="27"/>
  <c r="J1508" i="27"/>
  <c r="J1544" i="27"/>
  <c r="J1580" i="27"/>
  <c r="G1526" i="27"/>
  <c r="H1589" i="27"/>
  <c r="P1596" i="27"/>
  <c r="J1602" i="27"/>
  <c r="L1533" i="27"/>
  <c r="M1605" i="27"/>
  <c r="A1605" i="27" s="1"/>
  <c r="J1511" i="27"/>
  <c r="G1559" i="27"/>
  <c r="L1546" i="27"/>
  <c r="I1556" i="27"/>
  <c r="I1548" i="27"/>
  <c r="F1596" i="27"/>
  <c r="M1597" i="27"/>
  <c r="A1597" i="27" s="1"/>
  <c r="J1529" i="27"/>
  <c r="K1574" i="27"/>
  <c r="G1532" i="27"/>
  <c r="J1536" i="27"/>
  <c r="I1599" i="27"/>
  <c r="I1492" i="27"/>
  <c r="L1516" i="27"/>
  <c r="P1576" i="27"/>
  <c r="G1594" i="27"/>
  <c r="J1490" i="27"/>
  <c r="M1481" i="27"/>
  <c r="A1481" i="27" s="1"/>
  <c r="M1589" i="27"/>
  <c r="A1589" i="27" s="1"/>
  <c r="H1553" i="27"/>
  <c r="P1579" i="27"/>
  <c r="G1465" i="27"/>
  <c r="H1471" i="27"/>
  <c r="J1469" i="27"/>
  <c r="M1580" i="27"/>
  <c r="A1580" i="27" s="1"/>
  <c r="G1538" i="27"/>
  <c r="H1604" i="27"/>
  <c r="F1561" i="27"/>
  <c r="J1601" i="27"/>
  <c r="L1514" i="27"/>
  <c r="I1574" i="27"/>
  <c r="G1544" i="27"/>
  <c r="J1514" i="27"/>
  <c r="H1586" i="27"/>
  <c r="L1579" i="27"/>
  <c r="G1477" i="27"/>
  <c r="L1545" i="27"/>
  <c r="G1605" i="27"/>
  <c r="I1559" i="27"/>
  <c r="I1607" i="27"/>
  <c r="J1498" i="27"/>
  <c r="H1546" i="27"/>
  <c r="M1560" i="27"/>
  <c r="A1560" i="27" s="1"/>
  <c r="H1464" i="27"/>
  <c r="G1459" i="27"/>
  <c r="G1571" i="27"/>
  <c r="P1486" i="27"/>
  <c r="P1570" i="27"/>
  <c r="K1568" i="27"/>
  <c r="I1560" i="27"/>
  <c r="H1488" i="27"/>
  <c r="L1477" i="27"/>
  <c r="L1537" i="27"/>
  <c r="P1597" i="27"/>
  <c r="F1585" i="27"/>
  <c r="P1574" i="27"/>
  <c r="G1556" i="27"/>
  <c r="L1596" i="27"/>
  <c r="L1599" i="27"/>
  <c r="L1492" i="27"/>
  <c r="M1588" i="27"/>
  <c r="A1588" i="27" s="1"/>
  <c r="H1468" i="27"/>
  <c r="J1538" i="27"/>
  <c r="I1481" i="27"/>
  <c r="I1517" i="27"/>
  <c r="I1553" i="27"/>
  <c r="I1589" i="27"/>
  <c r="H1601" i="27"/>
  <c r="J1471" i="27"/>
  <c r="J1507" i="27"/>
  <c r="J1543" i="27"/>
  <c r="J1579" i="27"/>
  <c r="G1489" i="27"/>
  <c r="H1495" i="27"/>
  <c r="J1517" i="27"/>
  <c r="L1520" i="27"/>
  <c r="L1556" i="27"/>
  <c r="L1592" i="27"/>
  <c r="F1568" i="27"/>
  <c r="G1562" i="27"/>
  <c r="J1476" i="27"/>
  <c r="J1604" i="27"/>
  <c r="J1463" i="27"/>
  <c r="G1523" i="27"/>
  <c r="K1571" i="27"/>
  <c r="J1486" i="27"/>
  <c r="I1489" i="27"/>
  <c r="J1570" i="27"/>
  <c r="H1529" i="27"/>
  <c r="I1572" i="27"/>
  <c r="I1476" i="27"/>
  <c r="I1549" i="27"/>
  <c r="G1507" i="27"/>
  <c r="L1526" i="27"/>
  <c r="M1586" i="27"/>
  <c r="A1586" i="27" s="1"/>
  <c r="F1478" i="27"/>
  <c r="G1568" i="27"/>
  <c r="F1575" i="27"/>
  <c r="I1528" i="27"/>
  <c r="L1552" i="27"/>
  <c r="K1588" i="27"/>
  <c r="F1564" i="27"/>
  <c r="H1480" i="27"/>
  <c r="J1562" i="27"/>
  <c r="P1481" i="27"/>
  <c r="P1589" i="27"/>
  <c r="I1466" i="27"/>
  <c r="M1579" i="27"/>
  <c r="A1579" i="27" s="1"/>
  <c r="G1501" i="27"/>
  <c r="H1525" i="27"/>
  <c r="J1541" i="27"/>
  <c r="J1520" i="27"/>
  <c r="J1556" i="27"/>
  <c r="J1592" i="27"/>
  <c r="F1580" i="27"/>
  <c r="G1574" i="27"/>
  <c r="J1500" i="27"/>
  <c r="L1553" i="27"/>
  <c r="G1557" i="27"/>
  <c r="P1583" i="27"/>
  <c r="M1486" i="27"/>
  <c r="A1486" i="27" s="1"/>
  <c r="H1501" i="27"/>
  <c r="H1570" i="27"/>
  <c r="F1570" i="27"/>
  <c r="H1577" i="27"/>
  <c r="M1596" i="27"/>
  <c r="A1596" i="27" s="1"/>
  <c r="I1558" i="27"/>
  <c r="I1501" i="27"/>
  <c r="K1561" i="27"/>
  <c r="G1555" i="27"/>
  <c r="L1478" i="27"/>
  <c r="P1586" i="27"/>
  <c r="H1466" i="27"/>
  <c r="M1575" i="27"/>
  <c r="A1575" i="27" s="1"/>
  <c r="H1536" i="27"/>
  <c r="I1468" i="27"/>
  <c r="M1564" i="27"/>
  <c r="A1564" i="27" s="1"/>
  <c r="I1588" i="27"/>
  <c r="F1576" i="27"/>
  <c r="H1492" i="27"/>
  <c r="J1586" i="27"/>
  <c r="M1565" i="27"/>
  <c r="A1565" i="27" s="1"/>
  <c r="M1601" i="27"/>
  <c r="A1601" i="27" s="1"/>
  <c r="F1565" i="27"/>
  <c r="I1500" i="27"/>
  <c r="P1483" i="27"/>
  <c r="P1591" i="27"/>
  <c r="G1513" i="27"/>
  <c r="H1540" i="27"/>
  <c r="J1565" i="27"/>
  <c r="M1592" i="27"/>
  <c r="A1592" i="27" s="1"/>
  <c r="F1592" i="27"/>
  <c r="G1586" i="27"/>
  <c r="J1524" i="27"/>
  <c r="J1568" i="27"/>
  <c r="G1463" i="27"/>
  <c r="J1583" i="27"/>
  <c r="G1486" i="27"/>
  <c r="P1582" i="27"/>
  <c r="F1582" i="27"/>
  <c r="L1577" i="27"/>
  <c r="K1596" i="27"/>
  <c r="I1582" i="27"/>
  <c r="I1561" i="27"/>
  <c r="G1567" i="27"/>
  <c r="L1538" i="27"/>
  <c r="K1598" i="27"/>
  <c r="H1532" i="27"/>
  <c r="K1575" i="27"/>
  <c r="I1520" i="27"/>
  <c r="I1504" i="27"/>
  <c r="L1528" i="27"/>
  <c r="K1564" i="27"/>
  <c r="P1588" i="27"/>
  <c r="F1588" i="27"/>
  <c r="H1537" i="27"/>
  <c r="L1466" i="27"/>
  <c r="K1565" i="27"/>
  <c r="K1601" i="27"/>
  <c r="F1577" i="27"/>
  <c r="J1587" i="27"/>
  <c r="L1483" i="27"/>
  <c r="L1519" i="27"/>
  <c r="L1555" i="27"/>
  <c r="L1591" i="27"/>
  <c r="G1525" i="27"/>
  <c r="H1555" i="27"/>
  <c r="J1589" i="27"/>
  <c r="P1568" i="27"/>
  <c r="P1604" i="27"/>
  <c r="F1604" i="27"/>
  <c r="G1598" i="27"/>
  <c r="J1548" i="27"/>
  <c r="P1595" i="27"/>
  <c r="L1500" i="27"/>
  <c r="G1503" i="27"/>
  <c r="L1594" i="27"/>
  <c r="F1606" i="27"/>
  <c r="I1596" i="27"/>
  <c r="I1606" i="27"/>
  <c r="L1501" i="27"/>
  <c r="P1561" i="27"/>
  <c r="G1579" i="27"/>
  <c r="I1598" i="27"/>
  <c r="H1550" i="27"/>
  <c r="I1575" i="27"/>
  <c r="I1567" i="27"/>
  <c r="L1468" i="27"/>
  <c r="I1564" i="27"/>
  <c r="L1588" i="27"/>
  <c r="F1600" i="27"/>
  <c r="H1552" i="27"/>
  <c r="L1536" i="27"/>
  <c r="I1493" i="27"/>
  <c r="I1529" i="27"/>
  <c r="I1565" i="27"/>
  <c r="I1601" i="27"/>
  <c r="F1589" i="27"/>
  <c r="L1469" i="27"/>
  <c r="J1483" i="27"/>
  <c r="J1519" i="27"/>
  <c r="J1555" i="27"/>
  <c r="J1591" i="27"/>
  <c r="G1537" i="27"/>
  <c r="H1573" i="27"/>
  <c r="L1481" i="27"/>
  <c r="L1532" i="27"/>
  <c r="L1568" i="27"/>
  <c r="L1604" i="27"/>
  <c r="G1466" i="27"/>
  <c r="H1512" i="27"/>
  <c r="J1572" i="27"/>
  <c r="J1532" i="27"/>
  <c r="H1526" i="27"/>
  <c r="I1508" i="27"/>
  <c r="P1581" i="27"/>
  <c r="I1475" i="27"/>
  <c r="J1547" i="27"/>
  <c r="J1595" i="27"/>
  <c r="G1575" i="27"/>
  <c r="H1594" i="27"/>
  <c r="G1516" i="27"/>
  <c r="J1504" i="27"/>
  <c r="L1561" i="27"/>
  <c r="G1591" i="27"/>
  <c r="I1490" i="27"/>
  <c r="P1598" i="27"/>
  <c r="H1580" i="27"/>
  <c r="P1575" i="27"/>
  <c r="J1465" i="27"/>
  <c r="M1480" i="27"/>
  <c r="A1480" i="27" s="1"/>
  <c r="L1504" i="27"/>
  <c r="P1564" i="27"/>
  <c r="M1600" i="27"/>
  <c r="A1600" i="27" s="1"/>
  <c r="G1534" i="27"/>
  <c r="H1585" i="27"/>
  <c r="P1565" i="27"/>
  <c r="P1601" i="27"/>
  <c r="F1601" i="27"/>
  <c r="L1541" i="27"/>
  <c r="M1483" i="27"/>
  <c r="A1483" i="27" s="1"/>
  <c r="M1591" i="27"/>
  <c r="A1591" i="27" s="1"/>
  <c r="G1549" i="27"/>
  <c r="H1588" i="27"/>
  <c r="G1478" i="27"/>
  <c r="J1596" i="27"/>
  <c r="P1592" i="27"/>
  <c r="K1457" i="27"/>
  <c r="K1445" i="27"/>
  <c r="K1433" i="27"/>
  <c r="K1421" i="27"/>
  <c r="K1409" i="27"/>
  <c r="K1337" i="27"/>
  <c r="K1456" i="27"/>
  <c r="K1444" i="27"/>
  <c r="K1432" i="27"/>
  <c r="K1420" i="27"/>
  <c r="K1408" i="27"/>
  <c r="K1336" i="27"/>
  <c r="K1455" i="27"/>
  <c r="K1443" i="27"/>
  <c r="K1431" i="27"/>
  <c r="K1419" i="27"/>
  <c r="K1335" i="27"/>
  <c r="K1454" i="27"/>
  <c r="K1442" i="27"/>
  <c r="K1430" i="27"/>
  <c r="K1418" i="27"/>
  <c r="K1334" i="27"/>
  <c r="K1453" i="27"/>
  <c r="K1441" i="27"/>
  <c r="K1429" i="27"/>
  <c r="K1417" i="27"/>
  <c r="K1333" i="27"/>
  <c r="K1452" i="27"/>
  <c r="K1440" i="27"/>
  <c r="K1428" i="27"/>
  <c r="K1416" i="27"/>
  <c r="K1332" i="27"/>
  <c r="K1451" i="27"/>
  <c r="K1439" i="27"/>
  <c r="K1427" i="27"/>
  <c r="K1415" i="27"/>
  <c r="K1331" i="27"/>
  <c r="K1450" i="27"/>
  <c r="K1438" i="27"/>
  <c r="K1426" i="27"/>
  <c r="K1414" i="27"/>
  <c r="K1330" i="27"/>
  <c r="K1449" i="27"/>
  <c r="K1437" i="27"/>
  <c r="K1425" i="27"/>
  <c r="K1413" i="27"/>
  <c r="K1329" i="27"/>
  <c r="K1448" i="27"/>
  <c r="K1436" i="27"/>
  <c r="K1424" i="27"/>
  <c r="K1412" i="27"/>
  <c r="K1328" i="27"/>
  <c r="K1447" i="27"/>
  <c r="K1435" i="27"/>
  <c r="K1423" i="27"/>
  <c r="K1411" i="27"/>
  <c r="K1446" i="27"/>
  <c r="K1434" i="27"/>
  <c r="K1422" i="27"/>
  <c r="K1410" i="27"/>
  <c r="B633" i="27"/>
  <c r="N633" i="27"/>
  <c r="M633" i="27"/>
  <c r="J505" i="27"/>
  <c r="A505" i="27" s="1"/>
  <c r="J503" i="27"/>
  <c r="A503" i="27" s="1"/>
  <c r="J497" i="27"/>
  <c r="A497" i="27" s="1"/>
  <c r="J507" i="27"/>
  <c r="A507" i="27" s="1"/>
  <c r="J510" i="27"/>
  <c r="A510" i="27" s="1"/>
  <c r="J521" i="27"/>
  <c r="A521" i="27" s="1"/>
  <c r="J508" i="27"/>
  <c r="A508" i="27" s="1"/>
  <c r="J506" i="27"/>
  <c r="A506" i="27" s="1"/>
  <c r="J515" i="27"/>
  <c r="A515" i="27" s="1"/>
  <c r="J520" i="27"/>
  <c r="A520" i="27" s="1"/>
  <c r="J498" i="27"/>
  <c r="A498" i="27" s="1"/>
  <c r="J509" i="27"/>
  <c r="A509" i="27" s="1"/>
  <c r="J493" i="27"/>
  <c r="A493" i="27" s="1"/>
  <c r="J513" i="27"/>
  <c r="J522" i="27"/>
  <c r="A522" i="27" s="1"/>
  <c r="J499" i="27"/>
  <c r="A499" i="27" s="1"/>
  <c r="J519" i="27"/>
  <c r="A519" i="27" s="1"/>
  <c r="J517" i="27"/>
  <c r="A517" i="27" s="1"/>
  <c r="J504" i="27"/>
  <c r="A504" i="27" s="1"/>
  <c r="J518" i="27"/>
  <c r="A518" i="27" s="1"/>
  <c r="J500" i="27"/>
  <c r="A500" i="27" s="1"/>
  <c r="J514" i="27"/>
  <c r="A514" i="27" s="1"/>
  <c r="J502" i="27"/>
  <c r="A502" i="27" s="1"/>
  <c r="J512" i="27"/>
  <c r="A512" i="27" s="1"/>
  <c r="J494" i="27"/>
  <c r="A494" i="27" s="1"/>
  <c r="J516" i="27"/>
  <c r="A516" i="27" s="1"/>
  <c r="J501" i="27"/>
  <c r="A501" i="27" s="1"/>
  <c r="J496" i="27"/>
  <c r="A496" i="27" s="1"/>
  <c r="J511" i="27"/>
  <c r="A511" i="27" s="1"/>
  <c r="A495" i="27"/>
  <c r="M253" i="27"/>
  <c r="A253" i="27" s="1"/>
  <c r="M249" i="27"/>
  <c r="A249" i="27" s="1"/>
  <c r="M244" i="27"/>
  <c r="A244" i="27" s="1"/>
  <c r="M245" i="27"/>
  <c r="A245" i="27" s="1"/>
  <c r="M247" i="27"/>
  <c r="A247" i="27" s="1"/>
  <c r="M250" i="27"/>
  <c r="A250" i="27" s="1"/>
  <c r="M248" i="27"/>
  <c r="A248" i="27" s="1"/>
  <c r="M256" i="27"/>
  <c r="A256" i="27" s="1"/>
  <c r="M246" i="27"/>
  <c r="A246" i="27" s="1"/>
  <c r="M257" i="27"/>
  <c r="A257" i="27" s="1"/>
  <c r="M252" i="27"/>
  <c r="A252" i="27" s="1"/>
  <c r="M251" i="27"/>
  <c r="A251" i="27" s="1"/>
  <c r="M255" i="27"/>
  <c r="A255" i="27" s="1"/>
  <c r="M254" i="27"/>
  <c r="A254" i="27" s="1"/>
  <c r="M243" i="27"/>
  <c r="A243" i="27" s="1"/>
  <c r="A32" i="27"/>
  <c r="A28" i="27"/>
  <c r="A22" i="27"/>
  <c r="A33" i="27"/>
  <c r="A23" i="27"/>
  <c r="A24" i="27"/>
  <c r="A26" i="27"/>
  <c r="A29" i="27"/>
  <c r="A21" i="27"/>
  <c r="A25" i="27"/>
  <c r="A30" i="27"/>
  <c r="A27" i="27"/>
  <c r="AC27" i="30"/>
  <c r="AC15" i="30"/>
  <c r="AC17" i="30"/>
  <c r="AC19" i="30"/>
  <c r="AC23" i="30"/>
  <c r="AC21" i="30"/>
  <c r="AC25" i="30"/>
  <c r="BF35" i="30"/>
  <c r="BF33" i="30"/>
  <c r="BF25" i="30"/>
  <c r="BF21" i="30"/>
  <c r="BF37" i="30"/>
  <c r="BF17" i="30"/>
  <c r="BF29" i="30"/>
  <c r="BF23" i="30"/>
  <c r="BF19" i="30"/>
  <c r="BF31" i="30"/>
  <c r="BF27" i="30"/>
  <c r="BF13" i="30"/>
  <c r="BF15" i="30"/>
  <c r="BI35" i="30"/>
  <c r="E373" i="39"/>
  <c r="E379" i="39" s="1"/>
  <c r="AD35" i="30"/>
  <c r="I242" i="41"/>
  <c r="BK26" i="33"/>
  <c r="C139" i="39"/>
  <c r="BF40" i="33"/>
  <c r="D438" i="41"/>
  <c r="Y85" i="34"/>
  <c r="AA85" i="34" s="1"/>
  <c r="I633" i="41"/>
  <c r="BK53" i="33"/>
  <c r="Y13" i="34"/>
  <c r="AA13" i="34" s="1"/>
  <c r="C202" i="42"/>
  <c r="C156" i="41"/>
  <c r="BY29" i="31" a="1"/>
  <c r="BY29" i="31" s="1"/>
  <c r="BP29" i="31"/>
  <c r="BQ29" i="31" s="1"/>
  <c r="BB29" i="31" a="1"/>
  <c r="BB29" i="31" s="1"/>
  <c r="B292" i="40"/>
  <c r="E298" i="40" s="1"/>
  <c r="AC29" i="31"/>
  <c r="C528" i="32" s="1"/>
  <c r="K1110" i="27" s="1"/>
  <c r="AB29" i="31" a="1"/>
  <c r="AB29" i="31" s="1"/>
  <c r="H29" i="31" s="1"/>
  <c r="B296" i="40" s="1"/>
  <c r="BU29" i="31"/>
  <c r="C184" i="42"/>
  <c r="F400" i="42"/>
  <c r="AI17" i="34"/>
  <c r="BJ57" i="33"/>
  <c r="H689" i="41"/>
  <c r="BK47" i="33"/>
  <c r="I549" i="41"/>
  <c r="C272" i="42"/>
  <c r="D18" i="41"/>
  <c r="BF10" i="33"/>
  <c r="BI60" i="33"/>
  <c r="G718" i="41"/>
  <c r="Y57" i="34"/>
  <c r="Z57" i="34" s="1"/>
  <c r="BK61" i="33"/>
  <c r="I745" i="41"/>
  <c r="AR31" i="30"/>
  <c r="C329" i="39"/>
  <c r="AB54" i="34"/>
  <c r="AM13" i="33"/>
  <c r="BN13" i="33" s="1"/>
  <c r="BR13" i="33" a="1"/>
  <c r="BR13" i="33" s="1"/>
  <c r="D61" i="41"/>
  <c r="CJ13" i="33"/>
  <c r="BH54" i="33"/>
  <c r="F634" i="41"/>
  <c r="E463" i="42"/>
  <c r="E265" i="39"/>
  <c r="E271" i="39" s="1"/>
  <c r="BI27" i="30"/>
  <c r="AD27" i="30"/>
  <c r="BG64" i="33"/>
  <c r="E774" i="41"/>
  <c r="E218" i="42"/>
  <c r="B298" i="40"/>
  <c r="J521" i="41"/>
  <c r="BL45" i="33"/>
  <c r="BM17" i="33"/>
  <c r="K129" i="41"/>
  <c r="E161" i="39"/>
  <c r="BL19" i="30"/>
  <c r="BL52" i="33"/>
  <c r="J606" i="41"/>
  <c r="BA33" i="33"/>
  <c r="G343" i="41"/>
  <c r="BP21" i="31"/>
  <c r="BR21" i="31" s="1"/>
  <c r="BY21" i="31" a="1"/>
  <c r="BY21" i="31" s="1"/>
  <c r="AC21" i="31"/>
  <c r="C454" i="32" s="1"/>
  <c r="K1073" i="27" s="1"/>
  <c r="BU21" i="31"/>
  <c r="AB21" i="31" a="1"/>
  <c r="AB21" i="31" s="1"/>
  <c r="H21" i="31" s="1"/>
  <c r="B188" i="40" s="1"/>
  <c r="BB21" i="31" a="1"/>
  <c r="BB21" i="31" s="1"/>
  <c r="B184" i="40"/>
  <c r="E190" i="40" s="1"/>
  <c r="BK33" i="33"/>
  <c r="I353" i="41"/>
  <c r="C370" i="42"/>
  <c r="E381" i="41"/>
  <c r="BG35" i="33"/>
  <c r="C195" i="39"/>
  <c r="AR22" i="30"/>
  <c r="E80" i="40"/>
  <c r="BX13" i="31"/>
  <c r="BD32" i="31"/>
  <c r="C330" i="40"/>
  <c r="C365" i="42"/>
  <c r="B609" i="41"/>
  <c r="K578" i="41"/>
  <c r="BM50" i="33"/>
  <c r="E207" i="41"/>
  <c r="B49" i="41"/>
  <c r="BK31" i="33"/>
  <c r="I325" i="41"/>
  <c r="B117" i="40"/>
  <c r="BF32" i="33"/>
  <c r="D326" i="41"/>
  <c r="E287" i="42"/>
  <c r="K242" i="41"/>
  <c r="BM26" i="33"/>
  <c r="B333" i="40"/>
  <c r="CI14" i="33"/>
  <c r="E69" i="41"/>
  <c r="BJ17" i="33"/>
  <c r="H129" i="41"/>
  <c r="BK62" i="33"/>
  <c r="I746" i="41"/>
  <c r="Y20" i="34"/>
  <c r="Z20" i="34" s="1"/>
  <c r="BL66" i="33"/>
  <c r="J802" i="41"/>
  <c r="C218" i="42"/>
  <c r="C468" i="42"/>
  <c r="AB16" i="34"/>
  <c r="C348" i="42"/>
  <c r="BL28" i="33"/>
  <c r="J270" i="41"/>
  <c r="K410" i="41"/>
  <c r="BM38" i="33"/>
  <c r="AB69" i="34"/>
  <c r="BL26" i="33"/>
  <c r="J242" i="41"/>
  <c r="K101" i="41"/>
  <c r="BM15" i="33"/>
  <c r="BM39" i="33"/>
  <c r="K437" i="41"/>
  <c r="BM64" i="33"/>
  <c r="K774" i="41"/>
  <c r="BJ92" i="33"/>
  <c r="H830" i="41"/>
  <c r="AM29" i="33"/>
  <c r="BN29" i="33" s="1"/>
  <c r="BR29" i="33" a="1"/>
  <c r="BR29" i="33" s="1"/>
  <c r="D285" i="41"/>
  <c r="CJ29" i="33"/>
  <c r="AB56" i="34"/>
  <c r="B41" i="41"/>
  <c r="B721" i="41"/>
  <c r="BE60" i="33"/>
  <c r="C718" i="41"/>
  <c r="B13" i="41"/>
  <c r="BF91" i="33"/>
  <c r="D829" i="41"/>
  <c r="A227" i="27"/>
  <c r="E223" i="42"/>
  <c r="BK91" i="33"/>
  <c r="I829" i="41"/>
  <c r="E22" i="42"/>
  <c r="E385" i="42"/>
  <c r="AI73" i="34"/>
  <c r="BL19" i="33"/>
  <c r="J157" i="41"/>
  <c r="B400" i="42"/>
  <c r="F402" i="42" s="1"/>
  <c r="B28" i="40"/>
  <c r="AI43" i="34"/>
  <c r="C152" i="42"/>
  <c r="AB12" i="34"/>
  <c r="F718" i="41"/>
  <c r="BH60" i="33"/>
  <c r="D830" i="41"/>
  <c r="BF92" i="33"/>
  <c r="H577" i="41"/>
  <c r="BJ49" i="33"/>
  <c r="Y46" i="34"/>
  <c r="AA46" i="34" s="1"/>
  <c r="E140" i="42"/>
  <c r="D493" i="41"/>
  <c r="BF43" i="33"/>
  <c r="E713" i="41"/>
  <c r="CI60" i="33"/>
  <c r="C409" i="40"/>
  <c r="D45" i="41"/>
  <c r="BF11" i="33"/>
  <c r="BF27" i="33"/>
  <c r="D269" i="41"/>
  <c r="C383" i="39"/>
  <c r="AR35" i="30"/>
  <c r="J718" i="41"/>
  <c r="BL60" i="33"/>
  <c r="BH29" i="33"/>
  <c r="F297" i="41"/>
  <c r="I297" i="41"/>
  <c r="BK29" i="33"/>
  <c r="E571" i="41"/>
  <c r="BT33" i="33"/>
  <c r="B343" i="41"/>
  <c r="AP33" i="33" a="1"/>
  <c r="AP33" i="33" s="1"/>
  <c r="BV33" i="33"/>
  <c r="AZ33" i="33" s="1"/>
  <c r="CK33" i="33" a="1"/>
  <c r="CK33" i="33" s="1"/>
  <c r="AN33" i="33" a="1"/>
  <c r="AN33" i="33" s="1"/>
  <c r="I33" i="33" s="1"/>
  <c r="B347" i="41" s="1"/>
  <c r="AO33" i="33"/>
  <c r="C1101" i="32" s="1"/>
  <c r="BC33" i="33" a="1"/>
  <c r="BC33" i="33" s="1"/>
  <c r="AS33" i="33"/>
  <c r="AY33" i="33" a="1"/>
  <c r="AY33" i="33" s="1"/>
  <c r="AW33" i="33" s="1"/>
  <c r="C112" i="39"/>
  <c r="D522" i="41"/>
  <c r="BF46" i="33"/>
  <c r="BD22" i="31"/>
  <c r="C195" i="40"/>
  <c r="C411" i="39"/>
  <c r="AR38" i="30"/>
  <c r="BI38" i="33"/>
  <c r="G410" i="41"/>
  <c r="H298" i="41"/>
  <c r="BJ30" i="33"/>
  <c r="AM35" i="33"/>
  <c r="BN35" i="33" s="1"/>
  <c r="CJ35" i="33"/>
  <c r="D369" i="41"/>
  <c r="BR35" i="33" a="1"/>
  <c r="BR35" i="33" s="1"/>
  <c r="AI74" i="34"/>
  <c r="BI9" i="33"/>
  <c r="G17" i="41"/>
  <c r="BF34" i="33"/>
  <c r="D354" i="41"/>
  <c r="BY11" i="31" a="1"/>
  <c r="BY11" i="31" s="1"/>
  <c r="BP11" i="31"/>
  <c r="BR11" i="31" s="1"/>
  <c r="AB11" i="31" a="1"/>
  <c r="AB11" i="31" s="1"/>
  <c r="H11" i="31" s="1"/>
  <c r="B53" i="40" s="1"/>
  <c r="AC11" i="31"/>
  <c r="C344" i="32" s="1"/>
  <c r="K1018" i="27" s="1"/>
  <c r="BU11" i="31"/>
  <c r="B49" i="40"/>
  <c r="E55" i="40" s="1"/>
  <c r="BB11" i="31" a="1"/>
  <c r="BB11" i="31" s="1"/>
  <c r="BG92" i="33"/>
  <c r="E830" i="41"/>
  <c r="AI13" i="34"/>
  <c r="F204" i="42"/>
  <c r="K522" i="41"/>
  <c r="BM46" i="33"/>
  <c r="BI32" i="33"/>
  <c r="G326" i="41"/>
  <c r="BL42" i="33"/>
  <c r="J466" i="41"/>
  <c r="AI42" i="34"/>
  <c r="AB13" i="31" a="1"/>
  <c r="AB13" i="31" s="1"/>
  <c r="H13" i="31" s="1"/>
  <c r="B80" i="40" s="1"/>
  <c r="BY13" i="31" a="1"/>
  <c r="BY13" i="31" s="1"/>
  <c r="BU13" i="31"/>
  <c r="BB13" i="31" a="1"/>
  <c r="BB13" i="31" s="1"/>
  <c r="AC13" i="31"/>
  <c r="C362" i="32" s="1"/>
  <c r="K1027" i="27" s="1"/>
  <c r="B76" i="40"/>
  <c r="E82" i="40" s="1"/>
  <c r="BP13" i="31"/>
  <c r="BR13" i="31" s="1"/>
  <c r="AI40" i="34"/>
  <c r="J605" i="41"/>
  <c r="BL51" i="33"/>
  <c r="Y9" i="34"/>
  <c r="AA9" i="34" s="1"/>
  <c r="C6" i="42"/>
  <c r="CI66" i="33"/>
  <c r="E797" i="41"/>
  <c r="E186" i="41"/>
  <c r="BG22" i="33"/>
  <c r="AI26" i="34"/>
  <c r="E189" i="42"/>
  <c r="K801" i="41"/>
  <c r="BM65" i="33"/>
  <c r="Y87" i="34"/>
  <c r="AA87" i="34" s="1"/>
  <c r="BJ16" i="33"/>
  <c r="H102" i="41"/>
  <c r="B805" i="41"/>
  <c r="BH36" i="33"/>
  <c r="F382" i="41"/>
  <c r="AI59" i="34"/>
  <c r="C550" i="41"/>
  <c r="BE48" i="33"/>
  <c r="BL92" i="33"/>
  <c r="J830" i="41"/>
  <c r="CI55" i="33"/>
  <c r="H655" i="41"/>
  <c r="E515" i="41"/>
  <c r="D157" i="41"/>
  <c r="BF19" i="33"/>
  <c r="C91" i="42"/>
  <c r="F577" i="41"/>
  <c r="BH49" i="33"/>
  <c r="C292" i="42"/>
  <c r="BK27" i="33"/>
  <c r="I269" i="41"/>
  <c r="E459" i="41"/>
  <c r="CI20" i="33"/>
  <c r="E153" i="41"/>
  <c r="G438" i="41"/>
  <c r="BI40" i="33"/>
  <c r="G119" i="41"/>
  <c r="Y21" i="34"/>
  <c r="Z21" i="34" s="1"/>
  <c r="K515" i="41"/>
  <c r="C453" i="42"/>
  <c r="BK63" i="33"/>
  <c r="I773" i="41"/>
  <c r="AB14" i="34"/>
  <c r="C250" i="42"/>
  <c r="AB21" i="34"/>
  <c r="C31" i="40"/>
  <c r="E161" i="40"/>
  <c r="BX19" i="31"/>
  <c r="BJ55" i="33"/>
  <c r="H661" i="41"/>
  <c r="C384" i="39"/>
  <c r="AR36" i="30"/>
  <c r="E103" i="39"/>
  <c r="E109" i="39" s="1"/>
  <c r="BI15" i="30"/>
  <c r="AD15" i="30"/>
  <c r="B130" i="40"/>
  <c r="E136" i="40" s="1"/>
  <c r="BY17" i="31" a="1"/>
  <c r="BY17" i="31" s="1"/>
  <c r="AB17" i="31" a="1"/>
  <c r="AB17" i="31" s="1"/>
  <c r="H17" i="31" s="1"/>
  <c r="B134" i="40" s="1"/>
  <c r="BB17" i="31" a="1"/>
  <c r="BB17" i="31" s="1"/>
  <c r="AC17" i="31"/>
  <c r="C404" i="32" s="1"/>
  <c r="K1048" i="27" s="1"/>
  <c r="BU17" i="31"/>
  <c r="BP17" i="31"/>
  <c r="BQ17" i="31" s="1"/>
  <c r="E32" i="42"/>
  <c r="Y47" i="34"/>
  <c r="Z47" i="34" s="1"/>
  <c r="F102" i="41"/>
  <c r="BH16" i="33"/>
  <c r="F746" i="41"/>
  <c r="BH62" i="33"/>
  <c r="CJ51" i="33"/>
  <c r="D593" i="41"/>
  <c r="AM51" i="33"/>
  <c r="BN51" i="33" s="1"/>
  <c r="BR51" i="33" a="1"/>
  <c r="BR51" i="33" s="1"/>
  <c r="C86" i="42"/>
  <c r="Y18" i="34"/>
  <c r="AA18" i="34" s="1"/>
  <c r="C447" i="42"/>
  <c r="BF56" i="33"/>
  <c r="D662" i="41"/>
  <c r="AD37" i="30"/>
  <c r="E400" i="39"/>
  <c r="E406" i="39" s="1"/>
  <c r="BI37" i="30"/>
  <c r="C829" i="41"/>
  <c r="BE91" i="33"/>
  <c r="H73" i="41"/>
  <c r="BJ13" i="33"/>
  <c r="G539" i="41"/>
  <c r="BE27" i="33"/>
  <c r="C269" i="41"/>
  <c r="C194" i="40"/>
  <c r="BD21" i="31"/>
  <c r="B109" i="40"/>
  <c r="AI31" i="34"/>
  <c r="B163" i="40"/>
  <c r="I577" i="41"/>
  <c r="BK49" i="33"/>
  <c r="E242" i="41"/>
  <c r="BG26" i="33"/>
  <c r="BI15" i="33"/>
  <c r="G101" i="41"/>
  <c r="C72" i="41"/>
  <c r="Y23" i="34"/>
  <c r="Z23" i="34" s="1"/>
  <c r="E130" i="39"/>
  <c r="E136" i="39" s="1"/>
  <c r="BI17" i="30"/>
  <c r="AD17" i="30"/>
  <c r="BF37" i="33"/>
  <c r="D409" i="41"/>
  <c r="E434" i="42"/>
  <c r="E243" i="42"/>
  <c r="Y35" i="34"/>
  <c r="Z35" i="34" s="1"/>
  <c r="BK51" i="33"/>
  <c r="I605" i="41"/>
  <c r="BF53" i="33"/>
  <c r="D633" i="41"/>
  <c r="J353" i="41"/>
  <c r="BL33" i="33"/>
  <c r="AB41" i="34"/>
  <c r="BM44" i="33"/>
  <c r="K494" i="41"/>
  <c r="C382" i="41"/>
  <c r="BE36" i="33"/>
  <c r="J213" i="41"/>
  <c r="BL23" i="33"/>
  <c r="B189" i="41"/>
  <c r="E354" i="41"/>
  <c r="BG34" i="33"/>
  <c r="CJ61" i="33"/>
  <c r="D733" i="41"/>
  <c r="BR61" i="33" a="1"/>
  <c r="BR61" i="33" s="1"/>
  <c r="AM61" i="33"/>
  <c r="BN61" i="33" s="1"/>
  <c r="E483" i="42"/>
  <c r="AS29" i="33"/>
  <c r="BT29" i="33"/>
  <c r="CK29" i="33" a="1"/>
  <c r="CK29" i="33" s="1"/>
  <c r="AP29" i="33" a="1"/>
  <c r="AP29" i="33" s="1"/>
  <c r="AR29" i="33" s="1"/>
  <c r="BV29" i="33"/>
  <c r="AZ29" i="33" s="1"/>
  <c r="BC29" i="33" a="1"/>
  <c r="BC29" i="33" s="1"/>
  <c r="AN29" i="33" a="1"/>
  <c r="AN29" i="33" s="1"/>
  <c r="I29" i="33" s="1"/>
  <c r="B291" i="41" s="1"/>
  <c r="B287" i="41"/>
  <c r="AY29" i="33" a="1"/>
  <c r="AY29" i="33" s="1"/>
  <c r="AX29" i="33" s="1"/>
  <c r="AO29" i="33"/>
  <c r="C1033" i="32" s="1"/>
  <c r="BE13" i="33"/>
  <c r="C73" i="41"/>
  <c r="BJ20" i="33"/>
  <c r="H158" i="41"/>
  <c r="BL29" i="30"/>
  <c r="E296" i="39"/>
  <c r="Y66" i="34"/>
  <c r="Z66" i="34" s="1"/>
  <c r="AI65" i="34"/>
  <c r="BF50" i="33"/>
  <c r="D578" i="41"/>
  <c r="F353" i="41"/>
  <c r="BH33" i="33"/>
  <c r="Y31" i="34"/>
  <c r="Z31" i="34" s="1"/>
  <c r="C31" i="39"/>
  <c r="D73" i="41"/>
  <c r="BF13" i="33"/>
  <c r="AB38" i="34"/>
  <c r="B360" i="39"/>
  <c r="C384" i="40"/>
  <c r="BD36" i="31"/>
  <c r="I354" i="41"/>
  <c r="BK34" i="33"/>
  <c r="C58" i="39"/>
  <c r="B545" i="41"/>
  <c r="AI77" i="34"/>
  <c r="AB36" i="34"/>
  <c r="BG57" i="33"/>
  <c r="E689" i="41"/>
  <c r="C240" i="41"/>
  <c r="F466" i="41"/>
  <c r="BH42" i="33"/>
  <c r="E181" i="41"/>
  <c r="CI22" i="33"/>
  <c r="E296" i="40"/>
  <c r="BX29" i="31"/>
  <c r="AI33" i="34"/>
  <c r="E297" i="41"/>
  <c r="BG29" i="33"/>
  <c r="AI81" i="34"/>
  <c r="AB61" i="34"/>
  <c r="B749" i="41"/>
  <c r="Y24" i="34"/>
  <c r="Z24" i="34" s="1"/>
  <c r="B657" i="41"/>
  <c r="BM31" i="33"/>
  <c r="K325" i="41"/>
  <c r="E438" i="41"/>
  <c r="BG40" i="33"/>
  <c r="E157" i="39"/>
  <c r="E163" i="39" s="1"/>
  <c r="BI19" i="30"/>
  <c r="AD19" i="30"/>
  <c r="C139" i="40"/>
  <c r="BH53" i="33"/>
  <c r="F633" i="41"/>
  <c r="C576" i="41"/>
  <c r="K353" i="41"/>
  <c r="BM33" i="33"/>
  <c r="BK46" i="33"/>
  <c r="I522" i="41"/>
  <c r="E257" i="42"/>
  <c r="C446" i="42"/>
  <c r="AB18" i="34"/>
  <c r="B155" i="42"/>
  <c r="F157" i="42" s="1"/>
  <c r="D549" i="41"/>
  <c r="BF47" i="33"/>
  <c r="CK17" i="33" a="1"/>
  <c r="CK17" i="33" s="1"/>
  <c r="BV17" i="33"/>
  <c r="AZ17" i="33" s="1"/>
  <c r="B119" i="41"/>
  <c r="BT17" i="33"/>
  <c r="AY17" i="33" a="1"/>
  <c r="AY17" i="33" s="1"/>
  <c r="AX17" i="33" s="1"/>
  <c r="AO17" i="33"/>
  <c r="C787" i="32" s="1"/>
  <c r="AP17" i="33" a="1"/>
  <c r="AP17" i="33" s="1"/>
  <c r="AR17" i="33" s="1"/>
  <c r="AN17" i="33" a="1"/>
  <c r="AN17" i="33" s="1"/>
  <c r="I17" i="33" s="1"/>
  <c r="B123" i="41" s="1"/>
  <c r="BC17" i="33" a="1"/>
  <c r="BC17" i="33" s="1"/>
  <c r="AS17" i="33"/>
  <c r="K235" i="41"/>
  <c r="G662" i="41"/>
  <c r="BI56" i="33"/>
  <c r="J465" i="41"/>
  <c r="BL41" i="33"/>
  <c r="C267" i="42"/>
  <c r="AB33" i="34"/>
  <c r="AR37" i="30"/>
  <c r="C410" i="39"/>
  <c r="K185" i="41"/>
  <c r="BM21" i="33"/>
  <c r="Y43" i="34"/>
  <c r="Z43" i="34" s="1"/>
  <c r="I185" i="41"/>
  <c r="BK21" i="33"/>
  <c r="AR33" i="30"/>
  <c r="C356" i="39"/>
  <c r="E433" i="41"/>
  <c r="CI40" i="33"/>
  <c r="AP37" i="33" a="1"/>
  <c r="AP37" i="33" s="1"/>
  <c r="AQ37" i="33" s="1"/>
  <c r="AO37" i="33"/>
  <c r="C1209" i="32" s="1"/>
  <c r="AN37" i="33" a="1"/>
  <c r="AN37" i="33" s="1"/>
  <c r="I37" i="33" s="1"/>
  <c r="B403" i="41" s="1"/>
  <c r="BV37" i="33"/>
  <c r="AZ37" i="33" s="1"/>
  <c r="BC37" i="33" a="1"/>
  <c r="BC37" i="33" s="1"/>
  <c r="AY37" i="33" a="1"/>
  <c r="AY37" i="33" s="1"/>
  <c r="AV37" i="33" s="1"/>
  <c r="B399" i="41"/>
  <c r="BT37" i="33"/>
  <c r="CK37" i="33" a="1"/>
  <c r="CK37" i="33" s="1"/>
  <c r="AS37" i="33"/>
  <c r="C520" i="41"/>
  <c r="BJ33" i="33"/>
  <c r="H353" i="41"/>
  <c r="E517" i="41"/>
  <c r="CI46" i="33"/>
  <c r="Y44" i="34"/>
  <c r="Z44" i="34" s="1"/>
  <c r="BM60" i="33"/>
  <c r="K718" i="41"/>
  <c r="AI47" i="34"/>
  <c r="H494" i="41"/>
  <c r="BJ44" i="33"/>
  <c r="BD23" i="31"/>
  <c r="C221" i="40"/>
  <c r="E12" i="42"/>
  <c r="H347" i="41"/>
  <c r="CI33" i="33"/>
  <c r="CI48" i="33"/>
  <c r="E545" i="41"/>
  <c r="E521" i="41"/>
  <c r="BG45" i="33"/>
  <c r="B252" i="39"/>
  <c r="BH15" i="33"/>
  <c r="F101" i="41"/>
  <c r="A3" i="27"/>
  <c r="E375" i="41"/>
  <c r="B225" i="39"/>
  <c r="B198" i="40"/>
  <c r="B82" i="40"/>
  <c r="E350" i="39"/>
  <c r="BL33" i="30"/>
  <c r="E375" i="42"/>
  <c r="G102" i="41"/>
  <c r="BI16" i="33"/>
  <c r="BG19" i="33"/>
  <c r="E157" i="41"/>
  <c r="G511" i="41"/>
  <c r="BA45" i="33"/>
  <c r="C189" i="42"/>
  <c r="AB39" i="34"/>
  <c r="B153" i="41"/>
  <c r="B244" i="39"/>
  <c r="D537" i="41"/>
  <c r="AM47" i="33"/>
  <c r="BN47" i="33" s="1"/>
  <c r="BR47" i="33" a="1"/>
  <c r="BR47" i="33" s="1"/>
  <c r="CJ47" i="33"/>
  <c r="E321" i="41"/>
  <c r="CI32" i="33"/>
  <c r="Y32" i="34"/>
  <c r="Z32" i="34" s="1"/>
  <c r="BD15" i="31"/>
  <c r="C113" i="40"/>
  <c r="C32" i="39"/>
  <c r="AR9" i="30"/>
  <c r="BA51" i="33"/>
  <c r="G595" i="41"/>
  <c r="E151" i="41"/>
  <c r="C494" i="41"/>
  <c r="BE44" i="33"/>
  <c r="BM43" i="33"/>
  <c r="K493" i="41"/>
  <c r="H123" i="41"/>
  <c r="CI17" i="33"/>
  <c r="I409" i="41"/>
  <c r="BK37" i="33"/>
  <c r="Y34" i="34"/>
  <c r="AA34" i="34" s="1"/>
  <c r="B190" i="39"/>
  <c r="E543" i="41"/>
  <c r="C274" i="39"/>
  <c r="Y37" i="34"/>
  <c r="AA37" i="34" s="1"/>
  <c r="C331" i="42"/>
  <c r="C110" i="42"/>
  <c r="BK30" i="33"/>
  <c r="I298" i="41"/>
  <c r="D465" i="41"/>
  <c r="BF41" i="33"/>
  <c r="AB82" i="34"/>
  <c r="AI28" i="34"/>
  <c r="C166" i="39"/>
  <c r="E102" i="41"/>
  <c r="BG16" i="33"/>
  <c r="BJ39" i="33"/>
  <c r="H437" i="41"/>
  <c r="K382" i="41"/>
  <c r="BM36" i="33"/>
  <c r="BK44" i="33"/>
  <c r="I494" i="41"/>
  <c r="BK36" i="33"/>
  <c r="I382" i="41"/>
  <c r="C408" i="41"/>
  <c r="AI37" i="34"/>
  <c r="E655" i="41"/>
  <c r="I270" i="41"/>
  <c r="BK28" i="33"/>
  <c r="BG61" i="33"/>
  <c r="E745" i="41"/>
  <c r="BF36" i="33"/>
  <c r="D382" i="41"/>
  <c r="J46" i="41"/>
  <c r="BL12" i="33"/>
  <c r="B77" i="41"/>
  <c r="H739" i="41"/>
  <c r="CI61" i="33"/>
  <c r="BI28" i="33"/>
  <c r="G270" i="41"/>
  <c r="BE47" i="33"/>
  <c r="C549" i="41"/>
  <c r="I129" i="41"/>
  <c r="BK17" i="33"/>
  <c r="F46" i="41"/>
  <c r="BH12" i="33"/>
  <c r="B685" i="41"/>
  <c r="AI46" i="34"/>
  <c r="C186" i="41"/>
  <c r="BE22" i="33"/>
  <c r="E323" i="39"/>
  <c r="BL31" i="30"/>
  <c r="C357" i="39"/>
  <c r="AR34" i="30"/>
  <c r="BE38" i="33"/>
  <c r="C410" i="41"/>
  <c r="C169" i="42"/>
  <c r="C220" i="40"/>
  <c r="C830" i="41"/>
  <c r="BE92" i="33"/>
  <c r="BH44" i="33"/>
  <c r="F494" i="41"/>
  <c r="E242" i="40"/>
  <c r="BX25" i="31"/>
  <c r="BI23" i="30"/>
  <c r="AD23" i="30"/>
  <c r="E211" i="39"/>
  <c r="E217" i="39" s="1"/>
  <c r="E690" i="41"/>
  <c r="BG58" i="33"/>
  <c r="C141" i="40"/>
  <c r="BD18" i="31"/>
  <c r="J241" i="41"/>
  <c r="BL25" i="33"/>
  <c r="BL50" i="33"/>
  <c r="J578" i="41"/>
  <c r="AR26" i="30"/>
  <c r="C249" i="39"/>
  <c r="BI14" i="33"/>
  <c r="G74" i="41"/>
  <c r="BL17" i="30"/>
  <c r="E134" i="39"/>
  <c r="H326" i="41"/>
  <c r="BJ32" i="33"/>
  <c r="BG60" i="33"/>
  <c r="E718" i="41"/>
  <c r="Y62" i="34"/>
  <c r="AA62" i="34" s="1"/>
  <c r="AB32" i="34"/>
  <c r="B352" i="40"/>
  <c r="BI11" i="33"/>
  <c r="G45" i="41"/>
  <c r="Y88" i="34"/>
  <c r="Y29" i="34"/>
  <c r="Z29" i="34" s="1"/>
  <c r="CI43" i="33"/>
  <c r="H487" i="41"/>
  <c r="C746" i="41"/>
  <c r="BE62" i="33"/>
  <c r="BE21" i="33"/>
  <c r="C185" i="41"/>
  <c r="BJ47" i="33"/>
  <c r="H549" i="41"/>
  <c r="AI18" i="34"/>
  <c r="F449" i="42"/>
  <c r="AB59" i="34"/>
  <c r="BF23" i="33"/>
  <c r="D213" i="41"/>
  <c r="BJ22" i="33"/>
  <c r="H186" i="41"/>
  <c r="BG10" i="33"/>
  <c r="E18" i="41"/>
  <c r="G130" i="41"/>
  <c r="BI18" i="33"/>
  <c r="C16" i="41"/>
  <c r="AI48" i="34"/>
  <c r="AB88" i="34"/>
  <c r="C360" i="42"/>
  <c r="AI79" i="34"/>
  <c r="G494" i="41"/>
  <c r="BI44" i="33"/>
  <c r="BI47" i="33"/>
  <c r="G549" i="41"/>
  <c r="D298" i="41"/>
  <c r="BF30" i="33"/>
  <c r="AB87" i="34"/>
  <c r="E489" i="41"/>
  <c r="CI44" i="33"/>
  <c r="BM18" i="33"/>
  <c r="K130" i="41"/>
  <c r="E404" i="40"/>
  <c r="BX37" i="31"/>
  <c r="BI55" i="33"/>
  <c r="G661" i="41"/>
  <c r="E311" i="42"/>
  <c r="E577" i="41"/>
  <c r="BG49" i="33"/>
  <c r="BL55" i="33"/>
  <c r="J661" i="41"/>
  <c r="CI28" i="33"/>
  <c r="E265" i="41"/>
  <c r="F157" i="41"/>
  <c r="BH19" i="33"/>
  <c r="AB29" i="34"/>
  <c r="Y49" i="34"/>
  <c r="AA49" i="34" s="1"/>
  <c r="C241" i="41"/>
  <c r="BE25" i="33"/>
  <c r="BM48" i="33"/>
  <c r="K550" i="41"/>
  <c r="Y12" i="34"/>
  <c r="Z12" i="34" s="1"/>
  <c r="C153" i="42"/>
  <c r="K319" i="41"/>
  <c r="D745" i="41"/>
  <c r="BF61" i="33"/>
  <c r="G521" i="41"/>
  <c r="BI45" i="33"/>
  <c r="B483" i="41"/>
  <c r="BC43" i="33" a="1"/>
  <c r="BC43" i="33" s="1"/>
  <c r="AS43" i="33"/>
  <c r="BT43" i="33"/>
  <c r="AP43" i="33" a="1"/>
  <c r="AP43" i="33" s="1"/>
  <c r="AQ43" i="33" s="1"/>
  <c r="CK43" i="33" a="1"/>
  <c r="CK43" i="33" s="1"/>
  <c r="AN43" i="33" a="1"/>
  <c r="AN43" i="33" s="1"/>
  <c r="I43" i="33" s="1"/>
  <c r="B487" i="41" s="1"/>
  <c r="AO43" i="33"/>
  <c r="C1315" i="32" s="1"/>
  <c r="BV43" i="33"/>
  <c r="AZ43" i="33" s="1"/>
  <c r="AY43" i="33" a="1"/>
  <c r="AY43" i="33" s="1"/>
  <c r="AW43" i="33" s="1"/>
  <c r="BG65" i="33"/>
  <c r="E801" i="41"/>
  <c r="C385" i="42"/>
  <c r="BM45" i="33"/>
  <c r="K521" i="41"/>
  <c r="BG91" i="33"/>
  <c r="E829" i="41"/>
  <c r="BK65" i="33"/>
  <c r="I801" i="41"/>
  <c r="C326" i="41"/>
  <c r="BE32" i="33"/>
  <c r="BM63" i="33"/>
  <c r="K773" i="41"/>
  <c r="E125" i="42"/>
  <c r="B63" i="40"/>
  <c r="B144" i="40"/>
  <c r="CI24" i="33"/>
  <c r="E209" i="41"/>
  <c r="H690" i="41"/>
  <c r="BJ58" i="33"/>
  <c r="D74" i="41"/>
  <c r="BF14" i="33"/>
  <c r="BL32" i="33"/>
  <c r="J326" i="41"/>
  <c r="CI25" i="33"/>
  <c r="H235" i="41"/>
  <c r="G214" i="41"/>
  <c r="BI24" i="33"/>
  <c r="I578" i="41"/>
  <c r="BK50" i="33"/>
  <c r="L1307" i="27"/>
  <c r="AB22" i="34"/>
  <c r="AB57" i="34"/>
  <c r="C355" i="42"/>
  <c r="E158" i="41"/>
  <c r="BG20" i="33"/>
  <c r="BM28" i="33"/>
  <c r="K270" i="41"/>
  <c r="C194" i="42"/>
  <c r="K95" i="41"/>
  <c r="G577" i="41"/>
  <c r="BI49" i="33"/>
  <c r="AI83" i="34"/>
  <c r="AB23" i="31" a="1"/>
  <c r="AB23" i="31" s="1"/>
  <c r="H23" i="31" s="1"/>
  <c r="B215" i="40" s="1"/>
  <c r="B211" i="40"/>
  <c r="E217" i="40" s="1"/>
  <c r="BU23" i="31"/>
  <c r="BP23" i="31"/>
  <c r="BR23" i="31" s="1"/>
  <c r="BB23" i="31" a="1"/>
  <c r="BB23" i="31" s="1"/>
  <c r="BY23" i="31" a="1"/>
  <c r="BY23" i="31" s="1"/>
  <c r="AC23" i="31"/>
  <c r="C464" i="32" s="1"/>
  <c r="K1078" i="27" s="1"/>
  <c r="E437" i="41"/>
  <c r="BG39" i="33"/>
  <c r="BX17" i="31"/>
  <c r="E134" i="40"/>
  <c r="BI25" i="33"/>
  <c r="G241" i="41"/>
  <c r="BE61" i="33"/>
  <c r="C745" i="41"/>
  <c r="Y19" i="34"/>
  <c r="Z19" i="34" s="1"/>
  <c r="G773" i="41"/>
  <c r="BI63" i="33"/>
  <c r="BG13" i="33"/>
  <c r="E73" i="41"/>
  <c r="B517" i="41"/>
  <c r="AI67" i="34"/>
  <c r="BI53" i="33"/>
  <c r="G633" i="41"/>
  <c r="Y67" i="34"/>
  <c r="AB9" i="34"/>
  <c r="C5" i="42"/>
  <c r="C355" i="39"/>
  <c r="B352" i="39"/>
  <c r="F354" i="41"/>
  <c r="BH34" i="33"/>
  <c r="F465" i="41"/>
  <c r="BH41" i="33"/>
  <c r="E769" i="41"/>
  <c r="CI64" i="33"/>
  <c r="Y63" i="34"/>
  <c r="Z63" i="34" s="1"/>
  <c r="BX33" i="31"/>
  <c r="E350" i="40"/>
  <c r="BH51" i="33"/>
  <c r="F605" i="41"/>
  <c r="F326" i="41"/>
  <c r="BH32" i="33"/>
  <c r="F802" i="41"/>
  <c r="BH66" i="33"/>
  <c r="D214" i="41"/>
  <c r="BF24" i="33"/>
  <c r="Y52" i="34"/>
  <c r="AA52" i="34" s="1"/>
  <c r="C158" i="41"/>
  <c r="BE20" i="33"/>
  <c r="E213" i="41"/>
  <c r="BG23" i="33"/>
  <c r="B109" i="39"/>
  <c r="B306" i="40"/>
  <c r="D802" i="41"/>
  <c r="BF66" i="33"/>
  <c r="BH57" i="33"/>
  <c r="F689" i="41"/>
  <c r="AR18" i="30"/>
  <c r="C141" i="39"/>
  <c r="AI53" i="34"/>
  <c r="C208" i="42"/>
  <c r="BF9" i="33"/>
  <c r="D17" i="41"/>
  <c r="C380" i="42"/>
  <c r="BH55" i="33"/>
  <c r="F661" i="41"/>
  <c r="AB42" i="34"/>
  <c r="CJ9" i="33"/>
  <c r="BR9" i="33" a="1"/>
  <c r="BR9" i="33" s="1"/>
  <c r="D5" i="41"/>
  <c r="AM9" i="33"/>
  <c r="BN9" i="33" s="1"/>
  <c r="BI64" i="33"/>
  <c r="G774" i="41"/>
  <c r="AB63" i="34"/>
  <c r="H746" i="41"/>
  <c r="BJ62" i="33"/>
  <c r="C12" i="42"/>
  <c r="B279" i="39"/>
  <c r="C382" i="40"/>
  <c r="H151" i="41"/>
  <c r="CI19" i="33"/>
  <c r="B69" i="41"/>
  <c r="CJ91" i="33"/>
  <c r="D817" i="41"/>
  <c r="BR91" i="33" a="1"/>
  <c r="BR91" i="33" s="1"/>
  <c r="BN91" i="33"/>
  <c r="B629" i="41"/>
  <c r="BL53" i="33"/>
  <c r="J633" i="41"/>
  <c r="AI58" i="34"/>
  <c r="G679" i="41"/>
  <c r="BL62" i="33"/>
  <c r="J746" i="41"/>
  <c r="CI38" i="33"/>
  <c r="E405" i="41"/>
  <c r="K157" i="41"/>
  <c r="BM19" i="33"/>
  <c r="BH25" i="33"/>
  <c r="F241" i="41"/>
  <c r="BE63" i="33"/>
  <c r="C773" i="41"/>
  <c r="AC19" i="31"/>
  <c r="C434" i="32" s="1"/>
  <c r="K1063" i="27" s="1"/>
  <c r="BY19" i="31" a="1"/>
  <c r="BY19" i="31" s="1"/>
  <c r="AB19" i="31" a="1"/>
  <c r="AB19" i="31" s="1"/>
  <c r="H19" i="31" s="1"/>
  <c r="B161" i="40" s="1"/>
  <c r="BB19" i="31" a="1"/>
  <c r="BB19" i="31" s="1"/>
  <c r="B157" i="40"/>
  <c r="E163" i="40" s="1"/>
  <c r="BU19" i="31"/>
  <c r="BP19" i="31"/>
  <c r="BR19" i="31" s="1"/>
  <c r="BK35" i="33"/>
  <c r="I381" i="41"/>
  <c r="CI9" i="33"/>
  <c r="H11" i="41"/>
  <c r="C436" i="41"/>
  <c r="C409" i="39"/>
  <c r="Y36" i="34"/>
  <c r="Z36" i="34" s="1"/>
  <c r="AB85" i="34"/>
  <c r="E473" i="42"/>
  <c r="BA39" i="33"/>
  <c r="G427" i="41"/>
  <c r="E478" i="42"/>
  <c r="E599" i="41"/>
  <c r="D270" i="41"/>
  <c r="BF28" i="33"/>
  <c r="C306" i="42"/>
  <c r="B237" i="41"/>
  <c r="E292" i="39"/>
  <c r="E298" i="39" s="1"/>
  <c r="AD29" i="30"/>
  <c r="BI29" i="30"/>
  <c r="G129" i="41"/>
  <c r="BI17" i="33"/>
  <c r="B181" i="41"/>
  <c r="BL20" i="33"/>
  <c r="J158" i="41"/>
  <c r="K830" i="41"/>
  <c r="BM92" i="33"/>
  <c r="BK24" i="33"/>
  <c r="I214" i="41"/>
  <c r="B273" i="41"/>
  <c r="B293" i="41"/>
  <c r="Y83" i="34"/>
  <c r="Z83" i="34" s="1"/>
  <c r="C287" i="42"/>
  <c r="Y26" i="34"/>
  <c r="AB76" i="34"/>
  <c r="B204" i="42"/>
  <c r="F206" i="42" s="1"/>
  <c r="BG32" i="33"/>
  <c r="E326" i="41"/>
  <c r="I661" i="41"/>
  <c r="BK55" i="33"/>
  <c r="G829" i="41"/>
  <c r="BI91" i="33"/>
  <c r="BH24" i="33"/>
  <c r="F214" i="41"/>
  <c r="AI66" i="34"/>
  <c r="BG12" i="33"/>
  <c r="E46" i="41"/>
  <c r="BK19" i="33"/>
  <c r="I157" i="41"/>
  <c r="C382" i="39"/>
  <c r="BH56" i="33"/>
  <c r="F662" i="41"/>
  <c r="C328" i="40"/>
  <c r="Y40" i="34"/>
  <c r="AA40" i="34" s="1"/>
  <c r="BX31" i="31"/>
  <c r="E323" i="40"/>
  <c r="D129" i="41"/>
  <c r="BF17" i="33"/>
  <c r="E39" i="41"/>
  <c r="BG53" i="33"/>
  <c r="E633" i="41"/>
  <c r="BM47" i="33"/>
  <c r="K549" i="41"/>
  <c r="AB26" i="34"/>
  <c r="AB77" i="34"/>
  <c r="C262" i="42"/>
  <c r="BM30" i="33"/>
  <c r="K298" i="41"/>
  <c r="Y59" i="34"/>
  <c r="Z59" i="34" s="1"/>
  <c r="K403" i="41"/>
  <c r="CI35" i="33"/>
  <c r="H375" i="41"/>
  <c r="AI36" i="34"/>
  <c r="J354" i="41"/>
  <c r="BL34" i="33"/>
  <c r="BG11" i="33"/>
  <c r="E45" i="41"/>
  <c r="C473" i="42"/>
  <c r="B665" i="41"/>
  <c r="Y70" i="34"/>
  <c r="AA70" i="34" s="1"/>
  <c r="G7" i="41"/>
  <c r="BA9" i="33"/>
  <c r="Y84" i="34"/>
  <c r="Z84" i="34" s="1"/>
  <c r="BK66" i="33"/>
  <c r="I802" i="41"/>
  <c r="D101" i="41"/>
  <c r="BF15" i="33"/>
  <c r="C828" i="41"/>
  <c r="E403" i="41"/>
  <c r="C167" i="40"/>
  <c r="BD19" i="31"/>
  <c r="E429" i="42"/>
  <c r="H522" i="41"/>
  <c r="BJ46" i="33"/>
  <c r="B833" i="41"/>
  <c r="BK20" i="33"/>
  <c r="I158" i="41"/>
  <c r="E71" i="42"/>
  <c r="BM42" i="33"/>
  <c r="K466" i="41"/>
  <c r="BF55" i="33"/>
  <c r="D661" i="41"/>
  <c r="C302" i="40"/>
  <c r="BD29" i="31"/>
  <c r="BA31" i="33"/>
  <c r="G315" i="41"/>
  <c r="C130" i="42"/>
  <c r="C328" i="39"/>
  <c r="E262" i="42"/>
  <c r="AI45" i="34"/>
  <c r="C223" i="42"/>
  <c r="K795" i="41"/>
  <c r="E458" i="42"/>
  <c r="BA11" i="33"/>
  <c r="G35" i="41"/>
  <c r="AI10" i="34"/>
  <c r="F57" i="42"/>
  <c r="E634" i="41"/>
  <c r="BG54" i="33"/>
  <c r="AR30" i="30"/>
  <c r="C303" i="39"/>
  <c r="B279" i="40"/>
  <c r="K213" i="41"/>
  <c r="BM23" i="33"/>
  <c r="E269" i="40"/>
  <c r="BX27" i="31"/>
  <c r="E42" i="42"/>
  <c r="BD17" i="31"/>
  <c r="C140" i="40"/>
  <c r="C61" i="42"/>
  <c r="E823" i="41"/>
  <c r="AI54" i="34"/>
  <c r="B97" i="41"/>
  <c r="F690" i="41"/>
  <c r="BH58" i="33"/>
  <c r="AI75" i="34"/>
  <c r="Y33" i="34"/>
  <c r="AA33" i="34" s="1"/>
  <c r="BF63" i="33"/>
  <c r="D773" i="41"/>
  <c r="AI85" i="34"/>
  <c r="BT65" i="33"/>
  <c r="B791" i="41"/>
  <c r="AO65" i="33"/>
  <c r="C1757" i="32" s="1"/>
  <c r="CK65" i="33" a="1"/>
  <c r="CK65" i="33" s="1"/>
  <c r="AY65" i="33" a="1"/>
  <c r="AY65" i="33" s="1"/>
  <c r="AX65" i="33" s="1"/>
  <c r="BV65" i="33"/>
  <c r="AZ65" i="33" s="1"/>
  <c r="BC65" i="33" a="1"/>
  <c r="BC65" i="33" s="1"/>
  <c r="AN65" i="33" a="1"/>
  <c r="AN65" i="33" s="1"/>
  <c r="I65" i="33" s="1"/>
  <c r="B795" i="41" s="1"/>
  <c r="AP65" i="33" a="1"/>
  <c r="AP65" i="33" s="1"/>
  <c r="AS65" i="33"/>
  <c r="AB79" i="34"/>
  <c r="BE45" i="33"/>
  <c r="C521" i="41"/>
  <c r="B28" i="39"/>
  <c r="BG28" i="33"/>
  <c r="E270" i="41"/>
  <c r="C341" i="42"/>
  <c r="E365" i="42"/>
  <c r="BK56" i="33"/>
  <c r="I662" i="41"/>
  <c r="B306" i="39"/>
  <c r="AI87" i="34"/>
  <c r="BI21" i="33"/>
  <c r="G185" i="41"/>
  <c r="BG17" i="33"/>
  <c r="E129" i="41"/>
  <c r="K375" i="41"/>
  <c r="B387" i="40"/>
  <c r="BJ35" i="33"/>
  <c r="H381" i="41"/>
  <c r="C168" i="40"/>
  <c r="BD20" i="31"/>
  <c r="BK57" i="33"/>
  <c r="I689" i="41"/>
  <c r="BL91" i="33"/>
  <c r="J829" i="41"/>
  <c r="BX21" i="31"/>
  <c r="E188" i="40"/>
  <c r="D705" i="41"/>
  <c r="AM59" i="33"/>
  <c r="BN59" i="33" s="1"/>
  <c r="CJ59" i="33"/>
  <c r="BR59" i="33" a="1"/>
  <c r="BR59" i="33" s="1"/>
  <c r="Y48" i="34"/>
  <c r="Z48" i="34" s="1"/>
  <c r="B57" i="42"/>
  <c r="F59" i="42" s="1"/>
  <c r="B377" i="41"/>
  <c r="BI52" i="33"/>
  <c r="G606" i="41"/>
  <c r="AB55" i="34"/>
  <c r="C96" i="42"/>
  <c r="AB35" i="31" a="1"/>
  <c r="AB35" i="31" s="1"/>
  <c r="H35" i="31" s="1"/>
  <c r="B377" i="40" s="1"/>
  <c r="BU35" i="31"/>
  <c r="BB35" i="31" a="1"/>
  <c r="BB35" i="31" s="1"/>
  <c r="AC35" i="31"/>
  <c r="C582" i="32" s="1"/>
  <c r="K1137" i="27" s="1"/>
  <c r="BY35" i="31" a="1"/>
  <c r="BY35" i="31" s="1"/>
  <c r="B373" i="40"/>
  <c r="E379" i="40" s="1"/>
  <c r="BP35" i="31"/>
  <c r="BQ35" i="31" s="1"/>
  <c r="BH26" i="33"/>
  <c r="F242" i="41"/>
  <c r="BC39" i="33" a="1"/>
  <c r="BC39" i="33" s="1"/>
  <c r="CK39" i="33" a="1"/>
  <c r="CK39" i="33" s="1"/>
  <c r="BT39" i="33"/>
  <c r="AN39" i="33" a="1"/>
  <c r="AN39" i="33" s="1"/>
  <c r="I39" i="33" s="1"/>
  <c r="B431" i="41" s="1"/>
  <c r="B427" i="41"/>
  <c r="AP39" i="33" a="1"/>
  <c r="AP39" i="33" s="1"/>
  <c r="AQ39" i="33" s="1"/>
  <c r="BV39" i="33"/>
  <c r="AZ39" i="33" s="1"/>
  <c r="AS39" i="33"/>
  <c r="AO39" i="33"/>
  <c r="C1255" i="32" s="1"/>
  <c r="AY39" i="33" a="1"/>
  <c r="AY39" i="33" s="1"/>
  <c r="AV39" i="33" s="1"/>
  <c r="C238" i="42"/>
  <c r="C179" i="42"/>
  <c r="AB28" i="34"/>
  <c r="H774" i="41"/>
  <c r="BJ64" i="33"/>
  <c r="E272" i="42"/>
  <c r="K269" i="41"/>
  <c r="BM27" i="33"/>
  <c r="C326" i="42"/>
  <c r="AB30" i="34"/>
  <c r="B8" i="42"/>
  <c r="F10" i="42" s="1"/>
  <c r="C297" i="41"/>
  <c r="BE29" i="33"/>
  <c r="C222" i="40"/>
  <c r="BD24" i="31"/>
  <c r="BG18" i="33"/>
  <c r="E130" i="41"/>
  <c r="G717" i="41"/>
  <c r="BI59" i="33"/>
  <c r="E76" i="42"/>
  <c r="B360" i="40"/>
  <c r="CB9" i="33"/>
  <c r="H19" i="41"/>
  <c r="BH92" i="33"/>
  <c r="F830" i="41"/>
  <c r="C221" i="39"/>
  <c r="AR23" i="30"/>
  <c r="E233" i="42"/>
  <c r="CI53" i="33"/>
  <c r="H627" i="41"/>
  <c r="K39" i="41"/>
  <c r="AB75" i="34"/>
  <c r="C125" i="42"/>
  <c r="B106" i="42"/>
  <c r="F108" i="42" s="1"/>
  <c r="D718" i="41"/>
  <c r="BF60" i="33"/>
  <c r="AI71" i="34"/>
  <c r="C166" i="40"/>
  <c r="K431" i="41"/>
  <c r="E439" i="42"/>
  <c r="K438" i="41"/>
  <c r="BM40" i="33"/>
  <c r="BH21" i="33"/>
  <c r="F185" i="41"/>
  <c r="E130" i="42"/>
  <c r="J381" i="41"/>
  <c r="BL35" i="33"/>
  <c r="C85" i="40"/>
  <c r="B171" i="40"/>
  <c r="AI51" i="34"/>
  <c r="J577" i="41"/>
  <c r="BL49" i="33"/>
  <c r="B133" i="41"/>
  <c r="B190" i="40"/>
  <c r="BC35" i="33" a="1"/>
  <c r="BC35" i="33" s="1"/>
  <c r="AY35" i="33" a="1"/>
  <c r="AY35" i="33" s="1"/>
  <c r="AV35" i="33" s="1"/>
  <c r="CK35" i="33" a="1"/>
  <c r="CK35" i="33" s="1"/>
  <c r="AO35" i="33"/>
  <c r="C1175" i="32" s="1"/>
  <c r="BV35" i="33"/>
  <c r="AZ35" i="33" s="1"/>
  <c r="B371" i="41"/>
  <c r="AN35" i="33" a="1"/>
  <c r="AN35" i="33" s="1"/>
  <c r="I35" i="33" s="1"/>
  <c r="B375" i="41" s="1"/>
  <c r="AS35" i="33"/>
  <c r="BT35" i="33"/>
  <c r="AP35" i="33" a="1"/>
  <c r="AP35" i="33" s="1"/>
  <c r="B161" i="41"/>
  <c r="C42" i="42"/>
  <c r="BE51" i="33"/>
  <c r="C605" i="41"/>
  <c r="AB23" i="34"/>
  <c r="Y50" i="34"/>
  <c r="Z50" i="34" s="1"/>
  <c r="E347" i="41"/>
  <c r="BJ24" i="33"/>
  <c r="H214" i="41"/>
  <c r="AI21" i="34"/>
  <c r="C548" i="41"/>
  <c r="D410" i="41"/>
  <c r="BF38" i="33"/>
  <c r="BB15" i="31" a="1"/>
  <c r="BB15" i="31" s="1"/>
  <c r="AC15" i="31"/>
  <c r="C386" i="32" s="1"/>
  <c r="K1039" i="27" s="1"/>
  <c r="AB15" i="31" a="1"/>
  <c r="AB15" i="31" s="1"/>
  <c r="H15" i="31" s="1"/>
  <c r="B107" i="40" s="1"/>
  <c r="BU15" i="31"/>
  <c r="BP15" i="31"/>
  <c r="BQ15" i="31" s="1"/>
  <c r="BY15" i="31" a="1"/>
  <c r="BY15" i="31" s="1"/>
  <c r="B103" i="40"/>
  <c r="E109" i="40" s="1"/>
  <c r="E81" i="42"/>
  <c r="BE55" i="33"/>
  <c r="C661" i="41"/>
  <c r="BR17" i="33" a="1"/>
  <c r="BR17" i="33" s="1"/>
  <c r="D117" i="41"/>
  <c r="CJ17" i="33"/>
  <c r="AM17" i="33"/>
  <c r="BN17" i="33" s="1"/>
  <c r="BJ41" i="33"/>
  <c r="H465" i="41"/>
  <c r="C164" i="42"/>
  <c r="B163" i="39"/>
  <c r="AI84" i="34"/>
  <c r="K689" i="41"/>
  <c r="BM57" i="33"/>
  <c r="C690" i="41"/>
  <c r="BE58" i="33"/>
  <c r="E306" i="42"/>
  <c r="Y45" i="34"/>
  <c r="AI19" i="34"/>
  <c r="B90" i="40"/>
  <c r="C22" i="42"/>
  <c r="E37" i="42"/>
  <c r="BM51" i="33"/>
  <c r="K605" i="41"/>
  <c r="E123" i="41"/>
  <c r="BJ36" i="33"/>
  <c r="H382" i="41"/>
  <c r="E326" i="42"/>
  <c r="B406" i="40"/>
  <c r="BE39" i="33"/>
  <c r="C437" i="41"/>
  <c r="BE52" i="33"/>
  <c r="C606" i="41"/>
  <c r="M1003" i="27"/>
  <c r="A1003" i="27" s="1"/>
  <c r="P1003" i="27"/>
  <c r="J382" i="41"/>
  <c r="BL36" i="33"/>
  <c r="B777" i="41"/>
  <c r="D649" i="41"/>
  <c r="CJ55" i="33"/>
  <c r="AM55" i="33"/>
  <c r="BR55" i="33" a="1"/>
  <c r="BR55" i="33" s="1"/>
  <c r="E53" i="39"/>
  <c r="BL11" i="30"/>
  <c r="B433" i="41"/>
  <c r="BA37" i="33"/>
  <c r="G399" i="41"/>
  <c r="AB43" i="34"/>
  <c r="H823" i="41"/>
  <c r="CI91" i="33"/>
  <c r="AI70" i="34"/>
  <c r="Y22" i="34"/>
  <c r="Z22" i="34" s="1"/>
  <c r="C85" i="39"/>
  <c r="J801" i="41"/>
  <c r="BL65" i="33"/>
  <c r="I690" i="41"/>
  <c r="BK58" i="33"/>
  <c r="AI41" i="34"/>
  <c r="BF25" i="33"/>
  <c r="D241" i="41"/>
  <c r="E41" i="41"/>
  <c r="CI12" i="33"/>
  <c r="BD31" i="31"/>
  <c r="C329" i="40"/>
  <c r="J410" i="41"/>
  <c r="BL38" i="33"/>
  <c r="Y53" i="34"/>
  <c r="Z53" i="34" s="1"/>
  <c r="D242" i="41"/>
  <c r="BF26" i="33"/>
  <c r="BR21" i="33" a="1"/>
  <c r="BR21" i="33" s="1"/>
  <c r="CJ21" i="33"/>
  <c r="D173" i="41"/>
  <c r="AM21" i="33"/>
  <c r="BN21" i="33" s="1"/>
  <c r="J689" i="41"/>
  <c r="BL57" i="33"/>
  <c r="E377" i="41"/>
  <c r="CI36" i="33"/>
  <c r="B136" i="40"/>
  <c r="B379" i="40"/>
  <c r="AI22" i="34"/>
  <c r="E86" i="42"/>
  <c r="Y86" i="34"/>
  <c r="Z86" i="34" s="1"/>
  <c r="C483" i="42"/>
  <c r="B379" i="39"/>
  <c r="Y82" i="34"/>
  <c r="AA82" i="34" s="1"/>
  <c r="AN53" i="33" a="1"/>
  <c r="AN53" i="33" s="1"/>
  <c r="I53" i="33" s="1"/>
  <c r="B627" i="41" s="1"/>
  <c r="CK53" i="33" a="1"/>
  <c r="CK53" i="33" s="1"/>
  <c r="BC53" i="33" a="1"/>
  <c r="BC53" i="33" s="1"/>
  <c r="AS53" i="33"/>
  <c r="BT53" i="33"/>
  <c r="AY53" i="33" a="1"/>
  <c r="AY53" i="33" s="1"/>
  <c r="AW53" i="33" s="1"/>
  <c r="BV53" i="33"/>
  <c r="AZ53" i="33" s="1"/>
  <c r="B623" i="41"/>
  <c r="AP53" i="33" a="1"/>
  <c r="AP53" i="33" s="1"/>
  <c r="AR53" i="33" s="1"/>
  <c r="AO53" i="33"/>
  <c r="C1513" i="32" s="1"/>
  <c r="BM25" i="33"/>
  <c r="K241" i="41"/>
  <c r="C46" i="41"/>
  <c r="BE12" i="33"/>
  <c r="AM31" i="33"/>
  <c r="D313" i="41"/>
  <c r="BR31" i="33" a="1"/>
  <c r="BR31" i="33" s="1"/>
  <c r="CJ31" i="33"/>
  <c r="Y61" i="34"/>
  <c r="AA61" i="34" s="1"/>
  <c r="E159" i="42"/>
  <c r="BE57" i="33"/>
  <c r="C689" i="41"/>
  <c r="F269" i="41"/>
  <c r="BH27" i="33"/>
  <c r="BI10" i="33"/>
  <c r="G18" i="41"/>
  <c r="E47" i="42"/>
  <c r="AR11" i="30"/>
  <c r="C59" i="39"/>
  <c r="BK52" i="33"/>
  <c r="I606" i="41"/>
  <c r="E424" i="42"/>
  <c r="H74" i="41"/>
  <c r="BJ14" i="33"/>
  <c r="J298" i="41"/>
  <c r="BL30" i="33"/>
  <c r="BM13" i="33"/>
  <c r="K73" i="41"/>
  <c r="CK63" i="33" a="1"/>
  <c r="CK63" i="33" s="1"/>
  <c r="AN63" i="33" a="1"/>
  <c r="AN63" i="33" s="1"/>
  <c r="I63" i="33" s="1"/>
  <c r="B767" i="41" s="1"/>
  <c r="AS63" i="33"/>
  <c r="AY63" i="33" a="1"/>
  <c r="AY63" i="33" s="1"/>
  <c r="AW63" i="33" s="1"/>
  <c r="AP63" i="33" a="1"/>
  <c r="AP63" i="33" s="1"/>
  <c r="AQ63" i="33" s="1"/>
  <c r="AO63" i="33"/>
  <c r="C1713" i="32" s="1"/>
  <c r="BV63" i="33"/>
  <c r="AZ63" i="33" s="1"/>
  <c r="B763" i="41"/>
  <c r="BT63" i="33"/>
  <c r="BC63" i="33" a="1"/>
  <c r="BC63" i="33" s="1"/>
  <c r="E414" i="42"/>
  <c r="C404" i="42"/>
  <c r="BL13" i="33"/>
  <c r="J73" i="41"/>
  <c r="AM49" i="33"/>
  <c r="BN49" i="33" s="1"/>
  <c r="BR49" i="33" a="1"/>
  <c r="BR49" i="33" s="1"/>
  <c r="D565" i="41"/>
  <c r="CJ49" i="33"/>
  <c r="AI27" i="34"/>
  <c r="BM37" i="33"/>
  <c r="K409" i="41"/>
  <c r="AB68" i="34"/>
  <c r="G802" i="41"/>
  <c r="BI66" i="33"/>
  <c r="I466" i="41"/>
  <c r="BK42" i="33"/>
  <c r="C772" i="41"/>
  <c r="BI43" i="33"/>
  <c r="G493" i="41"/>
  <c r="AI50" i="34"/>
  <c r="C390" i="42"/>
  <c r="D186" i="41"/>
  <c r="BF22" i="33"/>
  <c r="BD14" i="31"/>
  <c r="C87" i="40"/>
  <c r="B105" i="41"/>
  <c r="Y30" i="34"/>
  <c r="AA30" i="34" s="1"/>
  <c r="BI54" i="33"/>
  <c r="G634" i="41"/>
  <c r="AI62" i="34"/>
  <c r="AI15" i="34"/>
  <c r="F302" i="42"/>
  <c r="E493" i="41"/>
  <c r="BG43" i="33"/>
  <c r="Y27" i="34"/>
  <c r="Z27" i="34" s="1"/>
  <c r="B271" i="40"/>
  <c r="BK40" i="33"/>
  <c r="I438" i="41"/>
  <c r="CI63" i="33"/>
  <c r="H767" i="41"/>
  <c r="C120" i="42"/>
  <c r="F773" i="41"/>
  <c r="BH63" i="33"/>
  <c r="C58" i="40"/>
  <c r="BD33" i="31"/>
  <c r="C356" i="40"/>
  <c r="AI38" i="34"/>
  <c r="BE56" i="33"/>
  <c r="C662" i="41"/>
  <c r="BL21" i="30"/>
  <c r="E188" i="39"/>
  <c r="Y69" i="34"/>
  <c r="Z69" i="34" s="1"/>
  <c r="B55" i="40"/>
  <c r="BF31" i="33"/>
  <c r="D325" i="41"/>
  <c r="C414" i="42"/>
  <c r="BL43" i="33"/>
  <c r="J493" i="41"/>
  <c r="BM53" i="33"/>
  <c r="K633" i="41"/>
  <c r="B405" i="41"/>
  <c r="D201" i="41"/>
  <c r="CJ23" i="33"/>
  <c r="AM23" i="33"/>
  <c r="BR23" i="33" a="1"/>
  <c r="BR23" i="33" s="1"/>
  <c r="E61" i="42"/>
  <c r="Y60" i="34"/>
  <c r="AA60" i="34" s="1"/>
  <c r="BF44" i="33"/>
  <c r="D494" i="41"/>
  <c r="K655" i="41"/>
  <c r="C429" i="42"/>
  <c r="AB25" i="34"/>
  <c r="I465" i="41"/>
  <c r="BK41" i="33"/>
  <c r="AB20" i="34"/>
  <c r="BF52" i="33"/>
  <c r="D606" i="41"/>
  <c r="K577" i="41"/>
  <c r="BM49" i="33"/>
  <c r="BM62" i="33"/>
  <c r="K746" i="41"/>
  <c r="C419" i="42"/>
  <c r="AI82" i="34"/>
  <c r="H101" i="41"/>
  <c r="BJ15" i="33"/>
  <c r="CI65" i="33"/>
  <c r="H795" i="41"/>
  <c r="BE28" i="33"/>
  <c r="C270" i="41"/>
  <c r="E67" i="41"/>
  <c r="BJ52" i="33"/>
  <c r="H606" i="41"/>
  <c r="C193" i="39"/>
  <c r="H207" i="41"/>
  <c r="CI23" i="33"/>
  <c r="G745" i="41"/>
  <c r="BI61" i="33"/>
  <c r="B329" i="41"/>
  <c r="G690" i="41"/>
  <c r="BI58" i="33"/>
  <c r="G819" i="41"/>
  <c r="G483" i="41"/>
  <c r="BA43" i="33"/>
  <c r="C213" i="42"/>
  <c r="Y71" i="34"/>
  <c r="AA71" i="34" s="1"/>
  <c r="BK18" i="33"/>
  <c r="I130" i="41"/>
  <c r="E80" i="39"/>
  <c r="BL13" i="30"/>
  <c r="K767" i="41"/>
  <c r="CI37" i="33"/>
  <c r="H403" i="41"/>
  <c r="B265" i="41"/>
  <c r="B449" i="42"/>
  <c r="F451" i="42" s="1"/>
  <c r="AS19" i="33"/>
  <c r="BT19" i="33"/>
  <c r="AN19" i="33" a="1"/>
  <c r="AN19" i="33" s="1"/>
  <c r="I19" i="33" s="1"/>
  <c r="B151" i="41" s="1"/>
  <c r="CK19" i="33" a="1"/>
  <c r="CK19" i="33" s="1"/>
  <c r="AY19" i="33" a="1"/>
  <c r="AY19" i="33" s="1"/>
  <c r="AW19" i="33" s="1"/>
  <c r="BV19" i="33"/>
  <c r="AZ19" i="33" s="1"/>
  <c r="AO19" i="33"/>
  <c r="C847" i="32" s="1"/>
  <c r="K1725" i="27" s="1"/>
  <c r="B147" i="41"/>
  <c r="BC19" i="33" a="1"/>
  <c r="BC19" i="33" s="1"/>
  <c r="AP19" i="33" a="1"/>
  <c r="AP19" i="33" s="1"/>
  <c r="AR19" i="33" s="1"/>
  <c r="BD26" i="31"/>
  <c r="C249" i="40"/>
  <c r="AB40" i="34"/>
  <c r="BH30" i="33"/>
  <c r="F298" i="41"/>
  <c r="K158" i="41"/>
  <c r="BM20" i="33"/>
  <c r="BJ91" i="33"/>
  <c r="H829" i="41"/>
  <c r="E321" i="42"/>
  <c r="E291" i="41"/>
  <c r="BF20" i="33"/>
  <c r="D158" i="41"/>
  <c r="D397" i="41"/>
  <c r="CJ37" i="33"/>
  <c r="AM37" i="33"/>
  <c r="BN37" i="33" s="1"/>
  <c r="BR37" i="33" a="1"/>
  <c r="BR37" i="33" s="1"/>
  <c r="G578" i="41"/>
  <c r="BI50" i="33"/>
  <c r="AB66" i="34"/>
  <c r="G147" i="41"/>
  <c r="C301" i="40"/>
  <c r="Y75" i="34"/>
  <c r="Z75" i="34" s="1"/>
  <c r="BG24" i="33"/>
  <c r="E214" i="41"/>
  <c r="BG21" i="33"/>
  <c r="E185" i="41"/>
  <c r="BJ54" i="33"/>
  <c r="H634" i="41"/>
  <c r="C302" i="39"/>
  <c r="AR29" i="30"/>
  <c r="AB34" i="34"/>
  <c r="E241" i="41"/>
  <c r="BG25" i="33"/>
  <c r="AI80" i="34"/>
  <c r="E17" i="42"/>
  <c r="B225" i="40"/>
  <c r="K151" i="41"/>
  <c r="C321" i="42"/>
  <c r="BL29" i="33"/>
  <c r="J297" i="41"/>
  <c r="AY41" i="33" a="1"/>
  <c r="AY41" i="33" s="1"/>
  <c r="AX41" i="33" s="1"/>
  <c r="AP41" i="33" a="1"/>
  <c r="AP41" i="33" s="1"/>
  <c r="AQ41" i="33" s="1"/>
  <c r="BC41" i="33" a="1"/>
  <c r="BC41" i="33" s="1"/>
  <c r="CK41" i="33" a="1"/>
  <c r="CK41" i="33" s="1"/>
  <c r="BT41" i="33"/>
  <c r="AO41" i="33"/>
  <c r="C1293" i="32" s="1"/>
  <c r="B455" i="41"/>
  <c r="AS41" i="33"/>
  <c r="AN41" i="33" a="1"/>
  <c r="AN41" i="33" s="1"/>
  <c r="I41" i="33" s="1"/>
  <c r="B459" i="41" s="1"/>
  <c r="BV41" i="33"/>
  <c r="AZ41" i="33" s="1"/>
  <c r="AI78" i="34"/>
  <c r="D185" i="41"/>
  <c r="BF21" i="33"/>
  <c r="BH65" i="33"/>
  <c r="F801" i="41"/>
  <c r="B406" i="39"/>
  <c r="BI22" i="33"/>
  <c r="G186" i="41"/>
  <c r="C800" i="41"/>
  <c r="CI10" i="33"/>
  <c r="E13" i="41"/>
  <c r="K207" i="41"/>
  <c r="E184" i="42"/>
  <c r="BG36" i="33"/>
  <c r="E382" i="41"/>
  <c r="AR13" i="30"/>
  <c r="C86" i="39"/>
  <c r="AB48" i="34"/>
  <c r="E468" i="42"/>
  <c r="C296" i="41"/>
  <c r="C381" i="41"/>
  <c r="BE35" i="33"/>
  <c r="E95" i="41"/>
  <c r="C488" i="42"/>
  <c r="E370" i="42"/>
  <c r="BJ60" i="33"/>
  <c r="H718" i="41"/>
  <c r="C424" i="42"/>
  <c r="AI14" i="34"/>
  <c r="F253" i="42"/>
  <c r="BL37" i="30"/>
  <c r="E404" i="39"/>
  <c r="BL56" i="33"/>
  <c r="J662" i="41"/>
  <c r="E115" i="42"/>
  <c r="E125" i="41"/>
  <c r="CI18" i="33"/>
  <c r="BK14" i="33"/>
  <c r="I74" i="41"/>
  <c r="BJ66" i="33"/>
  <c r="H802" i="41"/>
  <c r="BE11" i="33"/>
  <c r="C45" i="41"/>
  <c r="C104" i="42"/>
  <c r="Y11" i="34"/>
  <c r="Z11" i="34" s="1"/>
  <c r="J438" i="41"/>
  <c r="BL40" i="33"/>
  <c r="BR43" i="33" a="1"/>
  <c r="BR43" i="33" s="1"/>
  <c r="CJ43" i="33"/>
  <c r="AM43" i="33"/>
  <c r="BN43" i="33" s="1"/>
  <c r="D481" i="41"/>
  <c r="H515" i="41"/>
  <c r="CI45" i="33"/>
  <c r="BM12" i="33"/>
  <c r="K46" i="41"/>
  <c r="C112" i="40"/>
  <c r="E465" i="41"/>
  <c r="BG41" i="33"/>
  <c r="K683" i="41"/>
  <c r="C632" i="41"/>
  <c r="BD11" i="30"/>
  <c r="B49" i="39"/>
  <c r="E55" i="39" s="1"/>
  <c r="AE11" i="30" a="1"/>
  <c r="AE11" i="30" s="1"/>
  <c r="AD11" i="30"/>
  <c r="AP11" i="30" a="1"/>
  <c r="AP11" i="30" s="1"/>
  <c r="BI11" i="30"/>
  <c r="AB11" i="30" a="1"/>
  <c r="AB11" i="30" s="1"/>
  <c r="H11" i="30" s="1"/>
  <c r="AC11" i="30" s="1"/>
  <c r="BM11" i="30" a="1"/>
  <c r="BM11" i="30" s="1"/>
  <c r="E627" i="41"/>
  <c r="I213" i="41"/>
  <c r="BK23" i="33"/>
  <c r="C37" i="42"/>
  <c r="E66" i="42"/>
  <c r="Y73" i="34"/>
  <c r="AA73" i="34" s="1"/>
  <c r="Y54" i="34"/>
  <c r="AA54" i="34" s="1"/>
  <c r="AI11" i="34"/>
  <c r="F106" i="42"/>
  <c r="C184" i="41"/>
  <c r="BE15" i="33"/>
  <c r="C101" i="41"/>
  <c r="E549" i="41"/>
  <c r="BG47" i="33"/>
  <c r="C383" i="40"/>
  <c r="BD35" i="31"/>
  <c r="BE53" i="33"/>
  <c r="C633" i="41"/>
  <c r="C201" i="42"/>
  <c r="AB13" i="34"/>
  <c r="C220" i="39"/>
  <c r="E101" i="41"/>
  <c r="BG15" i="33"/>
  <c r="BI37" i="33"/>
  <c r="G409" i="41"/>
  <c r="C17" i="42"/>
  <c r="AB27" i="34"/>
  <c r="AB53" i="34"/>
  <c r="CI56" i="33"/>
  <c r="E657" i="41"/>
  <c r="E767" i="41"/>
  <c r="C34" i="40"/>
  <c r="BI9" i="31"/>
  <c r="BN9" i="31" s="1"/>
  <c r="BO9" i="31" s="1"/>
  <c r="AB62" i="34"/>
  <c r="H683" i="41"/>
  <c r="CI57" i="33"/>
  <c r="AM19" i="33"/>
  <c r="BN19" i="33" s="1"/>
  <c r="D145" i="41"/>
  <c r="BR19" i="33" a="1"/>
  <c r="BR19" i="33" s="1"/>
  <c r="CJ19" i="33"/>
  <c r="B245" i="41"/>
  <c r="AB58" i="34"/>
  <c r="B497" i="41"/>
  <c r="BG56" i="33"/>
  <c r="E662" i="41"/>
  <c r="BJ45" i="33"/>
  <c r="H521" i="41"/>
  <c r="AR10" i="30"/>
  <c r="C33" i="39"/>
  <c r="H801" i="41"/>
  <c r="BJ65" i="33"/>
  <c r="E319" i="41"/>
  <c r="BF49" i="33"/>
  <c r="D577" i="41"/>
  <c r="B825" i="41"/>
  <c r="C115" i="42"/>
  <c r="C268" i="41"/>
  <c r="H157" i="41"/>
  <c r="BJ19" i="33"/>
  <c r="E453" i="42"/>
  <c r="C145" i="42"/>
  <c r="BE64" i="33"/>
  <c r="C774" i="41"/>
  <c r="F73" i="41"/>
  <c r="BH13" i="33"/>
  <c r="BH47" i="33"/>
  <c r="F549" i="41"/>
  <c r="BH18" i="33"/>
  <c r="F130" i="41"/>
  <c r="B217" i="41"/>
  <c r="BI62" i="33"/>
  <c r="G746" i="41"/>
  <c r="BV9" i="33"/>
  <c r="AZ9" i="33" s="1"/>
  <c r="AS9" i="33"/>
  <c r="AN9" i="33" a="1"/>
  <c r="AN9" i="33" s="1"/>
  <c r="I9" i="33" s="1"/>
  <c r="B11" i="41" s="1"/>
  <c r="AP9" i="33" a="1"/>
  <c r="AP9" i="33" s="1"/>
  <c r="AR9" i="33" s="1"/>
  <c r="AY9" i="33" a="1"/>
  <c r="AY9" i="33" s="1"/>
  <c r="AX9" i="33" s="1"/>
  <c r="BC9" i="33" a="1"/>
  <c r="BC9" i="33" s="1"/>
  <c r="CK9" i="33" a="1"/>
  <c r="CK9" i="33" s="1"/>
  <c r="B7" i="41"/>
  <c r="BT9" i="33"/>
  <c r="AO9" i="33"/>
  <c r="C637" i="32" s="1"/>
  <c r="E341" i="42"/>
  <c r="AI29" i="34"/>
  <c r="Y77" i="34"/>
  <c r="AA77" i="34" s="1"/>
  <c r="BH50" i="33"/>
  <c r="F578" i="41"/>
  <c r="C222" i="39"/>
  <c r="AR24" i="30"/>
  <c r="C54" i="42"/>
  <c r="AB10" i="34"/>
  <c r="AB78" i="34"/>
  <c r="BA63" i="33"/>
  <c r="G763" i="41"/>
  <c r="E235" i="41"/>
  <c r="E410" i="41"/>
  <c r="BG38" i="33"/>
  <c r="D381" i="41"/>
  <c r="BF35" i="33"/>
  <c r="C140" i="42"/>
  <c r="BC49" i="33" a="1"/>
  <c r="BC49" i="33" s="1"/>
  <c r="B567" i="41"/>
  <c r="BV49" i="33"/>
  <c r="AZ49" i="33" s="1"/>
  <c r="AY49" i="33" a="1"/>
  <c r="AY49" i="33" s="1"/>
  <c r="AW49" i="33" s="1"/>
  <c r="AP49" i="33" a="1"/>
  <c r="AP49" i="33" s="1"/>
  <c r="AQ49" i="33" s="1"/>
  <c r="AN49" i="33" a="1"/>
  <c r="AN49" i="33" s="1"/>
  <c r="I49" i="33" s="1"/>
  <c r="B571" i="41" s="1"/>
  <c r="CK49" i="33" a="1"/>
  <c r="CK49" i="33" s="1"/>
  <c r="AI25" i="34"/>
  <c r="AB51" i="34"/>
  <c r="F186" i="41"/>
  <c r="BH22" i="33"/>
  <c r="C299" i="42"/>
  <c r="AB15" i="34"/>
  <c r="AB17" i="34"/>
  <c r="C397" i="42"/>
  <c r="AI34" i="34"/>
  <c r="J45" i="41"/>
  <c r="BL11" i="33"/>
  <c r="D102" i="41"/>
  <c r="BF16" i="33"/>
  <c r="BR39" i="33" a="1"/>
  <c r="BR39" i="33" s="1"/>
  <c r="D425" i="41"/>
  <c r="CJ39" i="33"/>
  <c r="AM39" i="33"/>
  <c r="BN39" i="33" s="1"/>
  <c r="G550" i="41"/>
  <c r="BI48" i="33"/>
  <c r="F410" i="41"/>
  <c r="BH38" i="33"/>
  <c r="B136" i="39"/>
  <c r="BG62" i="33"/>
  <c r="E746" i="41"/>
  <c r="B36" i="40"/>
  <c r="C409" i="41"/>
  <c r="BE37" i="33"/>
  <c r="C274" i="40"/>
  <c r="BJ42" i="33"/>
  <c r="H466" i="41"/>
  <c r="BE23" i="33"/>
  <c r="C213" i="41"/>
  <c r="E390" i="42"/>
  <c r="E96" i="42"/>
  <c r="BK54" i="33"/>
  <c r="I634" i="41"/>
  <c r="BG42" i="33"/>
  <c r="E466" i="41"/>
  <c r="Y51" i="34"/>
  <c r="Z51" i="34" s="1"/>
  <c r="B351" i="42"/>
  <c r="F353" i="42" s="1"/>
  <c r="F381" i="41"/>
  <c r="BH35" i="33"/>
  <c r="E27" i="42"/>
  <c r="D353" i="41"/>
  <c r="BF33" i="33"/>
  <c r="BJ23" i="33"/>
  <c r="H213" i="41"/>
  <c r="E825" i="41"/>
  <c r="CI92" i="33"/>
  <c r="C478" i="42"/>
  <c r="C355" i="40"/>
  <c r="C409" i="42"/>
  <c r="H45" i="41"/>
  <c r="BJ11" i="33"/>
  <c r="AB74" i="34"/>
  <c r="BP37" i="31"/>
  <c r="BQ37" i="31" s="1"/>
  <c r="B400" i="40"/>
  <c r="E406" i="40" s="1"/>
  <c r="AC37" i="31"/>
  <c r="C610" i="32" s="1"/>
  <c r="K1151" i="27" s="1"/>
  <c r="BU37" i="31"/>
  <c r="BB37" i="31" a="1"/>
  <c r="BB37" i="31" s="1"/>
  <c r="AB37" i="31" a="1"/>
  <c r="AB37" i="31" s="1"/>
  <c r="H37" i="31" s="1"/>
  <c r="B404" i="40" s="1"/>
  <c r="BY37" i="31" a="1"/>
  <c r="BY37" i="31" s="1"/>
  <c r="E331" i="42"/>
  <c r="K599" i="41"/>
  <c r="K739" i="41"/>
  <c r="K661" i="41"/>
  <c r="BM55" i="33"/>
  <c r="C135" i="42"/>
  <c r="K263" i="41"/>
  <c r="E277" i="42"/>
  <c r="E522" i="41"/>
  <c r="BG46" i="33"/>
  <c r="G735" i="41"/>
  <c r="BA61" i="33"/>
  <c r="E282" i="42"/>
  <c r="G466" i="41"/>
  <c r="BI42" i="33"/>
  <c r="BT91" i="33"/>
  <c r="I91" i="33"/>
  <c r="B823" i="41" s="1"/>
  <c r="BC91" i="33" a="1"/>
  <c r="BC91" i="33" s="1"/>
  <c r="BV91" i="33"/>
  <c r="B819" i="41"/>
  <c r="C1795" i="32"/>
  <c r="CK91" i="33" a="1"/>
  <c r="CK91" i="33" s="1"/>
  <c r="F17" i="41"/>
  <c r="BH9" i="33"/>
  <c r="AI55" i="34"/>
  <c r="BH37" i="33"/>
  <c r="F409" i="41"/>
  <c r="C357" i="40"/>
  <c r="BD34" i="31"/>
  <c r="AM11" i="33"/>
  <c r="BN11" i="33" s="1"/>
  <c r="BR11" i="33" a="1"/>
  <c r="BR11" i="33" s="1"/>
  <c r="D33" i="41"/>
  <c r="CJ11" i="33"/>
  <c r="Y81" i="34"/>
  <c r="AA81" i="34" s="1"/>
  <c r="C660" i="41"/>
  <c r="I774" i="41"/>
  <c r="BK64" i="33"/>
  <c r="AM25" i="33"/>
  <c r="BN25" i="33" s="1"/>
  <c r="CJ25" i="33"/>
  <c r="D229" i="41"/>
  <c r="BR25" i="33" a="1"/>
  <c r="BR25" i="33" s="1"/>
  <c r="BH14" i="33"/>
  <c r="F74" i="41"/>
  <c r="AM15" i="33"/>
  <c r="BN15" i="33" s="1"/>
  <c r="D89" i="41"/>
  <c r="CJ15" i="33"/>
  <c r="BR15" i="33" a="1"/>
  <c r="BR15" i="33" s="1"/>
  <c r="B175" i="41"/>
  <c r="AO21" i="33"/>
  <c r="C871" i="32" s="1"/>
  <c r="K2377" i="27" s="1"/>
  <c r="AS21" i="33"/>
  <c r="AY21" i="33" a="1"/>
  <c r="AY21" i="33" s="1"/>
  <c r="BV21" i="33"/>
  <c r="AZ21" i="33" s="1"/>
  <c r="AN21" i="33" a="1"/>
  <c r="AN21" i="33" s="1"/>
  <c r="I21" i="33" s="1"/>
  <c r="B179" i="41" s="1"/>
  <c r="BT21" i="33"/>
  <c r="AP21" i="33" a="1"/>
  <c r="AP21" i="33" s="1"/>
  <c r="BC21" i="33" a="1"/>
  <c r="BC21" i="33" s="1"/>
  <c r="CK21" i="33" a="1"/>
  <c r="CK21" i="33" s="1"/>
  <c r="E711" i="41"/>
  <c r="BM56" i="33"/>
  <c r="K662" i="41"/>
  <c r="CI52" i="33"/>
  <c r="E601" i="41"/>
  <c r="H269" i="41"/>
  <c r="BJ27" i="33"/>
  <c r="C634" i="41"/>
  <c r="BE54" i="33"/>
  <c r="CK61" i="33" a="1"/>
  <c r="CK61" i="33" s="1"/>
  <c r="AP61" i="33" a="1"/>
  <c r="AP61" i="33" s="1"/>
  <c r="AQ61" i="33" s="1"/>
  <c r="B735" i="41"/>
  <c r="BC61" i="33" a="1"/>
  <c r="BC61" i="33" s="1"/>
  <c r="BT61" i="33"/>
  <c r="BV61" i="33"/>
  <c r="AZ61" i="33" s="1"/>
  <c r="AO61" i="33"/>
  <c r="C1665" i="32" s="1"/>
  <c r="AS61" i="33"/>
  <c r="AN61" i="33" a="1"/>
  <c r="AN61" i="33" s="1"/>
  <c r="I61" i="33" s="1"/>
  <c r="B739" i="41" s="1"/>
  <c r="AY61" i="33" a="1"/>
  <c r="AY61" i="33" s="1"/>
  <c r="AW61" i="33" s="1"/>
  <c r="B414" i="40"/>
  <c r="AI69" i="34"/>
  <c r="J634" i="41"/>
  <c r="BL54" i="33"/>
  <c r="C168" i="39"/>
  <c r="AR20" i="30"/>
  <c r="BJ59" i="33"/>
  <c r="H717" i="41"/>
  <c r="AI60" i="34"/>
  <c r="E355" i="42"/>
  <c r="AR15" i="30"/>
  <c r="C113" i="39"/>
  <c r="E773" i="41"/>
  <c r="BG63" i="33"/>
  <c r="J437" i="41"/>
  <c r="BL39" i="33"/>
  <c r="AO13" i="33"/>
  <c r="C713" i="32" s="1"/>
  <c r="G63" i="41"/>
  <c r="H69" i="41" s="1"/>
  <c r="BA13" i="33"/>
  <c r="BP13" i="33" s="1"/>
  <c r="BT13" i="33"/>
  <c r="AS13" i="33"/>
  <c r="CI21" i="33"/>
  <c r="H179" i="41"/>
  <c r="BH48" i="33"/>
  <c r="F550" i="41"/>
  <c r="Y42" i="34"/>
  <c r="Z42" i="34" s="1"/>
  <c r="BH46" i="33"/>
  <c r="F522" i="41"/>
  <c r="BI27" i="33"/>
  <c r="G269" i="41"/>
  <c r="B797" i="41"/>
  <c r="E208" i="42"/>
  <c r="AR32" i="30"/>
  <c r="C330" i="39"/>
  <c r="BM52" i="33"/>
  <c r="K606" i="41"/>
  <c r="E488" i="42"/>
  <c r="BF58" i="33"/>
  <c r="D690" i="41"/>
  <c r="BC57" i="33" a="1"/>
  <c r="BC57" i="33" s="1"/>
  <c r="AN57" i="33" a="1"/>
  <c r="AN57" i="33" s="1"/>
  <c r="I57" i="33" s="1"/>
  <c r="B683" i="41" s="1"/>
  <c r="AY57" i="33" a="1"/>
  <c r="AY57" i="33" s="1"/>
  <c r="AW57" i="33" s="1"/>
  <c r="BV57" i="33"/>
  <c r="AZ57" i="33" s="1"/>
  <c r="B679" i="41"/>
  <c r="CK57" i="33" a="1"/>
  <c r="CK57" i="33" s="1"/>
  <c r="AO57" i="33"/>
  <c r="C1607" i="32" s="1"/>
  <c r="BT57" i="33"/>
  <c r="AP57" i="33" a="1"/>
  <c r="AP57" i="33" s="1"/>
  <c r="AR57" i="33" s="1"/>
  <c r="AS57" i="33"/>
  <c r="BI19" i="33"/>
  <c r="G157" i="41"/>
  <c r="AI39" i="34"/>
  <c r="I241" i="41"/>
  <c r="BK25" i="33"/>
  <c r="AO31" i="33"/>
  <c r="C1083" i="32" s="1"/>
  <c r="K2483" i="27" s="1"/>
  <c r="AY31" i="33" a="1"/>
  <c r="AY31" i="33" s="1"/>
  <c r="AX31" i="33" s="1"/>
  <c r="BN31" i="33"/>
  <c r="AN31" i="33" a="1"/>
  <c r="AN31" i="33" s="1"/>
  <c r="I31" i="33" s="1"/>
  <c r="B319" i="41" s="1"/>
  <c r="AS31" i="33"/>
  <c r="BV31" i="33"/>
  <c r="AZ31" i="33" s="1"/>
  <c r="BC31" i="33" a="1"/>
  <c r="BC31" i="33" s="1"/>
  <c r="CK31" i="33" a="1"/>
  <c r="CK31" i="33" s="1"/>
  <c r="BT31" i="33"/>
  <c r="B315" i="41"/>
  <c r="AP31" i="33" a="1"/>
  <c r="AP31" i="33" s="1"/>
  <c r="AQ31" i="33" s="1"/>
  <c r="K179" i="41"/>
  <c r="BA21" i="33"/>
  <c r="G175" i="41"/>
  <c r="C276" i="40"/>
  <c r="BD28" i="31"/>
  <c r="Y28" i="34"/>
  <c r="Z28" i="34" s="1"/>
  <c r="AN59" i="33" a="1"/>
  <c r="AN59" i="33" s="1"/>
  <c r="I59" i="33" s="1"/>
  <c r="B711" i="41" s="1"/>
  <c r="AS59" i="33"/>
  <c r="BV59" i="33"/>
  <c r="AZ59" i="33" s="1"/>
  <c r="BT59" i="33"/>
  <c r="AO59" i="33"/>
  <c r="C1643" i="32" s="1"/>
  <c r="AP59" i="33" a="1"/>
  <c r="AP59" i="33" s="1"/>
  <c r="AR59" i="33" s="1"/>
  <c r="CK59" i="33" a="1"/>
  <c r="CK59" i="33" s="1"/>
  <c r="B707" i="41"/>
  <c r="BC59" i="33" a="1"/>
  <c r="BC59" i="33" s="1"/>
  <c r="AY59" i="33" a="1"/>
  <c r="AY59" i="33" s="1"/>
  <c r="AW59" i="33" s="1"/>
  <c r="CI41" i="33"/>
  <c r="H459" i="41"/>
  <c r="BC23" i="33" a="1"/>
  <c r="BC23" i="33" s="1"/>
  <c r="AN23" i="33" a="1"/>
  <c r="AN23" i="33" s="1"/>
  <c r="I23" i="33" s="1"/>
  <c r="B207" i="41" s="1"/>
  <c r="B203" i="41"/>
  <c r="AP23" i="33" a="1"/>
  <c r="AP23" i="33" s="1"/>
  <c r="AR23" i="33" s="1"/>
  <c r="BT23" i="33"/>
  <c r="BV23" i="33"/>
  <c r="AZ23" i="33" s="1"/>
  <c r="BN23" i="33"/>
  <c r="AS23" i="33"/>
  <c r="AY23" i="33" a="1"/>
  <c r="AY23" i="33" s="1"/>
  <c r="AX23" i="33" s="1"/>
  <c r="CK23" i="33" a="1"/>
  <c r="CK23" i="33" s="1"/>
  <c r="AO23" i="33"/>
  <c r="C907" i="32" s="1"/>
  <c r="K1755" i="27" s="1"/>
  <c r="E135" i="42"/>
  <c r="AI35" i="34"/>
  <c r="AI23" i="34"/>
  <c r="E174" i="42"/>
  <c r="C47" i="42"/>
  <c r="G91" i="41"/>
  <c r="BA15" i="33"/>
  <c r="E409" i="41"/>
  <c r="BG37" i="33"/>
  <c r="E353" i="41"/>
  <c r="BG33" i="33"/>
  <c r="H711" i="41"/>
  <c r="CI59" i="33"/>
  <c r="BJ51" i="33"/>
  <c r="H605" i="41"/>
  <c r="E377" i="40"/>
  <c r="BX35" i="31"/>
  <c r="C247" i="39"/>
  <c r="E325" i="41"/>
  <c r="BG31" i="33"/>
  <c r="BE46" i="33"/>
  <c r="C522" i="41"/>
  <c r="J717" i="41"/>
  <c r="BL59" i="33"/>
  <c r="G381" i="41"/>
  <c r="BI35" i="33"/>
  <c r="AB84" i="34"/>
  <c r="E194" i="42"/>
  <c r="C439" i="42"/>
  <c r="C233" i="42"/>
  <c r="BK32" i="33"/>
  <c r="I326" i="41"/>
  <c r="CI31" i="33"/>
  <c r="H319" i="41"/>
  <c r="AI56" i="34"/>
  <c r="E802" i="41"/>
  <c r="BG66" i="33"/>
  <c r="Y79" i="34"/>
  <c r="Z79" i="34" s="1"/>
  <c r="BA65" i="33"/>
  <c r="G791" i="41"/>
  <c r="B252" i="40"/>
  <c r="C303" i="40"/>
  <c r="BD30" i="31"/>
  <c r="BH28" i="33"/>
  <c r="F270" i="41"/>
  <c r="H241" i="41"/>
  <c r="BJ25" i="33"/>
  <c r="E269" i="41"/>
  <c r="BG27" i="33"/>
  <c r="G437" i="41"/>
  <c r="BI39" i="33"/>
  <c r="BJ26" i="33"/>
  <c r="H242" i="41"/>
  <c r="I73" i="41"/>
  <c r="BK13" i="33"/>
  <c r="BF51" i="33"/>
  <c r="D605" i="41"/>
  <c r="C159" i="42"/>
  <c r="BM29" i="33"/>
  <c r="K297" i="41"/>
  <c r="AI16" i="34"/>
  <c r="F351" i="42"/>
  <c r="B595" i="41"/>
  <c r="AN51" i="33" a="1"/>
  <c r="AN51" i="33" s="1"/>
  <c r="I51" i="33" s="1"/>
  <c r="B599" i="41" s="1"/>
  <c r="BV51" i="33"/>
  <c r="AZ51" i="33" s="1"/>
  <c r="CK51" i="33" a="1"/>
  <c r="CK51" i="33" s="1"/>
  <c r="AP51" i="33" a="1"/>
  <c r="AP51" i="33" s="1"/>
  <c r="BC51" i="33" a="1"/>
  <c r="BC51" i="33" s="1"/>
  <c r="BT51" i="33"/>
  <c r="AO51" i="33"/>
  <c r="C1487" i="32" s="1"/>
  <c r="AS51" i="33"/>
  <c r="AY51" i="33" a="1"/>
  <c r="AY51" i="33" s="1"/>
  <c r="AV51" i="33" s="1"/>
  <c r="AB47" i="34"/>
  <c r="H325" i="41"/>
  <c r="BJ31" i="33"/>
  <c r="AB70" i="34"/>
  <c r="BA41" i="33"/>
  <c r="G455" i="41"/>
  <c r="C81" i="42"/>
  <c r="Y80" i="34"/>
  <c r="Z80" i="34" s="1"/>
  <c r="AI20" i="34"/>
  <c r="Y38" i="34"/>
  <c r="AA38" i="34" s="1"/>
  <c r="AI72" i="34"/>
  <c r="K291" i="41"/>
  <c r="B55" i="39"/>
  <c r="C492" i="41"/>
  <c r="E120" i="42"/>
  <c r="BE66" i="33"/>
  <c r="C802" i="41"/>
  <c r="E409" i="42"/>
  <c r="K711" i="41"/>
  <c r="C102" i="41"/>
  <c r="BE16" i="33"/>
  <c r="AR21" i="30"/>
  <c r="C194" i="39"/>
  <c r="Y65" i="34"/>
  <c r="AA65" i="34" s="1"/>
  <c r="G353" i="41"/>
  <c r="BI33" i="33"/>
  <c r="G287" i="41"/>
  <c r="BA29" i="33"/>
  <c r="BE40" i="33"/>
  <c r="C438" i="41"/>
  <c r="BE59" i="33"/>
  <c r="C717" i="41"/>
  <c r="BG48" i="33"/>
  <c r="E550" i="41"/>
  <c r="E179" i="42"/>
  <c r="D801" i="41"/>
  <c r="BF65" i="33"/>
  <c r="BX9" i="31"/>
  <c r="E26" i="40"/>
  <c r="BI13" i="30"/>
  <c r="AD13" i="30"/>
  <c r="E76" i="39"/>
  <c r="E82" i="39" s="1"/>
  <c r="C174" i="42"/>
  <c r="C100" i="41"/>
  <c r="C44" i="41"/>
  <c r="AI49" i="34"/>
  <c r="AB80" i="34"/>
  <c r="C604" i="41"/>
  <c r="H438" i="41"/>
  <c r="BJ40" i="33"/>
  <c r="E184" i="39"/>
  <c r="E190" i="39" s="1"/>
  <c r="AD21" i="30"/>
  <c r="BI21" i="30"/>
  <c r="BM35" i="33"/>
  <c r="K381" i="41"/>
  <c r="Y56" i="34"/>
  <c r="AA56" i="34" s="1"/>
  <c r="C76" i="42"/>
  <c r="BI46" i="33"/>
  <c r="G522" i="41"/>
  <c r="C380" i="41"/>
  <c r="C103" i="42"/>
  <c r="AB11" i="34"/>
  <c r="J130" i="41"/>
  <c r="BL18" i="33"/>
  <c r="B525" i="41"/>
  <c r="E107" i="39"/>
  <c r="BL15" i="30"/>
  <c r="K67" i="41"/>
  <c r="I718" i="41"/>
  <c r="BK60" i="33"/>
  <c r="E179" i="41"/>
  <c r="D774" i="41"/>
  <c r="BF64" i="33"/>
  <c r="C128" i="41"/>
  <c r="Y39" i="34"/>
  <c r="Z39" i="34" s="1"/>
  <c r="B298" i="39"/>
  <c r="BL63" i="33"/>
  <c r="J773" i="41"/>
  <c r="E683" i="41"/>
  <c r="BG9" i="33"/>
  <c r="E17" i="41"/>
  <c r="G689" i="41"/>
  <c r="BI57" i="33"/>
  <c r="F493" i="41"/>
  <c r="BH43" i="33"/>
  <c r="AS27" i="33"/>
  <c r="BC27" i="33" a="1"/>
  <c r="BC27" i="33" s="1"/>
  <c r="BV27" i="33"/>
  <c r="AZ27" i="33" s="1"/>
  <c r="CK27" i="33" a="1"/>
  <c r="CK27" i="33" s="1"/>
  <c r="AN27" i="33" a="1"/>
  <c r="AN27" i="33" s="1"/>
  <c r="I27" i="33" s="1"/>
  <c r="B263" i="41" s="1"/>
  <c r="AO27" i="33"/>
  <c r="C987" i="32" s="1"/>
  <c r="AY27" i="33" a="1"/>
  <c r="AY27" i="33" s="1"/>
  <c r="AX27" i="33" s="1"/>
  <c r="B259" i="41"/>
  <c r="AP27" i="33" a="1"/>
  <c r="AP27" i="33" s="1"/>
  <c r="AR27" i="33" s="1"/>
  <c r="BT27" i="33"/>
  <c r="BM91" i="33"/>
  <c r="K829" i="41"/>
  <c r="AO47" i="33"/>
  <c r="C1405" i="32" s="1"/>
  <c r="BV47" i="33"/>
  <c r="AZ47" i="33" s="1"/>
  <c r="AP47" i="33" a="1"/>
  <c r="AP47" i="33" s="1"/>
  <c r="AR47" i="33" s="1"/>
  <c r="AN47" i="33" a="1"/>
  <c r="AN47" i="33" s="1"/>
  <c r="I47" i="33" s="1"/>
  <c r="B543" i="41" s="1"/>
  <c r="AY47" i="33" a="1"/>
  <c r="AY47" i="33" s="1"/>
  <c r="AW47" i="33" s="1"/>
  <c r="BC47" i="33" a="1"/>
  <c r="BC47" i="33" s="1"/>
  <c r="CK47" i="33" a="1"/>
  <c r="CK47" i="33" s="1"/>
  <c r="BT47" i="33"/>
  <c r="AS47" i="33"/>
  <c r="B539" i="41"/>
  <c r="E267" i="42"/>
  <c r="C32" i="42"/>
  <c r="Y58" i="34"/>
  <c r="AA58" i="34" s="1"/>
  <c r="D634" i="41"/>
  <c r="BF54" i="33"/>
  <c r="D453" i="41"/>
  <c r="CJ41" i="33"/>
  <c r="AM41" i="33"/>
  <c r="BN41" i="33" s="1"/>
  <c r="BR41" i="33" a="1"/>
  <c r="BR41" i="33" s="1"/>
  <c r="C744" i="41"/>
  <c r="AR28" i="30"/>
  <c r="C276" i="39"/>
  <c r="BR27" i="33" a="1"/>
  <c r="BR27" i="33" s="1"/>
  <c r="D257" i="41"/>
  <c r="CJ27" i="33"/>
  <c r="AM27" i="33"/>
  <c r="BN27" i="33" s="1"/>
  <c r="AB64" i="34"/>
  <c r="AB19" i="34"/>
  <c r="AB65" i="34"/>
  <c r="BH40" i="33"/>
  <c r="F438" i="41"/>
  <c r="B35" i="41"/>
  <c r="AS11" i="33"/>
  <c r="BC11" i="33" a="1"/>
  <c r="BC11" i="33" s="1"/>
  <c r="BV11" i="33"/>
  <c r="AZ11" i="33" s="1"/>
  <c r="AP11" i="33" a="1"/>
  <c r="AP11" i="33" s="1"/>
  <c r="AR11" i="33" s="1"/>
  <c r="CK11" i="33" a="1"/>
  <c r="CK11" i="33" s="1"/>
  <c r="AO11" i="33"/>
  <c r="C689" i="32" s="1"/>
  <c r="AN11" i="33" a="1"/>
  <c r="AN11" i="33" s="1"/>
  <c r="I11" i="33" s="1"/>
  <c r="B39" i="41" s="1"/>
  <c r="AY11" i="33" a="1"/>
  <c r="AY11" i="33" s="1"/>
  <c r="BT11" i="33"/>
  <c r="B217" i="40"/>
  <c r="E91" i="42"/>
  <c r="BL47" i="33"/>
  <c r="J549" i="41"/>
  <c r="BK39" i="33"/>
  <c r="I437" i="41"/>
  <c r="G801" i="41"/>
  <c r="BI65" i="33"/>
  <c r="I102" i="41"/>
  <c r="BK16" i="33"/>
  <c r="E53" i="40"/>
  <c r="BX11" i="31"/>
  <c r="AB50" i="34"/>
  <c r="BI51" i="33"/>
  <c r="G605" i="41"/>
  <c r="D621" i="41"/>
  <c r="CJ53" i="33"/>
  <c r="AM53" i="33"/>
  <c r="BN53" i="33" s="1"/>
  <c r="BR53" i="33" a="1"/>
  <c r="BR53" i="33" s="1"/>
  <c r="G259" i="41"/>
  <c r="BA27" i="33"/>
  <c r="C27" i="42"/>
  <c r="H633" i="41"/>
  <c r="BJ53" i="33"/>
  <c r="K19" i="41"/>
  <c r="CE9" i="33"/>
  <c r="C411" i="40"/>
  <c r="BD38" i="31"/>
  <c r="E169" i="42"/>
  <c r="F717" i="41"/>
  <c r="BH59" i="33"/>
  <c r="C301" i="39"/>
  <c r="C316" i="42"/>
  <c r="E164" i="42"/>
  <c r="F155" i="42"/>
  <c r="AI12" i="34"/>
  <c r="BG44" i="33"/>
  <c r="E494" i="41"/>
  <c r="C311" i="42"/>
  <c r="F774" i="41"/>
  <c r="BH64" i="33"/>
  <c r="AI44" i="34"/>
  <c r="B553" i="41"/>
  <c r="BG30" i="33"/>
  <c r="E298" i="41"/>
  <c r="B325" i="40"/>
  <c r="H662" i="41"/>
  <c r="BJ56" i="33"/>
  <c r="H773" i="41"/>
  <c r="BJ63" i="33"/>
  <c r="C716" i="41"/>
  <c r="K627" i="41"/>
  <c r="CC9" i="33"/>
  <c r="I19" i="41"/>
  <c r="K123" i="41"/>
  <c r="Y16" i="34"/>
  <c r="Z16" i="34" s="1"/>
  <c r="C349" i="42"/>
  <c r="B302" i="42"/>
  <c r="F304" i="42" s="1"/>
  <c r="BC55" i="33" a="1"/>
  <c r="BC55" i="33" s="1"/>
  <c r="BN55" i="33"/>
  <c r="AY55" i="33" a="1"/>
  <c r="AY55" i="33" s="1"/>
  <c r="AV55" i="33" s="1"/>
  <c r="B651" i="41"/>
  <c r="CK55" i="33" a="1"/>
  <c r="CK55" i="33" s="1"/>
  <c r="AO55" i="33"/>
  <c r="C1551" i="32" s="1"/>
  <c r="BT55" i="33"/>
  <c r="BV55" i="33"/>
  <c r="AZ55" i="33" s="1"/>
  <c r="AN55" i="33" a="1"/>
  <c r="AN55" i="33" s="1"/>
  <c r="I55" i="33" s="1"/>
  <c r="B655" i="41" s="1"/>
  <c r="AP55" i="33" a="1"/>
  <c r="AP55" i="33" s="1"/>
  <c r="AR55" i="33" s="1"/>
  <c r="AS55" i="33"/>
  <c r="BE33" i="33"/>
  <c r="C353" i="41"/>
  <c r="B36" i="39"/>
  <c r="C248" i="40"/>
  <c r="BD25" i="31"/>
  <c r="AI9" i="34"/>
  <c r="F8" i="42"/>
  <c r="B413" i="41"/>
  <c r="I186" i="41"/>
  <c r="BK22" i="33"/>
  <c r="H297" i="41"/>
  <c r="BJ29" i="33"/>
  <c r="AP25" i="33" a="1"/>
  <c r="AP25" i="33" s="1"/>
  <c r="AR25" i="33" s="1"/>
  <c r="CK25" i="33" a="1"/>
  <c r="CK25" i="33" s="1"/>
  <c r="BV25" i="33"/>
  <c r="AZ25" i="33" s="1"/>
  <c r="AO25" i="33"/>
  <c r="C943" i="32" s="1"/>
  <c r="AY25" i="33" a="1"/>
  <c r="AY25" i="33" s="1"/>
  <c r="AX25" i="33" s="1"/>
  <c r="B231" i="41"/>
  <c r="AS25" i="33"/>
  <c r="BC25" i="33" a="1"/>
  <c r="BC25" i="33" s="1"/>
  <c r="AN25" i="33" a="1"/>
  <c r="AN25" i="33" s="1"/>
  <c r="I25" i="33" s="1"/>
  <c r="B235" i="41" s="1"/>
  <c r="BT25" i="33"/>
  <c r="BL9" i="30"/>
  <c r="E26" i="39"/>
  <c r="E269" i="39"/>
  <c r="BL27" i="30"/>
  <c r="Y10" i="34"/>
  <c r="AA10" i="34" s="1"/>
  <c r="C55" i="42"/>
  <c r="CI54" i="33"/>
  <c r="E629" i="41"/>
  <c r="C410" i="40"/>
  <c r="BD37" i="31"/>
  <c r="BL16" i="33"/>
  <c r="J102" i="41"/>
  <c r="C87" i="39"/>
  <c r="AR14" i="30"/>
  <c r="E292" i="42"/>
  <c r="AB72" i="34"/>
  <c r="BF45" i="33"/>
  <c r="D521" i="41"/>
  <c r="H130" i="41"/>
  <c r="BJ18" i="33"/>
  <c r="H409" i="41"/>
  <c r="BJ37" i="33"/>
  <c r="E578" i="41"/>
  <c r="BG50" i="33"/>
  <c r="AI68" i="34"/>
  <c r="AB73" i="34"/>
  <c r="BE43" i="33"/>
  <c r="C493" i="41"/>
  <c r="G325" i="41"/>
  <c r="BI31" i="33"/>
  <c r="BH31" i="33"/>
  <c r="F325" i="41"/>
  <c r="BH91" i="33"/>
  <c r="F829" i="41"/>
  <c r="B63" i="39"/>
  <c r="CI13" i="33"/>
  <c r="H67" i="41"/>
  <c r="B489" i="41"/>
  <c r="C324" i="41"/>
  <c r="BJ50" i="33"/>
  <c r="H578" i="41"/>
  <c r="Y41" i="34"/>
  <c r="AA41" i="34" s="1"/>
  <c r="B741" i="41"/>
  <c r="BM54" i="33"/>
  <c r="K634" i="41"/>
  <c r="E215" i="40"/>
  <c r="BX23" i="31"/>
  <c r="AB45" i="34"/>
  <c r="E293" i="41"/>
  <c r="CI30" i="33"/>
  <c r="AB37" i="34"/>
  <c r="Y25" i="34"/>
  <c r="Z25" i="34" s="1"/>
  <c r="G73" i="41"/>
  <c r="BI13" i="33"/>
  <c r="AB44" i="34"/>
  <c r="K214" i="41"/>
  <c r="BM24" i="33"/>
  <c r="AR12" i="30"/>
  <c r="C60" i="39"/>
  <c r="C214" i="41"/>
  <c r="BE24" i="33"/>
  <c r="C167" i="39"/>
  <c r="AR19" i="30"/>
  <c r="AI30" i="34"/>
  <c r="Y64" i="34"/>
  <c r="Z64" i="34" s="1"/>
  <c r="BY27" i="31" a="1"/>
  <c r="BY27" i="31" s="1"/>
  <c r="BB27" i="31" a="1"/>
  <c r="BB27" i="31" s="1"/>
  <c r="AB27" i="31" a="1"/>
  <c r="AB27" i="31" s="1"/>
  <c r="H27" i="31" s="1"/>
  <c r="B269" i="40" s="1"/>
  <c r="B265" i="40"/>
  <c r="E271" i="40" s="1"/>
  <c r="AC27" i="31"/>
  <c r="C512" i="32" s="1"/>
  <c r="K1102" i="27" s="1"/>
  <c r="BU27" i="31"/>
  <c r="BP27" i="31"/>
  <c r="K487" i="41"/>
  <c r="E419" i="42"/>
  <c r="C140" i="39"/>
  <c r="AR17" i="30"/>
  <c r="CI29" i="33"/>
  <c r="H291" i="41"/>
  <c r="BY25" i="31" a="1"/>
  <c r="BY25" i="31" s="1"/>
  <c r="BU25" i="31"/>
  <c r="B238" i="40"/>
  <c r="E244" i="40" s="1"/>
  <c r="AC25" i="31"/>
  <c r="C480" i="32" s="1"/>
  <c r="K1086" i="27" s="1"/>
  <c r="AB25" i="31" a="1"/>
  <c r="AB25" i="31" s="1"/>
  <c r="H25" i="31" s="1"/>
  <c r="B242" i="40" s="1"/>
  <c r="BP25" i="31"/>
  <c r="BR25" i="31" s="1"/>
  <c r="BB25" i="31" a="1"/>
  <c r="BB25" i="31" s="1"/>
  <c r="E319" i="39"/>
  <c r="E325" i="39" s="1"/>
  <c r="AD31" i="30"/>
  <c r="BI31" i="30"/>
  <c r="AB83" i="34"/>
  <c r="E352" i="39"/>
  <c r="AI32" i="34"/>
  <c r="E145" i="42"/>
  <c r="C282" i="42"/>
  <c r="BA23" i="33"/>
  <c r="G203" i="41"/>
  <c r="Y78" i="34"/>
  <c r="Z78" i="34" s="1"/>
  <c r="Q2" i="28"/>
  <c r="C375" i="42"/>
  <c r="C298" i="41"/>
  <c r="BE30" i="33"/>
  <c r="G651" i="41"/>
  <c r="BA55" i="33"/>
  <c r="AI88" i="34"/>
  <c r="C193" i="40"/>
  <c r="C157" i="41"/>
  <c r="BE19" i="33"/>
  <c r="C212" i="41"/>
  <c r="E242" i="39"/>
  <c r="BL25" i="30"/>
  <c r="Y55" i="34"/>
  <c r="I521" i="41"/>
  <c r="BK45" i="33"/>
  <c r="BF12" i="33"/>
  <c r="D46" i="41"/>
  <c r="BJ43" i="33"/>
  <c r="H493" i="41"/>
  <c r="BH20" i="33"/>
  <c r="F158" i="41"/>
  <c r="G623" i="41"/>
  <c r="BA53" i="33"/>
  <c r="G465" i="41"/>
  <c r="BI41" i="33"/>
  <c r="B333" i="39"/>
  <c r="C243" i="42"/>
  <c r="BH10" i="33"/>
  <c r="F18" i="41"/>
  <c r="BH52" i="33"/>
  <c r="F606" i="41"/>
  <c r="E215" i="39"/>
  <c r="BL23" i="30"/>
  <c r="C242" i="41"/>
  <c r="BE26" i="33"/>
  <c r="BA35" i="33"/>
  <c r="G371" i="41"/>
  <c r="D717" i="41"/>
  <c r="BF59" i="33"/>
  <c r="BF42" i="33"/>
  <c r="D466" i="41"/>
  <c r="F213" i="41"/>
  <c r="BH23" i="33"/>
  <c r="BM41" i="33"/>
  <c r="K465" i="41"/>
  <c r="B325" i="39"/>
  <c r="C71" i="42"/>
  <c r="E741" i="41"/>
  <c r="CI62" i="33"/>
  <c r="C463" i="42"/>
  <c r="C398" i="42"/>
  <c r="Y17" i="34"/>
  <c r="Z17" i="34" s="1"/>
  <c r="J185" i="41"/>
  <c r="BL21" i="33"/>
  <c r="K74" i="41"/>
  <c r="BM14" i="33"/>
  <c r="J129" i="41"/>
  <c r="BL17" i="33"/>
  <c r="J522" i="41"/>
  <c r="BL46" i="33"/>
  <c r="AE9" i="30" a="1"/>
  <c r="AE9" i="30" s="1"/>
  <c r="B22" i="39"/>
  <c r="E28" i="39" s="1"/>
  <c r="AB9" i="30" a="1"/>
  <c r="AB9" i="30" s="1"/>
  <c r="H9" i="30" s="1"/>
  <c r="B26" i="39" s="1"/>
  <c r="BD9" i="30"/>
  <c r="BF9" i="30" s="1"/>
  <c r="AP9" i="30" a="1"/>
  <c r="AP9" i="30" s="1"/>
  <c r="BM9" i="30" a="1"/>
  <c r="BM9" i="30" s="1"/>
  <c r="BI9" i="30"/>
  <c r="AD9" i="30"/>
  <c r="C275" i="39"/>
  <c r="AR27" i="30"/>
  <c r="CJ57" i="33"/>
  <c r="AM57" i="33"/>
  <c r="BN57" i="33" s="1"/>
  <c r="BR57" i="33" a="1"/>
  <c r="BR57" i="33" s="1"/>
  <c r="D677" i="41"/>
  <c r="B385" i="41"/>
  <c r="J214" i="41"/>
  <c r="BL24" i="33"/>
  <c r="G354" i="41"/>
  <c r="BI34" i="33"/>
  <c r="BL64" i="33"/>
  <c r="J774" i="41"/>
  <c r="BJ28" i="33"/>
  <c r="H270" i="41"/>
  <c r="AB67" i="34"/>
  <c r="H46" i="41"/>
  <c r="BJ12" i="33"/>
  <c r="AB24" i="34"/>
  <c r="B441" i="41"/>
  <c r="BL35" i="30"/>
  <c r="E377" i="39"/>
  <c r="G830" i="41"/>
  <c r="BI92" i="33"/>
  <c r="C458" i="42"/>
  <c r="E739" i="41"/>
  <c r="H599" i="41"/>
  <c r="CI51" i="33"/>
  <c r="G298" i="41"/>
  <c r="BI30" i="33"/>
  <c r="I493" i="41"/>
  <c r="BK43" i="33"/>
  <c r="H263" i="41"/>
  <c r="CI27" i="33"/>
  <c r="E605" i="41"/>
  <c r="BG51" i="33"/>
  <c r="C66" i="42"/>
  <c r="C248" i="39"/>
  <c r="AR25" i="30"/>
  <c r="BI20" i="33"/>
  <c r="G158" i="41"/>
  <c r="BI12" i="33"/>
  <c r="G46" i="41"/>
  <c r="AB81" i="34"/>
  <c r="AB86" i="34"/>
  <c r="AR16" i="30"/>
  <c r="C114" i="39"/>
  <c r="G707" i="41"/>
  <c r="P1611" i="27"/>
  <c r="M1611" i="27"/>
  <c r="A1611" i="27" s="1"/>
  <c r="I717" i="41"/>
  <c r="BK59" i="33"/>
  <c r="C688" i="41"/>
  <c r="E263" i="41"/>
  <c r="Y72" i="34"/>
  <c r="Z72" i="34" s="1"/>
  <c r="K354" i="41"/>
  <c r="BM34" i="33"/>
  <c r="K543" i="41"/>
  <c r="E11" i="41"/>
  <c r="BH39" i="33"/>
  <c r="F437" i="41"/>
  <c r="AB71" i="34"/>
  <c r="B271" i="39"/>
  <c r="B637" i="41"/>
  <c r="BL22" i="33"/>
  <c r="J186" i="41"/>
  <c r="BM11" i="33"/>
  <c r="K45" i="41"/>
  <c r="BI26" i="33"/>
  <c r="G242" i="41"/>
  <c r="BE18" i="33"/>
  <c r="C130" i="41"/>
  <c r="H571" i="41"/>
  <c r="CI49" i="33"/>
  <c r="Y76" i="34"/>
  <c r="AA76" i="34" s="1"/>
  <c r="F745" i="41"/>
  <c r="BH61" i="33"/>
  <c r="E336" i="42"/>
  <c r="BG52" i="33"/>
  <c r="E606" i="41"/>
  <c r="BF57" i="33"/>
  <c r="D689" i="41"/>
  <c r="BL14" i="33"/>
  <c r="J74" i="41"/>
  <c r="K823" i="41"/>
  <c r="AI64" i="34"/>
  <c r="E661" i="41"/>
  <c r="BG55" i="33"/>
  <c r="E360" i="42"/>
  <c r="B601" i="41"/>
  <c r="H354" i="41"/>
  <c r="BJ34" i="33"/>
  <c r="BK38" i="33"/>
  <c r="I410" i="41"/>
  <c r="B244" i="40"/>
  <c r="BE65" i="33"/>
  <c r="C801" i="41"/>
  <c r="E228" i="42"/>
  <c r="Y68" i="34"/>
  <c r="E380" i="42"/>
  <c r="BK15" i="33"/>
  <c r="I101" i="41"/>
  <c r="BM32" i="33"/>
  <c r="K326" i="41"/>
  <c r="BL37" i="33"/>
  <c r="J409" i="41"/>
  <c r="C434" i="42"/>
  <c r="G382" i="41"/>
  <c r="BI36" i="33"/>
  <c r="E74" i="41"/>
  <c r="BG14" i="33"/>
  <c r="AB31" i="34"/>
  <c r="E238" i="42"/>
  <c r="H185" i="41"/>
  <c r="BJ21" i="33"/>
  <c r="AI61" i="34"/>
  <c r="F521" i="41"/>
  <c r="BH45" i="33"/>
  <c r="B769" i="41"/>
  <c r="BJ61" i="33"/>
  <c r="H745" i="41"/>
  <c r="BR65" i="33" a="1"/>
  <c r="BR65" i="33" s="1"/>
  <c r="CJ65" i="33"/>
  <c r="AM65" i="33"/>
  <c r="BN65" i="33" s="1"/>
  <c r="D789" i="41"/>
  <c r="E717" i="41"/>
  <c r="BG59" i="33"/>
  <c r="F129" i="41"/>
  <c r="BH17" i="33"/>
  <c r="D746" i="41"/>
  <c r="BF62" i="33"/>
  <c r="J690" i="41"/>
  <c r="BL58" i="33"/>
  <c r="E237" i="41"/>
  <c r="CI26" i="33"/>
  <c r="E97" i="41"/>
  <c r="CI16" i="33"/>
  <c r="BD16" i="31"/>
  <c r="C114" i="40"/>
  <c r="BM66" i="33"/>
  <c r="K802" i="41"/>
  <c r="C257" i="42"/>
  <c r="I45" i="41"/>
  <c r="BK11" i="33"/>
  <c r="K717" i="41"/>
  <c r="BM59" i="33"/>
  <c r="E404" i="42"/>
  <c r="C336" i="42"/>
  <c r="E107" i="40"/>
  <c r="BX15" i="31"/>
  <c r="C228" i="42"/>
  <c r="AI86" i="34"/>
  <c r="H39" i="41"/>
  <c r="CI11" i="33"/>
  <c r="BB33" i="31" a="1"/>
  <c r="BB33" i="31" s="1"/>
  <c r="BY33" i="31" a="1"/>
  <c r="BY33" i="31" s="1"/>
  <c r="B346" i="40"/>
  <c r="E352" i="40" s="1"/>
  <c r="BU33" i="31"/>
  <c r="BP33" i="31"/>
  <c r="BQ33" i="31" s="1"/>
  <c r="AC33" i="31"/>
  <c r="C562" i="32" s="1"/>
  <c r="K1127" i="27" s="1"/>
  <c r="AB33" i="31" a="1"/>
  <c r="AB33" i="31" s="1"/>
  <c r="H33" i="31" s="1"/>
  <c r="B350" i="40" s="1"/>
  <c r="BK48" i="33"/>
  <c r="I550" i="41"/>
  <c r="B253" i="42"/>
  <c r="F255" i="42" s="1"/>
  <c r="AI63" i="34"/>
  <c r="D437" i="41"/>
  <c r="BF39" i="33"/>
  <c r="I830" i="41"/>
  <c r="BK92" i="33"/>
  <c r="AI76" i="34"/>
  <c r="AB60" i="34"/>
  <c r="CI47" i="33"/>
  <c r="H543" i="41"/>
  <c r="C74" i="41"/>
  <c r="BE14" i="33"/>
  <c r="Y14" i="34"/>
  <c r="AA14" i="34" s="1"/>
  <c r="C251" i="42"/>
  <c r="AB35" i="34"/>
  <c r="B125" i="41"/>
  <c r="BI23" i="33"/>
  <c r="G213" i="41"/>
  <c r="BM16" i="33"/>
  <c r="K102" i="41"/>
  <c r="AB49" i="34"/>
  <c r="CJ63" i="33"/>
  <c r="AM63" i="33"/>
  <c r="BN63" i="33" s="1"/>
  <c r="D761" i="41"/>
  <c r="BR63" i="33" a="1"/>
  <c r="BR63" i="33" s="1"/>
  <c r="J494" i="41"/>
  <c r="BL44" i="33"/>
  <c r="C277" i="42"/>
  <c r="BK12" i="33"/>
  <c r="I46" i="41"/>
  <c r="J550" i="41"/>
  <c r="BL48" i="33"/>
  <c r="AB46" i="34"/>
  <c r="CJ33" i="33"/>
  <c r="BR33" i="33" a="1"/>
  <c r="BR33" i="33" s="1"/>
  <c r="AM33" i="33"/>
  <c r="BN33" i="33" s="1"/>
  <c r="D341" i="41"/>
  <c r="BD27" i="31"/>
  <c r="C275" i="40"/>
  <c r="BM58" i="33"/>
  <c r="K690" i="41"/>
  <c r="F45" i="41"/>
  <c r="BH11" i="33"/>
  <c r="AM45" i="33"/>
  <c r="BN45" i="33" s="1"/>
  <c r="BR45" i="33" a="1"/>
  <c r="BR45" i="33" s="1"/>
  <c r="CJ45" i="33"/>
  <c r="D509" i="41"/>
  <c r="B217" i="39"/>
  <c r="G231" i="41"/>
  <c r="BA25" i="33"/>
  <c r="AI57" i="34"/>
  <c r="BJ38" i="33"/>
  <c r="H410" i="41"/>
  <c r="BD12" i="31"/>
  <c r="C60" i="40"/>
  <c r="B21" i="41"/>
  <c r="D130" i="41"/>
  <c r="BF18" i="33"/>
  <c r="BL27" i="33"/>
  <c r="J269" i="41"/>
  <c r="E685" i="41"/>
  <c r="CI58" i="33"/>
  <c r="C247" i="40"/>
  <c r="E487" i="41"/>
  <c r="AI24" i="34"/>
  <c r="BM22" i="33"/>
  <c r="K186" i="41"/>
  <c r="B713" i="41"/>
  <c r="J101" i="41"/>
  <c r="BL15" i="33"/>
  <c r="AB52" i="34"/>
  <c r="E316" i="42"/>
  <c r="CI39" i="33"/>
  <c r="H431" i="41"/>
  <c r="CK15" i="33" a="1"/>
  <c r="CK15" i="33" s="1"/>
  <c r="AN15" i="33" a="1"/>
  <c r="AN15" i="33" s="1"/>
  <c r="I15" i="33" s="1"/>
  <c r="B95" i="41" s="1"/>
  <c r="BC15" i="33" a="1"/>
  <c r="BC15" i="33" s="1"/>
  <c r="AP15" i="33" a="1"/>
  <c r="AP15" i="33" s="1"/>
  <c r="AR15" i="33" s="1"/>
  <c r="AY15" i="33" a="1"/>
  <c r="AY15" i="33" s="1"/>
  <c r="AV15" i="33" s="1"/>
  <c r="B91" i="41"/>
  <c r="AO15" i="33"/>
  <c r="C753" i="32" s="1"/>
  <c r="K1678" i="27" s="1"/>
  <c r="BV15" i="33"/>
  <c r="AZ15" i="33" s="1"/>
  <c r="AS15" i="33"/>
  <c r="BT15" i="33"/>
  <c r="B693" i="41"/>
  <c r="B82" i="39"/>
  <c r="BE31" i="33"/>
  <c r="C325" i="41"/>
  <c r="E431" i="41"/>
  <c r="BB31" i="31" a="1"/>
  <c r="BB31" i="31" s="1"/>
  <c r="BP31" i="31"/>
  <c r="BQ31" i="31" s="1"/>
  <c r="AB31" i="31" a="1"/>
  <c r="AB31" i="31" s="1"/>
  <c r="H31" i="31" s="1"/>
  <c r="B323" i="40" s="1"/>
  <c r="BY31" i="31" a="1"/>
  <c r="BY31" i="31" s="1"/>
  <c r="B319" i="40"/>
  <c r="E325" i="40" s="1"/>
  <c r="AC31" i="31"/>
  <c r="C546" i="32" s="1"/>
  <c r="K1119" i="27" s="1"/>
  <c r="BU31" i="31"/>
  <c r="BL61" i="33"/>
  <c r="J745" i="41"/>
  <c r="G297" i="41"/>
  <c r="BI29" i="33"/>
  <c r="BY9" i="31" a="1"/>
  <c r="BY9" i="31" s="1"/>
  <c r="AC9" i="31"/>
  <c r="C330" i="32" s="1"/>
  <c r="K1011" i="27" s="1"/>
  <c r="B22" i="40"/>
  <c r="E28" i="40" s="1"/>
  <c r="BP9" i="31"/>
  <c r="BR9" i="31" s="1"/>
  <c r="BB9" i="31" a="1"/>
  <c r="BB9" i="31" s="1"/>
  <c r="AB9" i="31" a="1"/>
  <c r="AB9" i="31" s="1"/>
  <c r="H9" i="31" s="1"/>
  <c r="B26" i="40" s="1"/>
  <c r="BU9" i="31"/>
  <c r="D550" i="41"/>
  <c r="BF48" i="33"/>
  <c r="B301" i="41"/>
  <c r="AO45" i="33"/>
  <c r="C1345" i="32" s="1"/>
  <c r="BV45" i="33"/>
  <c r="AZ45" i="33" s="1"/>
  <c r="AP45" i="33" a="1"/>
  <c r="AP45" i="33" s="1"/>
  <c r="AQ45" i="33" s="1"/>
  <c r="BC45" i="33" a="1"/>
  <c r="BC45" i="33" s="1"/>
  <c r="AY45" i="33" a="1"/>
  <c r="AY45" i="33" s="1"/>
  <c r="AW45" i="33" s="1"/>
  <c r="B511" i="41"/>
  <c r="CK45" i="33" a="1"/>
  <c r="CK45" i="33" s="1"/>
  <c r="BT45" i="33"/>
  <c r="AN45" i="33" a="1"/>
  <c r="AN45" i="33" s="1"/>
  <c r="I45" i="33" s="1"/>
  <c r="B515" i="41" s="1"/>
  <c r="AS45" i="33"/>
  <c r="E110" i="42"/>
  <c r="B209" i="41"/>
  <c r="K745" i="41"/>
  <c r="BM61" i="33"/>
  <c r="E795" i="41"/>
  <c r="AI52" i="34"/>
  <c r="BJ48" i="33"/>
  <c r="H550" i="41"/>
  <c r="D297" i="41"/>
  <c r="BF29" i="33"/>
  <c r="BD13" i="31"/>
  <c r="C86" i="40"/>
  <c r="K11" i="41"/>
  <c r="E213" i="42"/>
  <c r="H95" i="41"/>
  <c r="CI15" i="33"/>
  <c r="BD11" i="31"/>
  <c r="C59" i="40"/>
  <c r="C129" i="41"/>
  <c r="BE17" i="33"/>
  <c r="Y74" i="34"/>
  <c r="AA74" i="34" s="1"/>
  <c r="E238" i="39"/>
  <c r="E244" i="39" s="1"/>
  <c r="AD25" i="30"/>
  <c r="BI25" i="30"/>
  <c r="Y15" i="34"/>
  <c r="AA15" i="34" s="1"/>
  <c r="C300" i="42"/>
  <c r="B321" i="41"/>
  <c r="J325" i="41"/>
  <c r="BL31" i="33"/>
  <c r="Q1209" i="32"/>
  <c r="BA57" i="33"/>
  <c r="BA17" i="33"/>
  <c r="BA19" i="33"/>
  <c r="BA47" i="33"/>
  <c r="BA59" i="33"/>
  <c r="I3925" i="27"/>
  <c r="U3033" i="27"/>
  <c r="U2997" i="27"/>
  <c r="U3032" i="27"/>
  <c r="U2984" i="27"/>
  <c r="U3041" i="27"/>
  <c r="U3035" i="27"/>
  <c r="U2999" i="27"/>
  <c r="U2985" i="27"/>
  <c r="U3005" i="27"/>
  <c r="U3022" i="27"/>
  <c r="U2988" i="27"/>
  <c r="U3003" i="27"/>
  <c r="U3013" i="27"/>
  <c r="U3046" i="27"/>
  <c r="U3024" i="27"/>
  <c r="U3016" i="27"/>
  <c r="U3029" i="27"/>
  <c r="U3015" i="27"/>
  <c r="U3006" i="27"/>
  <c r="U2979" i="27"/>
  <c r="U3055" i="27"/>
  <c r="U2982" i="27"/>
  <c r="U2992" i="27"/>
  <c r="U2996" i="27"/>
  <c r="U3038" i="27"/>
  <c r="U3020" i="27"/>
  <c r="U3018" i="27"/>
  <c r="X510" i="27"/>
  <c r="Y509" i="27"/>
  <c r="X508" i="27"/>
  <c r="W503" i="27"/>
  <c r="Y508" i="27"/>
  <c r="X520" i="27"/>
  <c r="W516" i="27"/>
  <c r="Y502" i="27"/>
  <c r="W513" i="27"/>
  <c r="X515" i="27"/>
  <c r="Y513" i="27"/>
  <c r="Y504" i="27"/>
  <c r="Z502" i="27"/>
  <c r="X494" i="27"/>
  <c r="Y494" i="27"/>
  <c r="Z496" i="27"/>
  <c r="Y507" i="27"/>
  <c r="W502" i="27"/>
  <c r="W500" i="27"/>
  <c r="W501" i="27"/>
  <c r="W505" i="27"/>
  <c r="Z522" i="27"/>
  <c r="Y518" i="27"/>
  <c r="X502" i="27"/>
  <c r="Z511" i="27"/>
  <c r="X518" i="27"/>
  <c r="Y521" i="27"/>
  <c r="Z518" i="27"/>
  <c r="Z513" i="27"/>
  <c r="Z498" i="27"/>
  <c r="Z521" i="27"/>
  <c r="Z510" i="27"/>
  <c r="X504" i="27"/>
  <c r="Y493" i="27"/>
  <c r="X493" i="27"/>
  <c r="Z506" i="27"/>
  <c r="Z512" i="27"/>
  <c r="Y498" i="27"/>
  <c r="Z495" i="27"/>
  <c r="S253" i="27" a="1"/>
  <c r="R247" i="27" a="1"/>
  <c r="S247" i="27" a="1"/>
  <c r="R245" i="27" a="1"/>
  <c r="R248" i="27" a="1"/>
  <c r="S254" i="27" a="1"/>
  <c r="R243" i="27" a="1"/>
  <c r="R250" i="27" a="1"/>
  <c r="R252" i="27" a="1"/>
  <c r="S257" i="27" a="1"/>
  <c r="AD31" i="27"/>
  <c r="AD30" i="27"/>
  <c r="AD29" i="27"/>
  <c r="AE20" i="27"/>
  <c r="AD19" i="27"/>
  <c r="AD26" i="27"/>
  <c r="G326" i="32"/>
  <c r="G987" i="32"/>
  <c r="G1079" i="32"/>
  <c r="G837" i="32"/>
  <c r="G354" i="32"/>
  <c r="G488" i="32"/>
  <c r="G258" i="32"/>
  <c r="G729" i="32"/>
  <c r="G134" i="32"/>
  <c r="G564" i="32"/>
  <c r="G1145" i="32"/>
  <c r="G120" i="32"/>
  <c r="G132" i="32"/>
  <c r="G196" i="32"/>
  <c r="G238" i="32"/>
  <c r="G907" i="32"/>
  <c r="G719" i="32"/>
  <c r="G671" i="32"/>
  <c r="G480" i="32"/>
  <c r="E15" i="31"/>
  <c r="G72" i="32"/>
  <c r="G623" i="32"/>
  <c r="G853" i="32"/>
  <c r="G180" i="32"/>
  <c r="G418" i="32"/>
  <c r="G755" i="32"/>
  <c r="G596" i="32"/>
  <c r="G304" i="32"/>
  <c r="G230" i="32"/>
  <c r="G346" i="32"/>
  <c r="G1055" i="32"/>
  <c r="E27" i="30"/>
  <c r="I513" i="27"/>
  <c r="G492" i="32"/>
  <c r="G260" i="32"/>
  <c r="G590" i="32"/>
  <c r="G673" i="32"/>
  <c r="G807" i="32"/>
  <c r="G989" i="32"/>
  <c r="G548" i="32"/>
  <c r="E21" i="31"/>
  <c r="G665" i="32"/>
  <c r="G697" i="32"/>
  <c r="G843" i="32"/>
  <c r="H3925" i="27"/>
  <c r="U3034" i="27"/>
  <c r="U2993" i="27"/>
  <c r="U3044" i="27"/>
  <c r="U3012" i="27"/>
  <c r="U3027" i="27"/>
  <c r="U3000" i="27"/>
  <c r="U3001" i="27"/>
  <c r="U2987" i="27"/>
  <c r="U3051" i="27"/>
  <c r="U2990" i="27"/>
  <c r="U2977" i="27"/>
  <c r="U3025" i="27"/>
  <c r="U3009" i="27"/>
  <c r="U3023" i="27"/>
  <c r="U3040" i="27"/>
  <c r="U3011" i="27"/>
  <c r="U3054" i="27"/>
  <c r="U3043" i="27"/>
  <c r="U3050" i="27"/>
  <c r="U3047" i="27"/>
  <c r="U3019" i="27"/>
  <c r="U2991" i="27"/>
  <c r="U2980" i="27"/>
  <c r="U3030" i="27"/>
  <c r="U3037" i="27"/>
  <c r="U2978" i="27"/>
  <c r="Z503" i="27"/>
  <c r="Y515" i="27"/>
  <c r="W504" i="27"/>
  <c r="X513" i="27"/>
  <c r="X497" i="27"/>
  <c r="Z516" i="27"/>
  <c r="Z500" i="27"/>
  <c r="X514" i="27"/>
  <c r="Y522" i="27"/>
  <c r="Z501" i="27"/>
  <c r="X507" i="27"/>
  <c r="W522" i="27"/>
  <c r="W518" i="27"/>
  <c r="X495" i="27"/>
  <c r="Y496" i="27"/>
  <c r="W511" i="27"/>
  <c r="Z509" i="27"/>
  <c r="Z497" i="27"/>
  <c r="Y499" i="27"/>
  <c r="Y514" i="27"/>
  <c r="Y503" i="27"/>
  <c r="Z519" i="27"/>
  <c r="X506" i="27"/>
  <c r="Y517" i="27"/>
  <c r="Z520" i="27"/>
  <c r="X509" i="27"/>
  <c r="Y505" i="27"/>
  <c r="W507" i="27"/>
  <c r="W508" i="27"/>
  <c r="Z507" i="27"/>
  <c r="Z508" i="27"/>
  <c r="W521" i="27"/>
  <c r="W519" i="27"/>
  <c r="Y512" i="27"/>
  <c r="X516" i="27"/>
  <c r="W506" i="27"/>
  <c r="W498" i="27"/>
  <c r="W510" i="27"/>
  <c r="X499" i="27"/>
  <c r="Y497" i="27"/>
  <c r="R253" i="27" a="1"/>
  <c r="R249" i="27" a="1"/>
  <c r="S243" i="27" a="1"/>
  <c r="R251" i="27" a="1"/>
  <c r="S256" i="27" a="1"/>
  <c r="R246" i="27" a="1"/>
  <c r="S255" i="27" a="1"/>
  <c r="R257" i="27" a="1"/>
  <c r="S248" i="27" a="1"/>
  <c r="R244" i="27" a="1"/>
  <c r="AD25" i="27"/>
  <c r="AD28" i="27"/>
  <c r="AD20" i="27"/>
  <c r="AD24" i="27"/>
  <c r="AD27" i="27"/>
  <c r="M20" i="27" a="1"/>
  <c r="G827" i="32"/>
  <c r="G348" i="32"/>
  <c r="G769" i="32"/>
  <c r="G1147" i="32"/>
  <c r="G705" i="32"/>
  <c r="G188" i="32"/>
  <c r="G1121" i="32"/>
  <c r="G1151" i="32"/>
  <c r="E35" i="31"/>
  <c r="G659" i="32"/>
  <c r="G464" i="32"/>
  <c r="G432" i="32"/>
  <c r="F65" i="33"/>
  <c r="F17" i="33"/>
  <c r="G126" i="32"/>
  <c r="G190" i="32"/>
  <c r="G1053" i="32"/>
  <c r="G1203" i="32"/>
  <c r="G663" i="32"/>
  <c r="G522" i="32"/>
  <c r="G500" i="32"/>
  <c r="G849" i="32"/>
  <c r="G248" i="32"/>
  <c r="G883" i="32"/>
  <c r="G54" i="32"/>
  <c r="G20" i="32"/>
  <c r="G528" i="32"/>
  <c r="G426" i="32"/>
  <c r="G66" i="32"/>
  <c r="G783" i="32"/>
  <c r="G184" i="32"/>
  <c r="G208" i="32"/>
  <c r="G1117" i="32"/>
  <c r="G795" i="32"/>
  <c r="G262" i="32"/>
  <c r="G352" i="32"/>
  <c r="G1133" i="32"/>
  <c r="G454" i="32"/>
  <c r="G370" i="32"/>
  <c r="G490" i="32"/>
  <c r="G376" i="32"/>
  <c r="G532" i="32"/>
  <c r="G46" i="32"/>
  <c r="G711" i="32"/>
  <c r="U3042" i="27"/>
  <c r="U3017" i="27"/>
  <c r="U3056" i="27"/>
  <c r="U3021" i="27"/>
  <c r="U3045" i="27"/>
  <c r="U2986" i="27"/>
  <c r="U3052" i="27"/>
  <c r="U2989" i="27"/>
  <c r="U3010" i="27"/>
  <c r="W497" i="27"/>
  <c r="X501" i="27"/>
  <c r="W494" i="27"/>
  <c r="X498" i="27"/>
  <c r="W512" i="27"/>
  <c r="X496" i="27"/>
  <c r="W515" i="27"/>
  <c r="X505" i="27"/>
  <c r="Z505" i="27"/>
  <c r="Y510" i="27"/>
  <c r="X503" i="27"/>
  <c r="X512" i="27"/>
  <c r="X511" i="27"/>
  <c r="R256" i="27" a="1"/>
  <c r="S252" i="27" a="1"/>
  <c r="S246" i="27" a="1"/>
  <c r="R254" i="27" a="1"/>
  <c r="AD33" i="27"/>
  <c r="M19" i="27" a="1"/>
  <c r="G677" i="32"/>
  <c r="G266" i="32"/>
  <c r="G1101" i="32"/>
  <c r="G953" i="32"/>
  <c r="E17" i="30"/>
  <c r="G1193" i="32"/>
  <c r="G991" i="32"/>
  <c r="G436" i="32"/>
  <c r="G286" i="32"/>
  <c r="G857" i="32"/>
  <c r="G296" i="32"/>
  <c r="G56" i="32"/>
  <c r="R513" i="27"/>
  <c r="D522" i="27"/>
  <c r="G114" i="32"/>
  <c r="G1063" i="32"/>
  <c r="F63" i="33"/>
  <c r="G412" i="32"/>
  <c r="G410" i="32"/>
  <c r="G372" i="32"/>
  <c r="G138" i="32"/>
  <c r="F35" i="33"/>
  <c r="G1119" i="32"/>
  <c r="G1041" i="32"/>
  <c r="G1175" i="32"/>
  <c r="G879" i="32"/>
  <c r="G552" i="32"/>
  <c r="G400" i="32"/>
  <c r="G600" i="32"/>
  <c r="G805" i="32"/>
  <c r="G1039" i="32"/>
  <c r="G102" i="32"/>
  <c r="G382" i="32"/>
  <c r="G847" i="32"/>
  <c r="G1027" i="32"/>
  <c r="G817" i="32"/>
  <c r="G933" i="32"/>
  <c r="G276" i="32"/>
  <c r="G560" i="32"/>
  <c r="G194" i="32"/>
  <c r="G136" i="32"/>
  <c r="E13" i="31"/>
  <c r="G935" i="32"/>
  <c r="G588" i="32"/>
  <c r="G498" i="32"/>
  <c r="G302" i="32"/>
  <c r="G1201" i="32"/>
  <c r="G625" i="32"/>
  <c r="F61" i="33"/>
  <c r="G496" i="32"/>
  <c r="E23" i="30"/>
  <c r="G1033" i="32"/>
  <c r="G1113" i="32"/>
  <c r="G342" i="32"/>
  <c r="F53" i="33"/>
  <c r="G1051" i="32"/>
  <c r="G450" i="32"/>
  <c r="G839" i="32"/>
  <c r="G540" i="32"/>
  <c r="G364" i="32"/>
  <c r="G204" i="32"/>
  <c r="G1011" i="32"/>
  <c r="G228" i="32"/>
  <c r="G939" i="32"/>
  <c r="G584" i="32"/>
  <c r="G931" i="32"/>
  <c r="G110" i="32"/>
  <c r="F39" i="33"/>
  <c r="G1163" i="32"/>
  <c r="G633" i="32"/>
  <c r="G763" i="32"/>
  <c r="F23" i="33"/>
  <c r="G679" i="32"/>
  <c r="G681" i="32"/>
  <c r="G699" i="32"/>
  <c r="G653" i="32"/>
  <c r="F31" i="33"/>
  <c r="G1141" i="32"/>
  <c r="G96" i="32"/>
  <c r="G536" i="32"/>
  <c r="G1191" i="32"/>
  <c r="G250" i="32"/>
  <c r="G494" i="32"/>
  <c r="G186" i="32"/>
  <c r="G917" i="32"/>
  <c r="G34" i="32"/>
  <c r="G1043" i="32"/>
  <c r="G1061" i="32"/>
  <c r="G282" i="32"/>
  <c r="G316" i="32"/>
  <c r="G841" i="32"/>
  <c r="G629" i="32"/>
  <c r="G240" i="32"/>
  <c r="G68" i="32"/>
  <c r="G22" i="32"/>
  <c r="G903" i="32"/>
  <c r="G725" i="32"/>
  <c r="G627" i="32"/>
  <c r="G913" i="32"/>
  <c r="G10" i="32"/>
  <c r="U3048" i="27"/>
  <c r="U3002" i="27"/>
  <c r="U3004" i="27"/>
  <c r="U2983" i="27"/>
  <c r="U2995" i="27"/>
  <c r="U3008" i="27"/>
  <c r="U3039" i="27"/>
  <c r="U3036" i="27"/>
  <c r="U2998" i="27"/>
  <c r="X521" i="27"/>
  <c r="Z493" i="27"/>
  <c r="Z494" i="27"/>
  <c r="X517" i="27"/>
  <c r="Z517" i="27"/>
  <c r="W496" i="27"/>
  <c r="Y501" i="27"/>
  <c r="Z504" i="27"/>
  <c r="X522" i="27"/>
  <c r="Y506" i="27"/>
  <c r="W520" i="27"/>
  <c r="Z514" i="27"/>
  <c r="X500" i="27"/>
  <c r="S244" i="27" a="1"/>
  <c r="R255" i="27" a="1"/>
  <c r="S245" i="27" a="1"/>
  <c r="AE19" i="27"/>
  <c r="AD32" i="27"/>
  <c r="AD22" i="27"/>
  <c r="G158" i="32"/>
  <c r="E31" i="31"/>
  <c r="G300" i="32"/>
  <c r="G1003" i="32"/>
  <c r="G294" i="32"/>
  <c r="G558" i="32"/>
  <c r="G362" i="32"/>
  <c r="G717" i="32"/>
  <c r="G80" i="32"/>
  <c r="G881" i="32"/>
  <c r="G396" i="32"/>
  <c r="G202" i="32"/>
  <c r="G434" i="32"/>
  <c r="G911" i="32"/>
  <c r="G921" i="32"/>
  <c r="G1139" i="32"/>
  <c r="G566" i="32"/>
  <c r="G404" i="32"/>
  <c r="G598" i="32"/>
  <c r="G320" i="32"/>
  <c r="G975" i="32"/>
  <c r="G174" i="32"/>
  <c r="G1123" i="32"/>
  <c r="G270" i="32"/>
  <c r="G524" i="32"/>
  <c r="G460" i="32"/>
  <c r="G424" i="32"/>
  <c r="G701" i="32"/>
  <c r="G915" i="32"/>
  <c r="G578" i="32"/>
  <c r="G452" i="32"/>
  <c r="G875" i="32"/>
  <c r="G398" i="32"/>
  <c r="G506" i="32"/>
  <c r="G759" i="32"/>
  <c r="G18" i="32"/>
  <c r="G58" i="32"/>
  <c r="G731" i="32"/>
  <c r="G639" i="32"/>
  <c r="G635" i="32"/>
  <c r="G1099" i="32"/>
  <c r="G833" i="32"/>
  <c r="G106" i="32"/>
  <c r="G408" i="32"/>
  <c r="E9" i="30"/>
  <c r="G232" i="32"/>
  <c r="G1023" i="32"/>
  <c r="G641" i="32"/>
  <c r="G1125" i="32"/>
  <c r="F55" i="33"/>
  <c r="G456" i="32"/>
  <c r="G586" i="32"/>
  <c r="G360" i="32"/>
  <c r="G1047" i="32"/>
  <c r="G160" i="32"/>
  <c r="G112" i="32"/>
  <c r="G198" i="32"/>
  <c r="G1187" i="32"/>
  <c r="G855" i="32"/>
  <c r="G1071" i="32"/>
  <c r="F25" i="33"/>
  <c r="G753" i="32"/>
  <c r="G162" i="32"/>
  <c r="E19" i="31"/>
  <c r="G442" i="32"/>
  <c r="F51" i="33"/>
  <c r="G216" i="32"/>
  <c r="G484" i="32"/>
  <c r="G809" i="32"/>
  <c r="G466" i="32"/>
  <c r="G336" i="32"/>
  <c r="G24" i="32"/>
  <c r="G799" i="32"/>
  <c r="G793" i="32"/>
  <c r="G811" i="32"/>
  <c r="G272" i="32"/>
  <c r="G1157" i="32"/>
  <c r="G526" i="32"/>
  <c r="G1127" i="32"/>
  <c r="G60" i="32"/>
  <c r="G394" i="32"/>
  <c r="G1129" i="32"/>
  <c r="G995" i="32"/>
  <c r="G1093" i="32"/>
  <c r="G713" i="32"/>
  <c r="G749" i="32"/>
  <c r="G1067" i="32"/>
  <c r="G873" i="32"/>
  <c r="G1183" i="32"/>
  <c r="G981" i="32"/>
  <c r="G462" i="32"/>
  <c r="G727" i="32"/>
  <c r="G643" i="32"/>
  <c r="G661" i="32"/>
  <c r="G895" i="32"/>
  <c r="G751" i="32"/>
  <c r="G821" i="32"/>
  <c r="G486" i="32"/>
  <c r="G520" i="32"/>
  <c r="U2994" i="27"/>
  <c r="U3049" i="27"/>
  <c r="U3053" i="27"/>
  <c r="W514" i="27"/>
  <c r="Z499" i="27"/>
  <c r="S251" i="27" a="1"/>
  <c r="G534" i="32"/>
  <c r="G470" i="32"/>
  <c r="G785" i="32"/>
  <c r="G90" i="32"/>
  <c r="G472" i="32"/>
  <c r="G925" i="32"/>
  <c r="G689" i="32"/>
  <c r="G1131" i="32"/>
  <c r="G923" i="32"/>
  <c r="G1019" i="32"/>
  <c r="G927" i="32"/>
  <c r="G967" i="32"/>
  <c r="G100" i="32"/>
  <c r="G502" i="32"/>
  <c r="G358" i="32"/>
  <c r="G965" i="32"/>
  <c r="E35" i="30"/>
  <c r="G985" i="32"/>
  <c r="G52" i="32"/>
  <c r="G242" i="32"/>
  <c r="G943" i="32"/>
  <c r="G210" i="32"/>
  <c r="G122" i="32"/>
  <c r="G1007" i="32"/>
  <c r="G1009" i="32"/>
  <c r="F47" i="33"/>
  <c r="G150" i="32"/>
  <c r="G983" i="32"/>
  <c r="G1005" i="32"/>
  <c r="G631" i="32"/>
  <c r="G448" i="32"/>
  <c r="G152" i="32"/>
  <c r="G961" i="32"/>
  <c r="F29" i="33"/>
  <c r="G332" i="32"/>
  <c r="G789" i="32"/>
  <c r="P513" i="27"/>
  <c r="G739" i="32"/>
  <c r="E11" i="31"/>
  <c r="G28" i="32"/>
  <c r="U3007" i="27"/>
  <c r="U3031" i="27"/>
  <c r="U3026" i="27"/>
  <c r="Z515" i="27"/>
  <c r="Y519" i="27"/>
  <c r="W499" i="27"/>
  <c r="W509" i="27"/>
  <c r="Y516" i="27"/>
  <c r="S250" i="27" a="1"/>
  <c r="G544" i="32"/>
  <c r="G252" i="32"/>
  <c r="G1161" i="32"/>
  <c r="G40" i="32"/>
  <c r="G214" i="32"/>
  <c r="G130" i="32"/>
  <c r="G422" i="32"/>
  <c r="G390" i="32"/>
  <c r="G374" i="32"/>
  <c r="G402" i="32"/>
  <c r="G1179" i="32"/>
  <c r="G1159" i="32"/>
  <c r="F11" i="33"/>
  <c r="G709" i="32"/>
  <c r="G30" i="32"/>
  <c r="G154" i="32"/>
  <c r="G1115" i="32"/>
  <c r="G86" i="32"/>
  <c r="G687" i="32"/>
  <c r="E31" i="30"/>
  <c r="G1197" i="32"/>
  <c r="G26" i="32"/>
  <c r="G1171" i="32"/>
  <c r="G707" i="32"/>
  <c r="G979" i="32"/>
  <c r="G406" i="32"/>
  <c r="G44" i="32"/>
  <c r="G1095" i="32"/>
  <c r="G947" i="32"/>
  <c r="G957" i="32"/>
  <c r="G562" i="32"/>
  <c r="G200" i="32"/>
  <c r="G440" i="32"/>
  <c r="G614" i="32"/>
  <c r="G416" i="32"/>
  <c r="G1103" i="32"/>
  <c r="G645" i="32"/>
  <c r="G224" i="32"/>
  <c r="E29" i="30"/>
  <c r="G909" i="32"/>
  <c r="G1137" i="32"/>
  <c r="G899" i="32"/>
  <c r="G446" i="32"/>
  <c r="G74" i="32"/>
  <c r="G386" i="32"/>
  <c r="G733" i="32"/>
  <c r="G1205" i="32"/>
  <c r="G691" i="32"/>
  <c r="G767" i="32"/>
  <c r="E23" i="31"/>
  <c r="G735" i="32"/>
  <c r="G278" i="32"/>
  <c r="G308" i="32"/>
  <c r="G220" i="32"/>
  <c r="G592" i="32"/>
  <c r="G777" i="32"/>
  <c r="G1135" i="32"/>
  <c r="G222" i="32"/>
  <c r="G612" i="32"/>
  <c r="G1185" i="32"/>
  <c r="G949" i="32"/>
  <c r="G669" i="32"/>
  <c r="G474" i="32"/>
  <c r="G889" i="32"/>
  <c r="G775" i="32"/>
  <c r="G516" i="32"/>
  <c r="G444" i="32"/>
  <c r="G1143" i="32"/>
  <c r="G292" i="32"/>
  <c r="G831" i="32"/>
  <c r="G1045" i="32"/>
  <c r="G64" i="32"/>
  <c r="G78" i="32"/>
  <c r="G546" i="32"/>
  <c r="G973" i="32"/>
  <c r="G504" i="32"/>
  <c r="G178" i="32"/>
  <c r="G1065" i="32"/>
  <c r="G1089" i="32"/>
  <c r="G226" i="32"/>
  <c r="G36" i="32"/>
  <c r="G172" i="32"/>
  <c r="G582" i="32"/>
  <c r="G1155" i="32"/>
  <c r="G538" i="32"/>
  <c r="F19" i="33"/>
  <c r="G621" i="32"/>
  <c r="G572" i="32"/>
  <c r="G655" i="32"/>
  <c r="G693" i="32"/>
  <c r="G757" i="32"/>
  <c r="G170" i="32"/>
  <c r="F27" i="33"/>
  <c r="G1049" i="32"/>
  <c r="G803" i="32"/>
  <c r="G647" i="32"/>
  <c r="G1195" i="32"/>
  <c r="G861" i="32"/>
  <c r="E17" i="31"/>
  <c r="G542" i="32"/>
  <c r="F57" i="33"/>
  <c r="G12" i="32"/>
  <c r="E15" i="30"/>
  <c r="G378" i="32"/>
  <c r="G651" i="32"/>
  <c r="G608" i="32"/>
  <c r="G340" i="32"/>
  <c r="A1209" i="32"/>
  <c r="G649" i="32"/>
  <c r="G791" i="32"/>
  <c r="G1025" i="32"/>
  <c r="G703" i="32"/>
  <c r="G845" i="32"/>
  <c r="G290" i="32"/>
  <c r="G264" i="32"/>
  <c r="E19" i="30"/>
  <c r="G318" i="32"/>
  <c r="G274" i="32"/>
  <c r="G602" i="32"/>
  <c r="G570" i="32"/>
  <c r="G893" i="32"/>
  <c r="G1017" i="32"/>
  <c r="G723" i="32"/>
  <c r="G366" i="32"/>
  <c r="X519" i="27"/>
  <c r="AD23" i="27"/>
  <c r="E25" i="31"/>
  <c r="G254" i="32"/>
  <c r="G765" i="32"/>
  <c r="F59" i="33"/>
  <c r="G574" i="32"/>
  <c r="G206" i="32"/>
  <c r="G963" i="32"/>
  <c r="G773" i="32"/>
  <c r="G42" i="32"/>
  <c r="G737" i="32"/>
  <c r="G116" i="32"/>
  <c r="G518" i="32"/>
  <c r="G144" i="32"/>
  <c r="G683" i="32"/>
  <c r="G871" i="32"/>
  <c r="G284" i="32"/>
  <c r="G430" i="32"/>
  <c r="E33" i="30"/>
  <c r="G510" i="32"/>
  <c r="G38" i="32"/>
  <c r="G420" i="32"/>
  <c r="G867" i="32"/>
  <c r="G667" i="32"/>
  <c r="G324" i="32"/>
  <c r="G865" i="32"/>
  <c r="E11" i="30"/>
  <c r="G380" i="32"/>
  <c r="G1199" i="32"/>
  <c r="F21" i="33"/>
  <c r="G997" i="32"/>
  <c r="G108" i="32"/>
  <c r="G801" i="32"/>
  <c r="G771" i="32"/>
  <c r="N513" i="27"/>
  <c r="G885" i="32"/>
  <c r="G685" i="32"/>
  <c r="G1031" i="32"/>
  <c r="G1059" i="32"/>
  <c r="G606" i="32"/>
  <c r="G334" i="32"/>
  <c r="G937" i="32"/>
  <c r="G1153" i="32"/>
  <c r="G384" i="32"/>
  <c r="G747" i="32"/>
  <c r="G1037" i="32"/>
  <c r="G955" i="32"/>
  <c r="G356" i="32"/>
  <c r="G156" i="32"/>
  <c r="G234" i="32"/>
  <c r="G743" i="32"/>
  <c r="U3014" i="27"/>
  <c r="U3028" i="27"/>
  <c r="U2981" i="27"/>
  <c r="Y520" i="27"/>
  <c r="W493" i="27"/>
  <c r="Y500" i="27"/>
  <c r="W517" i="27"/>
  <c r="S249" i="27" a="1"/>
  <c r="AD21" i="27"/>
  <c r="G715" i="32"/>
  <c r="G1029" i="32"/>
  <c r="F13" i="33"/>
  <c r="G268" i="32"/>
  <c r="G550" i="32"/>
  <c r="G514" i="32"/>
  <c r="G554" i="32"/>
  <c r="G350" i="32"/>
  <c r="G256" i="32"/>
  <c r="G92" i="32"/>
  <c r="G140" i="32"/>
  <c r="E33" i="31"/>
  <c r="G1097" i="32"/>
  <c r="G166" i="32"/>
  <c r="G851" i="32"/>
  <c r="G146" i="32"/>
  <c r="L509" i="27"/>
  <c r="G901" i="32"/>
  <c r="F15" i="33"/>
  <c r="G823" i="32"/>
  <c r="G14" i="32"/>
  <c r="G392" i="32"/>
  <c r="G508" i="32"/>
  <c r="G897" i="32"/>
  <c r="G576" i="32"/>
  <c r="G476" i="32"/>
  <c r="G977" i="32"/>
  <c r="G951" i="32"/>
  <c r="G1149" i="32"/>
  <c r="G236" i="32"/>
  <c r="G594" i="32"/>
  <c r="G1177" i="32"/>
  <c r="J32" i="27"/>
  <c r="G344" i="32"/>
  <c r="G1189" i="32"/>
  <c r="G306" i="32"/>
  <c r="F45" i="33"/>
  <c r="G891" i="32"/>
  <c r="G142" i="32"/>
  <c r="G859" i="32"/>
  <c r="G869" i="32"/>
  <c r="G745" i="32"/>
  <c r="G468" i="32"/>
  <c r="G50" i="32"/>
  <c r="G246" i="32"/>
  <c r="G695" i="32"/>
  <c r="G192" i="32"/>
  <c r="G993" i="32"/>
  <c r="E37" i="30"/>
  <c r="G124" i="32"/>
  <c r="G280" i="32"/>
  <c r="G164" i="32"/>
  <c r="G218" i="32"/>
  <c r="G1181" i="32"/>
  <c r="G741" i="32"/>
  <c r="G797" i="32"/>
  <c r="G969" i="32"/>
  <c r="G48" i="32"/>
  <c r="G779" i="32"/>
  <c r="G815" i="32"/>
  <c r="G1069" i="32"/>
  <c r="G76" i="32"/>
  <c r="G512" i="32"/>
  <c r="G482" i="32"/>
  <c r="G919" i="32"/>
  <c r="G905" i="32"/>
  <c r="G1109" i="32"/>
  <c r="G971" i="32"/>
  <c r="G168" i="32"/>
  <c r="G999" i="32"/>
  <c r="G338" i="32"/>
  <c r="G1085" i="32"/>
  <c r="G1035" i="32"/>
  <c r="G70" i="32"/>
  <c r="G388" i="32"/>
  <c r="G212" i="32"/>
  <c r="G478" i="32"/>
  <c r="G1173" i="32"/>
  <c r="G1091" i="32"/>
  <c r="P505" i="27"/>
  <c r="G368" i="32"/>
  <c r="F37" i="33"/>
  <c r="G863" i="32"/>
  <c r="G829" i="32"/>
  <c r="E37" i="31"/>
  <c r="G787" i="32"/>
  <c r="E25" i="30"/>
  <c r="G182" i="32"/>
  <c r="G887" i="32"/>
  <c r="G244" i="32"/>
  <c r="G1081" i="32"/>
  <c r="G104" i="32"/>
  <c r="G84" i="32"/>
  <c r="G1077" i="32"/>
  <c r="G530" i="32"/>
  <c r="G604" i="32"/>
  <c r="G1169" i="32"/>
  <c r="G941" i="32"/>
  <c r="G959" i="32"/>
  <c r="G32" i="32"/>
  <c r="G82" i="32"/>
  <c r="G675" i="32"/>
  <c r="G580" i="32"/>
  <c r="G568" i="32"/>
  <c r="G1073" i="32"/>
  <c r="G428" i="32"/>
  <c r="G813" i="32"/>
  <c r="G1013" i="32"/>
  <c r="G328" i="32"/>
  <c r="G1087" i="32"/>
  <c r="G94" i="32"/>
  <c r="G610" i="32"/>
  <c r="G128" i="32"/>
  <c r="G1001" i="32"/>
  <c r="G62" i="32"/>
  <c r="G1021" i="32"/>
  <c r="E27" i="31"/>
  <c r="G761" i="32"/>
  <c r="G1105" i="32"/>
  <c r="G513" i="27"/>
  <c r="G1057" i="32"/>
  <c r="G1083" i="32"/>
  <c r="G148" i="32"/>
  <c r="Y511" i="27"/>
  <c r="G781" i="32"/>
  <c r="G458" i="32"/>
  <c r="G1111" i="32"/>
  <c r="G118" i="32"/>
  <c r="G1165" i="32"/>
  <c r="G1015" i="32"/>
  <c r="G88" i="32"/>
  <c r="G1167" i="32"/>
  <c r="G556" i="32"/>
  <c r="G98" i="32"/>
  <c r="G637" i="32"/>
  <c r="G298" i="32"/>
  <c r="G835" i="32"/>
  <c r="G929" i="32"/>
  <c r="E13" i="30"/>
  <c r="G825" i="32"/>
  <c r="R505" i="27"/>
  <c r="G877" i="32"/>
  <c r="G1075" i="32"/>
  <c r="E29" i="31"/>
  <c r="G176" i="32"/>
  <c r="G1107" i="32"/>
  <c r="G438" i="32"/>
  <c r="G288" i="32"/>
  <c r="G721" i="32"/>
  <c r="G657" i="32"/>
  <c r="E21" i="30"/>
  <c r="F43" i="33"/>
  <c r="G819" i="32"/>
  <c r="G414" i="32"/>
  <c r="G945" i="32"/>
  <c r="A3925" i="27" l="1"/>
  <c r="F3928" i="27"/>
  <c r="E2313" i="27"/>
  <c r="E2303" i="27"/>
  <c r="E2414" i="27"/>
  <c r="E2483" i="27"/>
  <c r="E2450" i="27"/>
  <c r="E2470" i="27"/>
  <c r="E2388" i="27"/>
  <c r="E2494" i="27"/>
  <c r="J2545" i="27"/>
  <c r="E2322" i="27"/>
  <c r="E2452" i="27"/>
  <c r="E2311" i="27"/>
  <c r="E2419" i="27"/>
  <c r="E2442" i="27"/>
  <c r="E2351" i="27"/>
  <c r="E2364" i="27"/>
  <c r="E2293" i="27"/>
  <c r="E2460" i="27"/>
  <c r="E2454" i="27"/>
  <c r="E2315" i="27"/>
  <c r="E2485" i="27"/>
  <c r="E2337" i="27"/>
  <c r="H2545" i="27"/>
  <c r="E2336" i="27"/>
  <c r="E2266" i="27"/>
  <c r="E2448" i="27"/>
  <c r="K2546" i="27"/>
  <c r="E2348" i="27"/>
  <c r="G2545" i="27"/>
  <c r="E2478" i="27"/>
  <c r="E2267" i="27"/>
  <c r="E2518" i="27"/>
  <c r="E2410" i="27"/>
  <c r="E2279" i="27"/>
  <c r="E2270" i="27"/>
  <c r="E2421" i="27"/>
  <c r="E2412" i="27"/>
  <c r="E2372" i="27"/>
  <c r="E2302" i="27"/>
  <c r="E2526" i="27"/>
  <c r="E2539" i="27"/>
  <c r="E2471" i="27"/>
  <c r="E2265" i="27"/>
  <c r="E2422" i="27"/>
  <c r="E2343" i="27"/>
  <c r="E2480" i="27"/>
  <c r="E2466" i="27"/>
  <c r="E2457" i="27"/>
  <c r="E2284" i="27"/>
  <c r="E2482" i="27"/>
  <c r="E2320" i="27"/>
  <c r="E2288" i="27"/>
  <c r="E2385" i="27"/>
  <c r="E2269" i="27"/>
  <c r="E2384" i="27"/>
  <c r="E2252" i="27"/>
  <c r="E2257" i="27"/>
  <c r="E2335" i="27"/>
  <c r="E2495" i="27"/>
  <c r="E2327" i="27"/>
  <c r="E2356" i="27"/>
  <c r="E2519" i="27"/>
  <c r="E2444" i="27"/>
  <c r="E2373" i="27"/>
  <c r="E2342" i="27"/>
  <c r="E2433" i="27"/>
  <c r="E2487" i="27"/>
  <c r="E2486" i="27"/>
  <c r="E2528" i="27"/>
  <c r="E2474" i="27"/>
  <c r="E2440" i="27"/>
  <c r="E2428" i="27"/>
  <c r="E2479" i="27"/>
  <c r="E2459" i="27"/>
  <c r="E2541" i="27"/>
  <c r="E2484" i="27"/>
  <c r="E2446" i="27"/>
  <c r="E2464" i="27"/>
  <c r="E2441" i="27"/>
  <c r="E2357" i="27"/>
  <c r="E2380" i="27"/>
  <c r="E2445" i="27"/>
  <c r="E2427" i="27"/>
  <c r="E2513" i="27"/>
  <c r="E2496" i="27"/>
  <c r="E2394" i="27"/>
  <c r="E2401" i="27"/>
  <c r="E2329" i="27"/>
  <c r="E2374" i="27"/>
  <c r="E2386" i="27"/>
  <c r="E2276" i="27"/>
  <c r="E2354" i="27"/>
  <c r="E2476" i="27"/>
  <c r="E2416" i="27"/>
  <c r="E2275" i="27"/>
  <c r="E2349" i="27"/>
  <c r="E2534" i="27"/>
  <c r="E2413" i="27"/>
  <c r="E2331" i="27"/>
  <c r="E2375" i="27"/>
  <c r="E2426" i="27"/>
  <c r="E2509" i="27"/>
  <c r="E2340" i="27"/>
  <c r="E2330" i="27"/>
  <c r="E2312" i="27"/>
  <c r="E2532" i="27"/>
  <c r="E2406" i="27"/>
  <c r="E2434" i="27"/>
  <c r="E2309" i="27"/>
  <c r="E2325" i="27"/>
  <c r="E2438" i="27"/>
  <c r="E2287" i="27"/>
  <c r="E2359" i="27"/>
  <c r="E2544" i="27"/>
  <c r="E2289" i="27"/>
  <c r="E2308" i="27"/>
  <c r="E2424" i="27"/>
  <c r="E2377" i="27"/>
  <c r="E2314" i="27"/>
  <c r="E2391" i="27"/>
  <c r="E2376" i="27"/>
  <c r="E2510" i="27"/>
  <c r="E2260" i="27"/>
  <c r="E2371" i="27"/>
  <c r="E2396" i="27"/>
  <c r="E2283" i="27"/>
  <c r="E2387" i="27"/>
  <c r="E2264" i="27"/>
  <c r="E2493" i="27"/>
  <c r="E2536" i="27"/>
  <c r="E2398" i="27"/>
  <c r="E2425" i="27"/>
  <c r="E2255" i="27"/>
  <c r="E2352" i="27"/>
  <c r="E2304" i="27"/>
  <c r="E2317" i="27"/>
  <c r="E2393" i="27"/>
  <c r="E2389" i="27"/>
  <c r="E2530" i="27"/>
  <c r="E2272" i="27"/>
  <c r="E2263" i="27"/>
  <c r="E2305" i="27"/>
  <c r="E2256" i="27"/>
  <c r="E2362" i="27"/>
  <c r="E2432" i="27"/>
  <c r="E2405" i="27"/>
  <c r="E2533" i="27"/>
  <c r="E2378" i="27"/>
  <c r="E2472" i="27"/>
  <c r="E2475" i="27"/>
  <c r="E2463" i="27"/>
  <c r="E2310" i="27"/>
  <c r="E2316" i="27"/>
  <c r="E2420" i="27"/>
  <c r="E2298" i="27"/>
  <c r="E2525" i="27"/>
  <c r="E2488" i="27"/>
  <c r="E2400" i="27"/>
  <c r="E2516" i="27"/>
  <c r="E2439" i="27"/>
  <c r="E2415" i="27"/>
  <c r="E2506" i="27"/>
  <c r="E2451" i="27"/>
  <c r="E2417" i="27"/>
  <c r="E2537" i="27"/>
  <c r="E2489" i="27"/>
  <c r="E2505" i="27"/>
  <c r="E2430" i="27"/>
  <c r="E2520" i="27"/>
  <c r="E2512" i="27"/>
  <c r="E2403" i="27"/>
  <c r="E2347" i="27"/>
  <c r="E2268" i="27"/>
  <c r="E2338" i="27"/>
  <c r="E2291" i="27"/>
  <c r="E2341" i="27"/>
  <c r="E2282" i="27"/>
  <c r="E2281" i="27"/>
  <c r="E2431" i="27"/>
  <c r="E2323" i="27"/>
  <c r="E2328" i="27"/>
  <c r="E2346" i="27"/>
  <c r="E2258" i="27"/>
  <c r="E2390" i="27"/>
  <c r="E2523" i="27"/>
  <c r="E2295" i="27"/>
  <c r="E2507" i="27"/>
  <c r="E2407" i="27"/>
  <c r="E2527" i="27"/>
  <c r="E2423" i="27"/>
  <c r="E2411" i="27"/>
  <c r="E2318" i="27"/>
  <c r="E2447" i="27"/>
  <c r="E2449" i="27"/>
  <c r="E2477" i="27"/>
  <c r="E2369" i="27"/>
  <c r="E2540" i="27"/>
  <c r="E2535" i="27"/>
  <c r="E2286" i="27"/>
  <c r="E2361" i="27"/>
  <c r="E2353" i="27"/>
  <c r="E2467" i="27"/>
  <c r="E2465" i="27"/>
  <c r="E2285" i="27"/>
  <c r="E2498" i="27"/>
  <c r="E2524" i="27"/>
  <c r="E2458" i="27"/>
  <c r="E2392" i="27"/>
  <c r="E2504" i="27"/>
  <c r="E2404" i="27"/>
  <c r="E2262" i="27"/>
  <c r="E2453" i="27"/>
  <c r="E2254" i="27"/>
  <c r="E2499" i="27"/>
  <c r="E2542" i="27"/>
  <c r="E2358" i="27"/>
  <c r="E2409" i="27"/>
  <c r="E2367" i="27"/>
  <c r="E2491" i="27"/>
  <c r="E2259" i="27"/>
  <c r="E2261" i="27"/>
  <c r="E2307" i="27"/>
  <c r="E2296" i="27"/>
  <c r="E2408" i="27"/>
  <c r="E2490" i="27"/>
  <c r="E2321" i="27"/>
  <c r="E2350" i="27"/>
  <c r="E2455" i="27"/>
  <c r="E2365" i="27"/>
  <c r="E2379" i="27"/>
  <c r="E2521" i="27"/>
  <c r="E2497" i="27"/>
  <c r="E2461" i="27"/>
  <c r="E2399" i="27"/>
  <c r="E2344" i="27"/>
  <c r="E2531" i="27"/>
  <c r="E2292" i="27"/>
  <c r="E2324" i="27"/>
  <c r="E2381" i="27"/>
  <c r="E2529" i="27"/>
  <c r="E2503" i="27"/>
  <c r="E2462" i="27"/>
  <c r="E2501" i="27"/>
  <c r="E2334" i="27"/>
  <c r="E2429" i="27"/>
  <c r="E2511" i="27"/>
  <c r="E2402" i="27"/>
  <c r="E2473" i="27"/>
  <c r="E2297" i="27"/>
  <c r="E2397" i="27"/>
  <c r="E2363" i="27"/>
  <c r="E2290" i="27"/>
  <c r="E2274" i="27"/>
  <c r="E2436" i="27"/>
  <c r="E2508" i="27"/>
  <c r="E2345" i="27"/>
  <c r="E2278" i="27"/>
  <c r="E2339" i="27"/>
  <c r="E2500" i="27"/>
  <c r="I2545" i="27"/>
  <c r="E2382" i="27"/>
  <c r="E2333" i="27"/>
  <c r="E2469" i="27"/>
  <c r="E2370" i="27"/>
  <c r="E2300" i="27"/>
  <c r="E2319" i="27"/>
  <c r="E2383" i="27"/>
  <c r="E2366" i="27"/>
  <c r="E2368" i="27"/>
  <c r="E2253" i="27"/>
  <c r="E2332" i="27"/>
  <c r="E2273" i="27"/>
  <c r="E2437" i="27"/>
  <c r="E2543" i="27"/>
  <c r="E2468" i="27"/>
  <c r="E2277" i="27"/>
  <c r="E2301" i="27"/>
  <c r="E2538" i="27"/>
  <c r="E2395" i="27"/>
  <c r="E2522" i="27"/>
  <c r="N2545" i="27"/>
  <c r="E2443" i="27"/>
  <c r="E2271" i="27"/>
  <c r="E2514" i="27"/>
  <c r="E2418" i="27"/>
  <c r="E2456" i="27"/>
  <c r="E2517" i="27"/>
  <c r="E2502" i="27"/>
  <c r="E2306" i="27"/>
  <c r="E2492" i="27"/>
  <c r="E2294" i="27"/>
  <c r="E2299" i="27"/>
  <c r="E2515" i="27"/>
  <c r="E2360" i="27"/>
  <c r="E2326" i="27"/>
  <c r="E2481" i="27"/>
  <c r="E2280" i="27"/>
  <c r="E2435" i="27"/>
  <c r="E2355" i="27"/>
  <c r="K1795" i="27"/>
  <c r="K2435" i="27"/>
  <c r="K1658" i="27"/>
  <c r="K2298" i="27"/>
  <c r="K1773" i="27"/>
  <c r="K2413" i="27"/>
  <c r="K1737" i="27"/>
  <c r="K2365" i="27"/>
  <c r="K1646" i="27"/>
  <c r="K2286" i="27"/>
  <c r="K1620" i="27"/>
  <c r="K2260" i="27"/>
  <c r="K2395" i="27"/>
  <c r="K1889" i="27"/>
  <c r="K2529" i="27"/>
  <c r="K1852" i="27"/>
  <c r="K2492" i="27"/>
  <c r="K2318" i="27"/>
  <c r="K1818" i="27"/>
  <c r="K2458" i="27"/>
  <c r="K1695" i="27"/>
  <c r="K2335" i="27"/>
  <c r="K1906" i="27"/>
  <c r="L1083" i="32"/>
  <c r="K1843" i="27"/>
  <c r="E1179" i="27"/>
  <c r="G1161" i="27"/>
  <c r="E1281" i="27"/>
  <c r="E1297" i="27"/>
  <c r="E1203" i="27"/>
  <c r="E1155" i="27"/>
  <c r="E1174" i="27"/>
  <c r="E1301" i="27"/>
  <c r="E1160" i="27"/>
  <c r="E1188" i="27"/>
  <c r="E1166" i="27"/>
  <c r="E1210" i="27"/>
  <c r="E1300" i="27"/>
  <c r="E1280" i="27"/>
  <c r="E1185" i="27"/>
  <c r="E1286" i="27"/>
  <c r="E1162" i="27"/>
  <c r="E1163" i="27"/>
  <c r="E1267" i="27"/>
  <c r="E1299" i="27"/>
  <c r="E1298" i="27"/>
  <c r="E1261" i="27"/>
  <c r="E1215" i="27"/>
  <c r="E1220" i="27"/>
  <c r="E1282" i="27"/>
  <c r="E1265" i="27"/>
  <c r="E1287" i="27"/>
  <c r="E1180" i="27"/>
  <c r="E1235" i="27"/>
  <c r="E1248" i="27"/>
  <c r="E1190" i="27"/>
  <c r="E1269" i="27"/>
  <c r="E1165" i="27"/>
  <c r="E1186" i="27"/>
  <c r="E1218" i="27"/>
  <c r="E1254" i="27"/>
  <c r="E1237" i="27"/>
  <c r="E1158" i="27"/>
  <c r="E1252" i="27"/>
  <c r="E1233" i="27"/>
  <c r="E1302" i="27"/>
  <c r="E1292" i="27"/>
  <c r="E1206" i="27"/>
  <c r="E1251" i="27"/>
  <c r="E1211" i="27"/>
  <c r="E1189" i="27"/>
  <c r="E1230" i="27"/>
  <c r="E1219" i="27"/>
  <c r="E1175" i="27"/>
  <c r="E1247" i="27"/>
  <c r="E1204" i="27"/>
  <c r="E1255" i="27"/>
  <c r="E1168" i="27"/>
  <c r="E1303" i="27"/>
  <c r="E1256" i="27"/>
  <c r="E1239" i="27"/>
  <c r="E1274" i="27"/>
  <c r="E1216" i="27"/>
  <c r="E1293" i="27"/>
  <c r="E1227" i="27"/>
  <c r="E1154" i="27"/>
  <c r="E1277" i="27"/>
  <c r="E1243" i="27"/>
  <c r="E1193" i="27"/>
  <c r="E1264" i="27"/>
  <c r="E1259" i="27"/>
  <c r="E1234" i="27"/>
  <c r="E1199" i="27"/>
  <c r="E1284" i="27"/>
  <c r="E1164" i="27"/>
  <c r="E1229" i="27"/>
  <c r="E1238" i="27"/>
  <c r="E1250" i="27"/>
  <c r="E1217" i="27"/>
  <c r="E1288" i="27"/>
  <c r="E1192" i="27"/>
  <c r="E1178" i="27"/>
  <c r="E1266" i="27"/>
  <c r="E1221" i="27"/>
  <c r="E1176" i="27"/>
  <c r="E1167" i="27"/>
  <c r="E1289" i="27"/>
  <c r="E1224" i="27"/>
  <c r="E1244" i="27"/>
  <c r="L1157" i="27"/>
  <c r="E1283" i="27"/>
  <c r="E1200" i="27"/>
  <c r="E1245" i="27"/>
  <c r="E1290" i="27"/>
  <c r="E1232" i="27"/>
  <c r="J1161" i="27"/>
  <c r="E1276" i="27"/>
  <c r="E1249" i="27"/>
  <c r="E1195" i="27"/>
  <c r="E1187" i="27"/>
  <c r="E1222" i="27"/>
  <c r="E1285" i="27"/>
  <c r="E1296" i="27"/>
  <c r="E1208" i="27"/>
  <c r="E1196" i="27"/>
  <c r="E1226" i="27"/>
  <c r="E1272" i="27"/>
  <c r="E1197" i="27"/>
  <c r="E1258" i="27"/>
  <c r="E1183" i="27"/>
  <c r="E1171" i="27"/>
  <c r="E1156" i="27"/>
  <c r="E1191" i="27"/>
  <c r="E1295" i="27"/>
  <c r="E1182" i="27"/>
  <c r="E1225" i="27"/>
  <c r="E1198" i="27"/>
  <c r="E1201" i="27"/>
  <c r="E1273" i="27"/>
  <c r="E1279" i="27"/>
  <c r="E1202" i="27"/>
  <c r="E1207" i="27"/>
  <c r="E1253" i="27"/>
  <c r="E1262" i="27"/>
  <c r="E1184" i="27"/>
  <c r="E1213" i="27"/>
  <c r="E1241" i="27"/>
  <c r="E1181" i="27"/>
  <c r="E1270" i="27"/>
  <c r="E1231" i="27"/>
  <c r="E1223" i="27"/>
  <c r="E1172" i="27"/>
  <c r="E1271" i="27"/>
  <c r="E1291" i="27"/>
  <c r="E1194" i="27"/>
  <c r="E1242" i="27"/>
  <c r="I1161" i="27"/>
  <c r="E1169" i="27"/>
  <c r="E1209" i="27"/>
  <c r="E1260" i="27"/>
  <c r="E1294" i="27"/>
  <c r="E1205" i="27"/>
  <c r="E1177" i="27"/>
  <c r="E1214" i="27"/>
  <c r="E1246" i="27"/>
  <c r="E1257" i="27"/>
  <c r="E1275" i="27"/>
  <c r="E1236" i="27"/>
  <c r="H1161" i="27"/>
  <c r="E1212" i="27"/>
  <c r="E1263" i="27"/>
  <c r="E1228" i="27"/>
  <c r="E1278" i="27"/>
  <c r="E1240" i="27"/>
  <c r="E1173" i="27"/>
  <c r="E1170" i="27"/>
  <c r="E1268" i="27"/>
  <c r="E1159" i="27"/>
  <c r="K1223" i="27"/>
  <c r="K1161" i="27"/>
  <c r="K1252" i="27"/>
  <c r="K1198" i="27"/>
  <c r="K1228" i="27"/>
  <c r="K1260" i="27"/>
  <c r="K1177" i="27"/>
  <c r="K1236" i="27"/>
  <c r="K1301" i="27"/>
  <c r="K1287" i="27"/>
  <c r="K1277" i="27"/>
  <c r="K1168" i="27"/>
  <c r="K1269" i="27"/>
  <c r="K1189" i="27"/>
  <c r="K1213" i="27"/>
  <c r="AQ17" i="30"/>
  <c r="C1029" i="32"/>
  <c r="C1049" i="32"/>
  <c r="C1017" i="32"/>
  <c r="C1121" i="32"/>
  <c r="E1527" i="27"/>
  <c r="E1467" i="27"/>
  <c r="E1570" i="27"/>
  <c r="G1461" i="27"/>
  <c r="E1531" i="27"/>
  <c r="E1590" i="27"/>
  <c r="E1484" i="27"/>
  <c r="E1585" i="27"/>
  <c r="E1598" i="27"/>
  <c r="E1517" i="27"/>
  <c r="E1500" i="27"/>
  <c r="E1459" i="27"/>
  <c r="E1494" i="27"/>
  <c r="E1469" i="27"/>
  <c r="E1597" i="27"/>
  <c r="E1495" i="27"/>
  <c r="E1529" i="27"/>
  <c r="E1505" i="27"/>
  <c r="E1538" i="27"/>
  <c r="E1575" i="27"/>
  <c r="E1544" i="27"/>
  <c r="E1539" i="27"/>
  <c r="E1541" i="27"/>
  <c r="E1471" i="27"/>
  <c r="E1566" i="27"/>
  <c r="E1507" i="27"/>
  <c r="E1528" i="27"/>
  <c r="E1542" i="27"/>
  <c r="E1559" i="27"/>
  <c r="E1488" i="27"/>
  <c r="E1492" i="27"/>
  <c r="E1485" i="27"/>
  <c r="E1537" i="27"/>
  <c r="E1599" i="27"/>
  <c r="E1514" i="27"/>
  <c r="E1558" i="27"/>
  <c r="E1491" i="27"/>
  <c r="E1574" i="27"/>
  <c r="E1477" i="27"/>
  <c r="E1564" i="27"/>
  <c r="E1479" i="27"/>
  <c r="E1563" i="27"/>
  <c r="E1472" i="27"/>
  <c r="E1562" i="27"/>
  <c r="E1607" i="27"/>
  <c r="E1535" i="27"/>
  <c r="E1592" i="27"/>
  <c r="E1593" i="27"/>
  <c r="E1515" i="27"/>
  <c r="E1549" i="27"/>
  <c r="E1576" i="27"/>
  <c r="E1595" i="27"/>
  <c r="E1478" i="27"/>
  <c r="E1490" i="27"/>
  <c r="E1602" i="27"/>
  <c r="E1524" i="27"/>
  <c r="E1565" i="27"/>
  <c r="E1503" i="27"/>
  <c r="E1525" i="27"/>
  <c r="E1606" i="27"/>
  <c r="E1502" i="27"/>
  <c r="E1458" i="27"/>
  <c r="E1464" i="27"/>
  <c r="E1487" i="27"/>
  <c r="E1573" i="27"/>
  <c r="E1511" i="27"/>
  <c r="E1553" i="27"/>
  <c r="E1594" i="27"/>
  <c r="E1571" i="27"/>
  <c r="E1470" i="27"/>
  <c r="E1546" i="27"/>
  <c r="E1578" i="27"/>
  <c r="E1483" i="27"/>
  <c r="E1474" i="27"/>
  <c r="E1501" i="27"/>
  <c r="E1475" i="27"/>
  <c r="E1589" i="27"/>
  <c r="E1497" i="27"/>
  <c r="E1465" i="27"/>
  <c r="E1561" i="27"/>
  <c r="E1508" i="27"/>
  <c r="E1534" i="27"/>
  <c r="E1567" i="27"/>
  <c r="E1466" i="27"/>
  <c r="E1555" i="27"/>
  <c r="E1460" i="27"/>
  <c r="E1552" i="27"/>
  <c r="E1509" i="27"/>
  <c r="E1533" i="27"/>
  <c r="E1556" i="27"/>
  <c r="E1496" i="27"/>
  <c r="E1569" i="27"/>
  <c r="E1604" i="27"/>
  <c r="E1526" i="27"/>
  <c r="E1530" i="27"/>
  <c r="E1506" i="27"/>
  <c r="E1512" i="27"/>
  <c r="E1468" i="27"/>
  <c r="E1521" i="27"/>
  <c r="E1550" i="27"/>
  <c r="J1461" i="27"/>
  <c r="E1536" i="27"/>
  <c r="E1482" i="27"/>
  <c r="E1591" i="27"/>
  <c r="E1462" i="27"/>
  <c r="E1498" i="27"/>
  <c r="E1504" i="27"/>
  <c r="E1523" i="27"/>
  <c r="E1499" i="27"/>
  <c r="E1588" i="27"/>
  <c r="E1581" i="27"/>
  <c r="E1540" i="27"/>
  <c r="E1522" i="27"/>
  <c r="E1580" i="27"/>
  <c r="E1476" i="27"/>
  <c r="E1510" i="27"/>
  <c r="E1518" i="27"/>
  <c r="E1554" i="27"/>
  <c r="E1584" i="27"/>
  <c r="E1583" i="27"/>
  <c r="E1481" i="27"/>
  <c r="E1560" i="27"/>
  <c r="E1557" i="27"/>
  <c r="I1461" i="27"/>
  <c r="E1545" i="27"/>
  <c r="E1601" i="27"/>
  <c r="E1486" i="27"/>
  <c r="E1493" i="27"/>
  <c r="E1568" i="27"/>
  <c r="E1605" i="27"/>
  <c r="E1587" i="27"/>
  <c r="E1463" i="27"/>
  <c r="E1480" i="27"/>
  <c r="E1596" i="27"/>
  <c r="E1473" i="27"/>
  <c r="E1577" i="27"/>
  <c r="E1543" i="27"/>
  <c r="E1489" i="27"/>
  <c r="E1600" i="27"/>
  <c r="E1548" i="27"/>
  <c r="E1516" i="27"/>
  <c r="E1572" i="27"/>
  <c r="E1551" i="27"/>
  <c r="H1461" i="27"/>
  <c r="E1519" i="27"/>
  <c r="E1513" i="27"/>
  <c r="E1603" i="27"/>
  <c r="E1520" i="27"/>
  <c r="E1547" i="27"/>
  <c r="E1582" i="27"/>
  <c r="E1579" i="27"/>
  <c r="E1586" i="27"/>
  <c r="E1532" i="27"/>
  <c r="B634" i="27"/>
  <c r="M634" i="27"/>
  <c r="N634" i="27"/>
  <c r="H633" i="27"/>
  <c r="H181" i="41"/>
  <c r="BU21" i="33"/>
  <c r="AQ21" i="30"/>
  <c r="BU47" i="33"/>
  <c r="C1307" i="32"/>
  <c r="AA20" i="34"/>
  <c r="A513" i="27"/>
  <c r="AQ15" i="30"/>
  <c r="C1313" i="32"/>
  <c r="BC17" i="31"/>
  <c r="BT17" i="31" s="1"/>
  <c r="C534" i="32"/>
  <c r="C526" i="32"/>
  <c r="C520" i="32"/>
  <c r="C522" i="32"/>
  <c r="C516" i="32"/>
  <c r="C530" i="32"/>
  <c r="R244" i="27"/>
  <c r="S257" i="27"/>
  <c r="R254" i="27"/>
  <c r="S248" i="27"/>
  <c r="R252" i="27"/>
  <c r="S250" i="27"/>
  <c r="R257" i="27"/>
  <c r="R250" i="27"/>
  <c r="S245" i="27"/>
  <c r="S255" i="27"/>
  <c r="R243" i="27"/>
  <c r="S246" i="27"/>
  <c r="R246" i="27"/>
  <c r="S254" i="27"/>
  <c r="S251" i="27"/>
  <c r="S256" i="27"/>
  <c r="R248" i="27"/>
  <c r="R255" i="27"/>
  <c r="R251" i="27"/>
  <c r="R245" i="27"/>
  <c r="S252" i="27"/>
  <c r="S243" i="27"/>
  <c r="S247" i="27"/>
  <c r="S249" i="27"/>
  <c r="R249" i="27"/>
  <c r="R247" i="27"/>
  <c r="S244" i="27"/>
  <c r="R253" i="27"/>
  <c r="S253" i="27"/>
  <c r="R256" i="27"/>
  <c r="C1111" i="32"/>
  <c r="BU61" i="33"/>
  <c r="M20" i="27"/>
  <c r="A20" i="27" s="1"/>
  <c r="M19" i="27"/>
  <c r="A19" i="27" s="1"/>
  <c r="BQ13" i="31"/>
  <c r="C176" i="32"/>
  <c r="C184" i="32"/>
  <c r="C188" i="32"/>
  <c r="C182" i="32"/>
  <c r="C174" i="32"/>
  <c r="C172" i="32"/>
  <c r="C186" i="32"/>
  <c r="C170" i="32"/>
  <c r="C178" i="32"/>
  <c r="C180" i="32"/>
  <c r="C142" i="32"/>
  <c r="C144" i="32"/>
  <c r="C146" i="32"/>
  <c r="C132" i="32"/>
  <c r="C140" i="32"/>
  <c r="C130" i="32"/>
  <c r="C134" i="32"/>
  <c r="C136" i="32"/>
  <c r="C138" i="32"/>
  <c r="C148" i="32"/>
  <c r="C156" i="32"/>
  <c r="C164" i="32"/>
  <c r="C158" i="32"/>
  <c r="C154" i="32"/>
  <c r="C152" i="32"/>
  <c r="C150" i="32"/>
  <c r="C168" i="32"/>
  <c r="C166" i="32"/>
  <c r="C160" i="32"/>
  <c r="C162" i="32"/>
  <c r="C112" i="32"/>
  <c r="C118" i="32"/>
  <c r="C126" i="32"/>
  <c r="C122" i="32"/>
  <c r="C128" i="32"/>
  <c r="C120" i="32"/>
  <c r="C116" i="32"/>
  <c r="C110" i="32"/>
  <c r="C124" i="32"/>
  <c r="C114" i="32"/>
  <c r="C98" i="32"/>
  <c r="C90" i="32"/>
  <c r="C108" i="32"/>
  <c r="C96" i="32"/>
  <c r="C94" i="32"/>
  <c r="C106" i="32"/>
  <c r="C104" i="32"/>
  <c r="C102" i="32"/>
  <c r="C100" i="32"/>
  <c r="C92" i="32"/>
  <c r="C84" i="32"/>
  <c r="C78" i="32"/>
  <c r="C88" i="32"/>
  <c r="C70" i="32"/>
  <c r="C74" i="32"/>
  <c r="C72" i="32"/>
  <c r="C76" i="32"/>
  <c r="C80" i="32"/>
  <c r="C86" i="32"/>
  <c r="C82" i="32"/>
  <c r="C194" i="32"/>
  <c r="C202" i="32"/>
  <c r="C192" i="32"/>
  <c r="C198" i="32"/>
  <c r="C200" i="32"/>
  <c r="C190" i="32"/>
  <c r="C206" i="32"/>
  <c r="C204" i="32"/>
  <c r="C208" i="32"/>
  <c r="C196" i="32"/>
  <c r="BG25" i="30"/>
  <c r="BE25" i="30" s="1"/>
  <c r="BG33" i="30"/>
  <c r="BE33" i="30" s="1"/>
  <c r="BG35" i="30"/>
  <c r="BE35" i="30" s="1"/>
  <c r="Z85" i="34"/>
  <c r="C518" i="32"/>
  <c r="C1213" i="32"/>
  <c r="C442" i="32"/>
  <c r="C446" i="32"/>
  <c r="C440" i="32"/>
  <c r="C1051" i="32"/>
  <c r="C356" i="32"/>
  <c r="C366" i="32"/>
  <c r="C364" i="32"/>
  <c r="C374" i="32"/>
  <c r="C372" i="32"/>
  <c r="Z46" i="34"/>
  <c r="BG19" i="30"/>
  <c r="BE19" i="30" s="1"/>
  <c r="BG21" i="30"/>
  <c r="BE21" i="30" s="1"/>
  <c r="BG15" i="30"/>
  <c r="BE15" i="30" s="1"/>
  <c r="BG13" i="30"/>
  <c r="BE13" i="30" s="1"/>
  <c r="BG37" i="30"/>
  <c r="BE37" i="30" s="1"/>
  <c r="BG29" i="30"/>
  <c r="BE29" i="30" s="1"/>
  <c r="BG31" i="30"/>
  <c r="BE31" i="30" s="1"/>
  <c r="BG23" i="30"/>
  <c r="BE23" i="30" s="1"/>
  <c r="BG27" i="30"/>
  <c r="BE27" i="30" s="1"/>
  <c r="BG17" i="30"/>
  <c r="BE17" i="30" s="1"/>
  <c r="Z62" i="34"/>
  <c r="BG11" i="30"/>
  <c r="BQ11" i="31"/>
  <c r="BS11" i="31" s="1"/>
  <c r="AA31" i="34"/>
  <c r="H405" i="41"/>
  <c r="Z37" i="34"/>
  <c r="C1199" i="32"/>
  <c r="BU65" i="33"/>
  <c r="H97" i="41"/>
  <c r="C1189" i="32"/>
  <c r="C1197" i="32"/>
  <c r="C1193" i="32"/>
  <c r="C1187" i="32"/>
  <c r="C801" i="32"/>
  <c r="C817" i="32"/>
  <c r="C785" i="32"/>
  <c r="C807" i="32"/>
  <c r="C797" i="32"/>
  <c r="C1219" i="32"/>
  <c r="C795" i="32"/>
  <c r="Z49" i="34"/>
  <c r="BC15" i="31"/>
  <c r="BT15" i="31" s="1"/>
  <c r="AQ31" i="30"/>
  <c r="C1195" i="32"/>
  <c r="C402" i="32"/>
  <c r="C360" i="32"/>
  <c r="C368" i="32"/>
  <c r="C370" i="32"/>
  <c r="C444" i="32"/>
  <c r="AA83" i="34"/>
  <c r="AV17" i="33"/>
  <c r="C358" i="32"/>
  <c r="C396" i="32"/>
  <c r="C438" i="32"/>
  <c r="AQ37" i="30"/>
  <c r="H293" i="41"/>
  <c r="C1743" i="32"/>
  <c r="AQ11" i="33"/>
  <c r="H769" i="41"/>
  <c r="BP25" i="33"/>
  <c r="Z58" i="34"/>
  <c r="AR37" i="33"/>
  <c r="BP41" i="33"/>
  <c r="C1751" i="32"/>
  <c r="C791" i="32"/>
  <c r="C811" i="32"/>
  <c r="BP31" i="33"/>
  <c r="H265" i="41"/>
  <c r="BU9" i="33"/>
  <c r="C1185" i="32"/>
  <c r="C799" i="32"/>
  <c r="C1207" i="32"/>
  <c r="C819" i="32"/>
  <c r="C1205" i="32"/>
  <c r="C805" i="32"/>
  <c r="AV29" i="33"/>
  <c r="AA44" i="34"/>
  <c r="AW29" i="33"/>
  <c r="C1191" i="32"/>
  <c r="C815" i="32"/>
  <c r="C789" i="32"/>
  <c r="C1215" i="32"/>
  <c r="C803" i="32"/>
  <c r="C793" i="32"/>
  <c r="C448" i="32"/>
  <c r="Z87" i="34"/>
  <c r="C436" i="32"/>
  <c r="C452" i="32"/>
  <c r="C450" i="32"/>
  <c r="C460" i="32"/>
  <c r="C1753" i="32"/>
  <c r="C1745" i="32"/>
  <c r="C1181" i="32"/>
  <c r="C1211" i="32"/>
  <c r="C813" i="32"/>
  <c r="C1771" i="32"/>
  <c r="C1755" i="32"/>
  <c r="H601" i="41"/>
  <c r="C1741" i="32"/>
  <c r="BU13" i="33"/>
  <c r="C1749" i="32"/>
  <c r="AR43" i="33"/>
  <c r="BP21" i="33"/>
  <c r="C1043" i="32"/>
  <c r="C1129" i="32"/>
  <c r="C1133" i="32"/>
  <c r="C1021" i="32"/>
  <c r="AA63" i="34"/>
  <c r="AA12" i="34"/>
  <c r="C1039" i="32"/>
  <c r="C1125" i="32"/>
  <c r="C1035" i="32"/>
  <c r="C1109" i="32"/>
  <c r="C1045" i="32"/>
  <c r="C1105" i="32"/>
  <c r="C1057" i="32"/>
  <c r="C1137" i="32"/>
  <c r="C1339" i="32"/>
  <c r="C1333" i="32"/>
  <c r="C1331" i="32"/>
  <c r="C1327" i="32"/>
  <c r="C1335" i="32"/>
  <c r="C1025" i="32"/>
  <c r="Z34" i="34"/>
  <c r="C1031" i="32"/>
  <c r="BQ21" i="31"/>
  <c r="BS21" i="31" s="1"/>
  <c r="BR29" i="31"/>
  <c r="BS29" i="31" s="1"/>
  <c r="H713" i="41"/>
  <c r="C983" i="32"/>
  <c r="C1003" i="32"/>
  <c r="C1115" i="32"/>
  <c r="C1135" i="32"/>
  <c r="C1023" i="32"/>
  <c r="C1127" i="32"/>
  <c r="C1055" i="32"/>
  <c r="AQ17" i="33"/>
  <c r="C474" i="32"/>
  <c r="BU17" i="33"/>
  <c r="C470" i="32"/>
  <c r="C1319" i="32"/>
  <c r="C1085" i="32"/>
  <c r="K2484" i="27" s="1"/>
  <c r="C1067" i="32"/>
  <c r="K2475" i="27" s="1"/>
  <c r="C899" i="32"/>
  <c r="C1087" i="32"/>
  <c r="K2485" i="27" s="1"/>
  <c r="C1073" i="32"/>
  <c r="K2478" i="27" s="1"/>
  <c r="AA51" i="34"/>
  <c r="AA27" i="34"/>
  <c r="Z54" i="34"/>
  <c r="AW17" i="33"/>
  <c r="C1095" i="32"/>
  <c r="K2489" i="27" s="1"/>
  <c r="C1015" i="32"/>
  <c r="Z56" i="34"/>
  <c r="C885" i="32"/>
  <c r="C879" i="32"/>
  <c r="C881" i="32"/>
  <c r="C991" i="32"/>
  <c r="C1065" i="32"/>
  <c r="K2474" i="27" s="1"/>
  <c r="C1001" i="32"/>
  <c r="C1183" i="32"/>
  <c r="C809" i="32"/>
  <c r="C1759" i="32"/>
  <c r="C1773" i="32"/>
  <c r="C1747" i="32"/>
  <c r="AA84" i="34"/>
  <c r="BP65" i="33"/>
  <c r="BU33" i="33"/>
  <c r="H545" i="41"/>
  <c r="AQ29" i="33"/>
  <c r="C590" i="32"/>
  <c r="C1775" i="32"/>
  <c r="C578" i="32"/>
  <c r="Z52" i="34"/>
  <c r="C1763" i="32"/>
  <c r="AA22" i="34"/>
  <c r="BP51" i="33"/>
  <c r="BU59" i="33"/>
  <c r="C1761" i="32"/>
  <c r="C861" i="32"/>
  <c r="C1093" i="32"/>
  <c r="K2488" i="27" s="1"/>
  <c r="C1009" i="32"/>
  <c r="BC13" i="31"/>
  <c r="BT13" i="31" s="1"/>
  <c r="C635" i="32"/>
  <c r="AA36" i="34"/>
  <c r="C586" i="32"/>
  <c r="BP9" i="33"/>
  <c r="C1059" i="32"/>
  <c r="C1047" i="32"/>
  <c r="C1389" i="32"/>
  <c r="C486" i="32"/>
  <c r="C1387" i="32"/>
  <c r="BP39" i="33"/>
  <c r="C1113" i="32"/>
  <c r="C1041" i="32"/>
  <c r="C472" i="32"/>
  <c r="C1519" i="32"/>
  <c r="C1053" i="32"/>
  <c r="C1535" i="32"/>
  <c r="C1131" i="32"/>
  <c r="C1027" i="32"/>
  <c r="C1527" i="32"/>
  <c r="H321" i="41"/>
  <c r="C1037" i="32"/>
  <c r="BU43" i="33"/>
  <c r="Z70" i="34"/>
  <c r="AQ23" i="33"/>
  <c r="AA53" i="34"/>
  <c r="C384" i="32"/>
  <c r="C1201" i="32"/>
  <c r="C1203" i="32"/>
  <c r="C781" i="32"/>
  <c r="BP37" i="33"/>
  <c r="C1781" i="32"/>
  <c r="C1813" i="32"/>
  <c r="C1803" i="32"/>
  <c r="C875" i="32"/>
  <c r="C1013" i="32"/>
  <c r="AQ35" i="30"/>
  <c r="AQ9" i="30"/>
  <c r="H433" i="41"/>
  <c r="C1217" i="32"/>
  <c r="C783" i="32"/>
  <c r="H797" i="41"/>
  <c r="AA69" i="34"/>
  <c r="AR41" i="33"/>
  <c r="AV41" i="33"/>
  <c r="C633" i="32"/>
  <c r="AQ59" i="33"/>
  <c r="AA59" i="34"/>
  <c r="Z82" i="34"/>
  <c r="C863" i="32"/>
  <c r="C1081" i="32"/>
  <c r="K2482" i="27" s="1"/>
  <c r="AA80" i="34"/>
  <c r="C999" i="32"/>
  <c r="C869" i="32"/>
  <c r="C1079" i="32"/>
  <c r="K2481" i="27" s="1"/>
  <c r="C995" i="32"/>
  <c r="C873" i="32"/>
  <c r="C883" i="32"/>
  <c r="C981" i="32"/>
  <c r="C1077" i="32"/>
  <c r="K2480" i="27" s="1"/>
  <c r="C1019" i="32"/>
  <c r="BQ19" i="31"/>
  <c r="BS19" i="31" s="1"/>
  <c r="C889" i="32"/>
  <c r="C1091" i="32"/>
  <c r="K2487" i="27" s="1"/>
  <c r="AQ9" i="33"/>
  <c r="C1005" i="32"/>
  <c r="C993" i="32"/>
  <c r="C711" i="32"/>
  <c r="C719" i="32"/>
  <c r="C705" i="32"/>
  <c r="C729" i="32"/>
  <c r="C715" i="32"/>
  <c r="AA50" i="34"/>
  <c r="AW41" i="33"/>
  <c r="C721" i="32"/>
  <c r="C733" i="32"/>
  <c r="AV53" i="33"/>
  <c r="BU27" i="33"/>
  <c r="BP43" i="33"/>
  <c r="H125" i="41"/>
  <c r="AW35" i="33"/>
  <c r="BU37" i="33"/>
  <c r="AX35" i="33"/>
  <c r="C725" i="32"/>
  <c r="C621" i="32"/>
  <c r="C1785" i="32"/>
  <c r="C681" i="32"/>
  <c r="AX19" i="33"/>
  <c r="C1789" i="32"/>
  <c r="C735" i="32"/>
  <c r="C1799" i="32"/>
  <c r="C1353" i="32"/>
  <c r="C1627" i="32"/>
  <c r="C707" i="32"/>
  <c r="C1793" i="32"/>
  <c r="BP35" i="33"/>
  <c r="BC23" i="31"/>
  <c r="BT23" i="31" s="1"/>
  <c r="AV19" i="33"/>
  <c r="C1355" i="32"/>
  <c r="C649" i="32"/>
  <c r="C723" i="32"/>
  <c r="AA24" i="34"/>
  <c r="AA29" i="34"/>
  <c r="C1223" i="32"/>
  <c r="C1267" i="32"/>
  <c r="Z18" i="34"/>
  <c r="C1297" i="32"/>
  <c r="C1787" i="32"/>
  <c r="BC29" i="31"/>
  <c r="BT29" i="31" s="1"/>
  <c r="C1285" i="32"/>
  <c r="C1245" i="32"/>
  <c r="C1145" i="32"/>
  <c r="AX53" i="33"/>
  <c r="Z61" i="34"/>
  <c r="Z71" i="34"/>
  <c r="AR61" i="33"/>
  <c r="C406" i="32"/>
  <c r="C1229" i="32"/>
  <c r="C647" i="32"/>
  <c r="AV65" i="33"/>
  <c r="C588" i="32"/>
  <c r="C1301" i="32"/>
  <c r="C1311" i="32"/>
  <c r="AW65" i="33"/>
  <c r="C1241" i="32"/>
  <c r="C1173" i="32"/>
  <c r="BU51" i="33"/>
  <c r="AQ29" i="30"/>
  <c r="C1169" i="32"/>
  <c r="C657" i="32"/>
  <c r="C1337" i="32"/>
  <c r="C1325" i="32"/>
  <c r="C1177" i="32"/>
  <c r="C1317" i="32"/>
  <c r="C398" i="32"/>
  <c r="C1253" i="32"/>
  <c r="C580" i="32"/>
  <c r="C346" i="32"/>
  <c r="C410" i="32"/>
  <c r="AA86" i="34"/>
  <c r="C1141" i="32"/>
  <c r="C378" i="32"/>
  <c r="C592" i="32"/>
  <c r="C1321" i="32"/>
  <c r="AQ23" i="30"/>
  <c r="BC31" i="31"/>
  <c r="BT31" i="31" s="1"/>
  <c r="C376" i="32"/>
  <c r="C342" i="32"/>
  <c r="C1167" i="32"/>
  <c r="C382" i="32"/>
  <c r="C1149" i="32"/>
  <c r="C594" i="32"/>
  <c r="C1323" i="32"/>
  <c r="AA66" i="34"/>
  <c r="AA35" i="34"/>
  <c r="C414" i="32"/>
  <c r="Z9" i="34"/>
  <c r="C1099" i="32"/>
  <c r="K2491" i="27" s="1"/>
  <c r="C412" i="32"/>
  <c r="C1259" i="32"/>
  <c r="C392" i="32"/>
  <c r="C408" i="32"/>
  <c r="C1237" i="32"/>
  <c r="C584" i="32"/>
  <c r="C1305" i="32"/>
  <c r="C1309" i="32"/>
  <c r="C352" i="32"/>
  <c r="C400" i="32"/>
  <c r="C394" i="32"/>
  <c r="AQ15" i="33"/>
  <c r="C336" i="32"/>
  <c r="AV43" i="33"/>
  <c r="C655" i="32"/>
  <c r="C576" i="32"/>
  <c r="C1329" i="32"/>
  <c r="C1069" i="32"/>
  <c r="K2476" i="27" s="1"/>
  <c r="C985" i="32"/>
  <c r="C997" i="32"/>
  <c r="C354" i="32"/>
  <c r="AX43" i="33"/>
  <c r="C659" i="32"/>
  <c r="C1303" i="32"/>
  <c r="C727" i="32"/>
  <c r="C1805" i="32"/>
  <c r="Z73" i="34"/>
  <c r="C1007" i="32"/>
  <c r="C1011" i="32"/>
  <c r="C1707" i="32"/>
  <c r="BP29" i="33"/>
  <c r="C1343" i="32"/>
  <c r="C1639" i="32"/>
  <c r="C1155" i="32"/>
  <c r="C1625" i="32"/>
  <c r="BR35" i="31"/>
  <c r="BS35" i="31" s="1"/>
  <c r="C703" i="32"/>
  <c r="C1811" i="32"/>
  <c r="BP61" i="33"/>
  <c r="BC21" i="31"/>
  <c r="BT21" i="31" s="1"/>
  <c r="C1739" i="32"/>
  <c r="C1295" i="32"/>
  <c r="C1265" i="32"/>
  <c r="H153" i="41"/>
  <c r="AA21" i="34"/>
  <c r="AA32" i="34"/>
  <c r="C430" i="32"/>
  <c r="AA48" i="34"/>
  <c r="AQ19" i="33"/>
  <c r="C1277" i="32"/>
  <c r="Z77" i="34"/>
  <c r="AA19" i="34"/>
  <c r="C1269" i="32"/>
  <c r="C542" i="32"/>
  <c r="BD9" i="33"/>
  <c r="C422" i="32"/>
  <c r="AX39" i="33"/>
  <c r="C1283" i="32"/>
  <c r="Z65" i="34"/>
  <c r="C1279" i="32"/>
  <c r="BU57" i="33"/>
  <c r="C1719" i="32"/>
  <c r="C544" i="32"/>
  <c r="C1291" i="32"/>
  <c r="BR17" i="31"/>
  <c r="BS17" i="31" s="1"/>
  <c r="C418" i="32"/>
  <c r="BQ23" i="31"/>
  <c r="BS23" i="31" s="1"/>
  <c r="AA28" i="34"/>
  <c r="C1263" i="32"/>
  <c r="BU35" i="33"/>
  <c r="C426" i="32"/>
  <c r="Z40" i="34"/>
  <c r="C1271" i="32"/>
  <c r="C1709" i="32"/>
  <c r="C432" i="32"/>
  <c r="BP53" i="33"/>
  <c r="BU25" i="33"/>
  <c r="AA47" i="34"/>
  <c r="C1735" i="32"/>
  <c r="C1287" i="32"/>
  <c r="AA57" i="34"/>
  <c r="C1289" i="32"/>
  <c r="C1653" i="32"/>
  <c r="C1275" i="32"/>
  <c r="AW51" i="33"/>
  <c r="C1631" i="32"/>
  <c r="C1703" i="32"/>
  <c r="C1261" i="32"/>
  <c r="C1273" i="32"/>
  <c r="AX51" i="33"/>
  <c r="BP11" i="33"/>
  <c r="H825" i="41"/>
  <c r="BC33" i="31"/>
  <c r="BT33" i="31" s="1"/>
  <c r="BP63" i="33"/>
  <c r="H489" i="41"/>
  <c r="C1501" i="32"/>
  <c r="C1537" i="32"/>
  <c r="C1507" i="32"/>
  <c r="C424" i="32"/>
  <c r="C1727" i="32"/>
  <c r="C476" i="32"/>
  <c r="C1397" i="32"/>
  <c r="BD27" i="33"/>
  <c r="H237" i="41"/>
  <c r="BC37" i="31"/>
  <c r="BT37" i="31" s="1"/>
  <c r="C1523" i="32"/>
  <c r="C482" i="32"/>
  <c r="C462" i="32"/>
  <c r="AW39" i="33"/>
  <c r="C554" i="32"/>
  <c r="C458" i="32"/>
  <c r="C1521" i="32"/>
  <c r="C428" i="32"/>
  <c r="AR49" i="33"/>
  <c r="C1733" i="32"/>
  <c r="AA42" i="34"/>
  <c r="C478" i="32"/>
  <c r="C1409" i="32"/>
  <c r="H517" i="41"/>
  <c r="C1505" i="32"/>
  <c r="C1411" i="32"/>
  <c r="BD51" i="33"/>
  <c r="BD19" i="33"/>
  <c r="BU11" i="33"/>
  <c r="Z13" i="34"/>
  <c r="C1533" i="32"/>
  <c r="C390" i="32"/>
  <c r="C1689" i="32"/>
  <c r="C623" i="32"/>
  <c r="C1717" i="32"/>
  <c r="AA39" i="34"/>
  <c r="C1417" i="32"/>
  <c r="BP45" i="33"/>
  <c r="AQ19" i="30"/>
  <c r="C1515" i="32"/>
  <c r="Z14" i="34"/>
  <c r="AA72" i="34"/>
  <c r="AA23" i="34"/>
  <c r="C468" i="32"/>
  <c r="C1511" i="32"/>
  <c r="C420" i="32"/>
  <c r="C625" i="32"/>
  <c r="AQ53" i="33"/>
  <c r="C1723" i="32"/>
  <c r="C1381" i="32"/>
  <c r="BP23" i="33"/>
  <c r="BU15" i="33"/>
  <c r="BD25" i="33"/>
  <c r="C1399" i="32"/>
  <c r="C1525" i="32"/>
  <c r="C1517" i="32"/>
  <c r="C416" i="32"/>
  <c r="C1737" i="32"/>
  <c r="C1393" i="32"/>
  <c r="H741" i="41"/>
  <c r="H685" i="41"/>
  <c r="BU91" i="33"/>
  <c r="C466" i="32"/>
  <c r="C1529" i="32"/>
  <c r="C1675" i="32"/>
  <c r="C1701" i="32"/>
  <c r="H377" i="41"/>
  <c r="C456" i="32"/>
  <c r="C629" i="32"/>
  <c r="C1503" i="32"/>
  <c r="C1539" i="32"/>
  <c r="C1635" i="32"/>
  <c r="C645" i="32"/>
  <c r="C1731" i="32"/>
  <c r="C552" i="32"/>
  <c r="H209" i="41"/>
  <c r="BU53" i="33"/>
  <c r="BC35" i="31"/>
  <c r="BT35" i="31" s="1"/>
  <c r="AA43" i="34"/>
  <c r="C340" i="32"/>
  <c r="AX33" i="33"/>
  <c r="C598" i="32"/>
  <c r="C1697" i="32"/>
  <c r="C739" i="32"/>
  <c r="C737" i="32"/>
  <c r="AV33" i="33"/>
  <c r="C338" i="32"/>
  <c r="C1357" i="32"/>
  <c r="C851" i="32"/>
  <c r="C1347" i="32"/>
  <c r="C348" i="32"/>
  <c r="C843" i="32"/>
  <c r="C350" i="32"/>
  <c r="C1699" i="32"/>
  <c r="Z30" i="34"/>
  <c r="C717" i="32"/>
  <c r="AA78" i="34"/>
  <c r="C1683" i="32"/>
  <c r="C1621" i="32"/>
  <c r="AR31" i="33"/>
  <c r="C1659" i="32"/>
  <c r="C1667" i="32"/>
  <c r="C643" i="32"/>
  <c r="C1721" i="32"/>
  <c r="C709" i="32"/>
  <c r="C731" i="32"/>
  <c r="C1817" i="32"/>
  <c r="AQ25" i="33"/>
  <c r="C1469" i="32"/>
  <c r="C1673" i="32"/>
  <c r="C965" i="32"/>
  <c r="BD23" i="33"/>
  <c r="C1693" i="32"/>
  <c r="C1463" i="32"/>
  <c r="BG9" i="30"/>
  <c r="BE9" i="30" s="1"/>
  <c r="C1473" i="32"/>
  <c r="C1603" i="32"/>
  <c r="C1477" i="32"/>
  <c r="C751" i="32"/>
  <c r="Z10" i="34"/>
  <c r="C1613" i="32"/>
  <c r="AW9" i="33"/>
  <c r="AQ27" i="33"/>
  <c r="C767" i="32"/>
  <c r="AX57" i="33"/>
  <c r="C827" i="32"/>
  <c r="C536" i="32"/>
  <c r="C677" i="32"/>
  <c r="AR63" i="33"/>
  <c r="C627" i="32"/>
  <c r="C631" i="32"/>
  <c r="C1725" i="32"/>
  <c r="C829" i="32"/>
  <c r="C701" i="32"/>
  <c r="BF11" i="30"/>
  <c r="C1809" i="32"/>
  <c r="C538" i="32"/>
  <c r="C697" i="32"/>
  <c r="H657" i="41"/>
  <c r="C1601" i="32"/>
  <c r="AW23" i="33"/>
  <c r="C977" i="32"/>
  <c r="BD53" i="33"/>
  <c r="C915" i="32"/>
  <c r="C1461" i="32"/>
  <c r="C933" i="32"/>
  <c r="Z76" i="34"/>
  <c r="C606" i="32"/>
  <c r="C1671" i="32"/>
  <c r="C1661" i="32"/>
  <c r="C917" i="32"/>
  <c r="C1497" i="32"/>
  <c r="AX55" i="33"/>
  <c r="AV25" i="33"/>
  <c r="C1361" i="32"/>
  <c r="C963" i="32"/>
  <c r="C558" i="32"/>
  <c r="BD63" i="33"/>
  <c r="H461" i="41"/>
  <c r="BD55" i="33"/>
  <c r="C1617" i="32"/>
  <c r="C979" i="32"/>
  <c r="C574" i="32"/>
  <c r="C1609" i="32"/>
  <c r="C913" i="32"/>
  <c r="C775" i="32"/>
  <c r="C971" i="32"/>
  <c r="C1691" i="32"/>
  <c r="AV57" i="33"/>
  <c r="C911" i="32"/>
  <c r="C1481" i="32"/>
  <c r="C761" i="32"/>
  <c r="C1557" i="32"/>
  <c r="BQ9" i="31"/>
  <c r="BS9" i="31" s="1"/>
  <c r="C771" i="32"/>
  <c r="C941" i="32"/>
  <c r="C1483" i="32"/>
  <c r="C596" i="32"/>
  <c r="C747" i="32"/>
  <c r="C769" i="32"/>
  <c r="C1677" i="32"/>
  <c r="C921" i="32"/>
  <c r="C821" i="32"/>
  <c r="C1467" i="32"/>
  <c r="C600" i="32"/>
  <c r="C1637" i="32"/>
  <c r="C1695" i="32"/>
  <c r="C1679" i="32"/>
  <c r="C653" i="32"/>
  <c r="C1705" i="32"/>
  <c r="C901" i="32"/>
  <c r="C1797" i="32"/>
  <c r="C1485" i="32"/>
  <c r="AW55" i="33"/>
  <c r="AW25" i="33"/>
  <c r="C1379" i="32"/>
  <c r="AQ47" i="33"/>
  <c r="BU63" i="33"/>
  <c r="BP33" i="33"/>
  <c r="AQ57" i="33"/>
  <c r="BR15" i="31"/>
  <c r="BS15" i="31" s="1"/>
  <c r="AW31" i="33"/>
  <c r="C833" i="32"/>
  <c r="C825" i="32"/>
  <c r="C1563" i="32"/>
  <c r="AV59" i="33"/>
  <c r="C1235" i="32"/>
  <c r="C1257" i="32"/>
  <c r="C1143" i="32"/>
  <c r="C1151" i="32"/>
  <c r="AX63" i="33"/>
  <c r="C604" i="32"/>
  <c r="C1623" i="32"/>
  <c r="C1611" i="32"/>
  <c r="C1593" i="32"/>
  <c r="AV23" i="33"/>
  <c r="C935" i="32"/>
  <c r="AV61" i="33"/>
  <c r="C859" i="32"/>
  <c r="C849" i="32"/>
  <c r="C1465" i="32"/>
  <c r="AA75" i="34"/>
  <c r="Z41" i="34"/>
  <c r="C755" i="32"/>
  <c r="C1549" i="32"/>
  <c r="C945" i="32"/>
  <c r="BD91" i="33"/>
  <c r="BU55" i="33"/>
  <c r="H349" i="41"/>
  <c r="C1243" i="32"/>
  <c r="C1251" i="32"/>
  <c r="C1161" i="32"/>
  <c r="C1147" i="32"/>
  <c r="C608" i="32"/>
  <c r="C1589" i="32"/>
  <c r="C1595" i="32"/>
  <c r="C909" i="32"/>
  <c r="C855" i="32"/>
  <c r="C853" i="32"/>
  <c r="C1577" i="32"/>
  <c r="C975" i="32"/>
  <c r="BD43" i="33"/>
  <c r="AQ33" i="30"/>
  <c r="BC25" i="31"/>
  <c r="BT25" i="31" s="1"/>
  <c r="BU41" i="33"/>
  <c r="BU31" i="33"/>
  <c r="AX61" i="33"/>
  <c r="C1545" i="32"/>
  <c r="C1227" i="32"/>
  <c r="C1179" i="32"/>
  <c r="C1157" i="32"/>
  <c r="AV31" i="33"/>
  <c r="C614" i="32"/>
  <c r="C1641" i="32"/>
  <c r="C1655" i="32"/>
  <c r="Z60" i="34"/>
  <c r="C1591" i="32"/>
  <c r="AA79" i="34"/>
  <c r="C931" i="32"/>
  <c r="C939" i="32"/>
  <c r="C823" i="32"/>
  <c r="C1499" i="32"/>
  <c r="AV9" i="33"/>
  <c r="C759" i="32"/>
  <c r="AR45" i="33"/>
  <c r="BQ25" i="31"/>
  <c r="BS25" i="31" s="1"/>
  <c r="C1541" i="32"/>
  <c r="C953" i="32"/>
  <c r="AC9" i="30"/>
  <c r="C20" i="32" s="1"/>
  <c r="K1463" i="27" s="1"/>
  <c r="H13" i="41"/>
  <c r="C1579" i="32"/>
  <c r="BD59" i="33"/>
  <c r="BD47" i="33"/>
  <c r="C1233" i="32"/>
  <c r="C1585" i="32"/>
  <c r="AA17" i="34"/>
  <c r="C568" i="32"/>
  <c r="BD65" i="33"/>
  <c r="AX37" i="33"/>
  <c r="C1239" i="32"/>
  <c r="C1171" i="32"/>
  <c r="AV49" i="33"/>
  <c r="C1629" i="32"/>
  <c r="C1599" i="32"/>
  <c r="C937" i="32"/>
  <c r="C927" i="32"/>
  <c r="C839" i="32"/>
  <c r="C841" i="32"/>
  <c r="C1495" i="32"/>
  <c r="C765" i="32"/>
  <c r="AA25" i="34"/>
  <c r="AX45" i="33"/>
  <c r="Z38" i="34"/>
  <c r="AQ55" i="33"/>
  <c r="C967" i="32"/>
  <c r="BR33" i="31"/>
  <c r="BS33" i="31" s="1"/>
  <c r="AA64" i="34"/>
  <c r="C949" i="32"/>
  <c r="AW37" i="33"/>
  <c r="C1153" i="32"/>
  <c r="C831" i="32"/>
  <c r="AQ25" i="30"/>
  <c r="BD39" i="33"/>
  <c r="C1165" i="32"/>
  <c r="AX49" i="33"/>
  <c r="C919" i="32"/>
  <c r="AR39" i="33"/>
  <c r="C1583" i="32"/>
  <c r="C925" i="32"/>
  <c r="C845" i="32"/>
  <c r="C1475" i="32"/>
  <c r="C560" i="32"/>
  <c r="C969" i="32"/>
  <c r="C1231" i="32"/>
  <c r="C1163" i="32"/>
  <c r="AV63" i="33"/>
  <c r="C612" i="32"/>
  <c r="C1633" i="32"/>
  <c r="Z33" i="34"/>
  <c r="C1615" i="32"/>
  <c r="BR37" i="31"/>
  <c r="BS37" i="31" s="1"/>
  <c r="AA11" i="34"/>
  <c r="C905" i="32"/>
  <c r="C903" i="32"/>
  <c r="C857" i="32"/>
  <c r="C837" i="32"/>
  <c r="C1489" i="32"/>
  <c r="B53" i="39"/>
  <c r="C743" i="32"/>
  <c r="C548" i="32"/>
  <c r="C318" i="32"/>
  <c r="C556" i="32"/>
  <c r="Z81" i="34"/>
  <c r="AW15" i="33"/>
  <c r="C959" i="32"/>
  <c r="C1373" i="32"/>
  <c r="AW27" i="33"/>
  <c r="AV47" i="33"/>
  <c r="BC27" i="31"/>
  <c r="BT27" i="31" s="1"/>
  <c r="BD17" i="33"/>
  <c r="H629" i="41"/>
  <c r="BP27" i="33"/>
  <c r="C1567" i="32"/>
  <c r="C929" i="32"/>
  <c r="AV45" i="33"/>
  <c r="C1221" i="32"/>
  <c r="C602" i="32"/>
  <c r="C923" i="32"/>
  <c r="AX47" i="33"/>
  <c r="BD45" i="33"/>
  <c r="C1249" i="32"/>
  <c r="C1159" i="32"/>
  <c r="C1657" i="32"/>
  <c r="C1687" i="32"/>
  <c r="C1681" i="32"/>
  <c r="C835" i="32"/>
  <c r="C1479" i="32"/>
  <c r="C779" i="32"/>
  <c r="C550" i="32"/>
  <c r="C957" i="32"/>
  <c r="AV27" i="33"/>
  <c r="Z15" i="34"/>
  <c r="AQ11" i="30"/>
  <c r="BU19" i="33"/>
  <c r="I103" i="41"/>
  <c r="CC15" i="33"/>
  <c r="E607" i="41"/>
  <c r="BY51" i="33"/>
  <c r="CA41" i="33"/>
  <c r="G467" i="41"/>
  <c r="CE11" i="33"/>
  <c r="K47" i="41"/>
  <c r="B573" i="41"/>
  <c r="G1307" i="27"/>
  <c r="CE35" i="33"/>
  <c r="K383" i="41"/>
  <c r="C61" i="40"/>
  <c r="BI11" i="31"/>
  <c r="BN11" i="31" s="1"/>
  <c r="CB61" i="33"/>
  <c r="H747" i="41"/>
  <c r="H635" i="41"/>
  <c r="CB53" i="33"/>
  <c r="C277" i="40"/>
  <c r="BI27" i="31"/>
  <c r="BN27" i="31" s="1"/>
  <c r="F747" i="41"/>
  <c r="BZ61" i="33"/>
  <c r="C169" i="39"/>
  <c r="AW19" i="30"/>
  <c r="BB19" i="30" s="1"/>
  <c r="CA31" i="33"/>
  <c r="G327" i="41"/>
  <c r="CB37" i="33"/>
  <c r="H411" i="41"/>
  <c r="G691" i="41"/>
  <c r="CA57" i="33"/>
  <c r="CI50" i="33"/>
  <c r="E573" i="41"/>
  <c r="D523" i="41"/>
  <c r="BX45" i="33"/>
  <c r="CC43" i="33"/>
  <c r="I495" i="41"/>
  <c r="BZ11" i="33"/>
  <c r="F47" i="41"/>
  <c r="BW43" i="33"/>
  <c r="C495" i="41"/>
  <c r="H327" i="41"/>
  <c r="CB31" i="33"/>
  <c r="BX29" i="33"/>
  <c r="D299" i="41"/>
  <c r="BX39" i="33"/>
  <c r="D439" i="41"/>
  <c r="BP59" i="33"/>
  <c r="AW21" i="30"/>
  <c r="BB21" i="30" s="1"/>
  <c r="BC21" i="30" s="1"/>
  <c r="BH21" i="30" s="1"/>
  <c r="C196" i="39"/>
  <c r="K719" i="41"/>
  <c r="CE59" i="33"/>
  <c r="CC45" i="33"/>
  <c r="I523" i="41"/>
  <c r="E19" i="41"/>
  <c r="BY9" i="33"/>
  <c r="CA39" i="33"/>
  <c r="G439" i="41"/>
  <c r="AW15" i="30"/>
  <c r="BB15" i="30" s="1"/>
  <c r="C115" i="39"/>
  <c r="BY41" i="33"/>
  <c r="E467" i="41"/>
  <c r="E243" i="41"/>
  <c r="BY25" i="33"/>
  <c r="C691" i="41"/>
  <c r="BW57" i="33"/>
  <c r="BW29" i="33"/>
  <c r="C299" i="41"/>
  <c r="C142" i="40"/>
  <c r="BI17" i="31"/>
  <c r="BN17" i="31" s="1"/>
  <c r="CA25" i="33"/>
  <c r="G243" i="41"/>
  <c r="CA55" i="33"/>
  <c r="G663" i="41"/>
  <c r="CE21" i="33"/>
  <c r="K187" i="41"/>
  <c r="K355" i="41"/>
  <c r="CE33" i="33"/>
  <c r="BY29" i="33"/>
  <c r="E299" i="41"/>
  <c r="C271" i="41"/>
  <c r="BW27" i="33"/>
  <c r="I775" i="41"/>
  <c r="CC63" i="33"/>
  <c r="CE17" i="33"/>
  <c r="K131" i="41"/>
  <c r="H691" i="41"/>
  <c r="CB57" i="33"/>
  <c r="F131" i="41"/>
  <c r="BZ17" i="33"/>
  <c r="BZ39" i="33"/>
  <c r="F439" i="41"/>
  <c r="AS49" i="33"/>
  <c r="BT49" i="33"/>
  <c r="BU49" i="33" s="1"/>
  <c r="AO49" i="33"/>
  <c r="C1427" i="32" s="1"/>
  <c r="G567" i="41"/>
  <c r="H573" i="41" s="1"/>
  <c r="C250" i="39"/>
  <c r="AW25" i="30"/>
  <c r="BB25" i="30" s="1"/>
  <c r="F215" i="41"/>
  <c r="BZ23" i="33"/>
  <c r="BW19" i="33"/>
  <c r="C159" i="41"/>
  <c r="F831" i="41"/>
  <c r="BZ91" i="33"/>
  <c r="BI37" i="31"/>
  <c r="BN37" i="31" s="1"/>
  <c r="C412" i="40"/>
  <c r="G803" i="41"/>
  <c r="CA65" i="33"/>
  <c r="F495" i="41"/>
  <c r="BZ43" i="33"/>
  <c r="G383" i="41"/>
  <c r="CA35" i="33"/>
  <c r="E411" i="41"/>
  <c r="BY37" i="33"/>
  <c r="C411" i="41"/>
  <c r="BW37" i="33"/>
  <c r="E349" i="41"/>
  <c r="CI34" i="33"/>
  <c r="BI29" i="31"/>
  <c r="BN29" i="31" s="1"/>
  <c r="C304" i="40"/>
  <c r="CE47" i="33"/>
  <c r="K551" i="41"/>
  <c r="I663" i="41"/>
  <c r="CC55" i="33"/>
  <c r="CA17" i="33"/>
  <c r="G131" i="41"/>
  <c r="BZ25" i="33"/>
  <c r="F243" i="41"/>
  <c r="E831" i="41"/>
  <c r="BY91" i="33"/>
  <c r="G523" i="41"/>
  <c r="CA45" i="33"/>
  <c r="D215" i="41"/>
  <c r="BX23" i="33"/>
  <c r="BW21" i="33"/>
  <c r="C187" i="41"/>
  <c r="C551" i="41"/>
  <c r="BW47" i="33"/>
  <c r="CC49" i="33"/>
  <c r="I579" i="41"/>
  <c r="BY35" i="33"/>
  <c r="E383" i="41"/>
  <c r="F383" i="41"/>
  <c r="BZ35" i="33"/>
  <c r="F75" i="41"/>
  <c r="BZ13" i="33"/>
  <c r="H523" i="41"/>
  <c r="CB45" i="33"/>
  <c r="BY47" i="33"/>
  <c r="E551" i="41"/>
  <c r="K579" i="41"/>
  <c r="CE49" i="33"/>
  <c r="K635" i="41"/>
  <c r="CE53" i="33"/>
  <c r="AW11" i="30"/>
  <c r="BB11" i="30" s="1"/>
  <c r="C61" i="39"/>
  <c r="K347" i="41"/>
  <c r="K607" i="41"/>
  <c r="CE51" i="33"/>
  <c r="G187" i="41"/>
  <c r="CA21" i="33"/>
  <c r="G775" i="41"/>
  <c r="CA63" i="33"/>
  <c r="BZ15" i="33"/>
  <c r="F103" i="41"/>
  <c r="D551" i="41"/>
  <c r="BX47" i="33"/>
  <c r="D159" i="41"/>
  <c r="BX19" i="33"/>
  <c r="K103" i="41"/>
  <c r="CE15" i="33"/>
  <c r="G355" i="41"/>
  <c r="CA33" i="33"/>
  <c r="BX51" i="33"/>
  <c r="D607" i="41"/>
  <c r="K663" i="41"/>
  <c r="CE55" i="33"/>
  <c r="C88" i="39"/>
  <c r="AW13" i="30"/>
  <c r="BB13" i="30" s="1"/>
  <c r="CA61" i="33"/>
  <c r="G747" i="41"/>
  <c r="BZ63" i="33"/>
  <c r="F775" i="41"/>
  <c r="E495" i="41"/>
  <c r="BY43" i="33"/>
  <c r="E47" i="41"/>
  <c r="BY11" i="33"/>
  <c r="E747" i="41"/>
  <c r="BY61" i="33"/>
  <c r="BX41" i="33"/>
  <c r="D467" i="41"/>
  <c r="BI23" i="31"/>
  <c r="BN23" i="31" s="1"/>
  <c r="C223" i="40"/>
  <c r="AW33" i="30"/>
  <c r="BB33" i="30" s="1"/>
  <c r="C358" i="39"/>
  <c r="C412" i="39"/>
  <c r="AW37" i="30"/>
  <c r="BB37" i="30" s="1"/>
  <c r="K327" i="41"/>
  <c r="CE31" i="33"/>
  <c r="BX13" i="33"/>
  <c r="D75" i="41"/>
  <c r="CC51" i="33"/>
  <c r="I607" i="41"/>
  <c r="CB55" i="33"/>
  <c r="H663" i="41"/>
  <c r="AW35" i="30"/>
  <c r="BB35" i="30" s="1"/>
  <c r="C385" i="39"/>
  <c r="G75" i="41"/>
  <c r="CA13" i="33"/>
  <c r="G607" i="41"/>
  <c r="CA51" i="33"/>
  <c r="I439" i="41"/>
  <c r="CC39" i="33"/>
  <c r="BX65" i="33"/>
  <c r="D803" i="41"/>
  <c r="AW29" i="30"/>
  <c r="BB29" i="30" s="1"/>
  <c r="C304" i="39"/>
  <c r="CE25" i="33"/>
  <c r="K243" i="41"/>
  <c r="BX25" i="33"/>
  <c r="D243" i="41"/>
  <c r="K691" i="41"/>
  <c r="CE57" i="33"/>
  <c r="H383" i="41"/>
  <c r="CB35" i="33"/>
  <c r="C523" i="41"/>
  <c r="BW45" i="33"/>
  <c r="BX55" i="33"/>
  <c r="D663" i="41"/>
  <c r="BY53" i="33"/>
  <c r="E635" i="41"/>
  <c r="K159" i="41"/>
  <c r="CE19" i="33"/>
  <c r="BY23" i="33"/>
  <c r="E215" i="41"/>
  <c r="CA49" i="33"/>
  <c r="G579" i="41"/>
  <c r="K775" i="41"/>
  <c r="CE63" i="33"/>
  <c r="G551" i="41"/>
  <c r="CA47" i="33"/>
  <c r="B387" i="39"/>
  <c r="F635" i="41"/>
  <c r="BZ53" i="33"/>
  <c r="CC27" i="33"/>
  <c r="I271" i="41"/>
  <c r="H131" i="41"/>
  <c r="CB17" i="33"/>
  <c r="G215" i="41"/>
  <c r="CA23" i="33"/>
  <c r="BY59" i="33"/>
  <c r="E719" i="41"/>
  <c r="BY27" i="33"/>
  <c r="E271" i="41"/>
  <c r="H607" i="41"/>
  <c r="CB51" i="33"/>
  <c r="BZ37" i="33"/>
  <c r="F411" i="41"/>
  <c r="CB23" i="33"/>
  <c r="H215" i="41"/>
  <c r="BX35" i="33"/>
  <c r="D383" i="41"/>
  <c r="BP19" i="33"/>
  <c r="H103" i="41"/>
  <c r="CB15" i="33"/>
  <c r="CA59" i="33"/>
  <c r="G719" i="41"/>
  <c r="BX9" i="33"/>
  <c r="D19" i="41"/>
  <c r="CA53" i="33"/>
  <c r="G635" i="41"/>
  <c r="E439" i="41"/>
  <c r="BY39" i="33"/>
  <c r="BX43" i="33"/>
  <c r="D495" i="41"/>
  <c r="CC31" i="33"/>
  <c r="I327" i="41"/>
  <c r="G299" i="41"/>
  <c r="CA29" i="33"/>
  <c r="BW31" i="33"/>
  <c r="C327" i="41"/>
  <c r="I47" i="41"/>
  <c r="CC11" i="33"/>
  <c r="F523" i="41"/>
  <c r="BZ45" i="33"/>
  <c r="CC59" i="33"/>
  <c r="I719" i="41"/>
  <c r="F327" i="41"/>
  <c r="BZ31" i="33"/>
  <c r="CC13" i="33"/>
  <c r="I75" i="41"/>
  <c r="CC25" i="33"/>
  <c r="I243" i="41"/>
  <c r="CB59" i="33"/>
  <c r="H719" i="41"/>
  <c r="CB27" i="33"/>
  <c r="H271" i="41"/>
  <c r="BW23" i="33"/>
  <c r="C215" i="41"/>
  <c r="D579" i="41"/>
  <c r="BX49" i="33"/>
  <c r="G411" i="41"/>
  <c r="CA37" i="33"/>
  <c r="BW39" i="33"/>
  <c r="C439" i="41"/>
  <c r="C607" i="41"/>
  <c r="BW51" i="33"/>
  <c r="BI19" i="31"/>
  <c r="BN19" i="31" s="1"/>
  <c r="C169" i="40"/>
  <c r="F467" i="41"/>
  <c r="BZ41" i="33"/>
  <c r="CE45" i="33"/>
  <c r="K523" i="41"/>
  <c r="BX61" i="33"/>
  <c r="D747" i="41"/>
  <c r="C243" i="41"/>
  <c r="BW25" i="33"/>
  <c r="E523" i="41"/>
  <c r="BY45" i="33"/>
  <c r="CC21" i="33"/>
  <c r="I187" i="41"/>
  <c r="H75" i="41"/>
  <c r="CB13" i="33"/>
  <c r="I299" i="41"/>
  <c r="CC29" i="33"/>
  <c r="CC91" i="33"/>
  <c r="I831" i="41"/>
  <c r="I355" i="41"/>
  <c r="CC33" i="33"/>
  <c r="AW31" i="30"/>
  <c r="BB31" i="30" s="1"/>
  <c r="C331" i="39"/>
  <c r="CB11" i="33"/>
  <c r="H47" i="41"/>
  <c r="BW53" i="33"/>
  <c r="C635" i="41"/>
  <c r="BW15" i="33"/>
  <c r="C103" i="41"/>
  <c r="I215" i="41"/>
  <c r="CC23" i="33"/>
  <c r="BZ65" i="33"/>
  <c r="F803" i="41"/>
  <c r="C663" i="41"/>
  <c r="BW55" i="33"/>
  <c r="AW23" i="30"/>
  <c r="BB23" i="30" s="1"/>
  <c r="C223" i="39"/>
  <c r="BZ57" i="33"/>
  <c r="F691" i="41"/>
  <c r="BW61" i="33"/>
  <c r="C747" i="41"/>
  <c r="L1003" i="27"/>
  <c r="C464" i="41"/>
  <c r="E579" i="41"/>
  <c r="BY49" i="33"/>
  <c r="CB39" i="33"/>
  <c r="H439" i="41"/>
  <c r="C34" i="39"/>
  <c r="AW9" i="30"/>
  <c r="BB9" i="30" s="1"/>
  <c r="D271" i="41"/>
  <c r="BX27" i="33"/>
  <c r="BI13" i="31"/>
  <c r="BN13" i="31" s="1"/>
  <c r="C88" i="40"/>
  <c r="D691" i="41"/>
  <c r="BX57" i="33"/>
  <c r="J1307" i="27"/>
  <c r="CE91" i="33"/>
  <c r="K831" i="41"/>
  <c r="C719" i="41"/>
  <c r="BW59" i="33"/>
  <c r="CE29" i="33"/>
  <c r="K299" i="41"/>
  <c r="CB25" i="33"/>
  <c r="H243" i="41"/>
  <c r="E775" i="41"/>
  <c r="BY63" i="33"/>
  <c r="D355" i="41"/>
  <c r="BX33" i="33"/>
  <c r="BW11" i="33"/>
  <c r="C47" i="41"/>
  <c r="CB91" i="33"/>
  <c r="H831" i="41"/>
  <c r="C358" i="40"/>
  <c r="BI33" i="31"/>
  <c r="BN33" i="31" s="1"/>
  <c r="CE23" i="33"/>
  <c r="K215" i="41"/>
  <c r="CE43" i="33"/>
  <c r="K495" i="41"/>
  <c r="F355" i="41"/>
  <c r="BZ33" i="33"/>
  <c r="G103" i="41"/>
  <c r="CA15" i="33"/>
  <c r="BP17" i="33"/>
  <c r="F579" i="41"/>
  <c r="BZ49" i="33"/>
  <c r="CA9" i="33"/>
  <c r="G19" i="41"/>
  <c r="I551" i="41"/>
  <c r="CC47" i="33"/>
  <c r="I635" i="41"/>
  <c r="CC53" i="33"/>
  <c r="C383" i="41"/>
  <c r="BW35" i="33"/>
  <c r="BY21" i="33"/>
  <c r="E187" i="41"/>
  <c r="D327" i="41"/>
  <c r="BX31" i="33"/>
  <c r="F271" i="41"/>
  <c r="BZ27" i="33"/>
  <c r="D775" i="41"/>
  <c r="BX63" i="33"/>
  <c r="CC19" i="33"/>
  <c r="I159" i="41"/>
  <c r="CA91" i="33"/>
  <c r="G831" i="41"/>
  <c r="BW63" i="33"/>
  <c r="C775" i="41"/>
  <c r="BZ51" i="33"/>
  <c r="F607" i="41"/>
  <c r="I803" i="41"/>
  <c r="CC65" i="33"/>
  <c r="I411" i="41"/>
  <c r="CC37" i="33"/>
  <c r="BY19" i="33"/>
  <c r="E159" i="41"/>
  <c r="C196" i="40"/>
  <c r="BI21" i="31"/>
  <c r="BN21" i="31" s="1"/>
  <c r="C831" i="41"/>
  <c r="BW91" i="33"/>
  <c r="BZ29" i="33"/>
  <c r="F299" i="41"/>
  <c r="CC61" i="33"/>
  <c r="I747" i="41"/>
  <c r="BY55" i="33"/>
  <c r="E663" i="41"/>
  <c r="K571" i="41"/>
  <c r="BX59" i="33"/>
  <c r="D719" i="41"/>
  <c r="F719" i="41"/>
  <c r="BZ59" i="33"/>
  <c r="E327" i="41"/>
  <c r="BY31" i="33"/>
  <c r="F19" i="41"/>
  <c r="BZ9" i="33"/>
  <c r="I1307" i="27"/>
  <c r="B581" i="41"/>
  <c r="C277" i="39"/>
  <c r="AW27" i="30"/>
  <c r="BB27" i="30" s="1"/>
  <c r="CE41" i="33"/>
  <c r="K467" i="41"/>
  <c r="H495" i="41"/>
  <c r="CB43" i="33"/>
  <c r="C250" i="40"/>
  <c r="BI25" i="31"/>
  <c r="BN25" i="31" s="1"/>
  <c r="H775" i="41"/>
  <c r="CB63" i="33"/>
  <c r="E355" i="41"/>
  <c r="BY33" i="33"/>
  <c r="CA19" i="33"/>
  <c r="G159" i="41"/>
  <c r="CA27" i="33"/>
  <c r="G271" i="41"/>
  <c r="H159" i="41"/>
  <c r="CB19" i="33"/>
  <c r="H803" i="41"/>
  <c r="CB65" i="33"/>
  <c r="I467" i="41"/>
  <c r="CC41" i="33"/>
  <c r="G495" i="41"/>
  <c r="CA43" i="33"/>
  <c r="K75" i="41"/>
  <c r="CE13" i="33"/>
  <c r="H467" i="41"/>
  <c r="CB41" i="33"/>
  <c r="F187" i="41"/>
  <c r="BZ21" i="33"/>
  <c r="CE27" i="33"/>
  <c r="K271" i="41"/>
  <c r="I691" i="41"/>
  <c r="CC57" i="33"/>
  <c r="E131" i="41"/>
  <c r="BY17" i="33"/>
  <c r="BX17" i="33"/>
  <c r="D131" i="41"/>
  <c r="CB47" i="33"/>
  <c r="H551" i="41"/>
  <c r="I131" i="41"/>
  <c r="CC17" i="33"/>
  <c r="BI15" i="31"/>
  <c r="BN15" i="31" s="1"/>
  <c r="C115" i="40"/>
  <c r="H355" i="41"/>
  <c r="CB33" i="33"/>
  <c r="BW13" i="33"/>
  <c r="C75" i="41"/>
  <c r="K803" i="41"/>
  <c r="CE65" i="33"/>
  <c r="H579" i="41"/>
  <c r="CB49" i="33"/>
  <c r="K747" i="41"/>
  <c r="CE61" i="33"/>
  <c r="C131" i="41"/>
  <c r="BW17" i="33"/>
  <c r="CB21" i="33"/>
  <c r="H187" i="41"/>
  <c r="C803" i="41"/>
  <c r="BW65" i="33"/>
  <c r="H1307" i="27"/>
  <c r="AW17" i="30"/>
  <c r="BB17" i="30" s="1"/>
  <c r="C142" i="39"/>
  <c r="CB29" i="33"/>
  <c r="H299" i="41"/>
  <c r="F551" i="41"/>
  <c r="BZ47" i="33"/>
  <c r="E103" i="41"/>
  <c r="BY15" i="33"/>
  <c r="BI35" i="31"/>
  <c r="BN35" i="31" s="1"/>
  <c r="C385" i="40"/>
  <c r="D187" i="41"/>
  <c r="BX21" i="33"/>
  <c r="K411" i="41"/>
  <c r="CE37" i="33"/>
  <c r="BI31" i="31"/>
  <c r="BN31" i="31" s="1"/>
  <c r="C331" i="40"/>
  <c r="BX15" i="33"/>
  <c r="D103" i="41"/>
  <c r="CC35" i="33"/>
  <c r="I383" i="41"/>
  <c r="BP57" i="33"/>
  <c r="F663" i="41"/>
  <c r="BZ55" i="33"/>
  <c r="E75" i="41"/>
  <c r="BY13" i="33"/>
  <c r="E803" i="41"/>
  <c r="BY65" i="33"/>
  <c r="BZ19" i="33"/>
  <c r="F159" i="41"/>
  <c r="G47" i="41"/>
  <c r="CA11" i="33"/>
  <c r="BY57" i="33"/>
  <c r="E691" i="41"/>
  <c r="BX53" i="33"/>
  <c r="D635" i="41"/>
  <c r="BX37" i="33"/>
  <c r="D411" i="41"/>
  <c r="BX11" i="33"/>
  <c r="D47" i="41"/>
  <c r="BX91" i="33"/>
  <c r="D831" i="41"/>
  <c r="K439" i="41"/>
  <c r="CE39" i="33"/>
  <c r="BP47" i="33"/>
  <c r="AA55" i="34"/>
  <c r="Z55" i="34"/>
  <c r="C1383" i="32"/>
  <c r="C1403" i="32"/>
  <c r="C1415" i="32"/>
  <c r="C1391" i="32"/>
  <c r="C1407" i="32"/>
  <c r="C1395" i="32"/>
  <c r="C1401" i="32"/>
  <c r="C1413" i="32"/>
  <c r="C1385" i="32"/>
  <c r="C1419" i="32"/>
  <c r="BR31" i="31"/>
  <c r="BS31" i="31" s="1"/>
  <c r="AA68" i="34"/>
  <c r="Z68" i="34"/>
  <c r="AX11" i="33"/>
  <c r="AW11" i="33"/>
  <c r="AV11" i="33"/>
  <c r="AW21" i="33"/>
  <c r="AV21" i="33"/>
  <c r="AX21" i="33"/>
  <c r="AX59" i="33"/>
  <c r="C773" i="32"/>
  <c r="C749" i="32"/>
  <c r="C757" i="32"/>
  <c r="C745" i="32"/>
  <c r="C763" i="32"/>
  <c r="C741" i="32"/>
  <c r="C777" i="32"/>
  <c r="AR51" i="33"/>
  <c r="AQ51" i="33"/>
  <c r="C484" i="32"/>
  <c r="C488" i="32"/>
  <c r="C494" i="32"/>
  <c r="C490" i="32"/>
  <c r="C492" i="32"/>
  <c r="C1555" i="32"/>
  <c r="C1565" i="32"/>
  <c r="C1575" i="32"/>
  <c r="C1571" i="32"/>
  <c r="C1543" i="32"/>
  <c r="C1559" i="32"/>
  <c r="C1561" i="32"/>
  <c r="C1573" i="32"/>
  <c r="C1569" i="32"/>
  <c r="C1553" i="32"/>
  <c r="C1547" i="32"/>
  <c r="C324" i="32"/>
  <c r="C332" i="32"/>
  <c r="C326" i="32"/>
  <c r="C334" i="32"/>
  <c r="C316" i="32"/>
  <c r="K1154" i="27" s="1"/>
  <c r="C320" i="32"/>
  <c r="C328" i="32"/>
  <c r="C498" i="32"/>
  <c r="C508" i="32"/>
  <c r="C514" i="32"/>
  <c r="C506" i="32"/>
  <c r="C510" i="32"/>
  <c r="C504" i="32"/>
  <c r="C496" i="32"/>
  <c r="C502" i="32"/>
  <c r="C500" i="32"/>
  <c r="C322" i="32"/>
  <c r="K1157" i="27" s="1"/>
  <c r="AX15" i="33"/>
  <c r="C1377" i="32"/>
  <c r="C1359" i="32"/>
  <c r="C1375" i="32"/>
  <c r="C1341" i="32"/>
  <c r="C1363" i="32"/>
  <c r="C1351" i="32"/>
  <c r="C1367" i="32"/>
  <c r="C1365" i="32"/>
  <c r="C1371" i="32"/>
  <c r="C1349" i="32"/>
  <c r="C1369" i="32"/>
  <c r="BD11" i="33"/>
  <c r="C1509" i="32"/>
  <c r="C865" i="32"/>
  <c r="C1649" i="32"/>
  <c r="C1669" i="32"/>
  <c r="C1685" i="32"/>
  <c r="C639" i="32"/>
  <c r="C651" i="32"/>
  <c r="C1299" i="32"/>
  <c r="C1281" i="32"/>
  <c r="C1791" i="32"/>
  <c r="C1493" i="32"/>
  <c r="C1491" i="32"/>
  <c r="C540" i="32"/>
  <c r="C973" i="32"/>
  <c r="C955" i="32"/>
  <c r="C989" i="32"/>
  <c r="BC11" i="31"/>
  <c r="BT11" i="31" s="1"/>
  <c r="BP15" i="33"/>
  <c r="C1247" i="32"/>
  <c r="C1225" i="32"/>
  <c r="AQ33" i="33"/>
  <c r="AR33" i="33"/>
  <c r="C893" i="32"/>
  <c r="C877" i="32"/>
  <c r="BD57" i="33"/>
  <c r="C1711" i="32"/>
  <c r="C1715" i="32"/>
  <c r="C1729" i="32"/>
  <c r="BD21" i="33"/>
  <c r="C895" i="32"/>
  <c r="C1783" i="32"/>
  <c r="C1801" i="32"/>
  <c r="C961" i="32"/>
  <c r="C947" i="32"/>
  <c r="BD13" i="33"/>
  <c r="C667" i="32"/>
  <c r="C663" i="32"/>
  <c r="C661" i="32"/>
  <c r="C671" i="32"/>
  <c r="C693" i="32"/>
  <c r="C675" i="32"/>
  <c r="C691" i="32"/>
  <c r="C683" i="32"/>
  <c r="C685" i="32"/>
  <c r="C665" i="32"/>
  <c r="C679" i="32"/>
  <c r="C673" i="32"/>
  <c r="C695" i="32"/>
  <c r="C699" i="32"/>
  <c r="C687" i="32"/>
  <c r="C1597" i="32"/>
  <c r="C1605" i="32"/>
  <c r="C1587" i="32"/>
  <c r="C1619" i="32"/>
  <c r="C1581" i="32"/>
  <c r="BP91" i="33"/>
  <c r="Z67" i="34"/>
  <c r="AA67" i="34"/>
  <c r="BU45" i="33"/>
  <c r="BR27" i="31"/>
  <c r="BQ27" i="31"/>
  <c r="BD37" i="33"/>
  <c r="BP55" i="33"/>
  <c r="BD29" i="33"/>
  <c r="C1061" i="32"/>
  <c r="K2472" i="27" s="1"/>
  <c r="C1089" i="32"/>
  <c r="K2486" i="27" s="1"/>
  <c r="C1097" i="32"/>
  <c r="K2490" i="27" s="1"/>
  <c r="C1075" i="32"/>
  <c r="K2479" i="27" s="1"/>
  <c r="C1063" i="32"/>
  <c r="K2473" i="27" s="1"/>
  <c r="C1071" i="32"/>
  <c r="K2477" i="27" s="1"/>
  <c r="BU39" i="33"/>
  <c r="AQ13" i="30"/>
  <c r="C388" i="32"/>
  <c r="C380" i="32"/>
  <c r="C1779" i="32"/>
  <c r="C1765" i="32"/>
  <c r="C1767" i="32"/>
  <c r="C1777" i="32"/>
  <c r="C1769" i="32"/>
  <c r="BU29" i="33"/>
  <c r="BD35" i="33"/>
  <c r="C1645" i="32"/>
  <c r="C1647" i="32"/>
  <c r="BC19" i="31"/>
  <c r="BT19" i="31" s="1"/>
  <c r="BD31" i="33"/>
  <c r="AR21" i="33"/>
  <c r="AQ21" i="33"/>
  <c r="BD15" i="33"/>
  <c r="BU23" i="33"/>
  <c r="BD61" i="33"/>
  <c r="C1119" i="32"/>
  <c r="C1123" i="32"/>
  <c r="C1107" i="32"/>
  <c r="C1103" i="32"/>
  <c r="C1139" i="32"/>
  <c r="C1117" i="32"/>
  <c r="C570" i="32"/>
  <c r="C564" i="32"/>
  <c r="C566" i="32"/>
  <c r="C572" i="32"/>
  <c r="C1531" i="32"/>
  <c r="C891" i="32"/>
  <c r="C887" i="32"/>
  <c r="C1651" i="32"/>
  <c r="C1663" i="32"/>
  <c r="C641" i="32"/>
  <c r="C2299" i="32"/>
  <c r="C1815" i="32"/>
  <c r="C1471" i="32"/>
  <c r="AA16" i="34"/>
  <c r="C669" i="32"/>
  <c r="C951" i="32"/>
  <c r="Z74" i="34"/>
  <c r="H41" i="41"/>
  <c r="Z45" i="34"/>
  <c r="AA45" i="34"/>
  <c r="AQ65" i="33"/>
  <c r="AR65" i="33"/>
  <c r="Z88" i="34"/>
  <c r="AA88" i="34"/>
  <c r="C524" i="32"/>
  <c r="C532" i="32"/>
  <c r="C867" i="32"/>
  <c r="C897" i="32"/>
  <c r="C1807" i="32"/>
  <c r="AQ27" i="30"/>
  <c r="AQ35" i="33"/>
  <c r="AR35" i="33"/>
  <c r="AA26" i="34"/>
  <c r="Z26" i="34"/>
  <c r="BS13" i="31"/>
  <c r="R1083" i="32" a="1"/>
  <c r="R1083" i="32" s="1"/>
  <c r="P2483" i="27" s="1"/>
  <c r="M1083" i="32" a="1"/>
  <c r="M1083" i="32" s="1"/>
  <c r="D1083" i="32" s="1"/>
  <c r="O1083" i="32" a="1"/>
  <c r="O1083" i="32" s="1"/>
  <c r="M2483" i="27" s="1"/>
  <c r="A2483" i="27" s="1"/>
  <c r="N1083" i="32" a="1"/>
  <c r="N1083" i="32" s="1"/>
  <c r="E1083" i="32" s="1"/>
  <c r="F2483" i="27" s="1"/>
  <c r="C34" i="32"/>
  <c r="K1470" i="27" s="1"/>
  <c r="C48" i="32"/>
  <c r="K1477" i="27" s="1"/>
  <c r="C30" i="32"/>
  <c r="K1468" i="27" s="1"/>
  <c r="C32" i="32"/>
  <c r="K1469" i="27" s="1"/>
  <c r="C40" i="32"/>
  <c r="K1473" i="27" s="1"/>
  <c r="C38" i="32"/>
  <c r="K1472" i="27" s="1"/>
  <c r="C42" i="32"/>
  <c r="K1474" i="27" s="1"/>
  <c r="C44" i="32"/>
  <c r="K1475" i="27" s="1"/>
  <c r="C36" i="32"/>
  <c r="K1471" i="27" s="1"/>
  <c r="C46" i="32"/>
  <c r="K1476" i="27" s="1"/>
  <c r="Q1211" i="32"/>
  <c r="BA49" i="33"/>
  <c r="D510" i="27"/>
  <c r="D21" i="27"/>
  <c r="D257" i="27"/>
  <c r="D511" i="27"/>
  <c r="D495" i="27"/>
  <c r="D31" i="27"/>
  <c r="D24" i="27"/>
  <c r="D247" i="27"/>
  <c r="D250" i="27"/>
  <c r="D494" i="27"/>
  <c r="D512" i="27"/>
  <c r="D248" i="27"/>
  <c r="D19" i="27"/>
  <c r="D500" i="27"/>
  <c r="D26" i="27"/>
  <c r="D506" i="27"/>
  <c r="D497" i="27"/>
  <c r="D249" i="27"/>
  <c r="I3927" i="27"/>
  <c r="L505" i="27"/>
  <c r="G509" i="27"/>
  <c r="D25" i="27"/>
  <c r="D252" i="27"/>
  <c r="D507" i="27"/>
  <c r="D496" i="27"/>
  <c r="D499" i="27"/>
  <c r="D518" i="27"/>
  <c r="D22" i="27"/>
  <c r="D502" i="27"/>
  <c r="D29" i="27"/>
  <c r="D244" i="27"/>
  <c r="D32" i="27"/>
  <c r="D501" i="27"/>
  <c r="D254" i="27"/>
  <c r="D508" i="27"/>
  <c r="D519" i="27"/>
  <c r="D520" i="27"/>
  <c r="D521" i="27"/>
  <c r="D28" i="27"/>
  <c r="I3926" i="27"/>
  <c r="I509" i="27"/>
  <c r="G1207" i="32"/>
  <c r="G16" i="32"/>
  <c r="D253" i="27"/>
  <c r="D27" i="27"/>
  <c r="D33" i="27"/>
  <c r="D255" i="27"/>
  <c r="D20" i="27"/>
  <c r="D251" i="27"/>
  <c r="D517" i="27"/>
  <c r="D498" i="27"/>
  <c r="D30" i="27"/>
  <c r="D503" i="27"/>
  <c r="D514" i="27"/>
  <c r="D516" i="27"/>
  <c r="D504" i="27"/>
  <c r="D515" i="27"/>
  <c r="D245" i="27"/>
  <c r="D23" i="27"/>
  <c r="D256" i="27"/>
  <c r="D246" i="27"/>
  <c r="H3927" i="27"/>
  <c r="H3926" i="27"/>
  <c r="E513" i="27"/>
  <c r="G330" i="32"/>
  <c r="K1821" i="32" l="1"/>
  <c r="A3926" i="27"/>
  <c r="A3927" i="27"/>
  <c r="F3929" i="27"/>
  <c r="J2546" i="27"/>
  <c r="G2546" i="27"/>
  <c r="I2546" i="27"/>
  <c r="N2546" i="27"/>
  <c r="H2546" i="27"/>
  <c r="E2545" i="27"/>
  <c r="K1855" i="27"/>
  <c r="K2495" i="27"/>
  <c r="K1621" i="27"/>
  <c r="K2261" i="27"/>
  <c r="K1754" i="27"/>
  <c r="K2394" i="27"/>
  <c r="K1624" i="27"/>
  <c r="K2264" i="27"/>
  <c r="K1662" i="27"/>
  <c r="K2302" i="27"/>
  <c r="K1893" i="27"/>
  <c r="K2533" i="27"/>
  <c r="K1814" i="27"/>
  <c r="K2454" i="27"/>
  <c r="K1901" i="27"/>
  <c r="K2541" i="27"/>
  <c r="K1639" i="27"/>
  <c r="K2279" i="27"/>
  <c r="K1724" i="27"/>
  <c r="K2364" i="27"/>
  <c r="K1714" i="27"/>
  <c r="K2354" i="27"/>
  <c r="K1783" i="27"/>
  <c r="K2423" i="27"/>
  <c r="K1759" i="27"/>
  <c r="K2399" i="27"/>
  <c r="K1660" i="27"/>
  <c r="K2300" i="27"/>
  <c r="K1671" i="27"/>
  <c r="K2311" i="27"/>
  <c r="K1631" i="27"/>
  <c r="K2271" i="27"/>
  <c r="K1890" i="27"/>
  <c r="K2530" i="27"/>
  <c r="K1733" i="27"/>
  <c r="K2373" i="27"/>
  <c r="K1619" i="27"/>
  <c r="K2259" i="27"/>
  <c r="K1802" i="27"/>
  <c r="K2442" i="27"/>
  <c r="K1865" i="27"/>
  <c r="K2505" i="27"/>
  <c r="K1821" i="27"/>
  <c r="K2461" i="27"/>
  <c r="K1904" i="27"/>
  <c r="K2544" i="27"/>
  <c r="K1700" i="27"/>
  <c r="K2340" i="27"/>
  <c r="K1826" i="27"/>
  <c r="K2466" i="27"/>
  <c r="K1763" i="27"/>
  <c r="K2403" i="27"/>
  <c r="K1653" i="27"/>
  <c r="K2293" i="27"/>
  <c r="K1828" i="27"/>
  <c r="K2468" i="27"/>
  <c r="K1688" i="27"/>
  <c r="K2328" i="27"/>
  <c r="K1670" i="27"/>
  <c r="K2310" i="27"/>
  <c r="K1691" i="27"/>
  <c r="K2331" i="27"/>
  <c r="K1776" i="27"/>
  <c r="K2416" i="27"/>
  <c r="K1765" i="27"/>
  <c r="K2405" i="27"/>
  <c r="K1686" i="27"/>
  <c r="K2326" i="27"/>
  <c r="K1750" i="27"/>
  <c r="K2390" i="27"/>
  <c r="K1777" i="27"/>
  <c r="K2417" i="27"/>
  <c r="K1648" i="27"/>
  <c r="K2288" i="27"/>
  <c r="K1796" i="27"/>
  <c r="K2436" i="27"/>
  <c r="K1764" i="27"/>
  <c r="K2404" i="27"/>
  <c r="K1770" i="27"/>
  <c r="K2410" i="27"/>
  <c r="K1880" i="27"/>
  <c r="K2520" i="27"/>
  <c r="K1728" i="27"/>
  <c r="K2368" i="27"/>
  <c r="K1718" i="27"/>
  <c r="K2358" i="27"/>
  <c r="K1752" i="27"/>
  <c r="K2392" i="27"/>
  <c r="K1675" i="27"/>
  <c r="K2315" i="27"/>
  <c r="K1787" i="27"/>
  <c r="K2427" i="27"/>
  <c r="K1617" i="27"/>
  <c r="K2257" i="27"/>
  <c r="K1677" i="27"/>
  <c r="K2317" i="27"/>
  <c r="K1614" i="27"/>
  <c r="K2254" i="27"/>
  <c r="K1879" i="27"/>
  <c r="K2519" i="27"/>
  <c r="K1612" i="27"/>
  <c r="K2252" i="27"/>
  <c r="K1811" i="27"/>
  <c r="K2451" i="27"/>
  <c r="K1822" i="27"/>
  <c r="K2462" i="27"/>
  <c r="K1813" i="27"/>
  <c r="K2453" i="27"/>
  <c r="K1711" i="27"/>
  <c r="K2351" i="27"/>
  <c r="K1705" i="27"/>
  <c r="K2345" i="27"/>
  <c r="K1816" i="27"/>
  <c r="K2456" i="27"/>
  <c r="K1882" i="27"/>
  <c r="K2522" i="27"/>
  <c r="K1768" i="27"/>
  <c r="K2408" i="27"/>
  <c r="K1735" i="27"/>
  <c r="K2375" i="27"/>
  <c r="K1636" i="27"/>
  <c r="K2276" i="27"/>
  <c r="K1637" i="27"/>
  <c r="K2277" i="27"/>
  <c r="K1779" i="27"/>
  <c r="K2419" i="27"/>
  <c r="K1719" i="27"/>
  <c r="K2359" i="27"/>
  <c r="K1766" i="27"/>
  <c r="K2406" i="27"/>
  <c r="K1891" i="27"/>
  <c r="K2531" i="27"/>
  <c r="K1729" i="27"/>
  <c r="K2369" i="27"/>
  <c r="K1774" i="27"/>
  <c r="K2414" i="27"/>
  <c r="K1689" i="27"/>
  <c r="K2329" i="27"/>
  <c r="K1790" i="27"/>
  <c r="K2430" i="27"/>
  <c r="K1615" i="27"/>
  <c r="K2255" i="27"/>
  <c r="K1667" i="27"/>
  <c r="K2307" i="27"/>
  <c r="K1613" i="27"/>
  <c r="K2253" i="27"/>
  <c r="K1625" i="27"/>
  <c r="K2265" i="27"/>
  <c r="K1664" i="27"/>
  <c r="K2304" i="27"/>
  <c r="K1659" i="27"/>
  <c r="K2299" i="27"/>
  <c r="K1808" i="27"/>
  <c r="K2448" i="27"/>
  <c r="K1858" i="27"/>
  <c r="K2498" i="27"/>
  <c r="K1806" i="27"/>
  <c r="K2446" i="27"/>
  <c r="K1797" i="27"/>
  <c r="K2437" i="27"/>
  <c r="K1869" i="27"/>
  <c r="K2509" i="27"/>
  <c r="K1698" i="27"/>
  <c r="K2338" i="27"/>
  <c r="K1905" i="27"/>
  <c r="K2545" i="27"/>
  <c r="K1694" i="27"/>
  <c r="K2334" i="27"/>
  <c r="K1674" i="27"/>
  <c r="K2314" i="27"/>
  <c r="K1682" i="27"/>
  <c r="K2322" i="27"/>
  <c r="K1643" i="27"/>
  <c r="K2283" i="27"/>
  <c r="K1626" i="27"/>
  <c r="K2266" i="27"/>
  <c r="K1645" i="27"/>
  <c r="K2285" i="27"/>
  <c r="K1632" i="27"/>
  <c r="K2272" i="27"/>
  <c r="K1788" i="27"/>
  <c r="K2428" i="27"/>
  <c r="K1734" i="27"/>
  <c r="K2374" i="27"/>
  <c r="K1785" i="27"/>
  <c r="K2425" i="27"/>
  <c r="K1713" i="27"/>
  <c r="K2353" i="27"/>
  <c r="K1756" i="27"/>
  <c r="K2396" i="27"/>
  <c r="K1628" i="27"/>
  <c r="K2268" i="27"/>
  <c r="K1758" i="27"/>
  <c r="K2398" i="27"/>
  <c r="K1656" i="27"/>
  <c r="K2296" i="27"/>
  <c r="K1616" i="27"/>
  <c r="K2256" i="27"/>
  <c r="K1800" i="27"/>
  <c r="K2440" i="27"/>
  <c r="K1630" i="27"/>
  <c r="K2270" i="27"/>
  <c r="K1666" i="27"/>
  <c r="K2306" i="27"/>
  <c r="K1792" i="27"/>
  <c r="K2432" i="27"/>
  <c r="K1739" i="27"/>
  <c r="K2379" i="27"/>
  <c r="K1742" i="27"/>
  <c r="K2382" i="27"/>
  <c r="K1751" i="27"/>
  <c r="K2391" i="27"/>
  <c r="K1859" i="27"/>
  <c r="K2499" i="27"/>
  <c r="K1812" i="27"/>
  <c r="K2452" i="27"/>
  <c r="K1708" i="27"/>
  <c r="K2348" i="27"/>
  <c r="K1703" i="27"/>
  <c r="K2343" i="27"/>
  <c r="K1701" i="27"/>
  <c r="K2341" i="27"/>
  <c r="K1710" i="27"/>
  <c r="K2350" i="27"/>
  <c r="K1684" i="27"/>
  <c r="K2324" i="27"/>
  <c r="K1685" i="27"/>
  <c r="K2325" i="27"/>
  <c r="K1861" i="27"/>
  <c r="K2501" i="27"/>
  <c r="K1627" i="27"/>
  <c r="K2267" i="27"/>
  <c r="K1780" i="27"/>
  <c r="K2420" i="27"/>
  <c r="K1762" i="27"/>
  <c r="K2402" i="27"/>
  <c r="K1706" i="27"/>
  <c r="K2346" i="27"/>
  <c r="K1862" i="27"/>
  <c r="K2502" i="27"/>
  <c r="K1647" i="27"/>
  <c r="K2287" i="27"/>
  <c r="K1651" i="27"/>
  <c r="K2291" i="27"/>
  <c r="K1633" i="27"/>
  <c r="K2273" i="27"/>
  <c r="K1761" i="27"/>
  <c r="K2401" i="27"/>
  <c r="K1771" i="27"/>
  <c r="K2411" i="27"/>
  <c r="K1679" i="27"/>
  <c r="K2319" i="27"/>
  <c r="K1772" i="27"/>
  <c r="K2412" i="27"/>
  <c r="K1640" i="27"/>
  <c r="K2280" i="27"/>
  <c r="K1723" i="27"/>
  <c r="K2363" i="27"/>
  <c r="K1794" i="27"/>
  <c r="K2434" i="27"/>
  <c r="K1872" i="27"/>
  <c r="K2512" i="27"/>
  <c r="K1886" i="27"/>
  <c r="K2526" i="27"/>
  <c r="K1655" i="27"/>
  <c r="K2295" i="27"/>
  <c r="K1654" i="27"/>
  <c r="K2294" i="27"/>
  <c r="K1743" i="27"/>
  <c r="K2383" i="27"/>
  <c r="K1618" i="27"/>
  <c r="K2258" i="27"/>
  <c r="K1820" i="27"/>
  <c r="K2460" i="27"/>
  <c r="K1732" i="27"/>
  <c r="K2372" i="27"/>
  <c r="K1741" i="27"/>
  <c r="K2381" i="27"/>
  <c r="K1803" i="27"/>
  <c r="K2443" i="27"/>
  <c r="K1868" i="27"/>
  <c r="K2508" i="27"/>
  <c r="K1894" i="27"/>
  <c r="K2534" i="27"/>
  <c r="K1702" i="27"/>
  <c r="K2342" i="27"/>
  <c r="K1722" i="27"/>
  <c r="K2362" i="27"/>
  <c r="K1757" i="27"/>
  <c r="K2397" i="27"/>
  <c r="K1665" i="27"/>
  <c r="K2305" i="27"/>
  <c r="K1827" i="27"/>
  <c r="K2467" i="27"/>
  <c r="K1857" i="27"/>
  <c r="K2497" i="27"/>
  <c r="K1781" i="27"/>
  <c r="K2421" i="27"/>
  <c r="K1721" i="27"/>
  <c r="K2361" i="27"/>
  <c r="K1789" i="27"/>
  <c r="K2429" i="27"/>
  <c r="K1716" i="27"/>
  <c r="K2356" i="27"/>
  <c r="K1642" i="27"/>
  <c r="K2282" i="27"/>
  <c r="K1746" i="27"/>
  <c r="K2386" i="27"/>
  <c r="K1829" i="27"/>
  <c r="K2469" i="27"/>
  <c r="K1864" i="27"/>
  <c r="K2504" i="27"/>
  <c r="K1704" i="27"/>
  <c r="K2344" i="27"/>
  <c r="K1649" i="27"/>
  <c r="K2289" i="27"/>
  <c r="K1740" i="27"/>
  <c r="K2380" i="27"/>
  <c r="K1673" i="27"/>
  <c r="K2313" i="27"/>
  <c r="K1887" i="27"/>
  <c r="K2527" i="27"/>
  <c r="K1767" i="27"/>
  <c r="K2407" i="27"/>
  <c r="K1687" i="27"/>
  <c r="K2327" i="27"/>
  <c r="K1760" i="27"/>
  <c r="K2400" i="27"/>
  <c r="K1623" i="27"/>
  <c r="K2263" i="27"/>
  <c r="K1661" i="27"/>
  <c r="K2301" i="27"/>
  <c r="K1738" i="27"/>
  <c r="K2378" i="27"/>
  <c r="K1744" i="27"/>
  <c r="K2384" i="27"/>
  <c r="K1793" i="27"/>
  <c r="K2433" i="27"/>
  <c r="K1870" i="27"/>
  <c r="K2510" i="27"/>
  <c r="K1866" i="27"/>
  <c r="K2506" i="27"/>
  <c r="K1892" i="27"/>
  <c r="K2532" i="27"/>
  <c r="K1696" i="27"/>
  <c r="K2336" i="27"/>
  <c r="K1895" i="27"/>
  <c r="K2535" i="27"/>
  <c r="K1745" i="27"/>
  <c r="K2385" i="27"/>
  <c r="K1699" i="27"/>
  <c r="K2339" i="27"/>
  <c r="K1749" i="27"/>
  <c r="K2389" i="27"/>
  <c r="K1860" i="27"/>
  <c r="K2500" i="27"/>
  <c r="K1635" i="27"/>
  <c r="K2275" i="27"/>
  <c r="K1690" i="27"/>
  <c r="K2330" i="27"/>
  <c r="K1871" i="27"/>
  <c r="K2511" i="27"/>
  <c r="K1638" i="27"/>
  <c r="K2278" i="27"/>
  <c r="K1748" i="27"/>
  <c r="K2388" i="27"/>
  <c r="K1672" i="27"/>
  <c r="K2312" i="27"/>
  <c r="K1881" i="27"/>
  <c r="K2521" i="27"/>
  <c r="K1884" i="27"/>
  <c r="K2524" i="27"/>
  <c r="K1877" i="27"/>
  <c r="K2517" i="27"/>
  <c r="K1791" i="27"/>
  <c r="K2431" i="27"/>
  <c r="K1650" i="27"/>
  <c r="K2290" i="27"/>
  <c r="K1715" i="27"/>
  <c r="K2355" i="27"/>
  <c r="K1807" i="27"/>
  <c r="K2447" i="27"/>
  <c r="K1876" i="27"/>
  <c r="K2516" i="27"/>
  <c r="K1657" i="27"/>
  <c r="K2297" i="27"/>
  <c r="K1799" i="27"/>
  <c r="K2439" i="27"/>
  <c r="K1830" i="27"/>
  <c r="K2470" i="27"/>
  <c r="K1823" i="27"/>
  <c r="K2463" i="27"/>
  <c r="K1709" i="27"/>
  <c r="K2349" i="27"/>
  <c r="K1899" i="27"/>
  <c r="K2539" i="27"/>
  <c r="K1898" i="27"/>
  <c r="K2538" i="27"/>
  <c r="K1782" i="27"/>
  <c r="K2422" i="27"/>
  <c r="K1676" i="27"/>
  <c r="K2316" i="27"/>
  <c r="K1878" i="27"/>
  <c r="K2518" i="27"/>
  <c r="K1652" i="27"/>
  <c r="K2292" i="27"/>
  <c r="K1668" i="27"/>
  <c r="K2308" i="27"/>
  <c r="K1747" i="27"/>
  <c r="K2387" i="27"/>
  <c r="K1681" i="27"/>
  <c r="K2321" i="27"/>
  <c r="K1769" i="27"/>
  <c r="K2409" i="27"/>
  <c r="K1810" i="27"/>
  <c r="K2450" i="27"/>
  <c r="K1622" i="27"/>
  <c r="K2262" i="27"/>
  <c r="K1853" i="27"/>
  <c r="K2493" i="27"/>
  <c r="K1641" i="27"/>
  <c r="K2281" i="27"/>
  <c r="K1775" i="27"/>
  <c r="K2415" i="27"/>
  <c r="K1683" i="27"/>
  <c r="K2323" i="27"/>
  <c r="K1883" i="27"/>
  <c r="K2523" i="27"/>
  <c r="K1778" i="27"/>
  <c r="K2418" i="27"/>
  <c r="K1875" i="27"/>
  <c r="K2515" i="27"/>
  <c r="K1873" i="27"/>
  <c r="K2513" i="27"/>
  <c r="K1727" i="27"/>
  <c r="K2367" i="27"/>
  <c r="K1805" i="27"/>
  <c r="K2445" i="27"/>
  <c r="K1888" i="27"/>
  <c r="K2528" i="27"/>
  <c r="K1798" i="27"/>
  <c r="K2438" i="27"/>
  <c r="K1815" i="27"/>
  <c r="K2455" i="27"/>
  <c r="K1825" i="27"/>
  <c r="K2465" i="27"/>
  <c r="K1809" i="27"/>
  <c r="K2449" i="27"/>
  <c r="K1854" i="27"/>
  <c r="K2494" i="27"/>
  <c r="K1897" i="27"/>
  <c r="K2537" i="27"/>
  <c r="K1900" i="27"/>
  <c r="K2540" i="27"/>
  <c r="K1726" i="27"/>
  <c r="K2366" i="27"/>
  <c r="K1634" i="27"/>
  <c r="K2274" i="27"/>
  <c r="K1720" i="27"/>
  <c r="K2360" i="27"/>
  <c r="K1629" i="27"/>
  <c r="K2269" i="27"/>
  <c r="K1885" i="27"/>
  <c r="K2525" i="27"/>
  <c r="K1669" i="27"/>
  <c r="K2309" i="27"/>
  <c r="K1804" i="27"/>
  <c r="K2444" i="27"/>
  <c r="K1736" i="27"/>
  <c r="K2376" i="27"/>
  <c r="K1692" i="27"/>
  <c r="K2332" i="27"/>
  <c r="K1867" i="27"/>
  <c r="K2507" i="27"/>
  <c r="K1831" i="27"/>
  <c r="K2471" i="27"/>
  <c r="K1824" i="27"/>
  <c r="K2464" i="27"/>
  <c r="K1707" i="27"/>
  <c r="K2347" i="27"/>
  <c r="K1896" i="27"/>
  <c r="K2536" i="27"/>
  <c r="K1863" i="27"/>
  <c r="K2503" i="27"/>
  <c r="K1644" i="27"/>
  <c r="K2284" i="27"/>
  <c r="K1680" i="27"/>
  <c r="K2320" i="27"/>
  <c r="K1730" i="27"/>
  <c r="K2370" i="27"/>
  <c r="K1786" i="27"/>
  <c r="K2426" i="27"/>
  <c r="K1717" i="27"/>
  <c r="K2357" i="27"/>
  <c r="K1731" i="27"/>
  <c r="K2371" i="27"/>
  <c r="K1712" i="27"/>
  <c r="K2352" i="27"/>
  <c r="K1784" i="27"/>
  <c r="K2424" i="27"/>
  <c r="K1874" i="27"/>
  <c r="K2514" i="27"/>
  <c r="K1663" i="27"/>
  <c r="K2303" i="27"/>
  <c r="K1801" i="27"/>
  <c r="K2441" i="27"/>
  <c r="K1693" i="27"/>
  <c r="K2333" i="27"/>
  <c r="K1903" i="27"/>
  <c r="K2543" i="27"/>
  <c r="K1817" i="27"/>
  <c r="K2457" i="27"/>
  <c r="K1856" i="27"/>
  <c r="K2496" i="27"/>
  <c r="K1697" i="27"/>
  <c r="K2337" i="27"/>
  <c r="K1753" i="27"/>
  <c r="K2393" i="27"/>
  <c r="K1902" i="27"/>
  <c r="K2542" i="27"/>
  <c r="K1819" i="27"/>
  <c r="K2459" i="27"/>
  <c r="L1067" i="32"/>
  <c r="O1067" i="32" s="1" a="1"/>
  <c r="O1067" i="32" s="1"/>
  <c r="M2475" i="27" s="1"/>
  <c r="A2475" i="27" s="1"/>
  <c r="K1835" i="27"/>
  <c r="L1093" i="32"/>
  <c r="M1093" i="32" s="1" a="1"/>
  <c r="M1093" i="32" s="1"/>
  <c r="D1093" i="32" s="1"/>
  <c r="K1848" i="27"/>
  <c r="L1069" i="32"/>
  <c r="O1069" i="32" s="1" a="1"/>
  <c r="O1069" i="32" s="1"/>
  <c r="M2476" i="27" s="1"/>
  <c r="A2476" i="27" s="1"/>
  <c r="K1836" i="27"/>
  <c r="L1085" i="32"/>
  <c r="R1085" i="32" s="1" a="1"/>
  <c r="R1085" i="32" s="1"/>
  <c r="P2484" i="27" s="1"/>
  <c r="K1844" i="27"/>
  <c r="L1071" i="32"/>
  <c r="K1837" i="27"/>
  <c r="L1079" i="32"/>
  <c r="N1079" i="32" s="1" a="1"/>
  <c r="N1079" i="32" s="1"/>
  <c r="E1079" i="32" s="1"/>
  <c r="F2481" i="27" s="1"/>
  <c r="K1841" i="27"/>
  <c r="L1095" i="32"/>
  <c r="O1095" i="32" s="1" a="1"/>
  <c r="O1095" i="32" s="1"/>
  <c r="M2489" i="27" s="1"/>
  <c r="A2489" i="27" s="1"/>
  <c r="K1849" i="27"/>
  <c r="L1063" i="32"/>
  <c r="M1063" i="32" s="1" a="1"/>
  <c r="M1063" i="32" s="1"/>
  <c r="D1063" i="32" s="1"/>
  <c r="K1833" i="27"/>
  <c r="L1075" i="32"/>
  <c r="M1075" i="32" s="1" a="1"/>
  <c r="M1075" i="32" s="1"/>
  <c r="D1075" i="32" s="1"/>
  <c r="K1839" i="27"/>
  <c r="L1097" i="32"/>
  <c r="N1097" i="32" s="1" a="1"/>
  <c r="N1097" i="32" s="1"/>
  <c r="E1097" i="32" s="1"/>
  <c r="F2490" i="27" s="1"/>
  <c r="K1850" i="27"/>
  <c r="L1091" i="32"/>
  <c r="M1091" i="32" s="1" a="1"/>
  <c r="M1091" i="32" s="1"/>
  <c r="D1091" i="32" s="1"/>
  <c r="K1847" i="27"/>
  <c r="L1099" i="32"/>
  <c r="N1099" i="32" s="1" a="1"/>
  <c r="N1099" i="32" s="1"/>
  <c r="E1099" i="32" s="1"/>
  <c r="F2491" i="27" s="1"/>
  <c r="K1851" i="27"/>
  <c r="L1081" i="32"/>
  <c r="O1081" i="32" s="1" a="1"/>
  <c r="O1081" i="32" s="1"/>
  <c r="M2482" i="27" s="1"/>
  <c r="A2482" i="27" s="1"/>
  <c r="K1842" i="27"/>
  <c r="L1061" i="32"/>
  <c r="N1061" i="32" s="1" a="1"/>
  <c r="N1061" i="32" s="1"/>
  <c r="E1061" i="32" s="1"/>
  <c r="F2472" i="27" s="1"/>
  <c r="K1832" i="27"/>
  <c r="L1089" i="32"/>
  <c r="R1089" i="32" s="1" a="1"/>
  <c r="R1089" i="32" s="1"/>
  <c r="P2486" i="27" s="1"/>
  <c r="K1846" i="27"/>
  <c r="L1065" i="32"/>
  <c r="O1065" i="32" s="1" a="1"/>
  <c r="O1065" i="32" s="1"/>
  <c r="M2474" i="27" s="1"/>
  <c r="A2474" i="27" s="1"/>
  <c r="K1834" i="27"/>
  <c r="L1073" i="32"/>
  <c r="O1073" i="32" s="1" a="1"/>
  <c r="O1073" i="32" s="1"/>
  <c r="M2478" i="27" s="1"/>
  <c r="A2478" i="27" s="1"/>
  <c r="K1838" i="27"/>
  <c r="L1077" i="32"/>
  <c r="R1077" i="32" s="1" a="1"/>
  <c r="R1077" i="32" s="1"/>
  <c r="P2480" i="27" s="1"/>
  <c r="K1840" i="27"/>
  <c r="L1087" i="32"/>
  <c r="O1087" i="32" s="1" a="1"/>
  <c r="O1087" i="32" s="1"/>
  <c r="M2485" i="27" s="1"/>
  <c r="A2485" i="27" s="1"/>
  <c r="K1845" i="27"/>
  <c r="BC17" i="30"/>
  <c r="BH17" i="30" s="1"/>
  <c r="BJ17" i="30" s="1"/>
  <c r="AO17" i="30" s="1"/>
  <c r="G1157" i="27"/>
  <c r="E1161" i="27"/>
  <c r="J1157" i="27"/>
  <c r="H1157" i="27"/>
  <c r="I1157" i="27"/>
  <c r="K1093" i="27"/>
  <c r="K1243" i="27"/>
  <c r="K1147" i="27"/>
  <c r="K1297" i="27"/>
  <c r="K1100" i="27"/>
  <c r="K1250" i="27"/>
  <c r="K1105" i="27"/>
  <c r="K1255" i="27"/>
  <c r="K1026" i="27"/>
  <c r="K1176" i="27"/>
  <c r="K1005" i="27"/>
  <c r="K1155" i="27"/>
  <c r="K1057" i="27"/>
  <c r="K1207" i="27"/>
  <c r="K1006" i="27"/>
  <c r="K1156" i="27"/>
  <c r="K1120" i="27"/>
  <c r="K1270" i="27"/>
  <c r="K1049" i="27"/>
  <c r="K1199" i="27"/>
  <c r="K1114" i="27"/>
  <c r="K1264" i="27"/>
  <c r="K1020" i="27"/>
  <c r="K1170" i="27"/>
  <c r="K1055" i="27"/>
  <c r="K1205" i="27"/>
  <c r="K1117" i="27"/>
  <c r="K1267" i="27"/>
  <c r="K1138" i="27"/>
  <c r="K1288" i="27"/>
  <c r="K1143" i="27"/>
  <c r="K1293" i="27"/>
  <c r="K1089" i="27"/>
  <c r="K1239" i="27"/>
  <c r="K1047" i="27"/>
  <c r="K1197" i="27"/>
  <c r="K1032" i="27"/>
  <c r="K1182" i="27"/>
  <c r="K1111" i="27"/>
  <c r="K1261" i="27"/>
  <c r="K1033" i="27"/>
  <c r="K1183" i="27"/>
  <c r="K1104" i="27"/>
  <c r="K1254" i="27"/>
  <c r="K1121" i="27"/>
  <c r="K1271" i="27"/>
  <c r="K1125" i="27"/>
  <c r="K1275" i="27"/>
  <c r="K1131" i="27"/>
  <c r="K1281" i="27"/>
  <c r="K1144" i="27"/>
  <c r="K1294" i="27"/>
  <c r="K1056" i="27"/>
  <c r="K1206" i="27"/>
  <c r="K1022" i="27"/>
  <c r="K1172" i="27"/>
  <c r="K1035" i="27"/>
  <c r="K1185" i="27"/>
  <c r="K1148" i="27"/>
  <c r="K1298" i="27"/>
  <c r="K1080" i="27"/>
  <c r="K1230" i="27"/>
  <c r="K1084" i="27"/>
  <c r="K1234" i="27"/>
  <c r="K1009" i="27"/>
  <c r="K1159" i="27"/>
  <c r="K1146" i="27"/>
  <c r="K1296" i="27"/>
  <c r="K1115" i="27"/>
  <c r="K1265" i="27"/>
  <c r="K1134" i="27"/>
  <c r="K1284" i="27"/>
  <c r="K1050" i="27"/>
  <c r="K1200" i="27"/>
  <c r="K1037" i="27"/>
  <c r="K1187" i="27"/>
  <c r="K1019" i="27"/>
  <c r="K1169" i="27"/>
  <c r="K1081" i="27"/>
  <c r="K1231" i="27"/>
  <c r="K1028" i="27"/>
  <c r="K1178" i="27"/>
  <c r="K1107" i="27"/>
  <c r="K1257" i="27"/>
  <c r="K1040" i="27"/>
  <c r="K1190" i="27"/>
  <c r="K1145" i="27"/>
  <c r="K1295" i="27"/>
  <c r="K1085" i="27"/>
  <c r="K1235" i="27"/>
  <c r="K1054" i="27"/>
  <c r="K1204" i="27"/>
  <c r="K1016" i="27"/>
  <c r="K1166" i="27"/>
  <c r="K1041" i="27"/>
  <c r="K1191" i="27"/>
  <c r="K1133" i="27"/>
  <c r="K1283" i="27"/>
  <c r="K1096" i="27"/>
  <c r="K1246" i="27"/>
  <c r="K1150" i="27"/>
  <c r="K1300" i="27"/>
  <c r="K1051" i="27"/>
  <c r="K1201" i="27"/>
  <c r="K1094" i="27"/>
  <c r="K1244" i="27"/>
  <c r="K1149" i="27"/>
  <c r="K1299" i="27"/>
  <c r="K1075" i="27"/>
  <c r="K1225" i="27"/>
  <c r="K1058" i="27"/>
  <c r="K1208" i="27"/>
  <c r="K1062" i="27"/>
  <c r="K1212" i="27"/>
  <c r="K1118" i="27"/>
  <c r="K1268" i="27"/>
  <c r="K1042" i="27"/>
  <c r="K1192" i="27"/>
  <c r="K1136" i="27"/>
  <c r="K1286" i="27"/>
  <c r="K1076" i="27"/>
  <c r="K1226" i="27"/>
  <c r="K1065" i="27"/>
  <c r="K1215" i="27"/>
  <c r="K1029" i="27"/>
  <c r="K1179" i="27"/>
  <c r="K1106" i="27"/>
  <c r="K1256" i="27"/>
  <c r="K1132" i="27"/>
  <c r="K1282" i="27"/>
  <c r="K1099" i="27"/>
  <c r="K1249" i="27"/>
  <c r="K1112" i="27"/>
  <c r="K1262" i="27"/>
  <c r="K1036" i="27"/>
  <c r="K1186" i="27"/>
  <c r="K1053" i="27"/>
  <c r="K1203" i="27"/>
  <c r="K1141" i="27"/>
  <c r="K1291" i="27"/>
  <c r="K1108" i="27"/>
  <c r="K1258" i="27"/>
  <c r="K1142" i="27"/>
  <c r="K1292" i="27"/>
  <c r="K1116" i="27"/>
  <c r="K1266" i="27"/>
  <c r="K1010" i="27"/>
  <c r="K1160" i="27"/>
  <c r="K1021" i="27"/>
  <c r="K1171" i="27"/>
  <c r="K1030" i="27"/>
  <c r="K1180" i="27"/>
  <c r="K1074" i="27"/>
  <c r="K1224" i="27"/>
  <c r="K1152" i="27"/>
  <c r="K1302" i="27"/>
  <c r="K1097" i="27"/>
  <c r="K1247" i="27"/>
  <c r="K1012" i="27"/>
  <c r="K1162" i="27"/>
  <c r="K1098" i="27"/>
  <c r="K1248" i="27"/>
  <c r="K1008" i="27"/>
  <c r="K1158" i="27"/>
  <c r="K1092" i="27"/>
  <c r="K1242" i="27"/>
  <c r="K1130" i="27"/>
  <c r="K1280" i="27"/>
  <c r="K1015" i="27"/>
  <c r="K1165" i="27"/>
  <c r="K1122" i="27"/>
  <c r="K1272" i="27"/>
  <c r="K1079" i="27"/>
  <c r="K1229" i="27"/>
  <c r="K1123" i="27"/>
  <c r="K1273" i="27"/>
  <c r="K1017" i="27"/>
  <c r="K1167" i="27"/>
  <c r="K1083" i="27"/>
  <c r="K1233" i="27"/>
  <c r="K1071" i="27"/>
  <c r="K1221" i="27"/>
  <c r="K1044" i="27"/>
  <c r="K1194" i="27"/>
  <c r="K1024" i="27"/>
  <c r="K1174" i="27"/>
  <c r="K1109" i="27"/>
  <c r="K1259" i="27"/>
  <c r="K1128" i="27"/>
  <c r="K1278" i="27"/>
  <c r="K1046" i="27"/>
  <c r="K1196" i="27"/>
  <c r="K1095" i="27"/>
  <c r="K1245" i="27"/>
  <c r="K1124" i="27"/>
  <c r="K1274" i="27"/>
  <c r="K1023" i="27"/>
  <c r="K1173" i="27"/>
  <c r="K1013" i="27"/>
  <c r="K1163" i="27"/>
  <c r="K1060" i="27"/>
  <c r="K1210" i="27"/>
  <c r="K1101" i="27"/>
  <c r="K1251" i="27"/>
  <c r="K1091" i="27"/>
  <c r="K1241" i="27"/>
  <c r="K1126" i="27"/>
  <c r="K1276" i="27"/>
  <c r="K1014" i="27"/>
  <c r="K1164" i="27"/>
  <c r="K1052" i="27"/>
  <c r="K1202" i="27"/>
  <c r="K1034" i="27"/>
  <c r="K1184" i="27"/>
  <c r="K1045" i="27"/>
  <c r="K1195" i="27"/>
  <c r="K1139" i="27"/>
  <c r="K1289" i="27"/>
  <c r="K1072" i="27"/>
  <c r="K1222" i="27"/>
  <c r="K1025" i="27"/>
  <c r="K1175" i="27"/>
  <c r="K1113" i="27"/>
  <c r="K1263" i="27"/>
  <c r="K1153" i="27"/>
  <c r="K1303" i="27"/>
  <c r="K1077" i="27"/>
  <c r="K1227" i="27"/>
  <c r="K1038" i="27"/>
  <c r="K1188" i="27"/>
  <c r="K1135" i="27"/>
  <c r="K1285" i="27"/>
  <c r="K1064" i="27"/>
  <c r="K1214" i="27"/>
  <c r="K1066" i="27"/>
  <c r="K1216" i="27"/>
  <c r="K1129" i="27"/>
  <c r="K1279" i="27"/>
  <c r="K1103" i="27"/>
  <c r="K1253" i="27"/>
  <c r="K1090" i="27"/>
  <c r="K1240" i="27"/>
  <c r="K1087" i="27"/>
  <c r="K1237" i="27"/>
  <c r="K1059" i="27"/>
  <c r="K1209" i="27"/>
  <c r="K1061" i="27"/>
  <c r="K1211" i="27"/>
  <c r="K1043" i="27"/>
  <c r="K1193" i="27"/>
  <c r="K1140" i="27"/>
  <c r="K1290" i="27"/>
  <c r="K1082" i="27"/>
  <c r="K1232" i="27"/>
  <c r="K1069" i="27"/>
  <c r="K1219" i="27"/>
  <c r="K1070" i="27"/>
  <c r="K1220" i="27"/>
  <c r="K1068" i="27"/>
  <c r="K1218" i="27"/>
  <c r="K1067" i="27"/>
  <c r="K1217" i="27"/>
  <c r="K1088" i="27"/>
  <c r="K1238" i="27"/>
  <c r="K1031" i="27"/>
  <c r="K1181" i="27"/>
  <c r="K316" i="32"/>
  <c r="L316" i="32" s="1"/>
  <c r="N316" i="32" s="1" a="1"/>
  <c r="N316" i="32" s="1"/>
  <c r="E316" i="32" s="1"/>
  <c r="K1004" i="27"/>
  <c r="K1003" i="27"/>
  <c r="K1007" i="27"/>
  <c r="H634" i="27"/>
  <c r="E1461" i="27"/>
  <c r="K1405" i="27"/>
  <c r="K1555" i="27"/>
  <c r="K1339" i="27"/>
  <c r="K1489" i="27"/>
  <c r="K1351" i="27"/>
  <c r="K1501" i="27"/>
  <c r="K1362" i="27"/>
  <c r="K1512" i="27"/>
  <c r="K1377" i="27"/>
  <c r="K1527" i="27"/>
  <c r="K1388" i="27"/>
  <c r="K1538" i="27"/>
  <c r="K1406" i="27"/>
  <c r="K1556" i="27"/>
  <c r="K1340" i="27"/>
  <c r="K1490" i="27"/>
  <c r="K1357" i="27"/>
  <c r="K1507" i="27"/>
  <c r="K1359" i="27"/>
  <c r="K1509" i="27"/>
  <c r="K1372" i="27"/>
  <c r="K1522" i="27"/>
  <c r="K1396" i="27"/>
  <c r="K1546" i="27"/>
  <c r="K1398" i="27"/>
  <c r="K1548" i="27"/>
  <c r="K1338" i="27"/>
  <c r="K1488" i="27"/>
  <c r="K1348" i="27"/>
  <c r="K1498" i="27"/>
  <c r="K1384" i="27"/>
  <c r="K1534" i="27"/>
  <c r="K1371" i="27"/>
  <c r="K1521" i="27"/>
  <c r="K1389" i="27"/>
  <c r="K1539" i="27"/>
  <c r="K1403" i="27"/>
  <c r="K1553" i="27"/>
  <c r="K1347" i="27"/>
  <c r="K1497" i="27"/>
  <c r="K1352" i="27"/>
  <c r="K1502" i="27"/>
  <c r="K1383" i="27"/>
  <c r="K1533" i="27"/>
  <c r="K1370" i="27"/>
  <c r="K1520" i="27"/>
  <c r="K1390" i="27"/>
  <c r="K1540" i="27"/>
  <c r="K1402" i="27"/>
  <c r="K1552" i="27"/>
  <c r="K1342" i="27"/>
  <c r="K1492" i="27"/>
  <c r="K1360" i="27"/>
  <c r="K1510" i="27"/>
  <c r="K1386" i="27"/>
  <c r="K1536" i="27"/>
  <c r="K1368" i="27"/>
  <c r="K1518" i="27"/>
  <c r="K1394" i="27"/>
  <c r="K1544" i="27"/>
  <c r="K1365" i="27"/>
  <c r="K1515" i="27"/>
  <c r="K1404" i="27"/>
  <c r="K1554" i="27"/>
  <c r="K1349" i="27"/>
  <c r="K1499" i="27"/>
  <c r="K1358" i="27"/>
  <c r="K1508" i="27"/>
  <c r="K1378" i="27"/>
  <c r="K1528" i="27"/>
  <c r="K1369" i="27"/>
  <c r="K1519" i="27"/>
  <c r="K1395" i="27"/>
  <c r="K1545" i="27"/>
  <c r="K1345" i="27"/>
  <c r="K1495" i="27"/>
  <c r="K1400" i="27"/>
  <c r="K1550" i="27"/>
  <c r="K1353" i="27"/>
  <c r="K1503" i="27"/>
  <c r="K1361" i="27"/>
  <c r="K1511" i="27"/>
  <c r="K1379" i="27"/>
  <c r="K1529" i="27"/>
  <c r="K1376" i="27"/>
  <c r="K1526" i="27"/>
  <c r="K1391" i="27"/>
  <c r="K1541" i="27"/>
  <c r="K1399" i="27"/>
  <c r="K1549" i="27"/>
  <c r="K1387" i="27"/>
  <c r="K1537" i="27"/>
  <c r="K1373" i="27"/>
  <c r="K1523" i="27"/>
  <c r="K1397" i="27"/>
  <c r="K1547" i="27"/>
  <c r="K1344" i="27"/>
  <c r="K1494" i="27"/>
  <c r="K1354" i="27"/>
  <c r="K1504" i="27"/>
  <c r="K1363" i="27"/>
  <c r="K1513" i="27"/>
  <c r="K1380" i="27"/>
  <c r="K1530" i="27"/>
  <c r="K1375" i="27"/>
  <c r="K1525" i="27"/>
  <c r="K1346" i="27"/>
  <c r="K1496" i="27"/>
  <c r="K1355" i="27"/>
  <c r="K1505" i="27"/>
  <c r="K1367" i="27"/>
  <c r="K1517" i="27"/>
  <c r="K1382" i="27"/>
  <c r="K1532" i="27"/>
  <c r="K1374" i="27"/>
  <c r="K1524" i="27"/>
  <c r="K1401" i="27"/>
  <c r="K1551" i="27"/>
  <c r="K1343" i="27"/>
  <c r="K1493" i="27"/>
  <c r="K1356" i="27"/>
  <c r="K1506" i="27"/>
  <c r="K1364" i="27"/>
  <c r="K1514" i="27"/>
  <c r="K1385" i="27"/>
  <c r="K1535" i="27"/>
  <c r="K1393" i="27"/>
  <c r="K1543" i="27"/>
  <c r="K1407" i="27"/>
  <c r="K1557" i="27"/>
  <c r="K1341" i="27"/>
  <c r="K1491" i="27"/>
  <c r="K1350" i="27"/>
  <c r="K1500" i="27"/>
  <c r="K1366" i="27"/>
  <c r="K1516" i="27"/>
  <c r="K1381" i="27"/>
  <c r="K1531" i="27"/>
  <c r="K1392" i="27"/>
  <c r="K1542" i="27"/>
  <c r="L46" i="32"/>
  <c r="M46" i="32" s="1" a="1"/>
  <c r="M46" i="32" s="1"/>
  <c r="D46" i="32" s="1"/>
  <c r="K1326" i="27"/>
  <c r="L44" i="32"/>
  <c r="O44" i="32" s="1" a="1"/>
  <c r="O44" i="32" s="1"/>
  <c r="M1475" i="27" s="1"/>
  <c r="A1475" i="27" s="1"/>
  <c r="K1325" i="27"/>
  <c r="L36" i="32"/>
  <c r="R36" i="32" s="1" a="1"/>
  <c r="R36" i="32" s="1"/>
  <c r="P1471" i="27" s="1"/>
  <c r="K1321" i="27"/>
  <c r="L42" i="32"/>
  <c r="N42" i="32" s="1" a="1"/>
  <c r="N42" i="32" s="1"/>
  <c r="E42" i="32" s="1"/>
  <c r="F1474" i="27" s="1"/>
  <c r="K1324" i="27"/>
  <c r="L20" i="32"/>
  <c r="O20" i="32" s="1" a="1"/>
  <c r="O20" i="32" s="1"/>
  <c r="M1463" i="27" s="1"/>
  <c r="A1463" i="27" s="1"/>
  <c r="K1313" i="27"/>
  <c r="L38" i="32"/>
  <c r="O38" i="32" s="1" a="1"/>
  <c r="O38" i="32" s="1"/>
  <c r="M1472" i="27" s="1"/>
  <c r="A1472" i="27" s="1"/>
  <c r="K1322" i="27"/>
  <c r="L32" i="32"/>
  <c r="R32" i="32" s="1" a="1"/>
  <c r="R32" i="32" s="1"/>
  <c r="P1469" i="27" s="1"/>
  <c r="K1319" i="27"/>
  <c r="L40" i="32"/>
  <c r="M40" i="32" s="1" a="1"/>
  <c r="M40" i="32" s="1"/>
  <c r="D40" i="32" s="1"/>
  <c r="K1323" i="27"/>
  <c r="L30" i="32"/>
  <c r="M30" i="32" s="1" a="1"/>
  <c r="M30" i="32" s="1"/>
  <c r="D30" i="32" s="1"/>
  <c r="K1318" i="27"/>
  <c r="L48" i="32"/>
  <c r="N48" i="32" s="1" a="1"/>
  <c r="N48" i="32" s="1"/>
  <c r="E48" i="32" s="1"/>
  <c r="F1477" i="27" s="1"/>
  <c r="K1327" i="27"/>
  <c r="L34" i="32"/>
  <c r="O34" i="32" s="1" a="1"/>
  <c r="O34" i="32" s="1"/>
  <c r="M1470" i="27" s="1"/>
  <c r="A1470" i="27" s="1"/>
  <c r="K1320" i="27"/>
  <c r="BC15" i="30"/>
  <c r="BH15" i="30" s="1"/>
  <c r="BJ15" i="30" s="1"/>
  <c r="AO15" i="30" s="1"/>
  <c r="B635" i="27"/>
  <c r="M635" i="27"/>
  <c r="N635" i="27"/>
  <c r="BO17" i="31"/>
  <c r="BE11" i="30"/>
  <c r="BJ21" i="30"/>
  <c r="AO21" i="30" s="1"/>
  <c r="BO15" i="31"/>
  <c r="BC31" i="30"/>
  <c r="BH31" i="30" s="1"/>
  <c r="BJ31" i="30" s="1"/>
  <c r="AO31" i="30" s="1"/>
  <c r="BC37" i="30"/>
  <c r="BH37" i="30" s="1"/>
  <c r="BJ37" i="30" s="1"/>
  <c r="AO37" i="30" s="1"/>
  <c r="M1067" i="32" a="1"/>
  <c r="M1067" i="32" s="1"/>
  <c r="D1067" i="32" s="1"/>
  <c r="R1093" i="32" a="1"/>
  <c r="R1093" i="32" s="1"/>
  <c r="P2488" i="27" s="1"/>
  <c r="O1093" i="32" a="1"/>
  <c r="O1093" i="32" s="1"/>
  <c r="M2488" i="27" s="1"/>
  <c r="A2488" i="27" s="1"/>
  <c r="M1073" i="32" a="1"/>
  <c r="M1073" i="32" s="1"/>
  <c r="D1073" i="32" s="1"/>
  <c r="BV13" i="31"/>
  <c r="BA13" i="31" s="1"/>
  <c r="BO13" i="31"/>
  <c r="N1073" i="32" a="1"/>
  <c r="N1073" i="32" s="1"/>
  <c r="E1073" i="32" s="1"/>
  <c r="F2478" i="27" s="1"/>
  <c r="R1073" i="32" a="1"/>
  <c r="R1073" i="32" s="1"/>
  <c r="P2478" i="27" s="1"/>
  <c r="M1079" i="32" a="1"/>
  <c r="M1079" i="32" s="1"/>
  <c r="D1079" i="32" s="1"/>
  <c r="O1091" i="32" a="1"/>
  <c r="O1091" i="32" s="1"/>
  <c r="M2487" i="27" s="1"/>
  <c r="A2487" i="27" s="1"/>
  <c r="N1091" i="32" a="1"/>
  <c r="N1091" i="32" s="1"/>
  <c r="E1091" i="32" s="1"/>
  <c r="F2487" i="27" s="1"/>
  <c r="R1091" i="32" a="1"/>
  <c r="R1091" i="32" s="1"/>
  <c r="P2487" i="27" s="1"/>
  <c r="BC35" i="30"/>
  <c r="BH35" i="30" s="1"/>
  <c r="BJ35" i="30" s="1"/>
  <c r="AO35" i="30" s="1"/>
  <c r="C1421" i="32"/>
  <c r="O1079" i="32" a="1"/>
  <c r="O1079" i="32" s="1"/>
  <c r="M2481" i="27" s="1"/>
  <c r="A2481" i="27" s="1"/>
  <c r="BO21" i="31"/>
  <c r="BV21" i="31"/>
  <c r="BA21" i="31" s="1"/>
  <c r="BO29" i="31"/>
  <c r="BC9" i="30"/>
  <c r="BH9" i="30" s="1"/>
  <c r="BJ9" i="30" s="1"/>
  <c r="AO9" i="30" s="1"/>
  <c r="BC23" i="30"/>
  <c r="BH23" i="30" s="1"/>
  <c r="BJ23" i="30" s="1"/>
  <c r="AO23" i="30" s="1"/>
  <c r="C1445" i="32"/>
  <c r="C14" i="32"/>
  <c r="K1460" i="27" s="1"/>
  <c r="K621" i="32"/>
  <c r="BO23" i="31"/>
  <c r="BO33" i="31"/>
  <c r="BO37" i="31"/>
  <c r="R1069" i="32" a="1"/>
  <c r="R1069" i="32" s="1"/>
  <c r="P2476" i="27" s="1"/>
  <c r="N1069" i="32" a="1"/>
  <c r="N1069" i="32" s="1"/>
  <c r="E1069" i="32" s="1"/>
  <c r="F2476" i="27" s="1"/>
  <c r="BO31" i="31"/>
  <c r="BV33" i="31"/>
  <c r="BA33" i="31" s="1"/>
  <c r="BC33" i="30"/>
  <c r="BH33" i="30" s="1"/>
  <c r="BJ33" i="30" s="1"/>
  <c r="AO33" i="30" s="1"/>
  <c r="BC19" i="30"/>
  <c r="BH19" i="30" s="1"/>
  <c r="BJ19" i="30" s="1"/>
  <c r="AO19" i="30" s="1"/>
  <c r="BV17" i="31"/>
  <c r="BA17" i="31" s="1"/>
  <c r="BV31" i="31"/>
  <c r="BA31" i="31" s="1"/>
  <c r="C18" i="32"/>
  <c r="K1462" i="27" s="1"/>
  <c r="BC29" i="30"/>
  <c r="BH29" i="30" s="1"/>
  <c r="BJ29" i="30" s="1"/>
  <c r="AO29" i="30" s="1"/>
  <c r="C1449" i="32"/>
  <c r="C1425" i="32"/>
  <c r="C16" i="32"/>
  <c r="K1461" i="27" s="1"/>
  <c r="C1453" i="32"/>
  <c r="C1455" i="32"/>
  <c r="BC11" i="30"/>
  <c r="BH11" i="30" s="1"/>
  <c r="C10" i="32"/>
  <c r="K1458" i="27" s="1"/>
  <c r="C1451" i="32"/>
  <c r="C1441" i="32"/>
  <c r="C28" i="32"/>
  <c r="K1467" i="27" s="1"/>
  <c r="C1429" i="32"/>
  <c r="C1435" i="32"/>
  <c r="BO25" i="31"/>
  <c r="C24" i="32"/>
  <c r="K1465" i="27" s="1"/>
  <c r="C1459" i="32"/>
  <c r="C1437" i="32"/>
  <c r="C22" i="32"/>
  <c r="K1464" i="27" s="1"/>
  <c r="C1457" i="32"/>
  <c r="BO35" i="31"/>
  <c r="C26" i="32"/>
  <c r="K1466" i="27" s="1"/>
  <c r="BV35" i="31"/>
  <c r="BA35" i="31" s="1"/>
  <c r="C1433" i="32"/>
  <c r="C1443" i="32"/>
  <c r="C1431" i="32"/>
  <c r="C12" i="32"/>
  <c r="K1459" i="27" s="1"/>
  <c r="BV23" i="31"/>
  <c r="BA23" i="31" s="1"/>
  <c r="BV11" i="31"/>
  <c r="BA11" i="31" s="1"/>
  <c r="BC25" i="30"/>
  <c r="BH25" i="30" s="1"/>
  <c r="BJ25" i="30" s="1"/>
  <c r="AO25" i="30" s="1"/>
  <c r="BV25" i="31"/>
  <c r="BA25" i="31" s="1"/>
  <c r="BS27" i="31"/>
  <c r="BV27" i="31" s="1"/>
  <c r="BA27" i="31" s="1"/>
  <c r="BO27" i="31"/>
  <c r="E1307" i="27"/>
  <c r="B461" i="41"/>
  <c r="G1003" i="27"/>
  <c r="J1003" i="27"/>
  <c r="C352" i="41"/>
  <c r="H1003" i="27"/>
  <c r="BE50" i="33"/>
  <c r="C578" i="41"/>
  <c r="I1003" i="27"/>
  <c r="B469" i="41"/>
  <c r="BP49" i="33"/>
  <c r="BV19" i="31"/>
  <c r="BA19" i="31" s="1"/>
  <c r="C1439" i="32"/>
  <c r="C1447" i="32"/>
  <c r="BO19" i="31"/>
  <c r="N1071" i="32" a="1"/>
  <c r="N1071" i="32" s="1"/>
  <c r="E1071" i="32" s="1"/>
  <c r="F2477" i="27" s="1"/>
  <c r="M1071" i="32" a="1"/>
  <c r="M1071" i="32" s="1"/>
  <c r="D1071" i="32" s="1"/>
  <c r="O1071" i="32" a="1"/>
  <c r="O1071" i="32" s="1"/>
  <c r="M2477" i="27" s="1"/>
  <c r="A2477" i="27" s="1"/>
  <c r="R1071" i="32" a="1"/>
  <c r="R1071" i="32" s="1"/>
  <c r="P2477" i="27" s="1"/>
  <c r="O1063" i="32" a="1"/>
  <c r="O1063" i="32" s="1"/>
  <c r="M2473" i="27" s="1"/>
  <c r="A2473" i="27" s="1"/>
  <c r="O1075" i="32" a="1"/>
  <c r="O1075" i="32" s="1"/>
  <c r="M2479" i="27" s="1"/>
  <c r="A2479" i="27" s="1"/>
  <c r="N1075" i="32" a="1"/>
  <c r="N1075" i="32" s="1"/>
  <c r="E1075" i="32" s="1"/>
  <c r="F2479" i="27" s="1"/>
  <c r="BC27" i="30"/>
  <c r="BH27" i="30" s="1"/>
  <c r="BJ27" i="30" s="1"/>
  <c r="AO27" i="30" s="1"/>
  <c r="N1089" i="32" a="1"/>
  <c r="N1089" i="32" s="1"/>
  <c r="E1089" i="32" s="1"/>
  <c r="F2486" i="27" s="1"/>
  <c r="O1089" i="32" a="1"/>
  <c r="O1089" i="32" s="1"/>
  <c r="M2486" i="27" s="1"/>
  <c r="A2486" i="27" s="1"/>
  <c r="BO11" i="31"/>
  <c r="BC13" i="30"/>
  <c r="BH13" i="30" s="1"/>
  <c r="BJ13" i="30" s="1"/>
  <c r="AO13" i="30" s="1"/>
  <c r="BV37" i="31"/>
  <c r="BA37" i="31" s="1"/>
  <c r="BV29" i="31"/>
  <c r="BA29" i="31" s="1"/>
  <c r="N20" i="32" a="1"/>
  <c r="N20" i="32" s="1"/>
  <c r="E20" i="32" s="1"/>
  <c r="F1463" i="27" s="1"/>
  <c r="O30" i="32" a="1"/>
  <c r="O30" i="32" s="1"/>
  <c r="M1468" i="27" s="1"/>
  <c r="A1468" i="27" s="1"/>
  <c r="BV15" i="31"/>
  <c r="BA15" i="31" s="1"/>
  <c r="Q1213" i="32"/>
  <c r="E509" i="27"/>
  <c r="F513" i="27"/>
  <c r="I505" i="27"/>
  <c r="A1211" i="32"/>
  <c r="I3928" i="27"/>
  <c r="G505" i="27"/>
  <c r="A1213" i="32"/>
  <c r="H3928" i="27"/>
  <c r="G322" i="32"/>
  <c r="G1209" i="32"/>
  <c r="L1821" i="32" l="1"/>
  <c r="K1823" i="32"/>
  <c r="N36" i="32" a="1"/>
  <c r="N36" i="32" s="1"/>
  <c r="E36" i="32" s="1"/>
  <c r="F1471" i="27" s="1"/>
  <c r="A3928" i="27"/>
  <c r="M1089" i="32" a="1"/>
  <c r="M1089" i="32" s="1"/>
  <c r="D1089" i="32" s="1"/>
  <c r="R1079" i="32" a="1"/>
  <c r="R1079" i="32" s="1"/>
  <c r="P2481" i="27" s="1"/>
  <c r="F3930" i="27"/>
  <c r="N1067" i="32" a="1"/>
  <c r="N1067" i="32" s="1"/>
  <c r="E1067" i="32" s="1"/>
  <c r="F2475" i="27" s="1"/>
  <c r="R30" i="32" a="1"/>
  <c r="R30" i="32" s="1"/>
  <c r="P1468" i="27" s="1"/>
  <c r="M36" i="32" a="1"/>
  <c r="M36" i="32" s="1"/>
  <c r="D36" i="32" s="1"/>
  <c r="M1097" i="32" a="1"/>
  <c r="M1097" i="32" s="1"/>
  <c r="D1097" i="32" s="1"/>
  <c r="M1061" i="32" a="1"/>
  <c r="M1061" i="32" s="1"/>
  <c r="D1061" i="32" s="1"/>
  <c r="O1061" i="32" a="1"/>
  <c r="O1061" i="32" s="1"/>
  <c r="M2472" i="27" s="1"/>
  <c r="A2472" i="27" s="1"/>
  <c r="N1063" i="32" a="1"/>
  <c r="N1063" i="32" s="1"/>
  <c r="E1063" i="32" s="1"/>
  <c r="F2473" i="27" s="1"/>
  <c r="R1061" i="32" a="1"/>
  <c r="R1061" i="32" s="1"/>
  <c r="P2472" i="27" s="1"/>
  <c r="R1063" i="32" a="1"/>
  <c r="R1063" i="32" s="1"/>
  <c r="P2473" i="27" s="1"/>
  <c r="N1093" i="32" a="1"/>
  <c r="N1093" i="32" s="1"/>
  <c r="E1093" i="32" s="1"/>
  <c r="F2488" i="27" s="1"/>
  <c r="N30" i="32" a="1"/>
  <c r="N30" i="32" s="1"/>
  <c r="E30" i="32" s="1"/>
  <c r="F1468" i="27" s="1"/>
  <c r="R1075" i="32" a="1"/>
  <c r="R1075" i="32" s="1"/>
  <c r="P2479" i="27" s="1"/>
  <c r="O36" i="32" a="1"/>
  <c r="O36" i="32" s="1"/>
  <c r="M1471" i="27" s="1"/>
  <c r="A1471" i="27" s="1"/>
  <c r="M1069" i="32" a="1"/>
  <c r="M1069" i="32" s="1"/>
  <c r="D1069" i="32" s="1"/>
  <c r="R1099" i="32" a="1"/>
  <c r="R1099" i="32" s="1"/>
  <c r="P2491" i="27" s="1"/>
  <c r="N1077" i="32" a="1"/>
  <c r="N1077" i="32" s="1"/>
  <c r="E1077" i="32" s="1"/>
  <c r="F2480" i="27" s="1"/>
  <c r="M1099" i="32" a="1"/>
  <c r="M1099" i="32" s="1"/>
  <c r="D1099" i="32" s="1"/>
  <c r="O1099" i="32" a="1"/>
  <c r="O1099" i="32" s="1"/>
  <c r="M2491" i="27" s="1"/>
  <c r="A2491" i="27" s="1"/>
  <c r="R38" i="32" a="1"/>
  <c r="R38" i="32" s="1"/>
  <c r="P1472" i="27" s="1"/>
  <c r="K318" i="32"/>
  <c r="K320" i="32" s="1"/>
  <c r="K322" i="32" s="1"/>
  <c r="K324" i="32" s="1"/>
  <c r="K326" i="32" s="1"/>
  <c r="K328" i="32" s="1"/>
  <c r="K330" i="32" s="1"/>
  <c r="N1081" i="32" a="1"/>
  <c r="N1081" i="32" s="1"/>
  <c r="E1081" i="32" s="1"/>
  <c r="F2482" i="27" s="1"/>
  <c r="R1067" i="32" a="1"/>
  <c r="R1067" i="32" s="1"/>
  <c r="P2475" i="27" s="1"/>
  <c r="R1097" i="32" a="1"/>
  <c r="R1097" i="32" s="1"/>
  <c r="P2490" i="27" s="1"/>
  <c r="N1095" i="32" a="1"/>
  <c r="N1095" i="32" s="1"/>
  <c r="E1095" i="32" s="1"/>
  <c r="F2489" i="27" s="1"/>
  <c r="M1077" i="32" a="1"/>
  <c r="M1077" i="32" s="1"/>
  <c r="D1077" i="32" s="1"/>
  <c r="O1077" i="32" a="1"/>
  <c r="O1077" i="32" s="1"/>
  <c r="M2480" i="27" s="1"/>
  <c r="A2480" i="27" s="1"/>
  <c r="M38" i="32" a="1"/>
  <c r="M38" i="32" s="1"/>
  <c r="D38" i="32" s="1"/>
  <c r="E2546" i="27"/>
  <c r="K2548" i="27"/>
  <c r="H2547" i="27"/>
  <c r="I2547" i="27"/>
  <c r="K2547" i="27"/>
  <c r="G2547" i="27"/>
  <c r="J2547" i="27"/>
  <c r="N2547" i="27"/>
  <c r="R1065" i="32" a="1"/>
  <c r="R1065" i="32" s="1"/>
  <c r="P2474" i="27" s="1"/>
  <c r="R48" i="32" a="1"/>
  <c r="R48" i="32" s="1"/>
  <c r="P1477" i="27" s="1"/>
  <c r="K1908" i="27"/>
  <c r="K1907" i="27"/>
  <c r="O1097" i="32" a="1"/>
  <c r="O1097" i="32" s="1"/>
  <c r="M2490" i="27" s="1"/>
  <c r="A2490" i="27" s="1"/>
  <c r="M1081" i="32" a="1"/>
  <c r="M1081" i="32" s="1"/>
  <c r="D1081" i="32" s="1"/>
  <c r="N1087" i="32" a="1"/>
  <c r="N1087" i="32" s="1"/>
  <c r="E1087" i="32" s="1"/>
  <c r="F2485" i="27" s="1"/>
  <c r="R1081" i="32" a="1"/>
  <c r="R1081" i="32" s="1"/>
  <c r="P2482" i="27" s="1"/>
  <c r="R1095" i="32" a="1"/>
  <c r="R1095" i="32" s="1"/>
  <c r="P2489" i="27" s="1"/>
  <c r="N38" i="32" a="1"/>
  <c r="N38" i="32" s="1"/>
  <c r="E38" i="32" s="1"/>
  <c r="F1472" i="27" s="1"/>
  <c r="M1095" i="32" a="1"/>
  <c r="M1095" i="32" s="1"/>
  <c r="D1095" i="32" s="1"/>
  <c r="N1065" i="32" a="1"/>
  <c r="N1065" i="32" s="1"/>
  <c r="E1065" i="32" s="1"/>
  <c r="F2474" i="27" s="1"/>
  <c r="M1087" i="32" a="1"/>
  <c r="M1087" i="32" s="1"/>
  <c r="D1087" i="32" s="1"/>
  <c r="O32" i="32" a="1"/>
  <c r="O32" i="32" s="1"/>
  <c r="M1469" i="27" s="1"/>
  <c r="A1469" i="27" s="1"/>
  <c r="M1085" i="32" a="1"/>
  <c r="M1085" i="32" s="1"/>
  <c r="D1085" i="32" s="1"/>
  <c r="R1087" i="32" a="1"/>
  <c r="R1087" i="32" s="1"/>
  <c r="P2485" i="27" s="1"/>
  <c r="O1085" i="32" a="1"/>
  <c r="O1085" i="32" s="1"/>
  <c r="M2484" i="27" s="1"/>
  <c r="A2484" i="27" s="1"/>
  <c r="O46" i="32" a="1"/>
  <c r="O46" i="32" s="1"/>
  <c r="M1476" i="27" s="1"/>
  <c r="A1476" i="27" s="1"/>
  <c r="R46" i="32" a="1"/>
  <c r="R46" i="32" s="1"/>
  <c r="P1476" i="27" s="1"/>
  <c r="N46" i="32" a="1"/>
  <c r="N46" i="32" s="1"/>
  <c r="E46" i="32" s="1"/>
  <c r="F1476" i="27" s="1"/>
  <c r="M1065" i="32" a="1"/>
  <c r="M1065" i="32" s="1"/>
  <c r="D1065" i="32" s="1"/>
  <c r="N1085" i="32" a="1"/>
  <c r="N1085" i="32" s="1"/>
  <c r="E1085" i="32" s="1"/>
  <c r="F2484" i="27" s="1"/>
  <c r="M34" i="32" a="1"/>
  <c r="M34" i="32" s="1"/>
  <c r="D34" i="32" s="1"/>
  <c r="N44" i="32" a="1"/>
  <c r="N44" i="32" s="1"/>
  <c r="E44" i="32" s="1"/>
  <c r="F1475" i="27" s="1"/>
  <c r="N32" i="32" a="1"/>
  <c r="N32" i="32" s="1"/>
  <c r="E32" i="32" s="1"/>
  <c r="F1469" i="27" s="1"/>
  <c r="M32" i="32" a="1"/>
  <c r="M32" i="32" s="1"/>
  <c r="D32" i="32" s="1"/>
  <c r="N34" i="32" a="1"/>
  <c r="N34" i="32" s="1"/>
  <c r="E34" i="32" s="1"/>
  <c r="F1470" i="27" s="1"/>
  <c r="M20" i="32" a="1"/>
  <c r="M20" i="32" s="1"/>
  <c r="D20" i="32" s="1"/>
  <c r="R34" i="32" a="1"/>
  <c r="R34" i="32" s="1"/>
  <c r="P1470" i="27" s="1"/>
  <c r="R20" i="32" a="1"/>
  <c r="R20" i="32" s="1"/>
  <c r="P1463" i="27" s="1"/>
  <c r="O48" i="32" a="1"/>
  <c r="O48" i="32" s="1"/>
  <c r="M1477" i="27" s="1"/>
  <c r="A1477" i="27" s="1"/>
  <c r="O42" i="32" a="1"/>
  <c r="O42" i="32" s="1"/>
  <c r="M1474" i="27" s="1"/>
  <c r="A1474" i="27" s="1"/>
  <c r="R42" i="32" a="1"/>
  <c r="R42" i="32" s="1"/>
  <c r="P1474" i="27" s="1"/>
  <c r="R40" i="32" a="1"/>
  <c r="R40" i="32" s="1"/>
  <c r="P1473" i="27" s="1"/>
  <c r="M44" i="32" a="1"/>
  <c r="M44" i="32" s="1"/>
  <c r="D44" i="32" s="1"/>
  <c r="O40" i="32" a="1"/>
  <c r="O40" i="32" s="1"/>
  <c r="M1473" i="27" s="1"/>
  <c r="A1473" i="27" s="1"/>
  <c r="M42" i="32" a="1"/>
  <c r="M42" i="32" s="1"/>
  <c r="D42" i="32" s="1"/>
  <c r="M48" i="32" a="1"/>
  <c r="M48" i="32" s="1"/>
  <c r="D48" i="32" s="1"/>
  <c r="E1157" i="27"/>
  <c r="R44" i="32" a="1"/>
  <c r="R44" i="32" s="1"/>
  <c r="P1475" i="27" s="1"/>
  <c r="N40" i="32" a="1"/>
  <c r="N40" i="32" s="1"/>
  <c r="E40" i="32" s="1"/>
  <c r="F1473" i="27" s="1"/>
  <c r="BJ11" i="30"/>
  <c r="AO11" i="30" s="1"/>
  <c r="B5" i="30" s="1"/>
  <c r="L28" i="32"/>
  <c r="M28" i="32" s="1" a="1"/>
  <c r="M28" i="32" s="1"/>
  <c r="D28" i="32" s="1"/>
  <c r="K1317" i="27"/>
  <c r="L26" i="32"/>
  <c r="O26" i="32" s="1" a="1"/>
  <c r="O26" i="32" s="1"/>
  <c r="M1466" i="27" s="1"/>
  <c r="A1466" i="27" s="1"/>
  <c r="K1316" i="27"/>
  <c r="K10" i="32"/>
  <c r="L10" i="32" s="1"/>
  <c r="M10" i="32" s="1" a="1"/>
  <c r="M10" i="32" s="1"/>
  <c r="D10" i="32" s="1"/>
  <c r="K1308" i="27"/>
  <c r="L22" i="32"/>
  <c r="O22" i="32" s="1" a="1"/>
  <c r="O22" i="32" s="1"/>
  <c r="M1464" i="27" s="1"/>
  <c r="A1464" i="27" s="1"/>
  <c r="K1314" i="27"/>
  <c r="L16" i="32"/>
  <c r="N16" i="32" s="1" a="1"/>
  <c r="N16" i="32" s="1"/>
  <c r="E16" i="32" s="1"/>
  <c r="K1311" i="27"/>
  <c r="L24" i="32"/>
  <c r="M24" i="32" s="1" a="1"/>
  <c r="M24" i="32" s="1"/>
  <c r="D24" i="32" s="1"/>
  <c r="K1315" i="27"/>
  <c r="L14" i="32"/>
  <c r="R14" i="32" s="1" a="1"/>
  <c r="R14" i="32" s="1"/>
  <c r="P1460" i="27" s="1"/>
  <c r="K1310" i="27"/>
  <c r="L12" i="32"/>
  <c r="O12" i="32" s="1" a="1"/>
  <c r="O12" i="32" s="1"/>
  <c r="M1459" i="27" s="1"/>
  <c r="A1459" i="27" s="1"/>
  <c r="K1309" i="27"/>
  <c r="L18" i="32"/>
  <c r="M18" i="32" s="1" a="1"/>
  <c r="M18" i="32" s="1"/>
  <c r="D18" i="32" s="1"/>
  <c r="K1312" i="27"/>
  <c r="B636" i="27"/>
  <c r="N636" i="27"/>
  <c r="M636" i="27"/>
  <c r="H635" i="27"/>
  <c r="K623" i="32"/>
  <c r="L621" i="32"/>
  <c r="K332" i="32"/>
  <c r="L330" i="32"/>
  <c r="L322" i="32"/>
  <c r="R322" i="32" s="1" a="1"/>
  <c r="R322" i="32" s="1"/>
  <c r="P1157" i="27" s="1"/>
  <c r="L320" i="32"/>
  <c r="L326" i="32"/>
  <c r="L318" i="32"/>
  <c r="L328" i="32"/>
  <c r="L324" i="32"/>
  <c r="K1307" i="27"/>
  <c r="O316" i="32" a="1"/>
  <c r="O316" i="32" s="1"/>
  <c r="M1154" i="27" s="1"/>
  <c r="A1154" i="27" s="1"/>
  <c r="M316" i="32" a="1"/>
  <c r="M316" i="32" s="1"/>
  <c r="D316" i="32" s="1"/>
  <c r="R316" i="32" a="1"/>
  <c r="R316" i="32" s="1"/>
  <c r="P1154" i="27" s="1"/>
  <c r="N28" i="32" a="1"/>
  <c r="N28" i="32" s="1"/>
  <c r="E28" i="32" s="1"/>
  <c r="F1467" i="27" s="1"/>
  <c r="J47" i="41"/>
  <c r="CD11" i="33"/>
  <c r="CF11" i="33" s="1"/>
  <c r="CG11" i="33" s="1"/>
  <c r="BO11" i="33" s="1"/>
  <c r="BQ11" i="33" s="1"/>
  <c r="BS11" i="33" s="1"/>
  <c r="BB11" i="33" s="1"/>
  <c r="CD15" i="33"/>
  <c r="CF15" i="33" s="1"/>
  <c r="CG15" i="33" s="1"/>
  <c r="BO15" i="33" s="1"/>
  <c r="BQ15" i="33" s="1"/>
  <c r="BS15" i="33" s="1"/>
  <c r="BB15" i="33" s="1"/>
  <c r="J103" i="41"/>
  <c r="J831" i="41"/>
  <c r="CD91" i="33"/>
  <c r="CF91" i="33" s="1"/>
  <c r="CG91" i="33" s="1"/>
  <c r="BO91" i="33" s="1"/>
  <c r="BQ91" i="33" s="1"/>
  <c r="BS91" i="33" s="1"/>
  <c r="BB91" i="33" s="1"/>
  <c r="J719" i="41"/>
  <c r="CD59" i="33"/>
  <c r="CF59" i="33" s="1"/>
  <c r="CG59" i="33" s="1"/>
  <c r="BO59" i="33" s="1"/>
  <c r="BQ59" i="33" s="1"/>
  <c r="BS59" i="33" s="1"/>
  <c r="BB59" i="33" s="1"/>
  <c r="CD63" i="33"/>
  <c r="CF63" i="33" s="1"/>
  <c r="CG63" i="33" s="1"/>
  <c r="BO63" i="33" s="1"/>
  <c r="BQ63" i="33" s="1"/>
  <c r="BS63" i="33" s="1"/>
  <c r="BB63" i="33" s="1"/>
  <c r="J775" i="41"/>
  <c r="CD9" i="33"/>
  <c r="CF9" i="33" s="1"/>
  <c r="CG9" i="33" s="1"/>
  <c r="BO9" i="33" s="1"/>
  <c r="BQ9" i="33" s="1"/>
  <c r="BS9" i="33" s="1"/>
  <c r="BB9" i="33" s="1"/>
  <c r="J19" i="41"/>
  <c r="J523" i="41"/>
  <c r="CD45" i="33"/>
  <c r="CF45" i="33" s="1"/>
  <c r="CG45" i="33" s="1"/>
  <c r="BO45" i="33" s="1"/>
  <c r="BQ45" i="33" s="1"/>
  <c r="BS45" i="33" s="1"/>
  <c r="BB45" i="33" s="1"/>
  <c r="J803" i="41"/>
  <c r="CD65" i="33"/>
  <c r="CF65" i="33" s="1"/>
  <c r="CG65" i="33" s="1"/>
  <c r="BO65" i="33" s="1"/>
  <c r="BQ65" i="33" s="1"/>
  <c r="BS65" i="33" s="1"/>
  <c r="BB65" i="33" s="1"/>
  <c r="B357" i="41"/>
  <c r="CD35" i="33"/>
  <c r="CF35" i="33" s="1"/>
  <c r="CG35" i="33" s="1"/>
  <c r="BO35" i="33" s="1"/>
  <c r="BQ35" i="33" s="1"/>
  <c r="BS35" i="33" s="1"/>
  <c r="BB35" i="33" s="1"/>
  <c r="J383" i="41"/>
  <c r="J467" i="41"/>
  <c r="CD41" i="33"/>
  <c r="CD33" i="33"/>
  <c r="J355" i="41"/>
  <c r="J691" i="41"/>
  <c r="CD57" i="33"/>
  <c r="CF57" i="33" s="1"/>
  <c r="CG57" i="33" s="1"/>
  <c r="BO57" i="33" s="1"/>
  <c r="BQ57" i="33" s="1"/>
  <c r="BS57" i="33" s="1"/>
  <c r="BB57" i="33" s="1"/>
  <c r="J271" i="41"/>
  <c r="CD27" i="33"/>
  <c r="CF27" i="33" s="1"/>
  <c r="CG27" i="33" s="1"/>
  <c r="BO27" i="33" s="1"/>
  <c r="BQ27" i="33" s="1"/>
  <c r="BS27" i="33" s="1"/>
  <c r="BB27" i="33" s="1"/>
  <c r="CD21" i="33"/>
  <c r="CF21" i="33" s="1"/>
  <c r="CG21" i="33" s="1"/>
  <c r="BO21" i="33" s="1"/>
  <c r="BQ21" i="33" s="1"/>
  <c r="BS21" i="33" s="1"/>
  <c r="BB21" i="33" s="1"/>
  <c r="J187" i="41"/>
  <c r="J159" i="41"/>
  <c r="CD19" i="33"/>
  <c r="CF19" i="33" s="1"/>
  <c r="CG19" i="33" s="1"/>
  <c r="BO19" i="33" s="1"/>
  <c r="BQ19" i="33" s="1"/>
  <c r="BS19" i="33" s="1"/>
  <c r="BB19" i="33" s="1"/>
  <c r="J131" i="41"/>
  <c r="CD17" i="33"/>
  <c r="CF17" i="33" s="1"/>
  <c r="CG17" i="33" s="1"/>
  <c r="BO17" i="33" s="1"/>
  <c r="BQ17" i="33" s="1"/>
  <c r="BS17" i="33" s="1"/>
  <c r="BB17" i="33" s="1"/>
  <c r="J411" i="41"/>
  <c r="CD37" i="33"/>
  <c r="CF37" i="33" s="1"/>
  <c r="CG37" i="33" s="1"/>
  <c r="BO37" i="33" s="1"/>
  <c r="BQ37" i="33" s="1"/>
  <c r="BS37" i="33" s="1"/>
  <c r="BB37" i="33" s="1"/>
  <c r="J607" i="41"/>
  <c r="CD51" i="33"/>
  <c r="CF51" i="33" s="1"/>
  <c r="CG51" i="33" s="1"/>
  <c r="BO51" i="33" s="1"/>
  <c r="BQ51" i="33" s="1"/>
  <c r="BS51" i="33" s="1"/>
  <c r="BB51" i="33" s="1"/>
  <c r="CD29" i="33"/>
  <c r="CF29" i="33" s="1"/>
  <c r="CG29" i="33" s="1"/>
  <c r="BO29" i="33" s="1"/>
  <c r="BQ29" i="33" s="1"/>
  <c r="BS29" i="33" s="1"/>
  <c r="BB29" i="33" s="1"/>
  <c r="J299" i="41"/>
  <c r="CD13" i="33"/>
  <c r="CF13" i="33" s="1"/>
  <c r="CG13" i="33" s="1"/>
  <c r="BO13" i="33" s="1"/>
  <c r="BQ13" i="33" s="1"/>
  <c r="BS13" i="33" s="1"/>
  <c r="BB13" i="33" s="1"/>
  <c r="J75" i="41"/>
  <c r="J439" i="41"/>
  <c r="CD39" i="33"/>
  <c r="CF39" i="33" s="1"/>
  <c r="CG39" i="33" s="1"/>
  <c r="BO39" i="33" s="1"/>
  <c r="BQ39" i="33" s="1"/>
  <c r="BS39" i="33" s="1"/>
  <c r="BB39" i="33" s="1"/>
  <c r="CD31" i="33"/>
  <c r="CF31" i="33" s="1"/>
  <c r="CG31" i="33" s="1"/>
  <c r="BO31" i="33" s="1"/>
  <c r="BQ31" i="33" s="1"/>
  <c r="BS31" i="33" s="1"/>
  <c r="BB31" i="33" s="1"/>
  <c r="J327" i="41"/>
  <c r="CD25" i="33"/>
  <c r="CF25" i="33" s="1"/>
  <c r="CG25" i="33" s="1"/>
  <c r="BO25" i="33" s="1"/>
  <c r="BQ25" i="33" s="1"/>
  <c r="BS25" i="33" s="1"/>
  <c r="BB25" i="33" s="1"/>
  <c r="J243" i="41"/>
  <c r="J635" i="41"/>
  <c r="CD53" i="33"/>
  <c r="CF53" i="33" s="1"/>
  <c r="CG53" i="33" s="1"/>
  <c r="BO53" i="33" s="1"/>
  <c r="BQ53" i="33" s="1"/>
  <c r="BS53" i="33" s="1"/>
  <c r="BB53" i="33" s="1"/>
  <c r="J495" i="41"/>
  <c r="CD43" i="33"/>
  <c r="CF43" i="33" s="1"/>
  <c r="CG43" i="33" s="1"/>
  <c r="BO43" i="33" s="1"/>
  <c r="BQ43" i="33" s="1"/>
  <c r="BS43" i="33" s="1"/>
  <c r="BB43" i="33" s="1"/>
  <c r="J663" i="41"/>
  <c r="CD55" i="33"/>
  <c r="CF55" i="33" s="1"/>
  <c r="CG55" i="33" s="1"/>
  <c r="BO55" i="33" s="1"/>
  <c r="BQ55" i="33" s="1"/>
  <c r="BS55" i="33" s="1"/>
  <c r="BB55" i="33" s="1"/>
  <c r="J215" i="41"/>
  <c r="CD23" i="33"/>
  <c r="CF23" i="33" s="1"/>
  <c r="CG23" i="33" s="1"/>
  <c r="BO23" i="33" s="1"/>
  <c r="BQ23" i="33" s="1"/>
  <c r="BS23" i="33" s="1"/>
  <c r="BB23" i="33" s="1"/>
  <c r="J551" i="41"/>
  <c r="CD47" i="33"/>
  <c r="CF47" i="33" s="1"/>
  <c r="CG47" i="33" s="1"/>
  <c r="BO47" i="33" s="1"/>
  <c r="BQ47" i="33" s="1"/>
  <c r="BS47" i="33" s="1"/>
  <c r="BB47" i="33" s="1"/>
  <c r="J747" i="41"/>
  <c r="CD61" i="33"/>
  <c r="CF61" i="33" s="1"/>
  <c r="CG61" i="33" s="1"/>
  <c r="BO61" i="33" s="1"/>
  <c r="BQ61" i="33" s="1"/>
  <c r="BS61" i="33" s="1"/>
  <c r="BB61" i="33" s="1"/>
  <c r="CD49" i="33"/>
  <c r="J579" i="41"/>
  <c r="B349" i="41"/>
  <c r="E1003" i="27"/>
  <c r="C466" i="41"/>
  <c r="BE42" i="33"/>
  <c r="BE49" i="33"/>
  <c r="BD49" i="33" s="1"/>
  <c r="C577" i="41"/>
  <c r="M16" i="32" a="1"/>
  <c r="M16" i="32" s="1"/>
  <c r="D16" i="32" s="1"/>
  <c r="Q1215" i="32"/>
  <c r="F49" i="33"/>
  <c r="G1211" i="32"/>
  <c r="F509" i="27"/>
  <c r="I3929" i="27"/>
  <c r="A1215" i="32"/>
  <c r="H3929" i="27"/>
  <c r="P509" i="27"/>
  <c r="R509" i="27"/>
  <c r="E505" i="27"/>
  <c r="L1823" i="32" l="1"/>
  <c r="K1825" i="32"/>
  <c r="R1821" i="32" a="1"/>
  <c r="R1821" i="32" s="1"/>
  <c r="O1821" i="32" a="1"/>
  <c r="O1821" i="32" s="1"/>
  <c r="N1821" i="32" a="1"/>
  <c r="N1821" i="32" s="1"/>
  <c r="E1821" i="32" s="1"/>
  <c r="M1821" i="32" a="1"/>
  <c r="M1821" i="32" s="1"/>
  <c r="D1821" i="32" s="1"/>
  <c r="A3929" i="27"/>
  <c r="F3931" i="27"/>
  <c r="R16" i="32" a="1"/>
  <c r="R16" i="32" s="1"/>
  <c r="P1461" i="27" s="1"/>
  <c r="O16" i="32" a="1"/>
  <c r="O16" i="32" s="1"/>
  <c r="J2548" i="27"/>
  <c r="G2548" i="27"/>
  <c r="I2548" i="27"/>
  <c r="N2548" i="27"/>
  <c r="H2548" i="27"/>
  <c r="K2549" i="27"/>
  <c r="E2547" i="27"/>
  <c r="K1909" i="27"/>
  <c r="O28" i="32" a="1"/>
  <c r="O28" i="32" s="1"/>
  <c r="M1467" i="27" s="1"/>
  <c r="A1467" i="27" s="1"/>
  <c r="O10" i="32" a="1"/>
  <c r="O10" i="32" s="1"/>
  <c r="M1458" i="27" s="1"/>
  <c r="A1458" i="27" s="1"/>
  <c r="K12" i="32"/>
  <c r="K14" i="32" s="1"/>
  <c r="K16" i="32" s="1"/>
  <c r="K18" i="32" s="1"/>
  <c r="K20" i="32" s="1"/>
  <c r="K22" i="32" s="1"/>
  <c r="K24" i="32" s="1"/>
  <c r="K26" i="32" s="1"/>
  <c r="K28" i="32" s="1"/>
  <c r="K30" i="32" s="1"/>
  <c r="K32" i="32" s="1"/>
  <c r="K34" i="32" s="1"/>
  <c r="K36" i="32" s="1"/>
  <c r="K38" i="32" s="1"/>
  <c r="K40" i="32" s="1"/>
  <c r="K42" i="32" s="1"/>
  <c r="K44" i="32" s="1"/>
  <c r="K46" i="32" s="1"/>
  <c r="K48" i="32" s="1"/>
  <c r="K50" i="32" s="1"/>
  <c r="K52" i="32" s="1"/>
  <c r="K54" i="32" s="1"/>
  <c r="K56" i="32" s="1"/>
  <c r="K58" i="32" s="1"/>
  <c r="K60" i="32" s="1"/>
  <c r="K62" i="32" s="1"/>
  <c r="K64" i="32" s="1"/>
  <c r="K66" i="32" s="1"/>
  <c r="K68" i="32" s="1"/>
  <c r="K70" i="32" s="1"/>
  <c r="K72" i="32" s="1"/>
  <c r="R28" i="32" a="1"/>
  <c r="R28" i="32" s="1"/>
  <c r="P1467" i="27" s="1"/>
  <c r="M22" i="32" a="1"/>
  <c r="M22" i="32" s="1"/>
  <c r="D22" i="32" s="1"/>
  <c r="N24" i="32" a="1"/>
  <c r="N24" i="32" s="1"/>
  <c r="E24" i="32" s="1"/>
  <c r="F1465" i="27" s="1"/>
  <c r="M14" i="32" a="1"/>
  <c r="M14" i="32" s="1"/>
  <c r="D14" i="32" s="1"/>
  <c r="N18" i="32" a="1"/>
  <c r="N18" i="32" s="1"/>
  <c r="E18" i="32" s="1"/>
  <c r="F1462" i="27" s="1"/>
  <c r="R24" i="32" a="1"/>
  <c r="R24" i="32" s="1"/>
  <c r="P1465" i="27" s="1"/>
  <c r="O24" i="32" a="1"/>
  <c r="O24" i="32" s="1"/>
  <c r="M1465" i="27" s="1"/>
  <c r="A1465" i="27" s="1"/>
  <c r="R10" i="32" a="1"/>
  <c r="R10" i="32" s="1"/>
  <c r="P1458" i="27" s="1"/>
  <c r="N10" i="32" a="1"/>
  <c r="N10" i="32" s="1"/>
  <c r="E10" i="32" s="1"/>
  <c r="F1458" i="27" s="1"/>
  <c r="R22" i="32" a="1"/>
  <c r="R22" i="32" s="1"/>
  <c r="P1464" i="27" s="1"/>
  <c r="N22" i="32" a="1"/>
  <c r="N22" i="32" s="1"/>
  <c r="E22" i="32" s="1"/>
  <c r="F1464" i="27" s="1"/>
  <c r="R18" i="32" a="1"/>
  <c r="R18" i="32" s="1"/>
  <c r="P1462" i="27" s="1"/>
  <c r="P1307" i="27"/>
  <c r="H636" i="27"/>
  <c r="F1307" i="27"/>
  <c r="F1461" i="27"/>
  <c r="R26" i="32" a="1"/>
  <c r="R26" i="32" s="1"/>
  <c r="P1466" i="27" s="1"/>
  <c r="M1307" i="27"/>
  <c r="A1307" i="27" s="1"/>
  <c r="M1461" i="27"/>
  <c r="A1461" i="27" s="1"/>
  <c r="R12" i="32" a="1"/>
  <c r="R12" i="32" s="1"/>
  <c r="P1459" i="27" s="1"/>
  <c r="M26" i="32" a="1"/>
  <c r="M26" i="32" s="1"/>
  <c r="D26" i="32" s="1"/>
  <c r="N26" i="32" a="1"/>
  <c r="N26" i="32" s="1"/>
  <c r="E26" i="32" s="1"/>
  <c r="F1466" i="27" s="1"/>
  <c r="N12" i="32" a="1"/>
  <c r="N12" i="32" s="1"/>
  <c r="E12" i="32" s="1"/>
  <c r="F1459" i="27" s="1"/>
  <c r="M12" i="32" a="1"/>
  <c r="M12" i="32" s="1"/>
  <c r="D12" i="32" s="1"/>
  <c r="O14" i="32" a="1"/>
  <c r="O14" i="32" s="1"/>
  <c r="M1460" i="27" s="1"/>
  <c r="A1460" i="27" s="1"/>
  <c r="O18" i="32" a="1"/>
  <c r="O18" i="32" s="1"/>
  <c r="M1462" i="27" s="1"/>
  <c r="A1462" i="27" s="1"/>
  <c r="N14" i="32" a="1"/>
  <c r="N14" i="32" s="1"/>
  <c r="E14" i="32" s="1"/>
  <c r="F1460" i="27" s="1"/>
  <c r="B637" i="27"/>
  <c r="N637" i="27"/>
  <c r="M637" i="27"/>
  <c r="R621" i="32" a="1"/>
  <c r="R621" i="32" s="1"/>
  <c r="P2252" i="27" s="1"/>
  <c r="O621" i="32" a="1"/>
  <c r="O621" i="32" s="1"/>
  <c r="M2252" i="27" s="1"/>
  <c r="A2252" i="27" s="1"/>
  <c r="N621" i="32" a="1"/>
  <c r="N621" i="32" s="1"/>
  <c r="E621" i="32" s="1"/>
  <c r="F2252" i="27" s="1"/>
  <c r="M621" i="32" a="1"/>
  <c r="M621" i="32" s="1"/>
  <c r="D621" i="32" s="1"/>
  <c r="K625" i="32"/>
  <c r="L623" i="32"/>
  <c r="M322" i="32" a="1"/>
  <c r="M322" i="32" s="1"/>
  <c r="D322" i="32" s="1"/>
  <c r="N322" i="32" a="1"/>
  <c r="N322" i="32" s="1"/>
  <c r="E322" i="32" s="1"/>
  <c r="O322" i="32" a="1"/>
  <c r="O322" i="32" s="1"/>
  <c r="M1157" i="27" s="1"/>
  <c r="A1157" i="27" s="1"/>
  <c r="M324" i="32" a="1"/>
  <c r="M324" i="32" s="1"/>
  <c r="D324" i="32" s="1"/>
  <c r="R324" i="32" a="1"/>
  <c r="R324" i="32" s="1"/>
  <c r="P1158" i="27" s="1"/>
  <c r="O324" i="32" a="1"/>
  <c r="O324" i="32" s="1"/>
  <c r="M1158" i="27" s="1"/>
  <c r="A1158" i="27" s="1"/>
  <c r="N324" i="32" a="1"/>
  <c r="N324" i="32" s="1"/>
  <c r="E324" i="32" s="1"/>
  <c r="N328" i="32" a="1"/>
  <c r="N328" i="32" s="1"/>
  <c r="E328" i="32" s="1"/>
  <c r="R328" i="32" a="1"/>
  <c r="R328" i="32" s="1"/>
  <c r="P1160" i="27" s="1"/>
  <c r="O328" i="32" a="1"/>
  <c r="O328" i="32" s="1"/>
  <c r="M1160" i="27" s="1"/>
  <c r="A1160" i="27" s="1"/>
  <c r="M328" i="32" a="1"/>
  <c r="M328" i="32" s="1"/>
  <c r="D328" i="32" s="1"/>
  <c r="M318" i="32" a="1"/>
  <c r="M318" i="32" s="1"/>
  <c r="D318" i="32" s="1"/>
  <c r="N318" i="32" a="1"/>
  <c r="N318" i="32" s="1"/>
  <c r="E318" i="32" s="1"/>
  <c r="O318" i="32" a="1"/>
  <c r="O318" i="32" s="1"/>
  <c r="M1155" i="27" s="1"/>
  <c r="A1155" i="27" s="1"/>
  <c r="R318" i="32" a="1"/>
  <c r="R318" i="32" s="1"/>
  <c r="P1155" i="27" s="1"/>
  <c r="O326" i="32" a="1"/>
  <c r="O326" i="32" s="1"/>
  <c r="M1159" i="27" s="1"/>
  <c r="A1159" i="27" s="1"/>
  <c r="M326" i="32" a="1"/>
  <c r="M326" i="32" s="1"/>
  <c r="D326" i="32" s="1"/>
  <c r="N326" i="32" a="1"/>
  <c r="N326" i="32" s="1"/>
  <c r="E326" i="32" s="1"/>
  <c r="R326" i="32" a="1"/>
  <c r="R326" i="32" s="1"/>
  <c r="P1159" i="27" s="1"/>
  <c r="M320" i="32" a="1"/>
  <c r="M320" i="32" s="1"/>
  <c r="D320" i="32" s="1"/>
  <c r="N320" i="32" a="1"/>
  <c r="N320" i="32" s="1"/>
  <c r="E320" i="32" s="1"/>
  <c r="O320" i="32" a="1"/>
  <c r="O320" i="32" s="1"/>
  <c r="M1156" i="27" s="1"/>
  <c r="A1156" i="27" s="1"/>
  <c r="R320" i="32" a="1"/>
  <c r="R320" i="32" s="1"/>
  <c r="P1156" i="27" s="1"/>
  <c r="N330" i="32" a="1"/>
  <c r="N330" i="32" s="1"/>
  <c r="E330" i="32" s="1"/>
  <c r="O330" i="32" a="1"/>
  <c r="O330" i="32" s="1"/>
  <c r="M1161" i="27" s="1"/>
  <c r="A1161" i="27" s="1"/>
  <c r="M330" i="32" a="1"/>
  <c r="M330" i="32" s="1"/>
  <c r="D330" i="32" s="1"/>
  <c r="R330" i="32" a="1"/>
  <c r="R330" i="32" s="1"/>
  <c r="P1161" i="27" s="1"/>
  <c r="K334" i="32"/>
  <c r="L332" i="32"/>
  <c r="BE34" i="33"/>
  <c r="BD33" i="33" s="1"/>
  <c r="C354" i="41"/>
  <c r="K459" i="41"/>
  <c r="BW49" i="33"/>
  <c r="CF49" i="33" s="1"/>
  <c r="CG49" i="33" s="1"/>
  <c r="BO49" i="33" s="1"/>
  <c r="BQ49" i="33" s="1"/>
  <c r="BS49" i="33" s="1"/>
  <c r="BB49" i="33" s="1"/>
  <c r="C579" i="41"/>
  <c r="CI42" i="33"/>
  <c r="E461" i="41"/>
  <c r="BE41" i="33"/>
  <c r="BD41" i="33" s="1"/>
  <c r="C465" i="41"/>
  <c r="Q1217" i="32"/>
  <c r="D513" i="27"/>
  <c r="F33" i="33"/>
  <c r="A1217" i="32"/>
  <c r="H3930" i="27"/>
  <c r="G1213" i="32"/>
  <c r="F41" i="33"/>
  <c r="I3930" i="27"/>
  <c r="L1825" i="32" l="1"/>
  <c r="K1827" i="32"/>
  <c r="R1823" i="32" a="1"/>
  <c r="R1823" i="32" s="1"/>
  <c r="O1823" i="32" a="1"/>
  <c r="O1823" i="32" s="1"/>
  <c r="N1823" i="32" a="1"/>
  <c r="N1823" i="32" s="1"/>
  <c r="E1823" i="32" s="1"/>
  <c r="M1823" i="32" a="1"/>
  <c r="M1823" i="32" s="1"/>
  <c r="D1823" i="32" s="1"/>
  <c r="A3930" i="27"/>
  <c r="F3932" i="27"/>
  <c r="F3933" i="27"/>
  <c r="G2549" i="27"/>
  <c r="H2549" i="27"/>
  <c r="E2548" i="27"/>
  <c r="K1910" i="27"/>
  <c r="L70" i="32"/>
  <c r="H637" i="27"/>
  <c r="B638" i="27"/>
  <c r="M638" i="27"/>
  <c r="N638" i="27"/>
  <c r="M623" i="32" a="1"/>
  <c r="M623" i="32" s="1"/>
  <c r="D623" i="32" s="1"/>
  <c r="O623" i="32" a="1"/>
  <c r="O623" i="32" s="1"/>
  <c r="M2253" i="27" s="1"/>
  <c r="A2253" i="27" s="1"/>
  <c r="R623" i="32" a="1"/>
  <c r="R623" i="32" s="1"/>
  <c r="P2253" i="27" s="1"/>
  <c r="N623" i="32" a="1"/>
  <c r="N623" i="32" s="1"/>
  <c r="E623" i="32" s="1"/>
  <c r="F2253" i="27" s="1"/>
  <c r="K627" i="32"/>
  <c r="L625" i="32"/>
  <c r="O332" i="32" a="1"/>
  <c r="O332" i="32" s="1"/>
  <c r="M1162" i="27" s="1"/>
  <c r="A1162" i="27" s="1"/>
  <c r="M332" i="32" a="1"/>
  <c r="M332" i="32" s="1"/>
  <c r="D332" i="32" s="1"/>
  <c r="R332" i="32" a="1"/>
  <c r="R332" i="32" s="1"/>
  <c r="P1162" i="27" s="1"/>
  <c r="N332" i="32" a="1"/>
  <c r="N332" i="32" s="1"/>
  <c r="E332" i="32" s="1"/>
  <c r="K336" i="32"/>
  <c r="L334" i="32"/>
  <c r="N70" i="32" a="1"/>
  <c r="N70" i="32" s="1"/>
  <c r="E70" i="32" s="1"/>
  <c r="F1488" i="27" s="1"/>
  <c r="O70" i="32" a="1"/>
  <c r="O70" i="32" s="1"/>
  <c r="M1488" i="27" s="1"/>
  <c r="A1488" i="27" s="1"/>
  <c r="M70" i="32" a="1"/>
  <c r="M70" i="32" s="1"/>
  <c r="D70" i="32" s="1"/>
  <c r="R70" i="32" a="1"/>
  <c r="R70" i="32" s="1"/>
  <c r="P1488" i="27" s="1"/>
  <c r="K74" i="32"/>
  <c r="L72" i="32"/>
  <c r="C355" i="41"/>
  <c r="BW33" i="33"/>
  <c r="CF33" i="33" s="1"/>
  <c r="CG33" i="33" s="1"/>
  <c r="BO33" i="33" s="1"/>
  <c r="BQ33" i="33" s="1"/>
  <c r="BS33" i="33" s="1"/>
  <c r="BB33" i="33" s="1"/>
  <c r="BW41" i="33"/>
  <c r="CF41" i="33" s="1"/>
  <c r="CG41" i="33" s="1"/>
  <c r="BO41" i="33" s="1"/>
  <c r="BQ41" i="33" s="1"/>
  <c r="BS41" i="33" s="1"/>
  <c r="BB41" i="33" s="1"/>
  <c r="C467" i="41"/>
  <c r="Q1219" i="32"/>
  <c r="D509" i="27"/>
  <c r="A1219" i="32"/>
  <c r="D505" i="27"/>
  <c r="I3931" i="27"/>
  <c r="G1215" i="32"/>
  <c r="H3931" i="27"/>
  <c r="L1827" i="32" l="1"/>
  <c r="K1829" i="32"/>
  <c r="R1825" i="32" a="1"/>
  <c r="R1825" i="32" s="1"/>
  <c r="O1825" i="32" a="1"/>
  <c r="O1825" i="32" s="1"/>
  <c r="N1825" i="32" a="1"/>
  <c r="N1825" i="32" s="1"/>
  <c r="E1825" i="32" s="1"/>
  <c r="M1825" i="32" a="1"/>
  <c r="M1825" i="32" s="1"/>
  <c r="D1825" i="32" s="1"/>
  <c r="A3931" i="27"/>
  <c r="F3934" i="27"/>
  <c r="H638" i="27"/>
  <c r="B639" i="27"/>
  <c r="N639" i="27"/>
  <c r="M639" i="27"/>
  <c r="M625" i="32" a="1"/>
  <c r="M625" i="32" s="1"/>
  <c r="D625" i="32" s="1"/>
  <c r="R625" i="32" a="1"/>
  <c r="R625" i="32" s="1"/>
  <c r="P2254" i="27" s="1"/>
  <c r="N625" i="32" a="1"/>
  <c r="N625" i="32" s="1"/>
  <c r="E625" i="32" s="1"/>
  <c r="F2254" i="27" s="1"/>
  <c r="O625" i="32" a="1"/>
  <c r="O625" i="32" s="1"/>
  <c r="M2254" i="27" s="1"/>
  <c r="A2254" i="27" s="1"/>
  <c r="K629" i="32"/>
  <c r="L627" i="32"/>
  <c r="M334" i="32" a="1"/>
  <c r="M334" i="32" s="1"/>
  <c r="D334" i="32" s="1"/>
  <c r="R334" i="32" a="1"/>
  <c r="R334" i="32" s="1"/>
  <c r="P1163" i="27" s="1"/>
  <c r="O334" i="32" a="1"/>
  <c r="O334" i="32" s="1"/>
  <c r="M1163" i="27" s="1"/>
  <c r="A1163" i="27" s="1"/>
  <c r="N334" i="32" a="1"/>
  <c r="N334" i="32" s="1"/>
  <c r="E334" i="32" s="1"/>
  <c r="K338" i="32"/>
  <c r="L336" i="32"/>
  <c r="N72" i="32" a="1"/>
  <c r="N72" i="32" s="1"/>
  <c r="E72" i="32" s="1"/>
  <c r="F1489" i="27" s="1"/>
  <c r="R72" i="32" a="1"/>
  <c r="R72" i="32" s="1"/>
  <c r="P1489" i="27" s="1"/>
  <c r="O72" i="32" a="1"/>
  <c r="O72" i="32" s="1"/>
  <c r="M1489" i="27" s="1"/>
  <c r="A1489" i="27" s="1"/>
  <c r="M72" i="32" a="1"/>
  <c r="M72" i="32" s="1"/>
  <c r="D72" i="32" s="1"/>
  <c r="K76" i="32"/>
  <c r="L74" i="32"/>
  <c r="B5" i="33"/>
  <c r="Q1221" i="32"/>
  <c r="I3932" i="27"/>
  <c r="A1221" i="32"/>
  <c r="I3933" i="27"/>
  <c r="H3932" i="27"/>
  <c r="H3933" i="27"/>
  <c r="G1217" i="32"/>
  <c r="L1829" i="32" l="1"/>
  <c r="K1831" i="32"/>
  <c r="R1827" i="32" a="1"/>
  <c r="R1827" i="32" s="1"/>
  <c r="O1827" i="32" a="1"/>
  <c r="O1827" i="32" s="1"/>
  <c r="N1827" i="32" a="1"/>
  <c r="N1827" i="32" s="1"/>
  <c r="E1827" i="32" s="1"/>
  <c r="M1827" i="32" a="1"/>
  <c r="M1827" i="32" s="1"/>
  <c r="D1827" i="32" s="1"/>
  <c r="A3932" i="27"/>
  <c r="A3933" i="27"/>
  <c r="F3935" i="27"/>
  <c r="B640" i="27"/>
  <c r="N640" i="27"/>
  <c r="M640" i="27"/>
  <c r="H639" i="27"/>
  <c r="N627" i="32" a="1"/>
  <c r="N627" i="32" s="1"/>
  <c r="E627" i="32" s="1"/>
  <c r="F2255" i="27" s="1"/>
  <c r="O627" i="32" a="1"/>
  <c r="O627" i="32" s="1"/>
  <c r="M2255" i="27" s="1"/>
  <c r="A2255" i="27" s="1"/>
  <c r="M627" i="32" a="1"/>
  <c r="M627" i="32" s="1"/>
  <c r="D627" i="32" s="1"/>
  <c r="R627" i="32" a="1"/>
  <c r="R627" i="32" s="1"/>
  <c r="P2255" i="27" s="1"/>
  <c r="K631" i="32"/>
  <c r="L629" i="32"/>
  <c r="O336" i="32" a="1"/>
  <c r="O336" i="32" s="1"/>
  <c r="M1164" i="27" s="1"/>
  <c r="A1164" i="27" s="1"/>
  <c r="N336" i="32" a="1"/>
  <c r="N336" i="32" s="1"/>
  <c r="E336" i="32" s="1"/>
  <c r="R336" i="32" a="1"/>
  <c r="R336" i="32" s="1"/>
  <c r="P1164" i="27" s="1"/>
  <c r="M336" i="32" a="1"/>
  <c r="M336" i="32" s="1"/>
  <c r="D336" i="32" s="1"/>
  <c r="K340" i="32"/>
  <c r="L338" i="32"/>
  <c r="N74" i="32" a="1"/>
  <c r="N74" i="32" s="1"/>
  <c r="E74" i="32" s="1"/>
  <c r="F1490" i="27" s="1"/>
  <c r="M74" i="32" a="1"/>
  <c r="M74" i="32" s="1"/>
  <c r="D74" i="32" s="1"/>
  <c r="O74" i="32" a="1"/>
  <c r="O74" i="32" s="1"/>
  <c r="M1490" i="27" s="1"/>
  <c r="A1490" i="27" s="1"/>
  <c r="R74" i="32" a="1"/>
  <c r="R74" i="32" s="1"/>
  <c r="P1490" i="27" s="1"/>
  <c r="K78" i="32"/>
  <c r="L76" i="32"/>
  <c r="Q1223" i="32"/>
  <c r="H3934" i="27"/>
  <c r="G1219" i="32"/>
  <c r="I3934" i="27"/>
  <c r="A1223" i="32"/>
  <c r="L1831" i="32" l="1"/>
  <c r="K1833" i="32"/>
  <c r="R1829" i="32" a="1"/>
  <c r="R1829" i="32" s="1"/>
  <c r="O1829" i="32" a="1"/>
  <c r="O1829" i="32" s="1"/>
  <c r="N1829" i="32" a="1"/>
  <c r="N1829" i="32" s="1"/>
  <c r="E1829" i="32" s="1"/>
  <c r="M1829" i="32" a="1"/>
  <c r="M1829" i="32" s="1"/>
  <c r="D1829" i="32" s="1"/>
  <c r="A3934" i="27"/>
  <c r="F3936" i="27"/>
  <c r="H640" i="27"/>
  <c r="B641" i="27"/>
  <c r="N641" i="27"/>
  <c r="M641" i="27"/>
  <c r="N629" i="32" a="1"/>
  <c r="N629" i="32" s="1"/>
  <c r="E629" i="32" s="1"/>
  <c r="F2256" i="27" s="1"/>
  <c r="M629" i="32" a="1"/>
  <c r="M629" i="32" s="1"/>
  <c r="D629" i="32" s="1"/>
  <c r="R629" i="32" a="1"/>
  <c r="R629" i="32" s="1"/>
  <c r="P2256" i="27" s="1"/>
  <c r="O629" i="32" a="1"/>
  <c r="O629" i="32" s="1"/>
  <c r="M2256" i="27" s="1"/>
  <c r="A2256" i="27" s="1"/>
  <c r="K633" i="32"/>
  <c r="L631" i="32"/>
  <c r="O338" i="32" a="1"/>
  <c r="O338" i="32" s="1"/>
  <c r="M1165" i="27" s="1"/>
  <c r="A1165" i="27" s="1"/>
  <c r="R338" i="32" a="1"/>
  <c r="R338" i="32" s="1"/>
  <c r="P1165" i="27" s="1"/>
  <c r="N338" i="32" a="1"/>
  <c r="N338" i="32" s="1"/>
  <c r="E338" i="32" s="1"/>
  <c r="M338" i="32" a="1"/>
  <c r="M338" i="32" s="1"/>
  <c r="D338" i="32" s="1"/>
  <c r="K342" i="32"/>
  <c r="L340" i="32"/>
  <c r="O76" i="32" a="1"/>
  <c r="O76" i="32" s="1"/>
  <c r="M1491" i="27" s="1"/>
  <c r="A1491" i="27" s="1"/>
  <c r="N76" i="32" a="1"/>
  <c r="N76" i="32" s="1"/>
  <c r="E76" i="32" s="1"/>
  <c r="F1491" i="27" s="1"/>
  <c r="R76" i="32" a="1"/>
  <c r="R76" i="32" s="1"/>
  <c r="P1491" i="27" s="1"/>
  <c r="M76" i="32" a="1"/>
  <c r="M76" i="32" s="1"/>
  <c r="D76" i="32" s="1"/>
  <c r="K80" i="32"/>
  <c r="L78" i="32"/>
  <c r="Q1225" i="32"/>
  <c r="G1221" i="32"/>
  <c r="H3935" i="27"/>
  <c r="I3935" i="27"/>
  <c r="L1833" i="32" l="1"/>
  <c r="K1835" i="32"/>
  <c r="R1831" i="32" a="1"/>
  <c r="R1831" i="32" s="1"/>
  <c r="O1831" i="32" a="1"/>
  <c r="O1831" i="32" s="1"/>
  <c r="N1831" i="32" a="1"/>
  <c r="N1831" i="32" s="1"/>
  <c r="E1831" i="32" s="1"/>
  <c r="M1831" i="32" a="1"/>
  <c r="M1831" i="32" s="1"/>
  <c r="D1831" i="32" s="1"/>
  <c r="A3935" i="27"/>
  <c r="F3937" i="27"/>
  <c r="H641" i="27"/>
  <c r="B642" i="27"/>
  <c r="N642" i="27"/>
  <c r="M642" i="27"/>
  <c r="N631" i="32" a="1"/>
  <c r="N631" i="32" s="1"/>
  <c r="E631" i="32" s="1"/>
  <c r="F2257" i="27" s="1"/>
  <c r="O631" i="32" a="1"/>
  <c r="O631" i="32" s="1"/>
  <c r="M2257" i="27" s="1"/>
  <c r="A2257" i="27" s="1"/>
  <c r="M631" i="32" a="1"/>
  <c r="M631" i="32" s="1"/>
  <c r="D631" i="32" s="1"/>
  <c r="R631" i="32" a="1"/>
  <c r="R631" i="32" s="1"/>
  <c r="P2257" i="27" s="1"/>
  <c r="K635" i="32"/>
  <c r="L633" i="32"/>
  <c r="R340" i="32" a="1"/>
  <c r="R340" i="32" s="1"/>
  <c r="P1166" i="27" s="1"/>
  <c r="O340" i="32" a="1"/>
  <c r="O340" i="32" s="1"/>
  <c r="M1166" i="27" s="1"/>
  <c r="A1166" i="27" s="1"/>
  <c r="M340" i="32" a="1"/>
  <c r="M340" i="32" s="1"/>
  <c r="D340" i="32" s="1"/>
  <c r="N340" i="32" a="1"/>
  <c r="N340" i="32" s="1"/>
  <c r="E340" i="32" s="1"/>
  <c r="K344" i="32"/>
  <c r="L342" i="32"/>
  <c r="M78" i="32" a="1"/>
  <c r="M78" i="32" s="1"/>
  <c r="D78" i="32" s="1"/>
  <c r="R78" i="32" a="1"/>
  <c r="R78" i="32" s="1"/>
  <c r="P1492" i="27" s="1"/>
  <c r="O78" i="32" a="1"/>
  <c r="O78" i="32" s="1"/>
  <c r="M1492" i="27" s="1"/>
  <c r="A1492" i="27" s="1"/>
  <c r="N78" i="32" a="1"/>
  <c r="N78" i="32" s="1"/>
  <c r="E78" i="32" s="1"/>
  <c r="F1492" i="27" s="1"/>
  <c r="K82" i="32"/>
  <c r="L80" i="32"/>
  <c r="Q1227" i="32"/>
  <c r="A1225" i="32"/>
  <c r="H3936" i="27"/>
  <c r="A1227" i="32"/>
  <c r="I3936" i="27"/>
  <c r="G1223" i="32"/>
  <c r="L1835" i="32" l="1"/>
  <c r="K1837" i="32"/>
  <c r="R1833" i="32" a="1"/>
  <c r="R1833" i="32" s="1"/>
  <c r="O1833" i="32" a="1"/>
  <c r="O1833" i="32" s="1"/>
  <c r="N1833" i="32" a="1"/>
  <c r="N1833" i="32" s="1"/>
  <c r="E1833" i="32" s="1"/>
  <c r="M1833" i="32" a="1"/>
  <c r="M1833" i="32" s="1"/>
  <c r="D1833" i="32" s="1"/>
  <c r="A3936" i="27"/>
  <c r="F3939" i="27"/>
  <c r="F3938" i="27"/>
  <c r="B643" i="27"/>
  <c r="N643" i="27"/>
  <c r="M643" i="27"/>
  <c r="H642" i="27"/>
  <c r="O633" i="32" a="1"/>
  <c r="O633" i="32" s="1"/>
  <c r="M2258" i="27" s="1"/>
  <c r="A2258" i="27" s="1"/>
  <c r="M633" i="32" a="1"/>
  <c r="M633" i="32" s="1"/>
  <c r="D633" i="32" s="1"/>
  <c r="N633" i="32" a="1"/>
  <c r="N633" i="32" s="1"/>
  <c r="E633" i="32" s="1"/>
  <c r="F2258" i="27" s="1"/>
  <c r="R633" i="32" a="1"/>
  <c r="R633" i="32" s="1"/>
  <c r="P2258" i="27" s="1"/>
  <c r="K637" i="32"/>
  <c r="L635" i="32"/>
  <c r="R342" i="32" a="1"/>
  <c r="R342" i="32" s="1"/>
  <c r="P1167" i="27" s="1"/>
  <c r="N342" i="32" a="1"/>
  <c r="N342" i="32" s="1"/>
  <c r="E342" i="32" s="1"/>
  <c r="M342" i="32" a="1"/>
  <c r="M342" i="32" s="1"/>
  <c r="D342" i="32" s="1"/>
  <c r="O342" i="32" a="1"/>
  <c r="O342" i="32" s="1"/>
  <c r="M1167" i="27" s="1"/>
  <c r="A1167" i="27" s="1"/>
  <c r="K346" i="32"/>
  <c r="L344" i="32"/>
  <c r="N80" i="32" a="1"/>
  <c r="N80" i="32" s="1"/>
  <c r="E80" i="32" s="1"/>
  <c r="F1493" i="27" s="1"/>
  <c r="M80" i="32" a="1"/>
  <c r="M80" i="32" s="1"/>
  <c r="D80" i="32" s="1"/>
  <c r="O80" i="32" a="1"/>
  <c r="O80" i="32" s="1"/>
  <c r="M1493" i="27" s="1"/>
  <c r="A1493" i="27" s="1"/>
  <c r="R80" i="32" a="1"/>
  <c r="R80" i="32" s="1"/>
  <c r="P1493" i="27" s="1"/>
  <c r="K84" i="32"/>
  <c r="L82" i="32"/>
  <c r="Q1229" i="32"/>
  <c r="H3937" i="27"/>
  <c r="G1225" i="32"/>
  <c r="I3937" i="27"/>
  <c r="L1837" i="32" l="1"/>
  <c r="K1839" i="32"/>
  <c r="R1835" i="32" a="1"/>
  <c r="R1835" i="32" s="1"/>
  <c r="O1835" i="32" a="1"/>
  <c r="O1835" i="32" s="1"/>
  <c r="N1835" i="32" a="1"/>
  <c r="N1835" i="32" s="1"/>
  <c r="E1835" i="32" s="1"/>
  <c r="M1835" i="32" a="1"/>
  <c r="M1835" i="32" s="1"/>
  <c r="D1835" i="32" s="1"/>
  <c r="A3937" i="27"/>
  <c r="F3940" i="27"/>
  <c r="H643" i="27"/>
  <c r="B644" i="27"/>
  <c r="N644" i="27"/>
  <c r="M644" i="27"/>
  <c r="N635" i="32" a="1"/>
  <c r="N635" i="32" s="1"/>
  <c r="E635" i="32" s="1"/>
  <c r="F2259" i="27" s="1"/>
  <c r="O635" i="32" a="1"/>
  <c r="O635" i="32" s="1"/>
  <c r="M2259" i="27" s="1"/>
  <c r="A2259" i="27" s="1"/>
  <c r="R635" i="32" a="1"/>
  <c r="R635" i="32" s="1"/>
  <c r="P2259" i="27" s="1"/>
  <c r="M635" i="32" a="1"/>
  <c r="M635" i="32" s="1"/>
  <c r="D635" i="32" s="1"/>
  <c r="K639" i="32"/>
  <c r="L637" i="32"/>
  <c r="N344" i="32" a="1"/>
  <c r="N344" i="32" s="1"/>
  <c r="E344" i="32" s="1"/>
  <c r="O344" i="32" a="1"/>
  <c r="O344" i="32" s="1"/>
  <c r="M1168" i="27" s="1"/>
  <c r="A1168" i="27" s="1"/>
  <c r="R344" i="32" a="1"/>
  <c r="R344" i="32" s="1"/>
  <c r="P1168" i="27" s="1"/>
  <c r="M344" i="32" a="1"/>
  <c r="M344" i="32" s="1"/>
  <c r="D344" i="32" s="1"/>
  <c r="K348" i="32"/>
  <c r="L346" i="32"/>
  <c r="K496" i="32"/>
  <c r="N82" i="32" a="1"/>
  <c r="N82" i="32" s="1"/>
  <c r="E82" i="32" s="1"/>
  <c r="F1494" i="27" s="1"/>
  <c r="M82" i="32" a="1"/>
  <c r="M82" i="32" s="1"/>
  <c r="D82" i="32" s="1"/>
  <c r="O82" i="32" a="1"/>
  <c r="O82" i="32" s="1"/>
  <c r="M1494" i="27" s="1"/>
  <c r="A1494" i="27" s="1"/>
  <c r="R82" i="32" a="1"/>
  <c r="R82" i="32" s="1"/>
  <c r="P1494" i="27" s="1"/>
  <c r="K86" i="32"/>
  <c r="L84" i="32"/>
  <c r="Q1231" i="32"/>
  <c r="H3938" i="27"/>
  <c r="A1231" i="32"/>
  <c r="I3939" i="27"/>
  <c r="A1229" i="32"/>
  <c r="G1227" i="32"/>
  <c r="I3938" i="27"/>
  <c r="H3939" i="27"/>
  <c r="L1839" i="32" l="1"/>
  <c r="K1841" i="32"/>
  <c r="R1837" i="32" a="1"/>
  <c r="R1837" i="32" s="1"/>
  <c r="O1837" i="32" a="1"/>
  <c r="O1837" i="32" s="1"/>
  <c r="N1837" i="32" a="1"/>
  <c r="N1837" i="32" s="1"/>
  <c r="E1837" i="32" s="1"/>
  <c r="M1837" i="32" a="1"/>
  <c r="M1837" i="32" s="1"/>
  <c r="D1837" i="32" s="1"/>
  <c r="A3939" i="27"/>
  <c r="A3938" i="27"/>
  <c r="F3941" i="27"/>
  <c r="B645" i="27"/>
  <c r="M645" i="27"/>
  <c r="N645" i="27"/>
  <c r="H644" i="27"/>
  <c r="M637" i="32" a="1"/>
  <c r="M637" i="32" s="1"/>
  <c r="D637" i="32" s="1"/>
  <c r="O637" i="32" a="1"/>
  <c r="O637" i="32" s="1"/>
  <c r="M2260" i="27" s="1"/>
  <c r="A2260" i="27" s="1"/>
  <c r="N637" i="32" a="1"/>
  <c r="N637" i="32" s="1"/>
  <c r="E637" i="32" s="1"/>
  <c r="F2260" i="27" s="1"/>
  <c r="R637" i="32" a="1"/>
  <c r="R637" i="32" s="1"/>
  <c r="P2260" i="27" s="1"/>
  <c r="K641" i="32"/>
  <c r="L639" i="32"/>
  <c r="K498" i="32"/>
  <c r="L496" i="32"/>
  <c r="M346" i="32" a="1"/>
  <c r="M346" i="32" s="1"/>
  <c r="D346" i="32" s="1"/>
  <c r="R346" i="32" a="1"/>
  <c r="R346" i="32" s="1"/>
  <c r="P1169" i="27" s="1"/>
  <c r="O346" i="32" a="1"/>
  <c r="O346" i="32" s="1"/>
  <c r="M1169" i="27" s="1"/>
  <c r="A1169" i="27" s="1"/>
  <c r="N346" i="32" a="1"/>
  <c r="N346" i="32" s="1"/>
  <c r="E346" i="32" s="1"/>
  <c r="K350" i="32"/>
  <c r="L348" i="32"/>
  <c r="K596" i="32"/>
  <c r="R84" i="32" a="1"/>
  <c r="R84" i="32" s="1"/>
  <c r="P1495" i="27" s="1"/>
  <c r="M84" i="32" a="1"/>
  <c r="M84" i="32" s="1"/>
  <c r="D84" i="32" s="1"/>
  <c r="O84" i="32" a="1"/>
  <c r="O84" i="32" s="1"/>
  <c r="M1495" i="27" s="1"/>
  <c r="A1495" i="27" s="1"/>
  <c r="N84" i="32" a="1"/>
  <c r="N84" i="32" s="1"/>
  <c r="E84" i="32" s="1"/>
  <c r="F1495" i="27" s="1"/>
  <c r="K88" i="32"/>
  <c r="L86" i="32"/>
  <c r="Q1233" i="32"/>
  <c r="H3940" i="27"/>
  <c r="G1229" i="32"/>
  <c r="I3940" i="27"/>
  <c r="L1841" i="32" l="1"/>
  <c r="K1843" i="32"/>
  <c r="R1839" i="32" a="1"/>
  <c r="R1839" i="32" s="1"/>
  <c r="O1839" i="32" a="1"/>
  <c r="O1839" i="32" s="1"/>
  <c r="N1839" i="32" a="1"/>
  <c r="N1839" i="32" s="1"/>
  <c r="E1839" i="32" s="1"/>
  <c r="M1839" i="32" a="1"/>
  <c r="M1839" i="32" s="1"/>
  <c r="D1839" i="32" s="1"/>
  <c r="A3940" i="27"/>
  <c r="F3942" i="27"/>
  <c r="H645" i="27"/>
  <c r="B646" i="27"/>
  <c r="N646" i="27"/>
  <c r="M646" i="27"/>
  <c r="N639" i="32" a="1"/>
  <c r="N639" i="32" s="1"/>
  <c r="E639" i="32" s="1"/>
  <c r="F2261" i="27" s="1"/>
  <c r="M639" i="32" a="1"/>
  <c r="M639" i="32" s="1"/>
  <c r="D639" i="32" s="1"/>
  <c r="R639" i="32" a="1"/>
  <c r="R639" i="32" s="1"/>
  <c r="P2261" i="27" s="1"/>
  <c r="O639" i="32" a="1"/>
  <c r="O639" i="32" s="1"/>
  <c r="M2261" i="27" s="1"/>
  <c r="A2261" i="27" s="1"/>
  <c r="K643" i="32"/>
  <c r="L641" i="32"/>
  <c r="O348" i="32" a="1"/>
  <c r="O348" i="32" s="1"/>
  <c r="M1170" i="27" s="1"/>
  <c r="A1170" i="27" s="1"/>
  <c r="R348" i="32" a="1"/>
  <c r="R348" i="32" s="1"/>
  <c r="P1170" i="27" s="1"/>
  <c r="M348" i="32" a="1"/>
  <c r="M348" i="32" s="1"/>
  <c r="D348" i="32" s="1"/>
  <c r="N348" i="32" a="1"/>
  <c r="N348" i="32" s="1"/>
  <c r="E348" i="32" s="1"/>
  <c r="K352" i="32"/>
  <c r="L350" i="32"/>
  <c r="O496" i="32" a="1"/>
  <c r="O496" i="32" s="1"/>
  <c r="M1244" i="27" s="1"/>
  <c r="A1244" i="27" s="1"/>
  <c r="N496" i="32" a="1"/>
  <c r="N496" i="32" s="1"/>
  <c r="E496" i="32" s="1"/>
  <c r="R496" i="32" a="1"/>
  <c r="R496" i="32" s="1"/>
  <c r="P1244" i="27" s="1"/>
  <c r="M496" i="32" a="1"/>
  <c r="M496" i="32" s="1"/>
  <c r="D496" i="32" s="1"/>
  <c r="K500" i="32"/>
  <c r="L498" i="32"/>
  <c r="L596" i="32"/>
  <c r="K598" i="32"/>
  <c r="O86" i="32" a="1"/>
  <c r="O86" i="32" s="1"/>
  <c r="M1496" i="27" s="1"/>
  <c r="A1496" i="27" s="1"/>
  <c r="M86" i="32" a="1"/>
  <c r="M86" i="32" s="1"/>
  <c r="D86" i="32" s="1"/>
  <c r="N86" i="32" a="1"/>
  <c r="N86" i="32" s="1"/>
  <c r="E86" i="32" s="1"/>
  <c r="F1496" i="27" s="1"/>
  <c r="R86" i="32" a="1"/>
  <c r="R86" i="32" s="1"/>
  <c r="P1496" i="27" s="1"/>
  <c r="K90" i="32"/>
  <c r="L88" i="32"/>
  <c r="Q1235" i="32"/>
  <c r="I3941" i="27"/>
  <c r="A1233" i="32"/>
  <c r="H3941" i="27"/>
  <c r="G1231" i="32"/>
  <c r="A1235" i="32"/>
  <c r="L1843" i="32" l="1"/>
  <c r="K1845" i="32"/>
  <c r="R1841" i="32" a="1"/>
  <c r="R1841" i="32" s="1"/>
  <c r="O1841" i="32" a="1"/>
  <c r="O1841" i="32" s="1"/>
  <c r="N1841" i="32" a="1"/>
  <c r="N1841" i="32" s="1"/>
  <c r="E1841" i="32" s="1"/>
  <c r="M1841" i="32" a="1"/>
  <c r="M1841" i="32" s="1"/>
  <c r="D1841" i="32" s="1"/>
  <c r="A3941" i="27"/>
  <c r="F3943" i="27"/>
  <c r="B647" i="27"/>
  <c r="M647" i="27"/>
  <c r="N647" i="27"/>
  <c r="H646" i="27"/>
  <c r="R641" i="32" a="1"/>
  <c r="R641" i="32" s="1"/>
  <c r="P2262" i="27" s="1"/>
  <c r="N641" i="32" a="1"/>
  <c r="N641" i="32" s="1"/>
  <c r="E641" i="32" s="1"/>
  <c r="F2262" i="27" s="1"/>
  <c r="M641" i="32" a="1"/>
  <c r="M641" i="32" s="1"/>
  <c r="D641" i="32" s="1"/>
  <c r="O641" i="32" a="1"/>
  <c r="O641" i="32" s="1"/>
  <c r="M2262" i="27" s="1"/>
  <c r="A2262" i="27" s="1"/>
  <c r="K645" i="32"/>
  <c r="L643" i="32"/>
  <c r="R498" i="32" a="1"/>
  <c r="R498" i="32" s="1"/>
  <c r="P1245" i="27" s="1"/>
  <c r="M498" i="32" a="1"/>
  <c r="M498" i="32" s="1"/>
  <c r="D498" i="32" s="1"/>
  <c r="O498" i="32" a="1"/>
  <c r="O498" i="32" s="1"/>
  <c r="M1245" i="27" s="1"/>
  <c r="A1245" i="27" s="1"/>
  <c r="N498" i="32" a="1"/>
  <c r="N498" i="32" s="1"/>
  <c r="E498" i="32" s="1"/>
  <c r="K502" i="32"/>
  <c r="L500" i="32"/>
  <c r="M350" i="32" a="1"/>
  <c r="M350" i="32" s="1"/>
  <c r="D350" i="32" s="1"/>
  <c r="R350" i="32" a="1"/>
  <c r="R350" i="32" s="1"/>
  <c r="P1171" i="27" s="1"/>
  <c r="O350" i="32" a="1"/>
  <c r="O350" i="32" s="1"/>
  <c r="M1171" i="27" s="1"/>
  <c r="A1171" i="27" s="1"/>
  <c r="N350" i="32" a="1"/>
  <c r="N350" i="32" s="1"/>
  <c r="E350" i="32" s="1"/>
  <c r="K354" i="32"/>
  <c r="L352" i="32"/>
  <c r="K600" i="32"/>
  <c r="L598" i="32"/>
  <c r="O596" i="32" a="1"/>
  <c r="O596" i="32" s="1"/>
  <c r="M1294" i="27" s="1"/>
  <c r="A1294" i="27" s="1"/>
  <c r="M596" i="32" a="1"/>
  <c r="M596" i="32" s="1"/>
  <c r="D596" i="32" s="1"/>
  <c r="N596" i="32" a="1"/>
  <c r="N596" i="32" s="1"/>
  <c r="E596" i="32" s="1"/>
  <c r="R596" i="32" a="1"/>
  <c r="R596" i="32" s="1"/>
  <c r="P1294" i="27" s="1"/>
  <c r="M88" i="32" a="1"/>
  <c r="M88" i="32" s="1"/>
  <c r="D88" i="32" s="1"/>
  <c r="N88" i="32" a="1"/>
  <c r="N88" i="32" s="1"/>
  <c r="E88" i="32" s="1"/>
  <c r="F1497" i="27" s="1"/>
  <c r="O88" i="32" a="1"/>
  <c r="O88" i="32" s="1"/>
  <c r="M1497" i="27" s="1"/>
  <c r="A1497" i="27" s="1"/>
  <c r="R88" i="32" a="1"/>
  <c r="R88" i="32" s="1"/>
  <c r="P1497" i="27" s="1"/>
  <c r="K92" i="32"/>
  <c r="L90" i="32"/>
  <c r="Q1237" i="32"/>
  <c r="G1233" i="32"/>
  <c r="H3942" i="27"/>
  <c r="I3942" i="27"/>
  <c r="L1845" i="32" l="1"/>
  <c r="K1847" i="32"/>
  <c r="R1843" i="32" a="1"/>
  <c r="R1843" i="32" s="1"/>
  <c r="O1843" i="32" a="1"/>
  <c r="O1843" i="32" s="1"/>
  <c r="N1843" i="32" a="1"/>
  <c r="N1843" i="32" s="1"/>
  <c r="E1843" i="32" s="1"/>
  <c r="M1843" i="32" a="1"/>
  <c r="M1843" i="32" s="1"/>
  <c r="D1843" i="32" s="1"/>
  <c r="A3942" i="27"/>
  <c r="F3944" i="27"/>
  <c r="F3945" i="27"/>
  <c r="H647" i="27"/>
  <c r="B648" i="27"/>
  <c r="N648" i="27"/>
  <c r="M648" i="27"/>
  <c r="N643" i="32" a="1"/>
  <c r="N643" i="32" s="1"/>
  <c r="E643" i="32" s="1"/>
  <c r="F2263" i="27" s="1"/>
  <c r="M643" i="32" a="1"/>
  <c r="M643" i="32" s="1"/>
  <c r="D643" i="32" s="1"/>
  <c r="R643" i="32" a="1"/>
  <c r="R643" i="32" s="1"/>
  <c r="P2263" i="27" s="1"/>
  <c r="O643" i="32" a="1"/>
  <c r="O643" i="32" s="1"/>
  <c r="M2263" i="27" s="1"/>
  <c r="A2263" i="27" s="1"/>
  <c r="K647" i="32"/>
  <c r="L645" i="32"/>
  <c r="N352" i="32" a="1"/>
  <c r="N352" i="32" s="1"/>
  <c r="E352" i="32" s="1"/>
  <c r="M352" i="32" a="1"/>
  <c r="M352" i="32" s="1"/>
  <c r="D352" i="32" s="1"/>
  <c r="R352" i="32" a="1"/>
  <c r="R352" i="32" s="1"/>
  <c r="P1172" i="27" s="1"/>
  <c r="O352" i="32" a="1"/>
  <c r="O352" i="32" s="1"/>
  <c r="M1172" i="27" s="1"/>
  <c r="A1172" i="27" s="1"/>
  <c r="K356" i="32"/>
  <c r="L354" i="32"/>
  <c r="O500" i="32" a="1"/>
  <c r="O500" i="32" s="1"/>
  <c r="M1246" i="27" s="1"/>
  <c r="A1246" i="27" s="1"/>
  <c r="R500" i="32" a="1"/>
  <c r="R500" i="32" s="1"/>
  <c r="P1246" i="27" s="1"/>
  <c r="M500" i="32" a="1"/>
  <c r="M500" i="32" s="1"/>
  <c r="D500" i="32" s="1"/>
  <c r="N500" i="32" a="1"/>
  <c r="N500" i="32" s="1"/>
  <c r="E500" i="32" s="1"/>
  <c r="K504" i="32"/>
  <c r="L502" i="32"/>
  <c r="N598" i="32" a="1"/>
  <c r="N598" i="32" s="1"/>
  <c r="E598" i="32" s="1"/>
  <c r="R598" i="32" a="1"/>
  <c r="R598" i="32" s="1"/>
  <c r="P1295" i="27" s="1"/>
  <c r="M598" i="32" a="1"/>
  <c r="M598" i="32" s="1"/>
  <c r="D598" i="32" s="1"/>
  <c r="O598" i="32" a="1"/>
  <c r="O598" i="32" s="1"/>
  <c r="M1295" i="27" s="1"/>
  <c r="A1295" i="27" s="1"/>
  <c r="K602" i="32"/>
  <c r="L600" i="32"/>
  <c r="N90" i="32" a="1"/>
  <c r="N90" i="32" s="1"/>
  <c r="E90" i="32" s="1"/>
  <c r="F1498" i="27" s="1"/>
  <c r="O90" i="32" a="1"/>
  <c r="O90" i="32" s="1"/>
  <c r="M1498" i="27" s="1"/>
  <c r="A1498" i="27" s="1"/>
  <c r="M90" i="32" a="1"/>
  <c r="M90" i="32" s="1"/>
  <c r="D90" i="32" s="1"/>
  <c r="R90" i="32" a="1"/>
  <c r="R90" i="32" s="1"/>
  <c r="P1498" i="27" s="1"/>
  <c r="K94" i="32"/>
  <c r="L92" i="32"/>
  <c r="Q1239" i="32"/>
  <c r="I3943" i="27"/>
  <c r="G1235" i="32"/>
  <c r="A1239" i="32"/>
  <c r="H3943" i="27"/>
  <c r="A1237" i="32"/>
  <c r="L1847" i="32" l="1"/>
  <c r="K1849" i="32"/>
  <c r="R1845" i="32" a="1"/>
  <c r="R1845" i="32" s="1"/>
  <c r="O1845" i="32" a="1"/>
  <c r="O1845" i="32" s="1"/>
  <c r="N1845" i="32" a="1"/>
  <c r="N1845" i="32" s="1"/>
  <c r="E1845" i="32" s="1"/>
  <c r="M1845" i="32" a="1"/>
  <c r="M1845" i="32" s="1"/>
  <c r="D1845" i="32" s="1"/>
  <c r="A3943" i="27"/>
  <c r="F3946" i="27"/>
  <c r="H648" i="27"/>
  <c r="B649" i="27"/>
  <c r="M649" i="27"/>
  <c r="N649" i="27"/>
  <c r="R645" i="32" a="1"/>
  <c r="R645" i="32" s="1"/>
  <c r="P2264" i="27" s="1"/>
  <c r="O645" i="32" a="1"/>
  <c r="O645" i="32" s="1"/>
  <c r="M2264" i="27" s="1"/>
  <c r="A2264" i="27" s="1"/>
  <c r="N645" i="32" a="1"/>
  <c r="N645" i="32" s="1"/>
  <c r="E645" i="32" s="1"/>
  <c r="F2264" i="27" s="1"/>
  <c r="M645" i="32" a="1"/>
  <c r="M645" i="32" s="1"/>
  <c r="D645" i="32" s="1"/>
  <c r="K649" i="32"/>
  <c r="L647" i="32"/>
  <c r="R502" i="32" a="1"/>
  <c r="R502" i="32" s="1"/>
  <c r="P1247" i="27" s="1"/>
  <c r="M502" i="32" a="1"/>
  <c r="M502" i="32" s="1"/>
  <c r="D502" i="32" s="1"/>
  <c r="O502" i="32" a="1"/>
  <c r="O502" i="32" s="1"/>
  <c r="M1247" i="27" s="1"/>
  <c r="A1247" i="27" s="1"/>
  <c r="N502" i="32" a="1"/>
  <c r="N502" i="32" s="1"/>
  <c r="E502" i="32" s="1"/>
  <c r="K506" i="32"/>
  <c r="L504" i="32"/>
  <c r="N600" i="32" a="1"/>
  <c r="N600" i="32" s="1"/>
  <c r="E600" i="32" s="1"/>
  <c r="R600" i="32" a="1"/>
  <c r="R600" i="32" s="1"/>
  <c r="P1296" i="27" s="1"/>
  <c r="M600" i="32" a="1"/>
  <c r="M600" i="32" s="1"/>
  <c r="D600" i="32" s="1"/>
  <c r="O600" i="32" a="1"/>
  <c r="O600" i="32" s="1"/>
  <c r="M1296" i="27" s="1"/>
  <c r="A1296" i="27" s="1"/>
  <c r="M354" i="32" a="1"/>
  <c r="M354" i="32" s="1"/>
  <c r="D354" i="32" s="1"/>
  <c r="O354" i="32" a="1"/>
  <c r="O354" i="32" s="1"/>
  <c r="M1173" i="27" s="1"/>
  <c r="A1173" i="27" s="1"/>
  <c r="N354" i="32" a="1"/>
  <c r="N354" i="32" s="1"/>
  <c r="E354" i="32" s="1"/>
  <c r="R354" i="32" a="1"/>
  <c r="R354" i="32" s="1"/>
  <c r="P1173" i="27" s="1"/>
  <c r="K604" i="32"/>
  <c r="L602" i="32"/>
  <c r="K358" i="32"/>
  <c r="L356" i="32"/>
  <c r="O92" i="32" a="1"/>
  <c r="O92" i="32" s="1"/>
  <c r="M1499" i="27" s="1"/>
  <c r="A1499" i="27" s="1"/>
  <c r="R92" i="32" a="1"/>
  <c r="R92" i="32" s="1"/>
  <c r="P1499" i="27" s="1"/>
  <c r="M92" i="32" a="1"/>
  <c r="M92" i="32" s="1"/>
  <c r="D92" i="32" s="1"/>
  <c r="N92" i="32" a="1"/>
  <c r="N92" i="32" s="1"/>
  <c r="E92" i="32" s="1"/>
  <c r="F1499" i="27" s="1"/>
  <c r="K96" i="32"/>
  <c r="L94" i="32"/>
  <c r="Q1241" i="32"/>
  <c r="H3944" i="27"/>
  <c r="H3945" i="27"/>
  <c r="I3945" i="27"/>
  <c r="G1237" i="32"/>
  <c r="I3944" i="27"/>
  <c r="L1849" i="32" l="1"/>
  <c r="K1851" i="32"/>
  <c r="R1847" i="32" a="1"/>
  <c r="R1847" i="32" s="1"/>
  <c r="O1847" i="32" a="1"/>
  <c r="O1847" i="32" s="1"/>
  <c r="N1847" i="32" a="1"/>
  <c r="N1847" i="32" s="1"/>
  <c r="E1847" i="32" s="1"/>
  <c r="M1847" i="32" a="1"/>
  <c r="M1847" i="32" s="1"/>
  <c r="D1847" i="32" s="1"/>
  <c r="A3944" i="27"/>
  <c r="A3945" i="27"/>
  <c r="F3947" i="27"/>
  <c r="B650" i="27"/>
  <c r="N650" i="27"/>
  <c r="M650" i="27"/>
  <c r="H649" i="27"/>
  <c r="H650" i="27" s="1"/>
  <c r="N647" i="32" a="1"/>
  <c r="N647" i="32" s="1"/>
  <c r="E647" i="32" s="1"/>
  <c r="F2265" i="27" s="1"/>
  <c r="R647" i="32" a="1"/>
  <c r="R647" i="32" s="1"/>
  <c r="P2265" i="27" s="1"/>
  <c r="M647" i="32" a="1"/>
  <c r="M647" i="32" s="1"/>
  <c r="D647" i="32" s="1"/>
  <c r="O647" i="32" a="1"/>
  <c r="O647" i="32" s="1"/>
  <c r="M2265" i="27" s="1"/>
  <c r="A2265" i="27" s="1"/>
  <c r="K651" i="32"/>
  <c r="L649" i="32"/>
  <c r="O356" i="32" a="1"/>
  <c r="O356" i="32" s="1"/>
  <c r="M1174" i="27" s="1"/>
  <c r="A1174" i="27" s="1"/>
  <c r="M356" i="32" a="1"/>
  <c r="M356" i="32" s="1"/>
  <c r="D356" i="32" s="1"/>
  <c r="N356" i="32" a="1"/>
  <c r="N356" i="32" s="1"/>
  <c r="E356" i="32" s="1"/>
  <c r="R356" i="32" a="1"/>
  <c r="R356" i="32" s="1"/>
  <c r="P1174" i="27" s="1"/>
  <c r="R504" i="32" a="1"/>
  <c r="R504" i="32" s="1"/>
  <c r="P1248" i="27" s="1"/>
  <c r="O504" i="32" a="1"/>
  <c r="O504" i="32" s="1"/>
  <c r="M1248" i="27" s="1"/>
  <c r="A1248" i="27" s="1"/>
  <c r="N504" i="32" a="1"/>
  <c r="N504" i="32" s="1"/>
  <c r="E504" i="32" s="1"/>
  <c r="M504" i="32" a="1"/>
  <c r="M504" i="32" s="1"/>
  <c r="D504" i="32" s="1"/>
  <c r="K360" i="32"/>
  <c r="L358" i="32"/>
  <c r="K508" i="32"/>
  <c r="L506" i="32"/>
  <c r="O602" i="32" a="1"/>
  <c r="O602" i="32" s="1"/>
  <c r="M1297" i="27" s="1"/>
  <c r="A1297" i="27" s="1"/>
  <c r="R602" i="32" a="1"/>
  <c r="R602" i="32" s="1"/>
  <c r="P1297" i="27" s="1"/>
  <c r="M602" i="32" a="1"/>
  <c r="M602" i="32" s="1"/>
  <c r="D602" i="32" s="1"/>
  <c r="N602" i="32" a="1"/>
  <c r="N602" i="32" s="1"/>
  <c r="E602" i="32" s="1"/>
  <c r="K606" i="32"/>
  <c r="L604" i="32"/>
  <c r="N94" i="32" a="1"/>
  <c r="N94" i="32" s="1"/>
  <c r="E94" i="32" s="1"/>
  <c r="F1500" i="27" s="1"/>
  <c r="M94" i="32" a="1"/>
  <c r="M94" i="32" s="1"/>
  <c r="D94" i="32" s="1"/>
  <c r="R94" i="32" a="1"/>
  <c r="R94" i="32" s="1"/>
  <c r="P1500" i="27" s="1"/>
  <c r="O94" i="32" a="1"/>
  <c r="O94" i="32" s="1"/>
  <c r="M1500" i="27" s="1"/>
  <c r="A1500" i="27" s="1"/>
  <c r="K98" i="32"/>
  <c r="L96" i="32"/>
  <c r="Q1243" i="32"/>
  <c r="H3946" i="27"/>
  <c r="A1241" i="32"/>
  <c r="I3946" i="27"/>
  <c r="G1239" i="32"/>
  <c r="A1243" i="32"/>
  <c r="L1851" i="32" l="1"/>
  <c r="K1853" i="32"/>
  <c r="R1849" i="32" a="1"/>
  <c r="R1849" i="32" s="1"/>
  <c r="O1849" i="32" a="1"/>
  <c r="O1849" i="32" s="1"/>
  <c r="N1849" i="32" a="1"/>
  <c r="N1849" i="32" s="1"/>
  <c r="E1849" i="32" s="1"/>
  <c r="M1849" i="32" a="1"/>
  <c r="M1849" i="32" s="1"/>
  <c r="D1849" i="32" s="1"/>
  <c r="A3946" i="27"/>
  <c r="F3948" i="27"/>
  <c r="B651" i="27"/>
  <c r="M651" i="27"/>
  <c r="N651" i="27"/>
  <c r="O649" i="32" a="1"/>
  <c r="O649" i="32" s="1"/>
  <c r="M2266" i="27" s="1"/>
  <c r="A2266" i="27" s="1"/>
  <c r="R649" i="32" a="1"/>
  <c r="R649" i="32" s="1"/>
  <c r="P2266" i="27" s="1"/>
  <c r="M649" i="32" a="1"/>
  <c r="M649" i="32" s="1"/>
  <c r="D649" i="32" s="1"/>
  <c r="N649" i="32" a="1"/>
  <c r="N649" i="32" s="1"/>
  <c r="E649" i="32" s="1"/>
  <c r="F2266" i="27" s="1"/>
  <c r="K653" i="32"/>
  <c r="L651" i="32"/>
  <c r="R506" i="32" a="1"/>
  <c r="R506" i="32" s="1"/>
  <c r="P1249" i="27" s="1"/>
  <c r="O506" i="32" a="1"/>
  <c r="O506" i="32" s="1"/>
  <c r="M1249" i="27" s="1"/>
  <c r="A1249" i="27" s="1"/>
  <c r="N506" i="32" a="1"/>
  <c r="N506" i="32" s="1"/>
  <c r="E506" i="32" s="1"/>
  <c r="M506" i="32" a="1"/>
  <c r="M506" i="32" s="1"/>
  <c r="D506" i="32" s="1"/>
  <c r="K510" i="32"/>
  <c r="L508" i="32"/>
  <c r="M358" i="32" a="1"/>
  <c r="M358" i="32" s="1"/>
  <c r="D358" i="32" s="1"/>
  <c r="O358" i="32" a="1"/>
  <c r="O358" i="32" s="1"/>
  <c r="M1175" i="27" s="1"/>
  <c r="A1175" i="27" s="1"/>
  <c r="N358" i="32" a="1"/>
  <c r="N358" i="32" s="1"/>
  <c r="E358" i="32" s="1"/>
  <c r="R358" i="32" a="1"/>
  <c r="R358" i="32" s="1"/>
  <c r="P1175" i="27" s="1"/>
  <c r="K362" i="32"/>
  <c r="L360" i="32"/>
  <c r="O604" i="32" a="1"/>
  <c r="O604" i="32" s="1"/>
  <c r="M1298" i="27" s="1"/>
  <c r="A1298" i="27" s="1"/>
  <c r="M604" i="32" a="1"/>
  <c r="M604" i="32" s="1"/>
  <c r="D604" i="32" s="1"/>
  <c r="R604" i="32" a="1"/>
  <c r="R604" i="32" s="1"/>
  <c r="P1298" i="27" s="1"/>
  <c r="N604" i="32" a="1"/>
  <c r="N604" i="32" s="1"/>
  <c r="E604" i="32" s="1"/>
  <c r="K608" i="32"/>
  <c r="L606" i="32"/>
  <c r="O96" i="32" a="1"/>
  <c r="O96" i="32" s="1"/>
  <c r="M1501" i="27" s="1"/>
  <c r="A1501" i="27" s="1"/>
  <c r="N96" i="32" a="1"/>
  <c r="N96" i="32" s="1"/>
  <c r="E96" i="32" s="1"/>
  <c r="F1501" i="27" s="1"/>
  <c r="R96" i="32" a="1"/>
  <c r="R96" i="32" s="1"/>
  <c r="P1501" i="27" s="1"/>
  <c r="M96" i="32" a="1"/>
  <c r="M96" i="32" s="1"/>
  <c r="D96" i="32" s="1"/>
  <c r="K100" i="32"/>
  <c r="L98" i="32"/>
  <c r="Q1245" i="32"/>
  <c r="I3947" i="27"/>
  <c r="G1241" i="32"/>
  <c r="H3947" i="27"/>
  <c r="A1245" i="32"/>
  <c r="L1853" i="32" l="1"/>
  <c r="K1855" i="32"/>
  <c r="R1851" i="32" a="1"/>
  <c r="R1851" i="32" s="1"/>
  <c r="O1851" i="32" a="1"/>
  <c r="O1851" i="32" s="1"/>
  <c r="N1851" i="32" a="1"/>
  <c r="N1851" i="32" s="1"/>
  <c r="E1851" i="32" s="1"/>
  <c r="M1851" i="32" a="1"/>
  <c r="M1851" i="32" s="1"/>
  <c r="D1851" i="32" s="1"/>
  <c r="A3947" i="27"/>
  <c r="F3949" i="27"/>
  <c r="B652" i="27"/>
  <c r="M652" i="27"/>
  <c r="N652" i="27"/>
  <c r="H651" i="27"/>
  <c r="H652" i="27" s="1"/>
  <c r="R651" i="32" a="1"/>
  <c r="R651" i="32" s="1"/>
  <c r="P2267" i="27" s="1"/>
  <c r="O651" i="32" a="1"/>
  <c r="O651" i="32" s="1"/>
  <c r="M2267" i="27" s="1"/>
  <c r="A2267" i="27" s="1"/>
  <c r="M651" i="32" a="1"/>
  <c r="M651" i="32" s="1"/>
  <c r="D651" i="32" s="1"/>
  <c r="N651" i="32" a="1"/>
  <c r="N651" i="32" s="1"/>
  <c r="E651" i="32" s="1"/>
  <c r="F2267" i="27" s="1"/>
  <c r="K655" i="32"/>
  <c r="L653" i="32"/>
  <c r="N360" i="32" a="1"/>
  <c r="N360" i="32" s="1"/>
  <c r="E360" i="32" s="1"/>
  <c r="R360" i="32" a="1"/>
  <c r="R360" i="32" s="1"/>
  <c r="P1176" i="27" s="1"/>
  <c r="O360" i="32" a="1"/>
  <c r="O360" i="32" s="1"/>
  <c r="M1176" i="27" s="1"/>
  <c r="A1176" i="27" s="1"/>
  <c r="M360" i="32" a="1"/>
  <c r="M360" i="32" s="1"/>
  <c r="D360" i="32" s="1"/>
  <c r="K364" i="32"/>
  <c r="L362" i="32"/>
  <c r="O606" i="32" a="1"/>
  <c r="O606" i="32" s="1"/>
  <c r="M1299" i="27" s="1"/>
  <c r="A1299" i="27" s="1"/>
  <c r="R606" i="32" a="1"/>
  <c r="R606" i="32" s="1"/>
  <c r="P1299" i="27" s="1"/>
  <c r="N606" i="32" a="1"/>
  <c r="N606" i="32" s="1"/>
  <c r="E606" i="32" s="1"/>
  <c r="M606" i="32" a="1"/>
  <c r="M606" i="32" s="1"/>
  <c r="D606" i="32" s="1"/>
  <c r="O508" i="32" a="1"/>
  <c r="O508" i="32" s="1"/>
  <c r="M1250" i="27" s="1"/>
  <c r="A1250" i="27" s="1"/>
  <c r="N508" i="32" a="1"/>
  <c r="N508" i="32" s="1"/>
  <c r="E508" i="32" s="1"/>
  <c r="R508" i="32" a="1"/>
  <c r="R508" i="32" s="1"/>
  <c r="P1250" i="27" s="1"/>
  <c r="M508" i="32" a="1"/>
  <c r="M508" i="32" s="1"/>
  <c r="D508" i="32" s="1"/>
  <c r="K610" i="32"/>
  <c r="L608" i="32"/>
  <c r="K512" i="32"/>
  <c r="L510" i="32"/>
  <c r="R98" i="32" a="1"/>
  <c r="R98" i="32" s="1"/>
  <c r="P1502" i="27" s="1"/>
  <c r="M98" i="32" a="1"/>
  <c r="M98" i="32" s="1"/>
  <c r="D98" i="32" s="1"/>
  <c r="O98" i="32" a="1"/>
  <c r="O98" i="32" s="1"/>
  <c r="M1502" i="27" s="1"/>
  <c r="A1502" i="27" s="1"/>
  <c r="N98" i="32" a="1"/>
  <c r="N98" i="32" s="1"/>
  <c r="E98" i="32" s="1"/>
  <c r="F1502" i="27" s="1"/>
  <c r="K102" i="32"/>
  <c r="L100" i="32"/>
  <c r="Q1247" i="32"/>
  <c r="H3948" i="27"/>
  <c r="I3948" i="27"/>
  <c r="G1243" i="32"/>
  <c r="L1855" i="32" l="1"/>
  <c r="K1857" i="32"/>
  <c r="R1853" i="32" a="1"/>
  <c r="R1853" i="32" s="1"/>
  <c r="O1853" i="32" a="1"/>
  <c r="O1853" i="32" s="1"/>
  <c r="N1853" i="32" a="1"/>
  <c r="N1853" i="32" s="1"/>
  <c r="E1853" i="32" s="1"/>
  <c r="M1853" i="32" a="1"/>
  <c r="M1853" i="32" s="1"/>
  <c r="D1853" i="32" s="1"/>
  <c r="A3948" i="27"/>
  <c r="F3950" i="27"/>
  <c r="F3951" i="27"/>
  <c r="B653" i="27"/>
  <c r="H653" i="27" s="1"/>
  <c r="N653" i="27"/>
  <c r="M653" i="27"/>
  <c r="R653" i="32" a="1"/>
  <c r="R653" i="32" s="1"/>
  <c r="P2268" i="27" s="1"/>
  <c r="M653" i="32" a="1"/>
  <c r="M653" i="32" s="1"/>
  <c r="D653" i="32" s="1"/>
  <c r="O653" i="32" a="1"/>
  <c r="O653" i="32" s="1"/>
  <c r="M2268" i="27" s="1"/>
  <c r="A2268" i="27" s="1"/>
  <c r="N653" i="32" a="1"/>
  <c r="N653" i="32" s="1"/>
  <c r="E653" i="32" s="1"/>
  <c r="F2268" i="27" s="1"/>
  <c r="K657" i="32"/>
  <c r="L655" i="32"/>
  <c r="R510" i="32" a="1"/>
  <c r="R510" i="32" s="1"/>
  <c r="P1251" i="27" s="1"/>
  <c r="O510" i="32" a="1"/>
  <c r="O510" i="32" s="1"/>
  <c r="M1251" i="27" s="1"/>
  <c r="A1251" i="27" s="1"/>
  <c r="N510" i="32" a="1"/>
  <c r="N510" i="32" s="1"/>
  <c r="E510" i="32" s="1"/>
  <c r="M510" i="32" a="1"/>
  <c r="M510" i="32" s="1"/>
  <c r="D510" i="32" s="1"/>
  <c r="N362" i="32" a="1"/>
  <c r="N362" i="32" s="1"/>
  <c r="E362" i="32" s="1"/>
  <c r="M362" i="32" a="1"/>
  <c r="M362" i="32" s="1"/>
  <c r="D362" i="32" s="1"/>
  <c r="O362" i="32" a="1"/>
  <c r="O362" i="32" s="1"/>
  <c r="M1177" i="27" s="1"/>
  <c r="A1177" i="27" s="1"/>
  <c r="R362" i="32" a="1"/>
  <c r="R362" i="32" s="1"/>
  <c r="P1177" i="27" s="1"/>
  <c r="K514" i="32"/>
  <c r="L512" i="32"/>
  <c r="K366" i="32"/>
  <c r="L364" i="32"/>
  <c r="O608" i="32" a="1"/>
  <c r="O608" i="32" s="1"/>
  <c r="M1300" i="27" s="1"/>
  <c r="A1300" i="27" s="1"/>
  <c r="M608" i="32" a="1"/>
  <c r="M608" i="32" s="1"/>
  <c r="D608" i="32" s="1"/>
  <c r="R608" i="32" a="1"/>
  <c r="R608" i="32" s="1"/>
  <c r="P1300" i="27" s="1"/>
  <c r="N608" i="32" a="1"/>
  <c r="N608" i="32" s="1"/>
  <c r="E608" i="32" s="1"/>
  <c r="K612" i="32"/>
  <c r="L610" i="32"/>
  <c r="M100" i="32" a="1"/>
  <c r="M100" i="32" s="1"/>
  <c r="D100" i="32" s="1"/>
  <c r="N100" i="32" a="1"/>
  <c r="N100" i="32" s="1"/>
  <c r="E100" i="32" s="1"/>
  <c r="F1503" i="27" s="1"/>
  <c r="R100" i="32" a="1"/>
  <c r="R100" i="32" s="1"/>
  <c r="P1503" i="27" s="1"/>
  <c r="O100" i="32" a="1"/>
  <c r="O100" i="32" s="1"/>
  <c r="M1503" i="27" s="1"/>
  <c r="A1503" i="27" s="1"/>
  <c r="K104" i="32"/>
  <c r="L102" i="32"/>
  <c r="Q1249" i="32"/>
  <c r="I3949" i="27"/>
  <c r="A1247" i="32"/>
  <c r="H3949" i="27"/>
  <c r="A1249" i="32"/>
  <c r="G1245" i="32"/>
  <c r="L1857" i="32" l="1"/>
  <c r="K1859" i="32"/>
  <c r="R1857" i="32" a="1"/>
  <c r="R1857" i="32" s="1"/>
  <c r="O1857" i="32" a="1"/>
  <c r="O1857" i="32" s="1"/>
  <c r="N1857" i="32" a="1"/>
  <c r="N1857" i="32" s="1"/>
  <c r="E1857" i="32" s="1"/>
  <c r="M1857" i="32" a="1"/>
  <c r="M1857" i="32" s="1"/>
  <c r="D1857" i="32" s="1"/>
  <c r="R1855" i="32" a="1"/>
  <c r="R1855" i="32" s="1"/>
  <c r="O1855" i="32" a="1"/>
  <c r="O1855" i="32" s="1"/>
  <c r="N1855" i="32" a="1"/>
  <c r="N1855" i="32" s="1"/>
  <c r="E1855" i="32" s="1"/>
  <c r="M1855" i="32" a="1"/>
  <c r="M1855" i="32" s="1"/>
  <c r="D1855" i="32" s="1"/>
  <c r="A3949" i="27"/>
  <c r="F3952" i="27"/>
  <c r="B654" i="27"/>
  <c r="H654" i="27" s="1"/>
  <c r="M654" i="27"/>
  <c r="N654" i="27"/>
  <c r="M655" i="32" a="1"/>
  <c r="M655" i="32" s="1"/>
  <c r="D655" i="32" s="1"/>
  <c r="O655" i="32" a="1"/>
  <c r="O655" i="32" s="1"/>
  <c r="M2269" i="27" s="1"/>
  <c r="A2269" i="27" s="1"/>
  <c r="N655" i="32" a="1"/>
  <c r="N655" i="32" s="1"/>
  <c r="E655" i="32" s="1"/>
  <c r="F2269" i="27" s="1"/>
  <c r="R655" i="32" a="1"/>
  <c r="R655" i="32" s="1"/>
  <c r="P2269" i="27" s="1"/>
  <c r="K659" i="32"/>
  <c r="L657" i="32"/>
  <c r="K821" i="32"/>
  <c r="R364" i="32" a="1"/>
  <c r="R364" i="32" s="1"/>
  <c r="P1178" i="27" s="1"/>
  <c r="O364" i="32" a="1"/>
  <c r="O364" i="32" s="1"/>
  <c r="M1178" i="27" s="1"/>
  <c r="A1178" i="27" s="1"/>
  <c r="M364" i="32" a="1"/>
  <c r="M364" i="32" s="1"/>
  <c r="D364" i="32" s="1"/>
  <c r="N364" i="32" a="1"/>
  <c r="N364" i="32" s="1"/>
  <c r="E364" i="32" s="1"/>
  <c r="K368" i="32"/>
  <c r="L366" i="32"/>
  <c r="O512" i="32" a="1"/>
  <c r="O512" i="32" s="1"/>
  <c r="M1252" i="27" s="1"/>
  <c r="A1252" i="27" s="1"/>
  <c r="M512" i="32" a="1"/>
  <c r="M512" i="32" s="1"/>
  <c r="D512" i="32" s="1"/>
  <c r="N512" i="32" a="1"/>
  <c r="N512" i="32" s="1"/>
  <c r="E512" i="32" s="1"/>
  <c r="R512" i="32" a="1"/>
  <c r="R512" i="32" s="1"/>
  <c r="P1252" i="27" s="1"/>
  <c r="K516" i="32"/>
  <c r="L514" i="32"/>
  <c r="R610" i="32" a="1"/>
  <c r="R610" i="32" s="1"/>
  <c r="P1301" i="27" s="1"/>
  <c r="O610" i="32" a="1"/>
  <c r="O610" i="32" s="1"/>
  <c r="M1301" i="27" s="1"/>
  <c r="A1301" i="27" s="1"/>
  <c r="N610" i="32" a="1"/>
  <c r="N610" i="32" s="1"/>
  <c r="E610" i="32" s="1"/>
  <c r="M610" i="32" a="1"/>
  <c r="M610" i="32" s="1"/>
  <c r="D610" i="32" s="1"/>
  <c r="K614" i="32"/>
  <c r="L614" i="32" s="1"/>
  <c r="L612" i="32"/>
  <c r="N102" i="32" a="1"/>
  <c r="N102" i="32" s="1"/>
  <c r="E102" i="32" s="1"/>
  <c r="F1504" i="27" s="1"/>
  <c r="R102" i="32" a="1"/>
  <c r="R102" i="32" s="1"/>
  <c r="P1504" i="27" s="1"/>
  <c r="O102" i="32" a="1"/>
  <c r="O102" i="32" s="1"/>
  <c r="M1504" i="27" s="1"/>
  <c r="A1504" i="27" s="1"/>
  <c r="M102" i="32" a="1"/>
  <c r="M102" i="32" s="1"/>
  <c r="D102" i="32" s="1"/>
  <c r="K106" i="32"/>
  <c r="L104" i="32"/>
  <c r="Q1251" i="32"/>
  <c r="H3951" i="27"/>
  <c r="G1247" i="32"/>
  <c r="H3950" i="27"/>
  <c r="I3950" i="27"/>
  <c r="I3951" i="27"/>
  <c r="L1859" i="32" l="1"/>
  <c r="K1861" i="32"/>
  <c r="R1859" i="32" a="1"/>
  <c r="R1859" i="32" s="1"/>
  <c r="O1859" i="32" a="1"/>
  <c r="O1859" i="32" s="1"/>
  <c r="N1859" i="32" a="1"/>
  <c r="N1859" i="32" s="1"/>
  <c r="E1859" i="32" s="1"/>
  <c r="M1859" i="32" a="1"/>
  <c r="M1859" i="32" s="1"/>
  <c r="D1859" i="32" s="1"/>
  <c r="A3950" i="27"/>
  <c r="A3951" i="27"/>
  <c r="F3953" i="27"/>
  <c r="B655" i="27"/>
  <c r="H655" i="27" s="1"/>
  <c r="M655" i="27"/>
  <c r="N655" i="27"/>
  <c r="K823" i="32"/>
  <c r="L821" i="32"/>
  <c r="O657" i="32" a="1"/>
  <c r="O657" i="32" s="1"/>
  <c r="M2270" i="27" s="1"/>
  <c r="A2270" i="27" s="1"/>
  <c r="R657" i="32" a="1"/>
  <c r="R657" i="32" s="1"/>
  <c r="P2270" i="27" s="1"/>
  <c r="M657" i="32" a="1"/>
  <c r="M657" i="32" s="1"/>
  <c r="D657" i="32" s="1"/>
  <c r="N657" i="32" a="1"/>
  <c r="N657" i="32" s="1"/>
  <c r="E657" i="32" s="1"/>
  <c r="F2270" i="27" s="1"/>
  <c r="K661" i="32"/>
  <c r="L659" i="32"/>
  <c r="K861" i="32"/>
  <c r="O514" i="32" a="1"/>
  <c r="O514" i="32" s="1"/>
  <c r="M1253" i="27" s="1"/>
  <c r="A1253" i="27" s="1"/>
  <c r="N514" i="32" a="1"/>
  <c r="N514" i="32" s="1"/>
  <c r="E514" i="32" s="1"/>
  <c r="R514" i="32" a="1"/>
  <c r="R514" i="32" s="1"/>
  <c r="P1253" i="27" s="1"/>
  <c r="M514" i="32" a="1"/>
  <c r="M514" i="32" s="1"/>
  <c r="D514" i="32" s="1"/>
  <c r="K518" i="32"/>
  <c r="L516" i="32"/>
  <c r="M612" i="32" a="1"/>
  <c r="M612" i="32" s="1"/>
  <c r="D612" i="32" s="1"/>
  <c r="O612" i="32" a="1"/>
  <c r="O612" i="32" s="1"/>
  <c r="M1302" i="27" s="1"/>
  <c r="A1302" i="27" s="1"/>
  <c r="N612" i="32" a="1"/>
  <c r="N612" i="32" s="1"/>
  <c r="E612" i="32" s="1"/>
  <c r="R612" i="32" a="1"/>
  <c r="R612" i="32" s="1"/>
  <c r="P1302" i="27" s="1"/>
  <c r="N366" i="32" a="1"/>
  <c r="N366" i="32" s="1"/>
  <c r="E366" i="32" s="1"/>
  <c r="M366" i="32" a="1"/>
  <c r="M366" i="32" s="1"/>
  <c r="D366" i="32" s="1"/>
  <c r="R366" i="32" a="1"/>
  <c r="R366" i="32" s="1"/>
  <c r="P1179" i="27" s="1"/>
  <c r="O366" i="32" a="1"/>
  <c r="O366" i="32" s="1"/>
  <c r="M1179" i="27" s="1"/>
  <c r="A1179" i="27" s="1"/>
  <c r="M614" i="32" a="1"/>
  <c r="M614" i="32" s="1"/>
  <c r="D614" i="32" s="1"/>
  <c r="O614" i="32" a="1"/>
  <c r="O614" i="32" s="1"/>
  <c r="M1303" i="27" s="1"/>
  <c r="A1303" i="27" s="1"/>
  <c r="N614" i="32" a="1"/>
  <c r="N614" i="32" s="1"/>
  <c r="E614" i="32" s="1"/>
  <c r="R614" i="32" a="1"/>
  <c r="R614" i="32" s="1"/>
  <c r="P1303" i="27" s="1"/>
  <c r="K370" i="32"/>
  <c r="L368" i="32"/>
  <c r="M104" i="32" a="1"/>
  <c r="M104" i="32" s="1"/>
  <c r="D104" i="32" s="1"/>
  <c r="R104" i="32" a="1"/>
  <c r="R104" i="32" s="1"/>
  <c r="P1505" i="27" s="1"/>
  <c r="O104" i="32" a="1"/>
  <c r="O104" i="32" s="1"/>
  <c r="M1505" i="27" s="1"/>
  <c r="A1505" i="27" s="1"/>
  <c r="N104" i="32" a="1"/>
  <c r="N104" i="32" s="1"/>
  <c r="E104" i="32" s="1"/>
  <c r="F1505" i="27" s="1"/>
  <c r="K108" i="32"/>
  <c r="L106" i="32"/>
  <c r="Q1253" i="32"/>
  <c r="I3952" i="27"/>
  <c r="H3952" i="27"/>
  <c r="A1251" i="32"/>
  <c r="A1253" i="32"/>
  <c r="G1249" i="32"/>
  <c r="L1861" i="32" l="1"/>
  <c r="K1863" i="32"/>
  <c r="A3952" i="27"/>
  <c r="F3954" i="27"/>
  <c r="B656" i="27"/>
  <c r="H656" i="27" s="1"/>
  <c r="N656" i="27"/>
  <c r="M656" i="27"/>
  <c r="K863" i="32"/>
  <c r="L861" i="32"/>
  <c r="O659" i="32" a="1"/>
  <c r="O659" i="32" s="1"/>
  <c r="M2271" i="27" s="1"/>
  <c r="A2271" i="27" s="1"/>
  <c r="R659" i="32" a="1"/>
  <c r="R659" i="32" s="1"/>
  <c r="P2271" i="27" s="1"/>
  <c r="M659" i="32" a="1"/>
  <c r="M659" i="32" s="1"/>
  <c r="D659" i="32" s="1"/>
  <c r="N659" i="32" a="1"/>
  <c r="N659" i="32" s="1"/>
  <c r="E659" i="32" s="1"/>
  <c r="F2271" i="27" s="1"/>
  <c r="K663" i="32"/>
  <c r="L661" i="32"/>
  <c r="O821" i="32" a="1"/>
  <c r="O821" i="32" s="1"/>
  <c r="M2352" i="27" s="1"/>
  <c r="A2352" i="27" s="1"/>
  <c r="M821" i="32" a="1"/>
  <c r="M821" i="32" s="1"/>
  <c r="D821" i="32" s="1"/>
  <c r="N821" i="32" a="1"/>
  <c r="N821" i="32" s="1"/>
  <c r="E821" i="32" s="1"/>
  <c r="F2352" i="27" s="1"/>
  <c r="R821" i="32" a="1"/>
  <c r="R821" i="32" s="1"/>
  <c r="P2352" i="27" s="1"/>
  <c r="K825" i="32"/>
  <c r="L823" i="32"/>
  <c r="K1421" i="32"/>
  <c r="O516" i="32" a="1"/>
  <c r="O516" i="32" s="1"/>
  <c r="M1254" i="27" s="1"/>
  <c r="A1254" i="27" s="1"/>
  <c r="R516" i="32" a="1"/>
  <c r="R516" i="32" s="1"/>
  <c r="P1254" i="27" s="1"/>
  <c r="M516" i="32" a="1"/>
  <c r="M516" i="32" s="1"/>
  <c r="D516" i="32" s="1"/>
  <c r="N516" i="32" a="1"/>
  <c r="N516" i="32" s="1"/>
  <c r="E516" i="32" s="1"/>
  <c r="R368" i="32" a="1"/>
  <c r="R368" i="32" s="1"/>
  <c r="P1180" i="27" s="1"/>
  <c r="M368" i="32" a="1"/>
  <c r="M368" i="32" s="1"/>
  <c r="D368" i="32" s="1"/>
  <c r="N368" i="32" a="1"/>
  <c r="N368" i="32" s="1"/>
  <c r="E368" i="32" s="1"/>
  <c r="O368" i="32" a="1"/>
  <c r="O368" i="32" s="1"/>
  <c r="M1180" i="27" s="1"/>
  <c r="A1180" i="27" s="1"/>
  <c r="K372" i="32"/>
  <c r="L370" i="32"/>
  <c r="K520" i="32"/>
  <c r="L518" i="32"/>
  <c r="O106" i="32" a="1"/>
  <c r="O106" i="32" s="1"/>
  <c r="M1506" i="27" s="1"/>
  <c r="A1506" i="27" s="1"/>
  <c r="M106" i="32" a="1"/>
  <c r="M106" i="32" s="1"/>
  <c r="D106" i="32" s="1"/>
  <c r="R106" i="32" a="1"/>
  <c r="R106" i="32" s="1"/>
  <c r="P1506" i="27" s="1"/>
  <c r="N106" i="32" a="1"/>
  <c r="N106" i="32" s="1"/>
  <c r="E106" i="32" s="1"/>
  <c r="F1506" i="27" s="1"/>
  <c r="K110" i="32"/>
  <c r="L108" i="32"/>
  <c r="Q1255" i="32"/>
  <c r="I3953" i="27"/>
  <c r="G1251" i="32"/>
  <c r="H3953" i="27"/>
  <c r="L1863" i="32" l="1"/>
  <c r="K1865" i="32"/>
  <c r="R1861" i="32" a="1"/>
  <c r="R1861" i="32" s="1"/>
  <c r="O1861" i="32" a="1"/>
  <c r="O1861" i="32" s="1"/>
  <c r="N1861" i="32" a="1"/>
  <c r="N1861" i="32" s="1"/>
  <c r="E1861" i="32" s="1"/>
  <c r="M1861" i="32" a="1"/>
  <c r="M1861" i="32" s="1"/>
  <c r="D1861" i="32" s="1"/>
  <c r="A3953" i="27"/>
  <c r="F3955" i="27"/>
  <c r="B657" i="27"/>
  <c r="H657" i="27" s="1"/>
  <c r="N657" i="27"/>
  <c r="M657" i="27"/>
  <c r="M661" i="32" a="1"/>
  <c r="M661" i="32" s="1"/>
  <c r="D661" i="32" s="1"/>
  <c r="N661" i="32" a="1"/>
  <c r="N661" i="32" s="1"/>
  <c r="E661" i="32" s="1"/>
  <c r="F2272" i="27" s="1"/>
  <c r="O661" i="32" a="1"/>
  <c r="O661" i="32" s="1"/>
  <c r="M2272" i="27" s="1"/>
  <c r="A2272" i="27" s="1"/>
  <c r="R661" i="32" a="1"/>
  <c r="R661" i="32" s="1"/>
  <c r="P2272" i="27" s="1"/>
  <c r="K665" i="32"/>
  <c r="L663" i="32"/>
  <c r="R823" i="32" a="1"/>
  <c r="R823" i="32" s="1"/>
  <c r="P2353" i="27" s="1"/>
  <c r="N823" i="32" a="1"/>
  <c r="N823" i="32" s="1"/>
  <c r="E823" i="32" s="1"/>
  <c r="F2353" i="27" s="1"/>
  <c r="O823" i="32" a="1"/>
  <c r="O823" i="32" s="1"/>
  <c r="M2353" i="27" s="1"/>
  <c r="A2353" i="27" s="1"/>
  <c r="M823" i="32" a="1"/>
  <c r="M823" i="32" s="1"/>
  <c r="D823" i="32" s="1"/>
  <c r="N861" i="32" a="1"/>
  <c r="N861" i="32" s="1"/>
  <c r="E861" i="32" s="1"/>
  <c r="F2372" i="27" s="1"/>
  <c r="O861" i="32" a="1"/>
  <c r="O861" i="32" s="1"/>
  <c r="M2372" i="27" s="1"/>
  <c r="A2372" i="27" s="1"/>
  <c r="M861" i="32" a="1"/>
  <c r="M861" i="32" s="1"/>
  <c r="D861" i="32" s="1"/>
  <c r="R861" i="32" a="1"/>
  <c r="R861" i="32" s="1"/>
  <c r="P2372" i="27" s="1"/>
  <c r="K827" i="32"/>
  <c r="L825" i="32"/>
  <c r="K865" i="32"/>
  <c r="L863" i="32"/>
  <c r="L1421" i="32"/>
  <c r="K1423" i="32"/>
  <c r="K1425" i="32" s="1"/>
  <c r="K522" i="32"/>
  <c r="L520" i="32"/>
  <c r="M370" i="32" a="1"/>
  <c r="M370" i="32" s="1"/>
  <c r="D370" i="32" s="1"/>
  <c r="O370" i="32" a="1"/>
  <c r="O370" i="32" s="1"/>
  <c r="M1181" i="27" s="1"/>
  <c r="A1181" i="27" s="1"/>
  <c r="R370" i="32" a="1"/>
  <c r="R370" i="32" s="1"/>
  <c r="P1181" i="27" s="1"/>
  <c r="N370" i="32" a="1"/>
  <c r="N370" i="32" s="1"/>
  <c r="E370" i="32" s="1"/>
  <c r="O518" i="32" a="1"/>
  <c r="O518" i="32" s="1"/>
  <c r="M1255" i="27" s="1"/>
  <c r="A1255" i="27" s="1"/>
  <c r="N518" i="32" a="1"/>
  <c r="N518" i="32" s="1"/>
  <c r="E518" i="32" s="1"/>
  <c r="R518" i="32" a="1"/>
  <c r="R518" i="32" s="1"/>
  <c r="P1255" i="27" s="1"/>
  <c r="M518" i="32" a="1"/>
  <c r="M518" i="32" s="1"/>
  <c r="D518" i="32" s="1"/>
  <c r="K374" i="32"/>
  <c r="L372" i="32"/>
  <c r="M108" i="32" a="1"/>
  <c r="M108" i="32" s="1"/>
  <c r="D108" i="32" s="1"/>
  <c r="O108" i="32" a="1"/>
  <c r="O108" i="32" s="1"/>
  <c r="M1507" i="27" s="1"/>
  <c r="A1507" i="27" s="1"/>
  <c r="R108" i="32" a="1"/>
  <c r="R108" i="32" s="1"/>
  <c r="P1507" i="27" s="1"/>
  <c r="N108" i="32" a="1"/>
  <c r="N108" i="32" s="1"/>
  <c r="E108" i="32" s="1"/>
  <c r="F1507" i="27" s="1"/>
  <c r="K112" i="32"/>
  <c r="L110" i="32"/>
  <c r="Q1257" i="32"/>
  <c r="H3954" i="27"/>
  <c r="I3954" i="27"/>
  <c r="A1257" i="32"/>
  <c r="A1255" i="32"/>
  <c r="G1253" i="32"/>
  <c r="L1865" i="32" l="1"/>
  <c r="K1867" i="32"/>
  <c r="R1863" i="32" a="1"/>
  <c r="R1863" i="32" s="1"/>
  <c r="O1863" i="32" a="1"/>
  <c r="O1863" i="32" s="1"/>
  <c r="N1863" i="32" a="1"/>
  <c r="N1863" i="32" s="1"/>
  <c r="E1863" i="32" s="1"/>
  <c r="M1863" i="32" a="1"/>
  <c r="M1863" i="32" s="1"/>
  <c r="D1863" i="32" s="1"/>
  <c r="A3954" i="27"/>
  <c r="F3956" i="27"/>
  <c r="F3957" i="27"/>
  <c r="B658" i="27"/>
  <c r="N658" i="27"/>
  <c r="M658" i="27"/>
  <c r="H658" i="27"/>
  <c r="O825" i="32" a="1"/>
  <c r="O825" i="32" s="1"/>
  <c r="M2354" i="27" s="1"/>
  <c r="A2354" i="27" s="1"/>
  <c r="M825" i="32" a="1"/>
  <c r="M825" i="32" s="1"/>
  <c r="D825" i="32" s="1"/>
  <c r="N825" i="32" a="1"/>
  <c r="N825" i="32" s="1"/>
  <c r="E825" i="32" s="1"/>
  <c r="F2354" i="27" s="1"/>
  <c r="R825" i="32" a="1"/>
  <c r="R825" i="32" s="1"/>
  <c r="P2354" i="27" s="1"/>
  <c r="K829" i="32"/>
  <c r="L827" i="32"/>
  <c r="M863" i="32" a="1"/>
  <c r="M863" i="32" s="1"/>
  <c r="D863" i="32" s="1"/>
  <c r="N863" i="32" a="1"/>
  <c r="N863" i="32" s="1"/>
  <c r="E863" i="32" s="1"/>
  <c r="F2373" i="27" s="1"/>
  <c r="O863" i="32" a="1"/>
  <c r="O863" i="32" s="1"/>
  <c r="M2373" i="27" s="1"/>
  <c r="A2373" i="27" s="1"/>
  <c r="R863" i="32" a="1"/>
  <c r="R863" i="32" s="1"/>
  <c r="P2373" i="27" s="1"/>
  <c r="M663" i="32" a="1"/>
  <c r="M663" i="32" s="1"/>
  <c r="D663" i="32" s="1"/>
  <c r="R663" i="32" a="1"/>
  <c r="R663" i="32" s="1"/>
  <c r="P2273" i="27" s="1"/>
  <c r="O663" i="32" a="1"/>
  <c r="O663" i="32" s="1"/>
  <c r="M2273" i="27" s="1"/>
  <c r="A2273" i="27" s="1"/>
  <c r="N663" i="32" a="1"/>
  <c r="N663" i="32" s="1"/>
  <c r="E663" i="32" s="1"/>
  <c r="F2273" i="27" s="1"/>
  <c r="K867" i="32"/>
  <c r="L865" i="32"/>
  <c r="K667" i="32"/>
  <c r="L665" i="32"/>
  <c r="L1425" i="32"/>
  <c r="K1427" i="32"/>
  <c r="N1421" i="32" a="1"/>
  <c r="N1421" i="32" s="1"/>
  <c r="E1421" i="32" s="1"/>
  <c r="O1421" i="32" a="1"/>
  <c r="O1421" i="32" s="1"/>
  <c r="R1421" i="32" a="1"/>
  <c r="R1421" i="32" s="1"/>
  <c r="M1421" i="32" a="1"/>
  <c r="M1421" i="32" s="1"/>
  <c r="D1421" i="32" s="1"/>
  <c r="M372" i="32" a="1"/>
  <c r="M372" i="32" s="1"/>
  <c r="D372" i="32" s="1"/>
  <c r="N372" i="32" a="1"/>
  <c r="N372" i="32" s="1"/>
  <c r="E372" i="32" s="1"/>
  <c r="R372" i="32" a="1"/>
  <c r="R372" i="32" s="1"/>
  <c r="P1182" i="27" s="1"/>
  <c r="O372" i="32" a="1"/>
  <c r="O372" i="32" s="1"/>
  <c r="M1182" i="27" s="1"/>
  <c r="A1182" i="27" s="1"/>
  <c r="K376" i="32"/>
  <c r="L374" i="32"/>
  <c r="M520" i="32" a="1"/>
  <c r="M520" i="32" s="1"/>
  <c r="D520" i="32" s="1"/>
  <c r="R520" i="32" a="1"/>
  <c r="R520" i="32" s="1"/>
  <c r="P1256" i="27" s="1"/>
  <c r="N520" i="32" a="1"/>
  <c r="N520" i="32" s="1"/>
  <c r="E520" i="32" s="1"/>
  <c r="O520" i="32" a="1"/>
  <c r="O520" i="32" s="1"/>
  <c r="M1256" i="27" s="1"/>
  <c r="A1256" i="27" s="1"/>
  <c r="K524" i="32"/>
  <c r="L522" i="32"/>
  <c r="R110" i="32" a="1"/>
  <c r="R110" i="32" s="1"/>
  <c r="P1508" i="27" s="1"/>
  <c r="M110" i="32" a="1"/>
  <c r="M110" i="32" s="1"/>
  <c r="D110" i="32" s="1"/>
  <c r="N110" i="32" a="1"/>
  <c r="N110" i="32" s="1"/>
  <c r="E110" i="32" s="1"/>
  <c r="F1508" i="27" s="1"/>
  <c r="O110" i="32" a="1"/>
  <c r="O110" i="32" s="1"/>
  <c r="M1508" i="27" s="1"/>
  <c r="A1508" i="27" s="1"/>
  <c r="K114" i="32"/>
  <c r="L112" i="32"/>
  <c r="Q1259" i="32"/>
  <c r="I3955" i="27"/>
  <c r="G1255" i="32"/>
  <c r="H3955" i="27"/>
  <c r="L1867" i="32" l="1"/>
  <c r="K1869" i="32"/>
  <c r="R1865" i="32" a="1"/>
  <c r="R1865" i="32" s="1"/>
  <c r="O1865" i="32" a="1"/>
  <c r="O1865" i="32" s="1"/>
  <c r="N1865" i="32" a="1"/>
  <c r="N1865" i="32" s="1"/>
  <c r="E1865" i="32" s="1"/>
  <c r="M1865" i="32" a="1"/>
  <c r="M1865" i="32" s="1"/>
  <c r="D1865" i="32" s="1"/>
  <c r="A3955" i="27"/>
  <c r="F3958" i="27"/>
  <c r="B659" i="27"/>
  <c r="H659" i="27" s="1"/>
  <c r="M659" i="27"/>
  <c r="N659" i="27"/>
  <c r="N665" i="32" a="1"/>
  <c r="N665" i="32" s="1"/>
  <c r="E665" i="32" s="1"/>
  <c r="F2274" i="27" s="1"/>
  <c r="M665" i="32" a="1"/>
  <c r="M665" i="32" s="1"/>
  <c r="D665" i="32" s="1"/>
  <c r="O665" i="32" a="1"/>
  <c r="O665" i="32" s="1"/>
  <c r="M2274" i="27" s="1"/>
  <c r="A2274" i="27" s="1"/>
  <c r="R665" i="32" a="1"/>
  <c r="R665" i="32" s="1"/>
  <c r="P2274" i="27" s="1"/>
  <c r="M827" i="32" a="1"/>
  <c r="M827" i="32" s="1"/>
  <c r="D827" i="32" s="1"/>
  <c r="R827" i="32" a="1"/>
  <c r="R827" i="32" s="1"/>
  <c r="P2355" i="27" s="1"/>
  <c r="O827" i="32" a="1"/>
  <c r="O827" i="32" s="1"/>
  <c r="M2355" i="27" s="1"/>
  <c r="A2355" i="27" s="1"/>
  <c r="N827" i="32" a="1"/>
  <c r="N827" i="32" s="1"/>
  <c r="E827" i="32" s="1"/>
  <c r="F2355" i="27" s="1"/>
  <c r="K1429" i="32"/>
  <c r="L1429" i="32" s="1"/>
  <c r="L1427" i="32"/>
  <c r="K669" i="32"/>
  <c r="L667" i="32"/>
  <c r="K831" i="32"/>
  <c r="L829" i="32"/>
  <c r="R865" i="32" a="1"/>
  <c r="R865" i="32" s="1"/>
  <c r="P2374" i="27" s="1"/>
  <c r="O865" i="32" a="1"/>
  <c r="O865" i="32" s="1"/>
  <c r="M2374" i="27" s="1"/>
  <c r="A2374" i="27" s="1"/>
  <c r="M865" i="32" a="1"/>
  <c r="M865" i="32" s="1"/>
  <c r="D865" i="32" s="1"/>
  <c r="N865" i="32" a="1"/>
  <c r="N865" i="32" s="1"/>
  <c r="E865" i="32" s="1"/>
  <c r="F2374" i="27" s="1"/>
  <c r="K869" i="32"/>
  <c r="L867" i="32"/>
  <c r="O1425" i="32" a="1"/>
  <c r="O1425" i="32" s="1"/>
  <c r="M1425" i="32" a="1"/>
  <c r="M1425" i="32" s="1"/>
  <c r="D1425" i="32" s="1"/>
  <c r="R1425" i="32" a="1"/>
  <c r="R1425" i="32" s="1"/>
  <c r="N1425" i="32" a="1"/>
  <c r="N1425" i="32" s="1"/>
  <c r="E1425" i="32" s="1"/>
  <c r="R522" i="32" a="1"/>
  <c r="R522" i="32" s="1"/>
  <c r="P1257" i="27" s="1"/>
  <c r="N522" i="32" a="1"/>
  <c r="N522" i="32" s="1"/>
  <c r="E522" i="32" s="1"/>
  <c r="M522" i="32" a="1"/>
  <c r="M522" i="32" s="1"/>
  <c r="D522" i="32" s="1"/>
  <c r="O522" i="32" a="1"/>
  <c r="O522" i="32" s="1"/>
  <c r="M1257" i="27" s="1"/>
  <c r="A1257" i="27" s="1"/>
  <c r="K526" i="32"/>
  <c r="L524" i="32"/>
  <c r="O374" i="32" a="1"/>
  <c r="O374" i="32" s="1"/>
  <c r="M1183" i="27" s="1"/>
  <c r="A1183" i="27" s="1"/>
  <c r="M374" i="32" a="1"/>
  <c r="M374" i="32" s="1"/>
  <c r="D374" i="32" s="1"/>
  <c r="N374" i="32" a="1"/>
  <c r="N374" i="32" s="1"/>
  <c r="E374" i="32" s="1"/>
  <c r="R374" i="32" a="1"/>
  <c r="R374" i="32" s="1"/>
  <c r="P1183" i="27" s="1"/>
  <c r="K378" i="32"/>
  <c r="L376" i="32"/>
  <c r="R112" i="32" a="1"/>
  <c r="R112" i="32" s="1"/>
  <c r="P1509" i="27" s="1"/>
  <c r="N112" i="32" a="1"/>
  <c r="N112" i="32" s="1"/>
  <c r="E112" i="32" s="1"/>
  <c r="F1509" i="27" s="1"/>
  <c r="O112" i="32" a="1"/>
  <c r="O112" i="32" s="1"/>
  <c r="M1509" i="27" s="1"/>
  <c r="A1509" i="27" s="1"/>
  <c r="M112" i="32" a="1"/>
  <c r="M112" i="32" s="1"/>
  <c r="D112" i="32" s="1"/>
  <c r="K116" i="32"/>
  <c r="L114" i="32"/>
  <c r="Q1261" i="32"/>
  <c r="H3957" i="27"/>
  <c r="H3956" i="27"/>
  <c r="A1261" i="32"/>
  <c r="I3957" i="27"/>
  <c r="G1257" i="32"/>
  <c r="I3956" i="27"/>
  <c r="A1259" i="32"/>
  <c r="L1869" i="32" l="1"/>
  <c r="K1871" i="32"/>
  <c r="R1867" i="32" a="1"/>
  <c r="R1867" i="32" s="1"/>
  <c r="O1867" i="32" a="1"/>
  <c r="O1867" i="32" s="1"/>
  <c r="N1867" i="32" a="1"/>
  <c r="N1867" i="32" s="1"/>
  <c r="E1867" i="32" s="1"/>
  <c r="M1867" i="32" a="1"/>
  <c r="M1867" i="32" s="1"/>
  <c r="D1867" i="32" s="1"/>
  <c r="A3956" i="27"/>
  <c r="A3957" i="27"/>
  <c r="F3959" i="27"/>
  <c r="B660" i="27"/>
  <c r="H660" i="27" s="1"/>
  <c r="M660" i="27"/>
  <c r="N660" i="27"/>
  <c r="K1431" i="32"/>
  <c r="K1433" i="32" s="1"/>
  <c r="M829" i="32" a="1"/>
  <c r="M829" i="32" s="1"/>
  <c r="D829" i="32" s="1"/>
  <c r="R829" i="32" a="1"/>
  <c r="R829" i="32" s="1"/>
  <c r="P2356" i="27" s="1"/>
  <c r="O829" i="32" a="1"/>
  <c r="O829" i="32" s="1"/>
  <c r="M2356" i="27" s="1"/>
  <c r="A2356" i="27" s="1"/>
  <c r="N829" i="32" a="1"/>
  <c r="N829" i="32" s="1"/>
  <c r="E829" i="32" s="1"/>
  <c r="F2356" i="27" s="1"/>
  <c r="K671" i="32"/>
  <c r="L669" i="32"/>
  <c r="K833" i="32"/>
  <c r="L831" i="32"/>
  <c r="R1427" i="32" a="1"/>
  <c r="R1427" i="32" s="1"/>
  <c r="N1427" i="32" a="1"/>
  <c r="N1427" i="32" s="1"/>
  <c r="E1427" i="32" s="1"/>
  <c r="M1427" i="32" a="1"/>
  <c r="M1427" i="32" s="1"/>
  <c r="D1427" i="32" s="1"/>
  <c r="O1427" i="32" a="1"/>
  <c r="O1427" i="32" s="1"/>
  <c r="R667" i="32" a="1"/>
  <c r="R667" i="32" s="1"/>
  <c r="P2275" i="27" s="1"/>
  <c r="N667" i="32" a="1"/>
  <c r="N667" i="32" s="1"/>
  <c r="E667" i="32" s="1"/>
  <c r="F2275" i="27" s="1"/>
  <c r="O667" i="32" a="1"/>
  <c r="O667" i="32" s="1"/>
  <c r="M2275" i="27" s="1"/>
  <c r="A2275" i="27" s="1"/>
  <c r="M667" i="32" a="1"/>
  <c r="M667" i="32" s="1"/>
  <c r="D667" i="32" s="1"/>
  <c r="O867" i="32" a="1"/>
  <c r="O867" i="32" s="1"/>
  <c r="M2375" i="27" s="1"/>
  <c r="A2375" i="27" s="1"/>
  <c r="M867" i="32" a="1"/>
  <c r="M867" i="32" s="1"/>
  <c r="D867" i="32" s="1"/>
  <c r="R867" i="32" a="1"/>
  <c r="R867" i="32" s="1"/>
  <c r="P2375" i="27" s="1"/>
  <c r="N867" i="32" a="1"/>
  <c r="N867" i="32" s="1"/>
  <c r="E867" i="32" s="1"/>
  <c r="F2375" i="27" s="1"/>
  <c r="K871" i="32"/>
  <c r="L869" i="32"/>
  <c r="K1461" i="32"/>
  <c r="O1429" i="32" a="1"/>
  <c r="O1429" i="32" s="1"/>
  <c r="M1429" i="32" a="1"/>
  <c r="M1429" i="32" s="1"/>
  <c r="D1429" i="32" s="1"/>
  <c r="N1429" i="32" a="1"/>
  <c r="N1429" i="32" s="1"/>
  <c r="E1429" i="32" s="1"/>
  <c r="R1429" i="32" a="1"/>
  <c r="R1429" i="32" s="1"/>
  <c r="K380" i="32"/>
  <c r="L378" i="32"/>
  <c r="O376" i="32" a="1"/>
  <c r="O376" i="32" s="1"/>
  <c r="M1184" i="27" s="1"/>
  <c r="A1184" i="27" s="1"/>
  <c r="R376" i="32" a="1"/>
  <c r="R376" i="32" s="1"/>
  <c r="P1184" i="27" s="1"/>
  <c r="M376" i="32" a="1"/>
  <c r="M376" i="32" s="1"/>
  <c r="D376" i="32" s="1"/>
  <c r="N376" i="32" a="1"/>
  <c r="N376" i="32" s="1"/>
  <c r="E376" i="32" s="1"/>
  <c r="M524" i="32" a="1"/>
  <c r="M524" i="32" s="1"/>
  <c r="D524" i="32" s="1"/>
  <c r="O524" i="32" a="1"/>
  <c r="O524" i="32" s="1"/>
  <c r="M1258" i="27" s="1"/>
  <c r="A1258" i="27" s="1"/>
  <c r="N524" i="32" a="1"/>
  <c r="N524" i="32" s="1"/>
  <c r="E524" i="32" s="1"/>
  <c r="R524" i="32" a="1"/>
  <c r="R524" i="32" s="1"/>
  <c r="P1258" i="27" s="1"/>
  <c r="K528" i="32"/>
  <c r="L526" i="32"/>
  <c r="R114" i="32" a="1"/>
  <c r="R114" i="32" s="1"/>
  <c r="P1510" i="27" s="1"/>
  <c r="M114" i="32" a="1"/>
  <c r="M114" i="32" s="1"/>
  <c r="D114" i="32" s="1"/>
  <c r="N114" i="32" a="1"/>
  <c r="N114" i="32" s="1"/>
  <c r="E114" i="32" s="1"/>
  <c r="F1510" i="27" s="1"/>
  <c r="O114" i="32" a="1"/>
  <c r="O114" i="32" s="1"/>
  <c r="M1510" i="27" s="1"/>
  <c r="A1510" i="27" s="1"/>
  <c r="K118" i="32"/>
  <c r="L116" i="32"/>
  <c r="Q1263" i="32"/>
  <c r="I3958" i="27"/>
  <c r="G1259" i="32"/>
  <c r="H3958" i="27"/>
  <c r="L1871" i="32" l="1"/>
  <c r="K1873" i="32"/>
  <c r="R1869" i="32" a="1"/>
  <c r="R1869" i="32" s="1"/>
  <c r="O1869" i="32" a="1"/>
  <c r="O1869" i="32" s="1"/>
  <c r="N1869" i="32" a="1"/>
  <c r="N1869" i="32" s="1"/>
  <c r="E1869" i="32" s="1"/>
  <c r="M1869" i="32" a="1"/>
  <c r="M1869" i="32" s="1"/>
  <c r="D1869" i="32" s="1"/>
  <c r="A3958" i="27"/>
  <c r="F3960" i="27"/>
  <c r="B661" i="27"/>
  <c r="M661" i="27"/>
  <c r="N661" i="27"/>
  <c r="L1431" i="32"/>
  <c r="O1431" i="32" s="1" a="1"/>
  <c r="O1431" i="32" s="1"/>
  <c r="O869" i="32" a="1"/>
  <c r="O869" i="32" s="1"/>
  <c r="M2376" i="27" s="1"/>
  <c r="A2376" i="27" s="1"/>
  <c r="N869" i="32" a="1"/>
  <c r="N869" i="32" s="1"/>
  <c r="E869" i="32" s="1"/>
  <c r="F2376" i="27" s="1"/>
  <c r="R869" i="32" a="1"/>
  <c r="R869" i="32" s="1"/>
  <c r="P2376" i="27" s="1"/>
  <c r="M869" i="32" a="1"/>
  <c r="M869" i="32" s="1"/>
  <c r="D869" i="32" s="1"/>
  <c r="K873" i="32"/>
  <c r="L871" i="32"/>
  <c r="K1463" i="32"/>
  <c r="L1461" i="32"/>
  <c r="K1435" i="32"/>
  <c r="L1433" i="32"/>
  <c r="M831" i="32" a="1"/>
  <c r="M831" i="32" s="1"/>
  <c r="D831" i="32" s="1"/>
  <c r="O831" i="32" a="1"/>
  <c r="O831" i="32" s="1"/>
  <c r="M2357" i="27" s="1"/>
  <c r="A2357" i="27" s="1"/>
  <c r="N831" i="32" a="1"/>
  <c r="N831" i="32" s="1"/>
  <c r="E831" i="32" s="1"/>
  <c r="F2357" i="27" s="1"/>
  <c r="R831" i="32" a="1"/>
  <c r="R831" i="32" s="1"/>
  <c r="P2357" i="27" s="1"/>
  <c r="K835" i="32"/>
  <c r="L833" i="32"/>
  <c r="O669" i="32" a="1"/>
  <c r="O669" i="32" s="1"/>
  <c r="M2276" i="27" s="1"/>
  <c r="A2276" i="27" s="1"/>
  <c r="N669" i="32" a="1"/>
  <c r="N669" i="32" s="1"/>
  <c r="E669" i="32" s="1"/>
  <c r="F2276" i="27" s="1"/>
  <c r="M669" i="32" a="1"/>
  <c r="M669" i="32" s="1"/>
  <c r="D669" i="32" s="1"/>
  <c r="R669" i="32" a="1"/>
  <c r="R669" i="32" s="1"/>
  <c r="P2276" i="27" s="1"/>
  <c r="K673" i="32"/>
  <c r="L671" i="32"/>
  <c r="K1621" i="32"/>
  <c r="K382" i="32"/>
  <c r="L380" i="32"/>
  <c r="O526" i="32" a="1"/>
  <c r="O526" i="32" s="1"/>
  <c r="M1259" i="27" s="1"/>
  <c r="A1259" i="27" s="1"/>
  <c r="R526" i="32" a="1"/>
  <c r="R526" i="32" s="1"/>
  <c r="P1259" i="27" s="1"/>
  <c r="M526" i="32" a="1"/>
  <c r="M526" i="32" s="1"/>
  <c r="D526" i="32" s="1"/>
  <c r="N526" i="32" a="1"/>
  <c r="N526" i="32" s="1"/>
  <c r="E526" i="32" s="1"/>
  <c r="K530" i="32"/>
  <c r="L528" i="32"/>
  <c r="M378" i="32" a="1"/>
  <c r="M378" i="32" s="1"/>
  <c r="D378" i="32" s="1"/>
  <c r="O378" i="32" a="1"/>
  <c r="O378" i="32" s="1"/>
  <c r="M1185" i="27" s="1"/>
  <c r="A1185" i="27" s="1"/>
  <c r="R378" i="32" a="1"/>
  <c r="R378" i="32" s="1"/>
  <c r="P1185" i="27" s="1"/>
  <c r="N378" i="32" a="1"/>
  <c r="N378" i="32" s="1"/>
  <c r="E378" i="32" s="1"/>
  <c r="R116" i="32" a="1"/>
  <c r="R116" i="32" s="1"/>
  <c r="P1511" i="27" s="1"/>
  <c r="O116" i="32" a="1"/>
  <c r="O116" i="32" s="1"/>
  <c r="M1511" i="27" s="1"/>
  <c r="A1511" i="27" s="1"/>
  <c r="N116" i="32" a="1"/>
  <c r="N116" i="32" s="1"/>
  <c r="E116" i="32" s="1"/>
  <c r="F1511" i="27" s="1"/>
  <c r="M116" i="32" a="1"/>
  <c r="M116" i="32" s="1"/>
  <c r="D116" i="32" s="1"/>
  <c r="K120" i="32"/>
  <c r="L118" i="32"/>
  <c r="Q1265" i="32"/>
  <c r="I3959" i="27"/>
  <c r="A1263" i="32"/>
  <c r="H3959" i="27"/>
  <c r="A1265" i="32"/>
  <c r="G1261" i="32"/>
  <c r="L1873" i="32" l="1"/>
  <c r="K1875" i="32"/>
  <c r="R1871" i="32" a="1"/>
  <c r="R1871" i="32" s="1"/>
  <c r="O1871" i="32" a="1"/>
  <c r="O1871" i="32" s="1"/>
  <c r="N1871" i="32" a="1"/>
  <c r="N1871" i="32" s="1"/>
  <c r="E1871" i="32" s="1"/>
  <c r="M1871" i="32" a="1"/>
  <c r="M1871" i="32" s="1"/>
  <c r="D1871" i="32" s="1"/>
  <c r="A3959" i="27"/>
  <c r="F3961" i="27"/>
  <c r="B662" i="27"/>
  <c r="M662" i="27"/>
  <c r="N662" i="27"/>
  <c r="H661" i="27"/>
  <c r="M1431" i="32" a="1"/>
  <c r="M1431" i="32" s="1"/>
  <c r="D1431" i="32" s="1"/>
  <c r="N1431" i="32" a="1"/>
  <c r="N1431" i="32" s="1"/>
  <c r="E1431" i="32" s="1"/>
  <c r="R1431" i="32" a="1"/>
  <c r="R1431" i="32" s="1"/>
  <c r="R1461" i="32" a="1"/>
  <c r="R1461" i="32" s="1"/>
  <c r="M1461" i="32" a="1"/>
  <c r="M1461" i="32" s="1"/>
  <c r="D1461" i="32" s="1"/>
  <c r="N1461" i="32" a="1"/>
  <c r="N1461" i="32" s="1"/>
  <c r="E1461" i="32" s="1"/>
  <c r="O1461" i="32" a="1"/>
  <c r="O1461" i="32" s="1"/>
  <c r="K1465" i="32"/>
  <c r="L1463" i="32"/>
  <c r="M833" i="32" a="1"/>
  <c r="M833" i="32" s="1"/>
  <c r="D833" i="32" s="1"/>
  <c r="O833" i="32" a="1"/>
  <c r="O833" i="32" s="1"/>
  <c r="M2358" i="27" s="1"/>
  <c r="A2358" i="27" s="1"/>
  <c r="N833" i="32" a="1"/>
  <c r="N833" i="32" s="1"/>
  <c r="E833" i="32" s="1"/>
  <c r="F2358" i="27" s="1"/>
  <c r="R833" i="32" a="1"/>
  <c r="R833" i="32" s="1"/>
  <c r="P2358" i="27" s="1"/>
  <c r="K837" i="32"/>
  <c r="L835" i="32"/>
  <c r="O871" i="32" a="1"/>
  <c r="O871" i="32" s="1"/>
  <c r="M2377" i="27" s="1"/>
  <c r="A2377" i="27" s="1"/>
  <c r="N871" i="32" a="1"/>
  <c r="N871" i="32" s="1"/>
  <c r="E871" i="32" s="1"/>
  <c r="F2377" i="27" s="1"/>
  <c r="R871" i="32" a="1"/>
  <c r="R871" i="32" s="1"/>
  <c r="P2377" i="27" s="1"/>
  <c r="M871" i="32" a="1"/>
  <c r="M871" i="32" s="1"/>
  <c r="D871" i="32" s="1"/>
  <c r="K875" i="32"/>
  <c r="L873" i="32"/>
  <c r="R671" i="32" a="1"/>
  <c r="R671" i="32" s="1"/>
  <c r="P2277" i="27" s="1"/>
  <c r="N671" i="32" a="1"/>
  <c r="N671" i="32" s="1"/>
  <c r="E671" i="32" s="1"/>
  <c r="F2277" i="27" s="1"/>
  <c r="M671" i="32" a="1"/>
  <c r="M671" i="32" s="1"/>
  <c r="D671" i="32" s="1"/>
  <c r="O671" i="32" a="1"/>
  <c r="O671" i="32" s="1"/>
  <c r="M2277" i="27" s="1"/>
  <c r="A2277" i="27" s="1"/>
  <c r="N1433" i="32" a="1"/>
  <c r="N1433" i="32" s="1"/>
  <c r="E1433" i="32" s="1"/>
  <c r="R1433" i="32" a="1"/>
  <c r="R1433" i="32" s="1"/>
  <c r="M1433" i="32" a="1"/>
  <c r="M1433" i="32" s="1"/>
  <c r="D1433" i="32" s="1"/>
  <c r="O1433" i="32" a="1"/>
  <c r="O1433" i="32" s="1"/>
  <c r="K1623" i="32"/>
  <c r="L1621" i="32"/>
  <c r="K675" i="32"/>
  <c r="L673" i="32"/>
  <c r="K1437" i="32"/>
  <c r="L1435" i="32"/>
  <c r="K1661" i="32"/>
  <c r="N528" i="32" a="1"/>
  <c r="N528" i="32" s="1"/>
  <c r="E528" i="32" s="1"/>
  <c r="M528" i="32" a="1"/>
  <c r="M528" i="32" s="1"/>
  <c r="D528" i="32" s="1"/>
  <c r="R528" i="32" a="1"/>
  <c r="R528" i="32" s="1"/>
  <c r="P1260" i="27" s="1"/>
  <c r="O528" i="32" a="1"/>
  <c r="O528" i="32" s="1"/>
  <c r="M1260" i="27" s="1"/>
  <c r="A1260" i="27" s="1"/>
  <c r="K532" i="32"/>
  <c r="L530" i="32"/>
  <c r="M380" i="32" a="1"/>
  <c r="M380" i="32" s="1"/>
  <c r="D380" i="32" s="1"/>
  <c r="N380" i="32" a="1"/>
  <c r="N380" i="32" s="1"/>
  <c r="E380" i="32" s="1"/>
  <c r="R380" i="32" a="1"/>
  <c r="R380" i="32" s="1"/>
  <c r="P1186" i="27" s="1"/>
  <c r="O380" i="32" a="1"/>
  <c r="O380" i="32" s="1"/>
  <c r="M1186" i="27" s="1"/>
  <c r="A1186" i="27" s="1"/>
  <c r="K384" i="32"/>
  <c r="L382" i="32"/>
  <c r="K122" i="32"/>
  <c r="L120" i="32"/>
  <c r="R118" i="32" a="1"/>
  <c r="R118" i="32" s="1"/>
  <c r="P1512" i="27" s="1"/>
  <c r="M118" i="32" a="1"/>
  <c r="M118" i="32" s="1"/>
  <c r="D118" i="32" s="1"/>
  <c r="N118" i="32" a="1"/>
  <c r="N118" i="32" s="1"/>
  <c r="E118" i="32" s="1"/>
  <c r="F1512" i="27" s="1"/>
  <c r="O118" i="32" a="1"/>
  <c r="O118" i="32" s="1"/>
  <c r="M1512" i="27" s="1"/>
  <c r="A1512" i="27" s="1"/>
  <c r="Q1267" i="32"/>
  <c r="I3960" i="27"/>
  <c r="H3960" i="27"/>
  <c r="G1263" i="32"/>
  <c r="L1875" i="32" l="1"/>
  <c r="K1877" i="32"/>
  <c r="R1873" i="32" a="1"/>
  <c r="R1873" i="32" s="1"/>
  <c r="O1873" i="32" a="1"/>
  <c r="O1873" i="32" s="1"/>
  <c r="N1873" i="32" a="1"/>
  <c r="N1873" i="32" s="1"/>
  <c r="E1873" i="32" s="1"/>
  <c r="M1873" i="32" a="1"/>
  <c r="M1873" i="32" s="1"/>
  <c r="D1873" i="32" s="1"/>
  <c r="A3960" i="27"/>
  <c r="F3962" i="27"/>
  <c r="F3963" i="27"/>
  <c r="H662" i="27"/>
  <c r="H663" i="27" s="1"/>
  <c r="B663" i="27"/>
  <c r="M663" i="27"/>
  <c r="N663" i="27"/>
  <c r="N835" i="32" a="1"/>
  <c r="N835" i="32" s="1"/>
  <c r="E835" i="32" s="1"/>
  <c r="F2359" i="27" s="1"/>
  <c r="O835" i="32" a="1"/>
  <c r="O835" i="32" s="1"/>
  <c r="M2359" i="27" s="1"/>
  <c r="A2359" i="27" s="1"/>
  <c r="M835" i="32" a="1"/>
  <c r="M835" i="32" s="1"/>
  <c r="D835" i="32" s="1"/>
  <c r="R835" i="32" a="1"/>
  <c r="R835" i="32" s="1"/>
  <c r="P2359" i="27" s="1"/>
  <c r="K839" i="32"/>
  <c r="L837" i="32"/>
  <c r="R1621" i="32" a="1"/>
  <c r="R1621" i="32" s="1"/>
  <c r="M1621" i="32" a="1"/>
  <c r="M1621" i="32" s="1"/>
  <c r="D1621" i="32" s="1"/>
  <c r="N1621" i="32" a="1"/>
  <c r="N1621" i="32" s="1"/>
  <c r="E1621" i="32" s="1"/>
  <c r="O1621" i="32" a="1"/>
  <c r="O1621" i="32" s="1"/>
  <c r="K1625" i="32"/>
  <c r="L1623" i="32"/>
  <c r="K1663" i="32"/>
  <c r="L1661" i="32"/>
  <c r="O1435" i="32" a="1"/>
  <c r="O1435" i="32" s="1"/>
  <c r="M1435" i="32" a="1"/>
  <c r="M1435" i="32" s="1"/>
  <c r="D1435" i="32" s="1"/>
  <c r="R1435" i="32" a="1"/>
  <c r="R1435" i="32" s="1"/>
  <c r="N1435" i="32" a="1"/>
  <c r="N1435" i="32" s="1"/>
  <c r="E1435" i="32" s="1"/>
  <c r="K1439" i="32"/>
  <c r="L1437" i="32"/>
  <c r="R673" i="32" a="1"/>
  <c r="R673" i="32" s="1"/>
  <c r="P2278" i="27" s="1"/>
  <c r="N673" i="32" a="1"/>
  <c r="N673" i="32" s="1"/>
  <c r="E673" i="32" s="1"/>
  <c r="F2278" i="27" s="1"/>
  <c r="M673" i="32" a="1"/>
  <c r="M673" i="32" s="1"/>
  <c r="D673" i="32" s="1"/>
  <c r="O673" i="32" a="1"/>
  <c r="O673" i="32" s="1"/>
  <c r="M2278" i="27" s="1"/>
  <c r="A2278" i="27" s="1"/>
  <c r="R873" i="32" a="1"/>
  <c r="R873" i="32" s="1"/>
  <c r="P2378" i="27" s="1"/>
  <c r="O873" i="32" a="1"/>
  <c r="O873" i="32" s="1"/>
  <c r="M2378" i="27" s="1"/>
  <c r="A2378" i="27" s="1"/>
  <c r="N873" i="32" a="1"/>
  <c r="N873" i="32" s="1"/>
  <c r="E873" i="32" s="1"/>
  <c r="F2378" i="27" s="1"/>
  <c r="M873" i="32" a="1"/>
  <c r="M873" i="32" s="1"/>
  <c r="D873" i="32" s="1"/>
  <c r="M1463" i="32" a="1"/>
  <c r="M1463" i="32" s="1"/>
  <c r="D1463" i="32" s="1"/>
  <c r="O1463" i="32" a="1"/>
  <c r="O1463" i="32" s="1"/>
  <c r="N1463" i="32" a="1"/>
  <c r="N1463" i="32" s="1"/>
  <c r="E1463" i="32" s="1"/>
  <c r="R1463" i="32" a="1"/>
  <c r="R1463" i="32" s="1"/>
  <c r="K677" i="32"/>
  <c r="L675" i="32"/>
  <c r="K877" i="32"/>
  <c r="L875" i="32"/>
  <c r="K1467" i="32"/>
  <c r="L1465" i="32"/>
  <c r="R382" i="32" a="1"/>
  <c r="R382" i="32" s="1"/>
  <c r="P1187" i="27" s="1"/>
  <c r="O382" i="32" a="1"/>
  <c r="O382" i="32" s="1"/>
  <c r="M1187" i="27" s="1"/>
  <c r="A1187" i="27" s="1"/>
  <c r="N382" i="32" a="1"/>
  <c r="N382" i="32" s="1"/>
  <c r="E382" i="32" s="1"/>
  <c r="M382" i="32" a="1"/>
  <c r="M382" i="32" s="1"/>
  <c r="D382" i="32" s="1"/>
  <c r="K386" i="32"/>
  <c r="L384" i="32"/>
  <c r="N530" i="32" a="1"/>
  <c r="N530" i="32" s="1"/>
  <c r="E530" i="32" s="1"/>
  <c r="M530" i="32" a="1"/>
  <c r="M530" i="32" s="1"/>
  <c r="D530" i="32" s="1"/>
  <c r="O530" i="32" a="1"/>
  <c r="O530" i="32" s="1"/>
  <c r="M1261" i="27" s="1"/>
  <c r="A1261" i="27" s="1"/>
  <c r="R530" i="32" a="1"/>
  <c r="R530" i="32" s="1"/>
  <c r="P1261" i="27" s="1"/>
  <c r="K534" i="32"/>
  <c r="L532" i="32"/>
  <c r="R120" i="32" a="1"/>
  <c r="R120" i="32" s="1"/>
  <c r="P1513" i="27" s="1"/>
  <c r="O120" i="32" a="1"/>
  <c r="O120" i="32" s="1"/>
  <c r="M1513" i="27" s="1"/>
  <c r="A1513" i="27" s="1"/>
  <c r="N120" i="32" a="1"/>
  <c r="N120" i="32" s="1"/>
  <c r="E120" i="32" s="1"/>
  <c r="F1513" i="27" s="1"/>
  <c r="M120" i="32" a="1"/>
  <c r="M120" i="32" s="1"/>
  <c r="D120" i="32" s="1"/>
  <c r="K124" i="32"/>
  <c r="L122" i="32"/>
  <c r="Q1269" i="32"/>
  <c r="A1269" i="32"/>
  <c r="H3961" i="27"/>
  <c r="G1265" i="32"/>
  <c r="I3961" i="27"/>
  <c r="A1267" i="32"/>
  <c r="L1877" i="32" l="1"/>
  <c r="K1879" i="32"/>
  <c r="R1875" i="32" a="1"/>
  <c r="R1875" i="32" s="1"/>
  <c r="O1875" i="32" a="1"/>
  <c r="O1875" i="32" s="1"/>
  <c r="N1875" i="32" a="1"/>
  <c r="N1875" i="32" s="1"/>
  <c r="E1875" i="32" s="1"/>
  <c r="M1875" i="32" a="1"/>
  <c r="M1875" i="32" s="1"/>
  <c r="D1875" i="32" s="1"/>
  <c r="A3961" i="27"/>
  <c r="F3964" i="27"/>
  <c r="B664" i="27"/>
  <c r="H664" i="27" s="1"/>
  <c r="N664" i="27"/>
  <c r="M664" i="27"/>
  <c r="O1623" i="32" a="1"/>
  <c r="O1623" i="32" s="1"/>
  <c r="M1623" i="32" a="1"/>
  <c r="M1623" i="32" s="1"/>
  <c r="D1623" i="32" s="1"/>
  <c r="N1623" i="32" a="1"/>
  <c r="N1623" i="32" s="1"/>
  <c r="E1623" i="32" s="1"/>
  <c r="R1623" i="32" a="1"/>
  <c r="R1623" i="32" s="1"/>
  <c r="O1465" i="32" a="1"/>
  <c r="O1465" i="32" s="1"/>
  <c r="M1465" i="32" a="1"/>
  <c r="M1465" i="32" s="1"/>
  <c r="D1465" i="32" s="1"/>
  <c r="R1465" i="32" a="1"/>
  <c r="R1465" i="32" s="1"/>
  <c r="N1465" i="32" a="1"/>
  <c r="N1465" i="32" s="1"/>
  <c r="E1465" i="32" s="1"/>
  <c r="K1469" i="32"/>
  <c r="L1467" i="32"/>
  <c r="M875" i="32" a="1"/>
  <c r="M875" i="32" s="1"/>
  <c r="D875" i="32" s="1"/>
  <c r="R875" i="32" a="1"/>
  <c r="R875" i="32" s="1"/>
  <c r="P2379" i="27" s="1"/>
  <c r="O875" i="32" a="1"/>
  <c r="O875" i="32" s="1"/>
  <c r="M2379" i="27" s="1"/>
  <c r="A2379" i="27" s="1"/>
  <c r="N875" i="32" a="1"/>
  <c r="N875" i="32" s="1"/>
  <c r="E875" i="32" s="1"/>
  <c r="F2379" i="27" s="1"/>
  <c r="K879" i="32"/>
  <c r="L877" i="32"/>
  <c r="K1627" i="32"/>
  <c r="L1625" i="32"/>
  <c r="O1437" i="32" a="1"/>
  <c r="O1437" i="32" s="1"/>
  <c r="M1437" i="32" a="1"/>
  <c r="M1437" i="32" s="1"/>
  <c r="D1437" i="32" s="1"/>
  <c r="N1437" i="32" a="1"/>
  <c r="N1437" i="32" s="1"/>
  <c r="E1437" i="32" s="1"/>
  <c r="R1437" i="32" a="1"/>
  <c r="R1437" i="32" s="1"/>
  <c r="K1441" i="32"/>
  <c r="L1439" i="32"/>
  <c r="O837" i="32" a="1"/>
  <c r="O837" i="32" s="1"/>
  <c r="M2360" i="27" s="1"/>
  <c r="A2360" i="27" s="1"/>
  <c r="R837" i="32" a="1"/>
  <c r="R837" i="32" s="1"/>
  <c r="P2360" i="27" s="1"/>
  <c r="N837" i="32" a="1"/>
  <c r="N837" i="32" s="1"/>
  <c r="E837" i="32" s="1"/>
  <c r="F2360" i="27" s="1"/>
  <c r="M837" i="32" a="1"/>
  <c r="M837" i="32" s="1"/>
  <c r="D837" i="32" s="1"/>
  <c r="K841" i="32"/>
  <c r="L839" i="32"/>
  <c r="N675" i="32" a="1"/>
  <c r="N675" i="32" s="1"/>
  <c r="E675" i="32" s="1"/>
  <c r="F2279" i="27" s="1"/>
  <c r="M675" i="32" a="1"/>
  <c r="M675" i="32" s="1"/>
  <c r="D675" i="32" s="1"/>
  <c r="R675" i="32" a="1"/>
  <c r="R675" i="32" s="1"/>
  <c r="P2279" i="27" s="1"/>
  <c r="O675" i="32" a="1"/>
  <c r="O675" i="32" s="1"/>
  <c r="M2279" i="27" s="1"/>
  <c r="A2279" i="27" s="1"/>
  <c r="K679" i="32"/>
  <c r="L677" i="32"/>
  <c r="O1661" i="32" a="1"/>
  <c r="O1661" i="32" s="1"/>
  <c r="M1661" i="32" a="1"/>
  <c r="M1661" i="32" s="1"/>
  <c r="D1661" i="32" s="1"/>
  <c r="N1661" i="32" a="1"/>
  <c r="N1661" i="32" s="1"/>
  <c r="E1661" i="32" s="1"/>
  <c r="R1661" i="32" a="1"/>
  <c r="R1661" i="32" s="1"/>
  <c r="K1665" i="32"/>
  <c r="L1663" i="32"/>
  <c r="N532" i="32" a="1"/>
  <c r="N532" i="32" s="1"/>
  <c r="E532" i="32" s="1"/>
  <c r="R532" i="32" a="1"/>
  <c r="R532" i="32" s="1"/>
  <c r="P1262" i="27" s="1"/>
  <c r="M532" i="32" a="1"/>
  <c r="M532" i="32" s="1"/>
  <c r="D532" i="32" s="1"/>
  <c r="O532" i="32" a="1"/>
  <c r="O532" i="32" s="1"/>
  <c r="M1262" i="27" s="1"/>
  <c r="A1262" i="27" s="1"/>
  <c r="K536" i="32"/>
  <c r="L534" i="32"/>
  <c r="M384" i="32" a="1"/>
  <c r="M384" i="32" s="1"/>
  <c r="D384" i="32" s="1"/>
  <c r="R384" i="32" a="1"/>
  <c r="R384" i="32" s="1"/>
  <c r="P1188" i="27" s="1"/>
  <c r="O384" i="32" a="1"/>
  <c r="O384" i="32" s="1"/>
  <c r="M1188" i="27" s="1"/>
  <c r="A1188" i="27" s="1"/>
  <c r="N384" i="32" a="1"/>
  <c r="N384" i="32" s="1"/>
  <c r="E384" i="32" s="1"/>
  <c r="K388" i="32"/>
  <c r="L386" i="32"/>
  <c r="R122" i="32" a="1"/>
  <c r="R122" i="32" s="1"/>
  <c r="P1514" i="27" s="1"/>
  <c r="M122" i="32" a="1"/>
  <c r="M122" i="32" s="1"/>
  <c r="D122" i="32" s="1"/>
  <c r="N122" i="32" a="1"/>
  <c r="N122" i="32" s="1"/>
  <c r="E122" i="32" s="1"/>
  <c r="F1514" i="27" s="1"/>
  <c r="O122" i="32" a="1"/>
  <c r="O122" i="32" s="1"/>
  <c r="M1514" i="27" s="1"/>
  <c r="A1514" i="27" s="1"/>
  <c r="K126" i="32"/>
  <c r="L124" i="32"/>
  <c r="Q1271" i="32"/>
  <c r="I3963" i="27"/>
  <c r="H3962" i="27"/>
  <c r="H3963" i="27"/>
  <c r="G1267" i="32"/>
  <c r="I3962" i="27"/>
  <c r="L1879" i="32" l="1"/>
  <c r="K1881" i="32"/>
  <c r="R1877" i="32" a="1"/>
  <c r="R1877" i="32" s="1"/>
  <c r="O1877" i="32" a="1"/>
  <c r="O1877" i="32" s="1"/>
  <c r="N1877" i="32" a="1"/>
  <c r="N1877" i="32" s="1"/>
  <c r="E1877" i="32" s="1"/>
  <c r="M1877" i="32" a="1"/>
  <c r="M1877" i="32" s="1"/>
  <c r="D1877" i="32" s="1"/>
  <c r="A3962" i="27"/>
  <c r="A3963" i="27"/>
  <c r="F3965" i="27"/>
  <c r="B665" i="27"/>
  <c r="M665" i="27"/>
  <c r="N665" i="27"/>
  <c r="R677" i="32" a="1"/>
  <c r="R677" i="32" s="1"/>
  <c r="P2280" i="27" s="1"/>
  <c r="O677" i="32" a="1"/>
  <c r="O677" i="32" s="1"/>
  <c r="M2280" i="27" s="1"/>
  <c r="A2280" i="27" s="1"/>
  <c r="N677" i="32" a="1"/>
  <c r="N677" i="32" s="1"/>
  <c r="E677" i="32" s="1"/>
  <c r="F2280" i="27" s="1"/>
  <c r="M677" i="32" a="1"/>
  <c r="M677" i="32" s="1"/>
  <c r="D677" i="32" s="1"/>
  <c r="R1439" i="32" a="1"/>
  <c r="R1439" i="32" s="1"/>
  <c r="M1439" i="32" a="1"/>
  <c r="M1439" i="32" s="1"/>
  <c r="D1439" i="32" s="1"/>
  <c r="O1439" i="32" a="1"/>
  <c r="O1439" i="32" s="1"/>
  <c r="N1439" i="32" a="1"/>
  <c r="N1439" i="32" s="1"/>
  <c r="E1439" i="32" s="1"/>
  <c r="K681" i="32"/>
  <c r="L679" i="32"/>
  <c r="K1443" i="32"/>
  <c r="L1441" i="32"/>
  <c r="R1467" i="32" a="1"/>
  <c r="R1467" i="32" s="1"/>
  <c r="O1467" i="32" a="1"/>
  <c r="O1467" i="32" s="1"/>
  <c r="M1467" i="32" a="1"/>
  <c r="M1467" i="32" s="1"/>
  <c r="D1467" i="32" s="1"/>
  <c r="N1467" i="32" a="1"/>
  <c r="N1467" i="32" s="1"/>
  <c r="E1467" i="32" s="1"/>
  <c r="K1471" i="32"/>
  <c r="L1469" i="32"/>
  <c r="R1663" i="32" a="1"/>
  <c r="R1663" i="32" s="1"/>
  <c r="M1663" i="32" a="1"/>
  <c r="M1663" i="32" s="1"/>
  <c r="D1663" i="32" s="1"/>
  <c r="O1663" i="32" a="1"/>
  <c r="O1663" i="32" s="1"/>
  <c r="N1663" i="32" a="1"/>
  <c r="N1663" i="32" s="1"/>
  <c r="E1663" i="32" s="1"/>
  <c r="O839" i="32" a="1"/>
  <c r="O839" i="32" s="1"/>
  <c r="M2361" i="27" s="1"/>
  <c r="A2361" i="27" s="1"/>
  <c r="R839" i="32" a="1"/>
  <c r="R839" i="32" s="1"/>
  <c r="P2361" i="27" s="1"/>
  <c r="N839" i="32" a="1"/>
  <c r="N839" i="32" s="1"/>
  <c r="E839" i="32" s="1"/>
  <c r="F2361" i="27" s="1"/>
  <c r="M839" i="32" a="1"/>
  <c r="M839" i="32" s="1"/>
  <c r="D839" i="32" s="1"/>
  <c r="M1625" i="32" a="1"/>
  <c r="M1625" i="32" s="1"/>
  <c r="D1625" i="32" s="1"/>
  <c r="R1625" i="32" a="1"/>
  <c r="R1625" i="32" s="1"/>
  <c r="O1625" i="32" a="1"/>
  <c r="O1625" i="32" s="1"/>
  <c r="N1625" i="32" a="1"/>
  <c r="N1625" i="32" s="1"/>
  <c r="E1625" i="32" s="1"/>
  <c r="K1667" i="32"/>
  <c r="L1665" i="32"/>
  <c r="K843" i="32"/>
  <c r="L841" i="32"/>
  <c r="K1629" i="32"/>
  <c r="L1627" i="32"/>
  <c r="M877" i="32" a="1"/>
  <c r="M877" i="32" s="1"/>
  <c r="D877" i="32" s="1"/>
  <c r="R877" i="32" a="1"/>
  <c r="R877" i="32" s="1"/>
  <c r="P2380" i="27" s="1"/>
  <c r="O877" i="32" a="1"/>
  <c r="O877" i="32" s="1"/>
  <c r="M2380" i="27" s="1"/>
  <c r="A2380" i="27" s="1"/>
  <c r="N877" i="32" a="1"/>
  <c r="N877" i="32" s="1"/>
  <c r="E877" i="32" s="1"/>
  <c r="F2380" i="27" s="1"/>
  <c r="K881" i="32"/>
  <c r="L879" i="32"/>
  <c r="R386" i="32" a="1"/>
  <c r="R386" i="32" s="1"/>
  <c r="P1189" i="27" s="1"/>
  <c r="M386" i="32" a="1"/>
  <c r="M386" i="32" s="1"/>
  <c r="D386" i="32" s="1"/>
  <c r="O386" i="32" a="1"/>
  <c r="O386" i="32" s="1"/>
  <c r="M1189" i="27" s="1"/>
  <c r="A1189" i="27" s="1"/>
  <c r="N386" i="32" a="1"/>
  <c r="N386" i="32" s="1"/>
  <c r="E386" i="32" s="1"/>
  <c r="K390" i="32"/>
  <c r="L388" i="32"/>
  <c r="M534" i="32" a="1"/>
  <c r="M534" i="32" s="1"/>
  <c r="D534" i="32" s="1"/>
  <c r="R534" i="32" a="1"/>
  <c r="R534" i="32" s="1"/>
  <c r="P1263" i="27" s="1"/>
  <c r="N534" i="32" a="1"/>
  <c r="N534" i="32" s="1"/>
  <c r="E534" i="32" s="1"/>
  <c r="O534" i="32" a="1"/>
  <c r="O534" i="32" s="1"/>
  <c r="M1263" i="27" s="1"/>
  <c r="A1263" i="27" s="1"/>
  <c r="K538" i="32"/>
  <c r="L536" i="32"/>
  <c r="R124" i="32" a="1"/>
  <c r="R124" i="32" s="1"/>
  <c r="P1515" i="27" s="1"/>
  <c r="M124" i="32" a="1"/>
  <c r="M124" i="32" s="1"/>
  <c r="D124" i="32" s="1"/>
  <c r="N124" i="32" a="1"/>
  <c r="N124" i="32" s="1"/>
  <c r="E124" i="32" s="1"/>
  <c r="F1515" i="27" s="1"/>
  <c r="O124" i="32" a="1"/>
  <c r="O124" i="32" s="1"/>
  <c r="M1515" i="27" s="1"/>
  <c r="A1515" i="27" s="1"/>
  <c r="K128" i="32"/>
  <c r="L126" i="32"/>
  <c r="Q1273" i="32"/>
  <c r="G1269" i="32"/>
  <c r="I3964" i="27"/>
  <c r="H3964" i="27"/>
  <c r="A1271" i="32"/>
  <c r="A1273" i="32"/>
  <c r="L1881" i="32" l="1"/>
  <c r="K1883" i="32"/>
  <c r="R1879" i="32" a="1"/>
  <c r="R1879" i="32" s="1"/>
  <c r="O1879" i="32" a="1"/>
  <c r="O1879" i="32" s="1"/>
  <c r="N1879" i="32" a="1"/>
  <c r="N1879" i="32" s="1"/>
  <c r="E1879" i="32" s="1"/>
  <c r="M1879" i="32" a="1"/>
  <c r="M1879" i="32" s="1"/>
  <c r="D1879" i="32" s="1"/>
  <c r="A3964" i="27"/>
  <c r="F3966" i="27"/>
  <c r="B666" i="27"/>
  <c r="M666" i="27"/>
  <c r="N666" i="27"/>
  <c r="H665" i="27"/>
  <c r="K1445" i="32"/>
  <c r="L1443" i="32"/>
  <c r="N1627" i="32" a="1"/>
  <c r="N1627" i="32" s="1"/>
  <c r="E1627" i="32" s="1"/>
  <c r="M1627" i="32" a="1"/>
  <c r="M1627" i="32" s="1"/>
  <c r="D1627" i="32" s="1"/>
  <c r="R1627" i="32" a="1"/>
  <c r="R1627" i="32" s="1"/>
  <c r="O1627" i="32" a="1"/>
  <c r="O1627" i="32" s="1"/>
  <c r="N841" i="32" a="1"/>
  <c r="N841" i="32" s="1"/>
  <c r="E841" i="32" s="1"/>
  <c r="F2362" i="27" s="1"/>
  <c r="M841" i="32" a="1"/>
  <c r="M841" i="32" s="1"/>
  <c r="D841" i="32" s="1"/>
  <c r="R841" i="32" a="1"/>
  <c r="R841" i="32" s="1"/>
  <c r="P2362" i="27" s="1"/>
  <c r="O841" i="32" a="1"/>
  <c r="O841" i="32" s="1"/>
  <c r="M2362" i="27" s="1"/>
  <c r="A2362" i="27" s="1"/>
  <c r="O679" i="32" a="1"/>
  <c r="O679" i="32" s="1"/>
  <c r="M2281" i="27" s="1"/>
  <c r="A2281" i="27" s="1"/>
  <c r="N679" i="32" a="1"/>
  <c r="N679" i="32" s="1"/>
  <c r="E679" i="32" s="1"/>
  <c r="F2281" i="27" s="1"/>
  <c r="M679" i="32" a="1"/>
  <c r="M679" i="32" s="1"/>
  <c r="D679" i="32" s="1"/>
  <c r="R679" i="32" a="1"/>
  <c r="R679" i="32" s="1"/>
  <c r="P2281" i="27" s="1"/>
  <c r="M1441" i="32" a="1"/>
  <c r="M1441" i="32" s="1"/>
  <c r="D1441" i="32" s="1"/>
  <c r="R1441" i="32" a="1"/>
  <c r="R1441" i="32" s="1"/>
  <c r="N1441" i="32" a="1"/>
  <c r="N1441" i="32" s="1"/>
  <c r="E1441" i="32" s="1"/>
  <c r="O1441" i="32" a="1"/>
  <c r="O1441" i="32" s="1"/>
  <c r="K1631" i="32"/>
  <c r="L1629" i="32"/>
  <c r="K845" i="32"/>
  <c r="L843" i="32"/>
  <c r="K683" i="32"/>
  <c r="L681" i="32"/>
  <c r="O1665" i="32" a="1"/>
  <c r="O1665" i="32" s="1"/>
  <c r="N1665" i="32" a="1"/>
  <c r="N1665" i="32" s="1"/>
  <c r="E1665" i="32" s="1"/>
  <c r="R1665" i="32" a="1"/>
  <c r="R1665" i="32" s="1"/>
  <c r="M1665" i="32" a="1"/>
  <c r="M1665" i="32" s="1"/>
  <c r="D1665" i="32" s="1"/>
  <c r="M879" i="32" a="1"/>
  <c r="M879" i="32" s="1"/>
  <c r="D879" i="32" s="1"/>
  <c r="N879" i="32" a="1"/>
  <c r="N879" i="32" s="1"/>
  <c r="E879" i="32" s="1"/>
  <c r="F2381" i="27" s="1"/>
  <c r="O879" i="32" a="1"/>
  <c r="O879" i="32" s="1"/>
  <c r="M2381" i="27" s="1"/>
  <c r="A2381" i="27" s="1"/>
  <c r="R879" i="32" a="1"/>
  <c r="R879" i="32" s="1"/>
  <c r="P2381" i="27" s="1"/>
  <c r="O1469" i="32" a="1"/>
  <c r="O1469" i="32" s="1"/>
  <c r="R1469" i="32" a="1"/>
  <c r="R1469" i="32" s="1"/>
  <c r="M1469" i="32" a="1"/>
  <c r="M1469" i="32" s="1"/>
  <c r="D1469" i="32" s="1"/>
  <c r="N1469" i="32" a="1"/>
  <c r="N1469" i="32" s="1"/>
  <c r="E1469" i="32" s="1"/>
  <c r="K1669" i="32"/>
  <c r="L1667" i="32"/>
  <c r="K883" i="32"/>
  <c r="L881" i="32"/>
  <c r="K1473" i="32"/>
  <c r="L1471" i="32"/>
  <c r="R536" i="32" a="1"/>
  <c r="R536" i="32" s="1"/>
  <c r="P1264" i="27" s="1"/>
  <c r="N536" i="32" a="1"/>
  <c r="N536" i="32" s="1"/>
  <c r="E536" i="32" s="1"/>
  <c r="M536" i="32" a="1"/>
  <c r="M536" i="32" s="1"/>
  <c r="D536" i="32" s="1"/>
  <c r="O536" i="32" a="1"/>
  <c r="O536" i="32" s="1"/>
  <c r="M1264" i="27" s="1"/>
  <c r="A1264" i="27" s="1"/>
  <c r="K540" i="32"/>
  <c r="L538" i="32"/>
  <c r="N388" i="32" a="1"/>
  <c r="N388" i="32" s="1"/>
  <c r="E388" i="32" s="1"/>
  <c r="O388" i="32" a="1"/>
  <c r="O388" i="32" s="1"/>
  <c r="M1190" i="27" s="1"/>
  <c r="A1190" i="27" s="1"/>
  <c r="M388" i="32" a="1"/>
  <c r="M388" i="32" s="1"/>
  <c r="D388" i="32" s="1"/>
  <c r="R388" i="32" a="1"/>
  <c r="R388" i="32" s="1"/>
  <c r="P1190" i="27" s="1"/>
  <c r="K392" i="32"/>
  <c r="L390" i="32"/>
  <c r="R126" i="32" a="1"/>
  <c r="R126" i="32" s="1"/>
  <c r="P1516" i="27" s="1"/>
  <c r="O126" i="32" a="1"/>
  <c r="O126" i="32" s="1"/>
  <c r="M1516" i="27" s="1"/>
  <c r="A1516" i="27" s="1"/>
  <c r="M126" i="32" a="1"/>
  <c r="M126" i="32" s="1"/>
  <c r="D126" i="32" s="1"/>
  <c r="N126" i="32" a="1"/>
  <c r="N126" i="32" s="1"/>
  <c r="E126" i="32" s="1"/>
  <c r="F1516" i="27" s="1"/>
  <c r="K130" i="32"/>
  <c r="L128" i="32"/>
  <c r="Q1275" i="32"/>
  <c r="I3965" i="27"/>
  <c r="H3965" i="27"/>
  <c r="G1271" i="32"/>
  <c r="L1883" i="32" l="1"/>
  <c r="K1885" i="32"/>
  <c r="R1881" i="32" a="1"/>
  <c r="R1881" i="32" s="1"/>
  <c r="O1881" i="32" a="1"/>
  <c r="O1881" i="32" s="1"/>
  <c r="N1881" i="32" a="1"/>
  <c r="N1881" i="32" s="1"/>
  <c r="E1881" i="32" s="1"/>
  <c r="M1881" i="32" a="1"/>
  <c r="M1881" i="32" s="1"/>
  <c r="D1881" i="32" s="1"/>
  <c r="A3965" i="27"/>
  <c r="F3967" i="27"/>
  <c r="H666" i="27"/>
  <c r="B667" i="27"/>
  <c r="N667" i="27"/>
  <c r="M667" i="27"/>
  <c r="K685" i="32"/>
  <c r="L683" i="32"/>
  <c r="R843" i="32" a="1"/>
  <c r="R843" i="32" s="1"/>
  <c r="P2363" i="27" s="1"/>
  <c r="N843" i="32" a="1"/>
  <c r="N843" i="32" s="1"/>
  <c r="E843" i="32" s="1"/>
  <c r="F2363" i="27" s="1"/>
  <c r="O843" i="32" a="1"/>
  <c r="O843" i="32" s="1"/>
  <c r="M2363" i="27" s="1"/>
  <c r="A2363" i="27" s="1"/>
  <c r="M843" i="32" a="1"/>
  <c r="M843" i="32" s="1"/>
  <c r="D843" i="32" s="1"/>
  <c r="K847" i="32"/>
  <c r="L845" i="32"/>
  <c r="R1629" i="32" a="1"/>
  <c r="R1629" i="32" s="1"/>
  <c r="M1629" i="32" a="1"/>
  <c r="M1629" i="32" s="1"/>
  <c r="D1629" i="32" s="1"/>
  <c r="N1629" i="32" a="1"/>
  <c r="N1629" i="32" s="1"/>
  <c r="E1629" i="32" s="1"/>
  <c r="O1629" i="32" a="1"/>
  <c r="O1629" i="32" s="1"/>
  <c r="K1633" i="32"/>
  <c r="L1631" i="32"/>
  <c r="M681" i="32" a="1"/>
  <c r="M681" i="32" s="1"/>
  <c r="D681" i="32" s="1"/>
  <c r="O681" i="32" a="1"/>
  <c r="O681" i="32" s="1"/>
  <c r="M2282" i="27" s="1"/>
  <c r="A2282" i="27" s="1"/>
  <c r="R681" i="32" a="1"/>
  <c r="R681" i="32" s="1"/>
  <c r="P2282" i="27" s="1"/>
  <c r="N681" i="32" a="1"/>
  <c r="N681" i="32" s="1"/>
  <c r="E681" i="32" s="1"/>
  <c r="F2282" i="27" s="1"/>
  <c r="K1671" i="32"/>
  <c r="L1669" i="32"/>
  <c r="M1471" i="32" a="1"/>
  <c r="M1471" i="32" s="1"/>
  <c r="D1471" i="32" s="1"/>
  <c r="R1471" i="32" a="1"/>
  <c r="R1471" i="32" s="1"/>
  <c r="N1471" i="32" a="1"/>
  <c r="N1471" i="32" s="1"/>
  <c r="E1471" i="32" s="1"/>
  <c r="O1471" i="32" a="1"/>
  <c r="O1471" i="32" s="1"/>
  <c r="K1475" i="32"/>
  <c r="L1473" i="32"/>
  <c r="M881" i="32" a="1"/>
  <c r="M881" i="32" s="1"/>
  <c r="D881" i="32" s="1"/>
  <c r="O881" i="32" a="1"/>
  <c r="O881" i="32" s="1"/>
  <c r="M2382" i="27" s="1"/>
  <c r="A2382" i="27" s="1"/>
  <c r="N881" i="32" a="1"/>
  <c r="N881" i="32" s="1"/>
  <c r="E881" i="32" s="1"/>
  <c r="F2382" i="27" s="1"/>
  <c r="R881" i="32" a="1"/>
  <c r="R881" i="32" s="1"/>
  <c r="P2382" i="27" s="1"/>
  <c r="K885" i="32"/>
  <c r="L883" i="32"/>
  <c r="R1667" i="32" a="1"/>
  <c r="R1667" i="32" s="1"/>
  <c r="N1667" i="32" a="1"/>
  <c r="N1667" i="32" s="1"/>
  <c r="E1667" i="32" s="1"/>
  <c r="M1667" i="32" a="1"/>
  <c r="M1667" i="32" s="1"/>
  <c r="D1667" i="32" s="1"/>
  <c r="O1667" i="32" a="1"/>
  <c r="O1667" i="32" s="1"/>
  <c r="R1443" i="32" a="1"/>
  <c r="R1443" i="32" s="1"/>
  <c r="N1443" i="32" a="1"/>
  <c r="N1443" i="32" s="1"/>
  <c r="E1443" i="32" s="1"/>
  <c r="O1443" i="32" a="1"/>
  <c r="O1443" i="32" s="1"/>
  <c r="M1443" i="32" a="1"/>
  <c r="M1443" i="32" s="1"/>
  <c r="D1443" i="32" s="1"/>
  <c r="K1447" i="32"/>
  <c r="L1445" i="32"/>
  <c r="N390" i="32" a="1"/>
  <c r="N390" i="32" s="1"/>
  <c r="E390" i="32" s="1"/>
  <c r="M390" i="32" a="1"/>
  <c r="M390" i="32" s="1"/>
  <c r="D390" i="32" s="1"/>
  <c r="R390" i="32" a="1"/>
  <c r="R390" i="32" s="1"/>
  <c r="P1191" i="27" s="1"/>
  <c r="O390" i="32" a="1"/>
  <c r="O390" i="32" s="1"/>
  <c r="M1191" i="27" s="1"/>
  <c r="A1191" i="27" s="1"/>
  <c r="K394" i="32"/>
  <c r="L392" i="32"/>
  <c r="O538" i="32" a="1"/>
  <c r="O538" i="32" s="1"/>
  <c r="M1265" i="27" s="1"/>
  <c r="A1265" i="27" s="1"/>
  <c r="M538" i="32" a="1"/>
  <c r="M538" i="32" s="1"/>
  <c r="D538" i="32" s="1"/>
  <c r="R538" i="32" a="1"/>
  <c r="R538" i="32" s="1"/>
  <c r="P1265" i="27" s="1"/>
  <c r="N538" i="32" a="1"/>
  <c r="N538" i="32" s="1"/>
  <c r="E538" i="32" s="1"/>
  <c r="K542" i="32"/>
  <c r="L540" i="32"/>
  <c r="R128" i="32" a="1"/>
  <c r="R128" i="32" s="1"/>
  <c r="P1517" i="27" s="1"/>
  <c r="O128" i="32" a="1"/>
  <c r="O128" i="32" s="1"/>
  <c r="M1517" i="27" s="1"/>
  <c r="A1517" i="27" s="1"/>
  <c r="M128" i="32" a="1"/>
  <c r="M128" i="32" s="1"/>
  <c r="D128" i="32" s="1"/>
  <c r="N128" i="32" a="1"/>
  <c r="N128" i="32" s="1"/>
  <c r="E128" i="32" s="1"/>
  <c r="F1517" i="27" s="1"/>
  <c r="K132" i="32"/>
  <c r="L130" i="32"/>
  <c r="Q1277" i="32"/>
  <c r="G1273" i="32"/>
  <c r="I3966" i="27"/>
  <c r="A1275" i="32"/>
  <c r="H3966" i="27"/>
  <c r="A1277" i="32"/>
  <c r="L1885" i="32" l="1"/>
  <c r="K1887" i="32"/>
  <c r="R1883" i="32" a="1"/>
  <c r="R1883" i="32" s="1"/>
  <c r="O1883" i="32" a="1"/>
  <c r="O1883" i="32" s="1"/>
  <c r="N1883" i="32" a="1"/>
  <c r="N1883" i="32" s="1"/>
  <c r="E1883" i="32" s="1"/>
  <c r="M1883" i="32" a="1"/>
  <c r="M1883" i="32" s="1"/>
  <c r="D1883" i="32" s="1"/>
  <c r="A3966" i="27"/>
  <c r="F3969" i="27"/>
  <c r="F3968" i="27"/>
  <c r="B668" i="27"/>
  <c r="N668" i="27"/>
  <c r="M668" i="27"/>
  <c r="H667" i="27"/>
  <c r="K1477" i="32"/>
  <c r="L1475" i="32"/>
  <c r="K1635" i="32"/>
  <c r="L1633" i="32"/>
  <c r="R883" i="32" a="1"/>
  <c r="R883" i="32" s="1"/>
  <c r="P2383" i="27" s="1"/>
  <c r="N883" i="32" a="1"/>
  <c r="N883" i="32" s="1"/>
  <c r="E883" i="32" s="1"/>
  <c r="F2383" i="27" s="1"/>
  <c r="O883" i="32" a="1"/>
  <c r="O883" i="32" s="1"/>
  <c r="M2383" i="27" s="1"/>
  <c r="A2383" i="27" s="1"/>
  <c r="M883" i="32" a="1"/>
  <c r="M883" i="32" s="1"/>
  <c r="D883" i="32" s="1"/>
  <c r="O1669" i="32" a="1"/>
  <c r="O1669" i="32" s="1"/>
  <c r="M1669" i="32" a="1"/>
  <c r="M1669" i="32" s="1"/>
  <c r="D1669" i="32" s="1"/>
  <c r="R1669" i="32" a="1"/>
  <c r="R1669" i="32" s="1"/>
  <c r="N1669" i="32" a="1"/>
  <c r="N1669" i="32" s="1"/>
  <c r="E1669" i="32" s="1"/>
  <c r="O845" i="32" a="1"/>
  <c r="O845" i="32" s="1"/>
  <c r="M2364" i="27" s="1"/>
  <c r="A2364" i="27" s="1"/>
  <c r="M845" i="32" a="1"/>
  <c r="M845" i="32" s="1"/>
  <c r="D845" i="32" s="1"/>
  <c r="N845" i="32" a="1"/>
  <c r="N845" i="32" s="1"/>
  <c r="E845" i="32" s="1"/>
  <c r="F2364" i="27" s="1"/>
  <c r="R845" i="32" a="1"/>
  <c r="R845" i="32" s="1"/>
  <c r="P2364" i="27" s="1"/>
  <c r="K887" i="32"/>
  <c r="L885" i="32"/>
  <c r="K1673" i="32"/>
  <c r="L1671" i="32"/>
  <c r="K849" i="32"/>
  <c r="L847" i="32"/>
  <c r="R1445" i="32" a="1"/>
  <c r="R1445" i="32" s="1"/>
  <c r="N1445" i="32" a="1"/>
  <c r="N1445" i="32" s="1"/>
  <c r="E1445" i="32" s="1"/>
  <c r="O1445" i="32" a="1"/>
  <c r="O1445" i="32" s="1"/>
  <c r="M1445" i="32" a="1"/>
  <c r="M1445" i="32" s="1"/>
  <c r="D1445" i="32" s="1"/>
  <c r="K1449" i="32"/>
  <c r="L1447" i="32"/>
  <c r="N1473" i="32" a="1"/>
  <c r="N1473" i="32" s="1"/>
  <c r="E1473" i="32" s="1"/>
  <c r="R1473" i="32" a="1"/>
  <c r="R1473" i="32" s="1"/>
  <c r="M1473" i="32" a="1"/>
  <c r="M1473" i="32" s="1"/>
  <c r="D1473" i="32" s="1"/>
  <c r="O1473" i="32" a="1"/>
  <c r="O1473" i="32" s="1"/>
  <c r="M1631" i="32" a="1"/>
  <c r="M1631" i="32" s="1"/>
  <c r="D1631" i="32" s="1"/>
  <c r="N1631" i="32" a="1"/>
  <c r="N1631" i="32" s="1"/>
  <c r="E1631" i="32" s="1"/>
  <c r="R1631" i="32" a="1"/>
  <c r="R1631" i="32" s="1"/>
  <c r="O1631" i="32" a="1"/>
  <c r="O1631" i="32" s="1"/>
  <c r="N683" i="32" a="1"/>
  <c r="N683" i="32" s="1"/>
  <c r="E683" i="32" s="1"/>
  <c r="F2283" i="27" s="1"/>
  <c r="M683" i="32" a="1"/>
  <c r="M683" i="32" s="1"/>
  <c r="D683" i="32" s="1"/>
  <c r="O683" i="32" a="1"/>
  <c r="O683" i="32" s="1"/>
  <c r="M2283" i="27" s="1"/>
  <c r="A2283" i="27" s="1"/>
  <c r="R683" i="32" a="1"/>
  <c r="R683" i="32" s="1"/>
  <c r="P2283" i="27" s="1"/>
  <c r="K687" i="32"/>
  <c r="L685" i="32"/>
  <c r="M392" i="32" a="1"/>
  <c r="M392" i="32" s="1"/>
  <c r="D392" i="32" s="1"/>
  <c r="R392" i="32" a="1"/>
  <c r="R392" i="32" s="1"/>
  <c r="P1192" i="27" s="1"/>
  <c r="N392" i="32" a="1"/>
  <c r="N392" i="32" s="1"/>
  <c r="E392" i="32" s="1"/>
  <c r="O392" i="32" a="1"/>
  <c r="O392" i="32" s="1"/>
  <c r="M1192" i="27" s="1"/>
  <c r="A1192" i="27" s="1"/>
  <c r="N540" i="32" a="1"/>
  <c r="N540" i="32" s="1"/>
  <c r="E540" i="32" s="1"/>
  <c r="R540" i="32" a="1"/>
  <c r="R540" i="32" s="1"/>
  <c r="P1266" i="27" s="1"/>
  <c r="M540" i="32" a="1"/>
  <c r="M540" i="32" s="1"/>
  <c r="D540" i="32" s="1"/>
  <c r="O540" i="32" a="1"/>
  <c r="O540" i="32" s="1"/>
  <c r="M1266" i="27" s="1"/>
  <c r="A1266" i="27" s="1"/>
  <c r="K544" i="32"/>
  <c r="L542" i="32"/>
  <c r="K396" i="32"/>
  <c r="L394" i="32"/>
  <c r="R130" i="32" a="1"/>
  <c r="R130" i="32" s="1"/>
  <c r="P1518" i="27" s="1"/>
  <c r="O130" i="32" a="1"/>
  <c r="O130" i="32" s="1"/>
  <c r="M1518" i="27" s="1"/>
  <c r="A1518" i="27" s="1"/>
  <c r="N130" i="32" a="1"/>
  <c r="N130" i="32" s="1"/>
  <c r="E130" i="32" s="1"/>
  <c r="F1518" i="27" s="1"/>
  <c r="M130" i="32" a="1"/>
  <c r="M130" i="32" s="1"/>
  <c r="D130" i="32" s="1"/>
  <c r="K134" i="32"/>
  <c r="L132" i="32"/>
  <c r="Q1279" i="32"/>
  <c r="A1279" i="32"/>
  <c r="I3967" i="27"/>
  <c r="G1275" i="32"/>
  <c r="H3967" i="27"/>
  <c r="L1887" i="32" l="1"/>
  <c r="K1889" i="32"/>
  <c r="R1885" i="32" a="1"/>
  <c r="R1885" i="32" s="1"/>
  <c r="O1885" i="32" a="1"/>
  <c r="O1885" i="32" s="1"/>
  <c r="N1885" i="32" a="1"/>
  <c r="N1885" i="32" s="1"/>
  <c r="E1885" i="32" s="1"/>
  <c r="M1885" i="32" a="1"/>
  <c r="M1885" i="32" s="1"/>
  <c r="D1885" i="32" s="1"/>
  <c r="A3967" i="27"/>
  <c r="F3970" i="27"/>
  <c r="H668" i="27"/>
  <c r="B669" i="27"/>
  <c r="N669" i="27"/>
  <c r="M669" i="27"/>
  <c r="K851" i="32"/>
  <c r="L849" i="32"/>
  <c r="M1671" i="32" a="1"/>
  <c r="M1671" i="32" s="1"/>
  <c r="D1671" i="32" s="1"/>
  <c r="N1671" i="32" a="1"/>
  <c r="N1671" i="32" s="1"/>
  <c r="E1671" i="32" s="1"/>
  <c r="R1671" i="32" a="1"/>
  <c r="R1671" i="32" s="1"/>
  <c r="O1671" i="32" a="1"/>
  <c r="O1671" i="32" s="1"/>
  <c r="O847" i="32" a="1"/>
  <c r="O847" i="32" s="1"/>
  <c r="M2365" i="27" s="1"/>
  <c r="A2365" i="27" s="1"/>
  <c r="R847" i="32" a="1"/>
  <c r="R847" i="32" s="1"/>
  <c r="P2365" i="27" s="1"/>
  <c r="N847" i="32" a="1"/>
  <c r="N847" i="32" s="1"/>
  <c r="E847" i="32" s="1"/>
  <c r="F2365" i="27" s="1"/>
  <c r="M847" i="32" a="1"/>
  <c r="M847" i="32" s="1"/>
  <c r="D847" i="32" s="1"/>
  <c r="K1675" i="32"/>
  <c r="L1673" i="32"/>
  <c r="O885" i="32" a="1"/>
  <c r="O885" i="32" s="1"/>
  <c r="M2384" i="27" s="1"/>
  <c r="A2384" i="27" s="1"/>
  <c r="N885" i="32" a="1"/>
  <c r="N885" i="32" s="1"/>
  <c r="E885" i="32" s="1"/>
  <c r="F2384" i="27" s="1"/>
  <c r="R885" i="32" a="1"/>
  <c r="R885" i="32" s="1"/>
  <c r="P2384" i="27" s="1"/>
  <c r="M885" i="32" a="1"/>
  <c r="M885" i="32" s="1"/>
  <c r="D885" i="32" s="1"/>
  <c r="N685" i="32" a="1"/>
  <c r="N685" i="32" s="1"/>
  <c r="E685" i="32" s="1"/>
  <c r="F2284" i="27" s="1"/>
  <c r="R685" i="32" a="1"/>
  <c r="R685" i="32" s="1"/>
  <c r="P2284" i="27" s="1"/>
  <c r="O685" i="32" a="1"/>
  <c r="O685" i="32" s="1"/>
  <c r="M2284" i="27" s="1"/>
  <c r="A2284" i="27" s="1"/>
  <c r="M685" i="32" a="1"/>
  <c r="M685" i="32" s="1"/>
  <c r="D685" i="32" s="1"/>
  <c r="K689" i="32"/>
  <c r="L687" i="32"/>
  <c r="K889" i="32"/>
  <c r="L887" i="32"/>
  <c r="N1447" i="32" a="1"/>
  <c r="N1447" i="32" s="1"/>
  <c r="E1447" i="32" s="1"/>
  <c r="M1447" i="32" a="1"/>
  <c r="M1447" i="32" s="1"/>
  <c r="D1447" i="32" s="1"/>
  <c r="O1447" i="32" a="1"/>
  <c r="O1447" i="32" s="1"/>
  <c r="R1447" i="32" a="1"/>
  <c r="R1447" i="32" s="1"/>
  <c r="R1633" i="32" a="1"/>
  <c r="R1633" i="32" s="1"/>
  <c r="N1633" i="32" a="1"/>
  <c r="N1633" i="32" s="1"/>
  <c r="E1633" i="32" s="1"/>
  <c r="O1633" i="32" a="1"/>
  <c r="O1633" i="32" s="1"/>
  <c r="M1633" i="32" a="1"/>
  <c r="M1633" i="32" s="1"/>
  <c r="D1633" i="32" s="1"/>
  <c r="K1451" i="32"/>
  <c r="L1449" i="32"/>
  <c r="K1637" i="32"/>
  <c r="L1635" i="32"/>
  <c r="N1475" i="32" a="1"/>
  <c r="N1475" i="32" s="1"/>
  <c r="E1475" i="32" s="1"/>
  <c r="O1475" i="32" a="1"/>
  <c r="O1475" i="32" s="1"/>
  <c r="M1475" i="32" a="1"/>
  <c r="M1475" i="32" s="1"/>
  <c r="D1475" i="32" s="1"/>
  <c r="R1475" i="32" a="1"/>
  <c r="R1475" i="32" s="1"/>
  <c r="K1479" i="32"/>
  <c r="L1477" i="32"/>
  <c r="R394" i="32" a="1"/>
  <c r="R394" i="32" s="1"/>
  <c r="P1193" i="27" s="1"/>
  <c r="O394" i="32" a="1"/>
  <c r="O394" i="32" s="1"/>
  <c r="M1193" i="27" s="1"/>
  <c r="A1193" i="27" s="1"/>
  <c r="N394" i="32" a="1"/>
  <c r="N394" i="32" s="1"/>
  <c r="E394" i="32" s="1"/>
  <c r="M394" i="32" a="1"/>
  <c r="M394" i="32" s="1"/>
  <c r="D394" i="32" s="1"/>
  <c r="K398" i="32"/>
  <c r="L396" i="32"/>
  <c r="R542" i="32" a="1"/>
  <c r="R542" i="32" s="1"/>
  <c r="P1267" i="27" s="1"/>
  <c r="N542" i="32" a="1"/>
  <c r="N542" i="32" s="1"/>
  <c r="E542" i="32" s="1"/>
  <c r="M542" i="32" a="1"/>
  <c r="M542" i="32" s="1"/>
  <c r="D542" i="32" s="1"/>
  <c r="O542" i="32" a="1"/>
  <c r="O542" i="32" s="1"/>
  <c r="M1267" i="27" s="1"/>
  <c r="A1267" i="27" s="1"/>
  <c r="K546" i="32"/>
  <c r="L544" i="32"/>
  <c r="R132" i="32" a="1"/>
  <c r="R132" i="32" s="1"/>
  <c r="P1519" i="27" s="1"/>
  <c r="O132" i="32" a="1"/>
  <c r="O132" i="32" s="1"/>
  <c r="M1519" i="27" s="1"/>
  <c r="A1519" i="27" s="1"/>
  <c r="N132" i="32" a="1"/>
  <c r="N132" i="32" s="1"/>
  <c r="E132" i="32" s="1"/>
  <c r="F1519" i="27" s="1"/>
  <c r="M132" i="32" a="1"/>
  <c r="M132" i="32" s="1"/>
  <c r="D132" i="32" s="1"/>
  <c r="K136" i="32"/>
  <c r="L134" i="32"/>
  <c r="Q1281" i="32"/>
  <c r="H3968" i="27"/>
  <c r="H3969" i="27"/>
  <c r="I3968" i="27"/>
  <c r="A1281" i="32"/>
  <c r="I3969" i="27"/>
  <c r="G1277" i="32"/>
  <c r="L1889" i="32" l="1"/>
  <c r="K1891" i="32"/>
  <c r="R1887" i="32" a="1"/>
  <c r="R1887" i="32" s="1"/>
  <c r="O1887" i="32" a="1"/>
  <c r="O1887" i="32" s="1"/>
  <c r="N1887" i="32" a="1"/>
  <c r="N1887" i="32" s="1"/>
  <c r="E1887" i="32" s="1"/>
  <c r="M1887" i="32" a="1"/>
  <c r="M1887" i="32" s="1"/>
  <c r="D1887" i="32" s="1"/>
  <c r="A3969" i="27"/>
  <c r="A3968" i="27"/>
  <c r="F3971" i="27"/>
  <c r="H669" i="27"/>
  <c r="B670" i="27"/>
  <c r="M670" i="27"/>
  <c r="N670" i="27"/>
  <c r="K1677" i="32"/>
  <c r="L1675" i="32"/>
  <c r="N1477" i="32" a="1"/>
  <c r="N1477" i="32" s="1"/>
  <c r="E1477" i="32" s="1"/>
  <c r="M1477" i="32" a="1"/>
  <c r="M1477" i="32" s="1"/>
  <c r="D1477" i="32" s="1"/>
  <c r="R1477" i="32" a="1"/>
  <c r="R1477" i="32" s="1"/>
  <c r="O1477" i="32" a="1"/>
  <c r="O1477" i="32" s="1"/>
  <c r="K1481" i="32"/>
  <c r="L1479" i="32"/>
  <c r="M1635" i="32" a="1"/>
  <c r="M1635" i="32" s="1"/>
  <c r="D1635" i="32" s="1"/>
  <c r="O1635" i="32" a="1"/>
  <c r="O1635" i="32" s="1"/>
  <c r="N1635" i="32" a="1"/>
  <c r="N1635" i="32" s="1"/>
  <c r="E1635" i="32" s="1"/>
  <c r="R1635" i="32" a="1"/>
  <c r="R1635" i="32" s="1"/>
  <c r="N887" i="32" a="1"/>
  <c r="N887" i="32" s="1"/>
  <c r="E887" i="32" s="1"/>
  <c r="F2385" i="27" s="1"/>
  <c r="R887" i="32" a="1"/>
  <c r="R887" i="32" s="1"/>
  <c r="P2385" i="27" s="1"/>
  <c r="O887" i="32" a="1"/>
  <c r="O887" i="32" s="1"/>
  <c r="M2385" i="27" s="1"/>
  <c r="A2385" i="27" s="1"/>
  <c r="M887" i="32" a="1"/>
  <c r="M887" i="32" s="1"/>
  <c r="D887" i="32" s="1"/>
  <c r="R1673" i="32" a="1"/>
  <c r="R1673" i="32" s="1"/>
  <c r="N1673" i="32" a="1"/>
  <c r="N1673" i="32" s="1"/>
  <c r="E1673" i="32" s="1"/>
  <c r="O1673" i="32" a="1"/>
  <c r="O1673" i="32" s="1"/>
  <c r="M1673" i="32" a="1"/>
  <c r="M1673" i="32" s="1"/>
  <c r="D1673" i="32" s="1"/>
  <c r="K1639" i="32"/>
  <c r="L1637" i="32"/>
  <c r="K891" i="32"/>
  <c r="L889" i="32"/>
  <c r="O1449" i="32" a="1"/>
  <c r="O1449" i="32" s="1"/>
  <c r="M1449" i="32" a="1"/>
  <c r="M1449" i="32" s="1"/>
  <c r="D1449" i="32" s="1"/>
  <c r="N1449" i="32" a="1"/>
  <c r="N1449" i="32" s="1"/>
  <c r="E1449" i="32" s="1"/>
  <c r="R1449" i="32" a="1"/>
  <c r="R1449" i="32" s="1"/>
  <c r="O687" i="32" a="1"/>
  <c r="O687" i="32" s="1"/>
  <c r="M2285" i="27" s="1"/>
  <c r="A2285" i="27" s="1"/>
  <c r="R687" i="32" a="1"/>
  <c r="R687" i="32" s="1"/>
  <c r="P2285" i="27" s="1"/>
  <c r="M687" i="32" a="1"/>
  <c r="M687" i="32" s="1"/>
  <c r="D687" i="32" s="1"/>
  <c r="N687" i="32" a="1"/>
  <c r="N687" i="32" s="1"/>
  <c r="E687" i="32" s="1"/>
  <c r="F2285" i="27" s="1"/>
  <c r="K1453" i="32"/>
  <c r="L1451" i="32"/>
  <c r="K691" i="32"/>
  <c r="L689" i="32"/>
  <c r="R849" i="32" a="1"/>
  <c r="R849" i="32" s="1"/>
  <c r="P2366" i="27" s="1"/>
  <c r="O849" i="32" a="1"/>
  <c r="O849" i="32" s="1"/>
  <c r="M2366" i="27" s="1"/>
  <c r="A2366" i="27" s="1"/>
  <c r="N849" i="32" a="1"/>
  <c r="N849" i="32" s="1"/>
  <c r="E849" i="32" s="1"/>
  <c r="F2366" i="27" s="1"/>
  <c r="M849" i="32" a="1"/>
  <c r="M849" i="32" s="1"/>
  <c r="D849" i="32" s="1"/>
  <c r="K853" i="32"/>
  <c r="L851" i="32"/>
  <c r="O544" i="32" a="1"/>
  <c r="O544" i="32" s="1"/>
  <c r="M1268" i="27" s="1"/>
  <c r="A1268" i="27" s="1"/>
  <c r="M544" i="32" a="1"/>
  <c r="M544" i="32" s="1"/>
  <c r="D544" i="32" s="1"/>
  <c r="R544" i="32" a="1"/>
  <c r="R544" i="32" s="1"/>
  <c r="P1268" i="27" s="1"/>
  <c r="N544" i="32" a="1"/>
  <c r="N544" i="32" s="1"/>
  <c r="E544" i="32" s="1"/>
  <c r="K548" i="32"/>
  <c r="L546" i="32"/>
  <c r="R396" i="32" a="1"/>
  <c r="R396" i="32" s="1"/>
  <c r="P1194" i="27" s="1"/>
  <c r="O396" i="32" a="1"/>
  <c r="O396" i="32" s="1"/>
  <c r="M1194" i="27" s="1"/>
  <c r="A1194" i="27" s="1"/>
  <c r="N396" i="32" a="1"/>
  <c r="N396" i="32" s="1"/>
  <c r="E396" i="32" s="1"/>
  <c r="M396" i="32" a="1"/>
  <c r="M396" i="32" s="1"/>
  <c r="D396" i="32" s="1"/>
  <c r="K400" i="32"/>
  <c r="L398" i="32"/>
  <c r="R134" i="32" a="1"/>
  <c r="R134" i="32" s="1"/>
  <c r="P1520" i="27" s="1"/>
  <c r="M134" i="32" a="1"/>
  <c r="M134" i="32" s="1"/>
  <c r="D134" i="32" s="1"/>
  <c r="O134" i="32" a="1"/>
  <c r="O134" i="32" s="1"/>
  <c r="M1520" i="27" s="1"/>
  <c r="A1520" i="27" s="1"/>
  <c r="N134" i="32" a="1"/>
  <c r="N134" i="32" s="1"/>
  <c r="E134" i="32" s="1"/>
  <c r="F1520" i="27" s="1"/>
  <c r="K138" i="32"/>
  <c r="L136" i="32"/>
  <c r="Q1283" i="32"/>
  <c r="H3970" i="27"/>
  <c r="G1279" i="32"/>
  <c r="I3970" i="27"/>
  <c r="L1891" i="32" l="1"/>
  <c r="K1893" i="32"/>
  <c r="R1889" i="32" a="1"/>
  <c r="R1889" i="32" s="1"/>
  <c r="O1889" i="32" a="1"/>
  <c r="O1889" i="32" s="1"/>
  <c r="N1889" i="32" a="1"/>
  <c r="N1889" i="32" s="1"/>
  <c r="E1889" i="32" s="1"/>
  <c r="M1889" i="32" a="1"/>
  <c r="M1889" i="32" s="1"/>
  <c r="D1889" i="32" s="1"/>
  <c r="A3970" i="27"/>
  <c r="F3972" i="27"/>
  <c r="H670" i="27"/>
  <c r="B671" i="27"/>
  <c r="N671" i="27"/>
  <c r="M671" i="27"/>
  <c r="R689" i="32" a="1"/>
  <c r="R689" i="32" s="1"/>
  <c r="P2286" i="27" s="1"/>
  <c r="O689" i="32" a="1"/>
  <c r="O689" i="32" s="1"/>
  <c r="M2286" i="27" s="1"/>
  <c r="A2286" i="27" s="1"/>
  <c r="M689" i="32" a="1"/>
  <c r="M689" i="32" s="1"/>
  <c r="D689" i="32" s="1"/>
  <c r="N689" i="32" a="1"/>
  <c r="N689" i="32" s="1"/>
  <c r="E689" i="32" s="1"/>
  <c r="F2286" i="27" s="1"/>
  <c r="M889" i="32" a="1"/>
  <c r="M889" i="32" s="1"/>
  <c r="D889" i="32" s="1"/>
  <c r="R889" i="32" a="1"/>
  <c r="R889" i="32" s="1"/>
  <c r="P2386" i="27" s="1"/>
  <c r="O889" i="32" a="1"/>
  <c r="O889" i="32" s="1"/>
  <c r="M2386" i="27" s="1"/>
  <c r="A2386" i="27" s="1"/>
  <c r="N889" i="32" a="1"/>
  <c r="N889" i="32" s="1"/>
  <c r="E889" i="32" s="1"/>
  <c r="F2386" i="27" s="1"/>
  <c r="K693" i="32"/>
  <c r="L691" i="32"/>
  <c r="K893" i="32"/>
  <c r="L891" i="32"/>
  <c r="N851" i="32" a="1"/>
  <c r="N851" i="32" s="1"/>
  <c r="E851" i="32" s="1"/>
  <c r="F2367" i="27" s="1"/>
  <c r="R851" i="32" a="1"/>
  <c r="R851" i="32" s="1"/>
  <c r="P2367" i="27" s="1"/>
  <c r="O851" i="32" a="1"/>
  <c r="O851" i="32" s="1"/>
  <c r="M2367" i="27" s="1"/>
  <c r="A2367" i="27" s="1"/>
  <c r="M851" i="32" a="1"/>
  <c r="M851" i="32" s="1"/>
  <c r="D851" i="32" s="1"/>
  <c r="K855" i="32"/>
  <c r="L853" i="32"/>
  <c r="O1451" i="32" a="1"/>
  <c r="O1451" i="32" s="1"/>
  <c r="N1451" i="32" a="1"/>
  <c r="N1451" i="32" s="1"/>
  <c r="E1451" i="32" s="1"/>
  <c r="M1451" i="32" a="1"/>
  <c r="M1451" i="32" s="1"/>
  <c r="D1451" i="32" s="1"/>
  <c r="R1451" i="32" a="1"/>
  <c r="R1451" i="32" s="1"/>
  <c r="O1637" i="32" a="1"/>
  <c r="O1637" i="32" s="1"/>
  <c r="M1637" i="32" a="1"/>
  <c r="M1637" i="32" s="1"/>
  <c r="D1637" i="32" s="1"/>
  <c r="N1637" i="32" a="1"/>
  <c r="N1637" i="32" s="1"/>
  <c r="E1637" i="32" s="1"/>
  <c r="R1637" i="32" a="1"/>
  <c r="R1637" i="32" s="1"/>
  <c r="K1455" i="32"/>
  <c r="L1453" i="32"/>
  <c r="K1641" i="32"/>
  <c r="L1639" i="32"/>
  <c r="M1479" i="32" a="1"/>
  <c r="M1479" i="32" s="1"/>
  <c r="D1479" i="32" s="1"/>
  <c r="N1479" i="32" a="1"/>
  <c r="N1479" i="32" s="1"/>
  <c r="E1479" i="32" s="1"/>
  <c r="R1479" i="32" a="1"/>
  <c r="R1479" i="32" s="1"/>
  <c r="O1479" i="32" a="1"/>
  <c r="O1479" i="32" s="1"/>
  <c r="K1483" i="32"/>
  <c r="L1481" i="32"/>
  <c r="R1675" i="32" a="1"/>
  <c r="R1675" i="32" s="1"/>
  <c r="M1675" i="32" a="1"/>
  <c r="M1675" i="32" s="1"/>
  <c r="D1675" i="32" s="1"/>
  <c r="O1675" i="32" a="1"/>
  <c r="O1675" i="32" s="1"/>
  <c r="N1675" i="32" a="1"/>
  <c r="N1675" i="32" s="1"/>
  <c r="E1675" i="32" s="1"/>
  <c r="K1679" i="32"/>
  <c r="L1677" i="32"/>
  <c r="O546" i="32" a="1"/>
  <c r="O546" i="32" s="1"/>
  <c r="M1269" i="27" s="1"/>
  <c r="A1269" i="27" s="1"/>
  <c r="R546" i="32" a="1"/>
  <c r="R546" i="32" s="1"/>
  <c r="P1269" i="27" s="1"/>
  <c r="N546" i="32" a="1"/>
  <c r="N546" i="32" s="1"/>
  <c r="E546" i="32" s="1"/>
  <c r="M546" i="32" a="1"/>
  <c r="M546" i="32" s="1"/>
  <c r="D546" i="32" s="1"/>
  <c r="O398" i="32" a="1"/>
  <c r="O398" i="32" s="1"/>
  <c r="M1195" i="27" s="1"/>
  <c r="A1195" i="27" s="1"/>
  <c r="N398" i="32" a="1"/>
  <c r="N398" i="32" s="1"/>
  <c r="E398" i="32" s="1"/>
  <c r="M398" i="32" a="1"/>
  <c r="M398" i="32" s="1"/>
  <c r="D398" i="32" s="1"/>
  <c r="R398" i="32" a="1"/>
  <c r="R398" i="32" s="1"/>
  <c r="P1195" i="27" s="1"/>
  <c r="K402" i="32"/>
  <c r="L400" i="32"/>
  <c r="K550" i="32"/>
  <c r="L548" i="32"/>
  <c r="R136" i="32" a="1"/>
  <c r="R136" i="32" s="1"/>
  <c r="P1521" i="27" s="1"/>
  <c r="O136" i="32" a="1"/>
  <c r="O136" i="32" s="1"/>
  <c r="M1521" i="27" s="1"/>
  <c r="A1521" i="27" s="1"/>
  <c r="N136" i="32" a="1"/>
  <c r="N136" i="32" s="1"/>
  <c r="E136" i="32" s="1"/>
  <c r="F1521" i="27" s="1"/>
  <c r="M136" i="32" a="1"/>
  <c r="M136" i="32" s="1"/>
  <c r="D136" i="32" s="1"/>
  <c r="K140" i="32"/>
  <c r="L138" i="32"/>
  <c r="Q1285" i="32"/>
  <c r="I3971" i="27"/>
  <c r="A1283" i="32"/>
  <c r="H3971" i="27"/>
  <c r="G1281" i="32"/>
  <c r="A1285" i="32"/>
  <c r="L1893" i="32" l="1"/>
  <c r="K1895" i="32"/>
  <c r="R1891" i="32" a="1"/>
  <c r="R1891" i="32" s="1"/>
  <c r="O1891" i="32" a="1"/>
  <c r="O1891" i="32" s="1"/>
  <c r="N1891" i="32" a="1"/>
  <c r="N1891" i="32" s="1"/>
  <c r="E1891" i="32" s="1"/>
  <c r="M1891" i="32" a="1"/>
  <c r="M1891" i="32" s="1"/>
  <c r="D1891" i="32" s="1"/>
  <c r="A3971" i="27"/>
  <c r="F3973" i="27"/>
  <c r="B672" i="27"/>
  <c r="M672" i="27"/>
  <c r="N672" i="27"/>
  <c r="H671" i="27"/>
  <c r="O1481" i="32" a="1"/>
  <c r="O1481" i="32" s="1"/>
  <c r="M1481" i="32" a="1"/>
  <c r="M1481" i="32" s="1"/>
  <c r="D1481" i="32" s="1"/>
  <c r="N1481" i="32" a="1"/>
  <c r="N1481" i="32" s="1"/>
  <c r="E1481" i="32" s="1"/>
  <c r="R1481" i="32" a="1"/>
  <c r="R1481" i="32" s="1"/>
  <c r="M891" i="32" a="1"/>
  <c r="M891" i="32" s="1"/>
  <c r="D891" i="32" s="1"/>
  <c r="O891" i="32" a="1"/>
  <c r="O891" i="32" s="1"/>
  <c r="M2387" i="27" s="1"/>
  <c r="A2387" i="27" s="1"/>
  <c r="R891" i="32" a="1"/>
  <c r="R891" i="32" s="1"/>
  <c r="P2387" i="27" s="1"/>
  <c r="N891" i="32" a="1"/>
  <c r="N891" i="32" s="1"/>
  <c r="E891" i="32" s="1"/>
  <c r="F2387" i="27" s="1"/>
  <c r="K1485" i="32"/>
  <c r="L1483" i="32"/>
  <c r="K895" i="32"/>
  <c r="L893" i="32"/>
  <c r="M691" i="32" a="1"/>
  <c r="M691" i="32" s="1"/>
  <c r="D691" i="32" s="1"/>
  <c r="R691" i="32" a="1"/>
  <c r="R691" i="32" s="1"/>
  <c r="P2287" i="27" s="1"/>
  <c r="N691" i="32" a="1"/>
  <c r="N691" i="32" s="1"/>
  <c r="E691" i="32" s="1"/>
  <c r="F2287" i="27" s="1"/>
  <c r="O691" i="32" a="1"/>
  <c r="O691" i="32" s="1"/>
  <c r="M2287" i="27" s="1"/>
  <c r="A2287" i="27" s="1"/>
  <c r="K695" i="32"/>
  <c r="L693" i="32"/>
  <c r="R1677" i="32" a="1"/>
  <c r="R1677" i="32" s="1"/>
  <c r="N1677" i="32" a="1"/>
  <c r="N1677" i="32" s="1"/>
  <c r="E1677" i="32" s="1"/>
  <c r="M1677" i="32" a="1"/>
  <c r="M1677" i="32" s="1"/>
  <c r="D1677" i="32" s="1"/>
  <c r="O1677" i="32" a="1"/>
  <c r="O1677" i="32" s="1"/>
  <c r="R1639" i="32" a="1"/>
  <c r="R1639" i="32" s="1"/>
  <c r="O1639" i="32" a="1"/>
  <c r="O1639" i="32" s="1"/>
  <c r="N1639" i="32" a="1"/>
  <c r="N1639" i="32" s="1"/>
  <c r="E1639" i="32" s="1"/>
  <c r="M1639" i="32" a="1"/>
  <c r="M1639" i="32" s="1"/>
  <c r="D1639" i="32" s="1"/>
  <c r="R853" i="32" a="1"/>
  <c r="R853" i="32" s="1"/>
  <c r="P2368" i="27" s="1"/>
  <c r="N853" i="32" a="1"/>
  <c r="N853" i="32" s="1"/>
  <c r="E853" i="32" s="1"/>
  <c r="F2368" i="27" s="1"/>
  <c r="O853" i="32" a="1"/>
  <c r="O853" i="32" s="1"/>
  <c r="M2368" i="27" s="1"/>
  <c r="A2368" i="27" s="1"/>
  <c r="M853" i="32" a="1"/>
  <c r="M853" i="32" s="1"/>
  <c r="D853" i="32" s="1"/>
  <c r="K1681" i="32"/>
  <c r="L1679" i="32"/>
  <c r="K1643" i="32"/>
  <c r="L1641" i="32"/>
  <c r="K857" i="32"/>
  <c r="L855" i="32"/>
  <c r="M1453" i="32" a="1"/>
  <c r="M1453" i="32" s="1"/>
  <c r="D1453" i="32" s="1"/>
  <c r="N1453" i="32" a="1"/>
  <c r="N1453" i="32" s="1"/>
  <c r="E1453" i="32" s="1"/>
  <c r="O1453" i="32" a="1"/>
  <c r="O1453" i="32" s="1"/>
  <c r="R1453" i="32" a="1"/>
  <c r="R1453" i="32" s="1"/>
  <c r="K1457" i="32"/>
  <c r="L1455" i="32"/>
  <c r="K552" i="32"/>
  <c r="L550" i="32"/>
  <c r="O548" i="32" a="1"/>
  <c r="O548" i="32" s="1"/>
  <c r="M1270" i="27" s="1"/>
  <c r="A1270" i="27" s="1"/>
  <c r="M548" i="32" a="1"/>
  <c r="M548" i="32" s="1"/>
  <c r="D548" i="32" s="1"/>
  <c r="N548" i="32" a="1"/>
  <c r="N548" i="32" s="1"/>
  <c r="E548" i="32" s="1"/>
  <c r="R548" i="32" a="1"/>
  <c r="R548" i="32" s="1"/>
  <c r="P1270" i="27" s="1"/>
  <c r="M400" i="32" a="1"/>
  <c r="M400" i="32" s="1"/>
  <c r="D400" i="32" s="1"/>
  <c r="O400" i="32" a="1"/>
  <c r="O400" i="32" s="1"/>
  <c r="M1196" i="27" s="1"/>
  <c r="A1196" i="27" s="1"/>
  <c r="R400" i="32" a="1"/>
  <c r="R400" i="32" s="1"/>
  <c r="P1196" i="27" s="1"/>
  <c r="N400" i="32" a="1"/>
  <c r="N400" i="32" s="1"/>
  <c r="E400" i="32" s="1"/>
  <c r="K404" i="32"/>
  <c r="L402" i="32"/>
  <c r="K142" i="32"/>
  <c r="L140" i="32"/>
  <c r="R138" i="32" a="1"/>
  <c r="R138" i="32" s="1"/>
  <c r="P1522" i="27" s="1"/>
  <c r="M138" i="32" a="1"/>
  <c r="M138" i="32" s="1"/>
  <c r="D138" i="32" s="1"/>
  <c r="O138" i="32" a="1"/>
  <c r="O138" i="32" s="1"/>
  <c r="M1522" i="27" s="1"/>
  <c r="A1522" i="27" s="1"/>
  <c r="N138" i="32" a="1"/>
  <c r="N138" i="32" s="1"/>
  <c r="E138" i="32" s="1"/>
  <c r="F1522" i="27" s="1"/>
  <c r="Q1287" i="32"/>
  <c r="G1283" i="32"/>
  <c r="I3972" i="27"/>
  <c r="H3972" i="27"/>
  <c r="L1895" i="32" l="1"/>
  <c r="K1897" i="32"/>
  <c r="R1893" i="32" a="1"/>
  <c r="R1893" i="32" s="1"/>
  <c r="O1893" i="32" a="1"/>
  <c r="O1893" i="32" s="1"/>
  <c r="N1893" i="32" a="1"/>
  <c r="N1893" i="32" s="1"/>
  <c r="E1893" i="32" s="1"/>
  <c r="M1893" i="32" a="1"/>
  <c r="M1893" i="32" s="1"/>
  <c r="D1893" i="32" s="1"/>
  <c r="A3972" i="27"/>
  <c r="F3974" i="27"/>
  <c r="F3975" i="27"/>
  <c r="H672" i="27"/>
  <c r="B673" i="27"/>
  <c r="M673" i="27"/>
  <c r="N673" i="27"/>
  <c r="R855" i="32" a="1"/>
  <c r="R855" i="32" s="1"/>
  <c r="P2369" i="27" s="1"/>
  <c r="O855" i="32" a="1"/>
  <c r="O855" i="32" s="1"/>
  <c r="M2369" i="27" s="1"/>
  <c r="A2369" i="27" s="1"/>
  <c r="M855" i="32" a="1"/>
  <c r="M855" i="32" s="1"/>
  <c r="D855" i="32" s="1"/>
  <c r="N855" i="32" a="1"/>
  <c r="N855" i="32" s="1"/>
  <c r="E855" i="32" s="1"/>
  <c r="F2369" i="27" s="1"/>
  <c r="R893" i="32" a="1"/>
  <c r="R893" i="32" s="1"/>
  <c r="P2388" i="27" s="1"/>
  <c r="O893" i="32" a="1"/>
  <c r="O893" i="32" s="1"/>
  <c r="M2388" i="27" s="1"/>
  <c r="A2388" i="27" s="1"/>
  <c r="M893" i="32" a="1"/>
  <c r="M893" i="32" s="1"/>
  <c r="D893" i="32" s="1"/>
  <c r="N893" i="32" a="1"/>
  <c r="N893" i="32" s="1"/>
  <c r="E893" i="32" s="1"/>
  <c r="F2388" i="27" s="1"/>
  <c r="K859" i="32"/>
  <c r="L859" i="32" s="1"/>
  <c r="L857" i="32"/>
  <c r="K897" i="32"/>
  <c r="L895" i="32"/>
  <c r="K697" i="32"/>
  <c r="L695" i="32"/>
  <c r="O1641" i="32" a="1"/>
  <c r="O1641" i="32" s="1"/>
  <c r="M1641" i="32" a="1"/>
  <c r="M1641" i="32" s="1"/>
  <c r="D1641" i="32" s="1"/>
  <c r="R1641" i="32" a="1"/>
  <c r="R1641" i="32" s="1"/>
  <c r="N1641" i="32" a="1"/>
  <c r="N1641" i="32" s="1"/>
  <c r="E1641" i="32" s="1"/>
  <c r="N1483" i="32" a="1"/>
  <c r="N1483" i="32" s="1"/>
  <c r="E1483" i="32" s="1"/>
  <c r="M1483" i="32" a="1"/>
  <c r="M1483" i="32" s="1"/>
  <c r="D1483" i="32" s="1"/>
  <c r="R1483" i="32" a="1"/>
  <c r="R1483" i="32" s="1"/>
  <c r="O1483" i="32" a="1"/>
  <c r="O1483" i="32" s="1"/>
  <c r="K1645" i="32"/>
  <c r="L1643" i="32"/>
  <c r="K1487" i="32"/>
  <c r="L1485" i="32"/>
  <c r="O1679" i="32" a="1"/>
  <c r="O1679" i="32" s="1"/>
  <c r="M1679" i="32" a="1"/>
  <c r="M1679" i="32" s="1"/>
  <c r="D1679" i="32" s="1"/>
  <c r="N1679" i="32" a="1"/>
  <c r="N1679" i="32" s="1"/>
  <c r="E1679" i="32" s="1"/>
  <c r="R1679" i="32" a="1"/>
  <c r="R1679" i="32" s="1"/>
  <c r="K1683" i="32"/>
  <c r="L1681" i="32"/>
  <c r="N1455" i="32" a="1"/>
  <c r="N1455" i="32" s="1"/>
  <c r="E1455" i="32" s="1"/>
  <c r="O1455" i="32" a="1"/>
  <c r="O1455" i="32" s="1"/>
  <c r="R1455" i="32" a="1"/>
  <c r="R1455" i="32" s="1"/>
  <c r="M1455" i="32" a="1"/>
  <c r="M1455" i="32" s="1"/>
  <c r="D1455" i="32" s="1"/>
  <c r="R693" i="32" a="1"/>
  <c r="R693" i="32" s="1"/>
  <c r="P2288" i="27" s="1"/>
  <c r="M693" i="32" a="1"/>
  <c r="M693" i="32" s="1"/>
  <c r="D693" i="32" s="1"/>
  <c r="O693" i="32" a="1"/>
  <c r="O693" i="32" s="1"/>
  <c r="M2288" i="27" s="1"/>
  <c r="A2288" i="27" s="1"/>
  <c r="N693" i="32" a="1"/>
  <c r="N693" i="32" s="1"/>
  <c r="E693" i="32" s="1"/>
  <c r="F2288" i="27" s="1"/>
  <c r="K1459" i="32"/>
  <c r="L1459" i="32" s="1"/>
  <c r="L1457" i="32"/>
  <c r="N402" i="32" a="1"/>
  <c r="N402" i="32" s="1"/>
  <c r="E402" i="32" s="1"/>
  <c r="O402" i="32" a="1"/>
  <c r="O402" i="32" s="1"/>
  <c r="M1197" i="27" s="1"/>
  <c r="A1197" i="27" s="1"/>
  <c r="M402" i="32" a="1"/>
  <c r="M402" i="32" s="1"/>
  <c r="D402" i="32" s="1"/>
  <c r="R402" i="32" a="1"/>
  <c r="R402" i="32" s="1"/>
  <c r="P1197" i="27" s="1"/>
  <c r="K406" i="32"/>
  <c r="L404" i="32"/>
  <c r="M550" i="32" a="1"/>
  <c r="M550" i="32" s="1"/>
  <c r="D550" i="32" s="1"/>
  <c r="R550" i="32" a="1"/>
  <c r="R550" i="32" s="1"/>
  <c r="P1271" i="27" s="1"/>
  <c r="O550" i="32" a="1"/>
  <c r="O550" i="32" s="1"/>
  <c r="M1271" i="27" s="1"/>
  <c r="A1271" i="27" s="1"/>
  <c r="N550" i="32" a="1"/>
  <c r="N550" i="32" s="1"/>
  <c r="E550" i="32" s="1"/>
  <c r="K554" i="32"/>
  <c r="L552" i="32"/>
  <c r="K144" i="32"/>
  <c r="L142" i="32"/>
  <c r="R140" i="32" a="1"/>
  <c r="R140" i="32" s="1"/>
  <c r="P1523" i="27" s="1"/>
  <c r="O140" i="32" a="1"/>
  <c r="O140" i="32" s="1"/>
  <c r="M1523" i="27" s="1"/>
  <c r="A1523" i="27" s="1"/>
  <c r="N140" i="32" a="1"/>
  <c r="N140" i="32" s="1"/>
  <c r="E140" i="32" s="1"/>
  <c r="F1523" i="27" s="1"/>
  <c r="M140" i="32" a="1"/>
  <c r="M140" i="32" s="1"/>
  <c r="D140" i="32" s="1"/>
  <c r="Q1289" i="32"/>
  <c r="H3973" i="27"/>
  <c r="A1289" i="32"/>
  <c r="I3973" i="27"/>
  <c r="G1285" i="32"/>
  <c r="A1287" i="32"/>
  <c r="L1897" i="32" l="1"/>
  <c r="K1899" i="32"/>
  <c r="R1897" i="32" a="1"/>
  <c r="R1897" i="32" s="1"/>
  <c r="O1897" i="32" a="1"/>
  <c r="O1897" i="32" s="1"/>
  <c r="N1897" i="32" a="1"/>
  <c r="N1897" i="32" s="1"/>
  <c r="E1897" i="32" s="1"/>
  <c r="M1897" i="32" a="1"/>
  <c r="M1897" i="32" s="1"/>
  <c r="D1897" i="32" s="1"/>
  <c r="R1895" i="32" a="1"/>
  <c r="R1895" i="32" s="1"/>
  <c r="O1895" i="32" a="1"/>
  <c r="O1895" i="32" s="1"/>
  <c r="N1895" i="32" a="1"/>
  <c r="N1895" i="32" s="1"/>
  <c r="E1895" i="32" s="1"/>
  <c r="M1895" i="32" a="1"/>
  <c r="M1895" i="32" s="1"/>
  <c r="D1895" i="32" s="1"/>
  <c r="A3973" i="27"/>
  <c r="F3976" i="27"/>
  <c r="H673" i="27"/>
  <c r="B674" i="27"/>
  <c r="N674" i="27"/>
  <c r="M674" i="27"/>
  <c r="O1643" i="32" a="1"/>
  <c r="O1643" i="32" s="1"/>
  <c r="R1643" i="32" a="1"/>
  <c r="R1643" i="32" s="1"/>
  <c r="N1643" i="32" a="1"/>
  <c r="N1643" i="32" s="1"/>
  <c r="E1643" i="32" s="1"/>
  <c r="M1643" i="32" a="1"/>
  <c r="M1643" i="32" s="1"/>
  <c r="D1643" i="32" s="1"/>
  <c r="O895" i="32" a="1"/>
  <c r="O895" i="32" s="1"/>
  <c r="M2389" i="27" s="1"/>
  <c r="A2389" i="27" s="1"/>
  <c r="M895" i="32" a="1"/>
  <c r="M895" i="32" s="1"/>
  <c r="D895" i="32" s="1"/>
  <c r="R895" i="32" a="1"/>
  <c r="R895" i="32" s="1"/>
  <c r="P2389" i="27" s="1"/>
  <c r="N895" i="32" a="1"/>
  <c r="N895" i="32" s="1"/>
  <c r="E895" i="32" s="1"/>
  <c r="F2389" i="27" s="1"/>
  <c r="K1647" i="32"/>
  <c r="L1645" i="32"/>
  <c r="K899" i="32"/>
  <c r="L897" i="32"/>
  <c r="M857" i="32" a="1"/>
  <c r="M857" i="32" s="1"/>
  <c r="D857" i="32" s="1"/>
  <c r="R857" i="32" a="1"/>
  <c r="R857" i="32" s="1"/>
  <c r="P2370" i="27" s="1"/>
  <c r="N857" i="32" a="1"/>
  <c r="N857" i="32" s="1"/>
  <c r="E857" i="32" s="1"/>
  <c r="F2370" i="27" s="1"/>
  <c r="O857" i="32" a="1"/>
  <c r="O857" i="32" s="1"/>
  <c r="M2370" i="27" s="1"/>
  <c r="A2370" i="27" s="1"/>
  <c r="O1457" i="32" a="1"/>
  <c r="O1457" i="32" s="1"/>
  <c r="M1457" i="32" a="1"/>
  <c r="M1457" i="32" s="1"/>
  <c r="D1457" i="32" s="1"/>
  <c r="N1457" i="32" a="1"/>
  <c r="N1457" i="32" s="1"/>
  <c r="E1457" i="32" s="1"/>
  <c r="R1457" i="32" a="1"/>
  <c r="R1457" i="32" s="1"/>
  <c r="O1459" i="32" a="1"/>
  <c r="O1459" i="32" s="1"/>
  <c r="N1459" i="32" a="1"/>
  <c r="N1459" i="32" s="1"/>
  <c r="E1459" i="32" s="1"/>
  <c r="R1459" i="32" a="1"/>
  <c r="R1459" i="32" s="1"/>
  <c r="M1459" i="32" a="1"/>
  <c r="M1459" i="32" s="1"/>
  <c r="D1459" i="32" s="1"/>
  <c r="N859" i="32" a="1"/>
  <c r="N859" i="32" s="1"/>
  <c r="E859" i="32" s="1"/>
  <c r="F2371" i="27" s="1"/>
  <c r="M859" i="32" a="1"/>
  <c r="M859" i="32" s="1"/>
  <c r="D859" i="32" s="1"/>
  <c r="R859" i="32" a="1"/>
  <c r="R859" i="32" s="1"/>
  <c r="P2371" i="27" s="1"/>
  <c r="O859" i="32" a="1"/>
  <c r="O859" i="32" s="1"/>
  <c r="M2371" i="27" s="1"/>
  <c r="A2371" i="27" s="1"/>
  <c r="K1489" i="32"/>
  <c r="L1487" i="32"/>
  <c r="K699" i="32"/>
  <c r="L697" i="32"/>
  <c r="O1681" i="32" a="1"/>
  <c r="O1681" i="32" s="1"/>
  <c r="N1681" i="32" a="1"/>
  <c r="N1681" i="32" s="1"/>
  <c r="E1681" i="32" s="1"/>
  <c r="R1681" i="32" a="1"/>
  <c r="R1681" i="32" s="1"/>
  <c r="M1681" i="32" a="1"/>
  <c r="M1681" i="32" s="1"/>
  <c r="D1681" i="32" s="1"/>
  <c r="K1685" i="32"/>
  <c r="L1683" i="32"/>
  <c r="M1485" i="32" a="1"/>
  <c r="M1485" i="32" s="1"/>
  <c r="D1485" i="32" s="1"/>
  <c r="R1485" i="32" a="1"/>
  <c r="R1485" i="32" s="1"/>
  <c r="N1485" i="32" a="1"/>
  <c r="N1485" i="32" s="1"/>
  <c r="E1485" i="32" s="1"/>
  <c r="O1485" i="32" a="1"/>
  <c r="O1485" i="32" s="1"/>
  <c r="N695" i="32" a="1"/>
  <c r="N695" i="32" s="1"/>
  <c r="E695" i="32" s="1"/>
  <c r="F2289" i="27" s="1"/>
  <c r="M695" i="32" a="1"/>
  <c r="M695" i="32" s="1"/>
  <c r="D695" i="32" s="1"/>
  <c r="O695" i="32" a="1"/>
  <c r="O695" i="32" s="1"/>
  <c r="M2289" i="27" s="1"/>
  <c r="A2289" i="27" s="1"/>
  <c r="R695" i="32" a="1"/>
  <c r="R695" i="32" s="1"/>
  <c r="P2289" i="27" s="1"/>
  <c r="O552" i="32" a="1"/>
  <c r="O552" i="32" s="1"/>
  <c r="M1272" i="27" s="1"/>
  <c r="A1272" i="27" s="1"/>
  <c r="N552" i="32" a="1"/>
  <c r="N552" i="32" s="1"/>
  <c r="E552" i="32" s="1"/>
  <c r="R552" i="32" a="1"/>
  <c r="R552" i="32" s="1"/>
  <c r="P1272" i="27" s="1"/>
  <c r="M552" i="32" a="1"/>
  <c r="M552" i="32" s="1"/>
  <c r="D552" i="32" s="1"/>
  <c r="K556" i="32"/>
  <c r="L554" i="32"/>
  <c r="R404" i="32" a="1"/>
  <c r="R404" i="32" s="1"/>
  <c r="P1198" i="27" s="1"/>
  <c r="M404" i="32" a="1"/>
  <c r="M404" i="32" s="1"/>
  <c r="D404" i="32" s="1"/>
  <c r="N404" i="32" a="1"/>
  <c r="N404" i="32" s="1"/>
  <c r="E404" i="32" s="1"/>
  <c r="O404" i="32" a="1"/>
  <c r="O404" i="32" s="1"/>
  <c r="M1198" i="27" s="1"/>
  <c r="A1198" i="27" s="1"/>
  <c r="K408" i="32"/>
  <c r="L406" i="32"/>
  <c r="K146" i="32"/>
  <c r="L144" i="32"/>
  <c r="R142" i="32" a="1"/>
  <c r="R142" i="32" s="1"/>
  <c r="P1524" i="27" s="1"/>
  <c r="O142" i="32" a="1"/>
  <c r="O142" i="32" s="1"/>
  <c r="M1524" i="27" s="1"/>
  <c r="A1524" i="27" s="1"/>
  <c r="M142" i="32" a="1"/>
  <c r="M142" i="32" s="1"/>
  <c r="D142" i="32" s="1"/>
  <c r="N142" i="32" a="1"/>
  <c r="N142" i="32" s="1"/>
  <c r="E142" i="32" s="1"/>
  <c r="F1524" i="27" s="1"/>
  <c r="Q1291" i="32"/>
  <c r="H3975" i="27"/>
  <c r="H3974" i="27"/>
  <c r="I3975" i="27"/>
  <c r="G1287" i="32"/>
  <c r="I3974" i="27"/>
  <c r="L1899" i="32" l="1"/>
  <c r="K1901" i="32"/>
  <c r="R1899" i="32" a="1"/>
  <c r="R1899" i="32" s="1"/>
  <c r="O1899" i="32" a="1"/>
  <c r="O1899" i="32" s="1"/>
  <c r="N1899" i="32" a="1"/>
  <c r="N1899" i="32" s="1"/>
  <c r="E1899" i="32" s="1"/>
  <c r="M1899" i="32" a="1"/>
  <c r="M1899" i="32" s="1"/>
  <c r="D1899" i="32" s="1"/>
  <c r="A3974" i="27"/>
  <c r="A3975" i="27"/>
  <c r="F3977" i="27"/>
  <c r="H674" i="27"/>
  <c r="B675" i="27"/>
  <c r="M675" i="27"/>
  <c r="N675" i="27"/>
  <c r="N897" i="32" a="1"/>
  <c r="N897" i="32" s="1"/>
  <c r="E897" i="32" s="1"/>
  <c r="F2390" i="27" s="1"/>
  <c r="M897" i="32" a="1"/>
  <c r="M897" i="32" s="1"/>
  <c r="D897" i="32" s="1"/>
  <c r="R897" i="32" a="1"/>
  <c r="R897" i="32" s="1"/>
  <c r="P2390" i="27" s="1"/>
  <c r="O897" i="32" a="1"/>
  <c r="O897" i="32" s="1"/>
  <c r="M2390" i="27" s="1"/>
  <c r="A2390" i="27" s="1"/>
  <c r="K901" i="32"/>
  <c r="L899" i="32"/>
  <c r="R1645" i="32" a="1"/>
  <c r="R1645" i="32" s="1"/>
  <c r="N1645" i="32" a="1"/>
  <c r="N1645" i="32" s="1"/>
  <c r="E1645" i="32" s="1"/>
  <c r="O1645" i="32" a="1"/>
  <c r="O1645" i="32" s="1"/>
  <c r="M1645" i="32" a="1"/>
  <c r="M1645" i="32" s="1"/>
  <c r="D1645" i="32" s="1"/>
  <c r="K1649" i="32"/>
  <c r="L1647" i="32"/>
  <c r="R697" i="32" a="1"/>
  <c r="R697" i="32" s="1"/>
  <c r="P2290" i="27" s="1"/>
  <c r="N697" i="32" a="1"/>
  <c r="N697" i="32" s="1"/>
  <c r="E697" i="32" s="1"/>
  <c r="F2290" i="27" s="1"/>
  <c r="O697" i="32" a="1"/>
  <c r="O697" i="32" s="1"/>
  <c r="M2290" i="27" s="1"/>
  <c r="A2290" i="27" s="1"/>
  <c r="M697" i="32" a="1"/>
  <c r="M697" i="32" s="1"/>
  <c r="D697" i="32" s="1"/>
  <c r="K701" i="32"/>
  <c r="L699" i="32"/>
  <c r="M1487" i="32" a="1"/>
  <c r="M1487" i="32" s="1"/>
  <c r="D1487" i="32" s="1"/>
  <c r="O1487" i="32" a="1"/>
  <c r="O1487" i="32" s="1"/>
  <c r="R1487" i="32" a="1"/>
  <c r="R1487" i="32" s="1"/>
  <c r="N1487" i="32" a="1"/>
  <c r="N1487" i="32" s="1"/>
  <c r="E1487" i="32" s="1"/>
  <c r="K1491" i="32"/>
  <c r="L1489" i="32"/>
  <c r="R1683" i="32" a="1"/>
  <c r="R1683" i="32" s="1"/>
  <c r="M1683" i="32" a="1"/>
  <c r="M1683" i="32" s="1"/>
  <c r="D1683" i="32" s="1"/>
  <c r="O1683" i="32" a="1"/>
  <c r="O1683" i="32" s="1"/>
  <c r="N1683" i="32" a="1"/>
  <c r="N1683" i="32" s="1"/>
  <c r="E1683" i="32" s="1"/>
  <c r="K1687" i="32"/>
  <c r="L1685" i="32"/>
  <c r="R406" i="32" a="1"/>
  <c r="R406" i="32" s="1"/>
  <c r="P1199" i="27" s="1"/>
  <c r="M406" i="32" a="1"/>
  <c r="M406" i="32" s="1"/>
  <c r="D406" i="32" s="1"/>
  <c r="N406" i="32" a="1"/>
  <c r="N406" i="32" s="1"/>
  <c r="E406" i="32" s="1"/>
  <c r="O406" i="32" a="1"/>
  <c r="O406" i="32" s="1"/>
  <c r="M1199" i="27" s="1"/>
  <c r="A1199" i="27" s="1"/>
  <c r="K410" i="32"/>
  <c r="L408" i="32"/>
  <c r="R554" i="32" a="1"/>
  <c r="R554" i="32" s="1"/>
  <c r="P1273" i="27" s="1"/>
  <c r="M554" i="32" a="1"/>
  <c r="M554" i="32" s="1"/>
  <c r="D554" i="32" s="1"/>
  <c r="O554" i="32" a="1"/>
  <c r="O554" i="32" s="1"/>
  <c r="M1273" i="27" s="1"/>
  <c r="A1273" i="27" s="1"/>
  <c r="N554" i="32" a="1"/>
  <c r="N554" i="32" s="1"/>
  <c r="E554" i="32" s="1"/>
  <c r="K558" i="32"/>
  <c r="L556" i="32"/>
  <c r="K148" i="32"/>
  <c r="L146" i="32"/>
  <c r="R144" i="32" a="1"/>
  <c r="R144" i="32" s="1"/>
  <c r="P1525" i="27" s="1"/>
  <c r="M144" i="32" a="1"/>
  <c r="M144" i="32" s="1"/>
  <c r="D144" i="32" s="1"/>
  <c r="O144" i="32" a="1"/>
  <c r="O144" i="32" s="1"/>
  <c r="M1525" i="27" s="1"/>
  <c r="A1525" i="27" s="1"/>
  <c r="N144" i="32" a="1"/>
  <c r="N144" i="32" s="1"/>
  <c r="E144" i="32" s="1"/>
  <c r="F1525" i="27" s="1"/>
  <c r="Q1293" i="32"/>
  <c r="H3976" i="27"/>
  <c r="A1293" i="32"/>
  <c r="I3976" i="27"/>
  <c r="G1289" i="32"/>
  <c r="A1291" i="32"/>
  <c r="L1901" i="32" l="1"/>
  <c r="K1903" i="32"/>
  <c r="A3976" i="27"/>
  <c r="F3978" i="27"/>
  <c r="B676" i="27"/>
  <c r="M676" i="27"/>
  <c r="N676" i="27"/>
  <c r="H675" i="27"/>
  <c r="N1489" i="32" a="1"/>
  <c r="N1489" i="32" s="1"/>
  <c r="E1489" i="32" s="1"/>
  <c r="O1489" i="32" a="1"/>
  <c r="O1489" i="32" s="1"/>
  <c r="M1489" i="32" a="1"/>
  <c r="M1489" i="32" s="1"/>
  <c r="D1489" i="32" s="1"/>
  <c r="R1489" i="32" a="1"/>
  <c r="R1489" i="32" s="1"/>
  <c r="R1647" i="32" a="1"/>
  <c r="R1647" i="32" s="1"/>
  <c r="O1647" i="32" a="1"/>
  <c r="O1647" i="32" s="1"/>
  <c r="M1647" i="32" a="1"/>
  <c r="M1647" i="32" s="1"/>
  <c r="D1647" i="32" s="1"/>
  <c r="N1647" i="32" a="1"/>
  <c r="N1647" i="32" s="1"/>
  <c r="E1647" i="32" s="1"/>
  <c r="K1493" i="32"/>
  <c r="L1491" i="32"/>
  <c r="K1651" i="32"/>
  <c r="L1649" i="32"/>
  <c r="O1685" i="32" a="1"/>
  <c r="O1685" i="32" s="1"/>
  <c r="R1685" i="32" a="1"/>
  <c r="R1685" i="32" s="1"/>
  <c r="M1685" i="32" a="1"/>
  <c r="M1685" i="32" s="1"/>
  <c r="D1685" i="32" s="1"/>
  <c r="N1685" i="32" a="1"/>
  <c r="N1685" i="32" s="1"/>
  <c r="E1685" i="32" s="1"/>
  <c r="O699" i="32" a="1"/>
  <c r="O699" i="32" s="1"/>
  <c r="M2291" i="27" s="1"/>
  <c r="A2291" i="27" s="1"/>
  <c r="R699" i="32" a="1"/>
  <c r="R699" i="32" s="1"/>
  <c r="P2291" i="27" s="1"/>
  <c r="M699" i="32" a="1"/>
  <c r="M699" i="32" s="1"/>
  <c r="D699" i="32" s="1"/>
  <c r="N699" i="32" a="1"/>
  <c r="N699" i="32" s="1"/>
  <c r="E699" i="32" s="1"/>
  <c r="F2291" i="27" s="1"/>
  <c r="R899" i="32" a="1"/>
  <c r="R899" i="32" s="1"/>
  <c r="P2391" i="27" s="1"/>
  <c r="O899" i="32" a="1"/>
  <c r="O899" i="32" s="1"/>
  <c r="M2391" i="27" s="1"/>
  <c r="A2391" i="27" s="1"/>
  <c r="M899" i="32" a="1"/>
  <c r="M899" i="32" s="1"/>
  <c r="D899" i="32" s="1"/>
  <c r="N899" i="32" a="1"/>
  <c r="N899" i="32" s="1"/>
  <c r="E899" i="32" s="1"/>
  <c r="F2391" i="27" s="1"/>
  <c r="K1689" i="32"/>
  <c r="L1687" i="32"/>
  <c r="K703" i="32"/>
  <c r="L701" i="32"/>
  <c r="K903" i="32"/>
  <c r="L901" i="32"/>
  <c r="N556" i="32" a="1"/>
  <c r="N556" i="32" s="1"/>
  <c r="E556" i="32" s="1"/>
  <c r="R556" i="32" a="1"/>
  <c r="R556" i="32" s="1"/>
  <c r="P1274" i="27" s="1"/>
  <c r="M556" i="32" a="1"/>
  <c r="M556" i="32" s="1"/>
  <c r="D556" i="32" s="1"/>
  <c r="O556" i="32" a="1"/>
  <c r="O556" i="32" s="1"/>
  <c r="M1274" i="27" s="1"/>
  <c r="A1274" i="27" s="1"/>
  <c r="K560" i="32"/>
  <c r="L558" i="32"/>
  <c r="R408" i="32" a="1"/>
  <c r="R408" i="32" s="1"/>
  <c r="P1200" i="27" s="1"/>
  <c r="O408" i="32" a="1"/>
  <c r="O408" i="32" s="1"/>
  <c r="M1200" i="27" s="1"/>
  <c r="A1200" i="27" s="1"/>
  <c r="N408" i="32" a="1"/>
  <c r="N408" i="32" s="1"/>
  <c r="E408" i="32" s="1"/>
  <c r="M408" i="32" a="1"/>
  <c r="M408" i="32" s="1"/>
  <c r="D408" i="32" s="1"/>
  <c r="K412" i="32"/>
  <c r="L410" i="32"/>
  <c r="K150" i="32"/>
  <c r="L148" i="32"/>
  <c r="R146" i="32" a="1"/>
  <c r="R146" i="32" s="1"/>
  <c r="P1526" i="27" s="1"/>
  <c r="O146" i="32" a="1"/>
  <c r="O146" i="32" s="1"/>
  <c r="M1526" i="27" s="1"/>
  <c r="A1526" i="27" s="1"/>
  <c r="N146" i="32" a="1"/>
  <c r="N146" i="32" s="1"/>
  <c r="E146" i="32" s="1"/>
  <c r="F1526" i="27" s="1"/>
  <c r="M146" i="32" a="1"/>
  <c r="M146" i="32" s="1"/>
  <c r="D146" i="32" s="1"/>
  <c r="Q1295" i="32"/>
  <c r="I3977" i="27"/>
  <c r="G1291" i="32"/>
  <c r="H3977" i="27"/>
  <c r="A1295" i="32"/>
  <c r="L1903" i="32" l="1"/>
  <c r="K1905" i="32"/>
  <c r="R1901" i="32" a="1"/>
  <c r="R1901" i="32" s="1"/>
  <c r="O1901" i="32" a="1"/>
  <c r="O1901" i="32" s="1"/>
  <c r="N1901" i="32" a="1"/>
  <c r="N1901" i="32" s="1"/>
  <c r="E1901" i="32" s="1"/>
  <c r="M1901" i="32" a="1"/>
  <c r="M1901" i="32" s="1"/>
  <c r="D1901" i="32" s="1"/>
  <c r="A3977" i="27"/>
  <c r="F3979" i="27"/>
  <c r="H676" i="27"/>
  <c r="B677" i="27"/>
  <c r="N677" i="27"/>
  <c r="M677" i="27"/>
  <c r="M901" i="32" a="1"/>
  <c r="M901" i="32" s="1"/>
  <c r="D901" i="32" s="1"/>
  <c r="O901" i="32" a="1"/>
  <c r="O901" i="32" s="1"/>
  <c r="M2392" i="27" s="1"/>
  <c r="A2392" i="27" s="1"/>
  <c r="N901" i="32" a="1"/>
  <c r="N901" i="32" s="1"/>
  <c r="E901" i="32" s="1"/>
  <c r="F2392" i="27" s="1"/>
  <c r="R901" i="32" a="1"/>
  <c r="R901" i="32" s="1"/>
  <c r="P2392" i="27" s="1"/>
  <c r="K905" i="32"/>
  <c r="L903" i="32"/>
  <c r="O1687" i="32" a="1"/>
  <c r="O1687" i="32" s="1"/>
  <c r="M1687" i="32" a="1"/>
  <c r="M1687" i="32" s="1"/>
  <c r="D1687" i="32" s="1"/>
  <c r="R1687" i="32" a="1"/>
  <c r="R1687" i="32" s="1"/>
  <c r="N1687" i="32" a="1"/>
  <c r="N1687" i="32" s="1"/>
  <c r="E1687" i="32" s="1"/>
  <c r="K1691" i="32"/>
  <c r="L1689" i="32"/>
  <c r="R1649" i="32" a="1"/>
  <c r="R1649" i="32" s="1"/>
  <c r="N1649" i="32" a="1"/>
  <c r="N1649" i="32" s="1"/>
  <c r="E1649" i="32" s="1"/>
  <c r="O1649" i="32" a="1"/>
  <c r="O1649" i="32" s="1"/>
  <c r="M1649" i="32" a="1"/>
  <c r="M1649" i="32" s="1"/>
  <c r="D1649" i="32" s="1"/>
  <c r="K1653" i="32"/>
  <c r="L1651" i="32"/>
  <c r="K705" i="32"/>
  <c r="L703" i="32"/>
  <c r="O1491" i="32" a="1"/>
  <c r="O1491" i="32" s="1"/>
  <c r="R1491" i="32" a="1"/>
  <c r="R1491" i="32" s="1"/>
  <c r="M1491" i="32" a="1"/>
  <c r="M1491" i="32" s="1"/>
  <c r="D1491" i="32" s="1"/>
  <c r="N1491" i="32" a="1"/>
  <c r="N1491" i="32" s="1"/>
  <c r="E1491" i="32" s="1"/>
  <c r="N701" i="32" a="1"/>
  <c r="N701" i="32" s="1"/>
  <c r="E701" i="32" s="1"/>
  <c r="F2292" i="27" s="1"/>
  <c r="O701" i="32" a="1"/>
  <c r="O701" i="32" s="1"/>
  <c r="M2292" i="27" s="1"/>
  <c r="A2292" i="27" s="1"/>
  <c r="R701" i="32" a="1"/>
  <c r="R701" i="32" s="1"/>
  <c r="P2292" i="27" s="1"/>
  <c r="M701" i="32" a="1"/>
  <c r="M701" i="32" s="1"/>
  <c r="D701" i="32" s="1"/>
  <c r="K1495" i="32"/>
  <c r="L1493" i="32"/>
  <c r="N410" i="32" a="1"/>
  <c r="N410" i="32" s="1"/>
  <c r="E410" i="32" s="1"/>
  <c r="O410" i="32" a="1"/>
  <c r="O410" i="32" s="1"/>
  <c r="M1201" i="27" s="1"/>
  <c r="A1201" i="27" s="1"/>
  <c r="M410" i="32" a="1"/>
  <c r="M410" i="32" s="1"/>
  <c r="D410" i="32" s="1"/>
  <c r="R410" i="32" a="1"/>
  <c r="R410" i="32" s="1"/>
  <c r="P1201" i="27" s="1"/>
  <c r="K414" i="32"/>
  <c r="L412" i="32"/>
  <c r="R558" i="32" a="1"/>
  <c r="R558" i="32" s="1"/>
  <c r="P1275" i="27" s="1"/>
  <c r="O558" i="32" a="1"/>
  <c r="O558" i="32" s="1"/>
  <c r="M1275" i="27" s="1"/>
  <c r="A1275" i="27" s="1"/>
  <c r="N558" i="32" a="1"/>
  <c r="N558" i="32" s="1"/>
  <c r="E558" i="32" s="1"/>
  <c r="M558" i="32" a="1"/>
  <c r="M558" i="32" s="1"/>
  <c r="D558" i="32" s="1"/>
  <c r="K562" i="32"/>
  <c r="L560" i="32"/>
  <c r="R148" i="32" a="1"/>
  <c r="R148" i="32" s="1"/>
  <c r="P1527" i="27" s="1"/>
  <c r="N148" i="32" a="1"/>
  <c r="N148" i="32" s="1"/>
  <c r="E148" i="32" s="1"/>
  <c r="F1527" i="27" s="1"/>
  <c r="M148" i="32" a="1"/>
  <c r="M148" i="32" s="1"/>
  <c r="D148" i="32" s="1"/>
  <c r="O148" i="32" a="1"/>
  <c r="O148" i="32" s="1"/>
  <c r="M1527" i="27" s="1"/>
  <c r="A1527" i="27" s="1"/>
  <c r="K152" i="32"/>
  <c r="L150" i="32"/>
  <c r="Q1297" i="32"/>
  <c r="I3978" i="27"/>
  <c r="G1293" i="32"/>
  <c r="H3978" i="27"/>
  <c r="L1905" i="32" l="1"/>
  <c r="K1907" i="32"/>
  <c r="R1903" i="32" a="1"/>
  <c r="R1903" i="32" s="1"/>
  <c r="O1903" i="32" a="1"/>
  <c r="O1903" i="32" s="1"/>
  <c r="N1903" i="32" a="1"/>
  <c r="N1903" i="32" s="1"/>
  <c r="E1903" i="32" s="1"/>
  <c r="M1903" i="32" a="1"/>
  <c r="M1903" i="32" s="1"/>
  <c r="D1903" i="32" s="1"/>
  <c r="A3978" i="27"/>
  <c r="F3980" i="27"/>
  <c r="F3981" i="27"/>
  <c r="B678" i="27"/>
  <c r="N678" i="27"/>
  <c r="M678" i="27"/>
  <c r="H677" i="27"/>
  <c r="O1689" i="32" a="1"/>
  <c r="O1689" i="32" s="1"/>
  <c r="N1689" i="32" a="1"/>
  <c r="N1689" i="32" s="1"/>
  <c r="E1689" i="32" s="1"/>
  <c r="M1689" i="32" a="1"/>
  <c r="M1689" i="32" s="1"/>
  <c r="D1689" i="32" s="1"/>
  <c r="R1689" i="32" a="1"/>
  <c r="R1689" i="32" s="1"/>
  <c r="K1693" i="32"/>
  <c r="L1691" i="32"/>
  <c r="O703" i="32" a="1"/>
  <c r="O703" i="32" s="1"/>
  <c r="M2293" i="27" s="1"/>
  <c r="A2293" i="27" s="1"/>
  <c r="N703" i="32" a="1"/>
  <c r="N703" i="32" s="1"/>
  <c r="E703" i="32" s="1"/>
  <c r="F2293" i="27" s="1"/>
  <c r="R703" i="32" a="1"/>
  <c r="R703" i="32" s="1"/>
  <c r="P2293" i="27" s="1"/>
  <c r="M703" i="32" a="1"/>
  <c r="M703" i="32" s="1"/>
  <c r="D703" i="32" s="1"/>
  <c r="K707" i="32"/>
  <c r="L705" i="32"/>
  <c r="N1493" i="32" a="1"/>
  <c r="N1493" i="32" s="1"/>
  <c r="E1493" i="32" s="1"/>
  <c r="M1493" i="32" a="1"/>
  <c r="M1493" i="32" s="1"/>
  <c r="D1493" i="32" s="1"/>
  <c r="R1493" i="32" a="1"/>
  <c r="R1493" i="32" s="1"/>
  <c r="O1493" i="32" a="1"/>
  <c r="O1493" i="32" s="1"/>
  <c r="R1651" i="32" a="1"/>
  <c r="R1651" i="32" s="1"/>
  <c r="M1651" i="32" a="1"/>
  <c r="M1651" i="32" s="1"/>
  <c r="D1651" i="32" s="1"/>
  <c r="N1651" i="32" a="1"/>
  <c r="N1651" i="32" s="1"/>
  <c r="E1651" i="32" s="1"/>
  <c r="O1651" i="32" a="1"/>
  <c r="O1651" i="32" s="1"/>
  <c r="N903" i="32" a="1"/>
  <c r="N903" i="32" s="1"/>
  <c r="E903" i="32" s="1"/>
  <c r="F2393" i="27" s="1"/>
  <c r="M903" i="32" a="1"/>
  <c r="M903" i="32" s="1"/>
  <c r="D903" i="32" s="1"/>
  <c r="R903" i="32" a="1"/>
  <c r="R903" i="32" s="1"/>
  <c r="P2393" i="27" s="1"/>
  <c r="O903" i="32" a="1"/>
  <c r="O903" i="32" s="1"/>
  <c r="M2393" i="27" s="1"/>
  <c r="A2393" i="27" s="1"/>
  <c r="K1497" i="32"/>
  <c r="L1495" i="32"/>
  <c r="K1655" i="32"/>
  <c r="L1653" i="32"/>
  <c r="K907" i="32"/>
  <c r="L905" i="32"/>
  <c r="R560" i="32" a="1"/>
  <c r="R560" i="32" s="1"/>
  <c r="P1276" i="27" s="1"/>
  <c r="M560" i="32" a="1"/>
  <c r="M560" i="32" s="1"/>
  <c r="D560" i="32" s="1"/>
  <c r="N560" i="32" a="1"/>
  <c r="N560" i="32" s="1"/>
  <c r="E560" i="32" s="1"/>
  <c r="O560" i="32" a="1"/>
  <c r="O560" i="32" s="1"/>
  <c r="M1276" i="27" s="1"/>
  <c r="A1276" i="27" s="1"/>
  <c r="K564" i="32"/>
  <c r="L562" i="32"/>
  <c r="R412" i="32" a="1"/>
  <c r="R412" i="32" s="1"/>
  <c r="P1202" i="27" s="1"/>
  <c r="N412" i="32" a="1"/>
  <c r="N412" i="32" s="1"/>
  <c r="E412" i="32" s="1"/>
  <c r="O412" i="32" a="1"/>
  <c r="O412" i="32" s="1"/>
  <c r="M1202" i="27" s="1"/>
  <c r="A1202" i="27" s="1"/>
  <c r="M412" i="32" a="1"/>
  <c r="M412" i="32" s="1"/>
  <c r="D412" i="32" s="1"/>
  <c r="K416" i="32"/>
  <c r="L414" i="32"/>
  <c r="K154" i="32"/>
  <c r="L152" i="32"/>
  <c r="R150" i="32" a="1"/>
  <c r="R150" i="32" s="1"/>
  <c r="P1528" i="27" s="1"/>
  <c r="O150" i="32" a="1"/>
  <c r="O150" i="32" s="1"/>
  <c r="M1528" i="27" s="1"/>
  <c r="A1528" i="27" s="1"/>
  <c r="N150" i="32" a="1"/>
  <c r="N150" i="32" s="1"/>
  <c r="E150" i="32" s="1"/>
  <c r="F1528" i="27" s="1"/>
  <c r="M150" i="32" a="1"/>
  <c r="M150" i="32" s="1"/>
  <c r="D150" i="32" s="1"/>
  <c r="Q1299" i="32"/>
  <c r="H3979" i="27"/>
  <c r="G1295" i="32"/>
  <c r="A1297" i="32"/>
  <c r="I3979" i="27"/>
  <c r="A1299" i="32"/>
  <c r="L1907" i="32" l="1"/>
  <c r="K1909" i="32"/>
  <c r="R1905" i="32" a="1"/>
  <c r="R1905" i="32" s="1"/>
  <c r="O1905" i="32" a="1"/>
  <c r="O1905" i="32" s="1"/>
  <c r="N1905" i="32" a="1"/>
  <c r="N1905" i="32" s="1"/>
  <c r="E1905" i="32" s="1"/>
  <c r="M1905" i="32" a="1"/>
  <c r="M1905" i="32" s="1"/>
  <c r="D1905" i="32" s="1"/>
  <c r="A3979" i="27"/>
  <c r="F3982" i="27"/>
  <c r="H678" i="27"/>
  <c r="B679" i="27"/>
  <c r="N679" i="27"/>
  <c r="M679" i="27"/>
  <c r="R705" i="32" a="1"/>
  <c r="R705" i="32" s="1"/>
  <c r="P2294" i="27" s="1"/>
  <c r="N705" i="32" a="1"/>
  <c r="N705" i="32" s="1"/>
  <c r="E705" i="32" s="1"/>
  <c r="F2294" i="27" s="1"/>
  <c r="O705" i="32" a="1"/>
  <c r="O705" i="32" s="1"/>
  <c r="M2294" i="27" s="1"/>
  <c r="A2294" i="27" s="1"/>
  <c r="M705" i="32" a="1"/>
  <c r="M705" i="32" s="1"/>
  <c r="D705" i="32" s="1"/>
  <c r="K709" i="32"/>
  <c r="L707" i="32"/>
  <c r="R1691" i="32" a="1"/>
  <c r="R1691" i="32" s="1"/>
  <c r="M1691" i="32" a="1"/>
  <c r="M1691" i="32" s="1"/>
  <c r="D1691" i="32" s="1"/>
  <c r="N1691" i="32" a="1"/>
  <c r="N1691" i="32" s="1"/>
  <c r="E1691" i="32" s="1"/>
  <c r="O1691" i="32" a="1"/>
  <c r="O1691" i="32" s="1"/>
  <c r="K1499" i="32"/>
  <c r="L1497" i="32"/>
  <c r="R905" i="32" a="1"/>
  <c r="R905" i="32" s="1"/>
  <c r="P2394" i="27" s="1"/>
  <c r="O905" i="32" a="1"/>
  <c r="O905" i="32" s="1"/>
  <c r="M2394" i="27" s="1"/>
  <c r="A2394" i="27" s="1"/>
  <c r="N905" i="32" a="1"/>
  <c r="N905" i="32" s="1"/>
  <c r="E905" i="32" s="1"/>
  <c r="F2394" i="27" s="1"/>
  <c r="M905" i="32" a="1"/>
  <c r="M905" i="32" s="1"/>
  <c r="D905" i="32" s="1"/>
  <c r="K909" i="32"/>
  <c r="L907" i="32"/>
  <c r="K1695" i="32"/>
  <c r="L1693" i="32"/>
  <c r="R1653" i="32" a="1"/>
  <c r="R1653" i="32" s="1"/>
  <c r="O1653" i="32" a="1"/>
  <c r="O1653" i="32" s="1"/>
  <c r="M1653" i="32" a="1"/>
  <c r="M1653" i="32" s="1"/>
  <c r="D1653" i="32" s="1"/>
  <c r="N1653" i="32" a="1"/>
  <c r="N1653" i="32" s="1"/>
  <c r="E1653" i="32" s="1"/>
  <c r="K1657" i="32"/>
  <c r="L1655" i="32"/>
  <c r="M1495" i="32" a="1"/>
  <c r="M1495" i="32" s="1"/>
  <c r="D1495" i="32" s="1"/>
  <c r="R1495" i="32" a="1"/>
  <c r="R1495" i="32" s="1"/>
  <c r="N1495" i="32" a="1"/>
  <c r="N1495" i="32" s="1"/>
  <c r="E1495" i="32" s="1"/>
  <c r="O1495" i="32" a="1"/>
  <c r="O1495" i="32" s="1"/>
  <c r="M414" i="32" a="1"/>
  <c r="M414" i="32" s="1"/>
  <c r="D414" i="32" s="1"/>
  <c r="O414" i="32" a="1"/>
  <c r="O414" i="32" s="1"/>
  <c r="M1203" i="27" s="1"/>
  <c r="A1203" i="27" s="1"/>
  <c r="N414" i="32" a="1"/>
  <c r="N414" i="32" s="1"/>
  <c r="E414" i="32" s="1"/>
  <c r="R414" i="32" a="1"/>
  <c r="R414" i="32" s="1"/>
  <c r="P1203" i="27" s="1"/>
  <c r="K418" i="32"/>
  <c r="L416" i="32"/>
  <c r="N562" i="32" a="1"/>
  <c r="N562" i="32" s="1"/>
  <c r="E562" i="32" s="1"/>
  <c r="R562" i="32" a="1"/>
  <c r="R562" i="32" s="1"/>
  <c r="P1277" i="27" s="1"/>
  <c r="O562" i="32" a="1"/>
  <c r="O562" i="32" s="1"/>
  <c r="M1277" i="27" s="1"/>
  <c r="A1277" i="27" s="1"/>
  <c r="M562" i="32" a="1"/>
  <c r="M562" i="32" s="1"/>
  <c r="D562" i="32" s="1"/>
  <c r="K566" i="32"/>
  <c r="L564" i="32"/>
  <c r="R152" i="32" a="1"/>
  <c r="R152" i="32" s="1"/>
  <c r="P1529" i="27" s="1"/>
  <c r="O152" i="32" a="1"/>
  <c r="O152" i="32" s="1"/>
  <c r="M1529" i="27" s="1"/>
  <c r="A1529" i="27" s="1"/>
  <c r="M152" i="32" a="1"/>
  <c r="M152" i="32" s="1"/>
  <c r="D152" i="32" s="1"/>
  <c r="N152" i="32" a="1"/>
  <c r="N152" i="32" s="1"/>
  <c r="E152" i="32" s="1"/>
  <c r="F1529" i="27" s="1"/>
  <c r="K156" i="32"/>
  <c r="L154" i="32"/>
  <c r="Q1301" i="32"/>
  <c r="H3980" i="27"/>
  <c r="I3981" i="27"/>
  <c r="I3980" i="27"/>
  <c r="H3981" i="27"/>
  <c r="G1297" i="32"/>
  <c r="L1909" i="32" l="1"/>
  <c r="K1911" i="32"/>
  <c r="R1907" i="32" a="1"/>
  <c r="R1907" i="32" s="1"/>
  <c r="O1907" i="32" a="1"/>
  <c r="O1907" i="32" s="1"/>
  <c r="N1907" i="32" a="1"/>
  <c r="N1907" i="32" s="1"/>
  <c r="E1907" i="32" s="1"/>
  <c r="M1907" i="32" a="1"/>
  <c r="M1907" i="32" s="1"/>
  <c r="D1907" i="32" s="1"/>
  <c r="A3980" i="27"/>
  <c r="A3981" i="27"/>
  <c r="F3983" i="27"/>
  <c r="B680" i="27"/>
  <c r="M680" i="27"/>
  <c r="N680" i="27"/>
  <c r="H679" i="27"/>
  <c r="M1497" i="32" a="1"/>
  <c r="M1497" i="32" s="1"/>
  <c r="D1497" i="32" s="1"/>
  <c r="O1497" i="32" a="1"/>
  <c r="O1497" i="32" s="1"/>
  <c r="N1497" i="32" a="1"/>
  <c r="N1497" i="32" s="1"/>
  <c r="E1497" i="32" s="1"/>
  <c r="R1497" i="32" a="1"/>
  <c r="R1497" i="32" s="1"/>
  <c r="K1501" i="32"/>
  <c r="L1499" i="32"/>
  <c r="N1693" i="32" a="1"/>
  <c r="N1693" i="32" s="1"/>
  <c r="E1693" i="32" s="1"/>
  <c r="M1693" i="32" a="1"/>
  <c r="M1693" i="32" s="1"/>
  <c r="D1693" i="32" s="1"/>
  <c r="R1693" i="32" a="1"/>
  <c r="R1693" i="32" s="1"/>
  <c r="O1693" i="32" a="1"/>
  <c r="O1693" i="32" s="1"/>
  <c r="M1655" i="32" a="1"/>
  <c r="M1655" i="32" s="1"/>
  <c r="D1655" i="32" s="1"/>
  <c r="O1655" i="32" a="1"/>
  <c r="O1655" i="32" s="1"/>
  <c r="R1655" i="32" a="1"/>
  <c r="R1655" i="32" s="1"/>
  <c r="N1655" i="32" a="1"/>
  <c r="N1655" i="32" s="1"/>
  <c r="E1655" i="32" s="1"/>
  <c r="K1659" i="32"/>
  <c r="L1659" i="32" s="1"/>
  <c r="L1657" i="32"/>
  <c r="M907" i="32" a="1"/>
  <c r="M907" i="32" s="1"/>
  <c r="D907" i="32" s="1"/>
  <c r="O907" i="32" a="1"/>
  <c r="O907" i="32" s="1"/>
  <c r="M2395" i="27" s="1"/>
  <c r="A2395" i="27" s="1"/>
  <c r="R907" i="32" a="1"/>
  <c r="R907" i="32" s="1"/>
  <c r="P2395" i="27" s="1"/>
  <c r="N907" i="32" a="1"/>
  <c r="N907" i="32" s="1"/>
  <c r="E907" i="32" s="1"/>
  <c r="F2395" i="27" s="1"/>
  <c r="N707" i="32" a="1"/>
  <c r="N707" i="32" s="1"/>
  <c r="E707" i="32" s="1"/>
  <c r="F2295" i="27" s="1"/>
  <c r="O707" i="32" a="1"/>
  <c r="O707" i="32" s="1"/>
  <c r="M2295" i="27" s="1"/>
  <c r="A2295" i="27" s="1"/>
  <c r="R707" i="32" a="1"/>
  <c r="R707" i="32" s="1"/>
  <c r="P2295" i="27" s="1"/>
  <c r="M707" i="32" a="1"/>
  <c r="M707" i="32" s="1"/>
  <c r="D707" i="32" s="1"/>
  <c r="K1697" i="32"/>
  <c r="L1695" i="32"/>
  <c r="K911" i="32"/>
  <c r="L909" i="32"/>
  <c r="K711" i="32"/>
  <c r="L709" i="32"/>
  <c r="R564" i="32" a="1"/>
  <c r="R564" i="32" s="1"/>
  <c r="P1278" i="27" s="1"/>
  <c r="M564" i="32" a="1"/>
  <c r="M564" i="32" s="1"/>
  <c r="D564" i="32" s="1"/>
  <c r="O564" i="32" a="1"/>
  <c r="O564" i="32" s="1"/>
  <c r="M1278" i="27" s="1"/>
  <c r="A1278" i="27" s="1"/>
  <c r="N564" i="32" a="1"/>
  <c r="N564" i="32" s="1"/>
  <c r="E564" i="32" s="1"/>
  <c r="K568" i="32"/>
  <c r="L566" i="32"/>
  <c r="M416" i="32" a="1"/>
  <c r="M416" i="32" s="1"/>
  <c r="D416" i="32" s="1"/>
  <c r="R416" i="32" a="1"/>
  <c r="R416" i="32" s="1"/>
  <c r="P1204" i="27" s="1"/>
  <c r="O416" i="32" a="1"/>
  <c r="O416" i="32" s="1"/>
  <c r="M1204" i="27" s="1"/>
  <c r="A1204" i="27" s="1"/>
  <c r="N416" i="32" a="1"/>
  <c r="N416" i="32" s="1"/>
  <c r="E416" i="32" s="1"/>
  <c r="K420" i="32"/>
  <c r="L418" i="32"/>
  <c r="R154" i="32" a="1"/>
  <c r="R154" i="32" s="1"/>
  <c r="P1530" i="27" s="1"/>
  <c r="O154" i="32" a="1"/>
  <c r="O154" i="32" s="1"/>
  <c r="M1530" i="27" s="1"/>
  <c r="A1530" i="27" s="1"/>
  <c r="M154" i="32" a="1"/>
  <c r="M154" i="32" s="1"/>
  <c r="D154" i="32" s="1"/>
  <c r="N154" i="32" a="1"/>
  <c r="N154" i="32" s="1"/>
  <c r="E154" i="32" s="1"/>
  <c r="F1530" i="27" s="1"/>
  <c r="K158" i="32"/>
  <c r="L156" i="32"/>
  <c r="Q1303" i="32"/>
  <c r="H3982" i="27"/>
  <c r="G1299" i="32"/>
  <c r="I3982" i="27"/>
  <c r="A1301" i="32"/>
  <c r="A1303" i="32"/>
  <c r="L1911" i="32" l="1"/>
  <c r="K1913" i="32"/>
  <c r="R1909" i="32" a="1"/>
  <c r="R1909" i="32" s="1"/>
  <c r="O1909" i="32" a="1"/>
  <c r="O1909" i="32" s="1"/>
  <c r="N1909" i="32" a="1"/>
  <c r="N1909" i="32" s="1"/>
  <c r="E1909" i="32" s="1"/>
  <c r="M1909" i="32" a="1"/>
  <c r="M1909" i="32" s="1"/>
  <c r="D1909" i="32" s="1"/>
  <c r="A3982" i="27"/>
  <c r="F3984" i="27"/>
  <c r="H680" i="27"/>
  <c r="B681" i="27"/>
  <c r="N681" i="27"/>
  <c r="M681" i="27"/>
  <c r="R709" i="32" a="1"/>
  <c r="R709" i="32" s="1"/>
  <c r="P2296" i="27" s="1"/>
  <c r="O709" i="32" a="1"/>
  <c r="O709" i="32" s="1"/>
  <c r="M2296" i="27" s="1"/>
  <c r="A2296" i="27" s="1"/>
  <c r="M709" i="32" a="1"/>
  <c r="M709" i="32" s="1"/>
  <c r="D709" i="32" s="1"/>
  <c r="N709" i="32" a="1"/>
  <c r="N709" i="32" s="1"/>
  <c r="E709" i="32" s="1"/>
  <c r="F2296" i="27" s="1"/>
  <c r="N1499" i="32" a="1"/>
  <c r="N1499" i="32" s="1"/>
  <c r="E1499" i="32" s="1"/>
  <c r="R1499" i="32" a="1"/>
  <c r="R1499" i="32" s="1"/>
  <c r="M1499" i="32" a="1"/>
  <c r="M1499" i="32" s="1"/>
  <c r="D1499" i="32" s="1"/>
  <c r="O1499" i="32" a="1"/>
  <c r="O1499" i="32" s="1"/>
  <c r="K1503" i="32"/>
  <c r="L1501" i="32"/>
  <c r="O909" i="32" a="1"/>
  <c r="O909" i="32" s="1"/>
  <c r="M2396" i="27" s="1"/>
  <c r="A2396" i="27" s="1"/>
  <c r="N909" i="32" a="1"/>
  <c r="N909" i="32" s="1"/>
  <c r="E909" i="32" s="1"/>
  <c r="F2396" i="27" s="1"/>
  <c r="M909" i="32" a="1"/>
  <c r="M909" i="32" s="1"/>
  <c r="D909" i="32" s="1"/>
  <c r="R909" i="32" a="1"/>
  <c r="R909" i="32" s="1"/>
  <c r="P2396" i="27" s="1"/>
  <c r="R1657" i="32" a="1"/>
  <c r="R1657" i="32" s="1"/>
  <c r="M1657" i="32" a="1"/>
  <c r="M1657" i="32" s="1"/>
  <c r="D1657" i="32" s="1"/>
  <c r="N1657" i="32" a="1"/>
  <c r="N1657" i="32" s="1"/>
  <c r="E1657" i="32" s="1"/>
  <c r="O1657" i="32" a="1"/>
  <c r="O1657" i="32" s="1"/>
  <c r="K713" i="32"/>
  <c r="L711" i="32"/>
  <c r="K913" i="32"/>
  <c r="L911" i="32"/>
  <c r="R1659" i="32" a="1"/>
  <c r="R1659" i="32" s="1"/>
  <c r="N1659" i="32" a="1"/>
  <c r="N1659" i="32" s="1"/>
  <c r="E1659" i="32" s="1"/>
  <c r="M1659" i="32" a="1"/>
  <c r="M1659" i="32" s="1"/>
  <c r="D1659" i="32" s="1"/>
  <c r="O1659" i="32" a="1"/>
  <c r="O1659" i="32" s="1"/>
  <c r="M1695" i="32" a="1"/>
  <c r="M1695" i="32" s="1"/>
  <c r="D1695" i="32" s="1"/>
  <c r="R1695" i="32" a="1"/>
  <c r="R1695" i="32" s="1"/>
  <c r="O1695" i="32" a="1"/>
  <c r="O1695" i="32" s="1"/>
  <c r="N1695" i="32" a="1"/>
  <c r="N1695" i="32" s="1"/>
  <c r="E1695" i="32" s="1"/>
  <c r="K1699" i="32"/>
  <c r="L1697" i="32"/>
  <c r="R418" i="32" a="1"/>
  <c r="R418" i="32" s="1"/>
  <c r="P1205" i="27" s="1"/>
  <c r="M418" i="32" a="1"/>
  <c r="M418" i="32" s="1"/>
  <c r="D418" i="32" s="1"/>
  <c r="O418" i="32" a="1"/>
  <c r="O418" i="32" s="1"/>
  <c r="M1205" i="27" s="1"/>
  <c r="A1205" i="27" s="1"/>
  <c r="N418" i="32" a="1"/>
  <c r="N418" i="32" s="1"/>
  <c r="E418" i="32" s="1"/>
  <c r="K422" i="32"/>
  <c r="L420" i="32"/>
  <c r="R566" i="32" a="1"/>
  <c r="R566" i="32" s="1"/>
  <c r="P1279" i="27" s="1"/>
  <c r="M566" i="32" a="1"/>
  <c r="M566" i="32" s="1"/>
  <c r="D566" i="32" s="1"/>
  <c r="N566" i="32" a="1"/>
  <c r="N566" i="32" s="1"/>
  <c r="E566" i="32" s="1"/>
  <c r="O566" i="32" a="1"/>
  <c r="O566" i="32" s="1"/>
  <c r="M1279" i="27" s="1"/>
  <c r="A1279" i="27" s="1"/>
  <c r="K570" i="32"/>
  <c r="L568" i="32"/>
  <c r="K160" i="32"/>
  <c r="L158" i="32"/>
  <c r="R156" i="32" a="1"/>
  <c r="R156" i="32" s="1"/>
  <c r="P1531" i="27" s="1"/>
  <c r="O156" i="32" a="1"/>
  <c r="O156" i="32" s="1"/>
  <c r="M1531" i="27" s="1"/>
  <c r="A1531" i="27" s="1"/>
  <c r="N156" i="32" a="1"/>
  <c r="N156" i="32" s="1"/>
  <c r="E156" i="32" s="1"/>
  <c r="F1531" i="27" s="1"/>
  <c r="M156" i="32" a="1"/>
  <c r="M156" i="32" s="1"/>
  <c r="D156" i="32" s="1"/>
  <c r="Q1305" i="32"/>
  <c r="I3983" i="27"/>
  <c r="G1301" i="32"/>
  <c r="H3983" i="27"/>
  <c r="A1305" i="32"/>
  <c r="L1913" i="32" l="1"/>
  <c r="K1915" i="32"/>
  <c r="R1911" i="32" a="1"/>
  <c r="R1911" i="32" s="1"/>
  <c r="O1911" i="32" a="1"/>
  <c r="O1911" i="32" s="1"/>
  <c r="N1911" i="32" a="1"/>
  <c r="N1911" i="32" s="1"/>
  <c r="E1911" i="32" s="1"/>
  <c r="M1911" i="32" a="1"/>
  <c r="M1911" i="32" s="1"/>
  <c r="D1911" i="32" s="1"/>
  <c r="A3983" i="27"/>
  <c r="F3985" i="27"/>
  <c r="B682" i="27"/>
  <c r="N682" i="27"/>
  <c r="M682" i="27"/>
  <c r="H681" i="27"/>
  <c r="M911" i="32" a="1"/>
  <c r="M911" i="32" s="1"/>
  <c r="D911" i="32" s="1"/>
  <c r="N911" i="32" a="1"/>
  <c r="N911" i="32" s="1"/>
  <c r="E911" i="32" s="1"/>
  <c r="F2397" i="27" s="1"/>
  <c r="R911" i="32" a="1"/>
  <c r="R911" i="32" s="1"/>
  <c r="P2397" i="27" s="1"/>
  <c r="O911" i="32" a="1"/>
  <c r="O911" i="32" s="1"/>
  <c r="M2397" i="27" s="1"/>
  <c r="A2397" i="27" s="1"/>
  <c r="O1501" i="32" a="1"/>
  <c r="O1501" i="32" s="1"/>
  <c r="N1501" i="32" a="1"/>
  <c r="N1501" i="32" s="1"/>
  <c r="E1501" i="32" s="1"/>
  <c r="M1501" i="32" a="1"/>
  <c r="M1501" i="32" s="1"/>
  <c r="D1501" i="32" s="1"/>
  <c r="R1501" i="32" a="1"/>
  <c r="R1501" i="32" s="1"/>
  <c r="K915" i="32"/>
  <c r="L913" i="32"/>
  <c r="K1505" i="32"/>
  <c r="L1503" i="32"/>
  <c r="N1697" i="32" a="1"/>
  <c r="N1697" i="32" s="1"/>
  <c r="E1697" i="32" s="1"/>
  <c r="M1697" i="32" a="1"/>
  <c r="M1697" i="32" s="1"/>
  <c r="D1697" i="32" s="1"/>
  <c r="O1697" i="32" a="1"/>
  <c r="O1697" i="32" s="1"/>
  <c r="R1697" i="32" a="1"/>
  <c r="R1697" i="32" s="1"/>
  <c r="N711" i="32" a="1"/>
  <c r="N711" i="32" s="1"/>
  <c r="E711" i="32" s="1"/>
  <c r="F2297" i="27" s="1"/>
  <c r="M711" i="32" a="1"/>
  <c r="M711" i="32" s="1"/>
  <c r="D711" i="32" s="1"/>
  <c r="O711" i="32" a="1"/>
  <c r="O711" i="32" s="1"/>
  <c r="M2297" i="27" s="1"/>
  <c r="A2297" i="27" s="1"/>
  <c r="R711" i="32" a="1"/>
  <c r="R711" i="32" s="1"/>
  <c r="P2297" i="27" s="1"/>
  <c r="K1701" i="32"/>
  <c r="L1699" i="32"/>
  <c r="K715" i="32"/>
  <c r="L713" i="32"/>
  <c r="M568" i="32" a="1"/>
  <c r="M568" i="32" s="1"/>
  <c r="D568" i="32" s="1"/>
  <c r="R568" i="32" a="1"/>
  <c r="R568" i="32" s="1"/>
  <c r="P1280" i="27" s="1"/>
  <c r="N568" i="32" a="1"/>
  <c r="N568" i="32" s="1"/>
  <c r="E568" i="32" s="1"/>
  <c r="O568" i="32" a="1"/>
  <c r="O568" i="32" s="1"/>
  <c r="M1280" i="27" s="1"/>
  <c r="A1280" i="27" s="1"/>
  <c r="K572" i="32"/>
  <c r="L570" i="32"/>
  <c r="M420" i="32" a="1"/>
  <c r="M420" i="32" s="1"/>
  <c r="D420" i="32" s="1"/>
  <c r="R420" i="32" a="1"/>
  <c r="R420" i="32" s="1"/>
  <c r="P1206" i="27" s="1"/>
  <c r="N420" i="32" a="1"/>
  <c r="N420" i="32" s="1"/>
  <c r="E420" i="32" s="1"/>
  <c r="O420" i="32" a="1"/>
  <c r="O420" i="32" s="1"/>
  <c r="M1206" i="27" s="1"/>
  <c r="A1206" i="27" s="1"/>
  <c r="K424" i="32"/>
  <c r="L422" i="32"/>
  <c r="R158" i="32" a="1"/>
  <c r="R158" i="32" s="1"/>
  <c r="P1532" i="27" s="1"/>
  <c r="M158" i="32" a="1"/>
  <c r="M158" i="32" s="1"/>
  <c r="D158" i="32" s="1"/>
  <c r="N158" i="32" a="1"/>
  <c r="N158" i="32" s="1"/>
  <c r="E158" i="32" s="1"/>
  <c r="F1532" i="27" s="1"/>
  <c r="O158" i="32" a="1"/>
  <c r="O158" i="32" s="1"/>
  <c r="M1532" i="27" s="1"/>
  <c r="A1532" i="27" s="1"/>
  <c r="K162" i="32"/>
  <c r="L160" i="32"/>
  <c r="Q1307" i="32"/>
  <c r="I3984" i="27"/>
  <c r="H3984" i="27"/>
  <c r="G1303" i="32"/>
  <c r="L1915" i="32" l="1"/>
  <c r="K1917" i="32"/>
  <c r="R1913" i="32" a="1"/>
  <c r="R1913" i="32" s="1"/>
  <c r="O1913" i="32" a="1"/>
  <c r="O1913" i="32" s="1"/>
  <c r="N1913" i="32" a="1"/>
  <c r="N1913" i="32" s="1"/>
  <c r="E1913" i="32" s="1"/>
  <c r="M1913" i="32" a="1"/>
  <c r="M1913" i="32" s="1"/>
  <c r="D1913" i="32" s="1"/>
  <c r="A3984" i="27"/>
  <c r="F3986" i="27"/>
  <c r="F3987" i="27"/>
  <c r="H682" i="27"/>
  <c r="B683" i="27"/>
  <c r="M683" i="27"/>
  <c r="N683" i="27"/>
  <c r="N713" i="32" a="1"/>
  <c r="N713" i="32" s="1"/>
  <c r="E713" i="32" s="1"/>
  <c r="F2298" i="27" s="1"/>
  <c r="M713" i="32" a="1"/>
  <c r="M713" i="32" s="1"/>
  <c r="D713" i="32" s="1"/>
  <c r="O713" i="32" a="1"/>
  <c r="O713" i="32" s="1"/>
  <c r="M2298" i="27" s="1"/>
  <c r="A2298" i="27" s="1"/>
  <c r="R713" i="32" a="1"/>
  <c r="R713" i="32" s="1"/>
  <c r="P2298" i="27" s="1"/>
  <c r="R1503" i="32" a="1"/>
  <c r="R1503" i="32" s="1"/>
  <c r="N1503" i="32" a="1"/>
  <c r="N1503" i="32" s="1"/>
  <c r="E1503" i="32" s="1"/>
  <c r="O1503" i="32" a="1"/>
  <c r="O1503" i="32" s="1"/>
  <c r="M1503" i="32" a="1"/>
  <c r="M1503" i="32" s="1"/>
  <c r="D1503" i="32" s="1"/>
  <c r="K717" i="32"/>
  <c r="L715" i="32"/>
  <c r="K1507" i="32"/>
  <c r="L1505" i="32"/>
  <c r="R1699" i="32" a="1"/>
  <c r="R1699" i="32" s="1"/>
  <c r="O1699" i="32" a="1"/>
  <c r="O1699" i="32" s="1"/>
  <c r="M1699" i="32" a="1"/>
  <c r="M1699" i="32" s="1"/>
  <c r="D1699" i="32" s="1"/>
  <c r="N1699" i="32" a="1"/>
  <c r="N1699" i="32" s="1"/>
  <c r="E1699" i="32" s="1"/>
  <c r="M913" i="32" a="1"/>
  <c r="M913" i="32" s="1"/>
  <c r="D913" i="32" s="1"/>
  <c r="R913" i="32" a="1"/>
  <c r="R913" i="32" s="1"/>
  <c r="P2398" i="27" s="1"/>
  <c r="N913" i="32" a="1"/>
  <c r="N913" i="32" s="1"/>
  <c r="E913" i="32" s="1"/>
  <c r="F2398" i="27" s="1"/>
  <c r="O913" i="32" a="1"/>
  <c r="O913" i="32" s="1"/>
  <c r="M2398" i="27" s="1"/>
  <c r="A2398" i="27" s="1"/>
  <c r="K1703" i="32"/>
  <c r="L1701" i="32"/>
  <c r="K917" i="32"/>
  <c r="L915" i="32"/>
  <c r="R570" i="32" a="1"/>
  <c r="R570" i="32" s="1"/>
  <c r="P1281" i="27" s="1"/>
  <c r="M570" i="32" a="1"/>
  <c r="M570" i="32" s="1"/>
  <c r="D570" i="32" s="1"/>
  <c r="N570" i="32" a="1"/>
  <c r="N570" i="32" s="1"/>
  <c r="E570" i="32" s="1"/>
  <c r="O570" i="32" a="1"/>
  <c r="O570" i="32" s="1"/>
  <c r="M1281" i="27" s="1"/>
  <c r="A1281" i="27" s="1"/>
  <c r="M422" i="32" a="1"/>
  <c r="M422" i="32" s="1"/>
  <c r="D422" i="32" s="1"/>
  <c r="O422" i="32" a="1"/>
  <c r="O422" i="32" s="1"/>
  <c r="M1207" i="27" s="1"/>
  <c r="A1207" i="27" s="1"/>
  <c r="R422" i="32" a="1"/>
  <c r="R422" i="32" s="1"/>
  <c r="P1207" i="27" s="1"/>
  <c r="N422" i="32" a="1"/>
  <c r="N422" i="32" s="1"/>
  <c r="E422" i="32" s="1"/>
  <c r="K426" i="32"/>
  <c r="L424" i="32"/>
  <c r="K574" i="32"/>
  <c r="L572" i="32"/>
  <c r="R160" i="32" a="1"/>
  <c r="R160" i="32" s="1"/>
  <c r="P1533" i="27" s="1"/>
  <c r="M160" i="32" a="1"/>
  <c r="M160" i="32" s="1"/>
  <c r="D160" i="32" s="1"/>
  <c r="O160" i="32" a="1"/>
  <c r="O160" i="32" s="1"/>
  <c r="M1533" i="27" s="1"/>
  <c r="A1533" i="27" s="1"/>
  <c r="N160" i="32" a="1"/>
  <c r="N160" i="32" s="1"/>
  <c r="E160" i="32" s="1"/>
  <c r="F1533" i="27" s="1"/>
  <c r="K164" i="32"/>
  <c r="L162" i="32"/>
  <c r="Q1309" i="32"/>
  <c r="G1305" i="32"/>
  <c r="I3985" i="27"/>
  <c r="A1309" i="32"/>
  <c r="H3985" i="27"/>
  <c r="A1307" i="32"/>
  <c r="L1917" i="32" l="1"/>
  <c r="K1919" i="32"/>
  <c r="R1915" i="32" a="1"/>
  <c r="R1915" i="32" s="1"/>
  <c r="O1915" i="32" a="1"/>
  <c r="O1915" i="32" s="1"/>
  <c r="N1915" i="32" a="1"/>
  <c r="N1915" i="32" s="1"/>
  <c r="E1915" i="32" s="1"/>
  <c r="M1915" i="32" a="1"/>
  <c r="M1915" i="32" s="1"/>
  <c r="D1915" i="32" s="1"/>
  <c r="A3985" i="27"/>
  <c r="F3988" i="27"/>
  <c r="H683" i="27"/>
  <c r="B684" i="27"/>
  <c r="N684" i="27"/>
  <c r="M684" i="27"/>
  <c r="M915" i="32" a="1"/>
  <c r="M915" i="32" s="1"/>
  <c r="D915" i="32" s="1"/>
  <c r="N915" i="32" a="1"/>
  <c r="N915" i="32" s="1"/>
  <c r="E915" i="32" s="1"/>
  <c r="F2399" i="27" s="1"/>
  <c r="R915" i="32" a="1"/>
  <c r="R915" i="32" s="1"/>
  <c r="P2399" i="27" s="1"/>
  <c r="O915" i="32" a="1"/>
  <c r="O915" i="32" s="1"/>
  <c r="M2399" i="27" s="1"/>
  <c r="A2399" i="27" s="1"/>
  <c r="N1505" i="32" a="1"/>
  <c r="N1505" i="32" s="1"/>
  <c r="E1505" i="32" s="1"/>
  <c r="O1505" i="32" a="1"/>
  <c r="O1505" i="32" s="1"/>
  <c r="M1505" i="32" a="1"/>
  <c r="M1505" i="32" s="1"/>
  <c r="D1505" i="32" s="1"/>
  <c r="R1505" i="32" a="1"/>
  <c r="R1505" i="32" s="1"/>
  <c r="K919" i="32"/>
  <c r="L917" i="32"/>
  <c r="K1509" i="32"/>
  <c r="L1507" i="32"/>
  <c r="R715" i="32" a="1"/>
  <c r="R715" i="32" s="1"/>
  <c r="P2299" i="27" s="1"/>
  <c r="O715" i="32" a="1"/>
  <c r="O715" i="32" s="1"/>
  <c r="M2299" i="27" s="1"/>
  <c r="A2299" i="27" s="1"/>
  <c r="N715" i="32" a="1"/>
  <c r="N715" i="32" s="1"/>
  <c r="E715" i="32" s="1"/>
  <c r="F2299" i="27" s="1"/>
  <c r="M715" i="32" a="1"/>
  <c r="M715" i="32" s="1"/>
  <c r="D715" i="32" s="1"/>
  <c r="N1701" i="32" a="1"/>
  <c r="N1701" i="32" s="1"/>
  <c r="E1701" i="32" s="1"/>
  <c r="R1701" i="32" a="1"/>
  <c r="R1701" i="32" s="1"/>
  <c r="M1701" i="32" a="1"/>
  <c r="M1701" i="32" s="1"/>
  <c r="D1701" i="32" s="1"/>
  <c r="O1701" i="32" a="1"/>
  <c r="O1701" i="32" s="1"/>
  <c r="K1705" i="32"/>
  <c r="L1703" i="32"/>
  <c r="K719" i="32"/>
  <c r="L717" i="32"/>
  <c r="K576" i="32"/>
  <c r="L574" i="32"/>
  <c r="R424" i="32" a="1"/>
  <c r="R424" i="32" s="1"/>
  <c r="P1208" i="27" s="1"/>
  <c r="O424" i="32" a="1"/>
  <c r="O424" i="32" s="1"/>
  <c r="M1208" i="27" s="1"/>
  <c r="A1208" i="27" s="1"/>
  <c r="M424" i="32" a="1"/>
  <c r="M424" i="32" s="1"/>
  <c r="D424" i="32" s="1"/>
  <c r="N424" i="32" a="1"/>
  <c r="N424" i="32" s="1"/>
  <c r="E424" i="32" s="1"/>
  <c r="M572" i="32" a="1"/>
  <c r="M572" i="32" s="1"/>
  <c r="D572" i="32" s="1"/>
  <c r="N572" i="32" a="1"/>
  <c r="N572" i="32" s="1"/>
  <c r="E572" i="32" s="1"/>
  <c r="R572" i="32" a="1"/>
  <c r="R572" i="32" s="1"/>
  <c r="P1282" i="27" s="1"/>
  <c r="O572" i="32" a="1"/>
  <c r="O572" i="32" s="1"/>
  <c r="M1282" i="27" s="1"/>
  <c r="A1282" i="27" s="1"/>
  <c r="K428" i="32"/>
  <c r="L426" i="32"/>
  <c r="R162" i="32" a="1"/>
  <c r="R162" i="32" s="1"/>
  <c r="P1534" i="27" s="1"/>
  <c r="O162" i="32" a="1"/>
  <c r="O162" i="32" s="1"/>
  <c r="M1534" i="27" s="1"/>
  <c r="A1534" i="27" s="1"/>
  <c r="M162" i="32" a="1"/>
  <c r="M162" i="32" s="1"/>
  <c r="D162" i="32" s="1"/>
  <c r="N162" i="32" a="1"/>
  <c r="N162" i="32" s="1"/>
  <c r="E162" i="32" s="1"/>
  <c r="F1534" i="27" s="1"/>
  <c r="K166" i="32"/>
  <c r="L164" i="32"/>
  <c r="Q1311" i="32"/>
  <c r="I3987" i="27"/>
  <c r="H3986" i="27"/>
  <c r="H3987" i="27"/>
  <c r="G1307" i="32"/>
  <c r="I3986" i="27"/>
  <c r="L1919" i="32" l="1"/>
  <c r="K1921" i="32"/>
  <c r="R1917" i="32" a="1"/>
  <c r="R1917" i="32" s="1"/>
  <c r="O1917" i="32" a="1"/>
  <c r="O1917" i="32" s="1"/>
  <c r="N1917" i="32" a="1"/>
  <c r="N1917" i="32" s="1"/>
  <c r="E1917" i="32" s="1"/>
  <c r="M1917" i="32" a="1"/>
  <c r="M1917" i="32" s="1"/>
  <c r="D1917" i="32" s="1"/>
  <c r="A3986" i="27"/>
  <c r="A3987" i="27"/>
  <c r="F3989" i="27"/>
  <c r="H684" i="27"/>
  <c r="B685" i="27"/>
  <c r="N685" i="27"/>
  <c r="M685" i="27"/>
  <c r="N717" i="32" a="1"/>
  <c r="N717" i="32" s="1"/>
  <c r="E717" i="32" s="1"/>
  <c r="F2300" i="27" s="1"/>
  <c r="R717" i="32" a="1"/>
  <c r="R717" i="32" s="1"/>
  <c r="P2300" i="27" s="1"/>
  <c r="M717" i="32" a="1"/>
  <c r="M717" i="32" s="1"/>
  <c r="D717" i="32" s="1"/>
  <c r="O717" i="32" a="1"/>
  <c r="O717" i="32" s="1"/>
  <c r="M2300" i="27" s="1"/>
  <c r="A2300" i="27" s="1"/>
  <c r="R1507" i="32" a="1"/>
  <c r="R1507" i="32" s="1"/>
  <c r="M1507" i="32" a="1"/>
  <c r="M1507" i="32" s="1"/>
  <c r="D1507" i="32" s="1"/>
  <c r="O1507" i="32" a="1"/>
  <c r="O1507" i="32" s="1"/>
  <c r="N1507" i="32" a="1"/>
  <c r="N1507" i="32" s="1"/>
  <c r="E1507" i="32" s="1"/>
  <c r="K721" i="32"/>
  <c r="L719" i="32"/>
  <c r="K1511" i="32"/>
  <c r="L1509" i="32"/>
  <c r="R1703" i="32" a="1"/>
  <c r="R1703" i="32" s="1"/>
  <c r="N1703" i="32" a="1"/>
  <c r="N1703" i="32" s="1"/>
  <c r="E1703" i="32" s="1"/>
  <c r="O1703" i="32" a="1"/>
  <c r="O1703" i="32" s="1"/>
  <c r="M1703" i="32" a="1"/>
  <c r="M1703" i="32" s="1"/>
  <c r="D1703" i="32" s="1"/>
  <c r="M917" i="32" a="1"/>
  <c r="M917" i="32" s="1"/>
  <c r="D917" i="32" s="1"/>
  <c r="N917" i="32" a="1"/>
  <c r="N917" i="32" s="1"/>
  <c r="E917" i="32" s="1"/>
  <c r="F2400" i="27" s="1"/>
  <c r="O917" i="32" a="1"/>
  <c r="O917" i="32" s="1"/>
  <c r="M2400" i="27" s="1"/>
  <c r="A2400" i="27" s="1"/>
  <c r="R917" i="32" a="1"/>
  <c r="R917" i="32" s="1"/>
  <c r="P2400" i="27" s="1"/>
  <c r="K1707" i="32"/>
  <c r="L1705" i="32"/>
  <c r="K921" i="32"/>
  <c r="L919" i="32"/>
  <c r="N426" i="32" a="1"/>
  <c r="N426" i="32" s="1"/>
  <c r="E426" i="32" s="1"/>
  <c r="O426" i="32" a="1"/>
  <c r="O426" i="32" s="1"/>
  <c r="M1209" i="27" s="1"/>
  <c r="A1209" i="27" s="1"/>
  <c r="R426" i="32" a="1"/>
  <c r="R426" i="32" s="1"/>
  <c r="P1209" i="27" s="1"/>
  <c r="M426" i="32" a="1"/>
  <c r="M426" i="32" s="1"/>
  <c r="D426" i="32" s="1"/>
  <c r="K430" i="32"/>
  <c r="L428" i="32"/>
  <c r="O574" i="32" a="1"/>
  <c r="O574" i="32" s="1"/>
  <c r="M1283" i="27" s="1"/>
  <c r="A1283" i="27" s="1"/>
  <c r="N574" i="32" a="1"/>
  <c r="N574" i="32" s="1"/>
  <c r="E574" i="32" s="1"/>
  <c r="M574" i="32" a="1"/>
  <c r="M574" i="32" s="1"/>
  <c r="D574" i="32" s="1"/>
  <c r="R574" i="32" a="1"/>
  <c r="R574" i="32" s="1"/>
  <c r="P1283" i="27" s="1"/>
  <c r="K578" i="32"/>
  <c r="L576" i="32"/>
  <c r="R164" i="32" a="1"/>
  <c r="R164" i="32" s="1"/>
  <c r="P1535" i="27" s="1"/>
  <c r="N164" i="32" a="1"/>
  <c r="N164" i="32" s="1"/>
  <c r="E164" i="32" s="1"/>
  <c r="F1535" i="27" s="1"/>
  <c r="M164" i="32" a="1"/>
  <c r="M164" i="32" s="1"/>
  <c r="D164" i="32" s="1"/>
  <c r="O164" i="32" a="1"/>
  <c r="O164" i="32" s="1"/>
  <c r="M1535" i="27" s="1"/>
  <c r="A1535" i="27" s="1"/>
  <c r="K168" i="32"/>
  <c r="L166" i="32"/>
  <c r="Q1313" i="32"/>
  <c r="H3988" i="27"/>
  <c r="G1309" i="32"/>
  <c r="A1311" i="32"/>
  <c r="I3988" i="27"/>
  <c r="A1313" i="32"/>
  <c r="L1921" i="32" l="1"/>
  <c r="K1923" i="32"/>
  <c r="R1919" i="32" a="1"/>
  <c r="R1919" i="32" s="1"/>
  <c r="O1919" i="32" a="1"/>
  <c r="O1919" i="32" s="1"/>
  <c r="N1919" i="32" a="1"/>
  <c r="N1919" i="32" s="1"/>
  <c r="E1919" i="32" s="1"/>
  <c r="M1919" i="32" a="1"/>
  <c r="M1919" i="32" s="1"/>
  <c r="D1919" i="32" s="1"/>
  <c r="A3988" i="27"/>
  <c r="F3990" i="27"/>
  <c r="B686" i="27"/>
  <c r="N686" i="27"/>
  <c r="M686" i="27"/>
  <c r="H685" i="27"/>
  <c r="O919" i="32" a="1"/>
  <c r="O919" i="32" s="1"/>
  <c r="M2401" i="27" s="1"/>
  <c r="A2401" i="27" s="1"/>
  <c r="N919" i="32" a="1"/>
  <c r="N919" i="32" s="1"/>
  <c r="E919" i="32" s="1"/>
  <c r="F2401" i="27" s="1"/>
  <c r="R919" i="32" a="1"/>
  <c r="R919" i="32" s="1"/>
  <c r="P2401" i="27" s="1"/>
  <c r="M919" i="32" a="1"/>
  <c r="M919" i="32" s="1"/>
  <c r="D919" i="32" s="1"/>
  <c r="N1509" i="32" a="1"/>
  <c r="N1509" i="32" s="1"/>
  <c r="E1509" i="32" s="1"/>
  <c r="O1509" i="32" a="1"/>
  <c r="O1509" i="32" s="1"/>
  <c r="M1509" i="32" a="1"/>
  <c r="M1509" i="32" s="1"/>
  <c r="D1509" i="32" s="1"/>
  <c r="R1509" i="32" a="1"/>
  <c r="R1509" i="32" s="1"/>
  <c r="K923" i="32"/>
  <c r="L921" i="32"/>
  <c r="K1513" i="32"/>
  <c r="L1511" i="32"/>
  <c r="N1705" i="32" a="1"/>
  <c r="N1705" i="32" s="1"/>
  <c r="E1705" i="32" s="1"/>
  <c r="O1705" i="32" a="1"/>
  <c r="O1705" i="32" s="1"/>
  <c r="M1705" i="32" a="1"/>
  <c r="M1705" i="32" s="1"/>
  <c r="D1705" i="32" s="1"/>
  <c r="R1705" i="32" a="1"/>
  <c r="R1705" i="32" s="1"/>
  <c r="N719" i="32" a="1"/>
  <c r="N719" i="32" s="1"/>
  <c r="E719" i="32" s="1"/>
  <c r="F2301" i="27" s="1"/>
  <c r="M719" i="32" a="1"/>
  <c r="M719" i="32" s="1"/>
  <c r="D719" i="32" s="1"/>
  <c r="R719" i="32" a="1"/>
  <c r="R719" i="32" s="1"/>
  <c r="P2301" i="27" s="1"/>
  <c r="O719" i="32" a="1"/>
  <c r="O719" i="32" s="1"/>
  <c r="M2301" i="27" s="1"/>
  <c r="A2301" i="27" s="1"/>
  <c r="K1709" i="32"/>
  <c r="L1707" i="32"/>
  <c r="K723" i="32"/>
  <c r="L721" i="32"/>
  <c r="K580" i="32"/>
  <c r="L578" i="32"/>
  <c r="M576" i="32" a="1"/>
  <c r="M576" i="32" s="1"/>
  <c r="D576" i="32" s="1"/>
  <c r="O576" i="32" a="1"/>
  <c r="O576" i="32" s="1"/>
  <c r="M1284" i="27" s="1"/>
  <c r="A1284" i="27" s="1"/>
  <c r="N576" i="32" a="1"/>
  <c r="N576" i="32" s="1"/>
  <c r="E576" i="32" s="1"/>
  <c r="R576" i="32" a="1"/>
  <c r="R576" i="32" s="1"/>
  <c r="P1284" i="27" s="1"/>
  <c r="O428" i="32" a="1"/>
  <c r="O428" i="32" s="1"/>
  <c r="M1210" i="27" s="1"/>
  <c r="A1210" i="27" s="1"/>
  <c r="M428" i="32" a="1"/>
  <c r="M428" i="32" s="1"/>
  <c r="D428" i="32" s="1"/>
  <c r="N428" i="32" a="1"/>
  <c r="N428" i="32" s="1"/>
  <c r="E428" i="32" s="1"/>
  <c r="R428" i="32" a="1"/>
  <c r="R428" i="32" s="1"/>
  <c r="P1210" i="27" s="1"/>
  <c r="K432" i="32"/>
  <c r="L430" i="32"/>
  <c r="R166" i="32" a="1"/>
  <c r="R166" i="32" s="1"/>
  <c r="P1536" i="27" s="1"/>
  <c r="N166" i="32" a="1"/>
  <c r="N166" i="32" s="1"/>
  <c r="E166" i="32" s="1"/>
  <c r="F1536" i="27" s="1"/>
  <c r="M166" i="32" a="1"/>
  <c r="M166" i="32" s="1"/>
  <c r="D166" i="32" s="1"/>
  <c r="O166" i="32" a="1"/>
  <c r="O166" i="32" s="1"/>
  <c r="M1536" i="27" s="1"/>
  <c r="A1536" i="27" s="1"/>
  <c r="K170" i="32"/>
  <c r="L168" i="32"/>
  <c r="Q1315" i="32"/>
  <c r="I3989" i="27"/>
  <c r="H3989" i="27"/>
  <c r="G1311" i="32"/>
  <c r="L1923" i="32" l="1"/>
  <c r="K1925" i="32"/>
  <c r="R1921" i="32" a="1"/>
  <c r="R1921" i="32" s="1"/>
  <c r="O1921" i="32" a="1"/>
  <c r="O1921" i="32" s="1"/>
  <c r="N1921" i="32" a="1"/>
  <c r="N1921" i="32" s="1"/>
  <c r="E1921" i="32" s="1"/>
  <c r="M1921" i="32" a="1"/>
  <c r="M1921" i="32" s="1"/>
  <c r="D1921" i="32" s="1"/>
  <c r="A3989" i="27"/>
  <c r="F3991" i="27"/>
  <c r="H686" i="27"/>
  <c r="B687" i="27"/>
  <c r="M687" i="27"/>
  <c r="N687" i="27"/>
  <c r="N721" i="32" a="1"/>
  <c r="N721" i="32" s="1"/>
  <c r="E721" i="32" s="1"/>
  <c r="F2302" i="27" s="1"/>
  <c r="O721" i="32" a="1"/>
  <c r="O721" i="32" s="1"/>
  <c r="M2302" i="27" s="1"/>
  <c r="A2302" i="27" s="1"/>
  <c r="R721" i="32" a="1"/>
  <c r="R721" i="32" s="1"/>
  <c r="P2302" i="27" s="1"/>
  <c r="M721" i="32" a="1"/>
  <c r="M721" i="32" s="1"/>
  <c r="D721" i="32" s="1"/>
  <c r="O1511" i="32" a="1"/>
  <c r="O1511" i="32" s="1"/>
  <c r="M1511" i="32" a="1"/>
  <c r="M1511" i="32" s="1"/>
  <c r="D1511" i="32" s="1"/>
  <c r="N1511" i="32" a="1"/>
  <c r="N1511" i="32" s="1"/>
  <c r="E1511" i="32" s="1"/>
  <c r="R1511" i="32" a="1"/>
  <c r="R1511" i="32" s="1"/>
  <c r="K725" i="32"/>
  <c r="L723" i="32"/>
  <c r="K1515" i="32"/>
  <c r="L1513" i="32"/>
  <c r="N1707" i="32" a="1"/>
  <c r="N1707" i="32" s="1"/>
  <c r="E1707" i="32" s="1"/>
  <c r="M1707" i="32" a="1"/>
  <c r="M1707" i="32" s="1"/>
  <c r="D1707" i="32" s="1"/>
  <c r="O1707" i="32" a="1"/>
  <c r="O1707" i="32" s="1"/>
  <c r="R1707" i="32" a="1"/>
  <c r="R1707" i="32" s="1"/>
  <c r="O921" i="32" a="1"/>
  <c r="O921" i="32" s="1"/>
  <c r="M2402" i="27" s="1"/>
  <c r="A2402" i="27" s="1"/>
  <c r="R921" i="32" a="1"/>
  <c r="R921" i="32" s="1"/>
  <c r="P2402" i="27" s="1"/>
  <c r="M921" i="32" a="1"/>
  <c r="M921" i="32" s="1"/>
  <c r="D921" i="32" s="1"/>
  <c r="N921" i="32" a="1"/>
  <c r="N921" i="32" s="1"/>
  <c r="E921" i="32" s="1"/>
  <c r="F2402" i="27" s="1"/>
  <c r="K1711" i="32"/>
  <c r="L1709" i="32"/>
  <c r="K925" i="32"/>
  <c r="L923" i="32"/>
  <c r="O430" i="32" a="1"/>
  <c r="O430" i="32" s="1"/>
  <c r="M1211" i="27" s="1"/>
  <c r="A1211" i="27" s="1"/>
  <c r="R430" i="32" a="1"/>
  <c r="R430" i="32" s="1"/>
  <c r="P1211" i="27" s="1"/>
  <c r="M430" i="32" a="1"/>
  <c r="M430" i="32" s="1"/>
  <c r="D430" i="32" s="1"/>
  <c r="N430" i="32" a="1"/>
  <c r="N430" i="32" s="1"/>
  <c r="E430" i="32" s="1"/>
  <c r="K434" i="32"/>
  <c r="L432" i="32"/>
  <c r="O578" i="32" a="1"/>
  <c r="O578" i="32" s="1"/>
  <c r="M1285" i="27" s="1"/>
  <c r="A1285" i="27" s="1"/>
  <c r="R578" i="32" a="1"/>
  <c r="R578" i="32" s="1"/>
  <c r="P1285" i="27" s="1"/>
  <c r="M578" i="32" a="1"/>
  <c r="M578" i="32" s="1"/>
  <c r="D578" i="32" s="1"/>
  <c r="N578" i="32" a="1"/>
  <c r="N578" i="32" s="1"/>
  <c r="E578" i="32" s="1"/>
  <c r="K582" i="32"/>
  <c r="L580" i="32"/>
  <c r="R168" i="32" a="1"/>
  <c r="R168" i="32" s="1"/>
  <c r="P1537" i="27" s="1"/>
  <c r="M168" i="32" a="1"/>
  <c r="M168" i="32" s="1"/>
  <c r="D168" i="32" s="1"/>
  <c r="O168" i="32" a="1"/>
  <c r="O168" i="32" s="1"/>
  <c r="M1537" i="27" s="1"/>
  <c r="A1537" i="27" s="1"/>
  <c r="N168" i="32" a="1"/>
  <c r="N168" i="32" s="1"/>
  <c r="E168" i="32" s="1"/>
  <c r="F1537" i="27" s="1"/>
  <c r="K172" i="32"/>
  <c r="L170" i="32"/>
  <c r="Q1317" i="32"/>
  <c r="G1313" i="32"/>
  <c r="I3990" i="27"/>
  <c r="A1315" i="32"/>
  <c r="H3990" i="27"/>
  <c r="A1317" i="32"/>
  <c r="L1925" i="32" l="1"/>
  <c r="K1927" i="32"/>
  <c r="R1923" i="32" a="1"/>
  <c r="R1923" i="32" s="1"/>
  <c r="O1923" i="32" a="1"/>
  <c r="O1923" i="32" s="1"/>
  <c r="N1923" i="32" a="1"/>
  <c r="N1923" i="32" s="1"/>
  <c r="E1923" i="32" s="1"/>
  <c r="M1923" i="32" a="1"/>
  <c r="M1923" i="32" s="1"/>
  <c r="D1923" i="32" s="1"/>
  <c r="A3990" i="27"/>
  <c r="F3993" i="27"/>
  <c r="F3992" i="27"/>
  <c r="B688" i="27"/>
  <c r="N688" i="27"/>
  <c r="M688" i="27"/>
  <c r="H687" i="27"/>
  <c r="O923" i="32" a="1"/>
  <c r="O923" i="32" s="1"/>
  <c r="M2403" i="27" s="1"/>
  <c r="A2403" i="27" s="1"/>
  <c r="M923" i="32" a="1"/>
  <c r="M923" i="32" s="1"/>
  <c r="D923" i="32" s="1"/>
  <c r="R923" i="32" a="1"/>
  <c r="R923" i="32" s="1"/>
  <c r="P2403" i="27" s="1"/>
  <c r="N923" i="32" a="1"/>
  <c r="N923" i="32" s="1"/>
  <c r="E923" i="32" s="1"/>
  <c r="F2403" i="27" s="1"/>
  <c r="N1513" i="32" a="1"/>
  <c r="N1513" i="32" s="1"/>
  <c r="E1513" i="32" s="1"/>
  <c r="O1513" i="32" a="1"/>
  <c r="O1513" i="32" s="1"/>
  <c r="R1513" i="32" a="1"/>
  <c r="R1513" i="32" s="1"/>
  <c r="M1513" i="32" a="1"/>
  <c r="M1513" i="32" s="1"/>
  <c r="D1513" i="32" s="1"/>
  <c r="K927" i="32"/>
  <c r="L925" i="32"/>
  <c r="K1517" i="32"/>
  <c r="L1515" i="32"/>
  <c r="O1709" i="32" a="1"/>
  <c r="O1709" i="32" s="1"/>
  <c r="N1709" i="32" a="1"/>
  <c r="N1709" i="32" s="1"/>
  <c r="E1709" i="32" s="1"/>
  <c r="M1709" i="32" a="1"/>
  <c r="M1709" i="32" s="1"/>
  <c r="D1709" i="32" s="1"/>
  <c r="R1709" i="32" a="1"/>
  <c r="R1709" i="32" s="1"/>
  <c r="O723" i="32" a="1"/>
  <c r="O723" i="32" s="1"/>
  <c r="M2303" i="27" s="1"/>
  <c r="A2303" i="27" s="1"/>
  <c r="M723" i="32" a="1"/>
  <c r="M723" i="32" s="1"/>
  <c r="D723" i="32" s="1"/>
  <c r="R723" i="32" a="1"/>
  <c r="R723" i="32" s="1"/>
  <c r="P2303" i="27" s="1"/>
  <c r="N723" i="32" a="1"/>
  <c r="N723" i="32" s="1"/>
  <c r="E723" i="32" s="1"/>
  <c r="F2303" i="27" s="1"/>
  <c r="K1713" i="32"/>
  <c r="L1711" i="32"/>
  <c r="K727" i="32"/>
  <c r="L725" i="32"/>
  <c r="K584" i="32"/>
  <c r="L582" i="32"/>
  <c r="M580" i="32" a="1"/>
  <c r="M580" i="32" s="1"/>
  <c r="D580" i="32" s="1"/>
  <c r="N580" i="32" a="1"/>
  <c r="N580" i="32" s="1"/>
  <c r="E580" i="32" s="1"/>
  <c r="R580" i="32" a="1"/>
  <c r="R580" i="32" s="1"/>
  <c r="P1286" i="27" s="1"/>
  <c r="O580" i="32" a="1"/>
  <c r="O580" i="32" s="1"/>
  <c r="M1286" i="27" s="1"/>
  <c r="A1286" i="27" s="1"/>
  <c r="M432" i="32" a="1"/>
  <c r="M432" i="32" s="1"/>
  <c r="D432" i="32" s="1"/>
  <c r="R432" i="32" a="1"/>
  <c r="R432" i="32" s="1"/>
  <c r="P1212" i="27" s="1"/>
  <c r="O432" i="32" a="1"/>
  <c r="O432" i="32" s="1"/>
  <c r="M1212" i="27" s="1"/>
  <c r="A1212" i="27" s="1"/>
  <c r="N432" i="32" a="1"/>
  <c r="N432" i="32" s="1"/>
  <c r="E432" i="32" s="1"/>
  <c r="K436" i="32"/>
  <c r="L434" i="32"/>
  <c r="R170" i="32" a="1"/>
  <c r="R170" i="32" s="1"/>
  <c r="P1538" i="27" s="1"/>
  <c r="M170" i="32" a="1"/>
  <c r="M170" i="32" s="1"/>
  <c r="D170" i="32" s="1"/>
  <c r="N170" i="32" a="1"/>
  <c r="N170" i="32" s="1"/>
  <c r="E170" i="32" s="1"/>
  <c r="F1538" i="27" s="1"/>
  <c r="O170" i="32" a="1"/>
  <c r="O170" i="32" s="1"/>
  <c r="M1538" i="27" s="1"/>
  <c r="A1538" i="27" s="1"/>
  <c r="K174" i="32"/>
  <c r="L172" i="32"/>
  <c r="Q1319" i="32"/>
  <c r="H3991" i="27"/>
  <c r="G1315" i="32"/>
  <c r="I3991" i="27"/>
  <c r="L1927" i="32" l="1"/>
  <c r="K1929" i="32"/>
  <c r="R1925" i="32" a="1"/>
  <c r="R1925" i="32" s="1"/>
  <c r="O1925" i="32" a="1"/>
  <c r="O1925" i="32" s="1"/>
  <c r="N1925" i="32" a="1"/>
  <c r="N1925" i="32" s="1"/>
  <c r="E1925" i="32" s="1"/>
  <c r="M1925" i="32" a="1"/>
  <c r="M1925" i="32" s="1"/>
  <c r="D1925" i="32" s="1"/>
  <c r="A3991" i="27"/>
  <c r="F3994" i="27"/>
  <c r="H688" i="27"/>
  <c r="B689" i="27"/>
  <c r="M689" i="27"/>
  <c r="N689" i="27"/>
  <c r="R725" i="32" a="1"/>
  <c r="R725" i="32" s="1"/>
  <c r="P2304" i="27" s="1"/>
  <c r="N725" i="32" a="1"/>
  <c r="N725" i="32" s="1"/>
  <c r="E725" i="32" s="1"/>
  <c r="F2304" i="27" s="1"/>
  <c r="M725" i="32" a="1"/>
  <c r="M725" i="32" s="1"/>
  <c r="D725" i="32" s="1"/>
  <c r="O725" i="32" a="1"/>
  <c r="O725" i="32" s="1"/>
  <c r="M2304" i="27" s="1"/>
  <c r="A2304" i="27" s="1"/>
  <c r="R1515" i="32" a="1"/>
  <c r="R1515" i="32" s="1"/>
  <c r="N1515" i="32" a="1"/>
  <c r="N1515" i="32" s="1"/>
  <c r="E1515" i="32" s="1"/>
  <c r="M1515" i="32" a="1"/>
  <c r="M1515" i="32" s="1"/>
  <c r="D1515" i="32" s="1"/>
  <c r="O1515" i="32" a="1"/>
  <c r="O1515" i="32" s="1"/>
  <c r="K729" i="32"/>
  <c r="L727" i="32"/>
  <c r="K1519" i="32"/>
  <c r="L1517" i="32"/>
  <c r="M1711" i="32" a="1"/>
  <c r="M1711" i="32" s="1"/>
  <c r="D1711" i="32" s="1"/>
  <c r="R1711" i="32" a="1"/>
  <c r="R1711" i="32" s="1"/>
  <c r="O1711" i="32" a="1"/>
  <c r="O1711" i="32" s="1"/>
  <c r="N1711" i="32" a="1"/>
  <c r="N1711" i="32" s="1"/>
  <c r="E1711" i="32" s="1"/>
  <c r="M925" i="32" a="1"/>
  <c r="M925" i="32" s="1"/>
  <c r="D925" i="32" s="1"/>
  <c r="N925" i="32" a="1"/>
  <c r="N925" i="32" s="1"/>
  <c r="E925" i="32" s="1"/>
  <c r="F2404" i="27" s="1"/>
  <c r="O925" i="32" a="1"/>
  <c r="O925" i="32" s="1"/>
  <c r="M2404" i="27" s="1"/>
  <c r="A2404" i="27" s="1"/>
  <c r="R925" i="32" a="1"/>
  <c r="R925" i="32" s="1"/>
  <c r="P2404" i="27" s="1"/>
  <c r="K1715" i="32"/>
  <c r="L1713" i="32"/>
  <c r="K929" i="32"/>
  <c r="L927" i="32"/>
  <c r="R434" i="32" a="1"/>
  <c r="R434" i="32" s="1"/>
  <c r="P1213" i="27" s="1"/>
  <c r="O434" i="32" a="1"/>
  <c r="O434" i="32" s="1"/>
  <c r="M1213" i="27" s="1"/>
  <c r="A1213" i="27" s="1"/>
  <c r="M434" i="32" a="1"/>
  <c r="M434" i="32" s="1"/>
  <c r="D434" i="32" s="1"/>
  <c r="N434" i="32" a="1"/>
  <c r="N434" i="32" s="1"/>
  <c r="E434" i="32" s="1"/>
  <c r="K438" i="32"/>
  <c r="L436" i="32"/>
  <c r="R582" i="32" a="1"/>
  <c r="R582" i="32" s="1"/>
  <c r="P1287" i="27" s="1"/>
  <c r="O582" i="32" a="1"/>
  <c r="O582" i="32" s="1"/>
  <c r="M1287" i="27" s="1"/>
  <c r="A1287" i="27" s="1"/>
  <c r="M582" i="32" a="1"/>
  <c r="M582" i="32" s="1"/>
  <c r="D582" i="32" s="1"/>
  <c r="N582" i="32" a="1"/>
  <c r="N582" i="32" s="1"/>
  <c r="E582" i="32" s="1"/>
  <c r="K586" i="32"/>
  <c r="L584" i="32"/>
  <c r="R172" i="32" a="1"/>
  <c r="R172" i="32" s="1"/>
  <c r="P1539" i="27" s="1"/>
  <c r="M172" i="32" a="1"/>
  <c r="M172" i="32" s="1"/>
  <c r="D172" i="32" s="1"/>
  <c r="N172" i="32" a="1"/>
  <c r="N172" i="32" s="1"/>
  <c r="E172" i="32" s="1"/>
  <c r="F1539" i="27" s="1"/>
  <c r="O172" i="32" a="1"/>
  <c r="O172" i="32" s="1"/>
  <c r="M1539" i="27" s="1"/>
  <c r="A1539" i="27" s="1"/>
  <c r="K176" i="32"/>
  <c r="L174" i="32"/>
  <c r="Q1321" i="32"/>
  <c r="A1321" i="32"/>
  <c r="I3992" i="27"/>
  <c r="I3993" i="27"/>
  <c r="G1317" i="32"/>
  <c r="H3993" i="27"/>
  <c r="H3992" i="27"/>
  <c r="A1319" i="32"/>
  <c r="L1929" i="32" l="1"/>
  <c r="K1931" i="32"/>
  <c r="R1927" i="32" a="1"/>
  <c r="R1927" i="32" s="1"/>
  <c r="O1927" i="32" a="1"/>
  <c r="O1927" i="32" s="1"/>
  <c r="N1927" i="32" a="1"/>
  <c r="N1927" i="32" s="1"/>
  <c r="E1927" i="32" s="1"/>
  <c r="M1927" i="32" a="1"/>
  <c r="M1927" i="32" s="1"/>
  <c r="D1927" i="32" s="1"/>
  <c r="A3993" i="27"/>
  <c r="A3992" i="27"/>
  <c r="F3995" i="27"/>
  <c r="H689" i="27"/>
  <c r="B690" i="27"/>
  <c r="N690" i="27"/>
  <c r="M690" i="27"/>
  <c r="R927" i="32" a="1"/>
  <c r="R927" i="32" s="1"/>
  <c r="P2405" i="27" s="1"/>
  <c r="N927" i="32" a="1"/>
  <c r="N927" i="32" s="1"/>
  <c r="E927" i="32" s="1"/>
  <c r="F2405" i="27" s="1"/>
  <c r="M927" i="32" a="1"/>
  <c r="M927" i="32" s="1"/>
  <c r="D927" i="32" s="1"/>
  <c r="O927" i="32" a="1"/>
  <c r="O927" i="32" s="1"/>
  <c r="M2405" i="27" s="1"/>
  <c r="A2405" i="27" s="1"/>
  <c r="O1517" i="32" a="1"/>
  <c r="O1517" i="32" s="1"/>
  <c r="M1517" i="32" a="1"/>
  <c r="M1517" i="32" s="1"/>
  <c r="D1517" i="32" s="1"/>
  <c r="N1517" i="32" a="1"/>
  <c r="N1517" i="32" s="1"/>
  <c r="E1517" i="32" s="1"/>
  <c r="R1517" i="32" a="1"/>
  <c r="R1517" i="32" s="1"/>
  <c r="K931" i="32"/>
  <c r="L929" i="32"/>
  <c r="K1521" i="32"/>
  <c r="L1519" i="32"/>
  <c r="R1713" i="32" a="1"/>
  <c r="R1713" i="32" s="1"/>
  <c r="M1713" i="32" a="1"/>
  <c r="M1713" i="32" s="1"/>
  <c r="D1713" i="32" s="1"/>
  <c r="N1713" i="32" a="1"/>
  <c r="N1713" i="32" s="1"/>
  <c r="E1713" i="32" s="1"/>
  <c r="O1713" i="32" a="1"/>
  <c r="O1713" i="32" s="1"/>
  <c r="R727" i="32" a="1"/>
  <c r="R727" i="32" s="1"/>
  <c r="P2305" i="27" s="1"/>
  <c r="M727" i="32" a="1"/>
  <c r="M727" i="32" s="1"/>
  <c r="D727" i="32" s="1"/>
  <c r="N727" i="32" a="1"/>
  <c r="N727" i="32" s="1"/>
  <c r="E727" i="32" s="1"/>
  <c r="F2305" i="27" s="1"/>
  <c r="O727" i="32" a="1"/>
  <c r="O727" i="32" s="1"/>
  <c r="M2305" i="27" s="1"/>
  <c r="A2305" i="27" s="1"/>
  <c r="K1717" i="32"/>
  <c r="L1715" i="32"/>
  <c r="K731" i="32"/>
  <c r="L729" i="32"/>
  <c r="R584" i="32" a="1"/>
  <c r="R584" i="32" s="1"/>
  <c r="P1288" i="27" s="1"/>
  <c r="O584" i="32" a="1"/>
  <c r="O584" i="32" s="1"/>
  <c r="M1288" i="27" s="1"/>
  <c r="A1288" i="27" s="1"/>
  <c r="M584" i="32" a="1"/>
  <c r="M584" i="32" s="1"/>
  <c r="D584" i="32" s="1"/>
  <c r="N584" i="32" a="1"/>
  <c r="N584" i="32" s="1"/>
  <c r="E584" i="32" s="1"/>
  <c r="O436" i="32" a="1"/>
  <c r="O436" i="32" s="1"/>
  <c r="M1214" i="27" s="1"/>
  <c r="A1214" i="27" s="1"/>
  <c r="M436" i="32" a="1"/>
  <c r="M436" i="32" s="1"/>
  <c r="D436" i="32" s="1"/>
  <c r="R436" i="32" a="1"/>
  <c r="R436" i="32" s="1"/>
  <c r="P1214" i="27" s="1"/>
  <c r="N436" i="32" a="1"/>
  <c r="N436" i="32" s="1"/>
  <c r="E436" i="32" s="1"/>
  <c r="K588" i="32"/>
  <c r="L586" i="32"/>
  <c r="K440" i="32"/>
  <c r="L438" i="32"/>
  <c r="R174" i="32" a="1"/>
  <c r="R174" i="32" s="1"/>
  <c r="P1540" i="27" s="1"/>
  <c r="O174" i="32" a="1"/>
  <c r="O174" i="32" s="1"/>
  <c r="M1540" i="27" s="1"/>
  <c r="A1540" i="27" s="1"/>
  <c r="M174" i="32" a="1"/>
  <c r="M174" i="32" s="1"/>
  <c r="D174" i="32" s="1"/>
  <c r="N174" i="32" a="1"/>
  <c r="N174" i="32" s="1"/>
  <c r="E174" i="32" s="1"/>
  <c r="F1540" i="27" s="1"/>
  <c r="K178" i="32"/>
  <c r="L176" i="32"/>
  <c r="Q1323" i="32"/>
  <c r="H3994" i="27"/>
  <c r="G1319" i="32"/>
  <c r="I3994" i="27"/>
  <c r="L1931" i="32" l="1"/>
  <c r="K1933" i="32"/>
  <c r="R1929" i="32" a="1"/>
  <c r="R1929" i="32" s="1"/>
  <c r="O1929" i="32" a="1"/>
  <c r="O1929" i="32" s="1"/>
  <c r="N1929" i="32" a="1"/>
  <c r="N1929" i="32" s="1"/>
  <c r="E1929" i="32" s="1"/>
  <c r="M1929" i="32" a="1"/>
  <c r="M1929" i="32" s="1"/>
  <c r="D1929" i="32" s="1"/>
  <c r="A3994" i="27"/>
  <c r="F3996" i="27"/>
  <c r="H690" i="27"/>
  <c r="B691" i="27"/>
  <c r="M691" i="27"/>
  <c r="N691" i="27"/>
  <c r="M1519" i="32" a="1"/>
  <c r="M1519" i="32" s="1"/>
  <c r="D1519" i="32" s="1"/>
  <c r="O1519" i="32" a="1"/>
  <c r="O1519" i="32" s="1"/>
  <c r="N1519" i="32" a="1"/>
  <c r="N1519" i="32" s="1"/>
  <c r="E1519" i="32" s="1"/>
  <c r="R1519" i="32" a="1"/>
  <c r="R1519" i="32" s="1"/>
  <c r="K733" i="32"/>
  <c r="L731" i="32"/>
  <c r="K1523" i="32"/>
  <c r="L1521" i="32"/>
  <c r="O1715" i="32" a="1"/>
  <c r="O1715" i="32" s="1"/>
  <c r="M1715" i="32" a="1"/>
  <c r="M1715" i="32" s="1"/>
  <c r="D1715" i="32" s="1"/>
  <c r="N1715" i="32" a="1"/>
  <c r="N1715" i="32" s="1"/>
  <c r="E1715" i="32" s="1"/>
  <c r="R1715" i="32" a="1"/>
  <c r="R1715" i="32" s="1"/>
  <c r="O929" i="32" a="1"/>
  <c r="O929" i="32" s="1"/>
  <c r="M2406" i="27" s="1"/>
  <c r="A2406" i="27" s="1"/>
  <c r="N929" i="32" a="1"/>
  <c r="N929" i="32" s="1"/>
  <c r="E929" i="32" s="1"/>
  <c r="F2406" i="27" s="1"/>
  <c r="M929" i="32" a="1"/>
  <c r="M929" i="32" s="1"/>
  <c r="D929" i="32" s="1"/>
  <c r="R929" i="32" a="1"/>
  <c r="R929" i="32" s="1"/>
  <c r="P2406" i="27" s="1"/>
  <c r="M729" i="32" a="1"/>
  <c r="M729" i="32" s="1"/>
  <c r="D729" i="32" s="1"/>
  <c r="N729" i="32" a="1"/>
  <c r="N729" i="32" s="1"/>
  <c r="E729" i="32" s="1"/>
  <c r="F2306" i="27" s="1"/>
  <c r="O729" i="32" a="1"/>
  <c r="O729" i="32" s="1"/>
  <c r="M2306" i="27" s="1"/>
  <c r="A2306" i="27" s="1"/>
  <c r="R729" i="32" a="1"/>
  <c r="R729" i="32" s="1"/>
  <c r="P2306" i="27" s="1"/>
  <c r="K1719" i="32"/>
  <c r="L1717" i="32"/>
  <c r="K933" i="32"/>
  <c r="L931" i="32"/>
  <c r="K442" i="32"/>
  <c r="L440" i="32"/>
  <c r="N586" i="32" a="1"/>
  <c r="N586" i="32" s="1"/>
  <c r="E586" i="32" s="1"/>
  <c r="O586" i="32" a="1"/>
  <c r="O586" i="32" s="1"/>
  <c r="M1289" i="27" s="1"/>
  <c r="A1289" i="27" s="1"/>
  <c r="R586" i="32" a="1"/>
  <c r="R586" i="32" s="1"/>
  <c r="P1289" i="27" s="1"/>
  <c r="M586" i="32" a="1"/>
  <c r="M586" i="32" s="1"/>
  <c r="D586" i="32" s="1"/>
  <c r="M438" i="32" a="1"/>
  <c r="M438" i="32" s="1"/>
  <c r="D438" i="32" s="1"/>
  <c r="R438" i="32" a="1"/>
  <c r="R438" i="32" s="1"/>
  <c r="P1215" i="27" s="1"/>
  <c r="N438" i="32" a="1"/>
  <c r="N438" i="32" s="1"/>
  <c r="E438" i="32" s="1"/>
  <c r="O438" i="32" a="1"/>
  <c r="O438" i="32" s="1"/>
  <c r="M1215" i="27" s="1"/>
  <c r="A1215" i="27" s="1"/>
  <c r="K590" i="32"/>
  <c r="L588" i="32"/>
  <c r="R176" i="32" a="1"/>
  <c r="R176" i="32" s="1"/>
  <c r="P1541" i="27" s="1"/>
  <c r="O176" i="32" a="1"/>
  <c r="O176" i="32" s="1"/>
  <c r="M1541" i="27" s="1"/>
  <c r="A1541" i="27" s="1"/>
  <c r="N176" i="32" a="1"/>
  <c r="N176" i="32" s="1"/>
  <c r="E176" i="32" s="1"/>
  <c r="F1541" i="27" s="1"/>
  <c r="M176" i="32" a="1"/>
  <c r="M176" i="32" s="1"/>
  <c r="D176" i="32" s="1"/>
  <c r="K180" i="32"/>
  <c r="L178" i="32"/>
  <c r="Q1325" i="32"/>
  <c r="H3995" i="27"/>
  <c r="G1321" i="32"/>
  <c r="A1323" i="32"/>
  <c r="I3995" i="27"/>
  <c r="A1325" i="32"/>
  <c r="L1933" i="32" l="1"/>
  <c r="K1935" i="32"/>
  <c r="R1931" i="32" a="1"/>
  <c r="R1931" i="32" s="1"/>
  <c r="O1931" i="32" a="1"/>
  <c r="O1931" i="32" s="1"/>
  <c r="N1931" i="32" a="1"/>
  <c r="N1931" i="32" s="1"/>
  <c r="E1931" i="32" s="1"/>
  <c r="M1931" i="32" a="1"/>
  <c r="M1931" i="32" s="1"/>
  <c r="D1931" i="32" s="1"/>
  <c r="A3995" i="27"/>
  <c r="F3997" i="27"/>
  <c r="H691" i="27"/>
  <c r="B692" i="27"/>
  <c r="M692" i="27"/>
  <c r="N692" i="27"/>
  <c r="M931" i="32" a="1"/>
  <c r="M931" i="32" s="1"/>
  <c r="D931" i="32" s="1"/>
  <c r="R931" i="32" a="1"/>
  <c r="R931" i="32" s="1"/>
  <c r="P2407" i="27" s="1"/>
  <c r="O931" i="32" a="1"/>
  <c r="O931" i="32" s="1"/>
  <c r="M2407" i="27" s="1"/>
  <c r="A2407" i="27" s="1"/>
  <c r="N931" i="32" a="1"/>
  <c r="N931" i="32" s="1"/>
  <c r="E931" i="32" s="1"/>
  <c r="F2407" i="27" s="1"/>
  <c r="K935" i="32"/>
  <c r="L933" i="32"/>
  <c r="N1717" i="32" a="1"/>
  <c r="N1717" i="32" s="1"/>
  <c r="E1717" i="32" s="1"/>
  <c r="O1717" i="32" a="1"/>
  <c r="O1717" i="32" s="1"/>
  <c r="M1717" i="32" a="1"/>
  <c r="M1717" i="32" s="1"/>
  <c r="D1717" i="32" s="1"/>
  <c r="R1717" i="32" a="1"/>
  <c r="R1717" i="32" s="1"/>
  <c r="K1721" i="32"/>
  <c r="L1719" i="32"/>
  <c r="M1521" i="32" a="1"/>
  <c r="M1521" i="32" s="1"/>
  <c r="D1521" i="32" s="1"/>
  <c r="R1521" i="32" a="1"/>
  <c r="R1521" i="32" s="1"/>
  <c r="N1521" i="32" a="1"/>
  <c r="N1521" i="32" s="1"/>
  <c r="E1521" i="32" s="1"/>
  <c r="O1521" i="32" a="1"/>
  <c r="O1521" i="32" s="1"/>
  <c r="K1525" i="32"/>
  <c r="L1523" i="32"/>
  <c r="M731" i="32" a="1"/>
  <c r="M731" i="32" s="1"/>
  <c r="D731" i="32" s="1"/>
  <c r="N731" i="32" a="1"/>
  <c r="N731" i="32" s="1"/>
  <c r="E731" i="32" s="1"/>
  <c r="F2307" i="27" s="1"/>
  <c r="R731" i="32" a="1"/>
  <c r="R731" i="32" s="1"/>
  <c r="P2307" i="27" s="1"/>
  <c r="O731" i="32" a="1"/>
  <c r="O731" i="32" s="1"/>
  <c r="M2307" i="27" s="1"/>
  <c r="A2307" i="27" s="1"/>
  <c r="K735" i="32"/>
  <c r="L733" i="32"/>
  <c r="N588" i="32" a="1"/>
  <c r="N588" i="32" s="1"/>
  <c r="E588" i="32" s="1"/>
  <c r="O588" i="32" a="1"/>
  <c r="O588" i="32" s="1"/>
  <c r="M1290" i="27" s="1"/>
  <c r="A1290" i="27" s="1"/>
  <c r="R588" i="32" a="1"/>
  <c r="R588" i="32" s="1"/>
  <c r="P1290" i="27" s="1"/>
  <c r="M588" i="32" a="1"/>
  <c r="M588" i="32" s="1"/>
  <c r="D588" i="32" s="1"/>
  <c r="K592" i="32"/>
  <c r="L590" i="32"/>
  <c r="M440" i="32" a="1"/>
  <c r="M440" i="32" s="1"/>
  <c r="D440" i="32" s="1"/>
  <c r="O440" i="32" a="1"/>
  <c r="O440" i="32" s="1"/>
  <c r="M1216" i="27" s="1"/>
  <c r="A1216" i="27" s="1"/>
  <c r="R440" i="32" a="1"/>
  <c r="R440" i="32" s="1"/>
  <c r="P1216" i="27" s="1"/>
  <c r="N440" i="32" a="1"/>
  <c r="N440" i="32" s="1"/>
  <c r="E440" i="32" s="1"/>
  <c r="K444" i="32"/>
  <c r="L442" i="32"/>
  <c r="R178" i="32" a="1"/>
  <c r="R178" i="32" s="1"/>
  <c r="P1542" i="27" s="1"/>
  <c r="N178" i="32" a="1"/>
  <c r="N178" i="32" s="1"/>
  <c r="E178" i="32" s="1"/>
  <c r="F1542" i="27" s="1"/>
  <c r="M178" i="32" a="1"/>
  <c r="M178" i="32" s="1"/>
  <c r="D178" i="32" s="1"/>
  <c r="O178" i="32" a="1"/>
  <c r="O178" i="32" s="1"/>
  <c r="M1542" i="27" s="1"/>
  <c r="A1542" i="27" s="1"/>
  <c r="K182" i="32"/>
  <c r="L180" i="32"/>
  <c r="Q1327" i="32"/>
  <c r="A1327" i="32"/>
  <c r="I3996" i="27"/>
  <c r="G1323" i="32"/>
  <c r="H3996" i="27"/>
  <c r="L1935" i="32" l="1"/>
  <c r="K1937" i="32"/>
  <c r="R1933" i="32" a="1"/>
  <c r="R1933" i="32" s="1"/>
  <c r="O1933" i="32" a="1"/>
  <c r="O1933" i="32" s="1"/>
  <c r="N1933" i="32" a="1"/>
  <c r="N1933" i="32" s="1"/>
  <c r="E1933" i="32" s="1"/>
  <c r="M1933" i="32" a="1"/>
  <c r="M1933" i="32" s="1"/>
  <c r="D1933" i="32" s="1"/>
  <c r="A3996" i="27"/>
  <c r="F3999" i="27"/>
  <c r="F3998" i="27"/>
  <c r="H692" i="27"/>
  <c r="B693" i="27"/>
  <c r="N693" i="27"/>
  <c r="M693" i="27"/>
  <c r="R733" i="32" a="1"/>
  <c r="R733" i="32" s="1"/>
  <c r="P2308" i="27" s="1"/>
  <c r="O733" i="32" a="1"/>
  <c r="O733" i="32" s="1"/>
  <c r="M2308" i="27" s="1"/>
  <c r="A2308" i="27" s="1"/>
  <c r="N733" i="32" a="1"/>
  <c r="N733" i="32" s="1"/>
  <c r="E733" i="32" s="1"/>
  <c r="F2308" i="27" s="1"/>
  <c r="M733" i="32" a="1"/>
  <c r="M733" i="32" s="1"/>
  <c r="D733" i="32" s="1"/>
  <c r="N1719" i="32" a="1"/>
  <c r="N1719" i="32" s="1"/>
  <c r="E1719" i="32" s="1"/>
  <c r="M1719" i="32" a="1"/>
  <c r="M1719" i="32" s="1"/>
  <c r="D1719" i="32" s="1"/>
  <c r="R1719" i="32" a="1"/>
  <c r="R1719" i="32" s="1"/>
  <c r="O1719" i="32" a="1"/>
  <c r="O1719" i="32" s="1"/>
  <c r="K737" i="32"/>
  <c r="L735" i="32"/>
  <c r="K1723" i="32"/>
  <c r="L1721" i="32"/>
  <c r="O1523" i="32" a="1"/>
  <c r="O1523" i="32" s="1"/>
  <c r="M1523" i="32" a="1"/>
  <c r="M1523" i="32" s="1"/>
  <c r="D1523" i="32" s="1"/>
  <c r="R1523" i="32" a="1"/>
  <c r="R1523" i="32" s="1"/>
  <c r="N1523" i="32" a="1"/>
  <c r="N1523" i="32" s="1"/>
  <c r="E1523" i="32" s="1"/>
  <c r="O933" i="32" a="1"/>
  <c r="O933" i="32" s="1"/>
  <c r="M2408" i="27" s="1"/>
  <c r="A2408" i="27" s="1"/>
  <c r="N933" i="32" a="1"/>
  <c r="N933" i="32" s="1"/>
  <c r="E933" i="32" s="1"/>
  <c r="F2408" i="27" s="1"/>
  <c r="M933" i="32" a="1"/>
  <c r="M933" i="32" s="1"/>
  <c r="D933" i="32" s="1"/>
  <c r="R933" i="32" a="1"/>
  <c r="R933" i="32" s="1"/>
  <c r="P2408" i="27" s="1"/>
  <c r="K1527" i="32"/>
  <c r="L1525" i="32"/>
  <c r="K937" i="32"/>
  <c r="L935" i="32"/>
  <c r="O442" i="32" a="1"/>
  <c r="O442" i="32" s="1"/>
  <c r="M1217" i="27" s="1"/>
  <c r="A1217" i="27" s="1"/>
  <c r="R442" i="32" a="1"/>
  <c r="R442" i="32" s="1"/>
  <c r="P1217" i="27" s="1"/>
  <c r="M442" i="32" a="1"/>
  <c r="M442" i="32" s="1"/>
  <c r="D442" i="32" s="1"/>
  <c r="N442" i="32" a="1"/>
  <c r="N442" i="32" s="1"/>
  <c r="E442" i="32" s="1"/>
  <c r="K446" i="32"/>
  <c r="L444" i="32"/>
  <c r="R590" i="32" a="1"/>
  <c r="R590" i="32" s="1"/>
  <c r="P1291" i="27" s="1"/>
  <c r="O590" i="32" a="1"/>
  <c r="O590" i="32" s="1"/>
  <c r="M1291" i="27" s="1"/>
  <c r="A1291" i="27" s="1"/>
  <c r="N590" i="32" a="1"/>
  <c r="N590" i="32" s="1"/>
  <c r="E590" i="32" s="1"/>
  <c r="M590" i="32" a="1"/>
  <c r="M590" i="32" s="1"/>
  <c r="D590" i="32" s="1"/>
  <c r="K594" i="32"/>
  <c r="L594" i="32" s="1"/>
  <c r="L592" i="32"/>
  <c r="R180" i="32" a="1"/>
  <c r="R180" i="32" s="1"/>
  <c r="P1543" i="27" s="1"/>
  <c r="M180" i="32" a="1"/>
  <c r="M180" i="32" s="1"/>
  <c r="D180" i="32" s="1"/>
  <c r="O180" i="32" a="1"/>
  <c r="O180" i="32" s="1"/>
  <c r="M1543" i="27" s="1"/>
  <c r="A1543" i="27" s="1"/>
  <c r="N180" i="32" a="1"/>
  <c r="N180" i="32" s="1"/>
  <c r="E180" i="32" s="1"/>
  <c r="F1543" i="27" s="1"/>
  <c r="K184" i="32"/>
  <c r="L182" i="32"/>
  <c r="Q1329" i="32"/>
  <c r="H3997" i="27"/>
  <c r="G1325" i="32"/>
  <c r="I3997" i="27"/>
  <c r="A1329" i="32"/>
  <c r="L1937" i="32" l="1"/>
  <c r="K1939" i="32"/>
  <c r="R1937" i="32" a="1"/>
  <c r="R1937" i="32" s="1"/>
  <c r="O1937" i="32" a="1"/>
  <c r="O1937" i="32" s="1"/>
  <c r="N1937" i="32" a="1"/>
  <c r="N1937" i="32" s="1"/>
  <c r="E1937" i="32" s="1"/>
  <c r="M1937" i="32" a="1"/>
  <c r="M1937" i="32" s="1"/>
  <c r="D1937" i="32" s="1"/>
  <c r="R1935" i="32" a="1"/>
  <c r="R1935" i="32" s="1"/>
  <c r="O1935" i="32" a="1"/>
  <c r="O1935" i="32" s="1"/>
  <c r="N1935" i="32" a="1"/>
  <c r="N1935" i="32" s="1"/>
  <c r="E1935" i="32" s="1"/>
  <c r="M1935" i="32" a="1"/>
  <c r="M1935" i="32" s="1"/>
  <c r="D1935" i="32" s="1"/>
  <c r="A3997" i="27"/>
  <c r="F4000" i="27"/>
  <c r="H693" i="27"/>
  <c r="B694" i="27"/>
  <c r="M694" i="27"/>
  <c r="N694" i="27"/>
  <c r="N935" i="32" a="1"/>
  <c r="N935" i="32" s="1"/>
  <c r="E935" i="32" s="1"/>
  <c r="F2409" i="27" s="1"/>
  <c r="O935" i="32" a="1"/>
  <c r="O935" i="32" s="1"/>
  <c r="M2409" i="27" s="1"/>
  <c r="A2409" i="27" s="1"/>
  <c r="M935" i="32" a="1"/>
  <c r="M935" i="32" s="1"/>
  <c r="D935" i="32" s="1"/>
  <c r="R935" i="32" a="1"/>
  <c r="R935" i="32" s="1"/>
  <c r="P2409" i="27" s="1"/>
  <c r="R1721" i="32" a="1"/>
  <c r="R1721" i="32" s="1"/>
  <c r="N1721" i="32" a="1"/>
  <c r="N1721" i="32" s="1"/>
  <c r="E1721" i="32" s="1"/>
  <c r="O1721" i="32" a="1"/>
  <c r="O1721" i="32" s="1"/>
  <c r="M1721" i="32" a="1"/>
  <c r="M1721" i="32" s="1"/>
  <c r="D1721" i="32" s="1"/>
  <c r="K939" i="32"/>
  <c r="L937" i="32"/>
  <c r="K1725" i="32"/>
  <c r="L1723" i="32"/>
  <c r="N1525" i="32" a="1"/>
  <c r="N1525" i="32" s="1"/>
  <c r="E1525" i="32" s="1"/>
  <c r="M1525" i="32" a="1"/>
  <c r="M1525" i="32" s="1"/>
  <c r="D1525" i="32" s="1"/>
  <c r="O1525" i="32" a="1"/>
  <c r="O1525" i="32" s="1"/>
  <c r="R1525" i="32" a="1"/>
  <c r="R1525" i="32" s="1"/>
  <c r="M735" i="32" a="1"/>
  <c r="M735" i="32" s="1"/>
  <c r="D735" i="32" s="1"/>
  <c r="N735" i="32" a="1"/>
  <c r="N735" i="32" s="1"/>
  <c r="E735" i="32" s="1"/>
  <c r="F2309" i="27" s="1"/>
  <c r="O735" i="32" a="1"/>
  <c r="O735" i="32" s="1"/>
  <c r="M2309" i="27" s="1"/>
  <c r="A2309" i="27" s="1"/>
  <c r="R735" i="32" a="1"/>
  <c r="R735" i="32" s="1"/>
  <c r="P2309" i="27" s="1"/>
  <c r="K1529" i="32"/>
  <c r="L1527" i="32"/>
  <c r="K739" i="32"/>
  <c r="L737" i="32"/>
  <c r="M594" i="32" a="1"/>
  <c r="M594" i="32" s="1"/>
  <c r="D594" i="32" s="1"/>
  <c r="O594" i="32" a="1"/>
  <c r="O594" i="32" s="1"/>
  <c r="M1293" i="27" s="1"/>
  <c r="A1293" i="27" s="1"/>
  <c r="N594" i="32" a="1"/>
  <c r="N594" i="32" s="1"/>
  <c r="E594" i="32" s="1"/>
  <c r="R594" i="32" a="1"/>
  <c r="R594" i="32" s="1"/>
  <c r="P1293" i="27" s="1"/>
  <c r="M592" i="32" a="1"/>
  <c r="M592" i="32" s="1"/>
  <c r="D592" i="32" s="1"/>
  <c r="N592" i="32" a="1"/>
  <c r="N592" i="32" s="1"/>
  <c r="E592" i="32" s="1"/>
  <c r="R592" i="32" a="1"/>
  <c r="R592" i="32" s="1"/>
  <c r="P1292" i="27" s="1"/>
  <c r="O592" i="32" a="1"/>
  <c r="O592" i="32" s="1"/>
  <c r="M1292" i="27" s="1"/>
  <c r="A1292" i="27" s="1"/>
  <c r="M444" i="32" a="1"/>
  <c r="M444" i="32" s="1"/>
  <c r="D444" i="32" s="1"/>
  <c r="R444" i="32" a="1"/>
  <c r="R444" i="32" s="1"/>
  <c r="P1218" i="27" s="1"/>
  <c r="N444" i="32" a="1"/>
  <c r="N444" i="32" s="1"/>
  <c r="E444" i="32" s="1"/>
  <c r="O444" i="32" a="1"/>
  <c r="O444" i="32" s="1"/>
  <c r="M1218" i="27" s="1"/>
  <c r="A1218" i="27" s="1"/>
  <c r="K448" i="32"/>
  <c r="L446" i="32"/>
  <c r="R182" i="32" a="1"/>
  <c r="R182" i="32" s="1"/>
  <c r="P1544" i="27" s="1"/>
  <c r="N182" i="32" a="1"/>
  <c r="N182" i="32" s="1"/>
  <c r="E182" i="32" s="1"/>
  <c r="F1544" i="27" s="1"/>
  <c r="M182" i="32" a="1"/>
  <c r="M182" i="32" s="1"/>
  <c r="D182" i="32" s="1"/>
  <c r="O182" i="32" a="1"/>
  <c r="O182" i="32" s="1"/>
  <c r="M1544" i="27" s="1"/>
  <c r="A1544" i="27" s="1"/>
  <c r="K186" i="32"/>
  <c r="L184" i="32"/>
  <c r="Q1331" i="32"/>
  <c r="I3999" i="27"/>
  <c r="A1331" i="32"/>
  <c r="G1327" i="32"/>
  <c r="I3998" i="27"/>
  <c r="H3999" i="27"/>
  <c r="H3998" i="27"/>
  <c r="L1939" i="32" l="1"/>
  <c r="K1941" i="32"/>
  <c r="R1939" i="32" a="1"/>
  <c r="R1939" i="32" s="1"/>
  <c r="O1939" i="32" a="1"/>
  <c r="O1939" i="32" s="1"/>
  <c r="N1939" i="32" a="1"/>
  <c r="N1939" i="32" s="1"/>
  <c r="E1939" i="32" s="1"/>
  <c r="M1939" i="32" a="1"/>
  <c r="M1939" i="32" s="1"/>
  <c r="D1939" i="32" s="1"/>
  <c r="A3999" i="27"/>
  <c r="A3998" i="27"/>
  <c r="F4001" i="27"/>
  <c r="H694" i="27"/>
  <c r="B695" i="27"/>
  <c r="N695" i="27"/>
  <c r="M695" i="27"/>
  <c r="M737" i="32" a="1"/>
  <c r="M737" i="32" s="1"/>
  <c r="D737" i="32" s="1"/>
  <c r="R737" i="32" a="1"/>
  <c r="R737" i="32" s="1"/>
  <c r="P2310" i="27" s="1"/>
  <c r="O737" i="32" a="1"/>
  <c r="O737" i="32" s="1"/>
  <c r="M2310" i="27" s="1"/>
  <c r="A2310" i="27" s="1"/>
  <c r="N737" i="32" a="1"/>
  <c r="N737" i="32" s="1"/>
  <c r="E737" i="32" s="1"/>
  <c r="F2310" i="27" s="1"/>
  <c r="R1723" i="32" a="1"/>
  <c r="R1723" i="32" s="1"/>
  <c r="N1723" i="32" a="1"/>
  <c r="N1723" i="32" s="1"/>
  <c r="E1723" i="32" s="1"/>
  <c r="M1723" i="32" a="1"/>
  <c r="M1723" i="32" s="1"/>
  <c r="D1723" i="32" s="1"/>
  <c r="O1723" i="32" a="1"/>
  <c r="O1723" i="32" s="1"/>
  <c r="R1527" i="32" a="1"/>
  <c r="R1527" i="32" s="1"/>
  <c r="O1527" i="32" a="1"/>
  <c r="O1527" i="32" s="1"/>
  <c r="N1527" i="32" a="1"/>
  <c r="N1527" i="32" s="1"/>
  <c r="E1527" i="32" s="1"/>
  <c r="M1527" i="32" a="1"/>
  <c r="M1527" i="32" s="1"/>
  <c r="D1527" i="32" s="1"/>
  <c r="O937" i="32" a="1"/>
  <c r="O937" i="32" s="1"/>
  <c r="M2410" i="27" s="1"/>
  <c r="A2410" i="27" s="1"/>
  <c r="M937" i="32" a="1"/>
  <c r="M937" i="32" s="1"/>
  <c r="D937" i="32" s="1"/>
  <c r="N937" i="32" a="1"/>
  <c r="N937" i="32" s="1"/>
  <c r="E937" i="32" s="1"/>
  <c r="F2410" i="27" s="1"/>
  <c r="R937" i="32" a="1"/>
  <c r="R937" i="32" s="1"/>
  <c r="P2410" i="27" s="1"/>
  <c r="K741" i="32"/>
  <c r="L739" i="32"/>
  <c r="K1727" i="32"/>
  <c r="L1725" i="32"/>
  <c r="K1531" i="32"/>
  <c r="L1529" i="32"/>
  <c r="K941" i="32"/>
  <c r="L939" i="32"/>
  <c r="K450" i="32"/>
  <c r="L448" i="32"/>
  <c r="R446" i="32" a="1"/>
  <c r="R446" i="32" s="1"/>
  <c r="P1219" i="27" s="1"/>
  <c r="O446" i="32" a="1"/>
  <c r="O446" i="32" s="1"/>
  <c r="M1219" i="27" s="1"/>
  <c r="A1219" i="27" s="1"/>
  <c r="N446" i="32" a="1"/>
  <c r="N446" i="32" s="1"/>
  <c r="E446" i="32" s="1"/>
  <c r="M446" i="32" a="1"/>
  <c r="M446" i="32" s="1"/>
  <c r="D446" i="32" s="1"/>
  <c r="R184" i="32" a="1"/>
  <c r="R184" i="32" s="1"/>
  <c r="P1545" i="27" s="1"/>
  <c r="O184" i="32" a="1"/>
  <c r="O184" i="32" s="1"/>
  <c r="M1545" i="27" s="1"/>
  <c r="A1545" i="27" s="1"/>
  <c r="N184" i="32" a="1"/>
  <c r="N184" i="32" s="1"/>
  <c r="E184" i="32" s="1"/>
  <c r="F1545" i="27" s="1"/>
  <c r="M184" i="32" a="1"/>
  <c r="M184" i="32" s="1"/>
  <c r="D184" i="32" s="1"/>
  <c r="K188" i="32"/>
  <c r="L186" i="32"/>
  <c r="Q1333" i="32"/>
  <c r="G1329" i="32"/>
  <c r="H4000" i="27"/>
  <c r="A1333" i="32"/>
  <c r="I4000" i="27"/>
  <c r="L1941" i="32" l="1"/>
  <c r="K1943" i="32"/>
  <c r="A4000" i="27"/>
  <c r="F4002" i="27"/>
  <c r="B696" i="27"/>
  <c r="M696" i="27"/>
  <c r="N696" i="27"/>
  <c r="H695" i="27"/>
  <c r="K943" i="32"/>
  <c r="L941" i="32"/>
  <c r="O939" i="32" a="1"/>
  <c r="O939" i="32" s="1"/>
  <c r="M2411" i="27" s="1"/>
  <c r="A2411" i="27" s="1"/>
  <c r="M939" i="32" a="1"/>
  <c r="M939" i="32" s="1"/>
  <c r="D939" i="32" s="1"/>
  <c r="R939" i="32" a="1"/>
  <c r="R939" i="32" s="1"/>
  <c r="P2411" i="27" s="1"/>
  <c r="N939" i="32" a="1"/>
  <c r="N939" i="32" s="1"/>
  <c r="E939" i="32" s="1"/>
  <c r="F2411" i="27" s="1"/>
  <c r="O1529" i="32" a="1"/>
  <c r="O1529" i="32" s="1"/>
  <c r="M1529" i="32" a="1"/>
  <c r="M1529" i="32" s="1"/>
  <c r="D1529" i="32" s="1"/>
  <c r="N1529" i="32" a="1"/>
  <c r="N1529" i="32" s="1"/>
  <c r="E1529" i="32" s="1"/>
  <c r="R1529" i="32" a="1"/>
  <c r="R1529" i="32" s="1"/>
  <c r="K1533" i="32"/>
  <c r="L1531" i="32"/>
  <c r="K1729" i="32"/>
  <c r="L1727" i="32"/>
  <c r="O739" i="32" a="1"/>
  <c r="O739" i="32" s="1"/>
  <c r="M2311" i="27" s="1"/>
  <c r="A2311" i="27" s="1"/>
  <c r="R739" i="32" a="1"/>
  <c r="R739" i="32" s="1"/>
  <c r="P2311" i="27" s="1"/>
  <c r="M739" i="32" a="1"/>
  <c r="M739" i="32" s="1"/>
  <c r="D739" i="32" s="1"/>
  <c r="N739" i="32" a="1"/>
  <c r="N739" i="32" s="1"/>
  <c r="E739" i="32" s="1"/>
  <c r="F2311" i="27" s="1"/>
  <c r="O1725" i="32" a="1"/>
  <c r="O1725" i="32" s="1"/>
  <c r="M1725" i="32" a="1"/>
  <c r="M1725" i="32" s="1"/>
  <c r="D1725" i="32" s="1"/>
  <c r="N1725" i="32" a="1"/>
  <c r="N1725" i="32" s="1"/>
  <c r="E1725" i="32" s="1"/>
  <c r="R1725" i="32" a="1"/>
  <c r="R1725" i="32" s="1"/>
  <c r="K743" i="32"/>
  <c r="L741" i="32"/>
  <c r="R448" i="32" a="1"/>
  <c r="R448" i="32" s="1"/>
  <c r="P1220" i="27" s="1"/>
  <c r="M448" i="32" a="1"/>
  <c r="M448" i="32" s="1"/>
  <c r="D448" i="32" s="1"/>
  <c r="O448" i="32" a="1"/>
  <c r="O448" i="32" s="1"/>
  <c r="M1220" i="27" s="1"/>
  <c r="A1220" i="27" s="1"/>
  <c r="N448" i="32" a="1"/>
  <c r="N448" i="32" s="1"/>
  <c r="E448" i="32" s="1"/>
  <c r="K452" i="32"/>
  <c r="L450" i="32"/>
  <c r="K190" i="32"/>
  <c r="L188" i="32"/>
  <c r="R186" i="32" a="1"/>
  <c r="R186" i="32" s="1"/>
  <c r="P1546" i="27" s="1"/>
  <c r="O186" i="32" a="1"/>
  <c r="O186" i="32" s="1"/>
  <c r="M1546" i="27" s="1"/>
  <c r="A1546" i="27" s="1"/>
  <c r="N186" i="32" a="1"/>
  <c r="N186" i="32" s="1"/>
  <c r="E186" i="32" s="1"/>
  <c r="F1546" i="27" s="1"/>
  <c r="M186" i="32" a="1"/>
  <c r="M186" i="32" s="1"/>
  <c r="D186" i="32" s="1"/>
  <c r="Q1335" i="32"/>
  <c r="I4001" i="27"/>
  <c r="H4001" i="27"/>
  <c r="G1331" i="32"/>
  <c r="L1943" i="32" l="1"/>
  <c r="K1945" i="32"/>
  <c r="R1941" i="32" a="1"/>
  <c r="R1941" i="32" s="1"/>
  <c r="O1941" i="32" a="1"/>
  <c r="O1941" i="32" s="1"/>
  <c r="N1941" i="32" a="1"/>
  <c r="N1941" i="32" s="1"/>
  <c r="E1941" i="32" s="1"/>
  <c r="M1941" i="32" a="1"/>
  <c r="M1941" i="32" s="1"/>
  <c r="D1941" i="32" s="1"/>
  <c r="A4001" i="27"/>
  <c r="F4003" i="27"/>
  <c r="H696" i="27"/>
  <c r="B697" i="27"/>
  <c r="M697" i="27"/>
  <c r="N697" i="27"/>
  <c r="M741" i="32" a="1"/>
  <c r="M741" i="32" s="1"/>
  <c r="D741" i="32" s="1"/>
  <c r="N741" i="32" a="1"/>
  <c r="N741" i="32" s="1"/>
  <c r="E741" i="32" s="1"/>
  <c r="F2312" i="27" s="1"/>
  <c r="R741" i="32" a="1"/>
  <c r="R741" i="32" s="1"/>
  <c r="P2312" i="27" s="1"/>
  <c r="O741" i="32" a="1"/>
  <c r="O741" i="32" s="1"/>
  <c r="M2312" i="27" s="1"/>
  <c r="A2312" i="27" s="1"/>
  <c r="R1531" i="32" a="1"/>
  <c r="R1531" i="32" s="1"/>
  <c r="M1531" i="32" a="1"/>
  <c r="M1531" i="32" s="1"/>
  <c r="D1531" i="32" s="1"/>
  <c r="N1531" i="32" a="1"/>
  <c r="N1531" i="32" s="1"/>
  <c r="E1531" i="32" s="1"/>
  <c r="O1531" i="32" a="1"/>
  <c r="O1531" i="32" s="1"/>
  <c r="K745" i="32"/>
  <c r="L743" i="32"/>
  <c r="K1535" i="32"/>
  <c r="L1533" i="32"/>
  <c r="O1727" i="32" a="1"/>
  <c r="O1727" i="32" s="1"/>
  <c r="N1727" i="32" a="1"/>
  <c r="N1727" i="32" s="1"/>
  <c r="E1727" i="32" s="1"/>
  <c r="M1727" i="32" a="1"/>
  <c r="M1727" i="32" s="1"/>
  <c r="D1727" i="32" s="1"/>
  <c r="R1727" i="32" a="1"/>
  <c r="R1727" i="32" s="1"/>
  <c r="O941" i="32" a="1"/>
  <c r="O941" i="32" s="1"/>
  <c r="M2412" i="27" s="1"/>
  <c r="A2412" i="27" s="1"/>
  <c r="N941" i="32" a="1"/>
  <c r="N941" i="32" s="1"/>
  <c r="E941" i="32" s="1"/>
  <c r="F2412" i="27" s="1"/>
  <c r="R941" i="32" a="1"/>
  <c r="R941" i="32" s="1"/>
  <c r="P2412" i="27" s="1"/>
  <c r="M941" i="32" a="1"/>
  <c r="M941" i="32" s="1"/>
  <c r="D941" i="32" s="1"/>
  <c r="K1731" i="32"/>
  <c r="L1729" i="32"/>
  <c r="K945" i="32"/>
  <c r="L943" i="32"/>
  <c r="N450" i="32" a="1"/>
  <c r="N450" i="32" s="1"/>
  <c r="E450" i="32" s="1"/>
  <c r="M450" i="32" a="1"/>
  <c r="M450" i="32" s="1"/>
  <c r="D450" i="32" s="1"/>
  <c r="R450" i="32" a="1"/>
  <c r="R450" i="32" s="1"/>
  <c r="P1221" i="27" s="1"/>
  <c r="O450" i="32" a="1"/>
  <c r="O450" i="32" s="1"/>
  <c r="M1221" i="27" s="1"/>
  <c r="A1221" i="27" s="1"/>
  <c r="K454" i="32"/>
  <c r="L452" i="32"/>
  <c r="R188" i="32" a="1"/>
  <c r="R188" i="32" s="1"/>
  <c r="P1547" i="27" s="1"/>
  <c r="M188" i="32" a="1"/>
  <c r="M188" i="32" s="1"/>
  <c r="D188" i="32" s="1"/>
  <c r="O188" i="32" a="1"/>
  <c r="O188" i="32" s="1"/>
  <c r="M1547" i="27" s="1"/>
  <c r="A1547" i="27" s="1"/>
  <c r="N188" i="32" a="1"/>
  <c r="N188" i="32" s="1"/>
  <c r="E188" i="32" s="1"/>
  <c r="F1547" i="27" s="1"/>
  <c r="K192" i="32"/>
  <c r="L190" i="32"/>
  <c r="Q1337" i="32"/>
  <c r="A1335" i="32"/>
  <c r="H4002" i="27"/>
  <c r="G1333" i="32"/>
  <c r="I4002" i="27"/>
  <c r="A1337" i="32"/>
  <c r="L1945" i="32" l="1"/>
  <c r="K1947" i="32"/>
  <c r="R1943" i="32" a="1"/>
  <c r="R1943" i="32" s="1"/>
  <c r="O1943" i="32" a="1"/>
  <c r="O1943" i="32" s="1"/>
  <c r="N1943" i="32" a="1"/>
  <c r="N1943" i="32" s="1"/>
  <c r="E1943" i="32" s="1"/>
  <c r="M1943" i="32" a="1"/>
  <c r="M1943" i="32" s="1"/>
  <c r="D1943" i="32" s="1"/>
  <c r="A4002" i="27"/>
  <c r="F4004" i="27"/>
  <c r="F4005" i="27"/>
  <c r="H697" i="27"/>
  <c r="B698" i="27"/>
  <c r="N698" i="27"/>
  <c r="M698" i="27"/>
  <c r="O943" i="32" a="1"/>
  <c r="O943" i="32" s="1"/>
  <c r="M2413" i="27" s="1"/>
  <c r="A2413" i="27" s="1"/>
  <c r="N943" i="32" a="1"/>
  <c r="N943" i="32" s="1"/>
  <c r="E943" i="32" s="1"/>
  <c r="F2413" i="27" s="1"/>
  <c r="R943" i="32" a="1"/>
  <c r="R943" i="32" s="1"/>
  <c r="P2413" i="27" s="1"/>
  <c r="M943" i="32" a="1"/>
  <c r="M943" i="32" s="1"/>
  <c r="D943" i="32" s="1"/>
  <c r="N1533" i="32" a="1"/>
  <c r="N1533" i="32" s="1"/>
  <c r="E1533" i="32" s="1"/>
  <c r="O1533" i="32" a="1"/>
  <c r="O1533" i="32" s="1"/>
  <c r="M1533" i="32" a="1"/>
  <c r="M1533" i="32" s="1"/>
  <c r="D1533" i="32" s="1"/>
  <c r="R1533" i="32" a="1"/>
  <c r="R1533" i="32" s="1"/>
  <c r="K947" i="32"/>
  <c r="L945" i="32"/>
  <c r="K1537" i="32"/>
  <c r="L1535" i="32"/>
  <c r="M1729" i="32" a="1"/>
  <c r="M1729" i="32" s="1"/>
  <c r="D1729" i="32" s="1"/>
  <c r="R1729" i="32" a="1"/>
  <c r="R1729" i="32" s="1"/>
  <c r="N1729" i="32" a="1"/>
  <c r="N1729" i="32" s="1"/>
  <c r="E1729" i="32" s="1"/>
  <c r="O1729" i="32" a="1"/>
  <c r="O1729" i="32" s="1"/>
  <c r="M743" i="32" a="1"/>
  <c r="M743" i="32" s="1"/>
  <c r="D743" i="32" s="1"/>
  <c r="N743" i="32" a="1"/>
  <c r="N743" i="32" s="1"/>
  <c r="E743" i="32" s="1"/>
  <c r="F2313" i="27" s="1"/>
  <c r="O743" i="32" a="1"/>
  <c r="O743" i="32" s="1"/>
  <c r="M2313" i="27" s="1"/>
  <c r="A2313" i="27" s="1"/>
  <c r="R743" i="32" a="1"/>
  <c r="R743" i="32" s="1"/>
  <c r="P2313" i="27" s="1"/>
  <c r="K1733" i="32"/>
  <c r="L1731" i="32"/>
  <c r="K747" i="32"/>
  <c r="L745" i="32"/>
  <c r="R452" i="32" a="1"/>
  <c r="R452" i="32" s="1"/>
  <c r="P1222" i="27" s="1"/>
  <c r="O452" i="32" a="1"/>
  <c r="O452" i="32" s="1"/>
  <c r="M1222" i="27" s="1"/>
  <c r="A1222" i="27" s="1"/>
  <c r="N452" i="32" a="1"/>
  <c r="N452" i="32" s="1"/>
  <c r="E452" i="32" s="1"/>
  <c r="M452" i="32" a="1"/>
  <c r="M452" i="32" s="1"/>
  <c r="D452" i="32" s="1"/>
  <c r="K456" i="32"/>
  <c r="L454" i="32"/>
  <c r="O190" i="32" a="1"/>
  <c r="O190" i="32" s="1"/>
  <c r="M1548" i="27" s="1"/>
  <c r="A1548" i="27" s="1"/>
  <c r="N190" i="32" a="1"/>
  <c r="N190" i="32" s="1"/>
  <c r="E190" i="32" s="1"/>
  <c r="F1548" i="27" s="1"/>
  <c r="R190" i="32" a="1"/>
  <c r="R190" i="32" s="1"/>
  <c r="P1548" i="27" s="1"/>
  <c r="M190" i="32" a="1"/>
  <c r="M190" i="32" s="1"/>
  <c r="D190" i="32" s="1"/>
  <c r="K194" i="32"/>
  <c r="L192" i="32"/>
  <c r="Q1339" i="32"/>
  <c r="H4003" i="27"/>
  <c r="I4003" i="27"/>
  <c r="G1335" i="32"/>
  <c r="L1947" i="32" l="1"/>
  <c r="K1949" i="32"/>
  <c r="R1945" i="32" a="1"/>
  <c r="R1945" i="32" s="1"/>
  <c r="O1945" i="32" a="1"/>
  <c r="O1945" i="32" s="1"/>
  <c r="N1945" i="32" a="1"/>
  <c r="N1945" i="32" s="1"/>
  <c r="E1945" i="32" s="1"/>
  <c r="M1945" i="32" a="1"/>
  <c r="M1945" i="32" s="1"/>
  <c r="D1945" i="32" s="1"/>
  <c r="A4003" i="27"/>
  <c r="F4006" i="27"/>
  <c r="H698" i="27"/>
  <c r="B699" i="27"/>
  <c r="N699" i="27"/>
  <c r="M699" i="27"/>
  <c r="R745" i="32" a="1"/>
  <c r="R745" i="32" s="1"/>
  <c r="P2314" i="27" s="1"/>
  <c r="M745" i="32" a="1"/>
  <c r="M745" i="32" s="1"/>
  <c r="D745" i="32" s="1"/>
  <c r="N745" i="32" a="1"/>
  <c r="N745" i="32" s="1"/>
  <c r="E745" i="32" s="1"/>
  <c r="F2314" i="27" s="1"/>
  <c r="O745" i="32" a="1"/>
  <c r="O745" i="32" s="1"/>
  <c r="M2314" i="27" s="1"/>
  <c r="A2314" i="27" s="1"/>
  <c r="M1535" i="32" a="1"/>
  <c r="M1535" i="32" s="1"/>
  <c r="D1535" i="32" s="1"/>
  <c r="O1535" i="32" a="1"/>
  <c r="O1535" i="32" s="1"/>
  <c r="R1535" i="32" a="1"/>
  <c r="R1535" i="32" s="1"/>
  <c r="N1535" i="32" a="1"/>
  <c r="N1535" i="32" s="1"/>
  <c r="E1535" i="32" s="1"/>
  <c r="K749" i="32"/>
  <c r="L747" i="32"/>
  <c r="K1539" i="32"/>
  <c r="L1537" i="32"/>
  <c r="M1731" i="32" a="1"/>
  <c r="M1731" i="32" s="1"/>
  <c r="D1731" i="32" s="1"/>
  <c r="O1731" i="32" a="1"/>
  <c r="O1731" i="32" s="1"/>
  <c r="R1731" i="32" a="1"/>
  <c r="R1731" i="32" s="1"/>
  <c r="N1731" i="32" a="1"/>
  <c r="N1731" i="32" s="1"/>
  <c r="E1731" i="32" s="1"/>
  <c r="N945" i="32" a="1"/>
  <c r="N945" i="32" s="1"/>
  <c r="E945" i="32" s="1"/>
  <c r="F2414" i="27" s="1"/>
  <c r="R945" i="32" a="1"/>
  <c r="R945" i="32" s="1"/>
  <c r="P2414" i="27" s="1"/>
  <c r="M945" i="32" a="1"/>
  <c r="M945" i="32" s="1"/>
  <c r="D945" i="32" s="1"/>
  <c r="O945" i="32" a="1"/>
  <c r="O945" i="32" s="1"/>
  <c r="M2414" i="27" s="1"/>
  <c r="A2414" i="27" s="1"/>
  <c r="K1735" i="32"/>
  <c r="L1733" i="32"/>
  <c r="K949" i="32"/>
  <c r="L947" i="32"/>
  <c r="M454" i="32" a="1"/>
  <c r="M454" i="32" s="1"/>
  <c r="D454" i="32" s="1"/>
  <c r="N454" i="32" a="1"/>
  <c r="N454" i="32" s="1"/>
  <c r="E454" i="32" s="1"/>
  <c r="R454" i="32" a="1"/>
  <c r="R454" i="32" s="1"/>
  <c r="P1223" i="27" s="1"/>
  <c r="O454" i="32" a="1"/>
  <c r="O454" i="32" s="1"/>
  <c r="M1223" i="27" s="1"/>
  <c r="A1223" i="27" s="1"/>
  <c r="K458" i="32"/>
  <c r="L456" i="32"/>
  <c r="N192" i="32" a="1"/>
  <c r="N192" i="32" s="1"/>
  <c r="E192" i="32" s="1"/>
  <c r="F1549" i="27" s="1"/>
  <c r="O192" i="32" a="1"/>
  <c r="O192" i="32" s="1"/>
  <c r="M1549" i="27" s="1"/>
  <c r="A1549" i="27" s="1"/>
  <c r="R192" i="32" a="1"/>
  <c r="R192" i="32" s="1"/>
  <c r="P1549" i="27" s="1"/>
  <c r="M192" i="32" a="1"/>
  <c r="M192" i="32" s="1"/>
  <c r="D192" i="32" s="1"/>
  <c r="K196" i="32"/>
  <c r="L194" i="32"/>
  <c r="Q1341" i="32"/>
  <c r="I4004" i="27"/>
  <c r="G1337" i="32"/>
  <c r="I4005" i="27"/>
  <c r="H4004" i="27"/>
  <c r="A1339" i="32"/>
  <c r="H4005" i="27"/>
  <c r="A1341" i="32"/>
  <c r="L1949" i="32" l="1"/>
  <c r="K1951" i="32"/>
  <c r="R1947" i="32" a="1"/>
  <c r="R1947" i="32" s="1"/>
  <c r="O1947" i="32" a="1"/>
  <c r="O1947" i="32" s="1"/>
  <c r="N1947" i="32" a="1"/>
  <c r="N1947" i="32" s="1"/>
  <c r="E1947" i="32" s="1"/>
  <c r="M1947" i="32" a="1"/>
  <c r="M1947" i="32" s="1"/>
  <c r="D1947" i="32" s="1"/>
  <c r="A4004" i="27"/>
  <c r="A4005" i="27"/>
  <c r="F4007" i="27"/>
  <c r="B700" i="27"/>
  <c r="M700" i="27"/>
  <c r="N700" i="27"/>
  <c r="H699" i="27"/>
  <c r="M947" i="32" a="1"/>
  <c r="M947" i="32" s="1"/>
  <c r="D947" i="32" s="1"/>
  <c r="N947" i="32" a="1"/>
  <c r="N947" i="32" s="1"/>
  <c r="E947" i="32" s="1"/>
  <c r="F2415" i="27" s="1"/>
  <c r="O947" i="32" a="1"/>
  <c r="O947" i="32" s="1"/>
  <c r="M2415" i="27" s="1"/>
  <c r="A2415" i="27" s="1"/>
  <c r="R947" i="32" a="1"/>
  <c r="R947" i="32" s="1"/>
  <c r="P2415" i="27" s="1"/>
  <c r="N1537" i="32" a="1"/>
  <c r="N1537" i="32" s="1"/>
  <c r="E1537" i="32" s="1"/>
  <c r="O1537" i="32" a="1"/>
  <c r="O1537" i="32" s="1"/>
  <c r="M1537" i="32" a="1"/>
  <c r="M1537" i="32" s="1"/>
  <c r="D1537" i="32" s="1"/>
  <c r="R1537" i="32" a="1"/>
  <c r="R1537" i="32" s="1"/>
  <c r="K951" i="32"/>
  <c r="L949" i="32"/>
  <c r="K1541" i="32"/>
  <c r="L1539" i="32"/>
  <c r="O1733" i="32" a="1"/>
  <c r="O1733" i="32" s="1"/>
  <c r="M1733" i="32" a="1"/>
  <c r="M1733" i="32" s="1"/>
  <c r="D1733" i="32" s="1"/>
  <c r="R1733" i="32" a="1"/>
  <c r="R1733" i="32" s="1"/>
  <c r="N1733" i="32" a="1"/>
  <c r="N1733" i="32" s="1"/>
  <c r="E1733" i="32" s="1"/>
  <c r="M747" i="32" a="1"/>
  <c r="M747" i="32" s="1"/>
  <c r="D747" i="32" s="1"/>
  <c r="O747" i="32" a="1"/>
  <c r="O747" i="32" s="1"/>
  <c r="M2315" i="27" s="1"/>
  <c r="A2315" i="27" s="1"/>
  <c r="R747" i="32" a="1"/>
  <c r="R747" i="32" s="1"/>
  <c r="P2315" i="27" s="1"/>
  <c r="N747" i="32" a="1"/>
  <c r="N747" i="32" s="1"/>
  <c r="E747" i="32" s="1"/>
  <c r="F2315" i="27" s="1"/>
  <c r="K1737" i="32"/>
  <c r="L1735" i="32"/>
  <c r="K751" i="32"/>
  <c r="L749" i="32"/>
  <c r="N456" i="32" a="1"/>
  <c r="N456" i="32" s="1"/>
  <c r="E456" i="32" s="1"/>
  <c r="O456" i="32" a="1"/>
  <c r="O456" i="32" s="1"/>
  <c r="M1224" i="27" s="1"/>
  <c r="A1224" i="27" s="1"/>
  <c r="R456" i="32" a="1"/>
  <c r="R456" i="32" s="1"/>
  <c r="P1224" i="27" s="1"/>
  <c r="M456" i="32" a="1"/>
  <c r="M456" i="32" s="1"/>
  <c r="D456" i="32" s="1"/>
  <c r="K460" i="32"/>
  <c r="L458" i="32"/>
  <c r="R194" i="32" a="1"/>
  <c r="R194" i="32" s="1"/>
  <c r="P1550" i="27" s="1"/>
  <c r="O194" i="32" a="1"/>
  <c r="O194" i="32" s="1"/>
  <c r="M1550" i="27" s="1"/>
  <c r="A1550" i="27" s="1"/>
  <c r="M194" i="32" a="1"/>
  <c r="M194" i="32" s="1"/>
  <c r="D194" i="32" s="1"/>
  <c r="N194" i="32" a="1"/>
  <c r="N194" i="32" s="1"/>
  <c r="E194" i="32" s="1"/>
  <c r="F1550" i="27" s="1"/>
  <c r="K198" i="32"/>
  <c r="L196" i="32"/>
  <c r="Q1343" i="32"/>
  <c r="H4006" i="27"/>
  <c r="G1339" i="32"/>
  <c r="I4006" i="27"/>
  <c r="L1951" i="32" l="1"/>
  <c r="K1953" i="32"/>
  <c r="R1949" i="32" a="1"/>
  <c r="R1949" i="32" s="1"/>
  <c r="O1949" i="32" a="1"/>
  <c r="O1949" i="32" s="1"/>
  <c r="N1949" i="32" a="1"/>
  <c r="N1949" i="32" s="1"/>
  <c r="E1949" i="32" s="1"/>
  <c r="M1949" i="32" a="1"/>
  <c r="M1949" i="32" s="1"/>
  <c r="D1949" i="32" s="1"/>
  <c r="A4006" i="27"/>
  <c r="F4008" i="27"/>
  <c r="H700" i="27"/>
  <c r="B701" i="27"/>
  <c r="N701" i="27"/>
  <c r="M701" i="27"/>
  <c r="O749" i="32" a="1"/>
  <c r="O749" i="32" s="1"/>
  <c r="M2316" i="27" s="1"/>
  <c r="A2316" i="27" s="1"/>
  <c r="R749" i="32" a="1"/>
  <c r="R749" i="32" s="1"/>
  <c r="P2316" i="27" s="1"/>
  <c r="M749" i="32" a="1"/>
  <c r="M749" i="32" s="1"/>
  <c r="D749" i="32" s="1"/>
  <c r="N749" i="32" a="1"/>
  <c r="N749" i="32" s="1"/>
  <c r="E749" i="32" s="1"/>
  <c r="F2316" i="27" s="1"/>
  <c r="R1539" i="32" a="1"/>
  <c r="R1539" i="32" s="1"/>
  <c r="N1539" i="32" a="1"/>
  <c r="N1539" i="32" s="1"/>
  <c r="E1539" i="32" s="1"/>
  <c r="M1539" i="32" a="1"/>
  <c r="M1539" i="32" s="1"/>
  <c r="D1539" i="32" s="1"/>
  <c r="O1539" i="32" a="1"/>
  <c r="O1539" i="32" s="1"/>
  <c r="K753" i="32"/>
  <c r="L751" i="32"/>
  <c r="K1543" i="32"/>
  <c r="L1541" i="32"/>
  <c r="O1735" i="32" a="1"/>
  <c r="O1735" i="32" s="1"/>
  <c r="M1735" i="32" a="1"/>
  <c r="M1735" i="32" s="1"/>
  <c r="D1735" i="32" s="1"/>
  <c r="N1735" i="32" a="1"/>
  <c r="N1735" i="32" s="1"/>
  <c r="E1735" i="32" s="1"/>
  <c r="R1735" i="32" a="1"/>
  <c r="R1735" i="32" s="1"/>
  <c r="O949" i="32" a="1"/>
  <c r="O949" i="32" s="1"/>
  <c r="M2416" i="27" s="1"/>
  <c r="A2416" i="27" s="1"/>
  <c r="R949" i="32" a="1"/>
  <c r="R949" i="32" s="1"/>
  <c r="P2416" i="27" s="1"/>
  <c r="N949" i="32" a="1"/>
  <c r="N949" i="32" s="1"/>
  <c r="E949" i="32" s="1"/>
  <c r="F2416" i="27" s="1"/>
  <c r="M949" i="32" a="1"/>
  <c r="M949" i="32" s="1"/>
  <c r="D949" i="32" s="1"/>
  <c r="K1739" i="32"/>
  <c r="L1737" i="32"/>
  <c r="K953" i="32"/>
  <c r="L951" i="32"/>
  <c r="M458" i="32" a="1"/>
  <c r="M458" i="32" s="1"/>
  <c r="D458" i="32" s="1"/>
  <c r="N458" i="32" a="1"/>
  <c r="N458" i="32" s="1"/>
  <c r="E458" i="32" s="1"/>
  <c r="O458" i="32" a="1"/>
  <c r="O458" i="32" s="1"/>
  <c r="M1225" i="27" s="1"/>
  <c r="A1225" i="27" s="1"/>
  <c r="R458" i="32" a="1"/>
  <c r="R458" i="32" s="1"/>
  <c r="P1225" i="27" s="1"/>
  <c r="K462" i="32"/>
  <c r="L460" i="32"/>
  <c r="O196" i="32" a="1"/>
  <c r="O196" i="32" s="1"/>
  <c r="M1551" i="27" s="1"/>
  <c r="A1551" i="27" s="1"/>
  <c r="M196" i="32" a="1"/>
  <c r="M196" i="32" s="1"/>
  <c r="D196" i="32" s="1"/>
  <c r="R196" i="32" a="1"/>
  <c r="R196" i="32" s="1"/>
  <c r="P1551" i="27" s="1"/>
  <c r="N196" i="32" a="1"/>
  <c r="N196" i="32" s="1"/>
  <c r="E196" i="32" s="1"/>
  <c r="F1551" i="27" s="1"/>
  <c r="K200" i="32"/>
  <c r="L198" i="32"/>
  <c r="Q1345" i="32"/>
  <c r="A1343" i="32"/>
  <c r="I4007" i="27"/>
  <c r="G1341" i="32"/>
  <c r="H4007" i="27"/>
  <c r="A1345" i="32"/>
  <c r="L1953" i="32" l="1"/>
  <c r="K1955" i="32"/>
  <c r="R1951" i="32" a="1"/>
  <c r="R1951" i="32" s="1"/>
  <c r="O1951" i="32" a="1"/>
  <c r="O1951" i="32" s="1"/>
  <c r="N1951" i="32" a="1"/>
  <c r="N1951" i="32" s="1"/>
  <c r="E1951" i="32" s="1"/>
  <c r="M1951" i="32" a="1"/>
  <c r="M1951" i="32" s="1"/>
  <c r="D1951" i="32" s="1"/>
  <c r="A4007" i="27"/>
  <c r="F4009" i="27"/>
  <c r="B702" i="27"/>
  <c r="N702" i="27"/>
  <c r="M702" i="27"/>
  <c r="H701" i="27"/>
  <c r="N951" i="32" a="1"/>
  <c r="N951" i="32" s="1"/>
  <c r="E951" i="32" s="1"/>
  <c r="F2417" i="27" s="1"/>
  <c r="R951" i="32" a="1"/>
  <c r="R951" i="32" s="1"/>
  <c r="P2417" i="27" s="1"/>
  <c r="M951" i="32" a="1"/>
  <c r="M951" i="32" s="1"/>
  <c r="D951" i="32" s="1"/>
  <c r="O951" i="32" a="1"/>
  <c r="O951" i="32" s="1"/>
  <c r="M2417" i="27" s="1"/>
  <c r="A2417" i="27" s="1"/>
  <c r="R1737" i="32" a="1"/>
  <c r="R1737" i="32" s="1"/>
  <c r="N1737" i="32" a="1"/>
  <c r="N1737" i="32" s="1"/>
  <c r="E1737" i="32" s="1"/>
  <c r="M1737" i="32" a="1"/>
  <c r="M1737" i="32" s="1"/>
  <c r="D1737" i="32" s="1"/>
  <c r="O1737" i="32" a="1"/>
  <c r="O1737" i="32" s="1"/>
  <c r="N751" i="32" a="1"/>
  <c r="N751" i="32" s="1"/>
  <c r="E751" i="32" s="1"/>
  <c r="F2317" i="27" s="1"/>
  <c r="M751" i="32" a="1"/>
  <c r="M751" i="32" s="1"/>
  <c r="D751" i="32" s="1"/>
  <c r="R751" i="32" a="1"/>
  <c r="R751" i="32" s="1"/>
  <c r="P2317" i="27" s="1"/>
  <c r="O751" i="32" a="1"/>
  <c r="O751" i="32" s="1"/>
  <c r="M2317" i="27" s="1"/>
  <c r="A2317" i="27" s="1"/>
  <c r="R1541" i="32" a="1"/>
  <c r="R1541" i="32" s="1"/>
  <c r="N1541" i="32" a="1"/>
  <c r="N1541" i="32" s="1"/>
  <c r="E1541" i="32" s="1"/>
  <c r="O1541" i="32" a="1"/>
  <c r="O1541" i="32" s="1"/>
  <c r="M1541" i="32" a="1"/>
  <c r="M1541" i="32" s="1"/>
  <c r="D1541" i="32" s="1"/>
  <c r="K955" i="32"/>
  <c r="L953" i="32"/>
  <c r="K1545" i="32"/>
  <c r="L1543" i="32"/>
  <c r="K1741" i="32"/>
  <c r="L1739" i="32"/>
  <c r="K755" i="32"/>
  <c r="L753" i="32"/>
  <c r="N460" i="32" a="1"/>
  <c r="N460" i="32" s="1"/>
  <c r="E460" i="32" s="1"/>
  <c r="O460" i="32" a="1"/>
  <c r="O460" i="32" s="1"/>
  <c r="M1226" i="27" s="1"/>
  <c r="A1226" i="27" s="1"/>
  <c r="R460" i="32" a="1"/>
  <c r="R460" i="32" s="1"/>
  <c r="P1226" i="27" s="1"/>
  <c r="M460" i="32" a="1"/>
  <c r="M460" i="32" s="1"/>
  <c r="D460" i="32" s="1"/>
  <c r="K464" i="32"/>
  <c r="L462" i="32"/>
  <c r="N198" i="32" a="1"/>
  <c r="N198" i="32" s="1"/>
  <c r="E198" i="32" s="1"/>
  <c r="F1552" i="27" s="1"/>
  <c r="O198" i="32" a="1"/>
  <c r="O198" i="32" s="1"/>
  <c r="M1552" i="27" s="1"/>
  <c r="A1552" i="27" s="1"/>
  <c r="R198" i="32" a="1"/>
  <c r="R198" i="32" s="1"/>
  <c r="P1552" i="27" s="1"/>
  <c r="M198" i="32" a="1"/>
  <c r="M198" i="32" s="1"/>
  <c r="D198" i="32" s="1"/>
  <c r="K202" i="32"/>
  <c r="L200" i="32"/>
  <c r="Q1347" i="32"/>
  <c r="G1343" i="32"/>
  <c r="I4008" i="27"/>
  <c r="H4008" i="27"/>
  <c r="L1955" i="32" l="1"/>
  <c r="K1957" i="32"/>
  <c r="R1953" i="32" a="1"/>
  <c r="R1953" i="32" s="1"/>
  <c r="O1953" i="32" a="1"/>
  <c r="O1953" i="32" s="1"/>
  <c r="N1953" i="32" a="1"/>
  <c r="N1953" i="32" s="1"/>
  <c r="E1953" i="32" s="1"/>
  <c r="M1953" i="32" a="1"/>
  <c r="M1953" i="32" s="1"/>
  <c r="D1953" i="32" s="1"/>
  <c r="A4008" i="27"/>
  <c r="F4011" i="27"/>
  <c r="F4010" i="27"/>
  <c r="H702" i="27"/>
  <c r="B703" i="27"/>
  <c r="N703" i="27"/>
  <c r="M703" i="27"/>
  <c r="M753" i="32" a="1"/>
  <c r="M753" i="32" s="1"/>
  <c r="D753" i="32" s="1"/>
  <c r="N753" i="32" a="1"/>
  <c r="N753" i="32" s="1"/>
  <c r="E753" i="32" s="1"/>
  <c r="F2318" i="27" s="1"/>
  <c r="R753" i="32" a="1"/>
  <c r="R753" i="32" s="1"/>
  <c r="P2318" i="27" s="1"/>
  <c r="O753" i="32" a="1"/>
  <c r="O753" i="32" s="1"/>
  <c r="M2318" i="27" s="1"/>
  <c r="A2318" i="27" s="1"/>
  <c r="K1743" i="32"/>
  <c r="L1741" i="32"/>
  <c r="K757" i="32"/>
  <c r="L755" i="32"/>
  <c r="R1543" i="32" a="1"/>
  <c r="R1543" i="32" s="1"/>
  <c r="M1543" i="32" a="1"/>
  <c r="M1543" i="32" s="1"/>
  <c r="D1543" i="32" s="1"/>
  <c r="N1543" i="32" a="1"/>
  <c r="N1543" i="32" s="1"/>
  <c r="E1543" i="32" s="1"/>
  <c r="O1543" i="32" a="1"/>
  <c r="O1543" i="32" s="1"/>
  <c r="M1739" i="32" a="1"/>
  <c r="M1739" i="32" s="1"/>
  <c r="D1739" i="32" s="1"/>
  <c r="N1739" i="32" a="1"/>
  <c r="N1739" i="32" s="1"/>
  <c r="E1739" i="32" s="1"/>
  <c r="O1739" i="32" a="1"/>
  <c r="O1739" i="32" s="1"/>
  <c r="R1739" i="32" a="1"/>
  <c r="R1739" i="32" s="1"/>
  <c r="K1547" i="32"/>
  <c r="L1545" i="32"/>
  <c r="O953" i="32" a="1"/>
  <c r="O953" i="32" s="1"/>
  <c r="M2418" i="27" s="1"/>
  <c r="A2418" i="27" s="1"/>
  <c r="M953" i="32" a="1"/>
  <c r="M953" i="32" s="1"/>
  <c r="D953" i="32" s="1"/>
  <c r="N953" i="32" a="1"/>
  <c r="N953" i="32" s="1"/>
  <c r="E953" i="32" s="1"/>
  <c r="F2418" i="27" s="1"/>
  <c r="R953" i="32" a="1"/>
  <c r="R953" i="32" s="1"/>
  <c r="P2418" i="27" s="1"/>
  <c r="K957" i="32"/>
  <c r="L955" i="32"/>
  <c r="O462" i="32" a="1"/>
  <c r="O462" i="32" s="1"/>
  <c r="M1227" i="27" s="1"/>
  <c r="A1227" i="27" s="1"/>
  <c r="N462" i="32" a="1"/>
  <c r="N462" i="32" s="1"/>
  <c r="E462" i="32" s="1"/>
  <c r="R462" i="32" a="1"/>
  <c r="R462" i="32" s="1"/>
  <c r="P1227" i="27" s="1"/>
  <c r="M462" i="32" a="1"/>
  <c r="M462" i="32" s="1"/>
  <c r="D462" i="32" s="1"/>
  <c r="K466" i="32"/>
  <c r="L464" i="32"/>
  <c r="N200" i="32" a="1"/>
  <c r="N200" i="32" s="1"/>
  <c r="E200" i="32" s="1"/>
  <c r="F1553" i="27" s="1"/>
  <c r="R200" i="32" a="1"/>
  <c r="R200" i="32" s="1"/>
  <c r="P1553" i="27" s="1"/>
  <c r="O200" i="32" a="1"/>
  <c r="O200" i="32" s="1"/>
  <c r="M1553" i="27" s="1"/>
  <c r="A1553" i="27" s="1"/>
  <c r="M200" i="32" a="1"/>
  <c r="M200" i="32" s="1"/>
  <c r="D200" i="32" s="1"/>
  <c r="K204" i="32"/>
  <c r="L202" i="32"/>
  <c r="Q1349" i="32"/>
  <c r="H4009" i="27"/>
  <c r="A1347" i="32"/>
  <c r="A1349" i="32"/>
  <c r="I4009" i="27"/>
  <c r="G1345" i="32"/>
  <c r="L1957" i="32" l="1"/>
  <c r="K1959" i="32"/>
  <c r="R1955" i="32" a="1"/>
  <c r="R1955" i="32" s="1"/>
  <c r="O1955" i="32" a="1"/>
  <c r="O1955" i="32" s="1"/>
  <c r="N1955" i="32" a="1"/>
  <c r="N1955" i="32" s="1"/>
  <c r="E1955" i="32" s="1"/>
  <c r="M1955" i="32" a="1"/>
  <c r="M1955" i="32" s="1"/>
  <c r="D1955" i="32" s="1"/>
  <c r="A4009" i="27"/>
  <c r="F4012" i="27"/>
  <c r="B704" i="27"/>
  <c r="N704" i="27"/>
  <c r="M704" i="27"/>
  <c r="H703" i="27"/>
  <c r="H704" i="27" s="1"/>
  <c r="O755" i="32" a="1"/>
  <c r="O755" i="32" s="1"/>
  <c r="M2319" i="27" s="1"/>
  <c r="A2319" i="27" s="1"/>
  <c r="N755" i="32" a="1"/>
  <c r="N755" i="32" s="1"/>
  <c r="E755" i="32" s="1"/>
  <c r="F2319" i="27" s="1"/>
  <c r="M755" i="32" a="1"/>
  <c r="M755" i="32" s="1"/>
  <c r="D755" i="32" s="1"/>
  <c r="R755" i="32" a="1"/>
  <c r="R755" i="32" s="1"/>
  <c r="P2319" i="27" s="1"/>
  <c r="O955" i="32" a="1"/>
  <c r="O955" i="32" s="1"/>
  <c r="M2419" i="27" s="1"/>
  <c r="A2419" i="27" s="1"/>
  <c r="R955" i="32" a="1"/>
  <c r="R955" i="32" s="1"/>
  <c r="P2419" i="27" s="1"/>
  <c r="N955" i="32" a="1"/>
  <c r="N955" i="32" s="1"/>
  <c r="E955" i="32" s="1"/>
  <c r="F2419" i="27" s="1"/>
  <c r="M955" i="32" a="1"/>
  <c r="M955" i="32" s="1"/>
  <c r="D955" i="32" s="1"/>
  <c r="K959" i="32"/>
  <c r="L957" i="32"/>
  <c r="K759" i="32"/>
  <c r="L757" i="32"/>
  <c r="R1545" i="32" a="1"/>
  <c r="R1545" i="32" s="1"/>
  <c r="N1545" i="32" a="1"/>
  <c r="N1545" i="32" s="1"/>
  <c r="E1545" i="32" s="1"/>
  <c r="M1545" i="32" a="1"/>
  <c r="M1545" i="32" s="1"/>
  <c r="D1545" i="32" s="1"/>
  <c r="O1545" i="32" a="1"/>
  <c r="O1545" i="32" s="1"/>
  <c r="O1741" i="32" a="1"/>
  <c r="O1741" i="32" s="1"/>
  <c r="N1741" i="32" a="1"/>
  <c r="N1741" i="32" s="1"/>
  <c r="E1741" i="32" s="1"/>
  <c r="R1741" i="32" a="1"/>
  <c r="R1741" i="32" s="1"/>
  <c r="M1741" i="32" a="1"/>
  <c r="M1741" i="32" s="1"/>
  <c r="D1741" i="32" s="1"/>
  <c r="K1549" i="32"/>
  <c r="L1547" i="32"/>
  <c r="K1745" i="32"/>
  <c r="L1743" i="32"/>
  <c r="M464" i="32" a="1"/>
  <c r="M464" i="32" s="1"/>
  <c r="D464" i="32" s="1"/>
  <c r="R464" i="32" a="1"/>
  <c r="R464" i="32" s="1"/>
  <c r="P1228" i="27" s="1"/>
  <c r="N464" i="32" a="1"/>
  <c r="N464" i="32" s="1"/>
  <c r="E464" i="32" s="1"/>
  <c r="O464" i="32" a="1"/>
  <c r="O464" i="32" s="1"/>
  <c r="M1228" i="27" s="1"/>
  <c r="A1228" i="27" s="1"/>
  <c r="K468" i="32"/>
  <c r="L466" i="32"/>
  <c r="O202" i="32" a="1"/>
  <c r="O202" i="32" s="1"/>
  <c r="M1554" i="27" s="1"/>
  <c r="A1554" i="27" s="1"/>
  <c r="N202" i="32" a="1"/>
  <c r="N202" i="32" s="1"/>
  <c r="E202" i="32" s="1"/>
  <c r="F1554" i="27" s="1"/>
  <c r="M202" i="32" a="1"/>
  <c r="M202" i="32" s="1"/>
  <c r="D202" i="32" s="1"/>
  <c r="R202" i="32" a="1"/>
  <c r="R202" i="32" s="1"/>
  <c r="P1554" i="27" s="1"/>
  <c r="K206" i="32"/>
  <c r="L204" i="32"/>
  <c r="Q1351" i="32"/>
  <c r="H4011" i="27"/>
  <c r="H4010" i="27"/>
  <c r="G1347" i="32"/>
  <c r="I4010" i="27"/>
  <c r="I4011" i="27"/>
  <c r="L1959" i="32" l="1"/>
  <c r="K1961" i="32"/>
  <c r="R1957" i="32" a="1"/>
  <c r="R1957" i="32" s="1"/>
  <c r="O1957" i="32" a="1"/>
  <c r="O1957" i="32" s="1"/>
  <c r="N1957" i="32" a="1"/>
  <c r="N1957" i="32" s="1"/>
  <c r="E1957" i="32" s="1"/>
  <c r="M1957" i="32" a="1"/>
  <c r="M1957" i="32" s="1"/>
  <c r="D1957" i="32" s="1"/>
  <c r="A4011" i="27"/>
  <c r="A4010" i="27"/>
  <c r="F4013" i="27"/>
  <c r="B705" i="27"/>
  <c r="H705" i="27" s="1"/>
  <c r="M705" i="27"/>
  <c r="N705" i="27"/>
  <c r="M1743" i="32" a="1"/>
  <c r="M1743" i="32" s="1"/>
  <c r="D1743" i="32" s="1"/>
  <c r="O1743" i="32" a="1"/>
  <c r="O1743" i="32" s="1"/>
  <c r="R1743" i="32" a="1"/>
  <c r="R1743" i="32" s="1"/>
  <c r="N1743" i="32" a="1"/>
  <c r="N1743" i="32" s="1"/>
  <c r="E1743" i="32" s="1"/>
  <c r="M757" i="32" a="1"/>
  <c r="M757" i="32" s="1"/>
  <c r="D757" i="32" s="1"/>
  <c r="N757" i="32" a="1"/>
  <c r="N757" i="32" s="1"/>
  <c r="E757" i="32" s="1"/>
  <c r="F2320" i="27" s="1"/>
  <c r="O757" i="32" a="1"/>
  <c r="O757" i="32" s="1"/>
  <c r="M2320" i="27" s="1"/>
  <c r="A2320" i="27" s="1"/>
  <c r="R757" i="32" a="1"/>
  <c r="R757" i="32" s="1"/>
  <c r="P2320" i="27" s="1"/>
  <c r="K1747" i="32"/>
  <c r="L1745" i="32"/>
  <c r="K761" i="32"/>
  <c r="L759" i="32"/>
  <c r="R1547" i="32" a="1"/>
  <c r="R1547" i="32" s="1"/>
  <c r="M1547" i="32" a="1"/>
  <c r="M1547" i="32" s="1"/>
  <c r="D1547" i="32" s="1"/>
  <c r="N1547" i="32" a="1"/>
  <c r="N1547" i="32" s="1"/>
  <c r="E1547" i="32" s="1"/>
  <c r="O1547" i="32" a="1"/>
  <c r="O1547" i="32" s="1"/>
  <c r="M957" i="32" a="1"/>
  <c r="M957" i="32" s="1"/>
  <c r="D957" i="32" s="1"/>
  <c r="N957" i="32" a="1"/>
  <c r="N957" i="32" s="1"/>
  <c r="E957" i="32" s="1"/>
  <c r="F2420" i="27" s="1"/>
  <c r="R957" i="32" a="1"/>
  <c r="R957" i="32" s="1"/>
  <c r="P2420" i="27" s="1"/>
  <c r="O957" i="32" a="1"/>
  <c r="O957" i="32" s="1"/>
  <c r="M2420" i="27" s="1"/>
  <c r="A2420" i="27" s="1"/>
  <c r="K1551" i="32"/>
  <c r="L1549" i="32"/>
  <c r="K961" i="32"/>
  <c r="L959" i="32"/>
  <c r="M466" i="32" a="1"/>
  <c r="M466" i="32" s="1"/>
  <c r="D466" i="32" s="1"/>
  <c r="N466" i="32" a="1"/>
  <c r="N466" i="32" s="1"/>
  <c r="E466" i="32" s="1"/>
  <c r="R466" i="32" a="1"/>
  <c r="R466" i="32" s="1"/>
  <c r="P1229" i="27" s="1"/>
  <c r="O466" i="32" a="1"/>
  <c r="O466" i="32" s="1"/>
  <c r="M1229" i="27" s="1"/>
  <c r="A1229" i="27" s="1"/>
  <c r="K470" i="32"/>
  <c r="L468" i="32"/>
  <c r="O204" i="32" a="1"/>
  <c r="O204" i="32" s="1"/>
  <c r="M1555" i="27" s="1"/>
  <c r="A1555" i="27" s="1"/>
  <c r="M204" i="32" a="1"/>
  <c r="M204" i="32" s="1"/>
  <c r="D204" i="32" s="1"/>
  <c r="N204" i="32" a="1"/>
  <c r="N204" i="32" s="1"/>
  <c r="E204" i="32" s="1"/>
  <c r="F1555" i="27" s="1"/>
  <c r="R204" i="32" a="1"/>
  <c r="R204" i="32" s="1"/>
  <c r="P1555" i="27" s="1"/>
  <c r="K208" i="32"/>
  <c r="L206" i="32"/>
  <c r="Q1353" i="32"/>
  <c r="A1353" i="32"/>
  <c r="H4012" i="27"/>
  <c r="G1349" i="32"/>
  <c r="I4012" i="27"/>
  <c r="A1351" i="32"/>
  <c r="L1961" i="32" l="1"/>
  <c r="K1963" i="32"/>
  <c r="R1959" i="32" a="1"/>
  <c r="R1959" i="32" s="1"/>
  <c r="O1959" i="32" a="1"/>
  <c r="O1959" i="32" s="1"/>
  <c r="N1959" i="32" a="1"/>
  <c r="N1959" i="32" s="1"/>
  <c r="E1959" i="32" s="1"/>
  <c r="M1959" i="32" a="1"/>
  <c r="M1959" i="32" s="1"/>
  <c r="D1959" i="32" s="1"/>
  <c r="A4012" i="27"/>
  <c r="F4014" i="27"/>
  <c r="B706" i="27"/>
  <c r="H706" i="27" s="1"/>
  <c r="M706" i="27"/>
  <c r="N706" i="27"/>
  <c r="N959" i="32" a="1"/>
  <c r="N959" i="32" s="1"/>
  <c r="E959" i="32" s="1"/>
  <c r="F2421" i="27" s="1"/>
  <c r="O959" i="32" a="1"/>
  <c r="O959" i="32" s="1"/>
  <c r="M2421" i="27" s="1"/>
  <c r="A2421" i="27" s="1"/>
  <c r="R959" i="32" a="1"/>
  <c r="R959" i="32" s="1"/>
  <c r="P2421" i="27" s="1"/>
  <c r="M959" i="32" a="1"/>
  <c r="M959" i="32" s="1"/>
  <c r="D959" i="32" s="1"/>
  <c r="O759" i="32" a="1"/>
  <c r="O759" i="32" s="1"/>
  <c r="M2321" i="27" s="1"/>
  <c r="A2321" i="27" s="1"/>
  <c r="M759" i="32" a="1"/>
  <c r="M759" i="32" s="1"/>
  <c r="D759" i="32" s="1"/>
  <c r="N759" i="32" a="1"/>
  <c r="N759" i="32" s="1"/>
  <c r="E759" i="32" s="1"/>
  <c r="F2321" i="27" s="1"/>
  <c r="R759" i="32" a="1"/>
  <c r="R759" i="32" s="1"/>
  <c r="P2321" i="27" s="1"/>
  <c r="K963" i="32"/>
  <c r="L961" i="32"/>
  <c r="K763" i="32"/>
  <c r="L761" i="32"/>
  <c r="R1549" i="32" a="1"/>
  <c r="R1549" i="32" s="1"/>
  <c r="O1549" i="32" a="1"/>
  <c r="O1549" i="32" s="1"/>
  <c r="N1549" i="32" a="1"/>
  <c r="N1549" i="32" s="1"/>
  <c r="E1549" i="32" s="1"/>
  <c r="M1549" i="32" a="1"/>
  <c r="M1549" i="32" s="1"/>
  <c r="D1549" i="32" s="1"/>
  <c r="O1745" i="32" a="1"/>
  <c r="O1745" i="32" s="1"/>
  <c r="M1745" i="32" a="1"/>
  <c r="M1745" i="32" s="1"/>
  <c r="D1745" i="32" s="1"/>
  <c r="N1745" i="32" a="1"/>
  <c r="N1745" i="32" s="1"/>
  <c r="E1745" i="32" s="1"/>
  <c r="R1745" i="32" a="1"/>
  <c r="R1745" i="32" s="1"/>
  <c r="K1553" i="32"/>
  <c r="L1551" i="32"/>
  <c r="K1749" i="32"/>
  <c r="L1747" i="32"/>
  <c r="R468" i="32" a="1"/>
  <c r="R468" i="32" s="1"/>
  <c r="P1230" i="27" s="1"/>
  <c r="O468" i="32" a="1"/>
  <c r="O468" i="32" s="1"/>
  <c r="M1230" i="27" s="1"/>
  <c r="A1230" i="27" s="1"/>
  <c r="N468" i="32" a="1"/>
  <c r="N468" i="32" s="1"/>
  <c r="E468" i="32" s="1"/>
  <c r="M468" i="32" a="1"/>
  <c r="M468" i="32" s="1"/>
  <c r="D468" i="32" s="1"/>
  <c r="K472" i="32"/>
  <c r="L470" i="32"/>
  <c r="O206" i="32" a="1"/>
  <c r="O206" i="32" s="1"/>
  <c r="M1556" i="27" s="1"/>
  <c r="A1556" i="27" s="1"/>
  <c r="R206" i="32" a="1"/>
  <c r="R206" i="32" s="1"/>
  <c r="P1556" i="27" s="1"/>
  <c r="N206" i="32" a="1"/>
  <c r="N206" i="32" s="1"/>
  <c r="E206" i="32" s="1"/>
  <c r="F1556" i="27" s="1"/>
  <c r="M206" i="32" a="1"/>
  <c r="M206" i="32" s="1"/>
  <c r="D206" i="32" s="1"/>
  <c r="K210" i="32"/>
  <c r="K212" i="32" s="1"/>
  <c r="K214" i="32" s="1"/>
  <c r="K216" i="32" s="1"/>
  <c r="K218" i="32" s="1"/>
  <c r="K220" i="32" s="1"/>
  <c r="K222" i="32" s="1"/>
  <c r="K224" i="32" s="1"/>
  <c r="K226" i="32" s="1"/>
  <c r="K228" i="32" s="1"/>
  <c r="K230" i="32" s="1"/>
  <c r="K232" i="32" s="1"/>
  <c r="K234" i="32" s="1"/>
  <c r="K236" i="32" s="1"/>
  <c r="K238" i="32" s="1"/>
  <c r="K240" i="32" s="1"/>
  <c r="K242" i="32" s="1"/>
  <c r="K244" i="32" s="1"/>
  <c r="K246" i="32" s="1"/>
  <c r="K248" i="32" s="1"/>
  <c r="K250" i="32" s="1"/>
  <c r="K252" i="32" s="1"/>
  <c r="K254" i="32" s="1"/>
  <c r="K256" i="32" s="1"/>
  <c r="K258" i="32" s="1"/>
  <c r="K260" i="32" s="1"/>
  <c r="K262" i="32" s="1"/>
  <c r="K264" i="32" s="1"/>
  <c r="K266" i="32" s="1"/>
  <c r="K268" i="32" s="1"/>
  <c r="K270" i="32" s="1"/>
  <c r="K272" i="32" s="1"/>
  <c r="K274" i="32" s="1"/>
  <c r="K276" i="32" s="1"/>
  <c r="K278" i="32" s="1"/>
  <c r="K280" i="32" s="1"/>
  <c r="K282" i="32" s="1"/>
  <c r="K284" i="32" s="1"/>
  <c r="K286" i="32" s="1"/>
  <c r="K288" i="32" s="1"/>
  <c r="K290" i="32" s="1"/>
  <c r="K292" i="32" s="1"/>
  <c r="K294" i="32" s="1"/>
  <c r="K296" i="32" s="1"/>
  <c r="K298" i="32" s="1"/>
  <c r="K300" i="32" s="1"/>
  <c r="K302" i="32" s="1"/>
  <c r="K304" i="32" s="1"/>
  <c r="K306" i="32" s="1"/>
  <c r="K308" i="32" s="1"/>
  <c r="L208" i="32"/>
  <c r="Q1355" i="32"/>
  <c r="I4013" i="27"/>
  <c r="G1351" i="32"/>
  <c r="H4013" i="27"/>
  <c r="L1963" i="32" l="1"/>
  <c r="K1965" i="32"/>
  <c r="R1961" i="32" a="1"/>
  <c r="R1961" i="32" s="1"/>
  <c r="O1961" i="32" a="1"/>
  <c r="O1961" i="32" s="1"/>
  <c r="N1961" i="32" a="1"/>
  <c r="N1961" i="32" s="1"/>
  <c r="E1961" i="32" s="1"/>
  <c r="M1961" i="32" a="1"/>
  <c r="M1961" i="32" s="1"/>
  <c r="D1961" i="32" s="1"/>
  <c r="A4013" i="27"/>
  <c r="F4015" i="27"/>
  <c r="B707" i="27"/>
  <c r="M707" i="27"/>
  <c r="N707" i="27"/>
  <c r="R1747" i="32" a="1"/>
  <c r="R1747" i="32" s="1"/>
  <c r="O1747" i="32" a="1"/>
  <c r="O1747" i="32" s="1"/>
  <c r="N1747" i="32" a="1"/>
  <c r="N1747" i="32" s="1"/>
  <c r="E1747" i="32" s="1"/>
  <c r="M1747" i="32" a="1"/>
  <c r="M1747" i="32" s="1"/>
  <c r="D1747" i="32" s="1"/>
  <c r="O761" i="32" a="1"/>
  <c r="O761" i="32" s="1"/>
  <c r="M2322" i="27" s="1"/>
  <c r="A2322" i="27" s="1"/>
  <c r="M761" i="32" a="1"/>
  <c r="M761" i="32" s="1"/>
  <c r="D761" i="32" s="1"/>
  <c r="R761" i="32" a="1"/>
  <c r="R761" i="32" s="1"/>
  <c r="P2322" i="27" s="1"/>
  <c r="N761" i="32" a="1"/>
  <c r="N761" i="32" s="1"/>
  <c r="E761" i="32" s="1"/>
  <c r="F2322" i="27" s="1"/>
  <c r="K1751" i="32"/>
  <c r="L1749" i="32"/>
  <c r="K765" i="32"/>
  <c r="L763" i="32"/>
  <c r="O1551" i="32" a="1"/>
  <c r="O1551" i="32" s="1"/>
  <c r="M1551" i="32" a="1"/>
  <c r="M1551" i="32" s="1"/>
  <c r="D1551" i="32" s="1"/>
  <c r="R1551" i="32" a="1"/>
  <c r="R1551" i="32" s="1"/>
  <c r="N1551" i="32" a="1"/>
  <c r="N1551" i="32" s="1"/>
  <c r="E1551" i="32" s="1"/>
  <c r="R961" i="32" a="1"/>
  <c r="R961" i="32" s="1"/>
  <c r="P2422" i="27" s="1"/>
  <c r="N961" i="32" a="1"/>
  <c r="N961" i="32" s="1"/>
  <c r="E961" i="32" s="1"/>
  <c r="F2422" i="27" s="1"/>
  <c r="O961" i="32" a="1"/>
  <c r="O961" i="32" s="1"/>
  <c r="M2422" i="27" s="1"/>
  <c r="A2422" i="27" s="1"/>
  <c r="M961" i="32" a="1"/>
  <c r="M961" i="32" s="1"/>
  <c r="D961" i="32" s="1"/>
  <c r="K1555" i="32"/>
  <c r="L1553" i="32"/>
  <c r="K965" i="32"/>
  <c r="L963" i="32"/>
  <c r="N470" i="32" a="1"/>
  <c r="N470" i="32" s="1"/>
  <c r="E470" i="32" s="1"/>
  <c r="R470" i="32" a="1"/>
  <c r="R470" i="32" s="1"/>
  <c r="P1231" i="27" s="1"/>
  <c r="M470" i="32" a="1"/>
  <c r="M470" i="32" s="1"/>
  <c r="D470" i="32" s="1"/>
  <c r="O470" i="32" a="1"/>
  <c r="O470" i="32" s="1"/>
  <c r="M1231" i="27" s="1"/>
  <c r="A1231" i="27" s="1"/>
  <c r="K474" i="32"/>
  <c r="L472" i="32"/>
  <c r="O208" i="32" a="1"/>
  <c r="O208" i="32" s="1"/>
  <c r="M1557" i="27" s="1"/>
  <c r="A1557" i="27" s="1"/>
  <c r="M208" i="32" a="1"/>
  <c r="M208" i="32" s="1"/>
  <c r="D208" i="32" s="1"/>
  <c r="R208" i="32" a="1"/>
  <c r="R208" i="32" s="1"/>
  <c r="P1557" i="27" s="1"/>
  <c r="N208" i="32" a="1"/>
  <c r="N208" i="32" s="1"/>
  <c r="E208" i="32" s="1"/>
  <c r="F1557" i="27" s="1"/>
  <c r="Q1357" i="32"/>
  <c r="A1355" i="32"/>
  <c r="H4014" i="27"/>
  <c r="A1357" i="32"/>
  <c r="I4014" i="27"/>
  <c r="G1353" i="32"/>
  <c r="L1965" i="32" l="1"/>
  <c r="K1967" i="32"/>
  <c r="R1963" i="32" a="1"/>
  <c r="R1963" i="32" s="1"/>
  <c r="O1963" i="32" a="1"/>
  <c r="O1963" i="32" s="1"/>
  <c r="N1963" i="32" a="1"/>
  <c r="N1963" i="32" s="1"/>
  <c r="E1963" i="32" s="1"/>
  <c r="M1963" i="32" a="1"/>
  <c r="M1963" i="32" s="1"/>
  <c r="D1963" i="32" s="1"/>
  <c r="A4014" i="27"/>
  <c r="F4016" i="27"/>
  <c r="F4017" i="27"/>
  <c r="B708" i="27"/>
  <c r="N708" i="27"/>
  <c r="M708" i="27"/>
  <c r="H707" i="27"/>
  <c r="M963" i="32" a="1"/>
  <c r="M963" i="32" s="1"/>
  <c r="D963" i="32" s="1"/>
  <c r="R963" i="32" a="1"/>
  <c r="R963" i="32" s="1"/>
  <c r="P2423" i="27" s="1"/>
  <c r="O963" i="32" a="1"/>
  <c r="O963" i="32" s="1"/>
  <c r="M2423" i="27" s="1"/>
  <c r="A2423" i="27" s="1"/>
  <c r="N963" i="32" a="1"/>
  <c r="N963" i="32" s="1"/>
  <c r="E963" i="32" s="1"/>
  <c r="F2423" i="27" s="1"/>
  <c r="N763" i="32" a="1"/>
  <c r="N763" i="32" s="1"/>
  <c r="E763" i="32" s="1"/>
  <c r="F2323" i="27" s="1"/>
  <c r="O763" i="32" a="1"/>
  <c r="O763" i="32" s="1"/>
  <c r="M2323" i="27" s="1"/>
  <c r="A2323" i="27" s="1"/>
  <c r="R763" i="32" a="1"/>
  <c r="R763" i="32" s="1"/>
  <c r="P2323" i="27" s="1"/>
  <c r="M763" i="32" a="1"/>
  <c r="M763" i="32" s="1"/>
  <c r="D763" i="32" s="1"/>
  <c r="K967" i="32"/>
  <c r="L965" i="32"/>
  <c r="K767" i="32"/>
  <c r="L765" i="32"/>
  <c r="O1553" i="32" a="1"/>
  <c r="O1553" i="32" s="1"/>
  <c r="R1553" i="32" a="1"/>
  <c r="R1553" i="32" s="1"/>
  <c r="M1553" i="32" a="1"/>
  <c r="M1553" i="32" s="1"/>
  <c r="D1553" i="32" s="1"/>
  <c r="N1553" i="32" a="1"/>
  <c r="N1553" i="32" s="1"/>
  <c r="E1553" i="32" s="1"/>
  <c r="M1749" i="32" a="1"/>
  <c r="M1749" i="32" s="1"/>
  <c r="D1749" i="32" s="1"/>
  <c r="N1749" i="32" a="1"/>
  <c r="N1749" i="32" s="1"/>
  <c r="E1749" i="32" s="1"/>
  <c r="R1749" i="32" a="1"/>
  <c r="R1749" i="32" s="1"/>
  <c r="O1749" i="32" a="1"/>
  <c r="O1749" i="32" s="1"/>
  <c r="K1557" i="32"/>
  <c r="L1555" i="32"/>
  <c r="K1753" i="32"/>
  <c r="L1751" i="32"/>
  <c r="N472" i="32" a="1"/>
  <c r="N472" i="32" s="1"/>
  <c r="E472" i="32" s="1"/>
  <c r="O472" i="32" a="1"/>
  <c r="O472" i="32" s="1"/>
  <c r="M1232" i="27" s="1"/>
  <c r="A1232" i="27" s="1"/>
  <c r="M472" i="32" a="1"/>
  <c r="M472" i="32" s="1"/>
  <c r="D472" i="32" s="1"/>
  <c r="R472" i="32" a="1"/>
  <c r="R472" i="32" s="1"/>
  <c r="P1232" i="27" s="1"/>
  <c r="K476" i="32"/>
  <c r="L474" i="32"/>
  <c r="Q1359" i="32"/>
  <c r="H4015" i="27"/>
  <c r="G1355" i="32"/>
  <c r="I4015" i="27"/>
  <c r="A1359" i="32"/>
  <c r="L1967" i="32" l="1"/>
  <c r="K1969" i="32"/>
  <c r="R1965" i="32" a="1"/>
  <c r="R1965" i="32" s="1"/>
  <c r="O1965" i="32" a="1"/>
  <c r="O1965" i="32" s="1"/>
  <c r="N1965" i="32" a="1"/>
  <c r="N1965" i="32" s="1"/>
  <c r="E1965" i="32" s="1"/>
  <c r="M1965" i="32" a="1"/>
  <c r="M1965" i="32" s="1"/>
  <c r="D1965" i="32" s="1"/>
  <c r="A4015" i="27"/>
  <c r="F4018" i="27"/>
  <c r="H708" i="27"/>
  <c r="B709" i="27"/>
  <c r="N709" i="27"/>
  <c r="M709" i="27"/>
  <c r="R765" i="32" a="1"/>
  <c r="R765" i="32" s="1"/>
  <c r="P2324" i="27" s="1"/>
  <c r="N765" i="32" a="1"/>
  <c r="N765" i="32" s="1"/>
  <c r="E765" i="32" s="1"/>
  <c r="F2324" i="27" s="1"/>
  <c r="M765" i="32" a="1"/>
  <c r="M765" i="32" s="1"/>
  <c r="D765" i="32" s="1"/>
  <c r="O765" i="32" a="1"/>
  <c r="O765" i="32" s="1"/>
  <c r="M2324" i="27" s="1"/>
  <c r="A2324" i="27" s="1"/>
  <c r="K1755" i="32"/>
  <c r="L1753" i="32"/>
  <c r="K769" i="32"/>
  <c r="L767" i="32"/>
  <c r="N1555" i="32" a="1"/>
  <c r="N1555" i="32" s="1"/>
  <c r="E1555" i="32" s="1"/>
  <c r="R1555" i="32" a="1"/>
  <c r="R1555" i="32" s="1"/>
  <c r="O1555" i="32" a="1"/>
  <c r="O1555" i="32" s="1"/>
  <c r="M1555" i="32" a="1"/>
  <c r="M1555" i="32" s="1"/>
  <c r="D1555" i="32" s="1"/>
  <c r="O965" i="32" a="1"/>
  <c r="O965" i="32" s="1"/>
  <c r="M2424" i="27" s="1"/>
  <c r="A2424" i="27" s="1"/>
  <c r="M965" i="32" a="1"/>
  <c r="M965" i="32" s="1"/>
  <c r="D965" i="32" s="1"/>
  <c r="N965" i="32" a="1"/>
  <c r="N965" i="32" s="1"/>
  <c r="E965" i="32" s="1"/>
  <c r="F2424" i="27" s="1"/>
  <c r="R965" i="32" a="1"/>
  <c r="R965" i="32" s="1"/>
  <c r="P2424" i="27" s="1"/>
  <c r="M1751" i="32" a="1"/>
  <c r="M1751" i="32" s="1"/>
  <c r="D1751" i="32" s="1"/>
  <c r="O1751" i="32" a="1"/>
  <c r="O1751" i="32" s="1"/>
  <c r="R1751" i="32" a="1"/>
  <c r="R1751" i="32" s="1"/>
  <c r="N1751" i="32" a="1"/>
  <c r="N1751" i="32" s="1"/>
  <c r="E1751" i="32" s="1"/>
  <c r="K1559" i="32"/>
  <c r="L1557" i="32"/>
  <c r="K969" i="32"/>
  <c r="L967" i="32"/>
  <c r="R474" i="32" a="1"/>
  <c r="R474" i="32" s="1"/>
  <c r="P1233" i="27" s="1"/>
  <c r="O474" i="32" a="1"/>
  <c r="O474" i="32" s="1"/>
  <c r="M1233" i="27" s="1"/>
  <c r="A1233" i="27" s="1"/>
  <c r="N474" i="32" a="1"/>
  <c r="N474" i="32" s="1"/>
  <c r="E474" i="32" s="1"/>
  <c r="M474" i="32" a="1"/>
  <c r="M474" i="32" s="1"/>
  <c r="D474" i="32" s="1"/>
  <c r="L476" i="32"/>
  <c r="K478" i="32"/>
  <c r="Q1361" i="32"/>
  <c r="I4016" i="27"/>
  <c r="H4017" i="27"/>
  <c r="I4017" i="27"/>
  <c r="H4016" i="27"/>
  <c r="G1357" i="32"/>
  <c r="L1969" i="32" l="1"/>
  <c r="K1971" i="32"/>
  <c r="R1967" i="32" a="1"/>
  <c r="R1967" i="32" s="1"/>
  <c r="O1967" i="32" a="1"/>
  <c r="O1967" i="32" s="1"/>
  <c r="N1967" i="32" a="1"/>
  <c r="N1967" i="32" s="1"/>
  <c r="E1967" i="32" s="1"/>
  <c r="M1967" i="32" a="1"/>
  <c r="M1967" i="32" s="1"/>
  <c r="D1967" i="32" s="1"/>
  <c r="A4016" i="27"/>
  <c r="A4017" i="27"/>
  <c r="F4019" i="27"/>
  <c r="B710" i="27"/>
  <c r="N710" i="27"/>
  <c r="M710" i="27"/>
  <c r="H709" i="27"/>
  <c r="R967" i="32" a="1"/>
  <c r="R967" i="32" s="1"/>
  <c r="P2425" i="27" s="1"/>
  <c r="M967" i="32" a="1"/>
  <c r="M967" i="32" s="1"/>
  <c r="D967" i="32" s="1"/>
  <c r="N967" i="32" a="1"/>
  <c r="N967" i="32" s="1"/>
  <c r="E967" i="32" s="1"/>
  <c r="F2425" i="27" s="1"/>
  <c r="O967" i="32" a="1"/>
  <c r="O967" i="32" s="1"/>
  <c r="M2425" i="27" s="1"/>
  <c r="A2425" i="27" s="1"/>
  <c r="K971" i="32"/>
  <c r="L969" i="32"/>
  <c r="K1561" i="32"/>
  <c r="L1559" i="32"/>
  <c r="R1557" i="32" a="1"/>
  <c r="R1557" i="32" s="1"/>
  <c r="N1557" i="32" a="1"/>
  <c r="N1557" i="32" s="1"/>
  <c r="E1557" i="32" s="1"/>
  <c r="M1557" i="32" a="1"/>
  <c r="M1557" i="32" s="1"/>
  <c r="D1557" i="32" s="1"/>
  <c r="O1557" i="32" a="1"/>
  <c r="O1557" i="32" s="1"/>
  <c r="O767" i="32" a="1"/>
  <c r="O767" i="32" s="1"/>
  <c r="M2325" i="27" s="1"/>
  <c r="A2325" i="27" s="1"/>
  <c r="N767" i="32" a="1"/>
  <c r="N767" i="32" s="1"/>
  <c r="E767" i="32" s="1"/>
  <c r="F2325" i="27" s="1"/>
  <c r="R767" i="32" a="1"/>
  <c r="R767" i="32" s="1"/>
  <c r="P2325" i="27" s="1"/>
  <c r="M767" i="32" a="1"/>
  <c r="M767" i="32" s="1"/>
  <c r="D767" i="32" s="1"/>
  <c r="K771" i="32"/>
  <c r="L769" i="32"/>
  <c r="M1753" i="32" a="1"/>
  <c r="M1753" i="32" s="1"/>
  <c r="D1753" i="32" s="1"/>
  <c r="O1753" i="32" a="1"/>
  <c r="O1753" i="32" s="1"/>
  <c r="N1753" i="32" a="1"/>
  <c r="N1753" i="32" s="1"/>
  <c r="E1753" i="32" s="1"/>
  <c r="R1753" i="32" a="1"/>
  <c r="R1753" i="32" s="1"/>
  <c r="K1757" i="32"/>
  <c r="L1755" i="32"/>
  <c r="L478" i="32"/>
  <c r="K480" i="32"/>
  <c r="N476" i="32" a="1"/>
  <c r="N476" i="32" s="1"/>
  <c r="E476" i="32" s="1"/>
  <c r="M476" i="32" a="1"/>
  <c r="M476" i="32" s="1"/>
  <c r="D476" i="32" s="1"/>
  <c r="O476" i="32" a="1"/>
  <c r="O476" i="32" s="1"/>
  <c r="M1234" i="27" s="1"/>
  <c r="A1234" i="27" s="1"/>
  <c r="R476" i="32" a="1"/>
  <c r="R476" i="32" s="1"/>
  <c r="P1234" i="27" s="1"/>
  <c r="Q1363" i="32"/>
  <c r="H4018" i="27"/>
  <c r="G1359" i="32"/>
  <c r="A1363" i="32"/>
  <c r="A1361" i="32"/>
  <c r="I4018" i="27"/>
  <c r="L1971" i="32" l="1"/>
  <c r="K1973" i="32"/>
  <c r="R1969" i="32" a="1"/>
  <c r="R1969" i="32" s="1"/>
  <c r="O1969" i="32" a="1"/>
  <c r="O1969" i="32" s="1"/>
  <c r="N1969" i="32" a="1"/>
  <c r="N1969" i="32" s="1"/>
  <c r="E1969" i="32" s="1"/>
  <c r="M1969" i="32" a="1"/>
  <c r="M1969" i="32" s="1"/>
  <c r="D1969" i="32" s="1"/>
  <c r="A4018" i="27"/>
  <c r="F4020" i="27"/>
  <c r="H710" i="27"/>
  <c r="B711" i="27"/>
  <c r="N711" i="27"/>
  <c r="M711" i="27"/>
  <c r="O1755" i="32" a="1"/>
  <c r="O1755" i="32" s="1"/>
  <c r="N1755" i="32" a="1"/>
  <c r="N1755" i="32" s="1"/>
  <c r="E1755" i="32" s="1"/>
  <c r="M1755" i="32" a="1"/>
  <c r="M1755" i="32" s="1"/>
  <c r="D1755" i="32" s="1"/>
  <c r="R1755" i="32" a="1"/>
  <c r="R1755" i="32" s="1"/>
  <c r="K1759" i="32"/>
  <c r="L1757" i="32"/>
  <c r="O1559" i="32" a="1"/>
  <c r="O1559" i="32" s="1"/>
  <c r="M1559" i="32" a="1"/>
  <c r="M1559" i="32" s="1"/>
  <c r="D1559" i="32" s="1"/>
  <c r="N1559" i="32" a="1"/>
  <c r="N1559" i="32" s="1"/>
  <c r="E1559" i="32" s="1"/>
  <c r="R1559" i="32" a="1"/>
  <c r="R1559" i="32" s="1"/>
  <c r="K1563" i="32"/>
  <c r="L1561" i="32"/>
  <c r="R769" i="32" a="1"/>
  <c r="R769" i="32" s="1"/>
  <c r="P2326" i="27" s="1"/>
  <c r="M769" i="32" a="1"/>
  <c r="M769" i="32" s="1"/>
  <c r="D769" i="32" s="1"/>
  <c r="O769" i="32" a="1"/>
  <c r="O769" i="32" s="1"/>
  <c r="M2326" i="27" s="1"/>
  <c r="A2326" i="27" s="1"/>
  <c r="N769" i="32" a="1"/>
  <c r="N769" i="32" s="1"/>
  <c r="E769" i="32" s="1"/>
  <c r="F2326" i="27" s="1"/>
  <c r="R969" i="32" a="1"/>
  <c r="R969" i="32" s="1"/>
  <c r="P2426" i="27" s="1"/>
  <c r="N969" i="32" a="1"/>
  <c r="N969" i="32" s="1"/>
  <c r="E969" i="32" s="1"/>
  <c r="F2426" i="27" s="1"/>
  <c r="O969" i="32" a="1"/>
  <c r="O969" i="32" s="1"/>
  <c r="M2426" i="27" s="1"/>
  <c r="A2426" i="27" s="1"/>
  <c r="M969" i="32" a="1"/>
  <c r="M969" i="32" s="1"/>
  <c r="D969" i="32" s="1"/>
  <c r="K773" i="32"/>
  <c r="L771" i="32"/>
  <c r="K973" i="32"/>
  <c r="L971" i="32"/>
  <c r="K482" i="32"/>
  <c r="L480" i="32"/>
  <c r="R478" i="32" a="1"/>
  <c r="R478" i="32" s="1"/>
  <c r="P1235" i="27" s="1"/>
  <c r="M478" i="32" a="1"/>
  <c r="M478" i="32" s="1"/>
  <c r="D478" i="32" s="1"/>
  <c r="O478" i="32" a="1"/>
  <c r="O478" i="32" s="1"/>
  <c r="M1235" i="27" s="1"/>
  <c r="A1235" i="27" s="1"/>
  <c r="N478" i="32" a="1"/>
  <c r="N478" i="32" s="1"/>
  <c r="E478" i="32" s="1"/>
  <c r="Q1365" i="32"/>
  <c r="G1361" i="32"/>
  <c r="I4019" i="27"/>
  <c r="H4019" i="27"/>
  <c r="L1973" i="32" l="1"/>
  <c r="K1975" i="32"/>
  <c r="R1971" i="32" a="1"/>
  <c r="R1971" i="32" s="1"/>
  <c r="O1971" i="32" a="1"/>
  <c r="O1971" i="32" s="1"/>
  <c r="N1971" i="32" a="1"/>
  <c r="N1971" i="32" s="1"/>
  <c r="E1971" i="32" s="1"/>
  <c r="M1971" i="32" a="1"/>
  <c r="M1971" i="32" s="1"/>
  <c r="D1971" i="32" s="1"/>
  <c r="A4019" i="27"/>
  <c r="F4021" i="27"/>
  <c r="H711" i="27"/>
  <c r="B712" i="27"/>
  <c r="N712" i="27"/>
  <c r="M712" i="27"/>
  <c r="O771" i="32" a="1"/>
  <c r="O771" i="32" s="1"/>
  <c r="M2327" i="27" s="1"/>
  <c r="A2327" i="27" s="1"/>
  <c r="N771" i="32" a="1"/>
  <c r="N771" i="32" s="1"/>
  <c r="E771" i="32" s="1"/>
  <c r="F2327" i="27" s="1"/>
  <c r="R771" i="32" a="1"/>
  <c r="R771" i="32" s="1"/>
  <c r="P2327" i="27" s="1"/>
  <c r="M771" i="32" a="1"/>
  <c r="M771" i="32" s="1"/>
  <c r="D771" i="32" s="1"/>
  <c r="M971" i="32" a="1"/>
  <c r="M971" i="32" s="1"/>
  <c r="D971" i="32" s="1"/>
  <c r="R971" i="32" a="1"/>
  <c r="R971" i="32" s="1"/>
  <c r="P2427" i="27" s="1"/>
  <c r="O971" i="32" a="1"/>
  <c r="O971" i="32" s="1"/>
  <c r="M2427" i="27" s="1"/>
  <c r="A2427" i="27" s="1"/>
  <c r="N971" i="32" a="1"/>
  <c r="N971" i="32" s="1"/>
  <c r="E971" i="32" s="1"/>
  <c r="F2427" i="27" s="1"/>
  <c r="M1561" i="32" a="1"/>
  <c r="M1561" i="32" s="1"/>
  <c r="D1561" i="32" s="1"/>
  <c r="R1561" i="32" a="1"/>
  <c r="R1561" i="32" s="1"/>
  <c r="O1561" i="32" a="1"/>
  <c r="O1561" i="32" s="1"/>
  <c r="N1561" i="32" a="1"/>
  <c r="N1561" i="32" s="1"/>
  <c r="E1561" i="32" s="1"/>
  <c r="K975" i="32"/>
  <c r="L973" i="32"/>
  <c r="K1565" i="32"/>
  <c r="L1563" i="32"/>
  <c r="K775" i="32"/>
  <c r="L773" i="32"/>
  <c r="R1757" i="32" a="1"/>
  <c r="R1757" i="32" s="1"/>
  <c r="M1757" i="32" a="1"/>
  <c r="M1757" i="32" s="1"/>
  <c r="D1757" i="32" s="1"/>
  <c r="N1757" i="32" a="1"/>
  <c r="N1757" i="32" s="1"/>
  <c r="E1757" i="32" s="1"/>
  <c r="O1757" i="32" a="1"/>
  <c r="O1757" i="32" s="1"/>
  <c r="K1761" i="32"/>
  <c r="L1759" i="32"/>
  <c r="M480" i="32" a="1"/>
  <c r="M480" i="32" s="1"/>
  <c r="D480" i="32" s="1"/>
  <c r="R480" i="32" a="1"/>
  <c r="R480" i="32" s="1"/>
  <c r="P1236" i="27" s="1"/>
  <c r="O480" i="32" a="1"/>
  <c r="O480" i="32" s="1"/>
  <c r="M1236" i="27" s="1"/>
  <c r="A1236" i="27" s="1"/>
  <c r="N480" i="32" a="1"/>
  <c r="N480" i="32" s="1"/>
  <c r="E480" i="32" s="1"/>
  <c r="L482" i="32"/>
  <c r="K484" i="32"/>
  <c r="Q1367" i="32"/>
  <c r="A1365" i="32"/>
  <c r="I4020" i="27"/>
  <c r="A1367" i="32"/>
  <c r="H4020" i="27"/>
  <c r="G1363" i="32"/>
  <c r="L1975" i="32" l="1"/>
  <c r="K1977" i="32"/>
  <c r="R1973" i="32" a="1"/>
  <c r="R1973" i="32" s="1"/>
  <c r="O1973" i="32" a="1"/>
  <c r="O1973" i="32" s="1"/>
  <c r="N1973" i="32" a="1"/>
  <c r="N1973" i="32" s="1"/>
  <c r="E1973" i="32" s="1"/>
  <c r="M1973" i="32" a="1"/>
  <c r="M1973" i="32" s="1"/>
  <c r="D1973" i="32" s="1"/>
  <c r="A4020" i="27"/>
  <c r="F4022" i="27"/>
  <c r="H712" i="27"/>
  <c r="B713" i="27"/>
  <c r="N713" i="27"/>
  <c r="M713" i="27"/>
  <c r="M973" i="32" a="1"/>
  <c r="M973" i="32" s="1"/>
  <c r="D973" i="32" s="1"/>
  <c r="R973" i="32" a="1"/>
  <c r="R973" i="32" s="1"/>
  <c r="P2428" i="27" s="1"/>
  <c r="N973" i="32" a="1"/>
  <c r="N973" i="32" s="1"/>
  <c r="E973" i="32" s="1"/>
  <c r="F2428" i="27" s="1"/>
  <c r="O973" i="32" a="1"/>
  <c r="O973" i="32" s="1"/>
  <c r="M2428" i="27" s="1"/>
  <c r="A2428" i="27" s="1"/>
  <c r="K977" i="32"/>
  <c r="L975" i="32"/>
  <c r="O1759" i="32" a="1"/>
  <c r="O1759" i="32" s="1"/>
  <c r="R1759" i="32" a="1"/>
  <c r="R1759" i="32" s="1"/>
  <c r="M1759" i="32" a="1"/>
  <c r="M1759" i="32" s="1"/>
  <c r="D1759" i="32" s="1"/>
  <c r="N1759" i="32" a="1"/>
  <c r="N1759" i="32" s="1"/>
  <c r="E1759" i="32" s="1"/>
  <c r="K1763" i="32"/>
  <c r="L1761" i="32"/>
  <c r="R773" i="32" a="1"/>
  <c r="R773" i="32" s="1"/>
  <c r="P2328" i="27" s="1"/>
  <c r="M773" i="32" a="1"/>
  <c r="M773" i="32" s="1"/>
  <c r="D773" i="32" s="1"/>
  <c r="N773" i="32" a="1"/>
  <c r="N773" i="32" s="1"/>
  <c r="E773" i="32" s="1"/>
  <c r="F2328" i="27" s="1"/>
  <c r="O773" i="32" a="1"/>
  <c r="O773" i="32" s="1"/>
  <c r="M2328" i="27" s="1"/>
  <c r="A2328" i="27" s="1"/>
  <c r="K777" i="32"/>
  <c r="L775" i="32"/>
  <c r="N1563" i="32" a="1"/>
  <c r="N1563" i="32" s="1"/>
  <c r="E1563" i="32" s="1"/>
  <c r="O1563" i="32" a="1"/>
  <c r="O1563" i="32" s="1"/>
  <c r="R1563" i="32" a="1"/>
  <c r="R1563" i="32" s="1"/>
  <c r="M1563" i="32" a="1"/>
  <c r="M1563" i="32" s="1"/>
  <c r="D1563" i="32" s="1"/>
  <c r="K1567" i="32"/>
  <c r="L1565" i="32"/>
  <c r="K486" i="32"/>
  <c r="L484" i="32"/>
  <c r="M482" i="32" a="1"/>
  <c r="M482" i="32" s="1"/>
  <c r="D482" i="32" s="1"/>
  <c r="R482" i="32" a="1"/>
  <c r="R482" i="32" s="1"/>
  <c r="P1237" i="27" s="1"/>
  <c r="N482" i="32" a="1"/>
  <c r="N482" i="32" s="1"/>
  <c r="E482" i="32" s="1"/>
  <c r="O482" i="32" a="1"/>
  <c r="O482" i="32" s="1"/>
  <c r="M1237" i="27" s="1"/>
  <c r="A1237" i="27" s="1"/>
  <c r="Q1369" i="32"/>
  <c r="G1365" i="32"/>
  <c r="I4021" i="27"/>
  <c r="A1369" i="32"/>
  <c r="H4021" i="27"/>
  <c r="L1977" i="32" l="1"/>
  <c r="K1979" i="32"/>
  <c r="R1977" i="32" a="1"/>
  <c r="R1977" i="32" s="1"/>
  <c r="O1977" i="32" a="1"/>
  <c r="O1977" i="32" s="1"/>
  <c r="N1977" i="32" a="1"/>
  <c r="N1977" i="32" s="1"/>
  <c r="E1977" i="32" s="1"/>
  <c r="M1977" i="32" a="1"/>
  <c r="M1977" i="32" s="1"/>
  <c r="D1977" i="32" s="1"/>
  <c r="R1975" i="32" a="1"/>
  <c r="R1975" i="32" s="1"/>
  <c r="O1975" i="32" a="1"/>
  <c r="O1975" i="32" s="1"/>
  <c r="N1975" i="32" a="1"/>
  <c r="N1975" i="32" s="1"/>
  <c r="E1975" i="32" s="1"/>
  <c r="M1975" i="32" a="1"/>
  <c r="M1975" i="32" s="1"/>
  <c r="D1975" i="32" s="1"/>
  <c r="A4021" i="27"/>
  <c r="B714" i="27"/>
  <c r="N714" i="27"/>
  <c r="M714" i="27"/>
  <c r="H713" i="27"/>
  <c r="R1565" i="32" a="1"/>
  <c r="R1565" i="32" s="1"/>
  <c r="N1565" i="32" a="1"/>
  <c r="N1565" i="32" s="1"/>
  <c r="E1565" i="32" s="1"/>
  <c r="M1565" i="32" a="1"/>
  <c r="M1565" i="32" s="1"/>
  <c r="D1565" i="32" s="1"/>
  <c r="O1565" i="32" a="1"/>
  <c r="O1565" i="32" s="1"/>
  <c r="O1761" i="32" a="1"/>
  <c r="O1761" i="32" s="1"/>
  <c r="M1761" i="32" a="1"/>
  <c r="M1761" i="32" s="1"/>
  <c r="D1761" i="32" s="1"/>
  <c r="R1761" i="32" a="1"/>
  <c r="R1761" i="32" s="1"/>
  <c r="N1761" i="32" a="1"/>
  <c r="N1761" i="32" s="1"/>
  <c r="E1761" i="32" s="1"/>
  <c r="K1569" i="32"/>
  <c r="L1567" i="32"/>
  <c r="K1765" i="32"/>
  <c r="L1763" i="32"/>
  <c r="N775" i="32" a="1"/>
  <c r="N775" i="32" s="1"/>
  <c r="E775" i="32" s="1"/>
  <c r="F2329" i="27" s="1"/>
  <c r="R775" i="32" a="1"/>
  <c r="R775" i="32" s="1"/>
  <c r="P2329" i="27" s="1"/>
  <c r="M775" i="32" a="1"/>
  <c r="M775" i="32" s="1"/>
  <c r="D775" i="32" s="1"/>
  <c r="O775" i="32" a="1"/>
  <c r="O775" i="32" s="1"/>
  <c r="M2329" i="27" s="1"/>
  <c r="A2329" i="27" s="1"/>
  <c r="M975" i="32" a="1"/>
  <c r="M975" i="32" s="1"/>
  <c r="D975" i="32" s="1"/>
  <c r="R975" i="32" a="1"/>
  <c r="R975" i="32" s="1"/>
  <c r="P2429" i="27" s="1"/>
  <c r="O975" i="32" a="1"/>
  <c r="O975" i="32" s="1"/>
  <c r="M2429" i="27" s="1"/>
  <c r="A2429" i="27" s="1"/>
  <c r="N975" i="32" a="1"/>
  <c r="N975" i="32" s="1"/>
  <c r="E975" i="32" s="1"/>
  <c r="F2429" i="27" s="1"/>
  <c r="K779" i="32"/>
  <c r="L777" i="32"/>
  <c r="K979" i="32"/>
  <c r="L977" i="32"/>
  <c r="N484" i="32" a="1"/>
  <c r="N484" i="32" s="1"/>
  <c r="E484" i="32" s="1"/>
  <c r="R484" i="32" a="1"/>
  <c r="R484" i="32" s="1"/>
  <c r="P1238" i="27" s="1"/>
  <c r="M484" i="32" a="1"/>
  <c r="M484" i="32" s="1"/>
  <c r="D484" i="32" s="1"/>
  <c r="O484" i="32" a="1"/>
  <c r="O484" i="32" s="1"/>
  <c r="M1238" i="27" s="1"/>
  <c r="A1238" i="27" s="1"/>
  <c r="K488" i="32"/>
  <c r="L486" i="32"/>
  <c r="Q1371" i="32"/>
  <c r="H4022" i="27"/>
  <c r="G1367" i="32"/>
  <c r="I4022" i="27"/>
  <c r="L1979" i="32" l="1"/>
  <c r="K1981" i="32"/>
  <c r="R1979" i="32" a="1"/>
  <c r="R1979" i="32" s="1"/>
  <c r="O1979" i="32" a="1"/>
  <c r="O1979" i="32" s="1"/>
  <c r="N1979" i="32" a="1"/>
  <c r="N1979" i="32" s="1"/>
  <c r="E1979" i="32" s="1"/>
  <c r="M1979" i="32" a="1"/>
  <c r="M1979" i="32" s="1"/>
  <c r="D1979" i="32" s="1"/>
  <c r="A4022" i="27"/>
  <c r="H714" i="27"/>
  <c r="B715" i="27"/>
  <c r="M715" i="27"/>
  <c r="N715" i="27"/>
  <c r="N977" i="32" a="1"/>
  <c r="N977" i="32" s="1"/>
  <c r="E977" i="32" s="1"/>
  <c r="F2430" i="27" s="1"/>
  <c r="R977" i="32" a="1"/>
  <c r="R977" i="32" s="1"/>
  <c r="P2430" i="27" s="1"/>
  <c r="O977" i="32" a="1"/>
  <c r="O977" i="32" s="1"/>
  <c r="M2430" i="27" s="1"/>
  <c r="A2430" i="27" s="1"/>
  <c r="M977" i="32" a="1"/>
  <c r="M977" i="32" s="1"/>
  <c r="D977" i="32" s="1"/>
  <c r="R1567" i="32" a="1"/>
  <c r="R1567" i="32" s="1"/>
  <c r="O1567" i="32" a="1"/>
  <c r="O1567" i="32" s="1"/>
  <c r="M1567" i="32" a="1"/>
  <c r="M1567" i="32" s="1"/>
  <c r="D1567" i="32" s="1"/>
  <c r="N1567" i="32" a="1"/>
  <c r="N1567" i="32" s="1"/>
  <c r="E1567" i="32" s="1"/>
  <c r="M1763" i="32" a="1"/>
  <c r="M1763" i="32" s="1"/>
  <c r="D1763" i="32" s="1"/>
  <c r="N1763" i="32" a="1"/>
  <c r="N1763" i="32" s="1"/>
  <c r="E1763" i="32" s="1"/>
  <c r="O1763" i="32" a="1"/>
  <c r="O1763" i="32" s="1"/>
  <c r="R1763" i="32" a="1"/>
  <c r="R1763" i="32" s="1"/>
  <c r="K981" i="32"/>
  <c r="L979" i="32"/>
  <c r="K1767" i="32"/>
  <c r="L1765" i="32"/>
  <c r="M777" i="32" a="1"/>
  <c r="M777" i="32" s="1"/>
  <c r="D777" i="32" s="1"/>
  <c r="R777" i="32" a="1"/>
  <c r="R777" i="32" s="1"/>
  <c r="P2330" i="27" s="1"/>
  <c r="N777" i="32" a="1"/>
  <c r="N777" i="32" s="1"/>
  <c r="E777" i="32" s="1"/>
  <c r="F2330" i="27" s="1"/>
  <c r="O777" i="32" a="1"/>
  <c r="O777" i="32" s="1"/>
  <c r="M2330" i="27" s="1"/>
  <c r="A2330" i="27" s="1"/>
  <c r="K781" i="32"/>
  <c r="L779" i="32"/>
  <c r="K1571" i="32"/>
  <c r="L1569" i="32"/>
  <c r="N486" i="32" a="1"/>
  <c r="N486" i="32" s="1"/>
  <c r="E486" i="32" s="1"/>
  <c r="O486" i="32" a="1"/>
  <c r="O486" i="32" s="1"/>
  <c r="M1239" i="27" s="1"/>
  <c r="A1239" i="27" s="1"/>
  <c r="M486" i="32" a="1"/>
  <c r="M486" i="32" s="1"/>
  <c r="D486" i="32" s="1"/>
  <c r="R486" i="32" a="1"/>
  <c r="R486" i="32" s="1"/>
  <c r="P1239" i="27" s="1"/>
  <c r="K490" i="32"/>
  <c r="L488" i="32"/>
  <c r="Q1373" i="32"/>
  <c r="G1369" i="32"/>
  <c r="A1373" i="32"/>
  <c r="A1371" i="32"/>
  <c r="L1981" i="32" l="1"/>
  <c r="K1983" i="32"/>
  <c r="H715" i="27"/>
  <c r="B716" i="27"/>
  <c r="N716" i="27"/>
  <c r="M716" i="27"/>
  <c r="K1573" i="32"/>
  <c r="L1571" i="32"/>
  <c r="L781" i="32"/>
  <c r="K783" i="32"/>
  <c r="K983" i="32"/>
  <c r="L981" i="32"/>
  <c r="R1569" i="32" a="1"/>
  <c r="R1569" i="32" s="1"/>
  <c r="N1569" i="32" a="1"/>
  <c r="N1569" i="32" s="1"/>
  <c r="E1569" i="32" s="1"/>
  <c r="O1569" i="32" a="1"/>
  <c r="O1569" i="32" s="1"/>
  <c r="M1569" i="32" a="1"/>
  <c r="M1569" i="32" s="1"/>
  <c r="D1569" i="32" s="1"/>
  <c r="N1765" i="32" a="1"/>
  <c r="N1765" i="32" s="1"/>
  <c r="E1765" i="32" s="1"/>
  <c r="O1765" i="32" a="1"/>
  <c r="O1765" i="32" s="1"/>
  <c r="M1765" i="32" a="1"/>
  <c r="M1765" i="32" s="1"/>
  <c r="D1765" i="32" s="1"/>
  <c r="R1765" i="32" a="1"/>
  <c r="R1765" i="32" s="1"/>
  <c r="K1769" i="32"/>
  <c r="L1767" i="32"/>
  <c r="N779" i="32" a="1"/>
  <c r="N779" i="32" s="1"/>
  <c r="E779" i="32" s="1"/>
  <c r="F2331" i="27" s="1"/>
  <c r="R779" i="32" a="1"/>
  <c r="R779" i="32" s="1"/>
  <c r="P2331" i="27" s="1"/>
  <c r="O779" i="32" a="1"/>
  <c r="O779" i="32" s="1"/>
  <c r="M2331" i="27" s="1"/>
  <c r="A2331" i="27" s="1"/>
  <c r="M779" i="32" a="1"/>
  <c r="M779" i="32" s="1"/>
  <c r="D779" i="32" s="1"/>
  <c r="O979" i="32" a="1"/>
  <c r="O979" i="32" s="1"/>
  <c r="M2431" i="27" s="1"/>
  <c r="A2431" i="27" s="1"/>
  <c r="M979" i="32" a="1"/>
  <c r="M979" i="32" s="1"/>
  <c r="D979" i="32" s="1"/>
  <c r="R979" i="32" a="1"/>
  <c r="R979" i="32" s="1"/>
  <c r="P2431" i="27" s="1"/>
  <c r="N979" i="32" a="1"/>
  <c r="N979" i="32" s="1"/>
  <c r="E979" i="32" s="1"/>
  <c r="F2431" i="27" s="1"/>
  <c r="O488" i="32" a="1"/>
  <c r="O488" i="32" s="1"/>
  <c r="M1240" i="27" s="1"/>
  <c r="A1240" i="27" s="1"/>
  <c r="M488" i="32" a="1"/>
  <c r="M488" i="32" s="1"/>
  <c r="D488" i="32" s="1"/>
  <c r="R488" i="32" a="1"/>
  <c r="R488" i="32" s="1"/>
  <c r="P1240" i="27" s="1"/>
  <c r="N488" i="32" a="1"/>
  <c r="N488" i="32" s="1"/>
  <c r="E488" i="32" s="1"/>
  <c r="L490" i="32"/>
  <c r="K492" i="32"/>
  <c r="Q1375" i="32"/>
  <c r="G1371" i="32"/>
  <c r="L1983" i="32" l="1"/>
  <c r="K1985" i="32"/>
  <c r="R1981" i="32" a="1"/>
  <c r="R1981" i="32" s="1"/>
  <c r="O1981" i="32" a="1"/>
  <c r="O1981" i="32" s="1"/>
  <c r="N1981" i="32" a="1"/>
  <c r="N1981" i="32" s="1"/>
  <c r="E1981" i="32" s="1"/>
  <c r="M1981" i="32" a="1"/>
  <c r="M1981" i="32" s="1"/>
  <c r="D1981" i="32" s="1"/>
  <c r="H716" i="27"/>
  <c r="B717" i="27"/>
  <c r="N717" i="27"/>
  <c r="M717" i="27"/>
  <c r="R981" i="32" a="1"/>
  <c r="R981" i="32" s="1"/>
  <c r="P2432" i="27" s="1"/>
  <c r="N981" i="32" a="1"/>
  <c r="N981" i="32" s="1"/>
  <c r="E981" i="32" s="1"/>
  <c r="F2432" i="27" s="1"/>
  <c r="M981" i="32" a="1"/>
  <c r="M981" i="32" s="1"/>
  <c r="D981" i="32" s="1"/>
  <c r="O981" i="32" a="1"/>
  <c r="O981" i="32" s="1"/>
  <c r="M2432" i="27" s="1"/>
  <c r="A2432" i="27" s="1"/>
  <c r="K985" i="32"/>
  <c r="L983" i="32"/>
  <c r="O1767" i="32" a="1"/>
  <c r="O1767" i="32" s="1"/>
  <c r="N1767" i="32" a="1"/>
  <c r="N1767" i="32" s="1"/>
  <c r="E1767" i="32" s="1"/>
  <c r="M1767" i="32" a="1"/>
  <c r="M1767" i="32" s="1"/>
  <c r="D1767" i="32" s="1"/>
  <c r="R1767" i="32" a="1"/>
  <c r="R1767" i="32" s="1"/>
  <c r="K785" i="32"/>
  <c r="L783" i="32"/>
  <c r="K1771" i="32"/>
  <c r="L1769" i="32"/>
  <c r="O781" i="32" a="1"/>
  <c r="O781" i="32" s="1"/>
  <c r="M2332" i="27" s="1"/>
  <c r="A2332" i="27" s="1"/>
  <c r="N781" i="32" a="1"/>
  <c r="N781" i="32" s="1"/>
  <c r="E781" i="32" s="1"/>
  <c r="F2332" i="27" s="1"/>
  <c r="R781" i="32" a="1"/>
  <c r="R781" i="32" s="1"/>
  <c r="P2332" i="27" s="1"/>
  <c r="M781" i="32" a="1"/>
  <c r="M781" i="32" s="1"/>
  <c r="D781" i="32" s="1"/>
  <c r="M1571" i="32" a="1"/>
  <c r="M1571" i="32" s="1"/>
  <c r="D1571" i="32" s="1"/>
  <c r="O1571" i="32" a="1"/>
  <c r="O1571" i="32" s="1"/>
  <c r="N1571" i="32" a="1"/>
  <c r="N1571" i="32" s="1"/>
  <c r="E1571" i="32" s="1"/>
  <c r="R1571" i="32" a="1"/>
  <c r="R1571" i="32" s="1"/>
  <c r="K1575" i="32"/>
  <c r="L1573" i="32"/>
  <c r="K494" i="32"/>
  <c r="L494" i="32" s="1"/>
  <c r="L492" i="32"/>
  <c r="R490" i="32" a="1"/>
  <c r="R490" i="32" s="1"/>
  <c r="P1241" i="27" s="1"/>
  <c r="N490" i="32" a="1"/>
  <c r="N490" i="32" s="1"/>
  <c r="E490" i="32" s="1"/>
  <c r="O490" i="32" a="1"/>
  <c r="O490" i="32" s="1"/>
  <c r="M1241" i="27" s="1"/>
  <c r="A1241" i="27" s="1"/>
  <c r="M490" i="32" a="1"/>
  <c r="M490" i="32" s="1"/>
  <c r="D490" i="32" s="1"/>
  <c r="Q1377" i="32"/>
  <c r="A1377" i="32"/>
  <c r="A1375" i="32"/>
  <c r="G1373" i="32"/>
  <c r="L1985" i="32" l="1"/>
  <c r="K1987" i="32"/>
  <c r="R1983" i="32" a="1"/>
  <c r="R1983" i="32" s="1"/>
  <c r="O1983" i="32" a="1"/>
  <c r="O1983" i="32" s="1"/>
  <c r="N1983" i="32" a="1"/>
  <c r="N1983" i="32" s="1"/>
  <c r="E1983" i="32" s="1"/>
  <c r="M1983" i="32" a="1"/>
  <c r="M1983" i="32" s="1"/>
  <c r="D1983" i="32" s="1"/>
  <c r="B718" i="27"/>
  <c r="N718" i="27"/>
  <c r="M718" i="27"/>
  <c r="H717" i="27"/>
  <c r="M1769" i="32" a="1"/>
  <c r="M1769" i="32" s="1"/>
  <c r="D1769" i="32" s="1"/>
  <c r="O1769" i="32" a="1"/>
  <c r="O1769" i="32" s="1"/>
  <c r="R1769" i="32" a="1"/>
  <c r="R1769" i="32" s="1"/>
  <c r="N1769" i="32" a="1"/>
  <c r="N1769" i="32" s="1"/>
  <c r="E1769" i="32" s="1"/>
  <c r="K1773" i="32"/>
  <c r="L1771" i="32"/>
  <c r="O1573" i="32" a="1"/>
  <c r="O1573" i="32" s="1"/>
  <c r="R1573" i="32" a="1"/>
  <c r="R1573" i="32" s="1"/>
  <c r="N1573" i="32" a="1"/>
  <c r="N1573" i="32" s="1"/>
  <c r="E1573" i="32" s="1"/>
  <c r="M1573" i="32" a="1"/>
  <c r="M1573" i="32" s="1"/>
  <c r="D1573" i="32" s="1"/>
  <c r="R783" i="32" a="1"/>
  <c r="R783" i="32" s="1"/>
  <c r="P2333" i="27" s="1"/>
  <c r="M783" i="32" a="1"/>
  <c r="M783" i="32" s="1"/>
  <c r="D783" i="32" s="1"/>
  <c r="O783" i="32" a="1"/>
  <c r="O783" i="32" s="1"/>
  <c r="M2333" i="27" s="1"/>
  <c r="A2333" i="27" s="1"/>
  <c r="N783" i="32" a="1"/>
  <c r="N783" i="32" s="1"/>
  <c r="E783" i="32" s="1"/>
  <c r="F2333" i="27" s="1"/>
  <c r="K1577" i="32"/>
  <c r="L1575" i="32"/>
  <c r="K787" i="32"/>
  <c r="L785" i="32"/>
  <c r="R983" i="32" a="1"/>
  <c r="R983" i="32" s="1"/>
  <c r="P2433" i="27" s="1"/>
  <c r="M983" i="32" a="1"/>
  <c r="M983" i="32" s="1"/>
  <c r="D983" i="32" s="1"/>
  <c r="O983" i="32" a="1"/>
  <c r="O983" i="32" s="1"/>
  <c r="M2433" i="27" s="1"/>
  <c r="A2433" i="27" s="1"/>
  <c r="N983" i="32" a="1"/>
  <c r="N983" i="32" s="1"/>
  <c r="E983" i="32" s="1"/>
  <c r="F2433" i="27" s="1"/>
  <c r="K987" i="32"/>
  <c r="L985" i="32"/>
  <c r="R492" i="32" a="1"/>
  <c r="R492" i="32" s="1"/>
  <c r="P1242" i="27" s="1"/>
  <c r="M492" i="32" a="1"/>
  <c r="M492" i="32" s="1"/>
  <c r="D492" i="32" s="1"/>
  <c r="N492" i="32" a="1"/>
  <c r="N492" i="32" s="1"/>
  <c r="E492" i="32" s="1"/>
  <c r="O492" i="32" a="1"/>
  <c r="O492" i="32" s="1"/>
  <c r="M1242" i="27" s="1"/>
  <c r="A1242" i="27" s="1"/>
  <c r="N494" i="32" a="1"/>
  <c r="N494" i="32" s="1"/>
  <c r="E494" i="32" s="1"/>
  <c r="M494" i="32" a="1"/>
  <c r="M494" i="32" s="1"/>
  <c r="D494" i="32" s="1"/>
  <c r="O494" i="32" a="1"/>
  <c r="O494" i="32" s="1"/>
  <c r="M1243" i="27" s="1"/>
  <c r="A1243" i="27" s="1"/>
  <c r="R494" i="32" a="1"/>
  <c r="R494" i="32" s="1"/>
  <c r="P1243" i="27" s="1"/>
  <c r="Q1379" i="32"/>
  <c r="G1375" i="32"/>
  <c r="L1987" i="32" l="1"/>
  <c r="K1989" i="32"/>
  <c r="R1985" i="32" a="1"/>
  <c r="R1985" i="32" s="1"/>
  <c r="O1985" i="32" a="1"/>
  <c r="O1985" i="32" s="1"/>
  <c r="N1985" i="32" a="1"/>
  <c r="N1985" i="32" s="1"/>
  <c r="E1985" i="32" s="1"/>
  <c r="M1985" i="32" a="1"/>
  <c r="M1985" i="32" s="1"/>
  <c r="D1985" i="32" s="1"/>
  <c r="H718" i="27"/>
  <c r="B719" i="27"/>
  <c r="N719" i="27"/>
  <c r="M719" i="27"/>
  <c r="M785" i="32" a="1"/>
  <c r="M785" i="32" s="1"/>
  <c r="D785" i="32" s="1"/>
  <c r="R785" i="32" a="1"/>
  <c r="R785" i="32" s="1"/>
  <c r="P2334" i="27" s="1"/>
  <c r="O785" i="32" a="1"/>
  <c r="O785" i="32" s="1"/>
  <c r="M2334" i="27" s="1"/>
  <c r="A2334" i="27" s="1"/>
  <c r="N785" i="32" a="1"/>
  <c r="N785" i="32" s="1"/>
  <c r="E785" i="32" s="1"/>
  <c r="F2334" i="27" s="1"/>
  <c r="R1771" i="32" a="1"/>
  <c r="R1771" i="32" s="1"/>
  <c r="N1771" i="32" a="1"/>
  <c r="N1771" i="32" s="1"/>
  <c r="E1771" i="32" s="1"/>
  <c r="M1771" i="32" a="1"/>
  <c r="M1771" i="32" s="1"/>
  <c r="D1771" i="32" s="1"/>
  <c r="O1771" i="32" a="1"/>
  <c r="O1771" i="32" s="1"/>
  <c r="L787" i="32"/>
  <c r="K789" i="32"/>
  <c r="K1775" i="32"/>
  <c r="L1773" i="32"/>
  <c r="R985" i="32" a="1"/>
  <c r="R985" i="32" s="1"/>
  <c r="P2434" i="27" s="1"/>
  <c r="N985" i="32" a="1"/>
  <c r="N985" i="32" s="1"/>
  <c r="E985" i="32" s="1"/>
  <c r="F2434" i="27" s="1"/>
  <c r="M985" i="32" a="1"/>
  <c r="M985" i="32" s="1"/>
  <c r="D985" i="32" s="1"/>
  <c r="O985" i="32" a="1"/>
  <c r="O985" i="32" s="1"/>
  <c r="M2434" i="27" s="1"/>
  <c r="A2434" i="27" s="1"/>
  <c r="M1575" i="32" a="1"/>
  <c r="M1575" i="32" s="1"/>
  <c r="D1575" i="32" s="1"/>
  <c r="O1575" i="32" a="1"/>
  <c r="O1575" i="32" s="1"/>
  <c r="N1575" i="32" a="1"/>
  <c r="N1575" i="32" s="1"/>
  <c r="E1575" i="32" s="1"/>
  <c r="R1575" i="32" a="1"/>
  <c r="R1575" i="32" s="1"/>
  <c r="K989" i="32"/>
  <c r="L987" i="32"/>
  <c r="K1579" i="32"/>
  <c r="L1577" i="32"/>
  <c r="Q1381" i="32"/>
  <c r="G1377" i="32"/>
  <c r="A1379" i="32"/>
  <c r="A1381" i="32"/>
  <c r="L1989" i="32" l="1"/>
  <c r="K1991" i="32"/>
  <c r="R1987" i="32" a="1"/>
  <c r="R1987" i="32" s="1"/>
  <c r="O1987" i="32" a="1"/>
  <c r="O1987" i="32" s="1"/>
  <c r="N1987" i="32" a="1"/>
  <c r="N1987" i="32" s="1"/>
  <c r="E1987" i="32" s="1"/>
  <c r="M1987" i="32" a="1"/>
  <c r="M1987" i="32" s="1"/>
  <c r="D1987" i="32" s="1"/>
  <c r="H719" i="27"/>
  <c r="B720" i="27"/>
  <c r="M720" i="27"/>
  <c r="N720" i="27"/>
  <c r="K1777" i="32"/>
  <c r="L1775" i="32"/>
  <c r="M1773" i="32" a="1"/>
  <c r="M1773" i="32" s="1"/>
  <c r="D1773" i="32" s="1"/>
  <c r="N1773" i="32" a="1"/>
  <c r="N1773" i="32" s="1"/>
  <c r="E1773" i="32" s="1"/>
  <c r="O1773" i="32" a="1"/>
  <c r="O1773" i="32" s="1"/>
  <c r="R1773" i="32" a="1"/>
  <c r="R1773" i="32" s="1"/>
  <c r="L789" i="32"/>
  <c r="K791" i="32"/>
  <c r="M1577" i="32" a="1"/>
  <c r="M1577" i="32" s="1"/>
  <c r="D1577" i="32" s="1"/>
  <c r="N1577" i="32" a="1"/>
  <c r="N1577" i="32" s="1"/>
  <c r="E1577" i="32" s="1"/>
  <c r="R1577" i="32" a="1"/>
  <c r="R1577" i="32" s="1"/>
  <c r="O1577" i="32" a="1"/>
  <c r="O1577" i="32" s="1"/>
  <c r="K1581" i="32"/>
  <c r="L1579" i="32"/>
  <c r="O987" i="32" a="1"/>
  <c r="O987" i="32" s="1"/>
  <c r="M2435" i="27" s="1"/>
  <c r="A2435" i="27" s="1"/>
  <c r="R987" i="32" a="1"/>
  <c r="R987" i="32" s="1"/>
  <c r="P2435" i="27" s="1"/>
  <c r="M987" i="32" a="1"/>
  <c r="M987" i="32" s="1"/>
  <c r="D987" i="32" s="1"/>
  <c r="N987" i="32" a="1"/>
  <c r="N987" i="32" s="1"/>
  <c r="E987" i="32" s="1"/>
  <c r="F2435" i="27" s="1"/>
  <c r="K991" i="32"/>
  <c r="L989" i="32"/>
  <c r="N787" i="32" a="1"/>
  <c r="N787" i="32" s="1"/>
  <c r="E787" i="32" s="1"/>
  <c r="F2335" i="27" s="1"/>
  <c r="O787" i="32" a="1"/>
  <c r="O787" i="32" s="1"/>
  <c r="M2335" i="27" s="1"/>
  <c r="A2335" i="27" s="1"/>
  <c r="R787" i="32" a="1"/>
  <c r="R787" i="32" s="1"/>
  <c r="P2335" i="27" s="1"/>
  <c r="M787" i="32" a="1"/>
  <c r="M787" i="32" s="1"/>
  <c r="D787" i="32" s="1"/>
  <c r="Q1383" i="32"/>
  <c r="G1379" i="32"/>
  <c r="L1991" i="32" l="1"/>
  <c r="K1993" i="32"/>
  <c r="R1989" i="32" a="1"/>
  <c r="R1989" i="32" s="1"/>
  <c r="O1989" i="32" a="1"/>
  <c r="O1989" i="32" s="1"/>
  <c r="N1989" i="32" a="1"/>
  <c r="N1989" i="32" s="1"/>
  <c r="E1989" i="32" s="1"/>
  <c r="M1989" i="32" a="1"/>
  <c r="M1989" i="32" s="1"/>
  <c r="D1989" i="32" s="1"/>
  <c r="B721" i="27"/>
  <c r="N721" i="27"/>
  <c r="M721" i="27"/>
  <c r="H720" i="27"/>
  <c r="K793" i="32"/>
  <c r="L791" i="32"/>
  <c r="M989" i="32" a="1"/>
  <c r="M989" i="32" s="1"/>
  <c r="D989" i="32" s="1"/>
  <c r="N989" i="32" a="1"/>
  <c r="N989" i="32" s="1"/>
  <c r="E989" i="32" s="1"/>
  <c r="F2436" i="27" s="1"/>
  <c r="R989" i="32" a="1"/>
  <c r="R989" i="32" s="1"/>
  <c r="P2436" i="27" s="1"/>
  <c r="O989" i="32" a="1"/>
  <c r="O989" i="32" s="1"/>
  <c r="M2436" i="27" s="1"/>
  <c r="A2436" i="27" s="1"/>
  <c r="K993" i="32"/>
  <c r="L991" i="32"/>
  <c r="O789" i="32" a="1"/>
  <c r="O789" i="32" s="1"/>
  <c r="M2336" i="27" s="1"/>
  <c r="A2336" i="27" s="1"/>
  <c r="R789" i="32" a="1"/>
  <c r="R789" i="32" s="1"/>
  <c r="P2336" i="27" s="1"/>
  <c r="M789" i="32" a="1"/>
  <c r="M789" i="32" s="1"/>
  <c r="D789" i="32" s="1"/>
  <c r="N789" i="32" a="1"/>
  <c r="N789" i="32" s="1"/>
  <c r="E789" i="32" s="1"/>
  <c r="F2336" i="27" s="1"/>
  <c r="N1579" i="32" a="1"/>
  <c r="N1579" i="32" s="1"/>
  <c r="E1579" i="32" s="1"/>
  <c r="O1579" i="32" a="1"/>
  <c r="O1579" i="32" s="1"/>
  <c r="R1579" i="32" a="1"/>
  <c r="R1579" i="32" s="1"/>
  <c r="M1579" i="32" a="1"/>
  <c r="M1579" i="32" s="1"/>
  <c r="D1579" i="32" s="1"/>
  <c r="O1775" i="32" a="1"/>
  <c r="O1775" i="32" s="1"/>
  <c r="R1775" i="32" a="1"/>
  <c r="R1775" i="32" s="1"/>
  <c r="M1775" i="32" a="1"/>
  <c r="M1775" i="32" s="1"/>
  <c r="D1775" i="32" s="1"/>
  <c r="N1775" i="32" a="1"/>
  <c r="N1775" i="32" s="1"/>
  <c r="E1775" i="32" s="1"/>
  <c r="K1583" i="32"/>
  <c r="L1581" i="32"/>
  <c r="K1779" i="32"/>
  <c r="L1777" i="32"/>
  <c r="Q1385" i="32"/>
  <c r="A1385" i="32"/>
  <c r="A1383" i="32"/>
  <c r="G1381" i="32"/>
  <c r="L1993" i="32" l="1"/>
  <c r="K1995" i="32"/>
  <c r="R1991" i="32" a="1"/>
  <c r="R1991" i="32" s="1"/>
  <c r="O1991" i="32" a="1"/>
  <c r="O1991" i="32" s="1"/>
  <c r="N1991" i="32" a="1"/>
  <c r="N1991" i="32" s="1"/>
  <c r="E1991" i="32" s="1"/>
  <c r="M1991" i="32" a="1"/>
  <c r="M1991" i="32" s="1"/>
  <c r="D1991" i="32" s="1"/>
  <c r="H721" i="27"/>
  <c r="B722" i="27"/>
  <c r="M722" i="27"/>
  <c r="N722" i="27"/>
  <c r="N1777" i="32" a="1"/>
  <c r="N1777" i="32" s="1"/>
  <c r="E1777" i="32" s="1"/>
  <c r="O1777" i="32" a="1"/>
  <c r="O1777" i="32" s="1"/>
  <c r="M1777" i="32" a="1"/>
  <c r="M1777" i="32" s="1"/>
  <c r="D1777" i="32" s="1"/>
  <c r="R1777" i="32" a="1"/>
  <c r="R1777" i="32" s="1"/>
  <c r="K1781" i="32"/>
  <c r="L1779" i="32"/>
  <c r="K1585" i="32"/>
  <c r="L1583" i="32"/>
  <c r="M991" i="32" a="1"/>
  <c r="M991" i="32" s="1"/>
  <c r="D991" i="32" s="1"/>
  <c r="O991" i="32" a="1"/>
  <c r="O991" i="32" s="1"/>
  <c r="M2437" i="27" s="1"/>
  <c r="A2437" i="27" s="1"/>
  <c r="R991" i="32" a="1"/>
  <c r="R991" i="32" s="1"/>
  <c r="P2437" i="27" s="1"/>
  <c r="N991" i="32" a="1"/>
  <c r="N991" i="32" s="1"/>
  <c r="E991" i="32" s="1"/>
  <c r="F2437" i="27" s="1"/>
  <c r="M1581" i="32" a="1"/>
  <c r="M1581" i="32" s="1"/>
  <c r="D1581" i="32" s="1"/>
  <c r="N1581" i="32" a="1"/>
  <c r="N1581" i="32" s="1"/>
  <c r="E1581" i="32" s="1"/>
  <c r="O1581" i="32" a="1"/>
  <c r="O1581" i="32" s="1"/>
  <c r="R1581" i="32" a="1"/>
  <c r="R1581" i="32" s="1"/>
  <c r="K995" i="32"/>
  <c r="L993" i="32"/>
  <c r="O791" i="32" a="1"/>
  <c r="O791" i="32" s="1"/>
  <c r="M2337" i="27" s="1"/>
  <c r="A2337" i="27" s="1"/>
  <c r="R791" i="32" a="1"/>
  <c r="R791" i="32" s="1"/>
  <c r="P2337" i="27" s="1"/>
  <c r="N791" i="32" a="1"/>
  <c r="N791" i="32" s="1"/>
  <c r="E791" i="32" s="1"/>
  <c r="F2337" i="27" s="1"/>
  <c r="M791" i="32" a="1"/>
  <c r="M791" i="32" s="1"/>
  <c r="D791" i="32" s="1"/>
  <c r="L793" i="32"/>
  <c r="K795" i="32"/>
  <c r="Q1387" i="32"/>
  <c r="G1383" i="32"/>
  <c r="A1387" i="32"/>
  <c r="L1995" i="32" l="1"/>
  <c r="K1997" i="32"/>
  <c r="R1993" i="32" a="1"/>
  <c r="R1993" i="32" s="1"/>
  <c r="O1993" i="32" a="1"/>
  <c r="O1993" i="32" s="1"/>
  <c r="N1993" i="32" a="1"/>
  <c r="N1993" i="32" s="1"/>
  <c r="E1993" i="32" s="1"/>
  <c r="M1993" i="32" a="1"/>
  <c r="M1993" i="32" s="1"/>
  <c r="D1993" i="32" s="1"/>
  <c r="H722" i="27"/>
  <c r="B723" i="27"/>
  <c r="H723" i="27" s="1"/>
  <c r="M723" i="27"/>
  <c r="N723" i="27"/>
  <c r="K997" i="32"/>
  <c r="L995" i="32"/>
  <c r="L795" i="32"/>
  <c r="K797" i="32"/>
  <c r="R793" i="32" a="1"/>
  <c r="R793" i="32" s="1"/>
  <c r="P2338" i="27" s="1"/>
  <c r="M793" i="32" a="1"/>
  <c r="M793" i="32" s="1"/>
  <c r="D793" i="32" s="1"/>
  <c r="O793" i="32" a="1"/>
  <c r="O793" i="32" s="1"/>
  <c r="M2338" i="27" s="1"/>
  <c r="A2338" i="27" s="1"/>
  <c r="N793" i="32" a="1"/>
  <c r="N793" i="32" s="1"/>
  <c r="E793" i="32" s="1"/>
  <c r="F2338" i="27" s="1"/>
  <c r="R1583" i="32" a="1"/>
  <c r="R1583" i="32" s="1"/>
  <c r="M1583" i="32" a="1"/>
  <c r="M1583" i="32" s="1"/>
  <c r="D1583" i="32" s="1"/>
  <c r="O1583" i="32" a="1"/>
  <c r="O1583" i="32" s="1"/>
  <c r="N1583" i="32" a="1"/>
  <c r="N1583" i="32" s="1"/>
  <c r="E1583" i="32" s="1"/>
  <c r="K1587" i="32"/>
  <c r="L1585" i="32"/>
  <c r="R993" i="32" a="1"/>
  <c r="R993" i="32" s="1"/>
  <c r="P2438" i="27" s="1"/>
  <c r="O993" i="32" a="1"/>
  <c r="O993" i="32" s="1"/>
  <c r="M2438" i="27" s="1"/>
  <c r="A2438" i="27" s="1"/>
  <c r="M993" i="32" a="1"/>
  <c r="M993" i="32" s="1"/>
  <c r="D993" i="32" s="1"/>
  <c r="N993" i="32" a="1"/>
  <c r="N993" i="32" s="1"/>
  <c r="E993" i="32" s="1"/>
  <c r="F2438" i="27" s="1"/>
  <c r="R1779" i="32" a="1"/>
  <c r="R1779" i="32" s="1"/>
  <c r="N1779" i="32" a="1"/>
  <c r="N1779" i="32" s="1"/>
  <c r="E1779" i="32" s="1"/>
  <c r="M1779" i="32" a="1"/>
  <c r="M1779" i="32" s="1"/>
  <c r="D1779" i="32" s="1"/>
  <c r="O1779" i="32" a="1"/>
  <c r="O1779" i="32" s="1"/>
  <c r="K1783" i="32"/>
  <c r="L1781" i="32"/>
  <c r="Q1389" i="32"/>
  <c r="A1389" i="32"/>
  <c r="G1385" i="32"/>
  <c r="L1997" i="32" l="1"/>
  <c r="K1999" i="32"/>
  <c r="R1995" i="32" a="1"/>
  <c r="R1995" i="32" s="1"/>
  <c r="O1995" i="32" a="1"/>
  <c r="O1995" i="32" s="1"/>
  <c r="N1995" i="32" a="1"/>
  <c r="N1995" i="32" s="1"/>
  <c r="E1995" i="32" s="1"/>
  <c r="M1995" i="32" a="1"/>
  <c r="M1995" i="32" s="1"/>
  <c r="D1995" i="32" s="1"/>
  <c r="B724" i="27"/>
  <c r="H724" i="27" s="1"/>
  <c r="M724" i="27"/>
  <c r="N724" i="27"/>
  <c r="N1781" i="32" a="1"/>
  <c r="N1781" i="32" s="1"/>
  <c r="E1781" i="32" s="1"/>
  <c r="M1781" i="32" a="1"/>
  <c r="M1781" i="32" s="1"/>
  <c r="D1781" i="32" s="1"/>
  <c r="R1781" i="32" a="1"/>
  <c r="R1781" i="32" s="1"/>
  <c r="O1781" i="32" a="1"/>
  <c r="O1781" i="32" s="1"/>
  <c r="K1785" i="32"/>
  <c r="L1783" i="32"/>
  <c r="L797" i="32"/>
  <c r="K799" i="32"/>
  <c r="O795" i="32" a="1"/>
  <c r="O795" i="32" s="1"/>
  <c r="M2339" i="27" s="1"/>
  <c r="A2339" i="27" s="1"/>
  <c r="R795" i="32" a="1"/>
  <c r="R795" i="32" s="1"/>
  <c r="P2339" i="27" s="1"/>
  <c r="M795" i="32" a="1"/>
  <c r="M795" i="32" s="1"/>
  <c r="D795" i="32" s="1"/>
  <c r="N795" i="32" a="1"/>
  <c r="N795" i="32" s="1"/>
  <c r="E795" i="32" s="1"/>
  <c r="F2339" i="27" s="1"/>
  <c r="R995" i="32" a="1"/>
  <c r="R995" i="32" s="1"/>
  <c r="P2439" i="27" s="1"/>
  <c r="N995" i="32" a="1"/>
  <c r="N995" i="32" s="1"/>
  <c r="E995" i="32" s="1"/>
  <c r="F2439" i="27" s="1"/>
  <c r="M995" i="32" a="1"/>
  <c r="M995" i="32" s="1"/>
  <c r="D995" i="32" s="1"/>
  <c r="O995" i="32" a="1"/>
  <c r="O995" i="32" s="1"/>
  <c r="M2439" i="27" s="1"/>
  <c r="A2439" i="27" s="1"/>
  <c r="M1585" i="32" a="1"/>
  <c r="M1585" i="32" s="1"/>
  <c r="D1585" i="32" s="1"/>
  <c r="R1585" i="32" a="1"/>
  <c r="R1585" i="32" s="1"/>
  <c r="N1585" i="32" a="1"/>
  <c r="N1585" i="32" s="1"/>
  <c r="E1585" i="32" s="1"/>
  <c r="O1585" i="32" a="1"/>
  <c r="O1585" i="32" s="1"/>
  <c r="K1589" i="32"/>
  <c r="L1587" i="32"/>
  <c r="K999" i="32"/>
  <c r="L997" i="32"/>
  <c r="Q1391" i="32"/>
  <c r="A1391" i="32"/>
  <c r="G1387" i="32"/>
  <c r="L1999" i="32" l="1"/>
  <c r="K2001" i="32"/>
  <c r="R1997" i="32" a="1"/>
  <c r="R1997" i="32" s="1"/>
  <c r="O1997" i="32" a="1"/>
  <c r="O1997" i="32" s="1"/>
  <c r="N1997" i="32" a="1"/>
  <c r="N1997" i="32" s="1"/>
  <c r="E1997" i="32" s="1"/>
  <c r="M1997" i="32" a="1"/>
  <c r="M1997" i="32" s="1"/>
  <c r="D1997" i="32" s="1"/>
  <c r="B725" i="27"/>
  <c r="H725" i="27" s="1"/>
  <c r="M725" i="27"/>
  <c r="N725" i="27"/>
  <c r="M997" i="32" a="1"/>
  <c r="M997" i="32" s="1"/>
  <c r="D997" i="32" s="1"/>
  <c r="N997" i="32" a="1"/>
  <c r="N997" i="32" s="1"/>
  <c r="E997" i="32" s="1"/>
  <c r="F2440" i="27" s="1"/>
  <c r="O997" i="32" a="1"/>
  <c r="O997" i="32" s="1"/>
  <c r="M2440" i="27" s="1"/>
  <c r="A2440" i="27" s="1"/>
  <c r="R997" i="32" a="1"/>
  <c r="R997" i="32" s="1"/>
  <c r="P2440" i="27" s="1"/>
  <c r="K1001" i="32"/>
  <c r="L999" i="32"/>
  <c r="R1587" i="32" a="1"/>
  <c r="R1587" i="32" s="1"/>
  <c r="N1587" i="32" a="1"/>
  <c r="N1587" i="32" s="1"/>
  <c r="E1587" i="32" s="1"/>
  <c r="M1587" i="32" a="1"/>
  <c r="M1587" i="32" s="1"/>
  <c r="D1587" i="32" s="1"/>
  <c r="O1587" i="32" a="1"/>
  <c r="O1587" i="32" s="1"/>
  <c r="K1591" i="32"/>
  <c r="L1589" i="32"/>
  <c r="L799" i="32"/>
  <c r="K801" i="32"/>
  <c r="R797" i="32" a="1"/>
  <c r="R797" i="32" s="1"/>
  <c r="P2340" i="27" s="1"/>
  <c r="N797" i="32" a="1"/>
  <c r="N797" i="32" s="1"/>
  <c r="E797" i="32" s="1"/>
  <c r="F2340" i="27" s="1"/>
  <c r="M797" i="32" a="1"/>
  <c r="M797" i="32" s="1"/>
  <c r="D797" i="32" s="1"/>
  <c r="O797" i="32" a="1"/>
  <c r="O797" i="32" s="1"/>
  <c r="M2340" i="27" s="1"/>
  <c r="A2340" i="27" s="1"/>
  <c r="N1783" i="32" a="1"/>
  <c r="N1783" i="32" s="1"/>
  <c r="E1783" i="32" s="1"/>
  <c r="M1783" i="32" a="1"/>
  <c r="M1783" i="32" s="1"/>
  <c r="D1783" i="32" s="1"/>
  <c r="R1783" i="32" a="1"/>
  <c r="R1783" i="32" s="1"/>
  <c r="O1783" i="32" a="1"/>
  <c r="O1783" i="32" s="1"/>
  <c r="K1787" i="32"/>
  <c r="L1785" i="32"/>
  <c r="Q1393" i="32"/>
  <c r="G1389" i="32"/>
  <c r="A1393" i="32"/>
  <c r="L2001" i="32" l="1"/>
  <c r="K2003" i="32"/>
  <c r="R1999" i="32" a="1"/>
  <c r="R1999" i="32" s="1"/>
  <c r="O1999" i="32" a="1"/>
  <c r="O1999" i="32" s="1"/>
  <c r="N1999" i="32" a="1"/>
  <c r="N1999" i="32" s="1"/>
  <c r="E1999" i="32" s="1"/>
  <c r="M1999" i="32" a="1"/>
  <c r="M1999" i="32" s="1"/>
  <c r="D1999" i="32" s="1"/>
  <c r="B726" i="27"/>
  <c r="M726" i="27"/>
  <c r="N726" i="27"/>
  <c r="K803" i="32"/>
  <c r="L801" i="32"/>
  <c r="R799" i="32" a="1"/>
  <c r="R799" i="32" s="1"/>
  <c r="P2341" i="27" s="1"/>
  <c r="N799" i="32" a="1"/>
  <c r="N799" i="32" s="1"/>
  <c r="E799" i="32" s="1"/>
  <c r="F2341" i="27" s="1"/>
  <c r="O799" i="32" a="1"/>
  <c r="O799" i="32" s="1"/>
  <c r="M2341" i="27" s="1"/>
  <c r="A2341" i="27" s="1"/>
  <c r="M799" i="32" a="1"/>
  <c r="M799" i="32" s="1"/>
  <c r="D799" i="32" s="1"/>
  <c r="O1785" i="32" a="1"/>
  <c r="O1785" i="32" s="1"/>
  <c r="M1785" i="32" a="1"/>
  <c r="M1785" i="32" s="1"/>
  <c r="D1785" i="32" s="1"/>
  <c r="N1785" i="32" a="1"/>
  <c r="N1785" i="32" s="1"/>
  <c r="E1785" i="32" s="1"/>
  <c r="R1785" i="32" a="1"/>
  <c r="R1785" i="32" s="1"/>
  <c r="M1589" i="32" a="1"/>
  <c r="M1589" i="32" s="1"/>
  <c r="D1589" i="32" s="1"/>
  <c r="N1589" i="32" a="1"/>
  <c r="N1589" i="32" s="1"/>
  <c r="E1589" i="32" s="1"/>
  <c r="R1589" i="32" a="1"/>
  <c r="R1589" i="32" s="1"/>
  <c r="O1589" i="32" a="1"/>
  <c r="O1589" i="32" s="1"/>
  <c r="K1789" i="32"/>
  <c r="L1787" i="32"/>
  <c r="K1593" i="32"/>
  <c r="L1591" i="32"/>
  <c r="N999" i="32" a="1"/>
  <c r="N999" i="32" s="1"/>
  <c r="E999" i="32" s="1"/>
  <c r="F2441" i="27" s="1"/>
  <c r="R999" i="32" a="1"/>
  <c r="R999" i="32" s="1"/>
  <c r="P2441" i="27" s="1"/>
  <c r="M999" i="32" a="1"/>
  <c r="M999" i="32" s="1"/>
  <c r="D999" i="32" s="1"/>
  <c r="O999" i="32" a="1"/>
  <c r="O999" i="32" s="1"/>
  <c r="M2441" i="27" s="1"/>
  <c r="A2441" i="27" s="1"/>
  <c r="K1003" i="32"/>
  <c r="L1001" i="32"/>
  <c r="Q1395" i="32"/>
  <c r="G1391" i="32"/>
  <c r="L2003" i="32" l="1"/>
  <c r="K2005" i="32"/>
  <c r="R2001" i="32" a="1"/>
  <c r="R2001" i="32" s="1"/>
  <c r="O2001" i="32" a="1"/>
  <c r="O2001" i="32" s="1"/>
  <c r="N2001" i="32" a="1"/>
  <c r="N2001" i="32" s="1"/>
  <c r="E2001" i="32" s="1"/>
  <c r="M2001" i="32" a="1"/>
  <c r="M2001" i="32" s="1"/>
  <c r="D2001" i="32" s="1"/>
  <c r="B727" i="27"/>
  <c r="N727" i="27"/>
  <c r="M727" i="27"/>
  <c r="H726" i="27"/>
  <c r="R1001" i="32" a="1"/>
  <c r="R1001" i="32" s="1"/>
  <c r="P2442" i="27" s="1"/>
  <c r="M1001" i="32" a="1"/>
  <c r="M1001" i="32" s="1"/>
  <c r="D1001" i="32" s="1"/>
  <c r="N1001" i="32" a="1"/>
  <c r="N1001" i="32" s="1"/>
  <c r="E1001" i="32" s="1"/>
  <c r="F2442" i="27" s="1"/>
  <c r="O1001" i="32" a="1"/>
  <c r="O1001" i="32" s="1"/>
  <c r="M2442" i="27" s="1"/>
  <c r="A2442" i="27" s="1"/>
  <c r="O1591" i="32" a="1"/>
  <c r="O1591" i="32" s="1"/>
  <c r="M1591" i="32" a="1"/>
  <c r="M1591" i="32" s="1"/>
  <c r="D1591" i="32" s="1"/>
  <c r="R1591" i="32" a="1"/>
  <c r="R1591" i="32" s="1"/>
  <c r="N1591" i="32" a="1"/>
  <c r="N1591" i="32" s="1"/>
  <c r="E1591" i="32" s="1"/>
  <c r="K1595" i="32"/>
  <c r="L1593" i="32"/>
  <c r="K1005" i="32"/>
  <c r="L1003" i="32"/>
  <c r="O1787" i="32" a="1"/>
  <c r="O1787" i="32" s="1"/>
  <c r="R1787" i="32" a="1"/>
  <c r="R1787" i="32" s="1"/>
  <c r="M1787" i="32" a="1"/>
  <c r="M1787" i="32" s="1"/>
  <c r="D1787" i="32" s="1"/>
  <c r="N1787" i="32" a="1"/>
  <c r="N1787" i="32" s="1"/>
  <c r="E1787" i="32" s="1"/>
  <c r="K1791" i="32"/>
  <c r="L1789" i="32"/>
  <c r="M801" i="32" a="1"/>
  <c r="M801" i="32" s="1"/>
  <c r="D801" i="32" s="1"/>
  <c r="R801" i="32" a="1"/>
  <c r="R801" i="32" s="1"/>
  <c r="P2342" i="27" s="1"/>
  <c r="O801" i="32" a="1"/>
  <c r="O801" i="32" s="1"/>
  <c r="M2342" i="27" s="1"/>
  <c r="A2342" i="27" s="1"/>
  <c r="N801" i="32" a="1"/>
  <c r="N801" i="32" s="1"/>
  <c r="E801" i="32" s="1"/>
  <c r="F2342" i="27" s="1"/>
  <c r="K805" i="32"/>
  <c r="L803" i="32"/>
  <c r="Q1397" i="32"/>
  <c r="A1397" i="32"/>
  <c r="G1393" i="32"/>
  <c r="A1395" i="32"/>
  <c r="L2005" i="32" l="1"/>
  <c r="K2007" i="32"/>
  <c r="R2003" i="32" a="1"/>
  <c r="R2003" i="32" s="1"/>
  <c r="O2003" i="32" a="1"/>
  <c r="O2003" i="32" s="1"/>
  <c r="N2003" i="32" a="1"/>
  <c r="N2003" i="32" s="1"/>
  <c r="E2003" i="32" s="1"/>
  <c r="M2003" i="32" a="1"/>
  <c r="M2003" i="32" s="1"/>
  <c r="D2003" i="32" s="1"/>
  <c r="H727" i="27"/>
  <c r="B728" i="27"/>
  <c r="M728" i="27"/>
  <c r="N728" i="27"/>
  <c r="N1003" i="32" a="1"/>
  <c r="N1003" i="32" s="1"/>
  <c r="E1003" i="32" s="1"/>
  <c r="F2443" i="27" s="1"/>
  <c r="R1003" i="32" a="1"/>
  <c r="R1003" i="32" s="1"/>
  <c r="P2443" i="27" s="1"/>
  <c r="M1003" i="32" a="1"/>
  <c r="M1003" i="32" s="1"/>
  <c r="D1003" i="32" s="1"/>
  <c r="O1003" i="32" a="1"/>
  <c r="O1003" i="32" s="1"/>
  <c r="M2443" i="27" s="1"/>
  <c r="A2443" i="27" s="1"/>
  <c r="O803" i="32" a="1"/>
  <c r="O803" i="32" s="1"/>
  <c r="M2343" i="27" s="1"/>
  <c r="A2343" i="27" s="1"/>
  <c r="M803" i="32" a="1"/>
  <c r="M803" i="32" s="1"/>
  <c r="D803" i="32" s="1"/>
  <c r="R803" i="32" a="1"/>
  <c r="R803" i="32" s="1"/>
  <c r="P2343" i="27" s="1"/>
  <c r="N803" i="32" a="1"/>
  <c r="N803" i="32" s="1"/>
  <c r="E803" i="32" s="1"/>
  <c r="F2343" i="27" s="1"/>
  <c r="L805" i="32"/>
  <c r="K807" i="32"/>
  <c r="K1007" i="32"/>
  <c r="L1005" i="32"/>
  <c r="O1593" i="32" a="1"/>
  <c r="O1593" i="32" s="1"/>
  <c r="R1593" i="32" a="1"/>
  <c r="R1593" i="32" s="1"/>
  <c r="M1593" i="32" a="1"/>
  <c r="M1593" i="32" s="1"/>
  <c r="D1593" i="32" s="1"/>
  <c r="N1593" i="32" a="1"/>
  <c r="N1593" i="32" s="1"/>
  <c r="E1593" i="32" s="1"/>
  <c r="K1597" i="32"/>
  <c r="L1595" i="32"/>
  <c r="M1789" i="32" a="1"/>
  <c r="M1789" i="32" s="1"/>
  <c r="D1789" i="32" s="1"/>
  <c r="N1789" i="32" a="1"/>
  <c r="N1789" i="32" s="1"/>
  <c r="E1789" i="32" s="1"/>
  <c r="O1789" i="32" a="1"/>
  <c r="O1789" i="32" s="1"/>
  <c r="R1789" i="32" a="1"/>
  <c r="R1789" i="32" s="1"/>
  <c r="K1793" i="32"/>
  <c r="L1791" i="32"/>
  <c r="Q1399" i="32"/>
  <c r="G1395" i="32"/>
  <c r="A1399" i="32"/>
  <c r="L2007" i="32" l="1"/>
  <c r="K2009" i="32"/>
  <c r="R2005" i="32" a="1"/>
  <c r="R2005" i="32" s="1"/>
  <c r="O2005" i="32" a="1"/>
  <c r="O2005" i="32" s="1"/>
  <c r="N2005" i="32" a="1"/>
  <c r="N2005" i="32" s="1"/>
  <c r="E2005" i="32" s="1"/>
  <c r="M2005" i="32" a="1"/>
  <c r="M2005" i="32" s="1"/>
  <c r="D2005" i="32" s="1"/>
  <c r="B729" i="27"/>
  <c r="N729" i="27"/>
  <c r="M729" i="27"/>
  <c r="H728" i="27"/>
  <c r="N1791" i="32" a="1"/>
  <c r="N1791" i="32" s="1"/>
  <c r="E1791" i="32" s="1"/>
  <c r="M1791" i="32" a="1"/>
  <c r="M1791" i="32" s="1"/>
  <c r="D1791" i="32" s="1"/>
  <c r="R1791" i="32" a="1"/>
  <c r="R1791" i="32" s="1"/>
  <c r="O1791" i="32" a="1"/>
  <c r="O1791" i="32" s="1"/>
  <c r="R1005" i="32" a="1"/>
  <c r="R1005" i="32" s="1"/>
  <c r="P2444" i="27" s="1"/>
  <c r="M1005" i="32" a="1"/>
  <c r="M1005" i="32" s="1"/>
  <c r="D1005" i="32" s="1"/>
  <c r="O1005" i="32" a="1"/>
  <c r="O1005" i="32" s="1"/>
  <c r="M2444" i="27" s="1"/>
  <c r="A2444" i="27" s="1"/>
  <c r="N1005" i="32" a="1"/>
  <c r="N1005" i="32" s="1"/>
  <c r="E1005" i="32" s="1"/>
  <c r="F2444" i="27" s="1"/>
  <c r="K1795" i="32"/>
  <c r="L1793" i="32"/>
  <c r="K1009" i="32"/>
  <c r="L1007" i="32"/>
  <c r="L807" i="32"/>
  <c r="K809" i="32"/>
  <c r="N805" i="32" a="1"/>
  <c r="N805" i="32" s="1"/>
  <c r="E805" i="32" s="1"/>
  <c r="F2344" i="27" s="1"/>
  <c r="R805" i="32" a="1"/>
  <c r="R805" i="32" s="1"/>
  <c r="P2344" i="27" s="1"/>
  <c r="M805" i="32" a="1"/>
  <c r="M805" i="32" s="1"/>
  <c r="D805" i="32" s="1"/>
  <c r="O805" i="32" a="1"/>
  <c r="O805" i="32" s="1"/>
  <c r="M2344" i="27" s="1"/>
  <c r="A2344" i="27" s="1"/>
  <c r="M1595" i="32" a="1"/>
  <c r="M1595" i="32" s="1"/>
  <c r="D1595" i="32" s="1"/>
  <c r="R1595" i="32" a="1"/>
  <c r="R1595" i="32" s="1"/>
  <c r="N1595" i="32" a="1"/>
  <c r="N1595" i="32" s="1"/>
  <c r="E1595" i="32" s="1"/>
  <c r="O1595" i="32" a="1"/>
  <c r="O1595" i="32" s="1"/>
  <c r="K1599" i="32"/>
  <c r="L1597" i="32"/>
  <c r="Q1401" i="32"/>
  <c r="G1397" i="32"/>
  <c r="A1401" i="32"/>
  <c r="L2009" i="32" l="1"/>
  <c r="K2011" i="32"/>
  <c r="R2007" i="32" a="1"/>
  <c r="R2007" i="32" s="1"/>
  <c r="O2007" i="32" a="1"/>
  <c r="O2007" i="32" s="1"/>
  <c r="N2007" i="32" a="1"/>
  <c r="N2007" i="32" s="1"/>
  <c r="E2007" i="32" s="1"/>
  <c r="M2007" i="32" a="1"/>
  <c r="M2007" i="32" s="1"/>
  <c r="D2007" i="32" s="1"/>
  <c r="H729" i="27"/>
  <c r="B730" i="27"/>
  <c r="N730" i="27"/>
  <c r="M730" i="27"/>
  <c r="L809" i="32"/>
  <c r="K811" i="32"/>
  <c r="N807" i="32" a="1"/>
  <c r="N807" i="32" s="1"/>
  <c r="E807" i="32" s="1"/>
  <c r="F2345" i="27" s="1"/>
  <c r="R807" i="32" a="1"/>
  <c r="R807" i="32" s="1"/>
  <c r="P2345" i="27" s="1"/>
  <c r="M807" i="32" a="1"/>
  <c r="M807" i="32" s="1"/>
  <c r="D807" i="32" s="1"/>
  <c r="O807" i="32" a="1"/>
  <c r="O807" i="32" s="1"/>
  <c r="M2345" i="27" s="1"/>
  <c r="A2345" i="27" s="1"/>
  <c r="M1597" i="32" a="1"/>
  <c r="M1597" i="32" s="1"/>
  <c r="D1597" i="32" s="1"/>
  <c r="O1597" i="32" a="1"/>
  <c r="O1597" i="32" s="1"/>
  <c r="N1597" i="32" a="1"/>
  <c r="N1597" i="32" s="1"/>
  <c r="E1597" i="32" s="1"/>
  <c r="R1597" i="32" a="1"/>
  <c r="R1597" i="32" s="1"/>
  <c r="R1007" i="32" a="1"/>
  <c r="R1007" i="32" s="1"/>
  <c r="P2445" i="27" s="1"/>
  <c r="N1007" i="32" a="1"/>
  <c r="N1007" i="32" s="1"/>
  <c r="E1007" i="32" s="1"/>
  <c r="F2445" i="27" s="1"/>
  <c r="O1007" i="32" a="1"/>
  <c r="O1007" i="32" s="1"/>
  <c r="M2445" i="27" s="1"/>
  <c r="A2445" i="27" s="1"/>
  <c r="M1007" i="32" a="1"/>
  <c r="M1007" i="32" s="1"/>
  <c r="D1007" i="32" s="1"/>
  <c r="K1601" i="32"/>
  <c r="L1599" i="32"/>
  <c r="K1011" i="32"/>
  <c r="L1009" i="32"/>
  <c r="R1793" i="32" a="1"/>
  <c r="R1793" i="32" s="1"/>
  <c r="N1793" i="32" a="1"/>
  <c r="N1793" i="32" s="1"/>
  <c r="E1793" i="32" s="1"/>
  <c r="M1793" i="32" a="1"/>
  <c r="M1793" i="32" s="1"/>
  <c r="D1793" i="32" s="1"/>
  <c r="O1793" i="32" a="1"/>
  <c r="O1793" i="32" s="1"/>
  <c r="K1797" i="32"/>
  <c r="L1795" i="32"/>
  <c r="Q1403" i="32"/>
  <c r="G1399" i="32"/>
  <c r="A1403" i="32"/>
  <c r="L2011" i="32" l="1"/>
  <c r="K2013" i="32"/>
  <c r="R2009" i="32" a="1"/>
  <c r="R2009" i="32" s="1"/>
  <c r="O2009" i="32" a="1"/>
  <c r="O2009" i="32" s="1"/>
  <c r="N2009" i="32" a="1"/>
  <c r="N2009" i="32" s="1"/>
  <c r="E2009" i="32" s="1"/>
  <c r="M2009" i="32" a="1"/>
  <c r="M2009" i="32" s="1"/>
  <c r="D2009" i="32" s="1"/>
  <c r="H730" i="27"/>
  <c r="B731" i="27"/>
  <c r="H731" i="27" s="1"/>
  <c r="M731" i="27"/>
  <c r="N731" i="27"/>
  <c r="O1795" i="32" a="1"/>
  <c r="O1795" i="32" s="1"/>
  <c r="M1795" i="32" a="1"/>
  <c r="M1795" i="32" s="1"/>
  <c r="D1795" i="32" s="1"/>
  <c r="N1795" i="32" a="1"/>
  <c r="N1795" i="32" s="1"/>
  <c r="E1795" i="32" s="1"/>
  <c r="R1795" i="32" a="1"/>
  <c r="R1795" i="32" s="1"/>
  <c r="O1009" i="32" a="1"/>
  <c r="O1009" i="32" s="1"/>
  <c r="M2446" i="27" s="1"/>
  <c r="A2446" i="27" s="1"/>
  <c r="N1009" i="32" a="1"/>
  <c r="N1009" i="32" s="1"/>
  <c r="E1009" i="32" s="1"/>
  <c r="F2446" i="27" s="1"/>
  <c r="M1009" i="32" a="1"/>
  <c r="M1009" i="32" s="1"/>
  <c r="D1009" i="32" s="1"/>
  <c r="R1009" i="32" a="1"/>
  <c r="R1009" i="32" s="1"/>
  <c r="P2446" i="27" s="1"/>
  <c r="K1799" i="32"/>
  <c r="L1797" i="32"/>
  <c r="R1599" i="32" a="1"/>
  <c r="R1599" i="32" s="1"/>
  <c r="O1599" i="32" a="1"/>
  <c r="O1599" i="32" s="1"/>
  <c r="N1599" i="32" a="1"/>
  <c r="N1599" i="32" s="1"/>
  <c r="E1599" i="32" s="1"/>
  <c r="M1599" i="32" a="1"/>
  <c r="M1599" i="32" s="1"/>
  <c r="D1599" i="32" s="1"/>
  <c r="K1013" i="32"/>
  <c r="L1011" i="32"/>
  <c r="L811" i="32"/>
  <c r="K813" i="32"/>
  <c r="K1603" i="32"/>
  <c r="L1601" i="32"/>
  <c r="N809" i="32" a="1"/>
  <c r="N809" i="32" s="1"/>
  <c r="E809" i="32" s="1"/>
  <c r="F2346" i="27" s="1"/>
  <c r="R809" i="32" a="1"/>
  <c r="R809" i="32" s="1"/>
  <c r="P2346" i="27" s="1"/>
  <c r="O809" i="32" a="1"/>
  <c r="O809" i="32" s="1"/>
  <c r="M2346" i="27" s="1"/>
  <c r="A2346" i="27" s="1"/>
  <c r="M809" i="32" a="1"/>
  <c r="M809" i="32" s="1"/>
  <c r="D809" i="32" s="1"/>
  <c r="Q1405" i="32"/>
  <c r="G1401" i="32"/>
  <c r="A1405" i="32"/>
  <c r="L2013" i="32" l="1"/>
  <c r="K2015" i="32"/>
  <c r="R2011" i="32" a="1"/>
  <c r="R2011" i="32" s="1"/>
  <c r="O2011" i="32" a="1"/>
  <c r="O2011" i="32" s="1"/>
  <c r="N2011" i="32" a="1"/>
  <c r="N2011" i="32" s="1"/>
  <c r="E2011" i="32" s="1"/>
  <c r="M2011" i="32" a="1"/>
  <c r="M2011" i="32" s="1"/>
  <c r="D2011" i="32" s="1"/>
  <c r="B732" i="27"/>
  <c r="H732" i="27" s="1"/>
  <c r="N732" i="27"/>
  <c r="M732" i="27"/>
  <c r="N1797" i="32" a="1"/>
  <c r="N1797" i="32" s="1"/>
  <c r="E1797" i="32" s="1"/>
  <c r="O1797" i="32" a="1"/>
  <c r="O1797" i="32" s="1"/>
  <c r="M1797" i="32" a="1"/>
  <c r="M1797" i="32" s="1"/>
  <c r="D1797" i="32" s="1"/>
  <c r="R1797" i="32" a="1"/>
  <c r="R1797" i="32" s="1"/>
  <c r="K1801" i="32"/>
  <c r="L1799" i="32"/>
  <c r="O1601" i="32" a="1"/>
  <c r="O1601" i="32" s="1"/>
  <c r="N1601" i="32" a="1"/>
  <c r="N1601" i="32" s="1"/>
  <c r="E1601" i="32" s="1"/>
  <c r="M1601" i="32" a="1"/>
  <c r="M1601" i="32" s="1"/>
  <c r="D1601" i="32" s="1"/>
  <c r="R1601" i="32" a="1"/>
  <c r="R1601" i="32" s="1"/>
  <c r="K815" i="32"/>
  <c r="L813" i="32"/>
  <c r="K1605" i="32"/>
  <c r="L1603" i="32"/>
  <c r="N811" i="32" a="1"/>
  <c r="N811" i="32" s="1"/>
  <c r="E811" i="32" s="1"/>
  <c r="F2347" i="27" s="1"/>
  <c r="M811" i="32" a="1"/>
  <c r="M811" i="32" s="1"/>
  <c r="D811" i="32" s="1"/>
  <c r="O811" i="32" a="1"/>
  <c r="O811" i="32" s="1"/>
  <c r="M2347" i="27" s="1"/>
  <c r="A2347" i="27" s="1"/>
  <c r="R811" i="32" a="1"/>
  <c r="R811" i="32" s="1"/>
  <c r="P2347" i="27" s="1"/>
  <c r="O1011" i="32" a="1"/>
  <c r="O1011" i="32" s="1"/>
  <c r="M2447" i="27" s="1"/>
  <c r="A2447" i="27" s="1"/>
  <c r="M1011" i="32" a="1"/>
  <c r="M1011" i="32" s="1"/>
  <c r="D1011" i="32" s="1"/>
  <c r="N1011" i="32" a="1"/>
  <c r="N1011" i="32" s="1"/>
  <c r="E1011" i="32" s="1"/>
  <c r="F2447" i="27" s="1"/>
  <c r="R1011" i="32" a="1"/>
  <c r="R1011" i="32" s="1"/>
  <c r="P2447" i="27" s="1"/>
  <c r="K1015" i="32"/>
  <c r="L1013" i="32"/>
  <c r="Q1407" i="32"/>
  <c r="A1407" i="32"/>
  <c r="G1403" i="32"/>
  <c r="L2015" i="32" l="1"/>
  <c r="K2017" i="32"/>
  <c r="R2013" i="32" a="1"/>
  <c r="R2013" i="32" s="1"/>
  <c r="O2013" i="32" a="1"/>
  <c r="O2013" i="32" s="1"/>
  <c r="N2013" i="32" a="1"/>
  <c r="N2013" i="32" s="1"/>
  <c r="E2013" i="32" s="1"/>
  <c r="M2013" i="32" a="1"/>
  <c r="M2013" i="32" s="1"/>
  <c r="D2013" i="32" s="1"/>
  <c r="B733" i="27"/>
  <c r="H733" i="27" s="1"/>
  <c r="M733" i="27"/>
  <c r="N733" i="27"/>
  <c r="M1603" i="32" a="1"/>
  <c r="M1603" i="32" s="1"/>
  <c r="D1603" i="32" s="1"/>
  <c r="R1603" i="32" a="1"/>
  <c r="R1603" i="32" s="1"/>
  <c r="N1603" i="32" a="1"/>
  <c r="N1603" i="32" s="1"/>
  <c r="E1603" i="32" s="1"/>
  <c r="O1603" i="32" a="1"/>
  <c r="O1603" i="32" s="1"/>
  <c r="R1013" i="32" a="1"/>
  <c r="R1013" i="32" s="1"/>
  <c r="P2448" i="27" s="1"/>
  <c r="O1013" i="32" a="1"/>
  <c r="O1013" i="32" s="1"/>
  <c r="M2448" i="27" s="1"/>
  <c r="A2448" i="27" s="1"/>
  <c r="N1013" i="32" a="1"/>
  <c r="N1013" i="32" s="1"/>
  <c r="E1013" i="32" s="1"/>
  <c r="F2448" i="27" s="1"/>
  <c r="M1013" i="32" a="1"/>
  <c r="M1013" i="32" s="1"/>
  <c r="D1013" i="32" s="1"/>
  <c r="M813" i="32" a="1"/>
  <c r="M813" i="32" s="1"/>
  <c r="D813" i="32" s="1"/>
  <c r="O813" i="32" a="1"/>
  <c r="O813" i="32" s="1"/>
  <c r="M2348" i="27" s="1"/>
  <c r="A2348" i="27" s="1"/>
  <c r="N813" i="32" a="1"/>
  <c r="N813" i="32" s="1"/>
  <c r="E813" i="32" s="1"/>
  <c r="F2348" i="27" s="1"/>
  <c r="R813" i="32" a="1"/>
  <c r="R813" i="32" s="1"/>
  <c r="P2348" i="27" s="1"/>
  <c r="K1607" i="32"/>
  <c r="L1605" i="32"/>
  <c r="K1017" i="32"/>
  <c r="L1015" i="32"/>
  <c r="K817" i="32"/>
  <c r="L815" i="32"/>
  <c r="R1799" i="32" a="1"/>
  <c r="R1799" i="32" s="1"/>
  <c r="O1799" i="32" a="1"/>
  <c r="O1799" i="32" s="1"/>
  <c r="M1799" i="32" a="1"/>
  <c r="M1799" i="32" s="1"/>
  <c r="D1799" i="32" s="1"/>
  <c r="N1799" i="32" a="1"/>
  <c r="N1799" i="32" s="1"/>
  <c r="E1799" i="32" s="1"/>
  <c r="K1803" i="32"/>
  <c r="L1801" i="32"/>
  <c r="Q1409" i="32"/>
  <c r="G1405" i="32"/>
  <c r="L2017" i="32" l="1"/>
  <c r="K2019" i="32"/>
  <c r="R2017" i="32" a="1"/>
  <c r="R2017" i="32" s="1"/>
  <c r="O2017" i="32" a="1"/>
  <c r="O2017" i="32" s="1"/>
  <c r="N2017" i="32" a="1"/>
  <c r="N2017" i="32" s="1"/>
  <c r="E2017" i="32" s="1"/>
  <c r="M2017" i="32" a="1"/>
  <c r="M2017" i="32" s="1"/>
  <c r="D2017" i="32" s="1"/>
  <c r="R2015" i="32" a="1"/>
  <c r="R2015" i="32" s="1"/>
  <c r="O2015" i="32" a="1"/>
  <c r="O2015" i="32" s="1"/>
  <c r="N2015" i="32" a="1"/>
  <c r="N2015" i="32" s="1"/>
  <c r="E2015" i="32" s="1"/>
  <c r="M2015" i="32" a="1"/>
  <c r="M2015" i="32" s="1"/>
  <c r="D2015" i="32" s="1"/>
  <c r="B734" i="27"/>
  <c r="H734" i="27" s="1"/>
  <c r="M734" i="27"/>
  <c r="N734" i="27"/>
  <c r="M815" i="32" a="1"/>
  <c r="M815" i="32" s="1"/>
  <c r="D815" i="32" s="1"/>
  <c r="O815" i="32" a="1"/>
  <c r="O815" i="32" s="1"/>
  <c r="M2349" i="27" s="1"/>
  <c r="A2349" i="27" s="1"/>
  <c r="R815" i="32" a="1"/>
  <c r="R815" i="32" s="1"/>
  <c r="P2349" i="27" s="1"/>
  <c r="N815" i="32" a="1"/>
  <c r="N815" i="32" s="1"/>
  <c r="E815" i="32" s="1"/>
  <c r="F2349" i="27" s="1"/>
  <c r="K819" i="32"/>
  <c r="L819" i="32" s="1"/>
  <c r="L817" i="32"/>
  <c r="K1805" i="32"/>
  <c r="L1803" i="32"/>
  <c r="O1801" i="32" a="1"/>
  <c r="O1801" i="32" s="1"/>
  <c r="R1801" i="32" a="1"/>
  <c r="R1801" i="32" s="1"/>
  <c r="M1801" i="32" a="1"/>
  <c r="M1801" i="32" s="1"/>
  <c r="D1801" i="32" s="1"/>
  <c r="N1801" i="32" a="1"/>
  <c r="N1801" i="32" s="1"/>
  <c r="E1801" i="32" s="1"/>
  <c r="R1015" i="32" a="1"/>
  <c r="R1015" i="32" s="1"/>
  <c r="P2449" i="27" s="1"/>
  <c r="N1015" i="32" a="1"/>
  <c r="N1015" i="32" s="1"/>
  <c r="E1015" i="32" s="1"/>
  <c r="F2449" i="27" s="1"/>
  <c r="O1015" i="32" a="1"/>
  <c r="O1015" i="32" s="1"/>
  <c r="M2449" i="27" s="1"/>
  <c r="A2449" i="27" s="1"/>
  <c r="M1015" i="32" a="1"/>
  <c r="M1015" i="32" s="1"/>
  <c r="D1015" i="32" s="1"/>
  <c r="K1019" i="32"/>
  <c r="L1017" i="32"/>
  <c r="M1605" i="32" a="1"/>
  <c r="M1605" i="32" s="1"/>
  <c r="D1605" i="32" s="1"/>
  <c r="O1605" i="32" a="1"/>
  <c r="O1605" i="32" s="1"/>
  <c r="N1605" i="32" a="1"/>
  <c r="N1605" i="32" s="1"/>
  <c r="E1605" i="32" s="1"/>
  <c r="R1605" i="32" a="1"/>
  <c r="R1605" i="32" s="1"/>
  <c r="K1609" i="32"/>
  <c r="L1607" i="32"/>
  <c r="Q1411" i="32"/>
  <c r="A1411" i="32"/>
  <c r="G1407" i="32"/>
  <c r="A1409" i="32"/>
  <c r="L2019" i="32" l="1"/>
  <c r="K2021" i="32"/>
  <c r="R2019" i="32" a="1"/>
  <c r="R2019" i="32" s="1"/>
  <c r="O2019" i="32" a="1"/>
  <c r="O2019" i="32" s="1"/>
  <c r="N2019" i="32" a="1"/>
  <c r="N2019" i="32" s="1"/>
  <c r="E2019" i="32" s="1"/>
  <c r="M2019" i="32" a="1"/>
  <c r="M2019" i="32" s="1"/>
  <c r="D2019" i="32" s="1"/>
  <c r="B735" i="27"/>
  <c r="H735" i="27" s="1"/>
  <c r="N735" i="27"/>
  <c r="M735" i="27"/>
  <c r="R1803" i="32" a="1"/>
  <c r="R1803" i="32" s="1"/>
  <c r="O1803" i="32" a="1"/>
  <c r="O1803" i="32" s="1"/>
  <c r="M1803" i="32" a="1"/>
  <c r="M1803" i="32" s="1"/>
  <c r="D1803" i="32" s="1"/>
  <c r="N1803" i="32" a="1"/>
  <c r="N1803" i="32" s="1"/>
  <c r="E1803" i="32" s="1"/>
  <c r="O1607" i="32" a="1"/>
  <c r="O1607" i="32" s="1"/>
  <c r="M1607" i="32" a="1"/>
  <c r="M1607" i="32" s="1"/>
  <c r="D1607" i="32" s="1"/>
  <c r="N1607" i="32" a="1"/>
  <c r="N1607" i="32" s="1"/>
  <c r="E1607" i="32" s="1"/>
  <c r="R1607" i="32" a="1"/>
  <c r="R1607" i="32" s="1"/>
  <c r="K1807" i="32"/>
  <c r="L1805" i="32"/>
  <c r="K1611" i="32"/>
  <c r="L1609" i="32"/>
  <c r="M1017" i="32" a="1"/>
  <c r="M1017" i="32" s="1"/>
  <c r="D1017" i="32" s="1"/>
  <c r="O1017" i="32" a="1"/>
  <c r="O1017" i="32" s="1"/>
  <c r="M2450" i="27" s="1"/>
  <c r="A2450" i="27" s="1"/>
  <c r="N1017" i="32" a="1"/>
  <c r="N1017" i="32" s="1"/>
  <c r="E1017" i="32" s="1"/>
  <c r="F2450" i="27" s="1"/>
  <c r="R1017" i="32" a="1"/>
  <c r="R1017" i="32" s="1"/>
  <c r="P2450" i="27" s="1"/>
  <c r="M817" i="32" a="1"/>
  <c r="M817" i="32" s="1"/>
  <c r="D817" i="32" s="1"/>
  <c r="O817" i="32" a="1"/>
  <c r="O817" i="32" s="1"/>
  <c r="M2350" i="27" s="1"/>
  <c r="A2350" i="27" s="1"/>
  <c r="R817" i="32" a="1"/>
  <c r="R817" i="32" s="1"/>
  <c r="P2350" i="27" s="1"/>
  <c r="N817" i="32" a="1"/>
  <c r="N817" i="32" s="1"/>
  <c r="E817" i="32" s="1"/>
  <c r="F2350" i="27" s="1"/>
  <c r="K1021" i="32"/>
  <c r="L1019" i="32"/>
  <c r="O819" i="32" a="1"/>
  <c r="O819" i="32" s="1"/>
  <c r="M2351" i="27" s="1"/>
  <c r="A2351" i="27" s="1"/>
  <c r="N819" i="32" a="1"/>
  <c r="N819" i="32" s="1"/>
  <c r="E819" i="32" s="1"/>
  <c r="F2351" i="27" s="1"/>
  <c r="M819" i="32" a="1"/>
  <c r="M819" i="32" s="1"/>
  <c r="D819" i="32" s="1"/>
  <c r="R819" i="32" a="1"/>
  <c r="R819" i="32" s="1"/>
  <c r="P2351" i="27" s="1"/>
  <c r="Q1413" i="32"/>
  <c r="G1409" i="32"/>
  <c r="A1413" i="32"/>
  <c r="L2021" i="32" l="1"/>
  <c r="K2023" i="32"/>
  <c r="B736" i="27"/>
  <c r="M736" i="27"/>
  <c r="N736" i="27"/>
  <c r="K1613" i="32"/>
  <c r="L1611" i="32"/>
  <c r="M1609" i="32" a="1"/>
  <c r="M1609" i="32" s="1"/>
  <c r="D1609" i="32" s="1"/>
  <c r="N1609" i="32" a="1"/>
  <c r="N1609" i="32" s="1"/>
  <c r="E1609" i="32" s="1"/>
  <c r="O1609" i="32" a="1"/>
  <c r="O1609" i="32" s="1"/>
  <c r="R1609" i="32" a="1"/>
  <c r="R1609" i="32" s="1"/>
  <c r="N1805" i="32" a="1"/>
  <c r="N1805" i="32" s="1"/>
  <c r="E1805" i="32" s="1"/>
  <c r="R1805" i="32" a="1"/>
  <c r="R1805" i="32" s="1"/>
  <c r="M1805" i="32" a="1"/>
  <c r="M1805" i="32" s="1"/>
  <c r="D1805" i="32" s="1"/>
  <c r="O1805" i="32" a="1"/>
  <c r="O1805" i="32" s="1"/>
  <c r="O1019" i="32" a="1"/>
  <c r="O1019" i="32" s="1"/>
  <c r="M2451" i="27" s="1"/>
  <c r="A2451" i="27" s="1"/>
  <c r="R1019" i="32" a="1"/>
  <c r="R1019" i="32" s="1"/>
  <c r="P2451" i="27" s="1"/>
  <c r="N1019" i="32" a="1"/>
  <c r="N1019" i="32" s="1"/>
  <c r="E1019" i="32" s="1"/>
  <c r="F2451" i="27" s="1"/>
  <c r="M1019" i="32" a="1"/>
  <c r="M1019" i="32" s="1"/>
  <c r="D1019" i="32" s="1"/>
  <c r="K1023" i="32"/>
  <c r="L1021" i="32"/>
  <c r="K1809" i="32"/>
  <c r="L1807" i="32"/>
  <c r="Q1415" i="32"/>
  <c r="G1411" i="32"/>
  <c r="A1415" i="32"/>
  <c r="L2023" i="32" l="1"/>
  <c r="K2025" i="32"/>
  <c r="R2021" i="32" a="1"/>
  <c r="R2021" i="32" s="1"/>
  <c r="O2021" i="32" a="1"/>
  <c r="O2021" i="32" s="1"/>
  <c r="N2021" i="32" a="1"/>
  <c r="N2021" i="32" s="1"/>
  <c r="E2021" i="32" s="1"/>
  <c r="M2021" i="32" a="1"/>
  <c r="M2021" i="32" s="1"/>
  <c r="D2021" i="32" s="1"/>
  <c r="B737" i="27"/>
  <c r="N737" i="27"/>
  <c r="M737" i="27"/>
  <c r="H736" i="27"/>
  <c r="K1811" i="32"/>
  <c r="L1809" i="32"/>
  <c r="M1807" i="32" a="1"/>
  <c r="M1807" i="32" s="1"/>
  <c r="D1807" i="32" s="1"/>
  <c r="R1807" i="32" a="1"/>
  <c r="R1807" i="32" s="1"/>
  <c r="O1807" i="32" a="1"/>
  <c r="O1807" i="32" s="1"/>
  <c r="N1807" i="32" a="1"/>
  <c r="N1807" i="32" s="1"/>
  <c r="E1807" i="32" s="1"/>
  <c r="N1021" i="32" a="1"/>
  <c r="N1021" i="32" s="1"/>
  <c r="E1021" i="32" s="1"/>
  <c r="F2452" i="27" s="1"/>
  <c r="O1021" i="32" a="1"/>
  <c r="O1021" i="32" s="1"/>
  <c r="M2452" i="27" s="1"/>
  <c r="A2452" i="27" s="1"/>
  <c r="M1021" i="32" a="1"/>
  <c r="M1021" i="32" s="1"/>
  <c r="D1021" i="32" s="1"/>
  <c r="R1021" i="32" a="1"/>
  <c r="R1021" i="32" s="1"/>
  <c r="P2452" i="27" s="1"/>
  <c r="K1025" i="32"/>
  <c r="L1023" i="32"/>
  <c r="M1611" i="32" a="1"/>
  <c r="M1611" i="32" s="1"/>
  <c r="D1611" i="32" s="1"/>
  <c r="R1611" i="32" a="1"/>
  <c r="R1611" i="32" s="1"/>
  <c r="O1611" i="32" a="1"/>
  <c r="O1611" i="32" s="1"/>
  <c r="N1611" i="32" a="1"/>
  <c r="N1611" i="32" s="1"/>
  <c r="E1611" i="32" s="1"/>
  <c r="K1615" i="32"/>
  <c r="L1613" i="32"/>
  <c r="Q1417" i="32"/>
  <c r="G1413" i="32"/>
  <c r="A1417" i="32"/>
  <c r="L2025" i="32" l="1"/>
  <c r="K2027" i="32"/>
  <c r="R2023" i="32" a="1"/>
  <c r="R2023" i="32" s="1"/>
  <c r="O2023" i="32" a="1"/>
  <c r="O2023" i="32" s="1"/>
  <c r="N2023" i="32" a="1"/>
  <c r="N2023" i="32" s="1"/>
  <c r="E2023" i="32" s="1"/>
  <c r="M2023" i="32" a="1"/>
  <c r="M2023" i="32" s="1"/>
  <c r="D2023" i="32" s="1"/>
  <c r="H737" i="27"/>
  <c r="B738" i="27"/>
  <c r="N738" i="27"/>
  <c r="M738" i="27"/>
  <c r="R1023" i="32" a="1"/>
  <c r="R1023" i="32" s="1"/>
  <c r="P2453" i="27" s="1"/>
  <c r="M1023" i="32" a="1"/>
  <c r="M1023" i="32" s="1"/>
  <c r="D1023" i="32" s="1"/>
  <c r="O1023" i="32" a="1"/>
  <c r="O1023" i="32" s="1"/>
  <c r="M2453" i="27" s="1"/>
  <c r="A2453" i="27" s="1"/>
  <c r="N1023" i="32" a="1"/>
  <c r="N1023" i="32" s="1"/>
  <c r="E1023" i="32" s="1"/>
  <c r="F2453" i="27" s="1"/>
  <c r="K1027" i="32"/>
  <c r="L1025" i="32"/>
  <c r="R1613" i="32" a="1"/>
  <c r="R1613" i="32" s="1"/>
  <c r="M1613" i="32" a="1"/>
  <c r="M1613" i="32" s="1"/>
  <c r="D1613" i="32" s="1"/>
  <c r="O1613" i="32" a="1"/>
  <c r="O1613" i="32" s="1"/>
  <c r="N1613" i="32" a="1"/>
  <c r="N1613" i="32" s="1"/>
  <c r="E1613" i="32" s="1"/>
  <c r="K1617" i="32"/>
  <c r="L1615" i="32"/>
  <c r="R1809" i="32" a="1"/>
  <c r="R1809" i="32" s="1"/>
  <c r="M1809" i="32" a="1"/>
  <c r="M1809" i="32" s="1"/>
  <c r="D1809" i="32" s="1"/>
  <c r="O1809" i="32" a="1"/>
  <c r="O1809" i="32" s="1"/>
  <c r="N1809" i="32" a="1"/>
  <c r="N1809" i="32" s="1"/>
  <c r="E1809" i="32" s="1"/>
  <c r="K1813" i="32"/>
  <c r="L1811" i="32"/>
  <c r="Q1419" i="32"/>
  <c r="A1419" i="32"/>
  <c r="G1415" i="32"/>
  <c r="L2027" i="32" l="1"/>
  <c r="K2029" i="32"/>
  <c r="R2025" i="32" a="1"/>
  <c r="R2025" i="32" s="1"/>
  <c r="O2025" i="32" a="1"/>
  <c r="O2025" i="32" s="1"/>
  <c r="N2025" i="32" a="1"/>
  <c r="N2025" i="32" s="1"/>
  <c r="E2025" i="32" s="1"/>
  <c r="M2025" i="32" a="1"/>
  <c r="M2025" i="32" s="1"/>
  <c r="D2025" i="32" s="1"/>
  <c r="H738" i="27"/>
  <c r="B739" i="27"/>
  <c r="H739" i="27" s="1"/>
  <c r="M739" i="27"/>
  <c r="N739" i="27"/>
  <c r="K1619" i="32"/>
  <c r="L1619" i="32" s="1"/>
  <c r="L1617" i="32"/>
  <c r="O1615" i="32" a="1"/>
  <c r="O1615" i="32" s="1"/>
  <c r="N1615" i="32" a="1"/>
  <c r="N1615" i="32" s="1"/>
  <c r="E1615" i="32" s="1"/>
  <c r="R1615" i="32" a="1"/>
  <c r="R1615" i="32" s="1"/>
  <c r="M1615" i="32" a="1"/>
  <c r="M1615" i="32" s="1"/>
  <c r="D1615" i="32" s="1"/>
  <c r="N1811" i="32" a="1"/>
  <c r="N1811" i="32" s="1"/>
  <c r="E1811" i="32" s="1"/>
  <c r="O1811" i="32" a="1"/>
  <c r="O1811" i="32" s="1"/>
  <c r="M1811" i="32" a="1"/>
  <c r="M1811" i="32" s="1"/>
  <c r="D1811" i="32" s="1"/>
  <c r="R1811" i="32" a="1"/>
  <c r="R1811" i="32" s="1"/>
  <c r="O1025" i="32" a="1"/>
  <c r="O1025" i="32" s="1"/>
  <c r="M2454" i="27" s="1"/>
  <c r="A2454" i="27" s="1"/>
  <c r="N1025" i="32" a="1"/>
  <c r="N1025" i="32" s="1"/>
  <c r="E1025" i="32" s="1"/>
  <c r="F2454" i="27" s="1"/>
  <c r="M1025" i="32" a="1"/>
  <c r="M1025" i="32" s="1"/>
  <c r="D1025" i="32" s="1"/>
  <c r="R1025" i="32" a="1"/>
  <c r="R1025" i="32" s="1"/>
  <c r="P2454" i="27" s="1"/>
  <c r="K1815" i="32"/>
  <c r="L1813" i="32"/>
  <c r="K1029" i="32"/>
  <c r="L1027" i="32"/>
  <c r="Q1421" i="32"/>
  <c r="A1421" i="32"/>
  <c r="G1417" i="32"/>
  <c r="L2029" i="32" l="1"/>
  <c r="K2031" i="32"/>
  <c r="R2027" i="32" a="1"/>
  <c r="R2027" i="32" s="1"/>
  <c r="O2027" i="32" a="1"/>
  <c r="O2027" i="32" s="1"/>
  <c r="N2027" i="32" a="1"/>
  <c r="N2027" i="32" s="1"/>
  <c r="E2027" i="32" s="1"/>
  <c r="M2027" i="32" a="1"/>
  <c r="M2027" i="32" s="1"/>
  <c r="D2027" i="32" s="1"/>
  <c r="B740" i="27"/>
  <c r="H740" i="27" s="1"/>
  <c r="N740" i="27"/>
  <c r="M740" i="27"/>
  <c r="R1027" i="32" a="1"/>
  <c r="R1027" i="32" s="1"/>
  <c r="P2455" i="27" s="1"/>
  <c r="N1027" i="32" a="1"/>
  <c r="N1027" i="32" s="1"/>
  <c r="E1027" i="32" s="1"/>
  <c r="F2455" i="27" s="1"/>
  <c r="M1027" i="32" a="1"/>
  <c r="M1027" i="32" s="1"/>
  <c r="D1027" i="32" s="1"/>
  <c r="O1027" i="32" a="1"/>
  <c r="O1027" i="32" s="1"/>
  <c r="M2455" i="27" s="1"/>
  <c r="A2455" i="27" s="1"/>
  <c r="M1813" i="32" a="1"/>
  <c r="M1813" i="32" s="1"/>
  <c r="D1813" i="32" s="1"/>
  <c r="N1813" i="32" a="1"/>
  <c r="N1813" i="32" s="1"/>
  <c r="E1813" i="32" s="1"/>
  <c r="O1813" i="32" a="1"/>
  <c r="O1813" i="32" s="1"/>
  <c r="R1813" i="32" a="1"/>
  <c r="R1813" i="32" s="1"/>
  <c r="K1031" i="32"/>
  <c r="L1029" i="32"/>
  <c r="K1817" i="32"/>
  <c r="K1819" i="32" s="1"/>
  <c r="L1819" i="32" s="1"/>
  <c r="L1815" i="32"/>
  <c r="R1617" i="32" a="1"/>
  <c r="R1617" i="32" s="1"/>
  <c r="O1617" i="32" a="1"/>
  <c r="O1617" i="32" s="1"/>
  <c r="N1617" i="32" a="1"/>
  <c r="N1617" i="32" s="1"/>
  <c r="E1617" i="32" s="1"/>
  <c r="M1617" i="32" a="1"/>
  <c r="M1617" i="32" s="1"/>
  <c r="D1617" i="32" s="1"/>
  <c r="M1619" i="32" a="1"/>
  <c r="M1619" i="32" s="1"/>
  <c r="D1619" i="32" s="1"/>
  <c r="N1619" i="32" a="1"/>
  <c r="N1619" i="32" s="1"/>
  <c r="E1619" i="32" s="1"/>
  <c r="R1619" i="32" a="1"/>
  <c r="R1619" i="32" s="1"/>
  <c r="O1619" i="32" a="1"/>
  <c r="O1619" i="32" s="1"/>
  <c r="Q1423" i="32"/>
  <c r="A1423" i="32"/>
  <c r="G1419" i="32"/>
  <c r="R1819" i="32" l="1" a="1"/>
  <c r="R1819" i="32" s="1"/>
  <c r="O1819" i="32" a="1"/>
  <c r="O1819" i="32" s="1"/>
  <c r="N1819" i="32" a="1"/>
  <c r="N1819" i="32" s="1"/>
  <c r="E1819" i="32" s="1"/>
  <c r="M1819" i="32" a="1"/>
  <c r="M1819" i="32" s="1"/>
  <c r="D1819" i="32" s="1"/>
  <c r="L2031" i="32"/>
  <c r="K2033" i="32"/>
  <c r="R2029" i="32" a="1"/>
  <c r="R2029" i="32" s="1"/>
  <c r="O2029" i="32" a="1"/>
  <c r="O2029" i="32" s="1"/>
  <c r="N2029" i="32" a="1"/>
  <c r="N2029" i="32" s="1"/>
  <c r="E2029" i="32" s="1"/>
  <c r="M2029" i="32" a="1"/>
  <c r="M2029" i="32" s="1"/>
  <c r="D2029" i="32" s="1"/>
  <c r="B741" i="27"/>
  <c r="H741" i="27" s="1"/>
  <c r="N741" i="27"/>
  <c r="M741" i="27"/>
  <c r="O1815" i="32" a="1"/>
  <c r="O1815" i="32" s="1"/>
  <c r="M1815" i="32" a="1"/>
  <c r="M1815" i="32" s="1"/>
  <c r="D1815" i="32" s="1"/>
  <c r="N1815" i="32" a="1"/>
  <c r="N1815" i="32" s="1"/>
  <c r="E1815" i="32" s="1"/>
  <c r="R1815" i="32" a="1"/>
  <c r="R1815" i="32" s="1"/>
  <c r="L1817" i="32"/>
  <c r="R1029" i="32" a="1"/>
  <c r="R1029" i="32" s="1"/>
  <c r="P2456" i="27" s="1"/>
  <c r="O1029" i="32" a="1"/>
  <c r="O1029" i="32" s="1"/>
  <c r="M2456" i="27" s="1"/>
  <c r="A2456" i="27" s="1"/>
  <c r="M1029" i="32" a="1"/>
  <c r="M1029" i="32" s="1"/>
  <c r="D1029" i="32" s="1"/>
  <c r="N1029" i="32" a="1"/>
  <c r="N1029" i="32" s="1"/>
  <c r="E1029" i="32" s="1"/>
  <c r="F2456" i="27" s="1"/>
  <c r="K1033" i="32"/>
  <c r="L1031" i="32"/>
  <c r="Q1425" i="32"/>
  <c r="G1421" i="32"/>
  <c r="L2033" i="32" l="1"/>
  <c r="K2035" i="32"/>
  <c r="R2031" i="32" a="1"/>
  <c r="R2031" i="32" s="1"/>
  <c r="O2031" i="32" a="1"/>
  <c r="O2031" i="32" s="1"/>
  <c r="N2031" i="32" a="1"/>
  <c r="N2031" i="32" s="1"/>
  <c r="E2031" i="32" s="1"/>
  <c r="M2031" i="32" a="1"/>
  <c r="M2031" i="32" s="1"/>
  <c r="D2031" i="32" s="1"/>
  <c r="B742" i="27"/>
  <c r="M742" i="27"/>
  <c r="N742" i="27"/>
  <c r="K1035" i="32"/>
  <c r="L1033" i="32"/>
  <c r="O1817" i="32" a="1"/>
  <c r="O1817" i="32" s="1"/>
  <c r="M1817" i="32" a="1"/>
  <c r="M1817" i="32" s="1"/>
  <c r="D1817" i="32" s="1"/>
  <c r="N1817" i="32" a="1"/>
  <c r="N1817" i="32" s="1"/>
  <c r="E1817" i="32" s="1"/>
  <c r="R1817" i="32" a="1"/>
  <c r="R1817" i="32" s="1"/>
  <c r="R1031" i="32" a="1"/>
  <c r="R1031" i="32" s="1"/>
  <c r="P2457" i="27" s="1"/>
  <c r="N1031" i="32" a="1"/>
  <c r="N1031" i="32" s="1"/>
  <c r="E1031" i="32" s="1"/>
  <c r="F2457" i="27" s="1"/>
  <c r="O1031" i="32" a="1"/>
  <c r="O1031" i="32" s="1"/>
  <c r="M2457" i="27" s="1"/>
  <c r="A2457" i="27" s="1"/>
  <c r="M1031" i="32" a="1"/>
  <c r="M1031" i="32" s="1"/>
  <c r="D1031" i="32" s="1"/>
  <c r="Q1427" i="32"/>
  <c r="A1425" i="32"/>
  <c r="G1423" i="32"/>
  <c r="A1427" i="32"/>
  <c r="L2035" i="32" l="1"/>
  <c r="K2037" i="32"/>
  <c r="R2033" i="32" a="1"/>
  <c r="R2033" i="32" s="1"/>
  <c r="O2033" i="32" a="1"/>
  <c r="O2033" i="32" s="1"/>
  <c r="N2033" i="32" a="1"/>
  <c r="N2033" i="32" s="1"/>
  <c r="E2033" i="32" s="1"/>
  <c r="M2033" i="32" a="1"/>
  <c r="M2033" i="32" s="1"/>
  <c r="D2033" i="32" s="1"/>
  <c r="B743" i="27"/>
  <c r="N743" i="27"/>
  <c r="M743" i="27"/>
  <c r="H742" i="27"/>
  <c r="H743" i="27" s="1"/>
  <c r="R1033" i="32" a="1"/>
  <c r="R1033" i="32" s="1"/>
  <c r="P2458" i="27" s="1"/>
  <c r="N1033" i="32" a="1"/>
  <c r="N1033" i="32" s="1"/>
  <c r="E1033" i="32" s="1"/>
  <c r="F2458" i="27" s="1"/>
  <c r="O1033" i="32" a="1"/>
  <c r="O1033" i="32" s="1"/>
  <c r="M2458" i="27" s="1"/>
  <c r="A2458" i="27" s="1"/>
  <c r="M1033" i="32" a="1"/>
  <c r="M1033" i="32" s="1"/>
  <c r="D1033" i="32" s="1"/>
  <c r="K1037" i="32"/>
  <c r="L1035" i="32"/>
  <c r="Q1429" i="32"/>
  <c r="G1425" i="32"/>
  <c r="L2037" i="32" l="1"/>
  <c r="K2039" i="32"/>
  <c r="R2035" i="32" a="1"/>
  <c r="R2035" i="32" s="1"/>
  <c r="O2035" i="32" a="1"/>
  <c r="O2035" i="32" s="1"/>
  <c r="N2035" i="32" a="1"/>
  <c r="N2035" i="32" s="1"/>
  <c r="E2035" i="32" s="1"/>
  <c r="M2035" i="32" a="1"/>
  <c r="M2035" i="32" s="1"/>
  <c r="D2035" i="32" s="1"/>
  <c r="B744" i="27"/>
  <c r="H744" i="27" s="1"/>
  <c r="M744" i="27"/>
  <c r="N744" i="27"/>
  <c r="O1035" i="32" a="1"/>
  <c r="O1035" i="32" s="1"/>
  <c r="M2459" i="27" s="1"/>
  <c r="A2459" i="27" s="1"/>
  <c r="R1035" i="32" a="1"/>
  <c r="R1035" i="32" s="1"/>
  <c r="P2459" i="27" s="1"/>
  <c r="M1035" i="32" a="1"/>
  <c r="M1035" i="32" s="1"/>
  <c r="D1035" i="32" s="1"/>
  <c r="N1035" i="32" a="1"/>
  <c r="N1035" i="32" s="1"/>
  <c r="E1035" i="32" s="1"/>
  <c r="F2459" i="27" s="1"/>
  <c r="K1039" i="32"/>
  <c r="L1037" i="32"/>
  <c r="Q1431" i="32"/>
  <c r="G1427" i="32"/>
  <c r="A1429" i="32"/>
  <c r="A1431" i="32"/>
  <c r="L2039" i="32" l="1"/>
  <c r="K2041" i="32"/>
  <c r="R2037" i="32" a="1"/>
  <c r="R2037" i="32" s="1"/>
  <c r="O2037" i="32" a="1"/>
  <c r="O2037" i="32" s="1"/>
  <c r="N2037" i="32" a="1"/>
  <c r="N2037" i="32" s="1"/>
  <c r="E2037" i="32" s="1"/>
  <c r="M2037" i="32" a="1"/>
  <c r="M2037" i="32" s="1"/>
  <c r="D2037" i="32" s="1"/>
  <c r="B745" i="27"/>
  <c r="N745" i="27"/>
  <c r="M745" i="27"/>
  <c r="N1037" i="32" a="1"/>
  <c r="N1037" i="32" s="1"/>
  <c r="E1037" i="32" s="1"/>
  <c r="F2460" i="27" s="1"/>
  <c r="O1037" i="32" a="1"/>
  <c r="O1037" i="32" s="1"/>
  <c r="M2460" i="27" s="1"/>
  <c r="A2460" i="27" s="1"/>
  <c r="R1037" i="32" a="1"/>
  <c r="R1037" i="32" s="1"/>
  <c r="P2460" i="27" s="1"/>
  <c r="M1037" i="32" a="1"/>
  <c r="M1037" i="32" s="1"/>
  <c r="D1037" i="32" s="1"/>
  <c r="K1041" i="32"/>
  <c r="L1039" i="32"/>
  <c r="Q1433" i="32"/>
  <c r="G1429" i="32"/>
  <c r="L2041" i="32" l="1"/>
  <c r="K2043" i="32"/>
  <c r="R2039" i="32" a="1"/>
  <c r="R2039" i="32" s="1"/>
  <c r="O2039" i="32" a="1"/>
  <c r="O2039" i="32" s="1"/>
  <c r="N2039" i="32" a="1"/>
  <c r="N2039" i="32" s="1"/>
  <c r="E2039" i="32" s="1"/>
  <c r="M2039" i="32" a="1"/>
  <c r="M2039" i="32" s="1"/>
  <c r="D2039" i="32" s="1"/>
  <c r="B746" i="27"/>
  <c r="N746" i="27"/>
  <c r="M746" i="27"/>
  <c r="H745" i="27"/>
  <c r="H746" i="27" s="1"/>
  <c r="N1039" i="32" a="1"/>
  <c r="N1039" i="32" s="1"/>
  <c r="E1039" i="32" s="1"/>
  <c r="F2461" i="27" s="1"/>
  <c r="R1039" i="32" a="1"/>
  <c r="R1039" i="32" s="1"/>
  <c r="P2461" i="27" s="1"/>
  <c r="M1039" i="32" a="1"/>
  <c r="M1039" i="32" s="1"/>
  <c r="D1039" i="32" s="1"/>
  <c r="O1039" i="32" a="1"/>
  <c r="O1039" i="32" s="1"/>
  <c r="M2461" i="27" s="1"/>
  <c r="A2461" i="27" s="1"/>
  <c r="K1043" i="32"/>
  <c r="L1041" i="32"/>
  <c r="Q1435" i="32"/>
  <c r="A1435" i="32"/>
  <c r="G1431" i="32"/>
  <c r="A1433" i="32"/>
  <c r="L2043" i="32" l="1"/>
  <c r="K2045" i="32"/>
  <c r="R2041" i="32" a="1"/>
  <c r="R2041" i="32" s="1"/>
  <c r="O2041" i="32" a="1"/>
  <c r="O2041" i="32" s="1"/>
  <c r="N2041" i="32" a="1"/>
  <c r="N2041" i="32" s="1"/>
  <c r="E2041" i="32" s="1"/>
  <c r="M2041" i="32" a="1"/>
  <c r="M2041" i="32" s="1"/>
  <c r="D2041" i="32" s="1"/>
  <c r="B747" i="27"/>
  <c r="M747" i="27"/>
  <c r="N747" i="27"/>
  <c r="O1041" i="32" a="1"/>
  <c r="O1041" i="32" s="1"/>
  <c r="M2462" i="27" s="1"/>
  <c r="A2462" i="27" s="1"/>
  <c r="M1041" i="32" a="1"/>
  <c r="M1041" i="32" s="1"/>
  <c r="D1041" i="32" s="1"/>
  <c r="R1041" i="32" a="1"/>
  <c r="R1041" i="32" s="1"/>
  <c r="P2462" i="27" s="1"/>
  <c r="N1041" i="32" a="1"/>
  <c r="N1041" i="32" s="1"/>
  <c r="E1041" i="32" s="1"/>
  <c r="F2462" i="27" s="1"/>
  <c r="K1045" i="32"/>
  <c r="L1043" i="32"/>
  <c r="Q1437" i="32"/>
  <c r="G1433" i="32"/>
  <c r="L2045" i="32" l="1"/>
  <c r="K2047" i="32"/>
  <c r="R2043" i="32" a="1"/>
  <c r="R2043" i="32" s="1"/>
  <c r="O2043" i="32" a="1"/>
  <c r="O2043" i="32" s="1"/>
  <c r="N2043" i="32" a="1"/>
  <c r="N2043" i="32" s="1"/>
  <c r="E2043" i="32" s="1"/>
  <c r="M2043" i="32" a="1"/>
  <c r="M2043" i="32" s="1"/>
  <c r="D2043" i="32" s="1"/>
  <c r="B748" i="27"/>
  <c r="N748" i="27"/>
  <c r="M748" i="27"/>
  <c r="H747" i="27"/>
  <c r="H748" i="27" s="1"/>
  <c r="O1043" i="32" a="1"/>
  <c r="O1043" i="32" s="1"/>
  <c r="M2463" i="27" s="1"/>
  <c r="A2463" i="27" s="1"/>
  <c r="M1043" i="32" a="1"/>
  <c r="M1043" i="32" s="1"/>
  <c r="D1043" i="32" s="1"/>
  <c r="R1043" i="32" a="1"/>
  <c r="R1043" i="32" s="1"/>
  <c r="P2463" i="27" s="1"/>
  <c r="N1043" i="32" a="1"/>
  <c r="N1043" i="32" s="1"/>
  <c r="E1043" i="32" s="1"/>
  <c r="F2463" i="27" s="1"/>
  <c r="K1047" i="32"/>
  <c r="L1045" i="32"/>
  <c r="Q1439" i="32"/>
  <c r="A1439" i="32"/>
  <c r="A1437" i="32"/>
  <c r="G1435" i="32"/>
  <c r="L2047" i="32" l="1"/>
  <c r="K2049" i="32"/>
  <c r="R2045" i="32" a="1"/>
  <c r="R2045" i="32" s="1"/>
  <c r="O2045" i="32" a="1"/>
  <c r="O2045" i="32" s="1"/>
  <c r="N2045" i="32" a="1"/>
  <c r="N2045" i="32" s="1"/>
  <c r="E2045" i="32" s="1"/>
  <c r="M2045" i="32" a="1"/>
  <c r="M2045" i="32" s="1"/>
  <c r="D2045" i="32" s="1"/>
  <c r="B749" i="27"/>
  <c r="M749" i="27"/>
  <c r="N749" i="27"/>
  <c r="O1045" i="32" a="1"/>
  <c r="O1045" i="32" s="1"/>
  <c r="M2464" i="27" s="1"/>
  <c r="A2464" i="27" s="1"/>
  <c r="R1045" i="32" a="1"/>
  <c r="R1045" i="32" s="1"/>
  <c r="P2464" i="27" s="1"/>
  <c r="N1045" i="32" a="1"/>
  <c r="N1045" i="32" s="1"/>
  <c r="E1045" i="32" s="1"/>
  <c r="F2464" i="27" s="1"/>
  <c r="M1045" i="32" a="1"/>
  <c r="M1045" i="32" s="1"/>
  <c r="D1045" i="32" s="1"/>
  <c r="K1049" i="32"/>
  <c r="L1047" i="32"/>
  <c r="Q1441" i="32"/>
  <c r="G1437" i="32"/>
  <c r="L2049" i="32" l="1"/>
  <c r="K2051" i="32"/>
  <c r="R2047" i="32" a="1"/>
  <c r="R2047" i="32" s="1"/>
  <c r="O2047" i="32" a="1"/>
  <c r="O2047" i="32" s="1"/>
  <c r="N2047" i="32" a="1"/>
  <c r="N2047" i="32" s="1"/>
  <c r="E2047" i="32" s="1"/>
  <c r="M2047" i="32" a="1"/>
  <c r="M2047" i="32" s="1"/>
  <c r="D2047" i="32" s="1"/>
  <c r="B750" i="27"/>
  <c r="M750" i="27"/>
  <c r="N750" i="27"/>
  <c r="H749" i="27"/>
  <c r="H750" i="27" s="1"/>
  <c r="M1047" i="32" a="1"/>
  <c r="M1047" i="32" s="1"/>
  <c r="D1047" i="32" s="1"/>
  <c r="O1047" i="32" a="1"/>
  <c r="O1047" i="32" s="1"/>
  <c r="M2465" i="27" s="1"/>
  <c r="A2465" i="27" s="1"/>
  <c r="R1047" i="32" a="1"/>
  <c r="R1047" i="32" s="1"/>
  <c r="P2465" i="27" s="1"/>
  <c r="N1047" i="32" a="1"/>
  <c r="N1047" i="32" s="1"/>
  <c r="E1047" i="32" s="1"/>
  <c r="F2465" i="27" s="1"/>
  <c r="K1051" i="32"/>
  <c r="L1049" i="32"/>
  <c r="Q1443" i="32"/>
  <c r="A1441" i="32"/>
  <c r="A1443" i="32"/>
  <c r="G1439" i="32"/>
  <c r="L2051" i="32" l="1"/>
  <c r="K2053" i="32"/>
  <c r="R2049" i="32" a="1"/>
  <c r="R2049" i="32" s="1"/>
  <c r="O2049" i="32" a="1"/>
  <c r="O2049" i="32" s="1"/>
  <c r="N2049" i="32" a="1"/>
  <c r="N2049" i="32" s="1"/>
  <c r="E2049" i="32" s="1"/>
  <c r="M2049" i="32" a="1"/>
  <c r="M2049" i="32" s="1"/>
  <c r="D2049" i="32" s="1"/>
  <c r="B751" i="27"/>
  <c r="N751" i="27"/>
  <c r="M751" i="27"/>
  <c r="M1049" i="32" a="1"/>
  <c r="M1049" i="32" s="1"/>
  <c r="D1049" i="32" s="1"/>
  <c r="O1049" i="32" a="1"/>
  <c r="O1049" i="32" s="1"/>
  <c r="M2466" i="27" s="1"/>
  <c r="A2466" i="27" s="1"/>
  <c r="R1049" i="32" a="1"/>
  <c r="R1049" i="32" s="1"/>
  <c r="P2466" i="27" s="1"/>
  <c r="N1049" i="32" a="1"/>
  <c r="N1049" i="32" s="1"/>
  <c r="E1049" i="32" s="1"/>
  <c r="F2466" i="27" s="1"/>
  <c r="K1053" i="32"/>
  <c r="L1051" i="32"/>
  <c r="Q1445" i="32"/>
  <c r="G1441" i="32"/>
  <c r="L2053" i="32" l="1"/>
  <c r="K2055" i="32"/>
  <c r="R2051" i="32" a="1"/>
  <c r="R2051" i="32" s="1"/>
  <c r="O2051" i="32" a="1"/>
  <c r="O2051" i="32" s="1"/>
  <c r="N2051" i="32" a="1"/>
  <c r="N2051" i="32" s="1"/>
  <c r="E2051" i="32" s="1"/>
  <c r="M2051" i="32" a="1"/>
  <c r="M2051" i="32" s="1"/>
  <c r="D2051" i="32" s="1"/>
  <c r="B752" i="27"/>
  <c r="M752" i="27"/>
  <c r="N752" i="27"/>
  <c r="H751" i="27"/>
  <c r="H752" i="27" s="1"/>
  <c r="N1051" i="32" a="1"/>
  <c r="N1051" i="32" s="1"/>
  <c r="E1051" i="32" s="1"/>
  <c r="F2467" i="27" s="1"/>
  <c r="O1051" i="32" a="1"/>
  <c r="O1051" i="32" s="1"/>
  <c r="M2467" i="27" s="1"/>
  <c r="A2467" i="27" s="1"/>
  <c r="R1051" i="32" a="1"/>
  <c r="R1051" i="32" s="1"/>
  <c r="P2467" i="27" s="1"/>
  <c r="M1051" i="32" a="1"/>
  <c r="M1051" i="32" s="1"/>
  <c r="D1051" i="32" s="1"/>
  <c r="K1055" i="32"/>
  <c r="L1053" i="32"/>
  <c r="Q1447" i="32"/>
  <c r="G1443" i="32"/>
  <c r="A1447" i="32"/>
  <c r="A1445" i="32"/>
  <c r="L2055" i="32" l="1"/>
  <c r="K2057" i="32"/>
  <c r="R2053" i="32" a="1"/>
  <c r="R2053" i="32" s="1"/>
  <c r="O2053" i="32" a="1"/>
  <c r="O2053" i="32" s="1"/>
  <c r="N2053" i="32" a="1"/>
  <c r="N2053" i="32" s="1"/>
  <c r="E2053" i="32" s="1"/>
  <c r="M2053" i="32" a="1"/>
  <c r="M2053" i="32" s="1"/>
  <c r="D2053" i="32" s="1"/>
  <c r="B753" i="27"/>
  <c r="N753" i="27"/>
  <c r="M753" i="27"/>
  <c r="O1053" i="32" a="1"/>
  <c r="O1053" i="32" s="1"/>
  <c r="M2468" i="27" s="1"/>
  <c r="A2468" i="27" s="1"/>
  <c r="M1053" i="32" a="1"/>
  <c r="M1053" i="32" s="1"/>
  <c r="D1053" i="32" s="1"/>
  <c r="N1053" i="32" a="1"/>
  <c r="N1053" i="32" s="1"/>
  <c r="E1053" i="32" s="1"/>
  <c r="F2468" i="27" s="1"/>
  <c r="R1053" i="32" a="1"/>
  <c r="R1053" i="32" s="1"/>
  <c r="P2468" i="27" s="1"/>
  <c r="K1057" i="32"/>
  <c r="L1055" i="32"/>
  <c r="Q1449" i="32"/>
  <c r="G1445" i="32"/>
  <c r="L2057" i="32" l="1"/>
  <c r="K2059" i="32"/>
  <c r="R2057" i="32" a="1"/>
  <c r="R2057" i="32" s="1"/>
  <c r="O2057" i="32" a="1"/>
  <c r="O2057" i="32" s="1"/>
  <c r="N2057" i="32" a="1"/>
  <c r="N2057" i="32" s="1"/>
  <c r="E2057" i="32" s="1"/>
  <c r="M2057" i="32" a="1"/>
  <c r="M2057" i="32" s="1"/>
  <c r="D2057" i="32" s="1"/>
  <c r="R2055" i="32" a="1"/>
  <c r="R2055" i="32" s="1"/>
  <c r="O2055" i="32" a="1"/>
  <c r="O2055" i="32" s="1"/>
  <c r="N2055" i="32" a="1"/>
  <c r="N2055" i="32" s="1"/>
  <c r="E2055" i="32" s="1"/>
  <c r="M2055" i="32" a="1"/>
  <c r="M2055" i="32" s="1"/>
  <c r="D2055" i="32" s="1"/>
  <c r="B754" i="27"/>
  <c r="N754" i="27"/>
  <c r="M754" i="27"/>
  <c r="H753" i="27"/>
  <c r="H754" i="27" s="1"/>
  <c r="R1055" i="32" a="1"/>
  <c r="R1055" i="32" s="1"/>
  <c r="P2469" i="27" s="1"/>
  <c r="M1055" i="32" a="1"/>
  <c r="M1055" i="32" s="1"/>
  <c r="D1055" i="32" s="1"/>
  <c r="O1055" i="32" a="1"/>
  <c r="O1055" i="32" s="1"/>
  <c r="M2469" i="27" s="1"/>
  <c r="A2469" i="27" s="1"/>
  <c r="N1055" i="32" a="1"/>
  <c r="N1055" i="32" s="1"/>
  <c r="E1055" i="32" s="1"/>
  <c r="F2469" i="27" s="1"/>
  <c r="K1059" i="32"/>
  <c r="L1057" i="32"/>
  <c r="Q1451" i="32"/>
  <c r="A1449" i="32"/>
  <c r="A1451" i="32"/>
  <c r="G1447" i="32"/>
  <c r="L2059" i="32" l="1"/>
  <c r="K2061" i="32"/>
  <c r="B755" i="27"/>
  <c r="N755" i="27"/>
  <c r="M755" i="27"/>
  <c r="O1057" i="32" a="1"/>
  <c r="O1057" i="32" s="1"/>
  <c r="M2470" i="27" s="1"/>
  <c r="A2470" i="27" s="1"/>
  <c r="N1057" i="32" a="1"/>
  <c r="N1057" i="32" s="1"/>
  <c r="E1057" i="32" s="1"/>
  <c r="F2470" i="27" s="1"/>
  <c r="R1057" i="32" a="1"/>
  <c r="R1057" i="32" s="1"/>
  <c r="P2470" i="27" s="1"/>
  <c r="M1057" i="32" a="1"/>
  <c r="M1057" i="32" s="1"/>
  <c r="D1057" i="32" s="1"/>
  <c r="K1061" i="32"/>
  <c r="K1063" i="32" s="1"/>
  <c r="K1065" i="32" s="1"/>
  <c r="K1067" i="32" s="1"/>
  <c r="K1069" i="32" s="1"/>
  <c r="K1071" i="32" s="1"/>
  <c r="K1073" i="32" s="1"/>
  <c r="K1075" i="32" s="1"/>
  <c r="K1077" i="32" s="1"/>
  <c r="K1079" i="32" s="1"/>
  <c r="K1081" i="32" s="1"/>
  <c r="K1083" i="32" s="1"/>
  <c r="K1085" i="32" s="1"/>
  <c r="K1087" i="32" s="1"/>
  <c r="K1089" i="32" s="1"/>
  <c r="K1091" i="32" s="1"/>
  <c r="K1093" i="32" s="1"/>
  <c r="K1095" i="32" s="1"/>
  <c r="K1097" i="32" s="1"/>
  <c r="K1099" i="32" s="1"/>
  <c r="K1101" i="32" s="1"/>
  <c r="L1059" i="32"/>
  <c r="Q1453" i="32"/>
  <c r="G1449" i="32"/>
  <c r="L2061" i="32" l="1"/>
  <c r="K2063" i="32"/>
  <c r="R2059" i="32" a="1"/>
  <c r="R2059" i="32" s="1"/>
  <c r="O2059" i="32" a="1"/>
  <c r="O2059" i="32" s="1"/>
  <c r="N2059" i="32" a="1"/>
  <c r="N2059" i="32" s="1"/>
  <c r="E2059" i="32" s="1"/>
  <c r="M2059" i="32" a="1"/>
  <c r="M2059" i="32" s="1"/>
  <c r="D2059" i="32" s="1"/>
  <c r="B756" i="27"/>
  <c r="N756" i="27"/>
  <c r="M756" i="27"/>
  <c r="H755" i="27"/>
  <c r="H756" i="27" s="1"/>
  <c r="M1059" i="32" a="1"/>
  <c r="M1059" i="32" s="1"/>
  <c r="D1059" i="32" s="1"/>
  <c r="N1059" i="32" a="1"/>
  <c r="N1059" i="32" s="1"/>
  <c r="E1059" i="32" s="1"/>
  <c r="F2471" i="27" s="1"/>
  <c r="O1059" i="32" a="1"/>
  <c r="O1059" i="32" s="1"/>
  <c r="M2471" i="27" s="1"/>
  <c r="A2471" i="27" s="1"/>
  <c r="R1059" i="32" a="1"/>
  <c r="R1059" i="32" s="1"/>
  <c r="P2471" i="27" s="1"/>
  <c r="K1103" i="32"/>
  <c r="L1101" i="32"/>
  <c r="Q1455" i="32"/>
  <c r="G1451" i="32"/>
  <c r="A1453" i="32"/>
  <c r="A1455" i="32"/>
  <c r="L2063" i="32" l="1"/>
  <c r="K2065" i="32"/>
  <c r="R2061" i="32" a="1"/>
  <c r="R2061" i="32" s="1"/>
  <c r="O2061" i="32" a="1"/>
  <c r="O2061" i="32" s="1"/>
  <c r="N2061" i="32" a="1"/>
  <c r="N2061" i="32" s="1"/>
  <c r="E2061" i="32" s="1"/>
  <c r="M2061" i="32" a="1"/>
  <c r="M2061" i="32" s="1"/>
  <c r="D2061" i="32" s="1"/>
  <c r="B757" i="27"/>
  <c r="M757" i="27"/>
  <c r="N757" i="27"/>
  <c r="R1101" i="32" a="1"/>
  <c r="R1101" i="32" s="1"/>
  <c r="P2492" i="27" s="1"/>
  <c r="M1101" i="32" a="1"/>
  <c r="M1101" i="32" s="1"/>
  <c r="D1101" i="32" s="1"/>
  <c r="N1101" i="32" a="1"/>
  <c r="N1101" i="32" s="1"/>
  <c r="E1101" i="32" s="1"/>
  <c r="F2492" i="27" s="1"/>
  <c r="O1101" i="32" a="1"/>
  <c r="O1101" i="32" s="1"/>
  <c r="M2492" i="27" s="1"/>
  <c r="A2492" i="27" s="1"/>
  <c r="K1105" i="32"/>
  <c r="L1103" i="32"/>
  <c r="Q1457" i="32"/>
  <c r="G1453" i="32"/>
  <c r="L2065" i="32" l="1"/>
  <c r="K2067" i="32"/>
  <c r="R2063" i="32" a="1"/>
  <c r="R2063" i="32" s="1"/>
  <c r="O2063" i="32" a="1"/>
  <c r="O2063" i="32" s="1"/>
  <c r="N2063" i="32" a="1"/>
  <c r="N2063" i="32" s="1"/>
  <c r="E2063" i="32" s="1"/>
  <c r="M2063" i="32" a="1"/>
  <c r="M2063" i="32" s="1"/>
  <c r="D2063" i="32" s="1"/>
  <c r="B758" i="27"/>
  <c r="M758" i="27"/>
  <c r="N758" i="27"/>
  <c r="H757" i="27"/>
  <c r="H758" i="27" s="1"/>
  <c r="N1103" i="32" a="1"/>
  <c r="N1103" i="32" s="1"/>
  <c r="E1103" i="32" s="1"/>
  <c r="F2493" i="27" s="1"/>
  <c r="R1103" i="32" a="1"/>
  <c r="R1103" i="32" s="1"/>
  <c r="P2493" i="27" s="1"/>
  <c r="M1103" i="32" a="1"/>
  <c r="M1103" i="32" s="1"/>
  <c r="D1103" i="32" s="1"/>
  <c r="O1103" i="32" a="1"/>
  <c r="O1103" i="32" s="1"/>
  <c r="M2493" i="27" s="1"/>
  <c r="A2493" i="27" s="1"/>
  <c r="K1107" i="32"/>
  <c r="L1105" i="32"/>
  <c r="Q1459" i="32"/>
  <c r="A1457" i="32"/>
  <c r="G1455" i="32"/>
  <c r="A1459" i="32"/>
  <c r="L2067" i="32" l="1"/>
  <c r="K2069" i="32"/>
  <c r="R2065" i="32" a="1"/>
  <c r="R2065" i="32" s="1"/>
  <c r="O2065" i="32" a="1"/>
  <c r="O2065" i="32" s="1"/>
  <c r="N2065" i="32" a="1"/>
  <c r="N2065" i="32" s="1"/>
  <c r="E2065" i="32" s="1"/>
  <c r="M2065" i="32" a="1"/>
  <c r="M2065" i="32" s="1"/>
  <c r="D2065" i="32" s="1"/>
  <c r="B759" i="27"/>
  <c r="M759" i="27"/>
  <c r="N759" i="27"/>
  <c r="O1105" i="32" a="1"/>
  <c r="O1105" i="32" s="1"/>
  <c r="M2494" i="27" s="1"/>
  <c r="A2494" i="27" s="1"/>
  <c r="M1105" i="32" a="1"/>
  <c r="M1105" i="32" s="1"/>
  <c r="D1105" i="32" s="1"/>
  <c r="R1105" i="32" a="1"/>
  <c r="R1105" i="32" s="1"/>
  <c r="P2494" i="27" s="1"/>
  <c r="N1105" i="32" a="1"/>
  <c r="N1105" i="32" s="1"/>
  <c r="E1105" i="32" s="1"/>
  <c r="F2494" i="27" s="1"/>
  <c r="K1109" i="32"/>
  <c r="L1107" i="32"/>
  <c r="Q1461" i="32"/>
  <c r="G1457" i="32"/>
  <c r="L2069" i="32" l="1"/>
  <c r="K2071" i="32"/>
  <c r="R2067" i="32" a="1"/>
  <c r="R2067" i="32" s="1"/>
  <c r="O2067" i="32" a="1"/>
  <c r="O2067" i="32" s="1"/>
  <c r="N2067" i="32" a="1"/>
  <c r="N2067" i="32" s="1"/>
  <c r="E2067" i="32" s="1"/>
  <c r="M2067" i="32" a="1"/>
  <c r="M2067" i="32" s="1"/>
  <c r="D2067" i="32" s="1"/>
  <c r="B760" i="27"/>
  <c r="N760" i="27"/>
  <c r="M760" i="27"/>
  <c r="H759" i="27"/>
  <c r="H760" i="27" s="1"/>
  <c r="R1107" i="32" a="1"/>
  <c r="R1107" i="32" s="1"/>
  <c r="P2495" i="27" s="1"/>
  <c r="O1107" i="32" a="1"/>
  <c r="O1107" i="32" s="1"/>
  <c r="M2495" i="27" s="1"/>
  <c r="A2495" i="27" s="1"/>
  <c r="N1107" i="32" a="1"/>
  <c r="N1107" i="32" s="1"/>
  <c r="E1107" i="32" s="1"/>
  <c r="F2495" i="27" s="1"/>
  <c r="M1107" i="32" a="1"/>
  <c r="M1107" i="32" s="1"/>
  <c r="D1107" i="32" s="1"/>
  <c r="K1111" i="32"/>
  <c r="L1109" i="32"/>
  <c r="Q1463" i="32"/>
  <c r="A1463" i="32"/>
  <c r="G1459" i="32"/>
  <c r="A1461" i="32"/>
  <c r="L2071" i="32" l="1"/>
  <c r="K2073" i="32"/>
  <c r="R2069" i="32" a="1"/>
  <c r="R2069" i="32" s="1"/>
  <c r="O2069" i="32" a="1"/>
  <c r="O2069" i="32" s="1"/>
  <c r="N2069" i="32" a="1"/>
  <c r="N2069" i="32" s="1"/>
  <c r="E2069" i="32" s="1"/>
  <c r="M2069" i="32" a="1"/>
  <c r="M2069" i="32" s="1"/>
  <c r="D2069" i="32" s="1"/>
  <c r="B761" i="27"/>
  <c r="M761" i="27"/>
  <c r="N761" i="27"/>
  <c r="N1109" i="32" a="1"/>
  <c r="N1109" i="32" s="1"/>
  <c r="E1109" i="32" s="1"/>
  <c r="F2496" i="27" s="1"/>
  <c r="O1109" i="32" a="1"/>
  <c r="O1109" i="32" s="1"/>
  <c r="M2496" i="27" s="1"/>
  <c r="A2496" i="27" s="1"/>
  <c r="R1109" i="32" a="1"/>
  <c r="R1109" i="32" s="1"/>
  <c r="P2496" i="27" s="1"/>
  <c r="M1109" i="32" a="1"/>
  <c r="M1109" i="32" s="1"/>
  <c r="D1109" i="32" s="1"/>
  <c r="K1113" i="32"/>
  <c r="L1111" i="32"/>
  <c r="Q1465" i="32"/>
  <c r="G1461" i="32"/>
  <c r="L2073" i="32" l="1"/>
  <c r="K2075" i="32"/>
  <c r="R2071" i="32" a="1"/>
  <c r="R2071" i="32" s="1"/>
  <c r="O2071" i="32" a="1"/>
  <c r="O2071" i="32" s="1"/>
  <c r="N2071" i="32" a="1"/>
  <c r="N2071" i="32" s="1"/>
  <c r="E2071" i="32" s="1"/>
  <c r="M2071" i="32" a="1"/>
  <c r="M2071" i="32" s="1"/>
  <c r="D2071" i="32" s="1"/>
  <c r="B762" i="27"/>
  <c r="N762" i="27"/>
  <c r="M762" i="27"/>
  <c r="H761" i="27"/>
  <c r="H762" i="27" s="1"/>
  <c r="O1111" i="32" a="1"/>
  <c r="O1111" i="32" s="1"/>
  <c r="M2497" i="27" s="1"/>
  <c r="A2497" i="27" s="1"/>
  <c r="R1111" i="32" a="1"/>
  <c r="R1111" i="32" s="1"/>
  <c r="P2497" i="27" s="1"/>
  <c r="M1111" i="32" a="1"/>
  <c r="M1111" i="32" s="1"/>
  <c r="D1111" i="32" s="1"/>
  <c r="N1111" i="32" a="1"/>
  <c r="N1111" i="32" s="1"/>
  <c r="E1111" i="32" s="1"/>
  <c r="F2497" i="27" s="1"/>
  <c r="K1115" i="32"/>
  <c r="L1113" i="32"/>
  <c r="Q1467" i="32"/>
  <c r="A1465" i="32"/>
  <c r="A1467" i="32"/>
  <c r="G1463" i="32"/>
  <c r="L2075" i="32" l="1"/>
  <c r="K2077" i="32"/>
  <c r="R2073" i="32" a="1"/>
  <c r="R2073" i="32" s="1"/>
  <c r="O2073" i="32" a="1"/>
  <c r="O2073" i="32" s="1"/>
  <c r="N2073" i="32" a="1"/>
  <c r="N2073" i="32" s="1"/>
  <c r="E2073" i="32" s="1"/>
  <c r="M2073" i="32" a="1"/>
  <c r="M2073" i="32" s="1"/>
  <c r="D2073" i="32" s="1"/>
  <c r="B763" i="27"/>
  <c r="M763" i="27"/>
  <c r="C763" i="27" s="1"/>
  <c r="N1113" i="32" a="1"/>
  <c r="N1113" i="32" s="1"/>
  <c r="E1113" i="32" s="1"/>
  <c r="F2498" i="27" s="1"/>
  <c r="M1113" i="32" a="1"/>
  <c r="M1113" i="32" s="1"/>
  <c r="D1113" i="32" s="1"/>
  <c r="O1113" i="32" a="1"/>
  <c r="O1113" i="32" s="1"/>
  <c r="M2498" i="27" s="1"/>
  <c r="A2498" i="27" s="1"/>
  <c r="R1113" i="32" a="1"/>
  <c r="R1113" i="32" s="1"/>
  <c r="P2498" i="27" s="1"/>
  <c r="K1117" i="32"/>
  <c r="L1115" i="32"/>
  <c r="Q1469" i="32"/>
  <c r="G1465" i="32"/>
  <c r="L2077" i="32" l="1"/>
  <c r="K2079" i="32"/>
  <c r="R2075" i="32" a="1"/>
  <c r="R2075" i="32" s="1"/>
  <c r="O2075" i="32" a="1"/>
  <c r="O2075" i="32" s="1"/>
  <c r="N2075" i="32" a="1"/>
  <c r="N2075" i="32" s="1"/>
  <c r="E2075" i="32" s="1"/>
  <c r="M2075" i="32" a="1"/>
  <c r="M2075" i="32" s="1"/>
  <c r="D2075" i="32" s="1"/>
  <c r="H763" i="27"/>
  <c r="B764" i="27"/>
  <c r="N764" i="27"/>
  <c r="M764" i="27"/>
  <c r="C764" i="27" s="1"/>
  <c r="R1115" i="32" a="1"/>
  <c r="R1115" i="32" s="1"/>
  <c r="P2499" i="27" s="1"/>
  <c r="N1115" i="32" a="1"/>
  <c r="N1115" i="32" s="1"/>
  <c r="E1115" i="32" s="1"/>
  <c r="F2499" i="27" s="1"/>
  <c r="O1115" i="32" a="1"/>
  <c r="O1115" i="32" s="1"/>
  <c r="M2499" i="27" s="1"/>
  <c r="A2499" i="27" s="1"/>
  <c r="M1115" i="32" a="1"/>
  <c r="M1115" i="32" s="1"/>
  <c r="D1115" i="32" s="1"/>
  <c r="K1119" i="32"/>
  <c r="L1117" i="32"/>
  <c r="Q1471" i="32"/>
  <c r="A1471" i="32"/>
  <c r="G1467" i="32"/>
  <c r="A1469" i="32"/>
  <c r="L2079" i="32" l="1"/>
  <c r="K2081" i="32"/>
  <c r="R2077" i="32" a="1"/>
  <c r="R2077" i="32" s="1"/>
  <c r="O2077" i="32" a="1"/>
  <c r="O2077" i="32" s="1"/>
  <c r="N2077" i="32" a="1"/>
  <c r="N2077" i="32" s="1"/>
  <c r="E2077" i="32" s="1"/>
  <c r="M2077" i="32" a="1"/>
  <c r="M2077" i="32" s="1"/>
  <c r="D2077" i="32" s="1"/>
  <c r="H764" i="27"/>
  <c r="B765" i="27"/>
  <c r="N765" i="27"/>
  <c r="M765" i="27"/>
  <c r="C765" i="27" s="1"/>
  <c r="R1117" i="32" a="1"/>
  <c r="R1117" i="32" s="1"/>
  <c r="P2500" i="27" s="1"/>
  <c r="N1117" i="32" a="1"/>
  <c r="N1117" i="32" s="1"/>
  <c r="E1117" i="32" s="1"/>
  <c r="F2500" i="27" s="1"/>
  <c r="O1117" i="32" a="1"/>
  <c r="O1117" i="32" s="1"/>
  <c r="M2500" i="27" s="1"/>
  <c r="A2500" i="27" s="1"/>
  <c r="M1117" i="32" a="1"/>
  <c r="M1117" i="32" s="1"/>
  <c r="D1117" i="32" s="1"/>
  <c r="K1121" i="32"/>
  <c r="L1119" i="32"/>
  <c r="Q1473" i="32"/>
  <c r="G1469" i="32"/>
  <c r="L2081" i="32" l="1"/>
  <c r="K2083" i="32"/>
  <c r="R2079" i="32" a="1"/>
  <c r="R2079" i="32" s="1"/>
  <c r="O2079" i="32" a="1"/>
  <c r="O2079" i="32" s="1"/>
  <c r="N2079" i="32" a="1"/>
  <c r="N2079" i="32" s="1"/>
  <c r="E2079" i="32" s="1"/>
  <c r="M2079" i="32" a="1"/>
  <c r="M2079" i="32" s="1"/>
  <c r="D2079" i="32" s="1"/>
  <c r="H765" i="27"/>
  <c r="B766" i="27"/>
  <c r="N766" i="27"/>
  <c r="M766" i="27"/>
  <c r="C766" i="27" s="1"/>
  <c r="R1119" i="32" a="1"/>
  <c r="R1119" i="32" s="1"/>
  <c r="P2501" i="27" s="1"/>
  <c r="O1119" i="32" a="1"/>
  <c r="O1119" i="32" s="1"/>
  <c r="M2501" i="27" s="1"/>
  <c r="A2501" i="27" s="1"/>
  <c r="N1119" i="32" a="1"/>
  <c r="N1119" i="32" s="1"/>
  <c r="E1119" i="32" s="1"/>
  <c r="F2501" i="27" s="1"/>
  <c r="M1119" i="32" a="1"/>
  <c r="M1119" i="32" s="1"/>
  <c r="D1119" i="32" s="1"/>
  <c r="K1123" i="32"/>
  <c r="L1121" i="32"/>
  <c r="Q1475" i="32"/>
  <c r="A1475" i="32"/>
  <c r="G1471" i="32"/>
  <c r="A1473" i="32"/>
  <c r="L2083" i="32" l="1"/>
  <c r="K2085" i="32"/>
  <c r="R2081" i="32" a="1"/>
  <c r="R2081" i="32" s="1"/>
  <c r="O2081" i="32" a="1"/>
  <c r="O2081" i="32" s="1"/>
  <c r="N2081" i="32" a="1"/>
  <c r="N2081" i="32" s="1"/>
  <c r="E2081" i="32" s="1"/>
  <c r="M2081" i="32" a="1"/>
  <c r="M2081" i="32" s="1"/>
  <c r="D2081" i="32" s="1"/>
  <c r="H766" i="27"/>
  <c r="B767" i="27"/>
  <c r="M767" i="27"/>
  <c r="C767" i="27" s="1"/>
  <c r="N767" i="27"/>
  <c r="R1121" i="32" a="1"/>
  <c r="R1121" i="32" s="1"/>
  <c r="P2502" i="27" s="1"/>
  <c r="M1121" i="32" a="1"/>
  <c r="M1121" i="32" s="1"/>
  <c r="D1121" i="32" s="1"/>
  <c r="N1121" i="32" a="1"/>
  <c r="N1121" i="32" s="1"/>
  <c r="E1121" i="32" s="1"/>
  <c r="F2502" i="27" s="1"/>
  <c r="O1121" i="32" a="1"/>
  <c r="O1121" i="32" s="1"/>
  <c r="M2502" i="27" s="1"/>
  <c r="A2502" i="27" s="1"/>
  <c r="K1125" i="32"/>
  <c r="L1123" i="32"/>
  <c r="Q1477" i="32"/>
  <c r="G1473" i="32"/>
  <c r="L2085" i="32" l="1"/>
  <c r="K2087" i="32"/>
  <c r="R2083" i="32" a="1"/>
  <c r="R2083" i="32" s="1"/>
  <c r="O2083" i="32" a="1"/>
  <c r="O2083" i="32" s="1"/>
  <c r="N2083" i="32" a="1"/>
  <c r="N2083" i="32" s="1"/>
  <c r="E2083" i="32" s="1"/>
  <c r="M2083" i="32" a="1"/>
  <c r="M2083" i="32" s="1"/>
  <c r="D2083" i="32" s="1"/>
  <c r="H767" i="27"/>
  <c r="B768" i="27"/>
  <c r="M768" i="27"/>
  <c r="C768" i="27" s="1"/>
  <c r="N768" i="27"/>
  <c r="M1123" i="32" a="1"/>
  <c r="M1123" i="32" s="1"/>
  <c r="D1123" i="32" s="1"/>
  <c r="O1123" i="32" a="1"/>
  <c r="O1123" i="32" s="1"/>
  <c r="M2503" i="27" s="1"/>
  <c r="A2503" i="27" s="1"/>
  <c r="N1123" i="32" a="1"/>
  <c r="N1123" i="32" s="1"/>
  <c r="E1123" i="32" s="1"/>
  <c r="F2503" i="27" s="1"/>
  <c r="R1123" i="32" a="1"/>
  <c r="R1123" i="32" s="1"/>
  <c r="P2503" i="27" s="1"/>
  <c r="K1127" i="32"/>
  <c r="L1125" i="32"/>
  <c r="Q1479" i="32"/>
  <c r="A1479" i="32"/>
  <c r="G1475" i="32"/>
  <c r="A1477" i="32"/>
  <c r="L2087" i="32" l="1"/>
  <c r="K2089" i="32"/>
  <c r="R2085" i="32" a="1"/>
  <c r="R2085" i="32" s="1"/>
  <c r="O2085" i="32" a="1"/>
  <c r="O2085" i="32" s="1"/>
  <c r="N2085" i="32" a="1"/>
  <c r="N2085" i="32" s="1"/>
  <c r="E2085" i="32" s="1"/>
  <c r="M2085" i="32" a="1"/>
  <c r="M2085" i="32" s="1"/>
  <c r="D2085" i="32" s="1"/>
  <c r="H768" i="27"/>
  <c r="B769" i="27"/>
  <c r="N769" i="27"/>
  <c r="M769" i="27"/>
  <c r="C769" i="27" s="1"/>
  <c r="R1125" i="32" a="1"/>
  <c r="R1125" i="32" s="1"/>
  <c r="P2504" i="27" s="1"/>
  <c r="O1125" i="32" a="1"/>
  <c r="O1125" i="32" s="1"/>
  <c r="M2504" i="27" s="1"/>
  <c r="A2504" i="27" s="1"/>
  <c r="M1125" i="32" a="1"/>
  <c r="M1125" i="32" s="1"/>
  <c r="D1125" i="32" s="1"/>
  <c r="N1125" i="32" a="1"/>
  <c r="N1125" i="32" s="1"/>
  <c r="E1125" i="32" s="1"/>
  <c r="F2504" i="27" s="1"/>
  <c r="K1129" i="32"/>
  <c r="L1127" i="32"/>
  <c r="Q1481" i="32"/>
  <c r="G1477" i="32"/>
  <c r="L2089" i="32" l="1"/>
  <c r="K2091" i="32"/>
  <c r="R2087" i="32" a="1"/>
  <c r="R2087" i="32" s="1"/>
  <c r="O2087" i="32" a="1"/>
  <c r="O2087" i="32" s="1"/>
  <c r="N2087" i="32" a="1"/>
  <c r="N2087" i="32" s="1"/>
  <c r="E2087" i="32" s="1"/>
  <c r="M2087" i="32" a="1"/>
  <c r="M2087" i="32" s="1"/>
  <c r="D2087" i="32" s="1"/>
  <c r="H769" i="27"/>
  <c r="B770" i="27"/>
  <c r="N770" i="27"/>
  <c r="M770" i="27"/>
  <c r="C770" i="27" s="1"/>
  <c r="R1127" i="32" a="1"/>
  <c r="R1127" i="32" s="1"/>
  <c r="P2505" i="27" s="1"/>
  <c r="M1127" i="32" a="1"/>
  <c r="M1127" i="32" s="1"/>
  <c r="D1127" i="32" s="1"/>
  <c r="N1127" i="32" a="1"/>
  <c r="N1127" i="32" s="1"/>
  <c r="E1127" i="32" s="1"/>
  <c r="F2505" i="27" s="1"/>
  <c r="O1127" i="32" a="1"/>
  <c r="O1127" i="32" s="1"/>
  <c r="M2505" i="27" s="1"/>
  <c r="A2505" i="27" s="1"/>
  <c r="K1131" i="32"/>
  <c r="L1129" i="32"/>
  <c r="Q1483" i="32"/>
  <c r="G1479" i="32"/>
  <c r="A1483" i="32"/>
  <c r="A1481" i="32"/>
  <c r="L2091" i="32" l="1"/>
  <c r="K2093" i="32"/>
  <c r="R2089" i="32" a="1"/>
  <c r="R2089" i="32" s="1"/>
  <c r="O2089" i="32" a="1"/>
  <c r="O2089" i="32" s="1"/>
  <c r="N2089" i="32" a="1"/>
  <c r="N2089" i="32" s="1"/>
  <c r="E2089" i="32" s="1"/>
  <c r="M2089" i="32" a="1"/>
  <c r="M2089" i="32" s="1"/>
  <c r="D2089" i="32" s="1"/>
  <c r="H770" i="27"/>
  <c r="B771" i="27"/>
  <c r="M771" i="27"/>
  <c r="C771" i="27" s="1"/>
  <c r="N771" i="27"/>
  <c r="M1129" i="32" a="1"/>
  <c r="M1129" i="32" s="1"/>
  <c r="D1129" i="32" s="1"/>
  <c r="N1129" i="32" a="1"/>
  <c r="N1129" i="32" s="1"/>
  <c r="E1129" i="32" s="1"/>
  <c r="F2506" i="27" s="1"/>
  <c r="O1129" i="32" a="1"/>
  <c r="O1129" i="32" s="1"/>
  <c r="M2506" i="27" s="1"/>
  <c r="A2506" i="27" s="1"/>
  <c r="R1129" i="32" a="1"/>
  <c r="R1129" i="32" s="1"/>
  <c r="P2506" i="27" s="1"/>
  <c r="K1133" i="32"/>
  <c r="L1131" i="32"/>
  <c r="Q1485" i="32"/>
  <c r="G1481" i="32"/>
  <c r="L2093" i="32" l="1"/>
  <c r="K2095" i="32"/>
  <c r="R2091" i="32" a="1"/>
  <c r="R2091" i="32" s="1"/>
  <c r="O2091" i="32" a="1"/>
  <c r="O2091" i="32" s="1"/>
  <c r="N2091" i="32" a="1"/>
  <c r="N2091" i="32" s="1"/>
  <c r="E2091" i="32" s="1"/>
  <c r="M2091" i="32" a="1"/>
  <c r="M2091" i="32" s="1"/>
  <c r="D2091" i="32" s="1"/>
  <c r="H771" i="27"/>
  <c r="B772" i="27"/>
  <c r="N772" i="27"/>
  <c r="M772" i="27"/>
  <c r="C772" i="27" s="1"/>
  <c r="R1131" i="32" a="1"/>
  <c r="R1131" i="32" s="1"/>
  <c r="P2507" i="27" s="1"/>
  <c r="O1131" i="32" a="1"/>
  <c r="O1131" i="32" s="1"/>
  <c r="M2507" i="27" s="1"/>
  <c r="A2507" i="27" s="1"/>
  <c r="M1131" i="32" a="1"/>
  <c r="M1131" i="32" s="1"/>
  <c r="D1131" i="32" s="1"/>
  <c r="N1131" i="32" a="1"/>
  <c r="N1131" i="32" s="1"/>
  <c r="E1131" i="32" s="1"/>
  <c r="F2507" i="27" s="1"/>
  <c r="K1135" i="32"/>
  <c r="L1133" i="32"/>
  <c r="Q1487" i="32"/>
  <c r="G1483" i="32"/>
  <c r="A1487" i="32"/>
  <c r="A1485" i="32"/>
  <c r="L2095" i="32" l="1"/>
  <c r="K2097" i="32"/>
  <c r="R2095" i="32" a="1"/>
  <c r="R2095" i="32" s="1"/>
  <c r="O2095" i="32" a="1"/>
  <c r="O2095" i="32" s="1"/>
  <c r="N2095" i="32" a="1"/>
  <c r="N2095" i="32" s="1"/>
  <c r="E2095" i="32" s="1"/>
  <c r="M2095" i="32" a="1"/>
  <c r="M2095" i="32" s="1"/>
  <c r="D2095" i="32" s="1"/>
  <c r="R2093" i="32" a="1"/>
  <c r="R2093" i="32" s="1"/>
  <c r="O2093" i="32" a="1"/>
  <c r="O2093" i="32" s="1"/>
  <c r="N2093" i="32" a="1"/>
  <c r="N2093" i="32" s="1"/>
  <c r="E2093" i="32" s="1"/>
  <c r="M2093" i="32" a="1"/>
  <c r="M2093" i="32" s="1"/>
  <c r="D2093" i="32" s="1"/>
  <c r="H772" i="27"/>
  <c r="B773" i="27"/>
  <c r="N773" i="27"/>
  <c r="M773" i="27"/>
  <c r="C773" i="27" s="1"/>
  <c r="M1133" i="32" a="1"/>
  <c r="M1133" i="32" s="1"/>
  <c r="D1133" i="32" s="1"/>
  <c r="R1133" i="32" a="1"/>
  <c r="R1133" i="32" s="1"/>
  <c r="P2508" i="27" s="1"/>
  <c r="O1133" i="32" a="1"/>
  <c r="O1133" i="32" s="1"/>
  <c r="M2508" i="27" s="1"/>
  <c r="A2508" i="27" s="1"/>
  <c r="N1133" i="32" a="1"/>
  <c r="N1133" i="32" s="1"/>
  <c r="E1133" i="32" s="1"/>
  <c r="F2508" i="27" s="1"/>
  <c r="K1137" i="32"/>
  <c r="L1135" i="32"/>
  <c r="Q1489" i="32"/>
  <c r="G1485" i="32"/>
  <c r="L2097" i="32" l="1"/>
  <c r="K2099" i="32"/>
  <c r="R2097" i="32" a="1"/>
  <c r="R2097" i="32" s="1"/>
  <c r="O2097" i="32" a="1"/>
  <c r="O2097" i="32" s="1"/>
  <c r="N2097" i="32" a="1"/>
  <c r="N2097" i="32" s="1"/>
  <c r="E2097" i="32" s="1"/>
  <c r="M2097" i="32" a="1"/>
  <c r="M2097" i="32" s="1"/>
  <c r="D2097" i="32" s="1"/>
  <c r="H773" i="27"/>
  <c r="B774" i="27"/>
  <c r="M774" i="27"/>
  <c r="C774" i="27" s="1"/>
  <c r="N774" i="27"/>
  <c r="N1135" i="32" a="1"/>
  <c r="N1135" i="32" s="1"/>
  <c r="E1135" i="32" s="1"/>
  <c r="F2509" i="27" s="1"/>
  <c r="O1135" i="32" a="1"/>
  <c r="O1135" i="32" s="1"/>
  <c r="M2509" i="27" s="1"/>
  <c r="A2509" i="27" s="1"/>
  <c r="R1135" i="32" a="1"/>
  <c r="R1135" i="32" s="1"/>
  <c r="P2509" i="27" s="1"/>
  <c r="M1135" i="32" a="1"/>
  <c r="M1135" i="32" s="1"/>
  <c r="D1135" i="32" s="1"/>
  <c r="K1139" i="32"/>
  <c r="L1137" i="32"/>
  <c r="Q1491" i="32"/>
  <c r="A1489" i="32"/>
  <c r="A1491" i="32"/>
  <c r="G1487" i="32"/>
  <c r="L2099" i="32" l="1"/>
  <c r="K2101" i="32"/>
  <c r="R2099" i="32" a="1"/>
  <c r="R2099" i="32" s="1"/>
  <c r="O2099" i="32" a="1"/>
  <c r="O2099" i="32" s="1"/>
  <c r="N2099" i="32" a="1"/>
  <c r="N2099" i="32" s="1"/>
  <c r="E2099" i="32" s="1"/>
  <c r="M2099" i="32" a="1"/>
  <c r="M2099" i="32" s="1"/>
  <c r="D2099" i="32" s="1"/>
  <c r="H774" i="27"/>
  <c r="B775" i="27"/>
  <c r="M775" i="27"/>
  <c r="C775" i="27" s="1"/>
  <c r="N775" i="27"/>
  <c r="N1137" i="32" a="1"/>
  <c r="N1137" i="32" s="1"/>
  <c r="E1137" i="32" s="1"/>
  <c r="F2510" i="27" s="1"/>
  <c r="R1137" i="32" a="1"/>
  <c r="R1137" i="32" s="1"/>
  <c r="P2510" i="27" s="1"/>
  <c r="M1137" i="32" a="1"/>
  <c r="M1137" i="32" s="1"/>
  <c r="D1137" i="32" s="1"/>
  <c r="O1137" i="32" a="1"/>
  <c r="O1137" i="32" s="1"/>
  <c r="M2510" i="27" s="1"/>
  <c r="A2510" i="27" s="1"/>
  <c r="K1141" i="32"/>
  <c r="L1139" i="32"/>
  <c r="Q1493" i="32"/>
  <c r="G1489" i="32"/>
  <c r="L2101" i="32" l="1"/>
  <c r="K2103" i="32"/>
  <c r="H775" i="27"/>
  <c r="B776" i="27"/>
  <c r="N776" i="27"/>
  <c r="M776" i="27"/>
  <c r="C776" i="27" s="1"/>
  <c r="R1139" i="32" a="1"/>
  <c r="R1139" i="32" s="1"/>
  <c r="P2511" i="27" s="1"/>
  <c r="M1139" i="32" a="1"/>
  <c r="M1139" i="32" s="1"/>
  <c r="D1139" i="32" s="1"/>
  <c r="N1139" i="32" a="1"/>
  <c r="N1139" i="32" s="1"/>
  <c r="E1139" i="32" s="1"/>
  <c r="F2511" i="27" s="1"/>
  <c r="O1139" i="32" a="1"/>
  <c r="O1139" i="32" s="1"/>
  <c r="M2511" i="27" s="1"/>
  <c r="A2511" i="27" s="1"/>
  <c r="K1143" i="32"/>
  <c r="L1141" i="32"/>
  <c r="Q1495" i="32"/>
  <c r="A1495" i="32"/>
  <c r="G1491" i="32"/>
  <c r="A1493" i="32"/>
  <c r="L2103" i="32" l="1"/>
  <c r="K2105" i="32"/>
  <c r="R2101" i="32" a="1"/>
  <c r="R2101" i="32" s="1"/>
  <c r="O2101" i="32" a="1"/>
  <c r="O2101" i="32" s="1"/>
  <c r="N2101" i="32" a="1"/>
  <c r="N2101" i="32" s="1"/>
  <c r="E2101" i="32" s="1"/>
  <c r="M2101" i="32" a="1"/>
  <c r="M2101" i="32" s="1"/>
  <c r="D2101" i="32" s="1"/>
  <c r="H776" i="27"/>
  <c r="B777" i="27"/>
  <c r="N777" i="27"/>
  <c r="M777" i="27"/>
  <c r="C777" i="27" s="1"/>
  <c r="O1141" i="32" a="1"/>
  <c r="O1141" i="32" s="1"/>
  <c r="M2512" i="27" s="1"/>
  <c r="A2512" i="27" s="1"/>
  <c r="N1141" i="32" a="1"/>
  <c r="N1141" i="32" s="1"/>
  <c r="E1141" i="32" s="1"/>
  <c r="F2512" i="27" s="1"/>
  <c r="R1141" i="32" a="1"/>
  <c r="R1141" i="32" s="1"/>
  <c r="P2512" i="27" s="1"/>
  <c r="M1141" i="32" a="1"/>
  <c r="M1141" i="32" s="1"/>
  <c r="D1141" i="32" s="1"/>
  <c r="K1145" i="32"/>
  <c r="L1143" i="32"/>
  <c r="Q1497" i="32"/>
  <c r="G1493" i="32"/>
  <c r="L2105" i="32" l="1"/>
  <c r="K2107" i="32"/>
  <c r="R2103" i="32" a="1"/>
  <c r="R2103" i="32" s="1"/>
  <c r="O2103" i="32" a="1"/>
  <c r="O2103" i="32" s="1"/>
  <c r="N2103" i="32" a="1"/>
  <c r="N2103" i="32" s="1"/>
  <c r="E2103" i="32" s="1"/>
  <c r="M2103" i="32" a="1"/>
  <c r="M2103" i="32" s="1"/>
  <c r="D2103" i="32" s="1"/>
  <c r="H777" i="27"/>
  <c r="B778" i="27"/>
  <c r="M778" i="27"/>
  <c r="C778" i="27" s="1"/>
  <c r="N778" i="27"/>
  <c r="O1143" i="32" a="1"/>
  <c r="O1143" i="32" s="1"/>
  <c r="M2513" i="27" s="1"/>
  <c r="A2513" i="27" s="1"/>
  <c r="R1143" i="32" a="1"/>
  <c r="R1143" i="32" s="1"/>
  <c r="P2513" i="27" s="1"/>
  <c r="N1143" i="32" a="1"/>
  <c r="N1143" i="32" s="1"/>
  <c r="E1143" i="32" s="1"/>
  <c r="F2513" i="27" s="1"/>
  <c r="M1143" i="32" a="1"/>
  <c r="M1143" i="32" s="1"/>
  <c r="D1143" i="32" s="1"/>
  <c r="K1147" i="32"/>
  <c r="L1145" i="32"/>
  <c r="Q1499" i="32"/>
  <c r="G1495" i="32"/>
  <c r="A1499" i="32"/>
  <c r="A1497" i="32"/>
  <c r="L2107" i="32" l="1"/>
  <c r="K2109" i="32"/>
  <c r="R2105" i="32" a="1"/>
  <c r="R2105" i="32" s="1"/>
  <c r="O2105" i="32" a="1"/>
  <c r="O2105" i="32" s="1"/>
  <c r="N2105" i="32" a="1"/>
  <c r="N2105" i="32" s="1"/>
  <c r="E2105" i="32" s="1"/>
  <c r="M2105" i="32" a="1"/>
  <c r="M2105" i="32" s="1"/>
  <c r="D2105" i="32" s="1"/>
  <c r="H778" i="27"/>
  <c r="B779" i="27"/>
  <c r="N779" i="27"/>
  <c r="M779" i="27"/>
  <c r="C779" i="27" s="1"/>
  <c r="R1145" i="32" a="1"/>
  <c r="R1145" i="32" s="1"/>
  <c r="P2514" i="27" s="1"/>
  <c r="M1145" i="32" a="1"/>
  <c r="M1145" i="32" s="1"/>
  <c r="D1145" i="32" s="1"/>
  <c r="O1145" i="32" a="1"/>
  <c r="O1145" i="32" s="1"/>
  <c r="M2514" i="27" s="1"/>
  <c r="A2514" i="27" s="1"/>
  <c r="N1145" i="32" a="1"/>
  <c r="N1145" i="32" s="1"/>
  <c r="E1145" i="32" s="1"/>
  <c r="F2514" i="27" s="1"/>
  <c r="K1149" i="32"/>
  <c r="L1147" i="32"/>
  <c r="Q1501" i="32"/>
  <c r="G1497" i="32"/>
  <c r="L2109" i="32" l="1"/>
  <c r="K2111" i="32"/>
  <c r="R2107" i="32" a="1"/>
  <c r="R2107" i="32" s="1"/>
  <c r="O2107" i="32" a="1"/>
  <c r="O2107" i="32" s="1"/>
  <c r="N2107" i="32" a="1"/>
  <c r="N2107" i="32" s="1"/>
  <c r="E2107" i="32" s="1"/>
  <c r="M2107" i="32" a="1"/>
  <c r="M2107" i="32" s="1"/>
  <c r="D2107" i="32" s="1"/>
  <c r="H779" i="27"/>
  <c r="B780" i="27"/>
  <c r="M780" i="27"/>
  <c r="C780" i="27" s="1"/>
  <c r="N780" i="27"/>
  <c r="M1147" i="32" a="1"/>
  <c r="M1147" i="32" s="1"/>
  <c r="D1147" i="32" s="1"/>
  <c r="R1147" i="32" a="1"/>
  <c r="R1147" i="32" s="1"/>
  <c r="P2515" i="27" s="1"/>
  <c r="O1147" i="32" a="1"/>
  <c r="O1147" i="32" s="1"/>
  <c r="M2515" i="27" s="1"/>
  <c r="A2515" i="27" s="1"/>
  <c r="N1147" i="32" a="1"/>
  <c r="N1147" i="32" s="1"/>
  <c r="E1147" i="32" s="1"/>
  <c r="F2515" i="27" s="1"/>
  <c r="K1151" i="32"/>
  <c r="L1149" i="32"/>
  <c r="Q1503" i="32"/>
  <c r="A1503" i="32"/>
  <c r="A1501" i="32"/>
  <c r="G1499" i="32"/>
  <c r="L2111" i="32" l="1"/>
  <c r="K2113" i="32"/>
  <c r="R2109" i="32" a="1"/>
  <c r="R2109" i="32" s="1"/>
  <c r="O2109" i="32" a="1"/>
  <c r="O2109" i="32" s="1"/>
  <c r="N2109" i="32" a="1"/>
  <c r="N2109" i="32" s="1"/>
  <c r="E2109" i="32" s="1"/>
  <c r="M2109" i="32" a="1"/>
  <c r="M2109" i="32" s="1"/>
  <c r="D2109" i="32" s="1"/>
  <c r="H780" i="27"/>
  <c r="B781" i="27"/>
  <c r="N781" i="27"/>
  <c r="M781" i="27"/>
  <c r="C781" i="27" s="1"/>
  <c r="R1149" i="32" a="1"/>
  <c r="R1149" i="32" s="1"/>
  <c r="P2516" i="27" s="1"/>
  <c r="N1149" i="32" a="1"/>
  <c r="N1149" i="32" s="1"/>
  <c r="E1149" i="32" s="1"/>
  <c r="F2516" i="27" s="1"/>
  <c r="M1149" i="32" a="1"/>
  <c r="M1149" i="32" s="1"/>
  <c r="D1149" i="32" s="1"/>
  <c r="O1149" i="32" a="1"/>
  <c r="O1149" i="32" s="1"/>
  <c r="M2516" i="27" s="1"/>
  <c r="A2516" i="27" s="1"/>
  <c r="K1153" i="32"/>
  <c r="L1151" i="32"/>
  <c r="Q1505" i="32"/>
  <c r="G1501" i="32"/>
  <c r="L2113" i="32" l="1"/>
  <c r="K2115" i="32"/>
  <c r="R2111" i="32" a="1"/>
  <c r="R2111" i="32" s="1"/>
  <c r="O2111" i="32" a="1"/>
  <c r="O2111" i="32" s="1"/>
  <c r="N2111" i="32" a="1"/>
  <c r="N2111" i="32" s="1"/>
  <c r="E2111" i="32" s="1"/>
  <c r="M2111" i="32" a="1"/>
  <c r="M2111" i="32" s="1"/>
  <c r="D2111" i="32" s="1"/>
  <c r="H781" i="27"/>
  <c r="B782" i="27"/>
  <c r="M782" i="27"/>
  <c r="C782" i="27" s="1"/>
  <c r="N782" i="27"/>
  <c r="O1151" i="32" a="1"/>
  <c r="O1151" i="32" s="1"/>
  <c r="M2517" i="27" s="1"/>
  <c r="A2517" i="27" s="1"/>
  <c r="M1151" i="32" a="1"/>
  <c r="M1151" i="32" s="1"/>
  <c r="D1151" i="32" s="1"/>
  <c r="N1151" i="32" a="1"/>
  <c r="N1151" i="32" s="1"/>
  <c r="E1151" i="32" s="1"/>
  <c r="F2517" i="27" s="1"/>
  <c r="R1151" i="32" a="1"/>
  <c r="R1151" i="32" s="1"/>
  <c r="P2517" i="27" s="1"/>
  <c r="K1155" i="32"/>
  <c r="L1153" i="32"/>
  <c r="Q1507" i="32"/>
  <c r="A1505" i="32"/>
  <c r="G1503" i="32"/>
  <c r="A1507" i="32"/>
  <c r="L2115" i="32" l="1"/>
  <c r="K2117" i="32"/>
  <c r="R2113" i="32" a="1"/>
  <c r="R2113" i="32" s="1"/>
  <c r="O2113" i="32" a="1"/>
  <c r="O2113" i="32" s="1"/>
  <c r="N2113" i="32" a="1"/>
  <c r="N2113" i="32" s="1"/>
  <c r="E2113" i="32" s="1"/>
  <c r="M2113" i="32" a="1"/>
  <c r="M2113" i="32" s="1"/>
  <c r="D2113" i="32" s="1"/>
  <c r="B783" i="27"/>
  <c r="H782" i="27"/>
  <c r="M783" i="27"/>
  <c r="C783" i="27" s="1"/>
  <c r="N783" i="27"/>
  <c r="O1153" i="32" a="1"/>
  <c r="O1153" i="32" s="1"/>
  <c r="M2518" i="27" s="1"/>
  <c r="A2518" i="27" s="1"/>
  <c r="M1153" i="32" a="1"/>
  <c r="M1153" i="32" s="1"/>
  <c r="D1153" i="32" s="1"/>
  <c r="N1153" i="32" a="1"/>
  <c r="N1153" i="32" s="1"/>
  <c r="E1153" i="32" s="1"/>
  <c r="F2518" i="27" s="1"/>
  <c r="R1153" i="32" a="1"/>
  <c r="R1153" i="32" s="1"/>
  <c r="P2518" i="27" s="1"/>
  <c r="K1157" i="32"/>
  <c r="L1155" i="32"/>
  <c r="Q1509" i="32"/>
  <c r="G1505" i="32"/>
  <c r="L2117" i="32" l="1"/>
  <c r="K2119" i="32"/>
  <c r="R2115" i="32" a="1"/>
  <c r="R2115" i="32" s="1"/>
  <c r="O2115" i="32" a="1"/>
  <c r="O2115" i="32" s="1"/>
  <c r="N2115" i="32" a="1"/>
  <c r="N2115" i="32" s="1"/>
  <c r="E2115" i="32" s="1"/>
  <c r="M2115" i="32" a="1"/>
  <c r="M2115" i="32" s="1"/>
  <c r="D2115" i="32" s="1"/>
  <c r="H783" i="27"/>
  <c r="B784" i="27"/>
  <c r="N784" i="27"/>
  <c r="M784" i="27"/>
  <c r="C784" i="27" s="1"/>
  <c r="O1155" i="32" a="1"/>
  <c r="O1155" i="32" s="1"/>
  <c r="M2519" i="27" s="1"/>
  <c r="A2519" i="27" s="1"/>
  <c r="R1155" i="32" a="1"/>
  <c r="R1155" i="32" s="1"/>
  <c r="P2519" i="27" s="1"/>
  <c r="N1155" i="32" a="1"/>
  <c r="N1155" i="32" s="1"/>
  <c r="E1155" i="32" s="1"/>
  <c r="F2519" i="27" s="1"/>
  <c r="M1155" i="32" a="1"/>
  <c r="M1155" i="32" s="1"/>
  <c r="D1155" i="32" s="1"/>
  <c r="K1159" i="32"/>
  <c r="L1157" i="32"/>
  <c r="Q1511" i="32"/>
  <c r="A1509" i="32"/>
  <c r="G1507" i="32"/>
  <c r="A1511" i="32"/>
  <c r="L2119" i="32" l="1"/>
  <c r="K2121" i="32"/>
  <c r="R2117" i="32" a="1"/>
  <c r="R2117" i="32" s="1"/>
  <c r="O2117" i="32" a="1"/>
  <c r="O2117" i="32" s="1"/>
  <c r="N2117" i="32" a="1"/>
  <c r="N2117" i="32" s="1"/>
  <c r="E2117" i="32" s="1"/>
  <c r="M2117" i="32" a="1"/>
  <c r="M2117" i="32" s="1"/>
  <c r="D2117" i="32" s="1"/>
  <c r="H784" i="27"/>
  <c r="B785" i="27"/>
  <c r="M785" i="27"/>
  <c r="C785" i="27" s="1"/>
  <c r="N785" i="27"/>
  <c r="R1157" i="32" a="1"/>
  <c r="R1157" i="32" s="1"/>
  <c r="P2520" i="27" s="1"/>
  <c r="M1157" i="32" a="1"/>
  <c r="M1157" i="32" s="1"/>
  <c r="D1157" i="32" s="1"/>
  <c r="O1157" i="32" a="1"/>
  <c r="O1157" i="32" s="1"/>
  <c r="M2520" i="27" s="1"/>
  <c r="A2520" i="27" s="1"/>
  <c r="N1157" i="32" a="1"/>
  <c r="N1157" i="32" s="1"/>
  <c r="E1157" i="32" s="1"/>
  <c r="F2520" i="27" s="1"/>
  <c r="K1161" i="32"/>
  <c r="L1159" i="32"/>
  <c r="Q1513" i="32"/>
  <c r="G1509" i="32"/>
  <c r="L2121" i="32" l="1"/>
  <c r="K2123" i="32"/>
  <c r="R2119" i="32" a="1"/>
  <c r="R2119" i="32" s="1"/>
  <c r="O2119" i="32" a="1"/>
  <c r="O2119" i="32" s="1"/>
  <c r="N2119" i="32" a="1"/>
  <c r="N2119" i="32" s="1"/>
  <c r="E2119" i="32" s="1"/>
  <c r="M2119" i="32" a="1"/>
  <c r="M2119" i="32" s="1"/>
  <c r="D2119" i="32" s="1"/>
  <c r="H785" i="27"/>
  <c r="B786" i="27"/>
  <c r="N786" i="27"/>
  <c r="M786" i="27"/>
  <c r="C786" i="27" s="1"/>
  <c r="O1159" i="32" a="1"/>
  <c r="O1159" i="32" s="1"/>
  <c r="M2521" i="27" s="1"/>
  <c r="A2521" i="27" s="1"/>
  <c r="R1159" i="32" a="1"/>
  <c r="R1159" i="32" s="1"/>
  <c r="P2521" i="27" s="1"/>
  <c r="M1159" i="32" a="1"/>
  <c r="M1159" i="32" s="1"/>
  <c r="D1159" i="32" s="1"/>
  <c r="N1159" i="32" a="1"/>
  <c r="N1159" i="32" s="1"/>
  <c r="E1159" i="32" s="1"/>
  <c r="F2521" i="27" s="1"/>
  <c r="K1163" i="32"/>
  <c r="L1161" i="32"/>
  <c r="Q1515" i="32"/>
  <c r="G1511" i="32"/>
  <c r="A1515" i="32"/>
  <c r="A1513" i="32"/>
  <c r="L2123" i="32" l="1"/>
  <c r="K2125" i="32"/>
  <c r="R2121" i="32" a="1"/>
  <c r="R2121" i="32" s="1"/>
  <c r="O2121" i="32" a="1"/>
  <c r="O2121" i="32" s="1"/>
  <c r="N2121" i="32" a="1"/>
  <c r="N2121" i="32" s="1"/>
  <c r="E2121" i="32" s="1"/>
  <c r="M2121" i="32" a="1"/>
  <c r="M2121" i="32" s="1"/>
  <c r="D2121" i="32" s="1"/>
  <c r="H786" i="27"/>
  <c r="B787" i="27"/>
  <c r="N787" i="27"/>
  <c r="M787" i="27"/>
  <c r="C787" i="27" s="1"/>
  <c r="O1161" i="32" a="1"/>
  <c r="O1161" i="32" s="1"/>
  <c r="M2522" i="27" s="1"/>
  <c r="A2522" i="27" s="1"/>
  <c r="N1161" i="32" a="1"/>
  <c r="N1161" i="32" s="1"/>
  <c r="E1161" i="32" s="1"/>
  <c r="F2522" i="27" s="1"/>
  <c r="R1161" i="32" a="1"/>
  <c r="R1161" i="32" s="1"/>
  <c r="P2522" i="27" s="1"/>
  <c r="M1161" i="32" a="1"/>
  <c r="M1161" i="32" s="1"/>
  <c r="D1161" i="32" s="1"/>
  <c r="K1165" i="32"/>
  <c r="L1163" i="32"/>
  <c r="Q1517" i="32"/>
  <c r="G1513" i="32"/>
  <c r="L2125" i="32" l="1"/>
  <c r="K2127" i="32"/>
  <c r="R2123" i="32" a="1"/>
  <c r="R2123" i="32" s="1"/>
  <c r="O2123" i="32" a="1"/>
  <c r="O2123" i="32" s="1"/>
  <c r="N2123" i="32" a="1"/>
  <c r="N2123" i="32" s="1"/>
  <c r="E2123" i="32" s="1"/>
  <c r="M2123" i="32" a="1"/>
  <c r="M2123" i="32" s="1"/>
  <c r="D2123" i="32" s="1"/>
  <c r="H787" i="27"/>
  <c r="B788" i="27"/>
  <c r="N788" i="27"/>
  <c r="M788" i="27"/>
  <c r="C788" i="27" s="1"/>
  <c r="O1163" i="32" a="1"/>
  <c r="O1163" i="32" s="1"/>
  <c r="M2523" i="27" s="1"/>
  <c r="A2523" i="27" s="1"/>
  <c r="M1163" i="32" a="1"/>
  <c r="M1163" i="32" s="1"/>
  <c r="D1163" i="32" s="1"/>
  <c r="N1163" i="32" a="1"/>
  <c r="N1163" i="32" s="1"/>
  <c r="E1163" i="32" s="1"/>
  <c r="F2523" i="27" s="1"/>
  <c r="R1163" i="32" a="1"/>
  <c r="R1163" i="32" s="1"/>
  <c r="P2523" i="27" s="1"/>
  <c r="K1167" i="32"/>
  <c r="L1165" i="32"/>
  <c r="Q1519" i="32"/>
  <c r="A1517" i="32"/>
  <c r="A1519" i="32"/>
  <c r="G1515" i="32"/>
  <c r="L2127" i="32" l="1"/>
  <c r="K2129" i="32"/>
  <c r="R2125" i="32" a="1"/>
  <c r="R2125" i="32" s="1"/>
  <c r="O2125" i="32" a="1"/>
  <c r="O2125" i="32" s="1"/>
  <c r="N2125" i="32" a="1"/>
  <c r="N2125" i="32" s="1"/>
  <c r="E2125" i="32" s="1"/>
  <c r="M2125" i="32" a="1"/>
  <c r="M2125" i="32" s="1"/>
  <c r="D2125" i="32" s="1"/>
  <c r="H788" i="27"/>
  <c r="B789" i="27"/>
  <c r="M789" i="27"/>
  <c r="C789" i="27" s="1"/>
  <c r="N789" i="27"/>
  <c r="N1165" i="32" a="1"/>
  <c r="N1165" i="32" s="1"/>
  <c r="E1165" i="32" s="1"/>
  <c r="F2524" i="27" s="1"/>
  <c r="M1165" i="32" a="1"/>
  <c r="M1165" i="32" s="1"/>
  <c r="D1165" i="32" s="1"/>
  <c r="R1165" i="32" a="1"/>
  <c r="R1165" i="32" s="1"/>
  <c r="P2524" i="27" s="1"/>
  <c r="O1165" i="32" a="1"/>
  <c r="O1165" i="32" s="1"/>
  <c r="M2524" i="27" s="1"/>
  <c r="A2524" i="27" s="1"/>
  <c r="K1169" i="32"/>
  <c r="L1167" i="32"/>
  <c r="Q1521" i="32"/>
  <c r="G1517" i="32"/>
  <c r="L2129" i="32" l="1"/>
  <c r="K2131" i="32"/>
  <c r="R2127" i="32" a="1"/>
  <c r="R2127" i="32" s="1"/>
  <c r="O2127" i="32" a="1"/>
  <c r="O2127" i="32" s="1"/>
  <c r="N2127" i="32" a="1"/>
  <c r="N2127" i="32" s="1"/>
  <c r="E2127" i="32" s="1"/>
  <c r="M2127" i="32" a="1"/>
  <c r="M2127" i="32" s="1"/>
  <c r="D2127" i="32" s="1"/>
  <c r="H789" i="27"/>
  <c r="B790" i="27"/>
  <c r="M790" i="27"/>
  <c r="C790" i="27" s="1"/>
  <c r="N790" i="27"/>
  <c r="R1167" i="32" a="1"/>
  <c r="R1167" i="32" s="1"/>
  <c r="P2525" i="27" s="1"/>
  <c r="N1167" i="32" a="1"/>
  <c r="N1167" i="32" s="1"/>
  <c r="E1167" i="32" s="1"/>
  <c r="F2525" i="27" s="1"/>
  <c r="O1167" i="32" a="1"/>
  <c r="O1167" i="32" s="1"/>
  <c r="M2525" i="27" s="1"/>
  <c r="A2525" i="27" s="1"/>
  <c r="M1167" i="32" a="1"/>
  <c r="M1167" i="32" s="1"/>
  <c r="D1167" i="32" s="1"/>
  <c r="K1171" i="32"/>
  <c r="L1169" i="32"/>
  <c r="Q1523" i="32"/>
  <c r="A1521" i="32"/>
  <c r="G1519" i="32"/>
  <c r="A1523" i="32"/>
  <c r="L2131" i="32" l="1"/>
  <c r="K2133" i="32"/>
  <c r="R2129" i="32" a="1"/>
  <c r="R2129" i="32" s="1"/>
  <c r="O2129" i="32" a="1"/>
  <c r="O2129" i="32" s="1"/>
  <c r="N2129" i="32" a="1"/>
  <c r="N2129" i="32" s="1"/>
  <c r="E2129" i="32" s="1"/>
  <c r="M2129" i="32" a="1"/>
  <c r="M2129" i="32" s="1"/>
  <c r="D2129" i="32" s="1"/>
  <c r="H790" i="27"/>
  <c r="B791" i="27"/>
  <c r="N791" i="27"/>
  <c r="M791" i="27"/>
  <c r="C791" i="27" s="1"/>
  <c r="M1169" i="32" a="1"/>
  <c r="M1169" i="32" s="1"/>
  <c r="D1169" i="32" s="1"/>
  <c r="R1169" i="32" a="1"/>
  <c r="R1169" i="32" s="1"/>
  <c r="P2526" i="27" s="1"/>
  <c r="N1169" i="32" a="1"/>
  <c r="N1169" i="32" s="1"/>
  <c r="E1169" i="32" s="1"/>
  <c r="F2526" i="27" s="1"/>
  <c r="O1169" i="32" a="1"/>
  <c r="O1169" i="32" s="1"/>
  <c r="M2526" i="27" s="1"/>
  <c r="A2526" i="27" s="1"/>
  <c r="K1173" i="32"/>
  <c r="L1171" i="32"/>
  <c r="Q1525" i="32"/>
  <c r="G1521" i="32"/>
  <c r="L2133" i="32" l="1"/>
  <c r="K2135" i="32"/>
  <c r="R2131" i="32" a="1"/>
  <c r="R2131" i="32" s="1"/>
  <c r="O2131" i="32" a="1"/>
  <c r="O2131" i="32" s="1"/>
  <c r="N2131" i="32" a="1"/>
  <c r="N2131" i="32" s="1"/>
  <c r="E2131" i="32" s="1"/>
  <c r="M2131" i="32" a="1"/>
  <c r="M2131" i="32" s="1"/>
  <c r="D2131" i="32" s="1"/>
  <c r="H791" i="27"/>
  <c r="B792" i="27"/>
  <c r="N792" i="27"/>
  <c r="M792" i="27"/>
  <c r="C792" i="27" s="1"/>
  <c r="R1171" i="32" a="1"/>
  <c r="R1171" i="32" s="1"/>
  <c r="P2527" i="27" s="1"/>
  <c r="N1171" i="32" a="1"/>
  <c r="N1171" i="32" s="1"/>
  <c r="E1171" i="32" s="1"/>
  <c r="F2527" i="27" s="1"/>
  <c r="O1171" i="32" a="1"/>
  <c r="O1171" i="32" s="1"/>
  <c r="M2527" i="27" s="1"/>
  <c r="A2527" i="27" s="1"/>
  <c r="M1171" i="32" a="1"/>
  <c r="M1171" i="32" s="1"/>
  <c r="D1171" i="32" s="1"/>
  <c r="K1175" i="32"/>
  <c r="L1173" i="32"/>
  <c r="Q1527" i="32"/>
  <c r="A1527" i="32"/>
  <c r="A1525" i="32"/>
  <c r="G1523" i="32"/>
  <c r="L2135" i="32" l="1"/>
  <c r="K2137" i="32"/>
  <c r="R2133" i="32" a="1"/>
  <c r="R2133" i="32" s="1"/>
  <c r="O2133" i="32" a="1"/>
  <c r="O2133" i="32" s="1"/>
  <c r="N2133" i="32" a="1"/>
  <c r="N2133" i="32" s="1"/>
  <c r="E2133" i="32" s="1"/>
  <c r="M2133" i="32" a="1"/>
  <c r="M2133" i="32" s="1"/>
  <c r="D2133" i="32" s="1"/>
  <c r="H792" i="27"/>
  <c r="B793" i="27"/>
  <c r="M793" i="27"/>
  <c r="C793" i="27" s="1"/>
  <c r="N793" i="27"/>
  <c r="R1173" i="32" a="1"/>
  <c r="R1173" i="32" s="1"/>
  <c r="P2528" i="27" s="1"/>
  <c r="N1173" i="32" a="1"/>
  <c r="N1173" i="32" s="1"/>
  <c r="E1173" i="32" s="1"/>
  <c r="F2528" i="27" s="1"/>
  <c r="M1173" i="32" a="1"/>
  <c r="M1173" i="32" s="1"/>
  <c r="D1173" i="32" s="1"/>
  <c r="O1173" i="32" a="1"/>
  <c r="O1173" i="32" s="1"/>
  <c r="M2528" i="27" s="1"/>
  <c r="A2528" i="27" s="1"/>
  <c r="K1177" i="32"/>
  <c r="L1175" i="32"/>
  <c r="Q1529" i="32"/>
  <c r="G1525" i="32"/>
  <c r="L2137" i="32" l="1"/>
  <c r="K2139" i="32"/>
  <c r="R2137" i="32" a="1"/>
  <c r="R2137" i="32" s="1"/>
  <c r="O2137" i="32" a="1"/>
  <c r="O2137" i="32" s="1"/>
  <c r="N2137" i="32" a="1"/>
  <c r="N2137" i="32" s="1"/>
  <c r="E2137" i="32" s="1"/>
  <c r="M2137" i="32" a="1"/>
  <c r="M2137" i="32" s="1"/>
  <c r="D2137" i="32" s="1"/>
  <c r="R2135" i="32" a="1"/>
  <c r="R2135" i="32" s="1"/>
  <c r="O2135" i="32" a="1"/>
  <c r="O2135" i="32" s="1"/>
  <c r="N2135" i="32" a="1"/>
  <c r="N2135" i="32" s="1"/>
  <c r="E2135" i="32" s="1"/>
  <c r="M2135" i="32" a="1"/>
  <c r="M2135" i="32" s="1"/>
  <c r="D2135" i="32" s="1"/>
  <c r="H793" i="27"/>
  <c r="B794" i="27"/>
  <c r="N794" i="27"/>
  <c r="M794" i="27"/>
  <c r="C794" i="27" s="1"/>
  <c r="R1175" i="32" a="1"/>
  <c r="R1175" i="32" s="1"/>
  <c r="P2529" i="27" s="1"/>
  <c r="M1175" i="32" a="1"/>
  <c r="M1175" i="32" s="1"/>
  <c r="D1175" i="32" s="1"/>
  <c r="N1175" i="32" a="1"/>
  <c r="N1175" i="32" s="1"/>
  <c r="E1175" i="32" s="1"/>
  <c r="F2529" i="27" s="1"/>
  <c r="O1175" i="32" a="1"/>
  <c r="O1175" i="32" s="1"/>
  <c r="M2529" i="27" s="1"/>
  <c r="A2529" i="27" s="1"/>
  <c r="K1179" i="32"/>
  <c r="L1177" i="32"/>
  <c r="Q1531" i="32"/>
  <c r="G1527" i="32"/>
  <c r="A1529" i="32"/>
  <c r="A1531" i="32"/>
  <c r="L2139" i="32" l="1"/>
  <c r="K2141" i="32"/>
  <c r="R2139" i="32" a="1"/>
  <c r="R2139" i="32" s="1"/>
  <c r="O2139" i="32" a="1"/>
  <c r="O2139" i="32" s="1"/>
  <c r="N2139" i="32" a="1"/>
  <c r="N2139" i="32" s="1"/>
  <c r="E2139" i="32" s="1"/>
  <c r="M2139" i="32" a="1"/>
  <c r="M2139" i="32" s="1"/>
  <c r="D2139" i="32" s="1"/>
  <c r="H794" i="27"/>
  <c r="B795" i="27"/>
  <c r="N795" i="27"/>
  <c r="M795" i="27"/>
  <c r="C795" i="27" s="1"/>
  <c r="M1177" i="32" a="1"/>
  <c r="M1177" i="32" s="1"/>
  <c r="D1177" i="32" s="1"/>
  <c r="O1177" i="32" a="1"/>
  <c r="O1177" i="32" s="1"/>
  <c r="M2530" i="27" s="1"/>
  <c r="A2530" i="27" s="1"/>
  <c r="N1177" i="32" a="1"/>
  <c r="N1177" i="32" s="1"/>
  <c r="E1177" i="32" s="1"/>
  <c r="F2530" i="27" s="1"/>
  <c r="R1177" i="32" a="1"/>
  <c r="R1177" i="32" s="1"/>
  <c r="P2530" i="27" s="1"/>
  <c r="K1181" i="32"/>
  <c r="L1179" i="32"/>
  <c r="Q1533" i="32"/>
  <c r="G1529" i="32"/>
  <c r="L2141" i="32" l="1"/>
  <c r="K2143" i="32"/>
  <c r="H795" i="27"/>
  <c r="B796" i="27"/>
  <c r="N796" i="27"/>
  <c r="M796" i="27"/>
  <c r="C796" i="27" s="1"/>
  <c r="M1179" i="32" a="1"/>
  <c r="M1179" i="32" s="1"/>
  <c r="D1179" i="32" s="1"/>
  <c r="R1179" i="32" a="1"/>
  <c r="R1179" i="32" s="1"/>
  <c r="P2531" i="27" s="1"/>
  <c r="N1179" i="32" a="1"/>
  <c r="N1179" i="32" s="1"/>
  <c r="E1179" i="32" s="1"/>
  <c r="F2531" i="27" s="1"/>
  <c r="O1179" i="32" a="1"/>
  <c r="O1179" i="32" s="1"/>
  <c r="M2531" i="27" s="1"/>
  <c r="A2531" i="27" s="1"/>
  <c r="K1183" i="32"/>
  <c r="L1181" i="32"/>
  <c r="Q1535" i="32"/>
  <c r="G1531" i="32"/>
  <c r="A1533" i="32"/>
  <c r="A1535" i="32"/>
  <c r="L2143" i="32" l="1"/>
  <c r="K2145" i="32"/>
  <c r="R2141" i="32" a="1"/>
  <c r="R2141" i="32" s="1"/>
  <c r="O2141" i="32" a="1"/>
  <c r="O2141" i="32" s="1"/>
  <c r="N2141" i="32" a="1"/>
  <c r="N2141" i="32" s="1"/>
  <c r="E2141" i="32" s="1"/>
  <c r="M2141" i="32" a="1"/>
  <c r="M2141" i="32" s="1"/>
  <c r="D2141" i="32" s="1"/>
  <c r="H796" i="27"/>
  <c r="B797" i="27"/>
  <c r="M797" i="27"/>
  <c r="C797" i="27" s="1"/>
  <c r="N797" i="27"/>
  <c r="M1181" i="32" a="1"/>
  <c r="M1181" i="32" s="1"/>
  <c r="D1181" i="32" s="1"/>
  <c r="N1181" i="32" a="1"/>
  <c r="N1181" i="32" s="1"/>
  <c r="E1181" i="32" s="1"/>
  <c r="F2532" i="27" s="1"/>
  <c r="O1181" i="32" a="1"/>
  <c r="O1181" i="32" s="1"/>
  <c r="M2532" i="27" s="1"/>
  <c r="A2532" i="27" s="1"/>
  <c r="R1181" i="32" a="1"/>
  <c r="R1181" i="32" s="1"/>
  <c r="P2532" i="27" s="1"/>
  <c r="K1185" i="32"/>
  <c r="L1183" i="32"/>
  <c r="Q1537" i="32"/>
  <c r="G1533" i="32"/>
  <c r="L2145" i="32" l="1"/>
  <c r="K2147" i="32"/>
  <c r="R2143" i="32" a="1"/>
  <c r="R2143" i="32" s="1"/>
  <c r="O2143" i="32" a="1"/>
  <c r="O2143" i="32" s="1"/>
  <c r="N2143" i="32" a="1"/>
  <c r="N2143" i="32" s="1"/>
  <c r="E2143" i="32" s="1"/>
  <c r="M2143" i="32" a="1"/>
  <c r="M2143" i="32" s="1"/>
  <c r="D2143" i="32" s="1"/>
  <c r="H797" i="27"/>
  <c r="B798" i="27"/>
  <c r="M798" i="27"/>
  <c r="C798" i="27" s="1"/>
  <c r="N798" i="27"/>
  <c r="M1183" i="32" a="1"/>
  <c r="M1183" i="32" s="1"/>
  <c r="D1183" i="32" s="1"/>
  <c r="O1183" i="32" a="1"/>
  <c r="O1183" i="32" s="1"/>
  <c r="M2533" i="27" s="1"/>
  <c r="A2533" i="27" s="1"/>
  <c r="R1183" i="32" a="1"/>
  <c r="R1183" i="32" s="1"/>
  <c r="P2533" i="27" s="1"/>
  <c r="N1183" i="32" a="1"/>
  <c r="N1183" i="32" s="1"/>
  <c r="E1183" i="32" s="1"/>
  <c r="F2533" i="27" s="1"/>
  <c r="K1187" i="32"/>
  <c r="L1185" i="32"/>
  <c r="Q1539" i="32"/>
  <c r="A1537" i="32"/>
  <c r="G1535" i="32"/>
  <c r="A1539" i="32"/>
  <c r="L2147" i="32" l="1"/>
  <c r="K2149" i="32"/>
  <c r="R2145" i="32" a="1"/>
  <c r="R2145" i="32" s="1"/>
  <c r="O2145" i="32" a="1"/>
  <c r="O2145" i="32" s="1"/>
  <c r="N2145" i="32" a="1"/>
  <c r="N2145" i="32" s="1"/>
  <c r="E2145" i="32" s="1"/>
  <c r="M2145" i="32" a="1"/>
  <c r="M2145" i="32" s="1"/>
  <c r="D2145" i="32" s="1"/>
  <c r="H798" i="27"/>
  <c r="B799" i="27"/>
  <c r="M799" i="27"/>
  <c r="C799" i="27" s="1"/>
  <c r="N799" i="27"/>
  <c r="M1185" i="32" a="1"/>
  <c r="M1185" i="32" s="1"/>
  <c r="D1185" i="32" s="1"/>
  <c r="O1185" i="32" a="1"/>
  <c r="O1185" i="32" s="1"/>
  <c r="M2534" i="27" s="1"/>
  <c r="A2534" i="27" s="1"/>
  <c r="N1185" i="32" a="1"/>
  <c r="N1185" i="32" s="1"/>
  <c r="E1185" i="32" s="1"/>
  <c r="F2534" i="27" s="1"/>
  <c r="R1185" i="32" a="1"/>
  <c r="R1185" i="32" s="1"/>
  <c r="P2534" i="27" s="1"/>
  <c r="K1189" i="32"/>
  <c r="L1187" i="32"/>
  <c r="Q1541" i="32"/>
  <c r="G1537" i="32"/>
  <c r="L2149" i="32" l="1"/>
  <c r="K2151" i="32"/>
  <c r="R2147" i="32" a="1"/>
  <c r="R2147" i="32" s="1"/>
  <c r="O2147" i="32" a="1"/>
  <c r="O2147" i="32" s="1"/>
  <c r="N2147" i="32" a="1"/>
  <c r="N2147" i="32" s="1"/>
  <c r="E2147" i="32" s="1"/>
  <c r="M2147" i="32" a="1"/>
  <c r="M2147" i="32" s="1"/>
  <c r="D2147" i="32" s="1"/>
  <c r="H799" i="27"/>
  <c r="B800" i="27"/>
  <c r="M800" i="27"/>
  <c r="C800" i="27" s="1"/>
  <c r="N800" i="27"/>
  <c r="R1187" i="32" a="1"/>
  <c r="R1187" i="32" s="1"/>
  <c r="P2535" i="27" s="1"/>
  <c r="N1187" i="32" a="1"/>
  <c r="N1187" i="32" s="1"/>
  <c r="E1187" i="32" s="1"/>
  <c r="F2535" i="27" s="1"/>
  <c r="M1187" i="32" a="1"/>
  <c r="M1187" i="32" s="1"/>
  <c r="D1187" i="32" s="1"/>
  <c r="O1187" i="32" a="1"/>
  <c r="O1187" i="32" s="1"/>
  <c r="M2535" i="27" s="1"/>
  <c r="A2535" i="27" s="1"/>
  <c r="K1191" i="32"/>
  <c r="L1189" i="32"/>
  <c r="Q1543" i="32"/>
  <c r="A1541" i="32"/>
  <c r="G1539" i="32"/>
  <c r="A1543" i="32"/>
  <c r="L2151" i="32" l="1"/>
  <c r="K2153" i="32"/>
  <c r="R2149" i="32" a="1"/>
  <c r="R2149" i="32" s="1"/>
  <c r="O2149" i="32" a="1"/>
  <c r="O2149" i="32" s="1"/>
  <c r="N2149" i="32" a="1"/>
  <c r="N2149" i="32" s="1"/>
  <c r="E2149" i="32" s="1"/>
  <c r="M2149" i="32" a="1"/>
  <c r="M2149" i="32" s="1"/>
  <c r="D2149" i="32" s="1"/>
  <c r="H800" i="27"/>
  <c r="B801" i="27"/>
  <c r="N801" i="27"/>
  <c r="M801" i="27"/>
  <c r="C801" i="27" s="1"/>
  <c r="R1189" i="32" a="1"/>
  <c r="R1189" i="32" s="1"/>
  <c r="P2536" i="27" s="1"/>
  <c r="N1189" i="32" a="1"/>
  <c r="N1189" i="32" s="1"/>
  <c r="E1189" i="32" s="1"/>
  <c r="F2536" i="27" s="1"/>
  <c r="O1189" i="32" a="1"/>
  <c r="O1189" i="32" s="1"/>
  <c r="M2536" i="27" s="1"/>
  <c r="A2536" i="27" s="1"/>
  <c r="M1189" i="32" a="1"/>
  <c r="M1189" i="32" s="1"/>
  <c r="D1189" i="32" s="1"/>
  <c r="K1193" i="32"/>
  <c r="L1191" i="32"/>
  <c r="Q1545" i="32"/>
  <c r="G1541" i="32"/>
  <c r="L2153" i="32" l="1"/>
  <c r="K2155" i="32"/>
  <c r="R2151" i="32" a="1"/>
  <c r="R2151" i="32" s="1"/>
  <c r="O2151" i="32" a="1"/>
  <c r="O2151" i="32" s="1"/>
  <c r="N2151" i="32" a="1"/>
  <c r="N2151" i="32" s="1"/>
  <c r="E2151" i="32" s="1"/>
  <c r="M2151" i="32" a="1"/>
  <c r="M2151" i="32" s="1"/>
  <c r="D2151" i="32" s="1"/>
  <c r="H801" i="27"/>
  <c r="B802" i="27"/>
  <c r="N802" i="27"/>
  <c r="M802" i="27"/>
  <c r="C802" i="27" s="1"/>
  <c r="O1191" i="32" a="1"/>
  <c r="O1191" i="32" s="1"/>
  <c r="M2537" i="27" s="1"/>
  <c r="A2537" i="27" s="1"/>
  <c r="M1191" i="32" a="1"/>
  <c r="M1191" i="32" s="1"/>
  <c r="D1191" i="32" s="1"/>
  <c r="N1191" i="32" a="1"/>
  <c r="N1191" i="32" s="1"/>
  <c r="E1191" i="32" s="1"/>
  <c r="F2537" i="27" s="1"/>
  <c r="R1191" i="32" a="1"/>
  <c r="R1191" i="32" s="1"/>
  <c r="P2537" i="27" s="1"/>
  <c r="K1195" i="32"/>
  <c r="L1193" i="32"/>
  <c r="Q1547" i="32"/>
  <c r="A1545" i="32"/>
  <c r="A1547" i="32"/>
  <c r="G1543" i="32"/>
  <c r="L2155" i="32" l="1"/>
  <c r="K2157" i="32"/>
  <c r="R2153" i="32" a="1"/>
  <c r="R2153" i="32" s="1"/>
  <c r="O2153" i="32" a="1"/>
  <c r="O2153" i="32" s="1"/>
  <c r="N2153" i="32" a="1"/>
  <c r="N2153" i="32" s="1"/>
  <c r="E2153" i="32" s="1"/>
  <c r="M2153" i="32" a="1"/>
  <c r="M2153" i="32" s="1"/>
  <c r="D2153" i="32" s="1"/>
  <c r="B803" i="27"/>
  <c r="H802" i="27"/>
  <c r="N803" i="27"/>
  <c r="M803" i="27"/>
  <c r="C803" i="27" s="1"/>
  <c r="M1193" i="32" a="1"/>
  <c r="M1193" i="32" s="1"/>
  <c r="D1193" i="32" s="1"/>
  <c r="R1193" i="32" a="1"/>
  <c r="R1193" i="32" s="1"/>
  <c r="P2538" i="27" s="1"/>
  <c r="N1193" i="32" a="1"/>
  <c r="N1193" i="32" s="1"/>
  <c r="E1193" i="32" s="1"/>
  <c r="F2538" i="27" s="1"/>
  <c r="O1193" i="32" a="1"/>
  <c r="O1193" i="32" s="1"/>
  <c r="M2538" i="27" s="1"/>
  <c r="A2538" i="27" s="1"/>
  <c r="K1197" i="32"/>
  <c r="L1195" i="32"/>
  <c r="Q1549" i="32"/>
  <c r="G1545" i="32"/>
  <c r="L2157" i="32" l="1"/>
  <c r="K2159" i="32"/>
  <c r="R2155" i="32" a="1"/>
  <c r="R2155" i="32" s="1"/>
  <c r="O2155" i="32" a="1"/>
  <c r="O2155" i="32" s="1"/>
  <c r="N2155" i="32" a="1"/>
  <c r="N2155" i="32" s="1"/>
  <c r="E2155" i="32" s="1"/>
  <c r="M2155" i="32" a="1"/>
  <c r="M2155" i="32" s="1"/>
  <c r="D2155" i="32" s="1"/>
  <c r="H803" i="27"/>
  <c r="B804" i="27"/>
  <c r="N804" i="27"/>
  <c r="M804" i="27"/>
  <c r="C804" i="27" s="1"/>
  <c r="O1195" i="32" a="1"/>
  <c r="O1195" i="32" s="1"/>
  <c r="M2539" i="27" s="1"/>
  <c r="A2539" i="27" s="1"/>
  <c r="R1195" i="32" a="1"/>
  <c r="R1195" i="32" s="1"/>
  <c r="P2539" i="27" s="1"/>
  <c r="M1195" i="32" a="1"/>
  <c r="M1195" i="32" s="1"/>
  <c r="D1195" i="32" s="1"/>
  <c r="N1195" i="32" a="1"/>
  <c r="N1195" i="32" s="1"/>
  <c r="E1195" i="32" s="1"/>
  <c r="F2539" i="27" s="1"/>
  <c r="K1199" i="32"/>
  <c r="L1197" i="32"/>
  <c r="Q1551" i="32"/>
  <c r="G1547" i="32"/>
  <c r="A1549" i="32"/>
  <c r="A1551" i="32"/>
  <c r="L2159" i="32" l="1"/>
  <c r="K2161" i="32"/>
  <c r="R2157" i="32" a="1"/>
  <c r="R2157" i="32" s="1"/>
  <c r="O2157" i="32" a="1"/>
  <c r="O2157" i="32" s="1"/>
  <c r="N2157" i="32" a="1"/>
  <c r="N2157" i="32" s="1"/>
  <c r="E2157" i="32" s="1"/>
  <c r="M2157" i="32" a="1"/>
  <c r="M2157" i="32" s="1"/>
  <c r="D2157" i="32" s="1"/>
  <c r="H804" i="27"/>
  <c r="B805" i="27"/>
  <c r="N805" i="27"/>
  <c r="M805" i="27"/>
  <c r="C805" i="27" s="1"/>
  <c r="R1197" i="32" a="1"/>
  <c r="R1197" i="32" s="1"/>
  <c r="P2540" i="27" s="1"/>
  <c r="M1197" i="32" a="1"/>
  <c r="M1197" i="32" s="1"/>
  <c r="D1197" i="32" s="1"/>
  <c r="O1197" i="32" a="1"/>
  <c r="O1197" i="32" s="1"/>
  <c r="M2540" i="27" s="1"/>
  <c r="A2540" i="27" s="1"/>
  <c r="N1197" i="32" a="1"/>
  <c r="N1197" i="32" s="1"/>
  <c r="E1197" i="32" s="1"/>
  <c r="F2540" i="27" s="1"/>
  <c r="K1201" i="32"/>
  <c r="L1199" i="32"/>
  <c r="Q1553" i="32"/>
  <c r="G1549" i="32"/>
  <c r="L2161" i="32" l="1"/>
  <c r="K2163" i="32"/>
  <c r="R2159" i="32" a="1"/>
  <c r="R2159" i="32" s="1"/>
  <c r="O2159" i="32" a="1"/>
  <c r="O2159" i="32" s="1"/>
  <c r="N2159" i="32" a="1"/>
  <c r="N2159" i="32" s="1"/>
  <c r="E2159" i="32" s="1"/>
  <c r="M2159" i="32" a="1"/>
  <c r="M2159" i="32" s="1"/>
  <c r="D2159" i="32" s="1"/>
  <c r="H805" i="27"/>
  <c r="B806" i="27"/>
  <c r="N806" i="27"/>
  <c r="M806" i="27"/>
  <c r="C806" i="27" s="1"/>
  <c r="R1199" i="32" a="1"/>
  <c r="R1199" i="32" s="1"/>
  <c r="P2541" i="27" s="1"/>
  <c r="M1199" i="32" a="1"/>
  <c r="M1199" i="32" s="1"/>
  <c r="D1199" i="32" s="1"/>
  <c r="O1199" i="32" a="1"/>
  <c r="O1199" i="32" s="1"/>
  <c r="M2541" i="27" s="1"/>
  <c r="A2541" i="27" s="1"/>
  <c r="N1199" i="32" a="1"/>
  <c r="N1199" i="32" s="1"/>
  <c r="E1199" i="32" s="1"/>
  <c r="F2541" i="27" s="1"/>
  <c r="K1203" i="32"/>
  <c r="L1201" i="32"/>
  <c r="Q1555" i="32"/>
  <c r="A1553" i="32"/>
  <c r="A1555" i="32"/>
  <c r="G1551" i="32"/>
  <c r="L2163" i="32" l="1"/>
  <c r="K2165" i="32"/>
  <c r="R2161" i="32" a="1"/>
  <c r="R2161" i="32" s="1"/>
  <c r="O2161" i="32" a="1"/>
  <c r="O2161" i="32" s="1"/>
  <c r="N2161" i="32" a="1"/>
  <c r="N2161" i="32" s="1"/>
  <c r="E2161" i="32" s="1"/>
  <c r="M2161" i="32" a="1"/>
  <c r="M2161" i="32" s="1"/>
  <c r="D2161" i="32" s="1"/>
  <c r="H806" i="27"/>
  <c r="B807" i="27"/>
  <c r="N807" i="27"/>
  <c r="M807" i="27"/>
  <c r="C807" i="27" s="1"/>
  <c r="O1201" i="32" a="1"/>
  <c r="O1201" i="32" s="1"/>
  <c r="M2542" i="27" s="1"/>
  <c r="A2542" i="27" s="1"/>
  <c r="M1201" i="32" a="1"/>
  <c r="M1201" i="32" s="1"/>
  <c r="D1201" i="32" s="1"/>
  <c r="R1201" i="32" a="1"/>
  <c r="R1201" i="32" s="1"/>
  <c r="P2542" i="27" s="1"/>
  <c r="N1201" i="32" a="1"/>
  <c r="N1201" i="32" s="1"/>
  <c r="E1201" i="32" s="1"/>
  <c r="F2542" i="27" s="1"/>
  <c r="K1205" i="32"/>
  <c r="L1203" i="32"/>
  <c r="Q1557" i="32"/>
  <c r="G1553" i="32"/>
  <c r="L2165" i="32" l="1"/>
  <c r="K2167" i="32"/>
  <c r="R2163" i="32" a="1"/>
  <c r="R2163" i="32" s="1"/>
  <c r="O2163" i="32" a="1"/>
  <c r="O2163" i="32" s="1"/>
  <c r="N2163" i="32" a="1"/>
  <c r="N2163" i="32" s="1"/>
  <c r="E2163" i="32" s="1"/>
  <c r="M2163" i="32" a="1"/>
  <c r="M2163" i="32" s="1"/>
  <c r="D2163" i="32" s="1"/>
  <c r="H807" i="27"/>
  <c r="B808" i="27"/>
  <c r="N808" i="27"/>
  <c r="M808" i="27"/>
  <c r="C808" i="27" s="1"/>
  <c r="O1203" i="32" a="1"/>
  <c r="O1203" i="32" s="1"/>
  <c r="M2543" i="27" s="1"/>
  <c r="A2543" i="27" s="1"/>
  <c r="R1203" i="32" a="1"/>
  <c r="R1203" i="32" s="1"/>
  <c r="P2543" i="27" s="1"/>
  <c r="M1203" i="32" a="1"/>
  <c r="M1203" i="32" s="1"/>
  <c r="D1203" i="32" s="1"/>
  <c r="N1203" i="32" a="1"/>
  <c r="N1203" i="32" s="1"/>
  <c r="E1203" i="32" s="1"/>
  <c r="F2543" i="27" s="1"/>
  <c r="K1207" i="32"/>
  <c r="L1205" i="32"/>
  <c r="Q1559" i="32"/>
  <c r="A1559" i="32"/>
  <c r="G1555" i="32"/>
  <c r="A1557" i="32"/>
  <c r="L2167" i="32" l="1"/>
  <c r="K2169" i="32"/>
  <c r="R2165" i="32" a="1"/>
  <c r="R2165" i="32" s="1"/>
  <c r="O2165" i="32" a="1"/>
  <c r="O2165" i="32" s="1"/>
  <c r="N2165" i="32" a="1"/>
  <c r="N2165" i="32" s="1"/>
  <c r="E2165" i="32" s="1"/>
  <c r="M2165" i="32" a="1"/>
  <c r="M2165" i="32" s="1"/>
  <c r="D2165" i="32" s="1"/>
  <c r="H808" i="27"/>
  <c r="B809" i="27"/>
  <c r="N809" i="27"/>
  <c r="M809" i="27"/>
  <c r="C809" i="27" s="1"/>
  <c r="R1205" i="32" a="1"/>
  <c r="R1205" i="32" s="1"/>
  <c r="P2544" i="27" s="1"/>
  <c r="O1205" i="32" a="1"/>
  <c r="O1205" i="32" s="1"/>
  <c r="M2544" i="27" s="1"/>
  <c r="A2544" i="27" s="1"/>
  <c r="M1205" i="32" a="1"/>
  <c r="M1205" i="32" s="1"/>
  <c r="D1205" i="32" s="1"/>
  <c r="N1205" i="32" a="1"/>
  <c r="N1205" i="32" s="1"/>
  <c r="E1205" i="32" s="1"/>
  <c r="F2544" i="27" s="1"/>
  <c r="K1209" i="32"/>
  <c r="L1207" i="32"/>
  <c r="Q1561" i="32"/>
  <c r="G1557" i="32"/>
  <c r="L2169" i="32" l="1"/>
  <c r="K2171" i="32"/>
  <c r="R2167" i="32" a="1"/>
  <c r="R2167" i="32" s="1"/>
  <c r="O2167" i="32" a="1"/>
  <c r="O2167" i="32" s="1"/>
  <c r="N2167" i="32" a="1"/>
  <c r="N2167" i="32" s="1"/>
  <c r="E2167" i="32" s="1"/>
  <c r="M2167" i="32" a="1"/>
  <c r="M2167" i="32" s="1"/>
  <c r="D2167" i="32" s="1"/>
  <c r="H809" i="27"/>
  <c r="B810" i="27"/>
  <c r="N810" i="27"/>
  <c r="M810" i="27"/>
  <c r="C810" i="27" s="1"/>
  <c r="N1207" i="32" a="1"/>
  <c r="N1207" i="32" s="1"/>
  <c r="E1207" i="32" s="1"/>
  <c r="F2545" i="27" s="1"/>
  <c r="O1207" i="32" a="1"/>
  <c r="O1207" i="32" s="1"/>
  <c r="M2545" i="27" s="1"/>
  <c r="A2545" i="27" s="1"/>
  <c r="M1207" i="32" a="1"/>
  <c r="M1207" i="32" s="1"/>
  <c r="D1207" i="32" s="1"/>
  <c r="R1207" i="32" a="1"/>
  <c r="R1207" i="32" s="1"/>
  <c r="P2545" i="27" s="1"/>
  <c r="K1211" i="32"/>
  <c r="L1209" i="32"/>
  <c r="Q1563" i="32"/>
  <c r="A1561" i="32"/>
  <c r="A1563" i="32"/>
  <c r="G1559" i="32"/>
  <c r="L2171" i="32" l="1"/>
  <c r="K2173" i="32"/>
  <c r="R2169" i="32" a="1"/>
  <c r="R2169" i="32" s="1"/>
  <c r="O2169" i="32" a="1"/>
  <c r="O2169" i="32" s="1"/>
  <c r="N2169" i="32" a="1"/>
  <c r="N2169" i="32" s="1"/>
  <c r="E2169" i="32" s="1"/>
  <c r="M2169" i="32" a="1"/>
  <c r="M2169" i="32" s="1"/>
  <c r="D2169" i="32" s="1"/>
  <c r="H810" i="27"/>
  <c r="B811" i="27"/>
  <c r="N811" i="27"/>
  <c r="M811" i="27"/>
  <c r="C811" i="27" s="1"/>
  <c r="N1209" i="32" a="1"/>
  <c r="N1209" i="32" s="1"/>
  <c r="E1209" i="32" s="1"/>
  <c r="F2546" i="27" s="1"/>
  <c r="M1209" i="32" a="1"/>
  <c r="M1209" i="32" s="1"/>
  <c r="D1209" i="32" s="1"/>
  <c r="R1209" i="32" a="1"/>
  <c r="R1209" i="32" s="1"/>
  <c r="P2546" i="27" s="1"/>
  <c r="O1209" i="32" a="1"/>
  <c r="O1209" i="32" s="1"/>
  <c r="M2546" i="27" s="1"/>
  <c r="A2546" i="27" s="1"/>
  <c r="K1213" i="32"/>
  <c r="L1211" i="32"/>
  <c r="Q1565" i="32"/>
  <c r="G1561" i="32"/>
  <c r="L2173" i="32" l="1"/>
  <c r="K2175" i="32"/>
  <c r="R2171" i="32" a="1"/>
  <c r="R2171" i="32" s="1"/>
  <c r="O2171" i="32" a="1"/>
  <c r="O2171" i="32" s="1"/>
  <c r="N2171" i="32" a="1"/>
  <c r="N2171" i="32" s="1"/>
  <c r="E2171" i="32" s="1"/>
  <c r="M2171" i="32" a="1"/>
  <c r="M2171" i="32" s="1"/>
  <c r="D2171" i="32" s="1"/>
  <c r="H811" i="27"/>
  <c r="B812" i="27"/>
  <c r="M812" i="27"/>
  <c r="C812" i="27" s="1"/>
  <c r="N812" i="27"/>
  <c r="R1211" i="32" a="1"/>
  <c r="R1211" i="32" s="1"/>
  <c r="P2547" i="27" s="1"/>
  <c r="M1211" i="32" a="1"/>
  <c r="M1211" i="32" s="1"/>
  <c r="D1211" i="32" s="1"/>
  <c r="O1211" i="32" a="1"/>
  <c r="O1211" i="32" s="1"/>
  <c r="M2547" i="27" s="1"/>
  <c r="A2547" i="27" s="1"/>
  <c r="N1211" i="32" a="1"/>
  <c r="N1211" i="32" s="1"/>
  <c r="E1211" i="32" s="1"/>
  <c r="F2547" i="27" s="1"/>
  <c r="K1215" i="32"/>
  <c r="L1213" i="32"/>
  <c r="Q1567" i="32"/>
  <c r="A1565" i="32"/>
  <c r="A1567" i="32"/>
  <c r="G1563" i="32"/>
  <c r="L2175" i="32" l="1"/>
  <c r="K2177" i="32"/>
  <c r="R2173" i="32" a="1"/>
  <c r="R2173" i="32" s="1"/>
  <c r="O2173" i="32" a="1"/>
  <c r="O2173" i="32" s="1"/>
  <c r="N2173" i="32" a="1"/>
  <c r="N2173" i="32" s="1"/>
  <c r="E2173" i="32" s="1"/>
  <c r="M2173" i="32" a="1"/>
  <c r="M2173" i="32" s="1"/>
  <c r="D2173" i="32" s="1"/>
  <c r="H812" i="27"/>
  <c r="B813" i="27"/>
  <c r="N813" i="27"/>
  <c r="M813" i="27"/>
  <c r="C813" i="27" s="1"/>
  <c r="N1213" i="32" a="1"/>
  <c r="N1213" i="32" s="1"/>
  <c r="E1213" i="32" s="1"/>
  <c r="F2548" i="27" s="1"/>
  <c r="R1213" i="32" a="1"/>
  <c r="R1213" i="32" s="1"/>
  <c r="P2548" i="27" s="1"/>
  <c r="M1213" i="32" a="1"/>
  <c r="M1213" i="32" s="1"/>
  <c r="D1213" i="32" s="1"/>
  <c r="O1213" i="32" a="1"/>
  <c r="O1213" i="32" s="1"/>
  <c r="M2548" i="27" s="1"/>
  <c r="A2548" i="27" s="1"/>
  <c r="K1217" i="32"/>
  <c r="L1215" i="32"/>
  <c r="Q1569" i="32"/>
  <c r="G1565" i="32"/>
  <c r="L2177" i="32" l="1"/>
  <c r="K2179" i="32"/>
  <c r="R2177" i="32" a="1"/>
  <c r="R2177" i="32" s="1"/>
  <c r="O2177" i="32" a="1"/>
  <c r="O2177" i="32" s="1"/>
  <c r="N2177" i="32" a="1"/>
  <c r="N2177" i="32" s="1"/>
  <c r="E2177" i="32" s="1"/>
  <c r="M2177" i="32" a="1"/>
  <c r="M2177" i="32" s="1"/>
  <c r="D2177" i="32" s="1"/>
  <c r="R2175" i="32" a="1"/>
  <c r="R2175" i="32" s="1"/>
  <c r="O2175" i="32" a="1"/>
  <c r="O2175" i="32" s="1"/>
  <c r="N2175" i="32" a="1"/>
  <c r="N2175" i="32" s="1"/>
  <c r="E2175" i="32" s="1"/>
  <c r="M2175" i="32" a="1"/>
  <c r="M2175" i="32" s="1"/>
  <c r="D2175" i="32" s="1"/>
  <c r="H813" i="27"/>
  <c r="B814" i="27"/>
  <c r="M814" i="27"/>
  <c r="C814" i="27" s="1"/>
  <c r="N814" i="27"/>
  <c r="M1215" i="32" a="1"/>
  <c r="M1215" i="32" s="1"/>
  <c r="D1215" i="32" s="1"/>
  <c r="O1215" i="32" a="1"/>
  <c r="O1215" i="32" s="1"/>
  <c r="M2549" i="27" s="1"/>
  <c r="A2549" i="27" s="1"/>
  <c r="N1215" i="32" a="1"/>
  <c r="N1215" i="32" s="1"/>
  <c r="E1215" i="32" s="1"/>
  <c r="R1215" i="32" a="1"/>
  <c r="R1215" i="32" s="1"/>
  <c r="P2549" i="27" s="1"/>
  <c r="K1219" i="32"/>
  <c r="L1217" i="32"/>
  <c r="Q1571" i="32"/>
  <c r="G1567" i="32"/>
  <c r="A1571" i="32"/>
  <c r="A1569" i="32"/>
  <c r="L2179" i="32" l="1"/>
  <c r="K2181" i="32"/>
  <c r="R2179" i="32" a="1"/>
  <c r="R2179" i="32" s="1"/>
  <c r="O2179" i="32" a="1"/>
  <c r="O2179" i="32" s="1"/>
  <c r="N2179" i="32" a="1"/>
  <c r="N2179" i="32" s="1"/>
  <c r="E2179" i="32" s="1"/>
  <c r="M2179" i="32" a="1"/>
  <c r="M2179" i="32" s="1"/>
  <c r="D2179" i="32" s="1"/>
  <c r="H814" i="27"/>
  <c r="B815" i="27"/>
  <c r="M815" i="27"/>
  <c r="C815" i="27" s="1"/>
  <c r="N815" i="27"/>
  <c r="R1217" i="32" a="1"/>
  <c r="R1217" i="32" s="1"/>
  <c r="P2550" i="27" s="1"/>
  <c r="O1217" i="32" a="1"/>
  <c r="O1217" i="32" s="1"/>
  <c r="M2550" i="27" s="1"/>
  <c r="A2550" i="27" s="1"/>
  <c r="N1217" i="32" a="1"/>
  <c r="N1217" i="32" s="1"/>
  <c r="E1217" i="32" s="1"/>
  <c r="M1217" i="32" a="1"/>
  <c r="M1217" i="32" s="1"/>
  <c r="D1217" i="32" s="1"/>
  <c r="K1221" i="32"/>
  <c r="L1219" i="32"/>
  <c r="Q1573" i="32"/>
  <c r="G1569" i="32"/>
  <c r="L2181" i="32" l="1"/>
  <c r="K2183" i="32"/>
  <c r="H815" i="27"/>
  <c r="B816" i="27"/>
  <c r="M816" i="27"/>
  <c r="C816" i="27" s="1"/>
  <c r="N816" i="27"/>
  <c r="N1219" i="32" a="1"/>
  <c r="N1219" i="32" s="1"/>
  <c r="E1219" i="32" s="1"/>
  <c r="M1219" i="32" a="1"/>
  <c r="M1219" i="32" s="1"/>
  <c r="D1219" i="32" s="1"/>
  <c r="R1219" i="32" a="1"/>
  <c r="R1219" i="32" s="1"/>
  <c r="P2551" i="27" s="1"/>
  <c r="O1219" i="32" a="1"/>
  <c r="O1219" i="32" s="1"/>
  <c r="M2551" i="27" s="1"/>
  <c r="A2551" i="27" s="1"/>
  <c r="K1223" i="32"/>
  <c r="L1221" i="32"/>
  <c r="Q1575" i="32"/>
  <c r="A1575" i="32"/>
  <c r="G1571" i="32"/>
  <c r="A1573" i="32"/>
  <c r="L2183" i="32" l="1"/>
  <c r="K2185" i="32"/>
  <c r="R2181" i="32" a="1"/>
  <c r="R2181" i="32" s="1"/>
  <c r="O2181" i="32" a="1"/>
  <c r="O2181" i="32" s="1"/>
  <c r="N2181" i="32" a="1"/>
  <c r="N2181" i="32" s="1"/>
  <c r="E2181" i="32" s="1"/>
  <c r="M2181" i="32" a="1"/>
  <c r="M2181" i="32" s="1"/>
  <c r="D2181" i="32" s="1"/>
  <c r="H816" i="27"/>
  <c r="B817" i="27"/>
  <c r="M817" i="27"/>
  <c r="C817" i="27" s="1"/>
  <c r="N817" i="27"/>
  <c r="N1221" i="32" a="1"/>
  <c r="N1221" i="32" s="1"/>
  <c r="E1221" i="32" s="1"/>
  <c r="M1221" i="32" a="1"/>
  <c r="M1221" i="32" s="1"/>
  <c r="D1221" i="32" s="1"/>
  <c r="R1221" i="32" a="1"/>
  <c r="R1221" i="32" s="1"/>
  <c r="P2552" i="27" s="1"/>
  <c r="O1221" i="32" a="1"/>
  <c r="O1221" i="32" s="1"/>
  <c r="M2552" i="27" s="1"/>
  <c r="A2552" i="27" s="1"/>
  <c r="K1225" i="32"/>
  <c r="L1223" i="32"/>
  <c r="Q1577" i="32"/>
  <c r="G1573" i="32"/>
  <c r="L2185" i="32" l="1"/>
  <c r="K2187" i="32"/>
  <c r="R2183" i="32" a="1"/>
  <c r="R2183" i="32" s="1"/>
  <c r="O2183" i="32" a="1"/>
  <c r="O2183" i="32" s="1"/>
  <c r="N2183" i="32" a="1"/>
  <c r="N2183" i="32" s="1"/>
  <c r="E2183" i="32" s="1"/>
  <c r="M2183" i="32" a="1"/>
  <c r="M2183" i="32" s="1"/>
  <c r="D2183" i="32" s="1"/>
  <c r="H817" i="27"/>
  <c r="B818" i="27"/>
  <c r="N818" i="27"/>
  <c r="M818" i="27"/>
  <c r="C818" i="27" s="1"/>
  <c r="N1223" i="32" a="1"/>
  <c r="N1223" i="32" s="1"/>
  <c r="E1223" i="32" s="1"/>
  <c r="R1223" i="32" a="1"/>
  <c r="R1223" i="32" s="1"/>
  <c r="P2553" i="27" s="1"/>
  <c r="M1223" i="32" a="1"/>
  <c r="M1223" i="32" s="1"/>
  <c r="D1223" i="32" s="1"/>
  <c r="O1223" i="32" a="1"/>
  <c r="O1223" i="32" s="1"/>
  <c r="M2553" i="27" s="1"/>
  <c r="A2553" i="27" s="1"/>
  <c r="K1227" i="32"/>
  <c r="L1225" i="32"/>
  <c r="Q1579" i="32"/>
  <c r="A1577" i="32"/>
  <c r="A1579" i="32"/>
  <c r="G1575" i="32"/>
  <c r="L2187" i="32" l="1"/>
  <c r="K2189" i="32"/>
  <c r="R2185" i="32" a="1"/>
  <c r="R2185" i="32" s="1"/>
  <c r="O2185" i="32" a="1"/>
  <c r="O2185" i="32" s="1"/>
  <c r="N2185" i="32" a="1"/>
  <c r="N2185" i="32" s="1"/>
  <c r="E2185" i="32" s="1"/>
  <c r="M2185" i="32" a="1"/>
  <c r="M2185" i="32" s="1"/>
  <c r="D2185" i="32" s="1"/>
  <c r="B819" i="27"/>
  <c r="H818" i="27"/>
  <c r="N819" i="27"/>
  <c r="M819" i="27"/>
  <c r="C819" i="27" s="1"/>
  <c r="M1225" i="32" a="1"/>
  <c r="M1225" i="32" s="1"/>
  <c r="D1225" i="32" s="1"/>
  <c r="N1225" i="32" a="1"/>
  <c r="N1225" i="32" s="1"/>
  <c r="E1225" i="32" s="1"/>
  <c r="O1225" i="32" a="1"/>
  <c r="O1225" i="32" s="1"/>
  <c r="M2554" i="27" s="1"/>
  <c r="A2554" i="27" s="1"/>
  <c r="R1225" i="32" a="1"/>
  <c r="R1225" i="32" s="1"/>
  <c r="P2554" i="27" s="1"/>
  <c r="K1229" i="32"/>
  <c r="L1227" i="32"/>
  <c r="Q1581" i="32"/>
  <c r="G1577" i="32"/>
  <c r="L2189" i="32" l="1"/>
  <c r="K2191" i="32"/>
  <c r="R2187" i="32" a="1"/>
  <c r="R2187" i="32" s="1"/>
  <c r="O2187" i="32" a="1"/>
  <c r="O2187" i="32" s="1"/>
  <c r="N2187" i="32" a="1"/>
  <c r="N2187" i="32" s="1"/>
  <c r="E2187" i="32" s="1"/>
  <c r="M2187" i="32" a="1"/>
  <c r="M2187" i="32" s="1"/>
  <c r="D2187" i="32" s="1"/>
  <c r="H819" i="27"/>
  <c r="B820" i="27"/>
  <c r="N820" i="27"/>
  <c r="M820" i="27"/>
  <c r="C820" i="27" s="1"/>
  <c r="O1227" i="32" a="1"/>
  <c r="O1227" i="32" s="1"/>
  <c r="M2555" i="27" s="1"/>
  <c r="A2555" i="27" s="1"/>
  <c r="N1227" i="32" a="1"/>
  <c r="N1227" i="32" s="1"/>
  <c r="E1227" i="32" s="1"/>
  <c r="R1227" i="32" a="1"/>
  <c r="R1227" i="32" s="1"/>
  <c r="P2555" i="27" s="1"/>
  <c r="M1227" i="32" a="1"/>
  <c r="M1227" i="32" s="1"/>
  <c r="D1227" i="32" s="1"/>
  <c r="K1231" i="32"/>
  <c r="L1229" i="32"/>
  <c r="Q1583" i="32"/>
  <c r="A1581" i="32"/>
  <c r="G1579" i="32"/>
  <c r="A1583" i="32"/>
  <c r="L2191" i="32" l="1"/>
  <c r="K2193" i="32"/>
  <c r="R2189" i="32" a="1"/>
  <c r="R2189" i="32" s="1"/>
  <c r="O2189" i="32" a="1"/>
  <c r="O2189" i="32" s="1"/>
  <c r="N2189" i="32" a="1"/>
  <c r="N2189" i="32" s="1"/>
  <c r="E2189" i="32" s="1"/>
  <c r="M2189" i="32" a="1"/>
  <c r="M2189" i="32" s="1"/>
  <c r="D2189" i="32" s="1"/>
  <c r="H820" i="27"/>
  <c r="B821" i="27"/>
  <c r="N821" i="27"/>
  <c r="M821" i="27"/>
  <c r="C821" i="27" s="1"/>
  <c r="K1233" i="32"/>
  <c r="L1231" i="32"/>
  <c r="M1229" i="32" a="1"/>
  <c r="M1229" i="32" s="1"/>
  <c r="D1229" i="32" s="1"/>
  <c r="O1229" i="32" a="1"/>
  <c r="O1229" i="32" s="1"/>
  <c r="M2556" i="27" s="1"/>
  <c r="A2556" i="27" s="1"/>
  <c r="R1229" i="32" a="1"/>
  <c r="R1229" i="32" s="1"/>
  <c r="P2556" i="27" s="1"/>
  <c r="N1229" i="32" a="1"/>
  <c r="N1229" i="32" s="1"/>
  <c r="E1229" i="32" s="1"/>
  <c r="Q1585" i="32"/>
  <c r="G1581" i="32"/>
  <c r="A1585" i="32"/>
  <c r="L2193" i="32" l="1"/>
  <c r="K2195" i="32"/>
  <c r="R2191" i="32" a="1"/>
  <c r="R2191" i="32" s="1"/>
  <c r="O2191" i="32" a="1"/>
  <c r="O2191" i="32" s="1"/>
  <c r="N2191" i="32" a="1"/>
  <c r="N2191" i="32" s="1"/>
  <c r="E2191" i="32" s="1"/>
  <c r="M2191" i="32" a="1"/>
  <c r="M2191" i="32" s="1"/>
  <c r="D2191" i="32" s="1"/>
  <c r="H821" i="27"/>
  <c r="B822" i="27"/>
  <c r="M822" i="27"/>
  <c r="C822" i="27" s="1"/>
  <c r="N822" i="27"/>
  <c r="R1231" i="32" a="1"/>
  <c r="R1231" i="32" s="1"/>
  <c r="P2557" i="27" s="1"/>
  <c r="N1231" i="32" a="1"/>
  <c r="N1231" i="32" s="1"/>
  <c r="E1231" i="32" s="1"/>
  <c r="M1231" i="32" a="1"/>
  <c r="M1231" i="32" s="1"/>
  <c r="D1231" i="32" s="1"/>
  <c r="O1231" i="32" a="1"/>
  <c r="O1231" i="32" s="1"/>
  <c r="M2557" i="27" s="1"/>
  <c r="A2557" i="27" s="1"/>
  <c r="K1235" i="32"/>
  <c r="L1233" i="32"/>
  <c r="Q1587" i="32"/>
  <c r="G1583" i="32"/>
  <c r="L2195" i="32" l="1"/>
  <c r="K2197" i="32"/>
  <c r="R2193" i="32" a="1"/>
  <c r="R2193" i="32" s="1"/>
  <c r="O2193" i="32" a="1"/>
  <c r="O2193" i="32" s="1"/>
  <c r="N2193" i="32" a="1"/>
  <c r="N2193" i="32" s="1"/>
  <c r="E2193" i="32" s="1"/>
  <c r="M2193" i="32" a="1"/>
  <c r="M2193" i="32" s="1"/>
  <c r="D2193" i="32" s="1"/>
  <c r="H822" i="27"/>
  <c r="B823" i="27"/>
  <c r="M823" i="27"/>
  <c r="C823" i="27" s="1"/>
  <c r="N823" i="27"/>
  <c r="O1233" i="32" a="1"/>
  <c r="O1233" i="32" s="1"/>
  <c r="M2558" i="27" s="1"/>
  <c r="A2558" i="27" s="1"/>
  <c r="N1233" i="32" a="1"/>
  <c r="N1233" i="32" s="1"/>
  <c r="E1233" i="32" s="1"/>
  <c r="M1233" i="32" a="1"/>
  <c r="M1233" i="32" s="1"/>
  <c r="D1233" i="32" s="1"/>
  <c r="R1233" i="32" a="1"/>
  <c r="R1233" i="32" s="1"/>
  <c r="P2558" i="27" s="1"/>
  <c r="K1237" i="32"/>
  <c r="L1235" i="32"/>
  <c r="Q1589" i="32"/>
  <c r="A1589" i="32"/>
  <c r="G1585" i="32"/>
  <c r="A1587" i="32"/>
  <c r="L2197" i="32" l="1"/>
  <c r="K2199" i="32"/>
  <c r="R2195" i="32" a="1"/>
  <c r="R2195" i="32" s="1"/>
  <c r="O2195" i="32" a="1"/>
  <c r="O2195" i="32" s="1"/>
  <c r="N2195" i="32" a="1"/>
  <c r="N2195" i="32" s="1"/>
  <c r="E2195" i="32" s="1"/>
  <c r="M2195" i="32" a="1"/>
  <c r="M2195" i="32" s="1"/>
  <c r="D2195" i="32" s="1"/>
  <c r="H823" i="27"/>
  <c r="B824" i="27"/>
  <c r="M824" i="27"/>
  <c r="C824" i="27" s="1"/>
  <c r="N824" i="27"/>
  <c r="N1235" i="32" a="1"/>
  <c r="N1235" i="32" s="1"/>
  <c r="E1235" i="32" s="1"/>
  <c r="R1235" i="32" a="1"/>
  <c r="R1235" i="32" s="1"/>
  <c r="P2559" i="27" s="1"/>
  <c r="M1235" i="32" a="1"/>
  <c r="M1235" i="32" s="1"/>
  <c r="D1235" i="32" s="1"/>
  <c r="O1235" i="32" a="1"/>
  <c r="O1235" i="32" s="1"/>
  <c r="M2559" i="27" s="1"/>
  <c r="A2559" i="27" s="1"/>
  <c r="K1239" i="32"/>
  <c r="L1237" i="32"/>
  <c r="Q1591" i="32"/>
  <c r="G1587" i="32"/>
  <c r="L2199" i="32" l="1"/>
  <c r="K2201" i="32"/>
  <c r="R2197" i="32" a="1"/>
  <c r="R2197" i="32" s="1"/>
  <c r="O2197" i="32" a="1"/>
  <c r="O2197" i="32" s="1"/>
  <c r="N2197" i="32" a="1"/>
  <c r="N2197" i="32" s="1"/>
  <c r="E2197" i="32" s="1"/>
  <c r="M2197" i="32" a="1"/>
  <c r="M2197" i="32" s="1"/>
  <c r="D2197" i="32" s="1"/>
  <c r="H824" i="27"/>
  <c r="B825" i="27"/>
  <c r="N825" i="27"/>
  <c r="M825" i="27"/>
  <c r="C825" i="27" s="1"/>
  <c r="O1237" i="32" a="1"/>
  <c r="O1237" i="32" s="1"/>
  <c r="M2560" i="27" s="1"/>
  <c r="A2560" i="27" s="1"/>
  <c r="N1237" i="32" a="1"/>
  <c r="N1237" i="32" s="1"/>
  <c r="E1237" i="32" s="1"/>
  <c r="R1237" i="32" a="1"/>
  <c r="R1237" i="32" s="1"/>
  <c r="P2560" i="27" s="1"/>
  <c r="M1237" i="32" a="1"/>
  <c r="M1237" i="32" s="1"/>
  <c r="D1237" i="32" s="1"/>
  <c r="K1241" i="32"/>
  <c r="L1239" i="32"/>
  <c r="Q1593" i="32"/>
  <c r="A1593" i="32"/>
  <c r="G1589" i="32"/>
  <c r="A1591" i="32"/>
  <c r="L2201" i="32" l="1"/>
  <c r="K2203" i="32"/>
  <c r="R2199" i="32" a="1"/>
  <c r="R2199" i="32" s="1"/>
  <c r="O2199" i="32" a="1"/>
  <c r="O2199" i="32" s="1"/>
  <c r="N2199" i="32" a="1"/>
  <c r="N2199" i="32" s="1"/>
  <c r="E2199" i="32" s="1"/>
  <c r="M2199" i="32" a="1"/>
  <c r="M2199" i="32" s="1"/>
  <c r="D2199" i="32" s="1"/>
  <c r="H825" i="27"/>
  <c r="B826" i="27"/>
  <c r="N826" i="27"/>
  <c r="M826" i="27"/>
  <c r="C826" i="27" s="1"/>
  <c r="N1239" i="32" a="1"/>
  <c r="N1239" i="32" s="1"/>
  <c r="E1239" i="32" s="1"/>
  <c r="M1239" i="32" a="1"/>
  <c r="M1239" i="32" s="1"/>
  <c r="D1239" i="32" s="1"/>
  <c r="O1239" i="32" a="1"/>
  <c r="O1239" i="32" s="1"/>
  <c r="M2561" i="27" s="1"/>
  <c r="A2561" i="27" s="1"/>
  <c r="R1239" i="32" a="1"/>
  <c r="R1239" i="32" s="1"/>
  <c r="P2561" i="27" s="1"/>
  <c r="K1243" i="32"/>
  <c r="L1241" i="32"/>
  <c r="Q1595" i="32"/>
  <c r="G1591" i="32"/>
  <c r="L2203" i="32" l="1"/>
  <c r="K2205" i="32"/>
  <c r="R2201" i="32" a="1"/>
  <c r="R2201" i="32" s="1"/>
  <c r="O2201" i="32" a="1"/>
  <c r="O2201" i="32" s="1"/>
  <c r="N2201" i="32" a="1"/>
  <c r="N2201" i="32" s="1"/>
  <c r="E2201" i="32" s="1"/>
  <c r="M2201" i="32" a="1"/>
  <c r="M2201" i="32" s="1"/>
  <c r="D2201" i="32" s="1"/>
  <c r="H826" i="27"/>
  <c r="B827" i="27"/>
  <c r="M827" i="27"/>
  <c r="C827" i="27" s="1"/>
  <c r="N827" i="27"/>
  <c r="O1241" i="32" a="1"/>
  <c r="O1241" i="32" s="1"/>
  <c r="M2562" i="27" s="1"/>
  <c r="A2562" i="27" s="1"/>
  <c r="M1241" i="32" a="1"/>
  <c r="M1241" i="32" s="1"/>
  <c r="D1241" i="32" s="1"/>
  <c r="R1241" i="32" a="1"/>
  <c r="R1241" i="32" s="1"/>
  <c r="P2562" i="27" s="1"/>
  <c r="N1241" i="32" a="1"/>
  <c r="N1241" i="32" s="1"/>
  <c r="E1241" i="32" s="1"/>
  <c r="K1245" i="32"/>
  <c r="L1243" i="32"/>
  <c r="Q1597" i="32"/>
  <c r="A1597" i="32"/>
  <c r="G1593" i="32"/>
  <c r="A1595" i="32"/>
  <c r="L2205" i="32" l="1"/>
  <c r="K2207" i="32"/>
  <c r="R2203" i="32" a="1"/>
  <c r="R2203" i="32" s="1"/>
  <c r="O2203" i="32" a="1"/>
  <c r="O2203" i="32" s="1"/>
  <c r="N2203" i="32" a="1"/>
  <c r="N2203" i="32" s="1"/>
  <c r="E2203" i="32" s="1"/>
  <c r="M2203" i="32" a="1"/>
  <c r="M2203" i="32" s="1"/>
  <c r="D2203" i="32" s="1"/>
  <c r="H827" i="27"/>
  <c r="B828" i="27"/>
  <c r="N828" i="27"/>
  <c r="M828" i="27"/>
  <c r="C828" i="27" s="1"/>
  <c r="R1243" i="32" a="1"/>
  <c r="R1243" i="32" s="1"/>
  <c r="P2563" i="27" s="1"/>
  <c r="O1243" i="32" a="1"/>
  <c r="O1243" i="32" s="1"/>
  <c r="M2563" i="27" s="1"/>
  <c r="A2563" i="27" s="1"/>
  <c r="M1243" i="32" a="1"/>
  <c r="M1243" i="32" s="1"/>
  <c r="D1243" i="32" s="1"/>
  <c r="N1243" i="32" a="1"/>
  <c r="N1243" i="32" s="1"/>
  <c r="E1243" i="32" s="1"/>
  <c r="K1247" i="32"/>
  <c r="L1245" i="32"/>
  <c r="Q1599" i="32"/>
  <c r="G1595" i="32"/>
  <c r="L2207" i="32" l="1"/>
  <c r="K2209" i="32"/>
  <c r="R2205" i="32" a="1"/>
  <c r="R2205" i="32" s="1"/>
  <c r="O2205" i="32" a="1"/>
  <c r="O2205" i="32" s="1"/>
  <c r="N2205" i="32" a="1"/>
  <c r="N2205" i="32" s="1"/>
  <c r="E2205" i="32" s="1"/>
  <c r="M2205" i="32" a="1"/>
  <c r="M2205" i="32" s="1"/>
  <c r="D2205" i="32" s="1"/>
  <c r="H828" i="27"/>
  <c r="B829" i="27"/>
  <c r="N829" i="27"/>
  <c r="M829" i="27"/>
  <c r="C829" i="27" s="1"/>
  <c r="M1245" i="32" a="1"/>
  <c r="M1245" i="32" s="1"/>
  <c r="D1245" i="32" s="1"/>
  <c r="R1245" i="32" a="1"/>
  <c r="R1245" i="32" s="1"/>
  <c r="P2564" i="27" s="1"/>
  <c r="N1245" i="32" a="1"/>
  <c r="N1245" i="32" s="1"/>
  <c r="E1245" i="32" s="1"/>
  <c r="O1245" i="32" a="1"/>
  <c r="O1245" i="32" s="1"/>
  <c r="M2564" i="27" s="1"/>
  <c r="A2564" i="27" s="1"/>
  <c r="K1249" i="32"/>
  <c r="L1247" i="32"/>
  <c r="Q1601" i="32"/>
  <c r="A1601" i="32"/>
  <c r="G1597" i="32"/>
  <c r="A1599" i="32"/>
  <c r="L2209" i="32" l="1"/>
  <c r="K2211" i="32"/>
  <c r="R2207" i="32" a="1"/>
  <c r="R2207" i="32" s="1"/>
  <c r="O2207" i="32" a="1"/>
  <c r="O2207" i="32" s="1"/>
  <c r="N2207" i="32" a="1"/>
  <c r="N2207" i="32" s="1"/>
  <c r="E2207" i="32" s="1"/>
  <c r="M2207" i="32" a="1"/>
  <c r="M2207" i="32" s="1"/>
  <c r="D2207" i="32" s="1"/>
  <c r="H829" i="27"/>
  <c r="B830" i="27"/>
  <c r="N830" i="27"/>
  <c r="M830" i="27"/>
  <c r="C830" i="27" s="1"/>
  <c r="O1247" i="32" a="1"/>
  <c r="O1247" i="32" s="1"/>
  <c r="M2565" i="27" s="1"/>
  <c r="A2565" i="27" s="1"/>
  <c r="N1247" i="32" a="1"/>
  <c r="N1247" i="32" s="1"/>
  <c r="E1247" i="32" s="1"/>
  <c r="R1247" i="32" a="1"/>
  <c r="R1247" i="32" s="1"/>
  <c r="P2565" i="27" s="1"/>
  <c r="M1247" i="32" a="1"/>
  <c r="M1247" i="32" s="1"/>
  <c r="D1247" i="32" s="1"/>
  <c r="K1251" i="32"/>
  <c r="L1249" i="32"/>
  <c r="Q1603" i="32"/>
  <c r="G1599" i="32"/>
  <c r="L2211" i="32" l="1"/>
  <c r="K2213" i="32"/>
  <c r="R2209" i="32" a="1"/>
  <c r="R2209" i="32" s="1"/>
  <c r="O2209" i="32" a="1"/>
  <c r="O2209" i="32" s="1"/>
  <c r="N2209" i="32" a="1"/>
  <c r="N2209" i="32" s="1"/>
  <c r="E2209" i="32" s="1"/>
  <c r="M2209" i="32" a="1"/>
  <c r="M2209" i="32" s="1"/>
  <c r="D2209" i="32" s="1"/>
  <c r="H830" i="27"/>
  <c r="B831" i="27"/>
  <c r="N831" i="27"/>
  <c r="M831" i="27"/>
  <c r="C831" i="27" s="1"/>
  <c r="N1249" i="32" a="1"/>
  <c r="N1249" i="32" s="1"/>
  <c r="E1249" i="32" s="1"/>
  <c r="O1249" i="32" a="1"/>
  <c r="O1249" i="32" s="1"/>
  <c r="M2566" i="27" s="1"/>
  <c r="A2566" i="27" s="1"/>
  <c r="R1249" i="32" a="1"/>
  <c r="R1249" i="32" s="1"/>
  <c r="P2566" i="27" s="1"/>
  <c r="M1249" i="32" a="1"/>
  <c r="M1249" i="32" s="1"/>
  <c r="D1249" i="32" s="1"/>
  <c r="K1253" i="32"/>
  <c r="L1251" i="32"/>
  <c r="Q1605" i="32"/>
  <c r="A1605" i="32"/>
  <c r="A1603" i="32"/>
  <c r="G1601" i="32"/>
  <c r="L2213" i="32" l="1"/>
  <c r="K2215" i="32"/>
  <c r="R2211" i="32" a="1"/>
  <c r="R2211" i="32" s="1"/>
  <c r="O2211" i="32" a="1"/>
  <c r="O2211" i="32" s="1"/>
  <c r="N2211" i="32" a="1"/>
  <c r="N2211" i="32" s="1"/>
  <c r="E2211" i="32" s="1"/>
  <c r="M2211" i="32" a="1"/>
  <c r="M2211" i="32" s="1"/>
  <c r="D2211" i="32" s="1"/>
  <c r="H831" i="27"/>
  <c r="B832" i="27"/>
  <c r="N832" i="27"/>
  <c r="M832" i="27"/>
  <c r="C832" i="27" s="1"/>
  <c r="M1251" i="32" a="1"/>
  <c r="M1251" i="32" s="1"/>
  <c r="D1251" i="32" s="1"/>
  <c r="O1251" i="32" a="1"/>
  <c r="O1251" i="32" s="1"/>
  <c r="M2567" i="27" s="1"/>
  <c r="A2567" i="27" s="1"/>
  <c r="R1251" i="32" a="1"/>
  <c r="R1251" i="32" s="1"/>
  <c r="P2567" i="27" s="1"/>
  <c r="N1251" i="32" a="1"/>
  <c r="N1251" i="32" s="1"/>
  <c r="E1251" i="32" s="1"/>
  <c r="K1255" i="32"/>
  <c r="L1253" i="32"/>
  <c r="Q1607" i="32"/>
  <c r="G1603" i="32"/>
  <c r="L2215" i="32" l="1"/>
  <c r="K2217" i="32"/>
  <c r="R2213" i="32" a="1"/>
  <c r="R2213" i="32" s="1"/>
  <c r="O2213" i="32" a="1"/>
  <c r="O2213" i="32" s="1"/>
  <c r="N2213" i="32" a="1"/>
  <c r="N2213" i="32" s="1"/>
  <c r="E2213" i="32" s="1"/>
  <c r="M2213" i="32" a="1"/>
  <c r="M2213" i="32" s="1"/>
  <c r="D2213" i="32" s="1"/>
  <c r="H832" i="27"/>
  <c r="B833" i="27"/>
  <c r="M833" i="27"/>
  <c r="C833" i="27" s="1"/>
  <c r="N833" i="27"/>
  <c r="N1253" i="32" a="1"/>
  <c r="N1253" i="32" s="1"/>
  <c r="E1253" i="32" s="1"/>
  <c r="O1253" i="32" a="1"/>
  <c r="O1253" i="32" s="1"/>
  <c r="M2568" i="27" s="1"/>
  <c r="A2568" i="27" s="1"/>
  <c r="R1253" i="32" a="1"/>
  <c r="R1253" i="32" s="1"/>
  <c r="P2568" i="27" s="1"/>
  <c r="M1253" i="32" a="1"/>
  <c r="M1253" i="32" s="1"/>
  <c r="D1253" i="32" s="1"/>
  <c r="K1257" i="32"/>
  <c r="L1255" i="32"/>
  <c r="Q1609" i="32"/>
  <c r="A1607" i="32"/>
  <c r="A1609" i="32"/>
  <c r="G1605" i="32"/>
  <c r="L2217" i="32" l="1"/>
  <c r="K2219" i="32"/>
  <c r="R2217" i="32" a="1"/>
  <c r="R2217" i="32" s="1"/>
  <c r="O2217" i="32" a="1"/>
  <c r="O2217" i="32" s="1"/>
  <c r="N2217" i="32" a="1"/>
  <c r="N2217" i="32" s="1"/>
  <c r="E2217" i="32" s="1"/>
  <c r="M2217" i="32" a="1"/>
  <c r="M2217" i="32" s="1"/>
  <c r="D2217" i="32" s="1"/>
  <c r="R2215" i="32" a="1"/>
  <c r="R2215" i="32" s="1"/>
  <c r="O2215" i="32" a="1"/>
  <c r="O2215" i="32" s="1"/>
  <c r="N2215" i="32" a="1"/>
  <c r="N2215" i="32" s="1"/>
  <c r="E2215" i="32" s="1"/>
  <c r="M2215" i="32" a="1"/>
  <c r="M2215" i="32" s="1"/>
  <c r="D2215" i="32" s="1"/>
  <c r="H833" i="27"/>
  <c r="B834" i="27"/>
  <c r="M834" i="27"/>
  <c r="C834" i="27" s="1"/>
  <c r="N834" i="27"/>
  <c r="M1255" i="32" a="1"/>
  <c r="M1255" i="32" s="1"/>
  <c r="D1255" i="32" s="1"/>
  <c r="N1255" i="32" a="1"/>
  <c r="N1255" i="32" s="1"/>
  <c r="E1255" i="32" s="1"/>
  <c r="O1255" i="32" a="1"/>
  <c r="O1255" i="32" s="1"/>
  <c r="M2569" i="27" s="1"/>
  <c r="A2569" i="27" s="1"/>
  <c r="R1255" i="32" a="1"/>
  <c r="R1255" i="32" s="1"/>
  <c r="P2569" i="27" s="1"/>
  <c r="K1259" i="32"/>
  <c r="L1257" i="32"/>
  <c r="Q1611" i="32"/>
  <c r="G1607" i="32"/>
  <c r="L2219" i="32" l="1"/>
  <c r="K2221" i="32"/>
  <c r="R2219" i="32" a="1"/>
  <c r="R2219" i="32" s="1"/>
  <c r="O2219" i="32" a="1"/>
  <c r="O2219" i="32" s="1"/>
  <c r="N2219" i="32" a="1"/>
  <c r="N2219" i="32" s="1"/>
  <c r="E2219" i="32" s="1"/>
  <c r="M2219" i="32" a="1"/>
  <c r="M2219" i="32" s="1"/>
  <c r="D2219" i="32" s="1"/>
  <c r="H834" i="27"/>
  <c r="B835" i="27"/>
  <c r="N835" i="27"/>
  <c r="M835" i="27"/>
  <c r="C835" i="27" s="1"/>
  <c r="O1257" i="32" a="1"/>
  <c r="O1257" i="32" s="1"/>
  <c r="M2570" i="27" s="1"/>
  <c r="A2570" i="27" s="1"/>
  <c r="M1257" i="32" a="1"/>
  <c r="M1257" i="32" s="1"/>
  <c r="D1257" i="32" s="1"/>
  <c r="R1257" i="32" a="1"/>
  <c r="R1257" i="32" s="1"/>
  <c r="P2570" i="27" s="1"/>
  <c r="N1257" i="32" a="1"/>
  <c r="N1257" i="32" s="1"/>
  <c r="E1257" i="32" s="1"/>
  <c r="K1261" i="32"/>
  <c r="L1259" i="32"/>
  <c r="Q1613" i="32"/>
  <c r="A1611" i="32"/>
  <c r="G1609" i="32"/>
  <c r="A1613" i="32"/>
  <c r="L2221" i="32" l="1"/>
  <c r="K2223" i="32"/>
  <c r="H835" i="27"/>
  <c r="B836" i="27"/>
  <c r="M836" i="27"/>
  <c r="C836" i="27" s="1"/>
  <c r="N836" i="27"/>
  <c r="N1259" i="32" a="1"/>
  <c r="N1259" i="32" s="1"/>
  <c r="E1259" i="32" s="1"/>
  <c r="M1259" i="32" a="1"/>
  <c r="M1259" i="32" s="1"/>
  <c r="D1259" i="32" s="1"/>
  <c r="O1259" i="32" a="1"/>
  <c r="O1259" i="32" s="1"/>
  <c r="M2571" i="27" s="1"/>
  <c r="A2571" i="27" s="1"/>
  <c r="R1259" i="32" a="1"/>
  <c r="R1259" i="32" s="1"/>
  <c r="P2571" i="27" s="1"/>
  <c r="K1263" i="32"/>
  <c r="L1261" i="32"/>
  <c r="Q1615" i="32"/>
  <c r="G1611" i="32"/>
  <c r="L2223" i="32" l="1"/>
  <c r="K2225" i="32"/>
  <c r="R2221" i="32" a="1"/>
  <c r="R2221" i="32" s="1"/>
  <c r="O2221" i="32" a="1"/>
  <c r="O2221" i="32" s="1"/>
  <c r="N2221" i="32" a="1"/>
  <c r="N2221" i="32" s="1"/>
  <c r="E2221" i="32" s="1"/>
  <c r="M2221" i="32" a="1"/>
  <c r="M2221" i="32" s="1"/>
  <c r="D2221" i="32" s="1"/>
  <c r="H836" i="27"/>
  <c r="B837" i="27"/>
  <c r="N837" i="27"/>
  <c r="M837" i="27"/>
  <c r="C837" i="27" s="1"/>
  <c r="N1261" i="32" a="1"/>
  <c r="N1261" i="32" s="1"/>
  <c r="E1261" i="32" s="1"/>
  <c r="O1261" i="32" a="1"/>
  <c r="O1261" i="32" s="1"/>
  <c r="M2572" i="27" s="1"/>
  <c r="A2572" i="27" s="1"/>
  <c r="M1261" i="32" a="1"/>
  <c r="M1261" i="32" s="1"/>
  <c r="D1261" i="32" s="1"/>
  <c r="R1261" i="32" a="1"/>
  <c r="R1261" i="32" s="1"/>
  <c r="P2572" i="27" s="1"/>
  <c r="K1265" i="32"/>
  <c r="L1263" i="32"/>
  <c r="Q1617" i="32"/>
  <c r="A1615" i="32"/>
  <c r="G1613" i="32"/>
  <c r="A1617" i="32"/>
  <c r="L2225" i="32" l="1"/>
  <c r="K2227" i="32"/>
  <c r="R2223" i="32" a="1"/>
  <c r="R2223" i="32" s="1"/>
  <c r="O2223" i="32" a="1"/>
  <c r="O2223" i="32" s="1"/>
  <c r="N2223" i="32" a="1"/>
  <c r="N2223" i="32" s="1"/>
  <c r="E2223" i="32" s="1"/>
  <c r="M2223" i="32" a="1"/>
  <c r="M2223" i="32" s="1"/>
  <c r="D2223" i="32" s="1"/>
  <c r="H837" i="27"/>
  <c r="B838" i="27"/>
  <c r="M838" i="27"/>
  <c r="C838" i="27" s="1"/>
  <c r="N838" i="27"/>
  <c r="R1263" i="32" a="1"/>
  <c r="R1263" i="32" s="1"/>
  <c r="P2573" i="27" s="1"/>
  <c r="N1263" i="32" a="1"/>
  <c r="N1263" i="32" s="1"/>
  <c r="E1263" i="32" s="1"/>
  <c r="M1263" i="32" a="1"/>
  <c r="M1263" i="32" s="1"/>
  <c r="D1263" i="32" s="1"/>
  <c r="O1263" i="32" a="1"/>
  <c r="O1263" i="32" s="1"/>
  <c r="M2573" i="27" s="1"/>
  <c r="A2573" i="27" s="1"/>
  <c r="K1267" i="32"/>
  <c r="L1265" i="32"/>
  <c r="Q1619" i="32"/>
  <c r="G1615" i="32"/>
  <c r="L2227" i="32" l="1"/>
  <c r="K2229" i="32"/>
  <c r="R2225" i="32" a="1"/>
  <c r="R2225" i="32" s="1"/>
  <c r="O2225" i="32" a="1"/>
  <c r="O2225" i="32" s="1"/>
  <c r="N2225" i="32" a="1"/>
  <c r="N2225" i="32" s="1"/>
  <c r="E2225" i="32" s="1"/>
  <c r="M2225" i="32" a="1"/>
  <c r="M2225" i="32" s="1"/>
  <c r="D2225" i="32" s="1"/>
  <c r="B839" i="27"/>
  <c r="H838" i="27"/>
  <c r="M839" i="27"/>
  <c r="C839" i="27" s="1"/>
  <c r="N839" i="27"/>
  <c r="M1265" i="32" a="1"/>
  <c r="M1265" i="32" s="1"/>
  <c r="D1265" i="32" s="1"/>
  <c r="N1265" i="32" a="1"/>
  <c r="N1265" i="32" s="1"/>
  <c r="E1265" i="32" s="1"/>
  <c r="O1265" i="32" a="1"/>
  <c r="O1265" i="32" s="1"/>
  <c r="M2574" i="27" s="1"/>
  <c r="A2574" i="27" s="1"/>
  <c r="R1265" i="32" a="1"/>
  <c r="R1265" i="32" s="1"/>
  <c r="P2574" i="27" s="1"/>
  <c r="K1269" i="32"/>
  <c r="L1267" i="32"/>
  <c r="Q1621" i="32"/>
  <c r="A1619" i="32"/>
  <c r="A1621" i="32"/>
  <c r="G1617" i="32"/>
  <c r="L2229" i="32" l="1"/>
  <c r="K2231" i="32"/>
  <c r="R2227" i="32" a="1"/>
  <c r="R2227" i="32" s="1"/>
  <c r="O2227" i="32" a="1"/>
  <c r="O2227" i="32" s="1"/>
  <c r="N2227" i="32" a="1"/>
  <c r="N2227" i="32" s="1"/>
  <c r="E2227" i="32" s="1"/>
  <c r="M2227" i="32" a="1"/>
  <c r="M2227" i="32" s="1"/>
  <c r="D2227" i="32" s="1"/>
  <c r="H839" i="27"/>
  <c r="B840" i="27"/>
  <c r="M840" i="27"/>
  <c r="C840" i="27" s="1"/>
  <c r="N840" i="27"/>
  <c r="O1267" i="32" a="1"/>
  <c r="O1267" i="32" s="1"/>
  <c r="M2575" i="27" s="1"/>
  <c r="A2575" i="27" s="1"/>
  <c r="R1267" i="32" a="1"/>
  <c r="R1267" i="32" s="1"/>
  <c r="P2575" i="27" s="1"/>
  <c r="M1267" i="32" a="1"/>
  <c r="M1267" i="32" s="1"/>
  <c r="D1267" i="32" s="1"/>
  <c r="N1267" i="32" a="1"/>
  <c r="N1267" i="32" s="1"/>
  <c r="E1267" i="32" s="1"/>
  <c r="K1271" i="32"/>
  <c r="L1269" i="32"/>
  <c r="Q1623" i="32"/>
  <c r="G1619" i="32"/>
  <c r="L2231" i="32" l="1"/>
  <c r="K2233" i="32"/>
  <c r="R2229" i="32" a="1"/>
  <c r="R2229" i="32" s="1"/>
  <c r="O2229" i="32" a="1"/>
  <c r="O2229" i="32" s="1"/>
  <c r="N2229" i="32" a="1"/>
  <c r="N2229" i="32" s="1"/>
  <c r="E2229" i="32" s="1"/>
  <c r="M2229" i="32" a="1"/>
  <c r="M2229" i="32" s="1"/>
  <c r="D2229" i="32" s="1"/>
  <c r="H840" i="27"/>
  <c r="B841" i="27"/>
  <c r="M841" i="27"/>
  <c r="C841" i="27" s="1"/>
  <c r="N841" i="27"/>
  <c r="O1269" i="32" a="1"/>
  <c r="O1269" i="32" s="1"/>
  <c r="M2576" i="27" s="1"/>
  <c r="A2576" i="27" s="1"/>
  <c r="R1269" i="32" a="1"/>
  <c r="R1269" i="32" s="1"/>
  <c r="P2576" i="27" s="1"/>
  <c r="N1269" i="32" a="1"/>
  <c r="N1269" i="32" s="1"/>
  <c r="E1269" i="32" s="1"/>
  <c r="M1269" i="32" a="1"/>
  <c r="M1269" i="32" s="1"/>
  <c r="D1269" i="32" s="1"/>
  <c r="K1273" i="32"/>
  <c r="L1271" i="32"/>
  <c r="Q1625" i="32"/>
  <c r="G1621" i="32"/>
  <c r="A1623" i="32"/>
  <c r="A1625" i="32"/>
  <c r="L2233" i="32" l="1"/>
  <c r="K2235" i="32"/>
  <c r="R2231" i="32" a="1"/>
  <c r="R2231" i="32" s="1"/>
  <c r="O2231" i="32" a="1"/>
  <c r="O2231" i="32" s="1"/>
  <c r="N2231" i="32" a="1"/>
  <c r="N2231" i="32" s="1"/>
  <c r="E2231" i="32" s="1"/>
  <c r="M2231" i="32" a="1"/>
  <c r="M2231" i="32" s="1"/>
  <c r="D2231" i="32" s="1"/>
  <c r="H841" i="27"/>
  <c r="B842" i="27"/>
  <c r="M842" i="27"/>
  <c r="C842" i="27" s="1"/>
  <c r="N842" i="27"/>
  <c r="O1271" i="32" a="1"/>
  <c r="O1271" i="32" s="1"/>
  <c r="M2577" i="27" s="1"/>
  <c r="A2577" i="27" s="1"/>
  <c r="M1271" i="32" a="1"/>
  <c r="M1271" i="32" s="1"/>
  <c r="D1271" i="32" s="1"/>
  <c r="N1271" i="32" a="1"/>
  <c r="N1271" i="32" s="1"/>
  <c r="E1271" i="32" s="1"/>
  <c r="R1271" i="32" a="1"/>
  <c r="R1271" i="32" s="1"/>
  <c r="P2577" i="27" s="1"/>
  <c r="K1275" i="32"/>
  <c r="L1273" i="32"/>
  <c r="Q1627" i="32"/>
  <c r="G1623" i="32"/>
  <c r="L2235" i="32" l="1"/>
  <c r="K2237" i="32"/>
  <c r="R2233" i="32" a="1"/>
  <c r="R2233" i="32" s="1"/>
  <c r="O2233" i="32" a="1"/>
  <c r="O2233" i="32" s="1"/>
  <c r="N2233" i="32" a="1"/>
  <c r="N2233" i="32" s="1"/>
  <c r="E2233" i="32" s="1"/>
  <c r="M2233" i="32" a="1"/>
  <c r="M2233" i="32" s="1"/>
  <c r="D2233" i="32" s="1"/>
  <c r="H842" i="27"/>
  <c r="B843" i="27"/>
  <c r="N843" i="27"/>
  <c r="M843" i="27"/>
  <c r="C843" i="27" s="1"/>
  <c r="R1273" i="32" a="1"/>
  <c r="R1273" i="32" s="1"/>
  <c r="P2578" i="27" s="1"/>
  <c r="O1273" i="32" a="1"/>
  <c r="O1273" i="32" s="1"/>
  <c r="M2578" i="27" s="1"/>
  <c r="A2578" i="27" s="1"/>
  <c r="N1273" i="32" a="1"/>
  <c r="N1273" i="32" s="1"/>
  <c r="E1273" i="32" s="1"/>
  <c r="M1273" i="32" a="1"/>
  <c r="M1273" i="32" s="1"/>
  <c r="D1273" i="32" s="1"/>
  <c r="K1277" i="32"/>
  <c r="L1275" i="32"/>
  <c r="Q1629" i="32"/>
  <c r="A1629" i="32"/>
  <c r="A1627" i="32"/>
  <c r="G1625" i="32"/>
  <c r="L2237" i="32" l="1"/>
  <c r="K2239" i="32"/>
  <c r="R2235" i="32" a="1"/>
  <c r="R2235" i="32" s="1"/>
  <c r="O2235" i="32" a="1"/>
  <c r="O2235" i="32" s="1"/>
  <c r="N2235" i="32" a="1"/>
  <c r="N2235" i="32" s="1"/>
  <c r="E2235" i="32" s="1"/>
  <c r="M2235" i="32" a="1"/>
  <c r="M2235" i="32" s="1"/>
  <c r="D2235" i="32" s="1"/>
  <c r="H843" i="27"/>
  <c r="B844" i="27"/>
  <c r="N844" i="27"/>
  <c r="M844" i="27"/>
  <c r="C844" i="27" s="1"/>
  <c r="O1275" i="32" a="1"/>
  <c r="O1275" i="32" s="1"/>
  <c r="M2579" i="27" s="1"/>
  <c r="A2579" i="27" s="1"/>
  <c r="N1275" i="32" a="1"/>
  <c r="N1275" i="32" s="1"/>
  <c r="E1275" i="32" s="1"/>
  <c r="R1275" i="32" a="1"/>
  <c r="R1275" i="32" s="1"/>
  <c r="P2579" i="27" s="1"/>
  <c r="M1275" i="32" a="1"/>
  <c r="M1275" i="32" s="1"/>
  <c r="D1275" i="32" s="1"/>
  <c r="K1279" i="32"/>
  <c r="L1277" i="32"/>
  <c r="Q1631" i="32"/>
  <c r="G1627" i="32"/>
  <c r="L2239" i="32" l="1"/>
  <c r="K2241" i="32"/>
  <c r="R2237" i="32" a="1"/>
  <c r="R2237" i="32" s="1"/>
  <c r="O2237" i="32" a="1"/>
  <c r="O2237" i="32" s="1"/>
  <c r="N2237" i="32" a="1"/>
  <c r="N2237" i="32" s="1"/>
  <c r="E2237" i="32" s="1"/>
  <c r="M2237" i="32" a="1"/>
  <c r="M2237" i="32" s="1"/>
  <c r="D2237" i="32" s="1"/>
  <c r="H844" i="27"/>
  <c r="B845" i="27"/>
  <c r="N845" i="27"/>
  <c r="M845" i="27"/>
  <c r="C845" i="27" s="1"/>
  <c r="N1277" i="32" a="1"/>
  <c r="N1277" i="32" s="1"/>
  <c r="E1277" i="32" s="1"/>
  <c r="R1277" i="32" a="1"/>
  <c r="R1277" i="32" s="1"/>
  <c r="P2580" i="27" s="1"/>
  <c r="M1277" i="32" a="1"/>
  <c r="M1277" i="32" s="1"/>
  <c r="D1277" i="32" s="1"/>
  <c r="O1277" i="32" a="1"/>
  <c r="O1277" i="32" s="1"/>
  <c r="M2580" i="27" s="1"/>
  <c r="A2580" i="27" s="1"/>
  <c r="K1281" i="32"/>
  <c r="L1279" i="32"/>
  <c r="Q1633" i="32"/>
  <c r="A1633" i="32"/>
  <c r="A1631" i="32"/>
  <c r="G1629" i="32"/>
  <c r="L2241" i="32" l="1"/>
  <c r="K2243" i="32"/>
  <c r="R2239" i="32" a="1"/>
  <c r="R2239" i="32" s="1"/>
  <c r="O2239" i="32" a="1"/>
  <c r="O2239" i="32" s="1"/>
  <c r="N2239" i="32" a="1"/>
  <c r="N2239" i="32" s="1"/>
  <c r="E2239" i="32" s="1"/>
  <c r="M2239" i="32" a="1"/>
  <c r="M2239" i="32" s="1"/>
  <c r="D2239" i="32" s="1"/>
  <c r="H845" i="27"/>
  <c r="B846" i="27"/>
  <c r="M846" i="27"/>
  <c r="C846" i="27" s="1"/>
  <c r="N846" i="27"/>
  <c r="M1279" i="32" a="1"/>
  <c r="M1279" i="32" s="1"/>
  <c r="D1279" i="32" s="1"/>
  <c r="R1279" i="32" a="1"/>
  <c r="R1279" i="32" s="1"/>
  <c r="P2581" i="27" s="1"/>
  <c r="N1279" i="32" a="1"/>
  <c r="N1279" i="32" s="1"/>
  <c r="E1279" i="32" s="1"/>
  <c r="O1279" i="32" a="1"/>
  <c r="O1279" i="32" s="1"/>
  <c r="M2581" i="27" s="1"/>
  <c r="A2581" i="27" s="1"/>
  <c r="K1283" i="32"/>
  <c r="L1281" i="32"/>
  <c r="Q1635" i="32"/>
  <c r="G1631" i="32"/>
  <c r="L2243" i="32" l="1"/>
  <c r="K2245" i="32"/>
  <c r="R2241" i="32" a="1"/>
  <c r="R2241" i="32" s="1"/>
  <c r="O2241" i="32" a="1"/>
  <c r="O2241" i="32" s="1"/>
  <c r="N2241" i="32" a="1"/>
  <c r="N2241" i="32" s="1"/>
  <c r="E2241" i="32" s="1"/>
  <c r="M2241" i="32" a="1"/>
  <c r="M2241" i="32" s="1"/>
  <c r="D2241" i="32" s="1"/>
  <c r="H846" i="27"/>
  <c r="B847" i="27"/>
  <c r="N847" i="27"/>
  <c r="M847" i="27"/>
  <c r="C847" i="27" s="1"/>
  <c r="M1281" i="32" a="1"/>
  <c r="M1281" i="32" s="1"/>
  <c r="D1281" i="32" s="1"/>
  <c r="R1281" i="32" a="1"/>
  <c r="R1281" i="32" s="1"/>
  <c r="P2582" i="27" s="1"/>
  <c r="O1281" i="32" a="1"/>
  <c r="O1281" i="32" s="1"/>
  <c r="M2582" i="27" s="1"/>
  <c r="A2582" i="27" s="1"/>
  <c r="N1281" i="32" a="1"/>
  <c r="N1281" i="32" s="1"/>
  <c r="E1281" i="32" s="1"/>
  <c r="K1285" i="32"/>
  <c r="L1283" i="32"/>
  <c r="Q1637" i="32"/>
  <c r="A1637" i="32"/>
  <c r="G1633" i="32"/>
  <c r="A1635" i="32"/>
  <c r="L2245" i="32" l="1"/>
  <c r="K2247" i="32"/>
  <c r="R2243" i="32" a="1"/>
  <c r="R2243" i="32" s="1"/>
  <c r="O2243" i="32" a="1"/>
  <c r="O2243" i="32" s="1"/>
  <c r="N2243" i="32" a="1"/>
  <c r="N2243" i="32" s="1"/>
  <c r="E2243" i="32" s="1"/>
  <c r="M2243" i="32" a="1"/>
  <c r="M2243" i="32" s="1"/>
  <c r="D2243" i="32" s="1"/>
  <c r="H847" i="27"/>
  <c r="B848" i="27"/>
  <c r="M848" i="27"/>
  <c r="C848" i="27" s="1"/>
  <c r="N848" i="27"/>
  <c r="M1283" i="32" a="1"/>
  <c r="M1283" i="32" s="1"/>
  <c r="D1283" i="32" s="1"/>
  <c r="O1283" i="32" a="1"/>
  <c r="O1283" i="32" s="1"/>
  <c r="M2583" i="27" s="1"/>
  <c r="A2583" i="27" s="1"/>
  <c r="N1283" i="32" a="1"/>
  <c r="N1283" i="32" s="1"/>
  <c r="E1283" i="32" s="1"/>
  <c r="R1283" i="32" a="1"/>
  <c r="R1283" i="32" s="1"/>
  <c r="P2583" i="27" s="1"/>
  <c r="K1287" i="32"/>
  <c r="L1285" i="32"/>
  <c r="Q1639" i="32"/>
  <c r="G1635" i="32"/>
  <c r="L2247" i="32" l="1"/>
  <c r="K2249" i="32"/>
  <c r="R2245" i="32" a="1"/>
  <c r="R2245" i="32" s="1"/>
  <c r="O2245" i="32" a="1"/>
  <c r="O2245" i="32" s="1"/>
  <c r="N2245" i="32" a="1"/>
  <c r="N2245" i="32" s="1"/>
  <c r="E2245" i="32" s="1"/>
  <c r="M2245" i="32" a="1"/>
  <c r="M2245" i="32" s="1"/>
  <c r="D2245" i="32" s="1"/>
  <c r="H848" i="27"/>
  <c r="B849" i="27"/>
  <c r="M849" i="27"/>
  <c r="C849" i="27" s="1"/>
  <c r="N849" i="27"/>
  <c r="N1285" i="32" a="1"/>
  <c r="N1285" i="32" s="1"/>
  <c r="E1285" i="32" s="1"/>
  <c r="R1285" i="32" a="1"/>
  <c r="R1285" i="32" s="1"/>
  <c r="P2584" i="27" s="1"/>
  <c r="M1285" i="32" a="1"/>
  <c r="M1285" i="32" s="1"/>
  <c r="D1285" i="32" s="1"/>
  <c r="O1285" i="32" a="1"/>
  <c r="O1285" i="32" s="1"/>
  <c r="M2584" i="27" s="1"/>
  <c r="A2584" i="27" s="1"/>
  <c r="K1289" i="32"/>
  <c r="L1287" i="32"/>
  <c r="Q1641" i="32"/>
  <c r="A1641" i="32"/>
  <c r="A1639" i="32"/>
  <c r="G1637" i="32"/>
  <c r="L2249" i="32" l="1"/>
  <c r="K2251" i="32"/>
  <c r="R2247" i="32" a="1"/>
  <c r="R2247" i="32" s="1"/>
  <c r="O2247" i="32" a="1"/>
  <c r="O2247" i="32" s="1"/>
  <c r="N2247" i="32" a="1"/>
  <c r="N2247" i="32" s="1"/>
  <c r="E2247" i="32" s="1"/>
  <c r="M2247" i="32" a="1"/>
  <c r="M2247" i="32" s="1"/>
  <c r="D2247" i="32" s="1"/>
  <c r="H849" i="27"/>
  <c r="B850" i="27"/>
  <c r="N850" i="27"/>
  <c r="M850" i="27"/>
  <c r="C850" i="27" s="1"/>
  <c r="M1287" i="32" a="1"/>
  <c r="M1287" i="32" s="1"/>
  <c r="D1287" i="32" s="1"/>
  <c r="N1287" i="32" a="1"/>
  <c r="N1287" i="32" s="1"/>
  <c r="E1287" i="32" s="1"/>
  <c r="O1287" i="32" a="1"/>
  <c r="O1287" i="32" s="1"/>
  <c r="M2585" i="27" s="1"/>
  <c r="A2585" i="27" s="1"/>
  <c r="R1287" i="32" a="1"/>
  <c r="R1287" i="32" s="1"/>
  <c r="P2585" i="27" s="1"/>
  <c r="K1291" i="32"/>
  <c r="L1289" i="32"/>
  <c r="Q1643" i="32"/>
  <c r="G1639" i="32"/>
  <c r="L2251" i="32" l="1"/>
  <c r="K2253" i="32"/>
  <c r="R2249" i="32" a="1"/>
  <c r="R2249" i="32" s="1"/>
  <c r="O2249" i="32" a="1"/>
  <c r="O2249" i="32" s="1"/>
  <c r="N2249" i="32" a="1"/>
  <c r="N2249" i="32" s="1"/>
  <c r="E2249" i="32" s="1"/>
  <c r="M2249" i="32" a="1"/>
  <c r="M2249" i="32" s="1"/>
  <c r="D2249" i="32" s="1"/>
  <c r="H850" i="27"/>
  <c r="B851" i="27"/>
  <c r="M851" i="27"/>
  <c r="C851" i="27" s="1"/>
  <c r="N851" i="27"/>
  <c r="O1289" i="32" a="1"/>
  <c r="O1289" i="32" s="1"/>
  <c r="M2586" i="27" s="1"/>
  <c r="A2586" i="27" s="1"/>
  <c r="R1289" i="32" a="1"/>
  <c r="R1289" i="32" s="1"/>
  <c r="P2586" i="27" s="1"/>
  <c r="M1289" i="32" a="1"/>
  <c r="M1289" i="32" s="1"/>
  <c r="D1289" i="32" s="1"/>
  <c r="N1289" i="32" a="1"/>
  <c r="N1289" i="32" s="1"/>
  <c r="E1289" i="32" s="1"/>
  <c r="K1293" i="32"/>
  <c r="L1291" i="32"/>
  <c r="Q1645" i="32"/>
  <c r="A1645" i="32"/>
  <c r="G1641" i="32"/>
  <c r="A1643" i="32"/>
  <c r="L2253" i="32" l="1"/>
  <c r="K2255" i="32"/>
  <c r="R2251" i="32" a="1"/>
  <c r="R2251" i="32" s="1"/>
  <c r="O2251" i="32" a="1"/>
  <c r="O2251" i="32" s="1"/>
  <c r="N2251" i="32" a="1"/>
  <c r="N2251" i="32" s="1"/>
  <c r="E2251" i="32" s="1"/>
  <c r="M2251" i="32" a="1"/>
  <c r="M2251" i="32" s="1"/>
  <c r="D2251" i="32" s="1"/>
  <c r="H851" i="27"/>
  <c r="B852" i="27"/>
  <c r="M852" i="27"/>
  <c r="C852" i="27" s="1"/>
  <c r="N852" i="27"/>
  <c r="M1291" i="32" a="1"/>
  <c r="M1291" i="32" s="1"/>
  <c r="D1291" i="32" s="1"/>
  <c r="O1291" i="32" a="1"/>
  <c r="O1291" i="32" s="1"/>
  <c r="M2587" i="27" s="1"/>
  <c r="A2587" i="27" s="1"/>
  <c r="N1291" i="32" a="1"/>
  <c r="N1291" i="32" s="1"/>
  <c r="E1291" i="32" s="1"/>
  <c r="R1291" i="32" a="1"/>
  <c r="R1291" i="32" s="1"/>
  <c r="P2587" i="27" s="1"/>
  <c r="K1295" i="32"/>
  <c r="L1293" i="32"/>
  <c r="Q1647" i="32"/>
  <c r="G1643" i="32"/>
  <c r="L2255" i="32" l="1"/>
  <c r="K2257" i="32"/>
  <c r="R2253" i="32" a="1"/>
  <c r="R2253" i="32" s="1"/>
  <c r="O2253" i="32" a="1"/>
  <c r="O2253" i="32" s="1"/>
  <c r="N2253" i="32" a="1"/>
  <c r="N2253" i="32" s="1"/>
  <c r="E2253" i="32" s="1"/>
  <c r="M2253" i="32" a="1"/>
  <c r="M2253" i="32" s="1"/>
  <c r="D2253" i="32" s="1"/>
  <c r="H852" i="27"/>
  <c r="B853" i="27"/>
  <c r="N853" i="27"/>
  <c r="M853" i="27"/>
  <c r="C853" i="27" s="1"/>
  <c r="R1293" i="32" a="1"/>
  <c r="R1293" i="32" s="1"/>
  <c r="P2588" i="27" s="1"/>
  <c r="M1293" i="32" a="1"/>
  <c r="M1293" i="32" s="1"/>
  <c r="D1293" i="32" s="1"/>
  <c r="O1293" i="32" a="1"/>
  <c r="O1293" i="32" s="1"/>
  <c r="M2588" i="27" s="1"/>
  <c r="A2588" i="27" s="1"/>
  <c r="N1293" i="32" a="1"/>
  <c r="N1293" i="32" s="1"/>
  <c r="E1293" i="32" s="1"/>
  <c r="K1297" i="32"/>
  <c r="L1295" i="32"/>
  <c r="Q1649" i="32"/>
  <c r="A1647" i="32"/>
  <c r="A1649" i="32"/>
  <c r="G1645" i="32"/>
  <c r="L2257" i="32" l="1"/>
  <c r="K2259" i="32"/>
  <c r="R2257" i="32" a="1"/>
  <c r="R2257" i="32" s="1"/>
  <c r="O2257" i="32" a="1"/>
  <c r="O2257" i="32" s="1"/>
  <c r="N2257" i="32" a="1"/>
  <c r="N2257" i="32" s="1"/>
  <c r="E2257" i="32" s="1"/>
  <c r="M2257" i="32" a="1"/>
  <c r="M2257" i="32" s="1"/>
  <c r="D2257" i="32" s="1"/>
  <c r="R2255" i="32" a="1"/>
  <c r="R2255" i="32" s="1"/>
  <c r="O2255" i="32" a="1"/>
  <c r="O2255" i="32" s="1"/>
  <c r="N2255" i="32" a="1"/>
  <c r="N2255" i="32" s="1"/>
  <c r="E2255" i="32" s="1"/>
  <c r="M2255" i="32" a="1"/>
  <c r="M2255" i="32" s="1"/>
  <c r="D2255" i="32" s="1"/>
  <c r="H853" i="27"/>
  <c r="B854" i="27"/>
  <c r="M854" i="27"/>
  <c r="C854" i="27" s="1"/>
  <c r="N854" i="27"/>
  <c r="K1299" i="32"/>
  <c r="L1297" i="32"/>
  <c r="R1295" i="32" a="1"/>
  <c r="R1295" i="32" s="1"/>
  <c r="P2589" i="27" s="1"/>
  <c r="O1295" i="32" a="1"/>
  <c r="O1295" i="32" s="1"/>
  <c r="M2589" i="27" s="1"/>
  <c r="A2589" i="27" s="1"/>
  <c r="M1295" i="32" a="1"/>
  <c r="M1295" i="32" s="1"/>
  <c r="D1295" i="32" s="1"/>
  <c r="N1295" i="32" a="1"/>
  <c r="N1295" i="32" s="1"/>
  <c r="E1295" i="32" s="1"/>
  <c r="Q1651" i="32"/>
  <c r="G1647" i="32"/>
  <c r="K2261" i="32" l="1"/>
  <c r="L2259" i="32"/>
  <c r="H854" i="27"/>
  <c r="B855" i="27"/>
  <c r="N855" i="27"/>
  <c r="M855" i="27"/>
  <c r="C855" i="27" s="1"/>
  <c r="M1297" i="32" a="1"/>
  <c r="M1297" i="32" s="1"/>
  <c r="D1297" i="32" s="1"/>
  <c r="N1297" i="32" a="1"/>
  <c r="N1297" i="32" s="1"/>
  <c r="E1297" i="32" s="1"/>
  <c r="R1297" i="32" a="1"/>
  <c r="R1297" i="32" s="1"/>
  <c r="P2590" i="27" s="1"/>
  <c r="O1297" i="32" a="1"/>
  <c r="O1297" i="32" s="1"/>
  <c r="M2590" i="27" s="1"/>
  <c r="A2590" i="27" s="1"/>
  <c r="K1301" i="32"/>
  <c r="L1299" i="32"/>
  <c r="Q1653" i="32"/>
  <c r="A1653" i="32"/>
  <c r="A1651" i="32"/>
  <c r="G1649" i="32"/>
  <c r="K2263" i="32" l="1"/>
  <c r="L2261" i="32"/>
  <c r="R2259" i="32" a="1"/>
  <c r="R2259" i="32" s="1"/>
  <c r="O2259" i="32" a="1"/>
  <c r="O2259" i="32" s="1"/>
  <c r="N2259" i="32" a="1"/>
  <c r="N2259" i="32" s="1"/>
  <c r="E2259" i="32" s="1"/>
  <c r="M2259" i="32" a="1"/>
  <c r="M2259" i="32" s="1"/>
  <c r="D2259" i="32" s="1"/>
  <c r="H855" i="27"/>
  <c r="B856" i="27"/>
  <c r="M856" i="27"/>
  <c r="C856" i="27" s="1"/>
  <c r="N856" i="27"/>
  <c r="N1299" i="32" a="1"/>
  <c r="N1299" i="32" s="1"/>
  <c r="E1299" i="32" s="1"/>
  <c r="M1299" i="32" a="1"/>
  <c r="M1299" i="32" s="1"/>
  <c r="D1299" i="32" s="1"/>
  <c r="R1299" i="32" a="1"/>
  <c r="R1299" i="32" s="1"/>
  <c r="P2591" i="27" s="1"/>
  <c r="O1299" i="32" a="1"/>
  <c r="O1299" i="32" s="1"/>
  <c r="M2591" i="27" s="1"/>
  <c r="A2591" i="27" s="1"/>
  <c r="K1303" i="32"/>
  <c r="L1301" i="32"/>
  <c r="Q1655" i="32"/>
  <c r="G1651" i="32"/>
  <c r="K2265" i="32" l="1"/>
  <c r="L2263" i="32"/>
  <c r="R2261" i="32" a="1"/>
  <c r="R2261" i="32" s="1"/>
  <c r="O2261" i="32" a="1"/>
  <c r="O2261" i="32" s="1"/>
  <c r="N2261" i="32" a="1"/>
  <c r="N2261" i="32" s="1"/>
  <c r="E2261" i="32" s="1"/>
  <c r="M2261" i="32" a="1"/>
  <c r="M2261" i="32" s="1"/>
  <c r="D2261" i="32" s="1"/>
  <c r="H856" i="27"/>
  <c r="B857" i="27"/>
  <c r="M857" i="27"/>
  <c r="C857" i="27" s="1"/>
  <c r="N857" i="27"/>
  <c r="N1301" i="32" a="1"/>
  <c r="N1301" i="32" s="1"/>
  <c r="E1301" i="32" s="1"/>
  <c r="O1301" i="32" a="1"/>
  <c r="O1301" i="32" s="1"/>
  <c r="M2592" i="27" s="1"/>
  <c r="A2592" i="27" s="1"/>
  <c r="R1301" i="32" a="1"/>
  <c r="R1301" i="32" s="1"/>
  <c r="P2592" i="27" s="1"/>
  <c r="M1301" i="32" a="1"/>
  <c r="M1301" i="32" s="1"/>
  <c r="D1301" i="32" s="1"/>
  <c r="K1305" i="32"/>
  <c r="L1303" i="32"/>
  <c r="Q1657" i="32"/>
  <c r="A1655" i="32"/>
  <c r="G1653" i="32"/>
  <c r="A1657" i="32"/>
  <c r="R2263" i="32" l="1" a="1"/>
  <c r="R2263" i="32" s="1"/>
  <c r="O2263" i="32" a="1"/>
  <c r="O2263" i="32" s="1"/>
  <c r="N2263" i="32" a="1"/>
  <c r="N2263" i="32" s="1"/>
  <c r="E2263" i="32" s="1"/>
  <c r="M2263" i="32" a="1"/>
  <c r="M2263" i="32" s="1"/>
  <c r="D2263" i="32" s="1"/>
  <c r="K2267" i="32"/>
  <c r="L2265" i="32"/>
  <c r="H857" i="27"/>
  <c r="B858" i="27"/>
  <c r="N858" i="27"/>
  <c r="M858" i="27"/>
  <c r="C858" i="27" s="1"/>
  <c r="M1303" i="32" a="1"/>
  <c r="M1303" i="32" s="1"/>
  <c r="D1303" i="32" s="1"/>
  <c r="O1303" i="32" a="1"/>
  <c r="O1303" i="32" s="1"/>
  <c r="M2593" i="27" s="1"/>
  <c r="A2593" i="27" s="1"/>
  <c r="N1303" i="32" a="1"/>
  <c r="N1303" i="32" s="1"/>
  <c r="E1303" i="32" s="1"/>
  <c r="R1303" i="32" a="1"/>
  <c r="R1303" i="32" s="1"/>
  <c r="P2593" i="27" s="1"/>
  <c r="K1307" i="32"/>
  <c r="L1305" i="32"/>
  <c r="Q1659" i="32"/>
  <c r="G1655" i="32"/>
  <c r="R2265" i="32" l="1" a="1"/>
  <c r="R2265" i="32" s="1"/>
  <c r="O2265" i="32" a="1"/>
  <c r="O2265" i="32" s="1"/>
  <c r="N2265" i="32" a="1"/>
  <c r="N2265" i="32" s="1"/>
  <c r="E2265" i="32" s="1"/>
  <c r="M2265" i="32" a="1"/>
  <c r="M2265" i="32" s="1"/>
  <c r="D2265" i="32" s="1"/>
  <c r="K2269" i="32"/>
  <c r="L2267" i="32"/>
  <c r="H858" i="27"/>
  <c r="B859" i="27"/>
  <c r="M859" i="27"/>
  <c r="C859" i="27" s="1"/>
  <c r="N859" i="27"/>
  <c r="O1305" i="32" a="1"/>
  <c r="O1305" i="32" s="1"/>
  <c r="M2594" i="27" s="1"/>
  <c r="A2594" i="27" s="1"/>
  <c r="M1305" i="32" a="1"/>
  <c r="M1305" i="32" s="1"/>
  <c r="D1305" i="32" s="1"/>
  <c r="N1305" i="32" a="1"/>
  <c r="N1305" i="32" s="1"/>
  <c r="E1305" i="32" s="1"/>
  <c r="R1305" i="32" a="1"/>
  <c r="R1305" i="32" s="1"/>
  <c r="P2594" i="27" s="1"/>
  <c r="K1309" i="32"/>
  <c r="L1307" i="32"/>
  <c r="Q1661" i="32"/>
  <c r="G1657" i="32"/>
  <c r="A1661" i="32"/>
  <c r="A1659" i="32"/>
  <c r="R2267" i="32" l="1" a="1"/>
  <c r="R2267" i="32" s="1"/>
  <c r="O2267" i="32" a="1"/>
  <c r="O2267" i="32" s="1"/>
  <c r="N2267" i="32" a="1"/>
  <c r="N2267" i="32" s="1"/>
  <c r="E2267" i="32" s="1"/>
  <c r="M2267" i="32" a="1"/>
  <c r="M2267" i="32" s="1"/>
  <c r="D2267" i="32" s="1"/>
  <c r="K2271" i="32"/>
  <c r="L2269" i="32"/>
  <c r="H859" i="27"/>
  <c r="B860" i="27"/>
  <c r="M860" i="27"/>
  <c r="C860" i="27" s="1"/>
  <c r="N860" i="27"/>
  <c r="M1307" i="32" a="1"/>
  <c r="M1307" i="32" s="1"/>
  <c r="D1307" i="32" s="1"/>
  <c r="R1307" i="32" a="1"/>
  <c r="R1307" i="32" s="1"/>
  <c r="P2595" i="27" s="1"/>
  <c r="N1307" i="32" a="1"/>
  <c r="N1307" i="32" s="1"/>
  <c r="E1307" i="32" s="1"/>
  <c r="O1307" i="32" a="1"/>
  <c r="O1307" i="32" s="1"/>
  <c r="M2595" i="27" s="1"/>
  <c r="A2595" i="27" s="1"/>
  <c r="K1311" i="32"/>
  <c r="L1309" i="32"/>
  <c r="Q1663" i="32"/>
  <c r="G1659" i="32"/>
  <c r="R2269" i="32" l="1" a="1"/>
  <c r="R2269" i="32" s="1"/>
  <c r="O2269" i="32" a="1"/>
  <c r="O2269" i="32" s="1"/>
  <c r="N2269" i="32" a="1"/>
  <c r="N2269" i="32" s="1"/>
  <c r="E2269" i="32" s="1"/>
  <c r="M2269" i="32" a="1"/>
  <c r="M2269" i="32" s="1"/>
  <c r="D2269" i="32" s="1"/>
  <c r="K2273" i="32"/>
  <c r="L2271" i="32"/>
  <c r="H860" i="27"/>
  <c r="B861" i="27"/>
  <c r="M861" i="27"/>
  <c r="C861" i="27" s="1"/>
  <c r="N861" i="27"/>
  <c r="N1309" i="32" a="1"/>
  <c r="N1309" i="32" s="1"/>
  <c r="E1309" i="32" s="1"/>
  <c r="O1309" i="32" a="1"/>
  <c r="O1309" i="32" s="1"/>
  <c r="M2596" i="27" s="1"/>
  <c r="A2596" i="27" s="1"/>
  <c r="R1309" i="32" a="1"/>
  <c r="R1309" i="32" s="1"/>
  <c r="P2596" i="27" s="1"/>
  <c r="M1309" i="32" a="1"/>
  <c r="M1309" i="32" s="1"/>
  <c r="D1309" i="32" s="1"/>
  <c r="K1313" i="32"/>
  <c r="L1311" i="32"/>
  <c r="Q1665" i="32"/>
  <c r="P2653" i="27" s="1"/>
  <c r="G1661" i="32"/>
  <c r="A1665" i="32"/>
  <c r="A1663" i="32"/>
  <c r="R2271" i="32" l="1" a="1"/>
  <c r="R2271" i="32" s="1"/>
  <c r="O2271" i="32" a="1"/>
  <c r="O2271" i="32" s="1"/>
  <c r="N2271" i="32" a="1"/>
  <c r="N2271" i="32" s="1"/>
  <c r="E2271" i="32" s="1"/>
  <c r="M2271" i="32" a="1"/>
  <c r="M2271" i="32" s="1"/>
  <c r="D2271" i="32" s="1"/>
  <c r="K2275" i="32"/>
  <c r="L2273" i="32"/>
  <c r="M2652" i="27"/>
  <c r="A2652" i="27" s="1"/>
  <c r="P2652" i="27"/>
  <c r="H861" i="27"/>
  <c r="B862" i="27"/>
  <c r="N862" i="27"/>
  <c r="M862" i="27"/>
  <c r="C862" i="27" s="1"/>
  <c r="M1311" i="32" a="1"/>
  <c r="M1311" i="32" s="1"/>
  <c r="D1311" i="32" s="1"/>
  <c r="N1311" i="32" a="1"/>
  <c r="N1311" i="32" s="1"/>
  <c r="E1311" i="32" s="1"/>
  <c r="O1311" i="32" a="1"/>
  <c r="O1311" i="32" s="1"/>
  <c r="M2597" i="27" s="1"/>
  <c r="A2597" i="27" s="1"/>
  <c r="R1311" i="32" a="1"/>
  <c r="R1311" i="32" s="1"/>
  <c r="P2597" i="27" s="1"/>
  <c r="K1315" i="32"/>
  <c r="L1313" i="32"/>
  <c r="Q1667" i="32"/>
  <c r="P2655" i="27" s="1"/>
  <c r="G1663" i="32"/>
  <c r="R2273" i="32" l="1" a="1"/>
  <c r="R2273" i="32" s="1"/>
  <c r="O2273" i="32" a="1"/>
  <c r="O2273" i="32" s="1"/>
  <c r="N2273" i="32" a="1"/>
  <c r="N2273" i="32" s="1"/>
  <c r="E2273" i="32" s="1"/>
  <c r="M2273" i="32" a="1"/>
  <c r="M2273" i="32" s="1"/>
  <c r="D2273" i="32" s="1"/>
  <c r="K2277" i="32"/>
  <c r="L2275" i="32"/>
  <c r="M2653" i="27"/>
  <c r="A2653" i="27" s="1"/>
  <c r="P2654" i="27"/>
  <c r="M2654" i="27"/>
  <c r="A2654" i="27" s="1"/>
  <c r="H862" i="27"/>
  <c r="B863" i="27"/>
  <c r="M863" i="27"/>
  <c r="C863" i="27" s="1"/>
  <c r="N863" i="27"/>
  <c r="O1313" i="32" a="1"/>
  <c r="O1313" i="32" s="1"/>
  <c r="M2598" i="27" s="1"/>
  <c r="A2598" i="27" s="1"/>
  <c r="N1313" i="32" a="1"/>
  <c r="N1313" i="32" s="1"/>
  <c r="E1313" i="32" s="1"/>
  <c r="M1313" i="32" a="1"/>
  <c r="M1313" i="32" s="1"/>
  <c r="D1313" i="32" s="1"/>
  <c r="R1313" i="32" a="1"/>
  <c r="R1313" i="32" s="1"/>
  <c r="P2598" i="27" s="1"/>
  <c r="K1317" i="32"/>
  <c r="L1315" i="32"/>
  <c r="Q1669" i="32"/>
  <c r="P2657" i="27" s="1"/>
  <c r="A1669" i="32"/>
  <c r="G1665" i="32"/>
  <c r="A1667" i="32"/>
  <c r="R2275" i="32" l="1" a="1"/>
  <c r="R2275" i="32" s="1"/>
  <c r="O2275" i="32" a="1"/>
  <c r="O2275" i="32" s="1"/>
  <c r="N2275" i="32" a="1"/>
  <c r="N2275" i="32" s="1"/>
  <c r="E2275" i="32" s="1"/>
  <c r="M2275" i="32" a="1"/>
  <c r="M2275" i="32" s="1"/>
  <c r="D2275" i="32" s="1"/>
  <c r="K2279" i="32"/>
  <c r="L2277" i="32"/>
  <c r="M2655" i="27"/>
  <c r="A2655" i="27" s="1"/>
  <c r="M2656" i="27"/>
  <c r="A2656" i="27" s="1"/>
  <c r="P2656" i="27"/>
  <c r="H863" i="27"/>
  <c r="B864" i="27"/>
  <c r="N864" i="27"/>
  <c r="M864" i="27"/>
  <c r="C864" i="27" s="1"/>
  <c r="O1315" i="32" a="1"/>
  <c r="O1315" i="32" s="1"/>
  <c r="M2599" i="27" s="1"/>
  <c r="A2599" i="27" s="1"/>
  <c r="M1315" i="32" a="1"/>
  <c r="M1315" i="32" s="1"/>
  <c r="D1315" i="32" s="1"/>
  <c r="R1315" i="32" a="1"/>
  <c r="R1315" i="32" s="1"/>
  <c r="P2599" i="27" s="1"/>
  <c r="N1315" i="32" a="1"/>
  <c r="N1315" i="32" s="1"/>
  <c r="E1315" i="32" s="1"/>
  <c r="K1319" i="32"/>
  <c r="L1317" i="32"/>
  <c r="Q1671" i="32"/>
  <c r="P2659" i="27" s="1"/>
  <c r="G1667" i="32"/>
  <c r="R2277" i="32" l="1" a="1"/>
  <c r="R2277" i="32" s="1"/>
  <c r="O2277" i="32" a="1"/>
  <c r="O2277" i="32" s="1"/>
  <c r="N2277" i="32" a="1"/>
  <c r="N2277" i="32" s="1"/>
  <c r="E2277" i="32" s="1"/>
  <c r="M2277" i="32" a="1"/>
  <c r="M2277" i="32" s="1"/>
  <c r="D2277" i="32" s="1"/>
  <c r="K2281" i="32"/>
  <c r="L2279" i="32"/>
  <c r="M2657" i="27"/>
  <c r="A2657" i="27" s="1"/>
  <c r="M2658" i="27"/>
  <c r="A2658" i="27" s="1"/>
  <c r="P2658" i="27"/>
  <c r="H864" i="27"/>
  <c r="B865" i="27"/>
  <c r="M865" i="27"/>
  <c r="C865" i="27" s="1"/>
  <c r="N865" i="27"/>
  <c r="O1317" i="32" a="1"/>
  <c r="O1317" i="32" s="1"/>
  <c r="M2600" i="27" s="1"/>
  <c r="A2600" i="27" s="1"/>
  <c r="R1317" i="32" a="1"/>
  <c r="R1317" i="32" s="1"/>
  <c r="P2600" i="27" s="1"/>
  <c r="N1317" i="32" a="1"/>
  <c r="N1317" i="32" s="1"/>
  <c r="E1317" i="32" s="1"/>
  <c r="M1317" i="32" a="1"/>
  <c r="M1317" i="32" s="1"/>
  <c r="D1317" i="32" s="1"/>
  <c r="K1321" i="32"/>
  <c r="L1319" i="32"/>
  <c r="Q1673" i="32"/>
  <c r="P2661" i="27" s="1"/>
  <c r="A1673" i="32"/>
  <c r="A1671" i="32"/>
  <c r="G1669" i="32"/>
  <c r="R2279" i="32" l="1" a="1"/>
  <c r="R2279" i="32" s="1"/>
  <c r="O2279" i="32" a="1"/>
  <c r="O2279" i="32" s="1"/>
  <c r="N2279" i="32" a="1"/>
  <c r="N2279" i="32" s="1"/>
  <c r="E2279" i="32" s="1"/>
  <c r="M2279" i="32" a="1"/>
  <c r="M2279" i="32" s="1"/>
  <c r="D2279" i="32" s="1"/>
  <c r="K2283" i="32"/>
  <c r="L2281" i="32"/>
  <c r="M2659" i="27"/>
  <c r="A2659" i="27" s="1"/>
  <c r="M2660" i="27"/>
  <c r="A2660" i="27" s="1"/>
  <c r="P2660" i="27"/>
  <c r="H865" i="27"/>
  <c r="B866" i="27"/>
  <c r="N866" i="27"/>
  <c r="M866" i="27"/>
  <c r="C866" i="27" s="1"/>
  <c r="R1319" i="32" a="1"/>
  <c r="R1319" i="32" s="1"/>
  <c r="P2601" i="27" s="1"/>
  <c r="O1319" i="32" a="1"/>
  <c r="O1319" i="32" s="1"/>
  <c r="M2601" i="27" s="1"/>
  <c r="A2601" i="27" s="1"/>
  <c r="M1319" i="32" a="1"/>
  <c r="M1319" i="32" s="1"/>
  <c r="D1319" i="32" s="1"/>
  <c r="N1319" i="32" a="1"/>
  <c r="N1319" i="32" s="1"/>
  <c r="E1319" i="32" s="1"/>
  <c r="K1323" i="32"/>
  <c r="L1321" i="32"/>
  <c r="Q1675" i="32"/>
  <c r="P2663" i="27" s="1"/>
  <c r="G1671" i="32"/>
  <c r="R2281" i="32" l="1" a="1"/>
  <c r="R2281" i="32" s="1"/>
  <c r="O2281" i="32" a="1"/>
  <c r="O2281" i="32" s="1"/>
  <c r="N2281" i="32" a="1"/>
  <c r="N2281" i="32" s="1"/>
  <c r="E2281" i="32" s="1"/>
  <c r="M2281" i="32" a="1"/>
  <c r="M2281" i="32" s="1"/>
  <c r="D2281" i="32" s="1"/>
  <c r="K2285" i="32"/>
  <c r="L2283" i="32"/>
  <c r="M2661" i="27"/>
  <c r="A2661" i="27" s="1"/>
  <c r="M2662" i="27"/>
  <c r="A2662" i="27" s="1"/>
  <c r="P2662" i="27"/>
  <c r="H866" i="27"/>
  <c r="B867" i="27"/>
  <c r="M867" i="27"/>
  <c r="C867" i="27" s="1"/>
  <c r="N867" i="27"/>
  <c r="O1321" i="32" a="1"/>
  <c r="O1321" i="32" s="1"/>
  <c r="M2602" i="27" s="1"/>
  <c r="A2602" i="27" s="1"/>
  <c r="M1321" i="32" a="1"/>
  <c r="M1321" i="32" s="1"/>
  <c r="D1321" i="32" s="1"/>
  <c r="R1321" i="32" a="1"/>
  <c r="R1321" i="32" s="1"/>
  <c r="P2602" i="27" s="1"/>
  <c r="N1321" i="32" a="1"/>
  <c r="N1321" i="32" s="1"/>
  <c r="E1321" i="32" s="1"/>
  <c r="K1325" i="32"/>
  <c r="L1323" i="32"/>
  <c r="Q1677" i="32"/>
  <c r="P2665" i="27" s="1"/>
  <c r="A1677" i="32"/>
  <c r="G1673" i="32"/>
  <c r="A1675" i="32"/>
  <c r="R2283" i="32" l="1" a="1"/>
  <c r="R2283" i="32" s="1"/>
  <c r="O2283" i="32" a="1"/>
  <c r="O2283" i="32" s="1"/>
  <c r="N2283" i="32" a="1"/>
  <c r="N2283" i="32" s="1"/>
  <c r="E2283" i="32" s="1"/>
  <c r="M2283" i="32" a="1"/>
  <c r="M2283" i="32" s="1"/>
  <c r="D2283" i="32" s="1"/>
  <c r="K2287" i="32"/>
  <c r="L2285" i="32"/>
  <c r="M2664" i="27"/>
  <c r="A2664" i="27" s="1"/>
  <c r="P2664" i="27"/>
  <c r="M2663" i="27"/>
  <c r="A2663" i="27" s="1"/>
  <c r="H867" i="27"/>
  <c r="B868" i="27"/>
  <c r="M868" i="27"/>
  <c r="C868" i="27" s="1"/>
  <c r="N868" i="27"/>
  <c r="M1323" i="32" a="1"/>
  <c r="M1323" i="32" s="1"/>
  <c r="D1323" i="32" s="1"/>
  <c r="N1323" i="32" a="1"/>
  <c r="N1323" i="32" s="1"/>
  <c r="E1323" i="32" s="1"/>
  <c r="R1323" i="32" a="1"/>
  <c r="R1323" i="32" s="1"/>
  <c r="P2603" i="27" s="1"/>
  <c r="O1323" i="32" a="1"/>
  <c r="O1323" i="32" s="1"/>
  <c r="M2603" i="27" s="1"/>
  <c r="A2603" i="27" s="1"/>
  <c r="K1327" i="32"/>
  <c r="L1325" i="32"/>
  <c r="Q1679" i="32"/>
  <c r="P2667" i="27" s="1"/>
  <c r="G1675" i="32"/>
  <c r="R2285" i="32" l="1" a="1"/>
  <c r="R2285" i="32" s="1"/>
  <c r="O2285" i="32" a="1"/>
  <c r="O2285" i="32" s="1"/>
  <c r="N2285" i="32" a="1"/>
  <c r="N2285" i="32" s="1"/>
  <c r="E2285" i="32" s="1"/>
  <c r="M2285" i="32" a="1"/>
  <c r="M2285" i="32" s="1"/>
  <c r="D2285" i="32" s="1"/>
  <c r="K2289" i="32"/>
  <c r="L2287" i="32"/>
  <c r="M2666" i="27"/>
  <c r="A2666" i="27" s="1"/>
  <c r="P2666" i="27"/>
  <c r="M2665" i="27"/>
  <c r="A2665" i="27" s="1"/>
  <c r="H868" i="27"/>
  <c r="B869" i="27"/>
  <c r="N869" i="27"/>
  <c r="M869" i="27"/>
  <c r="C869" i="27" s="1"/>
  <c r="M1325" i="32" a="1"/>
  <c r="M1325" i="32" s="1"/>
  <c r="D1325" i="32" s="1"/>
  <c r="O1325" i="32" a="1"/>
  <c r="O1325" i="32" s="1"/>
  <c r="M2604" i="27" s="1"/>
  <c r="A2604" i="27" s="1"/>
  <c r="R1325" i="32" a="1"/>
  <c r="R1325" i="32" s="1"/>
  <c r="P2604" i="27" s="1"/>
  <c r="N1325" i="32" a="1"/>
  <c r="N1325" i="32" s="1"/>
  <c r="E1325" i="32" s="1"/>
  <c r="K1329" i="32"/>
  <c r="L1327" i="32"/>
  <c r="Q1681" i="32"/>
  <c r="P2669" i="27" s="1"/>
  <c r="A1681" i="32"/>
  <c r="G1677" i="32"/>
  <c r="A1679" i="32"/>
  <c r="R2287" i="32" l="1" a="1"/>
  <c r="R2287" i="32" s="1"/>
  <c r="O2287" i="32" a="1"/>
  <c r="O2287" i="32" s="1"/>
  <c r="N2287" i="32" a="1"/>
  <c r="N2287" i="32" s="1"/>
  <c r="E2287" i="32" s="1"/>
  <c r="M2287" i="32" a="1"/>
  <c r="M2287" i="32" s="1"/>
  <c r="D2287" i="32" s="1"/>
  <c r="K2291" i="32"/>
  <c r="L2289" i="32"/>
  <c r="P2668" i="27"/>
  <c r="M2668" i="27"/>
  <c r="A2668" i="27" s="1"/>
  <c r="M2667" i="27"/>
  <c r="A2667" i="27" s="1"/>
  <c r="H869" i="27"/>
  <c r="B870" i="27"/>
  <c r="N870" i="27"/>
  <c r="M870" i="27"/>
  <c r="C870" i="27" s="1"/>
  <c r="M1327" i="32" a="1"/>
  <c r="M1327" i="32" s="1"/>
  <c r="D1327" i="32" s="1"/>
  <c r="N1327" i="32" a="1"/>
  <c r="N1327" i="32" s="1"/>
  <c r="E1327" i="32" s="1"/>
  <c r="O1327" i="32" a="1"/>
  <c r="O1327" i="32" s="1"/>
  <c r="M2605" i="27" s="1"/>
  <c r="A2605" i="27" s="1"/>
  <c r="R1327" i="32" a="1"/>
  <c r="R1327" i="32" s="1"/>
  <c r="P2605" i="27" s="1"/>
  <c r="K1331" i="32"/>
  <c r="L1329" i="32"/>
  <c r="Q1683" i="32"/>
  <c r="P2671" i="27" s="1"/>
  <c r="A1683" i="32"/>
  <c r="G1679" i="32"/>
  <c r="R2289" i="32" l="1" a="1"/>
  <c r="R2289" i="32" s="1"/>
  <c r="O2289" i="32" a="1"/>
  <c r="O2289" i="32" s="1"/>
  <c r="N2289" i="32" a="1"/>
  <c r="N2289" i="32" s="1"/>
  <c r="E2289" i="32" s="1"/>
  <c r="M2289" i="32" a="1"/>
  <c r="M2289" i="32" s="1"/>
  <c r="D2289" i="32" s="1"/>
  <c r="K2293" i="32"/>
  <c r="L2291" i="32"/>
  <c r="M2669" i="27"/>
  <c r="A2669" i="27" s="1"/>
  <c r="M2670" i="27"/>
  <c r="A2670" i="27" s="1"/>
  <c r="P2670" i="27"/>
  <c r="H870" i="27"/>
  <c r="B871" i="27"/>
  <c r="N871" i="27"/>
  <c r="M871" i="27"/>
  <c r="C871" i="27" s="1"/>
  <c r="R1329" i="32" a="1"/>
  <c r="R1329" i="32" s="1"/>
  <c r="P2606" i="27" s="1"/>
  <c r="N1329" i="32" a="1"/>
  <c r="N1329" i="32" s="1"/>
  <c r="E1329" i="32" s="1"/>
  <c r="M1329" i="32" a="1"/>
  <c r="M1329" i="32" s="1"/>
  <c r="D1329" i="32" s="1"/>
  <c r="O1329" i="32" a="1"/>
  <c r="O1329" i="32" s="1"/>
  <c r="M2606" i="27" s="1"/>
  <c r="A2606" i="27" s="1"/>
  <c r="K1333" i="32"/>
  <c r="L1331" i="32"/>
  <c r="Q1685" i="32"/>
  <c r="P2673" i="27" s="1"/>
  <c r="G1681" i="32"/>
  <c r="R2291" i="32" l="1" a="1"/>
  <c r="R2291" i="32" s="1"/>
  <c r="O2291" i="32" a="1"/>
  <c r="O2291" i="32" s="1"/>
  <c r="N2291" i="32" a="1"/>
  <c r="N2291" i="32" s="1"/>
  <c r="E2291" i="32" s="1"/>
  <c r="M2291" i="32" a="1"/>
  <c r="M2291" i="32" s="1"/>
  <c r="D2291" i="32" s="1"/>
  <c r="K2295" i="32"/>
  <c r="L2293" i="32"/>
  <c r="M2671" i="27"/>
  <c r="A2671" i="27" s="1"/>
  <c r="P2672" i="27"/>
  <c r="M2672" i="27"/>
  <c r="A2672" i="27" s="1"/>
  <c r="H871" i="27"/>
  <c r="B872" i="27"/>
  <c r="N872" i="27"/>
  <c r="M872" i="27"/>
  <c r="C872" i="27" s="1"/>
  <c r="M1331" i="32" a="1"/>
  <c r="M1331" i="32" s="1"/>
  <c r="D1331" i="32" s="1"/>
  <c r="R1331" i="32" a="1"/>
  <c r="R1331" i="32" s="1"/>
  <c r="P2607" i="27" s="1"/>
  <c r="O1331" i="32" a="1"/>
  <c r="O1331" i="32" s="1"/>
  <c r="M2607" i="27" s="1"/>
  <c r="A2607" i="27" s="1"/>
  <c r="N1331" i="32" a="1"/>
  <c r="N1331" i="32" s="1"/>
  <c r="E1331" i="32" s="1"/>
  <c r="K1335" i="32"/>
  <c r="L1333" i="32"/>
  <c r="Q1687" i="32"/>
  <c r="P2675" i="27" s="1"/>
  <c r="A1687" i="32"/>
  <c r="G1683" i="32"/>
  <c r="A1685" i="32"/>
  <c r="R2293" i="32" l="1" a="1"/>
  <c r="R2293" i="32" s="1"/>
  <c r="O2293" i="32" a="1"/>
  <c r="O2293" i="32" s="1"/>
  <c r="N2293" i="32" a="1"/>
  <c r="N2293" i="32" s="1"/>
  <c r="E2293" i="32" s="1"/>
  <c r="M2293" i="32" a="1"/>
  <c r="M2293" i="32" s="1"/>
  <c r="D2293" i="32" s="1"/>
  <c r="K2297" i="32"/>
  <c r="L2295" i="32"/>
  <c r="M2674" i="27"/>
  <c r="A2674" i="27" s="1"/>
  <c r="P2674" i="27"/>
  <c r="M2673" i="27"/>
  <c r="A2673" i="27" s="1"/>
  <c r="H872" i="27"/>
  <c r="B873" i="27"/>
  <c r="M873" i="27"/>
  <c r="C873" i="27" s="1"/>
  <c r="N873" i="27"/>
  <c r="O1333" i="32" a="1"/>
  <c r="O1333" i="32" s="1"/>
  <c r="M2608" i="27" s="1"/>
  <c r="A2608" i="27" s="1"/>
  <c r="R1333" i="32" a="1"/>
  <c r="R1333" i="32" s="1"/>
  <c r="P2608" i="27" s="1"/>
  <c r="M1333" i="32" a="1"/>
  <c r="M1333" i="32" s="1"/>
  <c r="D1333" i="32" s="1"/>
  <c r="N1333" i="32" a="1"/>
  <c r="N1333" i="32" s="1"/>
  <c r="E1333" i="32" s="1"/>
  <c r="K1337" i="32"/>
  <c r="L1335" i="32"/>
  <c r="Q1689" i="32"/>
  <c r="P2677" i="27" s="1"/>
  <c r="G1685" i="32"/>
  <c r="L2297" i="32" l="1"/>
  <c r="K2299" i="32"/>
  <c r="L2299" i="32" s="1"/>
  <c r="R2295" i="32" a="1"/>
  <c r="R2295" i="32" s="1"/>
  <c r="O2295" i="32" a="1"/>
  <c r="O2295" i="32" s="1"/>
  <c r="N2295" i="32" a="1"/>
  <c r="N2295" i="32" s="1"/>
  <c r="E2295" i="32" s="1"/>
  <c r="M2295" i="32" a="1"/>
  <c r="M2295" i="32" s="1"/>
  <c r="D2295" i="32" s="1"/>
  <c r="R2297" i="32" a="1"/>
  <c r="R2297" i="32" s="1"/>
  <c r="O2297" i="32" a="1"/>
  <c r="O2297" i="32" s="1"/>
  <c r="N2297" i="32" a="1"/>
  <c r="N2297" i="32" s="1"/>
  <c r="E2297" i="32" s="1"/>
  <c r="M2297" i="32" a="1"/>
  <c r="M2297" i="32" s="1"/>
  <c r="D2297" i="32" s="1"/>
  <c r="M2675" i="27"/>
  <c r="A2675" i="27" s="1"/>
  <c r="P2676" i="27"/>
  <c r="M2676" i="27"/>
  <c r="A2676" i="27" s="1"/>
  <c r="H873" i="27"/>
  <c r="B874" i="27"/>
  <c r="M874" i="27"/>
  <c r="C874" i="27" s="1"/>
  <c r="N874" i="27"/>
  <c r="M1335" i="32" a="1"/>
  <c r="M1335" i="32" s="1"/>
  <c r="D1335" i="32" s="1"/>
  <c r="N1335" i="32" a="1"/>
  <c r="N1335" i="32" s="1"/>
  <c r="E1335" i="32" s="1"/>
  <c r="R1335" i="32" a="1"/>
  <c r="R1335" i="32" s="1"/>
  <c r="P2609" i="27" s="1"/>
  <c r="O1335" i="32" a="1"/>
  <c r="O1335" i="32" s="1"/>
  <c r="M2609" i="27" s="1"/>
  <c r="A2609" i="27" s="1"/>
  <c r="K1339" i="32"/>
  <c r="L1337" i="32"/>
  <c r="Q1691" i="32"/>
  <c r="P2679" i="27" s="1"/>
  <c r="A1689" i="32"/>
  <c r="A1691" i="32"/>
  <c r="G1687" i="32"/>
  <c r="N2299" i="32" l="1" a="1"/>
  <c r="N2299" i="32" s="1"/>
  <c r="E2299" i="32" s="1"/>
  <c r="O2299" i="32" a="1"/>
  <c r="O2299" i="32" s="1"/>
  <c r="R2299" i="32" a="1"/>
  <c r="R2299" i="32" s="1"/>
  <c r="M2299" i="32" a="1"/>
  <c r="M2299" i="32" s="1"/>
  <c r="D2299" i="32" s="1"/>
  <c r="M2678" i="27"/>
  <c r="A2678" i="27" s="1"/>
  <c r="P2678" i="27"/>
  <c r="M2677" i="27"/>
  <c r="A2677" i="27" s="1"/>
  <c r="B875" i="27"/>
  <c r="H874" i="27"/>
  <c r="M875" i="27"/>
  <c r="C875" i="27" s="1"/>
  <c r="N875" i="27"/>
  <c r="M1337" i="32" a="1"/>
  <c r="M1337" i="32" s="1"/>
  <c r="D1337" i="32" s="1"/>
  <c r="O1337" i="32" a="1"/>
  <c r="O1337" i="32" s="1"/>
  <c r="M2610" i="27" s="1"/>
  <c r="A2610" i="27" s="1"/>
  <c r="R1337" i="32" a="1"/>
  <c r="R1337" i="32" s="1"/>
  <c r="P2610" i="27" s="1"/>
  <c r="N1337" i="32" a="1"/>
  <c r="N1337" i="32" s="1"/>
  <c r="E1337" i="32" s="1"/>
  <c r="K1341" i="32"/>
  <c r="L1339" i="32"/>
  <c r="Q1693" i="32"/>
  <c r="P2681" i="27" s="1"/>
  <c r="G1689" i="32"/>
  <c r="M2679" i="27" l="1"/>
  <c r="A2679" i="27" s="1"/>
  <c r="P2680" i="27"/>
  <c r="M2680" i="27"/>
  <c r="A2680" i="27" s="1"/>
  <c r="H875" i="27"/>
  <c r="B876" i="27"/>
  <c r="N876" i="27"/>
  <c r="M876" i="27"/>
  <c r="C876" i="27" s="1"/>
  <c r="O1339" i="32" a="1"/>
  <c r="O1339" i="32" s="1"/>
  <c r="M2611" i="27" s="1"/>
  <c r="A2611" i="27" s="1"/>
  <c r="M1339" i="32" a="1"/>
  <c r="M1339" i="32" s="1"/>
  <c r="D1339" i="32" s="1"/>
  <c r="R1339" i="32" a="1"/>
  <c r="R1339" i="32" s="1"/>
  <c r="P2611" i="27" s="1"/>
  <c r="N1339" i="32" a="1"/>
  <c r="N1339" i="32" s="1"/>
  <c r="E1339" i="32" s="1"/>
  <c r="K1343" i="32"/>
  <c r="L1341" i="32"/>
  <c r="Q1695" i="32"/>
  <c r="P2683" i="27" s="1"/>
  <c r="A1693" i="32"/>
  <c r="G1691" i="32"/>
  <c r="A1695" i="32"/>
  <c r="M2681" i="27" l="1"/>
  <c r="A2681" i="27" s="1"/>
  <c r="P2682" i="27"/>
  <c r="M2682" i="27"/>
  <c r="A2682" i="27" s="1"/>
  <c r="H876" i="27"/>
  <c r="B877" i="27"/>
  <c r="N877" i="27"/>
  <c r="M877" i="27"/>
  <c r="C877" i="27" s="1"/>
  <c r="O1341" i="32" a="1"/>
  <c r="O1341" i="32" s="1"/>
  <c r="M2612" i="27" s="1"/>
  <c r="A2612" i="27" s="1"/>
  <c r="N1341" i="32" a="1"/>
  <c r="N1341" i="32" s="1"/>
  <c r="E1341" i="32" s="1"/>
  <c r="R1341" i="32" a="1"/>
  <c r="R1341" i="32" s="1"/>
  <c r="P2612" i="27" s="1"/>
  <c r="M1341" i="32" a="1"/>
  <c r="M1341" i="32" s="1"/>
  <c r="D1341" i="32" s="1"/>
  <c r="K1345" i="32"/>
  <c r="L1343" i="32"/>
  <c r="Q1697" i="32"/>
  <c r="P2685" i="27" s="1"/>
  <c r="G1693" i="32"/>
  <c r="M2683" i="27" l="1"/>
  <c r="A2683" i="27" s="1"/>
  <c r="P2684" i="27"/>
  <c r="M2684" i="27"/>
  <c r="A2684" i="27" s="1"/>
  <c r="H877" i="27"/>
  <c r="B878" i="27"/>
  <c r="N878" i="27"/>
  <c r="M878" i="27"/>
  <c r="C878" i="27" s="1"/>
  <c r="O1343" i="32" a="1"/>
  <c r="O1343" i="32" s="1"/>
  <c r="M2613" i="27" s="1"/>
  <c r="A2613" i="27" s="1"/>
  <c r="N1343" i="32" a="1"/>
  <c r="N1343" i="32" s="1"/>
  <c r="E1343" i="32" s="1"/>
  <c r="M1343" i="32" a="1"/>
  <c r="M1343" i="32" s="1"/>
  <c r="D1343" i="32" s="1"/>
  <c r="R1343" i="32" a="1"/>
  <c r="R1343" i="32" s="1"/>
  <c r="P2613" i="27" s="1"/>
  <c r="K1347" i="32"/>
  <c r="L1345" i="32"/>
  <c r="Q1699" i="32"/>
  <c r="P2687" i="27" s="1"/>
  <c r="A1697" i="32"/>
  <c r="G1695" i="32"/>
  <c r="A1699" i="32"/>
  <c r="P2686" i="27" l="1"/>
  <c r="M2686" i="27"/>
  <c r="A2686" i="27" s="1"/>
  <c r="M2685" i="27"/>
  <c r="A2685" i="27" s="1"/>
  <c r="H878" i="27"/>
  <c r="B879" i="27"/>
  <c r="M879" i="27"/>
  <c r="C879" i="27" s="1"/>
  <c r="N879" i="27"/>
  <c r="N1345" i="32" a="1"/>
  <c r="N1345" i="32" s="1"/>
  <c r="E1345" i="32" s="1"/>
  <c r="O1345" i="32" a="1"/>
  <c r="O1345" i="32" s="1"/>
  <c r="M2614" i="27" s="1"/>
  <c r="A2614" i="27" s="1"/>
  <c r="M1345" i="32" a="1"/>
  <c r="M1345" i="32" s="1"/>
  <c r="D1345" i="32" s="1"/>
  <c r="R1345" i="32" a="1"/>
  <c r="R1345" i="32" s="1"/>
  <c r="P2614" i="27" s="1"/>
  <c r="K1349" i="32"/>
  <c r="L1347" i="32"/>
  <c r="Q1701" i="32"/>
  <c r="P2689" i="27" s="1"/>
  <c r="G1697" i="32"/>
  <c r="M2687" i="27" l="1"/>
  <c r="A2687" i="27" s="1"/>
  <c r="P2688" i="27"/>
  <c r="M2688" i="27"/>
  <c r="A2688" i="27" s="1"/>
  <c r="H879" i="27"/>
  <c r="B880" i="27"/>
  <c r="M880" i="27"/>
  <c r="C880" i="27" s="1"/>
  <c r="N880" i="27"/>
  <c r="N1347" i="32" a="1"/>
  <c r="N1347" i="32" s="1"/>
  <c r="E1347" i="32" s="1"/>
  <c r="R1347" i="32" a="1"/>
  <c r="R1347" i="32" s="1"/>
  <c r="P2615" i="27" s="1"/>
  <c r="M1347" i="32" a="1"/>
  <c r="M1347" i="32" s="1"/>
  <c r="D1347" i="32" s="1"/>
  <c r="O1347" i="32" a="1"/>
  <c r="O1347" i="32" s="1"/>
  <c r="M2615" i="27" s="1"/>
  <c r="A2615" i="27" s="1"/>
  <c r="K1351" i="32"/>
  <c r="L1349" i="32"/>
  <c r="Q1703" i="32"/>
  <c r="P2691" i="27" s="1"/>
  <c r="A1701" i="32"/>
  <c r="G1699" i="32"/>
  <c r="A1703" i="32"/>
  <c r="M2690" i="27" l="1"/>
  <c r="A2690" i="27" s="1"/>
  <c r="P2690" i="27"/>
  <c r="M2689" i="27"/>
  <c r="A2689" i="27" s="1"/>
  <c r="H880" i="27"/>
  <c r="B881" i="27"/>
  <c r="M881" i="27"/>
  <c r="C881" i="27" s="1"/>
  <c r="N881" i="27"/>
  <c r="M1349" i="32" a="1"/>
  <c r="M1349" i="32" s="1"/>
  <c r="D1349" i="32" s="1"/>
  <c r="O1349" i="32" a="1"/>
  <c r="O1349" i="32" s="1"/>
  <c r="M2616" i="27" s="1"/>
  <c r="A2616" i="27" s="1"/>
  <c r="N1349" i="32" a="1"/>
  <c r="N1349" i="32" s="1"/>
  <c r="E1349" i="32" s="1"/>
  <c r="R1349" i="32" a="1"/>
  <c r="R1349" i="32" s="1"/>
  <c r="P2616" i="27" s="1"/>
  <c r="K1353" i="32"/>
  <c r="L1351" i="32"/>
  <c r="Q1705" i="32"/>
  <c r="P2693" i="27" s="1"/>
  <c r="G1701" i="32"/>
  <c r="M2691" i="27" l="1"/>
  <c r="A2691" i="27" s="1"/>
  <c r="M2692" i="27"/>
  <c r="A2692" i="27" s="1"/>
  <c r="P2692" i="27"/>
  <c r="H881" i="27"/>
  <c r="B882" i="27"/>
  <c r="N882" i="27"/>
  <c r="M882" i="27"/>
  <c r="C882" i="27" s="1"/>
  <c r="O1351" i="32" a="1"/>
  <c r="O1351" i="32" s="1"/>
  <c r="M2617" i="27" s="1"/>
  <c r="A2617" i="27" s="1"/>
  <c r="M1351" i="32" a="1"/>
  <c r="M1351" i="32" s="1"/>
  <c r="D1351" i="32" s="1"/>
  <c r="R1351" i="32" a="1"/>
  <c r="R1351" i="32" s="1"/>
  <c r="P2617" i="27" s="1"/>
  <c r="N1351" i="32" a="1"/>
  <c r="N1351" i="32" s="1"/>
  <c r="E1351" i="32" s="1"/>
  <c r="K1355" i="32"/>
  <c r="L1353" i="32"/>
  <c r="Q1707" i="32"/>
  <c r="P2695" i="27" s="1"/>
  <c r="A1705" i="32"/>
  <c r="G1703" i="32"/>
  <c r="A1707" i="32"/>
  <c r="M2693" i="27" l="1"/>
  <c r="A2693" i="27" s="1"/>
  <c r="M2694" i="27"/>
  <c r="A2694" i="27" s="1"/>
  <c r="P2694" i="27"/>
  <c r="H882" i="27"/>
  <c r="B883" i="27"/>
  <c r="M883" i="27"/>
  <c r="C883" i="27" s="1"/>
  <c r="N883" i="27"/>
  <c r="R1353" i="32" a="1"/>
  <c r="R1353" i="32" s="1"/>
  <c r="P2618" i="27" s="1"/>
  <c r="N1353" i="32" a="1"/>
  <c r="N1353" i="32" s="1"/>
  <c r="E1353" i="32" s="1"/>
  <c r="M1353" i="32" a="1"/>
  <c r="M1353" i="32" s="1"/>
  <c r="D1353" i="32" s="1"/>
  <c r="O1353" i="32" a="1"/>
  <c r="O1353" i="32" s="1"/>
  <c r="M2618" i="27" s="1"/>
  <c r="A2618" i="27" s="1"/>
  <c r="K1357" i="32"/>
  <c r="L1355" i="32"/>
  <c r="Q1709" i="32"/>
  <c r="P2697" i="27" s="1"/>
  <c r="G1705" i="32"/>
  <c r="P2696" i="27" l="1"/>
  <c r="M2696" i="27"/>
  <c r="A2696" i="27" s="1"/>
  <c r="M2695" i="27"/>
  <c r="A2695" i="27" s="1"/>
  <c r="H883" i="27"/>
  <c r="B884" i="27"/>
  <c r="N884" i="27"/>
  <c r="M884" i="27"/>
  <c r="C884" i="27" s="1"/>
  <c r="R1355" i="32" a="1"/>
  <c r="R1355" i="32" s="1"/>
  <c r="P2619" i="27" s="1"/>
  <c r="M1355" i="32" a="1"/>
  <c r="M1355" i="32" s="1"/>
  <c r="D1355" i="32" s="1"/>
  <c r="N1355" i="32" a="1"/>
  <c r="N1355" i="32" s="1"/>
  <c r="E1355" i="32" s="1"/>
  <c r="O1355" i="32" a="1"/>
  <c r="O1355" i="32" s="1"/>
  <c r="M2619" i="27" s="1"/>
  <c r="A2619" i="27" s="1"/>
  <c r="K1359" i="32"/>
  <c r="L1357" i="32"/>
  <c r="Q1711" i="32"/>
  <c r="P2699" i="27" s="1"/>
  <c r="G1707" i="32"/>
  <c r="A1709" i="32"/>
  <c r="A1711" i="32"/>
  <c r="M2697" i="27" l="1"/>
  <c r="A2697" i="27" s="1"/>
  <c r="M2698" i="27"/>
  <c r="A2698" i="27" s="1"/>
  <c r="P2698" i="27"/>
  <c r="H884" i="27"/>
  <c r="B885" i="27"/>
  <c r="M885" i="27"/>
  <c r="C885" i="27" s="1"/>
  <c r="N885" i="27"/>
  <c r="N1357" i="32" a="1"/>
  <c r="N1357" i="32" s="1"/>
  <c r="E1357" i="32" s="1"/>
  <c r="O1357" i="32" a="1"/>
  <c r="O1357" i="32" s="1"/>
  <c r="M2620" i="27" s="1"/>
  <c r="A2620" i="27" s="1"/>
  <c r="M1357" i="32" a="1"/>
  <c r="M1357" i="32" s="1"/>
  <c r="D1357" i="32" s="1"/>
  <c r="R1357" i="32" a="1"/>
  <c r="R1357" i="32" s="1"/>
  <c r="P2620" i="27" s="1"/>
  <c r="K1361" i="32"/>
  <c r="L1359" i="32"/>
  <c r="Q1713" i="32"/>
  <c r="P2701" i="27" s="1"/>
  <c r="G1709" i="32"/>
  <c r="M2699" i="27" l="1"/>
  <c r="A2699" i="27" s="1"/>
  <c r="P2700" i="27"/>
  <c r="M2700" i="27"/>
  <c r="A2700" i="27" s="1"/>
  <c r="H885" i="27"/>
  <c r="B886" i="27"/>
  <c r="M886" i="27"/>
  <c r="C886" i="27" s="1"/>
  <c r="N886" i="27"/>
  <c r="M1359" i="32" a="1"/>
  <c r="M1359" i="32" s="1"/>
  <c r="D1359" i="32" s="1"/>
  <c r="N1359" i="32" a="1"/>
  <c r="N1359" i="32" s="1"/>
  <c r="E1359" i="32" s="1"/>
  <c r="O1359" i="32" a="1"/>
  <c r="O1359" i="32" s="1"/>
  <c r="M2621" i="27" s="1"/>
  <c r="A2621" i="27" s="1"/>
  <c r="R1359" i="32" a="1"/>
  <c r="R1359" i="32" s="1"/>
  <c r="P2621" i="27" s="1"/>
  <c r="K1363" i="32"/>
  <c r="L1361" i="32"/>
  <c r="Q1715" i="32"/>
  <c r="P2703" i="27" s="1"/>
  <c r="G1711" i="32"/>
  <c r="A1715" i="32"/>
  <c r="A1713" i="32"/>
  <c r="M2701" i="27" l="1"/>
  <c r="A2701" i="27" s="1"/>
  <c r="P2702" i="27"/>
  <c r="M2702" i="27"/>
  <c r="A2702" i="27" s="1"/>
  <c r="H886" i="27"/>
  <c r="B887" i="27"/>
  <c r="M887" i="27"/>
  <c r="C887" i="27" s="1"/>
  <c r="N887" i="27"/>
  <c r="N1361" i="32" a="1"/>
  <c r="N1361" i="32" s="1"/>
  <c r="E1361" i="32" s="1"/>
  <c r="O1361" i="32" a="1"/>
  <c r="O1361" i="32" s="1"/>
  <c r="M2622" i="27" s="1"/>
  <c r="A2622" i="27" s="1"/>
  <c r="M1361" i="32" a="1"/>
  <c r="M1361" i="32" s="1"/>
  <c r="D1361" i="32" s="1"/>
  <c r="R1361" i="32" a="1"/>
  <c r="R1361" i="32" s="1"/>
  <c r="P2622" i="27" s="1"/>
  <c r="K1365" i="32"/>
  <c r="L1363" i="32"/>
  <c r="Q1717" i="32"/>
  <c r="P2705" i="27" s="1"/>
  <c r="G1713" i="32"/>
  <c r="M2703" i="27" l="1"/>
  <c r="A2703" i="27" s="1"/>
  <c r="P2704" i="27"/>
  <c r="M2704" i="27"/>
  <c r="A2704" i="27" s="1"/>
  <c r="H887" i="27"/>
  <c r="B888" i="27"/>
  <c r="N888" i="27"/>
  <c r="M888" i="27"/>
  <c r="C888" i="27" s="1"/>
  <c r="R1363" i="32" a="1"/>
  <c r="R1363" i="32" s="1"/>
  <c r="P2623" i="27" s="1"/>
  <c r="N1363" i="32" a="1"/>
  <c r="N1363" i="32" s="1"/>
  <c r="E1363" i="32" s="1"/>
  <c r="M1363" i="32" a="1"/>
  <c r="M1363" i="32" s="1"/>
  <c r="D1363" i="32" s="1"/>
  <c r="O1363" i="32" a="1"/>
  <c r="O1363" i="32" s="1"/>
  <c r="M2623" i="27" s="1"/>
  <c r="A2623" i="27" s="1"/>
  <c r="K1367" i="32"/>
  <c r="L1365" i="32"/>
  <c r="Q1719" i="32"/>
  <c r="P2707" i="27" s="1"/>
  <c r="A1717" i="32"/>
  <c r="A1719" i="32"/>
  <c r="G1715" i="32"/>
  <c r="M2705" i="27" l="1"/>
  <c r="A2705" i="27" s="1"/>
  <c r="P2706" i="27"/>
  <c r="M2706" i="27"/>
  <c r="A2706" i="27" s="1"/>
  <c r="H888" i="27"/>
  <c r="B889" i="27"/>
  <c r="M889" i="27"/>
  <c r="C889" i="27" s="1"/>
  <c r="N889" i="27"/>
  <c r="R1365" i="32" a="1"/>
  <c r="R1365" i="32" s="1"/>
  <c r="P2624" i="27" s="1"/>
  <c r="O1365" i="32" a="1"/>
  <c r="O1365" i="32" s="1"/>
  <c r="M2624" i="27" s="1"/>
  <c r="A2624" i="27" s="1"/>
  <c r="M1365" i="32" a="1"/>
  <c r="M1365" i="32" s="1"/>
  <c r="D1365" i="32" s="1"/>
  <c r="N1365" i="32" a="1"/>
  <c r="N1365" i="32" s="1"/>
  <c r="E1365" i="32" s="1"/>
  <c r="K1369" i="32"/>
  <c r="L1367" i="32"/>
  <c r="Q1721" i="32"/>
  <c r="P2709" i="27" s="1"/>
  <c r="G1717" i="32"/>
  <c r="P2708" i="27" l="1"/>
  <c r="M2708" i="27"/>
  <c r="A2708" i="27" s="1"/>
  <c r="M2707" i="27"/>
  <c r="A2707" i="27" s="1"/>
  <c r="H889" i="27"/>
  <c r="B890" i="27"/>
  <c r="M890" i="27"/>
  <c r="C890" i="27" s="1"/>
  <c r="N890" i="27"/>
  <c r="M1367" i="32" a="1"/>
  <c r="M1367" i="32" s="1"/>
  <c r="D1367" i="32" s="1"/>
  <c r="R1367" i="32" a="1"/>
  <c r="R1367" i="32" s="1"/>
  <c r="P2625" i="27" s="1"/>
  <c r="O1367" i="32" a="1"/>
  <c r="O1367" i="32" s="1"/>
  <c r="M2625" i="27" s="1"/>
  <c r="A2625" i="27" s="1"/>
  <c r="N1367" i="32" a="1"/>
  <c r="N1367" i="32" s="1"/>
  <c r="E1367" i="32" s="1"/>
  <c r="K1371" i="32"/>
  <c r="L1369" i="32"/>
  <c r="Q1723" i="32"/>
  <c r="P2711" i="27" s="1"/>
  <c r="A1721" i="32"/>
  <c r="A1723" i="32"/>
  <c r="G1719" i="32"/>
  <c r="M2709" i="27" l="1"/>
  <c r="A2709" i="27" s="1"/>
  <c r="M2710" i="27"/>
  <c r="A2710" i="27" s="1"/>
  <c r="P2710" i="27"/>
  <c r="H890" i="27"/>
  <c r="B891" i="27"/>
  <c r="M891" i="27"/>
  <c r="C891" i="27" s="1"/>
  <c r="N891" i="27"/>
  <c r="M1369" i="32" a="1"/>
  <c r="M1369" i="32" s="1"/>
  <c r="D1369" i="32" s="1"/>
  <c r="O1369" i="32" a="1"/>
  <c r="O1369" i="32" s="1"/>
  <c r="M2626" i="27" s="1"/>
  <c r="A2626" i="27" s="1"/>
  <c r="N1369" i="32" a="1"/>
  <c r="N1369" i="32" s="1"/>
  <c r="E1369" i="32" s="1"/>
  <c r="R1369" i="32" a="1"/>
  <c r="R1369" i="32" s="1"/>
  <c r="P2626" i="27" s="1"/>
  <c r="K1373" i="32"/>
  <c r="L1371" i="32"/>
  <c r="Q1725" i="32"/>
  <c r="P2713" i="27" s="1"/>
  <c r="G1721" i="32"/>
  <c r="M2711" i="27" l="1"/>
  <c r="A2711" i="27" s="1"/>
  <c r="P2712" i="27"/>
  <c r="M2712" i="27"/>
  <c r="A2712" i="27" s="1"/>
  <c r="H891" i="27"/>
  <c r="B892" i="27"/>
  <c r="M892" i="27"/>
  <c r="C892" i="27" s="1"/>
  <c r="N892" i="27"/>
  <c r="N1371" i="32" a="1"/>
  <c r="N1371" i="32" s="1"/>
  <c r="E1371" i="32" s="1"/>
  <c r="R1371" i="32" a="1"/>
  <c r="R1371" i="32" s="1"/>
  <c r="P2627" i="27" s="1"/>
  <c r="M1371" i="32" a="1"/>
  <c r="M1371" i="32" s="1"/>
  <c r="D1371" i="32" s="1"/>
  <c r="O1371" i="32" a="1"/>
  <c r="O1371" i="32" s="1"/>
  <c r="M2627" i="27" s="1"/>
  <c r="A2627" i="27" s="1"/>
  <c r="K1375" i="32"/>
  <c r="L1373" i="32"/>
  <c r="Q1727" i="32"/>
  <c r="P2715" i="27" s="1"/>
  <c r="G1723" i="32"/>
  <c r="A1725" i="32"/>
  <c r="A1727" i="32"/>
  <c r="M2713" i="27" l="1"/>
  <c r="A2713" i="27" s="1"/>
  <c r="M2714" i="27"/>
  <c r="A2714" i="27" s="1"/>
  <c r="P2714" i="27"/>
  <c r="H892" i="27"/>
  <c r="B893" i="27"/>
  <c r="M893" i="27"/>
  <c r="C893" i="27" s="1"/>
  <c r="N893" i="27"/>
  <c r="O1373" i="32" a="1"/>
  <c r="O1373" i="32" s="1"/>
  <c r="M2628" i="27" s="1"/>
  <c r="A2628" i="27" s="1"/>
  <c r="M1373" i="32" a="1"/>
  <c r="M1373" i="32" s="1"/>
  <c r="D1373" i="32" s="1"/>
  <c r="R1373" i="32" a="1"/>
  <c r="R1373" i="32" s="1"/>
  <c r="P2628" i="27" s="1"/>
  <c r="N1373" i="32" a="1"/>
  <c r="N1373" i="32" s="1"/>
  <c r="E1373" i="32" s="1"/>
  <c r="K1377" i="32"/>
  <c r="L1375" i="32"/>
  <c r="Q1729" i="32"/>
  <c r="P2717" i="27" s="1"/>
  <c r="G1725" i="32"/>
  <c r="M2716" i="27" l="1"/>
  <c r="A2716" i="27" s="1"/>
  <c r="P2716" i="27"/>
  <c r="M2715" i="27"/>
  <c r="A2715" i="27" s="1"/>
  <c r="H893" i="27"/>
  <c r="B894" i="27"/>
  <c r="M894" i="27"/>
  <c r="C894" i="27" s="1"/>
  <c r="N894" i="27"/>
  <c r="O1375" i="32" a="1"/>
  <c r="O1375" i="32" s="1"/>
  <c r="M2629" i="27" s="1"/>
  <c r="A2629" i="27" s="1"/>
  <c r="M1375" i="32" a="1"/>
  <c r="M1375" i="32" s="1"/>
  <c r="D1375" i="32" s="1"/>
  <c r="N1375" i="32" a="1"/>
  <c r="N1375" i="32" s="1"/>
  <c r="E1375" i="32" s="1"/>
  <c r="R1375" i="32" a="1"/>
  <c r="R1375" i="32" s="1"/>
  <c r="P2629" i="27" s="1"/>
  <c r="K1379" i="32"/>
  <c r="L1377" i="32"/>
  <c r="Q1731" i="32"/>
  <c r="P2719" i="27" s="1"/>
  <c r="G1727" i="32"/>
  <c r="A1731" i="32"/>
  <c r="A1729" i="32"/>
  <c r="M2718" i="27" l="1"/>
  <c r="A2718" i="27" s="1"/>
  <c r="P2718" i="27"/>
  <c r="M2717" i="27"/>
  <c r="A2717" i="27" s="1"/>
  <c r="H894" i="27"/>
  <c r="B895" i="27"/>
  <c r="N895" i="27"/>
  <c r="M895" i="27"/>
  <c r="C895" i="27" s="1"/>
  <c r="R1377" i="32" a="1"/>
  <c r="R1377" i="32" s="1"/>
  <c r="P2630" i="27" s="1"/>
  <c r="N1377" i="32" a="1"/>
  <c r="N1377" i="32" s="1"/>
  <c r="E1377" i="32" s="1"/>
  <c r="O1377" i="32" a="1"/>
  <c r="O1377" i="32" s="1"/>
  <c r="M2630" i="27" s="1"/>
  <c r="A2630" i="27" s="1"/>
  <c r="M1377" i="32" a="1"/>
  <c r="M1377" i="32" s="1"/>
  <c r="D1377" i="32" s="1"/>
  <c r="K1381" i="32"/>
  <c r="L1379" i="32"/>
  <c r="Q1733" i="32"/>
  <c r="P2721" i="27" s="1"/>
  <c r="G1729" i="32"/>
  <c r="M2720" i="27" l="1"/>
  <c r="A2720" i="27" s="1"/>
  <c r="P2720" i="27"/>
  <c r="M2719" i="27"/>
  <c r="A2719" i="27" s="1"/>
  <c r="H895" i="27"/>
  <c r="B896" i="27"/>
  <c r="N896" i="27"/>
  <c r="M896" i="27"/>
  <c r="C896" i="27" s="1"/>
  <c r="M1379" i="32" a="1"/>
  <c r="M1379" i="32" s="1"/>
  <c r="D1379" i="32" s="1"/>
  <c r="R1379" i="32" a="1"/>
  <c r="R1379" i="32" s="1"/>
  <c r="P2631" i="27" s="1"/>
  <c r="O1379" i="32" a="1"/>
  <c r="O1379" i="32" s="1"/>
  <c r="M2631" i="27" s="1"/>
  <c r="A2631" i="27" s="1"/>
  <c r="N1379" i="32" a="1"/>
  <c r="N1379" i="32" s="1"/>
  <c r="E1379" i="32" s="1"/>
  <c r="K1383" i="32"/>
  <c r="L1381" i="32"/>
  <c r="Q1735" i="32"/>
  <c r="P2723" i="27" s="1"/>
  <c r="G1731" i="32"/>
  <c r="A1735" i="32"/>
  <c r="A1733" i="32"/>
  <c r="P2722" i="27" l="1"/>
  <c r="M2722" i="27"/>
  <c r="A2722" i="27" s="1"/>
  <c r="M2721" i="27"/>
  <c r="A2721" i="27" s="1"/>
  <c r="H896" i="27"/>
  <c r="B897" i="27"/>
  <c r="M897" i="27"/>
  <c r="C897" i="27" s="1"/>
  <c r="N897" i="27"/>
  <c r="O1381" i="32" a="1"/>
  <c r="O1381" i="32" s="1"/>
  <c r="M2632" i="27" s="1"/>
  <c r="A2632" i="27" s="1"/>
  <c r="N1381" i="32" a="1"/>
  <c r="N1381" i="32" s="1"/>
  <c r="E1381" i="32" s="1"/>
  <c r="M1381" i="32" a="1"/>
  <c r="M1381" i="32" s="1"/>
  <c r="D1381" i="32" s="1"/>
  <c r="R1381" i="32" a="1"/>
  <c r="R1381" i="32" s="1"/>
  <c r="P2632" i="27" s="1"/>
  <c r="K1385" i="32"/>
  <c r="L1383" i="32"/>
  <c r="Q1737" i="32"/>
  <c r="P2725" i="27" s="1"/>
  <c r="G1733" i="32"/>
  <c r="M2724" i="27" l="1"/>
  <c r="A2724" i="27" s="1"/>
  <c r="P2724" i="27"/>
  <c r="M2723" i="27"/>
  <c r="A2723" i="27" s="1"/>
  <c r="H897" i="27"/>
  <c r="B898" i="27"/>
  <c r="M898" i="27"/>
  <c r="C898" i="27" s="1"/>
  <c r="N898" i="27"/>
  <c r="M1383" i="32" a="1"/>
  <c r="M1383" i="32" s="1"/>
  <c r="D1383" i="32" s="1"/>
  <c r="R1383" i="32" a="1"/>
  <c r="R1383" i="32" s="1"/>
  <c r="P2633" i="27" s="1"/>
  <c r="O1383" i="32" a="1"/>
  <c r="O1383" i="32" s="1"/>
  <c r="M2633" i="27" s="1"/>
  <c r="A2633" i="27" s="1"/>
  <c r="N1383" i="32" a="1"/>
  <c r="N1383" i="32" s="1"/>
  <c r="E1383" i="32" s="1"/>
  <c r="K1387" i="32"/>
  <c r="L1385" i="32"/>
  <c r="Q1739" i="32"/>
  <c r="P2727" i="27" s="1"/>
  <c r="A1737" i="32"/>
  <c r="G1735" i="32"/>
  <c r="A1739" i="32"/>
  <c r="M2725" i="27" l="1"/>
  <c r="A2725" i="27" s="1"/>
  <c r="M2726" i="27"/>
  <c r="A2726" i="27" s="1"/>
  <c r="P2726" i="27"/>
  <c r="B899" i="27"/>
  <c r="H898" i="27"/>
  <c r="N899" i="27"/>
  <c r="M899" i="27"/>
  <c r="C899" i="27" s="1"/>
  <c r="O1385" i="32" a="1"/>
  <c r="O1385" i="32" s="1"/>
  <c r="M2634" i="27" s="1"/>
  <c r="A2634" i="27" s="1"/>
  <c r="N1385" i="32" a="1"/>
  <c r="N1385" i="32" s="1"/>
  <c r="E1385" i="32" s="1"/>
  <c r="M1385" i="32" a="1"/>
  <c r="M1385" i="32" s="1"/>
  <c r="D1385" i="32" s="1"/>
  <c r="R1385" i="32" a="1"/>
  <c r="R1385" i="32" s="1"/>
  <c r="P2634" i="27" s="1"/>
  <c r="K1389" i="32"/>
  <c r="L1387" i="32"/>
  <c r="Q1741" i="32"/>
  <c r="P2729" i="27" s="1"/>
  <c r="G1737" i="32"/>
  <c r="M2727" i="27" l="1"/>
  <c r="A2727" i="27" s="1"/>
  <c r="M2728" i="27"/>
  <c r="A2728" i="27" s="1"/>
  <c r="P2728" i="27"/>
  <c r="B900" i="27"/>
  <c r="H899" i="27"/>
  <c r="N900" i="27"/>
  <c r="M900" i="27"/>
  <c r="C900" i="27" s="1"/>
  <c r="R1387" i="32" a="1"/>
  <c r="R1387" i="32" s="1"/>
  <c r="P2635" i="27" s="1"/>
  <c r="O1387" i="32" a="1"/>
  <c r="O1387" i="32" s="1"/>
  <c r="M2635" i="27" s="1"/>
  <c r="A2635" i="27" s="1"/>
  <c r="M1387" i="32" a="1"/>
  <c r="M1387" i="32" s="1"/>
  <c r="D1387" i="32" s="1"/>
  <c r="N1387" i="32" a="1"/>
  <c r="N1387" i="32" s="1"/>
  <c r="E1387" i="32" s="1"/>
  <c r="K1391" i="32"/>
  <c r="L1389" i="32"/>
  <c r="Q1743" i="32"/>
  <c r="P2731" i="27" s="1"/>
  <c r="A1741" i="32"/>
  <c r="A1743" i="32"/>
  <c r="G1739" i="32"/>
  <c r="P2730" i="27" l="1"/>
  <c r="M2730" i="27"/>
  <c r="A2730" i="27" s="1"/>
  <c r="M2729" i="27"/>
  <c r="A2729" i="27" s="1"/>
  <c r="H900" i="27"/>
  <c r="B901" i="27"/>
  <c r="M901" i="27"/>
  <c r="C901" i="27" s="1"/>
  <c r="N901" i="27"/>
  <c r="R1389" i="32" a="1"/>
  <c r="R1389" i="32" s="1"/>
  <c r="P2636" i="27" s="1"/>
  <c r="M1389" i="32" a="1"/>
  <c r="M1389" i="32" s="1"/>
  <c r="D1389" i="32" s="1"/>
  <c r="N1389" i="32" a="1"/>
  <c r="N1389" i="32" s="1"/>
  <c r="E1389" i="32" s="1"/>
  <c r="O1389" i="32" a="1"/>
  <c r="O1389" i="32" s="1"/>
  <c r="M2636" i="27" s="1"/>
  <c r="A2636" i="27" s="1"/>
  <c r="K1393" i="32"/>
  <c r="L1391" i="32"/>
  <c r="Q1745" i="32"/>
  <c r="P2733" i="27" s="1"/>
  <c r="G1741" i="32"/>
  <c r="M2731" i="27" l="1"/>
  <c r="A2731" i="27" s="1"/>
  <c r="P2732" i="27"/>
  <c r="M2732" i="27"/>
  <c r="A2732" i="27" s="1"/>
  <c r="H901" i="27"/>
  <c r="B902" i="27"/>
  <c r="N902" i="27"/>
  <c r="M902" i="27"/>
  <c r="C902" i="27" s="1"/>
  <c r="N1391" i="32" a="1"/>
  <c r="N1391" i="32" s="1"/>
  <c r="E1391" i="32" s="1"/>
  <c r="M1391" i="32" a="1"/>
  <c r="M1391" i="32" s="1"/>
  <c r="D1391" i="32" s="1"/>
  <c r="O1391" i="32" a="1"/>
  <c r="O1391" i="32" s="1"/>
  <c r="M2637" i="27" s="1"/>
  <c r="A2637" i="27" s="1"/>
  <c r="R1391" i="32" a="1"/>
  <c r="R1391" i="32" s="1"/>
  <c r="P2637" i="27" s="1"/>
  <c r="K1395" i="32"/>
  <c r="L1393" i="32"/>
  <c r="Q1747" i="32"/>
  <c r="P2735" i="27" s="1"/>
  <c r="A1747" i="32"/>
  <c r="A1745" i="32"/>
  <c r="G1743" i="32"/>
  <c r="M2733" i="27" l="1"/>
  <c r="A2733" i="27" s="1"/>
  <c r="M2734" i="27"/>
  <c r="A2734" i="27" s="1"/>
  <c r="P2734" i="27"/>
  <c r="H902" i="27"/>
  <c r="B903" i="27"/>
  <c r="N903" i="27"/>
  <c r="M903" i="27"/>
  <c r="C903" i="27" s="1"/>
  <c r="N1393" i="32" a="1"/>
  <c r="N1393" i="32" s="1"/>
  <c r="E1393" i="32" s="1"/>
  <c r="R1393" i="32" a="1"/>
  <c r="R1393" i="32" s="1"/>
  <c r="P2638" i="27" s="1"/>
  <c r="O1393" i="32" a="1"/>
  <c r="O1393" i="32" s="1"/>
  <c r="M2638" i="27" s="1"/>
  <c r="A2638" i="27" s="1"/>
  <c r="M1393" i="32" a="1"/>
  <c r="M1393" i="32" s="1"/>
  <c r="D1393" i="32" s="1"/>
  <c r="K1397" i="32"/>
  <c r="L1395" i="32"/>
  <c r="Q1749" i="32"/>
  <c r="P2737" i="27" s="1"/>
  <c r="G1745" i="32"/>
  <c r="P2736" i="27" l="1"/>
  <c r="M2736" i="27"/>
  <c r="A2736" i="27" s="1"/>
  <c r="M2735" i="27"/>
  <c r="A2735" i="27" s="1"/>
  <c r="H903" i="27"/>
  <c r="B904" i="27"/>
  <c r="N904" i="27"/>
  <c r="M904" i="27"/>
  <c r="C904" i="27" s="1"/>
  <c r="N1395" i="32" a="1"/>
  <c r="N1395" i="32" s="1"/>
  <c r="E1395" i="32" s="1"/>
  <c r="M1395" i="32" a="1"/>
  <c r="M1395" i="32" s="1"/>
  <c r="D1395" i="32" s="1"/>
  <c r="R1395" i="32" a="1"/>
  <c r="R1395" i="32" s="1"/>
  <c r="P2639" i="27" s="1"/>
  <c r="O1395" i="32" a="1"/>
  <c r="O1395" i="32" s="1"/>
  <c r="M2639" i="27" s="1"/>
  <c r="A2639" i="27" s="1"/>
  <c r="K1399" i="32"/>
  <c r="L1397" i="32"/>
  <c r="Q1751" i="32"/>
  <c r="P2739" i="27" s="1"/>
  <c r="G1747" i="32"/>
  <c r="A1749" i="32"/>
  <c r="A1751" i="32"/>
  <c r="P2738" i="27" l="1"/>
  <c r="M2738" i="27"/>
  <c r="A2738" i="27" s="1"/>
  <c r="M2737" i="27"/>
  <c r="A2737" i="27" s="1"/>
  <c r="H904" i="27"/>
  <c r="B905" i="27"/>
  <c r="M905" i="27"/>
  <c r="C905" i="27" s="1"/>
  <c r="N905" i="27"/>
  <c r="R1397" i="32" a="1"/>
  <c r="R1397" i="32" s="1"/>
  <c r="P2640" i="27" s="1"/>
  <c r="N1397" i="32" a="1"/>
  <c r="N1397" i="32" s="1"/>
  <c r="E1397" i="32" s="1"/>
  <c r="M1397" i="32" a="1"/>
  <c r="M1397" i="32" s="1"/>
  <c r="D1397" i="32" s="1"/>
  <c r="O1397" i="32" a="1"/>
  <c r="O1397" i="32" s="1"/>
  <c r="M2640" i="27" s="1"/>
  <c r="A2640" i="27" s="1"/>
  <c r="K1401" i="32"/>
  <c r="L1399" i="32"/>
  <c r="Q1753" i="32"/>
  <c r="P2741" i="27" s="1"/>
  <c r="G1749" i="32"/>
  <c r="M2739" i="27" l="1"/>
  <c r="A2739" i="27" s="1"/>
  <c r="P2740" i="27"/>
  <c r="M2740" i="27"/>
  <c r="A2740" i="27" s="1"/>
  <c r="H905" i="27"/>
  <c r="B906" i="27"/>
  <c r="M906" i="27"/>
  <c r="C906" i="27" s="1"/>
  <c r="N906" i="27"/>
  <c r="N1399" i="32" a="1"/>
  <c r="N1399" i="32" s="1"/>
  <c r="E1399" i="32" s="1"/>
  <c r="M1399" i="32" a="1"/>
  <c r="M1399" i="32" s="1"/>
  <c r="D1399" i="32" s="1"/>
  <c r="O1399" i="32" a="1"/>
  <c r="O1399" i="32" s="1"/>
  <c r="M2641" i="27" s="1"/>
  <c r="A2641" i="27" s="1"/>
  <c r="R1399" i="32" a="1"/>
  <c r="R1399" i="32" s="1"/>
  <c r="P2641" i="27" s="1"/>
  <c r="K1403" i="32"/>
  <c r="L1401" i="32"/>
  <c r="Q1755" i="32"/>
  <c r="P2743" i="27" s="1"/>
  <c r="G1751" i="32"/>
  <c r="A1753" i="32"/>
  <c r="A1755" i="32"/>
  <c r="M2741" i="27" l="1"/>
  <c r="A2741" i="27" s="1"/>
  <c r="P2742" i="27"/>
  <c r="M2742" i="27"/>
  <c r="A2742" i="27" s="1"/>
  <c r="H906" i="27"/>
  <c r="B907" i="27"/>
  <c r="N907" i="27"/>
  <c r="M907" i="27"/>
  <c r="C907" i="27" s="1"/>
  <c r="R1401" i="32" a="1"/>
  <c r="R1401" i="32" s="1"/>
  <c r="P2642" i="27" s="1"/>
  <c r="N1401" i="32" a="1"/>
  <c r="N1401" i="32" s="1"/>
  <c r="E1401" i="32" s="1"/>
  <c r="O1401" i="32" a="1"/>
  <c r="O1401" i="32" s="1"/>
  <c r="M2642" i="27" s="1"/>
  <c r="A2642" i="27" s="1"/>
  <c r="M1401" i="32" a="1"/>
  <c r="M1401" i="32" s="1"/>
  <c r="D1401" i="32" s="1"/>
  <c r="K1405" i="32"/>
  <c r="L1403" i="32"/>
  <c r="Q1757" i="32"/>
  <c r="P2745" i="27" s="1"/>
  <c r="G1753" i="32"/>
  <c r="M2744" i="27" l="1"/>
  <c r="A2744" i="27" s="1"/>
  <c r="P2744" i="27"/>
  <c r="M2743" i="27"/>
  <c r="A2743" i="27" s="1"/>
  <c r="H907" i="27"/>
  <c r="B908" i="27"/>
  <c r="M908" i="27"/>
  <c r="C908" i="27" s="1"/>
  <c r="N908" i="27"/>
  <c r="R1403" i="32" a="1"/>
  <c r="R1403" i="32" s="1"/>
  <c r="P2643" i="27" s="1"/>
  <c r="N1403" i="32" a="1"/>
  <c r="N1403" i="32" s="1"/>
  <c r="E1403" i="32" s="1"/>
  <c r="O1403" i="32" a="1"/>
  <c r="O1403" i="32" s="1"/>
  <c r="M2643" i="27" s="1"/>
  <c r="A2643" i="27" s="1"/>
  <c r="M1403" i="32" a="1"/>
  <c r="M1403" i="32" s="1"/>
  <c r="D1403" i="32" s="1"/>
  <c r="K1407" i="32"/>
  <c r="L1405" i="32"/>
  <c r="Q1759" i="32"/>
  <c r="P2747" i="27" s="1"/>
  <c r="G1755" i="32"/>
  <c r="A1759" i="32"/>
  <c r="A1757" i="32"/>
  <c r="M2745" i="27" l="1"/>
  <c r="A2745" i="27" s="1"/>
  <c r="P2746" i="27"/>
  <c r="M2746" i="27"/>
  <c r="A2746" i="27" s="1"/>
  <c r="H908" i="27"/>
  <c r="B909" i="27"/>
  <c r="N909" i="27"/>
  <c r="M909" i="27"/>
  <c r="C909" i="27" s="1"/>
  <c r="N1405" i="32" a="1"/>
  <c r="N1405" i="32" s="1"/>
  <c r="E1405" i="32" s="1"/>
  <c r="O1405" i="32" a="1"/>
  <c r="O1405" i="32" s="1"/>
  <c r="M2644" i="27" s="1"/>
  <c r="A2644" i="27" s="1"/>
  <c r="R1405" i="32" a="1"/>
  <c r="R1405" i="32" s="1"/>
  <c r="P2644" i="27" s="1"/>
  <c r="M1405" i="32" a="1"/>
  <c r="M1405" i="32" s="1"/>
  <c r="D1405" i="32" s="1"/>
  <c r="K1409" i="32"/>
  <c r="L1407" i="32"/>
  <c r="Q1761" i="32"/>
  <c r="P2749" i="27" s="1"/>
  <c r="G1757" i="32"/>
  <c r="M2748" i="27" l="1"/>
  <c r="A2748" i="27" s="1"/>
  <c r="P2748" i="27"/>
  <c r="M2747" i="27"/>
  <c r="A2747" i="27" s="1"/>
  <c r="H909" i="27"/>
  <c r="B910" i="27"/>
  <c r="M910" i="27"/>
  <c r="C910" i="27" s="1"/>
  <c r="N910" i="27"/>
  <c r="R1407" i="32" a="1"/>
  <c r="R1407" i="32" s="1"/>
  <c r="P2645" i="27" s="1"/>
  <c r="M1407" i="32" a="1"/>
  <c r="M1407" i="32" s="1"/>
  <c r="D1407" i="32" s="1"/>
  <c r="N1407" i="32" a="1"/>
  <c r="N1407" i="32" s="1"/>
  <c r="E1407" i="32" s="1"/>
  <c r="O1407" i="32" a="1"/>
  <c r="O1407" i="32" s="1"/>
  <c r="M2645" i="27" s="1"/>
  <c r="A2645" i="27" s="1"/>
  <c r="K1411" i="32"/>
  <c r="L1409" i="32"/>
  <c r="Q1763" i="32"/>
  <c r="P2751" i="27" s="1"/>
  <c r="A1761" i="32"/>
  <c r="A1763" i="32"/>
  <c r="G1759" i="32"/>
  <c r="M2749" i="27" l="1"/>
  <c r="A2749" i="27" s="1"/>
  <c r="M2750" i="27"/>
  <c r="A2750" i="27" s="1"/>
  <c r="P2750" i="27"/>
  <c r="B911" i="27"/>
  <c r="H910" i="27"/>
  <c r="M911" i="27"/>
  <c r="C911" i="27" s="1"/>
  <c r="N911" i="27"/>
  <c r="R1409" i="32" a="1"/>
  <c r="R1409" i="32" s="1"/>
  <c r="P2646" i="27" s="1"/>
  <c r="O1409" i="32" a="1"/>
  <c r="O1409" i="32" s="1"/>
  <c r="M2646" i="27" s="1"/>
  <c r="A2646" i="27" s="1"/>
  <c r="M1409" i="32" a="1"/>
  <c r="M1409" i="32" s="1"/>
  <c r="D1409" i="32" s="1"/>
  <c r="N1409" i="32" a="1"/>
  <c r="N1409" i="32" s="1"/>
  <c r="E1409" i="32" s="1"/>
  <c r="K1413" i="32"/>
  <c r="L1411" i="32"/>
  <c r="Q1765" i="32"/>
  <c r="P2753" i="27" s="1"/>
  <c r="G1761" i="32"/>
  <c r="P2752" i="27" l="1"/>
  <c r="M2752" i="27"/>
  <c r="A2752" i="27" s="1"/>
  <c r="M2751" i="27"/>
  <c r="A2751" i="27" s="1"/>
  <c r="H911" i="27"/>
  <c r="B912" i="27"/>
  <c r="N912" i="27"/>
  <c r="M912" i="27"/>
  <c r="C912" i="27" s="1"/>
  <c r="O1411" i="32" a="1"/>
  <c r="O1411" i="32" s="1"/>
  <c r="M2647" i="27" s="1"/>
  <c r="A2647" i="27" s="1"/>
  <c r="R1411" i="32" a="1"/>
  <c r="R1411" i="32" s="1"/>
  <c r="P2647" i="27" s="1"/>
  <c r="M1411" i="32" a="1"/>
  <c r="M1411" i="32" s="1"/>
  <c r="D1411" i="32" s="1"/>
  <c r="N1411" i="32" a="1"/>
  <c r="N1411" i="32" s="1"/>
  <c r="E1411" i="32" s="1"/>
  <c r="K1415" i="32"/>
  <c r="L1413" i="32"/>
  <c r="Q1767" i="32"/>
  <c r="P2755" i="27" s="1"/>
  <c r="A1767" i="32"/>
  <c r="G1763" i="32"/>
  <c r="A1765" i="32"/>
  <c r="M2753" i="27" l="1"/>
  <c r="A2753" i="27" s="1"/>
  <c r="P2754" i="27"/>
  <c r="M2754" i="27"/>
  <c r="A2754" i="27" s="1"/>
  <c r="H912" i="27"/>
  <c r="B913" i="27"/>
  <c r="M913" i="27"/>
  <c r="C913" i="27" s="1"/>
  <c r="N913" i="27"/>
  <c r="M1413" i="32" a="1"/>
  <c r="M1413" i="32" s="1"/>
  <c r="D1413" i="32" s="1"/>
  <c r="R1413" i="32" a="1"/>
  <c r="R1413" i="32" s="1"/>
  <c r="P2648" i="27" s="1"/>
  <c r="O1413" i="32" a="1"/>
  <c r="O1413" i="32" s="1"/>
  <c r="M2648" i="27" s="1"/>
  <c r="A2648" i="27" s="1"/>
  <c r="N1413" i="32" a="1"/>
  <c r="N1413" i="32" s="1"/>
  <c r="E1413" i="32" s="1"/>
  <c r="K1417" i="32"/>
  <c r="L1415" i="32"/>
  <c r="Q1769" i="32"/>
  <c r="P2757" i="27" s="1"/>
  <c r="G1765" i="32"/>
  <c r="M2755" i="27" l="1"/>
  <c r="A2755" i="27" s="1"/>
  <c r="M2756" i="27"/>
  <c r="A2756" i="27" s="1"/>
  <c r="P2756" i="27"/>
  <c r="H913" i="27"/>
  <c r="B914" i="27"/>
  <c r="N914" i="27"/>
  <c r="M914" i="27"/>
  <c r="C914" i="27" s="1"/>
  <c r="N1415" i="32" a="1"/>
  <c r="N1415" i="32" s="1"/>
  <c r="E1415" i="32" s="1"/>
  <c r="R1415" i="32" a="1"/>
  <c r="R1415" i="32" s="1"/>
  <c r="P2649" i="27" s="1"/>
  <c r="O1415" i="32" a="1"/>
  <c r="O1415" i="32" s="1"/>
  <c r="M2649" i="27" s="1"/>
  <c r="A2649" i="27" s="1"/>
  <c r="M1415" i="32" a="1"/>
  <c r="M1415" i="32" s="1"/>
  <c r="D1415" i="32" s="1"/>
  <c r="K1419" i="32"/>
  <c r="L1419" i="32" s="1"/>
  <c r="L1417" i="32"/>
  <c r="Q1771" i="32"/>
  <c r="P2759" i="27" s="1"/>
  <c r="G1767" i="32"/>
  <c r="A1769" i="32"/>
  <c r="A1771" i="32"/>
  <c r="M2758" i="27" l="1"/>
  <c r="A2758" i="27" s="1"/>
  <c r="P2758" i="27"/>
  <c r="M2757" i="27"/>
  <c r="A2757" i="27" s="1"/>
  <c r="H914" i="27"/>
  <c r="B915" i="27"/>
  <c r="N915" i="27"/>
  <c r="M915" i="27"/>
  <c r="C915" i="27" s="1"/>
  <c r="N1417" i="32" a="1"/>
  <c r="N1417" i="32" s="1"/>
  <c r="E1417" i="32" s="1"/>
  <c r="O1417" i="32" a="1"/>
  <c r="O1417" i="32" s="1"/>
  <c r="M2650" i="27" s="1"/>
  <c r="A2650" i="27" s="1"/>
  <c r="M1417" i="32" a="1"/>
  <c r="M1417" i="32" s="1"/>
  <c r="D1417" i="32" s="1"/>
  <c r="R1417" i="32" a="1"/>
  <c r="R1417" i="32" s="1"/>
  <c r="P2650" i="27" s="1"/>
  <c r="M1419" i="32" a="1"/>
  <c r="M1419" i="32" s="1"/>
  <c r="D1419" i="32" s="1"/>
  <c r="R1419" i="32" a="1"/>
  <c r="R1419" i="32" s="1"/>
  <c r="P2651" i="27" s="1"/>
  <c r="O1419" i="32" a="1"/>
  <c r="O1419" i="32" s="1"/>
  <c r="M2651" i="27" s="1"/>
  <c r="A2651" i="27" s="1"/>
  <c r="N1419" i="32" a="1"/>
  <c r="N1419" i="32" s="1"/>
  <c r="E1419" i="32" s="1"/>
  <c r="Q1773" i="32"/>
  <c r="P2761" i="27" s="1"/>
  <c r="G1769" i="32"/>
  <c r="M2759" i="27" l="1"/>
  <c r="A2759" i="27" s="1"/>
  <c r="M2760" i="27"/>
  <c r="A2760" i="27" s="1"/>
  <c r="P2760" i="27"/>
  <c r="H915" i="27"/>
  <c r="B916" i="27"/>
  <c r="N916" i="27"/>
  <c r="M916" i="27"/>
  <c r="C916" i="27" s="1"/>
  <c r="Q1775" i="32"/>
  <c r="P2763" i="27" s="1"/>
  <c r="G1771" i="32"/>
  <c r="A1773" i="32"/>
  <c r="A1775" i="32"/>
  <c r="M2762" i="27" l="1"/>
  <c r="A2762" i="27" s="1"/>
  <c r="P2762" i="27"/>
  <c r="M2761" i="27"/>
  <c r="A2761" i="27" s="1"/>
  <c r="H916" i="27"/>
  <c r="B917" i="27"/>
  <c r="M917" i="27"/>
  <c r="C917" i="27" s="1"/>
  <c r="N917" i="27"/>
  <c r="Q1777" i="32"/>
  <c r="P2765" i="27" s="1"/>
  <c r="G1773" i="32"/>
  <c r="M2764" i="27" l="1"/>
  <c r="A2764" i="27" s="1"/>
  <c r="P2764" i="27"/>
  <c r="M2763" i="27"/>
  <c r="A2763" i="27" s="1"/>
  <c r="H917" i="27"/>
  <c r="B918" i="27"/>
  <c r="M918" i="27"/>
  <c r="C918" i="27" s="1"/>
  <c r="N918" i="27"/>
  <c r="Q1779" i="32"/>
  <c r="P2767" i="27" s="1"/>
  <c r="G1775" i="32"/>
  <c r="A1777" i="32"/>
  <c r="A1779" i="32"/>
  <c r="P2766" i="27" l="1"/>
  <c r="M2766" i="27"/>
  <c r="A2766" i="27" s="1"/>
  <c r="M2765" i="27"/>
  <c r="A2765" i="27" s="1"/>
  <c r="H918" i="27"/>
  <c r="B919" i="27"/>
  <c r="M919" i="27"/>
  <c r="C919" i="27" s="1"/>
  <c r="N919" i="27"/>
  <c r="Q1781" i="32"/>
  <c r="P2769" i="27" s="1"/>
  <c r="G1777" i="32"/>
  <c r="M2768" i="27" l="1"/>
  <c r="A2768" i="27" s="1"/>
  <c r="P2768" i="27"/>
  <c r="M2767" i="27"/>
  <c r="A2767" i="27" s="1"/>
  <c r="H919" i="27"/>
  <c r="B920" i="27"/>
  <c r="M920" i="27"/>
  <c r="C920" i="27" s="1"/>
  <c r="N920" i="27"/>
  <c r="Q1783" i="32"/>
  <c r="P2771" i="27" s="1"/>
  <c r="A1781" i="32"/>
  <c r="G1779" i="32"/>
  <c r="A1783" i="32"/>
  <c r="M2769" i="27" l="1"/>
  <c r="A2769" i="27" s="1"/>
  <c r="M2770" i="27"/>
  <c r="A2770" i="27" s="1"/>
  <c r="P2770" i="27"/>
  <c r="H920" i="27"/>
  <c r="B921" i="27"/>
  <c r="N921" i="27"/>
  <c r="M921" i="27"/>
  <c r="C921" i="27" s="1"/>
  <c r="Q1785" i="32"/>
  <c r="P2773" i="27" s="1"/>
  <c r="G1781" i="32"/>
  <c r="P2772" i="27" l="1"/>
  <c r="M2772" i="27"/>
  <c r="A2772" i="27" s="1"/>
  <c r="M2771" i="27"/>
  <c r="A2771" i="27" s="1"/>
  <c r="H921" i="27"/>
  <c r="B922" i="27"/>
  <c r="N922" i="27"/>
  <c r="M922" i="27"/>
  <c r="C922" i="27" s="1"/>
  <c r="Q1787" i="32"/>
  <c r="P2775" i="27" s="1"/>
  <c r="A1785" i="32"/>
  <c r="A1787" i="32"/>
  <c r="G1783" i="32"/>
  <c r="M2773" i="27" l="1"/>
  <c r="A2773" i="27" s="1"/>
  <c r="M2774" i="27"/>
  <c r="A2774" i="27" s="1"/>
  <c r="P2774" i="27"/>
  <c r="H922" i="27"/>
  <c r="B923" i="27"/>
  <c r="M923" i="27"/>
  <c r="C923" i="27" s="1"/>
  <c r="N923" i="27"/>
  <c r="Q1789" i="32"/>
  <c r="P2777" i="27" s="1"/>
  <c r="G1785" i="32"/>
  <c r="P2776" i="27" l="1"/>
  <c r="M2776" i="27"/>
  <c r="A2776" i="27" s="1"/>
  <c r="M2775" i="27"/>
  <c r="A2775" i="27" s="1"/>
  <c r="H923" i="27"/>
  <c r="B924" i="27"/>
  <c r="N924" i="27"/>
  <c r="M924" i="27"/>
  <c r="C924" i="27" s="1"/>
  <c r="Q1791" i="32"/>
  <c r="P2779" i="27" s="1"/>
  <c r="A1789" i="32"/>
  <c r="G1787" i="32"/>
  <c r="A1791" i="32"/>
  <c r="M2777" i="27" l="1"/>
  <c r="A2777" i="27" s="1"/>
  <c r="P2778" i="27"/>
  <c r="M2778" i="27"/>
  <c r="A2778" i="27" s="1"/>
  <c r="H924" i="27"/>
  <c r="B925" i="27"/>
  <c r="M925" i="27"/>
  <c r="C925" i="27" s="1"/>
  <c r="N925" i="27"/>
  <c r="Q1793" i="32"/>
  <c r="P2781" i="27" s="1"/>
  <c r="G1789" i="32"/>
  <c r="P2780" i="27" l="1"/>
  <c r="M2780" i="27"/>
  <c r="A2780" i="27" s="1"/>
  <c r="M2779" i="27"/>
  <c r="A2779" i="27" s="1"/>
  <c r="H925" i="27"/>
  <c r="B926" i="27"/>
  <c r="M926" i="27"/>
  <c r="C926" i="27" s="1"/>
  <c r="N926" i="27"/>
  <c r="Q1795" i="32"/>
  <c r="P2783" i="27" s="1"/>
  <c r="G1791" i="32"/>
  <c r="A1793" i="32"/>
  <c r="A1795" i="32"/>
  <c r="M2782" i="27" l="1"/>
  <c r="A2782" i="27" s="1"/>
  <c r="P2782" i="27"/>
  <c r="M2781" i="27"/>
  <c r="A2781" i="27" s="1"/>
  <c r="H926" i="27"/>
  <c r="B927" i="27"/>
  <c r="M927" i="27"/>
  <c r="C927" i="27" s="1"/>
  <c r="N927" i="27"/>
  <c r="Q1797" i="32"/>
  <c r="P2785" i="27" s="1"/>
  <c r="G1793" i="32"/>
  <c r="P2784" i="27" l="1"/>
  <c r="M2784" i="27"/>
  <c r="A2784" i="27" s="1"/>
  <c r="M2783" i="27"/>
  <c r="A2783" i="27" s="1"/>
  <c r="H927" i="27"/>
  <c r="B928" i="27"/>
  <c r="M928" i="27"/>
  <c r="C928" i="27" s="1"/>
  <c r="N928" i="27"/>
  <c r="Q1799" i="32"/>
  <c r="P2787" i="27" s="1"/>
  <c r="A1799" i="32"/>
  <c r="G1795" i="32"/>
  <c r="A1797" i="32"/>
  <c r="M2785" i="27" l="1"/>
  <c r="A2785" i="27" s="1"/>
  <c r="P2786" i="27"/>
  <c r="M2786" i="27"/>
  <c r="A2786" i="27" s="1"/>
  <c r="H928" i="27"/>
  <c r="B929" i="27"/>
  <c r="M929" i="27"/>
  <c r="C929" i="27" s="1"/>
  <c r="N929" i="27"/>
  <c r="Q1801" i="32"/>
  <c r="P2789" i="27" s="1"/>
  <c r="G1797" i="32"/>
  <c r="P2788" i="27" l="1"/>
  <c r="M2788" i="27"/>
  <c r="A2788" i="27" s="1"/>
  <c r="M2787" i="27"/>
  <c r="A2787" i="27" s="1"/>
  <c r="H929" i="27"/>
  <c r="B930" i="27"/>
  <c r="N930" i="27"/>
  <c r="M930" i="27"/>
  <c r="C930" i="27" s="1"/>
  <c r="Q1803" i="32"/>
  <c r="P2791" i="27" s="1"/>
  <c r="A1801" i="32"/>
  <c r="G1799" i="32"/>
  <c r="A1803" i="32"/>
  <c r="M2789" i="27" l="1"/>
  <c r="A2789" i="27" s="1"/>
  <c r="P2790" i="27"/>
  <c r="M2790" i="27"/>
  <c r="A2790" i="27" s="1"/>
  <c r="H930" i="27"/>
  <c r="B931" i="27"/>
  <c r="N931" i="27"/>
  <c r="M931" i="27"/>
  <c r="C931" i="27" s="1"/>
  <c r="Q1805" i="32"/>
  <c r="P2793" i="27" s="1"/>
  <c r="G1801" i="32"/>
  <c r="M2792" i="27" l="1"/>
  <c r="A2792" i="27" s="1"/>
  <c r="P2792" i="27"/>
  <c r="M2791" i="27"/>
  <c r="A2791" i="27" s="1"/>
  <c r="H931" i="27"/>
  <c r="B932" i="27"/>
  <c r="M932" i="27"/>
  <c r="C932" i="27" s="1"/>
  <c r="N932" i="27"/>
  <c r="Q1807" i="32"/>
  <c r="P2795" i="27" s="1"/>
  <c r="A1807" i="32"/>
  <c r="G1803" i="32"/>
  <c r="A1805" i="32"/>
  <c r="M2794" i="27" l="1"/>
  <c r="A2794" i="27" s="1"/>
  <c r="P2794" i="27"/>
  <c r="M2793" i="27"/>
  <c r="A2793" i="27" s="1"/>
  <c r="H932" i="27"/>
  <c r="B933" i="27"/>
  <c r="M933" i="27"/>
  <c r="C933" i="27" s="1"/>
  <c r="N933" i="27"/>
  <c r="Q1809" i="32"/>
  <c r="P2797" i="27" s="1"/>
  <c r="G1805" i="32"/>
  <c r="M2796" i="27" l="1"/>
  <c r="A2796" i="27" s="1"/>
  <c r="P2796" i="27"/>
  <c r="M2795" i="27"/>
  <c r="A2795" i="27" s="1"/>
  <c r="H933" i="27"/>
  <c r="B934" i="27"/>
  <c r="M934" i="27"/>
  <c r="C934" i="27" s="1"/>
  <c r="N934" i="27"/>
  <c r="Q1811" i="32"/>
  <c r="P2799" i="27" s="1"/>
  <c r="G1807" i="32"/>
  <c r="A1809" i="32"/>
  <c r="A1811" i="32"/>
  <c r="M2798" i="27" l="1"/>
  <c r="A2798" i="27" s="1"/>
  <c r="P2798" i="27"/>
  <c r="M2797" i="27"/>
  <c r="A2797" i="27" s="1"/>
  <c r="B935" i="27"/>
  <c r="H934" i="27"/>
  <c r="N935" i="27"/>
  <c r="M935" i="27"/>
  <c r="C935" i="27" s="1"/>
  <c r="Q1813" i="32"/>
  <c r="P2801" i="27" s="1"/>
  <c r="G1809" i="32"/>
  <c r="M2800" i="27" l="1"/>
  <c r="A2800" i="27" s="1"/>
  <c r="P2800" i="27"/>
  <c r="M2799" i="27"/>
  <c r="A2799" i="27" s="1"/>
  <c r="B936" i="27"/>
  <c r="H935" i="27"/>
  <c r="N936" i="27"/>
  <c r="M936" i="27"/>
  <c r="C936" i="27" s="1"/>
  <c r="Q1815" i="32"/>
  <c r="P2803" i="27" s="1"/>
  <c r="A1813" i="32"/>
  <c r="A1815" i="32"/>
  <c r="G1811" i="32"/>
  <c r="M2801" i="27" l="1"/>
  <c r="A2801" i="27" s="1"/>
  <c r="P2802" i="27"/>
  <c r="M2802" i="27"/>
  <c r="A2802" i="27" s="1"/>
  <c r="H936" i="27"/>
  <c r="B937" i="27"/>
  <c r="N937" i="27"/>
  <c r="M937" i="27"/>
  <c r="C937" i="27" s="1"/>
  <c r="Q1817" i="32"/>
  <c r="P2805" i="27" s="1"/>
  <c r="G1813" i="32"/>
  <c r="M2803" i="27" l="1"/>
  <c r="A2803" i="27" s="1"/>
  <c r="P2804" i="27"/>
  <c r="M2804" i="27"/>
  <c r="A2804" i="27" s="1"/>
  <c r="H937" i="27"/>
  <c r="B938" i="27"/>
  <c r="M938" i="27"/>
  <c r="C938" i="27" s="1"/>
  <c r="N938" i="27"/>
  <c r="Q2299" i="32"/>
  <c r="P2807" i="27" s="1"/>
  <c r="BT9" i="31"/>
  <c r="BV9" i="31" s="1"/>
  <c r="BA9" i="31" s="1"/>
  <c r="B5" i="31" s="1"/>
  <c r="A1817" i="32"/>
  <c r="A2299" i="32"/>
  <c r="G1815" i="32"/>
  <c r="G2690" i="27" l="1"/>
  <c r="F2838" i="27"/>
  <c r="E2807" i="27"/>
  <c r="E2662" i="27"/>
  <c r="G2583" i="27"/>
  <c r="E2568" i="27"/>
  <c r="F2601" i="27"/>
  <c r="F2742" i="27"/>
  <c r="E2590" i="27"/>
  <c r="F2790" i="27"/>
  <c r="E2879" i="27"/>
  <c r="F2649" i="27"/>
  <c r="G2594" i="27"/>
  <c r="E2806" i="27"/>
  <c r="F2889" i="27"/>
  <c r="E2773" i="27"/>
  <c r="F2743" i="27"/>
  <c r="E2664" i="27"/>
  <c r="E2665" i="27"/>
  <c r="G2651" i="27"/>
  <c r="E2725" i="27"/>
  <c r="E2761" i="27"/>
  <c r="F2553" i="27"/>
  <c r="E2869" i="27"/>
  <c r="E2878" i="27"/>
  <c r="G2595" i="27"/>
  <c r="E2808" i="27"/>
  <c r="F2697" i="27"/>
  <c r="E2617" i="27"/>
  <c r="E2734" i="27"/>
  <c r="E2566" i="27"/>
  <c r="G2653" i="27"/>
  <c r="E2770" i="27"/>
  <c r="G2646" i="27"/>
  <c r="F2891" i="27"/>
  <c r="F2745" i="27"/>
  <c r="F2695" i="27"/>
  <c r="F2694" i="27"/>
  <c r="E2628" i="27"/>
  <c r="F2599" i="27"/>
  <c r="G2667" i="27"/>
  <c r="E2844" i="27"/>
  <c r="E2735" i="27"/>
  <c r="E2557" i="27"/>
  <c r="E2772" i="27"/>
  <c r="G2666" i="27"/>
  <c r="E2700" i="27"/>
  <c r="G2582" i="27"/>
  <c r="F2706" i="27"/>
  <c r="F2562" i="27"/>
  <c r="E2771" i="27"/>
  <c r="E2689" i="27"/>
  <c r="E2699" i="27"/>
  <c r="E2701" i="27"/>
  <c r="E2592" i="27"/>
  <c r="E2737" i="27"/>
  <c r="E2797" i="27"/>
  <c r="E2842" i="27"/>
  <c r="G2559" i="27"/>
  <c r="F2890" i="27"/>
  <c r="I2774" i="27"/>
  <c r="F2791" i="27"/>
  <c r="F2598" i="27"/>
  <c r="E2567" i="27"/>
  <c r="G2868" i="27"/>
  <c r="E2833" i="27"/>
  <c r="G2881" i="27"/>
  <c r="F2793" i="27"/>
  <c r="G2785" i="27"/>
  <c r="F2647" i="27"/>
  <c r="E2627" i="27"/>
  <c r="F2839" i="27"/>
  <c r="G2558" i="27"/>
  <c r="E2663" i="27"/>
  <c r="E2736" i="27"/>
  <c r="F2658" i="27"/>
  <c r="G2857" i="27"/>
  <c r="E2843" i="27"/>
  <c r="E2626" i="27"/>
  <c r="F2841" i="27"/>
  <c r="E2698" i="27"/>
  <c r="G2880" i="27"/>
  <c r="E2629" i="27"/>
  <c r="E2845" i="27"/>
  <c r="E2809" i="27"/>
  <c r="E2591" i="27"/>
  <c r="E2821" i="27"/>
  <c r="K2560" i="27"/>
  <c r="J2624" i="27"/>
  <c r="N2635" i="27"/>
  <c r="K2754" i="27"/>
  <c r="M2861" i="27"/>
  <c r="A2861" i="27" s="1"/>
  <c r="G2560" i="27"/>
  <c r="K2752" i="27"/>
  <c r="F2828" i="27"/>
  <c r="F2865" i="27"/>
  <c r="G2766" i="27"/>
  <c r="I2674" i="27"/>
  <c r="J2597" i="27"/>
  <c r="K2803" i="27"/>
  <c r="K2645" i="27"/>
  <c r="N2837" i="27"/>
  <c r="K2648" i="27"/>
  <c r="G2605" i="27"/>
  <c r="N2552" i="27"/>
  <c r="N2554" i="27"/>
  <c r="N2827" i="27"/>
  <c r="I2552" i="27"/>
  <c r="N2793" i="27"/>
  <c r="I2733" i="27"/>
  <c r="I2592" i="27"/>
  <c r="J2757" i="27"/>
  <c r="J2777" i="27"/>
  <c r="J2655" i="27"/>
  <c r="F2785" i="27"/>
  <c r="E2718" i="27"/>
  <c r="I2574" i="27"/>
  <c r="G2816" i="27"/>
  <c r="I2716" i="27"/>
  <c r="I2814" i="27"/>
  <c r="E2711" i="27"/>
  <c r="K2758" i="27"/>
  <c r="E2593" i="27"/>
  <c r="I2589" i="27"/>
  <c r="F2670" i="27"/>
  <c r="J2802" i="27"/>
  <c r="J2754" i="27"/>
  <c r="K2672" i="27"/>
  <c r="F2561" i="27"/>
  <c r="E2744" i="27"/>
  <c r="P2885" i="27"/>
  <c r="G2812" i="27"/>
  <c r="K2644" i="27"/>
  <c r="I2719" i="27"/>
  <c r="F2662" i="27"/>
  <c r="E2632" i="27"/>
  <c r="I2660" i="27"/>
  <c r="J2850" i="27"/>
  <c r="I2802" i="27"/>
  <c r="J2887" i="27"/>
  <c r="N2678" i="27"/>
  <c r="N2675" i="27"/>
  <c r="F2605" i="27"/>
  <c r="F2625" i="27"/>
  <c r="J2593" i="27"/>
  <c r="J2669" i="27"/>
  <c r="E2818" i="27"/>
  <c r="K2615" i="27"/>
  <c r="F2769" i="27"/>
  <c r="M2882" i="27"/>
  <c r="A2882" i="27" s="1"/>
  <c r="I2678" i="27"/>
  <c r="I2687" i="27"/>
  <c r="J2715" i="27"/>
  <c r="K2665" i="27"/>
  <c r="I2579" i="27"/>
  <c r="J2591" i="27"/>
  <c r="F2775" i="27"/>
  <c r="E2722" i="27"/>
  <c r="J2746" i="27"/>
  <c r="K2579" i="27"/>
  <c r="E2653" i="27"/>
  <c r="I2725" i="27"/>
  <c r="E2562" i="27"/>
  <c r="G2850" i="27"/>
  <c r="F2764" i="27"/>
  <c r="N2732" i="27"/>
  <c r="F2580" i="27"/>
  <c r="F2771" i="27"/>
  <c r="P2824" i="27"/>
  <c r="N2859" i="27"/>
  <c r="N2696" i="27"/>
  <c r="F2747" i="27"/>
  <c r="K2620" i="27"/>
  <c r="I2558" i="27"/>
  <c r="F2830" i="27"/>
  <c r="I2769" i="27"/>
  <c r="E2603" i="27"/>
  <c r="I2796" i="27"/>
  <c r="F2748" i="27"/>
  <c r="M2881" i="27"/>
  <c r="A2881" i="27" s="1"/>
  <c r="E2822" i="27"/>
  <c r="K2831" i="27"/>
  <c r="K2870" i="27"/>
  <c r="N2589" i="27"/>
  <c r="J2592" i="27"/>
  <c r="I2714" i="27"/>
  <c r="K2761" i="27"/>
  <c r="G2661" i="27"/>
  <c r="F2810" i="27"/>
  <c r="F2797" i="27"/>
  <c r="M2832" i="27"/>
  <c r="A2832" i="27" s="1"/>
  <c r="P2853" i="27"/>
  <c r="G2575" i="27"/>
  <c r="N2636" i="27"/>
  <c r="N2557" i="27"/>
  <c r="N2708" i="27"/>
  <c r="I2752" i="27"/>
  <c r="N2722" i="27"/>
  <c r="G2757" i="27"/>
  <c r="M2809" i="27"/>
  <c r="A2809" i="27" s="1"/>
  <c r="J2664" i="27"/>
  <c r="I2655" i="27"/>
  <c r="F2737" i="27"/>
  <c r="I2645" i="27"/>
  <c r="I2709" i="27"/>
  <c r="I2605" i="27"/>
  <c r="G2626" i="27"/>
  <c r="F2626" i="27"/>
  <c r="K2835" i="27"/>
  <c r="N2679" i="27"/>
  <c r="K2619" i="27"/>
  <c r="G2554" i="27"/>
  <c r="F2604" i="27"/>
  <c r="I2639" i="27"/>
  <c r="K2834" i="27"/>
  <c r="E2690" i="27"/>
  <c r="K2823" i="27"/>
  <c r="F2593" i="27"/>
  <c r="I2581" i="27"/>
  <c r="M2830" i="27"/>
  <c r="A2830" i="27" s="1"/>
  <c r="N2751" i="27"/>
  <c r="N2831" i="27"/>
  <c r="E2577" i="27"/>
  <c r="G2659" i="27"/>
  <c r="E2826" i="27"/>
  <c r="E2776" i="27"/>
  <c r="I2812" i="27"/>
  <c r="P2832" i="27"/>
  <c r="K2558" i="27"/>
  <c r="N2641" i="27"/>
  <c r="I2676" i="27"/>
  <c r="F2845" i="27"/>
  <c r="E2679" i="27"/>
  <c r="I2555" i="27"/>
  <c r="J2574" i="27"/>
  <c r="J2550" i="27"/>
  <c r="F2674" i="27"/>
  <c r="G2769" i="27"/>
  <c r="K2559" i="27"/>
  <c r="G2682" i="27"/>
  <c r="N2720" i="27"/>
  <c r="N2704" i="27"/>
  <c r="N2644" i="27"/>
  <c r="E2575" i="27"/>
  <c r="F2679" i="27"/>
  <c r="I2582" i="27"/>
  <c r="J2853" i="27"/>
  <c r="M2848" i="27"/>
  <c r="A2848" i="27" s="1"/>
  <c r="J2737" i="27"/>
  <c r="J2562" i="27"/>
  <c r="F2868" i="27"/>
  <c r="I2625" i="27"/>
  <c r="K2689" i="27"/>
  <c r="E2816" i="27"/>
  <c r="E2692" i="27"/>
  <c r="M2822" i="27"/>
  <c r="A2822" i="27" s="1"/>
  <c r="F2824" i="27"/>
  <c r="E2875" i="27"/>
  <c r="K2728" i="27"/>
  <c r="K2847" i="27"/>
  <c r="K2646" i="27"/>
  <c r="J2564" i="27"/>
  <c r="M2878" i="27"/>
  <c r="A2878" i="27" s="1"/>
  <c r="G2735" i="27"/>
  <c r="N2617" i="27"/>
  <c r="I2631" i="27"/>
  <c r="N2660" i="27"/>
  <c r="N2819" i="27"/>
  <c r="K2600" i="27"/>
  <c r="E2748" i="27"/>
  <c r="J2770" i="27"/>
  <c r="E2720" i="27"/>
  <c r="G2787" i="27"/>
  <c r="N2605" i="27"/>
  <c r="I2583" i="27"/>
  <c r="I2780" i="27"/>
  <c r="N2659" i="27"/>
  <c r="K2599" i="27"/>
  <c r="P2868" i="27"/>
  <c r="K2678" i="27"/>
  <c r="G2871" i="27"/>
  <c r="J2879" i="27"/>
  <c r="K2643" i="27"/>
  <c r="E2554" i="27"/>
  <c r="P2835" i="27"/>
  <c r="G2726" i="27"/>
  <c r="F2556" i="27"/>
  <c r="J2748" i="27"/>
  <c r="F2777" i="27"/>
  <c r="E2839" i="27"/>
  <c r="G2821" i="27"/>
  <c r="K2687" i="27"/>
  <c r="I2787" i="27"/>
  <c r="G2746" i="27"/>
  <c r="G2598" i="27"/>
  <c r="G2862" i="27"/>
  <c r="K2846" i="27"/>
  <c r="P2845" i="27"/>
  <c r="N2791" i="27"/>
  <c r="I2653" i="27"/>
  <c r="G2810" i="27"/>
  <c r="N2724" i="27"/>
  <c r="M2844" i="27"/>
  <c r="A2844" i="27" s="1"/>
  <c r="N2577" i="27"/>
  <c r="J2672" i="27"/>
  <c r="F2728" i="27"/>
  <c r="E2657" i="27"/>
  <c r="K2786" i="27"/>
  <c r="K2651" i="27"/>
  <c r="E2853" i="27"/>
  <c r="K2569" i="27"/>
  <c r="K2866" i="27"/>
  <c r="E2572" i="27"/>
  <c r="K2601" i="27"/>
  <c r="K2787" i="27"/>
  <c r="J2707" i="27"/>
  <c r="J2877" i="27"/>
  <c r="E2677" i="27"/>
  <c r="E2884" i="27"/>
  <c r="G2742" i="27"/>
  <c r="J2855" i="27"/>
  <c r="E2669" i="27"/>
  <c r="N2728" i="27"/>
  <c r="G2741" i="27"/>
  <c r="I2767" i="27"/>
  <c r="J2885" i="27"/>
  <c r="I2550" i="27"/>
  <c r="K2764" i="27"/>
  <c r="J2791" i="27"/>
  <c r="N2845" i="27"/>
  <c r="I2659" i="27"/>
  <c r="K2756" i="27"/>
  <c r="P2864" i="27"/>
  <c r="E2660" i="27"/>
  <c r="E2872" i="27"/>
  <c r="K2609" i="27"/>
  <c r="E2585" i="27"/>
  <c r="K2731" i="27"/>
  <c r="E2783" i="27"/>
  <c r="K2610" i="27"/>
  <c r="N2692" i="27"/>
  <c r="G2668" i="27"/>
  <c r="K2706" i="27"/>
  <c r="I2742" i="27"/>
  <c r="M2814" i="27"/>
  <c r="A2814" i="27" s="1"/>
  <c r="E2755" i="27"/>
  <c r="G2609" i="27"/>
  <c r="F2555" i="27"/>
  <c r="I2801" i="27"/>
  <c r="N2809" i="27"/>
  <c r="J2665" i="27"/>
  <c r="N2780" i="27"/>
  <c r="G2827" i="27"/>
  <c r="J2818" i="27"/>
  <c r="E2636" i="27"/>
  <c r="N2803" i="27"/>
  <c r="G2849" i="27"/>
  <c r="I2641" i="27"/>
  <c r="J2688" i="27"/>
  <c r="N2815" i="27"/>
  <c r="I2608" i="27"/>
  <c r="K2784" i="27"/>
  <c r="J2731" i="27"/>
  <c r="N2825" i="27"/>
  <c r="E2586" i="27"/>
  <c r="I2551" i="27"/>
  <c r="K2669" i="27"/>
  <c r="I2872" i="27"/>
  <c r="J2773" i="27"/>
  <c r="N2578" i="27"/>
  <c r="K2659" i="27"/>
  <c r="K2574" i="27"/>
  <c r="F2629" i="27"/>
  <c r="N2695" i="27"/>
  <c r="I2672" i="27"/>
  <c r="F2885" i="27"/>
  <c r="I2644" i="27"/>
  <c r="M2864" i="27"/>
  <c r="A2864" i="27" s="1"/>
  <c r="F2573" i="27"/>
  <c r="N2667" i="27"/>
  <c r="G2617" i="27"/>
  <c r="K2625" i="27"/>
  <c r="J2783" i="27"/>
  <c r="P2833" i="27"/>
  <c r="N2590" i="27"/>
  <c r="G2788" i="27"/>
  <c r="E2728" i="27"/>
  <c r="G2811" i="27"/>
  <c r="G2806" i="27"/>
  <c r="E2614" i="27"/>
  <c r="J2690" i="27"/>
  <c r="N2811" i="27"/>
  <c r="P2887" i="27"/>
  <c r="N2771" i="27"/>
  <c r="K2570" i="27"/>
  <c r="I2727" i="27"/>
  <c r="K2827" i="27"/>
  <c r="I2715" i="27"/>
  <c r="N2789" i="27"/>
  <c r="P2867" i="27"/>
  <c r="E2793" i="27"/>
  <c r="I2861" i="27"/>
  <c r="G2776" i="27"/>
  <c r="P2856" i="27"/>
  <c r="G2771" i="27"/>
  <c r="J2687" i="27"/>
  <c r="F2642" i="27"/>
  <c r="K2748" i="27"/>
  <c r="M2825" i="27"/>
  <c r="A2825" i="27" s="1"/>
  <c r="I2735" i="27"/>
  <c r="G2745" i="27"/>
  <c r="J2601" i="27"/>
  <c r="N2730" i="27"/>
  <c r="N2769" i="27"/>
  <c r="E2804" i="27"/>
  <c r="K2551" i="27"/>
  <c r="G2748" i="27"/>
  <c r="N2716" i="27"/>
  <c r="K2635" i="27"/>
  <c r="E2862" i="27"/>
  <c r="E2559" i="27"/>
  <c r="F2836" i="27"/>
  <c r="J2725" i="27"/>
  <c r="K2603" i="27"/>
  <c r="M2846" i="27"/>
  <c r="A2846" i="27" s="1"/>
  <c r="K2843" i="27"/>
  <c r="P2847" i="27"/>
  <c r="E2706" i="27"/>
  <c r="F2581" i="27"/>
  <c r="E2645" i="27"/>
  <c r="J2804" i="27"/>
  <c r="K2736" i="27"/>
  <c r="K2887" i="27"/>
  <c r="N2555" i="27"/>
  <c r="I2750" i="27"/>
  <c r="F2570" i="27"/>
  <c r="J2691" i="27"/>
  <c r="G2867" i="27"/>
  <c r="N2568" i="27"/>
  <c r="K2582" i="27"/>
  <c r="M2816" i="27"/>
  <c r="A2816" i="27" s="1"/>
  <c r="K2860" i="27"/>
  <c r="K2773" i="27"/>
  <c r="I2600" i="27"/>
  <c r="G2763" i="27"/>
  <c r="F2872" i="27"/>
  <c r="P2886" i="27"/>
  <c r="F2798" i="27"/>
  <c r="G2581" i="27"/>
  <c r="I2843" i="27"/>
  <c r="N2620" i="27"/>
  <c r="I2809" i="27"/>
  <c r="E2759" i="27"/>
  <c r="K2647" i="27"/>
  <c r="J2883" i="27"/>
  <c r="N2733" i="27"/>
  <c r="J2786" i="27"/>
  <c r="F2713" i="27"/>
  <c r="J2727" i="27"/>
  <c r="N2618" i="27"/>
  <c r="I2820" i="27"/>
  <c r="F2844" i="27"/>
  <c r="I2841" i="27"/>
  <c r="F2741" i="27"/>
  <c r="I2851" i="27"/>
  <c r="I2609" i="27"/>
  <c r="N2576" i="27"/>
  <c r="K2605" i="27"/>
  <c r="G2590" i="27"/>
  <c r="N2689" i="27"/>
  <c r="N2658" i="27"/>
  <c r="G2724" i="27"/>
  <c r="N2619" i="27"/>
  <c r="G2714" i="27"/>
  <c r="G2890" i="27"/>
  <c r="I2686" i="27"/>
  <c r="F2783" i="27"/>
  <c r="J2572" i="27"/>
  <c r="F2656" i="27"/>
  <c r="F2687" i="27"/>
  <c r="K2746" i="27"/>
  <c r="N2761" i="27"/>
  <c r="K2727" i="27"/>
  <c r="N2850" i="27"/>
  <c r="J2675" i="27"/>
  <c r="N2824" i="27"/>
  <c r="P2808" i="27"/>
  <c r="K2631" i="27"/>
  <c r="I2819" i="27"/>
  <c r="N2775" i="27"/>
  <c r="K2710" i="27"/>
  <c r="F2851" i="27"/>
  <c r="E2712" i="27"/>
  <c r="I2736" i="27"/>
  <c r="M2840" i="27"/>
  <c r="A2840" i="27" s="1"/>
  <c r="P2871" i="27"/>
  <c r="G2830" i="27"/>
  <c r="G2684" i="27"/>
  <c r="I2557" i="27"/>
  <c r="F2756" i="27"/>
  <c r="G2601" i="27"/>
  <c r="J2831" i="27"/>
  <c r="I2627" i="27"/>
  <c r="I2765" i="27"/>
  <c r="N2713" i="27"/>
  <c r="K2822" i="27"/>
  <c r="N2701" i="27"/>
  <c r="I2640" i="27"/>
  <c r="E2738" i="27"/>
  <c r="K2596" i="27"/>
  <c r="P2817" i="27"/>
  <c r="J2586" i="27"/>
  <c r="K2680" i="27"/>
  <c r="F2849" i="27"/>
  <c r="N2666" i="27"/>
  <c r="F2611" i="27"/>
  <c r="G2705" i="27"/>
  <c r="G2563" i="27"/>
  <c r="I2776" i="27"/>
  <c r="E2558" i="27"/>
  <c r="F2715" i="27"/>
  <c r="F2595" i="27"/>
  <c r="E2715" i="27"/>
  <c r="N2655" i="27"/>
  <c r="F2606" i="27"/>
  <c r="E2726" i="27"/>
  <c r="N2594" i="27"/>
  <c r="I2704" i="27"/>
  <c r="E2714" i="27"/>
  <c r="I2881" i="27"/>
  <c r="F2750" i="27"/>
  <c r="P2814" i="27"/>
  <c r="G2674" i="27"/>
  <c r="K2721" i="27"/>
  <c r="I2811" i="27"/>
  <c r="K2832" i="27"/>
  <c r="K2757" i="27"/>
  <c r="I2795" i="27"/>
  <c r="J2629" i="27"/>
  <c r="P2841" i="27"/>
  <c r="K2636" i="27"/>
  <c r="N2702" i="27"/>
  <c r="G2777" i="27"/>
  <c r="N2797" i="27"/>
  <c r="J2750" i="27"/>
  <c r="K2700" i="27"/>
  <c r="I2622" i="27"/>
  <c r="N2871" i="27"/>
  <c r="I2613" i="27"/>
  <c r="K2565" i="27"/>
  <c r="J2788" i="27"/>
  <c r="J2856" i="27"/>
  <c r="N2612" i="27"/>
  <c r="G2649" i="27"/>
  <c r="K2658" i="27"/>
  <c r="G2784" i="27"/>
  <c r="P2813" i="27"/>
  <c r="J2587" i="27"/>
  <c r="F2884" i="27"/>
  <c r="I2573" i="27"/>
  <c r="F2646" i="27"/>
  <c r="N2648" i="27"/>
  <c r="K2705" i="27"/>
  <c r="I2828" i="27"/>
  <c r="N2778" i="27"/>
  <c r="J2813" i="27"/>
  <c r="N2731" i="27"/>
  <c r="G2622" i="27"/>
  <c r="F2780" i="27"/>
  <c r="N2828" i="27"/>
  <c r="J2710" i="27"/>
  <c r="F2867" i="27"/>
  <c r="J2549" i="27"/>
  <c r="J2603" i="27"/>
  <c r="G2835" i="27"/>
  <c r="I2689" i="27"/>
  <c r="J2792" i="27"/>
  <c r="K2592" i="27"/>
  <c r="J2643" i="27"/>
  <c r="G2823" i="27"/>
  <c r="G2772" i="27"/>
  <c r="K2695" i="27"/>
  <c r="K2586" i="27"/>
  <c r="K2674" i="27"/>
  <c r="K2863" i="27"/>
  <c r="E2625" i="27"/>
  <c r="J2575" i="27"/>
  <c r="N2647" i="27"/>
  <c r="G2877" i="27"/>
  <c r="K2660" i="27"/>
  <c r="G2613" i="27"/>
  <c r="K2765" i="27"/>
  <c r="G2635" i="27"/>
  <c r="N2864" i="27"/>
  <c r="F2659" i="27"/>
  <c r="F2600" i="27"/>
  <c r="I2818" i="27"/>
  <c r="N2801" i="27"/>
  <c r="E2801" i="27"/>
  <c r="F2818" i="27"/>
  <c r="N2623" i="27"/>
  <c r="G2756" i="27"/>
  <c r="F2609" i="27"/>
  <c r="N2661" i="27"/>
  <c r="K2733" i="27"/>
  <c r="I2657" i="27"/>
  <c r="N2829" i="27"/>
  <c r="G2550" i="27"/>
  <c r="I2668" i="27"/>
  <c r="N2755" i="27"/>
  <c r="G2891" i="27"/>
  <c r="M2862" i="27"/>
  <c r="A2862" i="27" s="1"/>
  <c r="E2732" i="27"/>
  <c r="P2827" i="27"/>
  <c r="N2813" i="27"/>
  <c r="J2724" i="27"/>
  <c r="E2848" i="27"/>
  <c r="J2633" i="27"/>
  <c r="G2579" i="27"/>
  <c r="N2744" i="27"/>
  <c r="J2851" i="27"/>
  <c r="P2828" i="27"/>
  <c r="K2637" i="27"/>
  <c r="I2726" i="27"/>
  <c r="I2691" i="27"/>
  <c r="E2658" i="27"/>
  <c r="M2883" i="27"/>
  <c r="A2883" i="27" s="1"/>
  <c r="K2675" i="27"/>
  <c r="G2798" i="27"/>
  <c r="F2652" i="27"/>
  <c r="G2865" i="27"/>
  <c r="F2678" i="27"/>
  <c r="F2664" i="27"/>
  <c r="F2776" i="27"/>
  <c r="I2860" i="27"/>
  <c r="F2734" i="27"/>
  <c r="K2793" i="27"/>
  <c r="P2839" i="27"/>
  <c r="I2832" i="27"/>
  <c r="F2834" i="27"/>
  <c r="K2739" i="27"/>
  <c r="K2688" i="27"/>
  <c r="M2818" i="27"/>
  <c r="A2818" i="27" s="1"/>
  <c r="E2650" i="27"/>
  <c r="E2834" i="27"/>
  <c r="M2810" i="27"/>
  <c r="A2810" i="27" s="1"/>
  <c r="P2815" i="27"/>
  <c r="I2850" i="27"/>
  <c r="E2779" i="27"/>
  <c r="N2743" i="27"/>
  <c r="G2640" i="27"/>
  <c r="K2652" i="27"/>
  <c r="G2701" i="27"/>
  <c r="J2890" i="27"/>
  <c r="J2581" i="27"/>
  <c r="F2671" i="27"/>
  <c r="N2669" i="27"/>
  <c r="E2579" i="27"/>
  <c r="J2749" i="27"/>
  <c r="I2867" i="27"/>
  <c r="J2763" i="27"/>
  <c r="F2870" i="27"/>
  <c r="M2834" i="27"/>
  <c r="A2834" i="27" s="1"/>
  <c r="F2726" i="27"/>
  <c r="G2663" i="27"/>
  <c r="F2874" i="27"/>
  <c r="K2561" i="27"/>
  <c r="G2744" i="27"/>
  <c r="J2653" i="27"/>
  <c r="I2597" i="27"/>
  <c r="E2758" i="27"/>
  <c r="J2795" i="27"/>
  <c r="J2888" i="27"/>
  <c r="I2713" i="27"/>
  <c r="G2781" i="27"/>
  <c r="E2705" i="27"/>
  <c r="N2887" i="27"/>
  <c r="E2739" i="27"/>
  <c r="J2801" i="27"/>
  <c r="N2862" i="27"/>
  <c r="J2602" i="27"/>
  <c r="G2794" i="27"/>
  <c r="J2657" i="27"/>
  <c r="J2758" i="27"/>
  <c r="J2753" i="27"/>
  <c r="K2575" i="27"/>
  <c r="K2781" i="27"/>
  <c r="M2884" i="27"/>
  <c r="A2884" i="27" s="1"/>
  <c r="K2567" i="27"/>
  <c r="N2615" i="27"/>
  <c r="P2851" i="27"/>
  <c r="I2562" i="27"/>
  <c r="J2627" i="27"/>
  <c r="N2830" i="27"/>
  <c r="I2826" i="27"/>
  <c r="I2766" i="27"/>
  <c r="G2642" i="27"/>
  <c r="K2708" i="27"/>
  <c r="F2854" i="27"/>
  <c r="G2556" i="27"/>
  <c r="J2779" i="27"/>
  <c r="J2764" i="27"/>
  <c r="G2874" i="27"/>
  <c r="J2844" i="27"/>
  <c r="J2827" i="27"/>
  <c r="N2812" i="27"/>
  <c r="G2826" i="27"/>
  <c r="E2819" i="27"/>
  <c r="E2582" i="27"/>
  <c r="K2572" i="27"/>
  <c r="I2556" i="27"/>
  <c r="J2816" i="27"/>
  <c r="G2588" i="27"/>
  <c r="N2741" i="27"/>
  <c r="F2672" i="27"/>
  <c r="K2780" i="27"/>
  <c r="I2601" i="27"/>
  <c r="N2853" i="27"/>
  <c r="J2860" i="27"/>
  <c r="E2747" i="27"/>
  <c r="N2765" i="27"/>
  <c r="J2730" i="27"/>
  <c r="I2634" i="27"/>
  <c r="E2731" i="27"/>
  <c r="I2587" i="27"/>
  <c r="K2851" i="27"/>
  <c r="I2888" i="27"/>
  <c r="N2553" i="27"/>
  <c r="N2626" i="27"/>
  <c r="M2875" i="27"/>
  <c r="A2875" i="27" s="1"/>
  <c r="N2767" i="27"/>
  <c r="F2852" i="27"/>
  <c r="I2839" i="27"/>
  <c r="P2825" i="27"/>
  <c r="I2624" i="27"/>
  <c r="G2885" i="27"/>
  <c r="I2560" i="27"/>
  <c r="K2679" i="27"/>
  <c r="J2722" i="27"/>
  <c r="K2614" i="27"/>
  <c r="F2806" i="27"/>
  <c r="N2753" i="27"/>
  <c r="N2549" i="27"/>
  <c r="I2652" i="27"/>
  <c r="J2828" i="27"/>
  <c r="M2885" i="27"/>
  <c r="A2885" i="27" s="1"/>
  <c r="K2813" i="27"/>
  <c r="I2682" i="27"/>
  <c r="G2845" i="27"/>
  <c r="E2792" i="27"/>
  <c r="J2808" i="27"/>
  <c r="N2586" i="27"/>
  <c r="K2571" i="27"/>
  <c r="K2859" i="27"/>
  <c r="G2678" i="27"/>
  <c r="K2568" i="27"/>
  <c r="G2706" i="27"/>
  <c r="F2682" i="27"/>
  <c r="N2687" i="27"/>
  <c r="F2816" i="27"/>
  <c r="G2856" i="27"/>
  <c r="I2584" i="27"/>
  <c r="F2711" i="27"/>
  <c r="N2574" i="27"/>
  <c r="K2774" i="27"/>
  <c r="N2726" i="27"/>
  <c r="G2698" i="27"/>
  <c r="N2783" i="27"/>
  <c r="I2607" i="27"/>
  <c r="J2701" i="27"/>
  <c r="N2843" i="27"/>
  <c r="I2825" i="27"/>
  <c r="K2808" i="27"/>
  <c r="J2861" i="27"/>
  <c r="E2573" i="27"/>
  <c r="K2743" i="27"/>
  <c r="M2839" i="27"/>
  <c r="A2839" i="27" s="1"/>
  <c r="K2818" i="27"/>
  <c r="F2755" i="27"/>
  <c r="F2624" i="27"/>
  <c r="E2588" i="27"/>
  <c r="J2755" i="27"/>
  <c r="E2883" i="27"/>
  <c r="E2882" i="27"/>
  <c r="N2835" i="27"/>
  <c r="E2753" i="27"/>
  <c r="I2697" i="27"/>
  <c r="K2799" i="27"/>
  <c r="K2883" i="27"/>
  <c r="F2712" i="27"/>
  <c r="E2642" i="27"/>
  <c r="P2834" i="27"/>
  <c r="F2773" i="27"/>
  <c r="F2576" i="27"/>
  <c r="G2847" i="27"/>
  <c r="I2779" i="27"/>
  <c r="N2883" i="27"/>
  <c r="F2744" i="27"/>
  <c r="F2883" i="27"/>
  <c r="K2789" i="27"/>
  <c r="I2870" i="27"/>
  <c r="F2660" i="27"/>
  <c r="G2700" i="27"/>
  <c r="I2807" i="27"/>
  <c r="J2570" i="27"/>
  <c r="G2805" i="27"/>
  <c r="F2831" i="27"/>
  <c r="J2742" i="27"/>
  <c r="N2770" i="27"/>
  <c r="J2704" i="27"/>
  <c r="P2848" i="27"/>
  <c r="J2563" i="27"/>
  <c r="E2838" i="27"/>
  <c r="K2608" i="27"/>
  <c r="J2640" i="27"/>
  <c r="G2620" i="27"/>
  <c r="P2884" i="27"/>
  <c r="F2721" i="27"/>
  <c r="J2702" i="27"/>
  <c r="N2855" i="27"/>
  <c r="I2823" i="27"/>
  <c r="I2651" i="27"/>
  <c r="N2885" i="27"/>
  <c r="E2597" i="27"/>
  <c r="K2889" i="27"/>
  <c r="F2572" i="27"/>
  <c r="E2889" i="27"/>
  <c r="N2637" i="27"/>
  <c r="J2674" i="27"/>
  <c r="G2833" i="27"/>
  <c r="K2753" i="27"/>
  <c r="J2847" i="27"/>
  <c r="K2821" i="27"/>
  <c r="J2805" i="27"/>
  <c r="P2829" i="27"/>
  <c r="J2787" i="27"/>
  <c r="K2663" i="27"/>
  <c r="J2830" i="27"/>
  <c r="I2808" i="27"/>
  <c r="F2578" i="27"/>
  <c r="K2864" i="27"/>
  <c r="K2685" i="27"/>
  <c r="K2824" i="27"/>
  <c r="N2603" i="27"/>
  <c r="J2616" i="27"/>
  <c r="F2796" i="27"/>
  <c r="I2853" i="27"/>
  <c r="J2726" i="27"/>
  <c r="K2712" i="27"/>
  <c r="G2697" i="27"/>
  <c r="I2617" i="27"/>
  <c r="E2687" i="27"/>
  <c r="E2723" i="27"/>
  <c r="G2717" i="27"/>
  <c r="J2639" i="27"/>
  <c r="I2588" i="27"/>
  <c r="N2792" i="27"/>
  <c r="K2677" i="27"/>
  <c r="P2846" i="27"/>
  <c r="F2623" i="27"/>
  <c r="F2774" i="27"/>
  <c r="G2639" i="27"/>
  <c r="K2732" i="27"/>
  <c r="K2785" i="27"/>
  <c r="N2712" i="27"/>
  <c r="N2748" i="27"/>
  <c r="G2664" i="27"/>
  <c r="G2852" i="27"/>
  <c r="I2732" i="27"/>
  <c r="N2833" i="27"/>
  <c r="N2610" i="27"/>
  <c r="J2610" i="27"/>
  <c r="J2803" i="27"/>
  <c r="G2807" i="27"/>
  <c r="G2853" i="27"/>
  <c r="N2773" i="27"/>
  <c r="J2741" i="27"/>
  <c r="E2561" i="27"/>
  <c r="F2878" i="27"/>
  <c r="N2719" i="27"/>
  <c r="F2627" i="27"/>
  <c r="K2807" i="27"/>
  <c r="K2670" i="27"/>
  <c r="G2815" i="27"/>
  <c r="J2842" i="27"/>
  <c r="J2772" i="27"/>
  <c r="K2612" i="27"/>
  <c r="G2710" i="27"/>
  <c r="G2733" i="27"/>
  <c r="E2877" i="27"/>
  <c r="G2702" i="27"/>
  <c r="J2652" i="27"/>
  <c r="E2888" i="27"/>
  <c r="G2825" i="27"/>
  <c r="N2852" i="27"/>
  <c r="G2739" i="27"/>
  <c r="N2706" i="27"/>
  <c r="G2886" i="27"/>
  <c r="N2652" i="27"/>
  <c r="M2811" i="27"/>
  <c r="A2811" i="27" s="1"/>
  <c r="F2550" i="27"/>
  <c r="G2602" i="27"/>
  <c r="G2564" i="27"/>
  <c r="G2883" i="27"/>
  <c r="K2759" i="27"/>
  <c r="I2565" i="27"/>
  <c r="N2601" i="27"/>
  <c r="G2652" i="27"/>
  <c r="M2879" i="27"/>
  <c r="A2879" i="27" s="1"/>
  <c r="N2817" i="27"/>
  <c r="E2786" i="27"/>
  <c r="G2837" i="27"/>
  <c r="N2558" i="27"/>
  <c r="J2774" i="27"/>
  <c r="G2761" i="27"/>
  <c r="K2661" i="27"/>
  <c r="I2576" i="27"/>
  <c r="K2791" i="27"/>
  <c r="F2634" i="27"/>
  <c r="M2852" i="27"/>
  <c r="A2852" i="27" s="1"/>
  <c r="N2563" i="27"/>
  <c r="E2549" i="27"/>
  <c r="K2719" i="27"/>
  <c r="K2745" i="27"/>
  <c r="J2656" i="27"/>
  <c r="N2561" i="27"/>
  <c r="F2789" i="27"/>
  <c r="J2812" i="27"/>
  <c r="J2609" i="27"/>
  <c r="K2621" i="27"/>
  <c r="G2660" i="27"/>
  <c r="E2827" i="27"/>
  <c r="N2861" i="27"/>
  <c r="N2600" i="27"/>
  <c r="F2639" i="27"/>
  <c r="J2852" i="27"/>
  <c r="G2621" i="27"/>
  <c r="K2779" i="27"/>
  <c r="F2636" i="27"/>
  <c r="J2677" i="27"/>
  <c r="P2826" i="27"/>
  <c r="G2770" i="27"/>
  <c r="N2611" i="27"/>
  <c r="J2681" i="27"/>
  <c r="N2668" i="27"/>
  <c r="E2697" i="27"/>
  <c r="I2770" i="27"/>
  <c r="I2834" i="27"/>
  <c r="N2863" i="27"/>
  <c r="N2888" i="27"/>
  <c r="I2792" i="27"/>
  <c r="J2711" i="27"/>
  <c r="F2563" i="27"/>
  <c r="E2708" i="27"/>
  <c r="K2844" i="27"/>
  <c r="F2689" i="27"/>
  <c r="I2804" i="27"/>
  <c r="M2865" i="27"/>
  <c r="A2865" i="27" s="1"/>
  <c r="G2566" i="27"/>
  <c r="K2766" i="27"/>
  <c r="G2686" i="27"/>
  <c r="K2840" i="27"/>
  <c r="G2615" i="27"/>
  <c r="K2593" i="27"/>
  <c r="P2862" i="27"/>
  <c r="K2585" i="27"/>
  <c r="J2760" i="27"/>
  <c r="N2836" i="27"/>
  <c r="N2634" i="27"/>
  <c r="J2780" i="27"/>
  <c r="I2815" i="27"/>
  <c r="J2693" i="27"/>
  <c r="J2644" i="27"/>
  <c r="J2832" i="27"/>
  <c r="I2830" i="27"/>
  <c r="N2879" i="27"/>
  <c r="G2813" i="27"/>
  <c r="N2749" i="27"/>
  <c r="G2551" i="27"/>
  <c r="N2665" i="27"/>
  <c r="N2786" i="27"/>
  <c r="I2789" i="27"/>
  <c r="N2579" i="27"/>
  <c r="P2849" i="27"/>
  <c r="K2729" i="27"/>
  <c r="G2687" i="27"/>
  <c r="F2770" i="27"/>
  <c r="E2710" i="27"/>
  <c r="K2633" i="27"/>
  <c r="K2573" i="27"/>
  <c r="J2673" i="27"/>
  <c r="G2789" i="27"/>
  <c r="M2849" i="27"/>
  <c r="A2849" i="27" s="1"/>
  <c r="N2572" i="27"/>
  <c r="J2857" i="27"/>
  <c r="G2817" i="27"/>
  <c r="G2749" i="27"/>
  <c r="E2855" i="27"/>
  <c r="K2602" i="27"/>
  <c r="N2742" i="27"/>
  <c r="N2625" i="27"/>
  <c r="F2717" i="27"/>
  <c r="I2699" i="27"/>
  <c r="K2718" i="27"/>
  <c r="J2882" i="27"/>
  <c r="J2735" i="27"/>
  <c r="J2845" i="27"/>
  <c r="N2821" i="27"/>
  <c r="J2823" i="27"/>
  <c r="M2808" i="27"/>
  <c r="A2808" i="27" s="1"/>
  <c r="F2683" i="27"/>
  <c r="N2714" i="27"/>
  <c r="I2643" i="27"/>
  <c r="N2841" i="27"/>
  <c r="E2654" i="27"/>
  <c r="I2884" i="27"/>
  <c r="P2852" i="27"/>
  <c r="G2650" i="27"/>
  <c r="I2702" i="27"/>
  <c r="I2591" i="27"/>
  <c r="N2592" i="27"/>
  <c r="E2789" i="27"/>
  <c r="J2626" i="27"/>
  <c r="F2782" i="27"/>
  <c r="N2688" i="27"/>
  <c r="K2881" i="27"/>
  <c r="N2840" i="27"/>
  <c r="G2803" i="27"/>
  <c r="G2752" i="27"/>
  <c r="F2669" i="27"/>
  <c r="I2817" i="27"/>
  <c r="N2585" i="27"/>
  <c r="P2811" i="27"/>
  <c r="F2760" i="27"/>
  <c r="J2809" i="27"/>
  <c r="I2630" i="27"/>
  <c r="G2775" i="27"/>
  <c r="N2869" i="27"/>
  <c r="I2575" i="27"/>
  <c r="J2800" i="27"/>
  <c r="J2625" i="27"/>
  <c r="E2619" i="27"/>
  <c r="F2617" i="27"/>
  <c r="I2856" i="27"/>
  <c r="J2567" i="27"/>
  <c r="G2625" i="27"/>
  <c r="J2820" i="27"/>
  <c r="F2751" i="27"/>
  <c r="E2668" i="27"/>
  <c r="E2859" i="27"/>
  <c r="G2552" i="27"/>
  <c r="J2607" i="27"/>
  <c r="J2859" i="27"/>
  <c r="N2884" i="27"/>
  <c r="N2604" i="27"/>
  <c r="I2837" i="27"/>
  <c r="N2839" i="27"/>
  <c r="G2873" i="27"/>
  <c r="I2875" i="27"/>
  <c r="K2623" i="27"/>
  <c r="K2805" i="27"/>
  <c r="E2790" i="27"/>
  <c r="J2596" i="27"/>
  <c r="N2847" i="27"/>
  <c r="E2678" i="27"/>
  <c r="G2681" i="27"/>
  <c r="E2780" i="27"/>
  <c r="K2562" i="27"/>
  <c r="G2725" i="27"/>
  <c r="E2552" i="27"/>
  <c r="P2888" i="27"/>
  <c r="J2552" i="27"/>
  <c r="J2667" i="27"/>
  <c r="P2831" i="27"/>
  <c r="F2549" i="27"/>
  <c r="G2762" i="27"/>
  <c r="J2663" i="27"/>
  <c r="F2817" i="27"/>
  <c r="N2690" i="27"/>
  <c r="E2861" i="27"/>
  <c r="K2657" i="27"/>
  <c r="K2742" i="27"/>
  <c r="K2707" i="27"/>
  <c r="P2830" i="27"/>
  <c r="I2810" i="27"/>
  <c r="E2820" i="27"/>
  <c r="F2820" i="27"/>
  <c r="F2690" i="27"/>
  <c r="N2735" i="27"/>
  <c r="K2804" i="27"/>
  <c r="G2729" i="27"/>
  <c r="E2719" i="27"/>
  <c r="I2781" i="27"/>
  <c r="P2843" i="27"/>
  <c r="E2555" i="27"/>
  <c r="I2833" i="27"/>
  <c r="J2571" i="27"/>
  <c r="K2794" i="27"/>
  <c r="I2629" i="27"/>
  <c r="I2577" i="27"/>
  <c r="M2829" i="27"/>
  <c r="A2829" i="27" s="1"/>
  <c r="F2843" i="27"/>
  <c r="K2772" i="27"/>
  <c r="M2871" i="27"/>
  <c r="A2871" i="27" s="1"/>
  <c r="G2879" i="27"/>
  <c r="E2620" i="27"/>
  <c r="N2614" i="27"/>
  <c r="E2729" i="27"/>
  <c r="N2685" i="27"/>
  <c r="J2679" i="27"/>
  <c r="F2857" i="27"/>
  <c r="G2887" i="27"/>
  <c r="E2852" i="27"/>
  <c r="J2636" i="27"/>
  <c r="E2763" i="27"/>
  <c r="P2880" i="27"/>
  <c r="N2760" i="27"/>
  <c r="N2711" i="27"/>
  <c r="J2798" i="27"/>
  <c r="N2697" i="27"/>
  <c r="I2864" i="27"/>
  <c r="F2848" i="27"/>
  <c r="K2611" i="27"/>
  <c r="E2574" i="27"/>
  <c r="J2613" i="27"/>
  <c r="E2583" i="27"/>
  <c r="K2699" i="27"/>
  <c r="F2811" i="27"/>
  <c r="I2663" i="27"/>
  <c r="K2725" i="27"/>
  <c r="F2557" i="27"/>
  <c r="I2885" i="27"/>
  <c r="E2607" i="27"/>
  <c r="F2675" i="27"/>
  <c r="J2889" i="27"/>
  <c r="N2646" i="27"/>
  <c r="F2766" i="27"/>
  <c r="K2858" i="27"/>
  <c r="E2581" i="27"/>
  <c r="F2559" i="27"/>
  <c r="E2553" i="27"/>
  <c r="I2638" i="27"/>
  <c r="J2843" i="27"/>
  <c r="G2692" i="27"/>
  <c r="N2684" i="27"/>
  <c r="K2696" i="27"/>
  <c r="P2889" i="27"/>
  <c r="I2768" i="27"/>
  <c r="K2714" i="27"/>
  <c r="I2671" i="27"/>
  <c r="J2659" i="27"/>
  <c r="G2720" i="27"/>
  <c r="J2604" i="27"/>
  <c r="J2608" i="27"/>
  <c r="G2562" i="27"/>
  <c r="I2754" i="27"/>
  <c r="F2582" i="27"/>
  <c r="I2729" i="27"/>
  <c r="P2860" i="27"/>
  <c r="G2553" i="27"/>
  <c r="I2650" i="27"/>
  <c r="E2768" i="27"/>
  <c r="I2693" i="27"/>
  <c r="J2874" i="27"/>
  <c r="F2729" i="27"/>
  <c r="N2621" i="27"/>
  <c r="F2812" i="27"/>
  <c r="N2550" i="27"/>
  <c r="I2610" i="27"/>
  <c r="I2698" i="27"/>
  <c r="E2757" i="27"/>
  <c r="N2790" i="27"/>
  <c r="K2587" i="27"/>
  <c r="E2812" i="27"/>
  <c r="F2643" i="27"/>
  <c r="F2856" i="27"/>
  <c r="N2698" i="27"/>
  <c r="K2767" i="27"/>
  <c r="I2680" i="27"/>
  <c r="I2590" i="27"/>
  <c r="K2828" i="27"/>
  <c r="J2611" i="27"/>
  <c r="K2584" i="27"/>
  <c r="I2626" i="27"/>
  <c r="K2838" i="27"/>
  <c r="J2620" i="27"/>
  <c r="G2824" i="27"/>
  <c r="M2851" i="27"/>
  <c r="A2851" i="27" s="1"/>
  <c r="J2645" i="27"/>
  <c r="G2768" i="27"/>
  <c r="J2676" i="27"/>
  <c r="J2756" i="27"/>
  <c r="M2828" i="27"/>
  <c r="A2828" i="27" s="1"/>
  <c r="N2632" i="27"/>
  <c r="J2713" i="27"/>
  <c r="E2608" i="27"/>
  <c r="G2838" i="27"/>
  <c r="E2791" i="27"/>
  <c r="N2777" i="27"/>
  <c r="E2674" i="27"/>
  <c r="I2675" i="27"/>
  <c r="J2849" i="27"/>
  <c r="K2626" i="27"/>
  <c r="G2707" i="27"/>
  <c r="K2590" i="27"/>
  <c r="J2868" i="27"/>
  <c r="G2796" i="27"/>
  <c r="K2796" i="27"/>
  <c r="I2707" i="27"/>
  <c r="K2872" i="27"/>
  <c r="I2611" i="27"/>
  <c r="P2859" i="27"/>
  <c r="J2621" i="27"/>
  <c r="F2564" i="27"/>
  <c r="K2816" i="27"/>
  <c r="F2876" i="27"/>
  <c r="J2869" i="27"/>
  <c r="P2875" i="27"/>
  <c r="F2801" i="27"/>
  <c r="G2750" i="27"/>
  <c r="K2877" i="27"/>
  <c r="J2560" i="27"/>
  <c r="J2740" i="27"/>
  <c r="N2788" i="27"/>
  <c r="N2782" i="27"/>
  <c r="K2711" i="27"/>
  <c r="I2695" i="27"/>
  <c r="E2611" i="27"/>
  <c r="I2619" i="27"/>
  <c r="F2882" i="27"/>
  <c r="P2869" i="27"/>
  <c r="I2846" i="27"/>
  <c r="M2841" i="27"/>
  <c r="A2841" i="27" s="1"/>
  <c r="F2736" i="27"/>
  <c r="G2647" i="27"/>
  <c r="K2749" i="27"/>
  <c r="K2811" i="27"/>
  <c r="P2877" i="27"/>
  <c r="G2774" i="27"/>
  <c r="F2787" i="27"/>
  <c r="M2842" i="27"/>
  <c r="A2842" i="27" s="1"/>
  <c r="E2672" i="27"/>
  <c r="P2844" i="27"/>
  <c r="N2758" i="27"/>
  <c r="N2729" i="27"/>
  <c r="G2860" i="27"/>
  <c r="N2738" i="27"/>
  <c r="K2875" i="27"/>
  <c r="N2881" i="27"/>
  <c r="K2618" i="27"/>
  <c r="M2877" i="27"/>
  <c r="A2877" i="27" s="1"/>
  <c r="I2842" i="27"/>
  <c r="I2791" i="27"/>
  <c r="F2740" i="27"/>
  <c r="G2572" i="27"/>
  <c r="F2753" i="27"/>
  <c r="N2764" i="27"/>
  <c r="I2772" i="27"/>
  <c r="N2608" i="27"/>
  <c r="E2704" i="27"/>
  <c r="F2738" i="27"/>
  <c r="G2870" i="27"/>
  <c r="F2551" i="27"/>
  <c r="I2741" i="27"/>
  <c r="K2613" i="27"/>
  <c r="M2853" i="27"/>
  <c r="A2853" i="27" s="1"/>
  <c r="E2713" i="27"/>
  <c r="I2747" i="27"/>
  <c r="K2676" i="27"/>
  <c r="N2654" i="27"/>
  <c r="M2880" i="27"/>
  <c r="A2880" i="27" s="1"/>
  <c r="F2826" i="27"/>
  <c r="G2658" i="27"/>
  <c r="N2613" i="27"/>
  <c r="F2819" i="27"/>
  <c r="I2615" i="27"/>
  <c r="P2822" i="27"/>
  <c r="M2820" i="27"/>
  <c r="A2820" i="27" s="1"/>
  <c r="F2754" i="27"/>
  <c r="E2595" i="27"/>
  <c r="N2746" i="27"/>
  <c r="I2778" i="27"/>
  <c r="K2777" i="27"/>
  <c r="N2876" i="27"/>
  <c r="J2551" i="27"/>
  <c r="J2577" i="27"/>
  <c r="I2757" i="27"/>
  <c r="N2638" i="27"/>
  <c r="G2841" i="27"/>
  <c r="G2808" i="27"/>
  <c r="F2648" i="27"/>
  <c r="G2731" i="27"/>
  <c r="I2646" i="27"/>
  <c r="G2792" i="27"/>
  <c r="F2710" i="27"/>
  <c r="N2823" i="27"/>
  <c r="K2782" i="27"/>
  <c r="I2711" i="27"/>
  <c r="E2815" i="27"/>
  <c r="N2629" i="27"/>
  <c r="K2848" i="27"/>
  <c r="F2746" i="27"/>
  <c r="I2782" i="27"/>
  <c r="F2823" i="27"/>
  <c r="M2867" i="27"/>
  <c r="A2867" i="27" s="1"/>
  <c r="N2878" i="27"/>
  <c r="N2703" i="27"/>
  <c r="N2804" i="27"/>
  <c r="N2886" i="27"/>
  <c r="F2862" i="27"/>
  <c r="I2700" i="27"/>
  <c r="G2715" i="27"/>
  <c r="K2591" i="27"/>
  <c r="K2698" i="27"/>
  <c r="I2889" i="27"/>
  <c r="K2730" i="27"/>
  <c r="J2566" i="27"/>
  <c r="I2805" i="27"/>
  <c r="E2639" i="27"/>
  <c r="J2605" i="27"/>
  <c r="G2568" i="27"/>
  <c r="I2593" i="27"/>
  <c r="M2856" i="27"/>
  <c r="A2856" i="27" s="1"/>
  <c r="I2865" i="27"/>
  <c r="G2627" i="27"/>
  <c r="I2559" i="27"/>
  <c r="F2571" i="27"/>
  <c r="J2811" i="27"/>
  <c r="I2571" i="27"/>
  <c r="E2589" i="27"/>
  <c r="I2771" i="27"/>
  <c r="E2798" i="27"/>
  <c r="F2809" i="27"/>
  <c r="J2870" i="27"/>
  <c r="M2889" i="27"/>
  <c r="A2889" i="27" s="1"/>
  <c r="I2572" i="27"/>
  <c r="K2722" i="27"/>
  <c r="G2858" i="27"/>
  <c r="K2738" i="27"/>
  <c r="E2810" i="27"/>
  <c r="E2631" i="27"/>
  <c r="J2595" i="27"/>
  <c r="G2616" i="27"/>
  <c r="K2581" i="27"/>
  <c r="J2649" i="27"/>
  <c r="F2725" i="27"/>
  <c r="E2601" i="27"/>
  <c r="G2820" i="27"/>
  <c r="N2596" i="27"/>
  <c r="G2795" i="27"/>
  <c r="E2849" i="27"/>
  <c r="E2870" i="27"/>
  <c r="F2635" i="27"/>
  <c r="J2697" i="27"/>
  <c r="G2691" i="27"/>
  <c r="J2793" i="27"/>
  <c r="K2882" i="27"/>
  <c r="K2583" i="27"/>
  <c r="N2872" i="27"/>
  <c r="G2872" i="27"/>
  <c r="N2854" i="27"/>
  <c r="K2809" i="27"/>
  <c r="I2871" i="27"/>
  <c r="E2675" i="27"/>
  <c r="G2734" i="27"/>
  <c r="G2804" i="27"/>
  <c r="F2554" i="27"/>
  <c r="J2785" i="27"/>
  <c r="I2745" i="27"/>
  <c r="J2747" i="27"/>
  <c r="G2708" i="27"/>
  <c r="J2589" i="27"/>
  <c r="F2698" i="27"/>
  <c r="F2684" i="27"/>
  <c r="K2854" i="27"/>
  <c r="E2648" i="27"/>
  <c r="F2699" i="27"/>
  <c r="K2833" i="27"/>
  <c r="K2867" i="27"/>
  <c r="N2606" i="27"/>
  <c r="F2718" i="27"/>
  <c r="J2555" i="27"/>
  <c r="N2694" i="27"/>
  <c r="M2869" i="27"/>
  <c r="A2869" i="27" s="1"/>
  <c r="N2750" i="27"/>
  <c r="J2739" i="27"/>
  <c r="J2557" i="27"/>
  <c r="N2631" i="27"/>
  <c r="N2681" i="27"/>
  <c r="K2598" i="27"/>
  <c r="M2887" i="27"/>
  <c r="A2887" i="27" s="1"/>
  <c r="F2592" i="27"/>
  <c r="E2576" i="27"/>
  <c r="N2581" i="27"/>
  <c r="E2733" i="27"/>
  <c r="J2714" i="27"/>
  <c r="E2643" i="27"/>
  <c r="N2807" i="27"/>
  <c r="K2836" i="27"/>
  <c r="J2694" i="27"/>
  <c r="N2683" i="27"/>
  <c r="K2862" i="27"/>
  <c r="F2638" i="27"/>
  <c r="N2842" i="27"/>
  <c r="K2692" i="27"/>
  <c r="M2826" i="27"/>
  <c r="A2826" i="27" s="1"/>
  <c r="G2619" i="27"/>
  <c r="E2876" i="27"/>
  <c r="E2802" i="27"/>
  <c r="K2563" i="27"/>
  <c r="I2621" i="27"/>
  <c r="J2685" i="27"/>
  <c r="J2806" i="27"/>
  <c r="F2860" i="27"/>
  <c r="P2874" i="27"/>
  <c r="F2866" i="27"/>
  <c r="K2849" i="27"/>
  <c r="J2647" i="27"/>
  <c r="K2557" i="27"/>
  <c r="N2649" i="27"/>
  <c r="J2765" i="27"/>
  <c r="G2758" i="27"/>
  <c r="J2696" i="27"/>
  <c r="F2575" i="27"/>
  <c r="P2837" i="27"/>
  <c r="M2812" i="27"/>
  <c r="A2812" i="27" s="1"/>
  <c r="M2850" i="27"/>
  <c r="A2850" i="27" s="1"/>
  <c r="G2875" i="27"/>
  <c r="I2799" i="27"/>
  <c r="I2738" i="27"/>
  <c r="K2747" i="27"/>
  <c r="J2723" i="27"/>
  <c r="E2694" i="27"/>
  <c r="J2837" i="27"/>
  <c r="N2609" i="27"/>
  <c r="G2831" i="27"/>
  <c r="J2776" i="27"/>
  <c r="K2853" i="27"/>
  <c r="G2596" i="27"/>
  <c r="E2743" i="27"/>
  <c r="G2791" i="27"/>
  <c r="P2855" i="27"/>
  <c r="F2784" i="27"/>
  <c r="N2717" i="27"/>
  <c r="E2824" i="27"/>
  <c r="K2760" i="27"/>
  <c r="N2880" i="27"/>
  <c r="I2635" i="27"/>
  <c r="N2570" i="27"/>
  <c r="P2876" i="27"/>
  <c r="G2730" i="27"/>
  <c r="J2641" i="27"/>
  <c r="N2650" i="27"/>
  <c r="G2584" i="27"/>
  <c r="I2564" i="27"/>
  <c r="K2616" i="27"/>
  <c r="F2603" i="27"/>
  <c r="E2600" i="27"/>
  <c r="J2671" i="27"/>
  <c r="J2615" i="27"/>
  <c r="P2819" i="27"/>
  <c r="J2678" i="27"/>
  <c r="N2796" i="27"/>
  <c r="F2772" i="27"/>
  <c r="I2855" i="27"/>
  <c r="G2580" i="27"/>
  <c r="M2890" i="27"/>
  <c r="A2890" i="27" s="1"/>
  <c r="N2867" i="27"/>
  <c r="E2858" i="27"/>
  <c r="J2825" i="27"/>
  <c r="F2666" i="27"/>
  <c r="F2871" i="27"/>
  <c r="E2604" i="27"/>
  <c r="N2781" i="27"/>
  <c r="G2570" i="27"/>
  <c r="K2709" i="27"/>
  <c r="G2721" i="27"/>
  <c r="F2607" i="27"/>
  <c r="E2605" i="27"/>
  <c r="J2559" i="27"/>
  <c r="E2762" i="27"/>
  <c r="K2723" i="27"/>
  <c r="N2664" i="27"/>
  <c r="G2624" i="27"/>
  <c r="J2638" i="27"/>
  <c r="K2740" i="27"/>
  <c r="G2656" i="27"/>
  <c r="E2841" i="27"/>
  <c r="N2772" i="27"/>
  <c r="F2691" i="27"/>
  <c r="P2879" i="27"/>
  <c r="G2782" i="27"/>
  <c r="J2658" i="27"/>
  <c r="E2813" i="27"/>
  <c r="I2777" i="27"/>
  <c r="P2865" i="27"/>
  <c r="E2565" i="27"/>
  <c r="G2773" i="27"/>
  <c r="K2713" i="27"/>
  <c r="J2767" i="27"/>
  <c r="K2702" i="27"/>
  <c r="N2597" i="27"/>
  <c r="E2676" i="27"/>
  <c r="K2629" i="27"/>
  <c r="E2846" i="27"/>
  <c r="J2846" i="27"/>
  <c r="I2844" i="27"/>
  <c r="G2699" i="27"/>
  <c r="N2756" i="27"/>
  <c r="J2784" i="27"/>
  <c r="F2827" i="27"/>
  <c r="F2574" i="27"/>
  <c r="N2734" i="27"/>
  <c r="N2857" i="27"/>
  <c r="I2800" i="27"/>
  <c r="K2606" i="27"/>
  <c r="F2858" i="27"/>
  <c r="F2650" i="27"/>
  <c r="M2874" i="27"/>
  <c r="A2874" i="27" s="1"/>
  <c r="G2864" i="27"/>
  <c r="E2646" i="27"/>
  <c r="N2784" i="27"/>
  <c r="F2657" i="27"/>
  <c r="M2824" i="27"/>
  <c r="A2824" i="27" s="1"/>
  <c r="I2690" i="27"/>
  <c r="F2641" i="27"/>
  <c r="K2783" i="27"/>
  <c r="N2822" i="27"/>
  <c r="K2681" i="27"/>
  <c r="F2752" i="27"/>
  <c r="K2666" i="27"/>
  <c r="F2667" i="27"/>
  <c r="E2765" i="27"/>
  <c r="E2717" i="27"/>
  <c r="P2809" i="27"/>
  <c r="K2815" i="27"/>
  <c r="E2803" i="27"/>
  <c r="I2822" i="27"/>
  <c r="F2722" i="27"/>
  <c r="P2850" i="27"/>
  <c r="I2813" i="27"/>
  <c r="M2863" i="27"/>
  <c r="A2863" i="27" s="1"/>
  <c r="I2563" i="27"/>
  <c r="N2745" i="27"/>
  <c r="I2717" i="27"/>
  <c r="J2695" i="27"/>
  <c r="I2683" i="27"/>
  <c r="J2875" i="27"/>
  <c r="N2723" i="27"/>
  <c r="J2744" i="27"/>
  <c r="I2728" i="27"/>
  <c r="F2566" i="27"/>
  <c r="J2782" i="27"/>
  <c r="E2550" i="27"/>
  <c r="P2878" i="27"/>
  <c r="E2885" i="27"/>
  <c r="N2705" i="27"/>
  <c r="F2597" i="27"/>
  <c r="I2821" i="27"/>
  <c r="G2623" i="27"/>
  <c r="E2860" i="27"/>
  <c r="G2861" i="27"/>
  <c r="G2657" i="27"/>
  <c r="P2836" i="27"/>
  <c r="N2718" i="27"/>
  <c r="G2670" i="27"/>
  <c r="K2837" i="27"/>
  <c r="E2828" i="27"/>
  <c r="K2628" i="27"/>
  <c r="I2567" i="27"/>
  <c r="G2680" i="27"/>
  <c r="J2634" i="27"/>
  <c r="F2859" i="27"/>
  <c r="F2645" i="27"/>
  <c r="J2682" i="27"/>
  <c r="G2599" i="27"/>
  <c r="J2876" i="27"/>
  <c r="M2838" i="27"/>
  <c r="A2838" i="27" s="1"/>
  <c r="I2670" i="27"/>
  <c r="F2864" i="27"/>
  <c r="N2757" i="27"/>
  <c r="N2645" i="27"/>
  <c r="I2790" i="27"/>
  <c r="J2729" i="27"/>
  <c r="G2630" i="27"/>
  <c r="F2788" i="27"/>
  <c r="N2838" i="27"/>
  <c r="J2815" i="27"/>
  <c r="E2695" i="27"/>
  <c r="N2802" i="27"/>
  <c r="I2788" i="27"/>
  <c r="E2635" i="27"/>
  <c r="J2743" i="27"/>
  <c r="J2819" i="27"/>
  <c r="F2758" i="27"/>
  <c r="M2845" i="27"/>
  <c r="A2845" i="27" s="1"/>
  <c r="M2868" i="27"/>
  <c r="A2868" i="27" s="1"/>
  <c r="G2716" i="27"/>
  <c r="E2609" i="27"/>
  <c r="E2756" i="27"/>
  <c r="E2874" i="27"/>
  <c r="F2615" i="27"/>
  <c r="G2696" i="27"/>
  <c r="J2646" i="27"/>
  <c r="G2638" i="27"/>
  <c r="F2588" i="27"/>
  <c r="F2821" i="27"/>
  <c r="K2655" i="27"/>
  <c r="N2569" i="27"/>
  <c r="F2654" i="27"/>
  <c r="E2560" i="27"/>
  <c r="G2802" i="27"/>
  <c r="F2608" i="27"/>
  <c r="E2840" i="27"/>
  <c r="N2846" i="27"/>
  <c r="M2870" i="27"/>
  <c r="A2870" i="27" s="1"/>
  <c r="N2628" i="27"/>
  <c r="P2816" i="27"/>
  <c r="F2837" i="27"/>
  <c r="I2712" i="27"/>
  <c r="K2691" i="27"/>
  <c r="N2737" i="27"/>
  <c r="K2819" i="27"/>
  <c r="I2883" i="27"/>
  <c r="F2665" i="27"/>
  <c r="I2648" i="27"/>
  <c r="J2683" i="27"/>
  <c r="J2680" i="27"/>
  <c r="J2790" i="27"/>
  <c r="K2724" i="27"/>
  <c r="G2689" i="27"/>
  <c r="I2886" i="27"/>
  <c r="P2812" i="27"/>
  <c r="M2823" i="27"/>
  <c r="A2823" i="27" s="1"/>
  <c r="G2809" i="27"/>
  <c r="K2890" i="27"/>
  <c r="I2759" i="27"/>
  <c r="F2719" i="27"/>
  <c r="K2726" i="27"/>
  <c r="I2758" i="27"/>
  <c r="I2816" i="27"/>
  <c r="F2705" i="27"/>
  <c r="I2549" i="27"/>
  <c r="K2744" i="27"/>
  <c r="I2739" i="27"/>
  <c r="N2616" i="27"/>
  <c r="J2840" i="27"/>
  <c r="K2639" i="27"/>
  <c r="E2817" i="27"/>
  <c r="K2555" i="27"/>
  <c r="G2780" i="27"/>
  <c r="J2866" i="27"/>
  <c r="I2724" i="27"/>
  <c r="F2708" i="27"/>
  <c r="F2730" i="27"/>
  <c r="J2858" i="27"/>
  <c r="J2761" i="27"/>
  <c r="I2737" i="27"/>
  <c r="K2690" i="27"/>
  <c r="F2586" i="27"/>
  <c r="N2858" i="27"/>
  <c r="E2774" i="27"/>
  <c r="N2808" i="27"/>
  <c r="I2763" i="27"/>
  <c r="F2583" i="27"/>
  <c r="I2890" i="27"/>
  <c r="M2891" i="27"/>
  <c r="A2891" i="27" s="1"/>
  <c r="G2610" i="27"/>
  <c r="N2699" i="27"/>
  <c r="K2671" i="27"/>
  <c r="K2829" i="27"/>
  <c r="J2841" i="27"/>
  <c r="F2565" i="27"/>
  <c r="E2571" i="27"/>
  <c r="J2817" i="27"/>
  <c r="E2805" i="27"/>
  <c r="G2679" i="27"/>
  <c r="F2863" i="27"/>
  <c r="J2862" i="27"/>
  <c r="G2577" i="27"/>
  <c r="P2840" i="27"/>
  <c r="I2658" i="27"/>
  <c r="I2845" i="27"/>
  <c r="J2576" i="27"/>
  <c r="G2732" i="27"/>
  <c r="N2820" i="27"/>
  <c r="G2694" i="27"/>
  <c r="F2676" i="27"/>
  <c r="I2723" i="27"/>
  <c r="K2553" i="27"/>
  <c r="K2751" i="27"/>
  <c r="N2707" i="27"/>
  <c r="J2854" i="27"/>
  <c r="G2695" i="27"/>
  <c r="G2628" i="27"/>
  <c r="J2631" i="27"/>
  <c r="N2785" i="27"/>
  <c r="E2641" i="27"/>
  <c r="G2567" i="27"/>
  <c r="I2847" i="27"/>
  <c r="F2804" i="27"/>
  <c r="N2759" i="27"/>
  <c r="F2763" i="27"/>
  <c r="G2665" i="27"/>
  <c r="K2577" i="27"/>
  <c r="N2848" i="27"/>
  <c r="I2862" i="27"/>
  <c r="N2575" i="27"/>
  <c r="E2612" i="27"/>
  <c r="G2685" i="27"/>
  <c r="K2734" i="27"/>
  <c r="F2879" i="27"/>
  <c r="E2615" i="27"/>
  <c r="J2703" i="27"/>
  <c r="F2703" i="27"/>
  <c r="N2727" i="27"/>
  <c r="J2556" i="27"/>
  <c r="M2819" i="27"/>
  <c r="A2819" i="27" s="1"/>
  <c r="E2624" i="27"/>
  <c r="I2701" i="27"/>
  <c r="F2803" i="27"/>
  <c r="K2667" i="27"/>
  <c r="M2836" i="27"/>
  <c r="A2836" i="27" s="1"/>
  <c r="I2569" i="27"/>
  <c r="I2667" i="27"/>
  <c r="I2606" i="27"/>
  <c r="J2797" i="27"/>
  <c r="G2673" i="27"/>
  <c r="F2587" i="27"/>
  <c r="F2880" i="27"/>
  <c r="J2886" i="27"/>
  <c r="G2828" i="27"/>
  <c r="P2818" i="27"/>
  <c r="K2694" i="27"/>
  <c r="I2685" i="27"/>
  <c r="E2702" i="27"/>
  <c r="F2732" i="27"/>
  <c r="G2662" i="27"/>
  <c r="J2771" i="27"/>
  <c r="N2566" i="27"/>
  <c r="F2869" i="27"/>
  <c r="N2639" i="27"/>
  <c r="F2568" i="27"/>
  <c r="N2595" i="27"/>
  <c r="E2837" i="27"/>
  <c r="E2610" i="27"/>
  <c r="E2836" i="27"/>
  <c r="K2826" i="27"/>
  <c r="F2673" i="27"/>
  <c r="I2773" i="27"/>
  <c r="E2751" i="27"/>
  <c r="G2711" i="27"/>
  <c r="E2551" i="27"/>
  <c r="G2654" i="27"/>
  <c r="K2888" i="27"/>
  <c r="N2657" i="27"/>
  <c r="E2782" i="27"/>
  <c r="I2570" i="27"/>
  <c r="F2707" i="27"/>
  <c r="N2653" i="27"/>
  <c r="K2839" i="27"/>
  <c r="J2617" i="27"/>
  <c r="G2719" i="27"/>
  <c r="G2557" i="27"/>
  <c r="N2800" i="27"/>
  <c r="K2607" i="27"/>
  <c r="K2856" i="27"/>
  <c r="K2797" i="27"/>
  <c r="I2662" i="27"/>
  <c r="J2718" i="27"/>
  <c r="G2738" i="27"/>
  <c r="K2686" i="27"/>
  <c r="I2623" i="27"/>
  <c r="J2698" i="27"/>
  <c r="J2745" i="27"/>
  <c r="F2762" i="27"/>
  <c r="G2793" i="27"/>
  <c r="F2765" i="27"/>
  <c r="K2622" i="27"/>
  <c r="G2848" i="27"/>
  <c r="G2863" i="27"/>
  <c r="I2561" i="27"/>
  <c r="J2822" i="27"/>
  <c r="J2708" i="27"/>
  <c r="M2888" i="27"/>
  <c r="A2888" i="27" s="1"/>
  <c r="J2778" i="27"/>
  <c r="M2843" i="27"/>
  <c r="A2843" i="27" s="1"/>
  <c r="E2778" i="27"/>
  <c r="N2725" i="27"/>
  <c r="F2701" i="27"/>
  <c r="I2596" i="27"/>
  <c r="K2684" i="27"/>
  <c r="E2644" i="27"/>
  <c r="J2630" i="27"/>
  <c r="I2692" i="27"/>
  <c r="E2584" i="27"/>
  <c r="F2633" i="27"/>
  <c r="E2769" i="27"/>
  <c r="G2555" i="27"/>
  <c r="K2801" i="27"/>
  <c r="J2706" i="27"/>
  <c r="E2863" i="27"/>
  <c r="I2756" i="27"/>
  <c r="P2872" i="27"/>
  <c r="I2840" i="27"/>
  <c r="J2561" i="27"/>
  <c r="G2704" i="27"/>
  <c r="E2730" i="27"/>
  <c r="K2855" i="27"/>
  <c r="F2847" i="27"/>
  <c r="K2664" i="27"/>
  <c r="N2873" i="27"/>
  <c r="E2622" i="27"/>
  <c r="J2599" i="27"/>
  <c r="K2884" i="27"/>
  <c r="E2781" i="27"/>
  <c r="G2589" i="27"/>
  <c r="G2604" i="27"/>
  <c r="G2587" i="27"/>
  <c r="K2768" i="27"/>
  <c r="J2716" i="27"/>
  <c r="G2571" i="27"/>
  <c r="K2795" i="27"/>
  <c r="E2707" i="27"/>
  <c r="E2666" i="27"/>
  <c r="I2730" i="27"/>
  <c r="I2553" i="27"/>
  <c r="I2599" i="27"/>
  <c r="N2860" i="27"/>
  <c r="K2861" i="27"/>
  <c r="J2628" i="27"/>
  <c r="E2752" i="27"/>
  <c r="F2720" i="27"/>
  <c r="E2787" i="27"/>
  <c r="K2806" i="27"/>
  <c r="G2648" i="27"/>
  <c r="E2606" i="27"/>
  <c r="F2577" i="27"/>
  <c r="F2861" i="27"/>
  <c r="E2766" i="27"/>
  <c r="J2807" i="27"/>
  <c r="J2796" i="27"/>
  <c r="G2840" i="27"/>
  <c r="E2775" i="27"/>
  <c r="E2795" i="27"/>
  <c r="J2821" i="27"/>
  <c r="I2784" i="27"/>
  <c r="I2642" i="27"/>
  <c r="K2683" i="27"/>
  <c r="N2580" i="27"/>
  <c r="I2637" i="27"/>
  <c r="J2867" i="27"/>
  <c r="F2802" i="27"/>
  <c r="K2802" i="27"/>
  <c r="G2693" i="27"/>
  <c r="F2632" i="27"/>
  <c r="E2749" i="27"/>
  <c r="N2762" i="27"/>
  <c r="N2571" i="27"/>
  <c r="J2732" i="27"/>
  <c r="G2822" i="27"/>
  <c r="I2665" i="27"/>
  <c r="I2684" i="27"/>
  <c r="K2879" i="27"/>
  <c r="E2727" i="27"/>
  <c r="N2805" i="27"/>
  <c r="F2558" i="27"/>
  <c r="I2760" i="27"/>
  <c r="J2692" i="27"/>
  <c r="N2851" i="27"/>
  <c r="I2708" i="27"/>
  <c r="J2569" i="27"/>
  <c r="E2630" i="27"/>
  <c r="J2799" i="27"/>
  <c r="K2588" i="27"/>
  <c r="G2718" i="27"/>
  <c r="I2806" i="27"/>
  <c r="G2851" i="27"/>
  <c r="E2721" i="27"/>
  <c r="I2566" i="27"/>
  <c r="G2593" i="27"/>
  <c r="K2868" i="27"/>
  <c r="G2683" i="27"/>
  <c r="I2879" i="27"/>
  <c r="K2790" i="27"/>
  <c r="N2882" i="27"/>
  <c r="I2705" i="27"/>
  <c r="J2721" i="27"/>
  <c r="K2788" i="27"/>
  <c r="G2586" i="27"/>
  <c r="F2653" i="27"/>
  <c r="J2838" i="27"/>
  <c r="N2740" i="27"/>
  <c r="J2670" i="27"/>
  <c r="J2717" i="27"/>
  <c r="J2661" i="27"/>
  <c r="J2700" i="27"/>
  <c r="G2854" i="27"/>
  <c r="K2857" i="27"/>
  <c r="I2859" i="27"/>
  <c r="E2886" i="27"/>
  <c r="F2688" i="27"/>
  <c r="N2630" i="27"/>
  <c r="G2855" i="27"/>
  <c r="E2767" i="27"/>
  <c r="E2691" i="27"/>
  <c r="K2641" i="27"/>
  <c r="F2590" i="27"/>
  <c r="G2600" i="27"/>
  <c r="I2848" i="27"/>
  <c r="F2700" i="27"/>
  <c r="I2882" i="27"/>
  <c r="M2815" i="27"/>
  <c r="A2815" i="27" s="1"/>
  <c r="F2759" i="27"/>
  <c r="E2867" i="27"/>
  <c r="E2667" i="27"/>
  <c r="J2768" i="27"/>
  <c r="K2701" i="27"/>
  <c r="G2819" i="27"/>
  <c r="N2651" i="27"/>
  <c r="K2852" i="27"/>
  <c r="K2755" i="27"/>
  <c r="P2842" i="27"/>
  <c r="G2844" i="27"/>
  <c r="G2859" i="27"/>
  <c r="N2700" i="27"/>
  <c r="K2720" i="27"/>
  <c r="J2814" i="27"/>
  <c r="K2762" i="27"/>
  <c r="F2840" i="27"/>
  <c r="F2651" i="27"/>
  <c r="K2735" i="27"/>
  <c r="K2845" i="27"/>
  <c r="P2881" i="27"/>
  <c r="N2693" i="27"/>
  <c r="I2718" i="27"/>
  <c r="N2747" i="27"/>
  <c r="N2560" i="27"/>
  <c r="E2634" i="27"/>
  <c r="N2870" i="27"/>
  <c r="F2584" i="27"/>
  <c r="G2576" i="27"/>
  <c r="F2799" i="27"/>
  <c r="M2858" i="27"/>
  <c r="A2858" i="27" s="1"/>
  <c r="F2619" i="27"/>
  <c r="M2821" i="27"/>
  <c r="A2821" i="27" s="1"/>
  <c r="I2783" i="27"/>
  <c r="K2642" i="27"/>
  <c r="J2834" i="27"/>
  <c r="J2585" i="27"/>
  <c r="I2857" i="27"/>
  <c r="M2817" i="27"/>
  <c r="A2817" i="27" s="1"/>
  <c r="I2679" i="27"/>
  <c r="K2656" i="27"/>
  <c r="I2748" i="27"/>
  <c r="J2878" i="27"/>
  <c r="G2676" i="27"/>
  <c r="I2755" i="27"/>
  <c r="I2654" i="27"/>
  <c r="I2616" i="27"/>
  <c r="J2751" i="27"/>
  <c r="G2797" i="27"/>
  <c r="P2883" i="27"/>
  <c r="P2890" i="27"/>
  <c r="E2741" i="27"/>
  <c r="N2587" i="27"/>
  <c r="J2705" i="27"/>
  <c r="E2681" i="27"/>
  <c r="E2750" i="27"/>
  <c r="F2767" i="27"/>
  <c r="E2811" i="27"/>
  <c r="I2580" i="27"/>
  <c r="G2703" i="27"/>
  <c r="I2703" i="27"/>
  <c r="G2866" i="27"/>
  <c r="N2662" i="27"/>
  <c r="G2843" i="27"/>
  <c r="I2661" i="27"/>
  <c r="P2873" i="27"/>
  <c r="E2623" i="27"/>
  <c r="J2769" i="27"/>
  <c r="J2582" i="27"/>
  <c r="G2786" i="27"/>
  <c r="I2636" i="27"/>
  <c r="K2869" i="27"/>
  <c r="N2582" i="27"/>
  <c r="G2747" i="27"/>
  <c r="M2886" i="27"/>
  <c r="A2886" i="27" s="1"/>
  <c r="F2808" i="27"/>
  <c r="P2823" i="27"/>
  <c r="J2579" i="27"/>
  <c r="G2688" i="27"/>
  <c r="J2573" i="27"/>
  <c r="J2712" i="27"/>
  <c r="K2792" i="27"/>
  <c r="E2563" i="27"/>
  <c r="K2817" i="27"/>
  <c r="E2686" i="27"/>
  <c r="K2556" i="27"/>
  <c r="F2622" i="27"/>
  <c r="M2859" i="27"/>
  <c r="A2859" i="27" s="1"/>
  <c r="F2832" i="27"/>
  <c r="F2835" i="27"/>
  <c r="J2720" i="27"/>
  <c r="I2797" i="27"/>
  <c r="N2640" i="27"/>
  <c r="J2583" i="27"/>
  <c r="K2595" i="27"/>
  <c r="E2602" i="27"/>
  <c r="F2727" i="27"/>
  <c r="K2842" i="27"/>
  <c r="G2585" i="27"/>
  <c r="I2746" i="27"/>
  <c r="G2876" i="27"/>
  <c r="K2810" i="27"/>
  <c r="J2762" i="27"/>
  <c r="G2709" i="27"/>
  <c r="I2734" i="27"/>
  <c r="N2891" i="27"/>
  <c r="N2633" i="27"/>
  <c r="N2565" i="27"/>
  <c r="I2803" i="27"/>
  <c r="J2833" i="27"/>
  <c r="F2833" i="27"/>
  <c r="N2715" i="27"/>
  <c r="N2602" i="27"/>
  <c r="N2670" i="27"/>
  <c r="J2650" i="27"/>
  <c r="E2580" i="27"/>
  <c r="J2553" i="27"/>
  <c r="G2764" i="27"/>
  <c r="E2746" i="27"/>
  <c r="J2600" i="27"/>
  <c r="E2599" i="27"/>
  <c r="F2749" i="27"/>
  <c r="I2586" i="27"/>
  <c r="E2621" i="27"/>
  <c r="E2685" i="27"/>
  <c r="N2663" i="27"/>
  <c r="J2863" i="27"/>
  <c r="F2792" i="27"/>
  <c r="I2647" i="27"/>
  <c r="G2779" i="27"/>
  <c r="E2670" i="27"/>
  <c r="J2606" i="27"/>
  <c r="E2680" i="27"/>
  <c r="N2599" i="27"/>
  <c r="E2649" i="27"/>
  <c r="N2766" i="27"/>
  <c r="K2878" i="27"/>
  <c r="G2723" i="27"/>
  <c r="F2614" i="27"/>
  <c r="N2564" i="27"/>
  <c r="E2682" i="27"/>
  <c r="I2633" i="27"/>
  <c r="I2614" i="27"/>
  <c r="G2634" i="27"/>
  <c r="I2706" i="27"/>
  <c r="K2850" i="27"/>
  <c r="G2574" i="27"/>
  <c r="J2578" i="27"/>
  <c r="G2611" i="27"/>
  <c r="I2740" i="27"/>
  <c r="E2785" i="27"/>
  <c r="K2554" i="27"/>
  <c r="I2669" i="27"/>
  <c r="J2623" i="27"/>
  <c r="K2825" i="27"/>
  <c r="J2660" i="27"/>
  <c r="J2872" i="27"/>
  <c r="G2829" i="27"/>
  <c r="G2644" i="27"/>
  <c r="K2566" i="27"/>
  <c r="J2891" i="27"/>
  <c r="G2591" i="27"/>
  <c r="G2612" i="27"/>
  <c r="G2790" i="27"/>
  <c r="G2755" i="27"/>
  <c r="E2647" i="27"/>
  <c r="N2674" i="27"/>
  <c r="K2589" i="27"/>
  <c r="F2846" i="27"/>
  <c r="I2849" i="27"/>
  <c r="G2818" i="27"/>
  <c r="G2728" i="27"/>
  <c r="G2751" i="27"/>
  <c r="E2570" i="27"/>
  <c r="N2672" i="27"/>
  <c r="F2723" i="27"/>
  <c r="I2749" i="27"/>
  <c r="F2702" i="27"/>
  <c r="E2865" i="27"/>
  <c r="G2736" i="27"/>
  <c r="I2743" i="27"/>
  <c r="G2884" i="27"/>
  <c r="J2759" i="27"/>
  <c r="N2598" i="27"/>
  <c r="J2873" i="27"/>
  <c r="I2764" i="27"/>
  <c r="E2764" i="27"/>
  <c r="M2873" i="27"/>
  <c r="A2873" i="27" s="1"/>
  <c r="K2668" i="27"/>
  <c r="K2812" i="27"/>
  <c r="G2743" i="27"/>
  <c r="P2861" i="27"/>
  <c r="K2741" i="27"/>
  <c r="F2620" i="27"/>
  <c r="J2637" i="27"/>
  <c r="J2632" i="27"/>
  <c r="G2765" i="27"/>
  <c r="K2800" i="27"/>
  <c r="P2820" i="27"/>
  <c r="K2841" i="27"/>
  <c r="N2826" i="27"/>
  <c r="E2661" i="27"/>
  <c r="G2565" i="27"/>
  <c r="J2668" i="27"/>
  <c r="J2662" i="27"/>
  <c r="F2873" i="27"/>
  <c r="K2865" i="27"/>
  <c r="K2578" i="27"/>
  <c r="J2794" i="27"/>
  <c r="G2888" i="27"/>
  <c r="G2578" i="27"/>
  <c r="J2839" i="27"/>
  <c r="J2728" i="27"/>
  <c r="K2630" i="27"/>
  <c r="J2734" i="27"/>
  <c r="K2697" i="27"/>
  <c r="E2693" i="27"/>
  <c r="I2761" i="27"/>
  <c r="G2713" i="27"/>
  <c r="K2673" i="27"/>
  <c r="K2716" i="27"/>
  <c r="M2872" i="27"/>
  <c r="A2872" i="27" s="1"/>
  <c r="I2868" i="27"/>
  <c r="I2578" i="27"/>
  <c r="E2683" i="27"/>
  <c r="G2759" i="27"/>
  <c r="E2745" i="27"/>
  <c r="N2877" i="27"/>
  <c r="M2827" i="27"/>
  <c r="A2827" i="27" s="1"/>
  <c r="E2788" i="27"/>
  <c r="J2871" i="27"/>
  <c r="M2813" i="27"/>
  <c r="A2813" i="27" s="1"/>
  <c r="K2778" i="27"/>
  <c r="E2716" i="27"/>
  <c r="N2551" i="27"/>
  <c r="J2580" i="27"/>
  <c r="E2835" i="27"/>
  <c r="I2785" i="27"/>
  <c r="K2770" i="27"/>
  <c r="I2681" i="27"/>
  <c r="I2722" i="27"/>
  <c r="J2565" i="27"/>
  <c r="F2807" i="27"/>
  <c r="F2594" i="27"/>
  <c r="F2567" i="27"/>
  <c r="M2847" i="27"/>
  <c r="A2847" i="27" s="1"/>
  <c r="N2866" i="27"/>
  <c r="J2775" i="27"/>
  <c r="I2854" i="27"/>
  <c r="E2655" i="27"/>
  <c r="I2876" i="27"/>
  <c r="E2596" i="27"/>
  <c r="N2752" i="27"/>
  <c r="E2638" i="27"/>
  <c r="F2794" i="27"/>
  <c r="K2627" i="27"/>
  <c r="E2673" i="27"/>
  <c r="N2849" i="27"/>
  <c r="F2786" i="27"/>
  <c r="N2874" i="27"/>
  <c r="F2778" i="27"/>
  <c r="I2829" i="27"/>
  <c r="I2869" i="27"/>
  <c r="F2704" i="27"/>
  <c r="K2580" i="27"/>
  <c r="N2627" i="27"/>
  <c r="N2890" i="27"/>
  <c r="E2618" i="27"/>
  <c r="M2876" i="27"/>
  <c r="A2876" i="27" s="1"/>
  <c r="G2607" i="27"/>
  <c r="F2630" i="27"/>
  <c r="K2650" i="27"/>
  <c r="J2619" i="27"/>
  <c r="G2643" i="27"/>
  <c r="K2814" i="27"/>
  <c r="I2656" i="27"/>
  <c r="J2651" i="27"/>
  <c r="I2836" i="27"/>
  <c r="N2642" i="27"/>
  <c r="F2761" i="27"/>
  <c r="F2739" i="27"/>
  <c r="N2607" i="27"/>
  <c r="P2866" i="27"/>
  <c r="J2865" i="27"/>
  <c r="F2579" i="27"/>
  <c r="M2860" i="27"/>
  <c r="A2860" i="27" s="1"/>
  <c r="N2875" i="27"/>
  <c r="N2814" i="27"/>
  <c r="G2754" i="27"/>
  <c r="I2585" i="27"/>
  <c r="I2798" i="27"/>
  <c r="E2754" i="27"/>
  <c r="I2602" i="27"/>
  <c r="J2789" i="27"/>
  <c r="F2621" i="27"/>
  <c r="F2693" i="27"/>
  <c r="E2799" i="27"/>
  <c r="J2588" i="27"/>
  <c r="I2744" i="27"/>
  <c r="M2835" i="27"/>
  <c r="A2835" i="27" s="1"/>
  <c r="G2655" i="27"/>
  <c r="F2850" i="27"/>
  <c r="J2684" i="27"/>
  <c r="K2769" i="27"/>
  <c r="J2648" i="27"/>
  <c r="J2864" i="27"/>
  <c r="J2594" i="27"/>
  <c r="J2686" i="27"/>
  <c r="E2784" i="27"/>
  <c r="I2673" i="27"/>
  <c r="G2631" i="27"/>
  <c r="G2606" i="27"/>
  <c r="I2628" i="27"/>
  <c r="I2793" i="27"/>
  <c r="K2885" i="27"/>
  <c r="N2562" i="27"/>
  <c r="E2651" i="27"/>
  <c r="J2836" i="27"/>
  <c r="I2858" i="27"/>
  <c r="K2775" i="27"/>
  <c r="G2767" i="27"/>
  <c r="I2835" i="27"/>
  <c r="K2715" i="27"/>
  <c r="I2831" i="27"/>
  <c r="N2593" i="27"/>
  <c r="I2887" i="27"/>
  <c r="E2856" i="27"/>
  <c r="E2831" i="27"/>
  <c r="K2871" i="27"/>
  <c r="K2576" i="27"/>
  <c r="F2644" i="27"/>
  <c r="I2873" i="27"/>
  <c r="J2733" i="27"/>
  <c r="G2722" i="27"/>
  <c r="F2692" i="27"/>
  <c r="J2752" i="27"/>
  <c r="N2794" i="27"/>
  <c r="E2671" i="27"/>
  <c r="G2636" i="27"/>
  <c r="E2598" i="27"/>
  <c r="N2865" i="27"/>
  <c r="F2813" i="27"/>
  <c r="K2693" i="27"/>
  <c r="F2800" i="27"/>
  <c r="G2801" i="27"/>
  <c r="I2827" i="27"/>
  <c r="E2777" i="27"/>
  <c r="K2682" i="27"/>
  <c r="K2634" i="27"/>
  <c r="J2719" i="27"/>
  <c r="M2831" i="27"/>
  <c r="A2831" i="27" s="1"/>
  <c r="G2675" i="27"/>
  <c r="E2696" i="27"/>
  <c r="N2656" i="27"/>
  <c r="I2874" i="27"/>
  <c r="F2815" i="27"/>
  <c r="N2816" i="27"/>
  <c r="K2717" i="27"/>
  <c r="I2838" i="27"/>
  <c r="N2776" i="27"/>
  <c r="G2632" i="27"/>
  <c r="E2587" i="27"/>
  <c r="M2855" i="27"/>
  <c r="A2855" i="27" s="1"/>
  <c r="K2830" i="27"/>
  <c r="M2854" i="27"/>
  <c r="A2854" i="27" s="1"/>
  <c r="I2824" i="27"/>
  <c r="E2740" i="27"/>
  <c r="G2637" i="27"/>
  <c r="N2768" i="27"/>
  <c r="J2848" i="27"/>
  <c r="P2838" i="27"/>
  <c r="G2740" i="27"/>
  <c r="K2564" i="27"/>
  <c r="I2554" i="27"/>
  <c r="I2632" i="27"/>
  <c r="G2814" i="27"/>
  <c r="I2618" i="27"/>
  <c r="F2585" i="27"/>
  <c r="F2612" i="27"/>
  <c r="E2578" i="27"/>
  <c r="N2584" i="27"/>
  <c r="N2671" i="27"/>
  <c r="I2694" i="27"/>
  <c r="F2686" i="27"/>
  <c r="N2643" i="27"/>
  <c r="N2763" i="27"/>
  <c r="G2569" i="27"/>
  <c r="I2866" i="27"/>
  <c r="K2617" i="27"/>
  <c r="I2603" i="27"/>
  <c r="N2680" i="27"/>
  <c r="N2673" i="27"/>
  <c r="G2839" i="27"/>
  <c r="F2814" i="27"/>
  <c r="N2559" i="27"/>
  <c r="E2703" i="27"/>
  <c r="F2731" i="27"/>
  <c r="P2891" i="27"/>
  <c r="F2881" i="27"/>
  <c r="E2684" i="27"/>
  <c r="N2832" i="27"/>
  <c r="F2735" i="27"/>
  <c r="P2870" i="27"/>
  <c r="F2888" i="27"/>
  <c r="F2795" i="27"/>
  <c r="G2800" i="27"/>
  <c r="J2635" i="27"/>
  <c r="K2873" i="27"/>
  <c r="E2633" i="27"/>
  <c r="N2622" i="27"/>
  <c r="F2560" i="27"/>
  <c r="F2681" i="27"/>
  <c r="I2753" i="27"/>
  <c r="I2649" i="27"/>
  <c r="G2889" i="27"/>
  <c r="E2564" i="27"/>
  <c r="G2846" i="27"/>
  <c r="J2881" i="27"/>
  <c r="J2584" i="27"/>
  <c r="N2721" i="27"/>
  <c r="K2704" i="27"/>
  <c r="J2884" i="27"/>
  <c r="F2618" i="27"/>
  <c r="F2677" i="27"/>
  <c r="G2737" i="27"/>
  <c r="F2663" i="27"/>
  <c r="J2598" i="27"/>
  <c r="I2696" i="27"/>
  <c r="J2558" i="27"/>
  <c r="N2739" i="27"/>
  <c r="F2822" i="27"/>
  <c r="G2842" i="27"/>
  <c r="I2731" i="27"/>
  <c r="K2552" i="27"/>
  <c r="N2686" i="27"/>
  <c r="E2594" i="27"/>
  <c r="K2654" i="27"/>
  <c r="I2721" i="27"/>
  <c r="J2880" i="27"/>
  <c r="P2821" i="27"/>
  <c r="K2737" i="27"/>
  <c r="I2786" i="27"/>
  <c r="F2640" i="27"/>
  <c r="N2779" i="27"/>
  <c r="J2829" i="27"/>
  <c r="F2628" i="27"/>
  <c r="E2823" i="27"/>
  <c r="N2567" i="27"/>
  <c r="N2624" i="27"/>
  <c r="E2814" i="27"/>
  <c r="N2868" i="27"/>
  <c r="E2830" i="27"/>
  <c r="M2833" i="27"/>
  <c r="A2833" i="27" s="1"/>
  <c r="I2852" i="27"/>
  <c r="F2779" i="27"/>
  <c r="G2869" i="27"/>
  <c r="J2766" i="27"/>
  <c r="J2612" i="27"/>
  <c r="N2676" i="27"/>
  <c r="N2834" i="27"/>
  <c r="K2891" i="27"/>
  <c r="K2798" i="27"/>
  <c r="F2616" i="27"/>
  <c r="E2829" i="27"/>
  <c r="I2594" i="27"/>
  <c r="J2824" i="27"/>
  <c r="G2672" i="27"/>
  <c r="K2763" i="27"/>
  <c r="E2613" i="27"/>
  <c r="F2716" i="27"/>
  <c r="N2787" i="27"/>
  <c r="N2798" i="27"/>
  <c r="J2835" i="27"/>
  <c r="E2794" i="27"/>
  <c r="K2640" i="27"/>
  <c r="K2594" i="27"/>
  <c r="J2642" i="27"/>
  <c r="G2671" i="27"/>
  <c r="G2645" i="27"/>
  <c r="G2603" i="27"/>
  <c r="I2863" i="27"/>
  <c r="J2590" i="27"/>
  <c r="N2709" i="27"/>
  <c r="E2640" i="27"/>
  <c r="J2781" i="27"/>
  <c r="J2622" i="27"/>
  <c r="F2591" i="27"/>
  <c r="K2820" i="27"/>
  <c r="I2751" i="27"/>
  <c r="N2799" i="27"/>
  <c r="J2736" i="27"/>
  <c r="J2810" i="27"/>
  <c r="N2588" i="27"/>
  <c r="E2873" i="27"/>
  <c r="K2662" i="27"/>
  <c r="J2618" i="27"/>
  <c r="I2688" i="27"/>
  <c r="G2614" i="27"/>
  <c r="P2810" i="27"/>
  <c r="F2668" i="27"/>
  <c r="J2614" i="27"/>
  <c r="I2877" i="27"/>
  <c r="K2604" i="27"/>
  <c r="P2858" i="27"/>
  <c r="P2882" i="27"/>
  <c r="K2624" i="27"/>
  <c r="N2573" i="27"/>
  <c r="F2596" i="27"/>
  <c r="I2710" i="27"/>
  <c r="J2568" i="27"/>
  <c r="I2595" i="27"/>
  <c r="K2876" i="27"/>
  <c r="P2863" i="27"/>
  <c r="F2610" i="27"/>
  <c r="F2680" i="27"/>
  <c r="J2738" i="27"/>
  <c r="E2709" i="27"/>
  <c r="K2880" i="27"/>
  <c r="E2864" i="27"/>
  <c r="I2604" i="27"/>
  <c r="N2682" i="27"/>
  <c r="I2891" i="27"/>
  <c r="N2583" i="27"/>
  <c r="I2666" i="27"/>
  <c r="N2736" i="27"/>
  <c r="G2618" i="27"/>
  <c r="G2561" i="27"/>
  <c r="I2664" i="27"/>
  <c r="J2654" i="27"/>
  <c r="G2799" i="27"/>
  <c r="N2774" i="27"/>
  <c r="K2653" i="27"/>
  <c r="K2632" i="27"/>
  <c r="G2778" i="27"/>
  <c r="N2806" i="27"/>
  <c r="J2554" i="27"/>
  <c r="N2710" i="27"/>
  <c r="E2866" i="27"/>
  <c r="N2889" i="27"/>
  <c r="E2637" i="27"/>
  <c r="J2666" i="27"/>
  <c r="F2768" i="27"/>
  <c r="E2857" i="27"/>
  <c r="P2854" i="27"/>
  <c r="M2857" i="27"/>
  <c r="A2857" i="27" s="1"/>
  <c r="N2818" i="27"/>
  <c r="I2775" i="27"/>
  <c r="P2857" i="27"/>
  <c r="I2677" i="27"/>
  <c r="J2699" i="27"/>
  <c r="G2608" i="27"/>
  <c r="G2783" i="27"/>
  <c r="E2847" i="27"/>
  <c r="I2612" i="27"/>
  <c r="I2880" i="27"/>
  <c r="I2598" i="27"/>
  <c r="E2659" i="27"/>
  <c r="F2602" i="27"/>
  <c r="F2569" i="27"/>
  <c r="G2834" i="27"/>
  <c r="G2641" i="27"/>
  <c r="K2703" i="27"/>
  <c r="F2631" i="27"/>
  <c r="I2878" i="27"/>
  <c r="K2649" i="27"/>
  <c r="N2856" i="27"/>
  <c r="G2753" i="27"/>
  <c r="F2855" i="27"/>
  <c r="J2689" i="27"/>
  <c r="M2866" i="27"/>
  <c r="A2866" i="27" s="1"/>
  <c r="J2826" i="27"/>
  <c r="K2550" i="27"/>
  <c r="N2810" i="27"/>
  <c r="I2762" i="27"/>
  <c r="N2795" i="27"/>
  <c r="K2886" i="27"/>
  <c r="N2691" i="27"/>
  <c r="M2837" i="27"/>
  <c r="A2837" i="27" s="1"/>
  <c r="N2591" i="27"/>
  <c r="I2720" i="27"/>
  <c r="F2842" i="27"/>
  <c r="E2742" i="27"/>
  <c r="F2696" i="27"/>
  <c r="F2714" i="27"/>
  <c r="F2724" i="27"/>
  <c r="K2638" i="27"/>
  <c r="E2800" i="27"/>
  <c r="G2727" i="27"/>
  <c r="I2794" i="27"/>
  <c r="J2709" i="27"/>
  <c r="G2882" i="27"/>
  <c r="N2677" i="27"/>
  <c r="G2878" i="27"/>
  <c r="K2771" i="27"/>
  <c r="N2556" i="27"/>
  <c r="F2655" i="27"/>
  <c r="K2874" i="27"/>
  <c r="E2887" i="27"/>
  <c r="K2597" i="27"/>
  <c r="I2620" i="27"/>
  <c r="E2871" i="27"/>
  <c r="G2629" i="27"/>
  <c r="G2836" i="27"/>
  <c r="E2656" i="27"/>
  <c r="E2854" i="27"/>
  <c r="F2825" i="27"/>
  <c r="G2677" i="27"/>
  <c r="N2844" i="27"/>
  <c r="N2754" i="27"/>
  <c r="G2592" i="27"/>
  <c r="K2776" i="27"/>
  <c r="E2825" i="27"/>
  <c r="K2750" i="27"/>
  <c r="F2877" i="27"/>
  <c r="E2760" i="27"/>
  <c r="E2891" i="27"/>
  <c r="E2890" i="27"/>
  <c r="G2760" i="27"/>
  <c r="F2853" i="27"/>
  <c r="G2669" i="27"/>
  <c r="G2633" i="27"/>
  <c r="E2832" i="27"/>
  <c r="F2805" i="27"/>
  <c r="G2832" i="27"/>
  <c r="E2724" i="27"/>
  <c r="G2573" i="27"/>
  <c r="F2709" i="27"/>
  <c r="F2637" i="27"/>
  <c r="E2796" i="27"/>
  <c r="F2886" i="27"/>
  <c r="F2589" i="27"/>
  <c r="F2661" i="27"/>
  <c r="F2552" i="27"/>
  <c r="E2881" i="27"/>
  <c r="F2781" i="27"/>
  <c r="E2688" i="27"/>
  <c r="F2613" i="27"/>
  <c r="G2712" i="27"/>
  <c r="F2829" i="27"/>
  <c r="E2652" i="27"/>
  <c r="F2875" i="27"/>
  <c r="G2597" i="27"/>
  <c r="F2887" i="27"/>
  <c r="F2757" i="27"/>
  <c r="F2685" i="27"/>
  <c r="I2568" i="27"/>
  <c r="E2868" i="27"/>
  <c r="E2880" i="27"/>
  <c r="E2616" i="27"/>
  <c r="E2556" i="27"/>
  <c r="E2569" i="27"/>
  <c r="F2733" i="27"/>
  <c r="H2554" i="27"/>
  <c r="H2593" i="27"/>
  <c r="H2828" i="27"/>
  <c r="H2621" i="27"/>
  <c r="H2794" i="27"/>
  <c r="H2669" i="27"/>
  <c r="H2769" i="27"/>
  <c r="H2673" i="27"/>
  <c r="H2824" i="27"/>
  <c r="H2793" i="27"/>
  <c r="H2622" i="27"/>
  <c r="H2778" i="27"/>
  <c r="H2635" i="27"/>
  <c r="H2785" i="27"/>
  <c r="H2779" i="27"/>
  <c r="H2772" i="27"/>
  <c r="H2746" i="27"/>
  <c r="H2624" i="27"/>
  <c r="H2565" i="27"/>
  <c r="H2862" i="27"/>
  <c r="H2665" i="27"/>
  <c r="H2777" i="27"/>
  <c r="H2606" i="27"/>
  <c r="H2727" i="27"/>
  <c r="H2877" i="27"/>
  <c r="H2689" i="27"/>
  <c r="H2629" i="27"/>
  <c r="H2760" i="27"/>
  <c r="H2688" i="27"/>
  <c r="H2601" i="27"/>
  <c r="H2787" i="27"/>
  <c r="H2666" i="27"/>
  <c r="H2617" i="27"/>
  <c r="H2817" i="27"/>
  <c r="H2880" i="27"/>
  <c r="H2869" i="27"/>
  <c r="H2775" i="27"/>
  <c r="H2750" i="27"/>
  <c r="H2796" i="27"/>
  <c r="H2602" i="27"/>
  <c r="H2882" i="27"/>
  <c r="H2550" i="27"/>
  <c r="H2801" i="27"/>
  <c r="H2808" i="27"/>
  <c r="H2652" i="27"/>
  <c r="H2590" i="27"/>
  <c r="H2654" i="27"/>
  <c r="H2854" i="27"/>
  <c r="H2653" i="27"/>
  <c r="H2646" i="27"/>
  <c r="H2710" i="27"/>
  <c r="H2567" i="27"/>
  <c r="H2576" i="27"/>
  <c r="H2866" i="27"/>
  <c r="H2589" i="27"/>
  <c r="H2649" i="27"/>
  <c r="H2738" i="27"/>
  <c r="H2758" i="27"/>
  <c r="H2876" i="27"/>
  <c r="H2767" i="27"/>
  <c r="H2844" i="27"/>
  <c r="H2821" i="27"/>
  <c r="H2805" i="27"/>
  <c r="H2809" i="27"/>
  <c r="H2776" i="27"/>
  <c r="H2671" i="27"/>
  <c r="H2863" i="27"/>
  <c r="H2584" i="27"/>
  <c r="H2842" i="27"/>
  <c r="H2707" i="27"/>
  <c r="H2651" i="27"/>
  <c r="H2623" i="27"/>
  <c r="H2840" i="27"/>
  <c r="H2800" i="27"/>
  <c r="H2807" i="27"/>
  <c r="H2586" i="27"/>
  <c r="H2697" i="27"/>
  <c r="H2632" i="27"/>
  <c r="H2747" i="27"/>
  <c r="H2628" i="27"/>
  <c r="H2705" i="27"/>
  <c r="H2885" i="27"/>
  <c r="H2875" i="27"/>
  <c r="H2740" i="27"/>
  <c r="H2570" i="27"/>
  <c r="H2566" i="27"/>
  <c r="H2714" i="27"/>
  <c r="H2733" i="27"/>
  <c r="H2562" i="27"/>
  <c r="H2640" i="27"/>
  <c r="H2630" i="27"/>
  <c r="H2737" i="27"/>
  <c r="H2636" i="27"/>
  <c r="H2782" i="27"/>
  <c r="H2638" i="27"/>
  <c r="H2592" i="27"/>
  <c r="H2627" i="27"/>
  <c r="H2827" i="27"/>
  <c r="H2667" i="27"/>
  <c r="H2641" i="27"/>
  <c r="H2579" i="27"/>
  <c r="H2614" i="27"/>
  <c r="H2832" i="27"/>
  <c r="H2868" i="27"/>
  <c r="H2573" i="27"/>
  <c r="H2878" i="27"/>
  <c r="H2734" i="27"/>
  <c r="H2564" i="27"/>
  <c r="H2718" i="27"/>
  <c r="H2631" i="27"/>
  <c r="H2853" i="27"/>
  <c r="H2556" i="27"/>
  <c r="H2757" i="27"/>
  <c r="H2670" i="27"/>
  <c r="H2739" i="27"/>
  <c r="H2568" i="27"/>
  <c r="H2560" i="27"/>
  <c r="H2557" i="27"/>
  <c r="H2674" i="27"/>
  <c r="H2789" i="27"/>
  <c r="H2756" i="27"/>
  <c r="H2797" i="27"/>
  <c r="H2768" i="27"/>
  <c r="H2578" i="27"/>
  <c r="H2647" i="27"/>
  <c r="H2717" i="27"/>
  <c r="H2692" i="27"/>
  <c r="H2561" i="27"/>
  <c r="H2704" i="27"/>
  <c r="H2648" i="27"/>
  <c r="H2839" i="27"/>
  <c r="H2620" i="27"/>
  <c r="H2879" i="27"/>
  <c r="H2792" i="27"/>
  <c r="H2644" i="27"/>
  <c r="H2889" i="27"/>
  <c r="H2847" i="27"/>
  <c r="H2887" i="27"/>
  <c r="H2822" i="27"/>
  <c r="H2736" i="27"/>
  <c r="H2845" i="27"/>
  <c r="H2780" i="27"/>
  <c r="H2803" i="27"/>
  <c r="H2596" i="27"/>
  <c r="H2597" i="27"/>
  <c r="H2823" i="27"/>
  <c r="H2637" i="27"/>
  <c r="H2633" i="27"/>
  <c r="H2605" i="27"/>
  <c r="H2616" i="27"/>
  <c r="H2709" i="27"/>
  <c r="H2795" i="27"/>
  <c r="H2763" i="27"/>
  <c r="H2754" i="27"/>
  <c r="H2820" i="27"/>
  <c r="H2856" i="27"/>
  <c r="H2585" i="27"/>
  <c r="H2755" i="27"/>
  <c r="H2721" i="27"/>
  <c r="H2857" i="27"/>
  <c r="H2814" i="27"/>
  <c r="H2699" i="27"/>
  <c r="H2816" i="27"/>
  <c r="H2819" i="27"/>
  <c r="H2702" i="27"/>
  <c r="H2788" i="27"/>
  <c r="H2660" i="27"/>
  <c r="H2607" i="27"/>
  <c r="H2650" i="27"/>
  <c r="H2618" i="27"/>
  <c r="H2582" i="27"/>
  <c r="H2874" i="27"/>
  <c r="H2720" i="27"/>
  <c r="H2572" i="27"/>
  <c r="H2600" i="27"/>
  <c r="H2815" i="27"/>
  <c r="H2799" i="27"/>
  <c r="H2694" i="27"/>
  <c r="H2872" i="27"/>
  <c r="H2608" i="27"/>
  <c r="H2831" i="27"/>
  <c r="H2891" i="27"/>
  <c r="H2759" i="27"/>
  <c r="H2698" i="27"/>
  <c r="H2558" i="27"/>
  <c r="H2732" i="27"/>
  <c r="H2864" i="27"/>
  <c r="H2871" i="27"/>
  <c r="H2703" i="27"/>
  <c r="H2598" i="27"/>
  <c r="H2677" i="27"/>
  <c r="H2781" i="27"/>
  <c r="H2626" i="27"/>
  <c r="H2672" i="27"/>
  <c r="H2744" i="27"/>
  <c r="H2577" i="27"/>
  <c r="H2830" i="27"/>
  <c r="H2870" i="27"/>
  <c r="H2678" i="27"/>
  <c r="H2575" i="27"/>
  <c r="H2859" i="27"/>
  <c r="H2881" i="27"/>
  <c r="H2765" i="27"/>
  <c r="H2731" i="27"/>
  <c r="H2850" i="27"/>
  <c r="H2849" i="27"/>
  <c r="H2708" i="27"/>
  <c r="H2679" i="27"/>
  <c r="H2852" i="27"/>
  <c r="H2802" i="27"/>
  <c r="H2818" i="27"/>
  <c r="H2729" i="27"/>
  <c r="H2662" i="27"/>
  <c r="H2826" i="27"/>
  <c r="H2680" i="27"/>
  <c r="H2753" i="27"/>
  <c r="H2657" i="27"/>
  <c r="H2723" i="27"/>
  <c r="H2751" i="27"/>
  <c r="H2888" i="27"/>
  <c r="H2725" i="27"/>
  <c r="H2569" i="27"/>
  <c r="H2858" i="27"/>
  <c r="H2716" i="27"/>
  <c r="H2722" i="27"/>
  <c r="H2825" i="27"/>
  <c r="H2860" i="27"/>
  <c r="H2837" i="27"/>
  <c r="H2865" i="27"/>
  <c r="H2696" i="27"/>
  <c r="H2741" i="27"/>
  <c r="H2583" i="27"/>
  <c r="H2784" i="27"/>
  <c r="H2715" i="27"/>
  <c r="H2883" i="27"/>
  <c r="H2886" i="27"/>
  <c r="H2711" i="27"/>
  <c r="H2559" i="27"/>
  <c r="H2639" i="27"/>
  <c r="H2594" i="27"/>
  <c r="H2748" i="27"/>
  <c r="H2581" i="27"/>
  <c r="H2810" i="27"/>
  <c r="H2643" i="27"/>
  <c r="H2833" i="27"/>
  <c r="H2730" i="27"/>
  <c r="H2613" i="27"/>
  <c r="H2655" i="27"/>
  <c r="H2700" i="27"/>
  <c r="H2675" i="27"/>
  <c r="H2838" i="27"/>
  <c r="H2668" i="27"/>
  <c r="H2851" i="27"/>
  <c r="H2695" i="27"/>
  <c r="H2774" i="27"/>
  <c r="H2813" i="27"/>
  <c r="H2658" i="27"/>
  <c r="H2843" i="27"/>
  <c r="H2724" i="27"/>
  <c r="H2752" i="27"/>
  <c r="H2846" i="27"/>
  <c r="H2743" i="27"/>
  <c r="H2684" i="27"/>
  <c r="H2719" i="27"/>
  <c r="H2563" i="27"/>
  <c r="H2687" i="27"/>
  <c r="H2770" i="27"/>
  <c r="H2551" i="27"/>
  <c r="H2645" i="27"/>
  <c r="H2634" i="27"/>
  <c r="H2812" i="27"/>
  <c r="H2690" i="27"/>
  <c r="H2806" i="27"/>
  <c r="H2804" i="27"/>
  <c r="H2555" i="27"/>
  <c r="H2610" i="27"/>
  <c r="H2890" i="27"/>
  <c r="H2742" i="27"/>
  <c r="H2786" i="27"/>
  <c r="H2591" i="27"/>
  <c r="H2728" i="27"/>
  <c r="H2661" i="27"/>
  <c r="H2766" i="27"/>
  <c r="H2686" i="27"/>
  <c r="H2762" i="27"/>
  <c r="H2791" i="27"/>
  <c r="H2676" i="27"/>
  <c r="H2861" i="27"/>
  <c r="H2745" i="27"/>
  <c r="H2691" i="27"/>
  <c r="H2693" i="27"/>
  <c r="H2664" i="27"/>
  <c r="H2773" i="27"/>
  <c r="H2848" i="27"/>
  <c r="H2642" i="27"/>
  <c r="H2764" i="27"/>
  <c r="H2811" i="27"/>
  <c r="H2588" i="27"/>
  <c r="H2706" i="27"/>
  <c r="H2884" i="27"/>
  <c r="H2873" i="27"/>
  <c r="H2685" i="27"/>
  <c r="H2867" i="27"/>
  <c r="H2841" i="27"/>
  <c r="H2603" i="27"/>
  <c r="H2604" i="27"/>
  <c r="H2571" i="27"/>
  <c r="H2771" i="27"/>
  <c r="H2587" i="27"/>
  <c r="H2790" i="27"/>
  <c r="H2682" i="27"/>
  <c r="H2656" i="27"/>
  <c r="H2834" i="27"/>
  <c r="H2609" i="27"/>
  <c r="H2855" i="27"/>
  <c r="H2798" i="27"/>
  <c r="H2835" i="27"/>
  <c r="H2712" i="27"/>
  <c r="H2599" i="27"/>
  <c r="H2735" i="27"/>
  <c r="H2611" i="27"/>
  <c r="H2553" i="27"/>
  <c r="H2552" i="27"/>
  <c r="H2580" i="27"/>
  <c r="H2761" i="27"/>
  <c r="H2713" i="27"/>
  <c r="H2829" i="27"/>
  <c r="H2612" i="27"/>
  <c r="H2595" i="27"/>
  <c r="H2701" i="27"/>
  <c r="H2749" i="27"/>
  <c r="H2619" i="27"/>
  <c r="H2681" i="27"/>
  <c r="H2659" i="27"/>
  <c r="H2836" i="27"/>
  <c r="H2783" i="27"/>
  <c r="H2574" i="27"/>
  <c r="H2615" i="27"/>
  <c r="H2663" i="27"/>
  <c r="H2683" i="27"/>
  <c r="H2726" i="27"/>
  <c r="H2625" i="27"/>
  <c r="M2806" i="27"/>
  <c r="A2806" i="27" s="1"/>
  <c r="P2806" i="27"/>
  <c r="M2807" i="27"/>
  <c r="A2807" i="27" s="1"/>
  <c r="M2805" i="27"/>
  <c r="A2805" i="27" s="1"/>
  <c r="K2251" i="27"/>
  <c r="K2111" i="27"/>
  <c r="K2243" i="27"/>
  <c r="K2085" i="27"/>
  <c r="K2094" i="27"/>
  <c r="K2022" i="27"/>
  <c r="K2212" i="27"/>
  <c r="K2026" i="27"/>
  <c r="K2106" i="27"/>
  <c r="K2136" i="27"/>
  <c r="K2133" i="27"/>
  <c r="K2100" i="27"/>
  <c r="K2227" i="27"/>
  <c r="K2097" i="27"/>
  <c r="K2130" i="27"/>
  <c r="K2194" i="27"/>
  <c r="K2172" i="27"/>
  <c r="K2213" i="27"/>
  <c r="K1971" i="27"/>
  <c r="K2053" i="27"/>
  <c r="K2153" i="27"/>
  <c r="K2091" i="27"/>
  <c r="K2208" i="27"/>
  <c r="K2161" i="27"/>
  <c r="K2069" i="27"/>
  <c r="K2056" i="27"/>
  <c r="K2038" i="27"/>
  <c r="K2209" i="27"/>
  <c r="K2196" i="27"/>
  <c r="K2192" i="27"/>
  <c r="K2052" i="27"/>
  <c r="K1914" i="27"/>
  <c r="K1911" i="27"/>
  <c r="K1991" i="27"/>
  <c r="K2031" i="27"/>
  <c r="K2110" i="27"/>
  <c r="K1916" i="27"/>
  <c r="K2035" i="27"/>
  <c r="K2057" i="27"/>
  <c r="K2028" i="27"/>
  <c r="K1998" i="27"/>
  <c r="K2054" i="27"/>
  <c r="K2146" i="27"/>
  <c r="K2004" i="27"/>
  <c r="K1928" i="27"/>
  <c r="K2006" i="27"/>
  <c r="K2162" i="27"/>
  <c r="K2008" i="27"/>
  <c r="K2090" i="27"/>
  <c r="K2246" i="27"/>
  <c r="K1948" i="27"/>
  <c r="K2098" i="27"/>
  <c r="K2139" i="27"/>
  <c r="K2173" i="27"/>
  <c r="K2164" i="27"/>
  <c r="K2096" i="27"/>
  <c r="K2131" i="27"/>
  <c r="K2065" i="27"/>
  <c r="K2039" i="27"/>
  <c r="K2201" i="27"/>
  <c r="K1919" i="27"/>
  <c r="K2013" i="27"/>
  <c r="K2007" i="27"/>
  <c r="K2079" i="27"/>
  <c r="K2181" i="27"/>
  <c r="K1967" i="27"/>
  <c r="K2183" i="27"/>
  <c r="K2082" i="27"/>
  <c r="K1926" i="27"/>
  <c r="K2010" i="27"/>
  <c r="K2063" i="27"/>
  <c r="K2116" i="27"/>
  <c r="K2235" i="27"/>
  <c r="K2163" i="27"/>
  <c r="K2197" i="27"/>
  <c r="K2070" i="27"/>
  <c r="K2231" i="27"/>
  <c r="K1927" i="27"/>
  <c r="K1939" i="27"/>
  <c r="K2239" i="27"/>
  <c r="K2080" i="27"/>
  <c r="K2204" i="27"/>
  <c r="K1965" i="27"/>
  <c r="K2105" i="27"/>
  <c r="K2066" i="27"/>
  <c r="K1996" i="27"/>
  <c r="K2003" i="27"/>
  <c r="K1987" i="27"/>
  <c r="K1922" i="27"/>
  <c r="K2119" i="27"/>
  <c r="K2104" i="27"/>
  <c r="K2180" i="27"/>
  <c r="K2114" i="27"/>
  <c r="K2033" i="27"/>
  <c r="K2145" i="27"/>
  <c r="K1997" i="27"/>
  <c r="K2240" i="27"/>
  <c r="K1992" i="27"/>
  <c r="K2029" i="27"/>
  <c r="K2220" i="27"/>
  <c r="K2187" i="27"/>
  <c r="K2174" i="27"/>
  <c r="K2040" i="27"/>
  <c r="K1961" i="27"/>
  <c r="K2198" i="27"/>
  <c r="K2005" i="27"/>
  <c r="K2151" i="27"/>
  <c r="K2195" i="27"/>
  <c r="K2234" i="27"/>
  <c r="K1935" i="27"/>
  <c r="K2045" i="27"/>
  <c r="K2242" i="27"/>
  <c r="K1924" i="27"/>
  <c r="K2128" i="27"/>
  <c r="K2244" i="27"/>
  <c r="K1982" i="27"/>
  <c r="K2068" i="27"/>
  <c r="K2184" i="27"/>
  <c r="K2126" i="27"/>
  <c r="K1983" i="27"/>
  <c r="K1962" i="27"/>
  <c r="K2237" i="27"/>
  <c r="K1959" i="27"/>
  <c r="K1957" i="27"/>
  <c r="K2083" i="27"/>
  <c r="K2012" i="27"/>
  <c r="K1990" i="27"/>
  <c r="K2140" i="27"/>
  <c r="K2156" i="27"/>
  <c r="K2102" i="27"/>
  <c r="K2217" i="27"/>
  <c r="K2122" i="27"/>
  <c r="K2211" i="27"/>
  <c r="K1932" i="27"/>
  <c r="K2134" i="27"/>
  <c r="K2088" i="27"/>
  <c r="K1956" i="27"/>
  <c r="K2214" i="27"/>
  <c r="K1936" i="27"/>
  <c r="K1970" i="27"/>
  <c r="K2058" i="27"/>
  <c r="K2228" i="27"/>
  <c r="K1968" i="27"/>
  <c r="K2051" i="27"/>
  <c r="K2125" i="27"/>
  <c r="K2000" i="27"/>
  <c r="K2117" i="27"/>
  <c r="K1940" i="27"/>
  <c r="K1931" i="27"/>
  <c r="K1980" i="27"/>
  <c r="K2103" i="27"/>
  <c r="K2034" i="27"/>
  <c r="K2118" i="27"/>
  <c r="K2047" i="27"/>
  <c r="K2046" i="27"/>
  <c r="K2076" i="27"/>
  <c r="K2129" i="27"/>
  <c r="K2155" i="27"/>
  <c r="K2135" i="27"/>
  <c r="K2225" i="27"/>
  <c r="K2167" i="27"/>
  <c r="K2037" i="27"/>
  <c r="K2113" i="27"/>
  <c r="K2121" i="27"/>
  <c r="K1925" i="27"/>
  <c r="K1994" i="27"/>
  <c r="K2061" i="27"/>
  <c r="K1993" i="27"/>
  <c r="K1921" i="27"/>
  <c r="K2175" i="27"/>
  <c r="K2048" i="27"/>
  <c r="K2041" i="27"/>
  <c r="K2015" i="27"/>
  <c r="K1972" i="27"/>
  <c r="K2042" i="27"/>
  <c r="K2203" i="27"/>
  <c r="K2149" i="27"/>
  <c r="K2123" i="27"/>
  <c r="K2141" i="27"/>
  <c r="K2011" i="27"/>
  <c r="K2241" i="27"/>
  <c r="K1950" i="27"/>
  <c r="K1964" i="27"/>
  <c r="K1977" i="27"/>
  <c r="K1986" i="27"/>
  <c r="K2093" i="27"/>
  <c r="K2168" i="27"/>
  <c r="K2059" i="27"/>
  <c r="K1934" i="27"/>
  <c r="K2075" i="27"/>
  <c r="K1912" i="27"/>
  <c r="K2207" i="27"/>
  <c r="K2001" i="27"/>
  <c r="K2154" i="27"/>
  <c r="K1938" i="27"/>
  <c r="K1913" i="27"/>
  <c r="K2086" i="27"/>
  <c r="K2147" i="27"/>
  <c r="K2071" i="27"/>
  <c r="K1946" i="27"/>
  <c r="K2087" i="27"/>
  <c r="K2160" i="27"/>
  <c r="K2089" i="27"/>
  <c r="K2158" i="27"/>
  <c r="K2247" i="27"/>
  <c r="K1955" i="27"/>
  <c r="K2178" i="27"/>
  <c r="K2216" i="27"/>
  <c r="K2248" i="27"/>
  <c r="K2152" i="27"/>
  <c r="K2224" i="27"/>
  <c r="K2036" i="27"/>
  <c r="K1941" i="27"/>
  <c r="K1951" i="27"/>
  <c r="K2115" i="27"/>
  <c r="K2024" i="27"/>
  <c r="K1920" i="27"/>
  <c r="K1930" i="27"/>
  <c r="K2030" i="27"/>
  <c r="K1975" i="27"/>
  <c r="K2120" i="27"/>
  <c r="K2107" i="27"/>
  <c r="K2025" i="27"/>
  <c r="K2020" i="27"/>
  <c r="K1929" i="27"/>
  <c r="K2171" i="27"/>
  <c r="K2027" i="27"/>
  <c r="K2084" i="27"/>
  <c r="K2226" i="27"/>
  <c r="K2206" i="27"/>
  <c r="K1973" i="27"/>
  <c r="K2205" i="27"/>
  <c r="K2232" i="27"/>
  <c r="K2200" i="27"/>
  <c r="K1960" i="27"/>
  <c r="K1952" i="27"/>
  <c r="K2137" i="27"/>
  <c r="K1943" i="27"/>
  <c r="K2124" i="27"/>
  <c r="K2077" i="27"/>
  <c r="K2238" i="27"/>
  <c r="K1953" i="27"/>
  <c r="K1981" i="27"/>
  <c r="K2050" i="27"/>
  <c r="K2062" i="27"/>
  <c r="K1966" i="27"/>
  <c r="K2095" i="27"/>
  <c r="K2049" i="27"/>
  <c r="K2017" i="27"/>
  <c r="K1918" i="27"/>
  <c r="K2074" i="27"/>
  <c r="K2099" i="27"/>
  <c r="K2142" i="27"/>
  <c r="K2186" i="27"/>
  <c r="K2150" i="27"/>
  <c r="K1976" i="27"/>
  <c r="K2019" i="27"/>
  <c r="K1995" i="27"/>
  <c r="K2165" i="27"/>
  <c r="K2021" i="27"/>
  <c r="K2236" i="27"/>
  <c r="K2092" i="27"/>
  <c r="K2177" i="27"/>
  <c r="K2245" i="27"/>
  <c r="K2101" i="27"/>
  <c r="K1923" i="27"/>
  <c r="K2210" i="27"/>
  <c r="K2060" i="27"/>
  <c r="K2233" i="27"/>
  <c r="K2222" i="27"/>
  <c r="K1985" i="27"/>
  <c r="K2182" i="27"/>
  <c r="K1999" i="27"/>
  <c r="K2112" i="27"/>
  <c r="K2009" i="27"/>
  <c r="K2199" i="27"/>
  <c r="K1978" i="27"/>
  <c r="K2072" i="27"/>
  <c r="K2191" i="27"/>
  <c r="K2190" i="27"/>
  <c r="K1979" i="27"/>
  <c r="K2249" i="27"/>
  <c r="K2043" i="27"/>
  <c r="K1974" i="27"/>
  <c r="K1945" i="27"/>
  <c r="K2016" i="27"/>
  <c r="K1947" i="27"/>
  <c r="K1954" i="27"/>
  <c r="K2132" i="27"/>
  <c r="K2189" i="27"/>
  <c r="K2218" i="27"/>
  <c r="K2108" i="27"/>
  <c r="K2055" i="27"/>
  <c r="K1917" i="27"/>
  <c r="K1984" i="27"/>
  <c r="K2081" i="27"/>
  <c r="K2166" i="27"/>
  <c r="K2179" i="27"/>
  <c r="K2185" i="27"/>
  <c r="K1942" i="27"/>
  <c r="K1937" i="27"/>
  <c r="K2023" i="27"/>
  <c r="K2018" i="27"/>
  <c r="K2188" i="27"/>
  <c r="K2223" i="27"/>
  <c r="K1969" i="27"/>
  <c r="K2159" i="27"/>
  <c r="K1944" i="27"/>
  <c r="K2193" i="27"/>
  <c r="K2230" i="27"/>
  <c r="K2064" i="27"/>
  <c r="K1988" i="27"/>
  <c r="K2170" i="27"/>
  <c r="K1963" i="27"/>
  <c r="K2014" i="27"/>
  <c r="K2202" i="27"/>
  <c r="K2144" i="27"/>
  <c r="K1933" i="27"/>
  <c r="K2221" i="27"/>
  <c r="K2250" i="27"/>
  <c r="K2044" i="27"/>
  <c r="K2078" i="27"/>
  <c r="K2073" i="27"/>
  <c r="K2067" i="27"/>
  <c r="K2143" i="27"/>
  <c r="K2148" i="27"/>
  <c r="K2169" i="27"/>
  <c r="K2138" i="27"/>
  <c r="K2215" i="27"/>
  <c r="K2229" i="27"/>
  <c r="K2157" i="27"/>
  <c r="K2219" i="27"/>
  <c r="K2109" i="27"/>
  <c r="K1989" i="27"/>
  <c r="K1949" i="27"/>
  <c r="K2176" i="27"/>
  <c r="K1915" i="27"/>
  <c r="K1958" i="27"/>
  <c r="K2127" i="27"/>
  <c r="K2002" i="27"/>
  <c r="K2032" i="27"/>
  <c r="N1611" i="27"/>
  <c r="I1611" i="27"/>
  <c r="G1611" i="27"/>
  <c r="J1611" i="27"/>
  <c r="E1611" i="27"/>
  <c r="K1611" i="27"/>
  <c r="F1611" i="27"/>
  <c r="H1611" i="27"/>
  <c r="H938" i="27"/>
  <c r="B939" i="27"/>
  <c r="N939" i="27"/>
  <c r="M939" i="27"/>
  <c r="C939" i="27" s="1"/>
  <c r="W124" i="1"/>
  <c r="Y124" i="1"/>
  <c r="E124" i="1"/>
  <c r="G1817" i="32"/>
  <c r="G2299" i="32"/>
  <c r="E2851" i="27" l="1"/>
  <c r="E2850" i="27"/>
  <c r="H939" i="27"/>
  <c r="B940" i="27"/>
  <c r="N940" i="27"/>
  <c r="M940" i="27"/>
  <c r="C940" i="27" s="1"/>
  <c r="AF124" i="1"/>
  <c r="B125" i="1" a="1"/>
  <c r="B125" i="1" s="1"/>
  <c r="AD124" i="1"/>
  <c r="AE124" i="1" s="1" a="1"/>
  <c r="AE124" i="1" s="1"/>
  <c r="AC38" i="34"/>
  <c r="AF73" i="34"/>
  <c r="AF70" i="34"/>
  <c r="AF21" i="34"/>
  <c r="AC77" i="34"/>
  <c r="AC32" i="34"/>
  <c r="AC67" i="34"/>
  <c r="AF29" i="34"/>
  <c r="AC22" i="34"/>
  <c r="AC78" i="34"/>
  <c r="AC56" i="34"/>
  <c r="AF49" i="34"/>
  <c r="AC29" i="34"/>
  <c r="AC37" i="34"/>
  <c r="AC54" i="34"/>
  <c r="AC88" i="34"/>
  <c r="AF13" i="34"/>
  <c r="AC62" i="34"/>
  <c r="AC68" i="34"/>
  <c r="AF34" i="34"/>
  <c r="AC9" i="34"/>
  <c r="AF71" i="34"/>
  <c r="AC81" i="34"/>
  <c r="AF72" i="34"/>
  <c r="AC74" i="34"/>
  <c r="AC17" i="34"/>
  <c r="AC10" i="34"/>
  <c r="AC16" i="34"/>
  <c r="AC84" i="34"/>
  <c r="AC31" i="34"/>
  <c r="AC20" i="34"/>
  <c r="AF54" i="34"/>
  <c r="AC79" i="34"/>
  <c r="AF58" i="34"/>
  <c r="AC51" i="34"/>
  <c r="AC63" i="34"/>
  <c r="AC30" i="34"/>
  <c r="AC57" i="34"/>
  <c r="AC12" i="34"/>
  <c r="AF26" i="34"/>
  <c r="AF62" i="34"/>
  <c r="AF24" i="34"/>
  <c r="AF18" i="34"/>
  <c r="AC70" i="34"/>
  <c r="AF20" i="34"/>
  <c r="AF55" i="34"/>
  <c r="AF64" i="34"/>
  <c r="AF40" i="34"/>
  <c r="AF33" i="34"/>
  <c r="AF31" i="34"/>
  <c r="AC45" i="34"/>
  <c r="AF81" i="34"/>
  <c r="AF83" i="34"/>
  <c r="AC85" i="34"/>
  <c r="AC58" i="34"/>
  <c r="AF79" i="34"/>
  <c r="AF63" i="34"/>
  <c r="AC18" i="34"/>
  <c r="AF80" i="34"/>
  <c r="AC21" i="34"/>
  <c r="AC65" i="34"/>
  <c r="AF86" i="34"/>
  <c r="AF76" i="34"/>
  <c r="AC44" i="34"/>
  <c r="AC35" i="34"/>
  <c r="AC64" i="34"/>
  <c r="AC39" i="34"/>
  <c r="AF25" i="34"/>
  <c r="AF47" i="34"/>
  <c r="AF85" i="34"/>
  <c r="AF42" i="34"/>
  <c r="AC28" i="34"/>
  <c r="AF88" i="34"/>
  <c r="AF15" i="34"/>
  <c r="AC14" i="34"/>
  <c r="AF32" i="34"/>
  <c r="AC72" i="34"/>
  <c r="AC25" i="34"/>
  <c r="AF82" i="34"/>
  <c r="AF77" i="34"/>
  <c r="AF52" i="34"/>
  <c r="AC86" i="34"/>
  <c r="AF39" i="34"/>
  <c r="AF84" i="34"/>
  <c r="AF43" i="34"/>
  <c r="AC76" i="34"/>
  <c r="AF14" i="34"/>
  <c r="AC19" i="34"/>
  <c r="AC40" i="34"/>
  <c r="AF53" i="34"/>
  <c r="AC33" i="34"/>
  <c r="AF66" i="34"/>
  <c r="AF16" i="34"/>
  <c r="AF41" i="34"/>
  <c r="AF37" i="34"/>
  <c r="AF46" i="34"/>
  <c r="AF59" i="34"/>
  <c r="AF17" i="34"/>
  <c r="AC27" i="34"/>
  <c r="AF45" i="34"/>
  <c r="AC11" i="34"/>
  <c r="AF68" i="34"/>
  <c r="AF9" i="34"/>
  <c r="AC53" i="34"/>
  <c r="AC50" i="34"/>
  <c r="AC36" i="34"/>
  <c r="AC73" i="34"/>
  <c r="AF50" i="34"/>
  <c r="AF57" i="34"/>
  <c r="AC43" i="34"/>
  <c r="AC52" i="34"/>
  <c r="AF56" i="34"/>
  <c r="AF10" i="34"/>
  <c r="AC48" i="34"/>
  <c r="AC49" i="34"/>
  <c r="AC34" i="34"/>
  <c r="AF23" i="34"/>
  <c r="AC47" i="34"/>
  <c r="AF51" i="34"/>
  <c r="AF48" i="34"/>
  <c r="AC41" i="34"/>
  <c r="AC61" i="34"/>
  <c r="AC46" i="34"/>
  <c r="AF38" i="34"/>
  <c r="AC83" i="34"/>
  <c r="AC42" i="34"/>
  <c r="AC55" i="34"/>
  <c r="AF12" i="34"/>
  <c r="AC59" i="34"/>
  <c r="AC60" i="34"/>
  <c r="AF28" i="34"/>
  <c r="AC75" i="34"/>
  <c r="AF19" i="34"/>
  <c r="AF35" i="34"/>
  <c r="AF65" i="34"/>
  <c r="AC80" i="34"/>
  <c r="AF67" i="34"/>
  <c r="AC69" i="34"/>
  <c r="AF22" i="34"/>
  <c r="AF30" i="34"/>
  <c r="AF36" i="34"/>
  <c r="AF44" i="34"/>
  <c r="AF61" i="34"/>
  <c r="AC66" i="34"/>
  <c r="AF11" i="34"/>
  <c r="AC87" i="34"/>
  <c r="AF27" i="34"/>
  <c r="AF74" i="34"/>
  <c r="AC82" i="34"/>
  <c r="AC24" i="34"/>
  <c r="AF60" i="34"/>
  <c r="AF69" i="34"/>
  <c r="AF75" i="34"/>
  <c r="AC15" i="34"/>
  <c r="AC23" i="34"/>
  <c r="AF87" i="34"/>
  <c r="AF78" i="34"/>
  <c r="AC13" i="34"/>
  <c r="AC71" i="34"/>
  <c r="AC26" i="34"/>
  <c r="X124" i="1"/>
  <c r="AH124" i="1" s="1"/>
  <c r="U124" i="1"/>
  <c r="L124" i="1" s="1"/>
  <c r="D3000" i="27"/>
  <c r="D3035" i="27"/>
  <c r="D3026" i="27"/>
  <c r="D3017" i="27"/>
  <c r="D2990" i="27"/>
  <c r="D3027" i="27"/>
  <c r="D3021" i="27"/>
  <c r="D3037" i="27"/>
  <c r="D3054" i="27"/>
  <c r="D3028" i="27"/>
  <c r="D3020" i="27"/>
  <c r="D2994" i="27"/>
  <c r="D3024" i="27"/>
  <c r="D3041" i="27"/>
  <c r="D2982" i="27"/>
  <c r="D2989" i="27"/>
  <c r="D3034" i="27"/>
  <c r="D2995" i="27"/>
  <c r="D3050" i="27"/>
  <c r="D3006" i="27"/>
  <c r="D2998" i="27"/>
  <c r="D3005" i="27"/>
  <c r="D3044" i="27"/>
  <c r="D3055" i="27"/>
  <c r="D2984" i="27"/>
  <c r="D3052" i="27"/>
  <c r="D3032" i="27"/>
  <c r="D2999" i="27"/>
  <c r="D3001" i="27"/>
  <c r="D3002" i="27"/>
  <c r="D3018" i="27"/>
  <c r="D3038" i="27"/>
  <c r="D2993" i="27"/>
  <c r="D2986" i="27"/>
  <c r="D3015" i="27"/>
  <c r="D3013" i="27"/>
  <c r="D3048" i="27"/>
  <c r="D2979" i="27"/>
  <c r="D3019" i="27"/>
  <c r="D3022" i="27"/>
  <c r="D3031" i="27"/>
  <c r="D3043" i="27"/>
  <c r="D2980" i="27"/>
  <c r="D3040" i="27"/>
  <c r="D3016" i="27"/>
  <c r="D3042" i="27"/>
  <c r="D3009" i="27"/>
  <c r="D3025" i="27"/>
  <c r="D3029" i="27"/>
  <c r="D3056" i="27"/>
  <c r="D2987" i="27"/>
  <c r="D3051" i="27"/>
  <c r="D3030" i="27"/>
  <c r="D3036" i="27"/>
  <c r="D3007" i="27"/>
  <c r="D3023" i="27"/>
  <c r="D3047" i="27"/>
  <c r="D3010" i="27"/>
  <c r="D2977" i="27"/>
  <c r="D3046" i="27"/>
  <c r="D3004" i="27"/>
  <c r="D2983" i="27"/>
  <c r="D3039" i="27"/>
  <c r="D3003" i="27"/>
  <c r="D3049" i="27"/>
  <c r="D2991" i="27"/>
  <c r="D3014" i="27"/>
  <c r="D2996" i="27"/>
  <c r="D2981" i="27"/>
  <c r="D3045" i="27"/>
  <c r="D3053" i="27"/>
  <c r="D2997" i="27"/>
  <c r="D3033" i="27"/>
  <c r="D2985" i="27"/>
  <c r="D3011" i="27"/>
  <c r="D2978" i="27"/>
  <c r="D3012" i="27"/>
  <c r="D3008" i="27"/>
  <c r="D2992" i="27"/>
  <c r="D2988" i="27"/>
  <c r="AH24" i="34" l="1"/>
  <c r="AH64" i="34"/>
  <c r="AH83" i="34"/>
  <c r="AH40" i="34"/>
  <c r="AH84" i="34"/>
  <c r="AH19" i="34"/>
  <c r="AH44" i="34"/>
  <c r="AH16" i="34"/>
  <c r="AH88" i="34"/>
  <c r="AH10" i="34"/>
  <c r="AH87" i="34"/>
  <c r="AH61" i="34"/>
  <c r="AH43" i="34"/>
  <c r="AH76" i="34"/>
  <c r="AH57" i="34"/>
  <c r="AH17" i="34"/>
  <c r="AH37" i="34"/>
  <c r="AH41" i="34"/>
  <c r="AH65" i="34"/>
  <c r="AH30" i="34"/>
  <c r="AH74" i="34"/>
  <c r="AH29" i="34"/>
  <c r="AH38" i="34"/>
  <c r="AH48" i="34"/>
  <c r="AH85" i="34"/>
  <c r="AH82" i="34"/>
  <c r="AH72" i="34"/>
  <c r="AH77" i="34"/>
  <c r="AH27" i="34"/>
  <c r="AH12" i="34"/>
  <c r="AH13" i="34"/>
  <c r="AH66" i="34"/>
  <c r="AH75" i="34"/>
  <c r="AH28" i="34"/>
  <c r="AH21" i="34"/>
  <c r="AH63" i="34"/>
  <c r="AH46" i="34"/>
  <c r="AH14" i="34"/>
  <c r="AH54" i="34"/>
  <c r="AH23" i="34"/>
  <c r="AH73" i="34"/>
  <c r="AH51" i="34"/>
  <c r="AH81" i="34"/>
  <c r="AH56" i="34"/>
  <c r="AH11" i="34"/>
  <c r="AH35" i="34"/>
  <c r="AH26" i="34"/>
  <c r="AH80" i="34"/>
  <c r="AH71" i="34"/>
  <c r="AH52" i="34"/>
  <c r="AH45" i="34"/>
  <c r="AH15" i="34"/>
  <c r="AH60" i="34"/>
  <c r="AH47" i="34"/>
  <c r="AH36" i="34"/>
  <c r="AH86" i="34"/>
  <c r="AH18" i="34"/>
  <c r="AH78" i="34"/>
  <c r="AH69" i="34"/>
  <c r="AH25" i="34"/>
  <c r="AH9" i="34"/>
  <c r="AH53" i="34"/>
  <c r="AH70" i="34"/>
  <c r="AH42" i="34"/>
  <c r="AH59" i="34"/>
  <c r="AH50" i="34"/>
  <c r="AH79" i="34"/>
  <c r="AH22" i="34"/>
  <c r="AH34" i="34"/>
  <c r="AH55" i="34"/>
  <c r="AH49" i="34"/>
  <c r="AH33" i="34"/>
  <c r="AH39" i="34"/>
  <c r="AH58" i="34"/>
  <c r="AH20" i="34"/>
  <c r="AH68" i="34"/>
  <c r="AH67" i="34"/>
  <c r="AH31" i="34"/>
  <c r="AH62" i="34"/>
  <c r="AH32" i="34"/>
  <c r="H940" i="27"/>
  <c r="B941" i="27"/>
  <c r="M941" i="27"/>
  <c r="C941" i="27" s="1"/>
  <c r="N941" i="27"/>
  <c r="AE125" i="1" a="1"/>
  <c r="AE125" i="1" s="1"/>
  <c r="B126" i="1" a="1"/>
  <c r="B126" i="1" s="1"/>
  <c r="B127" i="1" s="1" a="1"/>
  <c r="B127" i="1" s="1"/>
  <c r="AI124" i="1"/>
  <c r="AI140" i="1"/>
  <c r="AI133" i="1"/>
  <c r="AI162" i="1"/>
  <c r="AI173" i="1"/>
  <c r="AI147" i="1"/>
  <c r="AI165" i="1"/>
  <c r="AI154" i="1"/>
  <c r="AI167" i="1"/>
  <c r="AI144" i="1"/>
  <c r="AI161" i="1"/>
  <c r="AI146" i="1"/>
  <c r="AI139" i="1"/>
  <c r="AI163" i="1"/>
  <c r="AI151" i="1"/>
  <c r="AI127" i="1"/>
  <c r="AI160" i="1"/>
  <c r="AI157" i="1"/>
  <c r="AI137" i="1"/>
  <c r="AI164" i="1"/>
  <c r="AI174" i="1"/>
  <c r="AI159" i="1"/>
  <c r="AI172" i="1"/>
  <c r="AI158" i="1"/>
  <c r="AI128" i="1"/>
  <c r="AI129" i="1"/>
  <c r="AI130" i="1"/>
  <c r="AI153" i="1"/>
  <c r="AI168" i="1"/>
  <c r="AI169" i="1"/>
  <c r="AI141" i="1"/>
  <c r="AI155" i="1"/>
  <c r="AI136" i="1"/>
  <c r="AI171" i="1"/>
  <c r="AI148" i="1"/>
  <c r="AI132" i="1"/>
  <c r="AI138" i="1"/>
  <c r="AI142" i="1"/>
  <c r="AI150" i="1"/>
  <c r="AI125" i="1"/>
  <c r="AI126" i="1"/>
  <c r="AI149" i="1"/>
  <c r="AI170" i="1"/>
  <c r="AI134" i="1"/>
  <c r="AI145" i="1"/>
  <c r="AI135" i="1"/>
  <c r="AI152" i="1"/>
  <c r="AI156" i="1"/>
  <c r="AI131" i="1"/>
  <c r="AI166" i="1"/>
  <c r="AI143" i="1"/>
  <c r="AA124" i="1"/>
  <c r="O124" i="1" s="1"/>
  <c r="AO124" i="1"/>
  <c r="N124" i="1"/>
  <c r="AC124" i="1"/>
  <c r="M124" i="1"/>
  <c r="V3053" i="27"/>
  <c r="V2977" i="27"/>
  <c r="V3044" i="27"/>
  <c r="V3020" i="27"/>
  <c r="V3051" i="27"/>
  <c r="V3022" i="27"/>
  <c r="V2988" i="27"/>
  <c r="V3001" i="27"/>
  <c r="V3045" i="27"/>
  <c r="V3010" i="27"/>
  <c r="V3035" i="27"/>
  <c r="V2995" i="27"/>
  <c r="V2980" i="27"/>
  <c r="V3018" i="27"/>
  <c r="V3012" i="27"/>
  <c r="V3049" i="27"/>
  <c r="V3030" i="27"/>
  <c r="V2984" i="27"/>
  <c r="V3024" i="27"/>
  <c r="V3037" i="27"/>
  <c r="V3042" i="27"/>
  <c r="V2986" i="27"/>
  <c r="V3003" i="27"/>
  <c r="V2992" i="27"/>
  <c r="V3014" i="27"/>
  <c r="V3007" i="27"/>
  <c r="V3050" i="27"/>
  <c r="V3025" i="27"/>
  <c r="V3041" i="27"/>
  <c r="V3036" i="27"/>
  <c r="V3019" i="27"/>
  <c r="V3004" i="27"/>
  <c r="V3054" i="27"/>
  <c r="V3043" i="27"/>
  <c r="V3046" i="27"/>
  <c r="V2989" i="27"/>
  <c r="V3011" i="27"/>
  <c r="V3039" i="27"/>
  <c r="V3032" i="27"/>
  <c r="V2982" i="27"/>
  <c r="V3026" i="27"/>
  <c r="V3040" i="27"/>
  <c r="V3038" i="27"/>
  <c r="V3027" i="27"/>
  <c r="V2985" i="27"/>
  <c r="V2983" i="27"/>
  <c r="V3028" i="27"/>
  <c r="V3005" i="27"/>
  <c r="V3009" i="27"/>
  <c r="V3015" i="27"/>
  <c r="V3000" i="27"/>
  <c r="V2981" i="27"/>
  <c r="V3047" i="27"/>
  <c r="V3016" i="27"/>
  <c r="V3034" i="27"/>
  <c r="V2990" i="27"/>
  <c r="V3056" i="27"/>
  <c r="V2979" i="27"/>
  <c r="V3031" i="27"/>
  <c r="V2996" i="27"/>
  <c r="V3023" i="27"/>
  <c r="V3055" i="27"/>
  <c r="V2993" i="27"/>
  <c r="V2978" i="27"/>
  <c r="V3017" i="27"/>
  <c r="V3006" i="27"/>
  <c r="V3021" i="27"/>
  <c r="V3013" i="27"/>
  <c r="V3008" i="27"/>
  <c r="V2991" i="27"/>
  <c r="V3052" i="27"/>
  <c r="V2987" i="27"/>
  <c r="V2999" i="27"/>
  <c r="V3033" i="27"/>
  <c r="V2994" i="27"/>
  <c r="V2998" i="27"/>
  <c r="V3029" i="27"/>
  <c r="V3002" i="27"/>
  <c r="V2997" i="27"/>
  <c r="V3048" i="27"/>
  <c r="H941" i="27" l="1"/>
  <c r="B942" i="27"/>
  <c r="N942" i="27"/>
  <c r="M942" i="27"/>
  <c r="C942" i="27" s="1"/>
  <c r="AJ134" i="1"/>
  <c r="AJ155" i="1"/>
  <c r="AJ164" i="1"/>
  <c r="AJ154" i="1"/>
  <c r="AJ135" i="1"/>
  <c r="AJ149" i="1"/>
  <c r="AJ169" i="1"/>
  <c r="AJ157" i="1"/>
  <c r="AJ147" i="1"/>
  <c r="AJ168" i="1"/>
  <c r="AJ162" i="1"/>
  <c r="AJ165" i="1"/>
  <c r="AJ143" i="1"/>
  <c r="AJ130" i="1"/>
  <c r="AJ133" i="1"/>
  <c r="AJ153" i="1"/>
  <c r="AJ127" i="1"/>
  <c r="AJ167" i="1"/>
  <c r="AJ125" i="1"/>
  <c r="AJ152" i="1"/>
  <c r="AJ151" i="1"/>
  <c r="AJ124" i="1"/>
  <c r="AM174" i="1" s="1"/>
  <c r="AJ160" i="1"/>
  <c r="AJ129" i="1"/>
  <c r="AJ161" i="1"/>
  <c r="AJ128" i="1"/>
  <c r="AJ142" i="1"/>
  <c r="AJ170" i="1"/>
  <c r="AJ140" i="1"/>
  <c r="AJ172" i="1"/>
  <c r="AJ174" i="1"/>
  <c r="B128" i="1" a="1"/>
  <c r="B128" i="1" s="1"/>
  <c r="B129" i="1" s="1" a="1"/>
  <c r="B129" i="1" s="1"/>
  <c r="B130" i="1" s="1" a="1"/>
  <c r="B130" i="1" s="1"/>
  <c r="B131" i="1" s="1" a="1"/>
  <c r="B131" i="1" s="1"/>
  <c r="AJ173" i="1"/>
  <c r="AJ156" i="1"/>
  <c r="AJ137" i="1"/>
  <c r="AJ166" i="1"/>
  <c r="AJ145" i="1"/>
  <c r="AJ136" i="1"/>
  <c r="AJ171" i="1"/>
  <c r="AJ163" i="1"/>
  <c r="AJ150" i="1"/>
  <c r="AJ148" i="1"/>
  <c r="AJ158" i="1"/>
  <c r="AJ159" i="1"/>
  <c r="AJ126" i="1"/>
  <c r="AJ139" i="1"/>
  <c r="AJ131" i="1"/>
  <c r="AJ146" i="1"/>
  <c r="AJ132" i="1"/>
  <c r="AJ141" i="1"/>
  <c r="AJ144" i="1"/>
  <c r="AJ138" i="1"/>
  <c r="AE126" i="1" a="1"/>
  <c r="AE126" i="1" s="1"/>
  <c r="AE127" i="1" s="1" a="1"/>
  <c r="AE127" i="1" s="1"/>
  <c r="H942" i="27" l="1"/>
  <c r="B943" i="27"/>
  <c r="M943" i="27"/>
  <c r="C943" i="27" s="1"/>
  <c r="N943" i="27"/>
  <c r="AL174" i="1"/>
  <c r="AM156" i="1"/>
  <c r="AK174" i="1"/>
  <c r="AN174" i="1" s="1"/>
  <c r="AK165" i="1"/>
  <c r="AL153" i="1"/>
  <c r="AM141" i="1"/>
  <c r="AK137" i="1"/>
  <c r="AM168" i="1"/>
  <c r="AK152" i="1"/>
  <c r="AL162" i="1"/>
  <c r="AM162" i="1"/>
  <c r="AK144" i="1"/>
  <c r="AM153" i="1"/>
  <c r="AK136" i="1"/>
  <c r="AE128" i="1" a="1"/>
  <c r="AE128" i="1" s="1"/>
  <c r="AK139" i="1"/>
  <c r="AL127" i="1"/>
  <c r="AL165" i="1"/>
  <c r="AM170" i="1"/>
  <c r="AL132" i="1"/>
  <c r="AL135" i="1"/>
  <c r="AK172" i="1"/>
  <c r="AM148" i="1"/>
  <c r="AL151" i="1"/>
  <c r="AK150" i="1"/>
  <c r="AK168" i="1"/>
  <c r="AK161" i="1"/>
  <c r="AM169" i="1"/>
  <c r="AL125" i="1"/>
  <c r="AL163" i="1"/>
  <c r="AK154" i="1"/>
  <c r="AM151" i="1"/>
  <c r="AK145" i="1"/>
  <c r="AL168" i="1"/>
  <c r="AL137" i="1"/>
  <c r="AN137" i="1" s="1"/>
  <c r="AM172" i="1"/>
  <c r="AM125" i="1"/>
  <c r="AK166" i="1"/>
  <c r="AL126" i="1"/>
  <c r="AM163" i="1"/>
  <c r="AL142" i="1"/>
  <c r="AK157" i="1"/>
  <c r="AM145" i="1"/>
  <c r="AM130" i="1"/>
  <c r="AK147" i="1"/>
  <c r="AL134" i="1"/>
  <c r="B132" i="1" a="1"/>
  <c r="B132" i="1" s="1"/>
  <c r="B133" i="1" s="1" a="1"/>
  <c r="B133" i="1" s="1"/>
  <c r="AK163" i="1"/>
  <c r="AK142" i="1"/>
  <c r="AM139" i="1"/>
  <c r="AK133" i="1"/>
  <c r="AL156" i="1"/>
  <c r="AK160" i="1"/>
  <c r="AM160" i="1"/>
  <c r="AM158" i="1"/>
  <c r="AL130" i="1"/>
  <c r="AL159" i="1"/>
  <c r="AK135" i="1"/>
  <c r="AN135" i="1" s="1"/>
  <c r="AL149" i="1"/>
  <c r="AL160" i="1"/>
  <c r="AM137" i="1"/>
  <c r="AL128" i="1"/>
  <c r="AK131" i="1"/>
  <c r="AK125" i="1"/>
  <c r="AL154" i="1"/>
  <c r="AK169" i="1"/>
  <c r="AL148" i="1"/>
  <c r="AM142" i="1"/>
  <c r="AK159" i="1"/>
  <c r="AN159" i="1" s="1"/>
  <c r="AL146" i="1"/>
  <c r="AK127" i="1"/>
  <c r="AN127" i="1" s="1"/>
  <c r="AM150" i="1"/>
  <c r="AL124" i="1"/>
  <c r="AK124" i="1"/>
  <c r="AM124" i="1"/>
  <c r="AK151" i="1"/>
  <c r="AM136" i="1"/>
  <c r="AL139" i="1"/>
  <c r="AK130" i="1"/>
  <c r="AM127" i="1"/>
  <c r="AK156" i="1"/>
  <c r="AN156" i="1" s="1"/>
  <c r="AK164" i="1"/>
  <c r="AM165" i="1"/>
  <c r="AL144" i="1"/>
  <c r="AL171" i="1"/>
  <c r="AK148" i="1"/>
  <c r="AK149" i="1"/>
  <c r="AL161" i="1"/>
  <c r="AK140" i="1"/>
  <c r="AM149" i="1"/>
  <c r="AL140" i="1"/>
  <c r="AK143" i="1"/>
  <c r="AK173" i="1"/>
  <c r="AL166" i="1"/>
  <c r="AL131" i="1"/>
  <c r="AK128" i="1"/>
  <c r="AN128" i="1" s="1"/>
  <c r="AM154" i="1"/>
  <c r="AK171" i="1"/>
  <c r="AL158" i="1"/>
  <c r="AL147" i="1"/>
  <c r="AL173" i="1"/>
  <c r="AM161" i="1"/>
  <c r="AL152" i="1"/>
  <c r="AK155" i="1"/>
  <c r="AM133" i="1"/>
  <c r="AM128" i="1"/>
  <c r="AL143" i="1"/>
  <c r="AL150" i="1"/>
  <c r="AM166" i="1"/>
  <c r="AL133" i="1"/>
  <c r="AL170" i="1"/>
  <c r="AM171" i="1"/>
  <c r="AM134" i="1"/>
  <c r="AK132" i="1"/>
  <c r="AK170" i="1"/>
  <c r="AM157" i="1"/>
  <c r="AK129" i="1"/>
  <c r="AN129" i="1" s="1"/>
  <c r="AL164" i="1"/>
  <c r="AK138" i="1"/>
  <c r="AL155" i="1"/>
  <c r="AM143" i="1"/>
  <c r="AM132" i="1"/>
  <c r="AM147" i="1"/>
  <c r="AK126" i="1"/>
  <c r="AL129" i="1"/>
  <c r="AM152" i="1"/>
  <c r="AL167" i="1"/>
  <c r="AK146" i="1"/>
  <c r="AM155" i="1"/>
  <c r="AL157" i="1"/>
  <c r="AM144" i="1"/>
  <c r="AM131" i="1"/>
  <c r="AM135" i="1"/>
  <c r="AM173" i="1"/>
  <c r="AK167" i="1"/>
  <c r="AM140" i="1"/>
  <c r="AK134" i="1"/>
  <c r="AL145" i="1"/>
  <c r="AK162" i="1"/>
  <c r="AK141" i="1"/>
  <c r="AM126" i="1"/>
  <c r="AL172" i="1"/>
  <c r="AM146" i="1"/>
  <c r="AM159" i="1"/>
  <c r="AK153" i="1"/>
  <c r="AN153" i="1" s="1"/>
  <c r="AL136" i="1"/>
  <c r="AM138" i="1"/>
  <c r="AL141" i="1"/>
  <c r="AL138" i="1"/>
  <c r="AM164" i="1"/>
  <c r="AM129" i="1"/>
  <c r="AK158" i="1"/>
  <c r="AM167" i="1"/>
  <c r="AL169" i="1"/>
  <c r="AN125" i="1"/>
  <c r="H943" i="27" l="1"/>
  <c r="B944" i="27"/>
  <c r="M944" i="27"/>
  <c r="C944" i="27" s="1"/>
  <c r="N944" i="27"/>
  <c r="AN162" i="1"/>
  <c r="AN167" i="1"/>
  <c r="AN173" i="1"/>
  <c r="AN141" i="1"/>
  <c r="AN151" i="1"/>
  <c r="AN146" i="1"/>
  <c r="AN147" i="1"/>
  <c r="AN171" i="1"/>
  <c r="AN144" i="1"/>
  <c r="AN164" i="1"/>
  <c r="AN172" i="1"/>
  <c r="AN158" i="1"/>
  <c r="AN155" i="1"/>
  <c r="AN170" i="1"/>
  <c r="AN169" i="1"/>
  <c r="AN157" i="1"/>
  <c r="AN140" i="1"/>
  <c r="AN160" i="1"/>
  <c r="AN126" i="1"/>
  <c r="AN150" i="1"/>
  <c r="AN145" i="1"/>
  <c r="AN134" i="1"/>
  <c r="AN132" i="1"/>
  <c r="AN143" i="1"/>
  <c r="AN130" i="1"/>
  <c r="AN154" i="1"/>
  <c r="AN152" i="1"/>
  <c r="AE129" i="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144" i="1" s="1" a="1"/>
  <c r="AE144" i="1" s="1"/>
  <c r="AE145" i="1" s="1" a="1"/>
  <c r="AE145" i="1" s="1"/>
  <c r="AE146" i="1" s="1" a="1"/>
  <c r="AE146" i="1" s="1"/>
  <c r="AE147" i="1" s="1" a="1"/>
  <c r="AE147" i="1" s="1"/>
  <c r="AE148" i="1" s="1" a="1"/>
  <c r="AE148" i="1" s="1"/>
  <c r="AE149" i="1" s="1" a="1"/>
  <c r="AE149" i="1" s="1"/>
  <c r="AE150" i="1" s="1" a="1"/>
  <c r="AE150" i="1" s="1"/>
  <c r="AE151" i="1" s="1" a="1"/>
  <c r="AE151" i="1" s="1"/>
  <c r="AE152" i="1" s="1" a="1"/>
  <c r="AE152" i="1" s="1"/>
  <c r="AE153" i="1" s="1" a="1"/>
  <c r="AE153" i="1" s="1"/>
  <c r="AE154" i="1" s="1" a="1"/>
  <c r="AE154" i="1" s="1"/>
  <c r="AE155" i="1" s="1" a="1"/>
  <c r="AE155" i="1" s="1"/>
  <c r="AE156" i="1" s="1" a="1"/>
  <c r="AE156" i="1" s="1"/>
  <c r="AE157" i="1" s="1" a="1"/>
  <c r="AE157" i="1" s="1"/>
  <c r="AE158" i="1" s="1" a="1"/>
  <c r="AE158" i="1" s="1"/>
  <c r="AE159" i="1" s="1" a="1"/>
  <c r="AE159" i="1" s="1"/>
  <c r="AE160" i="1" s="1" a="1"/>
  <c r="AE160" i="1" s="1"/>
  <c r="AE161" i="1" s="1" a="1"/>
  <c r="AE161" i="1" s="1"/>
  <c r="AE162" i="1" s="1" a="1"/>
  <c r="AE162" i="1" s="1"/>
  <c r="AE163" i="1" s="1" a="1"/>
  <c r="AE163" i="1" s="1"/>
  <c r="AE164" i="1" s="1" a="1"/>
  <c r="AE164" i="1" s="1"/>
  <c r="AE165" i="1" s="1" a="1"/>
  <c r="AE165" i="1" s="1"/>
  <c r="AE166" i="1" s="1" a="1"/>
  <c r="AE166" i="1" s="1"/>
  <c r="AE167" i="1" s="1" a="1"/>
  <c r="AE167" i="1" s="1"/>
  <c r="AE168" i="1" s="1" a="1"/>
  <c r="AE168" i="1" s="1"/>
  <c r="AE169" i="1" s="1" a="1"/>
  <c r="AE169" i="1" s="1"/>
  <c r="AE170" i="1" s="1" a="1"/>
  <c r="AE170" i="1" s="1"/>
  <c r="AE171" i="1" s="1" a="1"/>
  <c r="AE171" i="1" s="1"/>
  <c r="AE172" i="1" s="1" a="1"/>
  <c r="AE172" i="1" s="1"/>
  <c r="AE173" i="1" s="1" a="1"/>
  <c r="AE173" i="1" s="1"/>
  <c r="AE174" i="1" s="1" a="1"/>
  <c r="AE174" i="1" s="1"/>
  <c r="AN149" i="1"/>
  <c r="AN131" i="1"/>
  <c r="AN133" i="1"/>
  <c r="AN161" i="1"/>
  <c r="B134" i="1" a="1"/>
  <c r="B134" i="1" s="1"/>
  <c r="B135" i="1" s="1" a="1"/>
  <c r="B135" i="1" s="1"/>
  <c r="B136" i="1" s="1" a="1"/>
  <c r="B136" i="1" s="1"/>
  <c r="B137" i="1" s="1" a="1"/>
  <c r="B137" i="1" s="1"/>
  <c r="B138" i="1" s="1" a="1"/>
  <c r="B138" i="1" s="1"/>
  <c r="B139" i="1" s="1" a="1"/>
  <c r="B139" i="1" s="1"/>
  <c r="B140" i="1" s="1" a="1"/>
  <c r="B140" i="1" s="1"/>
  <c r="B141" i="1" s="1" a="1"/>
  <c r="B141" i="1" s="1"/>
  <c r="B142" i="1" s="1" a="1"/>
  <c r="B142" i="1" s="1"/>
  <c r="B143" i="1" s="1" a="1"/>
  <c r="B143" i="1" s="1"/>
  <c r="B144" i="1" s="1" a="1"/>
  <c r="B144" i="1" s="1"/>
  <c r="B145" i="1" s="1" a="1"/>
  <c r="B145" i="1" s="1"/>
  <c r="B146" i="1" s="1" a="1"/>
  <c r="B146" i="1" s="1"/>
  <c r="B147" i="1" s="1" a="1"/>
  <c r="B147" i="1" s="1"/>
  <c r="B148" i="1" s="1" a="1"/>
  <c r="B148" i="1" s="1"/>
  <c r="B149" i="1" s="1" a="1"/>
  <c r="B149" i="1" s="1"/>
  <c r="B150" i="1" s="1" a="1"/>
  <c r="B150" i="1" s="1"/>
  <c r="AN148" i="1"/>
  <c r="AN124" i="1"/>
  <c r="AN166" i="1"/>
  <c r="AN168" i="1"/>
  <c r="AN139" i="1"/>
  <c r="AN138" i="1"/>
  <c r="AN142" i="1"/>
  <c r="AN163" i="1"/>
  <c r="AN136" i="1"/>
  <c r="AN165" i="1"/>
  <c r="H944" i="27" l="1"/>
  <c r="B945" i="27"/>
  <c r="N945" i="27"/>
  <c r="M945" i="27"/>
  <c r="C945" i="27" s="1"/>
  <c r="P2" i="29" a="1"/>
  <c r="P2" i="29" s="1"/>
  <c r="P3" i="29" s="1" a="1"/>
  <c r="P3" i="29" s="1"/>
  <c r="P4" i="29" s="1" a="1"/>
  <c r="P4" i="29" s="1"/>
  <c r="B151" i="1" a="1"/>
  <c r="B151" i="1" s="1"/>
  <c r="B152" i="1" s="1" a="1"/>
  <c r="B152" i="1" s="1"/>
  <c r="B153" i="1" s="1" a="1"/>
  <c r="B153" i="1" s="1"/>
  <c r="B154" i="1" s="1" a="1"/>
  <c r="B154" i="1" s="1"/>
  <c r="B155" i="1" s="1" a="1"/>
  <c r="B155" i="1" s="1"/>
  <c r="B156" i="1" s="1" a="1"/>
  <c r="B156" i="1" s="1"/>
  <c r="B157" i="1" s="1" a="1"/>
  <c r="B157" i="1" s="1"/>
  <c r="B158" i="1" s="1" a="1"/>
  <c r="B158" i="1" s="1"/>
  <c r="B159" i="1" s="1" a="1"/>
  <c r="B159" i="1" s="1"/>
  <c r="B160" i="1" s="1" a="1"/>
  <c r="B160" i="1" s="1"/>
  <c r="B161" i="1" s="1" a="1"/>
  <c r="B161" i="1" s="1"/>
  <c r="B162" i="1" s="1" a="1"/>
  <c r="B162" i="1" s="1"/>
  <c r="B163" i="1" s="1" a="1"/>
  <c r="B163" i="1" s="1"/>
  <c r="B164" i="1" s="1" a="1"/>
  <c r="B164" i="1" s="1"/>
  <c r="B165" i="1" s="1" a="1"/>
  <c r="B165" i="1" s="1"/>
  <c r="B166" i="1" s="1" a="1"/>
  <c r="B166" i="1" s="1"/>
  <c r="B167" i="1" s="1" a="1"/>
  <c r="B167" i="1" s="1"/>
  <c r="B168" i="1" s="1" a="1"/>
  <c r="B168" i="1" s="1"/>
  <c r="B169" i="1" s="1" a="1"/>
  <c r="B169" i="1" s="1"/>
  <c r="B170" i="1" s="1" a="1"/>
  <c r="B170" i="1" s="1"/>
  <c r="B171" i="1" s="1" a="1"/>
  <c r="B171" i="1" s="1"/>
  <c r="B172" i="1" s="1" a="1"/>
  <c r="B172" i="1" s="1"/>
  <c r="B173" i="1" s="1" a="1"/>
  <c r="B173" i="1" s="1"/>
  <c r="B174" i="1" s="1" a="1"/>
  <c r="B174" i="1" s="1"/>
  <c r="H945" i="27" l="1"/>
  <c r="B946" i="27"/>
  <c r="M946" i="27"/>
  <c r="C946" i="27" s="1"/>
  <c r="N946" i="27"/>
  <c r="O2" i="29"/>
  <c r="Q2" i="29"/>
  <c r="P5" i="29" a="1"/>
  <c r="P5" i="29" s="1"/>
  <c r="O4" i="29"/>
  <c r="Q4" i="29"/>
  <c r="Q3" i="29"/>
  <c r="O3" i="29"/>
  <c r="B947" i="27" l="1"/>
  <c r="H946" i="27"/>
  <c r="N947" i="27"/>
  <c r="M947" i="27"/>
  <c r="C947" i="27" s="1"/>
  <c r="P6" i="29" a="1"/>
  <c r="P6" i="29" s="1"/>
  <c r="P7" i="29" s="1" a="1"/>
  <c r="P7" i="29" s="1"/>
  <c r="O5" i="29"/>
  <c r="Q5" i="29"/>
  <c r="H947" i="27" l="1"/>
  <c r="B948" i="27"/>
  <c r="N948" i="27"/>
  <c r="M948" i="27"/>
  <c r="C948" i="27" s="1"/>
  <c r="Q7" i="29"/>
  <c r="O7" i="29"/>
  <c r="Q6" i="29"/>
  <c r="O6" i="29"/>
  <c r="P8" i="29" a="1"/>
  <c r="P8" i="29" s="1"/>
  <c r="H948" i="27" l="1"/>
  <c r="B949" i="27"/>
  <c r="N949" i="27"/>
  <c r="M949" i="27"/>
  <c r="C949" i="27" s="1"/>
  <c r="P9" i="29" a="1"/>
  <c r="P9" i="29" s="1"/>
  <c r="P10" i="29" s="1" a="1"/>
  <c r="P10" i="29" s="1"/>
  <c r="Q8" i="29"/>
  <c r="O8" i="29"/>
  <c r="H949" i="27" l="1"/>
  <c r="B950" i="27"/>
  <c r="M950" i="27"/>
  <c r="C950" i="27" s="1"/>
  <c r="N950" i="27"/>
  <c r="P11" i="29" a="1"/>
  <c r="P11" i="29" s="1"/>
  <c r="O10" i="29"/>
  <c r="Q10" i="29"/>
  <c r="O9" i="29"/>
  <c r="Q9" i="29"/>
  <c r="H950" i="27" l="1"/>
  <c r="B951" i="27"/>
  <c r="N951" i="27"/>
  <c r="M951" i="27"/>
  <c r="C951" i="27" s="1"/>
  <c r="P12" i="29" a="1"/>
  <c r="P12" i="29" s="1"/>
  <c r="Q11" i="29"/>
  <c r="O11" i="29"/>
  <c r="H951" i="27" l="1"/>
  <c r="B952" i="27"/>
  <c r="M952" i="27"/>
  <c r="C952" i="27" s="1"/>
  <c r="N952" i="27"/>
  <c r="O12" i="29"/>
  <c r="Q12" i="29"/>
  <c r="P13" i="29" a="1"/>
  <c r="P13" i="29" s="1"/>
  <c r="H952" i="27" l="1"/>
  <c r="B953" i="27"/>
  <c r="N953" i="27"/>
  <c r="M953" i="27"/>
  <c r="C953" i="27" s="1"/>
  <c r="Q13" i="29"/>
  <c r="O13" i="29"/>
  <c r="P14" i="29" a="1"/>
  <c r="P14" i="29" s="1"/>
  <c r="P15" i="29" s="1" a="1"/>
  <c r="P15" i="29" s="1"/>
  <c r="H953" i="27" l="1"/>
  <c r="B954" i="27"/>
  <c r="N954" i="27"/>
  <c r="M954" i="27"/>
  <c r="C954" i="27" s="1"/>
  <c r="O15" i="29"/>
  <c r="Q15" i="29"/>
  <c r="Q14" i="29"/>
  <c r="O14" i="29"/>
  <c r="P16" i="29" a="1"/>
  <c r="P16" i="29" s="1"/>
  <c r="H954" i="27" l="1"/>
  <c r="B955" i="27"/>
  <c r="N955" i="27"/>
  <c r="M955" i="27"/>
  <c r="C955" i="27" s="1"/>
  <c r="O16" i="29"/>
  <c r="Q16" i="29"/>
  <c r="P17" i="29" a="1"/>
  <c r="P17" i="29" s="1"/>
  <c r="H955" i="27" l="1"/>
  <c r="B956" i="27"/>
  <c r="N956" i="27"/>
  <c r="M956" i="27"/>
  <c r="C956" i="27" s="1"/>
  <c r="Q17" i="29"/>
  <c r="O17" i="29"/>
  <c r="P18" i="29" a="1"/>
  <c r="P18" i="29" s="1"/>
  <c r="H956" i="27" l="1"/>
  <c r="B957" i="27"/>
  <c r="N957" i="27"/>
  <c r="M957" i="27"/>
  <c r="C957" i="27" s="1"/>
  <c r="O18" i="29"/>
  <c r="Q18" i="29"/>
  <c r="P19" i="29" a="1"/>
  <c r="P19" i="29" s="1"/>
  <c r="H957" i="27" l="1"/>
  <c r="B958" i="27"/>
  <c r="M958" i="27"/>
  <c r="C958" i="27" s="1"/>
  <c r="N958" i="27"/>
  <c r="O19" i="29"/>
  <c r="Q19" i="29"/>
  <c r="P20" i="29" a="1"/>
  <c r="P20" i="29" s="1"/>
  <c r="H958" i="27" l="1"/>
  <c r="B959" i="27"/>
  <c r="N959" i="27"/>
  <c r="M959" i="27"/>
  <c r="C959" i="27" s="1"/>
  <c r="O20" i="29"/>
  <c r="Q20" i="29"/>
  <c r="P21" i="29" a="1"/>
  <c r="P21" i="29" s="1"/>
  <c r="H959" i="27" l="1"/>
  <c r="B960" i="27"/>
  <c r="M960" i="27"/>
  <c r="C960" i="27" s="1"/>
  <c r="N960" i="27"/>
  <c r="O21" i="29"/>
  <c r="Q21" i="29"/>
  <c r="P22" i="29" a="1"/>
  <c r="P22" i="29" s="1"/>
  <c r="H960" i="27" l="1"/>
  <c r="B961" i="27"/>
  <c r="M961" i="27"/>
  <c r="C961" i="27" s="1"/>
  <c r="N961" i="27"/>
  <c r="Q22" i="29"/>
  <c r="O22" i="29"/>
  <c r="P23" i="29" a="1"/>
  <c r="P23" i="29" s="1"/>
  <c r="H961" i="27" l="1"/>
  <c r="B962" i="27"/>
  <c r="N962" i="27"/>
  <c r="M962" i="27"/>
  <c r="C962" i="27" s="1"/>
  <c r="Q23" i="29"/>
  <c r="O23" i="29"/>
  <c r="P24" i="29" a="1"/>
  <c r="P24" i="29" s="1"/>
  <c r="H962" i="27" l="1"/>
  <c r="B963" i="27"/>
  <c r="M963" i="27"/>
  <c r="C963" i="27" s="1"/>
  <c r="N963" i="27"/>
  <c r="O24" i="29"/>
  <c r="Q24" i="29"/>
  <c r="P25" i="29" a="1"/>
  <c r="P25" i="29" s="1"/>
  <c r="H963" i="27" l="1"/>
  <c r="B964" i="27"/>
  <c r="N964" i="27"/>
  <c r="M964" i="27"/>
  <c r="C964" i="27" s="1"/>
  <c r="O25" i="29"/>
  <c r="Q25" i="29"/>
  <c r="P26" i="29" a="1"/>
  <c r="P26" i="29" s="1"/>
  <c r="H964" i="27" l="1"/>
  <c r="B965" i="27"/>
  <c r="M965" i="27"/>
  <c r="C965" i="27" s="1"/>
  <c r="N965" i="27"/>
  <c r="Q26" i="29"/>
  <c r="O26" i="29"/>
  <c r="P27" i="29" a="1"/>
  <c r="P27" i="29" s="1"/>
  <c r="H965" i="27" l="1"/>
  <c r="B966" i="27"/>
  <c r="M966" i="27"/>
  <c r="C966" i="27" s="1"/>
  <c r="N966" i="27"/>
  <c r="O27" i="29"/>
  <c r="Q27" i="29"/>
  <c r="P28" i="29" a="1"/>
  <c r="P28" i="29" s="1"/>
  <c r="H966" i="27" l="1"/>
  <c r="B967" i="27"/>
  <c r="M967" i="27"/>
  <c r="C967" i="27" s="1"/>
  <c r="N967" i="27"/>
  <c r="O28" i="29"/>
  <c r="Q28" i="29"/>
  <c r="P29" i="29" a="1"/>
  <c r="P29" i="29" s="1"/>
  <c r="H967" i="27" l="1"/>
  <c r="B968" i="27"/>
  <c r="M968" i="27"/>
  <c r="C968" i="27" s="1"/>
  <c r="N968" i="27"/>
  <c r="Q29" i="29"/>
  <c r="O29" i="29"/>
  <c r="P30" i="29" a="1"/>
  <c r="P30" i="29" s="1"/>
  <c r="H968" i="27" l="1"/>
  <c r="B969" i="27"/>
  <c r="N969" i="27"/>
  <c r="M969" i="27"/>
  <c r="C969" i="27" s="1"/>
  <c r="Q30" i="29"/>
  <c r="O30" i="29"/>
  <c r="P31" i="29" a="1"/>
  <c r="P31" i="29" s="1"/>
  <c r="H969" i="27" l="1"/>
  <c r="B970" i="27"/>
  <c r="N970" i="27"/>
  <c r="M970" i="27"/>
  <c r="C970" i="27" s="1"/>
  <c r="O31" i="29"/>
  <c r="Q31" i="29"/>
  <c r="P32" i="29" a="1"/>
  <c r="P32" i="29" s="1"/>
  <c r="B971" i="27" l="1"/>
  <c r="H970" i="27"/>
  <c r="M971" i="27"/>
  <c r="C971" i="27" s="1"/>
  <c r="N971" i="27"/>
  <c r="Q32" i="29"/>
  <c r="O32" i="29"/>
  <c r="P33" i="29" a="1"/>
  <c r="P33" i="29" s="1"/>
  <c r="B972" i="27" l="1"/>
  <c r="H971" i="27"/>
  <c r="N972" i="27"/>
  <c r="M972" i="27"/>
  <c r="C972" i="27" s="1"/>
  <c r="O33" i="29"/>
  <c r="Q33" i="29"/>
  <c r="P34" i="29" a="1"/>
  <c r="P34" i="29" s="1"/>
  <c r="H972" i="27" l="1"/>
  <c r="B973" i="27"/>
  <c r="M973" i="27"/>
  <c r="C973" i="27" s="1"/>
  <c r="N973" i="27"/>
  <c r="Q34" i="29"/>
  <c r="O34" i="29"/>
  <c r="P35" i="29" a="1"/>
  <c r="P35" i="29" s="1"/>
  <c r="H973" i="27" l="1"/>
  <c r="B974" i="27"/>
  <c r="M974" i="27"/>
  <c r="C974" i="27" s="1"/>
  <c r="N974" i="27"/>
  <c r="O35" i="29"/>
  <c r="Q35" i="29"/>
  <c r="P36" i="29" a="1"/>
  <c r="P36" i="29" s="1"/>
  <c r="H974" i="27" l="1"/>
  <c r="B975" i="27"/>
  <c r="N975" i="27"/>
  <c r="M975" i="27"/>
  <c r="C975" i="27" s="1"/>
  <c r="O36" i="29"/>
  <c r="Q36" i="29"/>
  <c r="P37" i="29" a="1"/>
  <c r="P37" i="29" s="1"/>
  <c r="H975" i="27" l="1"/>
  <c r="B976" i="27"/>
  <c r="M976" i="27"/>
  <c r="C976" i="27" s="1"/>
  <c r="N976" i="27"/>
  <c r="O37" i="29"/>
  <c r="Q37" i="29"/>
  <c r="P38" i="29" a="1"/>
  <c r="P38" i="29" s="1"/>
  <c r="H976" i="27" l="1"/>
  <c r="B977" i="27"/>
  <c r="M977" i="27"/>
  <c r="C977" i="27" s="1"/>
  <c r="N977" i="27"/>
  <c r="Q38" i="29"/>
  <c r="O38" i="29"/>
  <c r="P39" i="29" a="1"/>
  <c r="P39" i="29" s="1"/>
  <c r="H977" i="27" l="1"/>
  <c r="B978" i="27"/>
  <c r="N978" i="27"/>
  <c r="M978" i="27"/>
  <c r="C978" i="27" s="1"/>
  <c r="Q39" i="29"/>
  <c r="O39" i="29"/>
  <c r="P40" i="29" a="1"/>
  <c r="P40" i="29" s="1"/>
  <c r="H978" i="27" l="1"/>
  <c r="B979" i="27"/>
  <c r="N979" i="27"/>
  <c r="M979" i="27"/>
  <c r="C979" i="27" s="1"/>
  <c r="Q40" i="29"/>
  <c r="O40" i="29"/>
  <c r="P41" i="29" a="1"/>
  <c r="P41" i="29" s="1"/>
  <c r="H979" i="27" l="1"/>
  <c r="B980" i="27"/>
  <c r="N980" i="27"/>
  <c r="M980" i="27"/>
  <c r="C980" i="27" s="1"/>
  <c r="O41" i="29"/>
  <c r="Q41" i="29"/>
  <c r="P42" i="29" a="1"/>
  <c r="P42" i="29" s="1"/>
  <c r="H980" i="27" l="1"/>
  <c r="B981" i="27"/>
  <c r="N981" i="27"/>
  <c r="M981" i="27"/>
  <c r="C981" i="27" s="1"/>
  <c r="Q42" i="29"/>
  <c r="O42" i="29"/>
  <c r="P43" i="29" a="1"/>
  <c r="P43" i="29" s="1"/>
  <c r="H981" i="27" l="1"/>
  <c r="B982" i="27"/>
  <c r="N982" i="27"/>
  <c r="M982" i="27"/>
  <c r="C982" i="27" s="1"/>
  <c r="O43" i="29"/>
  <c r="Q43" i="29"/>
  <c r="P44" i="29" a="1"/>
  <c r="P44" i="29" s="1"/>
  <c r="B983" i="27" l="1"/>
  <c r="H982" i="27"/>
  <c r="M983" i="27"/>
  <c r="C983" i="27" s="1"/>
  <c r="N983" i="27"/>
  <c r="O44" i="29"/>
  <c r="Q44" i="29"/>
  <c r="P45" i="29" a="1"/>
  <c r="P45" i="29" s="1"/>
  <c r="H983" i="27" l="1"/>
  <c r="B984" i="27"/>
  <c r="M984" i="27"/>
  <c r="C984" i="27" s="1"/>
  <c r="N984" i="27"/>
  <c r="P46" i="29" a="1"/>
  <c r="P46" i="29" s="1"/>
  <c r="P47" i="29" s="1" a="1"/>
  <c r="P47" i="29" s="1"/>
  <c r="O45" i="29"/>
  <c r="Q45" i="29"/>
  <c r="H984" i="27" l="1"/>
  <c r="B985" i="27"/>
  <c r="M985" i="27"/>
  <c r="C985" i="27" s="1"/>
  <c r="N985" i="27"/>
  <c r="Q47" i="29"/>
  <c r="O47" i="29"/>
  <c r="Q46" i="29"/>
  <c r="O46" i="29"/>
  <c r="P48" i="29" a="1"/>
  <c r="P48" i="29" s="1"/>
  <c r="H985" i="27" l="1"/>
  <c r="B986" i="27"/>
  <c r="M986" i="27"/>
  <c r="C986" i="27" s="1"/>
  <c r="N986" i="27"/>
  <c r="Q48" i="29"/>
  <c r="O48" i="29"/>
  <c r="P49" i="29" a="1"/>
  <c r="P49" i="29" s="1"/>
  <c r="H986" i="27" l="1"/>
  <c r="B987" i="27"/>
  <c r="N987" i="27"/>
  <c r="M987" i="27"/>
  <c r="C987" i="27" s="1"/>
  <c r="O49" i="29"/>
  <c r="Q49" i="29"/>
  <c r="P50" i="29" a="1"/>
  <c r="P50" i="29" s="1"/>
  <c r="H987" i="27" l="1"/>
  <c r="B988" i="27"/>
  <c r="N988" i="27"/>
  <c r="M988" i="27"/>
  <c r="C988" i="27" s="1"/>
  <c r="O50" i="29"/>
  <c r="Q50" i="29"/>
  <c r="H988" i="27" l="1"/>
  <c r="B989" i="27"/>
  <c r="M989" i="27"/>
  <c r="C989" i="27" s="1"/>
  <c r="N989" i="27"/>
  <c r="H989" i="27" l="1"/>
  <c r="B990" i="27"/>
  <c r="N990" i="27"/>
  <c r="M990" i="27"/>
  <c r="C990" i="27" s="1"/>
  <c r="H990" i="27" l="1"/>
  <c r="B991" i="27"/>
  <c r="N991" i="27"/>
  <c r="M991" i="27"/>
  <c r="C991" i="27" s="1"/>
  <c r="H991" i="27" l="1"/>
  <c r="B992" i="27"/>
  <c r="M992" i="27"/>
  <c r="C992" i="27" s="1"/>
  <c r="N992" i="27"/>
  <c r="H992" i="27" l="1"/>
  <c r="B993" i="27"/>
  <c r="N993" i="27"/>
  <c r="M993" i="27"/>
  <c r="C993" i="27" s="1"/>
  <c r="H993" i="27" l="1"/>
  <c r="B994" i="27"/>
  <c r="N994" i="27"/>
  <c r="M994" i="27"/>
  <c r="C994" i="27" s="1"/>
  <c r="H994" i="27" l="1"/>
  <c r="B995" i="27"/>
  <c r="M995" i="27"/>
  <c r="C995" i="27" s="1"/>
  <c r="N995" i="27"/>
  <c r="H995" i="27" l="1"/>
  <c r="B996" i="27"/>
  <c r="H996" i="27" s="1"/>
  <c r="N996" i="27"/>
  <c r="M996" i="27"/>
  <c r="C996" i="2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<sst xmlns="http://schemas.openxmlformats.org/spreadsheetml/2006/main" count="22504" uniqueCount="7334">
  <si>
    <t>Instructions for filling the performance framework for Global Fund grants</t>
  </si>
  <si>
    <t>Introduction</t>
  </si>
  <si>
    <r>
      <t>1.       These instructions are for all stakeholders involved in the development and review of performance frameworks, at funding request, at grant making, and at</t>
    </r>
    <r>
      <rPr>
        <sz val="11"/>
        <color theme="1"/>
        <rFont val="Arial"/>
        <family val="2"/>
      </rPr>
      <t xml:space="preserve"> grant revision</t>
    </r>
    <r>
      <rPr>
        <sz val="11"/>
        <color rgb="FF000000"/>
        <rFont val="Arial"/>
        <family val="2"/>
      </rPr>
      <t xml:space="preserve"> stages of the grant lifecycle. It includes Country Coordinating Mechanisms (CCMs), Principal Recipients (PRs), other grant implementers, technical assistance providers, the Technical Review Panel, the Global Fund Secretariat and Local Fund Agents (LFAs).</t>
    </r>
  </si>
  <si>
    <r>
      <t xml:space="preserve">2.       </t>
    </r>
    <r>
      <rPr>
        <sz val="11"/>
        <color rgb="FF212121"/>
        <rFont val="Arial"/>
        <family val="2"/>
      </rPr>
      <t xml:space="preserve">A performance framework is part of the Grant Agreement between the Global Fund and the country/Principal Recipient and defines the indicators and targets to be achieved over the grant period. </t>
    </r>
  </si>
  <si>
    <r>
      <t xml:space="preserve">3.       The performance framework includes impact, outcome and coverage indicators, each with associated baselines, targets and timelines for reporting. Each coverage indicator is linked to a specific module supported by the Global Fund grant. The performance framework form provides a standardized list of indicators to select from. These are derived from technical partner guidance to ensure consistent and harmonized reporting. Refer to the </t>
    </r>
    <r>
      <rPr>
        <u/>
        <sz val="11"/>
        <color theme="4" tint="-0.249977111117893"/>
        <rFont val="Arial"/>
        <family val="2"/>
      </rPr>
      <t>Modular Framework Handbook 2023-2025</t>
    </r>
    <r>
      <rPr>
        <sz val="11"/>
        <color theme="1"/>
        <rFont val="Arial"/>
        <family val="2"/>
      </rPr>
      <t xml:space="preserve"> for full list of these indicators.</t>
    </r>
  </si>
  <si>
    <t>The performance framework may include Work Plan Tracking Measures (WPTM), each with associated milestones and/or input/process measures for modules and interventions that do not have suitable coverage indicators to measure progress.</t>
  </si>
  <si>
    <t>General Guidance</t>
  </si>
  <si>
    <t xml:space="preserve">4.       The excel form is compatible with MS Excel 2010 or later versions only. Some drop-down menus and formulae might not work in MS Excel 2007 or earlier versions. Hence, applicants/Principal Recipients with earlier MS versions are requested to upgrade to MS Excel 2010 or later versions before working on this file. </t>
  </si>
  <si>
    <r>
      <t xml:space="preserve">The performance framework form should only be saved in </t>
    </r>
    <r>
      <rPr>
        <sz val="11"/>
        <color theme="1"/>
        <rFont val="Arial"/>
        <family val="2"/>
      </rPr>
      <t xml:space="preserve">the .xlsx </t>
    </r>
    <r>
      <rPr>
        <sz val="11"/>
        <color rgb="FF000000"/>
        <rFont val="Arial"/>
        <family val="2"/>
      </rPr>
      <t>file</t>
    </r>
    <r>
      <rPr>
        <sz val="11"/>
        <color theme="1"/>
        <rFont val="Arial"/>
        <family val="2"/>
      </rPr>
      <t xml:space="preserve"> format.</t>
    </r>
  </si>
  <si>
    <r>
      <t xml:space="preserve">5.       The excel form includes interlinked worksheets and is protected.  </t>
    </r>
    <r>
      <rPr>
        <b/>
        <sz val="11"/>
        <color rgb="FF000000"/>
        <rFont val="Arial"/>
        <family val="2"/>
      </rPr>
      <t>The users should not tamper with the excel form</t>
    </r>
    <r>
      <rPr>
        <sz val="11"/>
        <color rgb="FF000000"/>
        <rFont val="Arial"/>
        <family val="2"/>
      </rPr>
      <t xml:space="preserve">. Tampering will result in loss of some functionality and will not allow it to import back in the Global Fund Grant Operating System. </t>
    </r>
  </si>
  <si>
    <r>
      <t xml:space="preserve">Performance framework forms that were subject to tampering (e.g., where the password protection was broken, drop-down menus were overwritten by copying and pasting values, or structure of the form was changed by adding or deleting columns and/or rows, worksheets, etc.) </t>
    </r>
    <r>
      <rPr>
        <b/>
        <sz val="11"/>
        <color rgb="FF000000"/>
        <rFont val="Arial"/>
        <family val="2"/>
      </rPr>
      <t>will be rejected</t>
    </r>
    <r>
      <rPr>
        <sz val="11"/>
        <color rgb="FF000000"/>
        <rFont val="Arial"/>
        <family val="2"/>
      </rPr>
      <t xml:space="preserve"> and users will be required to resubmit the information in a new form. </t>
    </r>
  </si>
  <si>
    <t xml:space="preserve">6.       The form includes conditional formatting in various cells, such as standardized dates (e.g., 01-March-2023) and number formats. </t>
  </si>
  <si>
    <t xml:space="preserve">    a. Cells shaded in light blue color are pre-populated by the Global Fund.</t>
  </si>
  <si>
    <t xml:space="preserve">    b. Numbers will round up to higher value.</t>
  </si>
  <si>
    <t xml:space="preserve">    c. Please do not change number format. The default settings in the form are as follows:
        o Impact &amp; Outcome indicators: four decimals places for numerators, no decimals for denominators and two decimals for percentages.
        o Coverage Indicators: no decimals for numerators/denominators and 2 decimals for percentages.</t>
  </si>
  <si>
    <t xml:space="preserve">7.       Automated errors reporting fields have been added to the Impact, Outcome and Coverage Indicators sections. </t>
  </si>
  <si>
    <t xml:space="preserve">o   Data validation: these are the pop-ups that do not allow an invalid data entry. For example, typing text in a number field. </t>
  </si>
  <si>
    <t xml:space="preserve">o   Error message: an error message highlighted in red will appear in the rightmost column when data is incorrectly entered. A total count of errors will appear at the top of the sheet, also highlighted in red. </t>
  </si>
  <si>
    <t>8.       The performance framework forms are available in English, French and Spanish. These are provided by the Global Fund Country Teams at funding request, grant making and grant revision as applicable.</t>
  </si>
  <si>
    <r>
      <t xml:space="preserve">9.       </t>
    </r>
    <r>
      <rPr>
        <b/>
        <sz val="11"/>
        <color rgb="FF000000"/>
        <rFont val="Arial"/>
        <family val="2"/>
      </rPr>
      <t>At the Funding Request stage</t>
    </r>
    <r>
      <rPr>
        <sz val="11"/>
        <color rgb="FF000000"/>
        <rFont val="Arial"/>
        <family val="2"/>
      </rPr>
      <t>: one performance framework is developed per applicant covering the full funding request for all nominated Principal Recipients.</t>
    </r>
  </si>
  <si>
    <r>
      <t>10.    </t>
    </r>
    <r>
      <rPr>
        <b/>
        <sz val="11"/>
        <color rgb="FF000000"/>
        <rFont val="Arial"/>
        <family val="2"/>
      </rPr>
      <t>At the Grant Making stage</t>
    </r>
    <r>
      <rPr>
        <sz val="11"/>
        <color rgb="FF000000"/>
        <rFont val="Arial"/>
        <family val="2"/>
      </rPr>
      <t xml:space="preserve">: separate performance frameworks are developed for each Principal Recipient. </t>
    </r>
  </si>
  <si>
    <r>
      <t xml:space="preserve">11.   </t>
    </r>
    <r>
      <rPr>
        <b/>
        <sz val="11"/>
        <color rgb="FF000000"/>
        <rFont val="Arial"/>
        <family val="2"/>
      </rPr>
      <t>At the Grant Revision stage</t>
    </r>
    <r>
      <rPr>
        <sz val="11"/>
        <color rgb="FF000000"/>
        <rFont val="Arial"/>
        <family val="2"/>
      </rPr>
      <t xml:space="preserve">: a performance framework form, prefilled with current information, is provided by the Global Fund Country Teams where required revisions can be made.  </t>
    </r>
  </si>
  <si>
    <t xml:space="preserve">12.   The instructions follow the structure of the performance framework form and are divided accordingly into the following sections: </t>
  </si>
  <si>
    <r>
      <t xml:space="preserve">Section A: </t>
    </r>
    <r>
      <rPr>
        <sz val="11"/>
        <color rgb="FF000000"/>
        <rFont val="Arial"/>
        <family val="2"/>
      </rPr>
      <t>Overview</t>
    </r>
  </si>
  <si>
    <r>
      <t xml:space="preserve">Section B: </t>
    </r>
    <r>
      <rPr>
        <sz val="11"/>
        <color rgb="FF000000"/>
        <rFont val="Arial"/>
        <family val="2"/>
      </rPr>
      <t>Impact Indicators</t>
    </r>
    <r>
      <rPr>
        <b/>
        <sz val="11"/>
        <color rgb="FF000000"/>
        <rFont val="Arial"/>
        <family val="2"/>
      </rPr>
      <t xml:space="preserve"> </t>
    </r>
  </si>
  <si>
    <r>
      <t xml:space="preserve">Section C: </t>
    </r>
    <r>
      <rPr>
        <sz val="11"/>
        <color rgb="FF000000"/>
        <rFont val="Arial"/>
        <family val="2"/>
      </rPr>
      <t>Outcome Indicators</t>
    </r>
  </si>
  <si>
    <r>
      <t xml:space="preserve">Section D: </t>
    </r>
    <r>
      <rPr>
        <sz val="11"/>
        <color rgb="FF000000"/>
        <rFont val="Arial"/>
        <family val="2"/>
      </rPr>
      <t>Coverage Indicators</t>
    </r>
  </si>
  <si>
    <r>
      <t xml:space="preserve">Section E: </t>
    </r>
    <r>
      <rPr>
        <sz val="11"/>
        <color rgb="FF000000"/>
        <rFont val="Arial"/>
        <family val="2"/>
      </rPr>
      <t>Disaggregation (Impact, Outcome and Coverage indicators)</t>
    </r>
  </si>
  <si>
    <r>
      <t xml:space="preserve">Section F: </t>
    </r>
    <r>
      <rPr>
        <sz val="11"/>
        <color rgb="FF000000"/>
        <rFont val="Arial"/>
        <family val="2"/>
      </rPr>
      <t>Work Plan Tracking Measures (WPTM)</t>
    </r>
  </si>
  <si>
    <r>
      <t>Print view:</t>
    </r>
    <r>
      <rPr>
        <sz val="11"/>
        <color rgb="FF000000"/>
        <rFont val="Arial"/>
        <family val="2"/>
      </rPr>
      <t xml:space="preserve"> Easy to print spreadsheets for each of the above sections</t>
    </r>
  </si>
  <si>
    <t xml:space="preserve">Overview- Section A </t>
  </si>
  <si>
    <t>Country/Geography</t>
  </si>
  <si>
    <t>This field is pre-populated by the Global Fund.</t>
  </si>
  <si>
    <t>Grant Name/Funding Request Name</t>
  </si>
  <si>
    <t xml:space="preserve">Implementation Period Start Date </t>
  </si>
  <si>
    <t>The Implementation Period start date generally follows the end date of the previous Implementation Period (including the extension period, if applicable). If the applicant has no existing Global Fund grants, the Implementation Period start date will be the start date of the program as requested by the applicant.</t>
  </si>
  <si>
    <t xml:space="preserve">In case of a need to change the date, this field can be overwritten as per the agreement between the applicants/PRs and the Global Fund Country Team. </t>
  </si>
  <si>
    <t>The start of the Implementation Period should always be the first day of the month.</t>
  </si>
  <si>
    <t xml:space="preserve">This date should be consistent across all required documents (e.g., Budget and Health Product Management Template). </t>
  </si>
  <si>
    <t xml:space="preserve">Implementation Period End Date </t>
  </si>
  <si>
    <t>The Implementation Period end date would be three years after the Implementation Period start date except where the applicant/PRs and the Global Fund have agreed on a shorter Implementation Period.</t>
  </si>
  <si>
    <t xml:space="preserve">In case of a need to change the date, this field can be overwritten as per the agreement between the applicant/PRs and the Global Fund Country Teams. </t>
  </si>
  <si>
    <t>The end of the Implementation Period should be the last day of the month.</t>
  </si>
  <si>
    <t>Reporting Frequency</t>
  </si>
  <si>
    <t xml:space="preserve">This field refers to the frequency with which results will be reported to the Global Fund during grant implementation- semi-annual or annual. </t>
  </si>
  <si>
    <t>Select ‘6’ or ‘12’ depending on the category of the country under the Global Fund differentiation framework.</t>
  </si>
  <si>
    <t xml:space="preserve">      − Portfolios categorized as ‘Focused’ report on an annual basis. </t>
  </si>
  <si>
    <t xml:space="preserve">      − Portfolios categorized as ‘Core’ or ‘High Impact’ are expected to report semi-annually.</t>
  </si>
  <si>
    <t>Allocation Utilization Period Start Date</t>
  </si>
  <si>
    <t xml:space="preserve">Allocation Utilization Period (AUP) is the period during which the country allocation per disease component can be utilized to implement programs. The start date of the AUP should be same as indicated in the Allocation Letters. </t>
  </si>
  <si>
    <t>Allocation Utilization Period End Date</t>
  </si>
  <si>
    <t xml:space="preserve">The end date of the AUP should be same as indicated in the Allocation Letters. </t>
  </si>
  <si>
    <t xml:space="preserve">Page Navigation </t>
  </si>
  <si>
    <t xml:space="preserve">This provides links to facilitate navigation within each page and to the instructions page. </t>
  </si>
  <si>
    <t>Component Name</t>
  </si>
  <si>
    <t xml:space="preserve">The field is pre-populated by the Global Fund. </t>
  </si>
  <si>
    <t xml:space="preserve">Principal Recipients </t>
  </si>
  <si>
    <t>At the Funding Request Stage</t>
  </si>
  <si>
    <t xml:space="preserve">Include the name of the implementer(s) by using the drop-down menu that contains list of all implementers who have previously managed a Global Fund grant. </t>
  </si>
  <si>
    <r>
      <t xml:space="preserve">If the selected implementer is new and has not previously managed Global Fund grants, manually type their name, in a new row, under the </t>
    </r>
    <r>
      <rPr>
        <b/>
        <sz val="11"/>
        <color rgb="FF000000"/>
        <rFont val="Arial"/>
        <family val="2"/>
      </rPr>
      <t xml:space="preserve">New Principal Recipient Name </t>
    </r>
    <r>
      <rPr>
        <sz val="11"/>
        <color rgb="FF000000"/>
        <rFont val="Arial"/>
        <family val="2"/>
      </rPr>
      <t>column.</t>
    </r>
  </si>
  <si>
    <t>At the Grant Making Stage</t>
  </si>
  <si>
    <t xml:space="preserve">Reporting Periods </t>
  </si>
  <si>
    <t xml:space="preserve">This field is pre-populated based on the annual Implementation Period start and end dates and selected Reporting Frequency. The reporting periods should be aligned with the national reporting cycle and do not necessarily need to be linked to the calendar year. </t>
  </si>
  <si>
    <r>
      <t xml:space="preserve">To align the grant start dates with the national reporting cycles, the first and last reporting periods of a grant could be longer or shorter than 6 or 12 months. This can be done by overwriting the end dates of the reporting periods. </t>
    </r>
    <r>
      <rPr>
        <u/>
        <sz val="11"/>
        <color rgb="FF000000"/>
        <rFont val="Arial"/>
        <family val="2"/>
      </rPr>
      <t>For example</t>
    </r>
    <r>
      <rPr>
        <sz val="11"/>
        <color rgb="FF000000"/>
        <rFont val="Arial"/>
        <family val="2"/>
      </rPr>
      <t>, for performance frameworks with annual reporting frequency, if the grant starts on 1st April and the programmatic reporting cycle for the country is January - December, the first reporting period can be nine months (from 1</t>
    </r>
    <r>
      <rPr>
        <vertAlign val="superscript"/>
        <sz val="11"/>
        <color rgb="FF000000"/>
        <rFont val="Arial"/>
        <family val="2"/>
      </rPr>
      <t>st</t>
    </r>
    <r>
      <rPr>
        <sz val="11"/>
        <color rgb="FF000000"/>
        <rFont val="Arial"/>
        <family val="2"/>
      </rPr>
      <t xml:space="preserve"> April to 31</t>
    </r>
    <r>
      <rPr>
        <vertAlign val="superscript"/>
        <sz val="11"/>
        <color rgb="FF000000"/>
        <rFont val="Arial"/>
        <family val="2"/>
      </rPr>
      <t>st</t>
    </r>
    <r>
      <rPr>
        <sz val="11"/>
        <color rgb="FF000000"/>
        <rFont val="Arial"/>
        <family val="2"/>
      </rPr>
      <t xml:space="preserve"> December). Similarly, the end date of the last reporting period can also be adjusted by overwriting the pre-filled date. This will adjust the length of the reporting periods in the Coverage Indicators - Section D and Work-plan Tracking Measures - section F of the form.</t>
    </r>
  </si>
  <si>
    <t xml:space="preserve">The applicant/Principal Recipient should ensure that the programmatic and financial reporting cycles are aligned. In cases where in-country programmatic reporting cycles and fiscal cycles are different, there should be an agreement between CT and applicant/Principal Recipient to have one common reporting cycle (i.e., either aligned to the programmatic reporting cycle or to the fiscal cycle). </t>
  </si>
  <si>
    <t xml:space="preserve">Period Start Date </t>
  </si>
  <si>
    <r>
      <t> </t>
    </r>
    <r>
      <rPr>
        <sz val="11"/>
        <color rgb="FF000000"/>
        <rFont val="Arial"/>
        <family val="2"/>
      </rPr>
      <t>This field is pre-populated by the Global Fund.</t>
    </r>
  </si>
  <si>
    <t xml:space="preserve">Period End Date </t>
  </si>
  <si>
    <t>The end date of the reporting period is usually 6 or 12 months after the start date of the reporting period depending on the agreed reporting frequency. The length of the reporting period may be changed to ensure alignment in the reporting cycle.</t>
  </si>
  <si>
    <t>PUDR Due</t>
  </si>
  <si>
    <t>At the Grant Making stage</t>
  </si>
  <si>
    <t>Indicate if a disbursement request will be submitted with the progress update for each of the reporting periods by selecting “yes” or “no” from the drop-down menu.</t>
  </si>
  <si>
    <t>Select “no” for the last reporting period as no disbursement request should be submitted.</t>
  </si>
  <si>
    <t>Submission Date</t>
  </si>
  <si>
    <t xml:space="preserve">The Progress Update (six-monthly PU) and the Progress Update and Disbursement Request (annual PUDR) submission date is pre-populated. </t>
  </si>
  <si>
    <t xml:space="preserve">Goal Description </t>
  </si>
  <si>
    <t>Include the program goals in this section. Goal(s) are broad and overarching statements of a desired, medium to long-term impact of the program and should be consistent with the national strategic plans or regional strategies.</t>
  </si>
  <si>
    <t xml:space="preserve">Objective Description </t>
  </si>
  <si>
    <t>Include the program objectives in this section. Each goal should have a set of related, more specific objectives that will allow the program to achieve the stated goal(s). These objectives should be consistent with the objectives of the national strategic plans or regional strategies.</t>
  </si>
  <si>
    <t xml:space="preserve">Module Name </t>
  </si>
  <si>
    <t xml:space="preserve">Select the modules related to the program objectives for which indicators and WPTMs are to be included in the performance framework. Modules should be selected from the drop-down list only. DO NOT ADD MODULE NAMES BY OVERWRITING THIS FIELD. </t>
  </si>
  <si>
    <r>
      <t>Only those modules</t>
    </r>
    <r>
      <rPr>
        <sz val="11"/>
        <color rgb="FF000000"/>
        <rFont val="Arial"/>
        <family val="2"/>
      </rPr>
      <t xml:space="preserve"> that are selected on this page will appear in the drop-down lists under the WPTM selection table on the Overview tab and the “Coverage Indicators - Section D” &amp; “WPTM - Section F” of the form.</t>
    </r>
  </si>
  <si>
    <t>If the funding request includes more than one component, the drop-down menu will show all the modules related to these components as well as all the RSSH modules.</t>
  </si>
  <si>
    <r>
      <t xml:space="preserve">For multi-component funding requests, it is recommended to include modules related to each of the components in order, rather than mixing them. </t>
    </r>
    <r>
      <rPr>
        <u/>
        <sz val="11"/>
        <color rgb="FF000000"/>
        <rFont val="Arial"/>
        <family val="2"/>
      </rPr>
      <t>For example</t>
    </r>
    <r>
      <rPr>
        <sz val="11"/>
        <color rgb="FF000000"/>
        <rFont val="Arial"/>
        <family val="2"/>
      </rPr>
      <t>, in a joint HIV and TB funding request, include all relevant HIV modules first, followed by the TB modules or vice versa.</t>
    </r>
  </si>
  <si>
    <t>The number of modules to be enlisted is restricted to fifteen.</t>
  </si>
  <si>
    <t xml:space="preserve">Interventions </t>
  </si>
  <si>
    <t>For each of the modules selected in the Module column, select the required interventions from the drop-down lists only. DO NOT ADD INTERVENTION NAMES BY OVERWRITING THIS FIELD.</t>
  </si>
  <si>
    <t>This field is applicable only when WPTMs are to be included for interventions that cannot be adequately measured through coverage indicators.</t>
  </si>
  <si>
    <t>Impact Indicators – Section B</t>
  </si>
  <si>
    <t>Page Navigation</t>
  </si>
  <si>
    <t>This provides links to the section of the instructions that is relevant to fill the “Impact Indicators - Section B” and the link to the print view spreadsheet.</t>
  </si>
  <si>
    <t>Number of Errors</t>
  </si>
  <si>
    <t xml:space="preserve">This field is pre-populated highlighting in red the total number of data entry errors in Section B of the form. </t>
  </si>
  <si>
    <t xml:space="preserve">Standard Impact Indicator </t>
  </si>
  <si>
    <t xml:space="preserve">Select the relevant standard impact indicators from the drop-down list. Impact indicators are to be reported at the national program level. </t>
  </si>
  <si>
    <t>Recommended indicators for focused portfolios are marked with an “M” in the drop-down list and should be included when relevant for the program.</t>
  </si>
  <si>
    <r>
      <t xml:space="preserve">For multi-component funding requests, it is recommended to include indicators related to each of the components in a systematic order. </t>
    </r>
    <r>
      <rPr>
        <u/>
        <sz val="11"/>
        <color rgb="FF000000"/>
        <rFont val="Arial"/>
        <family val="2"/>
      </rPr>
      <t>For example</t>
    </r>
    <r>
      <rPr>
        <sz val="11"/>
        <color rgb="FF000000"/>
        <rFont val="Arial"/>
        <family val="2"/>
      </rPr>
      <t>, in a joint HIV and TB funding request, include all relevant HIV indicators first, followed by the TB indicators or vice versa.</t>
    </r>
  </si>
  <si>
    <t xml:space="preserve">Custom Impact Indicator </t>
  </si>
  <si>
    <t>Custom impact indicators are allowed only in exceptional cases when available standard indicators are not applicable.</t>
  </si>
  <si>
    <r>
      <t xml:space="preserve">At the Grant Making and Grant Revision stages, the inclusion of custom indicators will require review and validation by the Global Fund. If agreed, custom impact indicators should be coded as follows: (Component) then I (for Impact) - other 1 (the count for number of custom impact indicators). </t>
    </r>
    <r>
      <rPr>
        <u/>
        <sz val="11"/>
        <color rgb="FF000000"/>
        <rFont val="Arial"/>
        <family val="2"/>
      </rPr>
      <t>For example</t>
    </r>
    <r>
      <rPr>
        <sz val="11"/>
        <color rgb="FF000000"/>
        <rFont val="Arial"/>
        <family val="2"/>
      </rPr>
      <t>, a custom indicator for HIV would have the following code: HIV I - Other 1: Percentage of...</t>
    </r>
  </si>
  <si>
    <t>Baseline #N</t>
  </si>
  <si>
    <t>Baselines refer to the latest available results from valid data sources. Provide the baseline numerator (N) and denominator (D) values (as applicable) for each impact indicator. Text is not allowed in these fields.</t>
  </si>
  <si>
    <t xml:space="preserve">Baseline #D </t>
  </si>
  <si>
    <t>For indicators that are reported as rates per 1000 or per 100,000, only the numerator (N) value should be provided. Error messages will pop-up in case the user has entered a denominator or a percentage for such indicators.</t>
  </si>
  <si>
    <t>If no baseline data is available, this field should be left blank. An explanation should be provided in comments’ box (column AA) regarding the actions being taken/planned to collect the baselines, when the baseline is expected to be available, and when the performance framework will be updated.</t>
  </si>
  <si>
    <t>Baseline %</t>
  </si>
  <si>
    <t xml:space="preserve">This field will be automatically calculated in cases where baseline numerator (N) and denominator (D) values are inputted for the indicator. </t>
  </si>
  <si>
    <t xml:space="preserve">In cases where baseline numerator (N) and denominator (D) values are not required, % values can be included manually. Please note that in this case, the % formula will be deleted. </t>
  </si>
  <si>
    <t>If no percentage baseline is available, this field should be left blank. An explanation should be provided in comments’ box (column AA) regarding the actions being taken/planned, when the baseline is expected to be available, and when the performance framework will be updated.</t>
  </si>
  <si>
    <t xml:space="preserve">Baseline Year </t>
  </si>
  <si>
    <t xml:space="preserve">Include the year of the baseline data. </t>
  </si>
  <si>
    <t>If no baseline value is available, this field should be left blank.</t>
  </si>
  <si>
    <t xml:space="preserve">Baseline Source </t>
  </si>
  <si>
    <t>Include the data source for the baseline value. It could refer to, for example, the name of the data system or the name of the survey/study, title of a report, etc.</t>
  </si>
  <si>
    <t>If the data source of the baseline is different from the data source that will be used to report on the indicator, this should be explained in the comments box (column AA).</t>
  </si>
  <si>
    <t xml:space="preserve">Required Disaggregation </t>
  </si>
  <si>
    <t xml:space="preserve">Some selected indicators from the Global Fund core list of indicators require reporting of disaggregated results against pre-identified categories. </t>
  </si>
  <si>
    <r>
      <t xml:space="preserve">For the standard indicators that require disaggregation, this column will be pre-populated with the pre-identified categories. This column indicates the disaggregation categories against which results should be reported, </t>
    </r>
    <r>
      <rPr>
        <b/>
        <sz val="11"/>
        <color rgb="FF000000"/>
        <rFont val="Arial"/>
        <family val="2"/>
      </rPr>
      <t>once a year</t>
    </r>
    <r>
      <rPr>
        <sz val="11"/>
        <color rgb="FF000000"/>
        <rFont val="Arial"/>
        <family val="2"/>
      </rPr>
      <t>, during grant implementation.</t>
    </r>
  </si>
  <si>
    <t>It is not possible to add a disaggregation category for custom indicators.</t>
  </si>
  <si>
    <t>The baselines (value, year and source) for each of the required disaggregation categories are to be included in the tab titled "Disaggregation - Section E". Under the differentiated reporting requirements, the countries classified as “Focused Portfolios” by the Global Fund are not required to fill this tab.</t>
  </si>
  <si>
    <t>Responsible PR</t>
  </si>
  <si>
    <t xml:space="preserve">At the Funding Request Stage </t>
  </si>
  <si>
    <t>The applicant should include the name of the Principal Recipient who is responsible for reporting on these indicators.</t>
  </si>
  <si>
    <t>The name should be selected from the drop-down menu that is pre-populated with the names inputted in the “Overview - Section A”.</t>
  </si>
  <si>
    <t xml:space="preserve">If more than one Principal Recipient was nominated at the funding request stage, separate performance framework forms for each selected Principal Recipient will be made available for grant negotiation. </t>
  </si>
  <si>
    <t>In the grant making performance framework this field is not required and is hidden</t>
  </si>
  <si>
    <t>The PR for the grant will be responsible for reporting on all the indicators included in the grant performance framework.</t>
  </si>
  <si>
    <t>Country</t>
  </si>
  <si>
    <t>For single country applications/grants, select the name of the country from the drop-down list.</t>
  </si>
  <si>
    <t>For regional applications/grants, the applicant/Principal Recipient must select the name of the country pertaining to each selected indicator.</t>
  </si>
  <si>
    <t>For regional applications/grants, if an indicator covers two or more countries, the applicants/Principal Recipient should leave this field blank and specify the related countries/geographic area in the comments’ box (column AA).</t>
  </si>
  <si>
    <t xml:space="preserve">Target Year </t>
  </si>
  <si>
    <t>The target year is pre-populated based on the Implementation Period Start Date.</t>
  </si>
  <si>
    <t>Target #N</t>
  </si>
  <si>
    <t>All targets (N, D and %) fields are number fields and do not allow entering any alphanumeric characters or comments (e.g., &lt;, &gt; or TBD).</t>
  </si>
  <si>
    <t>Target #D</t>
  </si>
  <si>
    <t xml:space="preserve">Error messages will pop-up in case text is entered in these fields. </t>
  </si>
  <si>
    <t>Provide the target numerator (N) and denominator (D) values (as applicable) for each impact indicator. Applicants should refer to the indicator guidance sheets for information on data type.</t>
  </si>
  <si>
    <r>
      <t xml:space="preserve">Targets should be included according to the frequency of their measurement. </t>
    </r>
    <r>
      <rPr>
        <u/>
        <sz val="11"/>
        <color rgb="FF000000"/>
        <rFont val="Arial"/>
        <family val="2"/>
      </rPr>
      <t>For example</t>
    </r>
    <r>
      <rPr>
        <sz val="11"/>
        <color rgb="FF000000"/>
        <rFont val="Arial"/>
        <family val="2"/>
      </rPr>
      <t>, if surveys are conducted in years 1 and 3, only in these years the targets should be provided.</t>
    </r>
  </si>
  <si>
    <t>Targets should be set in the year of the measurement and not when the report/results will be available.</t>
  </si>
  <si>
    <t xml:space="preserve">Target % </t>
  </si>
  <si>
    <t xml:space="preserve">This field will be automatically calculated in cases where target numerator (N) and denominator (D) values are inputted for the indicator. </t>
  </si>
  <si>
    <t>In cases where target numerator (N) and denominator (D) values are not required, % targets can be included manually.</t>
  </si>
  <si>
    <t xml:space="preserve">Report Due Date </t>
  </si>
  <si>
    <r>
      <t xml:space="preserve">Indicate the timelines when results for the impact indicators will be available in the country (official report available). This may be different from the date they will be reported to the Global Fund with the Progress Updates. </t>
    </r>
    <r>
      <rPr>
        <u/>
        <sz val="11"/>
        <color rgb="FF000000"/>
        <rFont val="Arial"/>
        <family val="2"/>
      </rPr>
      <t>For example,</t>
    </r>
    <r>
      <rPr>
        <sz val="11"/>
        <color rgb="FF000000"/>
        <rFont val="Arial"/>
        <family val="2"/>
      </rPr>
      <t xml:space="preserve"> the report due date for the Global TB report should be November each year.</t>
    </r>
  </si>
  <si>
    <t xml:space="preserve">Mark if target is “TBD” </t>
  </si>
  <si>
    <r>
      <t>Input “</t>
    </r>
    <r>
      <rPr>
        <b/>
        <sz val="11"/>
        <color rgb="FF000000"/>
        <rFont val="Arial"/>
        <family val="2"/>
      </rPr>
      <t>TBD</t>
    </r>
    <r>
      <rPr>
        <sz val="11"/>
        <color rgb="FF000000"/>
        <rFont val="Arial"/>
        <family val="2"/>
      </rPr>
      <t xml:space="preserve">” if the targets will be determined at a later stage (for example, in cases where accurate baseline data is not available, or survey results are awaited at the time of developing the performance framework and therefore it is not possible to set a target at the time of the submission of the performance framework). </t>
    </r>
  </si>
  <si>
    <t>In case of targets are to be determined, indicate in the comments’ box (Column AA) the actions being taken/planned, when this information is expected to be available and when the performance framework will be updated.</t>
  </si>
  <si>
    <t xml:space="preserve">Comments </t>
  </si>
  <si>
    <t xml:space="preserve">This column should be used to provide additional information related to the indicator and targets, such as: </t>
  </si>
  <si>
    <t>o Summary of target assumptions, e.g., alignment with NSP or any other country target; links to other indicators, etc.</t>
  </si>
  <si>
    <t xml:space="preserve">o Data sources, if they are different from baseline data sources; </t>
  </si>
  <si>
    <t xml:space="preserve">o Target population, if this is not already indicated in the standard indicator definition; </t>
  </si>
  <si>
    <r>
      <t xml:space="preserve">o </t>
    </r>
    <r>
      <rPr>
        <sz val="11"/>
        <color theme="1"/>
        <rFont val="Arial"/>
        <family val="2"/>
      </rPr>
      <t xml:space="preserve">Description of geographic area if targets are sub-national;  </t>
    </r>
  </si>
  <si>
    <t xml:space="preserve">o Entity responsible for data collection and reporting; </t>
  </si>
  <si>
    <t>o Any change in measurement methodology from previous year.</t>
  </si>
  <si>
    <t>In cases where baselines/targets are not available, indicate the actions being taken/planned, when this information is expected to be available and when the performance framework will be updated.</t>
  </si>
  <si>
    <t>Error message (if relevant)</t>
  </si>
  <si>
    <r>
      <t xml:space="preserve">Error messages for each indicator will appear in this field when data is incorrectly entered for one or more of the required fields. </t>
    </r>
    <r>
      <rPr>
        <sz val="11"/>
        <color theme="1"/>
        <rFont val="Arial"/>
        <family val="2"/>
      </rPr>
      <t xml:space="preserve">This field will be highlighted in red until errors in data entry are corrected. </t>
    </r>
    <r>
      <rPr>
        <sz val="11"/>
        <color rgb="FF000000"/>
        <rFont val="Arial"/>
        <family val="2"/>
      </rPr>
      <t>A total count of errors will appear at the top of the sheet.</t>
    </r>
  </si>
  <si>
    <t xml:space="preserve">Outcome Indicators- Section C </t>
  </si>
  <si>
    <t>This provides links to the section of the instructions that is relevant to fill the “Outcome Indicators - Section C” and the link to the print view spreadsheet.</t>
  </si>
  <si>
    <t xml:space="preserve">This field is pre-populated highlighting in red the total number of data entry errors in Section C of the form. </t>
  </si>
  <si>
    <t xml:space="preserve">Standard Outcome Indicator </t>
  </si>
  <si>
    <t xml:space="preserve">Select the relevant standard outcome indicators from the drop-down list. Outcome indicators are to be reported at the national program level. </t>
  </si>
  <si>
    <t xml:space="preserve">Custom Outcome Indicator </t>
  </si>
  <si>
    <t>Custom outcome indicators are allowed only in exceptional cases when available standard indicators are not applicable.</t>
  </si>
  <si>
    <r>
      <t xml:space="preserve">At the Grant Making and Grant Revision stages, the inclusion of custom indicators will require review and validation by the Global Fund. If agreed, custom outcome indicators should be coded as follows: (Component) then O (for Outcome) - other 1 (the count for number of custom Outcome indicators). </t>
    </r>
    <r>
      <rPr>
        <u/>
        <sz val="11"/>
        <color rgb="FF000000"/>
        <rFont val="Arial"/>
        <family val="2"/>
      </rPr>
      <t>For example</t>
    </r>
    <r>
      <rPr>
        <sz val="11"/>
        <color rgb="FF000000"/>
        <rFont val="Arial"/>
        <family val="2"/>
      </rPr>
      <t>, a custom indicator for HIV would have the following code: HIV O - Other 1: Percentage of...</t>
    </r>
  </si>
  <si>
    <t>Baselines refer to the latest available results from valid data sources. Provide the baseline numerator (N) and denominator (D) values (as applicable) for each outcome indicator. Text is not allowed in these fields.</t>
  </si>
  <si>
    <t xml:space="preserve">Required disaggregation </t>
  </si>
  <si>
    <t>The applicant should include the name of the Principal Recipient who is responsible for reporting on these indicators. The name should be selected from the drop-down menu that is pre-populated with the names inputted in the “Overview - Section A”.</t>
  </si>
  <si>
    <t>In the grant making performance framework this field is not required and is hidden. The PR for the grant will be responsible for reporting on all the indicators included in the grant performance framework.</t>
  </si>
  <si>
    <t xml:space="preserve">Country </t>
  </si>
  <si>
    <t>The target year is pre-populated based on the implementation period start date.</t>
  </si>
  <si>
    <t>Provide the target numerator (N) and denominator (D) values (as applicable) for each outcome indicator. Applicants should refer to the indicator guidance sheets for information on data type.</t>
  </si>
  <si>
    <t>Target should be set in the year of the measurement and not when the report/results will be available.</t>
  </si>
  <si>
    <t xml:space="preserve"> Indicate the timelines when results for the outcome indicators will be available in the country (official report available). This may be different from the date they will be reported to the Global Fund with the Progress Updates. </t>
  </si>
  <si>
    <t>Comments</t>
  </si>
  <si>
    <t>-    Summary of target assumptions, e.g., alignment with NSP or any other country target; links to other indicators, etc.</t>
  </si>
  <si>
    <t xml:space="preserve">-    Data sources, if they are different from baseline data sources; </t>
  </si>
  <si>
    <t xml:space="preserve">-    Target population, if this is not already indicated in the standard indicator definition; </t>
  </si>
  <si>
    <r>
      <t xml:space="preserve">-    </t>
    </r>
    <r>
      <rPr>
        <sz val="11"/>
        <color theme="1"/>
        <rFont val="Arial"/>
        <family val="2"/>
      </rPr>
      <t xml:space="preserve">Description of geographic area if targets are sub-national; </t>
    </r>
  </si>
  <si>
    <r>
      <t xml:space="preserve">-    </t>
    </r>
    <r>
      <rPr>
        <sz val="11"/>
        <color theme="1"/>
        <rFont val="Arial"/>
        <family val="2"/>
      </rPr>
      <t xml:space="preserve">Entity responsible for data collection and reporting; </t>
    </r>
  </si>
  <si>
    <t>-    Any change in measurement methodology from previous year.</t>
  </si>
  <si>
    <t>In case of baselines/targets not being available, indicate the actions being taken/planned when this information is expected to be available and when the performance framework will be updated.</t>
  </si>
  <si>
    <t xml:space="preserve">Coverage Indicators - Section D </t>
  </si>
  <si>
    <t>This provides links to the section of the instructions that is relevant to fill the Coverage Indicators - Section C and the link to the print view spreadsheet.</t>
  </si>
  <si>
    <t>This field is pre-populated highlighting in red the total number of data entry errors in Section D of the form.</t>
  </si>
  <si>
    <t>Select the module name from the drop-down menu. The list will include all the modules included in the Overview - Section A. </t>
  </si>
  <si>
    <t xml:space="preserve">Standard Coverage Indicator </t>
  </si>
  <si>
    <t xml:space="preserve">Select the relevant standard coverage indicators from the drop-down list. </t>
  </si>
  <si>
    <t xml:space="preserve">Custom Coverage Indicator </t>
  </si>
  <si>
    <t xml:space="preserve">Custom coverage indicators are allowed only in exceptional cases. </t>
  </si>
  <si>
    <t xml:space="preserve">The inclusion of custom indicators will require review and approval by the Global Fund. If agreed, custom coverage indicators should be coded as follows: </t>
  </si>
  <si>
    <r>
      <t xml:space="preserve">a)   Module name (abbreviated as in the standard indicator list) - Other 1 (the count for number of custom coverage indicators). </t>
    </r>
    <r>
      <rPr>
        <u/>
        <sz val="11"/>
        <color rgb="FF000000"/>
        <rFont val="Arial"/>
        <family val="2"/>
      </rPr>
      <t>For example</t>
    </r>
    <r>
      <rPr>
        <sz val="11"/>
        <color rgb="FF000000"/>
        <rFont val="Arial"/>
        <family val="2"/>
      </rPr>
      <t>, a custom indicator related to the Malaria module “Case Management” should have the following code: CM - Other 1: Percentage of....</t>
    </r>
  </si>
  <si>
    <r>
      <t xml:space="preserve">b)  If the custom coverage indicator is related to a standard indicator, e.g., a subset or superset, the custom indicator name should have the standard indicator code followed by “Other 1”. For example, a custom indicator for number of people in a specific target group who are currently on ART would be TCS-1 - Other1: Percentage of XX (specify name of the target group) </t>
    </r>
    <r>
      <rPr>
        <sz val="11"/>
        <color theme="1"/>
        <rFont val="Arial"/>
        <family val="2"/>
      </rPr>
      <t>on ART among all people living with HIV at the end of the reporting period.</t>
    </r>
  </si>
  <si>
    <t>Provide the baseline numerator (N) and denominator (D) values (as applicable) for each coverage indicator. Text is not allowed in these fields.</t>
  </si>
  <si>
    <t>Baseline #D</t>
  </si>
  <si>
    <t>If no baseline data is available, this field should be left blank. An explanation should be provided in comments’ box (column AL) regarding the actions being taken/planned to collect the baselines, when the baseline is expected to be available, and when the performance framework will be updated.</t>
  </si>
  <si>
    <t xml:space="preserve">Baseline % </t>
  </si>
  <si>
    <t>Baseline Source</t>
  </si>
  <si>
    <t xml:space="preserve">Include the data source for the baseline value. </t>
  </si>
  <si>
    <t>If the data source of the baseline is different from the data source that will be used to report on the indicator, this should be explained in the comments box (column AL).</t>
  </si>
  <si>
    <t>The baselines (value, year and source) for each of the required disaggregation categories are to be included in the tab titled "Disaggregation - Section E". Under the differentiated reporting requirements, the countries classified as “Focused Portfolios” by the Global Fund are not required to fill this tab. In cases where baselines are not available, an explanation should be provided in comments’ box (column J) on the “Disaggregation - Section E”, regarding the actions being taken/planned to collect the baselines, when the baseline is expected to be available, and when the performance framework will be updated.</t>
  </si>
  <si>
    <t>Include in Global Fund results</t>
  </si>
  <si>
    <r>
      <t>At the Grant Making Stage:</t>
    </r>
    <r>
      <rPr>
        <sz val="11"/>
        <color rgb="FF000000"/>
        <rFont val="Arial"/>
        <family val="2"/>
      </rPr>
      <t xml:space="preserve"> </t>
    </r>
  </si>
  <si>
    <t>This field is to be filled by the Global Fund Country Team/PHME specialist by selecting “Yes” or “No” from the drop-down menu to avoid duplication of reported results in Global Fund annual results report, in case of common indicators across Principal Recipients.</t>
  </si>
  <si>
    <t xml:space="preserve">At the Funding Request Stage: </t>
  </si>
  <si>
    <t>In the grant making performance framework this field is not required and is hidden.</t>
  </si>
  <si>
    <t>Country/Scope of targets</t>
  </si>
  <si>
    <t xml:space="preserve">Country: </t>
  </si>
  <si>
    <t xml:space="preserve">Scope of targets: </t>
  </si>
  <si>
    <r>
      <t>In the second field below the country name, specify</t>
    </r>
    <r>
      <rPr>
        <sz val="11"/>
        <color rgb="FF000000"/>
        <rFont val="Arial"/>
        <family val="2"/>
      </rPr>
      <t xml:space="preserve"> the </t>
    </r>
    <r>
      <rPr>
        <b/>
        <sz val="11"/>
        <color rgb="FF000000"/>
        <rFont val="Arial"/>
        <family val="2"/>
      </rPr>
      <t>scope of targets</t>
    </r>
    <r>
      <rPr>
        <sz val="11"/>
        <color rgb="FF000000"/>
        <rFont val="Arial"/>
        <family val="2"/>
      </rPr>
      <t xml:space="preserve"> for each indicator using the drop-down menu. The options provided help to distinguish if the targets are:</t>
    </r>
  </si>
  <si>
    <t xml:space="preserve">−     Geographically National (i.e., refer to the whole country and represent 100% of the national program target); </t>
  </si>
  <si>
    <r>
      <t xml:space="preserve">−     Geographically Subnational, 100% of national program target (i.e., refer to some geographic areas only but reflect 100% of the national program target). </t>
    </r>
    <r>
      <rPr>
        <u/>
        <sz val="11"/>
        <color rgb="FF000000"/>
        <rFont val="Arial"/>
        <family val="2"/>
      </rPr>
      <t>For example</t>
    </r>
    <r>
      <rPr>
        <sz val="11"/>
        <color rgb="FF000000"/>
        <rFont val="Arial"/>
        <family val="2"/>
      </rPr>
      <t>, in cases where the epidemic is concentrated in some specific areas of the country and the targets refer to all these areas;</t>
    </r>
  </si>
  <si>
    <r>
      <t xml:space="preserve">−     Geographic Subnational, less than 100% national program target (i.e., refer to some geographic areas only and reflect less than 100% of national program target). </t>
    </r>
    <r>
      <rPr>
        <u/>
        <sz val="11"/>
        <color rgb="FF000000"/>
        <rFont val="Arial"/>
        <family val="2"/>
      </rPr>
      <t>For example</t>
    </r>
    <r>
      <rPr>
        <sz val="11"/>
        <color rgb="FF000000"/>
        <rFont val="Arial"/>
        <family val="2"/>
      </rPr>
      <t>, in cases where targets are from some specific areas supported by the Global Fund grant/Principal Recipients and do not cover other affected geographic areas.</t>
    </r>
  </si>
  <si>
    <t>If targets are Subnational, specify the coverage area in the comments box (column AL) for the indicator i.e., the number of provinces or districts and where relevant the name of the areas.</t>
  </si>
  <si>
    <t>Cumulation type</t>
  </si>
  <si>
    <r>
      <t xml:space="preserve">This field is applicable for indicators that are reported </t>
    </r>
    <r>
      <rPr>
        <b/>
        <sz val="11"/>
        <color rgb="FF000000"/>
        <rFont val="Arial"/>
        <family val="2"/>
      </rPr>
      <t>6-monthly</t>
    </r>
    <r>
      <rPr>
        <sz val="11"/>
        <color rgb="FF000000"/>
        <rFont val="Arial"/>
        <family val="2"/>
      </rPr>
      <t>. Under this field, indicate how the targets are set over the reporting periods by selecting relevant cumulation categories from the drop-down lists. These categories will be used by the Global Fund to generate the overall performance over the reporting periods within a year. The dropdown menu provides the following three options:</t>
    </r>
  </si>
  <si>
    <r>
      <t>Non-Cumulative</t>
    </r>
    <r>
      <rPr>
        <sz val="11"/>
        <color rgb="FF000000"/>
        <rFont val="Arial"/>
        <family val="2"/>
      </rPr>
      <t>: These reflect period specific targets (i.e., the value refers to what will be achieved in a reporting period irrespective of the targets in the previous periods). In such cases, the relevant periodic targets (numerators or numerators and denominators as applicable) will be added up to calculate annual indicator performance.</t>
    </r>
  </si>
  <si>
    <r>
      <t>Non-Cumulative- Special</t>
    </r>
    <r>
      <rPr>
        <sz val="11"/>
        <color rgb="FF000000"/>
        <rFont val="Arial"/>
        <family val="2"/>
      </rPr>
      <t>: These also reflect period specific targets, same as the category above, except that in this case the denominators are the same over reporting periods (for example, size estimates for Key Populations). Relevant periodic targets (numerators) will be added up but not the denominator i.e., the denominator in the current reporting period will be used to calculate annual indicator performance.</t>
    </r>
  </si>
  <si>
    <r>
      <t>Non-Cumulative- Other</t>
    </r>
    <r>
      <rPr>
        <sz val="11"/>
        <color rgb="FF000000"/>
        <rFont val="Arial"/>
        <family val="2"/>
      </rPr>
      <t xml:space="preserve">: This is applied to the indicators that refer to people currently receiving services irrespective of the targets in previous periods. </t>
    </r>
    <r>
      <rPr>
        <u/>
        <sz val="11"/>
        <color rgb="FF000000"/>
        <rFont val="Arial"/>
        <family val="2"/>
      </rPr>
      <t>For example</t>
    </r>
    <r>
      <rPr>
        <sz val="11"/>
        <color rgb="FF000000"/>
        <rFont val="Arial"/>
        <family val="2"/>
      </rPr>
      <t>, “Percentage of people on ART”. In such cases, the relevant periodic targets in the last reporting period will be used to calculate annual indicator performance.</t>
    </r>
  </si>
  <si>
    <r>
      <t xml:space="preserve">For indicators that are reported annually </t>
    </r>
    <r>
      <rPr>
        <b/>
        <sz val="11"/>
        <color rgb="FF000000"/>
        <rFont val="Arial"/>
        <family val="2"/>
      </rPr>
      <t>leave this field blank</t>
    </r>
    <r>
      <rPr>
        <sz val="11"/>
        <color rgb="FF000000"/>
        <rFont val="Arial"/>
        <family val="2"/>
      </rPr>
      <t>.</t>
    </r>
  </si>
  <si>
    <t>Provide the target numerator (N) and denominator (D) values (as applicable) for each coverage indicator for the reporting periods when the activity will be implemented. Applicants should refer to the indicator guidance sheets for information on data type.</t>
  </si>
  <si>
    <t>Targets should be consistent with the national strategic plan or any other updated and agreed country targets and based on the programmatic gap analysis in the funding request.</t>
  </si>
  <si>
    <t>Not all indicators need to be reported during each period. Include the targets as per the recommended reporting frequency.</t>
  </si>
  <si>
    <t>Target %</t>
  </si>
  <si>
    <t>For some indicators, even though % targets are set, the results will be required to be reported as numerator, denominator and percentage as per the Indicator Guidance Sheets.</t>
  </si>
  <si>
    <t>Mark if target is "TBD"</t>
  </si>
  <si>
    <t>In case of targets are to be determined, indicate in the comments’ box (Column AL) the actions being taken/planned, when this information is expected to be available and when the performance framework will be updated.</t>
  </si>
  <si>
    <t>-    In case of unavailable baselines/targets, describe the actions being taken/planned to report on this information and when the performance framework will be updated.</t>
  </si>
  <si>
    <t>Note: Target assumptions tab can be used to provide detailed information on target setting.</t>
  </si>
  <si>
    <r>
      <t xml:space="preserve">Additional relevant information. </t>
    </r>
    <r>
      <rPr>
        <u/>
        <sz val="11"/>
        <color rgb="FF000000"/>
        <rFont val="Arial"/>
        <family val="2"/>
      </rPr>
      <t>For example</t>
    </r>
    <r>
      <rPr>
        <sz val="11"/>
        <color rgb="FF000000"/>
        <rFont val="Arial"/>
        <family val="2"/>
      </rPr>
      <t>, the ANC attendance rates when setting Elimination of Vertical Transmission targets, the data sources used to generate the population size estimates, for interventions that include a package of services, describe components of the package.</t>
    </r>
  </si>
  <si>
    <t xml:space="preserve">Reverse – standard indicator </t>
  </si>
  <si>
    <t xml:space="preserve">This field is prepopulated with “Yes” for standard indicators where targets are set to decline over time, i.e., a reverse trend in results is expected. </t>
  </si>
  <si>
    <t xml:space="preserve">Reverse – custom indicator </t>
  </si>
  <si>
    <t>Indicate “Yes” if targets are set to decline overtime (i.e., a reverse trend in results is expected for the custom indicators).</t>
  </si>
  <si>
    <t xml:space="preserve">Disaggregation (Impact, Outcome and Coverage indicators) - Section E </t>
  </si>
  <si>
    <t>Note: Under the disaggregation tab (section E) you may encounter several empty rows for each indicator. This is to facilitate visualization of all possible disaggregation values depending on the order in which indicators are selected on the impact, outcome and coverage indicator tabs. You can use the page navigation menu on the top of the page to go to various sections on this tab. You can use ctrl+home to come back to the page navigation menu.</t>
  </si>
  <si>
    <t xml:space="preserve">Please use the links provided to scroll down to the impact, outcome and coverage indicators on this page that require a disaggregation. </t>
  </si>
  <si>
    <t>It also includes the link to the section of the instructions that is relevant to fill the “Disaggregation - Section E”.</t>
  </si>
  <si>
    <t>Indicator disaggregation</t>
  </si>
  <si>
    <r>
      <t xml:space="preserve">The fields for Impact Indicator Number, Impact Indicator Name, Disaggregation Category and Disaggregation will be pre-populated based on the required disaggregation categories for the standard impact, outcome and coverage indicators selected </t>
    </r>
    <r>
      <rPr>
        <sz val="11"/>
        <color theme="1"/>
        <rFont val="Arial"/>
        <family val="2"/>
      </rPr>
      <t>in sections B, C and D.</t>
    </r>
  </si>
  <si>
    <t>Provide the baseline numerator (N) and denominator (D) values (as applicable) for required disaggregation categories and variables.</t>
  </si>
  <si>
    <t>In cases where baselines are not available, leave this field blank and provide an explanation in comments’ box (column J) regarding the actions being taken/planned to collect the baselines, when the baseline is expected to be available, and when the performance framework will be updated.</t>
  </si>
  <si>
    <t>This field will be automatically calculated in cases where baseline numerator (N) and denominator (D) values are inputted for the indicator.</t>
  </si>
  <si>
    <t>In cases where baseline numerator (N) and denominator (D) values are not required, % values can be included manually.</t>
  </si>
  <si>
    <t>In case no baseline value is available, this field should be left blank.</t>
  </si>
  <si>
    <t>Baseline source</t>
  </si>
  <si>
    <t>In case no data is available, this field should be left blank.</t>
  </si>
  <si>
    <t>Provide any relevant information related to disaggregated data.</t>
  </si>
  <si>
    <t>Indicate if the data source for disaggregation is different from the overall baseline value.</t>
  </si>
  <si>
    <t>Indicate if the data source of the baseline is different from the data source that will be used to report on the indicator.</t>
  </si>
  <si>
    <t>Indicate any actions being taken/planned to collect the missing baseline data and the timeline when performance framework will be updated.</t>
  </si>
  <si>
    <t xml:space="preserve">Work Plan Tracking Measures (WPTM) - Section F </t>
  </si>
  <si>
    <t>Page navigation</t>
  </si>
  <si>
    <t>This provides links to the section of the instructions that is relevant to fill the “WPTM - Section F” and the link to the print view spreadsheet.</t>
  </si>
  <si>
    <t>Module Name</t>
  </si>
  <si>
    <t>Insert the name of the module related to the activity from the drop-down menu. The list will include all the modules included in the “Overview - Section A”.</t>
  </si>
  <si>
    <t>Intervention</t>
  </si>
  <si>
    <t>Under each module, select the intervention related to the tracking measure from the drop-down menu. The list will include all the interventions included in the Overview - Section A.</t>
  </si>
  <si>
    <t xml:space="preserve">Key Activity </t>
  </si>
  <si>
    <t>Include the key activity to be monitored against a defined set of milestones and targets.</t>
  </si>
  <si>
    <t xml:space="preserve">Responsible PR </t>
  </si>
  <si>
    <t>The applicant should include the name of the Principal Recipient who is responsible for reporting on the WPTM. The name should be selected from the drop-down menu that is pre-populated with the names inputted in the “Overview - Section A”.</t>
  </si>
  <si>
    <t xml:space="preserve">In the grant making performance framework, this field is not required and is hidden. </t>
  </si>
  <si>
    <t>The PR for the grant will be responsible for reporting on all the WPTM included in the grant performance framework.</t>
  </si>
  <si>
    <t>For single country applications/grants, include the name of the country.</t>
  </si>
  <si>
    <t>For regional or multi-country applications/grants, the applicant/Principal Recipient select the name of the country pertaining to each selected activity.</t>
  </si>
  <si>
    <t>For regional or multi-country applications/grants, if an activity and related milestone/target covers two or more countries, the applicants/Principal Recipient should leave this field blank and specify the names of these countries/geographic area in the comments’ box (column W).</t>
  </si>
  <si>
    <t xml:space="preserve">Milestones/Targets description </t>
  </si>
  <si>
    <t xml:space="preserve">Include relevant milestones to be achieved during the reporting periods when these are expected to be completed. </t>
  </si>
  <si>
    <t xml:space="preserve">Do not include WPTMs if the grant already includes custom indicators. </t>
  </si>
  <si>
    <t>Milestone description should not exceed 4000 characters.</t>
  </si>
  <si>
    <t>Criterion for completion</t>
  </si>
  <si>
    <t xml:space="preserve">Specify the criterion when the milestone/target will be considered as “not started”, "started", "advanced" or "completed". </t>
  </si>
  <si>
    <t>Provide any relevant information related to the activity and/or the targeted milestones.</t>
  </si>
  <si>
    <t>Sheet: Target Assumptions</t>
  </si>
  <si>
    <t xml:space="preserve">This worksheet is a free text sheet and, if needed, can be used to provide additional information related to target setting for key indicators in the performance framework form. It is available in Excel version only and will not be imported in GOS. </t>
  </si>
  <si>
    <t>Sheet: Print - Summary</t>
  </si>
  <si>
    <t xml:space="preserve">No actions required; the information is based on the data populated in Overview - Section A. </t>
  </si>
  <si>
    <t>Sheet: Print – Goals &amp; Impact</t>
  </si>
  <si>
    <t>No action required; the information is based on the data populated in the Overview and Impact sections (A&amp;B).</t>
  </si>
  <si>
    <t>Sheet: Print – Objectives &amp; Outcome</t>
  </si>
  <si>
    <t>No action required; the information is based on the data populated in the Overview and Outcomes sections (A&amp;C).</t>
  </si>
  <si>
    <t xml:space="preserve">Sheet: Print – Coverage </t>
  </si>
  <si>
    <t>No action required; the information is based on the data populated in Coverage - Section D.</t>
  </si>
  <si>
    <t xml:space="preserve">Sheet: Print – WPTM </t>
  </si>
  <si>
    <t>No action required; the information is based on the data populated in the Work Plan Tracking Measures - Section F.</t>
  </si>
  <si>
    <t>Performance Framework  - Overview - Section A</t>
  </si>
  <si>
    <t>Version 4.0.1</t>
  </si>
  <si>
    <t>IP Record Type</t>
  </si>
  <si>
    <t>Funding Request</t>
  </si>
  <si>
    <t>Implementation Period Start Date</t>
  </si>
  <si>
    <t xml:space="preserve"> </t>
  </si>
  <si>
    <t>Implementation Period End Date</t>
  </si>
  <si>
    <t>IP End Date</t>
  </si>
  <si>
    <t>Programmatic Report Period Frequency</t>
  </si>
  <si>
    <t>Type of Revision</t>
  </si>
  <si>
    <t>AUP1 Start Date</t>
  </si>
  <si>
    <t>IP Record ID</t>
  </si>
  <si>
    <t>a1KDm000000TYWMMA4</t>
  </si>
  <si>
    <t>AUP1 End Date</t>
  </si>
  <si>
    <t>sheet name</t>
  </si>
  <si>
    <t>Principal Recipients</t>
  </si>
  <si>
    <t>Reporting Periods</t>
  </si>
  <si>
    <t>Goals</t>
  </si>
  <si>
    <t>Instructions</t>
  </si>
  <si>
    <t>Objectives</t>
  </si>
  <si>
    <t>Modules</t>
  </si>
  <si>
    <t>Interventions</t>
  </si>
  <si>
    <t>Component (Name)</t>
  </si>
  <si>
    <t>[Component Name]</t>
  </si>
  <si>
    <t>[Component (Name)]</t>
  </si>
  <si>
    <t>HIV/AIDS</t>
  </si>
  <si>
    <t>Tuberculosis</t>
  </si>
  <si>
    <t>RSSH</t>
  </si>
  <si>
    <t>Principal Recipient Number</t>
  </si>
  <si>
    <t>Principal Recipient Name</t>
  </si>
  <si>
    <t>Record ID</t>
  </si>
  <si>
    <t>Account Role ID</t>
  </si>
  <si>
    <t>[Account (Name)]</t>
  </si>
  <si>
    <t>[Record ID]</t>
  </si>
  <si>
    <t>[Account Role ID]</t>
  </si>
  <si>
    <t>Ministry of Public Health, Hygiene and Prevention</t>
  </si>
  <si>
    <t>a12Dm000000cC1bIAE</t>
  </si>
  <si>
    <t>AR-12119</t>
  </si>
  <si>
    <t>Principal Recipient Name (Select PRs that have previously had Grants with the Global Fund)</t>
  </si>
  <si>
    <t>New Principal Recipient Name (use if the entity has never been a Global Fund PR or does not appear in dropdown list in previous column)</t>
  </si>
  <si>
    <t>Allow creation from PF</t>
  </si>
  <si>
    <t>Concatenation of Names</t>
  </si>
  <si>
    <t>Temporary Placeholder for Account Id</t>
  </si>
  <si>
    <t>Dummy Account Id</t>
  </si>
  <si>
    <t>Account (Name)</t>
  </si>
  <si>
    <t>[Account Role Number]</t>
  </si>
  <si>
    <t>[Alternative Account]</t>
  </si>
  <si>
    <t>[Account]</t>
  </si>
  <si>
    <t>0013600000zN6z8AAC</t>
  </si>
  <si>
    <t>a12Dm000000cC1cIAE</t>
  </si>
  <si>
    <t>Funding Request Place Holder</t>
  </si>
  <si>
    <t>AR-12120</t>
  </si>
  <si>
    <t>PR 2</t>
  </si>
  <si>
    <t>a12Dm000000cC1dIAE</t>
  </si>
  <si>
    <t>AR-12121</t>
  </si>
  <si>
    <t>a12Dm000000cC1eIAE</t>
  </si>
  <si>
    <t>AR-12122</t>
  </si>
  <si>
    <t>a12Dm000000cC1fIAE</t>
  </si>
  <si>
    <t>AR-12123</t>
  </si>
  <si>
    <t>a12Dm000000cC1gIAE</t>
  </si>
  <si>
    <t>AR-12124</t>
  </si>
  <si>
    <t>a12Dm000000cC1hIAE</t>
  </si>
  <si>
    <t>AR-12125</t>
  </si>
  <si>
    <t>a12Dm000000cC1iIAE</t>
  </si>
  <si>
    <t>AR-12126</t>
  </si>
  <si>
    <t>a12Dm000000cC1jIAE</t>
  </si>
  <si>
    <t>AR-12127</t>
  </si>
  <si>
    <t xml:space="preserve">Reporting Period </t>
  </si>
  <si>
    <t>Period Start Date</t>
  </si>
  <si>
    <t>Period End Date</t>
  </si>
  <si>
    <t>Disbursement Request</t>
  </si>
  <si>
    <t>Disbursement Request(Display)</t>
  </si>
  <si>
    <t>Reporting Period Start Date</t>
  </si>
  <si>
    <t>Reporting Period End Date</t>
  </si>
  <si>
    <t>Submission date</t>
  </si>
  <si>
    <t>[Disbursement Request]</t>
  </si>
  <si>
    <t>[Reporting Period Start Date]</t>
  </si>
  <si>
    <t>[Reporting Period End Date]</t>
  </si>
  <si>
    <t>a1YDm000000TV4jMAG</t>
  </si>
  <si>
    <t>a1YDm000000TV4kMAG</t>
  </si>
  <si>
    <t>a1YDm000000TV4lMAG</t>
  </si>
  <si>
    <t>a1YDm000000TV4mMAG</t>
  </si>
  <si>
    <t>a1YDm000000TV4nMAG</t>
  </si>
  <si>
    <t>a1YDm000000TV4oMAG</t>
  </si>
  <si>
    <t>Goal Number</t>
  </si>
  <si>
    <t>Goal Description</t>
  </si>
  <si>
    <t>[Goal Number]</t>
  </si>
  <si>
    <t>[Goal Name]</t>
  </si>
  <si>
    <t>Contribuer à l'accéleration du progres vers la fin de l'épidemie de la TB en RDC / Contribute to accelerating progress towards the end of the TB epidemic in DRC</t>
  </si>
  <si>
    <t>a1CDm000000ThQ5MAK</t>
  </si>
  <si>
    <t>Faire de la RDC un pays avec « ZERO nouvelle infection, ZERO décès lié au VIH/Sida et ZERO discrimination et stigmatisation » dans la perspective qu’en RDC, le VIH ne soit plus un problème de santé Publique à l’horizon 2030. / To make the DRC a country with "ZERO new infections, ZERO HIV/AIDS-related deaths, and ZERO discrimination and stigmatization" so that by 2030, HIV will no longer be a public health problem in the DRC.</t>
  </si>
  <si>
    <t>a1CDm000000ThQ6MAK</t>
  </si>
  <si>
    <t>a1CDm000000ThQ7MAK</t>
  </si>
  <si>
    <t>a1CDm000000ThQ8MAK</t>
  </si>
  <si>
    <t>a1CDm000000ThQ9MAK</t>
  </si>
  <si>
    <t>a1CDm000000ThQAMA0</t>
  </si>
  <si>
    <t>a1CDm000000ThQBMA0</t>
  </si>
  <si>
    <t>a1CDm000000ThQCMA0</t>
  </si>
  <si>
    <t>a1CDm000000ThQDMA0</t>
  </si>
  <si>
    <t>a1CDm000000ThQEMA0</t>
  </si>
  <si>
    <t>a1CDm000000ThQFMA0</t>
  </si>
  <si>
    <t>a1CDm000000ThQGMA0</t>
  </si>
  <si>
    <t>Objective Number</t>
  </si>
  <si>
    <t>Objective Description</t>
  </si>
  <si>
    <t>[Objective Number]</t>
  </si>
  <si>
    <t>[Objective Name]</t>
  </si>
  <si>
    <t>Dépister  un total cumulé de 854 736  cas  de TB toutes formes dans le cadre du GC7 parmi lequel 137 901 enfants et 6330  cas de TBMR / Screen a cumulative total of 854,736 cases of all forms of TB within the framework of GC7, including 137,901 children and 6,330 cases of MDR-TB</t>
  </si>
  <si>
    <t>a1RDm000000PD3QMAW</t>
  </si>
  <si>
    <t>Traiter avec succès au moins 95% des patients TB PS notifiés et au moins 85 % des TB MR notifiés; / Successfully treat at least 95% of notified SP-TB patients and at least 85% of notified MDR-TB patients;</t>
  </si>
  <si>
    <t>a1RDm000000PD3RMAW</t>
  </si>
  <si>
    <t>Mettre sous traitement d’infection latente  enfants de moins de 5 ans en contact avec des cas TB+  exclue de la TB (352 801) ; / Put on treatment for latent infection children under 5 years of age in contact with TB+ cases excluded from TB (352,801);</t>
  </si>
  <si>
    <t>a1RDm000000PD3SMAW</t>
  </si>
  <si>
    <t>Tester au VIH au moins 90% des patients tuberculeux notifiés  durant la période  ; / Test at least 90% of TB patients notified during the period for HIV;</t>
  </si>
  <si>
    <t>a1RDm000000PD3TMAW</t>
  </si>
  <si>
    <t>Mettre sous ARV 95% des patients coïnfectés (TB VIH+) durant la période dans le pays ; / Put 95% of co-infected patients (HIV+ TB) on ARVs during the period in the country;</t>
  </si>
  <si>
    <t>a1RDm000000PD3UMAW</t>
  </si>
  <si>
    <t>Réduire les nouvelles infections VIH de 95% d’ici  2027 / Reduce new HIV infections by 95% by 2027</t>
  </si>
  <si>
    <t>a1RDm000000PD3VMAW</t>
  </si>
  <si>
    <t>Réduire les nouvelles infections chez les nourrissons nés des mères infectées par le VIH de 98 % d'ici 2027 / Reduce new infections among infants born to HIV-infected mothers by 98% by 2027</t>
  </si>
  <si>
    <t>a1RDm000000PD3WMAW</t>
  </si>
  <si>
    <t>Réduire la mortalité liée au VIH de 9.5% à 7.4% / Reduce HIV-related mortality from 9.5% to 7.4% by the end of 2027</t>
  </si>
  <si>
    <t>a1RDm000000PD3XMAW</t>
  </si>
  <si>
    <t>Reduire la discrimination, la stigmatisation et les inégalités sociales liées au VIH/TB à l’égard des  PVVIH, populations clés (Transgenre, HSH, PS, UDI, PS, détenus ) et autres populations vulnérables (SVS, SVBG et OEV) de 95%  d’ici fin  2027 / Reduce discrimination, stigma and social inequalities related to HIV/TB for PLHIV, key populations (Transgender, MSM, PS, IDU, PS, prisoners) and other vulnerable populations (SVS, SVBG and OVC) by 95% by the end of 2027</t>
  </si>
  <si>
    <t>a1RDm000000PD3YMAW</t>
  </si>
  <si>
    <t>Soutenir la riposte nationale VIH par une bonne gouvernance et une coordination multisectorielle optimale à tous les niveaux d’ici à 2027 / Support the national HIV response through good governance and optimal multisectoral coordination at all levels by 2027</t>
  </si>
  <si>
    <t>a1RDm000000PD3ZMAW</t>
  </si>
  <si>
    <t>a1RDm000000PD3aMAG</t>
  </si>
  <si>
    <t>a1RDm000000PD3bMAG</t>
  </si>
  <si>
    <t>Module Number</t>
  </si>
  <si>
    <t>module name repeated</t>
  </si>
  <si>
    <t>Module ID</t>
  </si>
  <si>
    <t>Module Reference (Name)</t>
  </si>
  <si>
    <t>Module Reference</t>
  </si>
  <si>
    <t>[Module Number]</t>
  </si>
  <si>
    <t>[Module ID]</t>
  </si>
  <si>
    <t>[Module Reference (Name)]</t>
  </si>
  <si>
    <t>M-84753</t>
  </si>
  <si>
    <t>MCI-01308</t>
  </si>
  <si>
    <t>a1PDm000000LrD4MAK</t>
  </si>
  <si>
    <t>M-84754</t>
  </si>
  <si>
    <t>MCI-01309</t>
  </si>
  <si>
    <t>a1PDm000000LrD5MAK</t>
  </si>
  <si>
    <t>M-84755</t>
  </si>
  <si>
    <t>MCI-01310</t>
  </si>
  <si>
    <t>a1PDm000000LrD6MAK</t>
  </si>
  <si>
    <t>M-84756</t>
  </si>
  <si>
    <t>MCI-01312</t>
  </si>
  <si>
    <t>a1PDm000000LrD7MAK</t>
  </si>
  <si>
    <t>M-84757</t>
  </si>
  <si>
    <t>MCI-01313</t>
  </si>
  <si>
    <t>a1PDm000000LrD8MAK</t>
  </si>
  <si>
    <t>M-84758</t>
  </si>
  <si>
    <t>MCI-01296</t>
  </si>
  <si>
    <t>a1PDm000000LrD9MAK</t>
  </si>
  <si>
    <t>M-84759</t>
  </si>
  <si>
    <t>MCI-01297</t>
  </si>
  <si>
    <t>a1PDm000000LrDAMA0</t>
  </si>
  <si>
    <t>M-84760</t>
  </si>
  <si>
    <t>MCI-01298</t>
  </si>
  <si>
    <t>a1PDm000000LrDBMA0</t>
  </si>
  <si>
    <t>M-84761</t>
  </si>
  <si>
    <t>MCI-01299</t>
  </si>
  <si>
    <t>a1PDm000000LrDCMA0</t>
  </si>
  <si>
    <t>M-84762</t>
  </si>
  <si>
    <t>MCI-01300</t>
  </si>
  <si>
    <t>a1PDm000000LrDDMA0</t>
  </si>
  <si>
    <t>M-84763</t>
  </si>
  <si>
    <t>MCI-01304</t>
  </si>
  <si>
    <t>a1PDm000000LrDEMA0</t>
  </si>
  <si>
    <t>M-84764</t>
  </si>
  <si>
    <t>MCI-01305</t>
  </si>
  <si>
    <t>a1PDm000000LrDFMA0</t>
  </si>
  <si>
    <t>M-84765</t>
  </si>
  <si>
    <t>MCI-01306</t>
  </si>
  <si>
    <t>a1PDm000000LrDGMA0</t>
  </si>
  <si>
    <t>M-84766</t>
  </si>
  <si>
    <t>MCI-01323</t>
  </si>
  <si>
    <t>a1PDm000000LrDHMA0</t>
  </si>
  <si>
    <t>M-84767</t>
  </si>
  <si>
    <t>MCI-01327</t>
  </si>
  <si>
    <t>a1PDm000000LrDIMA0</t>
  </si>
  <si>
    <t>Only required if you have Work plan Tracking Measures</t>
  </si>
  <si>
    <t>Intervention Number</t>
  </si>
  <si>
    <t>Column5</t>
  </si>
  <si>
    <t>Column6</t>
  </si>
  <si>
    <t>Column7</t>
  </si>
  <si>
    <t>Column8</t>
  </si>
  <si>
    <t>Standard Intervention</t>
  </si>
  <si>
    <t>Intervention Name</t>
  </si>
  <si>
    <t>Dependent List Population Start</t>
  </si>
  <si>
    <t>Dependent List Population Stop</t>
  </si>
  <si>
    <t>Column12</t>
  </si>
  <si>
    <t>Column13</t>
  </si>
  <si>
    <t>Standard Intervention2</t>
  </si>
  <si>
    <t>Column9</t>
  </si>
  <si>
    <t>Allow Field Update</t>
  </si>
  <si>
    <t>Intervention ID</t>
  </si>
  <si>
    <t>Formula to sort module name</t>
  </si>
  <si>
    <t>formula to fetch intervention based on module name-used in WPTM sheet</t>
  </si>
  <si>
    <t>concat module&amp;inter</t>
  </si>
  <si>
    <t>Helper1 module + int + pop</t>
  </si>
  <si>
    <t>helper 2</t>
  </si>
  <si>
    <t>rank</t>
  </si>
  <si>
    <t>sorted</t>
  </si>
  <si>
    <t>module</t>
  </si>
  <si>
    <t>pop</t>
  </si>
  <si>
    <t>module+pop</t>
  </si>
  <si>
    <t>Intervention Sort Order</t>
  </si>
  <si>
    <t>Intervention ID--no use(for putting formula)</t>
  </si>
  <si>
    <t>[Intervention ID (Name)]</t>
  </si>
  <si>
    <t>a1MDm000000Xod6MAC</t>
  </si>
  <si>
    <t>INT-350981</t>
  </si>
  <si>
    <t>a1MDm000000Xod7MAC</t>
  </si>
  <si>
    <t>INT-350982</t>
  </si>
  <si>
    <t>a1MDm000000Xod8MAC</t>
  </si>
  <si>
    <t>INT-350983</t>
  </si>
  <si>
    <t>a1MDm000000Xod9MAC</t>
  </si>
  <si>
    <t>INT-350984</t>
  </si>
  <si>
    <t>a1MDm000000XodAMAS</t>
  </si>
  <si>
    <t>INT-350985</t>
  </si>
  <si>
    <t>a1MDm000000XodBMAS</t>
  </si>
  <si>
    <t>INT-350986</t>
  </si>
  <si>
    <t>a1MDm000000XodCMAS</t>
  </si>
  <si>
    <t>INT-350987</t>
  </si>
  <si>
    <t>a1MDm000000XodDMAS</t>
  </si>
  <si>
    <t>INT-350988</t>
  </si>
  <si>
    <t>a1MDm000000XodEMAS</t>
  </si>
  <si>
    <t>INT-350989</t>
  </si>
  <si>
    <t>a1MDm000000XodFMAS</t>
  </si>
  <si>
    <t>INT-350990</t>
  </si>
  <si>
    <t>a1MDm000000XodGMAS</t>
  </si>
  <si>
    <t>INT-350991</t>
  </si>
  <si>
    <t>a1MDm000000XodHMAS</t>
  </si>
  <si>
    <t>INT-350992</t>
  </si>
  <si>
    <t>a1MDm000000XodIMAS</t>
  </si>
  <si>
    <t>INT-350993</t>
  </si>
  <si>
    <t>a1MDm000000XodJMAS</t>
  </si>
  <si>
    <t>INT-350994</t>
  </si>
  <si>
    <t>a1MDm000000XodKMAS</t>
  </si>
  <si>
    <t>INT-350995</t>
  </si>
  <si>
    <t>a1MDm000000XodLMAS</t>
  </si>
  <si>
    <t>INT-350996</t>
  </si>
  <si>
    <t>a1MDm000000XodMMAS</t>
  </si>
  <si>
    <t>INT-350997</t>
  </si>
  <si>
    <t>a1MDm000000XodNMAS</t>
  </si>
  <si>
    <t>INT-350998</t>
  </si>
  <si>
    <t>a1MDm000000XodOMAS</t>
  </si>
  <si>
    <t>INT-350999</t>
  </si>
  <si>
    <t>a1MDm000000XodPMAS</t>
  </si>
  <si>
    <t>INT-351000</t>
  </si>
  <si>
    <t>a1MDm000000XodQMAS</t>
  </si>
  <si>
    <t>INT-351001</t>
  </si>
  <si>
    <t>a1MDm000000XodRMAS</t>
  </si>
  <si>
    <t>INT-351002</t>
  </si>
  <si>
    <t>a1MDm000000XodSMAS</t>
  </si>
  <si>
    <t>INT-351003</t>
  </si>
  <si>
    <t>a1MDm000000XodTMAS</t>
  </si>
  <si>
    <t>INT-351004</t>
  </si>
  <si>
    <t>a1MDm000000XodUMAS</t>
  </si>
  <si>
    <t>INT-351005</t>
  </si>
  <si>
    <t>a1MDm000000XodVMAS</t>
  </si>
  <si>
    <t>INT-351006</t>
  </si>
  <si>
    <t>a1MDm000000XodWMAS</t>
  </si>
  <si>
    <t>INT-351007</t>
  </si>
  <si>
    <t>a1MDm000000XodXMAS</t>
  </si>
  <si>
    <t>INT-351008</t>
  </si>
  <si>
    <t>a1MDm000000XodYMAS</t>
  </si>
  <si>
    <t>INT-351009</t>
  </si>
  <si>
    <t>a1MDm000000XodZMAS</t>
  </si>
  <si>
    <t>INT-351010</t>
  </si>
  <si>
    <t>a1MDm000000XodaMAC</t>
  </si>
  <si>
    <t>INT-351011</t>
  </si>
  <si>
    <t>a1MDm000000XodbMAC</t>
  </si>
  <si>
    <t>INT-351012</t>
  </si>
  <si>
    <t>a1MDm000000XodcMAC</t>
  </si>
  <si>
    <t>INT-351013</t>
  </si>
  <si>
    <t>a1MDm000000XoddMAC</t>
  </si>
  <si>
    <t>INT-351014</t>
  </si>
  <si>
    <t>a1MDm000000XodeMAC</t>
  </si>
  <si>
    <t>INT-351015</t>
  </si>
  <si>
    <t>a1MDm000000XodfMAC</t>
  </si>
  <si>
    <t>INT-351016</t>
  </si>
  <si>
    <t>a1MDm000000XodgMAC</t>
  </si>
  <si>
    <t>INT-351017</t>
  </si>
  <si>
    <t>a1MDm000000XodhMAC</t>
  </si>
  <si>
    <t>INT-351018</t>
  </si>
  <si>
    <t>a1MDm000000XodiMAC</t>
  </si>
  <si>
    <t>INT-351019</t>
  </si>
  <si>
    <t>a1MDm000000XodjMAC</t>
  </si>
  <si>
    <t>INT-351020</t>
  </si>
  <si>
    <t>a1MDm000000XodkMAC</t>
  </si>
  <si>
    <t>INT-351021</t>
  </si>
  <si>
    <t>a1MDm000000XodlMAC</t>
  </si>
  <si>
    <t>INT-351022</t>
  </si>
  <si>
    <t>a1MDm000000XodmMAC</t>
  </si>
  <si>
    <t>INT-351023</t>
  </si>
  <si>
    <t>a1MDm000000XodnMAC</t>
  </si>
  <si>
    <t>INT-351024</t>
  </si>
  <si>
    <t>a1MDm000000XodoMAC</t>
  </si>
  <si>
    <t>INT-351025</t>
  </si>
  <si>
    <t>a1MDm000000XodpMAC</t>
  </si>
  <si>
    <t>INT-351026</t>
  </si>
  <si>
    <t>a1MDm000000XodqMAC</t>
  </si>
  <si>
    <t>INT-351027</t>
  </si>
  <si>
    <t>a1MDm000000XodrMAC</t>
  </si>
  <si>
    <t>INT-351028</t>
  </si>
  <si>
    <t>a1MDm000000XodsMAC</t>
  </si>
  <si>
    <t>INT-351029</t>
  </si>
  <si>
    <t>a1MDm000000XodtMAC</t>
  </si>
  <si>
    <t>INT-351030</t>
  </si>
  <si>
    <t>Not applicable</t>
  </si>
  <si>
    <t>hi</t>
  </si>
  <si>
    <t>Version number</t>
  </si>
  <si>
    <t>Date</t>
  </si>
  <si>
    <t>Changes made</t>
  </si>
  <si>
    <t>Made by</t>
  </si>
  <si>
    <t>At request of</t>
  </si>
  <si>
    <t xml:space="preserve">• Changed mapping on Overview page to pick up module IDs
• Changed mapping on Disaggregation under coverage indicators to bring indicator reference ID withformula RIGHT( ) instead of LEFT() to fix issue for TCP 2M
• Changed modules to read from softdeleted sheet
</t>
  </si>
  <si>
    <t>Tanaka Ndowa</t>
  </si>
  <si>
    <t>Kingsley Awuku</t>
  </si>
  <si>
    <t>• Signed the macro
• Added save attachment on extraction</t>
  </si>
  <si>
    <t>2.0.3</t>
  </si>
  <si>
    <t>1. 0 value fix 
2. Visualization rules
3. Coverage Indicator TBD Fix
4. Print View visualization of 0 values.
5. Enabling 4 decimal places for Impact, Outcome, Disaggregation N#
6. Print view to incorporate 4 decimal place.
7. Print view to incorporate Other language Local
8. Responsible PR formula Fix to include Grant Making logic
9. Allowing WPTM Results for 9 Reporting Periods.
10. Conditional Formatting for Population Columns.</t>
  </si>
  <si>
    <t>Shalini Mitra</t>
  </si>
  <si>
    <t>Irina Kirkman</t>
  </si>
  <si>
    <t>Added Enable and Disable calculations macro to each AddRow operation in the ActionFlow to increase the performance.</t>
  </si>
  <si>
    <t>Vasu Deva Dattatreya</t>
  </si>
  <si>
    <t>Swamikan Nadar</t>
  </si>
  <si>
    <t>2.0.4</t>
  </si>
  <si>
    <t>1.Fixed Target  Result Issue in Impact/outcome Indicator Sections.
2.Fixed the indicator Name issue which exceeds 255 character Limit in Coverage Indicator Section.
3.Fixed Impact disaggreagation comments(exceeds 255 character Limit) issue in disaggregation Section.
4. Fixed the Macro of the Coverage Indicator Section</t>
  </si>
  <si>
    <t>Shalini Mitra &amp; Uma Maheswari</t>
  </si>
  <si>
    <t>Dalvinder Chandok</t>
  </si>
  <si>
    <t>4.0.0</t>
  </si>
  <si>
    <t>Version 4 for the PF template for NFM4.
Multiple changes as per the business requirements of the 2022 Funding Request project.
Removed Population column in Overview, Coverage and WPTM sheets.</t>
  </si>
  <si>
    <t>Nikos Kasioumis</t>
  </si>
  <si>
    <t>4.0.1</t>
  </si>
  <si>
    <t>US-7041 - Adding record ids in Update helper sheet for API - Grant Making launch</t>
  </si>
  <si>
    <t>Devarshi Mandal</t>
  </si>
  <si>
    <t>US-7641- Baseline year data is deleted in Disaggregation in PF template- R1</t>
  </si>
  <si>
    <t>US-7642- Fix-Target Misalignment</t>
  </si>
  <si>
    <t>Row Count</t>
  </si>
  <si>
    <t>Section B</t>
  </si>
  <si>
    <t>Section C</t>
  </si>
  <si>
    <t>Sectiond D - Top</t>
  </si>
  <si>
    <t>Section E -top</t>
  </si>
  <si>
    <t>Section E - middle</t>
  </si>
  <si>
    <t>Section E - bottom</t>
  </si>
  <si>
    <t>Section f</t>
  </si>
  <si>
    <t>population section a distinct</t>
  </si>
  <si>
    <t>coverage indicator no rows to insert</t>
  </si>
  <si>
    <t>Merged Row</t>
  </si>
  <si>
    <t>section b start</t>
  </si>
  <si>
    <t>section c start</t>
  </si>
  <si>
    <t>section d start</t>
  </si>
  <si>
    <t>section e top start</t>
  </si>
  <si>
    <t>section e middle start</t>
  </si>
  <si>
    <t>section e bottom start</t>
  </si>
  <si>
    <t>section f start</t>
  </si>
  <si>
    <t>Scope of targets</t>
  </si>
  <si>
    <t>cumulative type</t>
  </si>
  <si>
    <t>pr list merged with blank</t>
  </si>
  <si>
    <t>pr distinct without duplicate</t>
  </si>
  <si>
    <t>Non cumulative</t>
  </si>
  <si>
    <t>Geographic National, 100% of national program target</t>
  </si>
  <si>
    <t>Non cumulative – other</t>
  </si>
  <si>
    <t>Geographic Subnational, 100% of national program target</t>
  </si>
  <si>
    <t>Non cumulative - special</t>
  </si>
  <si>
    <t>Geographic Subnational, less than 100% national program target</t>
  </si>
  <si>
    <t>count impact indicator</t>
  </si>
  <si>
    <t>coverage outcome</t>
  </si>
  <si>
    <t>count impact indicator targets</t>
  </si>
  <si>
    <t>coverage impact</t>
  </si>
  <si>
    <t>count Outcome Indicators</t>
  </si>
  <si>
    <t>count Outcome Indicators targets</t>
  </si>
  <si>
    <t>count coverage indicators</t>
  </si>
  <si>
    <t>coverage indicator</t>
  </si>
  <si>
    <t>coverage disaggregation</t>
  </si>
  <si>
    <t>TBD</t>
  </si>
  <si>
    <t>date format</t>
  </si>
  <si>
    <t>Allocation Cycle</t>
  </si>
  <si>
    <t>2020-2022</t>
  </si>
  <si>
    <t>2023-2025</t>
  </si>
  <si>
    <t>2026-2028</t>
  </si>
  <si>
    <t>Sort Order for Intervention</t>
  </si>
  <si>
    <t>a11</t>
  </si>
  <si>
    <t>a12</t>
  </si>
  <si>
    <t>a13</t>
  </si>
  <si>
    <t>a14</t>
  </si>
  <si>
    <t>a15</t>
  </si>
  <si>
    <t>a16</t>
  </si>
  <si>
    <t>a17</t>
  </si>
  <si>
    <t>a18</t>
  </si>
  <si>
    <t>a19</t>
  </si>
  <si>
    <t>a20</t>
  </si>
  <si>
    <t>a21</t>
  </si>
  <si>
    <t>a22</t>
  </si>
  <si>
    <t>a23</t>
  </si>
  <si>
    <t>a24</t>
  </si>
  <si>
    <t>a25</t>
  </si>
  <si>
    <t>a26</t>
  </si>
  <si>
    <t>a27</t>
  </si>
  <si>
    <t>a28</t>
  </si>
  <si>
    <t>a29</t>
  </si>
  <si>
    <t>a30</t>
  </si>
  <si>
    <t>a31</t>
  </si>
  <si>
    <t>a32</t>
  </si>
  <si>
    <t>a33</t>
  </si>
  <si>
    <t>a34</t>
  </si>
  <si>
    <t>a35</t>
  </si>
  <si>
    <t>a36</t>
  </si>
  <si>
    <t>a37</t>
  </si>
  <si>
    <t>a38</t>
  </si>
  <si>
    <t>a39</t>
  </si>
  <si>
    <t>a40</t>
  </si>
  <si>
    <t>a41</t>
  </si>
  <si>
    <t>a42</t>
  </si>
  <si>
    <t>a43</t>
  </si>
  <si>
    <t>a44</t>
  </si>
  <si>
    <t>a45</t>
  </si>
  <si>
    <t>a46</t>
  </si>
  <si>
    <t>a47</t>
  </si>
  <si>
    <t>a48</t>
  </si>
  <si>
    <t>a49</t>
  </si>
  <si>
    <t>a50</t>
  </si>
  <si>
    <t>a51</t>
  </si>
  <si>
    <t>a52</t>
  </si>
  <si>
    <t>a53</t>
  </si>
  <si>
    <t>a54</t>
  </si>
  <si>
    <t>a55</t>
  </si>
  <si>
    <t>a56</t>
  </si>
  <si>
    <t>a57</t>
  </si>
  <si>
    <t>a58</t>
  </si>
  <si>
    <t>a59</t>
  </si>
  <si>
    <t>a60</t>
  </si>
  <si>
    <t>a61</t>
  </si>
  <si>
    <t>a62</t>
  </si>
  <si>
    <t>a63</t>
  </si>
  <si>
    <t>a64</t>
  </si>
  <si>
    <t>a65</t>
  </si>
  <si>
    <t>a66</t>
  </si>
  <si>
    <t>a67</t>
  </si>
  <si>
    <t>a68</t>
  </si>
  <si>
    <t>a69</t>
  </si>
  <si>
    <t>a70</t>
  </si>
  <si>
    <t>a71</t>
  </si>
  <si>
    <t>a72</t>
  </si>
  <si>
    <t>a73</t>
  </si>
  <si>
    <t>a74</t>
  </si>
  <si>
    <t>a75</t>
  </si>
  <si>
    <t>a76</t>
  </si>
  <si>
    <t>a77</t>
  </si>
  <si>
    <t>a78</t>
  </si>
  <si>
    <t>a79</t>
  </si>
  <si>
    <t>a80</t>
  </si>
  <si>
    <t>a81</t>
  </si>
  <si>
    <t>a82</t>
  </si>
  <si>
    <t>a83</t>
  </si>
  <si>
    <t>a84</t>
  </si>
  <si>
    <t>a85</t>
  </si>
  <si>
    <t>a86</t>
  </si>
  <si>
    <t>a87</t>
  </si>
  <si>
    <t>a88</t>
  </si>
  <si>
    <t>a89</t>
  </si>
  <si>
    <t>a90</t>
  </si>
  <si>
    <t>a91</t>
  </si>
  <si>
    <t>a92</t>
  </si>
  <si>
    <t>a93</t>
  </si>
  <si>
    <t>a94</t>
  </si>
  <si>
    <t>a95</t>
  </si>
  <si>
    <t>a96</t>
  </si>
  <si>
    <t>a97</t>
  </si>
  <si>
    <t>a98</t>
  </si>
  <si>
    <t>a99</t>
  </si>
  <si>
    <t>Performance Framework - Impact Indicators - Section B</t>
  </si>
  <si>
    <t>Print View</t>
  </si>
  <si>
    <t>This table is for Just populating the Id's for below fields</t>
  </si>
  <si>
    <t>Impact Indicator Number</t>
  </si>
  <si>
    <t>Standard Indicator</t>
  </si>
  <si>
    <t>Custom Indicator</t>
  </si>
  <si>
    <t>Baseline #N Baseline #D</t>
  </si>
  <si>
    <t>Baseline Year</t>
  </si>
  <si>
    <t>Required Disaggregation</t>
  </si>
  <si>
    <t>Target #N
Target #D</t>
  </si>
  <si>
    <t>Report Due Date</t>
  </si>
  <si>
    <t>Mark if target is TBD</t>
  </si>
  <si>
    <t>impact reference</t>
  </si>
  <si>
    <t>impact targets dispalmap ron no</t>
  </si>
  <si>
    <t>impact dispalmap ron no</t>
  </si>
  <si>
    <t>To get Rate Indicator Value</t>
  </si>
  <si>
    <t>Country ID</t>
  </si>
  <si>
    <t>Impact Reference ID</t>
  </si>
  <si>
    <t>TB I-3 TB mortality rate per 100,000 population</t>
  </si>
  <si>
    <t>WHO TB Global Report 2022</t>
  </si>
  <si>
    <t>Congo (Democratic Republic)</t>
  </si>
  <si>
    <t>TB mortality has seen an average reduction of 4.6% between 2018 and 2020, from 64 per 100,000 to 51.5 per 100,000. In this grant, efforts will gradually decrease mortality between 2024 and 2026, so the reduction will be 4.6% in 2024, 5% in 2025 and 2026. These targets are aligned with the performance framework of the new NSP.</t>
  </si>
  <si>
    <t>TB I-2 TB incidence rate per 100,000 population</t>
  </si>
  <si>
    <t>In 2021, the WHO estimated incidence is 318 cases/100,000 population. The DRC has a history of reducing TB incidence by 1 point since 2015. The new NSP TB 2024-2028 foresees the intensification of NFM3 interventions boosted by activities financed by catalytic funds, a reduction in incidence of 2 points from 2024 and 2025. These targets are aligned with those of the performance framework of the new NSP.</t>
  </si>
  <si>
    <t>TB I-4 RR-TB and/or MDR-TB prevalence among new TB patients: Proportion of new TB patients with RR-TB and/or MDR-TB</t>
  </si>
  <si>
    <t>The result of the prevalence survey conducted in 2018 attributed a prevalence of MDR-TB of 1.6% among new cases. Efforts in early detection of MDR-TB in new cases and reprocessing, as well as improved results for susceptible TB and MDR-TB coupled with prevention efforts will lead to a stabilization of MDR-TB in new cases and then its reduction from the year of application of the new DRS result which will be conducted in 2023. The NMCP, while waiting for the results of the DRS, has chosen to keep the same prevalence for the three years.</t>
  </si>
  <si>
    <t>HIV I-9a Percentage of men who have sex with men who are living with HIV</t>
  </si>
  <si>
    <t>IBBS report 2018-2019</t>
  </si>
  <si>
    <t>The IBBS survey will be conducted in 2024 and the results will be published in 2025. The report of the survey will be submitted in February 2025</t>
  </si>
  <si>
    <t>HIV I-10 Percentage of sex workers who are living with HIV</t>
  </si>
  <si>
    <t>HIV I-9b Percentage of transgender people who are living with HIV</t>
  </si>
  <si>
    <t>No baseline data available</t>
  </si>
  <si>
    <t>HIV I-11 Percentage of people who inject drugs who are living with HIV</t>
  </si>
  <si>
    <t>HIV I-13 Percentage of people living with HIV</t>
  </si>
  <si>
    <t>Spectrrum v6.26</t>
  </si>
  <si>
    <t>Data from Spectrum v6.26</t>
  </si>
  <si>
    <t>HIV I-14 Number of new HIV infections per 1000 uninfected population</t>
  </si>
  <si>
    <t>Spectrum v6.26</t>
  </si>
  <si>
    <t>HIV I-4 Number of AIDS-related deaths per 100,000 population</t>
  </si>
  <si>
    <t>HIV I-6 Estimated percentage of children newly infected with HIV from mother-to-child transmission among women living with HIV delivering in the past 12 months</t>
  </si>
  <si>
    <t>no. records to process</t>
  </si>
  <si>
    <t>Target N#</t>
  </si>
  <si>
    <t>cyclic number</t>
  </si>
  <si>
    <t>unique key</t>
  </si>
  <si>
    <t>row number</t>
  </si>
  <si>
    <t>impactIndicator number</t>
  </si>
  <si>
    <t>Target D#</t>
  </si>
  <si>
    <t>Mark if target is TBD?</t>
  </si>
  <si>
    <t>impIndResID</t>
  </si>
  <si>
    <t>impIndID</t>
  </si>
  <si>
    <t>Year of Target</t>
  </si>
  <si>
    <t>impIndRowNo</t>
  </si>
  <si>
    <t>Impact Data - Component - Indicator Reference</t>
  </si>
  <si>
    <t>Impact Outcome Reference (Name)</t>
  </si>
  <si>
    <t>Name</t>
  </si>
  <si>
    <t>Disaggregation Categories</t>
  </si>
  <si>
    <t>Unique Name-Not in use</t>
  </si>
  <si>
    <t>unique Id</t>
  </si>
  <si>
    <t>unique name list</t>
  </si>
  <si>
    <t>Component Indicator Reference ID</t>
  </si>
  <si>
    <t>Record Type (Name)</t>
  </si>
  <si>
    <t>Allocation Cycle (Name)</t>
  </si>
  <si>
    <t>Is Rate Indicator?</t>
  </si>
  <si>
    <t>Sort Order</t>
  </si>
  <si>
    <t>[Impact Outcome Reference (Name)]</t>
  </si>
  <si>
    <t>--Select--</t>
  </si>
  <si>
    <t>[Disaggregation Categories]</t>
  </si>
  <si>
    <t>[Component Indicator Reference ID]</t>
  </si>
  <si>
    <t>[Record Type (Name)]</t>
  </si>
  <si>
    <t>[Allocation Cycle (Name)]</t>
  </si>
  <si>
    <t>[Is Rate Indicator?]</t>
  </si>
  <si>
    <t>[Sort Order]</t>
  </si>
  <si>
    <t>IOR-00143</t>
  </si>
  <si>
    <t>Gender,Gender | Age,Age</t>
  </si>
  <si>
    <t>a1JDm000000k9bcMAA</t>
  </si>
  <si>
    <t>a3zDm000000GmbP</t>
  </si>
  <si>
    <t>Impact</t>
  </si>
  <si>
    <t>IOR-00144</t>
  </si>
  <si>
    <t>a1JDm000000k9bdMAA</t>
  </si>
  <si>
    <t>a3zDm000000GmbQ</t>
  </si>
  <si>
    <t>IOR-00145</t>
  </si>
  <si>
    <t>Gender,Age,Gender | Age</t>
  </si>
  <si>
    <t>a1JDm000000k9beMAA</t>
  </si>
  <si>
    <t>a3zDm000000GmbR</t>
  </si>
  <si>
    <t>IOR-00146</t>
  </si>
  <si>
    <t>a1JDm000000k9bfMAA</t>
  </si>
  <si>
    <t>a3zDm000000GmbS</t>
  </si>
  <si>
    <t>IOR-00147</t>
  </si>
  <si>
    <t>Age</t>
  </si>
  <si>
    <t>a1JDm000000k9bgMAA</t>
  </si>
  <si>
    <t>a3zDm000000GmbT</t>
  </si>
  <si>
    <t>IOR-00148</t>
  </si>
  <si>
    <t>a1JDm000000k9bhMAA</t>
  </si>
  <si>
    <t>a3zDm000000GmbU</t>
  </si>
  <si>
    <t>IOR-00149</t>
  </si>
  <si>
    <t>Gender,Age</t>
  </si>
  <si>
    <t>a1JDm000000k9biMAA</t>
  </si>
  <si>
    <t>a3zDm000000GmbV</t>
  </si>
  <si>
    <t>IOR-00150</t>
  </si>
  <si>
    <t>a1JDm000000k9bjMAA</t>
  </si>
  <si>
    <t>a3zDm000000GmbW</t>
  </si>
  <si>
    <t>IOR-00151</t>
  </si>
  <si>
    <t>HIV I-12 Percentage of other vulnerable populations (specify) who are living with HIV</t>
  </si>
  <si>
    <t>a1JDm000000k9bkMAA</t>
  </si>
  <si>
    <t>a3zDm000000GmbX</t>
  </si>
  <si>
    <t>IOR-00152</t>
  </si>
  <si>
    <t>HIV I-15 Percentage of prisoners who are living with HIV</t>
  </si>
  <si>
    <t>a1JDm000000k9blMAA</t>
  </si>
  <si>
    <t>a3zDm000000GmbY</t>
  </si>
  <si>
    <t>IOR-00153</t>
  </si>
  <si>
    <t>HIV I-16 Prevalence of syphilis in specific key and vulnerable populations</t>
  </si>
  <si>
    <t>a1JDm000000k9bmMAA</t>
  </si>
  <si>
    <t>a3zDm000000GmbZ</t>
  </si>
  <si>
    <t>IOR-00157</t>
  </si>
  <si>
    <t>TB/HIV I-1 TB/HIV mortality rate per 100,000 population</t>
  </si>
  <si>
    <t>a1JDm000000k9bqMAA</t>
  </si>
  <si>
    <t>a3zDm000000Gmba</t>
  </si>
  <si>
    <t>IOR-00154</t>
  </si>
  <si>
    <t>a1JDm000000k9bnMAA</t>
  </si>
  <si>
    <t>a3zDm000000Gmcd</t>
  </si>
  <si>
    <t>IOR-00155</t>
  </si>
  <si>
    <t>a1JDm000000k9boMAA</t>
  </si>
  <si>
    <t>a3zDm000000Gmce</t>
  </si>
  <si>
    <t>IOR-00156</t>
  </si>
  <si>
    <t>a1JDm000000k9bpMAA</t>
  </si>
  <si>
    <t>a3zDm000000Gmcf</t>
  </si>
  <si>
    <t>a3zDm000000Gmcg</t>
  </si>
  <si>
    <t>Outcome Data - Component - Indicator Reference</t>
  </si>
  <si>
    <t>IOR-00170</t>
  </si>
  <si>
    <t>HIV O-10 Percentage of high risk AGYW (15-24) who say they used a condom the last time they had sex with a non-regular partner, of those who have had sex with such a partner in the last 12 months</t>
  </si>
  <si>
    <t>a1JDm000000k9c3MAA</t>
  </si>
  <si>
    <t>a3zDm000000Gmbb</t>
  </si>
  <si>
    <t>Outcome</t>
  </si>
  <si>
    <t>IOR-00171</t>
  </si>
  <si>
    <t>HIV O-4a Percentage of men reporting using a condom the last time they had anal sex with a male partner</t>
  </si>
  <si>
    <t>a1JDm000000k9c4MAA</t>
  </si>
  <si>
    <t>a3zDm000000Gmbc</t>
  </si>
  <si>
    <t>IOR-00172</t>
  </si>
  <si>
    <t>HIV O-4.1b Percentage of transgender people reporting using a condom during their most recent sexual intercourse or anal sex</t>
  </si>
  <si>
    <t>a1JDm000000k9c5MAA</t>
  </si>
  <si>
    <t>a3zDm000000Gmbd</t>
  </si>
  <si>
    <t>IOR-00173</t>
  </si>
  <si>
    <t>HIV O-5 Percentage of sex workers reporting using a condom with their most recent client</t>
  </si>
  <si>
    <t>a1JDm000000k9c6MAA</t>
  </si>
  <si>
    <t>a3zDm000000Gmbe</t>
  </si>
  <si>
    <t>IOR-00174</t>
  </si>
  <si>
    <t>HIV O-6 Percentage of people who inject drugs reporting using sterile injecting equipment the last time they injected</t>
  </si>
  <si>
    <t>a1JDm000000k9c7MAA</t>
  </si>
  <si>
    <t>a3zDm000000Gmbf</t>
  </si>
  <si>
    <t>IOR-00175</t>
  </si>
  <si>
    <t>HIV O-9 Percentage of people who inject drugs reporting using a condom the last time they had sexual intercourse</t>
  </si>
  <si>
    <t>a1JDm000000k9c8MAA</t>
  </si>
  <si>
    <t>a3zDm000000Gmbg</t>
  </si>
  <si>
    <t>IOR-00176</t>
  </si>
  <si>
    <t>HIV O-7 Percentage of other vulnerable populations who report the use of a condom at last sexual intercourse</t>
  </si>
  <si>
    <t>a1JDm000000k9c9MAA</t>
  </si>
  <si>
    <t>a3zDm000000Gmbh</t>
  </si>
  <si>
    <t>IOR-00177</t>
  </si>
  <si>
    <t>HIV O-11 Percentage of people living with HIV who know their HIV status at the end of the reporting period</t>
  </si>
  <si>
    <t>Gender | Age,Age</t>
  </si>
  <si>
    <t>a1JDm000000k9cAMAQ</t>
  </si>
  <si>
    <t>a3zDm000000Gmbi</t>
  </si>
  <si>
    <t>IOR-00178</t>
  </si>
  <si>
    <t>HIV O-21 Percentage of people living with HIV reported on ART at the end of the last reporting period and newly initiating ART during the current reporting period who were not on ART at the end of current reporting period</t>
  </si>
  <si>
    <t>a1JDm000000k9cBMAQ</t>
  </si>
  <si>
    <t>a3zDm000000Gmbj</t>
  </si>
  <si>
    <t>IOR-00179</t>
  </si>
  <si>
    <t>HIV O-12 Percentage of people living with HIV and on ART who are virologically suppressed</t>
  </si>
  <si>
    <t>a1JDm000000k9cCMAQ</t>
  </si>
  <si>
    <t>a3zDm000000Gmbk</t>
  </si>
  <si>
    <t>IOR-00180</t>
  </si>
  <si>
    <t>HIV O-13 Percentage of ever-married or partnered women aged 15-49 who experienced physical or sexual violence from a male intimate partner in the past 12 months</t>
  </si>
  <si>
    <t>a1JDm000000k9cDMAQ</t>
  </si>
  <si>
    <t>a3zDm000000Gmbl</t>
  </si>
  <si>
    <t>IOR-00181</t>
  </si>
  <si>
    <t>HIV O-17 Percentage of people living with HIV who have experienced rights abuses in the last 12 months and have sought redress</t>
  </si>
  <si>
    <t>Gender,Target / Risk population group</t>
  </si>
  <si>
    <t>a1JDm000000k9cEMAQ</t>
  </si>
  <si>
    <t>a3zDm000000Gmbm</t>
  </si>
  <si>
    <t>IOR-00182</t>
  </si>
  <si>
    <t>HIV O-14 Percentage of women and men aged 15-49 who report discriminatory attitudes towards people living with HIV</t>
  </si>
  <si>
    <t>a1JDm000000k9cFMAQ</t>
  </si>
  <si>
    <t>a3zDm000000Gmbn</t>
  </si>
  <si>
    <t>IOR-00183</t>
  </si>
  <si>
    <t>HIV O-15 Percentage of people living with HIV who report experiences of HIV-related discrimination in health-care settings</t>
  </si>
  <si>
    <t>a1JDm000000k9cGMAQ</t>
  </si>
  <si>
    <t>a3zDm000000Gmbo</t>
  </si>
  <si>
    <t>IOR-00184</t>
  </si>
  <si>
    <t>HIV O-16a Percentage of men who have sex with men who avoid health care because of stigma and discrimination</t>
  </si>
  <si>
    <t>a1JDm000000k9cHMAQ</t>
  </si>
  <si>
    <t>a3zDm000000Gmbp</t>
  </si>
  <si>
    <t>IOR-00185</t>
  </si>
  <si>
    <t>HIV O-16b Percentage of transgender people who avoid health care because of stigma and discrimination</t>
  </si>
  <si>
    <t>a1JDm000000k9cIMAQ</t>
  </si>
  <si>
    <t>a3zDm000000Gmbq</t>
  </si>
  <si>
    <t>IOR-00186</t>
  </si>
  <si>
    <t>HIV O-16c Percentage of sex workers who avoid health care because of stigma and discrimination</t>
  </si>
  <si>
    <t>a1JDm000000k9cJMAQ</t>
  </si>
  <si>
    <t>a3zDm000000Gmbr</t>
  </si>
  <si>
    <t>IOR-00187</t>
  </si>
  <si>
    <t>HIV O-16d Percentage of people who inject drugs who avoid health care because of stigma and discrimination</t>
  </si>
  <si>
    <t>a1JDm000000k9cKMAQ</t>
  </si>
  <si>
    <t>a3zDm000000Gmbs</t>
  </si>
  <si>
    <t>IOR-00188</t>
  </si>
  <si>
    <t>HIV O-22 Percentage of adolescents avoiding HIV and SRH services due to stigma and discrimination</t>
  </si>
  <si>
    <t>a1JDm000000k9cLMAQ</t>
  </si>
  <si>
    <t>a3zDm000000Gmbt</t>
  </si>
  <si>
    <t>IOR-00189</t>
  </si>
  <si>
    <t>HIV O-26 Percentage of people living with HIV who report having experienced stigma and discrimination in the general community in the last 12 months</t>
  </si>
  <si>
    <t>a1JDm000000k9cMMAQ</t>
  </si>
  <si>
    <t>a3zDm000000Gmbu</t>
  </si>
  <si>
    <t>IOR-00190</t>
  </si>
  <si>
    <t>HIV O-27 Percentage of people living with HIV who report internalized stigma</t>
  </si>
  <si>
    <t>a1JDm000000k9cNMAQ</t>
  </si>
  <si>
    <t>a3zDm000000Gmbv</t>
  </si>
  <si>
    <t>IOR-00191</t>
  </si>
  <si>
    <t>HIV O-28a Percentage of MSM who report having experienced stigma and discrimination in the last 6 months</t>
  </si>
  <si>
    <t>a1JDm000000k9cOMAQ</t>
  </si>
  <si>
    <t>a3zDm000000Gmbw</t>
  </si>
  <si>
    <t>IOR-00192</t>
  </si>
  <si>
    <t>HIV O-28b Percentage of transgender people who report having experienced stigma and discrimination in the last 6 months</t>
  </si>
  <si>
    <t>a1JDm000000k9cPMAQ</t>
  </si>
  <si>
    <t>a3zDm000000Gmbx</t>
  </si>
  <si>
    <t>IOR-00193</t>
  </si>
  <si>
    <t>HIV O-28c Percentage of sex workers who report having experienced stigma and discrimination in the last 6 months</t>
  </si>
  <si>
    <t>a1JDm000000k9cQMAQ</t>
  </si>
  <si>
    <t>a3zDm000000Gmby</t>
  </si>
  <si>
    <t>IOR-00194</t>
  </si>
  <si>
    <t>HIV O-28d Percentage of people who inject drugs who report having experienced stigma and discrimination in the last 6 months</t>
  </si>
  <si>
    <t>a1JDm000000k9cRMAQ</t>
  </si>
  <si>
    <t>a3zDm000000Gmbz</t>
  </si>
  <si>
    <t>IOR-00195</t>
  </si>
  <si>
    <t>HIV O-23 Percentage of health workers who report negative attitudes towards key populations</t>
  </si>
  <si>
    <t>a1JDm000000k9cSMAQ</t>
  </si>
  <si>
    <t>a3zDm000000Gmc0</t>
  </si>
  <si>
    <t>IOR-00223</t>
  </si>
  <si>
    <t>HIV O-29 Percentage of HIV-positive results among the total HIV tests</t>
  </si>
  <si>
    <t>a1JDm000000kwYXMAY</t>
  </si>
  <si>
    <t>a3z3p000002zSUf</t>
  </si>
  <si>
    <t>IOR-00196</t>
  </si>
  <si>
    <t>HIV O-24 Percentage of health workers who report negative attitudes towards people living with HIV</t>
  </si>
  <si>
    <t>a1JDm000000k9cTMAQ</t>
  </si>
  <si>
    <t>a3zDm000000Gmc1</t>
  </si>
  <si>
    <t>IOR-00197</t>
  </si>
  <si>
    <t>HIV O-25 Percentage of law enforcement officers who report negative attitudes towards key populations</t>
  </si>
  <si>
    <t>a1JDm000000k9cUMAQ</t>
  </si>
  <si>
    <t>a3zDm000000Gmc2</t>
  </si>
  <si>
    <t>IOR-00217</t>
  </si>
  <si>
    <t>RSSH/PP O-1 Systems readiness index for CHWs</t>
  </si>
  <si>
    <t>a1JDm000000k9coMAA</t>
  </si>
  <si>
    <t>a3zDm000000Gmc3</t>
  </si>
  <si>
    <t>IOR-00218</t>
  </si>
  <si>
    <t>RSSH/PP O-2 Digital HMIS maturity profile score</t>
  </si>
  <si>
    <t>a1JDm000000k9cpMAA</t>
  </si>
  <si>
    <t>a3zDm000000Gmc4</t>
  </si>
  <si>
    <t>IOR-00219</t>
  </si>
  <si>
    <t>RSSH O-1 Percentage of facilities providing HIV, TB and malaria integrated services to pregnant women</t>
  </si>
  <si>
    <t>Facility level</t>
  </si>
  <si>
    <t>a1JDm000000k9cqMAA</t>
  </si>
  <si>
    <t>a3zDm000000Gmc5</t>
  </si>
  <si>
    <t>IOR-00220</t>
  </si>
  <si>
    <t>RSSH O-2 Percentage of population with large household expenditure on health as a share of total household expenditure or income (catastrophic spending on health)</t>
  </si>
  <si>
    <t>Household expenditure</t>
  </si>
  <si>
    <t>a1JDm000000k9crMAA</t>
  </si>
  <si>
    <t>a3zDm000000Gmc6</t>
  </si>
  <si>
    <t>IOR-00221</t>
  </si>
  <si>
    <t>RSSH O-3 On-shelf availability: Percentage of facilities with tracer health products for the three diseases - HIV, TB, malaria (as applicable) available on the day of the visit or day of reporting</t>
  </si>
  <si>
    <t>Provider type</t>
  </si>
  <si>
    <t>a1JDm000000k9csMAA</t>
  </si>
  <si>
    <t>a3zDm000000Gmc7</t>
  </si>
  <si>
    <t>IOR-00222</t>
  </si>
  <si>
    <t>RSSH O-4 Maturity level of the national medical products regulatory system</t>
  </si>
  <si>
    <t>Regulatory functions</t>
  </si>
  <si>
    <t>a1JDm000000k9ctMAA</t>
  </si>
  <si>
    <t>a3zDm000000Gmc8</t>
  </si>
  <si>
    <t>a3zDm000000Gmcu</t>
  </si>
  <si>
    <t>a3zDm000000Gmcv</t>
  </si>
  <si>
    <t>a3zDm000000Gmcw</t>
  </si>
  <si>
    <t>a3zDm000000Gmcx</t>
  </si>
  <si>
    <t>a3zDm000000Gmcy</t>
  </si>
  <si>
    <t>a3zDm000000Gmcz</t>
  </si>
  <si>
    <t>IOR-00198</t>
  </si>
  <si>
    <t>TB O-5 TB treatment coverage: Percentage of patients with new and relapse TB that were notified and treated among the estimated number of incident TB in the same year (all forms of TB - bacteriologically confirmed plus clinically diagnosed</t>
  </si>
  <si>
    <t>a1JDm000000k9cVMAQ</t>
  </si>
  <si>
    <t>a3zDm000000Gmch</t>
  </si>
  <si>
    <t>IOR-00199</t>
  </si>
  <si>
    <t>TB O-2a Treatment success rate of all forms of TB - bacteriologically confirmed plus clinically diagnosed, new and relapse</t>
  </si>
  <si>
    <t>a1JDm000000k9cWMAQ</t>
  </si>
  <si>
    <t>a3zDm000000Gmci</t>
  </si>
  <si>
    <t>IOR-00200</t>
  </si>
  <si>
    <t>TB O-6 Treatment coverage of RR-TB and/or MDR-TB: Percentage of notified people with bacteriologically confirmed, drug resistant RR-TB and/or MDR-TB as a proportion of all estimated people with RR-TB and/or MDR-TB</t>
  </si>
  <si>
    <t>a1JDm000000k9cXMAQ</t>
  </si>
  <si>
    <t>a3zDm000000Gmcj</t>
  </si>
  <si>
    <t>IOR-00201</t>
  </si>
  <si>
    <t>TB O-4 Treatment success rate of RR-TB and/or MDR-TB: Percentage of patients with RR and/or MDR-TB successfully treated</t>
  </si>
  <si>
    <t>a1JDm000000k9cYMAQ</t>
  </si>
  <si>
    <t>a3zDm000000Gmck</t>
  </si>
  <si>
    <t>IOR-00202</t>
  </si>
  <si>
    <t>TB O-7 Percentage of people diagnosed with TB who experienced self-stigma that inhibited them from seeking and accessing TB services</t>
  </si>
  <si>
    <t>a1JDm000000k9cZMAQ</t>
  </si>
  <si>
    <t>a3zDm000000Gmcl</t>
  </si>
  <si>
    <t>IOR-00203</t>
  </si>
  <si>
    <t>TB O-8 Percentage of people diagnosed with TB who report stigma in health care settings that inhibited them from seeking and accessing TB services</t>
  </si>
  <si>
    <t>a1JDm000000k9caMAA</t>
  </si>
  <si>
    <t>a3zDm000000Gmcm</t>
  </si>
  <si>
    <t>IOR-00204</t>
  </si>
  <si>
    <t>TB O-9 Percentage of people diagnosed with TB who report stigma in community settings that inhibited them from seeking and accessing TB services</t>
  </si>
  <si>
    <t>a1JDm000000k9cbMAA</t>
  </si>
  <si>
    <t>a3zDm000000Gmcn</t>
  </si>
  <si>
    <t>a3zDm000000Gmco</t>
  </si>
  <si>
    <t>a3zDm000000Gmcp</t>
  </si>
  <si>
    <t>a3zDm000000Gmcq</t>
  </si>
  <si>
    <t>a3zDm000000Gmcr</t>
  </si>
  <si>
    <t>a3zDm000000Gmcs</t>
  </si>
  <si>
    <t>a3zDm000000Gmct</t>
  </si>
  <si>
    <t>Coverage Data - Module-Coverage-Intervention Reference</t>
  </si>
  <si>
    <t>Module</t>
  </si>
  <si>
    <t>Name ID</t>
  </si>
  <si>
    <t>Column1</t>
  </si>
  <si>
    <t>Column2</t>
  </si>
  <si>
    <t>Column3</t>
  </si>
  <si>
    <t>Soft Delete</t>
  </si>
  <si>
    <t>Cumulation Type</t>
  </si>
  <si>
    <t>Reversed Indicator</t>
  </si>
  <si>
    <t>[Module (Name)]</t>
  </si>
  <si>
    <t>[Name ID]</t>
  </si>
  <si>
    <t>[Soft Delete]</t>
  </si>
  <si>
    <t>[Cumulation Type]</t>
  </si>
  <si>
    <t>[Reversed Indicator]</t>
  </si>
  <si>
    <t>MCI-01623</t>
  </si>
  <si>
    <t>KP-1a Percentage of men who have sex with men reached with HIV prevention programs - defined package of services</t>
  </si>
  <si>
    <t>a1ODm000000GnzaMAC</t>
  </si>
  <si>
    <t>true</t>
  </si>
  <si>
    <t>Non cumulative;Non cumulative – other;Non cumulative - special</t>
  </si>
  <si>
    <t>MCI-01624</t>
  </si>
  <si>
    <t>KP-6a Number of MSM who received any PrEP product at least once during the reporting period</t>
  </si>
  <si>
    <t>PrEP product,Age</t>
  </si>
  <si>
    <t>a1ODm000000GnzbMAC</t>
  </si>
  <si>
    <t>MCI-01625</t>
  </si>
  <si>
    <t>KP-7a Percentage of MSM tested for STIs during the reporting period</t>
  </si>
  <si>
    <t>STI,Age</t>
  </si>
  <si>
    <t>a1ODm000000GnzcMAC</t>
  </si>
  <si>
    <t>MCI-01521</t>
  </si>
  <si>
    <t>KP-1c Percentage of sex workers reached with HIV prevention programs - defined package of services</t>
  </si>
  <si>
    <t>Age,Gender</t>
  </si>
  <si>
    <t>a1ODm000000GnxwMAC</t>
  </si>
  <si>
    <t>MCI-01522</t>
  </si>
  <si>
    <t>KP-6c Number of sex workers who received any PrEP product at least once during the reporting period</t>
  </si>
  <si>
    <t>Gender,PrEP product,Age</t>
  </si>
  <si>
    <t>a1ODm000000GnxxMAC</t>
  </si>
  <si>
    <t>MCI-01523</t>
  </si>
  <si>
    <t>KP-7c Percentage of sex workers tested for STIs during the reporting period</t>
  </si>
  <si>
    <t>STI,Gender,Age</t>
  </si>
  <si>
    <t>a1ODm000000GnxyMAC</t>
  </si>
  <si>
    <t>MCI-01609</t>
  </si>
  <si>
    <t>KP-1b Percentage of transgender people reached with HIV prevention programs - defined package of services</t>
  </si>
  <si>
    <t>a1ODm000000GnzMMAS</t>
  </si>
  <si>
    <t>MCI-01610</t>
  </si>
  <si>
    <t>KP-6b Number of transgender people who received any PrEP product at least once during the reporting period</t>
  </si>
  <si>
    <t>Gender,Age,PrEP product</t>
  </si>
  <si>
    <t>a1ODm000000GnzNMAS</t>
  </si>
  <si>
    <t>MCI-01611</t>
  </si>
  <si>
    <t>KP-7b Percentage of transgender people tested for STIs during the reporting period</t>
  </si>
  <si>
    <t>Age,Gender,STI</t>
  </si>
  <si>
    <t>a1ODm000000GnzOMAS</t>
  </si>
  <si>
    <t>MCI-01524</t>
  </si>
  <si>
    <t>KP-1d Percentage of people who inject drugs reached with HIV prevention programs - defined package of services</t>
  </si>
  <si>
    <t>a1ODm000000GnxzMAC</t>
  </si>
  <si>
    <t>MCI-01525</t>
  </si>
  <si>
    <t>KP-4 Number of needles and syringes distributed per person who injects drugs per year by needle and syringe programs</t>
  </si>
  <si>
    <t>a1ODm000000Gny0MAC</t>
  </si>
  <si>
    <t>MCI-01526</t>
  </si>
  <si>
    <t>KP-5 Percentage of individuals receiving opioid substitution therapy who received treatment for at least 6 months</t>
  </si>
  <si>
    <t>a1ODm000000Gny1MAC</t>
  </si>
  <si>
    <t>MCI-01527</t>
  </si>
  <si>
    <t>KP-6d Number of PWID who received any PrEP product at least once during the reporting period</t>
  </si>
  <si>
    <t>PrEP product,Gender,Age</t>
  </si>
  <si>
    <t>a1ODm000000Gny2MAC</t>
  </si>
  <si>
    <t>MCI-01528</t>
  </si>
  <si>
    <t>KP-8 Percentage of people who inject drugs receiving opioid substitution therapy</t>
  </si>
  <si>
    <t>a1ODm000000Gny3MAC</t>
  </si>
  <si>
    <t>MCI-01612</t>
  </si>
  <si>
    <t>KP-1f Number of people in prisons and other closed settings reached with HIV prevention programs - defined package of services</t>
  </si>
  <si>
    <t>a1ODm000000GnzPMAS</t>
  </si>
  <si>
    <t>MCI-01301</t>
  </si>
  <si>
    <t>MCI-01529</t>
  </si>
  <si>
    <t>KP-1e Percentage of other vulnerable populations reached with HIV prevention programs - defined package of services</t>
  </si>
  <si>
    <t>a1ODm000000Gny4MAC</t>
  </si>
  <si>
    <t>MCI-01302</t>
  </si>
  <si>
    <t>MCI-01639</t>
  </si>
  <si>
    <t>YP-2 Percentage of high-risk adolescent girls and young women reached with HIV prevention programs - defined package of services</t>
  </si>
  <si>
    <t>a1ODm000000GnzqMAC</t>
  </si>
  <si>
    <t>MCI-01640</t>
  </si>
  <si>
    <t>YP-4 Number of high-risk adolescent girls and young women who received any PrEP product at least once during the reporting period</t>
  </si>
  <si>
    <t>a1ODm000000GnzrMAC</t>
  </si>
  <si>
    <t>MCI-01641</t>
  </si>
  <si>
    <t>YP-5 Percentage of high-risk adolescent girls and young women tested for STIs during the reporting period</t>
  </si>
  <si>
    <t>a1ODm000000GnzsMAC</t>
  </si>
  <si>
    <t>MCI-01642</t>
  </si>
  <si>
    <t>YP-6 Number of medical male circumcisions performed according to national standards</t>
  </si>
  <si>
    <t>a1ODm000000GnztMAC</t>
  </si>
  <si>
    <t>MCI-01530</t>
  </si>
  <si>
    <t>VT-1 Percentage of pregnant women who know their HIV status</t>
  </si>
  <si>
    <t>HIV status</t>
  </si>
  <si>
    <t>a1ODm000000Gny5MAC</t>
  </si>
  <si>
    <t>MCI-01531</t>
  </si>
  <si>
    <t>VT-2 Percentage of HIV-exposed infants receiving a virological test for HIV within 2 months of birth</t>
  </si>
  <si>
    <t>a1ODm000000Gny6MAC</t>
  </si>
  <si>
    <t>MCI-01532</t>
  </si>
  <si>
    <t>VT-3 Percentage of women accessing antenatal care services who were tested for syphilis</t>
  </si>
  <si>
    <t>a1ODm000000Gny7MAC</t>
  </si>
  <si>
    <t>MCI-01613</t>
  </si>
  <si>
    <t>HTS-2 Percentage of high risk AGYW that have received an HIV test during the reporting period in AGYW programs</t>
  </si>
  <si>
    <t>a1ODm000000GnzQMAS</t>
  </si>
  <si>
    <t>MCI-01614</t>
  </si>
  <si>
    <t>HTS-3a Percentage of MSM that have received an HIV test during the reporting period in KP-specific programs and know their results</t>
  </si>
  <si>
    <t>a1ODm000000GnzRMAS</t>
  </si>
  <si>
    <t>MCI-01615</t>
  </si>
  <si>
    <t>HTS-3b Percentage of TG that have received an HIV test during the reporting period in KP-specific programs and know their results</t>
  </si>
  <si>
    <t>a1ODm000000GnzSMAS</t>
  </si>
  <si>
    <t>MCI-01616</t>
  </si>
  <si>
    <t>HTS-3c Percentage of sex workers that have received an HIV test during the reporting period in KP-specific programs and know their results</t>
  </si>
  <si>
    <t>a1ODm000000GnzTMAS</t>
  </si>
  <si>
    <t>MCI-01617</t>
  </si>
  <si>
    <t>HTS-3d Percentage of people who inject drugs that have received an HIV test during the reporting period in KP-specific programs and know their results</t>
  </si>
  <si>
    <t>a1ODm000000GnzUMAS</t>
  </si>
  <si>
    <t>MCI-01618</t>
  </si>
  <si>
    <t>HTS-3e Percentage of other vulnerable populations that have received an HIV test during the reporting period and know their results</t>
  </si>
  <si>
    <t>a1ODm000000GnzVMAS</t>
  </si>
  <si>
    <t>MCI-01619</t>
  </si>
  <si>
    <t>HTS-3f Number of people in prisons and other closed settings that have received an HIV test during the reporting period and know their results</t>
  </si>
  <si>
    <t>Gender</t>
  </si>
  <si>
    <t>a1ODm000000GnzWMAS</t>
  </si>
  <si>
    <t>MCI-01621</t>
  </si>
  <si>
    <t>HTS-5 Percentage of people newly diagnosed with HIV initiated on ART</t>
  </si>
  <si>
    <t>a1ODm000000GnzYMAS</t>
  </si>
  <si>
    <t>MCI-01622</t>
  </si>
  <si>
    <t>HTS-6 Number of individual HIV self-test kits distributed</t>
  </si>
  <si>
    <t>a1ODm000000GnzZMAS</t>
  </si>
  <si>
    <t>MCI-01533</t>
  </si>
  <si>
    <t>TCS-1.1 Percentage of people on ART among all people living with HIV at the end of the reporting period</t>
  </si>
  <si>
    <t>a1ODm000000Gny8MAC</t>
  </si>
  <si>
    <t>MCI-01534</t>
  </si>
  <si>
    <t>TCS-1b Percentage of adults (15 and above) on ART among all adults living with HIV at the end of the reporting period</t>
  </si>
  <si>
    <t>a1ODm000000Gny9MAC</t>
  </si>
  <si>
    <t>MCI-01535</t>
  </si>
  <si>
    <t>TCS-1c Percentage of children (under 15) on ART among all children living with HIV at the end of the reporting period</t>
  </si>
  <si>
    <t>a1ODm000000GnyAMAS</t>
  </si>
  <si>
    <t>MCI-01536</t>
  </si>
  <si>
    <t>TCS-8 Percentage of people living with HIV and on ART with viral load test result</t>
  </si>
  <si>
    <t>a1ODm000000GnyBMAS</t>
  </si>
  <si>
    <t>MCI-01537</t>
  </si>
  <si>
    <t>TCS-9 Percentage of people living with HIV and currently on antiretroviral therapy who are receiving multi month dispensing of antiretroviral medicine</t>
  </si>
  <si>
    <t>a1ODm000000GnyCMAS</t>
  </si>
  <si>
    <t>MCI-01538</t>
  </si>
  <si>
    <t>TCS-10 Percentage of pregnant women living with HIV who received antiretroviral medicine to reduce the risk of vertical transmission of HIV</t>
  </si>
  <si>
    <t>a1ODm000000GnyDMAS</t>
  </si>
  <si>
    <t>MCI-01539</t>
  </si>
  <si>
    <t>TBDT-1 Number of patients with of all forms of TB notified (i.e., bacteriologically confirmed + clinically diagnosed); *includes only those with new and relapse TB</t>
  </si>
  <si>
    <t>HIV status,Gender,TB case definition,Age</t>
  </si>
  <si>
    <t>a1ODm000000GnyEMAS</t>
  </si>
  <si>
    <t>MCI-01540</t>
  </si>
  <si>
    <t>TBDT-3a Percentage of notified patients with all forms of TB (i.e., bacteriologically confirmed + clinically diagnosed) contributed by non-national TB program providers- private/non-governmental facilities; *includes only those with new and relapse TB</t>
  </si>
  <si>
    <t>Private facility type,TB case definition</t>
  </si>
  <si>
    <t>a1ODm000000GnyFMAS</t>
  </si>
  <si>
    <t>MCI-01541</t>
  </si>
  <si>
    <t>TBDT-3b Percentage of notified patients with of all forms of TB (i.e., bacteriologically confirmed + clinically diagnosed) contributed by non-national TB program providers- public sector; *includes only those with new and relapse TB</t>
  </si>
  <si>
    <t>a1ODm000000GnyGMAS</t>
  </si>
  <si>
    <t>MCI-01542</t>
  </si>
  <si>
    <t>TBDT-3c Percentage of notified patients with all forms of TB (i.e., bacteriologically confirmed + clinically diagnosed) contributed by non-national TB program providers- community referrals; *includes only those with new and relapse TB</t>
  </si>
  <si>
    <t>a1ODm000000GnyHMAS</t>
  </si>
  <si>
    <t>MCI-01543</t>
  </si>
  <si>
    <t>TBDT-4 Percentage of new and relapse TB patients tested using WHO recommended rapid diagnostic tests at the time of diagnosis</t>
  </si>
  <si>
    <t>a1ODm000000GnyIMAS</t>
  </si>
  <si>
    <t>MCI-01544</t>
  </si>
  <si>
    <t>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t>
  </si>
  <si>
    <t>HIV status,Gender,Age</t>
  </si>
  <si>
    <t>a1ODm000000GnyJMAS</t>
  </si>
  <si>
    <t>MCI-01550</t>
  </si>
  <si>
    <t>DRTB-2 Number of people with confirmed RR-TB and/or MDR-TB notified</t>
  </si>
  <si>
    <t>a1ODm000000GnyPMAS</t>
  </si>
  <si>
    <t>MCI-01551</t>
  </si>
  <si>
    <t>DRTB-3 Percentage of people with confirmed RR-TB and/or MDR-TB that began second-line treatment</t>
  </si>
  <si>
    <t>Treatment regimen,Gender,Age</t>
  </si>
  <si>
    <t>a1ODm000000GnyQMAS</t>
  </si>
  <si>
    <t>MCI-01552</t>
  </si>
  <si>
    <t>DRTB-4 Percentage of people with RR-TB/MDR-TB who did not start treatment and/or started on treatment for MDR-TB who were lost to follow up during the first six months of treatment</t>
  </si>
  <si>
    <t>a1ODm000000GnyRMAS</t>
  </si>
  <si>
    <t>MCI-01553</t>
  </si>
  <si>
    <t>DRTB-6 Percentage of TB patients with DST result for at least Rifampicin among the total number of notified (new and retreatment) patients during the reporting period</t>
  </si>
  <si>
    <t>a1ODm000000GnySMAS</t>
  </si>
  <si>
    <t>MCI-01554</t>
  </si>
  <si>
    <t>DRTB-5 Percentage of TB patients with DST result for Isoniazid among the total number of notified people with TB (new and retreatment) during the reporting period</t>
  </si>
  <si>
    <t>a1ODm000000GnyTMAS</t>
  </si>
  <si>
    <t>MCI-01555</t>
  </si>
  <si>
    <t>DRTB-7 Percentage of RR/MDR-TB patients with DST results for Fluoroquinolone among the total number of notified RR/MDR-TB patients during the reporting period</t>
  </si>
  <si>
    <t>a1ODm000000GnyUMAS</t>
  </si>
  <si>
    <t>MCI-01556</t>
  </si>
  <si>
    <t>DRTB-11 Percentage of pre-XDR TB patients with DST results for Group A drugs, other than fluoroquinolones, among the total number of notified Pre-XDR TB patients (new and retreatment) during the reporting period</t>
  </si>
  <si>
    <t>a1ODm000000GnyVMAS</t>
  </si>
  <si>
    <t>MCI-01557</t>
  </si>
  <si>
    <t>DRTB-8 Number of people with pre-XDR/XDR TB enrolled on treatment</t>
  </si>
  <si>
    <t>a1ODm000000GnyWMAS</t>
  </si>
  <si>
    <t>MCI-01558</t>
  </si>
  <si>
    <t>DRTB-1 Percentage of DST laboratories showing adequate performance on External Quality Assurance</t>
  </si>
  <si>
    <t>a1ODm000000GnyXMAS</t>
  </si>
  <si>
    <t>Non cumulative – other;Non cumulative - special</t>
  </si>
  <si>
    <t>MCI-01559</t>
  </si>
  <si>
    <t>DRTB-9 Treatment success rate of RR-TB and/or MDR-TB: Percentage of patients with RR and/or MDR-TB successfully treated</t>
  </si>
  <si>
    <t>HIV status,Treatment regimen,Gender,Provider type,Age</t>
  </si>
  <si>
    <t>a1ODm000000GnyYMAS</t>
  </si>
  <si>
    <t>MCI-01560</t>
  </si>
  <si>
    <t>DRTB-10 Treatment Success Rate (TSR) for pre-XDR/XDR-TB: Percentage of bacteriologically confirmed pre-XDR/XDR-TB patients enrolled on treatment successfully treated</t>
  </si>
  <si>
    <t>a1ODm000000GnyZMAS</t>
  </si>
  <si>
    <t>MCI-01636</t>
  </si>
  <si>
    <t>TBP-1 Number of people in contact with TB patients who began preventive therapy</t>
  </si>
  <si>
    <t>HIV status,Provider type,Age,TPT regimen</t>
  </si>
  <si>
    <t>a1ODm000000GnznMAC</t>
  </si>
  <si>
    <t>MCI-01637</t>
  </si>
  <si>
    <t>TBP-2 Percentage of people who completed TPT out of those who initiated TB preventive treatment</t>
  </si>
  <si>
    <t>a1ODm000000GnzoMAC</t>
  </si>
  <si>
    <t>MCI-01638</t>
  </si>
  <si>
    <t>TBP-3 Contact investigation coverage: Proportion of contacts of people with bacteriologically confirmed TB evaluated for TB among those eligible</t>
  </si>
  <si>
    <t>a1ODm000000GnzpMAC</t>
  </si>
  <si>
    <t>MCI-01311</t>
  </si>
  <si>
    <t>MCI-01633</t>
  </si>
  <si>
    <t>TBC-1 Treatment Success Rate in private sector: Percentage of TB patients (all forms) bacteriologically confirmed plus clinically diagnosed, successfully treated in the private sector</t>
  </si>
  <si>
    <t>a1ODm000000GnzkMAC</t>
  </si>
  <si>
    <t>MCI-01634</t>
  </si>
  <si>
    <t>KVP-1 Number of people with TB (all forms) notified among prisoners; *includes only those with new and relapse TB</t>
  </si>
  <si>
    <t>a1ODm000000GnzlMAC</t>
  </si>
  <si>
    <t>MCI-01635</t>
  </si>
  <si>
    <t>KVP-2 Number of people with TB (all forms) notified among key affected populations/high risk groups (other than prisoners); *includes only those with new and relapse</t>
  </si>
  <si>
    <t>a1ODm000000GnzmMAC</t>
  </si>
  <si>
    <t>MCI-01545</t>
  </si>
  <si>
    <t>TB/HIV-3.1a Percentage of people living with HIV newly initiated on ART who were screened for TB</t>
  </si>
  <si>
    <t>a1ODm000000GnyKMAS</t>
  </si>
  <si>
    <t>MCI-01546</t>
  </si>
  <si>
    <t>TB/HIV-5 Percentage of registered new and relapse TB patients with documented HIV status</t>
  </si>
  <si>
    <t>Gender,HIV status,Age</t>
  </si>
  <si>
    <t>a1ODm000000GnyLMAS</t>
  </si>
  <si>
    <t>MCI-01547</t>
  </si>
  <si>
    <t>TB/HIV-6 Percentage of HIV-positive new and relapse TB patients on ART during TB treatment</t>
  </si>
  <si>
    <t>a1ODm000000GnyMMAS</t>
  </si>
  <si>
    <t>MCI-01548</t>
  </si>
  <si>
    <t>TB/HIV-7.1 Percentage of people living with HIV currently enrolled on antiretroviral therapy who started TB preventive treatment (TPT) during the reporting period</t>
  </si>
  <si>
    <t>Gender,TPT regimen,Age</t>
  </si>
  <si>
    <t>a1ODm000000GnyNMAS</t>
  </si>
  <si>
    <t>MCI-01549</t>
  </si>
  <si>
    <t>TB/HIV-8 Treatment Success Rate for HIV-positive TB patients: Percentage of HIV-positive TB patients, all forms, bacteriologically confirmed plus clinically diagnosed, successfully treated among all HIV-positive TB patients notified during a specified period; *includes only those with new and relapse TB</t>
  </si>
  <si>
    <t>a1ODm000000GnyOMAS</t>
  </si>
  <si>
    <t>MCI-01320</t>
  </si>
  <si>
    <t>MCI-01626</t>
  </si>
  <si>
    <t>HSG-1.1 Percentage of facilities with written and updated clinical guidelines for HIV, TB, malaria and/or PHC (based on the services provided) developed by the national or sub-national government (as appropriate by the country context)</t>
  </si>
  <si>
    <t>a1ODm000000GnzdMAC</t>
  </si>
  <si>
    <t>MCI-01321</t>
  </si>
  <si>
    <t>MCI-01598</t>
  </si>
  <si>
    <t>CSS-2 Number of community organizations that received a pre-defined package of training</t>
  </si>
  <si>
    <t>Organization type,Community-led organization type</t>
  </si>
  <si>
    <t>a1ODm000000GnzBMAS</t>
  </si>
  <si>
    <t>MCI-01599</t>
  </si>
  <si>
    <t>CSS-3 Percentage of health service delivery sites with a community-led monitoring mechanism in place</t>
  </si>
  <si>
    <t>CLM mechanism type</t>
  </si>
  <si>
    <t>a1ODm000000GnzCMAS</t>
  </si>
  <si>
    <t>MCI-01322</t>
  </si>
  <si>
    <t>MCI-01592</t>
  </si>
  <si>
    <t>HFS-1 Percentage of public financial management system components used for grant financial management</t>
  </si>
  <si>
    <t>a1ODm000000Gnz5MAC</t>
  </si>
  <si>
    <t>MCI-01593</t>
  </si>
  <si>
    <t>HFS-2 Percentage of the government budget allocated to health</t>
  </si>
  <si>
    <t>Source of financing,Level of government</t>
  </si>
  <si>
    <t>a1ODm000000Gnz6MAC</t>
  </si>
  <si>
    <t>MCI-01594</t>
  </si>
  <si>
    <t>HFS-3 Percentage execution of the government budget allocated to health</t>
  </si>
  <si>
    <t>a1ODm000000Gnz7MAC</t>
  </si>
  <si>
    <t>MCI-01595</t>
  </si>
  <si>
    <t>HFS-4 Percentage of population covered by financial risk protection schemes</t>
  </si>
  <si>
    <t>Scheme type,Target / Risk population group</t>
  </si>
  <si>
    <t>a1ODm000000Gnz8MAC</t>
  </si>
  <si>
    <t>MCI-01596</t>
  </si>
  <si>
    <t>HFS-5 Percentage of civil society organizations contracted by public entities for provision of community-based services to key populations</t>
  </si>
  <si>
    <t>Source of financing,Disease/program,Target / Risk population group</t>
  </si>
  <si>
    <t>a1ODm000000Gnz9MAC</t>
  </si>
  <si>
    <t>MCI-01597</t>
  </si>
  <si>
    <t>HFS-6 Percentage of healthcare facilities having performance-based contracts with public entities</t>
  </si>
  <si>
    <t>Level of care,Provider type</t>
  </si>
  <si>
    <t>a1ODm000000GnzAMAS</t>
  </si>
  <si>
    <t>MCI-01589</t>
  </si>
  <si>
    <t>HPM-1 LMIS Reporting Rate - Percentage of all health facilities that are required to report that submit an LMIS report to central authority</t>
  </si>
  <si>
    <t>a1ODm000000Gnz2MAC</t>
  </si>
  <si>
    <t>MCI-01590</t>
  </si>
  <si>
    <t>HPM-2 Upstream OTIF (non-PPM*): Percentage of shipments for products that account for 75% of the non-PPM annual health products budget that are delivered to the warehouse on-time and in-full among the total number of shipments expected in the period</t>
  </si>
  <si>
    <t>a1ODm000000Gnz3MAC</t>
  </si>
  <si>
    <t>MCI-01591</t>
  </si>
  <si>
    <t>HPM-3 Procurement administrative lead time (PALT): Percentage of planned procurements for products that account for 75% of the non-PPM annual health products budget with time intervals within the limits of PR procurement rules and regulations</t>
  </si>
  <si>
    <t>a1ODm000000Gnz4MAC</t>
  </si>
  <si>
    <t>MCI-01324</t>
  </si>
  <si>
    <t>MCI-01582</t>
  </si>
  <si>
    <t>RSSH/PP HRH-1 Vacancy rate: Ratio of unfilled posts to total number of posts</t>
  </si>
  <si>
    <t>Occupation group</t>
  </si>
  <si>
    <t>a1ODm000000GnyvMAC</t>
  </si>
  <si>
    <t>MCI-01583</t>
  </si>
  <si>
    <t>RSSH/PP HRH-2 Density of active health workers per 10,000 population</t>
  </si>
  <si>
    <t>a1ODm000000GnywMAC</t>
  </si>
  <si>
    <t>MCI-01584</t>
  </si>
  <si>
    <t>RSSH/PP HRH-3 Percentage of community health workers remunerated on time and in-full (as per their contract) every month during the reporting period</t>
  </si>
  <si>
    <t>CHW attachment,Gender</t>
  </si>
  <si>
    <t>a1ODm000000GnyxMAC</t>
  </si>
  <si>
    <t>MCI-01585</t>
  </si>
  <si>
    <t>RSSH/PP HRH-4 Percentage of community health workers providing high quality HIV, TB and malaria services</t>
  </si>
  <si>
    <t>a1ODm000000GnyyMAC</t>
  </si>
  <si>
    <t>MCI-01586</t>
  </si>
  <si>
    <t>RSSH/PP HRH-5 Percentage of facilities that implement supportive supervision (meeting all key attributes)</t>
  </si>
  <si>
    <t>a1ODm000000GnyzMAC</t>
  </si>
  <si>
    <t>MCI-01587</t>
  </si>
  <si>
    <t>RSSH/PP HRH-6 Percentage of facilities providing effective services</t>
  </si>
  <si>
    <t>a1ODm000000Gnz0MAC</t>
  </si>
  <si>
    <t>MCI-01588</t>
  </si>
  <si>
    <t>RSSH/PP HRH-7 Percentage of facilities providing patient-centered quality of care</t>
  </si>
  <si>
    <t>a1ODm000000Gnz1MAC</t>
  </si>
  <si>
    <t>MCI-01325</t>
  </si>
  <si>
    <t>MCI-01627</t>
  </si>
  <si>
    <t>RSSH/PP LAB-1 Percentage of laboratories accredited according to ISO15189 standard or achieving at least four stars towards accreditation or two-star incremental improvement</t>
  </si>
  <si>
    <t>Accreditation status</t>
  </si>
  <si>
    <t>a1ODm000000GnzeMAC</t>
  </si>
  <si>
    <t>MCI-01628</t>
  </si>
  <si>
    <t>RSSH/PP LAB-2 Percentage of molecular diagnostic analyzers achieving at least 85% functionality (ability to test samples) during the reporting period</t>
  </si>
  <si>
    <t>a1ODm000000GnzfMAC</t>
  </si>
  <si>
    <t>MCI-01629</t>
  </si>
  <si>
    <t>RSSH/PP LAB-3 Percentage of laboratories successfully participating in external quality assurance (EQA) or proficiency testing (PT) schemes</t>
  </si>
  <si>
    <t>Disease/program</t>
  </si>
  <si>
    <t>a1ODm000000GnzgMAC</t>
  </si>
  <si>
    <t>MCI-01630</t>
  </si>
  <si>
    <t>RSSH/PP LAB-4 Percentage of laboratories that have electronic test ordering and results return capability via a remote test order module of the LIMS</t>
  </si>
  <si>
    <t>a1ODm000000GnzhMAC</t>
  </si>
  <si>
    <t>MCI-01631</t>
  </si>
  <si>
    <t>RSSH/PP LAB-5 Percentage of health facilities that have an appropriate set of diagnostics for their healthcare facility level, based on the WHO's model list of essential in vitro diagnostics (EDL 3)</t>
  </si>
  <si>
    <t>a1ODm000000GnziMAC</t>
  </si>
  <si>
    <t>MCI-01326</t>
  </si>
  <si>
    <t>MCI-01632</t>
  </si>
  <si>
    <t>RSSH/PP RCS-1 Percentage of health facilities able to provide oxygen therapy related services among those providing the service</t>
  </si>
  <si>
    <t>Oxygen therapy type</t>
  </si>
  <si>
    <t>a1ODm000000GnzjMAC</t>
  </si>
  <si>
    <t>MCI-01600</t>
  </si>
  <si>
    <t>RSSH/PP M&amp;E-1 Completeness of reporting: Percentage of expected monthly reports (for the reporting period) that are actually received</t>
  </si>
  <si>
    <t>Provider type,Report type</t>
  </si>
  <si>
    <t>a1ODm000000GnzDMAS</t>
  </si>
  <si>
    <t>MCI-01601</t>
  </si>
  <si>
    <t>RSSH/PP M&amp;E-2 Timeliness of reporting: Percentage of submitted monthly reports (for the reporting period) that are received on time per the national guidelines</t>
  </si>
  <si>
    <t>a1ODm000000GnzEMAS</t>
  </si>
  <si>
    <t>MCI-01602</t>
  </si>
  <si>
    <t>RSSH/PP M&amp;E-3 Percentage of health facilities which are reporting key programmatic indicator results on at least a monthly basis using a digital, individual level data system</t>
  </si>
  <si>
    <t>Disease/program,Health facility</t>
  </si>
  <si>
    <t>a1ODm000000GnzFMAS</t>
  </si>
  <si>
    <t>MCI-01603</t>
  </si>
  <si>
    <t>RSSH/PP M&amp;E-4 Percentage of reporting units which triangulate programmatic/consumption data and logistics data on at least a quarterly basis</t>
  </si>
  <si>
    <t>a1ODm000000GnzGMAS</t>
  </si>
  <si>
    <t>MCI-01604</t>
  </si>
  <si>
    <t>RSSH/PP M&amp;E-5 Percentage of labs which are able to return patient lab results electronically to the patient-level programmatic data system</t>
  </si>
  <si>
    <t>a1ODm000000GnzHMAS</t>
  </si>
  <si>
    <t>MCI-01605</t>
  </si>
  <si>
    <t>RSSH/PP M&amp;E-6 Percentage of private health units that report data into the national HMIS</t>
  </si>
  <si>
    <t>Report type</t>
  </si>
  <si>
    <t>a1ODm000000GnzIMAS</t>
  </si>
  <si>
    <t>MCI-01606</t>
  </si>
  <si>
    <t>M&amp;E-4.1 Percentage of service delivery reports from community health units integrated/interoperable with the national HMIS</t>
  </si>
  <si>
    <t>a1ODm000000GnzJMAS</t>
  </si>
  <si>
    <t>MCI-01607</t>
  </si>
  <si>
    <t>M&amp;E-5.1 Percentage of reporting units which digitally enter and submit data at the reporting unit level using the electronic information system</t>
  </si>
  <si>
    <t>a1ODm000000GnzKMAS</t>
  </si>
  <si>
    <t>MCI-01608</t>
  </si>
  <si>
    <t>M&amp;E-6.1 Percentage of districts that produce at least semi-annual analytical reports</t>
  </si>
  <si>
    <t>a1ODm000000GnzLMAS</t>
  </si>
  <si>
    <t>Module Data - Component - Indicator Reference</t>
  </si>
  <si>
    <t>Name-Not in use</t>
  </si>
  <si>
    <t>Module-Coverage-Intervention Reference (Name)</t>
  </si>
  <si>
    <t>Name used on Overview Page for display</t>
  </si>
  <si>
    <t>Reference Record Id</t>
  </si>
  <si>
    <t>unique id</t>
  </si>
  <si>
    <t>Module (Name)</t>
  </si>
  <si>
    <t>[Module-Coverage-Intervention Reference (Name)]</t>
  </si>
  <si>
    <t>Record ID2</t>
  </si>
  <si>
    <t>Prevention package for men who have sex with men (MSM) and their sexual partners</t>
  </si>
  <si>
    <t>a3zDm000000GmaOIAS</t>
  </si>
  <si>
    <t>a1ODm000000GnuJMAS</t>
  </si>
  <si>
    <t>a3zDm000000GmaO</t>
  </si>
  <si>
    <t>Prevention package for sex workers, their clients and other sexual partners</t>
  </si>
  <si>
    <t>a3zDm000000GmaPIAS</t>
  </si>
  <si>
    <t>a1ODm000000GnuKMAS</t>
  </si>
  <si>
    <t>a3zDm000000GmaP</t>
  </si>
  <si>
    <t>Prevention package for transgender people and their sexual partners</t>
  </si>
  <si>
    <t>a3zDm000000GmaQIAS</t>
  </si>
  <si>
    <t>a1ODm000000GnuLMAS</t>
  </si>
  <si>
    <t>a3zDm000000GmaQ</t>
  </si>
  <si>
    <t>Prevention package for people who use drugs (PUD) and their sexual partners</t>
  </si>
  <si>
    <t>a3zDm000000GmaRIAS</t>
  </si>
  <si>
    <t>a1ODm000000GnuMMAS</t>
  </si>
  <si>
    <t>a3zDm000000GmaR</t>
  </si>
  <si>
    <t>Prevention package for people in prisons and other closed settings</t>
  </si>
  <si>
    <t>a3zDm000000GmaSIAS</t>
  </si>
  <si>
    <t>a1ODm000000GnuNMAS</t>
  </si>
  <si>
    <t>a3zDm000000GmaS</t>
  </si>
  <si>
    <t>Prevention package for other vulnerable populations (OVP)</t>
  </si>
  <si>
    <t>a3zDm000000GmaTIAS</t>
  </si>
  <si>
    <t>a1ODm000000GnuOMAS</t>
  </si>
  <si>
    <t>a3zDm000000GmaT</t>
  </si>
  <si>
    <t>Prevention package for adolescent girls and young women (AGYW) and male sexual partners in high HIV incidence settings</t>
  </si>
  <si>
    <t>a3zDm000000GmaUIAS</t>
  </si>
  <si>
    <t>a1ODm000000GnuPMAS</t>
  </si>
  <si>
    <t>a3zDm000000GmaU</t>
  </si>
  <si>
    <t>Prevention program stewardship</t>
  </si>
  <si>
    <t>MCI-01303</t>
  </si>
  <si>
    <t>a3zDm000000GmaVIAS</t>
  </si>
  <si>
    <t>a1ODm000000GnuQMAS</t>
  </si>
  <si>
    <t>a3zDm000000GmaV</t>
  </si>
  <si>
    <t>Elimination of vertical transmission of HIV, syphilis and hepatitis B</t>
  </si>
  <si>
    <t>a3zDm000000GmaWIAS</t>
  </si>
  <si>
    <t>a1ODm000000GnuRMAS</t>
  </si>
  <si>
    <t>a3zDm000000GmaW</t>
  </si>
  <si>
    <t>Differentiated HIV Testing Services</t>
  </si>
  <si>
    <t>a3zDm000000GmaXIAS</t>
  </si>
  <si>
    <t>a1ODm000000GnuSMAS</t>
  </si>
  <si>
    <t>a3zDm000000GmaX</t>
  </si>
  <si>
    <t>Treatment, care and support</t>
  </si>
  <si>
    <t>a3zDm000000GmaYIAS</t>
  </si>
  <si>
    <t>a1ODm000000GnuTMAS</t>
  </si>
  <si>
    <t>a3zDm000000GmaY</t>
  </si>
  <si>
    <t>Reducing human rights-related barriers to HIV/TB services</t>
  </si>
  <si>
    <t>MCI-01307</t>
  </si>
  <si>
    <t>a3zDm000000GmaZIAS</t>
  </si>
  <si>
    <t>a1ODm000000GnuUMAS</t>
  </si>
  <si>
    <t>a3zDm000000GmaZ</t>
  </si>
  <si>
    <t>TB/HIV</t>
  </si>
  <si>
    <t>a3zDm000000GmaaIAC</t>
  </si>
  <si>
    <t>a1ODm000000GnuaMAC</t>
  </si>
  <si>
    <t>a3zDm000000Gmaa</t>
  </si>
  <si>
    <t>RSSH: Health sector planning and governance for integrated people-centered services</t>
  </si>
  <si>
    <t>a3zDm000000GmabIAC</t>
  </si>
  <si>
    <t>a1ODm000000GnuhMAC</t>
  </si>
  <si>
    <t>a3zDm000000Gmab</t>
  </si>
  <si>
    <t>RSSH: Community systems strengthening</t>
  </si>
  <si>
    <t>a3zDm000000GmacIAC</t>
  </si>
  <si>
    <t>a1ODm000000GnuiMAC</t>
  </si>
  <si>
    <t>a3zDm000000Gmac</t>
  </si>
  <si>
    <t>RSSH: Health financing systems</t>
  </si>
  <si>
    <t>a3zDm000000GmadIAC</t>
  </si>
  <si>
    <t>a1ODm000000GnujMAC</t>
  </si>
  <si>
    <t>a3zDm000000Gmad</t>
  </si>
  <si>
    <t>RSSH: Health products management systems</t>
  </si>
  <si>
    <t>a3zDm000000GmaeIAC</t>
  </si>
  <si>
    <t>a1ODm000000GnukMAC</t>
  </si>
  <si>
    <t>a3zDm000000Gmae</t>
  </si>
  <si>
    <t>RSSH/PP: Human resources for health (HRH) and quality of care</t>
  </si>
  <si>
    <t>a3zDm000000GmafIAC</t>
  </si>
  <si>
    <t>a1ODm000000GnulMAC</t>
  </si>
  <si>
    <t>a3zDm000000Gmaf</t>
  </si>
  <si>
    <t>RSSH/PP: Laboratory systems (including national and peripheral)</t>
  </si>
  <si>
    <t>a3zDm000000GmagIAC</t>
  </si>
  <si>
    <t>a1ODm000000GnumMAC</t>
  </si>
  <si>
    <t>a3zDm000000Gmag</t>
  </si>
  <si>
    <t>RSSH/PP: Medical oxygen and respiratory care system</t>
  </si>
  <si>
    <t>a3zDm000000GmahIAC</t>
  </si>
  <si>
    <t>a1ODm000000GnunMAC</t>
  </si>
  <si>
    <t>a3zDm000000Gmah</t>
  </si>
  <si>
    <t>RSSH: Monitoring and evaluation systems</t>
  </si>
  <si>
    <t>a3zDm000000GmaiIAC</t>
  </si>
  <si>
    <t>a1ODm000000GnuoMAC</t>
  </si>
  <si>
    <t>a3zDm000000Gmai</t>
  </si>
  <si>
    <t>Program management</t>
  </si>
  <si>
    <t>MCI-01318</t>
  </si>
  <si>
    <t>a3zDm000000GmajIAC</t>
  </si>
  <si>
    <t>a1ODm000000GnufMAC</t>
  </si>
  <si>
    <t>a3zDm000000Gmaj</t>
  </si>
  <si>
    <t>Payment for results</t>
  </si>
  <si>
    <t>MCI-01319</t>
  </si>
  <si>
    <t>a3zDm000000GmakIAC</t>
  </si>
  <si>
    <t>a1ODm000000GnugMAC</t>
  </si>
  <si>
    <t>a3zDm000000Gmak</t>
  </si>
  <si>
    <t>a3zDm000000GmbFIAS</t>
  </si>
  <si>
    <t>a3zDm000000GmbF</t>
  </si>
  <si>
    <t>a3zDm000000GmbGIAS</t>
  </si>
  <si>
    <t>a3zDm000000GmbG</t>
  </si>
  <si>
    <t>a3zDm000000GmbHIAS</t>
  </si>
  <si>
    <t>a3zDm000000GmbH</t>
  </si>
  <si>
    <t>a3zDm000000GmbIIAS</t>
  </si>
  <si>
    <t>a3zDm000000GmbI</t>
  </si>
  <si>
    <t>a3zDm000000GmbJIAS</t>
  </si>
  <si>
    <t>a3zDm000000GmbJ</t>
  </si>
  <si>
    <t>a3zDm000000GmbKIAS</t>
  </si>
  <si>
    <t>a3zDm000000GmbK</t>
  </si>
  <si>
    <t>a3zDm000000GmbLIAS</t>
  </si>
  <si>
    <t>a3zDm000000GmbL</t>
  </si>
  <si>
    <t>a3zDm000000GmbMIAS</t>
  </si>
  <si>
    <t>a3zDm000000GmbM</t>
  </si>
  <si>
    <t>a3zDm000000GmbNIAS</t>
  </si>
  <si>
    <t>a3zDm000000GmbN</t>
  </si>
  <si>
    <t>a3zDm000000GmbOIAS</t>
  </si>
  <si>
    <t>a3zDm000000GmbO</t>
  </si>
  <si>
    <t>TB diagnosis, treatment and care</t>
  </si>
  <si>
    <t>a3zDm000000GmayIAC</t>
  </si>
  <si>
    <t>a1ODm000000GnuVMAS</t>
  </si>
  <si>
    <t>a3zDm000000Gmay</t>
  </si>
  <si>
    <t>Drug-resistant (DR)-TB diagnosis, treatment and care</t>
  </si>
  <si>
    <t>a3zDm000000GmazIAC</t>
  </si>
  <si>
    <t>a1ODm000000GnuWMAS</t>
  </si>
  <si>
    <t>a3zDm000000Gmaz</t>
  </si>
  <si>
    <t>TB/DR-TB Prevention</t>
  </si>
  <si>
    <t>a3zDm000000Gmb0IAC</t>
  </si>
  <si>
    <t>a1ODm000000GnuXMAS</t>
  </si>
  <si>
    <t>a3zDm000000Gmb0</t>
  </si>
  <si>
    <t>Collaboration with other providers and sectors</t>
  </si>
  <si>
    <t>a3zDm000000Gmb1IAC</t>
  </si>
  <si>
    <t>a1ODm000000GnuYMAS</t>
  </si>
  <si>
    <t>a3zDm000000Gmb1</t>
  </si>
  <si>
    <t>Key and vulnerable populations (KVP) – TB/DR-TB</t>
  </si>
  <si>
    <t>a3zDm000000Gmb2IAC</t>
  </si>
  <si>
    <t>a1ODm000000GnuZMAS</t>
  </si>
  <si>
    <t>a3zDm000000Gmb2</t>
  </si>
  <si>
    <t>a3zDm000000Gmb3IAC</t>
  </si>
  <si>
    <t>a3zDm000000Gmb3</t>
  </si>
  <si>
    <t>Removing human rights and gender related barriers to TB services</t>
  </si>
  <si>
    <t>MCI-01314</t>
  </si>
  <si>
    <t>a3zDm000000Gmb4IAC</t>
  </si>
  <si>
    <t>a1ODm000000GnubMAC</t>
  </si>
  <si>
    <t>a3zDm000000Gmb4</t>
  </si>
  <si>
    <t>a3zDm000000Gmb5IAC</t>
  </si>
  <si>
    <t>a3zDm000000Gmb5</t>
  </si>
  <si>
    <t>a3zDm000000Gmb6IAC</t>
  </si>
  <si>
    <t>a3zDm000000Gmb6</t>
  </si>
  <si>
    <t>a3zDm000000Gmb7IAC</t>
  </si>
  <si>
    <t>a3zDm000000Gmb7</t>
  </si>
  <si>
    <t>a3zDm000000Gmb8IAC</t>
  </si>
  <si>
    <t>a3zDm000000Gmb8</t>
  </si>
  <si>
    <t>a3zDm000000Gmb9IAC</t>
  </si>
  <si>
    <t>a3zDm000000Gmb9</t>
  </si>
  <si>
    <t>a3zDm000000GmbAIAS</t>
  </si>
  <si>
    <t>a3zDm000000GmbA</t>
  </si>
  <si>
    <t>a3zDm000000GmbBIAS</t>
  </si>
  <si>
    <t>a3zDm000000GmbB</t>
  </si>
  <si>
    <t>a3zDm000000GmbCIAS</t>
  </si>
  <si>
    <t>a3zDm000000GmbC</t>
  </si>
  <si>
    <t>a3zDm000000GmbDIAS</t>
  </si>
  <si>
    <t>a3zDm000000GmbD</t>
  </si>
  <si>
    <t>a3zDm000000GmbEIAS</t>
  </si>
  <si>
    <t>a3zDm000000GmbE</t>
  </si>
  <si>
    <t>Module-Coverage-Intervention Reference - Intervention</t>
  </si>
  <si>
    <t>concat mod int name</t>
  </si>
  <si>
    <t>Column4</t>
  </si>
  <si>
    <t>MCI-01459</t>
  </si>
  <si>
    <t>Condom and lubricant programing for MSM</t>
  </si>
  <si>
    <t>a1ODm000000GnwwMAC</t>
  </si>
  <si>
    <t>MCI-01460</t>
  </si>
  <si>
    <t>Pre-exposure prophylaxis (PrEP) programing for MSM</t>
  </si>
  <si>
    <t>a1ODm000000GnwxMAC</t>
  </si>
  <si>
    <t>MCI-01461</t>
  </si>
  <si>
    <t>HIV prevention communication, information and demand creation for MSM</t>
  </si>
  <si>
    <t>a1ODm000000GnwyMAC</t>
  </si>
  <si>
    <t>MCI-01462</t>
  </si>
  <si>
    <t>Community empowerment for MSM</t>
  </si>
  <si>
    <t>a1ODm000000GnwzMAC</t>
  </si>
  <si>
    <t>MCI-01463</t>
  </si>
  <si>
    <t>Sexual and reproductive health services, including STIs, hepatitis, post-violence care for MSM</t>
  </si>
  <si>
    <t>a1ODm000000Gnx0MAC</t>
  </si>
  <si>
    <t>MCI-01464</t>
  </si>
  <si>
    <t>Removing human rights-related barriers to prevention for MSM</t>
  </si>
  <si>
    <t>a1ODm000000Gnx1MAC</t>
  </si>
  <si>
    <t>MCI-01328</t>
  </si>
  <si>
    <t>Condom and lubricant programing for sex workers</t>
  </si>
  <si>
    <t>a1ODm000000GnupMAC</t>
  </si>
  <si>
    <t>MCI-01329</t>
  </si>
  <si>
    <t>Pre-exposure prophylaxis (PrEP) programing for sex workers</t>
  </si>
  <si>
    <t>a1ODm000000GnuqMAC</t>
  </si>
  <si>
    <t>MCI-01330</t>
  </si>
  <si>
    <t>HIV prevention communication, information and demand creation for sex workers</t>
  </si>
  <si>
    <t>a1ODm000000GnurMAC</t>
  </si>
  <si>
    <t>MCI-01331</t>
  </si>
  <si>
    <t>Community empowerment for sex workers</t>
  </si>
  <si>
    <t>a1ODm000000GnusMAC</t>
  </si>
  <si>
    <t>MCI-01332</t>
  </si>
  <si>
    <t>Sexual and reproductive health services, including STIs, hepatitis, post-violence care for sex workers</t>
  </si>
  <si>
    <t>a1ODm000000GnutMAC</t>
  </si>
  <si>
    <t>MCI-01333</t>
  </si>
  <si>
    <t>Removing human rights-related barriers to prevention for sex workers</t>
  </si>
  <si>
    <t>a1ODm000000GnuuMAC</t>
  </si>
  <si>
    <t>MCI-01438</t>
  </si>
  <si>
    <t>Condom and lubricant programing for transgender people</t>
  </si>
  <si>
    <t>a1ODm000000GnwbMAC</t>
  </si>
  <si>
    <t>MCI-01439</t>
  </si>
  <si>
    <t>Pre-exposure prophylaxis (PrEP) programing for transgender people</t>
  </si>
  <si>
    <t>a1ODm000000GnwcMAC</t>
  </si>
  <si>
    <t>MCI-01440</t>
  </si>
  <si>
    <t>HIV prevention communication, information and demand creation for transgender people</t>
  </si>
  <si>
    <t>a1ODm000000GnwdMAC</t>
  </si>
  <si>
    <t>MCI-01441</t>
  </si>
  <si>
    <t>Community empowerment for transgender people</t>
  </si>
  <si>
    <t>a1ODm000000GnweMAC</t>
  </si>
  <si>
    <t>MCI-01442</t>
  </si>
  <si>
    <t>Sexual and reproductive health services, including STIs, hepatitis, post-violence care for transgender people</t>
  </si>
  <si>
    <t>a1ODm000000GnwfMAC</t>
  </si>
  <si>
    <t>MCI-01443</t>
  </si>
  <si>
    <t>Removing human rights-related barriers to prevention for transgender people</t>
  </si>
  <si>
    <t>a1ODm000000GnwgMAC</t>
  </si>
  <si>
    <t>MCI-01334</t>
  </si>
  <si>
    <t>Needle and syringe programs for PWID</t>
  </si>
  <si>
    <t>a1ODm000000GnuvMAC</t>
  </si>
  <si>
    <t>MCI-01335</t>
  </si>
  <si>
    <t>Opioid substitution therapy and other medically assisted drug dependence treatment for PWID</t>
  </si>
  <si>
    <t>a1ODm000000GnuwMAC</t>
  </si>
  <si>
    <t>MCI-01336</t>
  </si>
  <si>
    <t>Overdose prevention and management for PWID</t>
  </si>
  <si>
    <t>a1ODm000000GnuxMAC</t>
  </si>
  <si>
    <t>MCI-01337</t>
  </si>
  <si>
    <t>Condom and lubricant programing for PUD</t>
  </si>
  <si>
    <t>a1ODm000000GnuyMAC</t>
  </si>
  <si>
    <t>MCI-01338</t>
  </si>
  <si>
    <t>Pre-exposure prophylaxis (PrEP) programing for PUD</t>
  </si>
  <si>
    <t>a1ODm000000GnuzMAC</t>
  </si>
  <si>
    <t>MCI-01339</t>
  </si>
  <si>
    <t>HIV prevention communication, information and demand creation for PUD</t>
  </si>
  <si>
    <t>a1ODm000000Gnv0MAC</t>
  </si>
  <si>
    <t>MCI-01340</t>
  </si>
  <si>
    <t>Community empowerment for PUD</t>
  </si>
  <si>
    <t>a1ODm000000Gnv1MAC</t>
  </si>
  <si>
    <t>MCI-01341</t>
  </si>
  <si>
    <t>Sexual and reproductive health services, including STIs, hepatitis, post-violence care for PUD</t>
  </si>
  <si>
    <t>a1ODm000000Gnv2MAC</t>
  </si>
  <si>
    <t>MCI-01342</t>
  </si>
  <si>
    <t>Removing human rights-related barriers to prevention for PUD</t>
  </si>
  <si>
    <t>a1ODm000000Gnv3MAC</t>
  </si>
  <si>
    <t>MCI-01444</t>
  </si>
  <si>
    <t>Condom and lubricant programing for prisoners</t>
  </si>
  <si>
    <t>a1ODm000000GnwhMAC</t>
  </si>
  <si>
    <t>MCI-01445</t>
  </si>
  <si>
    <t>Pre-exposure prophylaxis (PrEP) programing for prisoners</t>
  </si>
  <si>
    <t>a1ODm000000GnwiMAC</t>
  </si>
  <si>
    <t>MCI-01446</t>
  </si>
  <si>
    <t>HIV prevention communication, information and demand creation for prisoners</t>
  </si>
  <si>
    <t>a1ODm000000GnwjMAC</t>
  </si>
  <si>
    <t>MCI-01447</t>
  </si>
  <si>
    <t>Sexual and reproductive health services, including STIs, hepatitis, post-violence care for prisoners</t>
  </si>
  <si>
    <t>a1ODm000000GnwkMAC</t>
  </si>
  <si>
    <t>MCI-01448</t>
  </si>
  <si>
    <t>Harm reduction interventions for drug use for prisoners</t>
  </si>
  <si>
    <t>a1ODm000000GnwlMAC</t>
  </si>
  <si>
    <t>MCI-01449</t>
  </si>
  <si>
    <t>Removing human rights-related barriers to prevention for prisoners</t>
  </si>
  <si>
    <t>a1ODm000000GnwmMAC</t>
  </si>
  <si>
    <t>MCI-01343</t>
  </si>
  <si>
    <t>Condom and lubricant programing for OVP</t>
  </si>
  <si>
    <t>a1ODm000000Gnv4MAC</t>
  </si>
  <si>
    <t>MCI-01344</t>
  </si>
  <si>
    <t>Pre-exposure prophylaxis (PrEP) programing for OVP</t>
  </si>
  <si>
    <t>a1ODm000000Gnv5MAC</t>
  </si>
  <si>
    <t>MCI-01345</t>
  </si>
  <si>
    <t>HIV prevention communication, information and demand creation for OVP</t>
  </si>
  <si>
    <t>a1ODm000000Gnv6MAC</t>
  </si>
  <si>
    <t>MCI-01346</t>
  </si>
  <si>
    <t>Community empowerment for OVP</t>
  </si>
  <si>
    <t>a1ODm000000Gnv7MAC</t>
  </si>
  <si>
    <t>MCI-01347</t>
  </si>
  <si>
    <t>Sexual and reproductive health services, including STIs, hepatitis, post-violence care for OVP</t>
  </si>
  <si>
    <t>a1ODm000000Gnv8MAC</t>
  </si>
  <si>
    <t>MCI-01348</t>
  </si>
  <si>
    <t>Removing human rights-related barriers to prevention for OVP</t>
  </si>
  <si>
    <t>a1ODm000000Gnv9MAC</t>
  </si>
  <si>
    <t>MCI-01510</t>
  </si>
  <si>
    <t>Condom and lubricant programing for AGYW in high HIV incidence settings</t>
  </si>
  <si>
    <t>a1ODm000000GnxlMAC</t>
  </si>
  <si>
    <t>MCI-01511</t>
  </si>
  <si>
    <t>Condom and lubricant programing for male sexual partners of AGYW in high HIV incidence settings</t>
  </si>
  <si>
    <t>a1ODm000000GnxmMAC</t>
  </si>
  <si>
    <t>MCI-01512</t>
  </si>
  <si>
    <t>HIV prevention communication, information and demand creation for AGYW in high HIV incidence settings</t>
  </si>
  <si>
    <t>a1ODm000000GnxnMAC</t>
  </si>
  <si>
    <t>MCI-01513</t>
  </si>
  <si>
    <t>HIV prevention communication, information and demand creation for male sexual partners of AGYW in high HIV incidence settings</t>
  </si>
  <si>
    <t>a1ODm000000GnxoMAC</t>
  </si>
  <si>
    <t>MCI-01514</t>
  </si>
  <si>
    <t>Comprehensive sexuality education for adolescent girls and young women (AGYW) and adolescent boys and young men (ABYM)</t>
  </si>
  <si>
    <t>a1ODm000000GnxpMAC</t>
  </si>
  <si>
    <t>MCI-01515</t>
  </si>
  <si>
    <t>Pre-exposure prophylaxis (PrEP) programing for AGYW in high HIV incidence settings</t>
  </si>
  <si>
    <t>a1ODm000000GnxqMAC</t>
  </si>
  <si>
    <t>MCI-01516</t>
  </si>
  <si>
    <t>Pre-exposure prophylaxis (PrEP) programing for male sexual partners of AGYW in high HIV incidence settings</t>
  </si>
  <si>
    <t>a1ODm000000GnxrMAC</t>
  </si>
  <si>
    <t>MCI-01517</t>
  </si>
  <si>
    <t>Sexual and reproductive health services, including STIs, hepatitis, post-violence care for AGYW and male sexual partners in high HIV incidence settings</t>
  </si>
  <si>
    <t>a1ODm000000GnxsMAC</t>
  </si>
  <si>
    <t>MCI-01518</t>
  </si>
  <si>
    <t>Removing human rights-related barriers to prevention for AGYW in high HIV incidence settings</t>
  </si>
  <si>
    <t>a1ODm000000GnxtMAC</t>
  </si>
  <si>
    <t>MCI-01519</t>
  </si>
  <si>
    <t>Social protection interventions for AGYW in high HIV incidence settings</t>
  </si>
  <si>
    <t>a1ODm000000GnxuMAC</t>
  </si>
  <si>
    <t>MCI-01520</t>
  </si>
  <si>
    <t>Voluntary medical male circumcision</t>
  </si>
  <si>
    <t>a1ODm000000GnxvMAC</t>
  </si>
  <si>
    <t>MCI-01493</t>
  </si>
  <si>
    <t>a1ODm000000GnxUMAS</t>
  </si>
  <si>
    <t>MCI-01349</t>
  </si>
  <si>
    <t>Integrated testing of pregnant women for HIV, syphilis and hepatitis B</t>
  </si>
  <si>
    <t>a1ODm000000GnvAMAS</t>
  </si>
  <si>
    <t>MCI-01350</t>
  </si>
  <si>
    <t>Prevention of incident HIV among pregnant and breastfeeding women</t>
  </si>
  <si>
    <t>a1ODm000000GnvBMAS</t>
  </si>
  <si>
    <t>MCI-01351</t>
  </si>
  <si>
    <t>Post-natal infant prophylaxis</t>
  </si>
  <si>
    <t>a1ODm000000GnvCMAS</t>
  </si>
  <si>
    <t>MCI-01352</t>
  </si>
  <si>
    <t>Early infant diagnosis and follow-up HIV testing for exposed infants</t>
  </si>
  <si>
    <t>a1ODm000000GnvDMAS</t>
  </si>
  <si>
    <t>MCI-01353</t>
  </si>
  <si>
    <t>Retention support for pregnant and breastfeeding women (facility and community)</t>
  </si>
  <si>
    <t>a1ODm000000GnvEMAS</t>
  </si>
  <si>
    <t>MCI-01450</t>
  </si>
  <si>
    <t>Facility-based testing for key population (KP) programs</t>
  </si>
  <si>
    <t>a1ODm000000GnwnMAC</t>
  </si>
  <si>
    <t>MCI-01451</t>
  </si>
  <si>
    <t>Facility-based testing for adolescent girls and young women (AGYW) and their male sexual partners programs</t>
  </si>
  <si>
    <t>a1ODm000000GnwoMAC</t>
  </si>
  <si>
    <t>MCI-01452</t>
  </si>
  <si>
    <t>Facility-based testing outside of key population (KP) and adolescent girls and young women (AGYW) programs</t>
  </si>
  <si>
    <t>a1ODm000000GnwpMAC</t>
  </si>
  <si>
    <t>MCI-01453</t>
  </si>
  <si>
    <t>Community-based testing for KP programs</t>
  </si>
  <si>
    <t>a1ODm000000GnwqMAC</t>
  </si>
  <si>
    <t>MCI-01454</t>
  </si>
  <si>
    <t>Community-based testing for AGYW and their male sexual partners programs</t>
  </si>
  <si>
    <t>a1ODm000000GnwrMAC</t>
  </si>
  <si>
    <t>MCI-01455</t>
  </si>
  <si>
    <t>Community-based testing outside of KP and AGYW programs</t>
  </si>
  <si>
    <t>a1ODm000000GnwsMAC</t>
  </si>
  <si>
    <t>MCI-01456</t>
  </si>
  <si>
    <t>Self-testing for KP programs</t>
  </si>
  <si>
    <t>a1ODm000000GnwtMAC</t>
  </si>
  <si>
    <t>MCI-01457</t>
  </si>
  <si>
    <t>Self-testing for AGYW and their male sexual partners programs</t>
  </si>
  <si>
    <t>a1ODm000000GnwuMAC</t>
  </si>
  <si>
    <t>MCI-01458</t>
  </si>
  <si>
    <t>Self-testing outside of KP and AGYW programs</t>
  </si>
  <si>
    <t>a1ODm000000GnwvMAC</t>
  </si>
  <si>
    <t>MCI-01354</t>
  </si>
  <si>
    <t>HIV treatment and differentiated service delivery - adults (15 and above)</t>
  </si>
  <si>
    <t>a1ODm000000GnvFMAS</t>
  </si>
  <si>
    <t>MCI-01355</t>
  </si>
  <si>
    <t>HIV treatment and differentiated service delivery - children (under 15)</t>
  </si>
  <si>
    <t>a1ODm000000GnvGMAS</t>
  </si>
  <si>
    <t>MCI-01356</t>
  </si>
  <si>
    <t>Treatment monitoring - Drug resistance</t>
  </si>
  <si>
    <t>a1ODm000000GnvHMAS</t>
  </si>
  <si>
    <t>MCI-01357</t>
  </si>
  <si>
    <t>Treatment monitoring - Viral load and antiretroviral (ARV) toxicity</t>
  </si>
  <si>
    <t>a1ODm000000GnvIMAS</t>
  </si>
  <si>
    <t>MCI-01358</t>
  </si>
  <si>
    <t>Integrated management of common co-infections and co-morbidities (adults and children)</t>
  </si>
  <si>
    <t>a1ODm000000GnvJMAS</t>
  </si>
  <si>
    <t>MCI-01359</t>
  </si>
  <si>
    <t>Diagnosis and management of advanced disease (adults and children)</t>
  </si>
  <si>
    <t>a1ODm000000GnvKMAS</t>
  </si>
  <si>
    <t>MCI-01465</t>
  </si>
  <si>
    <t>Eliminating stigma and discrimination in all settings</t>
  </si>
  <si>
    <t>a1ODm000000Gnx2MAC</t>
  </si>
  <si>
    <t>MCI-01466</t>
  </si>
  <si>
    <t>Legal literacy (“Know Your Rights”) (HIV/TB)</t>
  </si>
  <si>
    <t>a1ODm000000Gnx3MAC</t>
  </si>
  <si>
    <t>MCI-01467</t>
  </si>
  <si>
    <t>Ensuring nondiscriminatory provision of health care</t>
  </si>
  <si>
    <t>a1ODm000000Gnx4MAC</t>
  </si>
  <si>
    <t>MCI-01468</t>
  </si>
  <si>
    <t>Increasing access to justice (HIV/TB)</t>
  </si>
  <si>
    <t>a1ODm000000Gnx5MAC</t>
  </si>
  <si>
    <t>MCI-01469</t>
  </si>
  <si>
    <t>Ensuring rights-based law enforcement practices</t>
  </si>
  <si>
    <t>a1ODm000000Gnx6MAC</t>
  </si>
  <si>
    <t>MCI-01470</t>
  </si>
  <si>
    <t>Improving laws, regulations and polices relating to HIV and HIV/TB</t>
  </si>
  <si>
    <t>a1ODm000000Gnx7MAC</t>
  </si>
  <si>
    <t>MCI-01471</t>
  </si>
  <si>
    <t>Reducing HIV-related gender discrimination, harmful gender norms and violence against women and girls in all their diversity</t>
  </si>
  <si>
    <t>a1ODm000000Gnx8MAC</t>
  </si>
  <si>
    <t>MCI-01472</t>
  </si>
  <si>
    <t>Community mobilization and advocacy for human rights</t>
  </si>
  <si>
    <t>a1ODm000000Gnx9MAC</t>
  </si>
  <si>
    <t>MCI-01360</t>
  </si>
  <si>
    <t>TB screening and diagnosis</t>
  </si>
  <si>
    <t>a1ODm000000GnvLMAS</t>
  </si>
  <si>
    <t>MCI-01361</t>
  </si>
  <si>
    <t>TB treatment, care and support</t>
  </si>
  <si>
    <t>a1ODm000000GnvMMAS</t>
  </si>
  <si>
    <t>MCI-01368</t>
  </si>
  <si>
    <t>DR-TB diagnosis/drug susceptibility testing (DST)</t>
  </si>
  <si>
    <t>a1ODm000000GnvTMAS</t>
  </si>
  <si>
    <t>MCI-01369</t>
  </si>
  <si>
    <t>DR-TB treatment, care and support</t>
  </si>
  <si>
    <t>a1ODm000000GnvUMAS</t>
  </si>
  <si>
    <t>MCI-01507</t>
  </si>
  <si>
    <t>Screening/testing for TB infection</t>
  </si>
  <si>
    <t>a1ODm000000GnxiMAC</t>
  </si>
  <si>
    <t>MCI-01508</t>
  </si>
  <si>
    <t>Preventive treatment</t>
  </si>
  <si>
    <t>a1ODm000000GnxjMAC</t>
  </si>
  <si>
    <t>MCI-01509</t>
  </si>
  <si>
    <t>Infection prevention and control (IPC)</t>
  </si>
  <si>
    <t>a1ODm000000GnxkMAC</t>
  </si>
  <si>
    <t>MCI-01498</t>
  </si>
  <si>
    <t>Private provider engagement in TB/DR-TB care</t>
  </si>
  <si>
    <t>a1ODm000000GnxZMAS</t>
  </si>
  <si>
    <t>MCI-01499</t>
  </si>
  <si>
    <t>Community-based TB/DR-TB care</t>
  </si>
  <si>
    <t>a1ODm000000GnxaMAC</t>
  </si>
  <si>
    <t>MCI-01500</t>
  </si>
  <si>
    <t>Collaboration with other programs/sectors</t>
  </si>
  <si>
    <t>a1ODm000000GnxbMAC</t>
  </si>
  <si>
    <t>MCI-01501</t>
  </si>
  <si>
    <t>KVP - Children and adolescents</t>
  </si>
  <si>
    <t>a1ODm000000GnxcMAC</t>
  </si>
  <si>
    <t>MCI-01502</t>
  </si>
  <si>
    <t>KVP - People in prisons/jails/detention centers</t>
  </si>
  <si>
    <t>a1ODm000000GnxdMAC</t>
  </si>
  <si>
    <t>MCI-01503</t>
  </si>
  <si>
    <t>KVP - Mobile population (migrants/refugees/IDPs)</t>
  </si>
  <si>
    <t>a1ODm000000GnxeMAC</t>
  </si>
  <si>
    <t>MCI-01504</t>
  </si>
  <si>
    <t>KVP - Miners and mining communities</t>
  </si>
  <si>
    <t>a1ODm000000GnxfMAC</t>
  </si>
  <si>
    <t>MCI-01505</t>
  </si>
  <si>
    <t>KVP - Urban poor/slum dwellers</t>
  </si>
  <si>
    <t>a1ODm000000GnxgMAC</t>
  </si>
  <si>
    <t>MCI-01506</t>
  </si>
  <si>
    <t>KVP - Others</t>
  </si>
  <si>
    <t>a1ODm000000GnxhMAC</t>
  </si>
  <si>
    <t>MCI-01362</t>
  </si>
  <si>
    <t>TB/HIV - Collaborative interventions</t>
  </si>
  <si>
    <t>a1ODm000000GnvNMAS</t>
  </si>
  <si>
    <t>MCI-01363</t>
  </si>
  <si>
    <t>TB/HIV - Screening, testing and diagnosis</t>
  </si>
  <si>
    <t>a1ODm000000GnvOMAS</t>
  </si>
  <si>
    <t>MCI-01364</t>
  </si>
  <si>
    <t>TB/HIV - Treatment and care</t>
  </si>
  <si>
    <t>a1ODm000000GnvPMAS</t>
  </si>
  <si>
    <t>MCI-01365</t>
  </si>
  <si>
    <t>TB/HIV - Prevention</t>
  </si>
  <si>
    <t>a1ODm000000GnvQMAS</t>
  </si>
  <si>
    <t>MCI-01366</t>
  </si>
  <si>
    <t>TB/HIV - Community care delivery</t>
  </si>
  <si>
    <t>a1ODm000000GnvRMAS</t>
  </si>
  <si>
    <t>MCI-01367</t>
  </si>
  <si>
    <t>TB/HIV - Key populations</t>
  </si>
  <si>
    <t>a1ODm000000GnvSMAS</t>
  </si>
  <si>
    <t>MCI-01476</t>
  </si>
  <si>
    <t>Eliminating TB-related stigma and discrimination</t>
  </si>
  <si>
    <t>a1ODm000000GnxDMAS</t>
  </si>
  <si>
    <t>MCI-01477</t>
  </si>
  <si>
    <t>Ensuring people-centered and rights-based TB services at health facilities</t>
  </si>
  <si>
    <t>a1ODm000000GnxEMAS</t>
  </si>
  <si>
    <t>MCI-01478</t>
  </si>
  <si>
    <t>Ensuring people-centered and rights-based law enforcement practices</t>
  </si>
  <si>
    <t>a1ODm000000GnxFMAS</t>
  </si>
  <si>
    <t>MCI-01479</t>
  </si>
  <si>
    <t>Legal literacy (“Know Your Rights”) (TB)</t>
  </si>
  <si>
    <t>a1ODm000000GnxGMAS</t>
  </si>
  <si>
    <t>MCI-01480</t>
  </si>
  <si>
    <t>Increasing access to justice (TB)</t>
  </si>
  <si>
    <t>a1ODm000000GnxHMAS</t>
  </si>
  <si>
    <t>MCI-01481</t>
  </si>
  <si>
    <t>Monitoring and reforming policies, regulations and laws</t>
  </si>
  <si>
    <t>a1ODm000000GnxIMAS</t>
  </si>
  <si>
    <t>MCI-01482</t>
  </si>
  <si>
    <t>Addressing needs of people in prisons and other closed settings</t>
  </si>
  <si>
    <t>a1ODm000000GnxJMAS</t>
  </si>
  <si>
    <t>MCI-01483</t>
  </si>
  <si>
    <t>Reducing TB-related gender discrimination, harmful gender norms and violence</t>
  </si>
  <si>
    <t>a1ODm000000GnxKMAS</t>
  </si>
  <si>
    <t>MCI-01484</t>
  </si>
  <si>
    <t>Community mobilization and advocacy, including support to TB survivor-led groups</t>
  </si>
  <si>
    <t>a1ODm000000GnxLMAS</t>
  </si>
  <si>
    <t>MCI-01435</t>
  </si>
  <si>
    <t>Coordination and management of national disease control programs</t>
  </si>
  <si>
    <t>a1ODm000000GnwYMAS</t>
  </si>
  <si>
    <t>MCI-01436</t>
  </si>
  <si>
    <t>Grant management</t>
  </si>
  <si>
    <t>a1ODm000000GnwZMAS</t>
  </si>
  <si>
    <t>MCI-01437</t>
  </si>
  <si>
    <t>a1ODm000000GnwaMAC</t>
  </si>
  <si>
    <t>MCI-01473</t>
  </si>
  <si>
    <t>National health sector strategy, policy &amp; regulations</t>
  </si>
  <si>
    <t>a1ODm000000GnxAMAS</t>
  </si>
  <si>
    <t>MCI-01474</t>
  </si>
  <si>
    <t>Integration/coordination across disease programs and at the service delivery level</t>
  </si>
  <si>
    <t>a1ODm000000GnxBMAS</t>
  </si>
  <si>
    <t>MCI-01475</t>
  </si>
  <si>
    <t>Supporting private sector engagement</t>
  </si>
  <si>
    <t>a1ODm000000GnxCMAS</t>
  </si>
  <si>
    <t>MCI-01422</t>
  </si>
  <si>
    <t>Community-led monitoring</t>
  </si>
  <si>
    <t>a1ODm000000GnwLMAS</t>
  </si>
  <si>
    <t>MCI-01423</t>
  </si>
  <si>
    <t>Community-led research and advocacy</t>
  </si>
  <si>
    <t>a1ODm000000GnwMMAS</t>
  </si>
  <si>
    <t>MCI-01424</t>
  </si>
  <si>
    <t>Community engagement, linkages and coordination</t>
  </si>
  <si>
    <t>a1ODm000000GnwNMAS</t>
  </si>
  <si>
    <t>MCI-01425</t>
  </si>
  <si>
    <t>Capacity building and leadership development</t>
  </si>
  <si>
    <t>a1ODm000000GnwOMAS</t>
  </si>
  <si>
    <t>MCI-01415</t>
  </si>
  <si>
    <t>Health financing strategies and planning</t>
  </si>
  <si>
    <t>a1ODm000000GnwEMAS</t>
  </si>
  <si>
    <t>MCI-01416</t>
  </si>
  <si>
    <t>Public financial management (PFM) systems</t>
  </si>
  <si>
    <t>a1ODm000000GnwFMAS</t>
  </si>
  <si>
    <t>MCI-01417</t>
  </si>
  <si>
    <t>Routine financial management systems</t>
  </si>
  <si>
    <t>a1ODm000000GnwGMAS</t>
  </si>
  <si>
    <t>MCI-01418</t>
  </si>
  <si>
    <t>Community-led advocacy and monitoring of domestic resource mobilization</t>
  </si>
  <si>
    <t>a1ODm000000GnwHMAS</t>
  </si>
  <si>
    <t>MCI-01419</t>
  </si>
  <si>
    <t>Social contracting</t>
  </si>
  <si>
    <t>a1ODm000000GnwIMAS</t>
  </si>
  <si>
    <t>MCI-01420</t>
  </si>
  <si>
    <t>Health financing data and analytics</t>
  </si>
  <si>
    <t>a1ODm000000GnwJMAS</t>
  </si>
  <si>
    <t>MCI-01421</t>
  </si>
  <si>
    <t>Blended financing arrangements</t>
  </si>
  <si>
    <t>a1ODm000000GnwKMAS</t>
  </si>
  <si>
    <t>MCI-01408</t>
  </si>
  <si>
    <t>Policy, strategy, governance</t>
  </si>
  <si>
    <t>a1ODm000000Gnw7MAC</t>
  </si>
  <si>
    <t>MCI-01409</t>
  </si>
  <si>
    <t>Storage and distribution capacity, design &amp; operations</t>
  </si>
  <si>
    <t>a1ODm000000Gnw8MAC</t>
  </si>
  <si>
    <t>MCI-01410</t>
  </si>
  <si>
    <t>Planning and procurement capacity</t>
  </si>
  <si>
    <t>a1ODm000000Gnw9MAC</t>
  </si>
  <si>
    <t>MCI-01411</t>
  </si>
  <si>
    <t>Regulatory/quality assurance support</t>
  </si>
  <si>
    <t>a1ODm000000GnwAMAS</t>
  </si>
  <si>
    <t>MCI-01412</t>
  </si>
  <si>
    <t>Avoidance, reduction and management of health care waste</t>
  </si>
  <si>
    <t>a1ODm000000GnwBMAS</t>
  </si>
  <si>
    <t>MCI-01413</t>
  </si>
  <si>
    <t>Supply chain information systems</t>
  </si>
  <si>
    <t>a1ODm000000GnwCMAS</t>
  </si>
  <si>
    <t>MCI-01414</t>
  </si>
  <si>
    <t>Augmenting national supply chain system with outsourcing</t>
  </si>
  <si>
    <t>a1ODm000000GnwDMAS</t>
  </si>
  <si>
    <t>MCI-01398</t>
  </si>
  <si>
    <t>RSSH/PP: HRH planning, management and governance including for community health workers (CHWs)</t>
  </si>
  <si>
    <t>a1ODm000000GnvxMAC</t>
  </si>
  <si>
    <t>MCI-01399</t>
  </si>
  <si>
    <t>RSSH/PP: Education and production of new health workers (excluding community health workers)</t>
  </si>
  <si>
    <t>a1ODm000000GnvyMAC</t>
  </si>
  <si>
    <t>MCI-01400</t>
  </si>
  <si>
    <t>RSSH/PP: Remuneration and deployment of existing/new staff (excluding community health workers)</t>
  </si>
  <si>
    <t>a1ODm000000GnvzMAC</t>
  </si>
  <si>
    <t>MCI-01401</t>
  </si>
  <si>
    <t>RSSH/PP: In-service training (excluding community health workers)</t>
  </si>
  <si>
    <t>a1ODm000000Gnw0MAC</t>
  </si>
  <si>
    <t>MCI-01402</t>
  </si>
  <si>
    <t>RSSH/PP: Integrated supportive supervision for health workers (excluding CHWs)</t>
  </si>
  <si>
    <t>a1ODm000000Gnw1MAC</t>
  </si>
  <si>
    <t>MCI-01403</t>
  </si>
  <si>
    <t>RSSH/PP: Quality improvement and capacity building for quality of care</t>
  </si>
  <si>
    <t>a1ODm000000Gnw2MAC</t>
  </si>
  <si>
    <t>MCI-01404</t>
  </si>
  <si>
    <t>RSSH/PP: Community health workers: selection, pre-service training and certification</t>
  </si>
  <si>
    <t>a1ODm000000Gnw3MAC</t>
  </si>
  <si>
    <t>MCI-01405</t>
  </si>
  <si>
    <t>RSSH/PP: Community health workers: contracting, remuneration and retention</t>
  </si>
  <si>
    <t>a1ODm000000Gnw4MAC</t>
  </si>
  <si>
    <t>MCI-01406</t>
  </si>
  <si>
    <t>RSSH/PP: Community health workers: In-service training</t>
  </si>
  <si>
    <t>a1ODm000000Gnw5MAC</t>
  </si>
  <si>
    <t>MCI-01407</t>
  </si>
  <si>
    <t>RSSH/PP: Community health workers: Integrated supportive supervision</t>
  </si>
  <si>
    <t>a1ODm000000Gnw6MAC</t>
  </si>
  <si>
    <t>MCI-01485</t>
  </si>
  <si>
    <t>RSSH/PP: National laboratory governance and management structures</t>
  </si>
  <si>
    <t>a1ODm000000GnxMMAS</t>
  </si>
  <si>
    <t>MCI-01486</t>
  </si>
  <si>
    <t>RSSH/PP: Quality management systems and accreditation</t>
  </si>
  <si>
    <t>a1ODm000000GnxNMAS</t>
  </si>
  <si>
    <t>MCI-01487</t>
  </si>
  <si>
    <t>RSSH/PP: Laboratory Information systems</t>
  </si>
  <si>
    <t>a1ODm000000GnxOMAS</t>
  </si>
  <si>
    <t>MCI-01488</t>
  </si>
  <si>
    <t>RSSH/PP: Network optimization and geospatial analysis</t>
  </si>
  <si>
    <t>a1ODm000000GnxPMAS</t>
  </si>
  <si>
    <t>MCI-01489</t>
  </si>
  <si>
    <t>RSSH/PP: Laboratory-based surveillance</t>
  </si>
  <si>
    <t>a1ODm000000GnxQMAS</t>
  </si>
  <si>
    <t>MCI-01490</t>
  </si>
  <si>
    <t>RSSH/PP: Laboratory supply chain systems</t>
  </si>
  <si>
    <t>a1ODm000000GnxRMAS</t>
  </si>
  <si>
    <t>MCI-01491</t>
  </si>
  <si>
    <t>RSSH/PP: Specimen referral and transport system</t>
  </si>
  <si>
    <t>a1ODm000000GnxSMAS</t>
  </si>
  <si>
    <t>MCI-01492</t>
  </si>
  <si>
    <t>RSSH/PP: Biosafety and biosecurity, infrastructure and equipment</t>
  </si>
  <si>
    <t>a1ODm000000GnxTMAS</t>
  </si>
  <si>
    <t>MCI-01494</t>
  </si>
  <si>
    <t>RSSH/PP: Bulk Oxygen supply</t>
  </si>
  <si>
    <t>a1ODm000000GnxVMAS</t>
  </si>
  <si>
    <t>MCI-01495</t>
  </si>
  <si>
    <t>RSSH/PP: Oxygen distribution and storage</t>
  </si>
  <si>
    <t>a1ODm000000GnxWMAS</t>
  </si>
  <si>
    <t>MCI-01496</t>
  </si>
  <si>
    <t>RSSH/PP: Oxygen delivery and respiratory care</t>
  </si>
  <si>
    <t>a1ODm000000GnxXMAS</t>
  </si>
  <si>
    <t>MCI-01497</t>
  </si>
  <si>
    <t>RSSH/PP: Oxygen support systems</t>
  </si>
  <si>
    <t>a1ODm000000GnxYMAS</t>
  </si>
  <si>
    <t>MCI-01426</t>
  </si>
  <si>
    <t>Routine reporting</t>
  </si>
  <si>
    <t>a1ODm000000GnwPMAS</t>
  </si>
  <si>
    <t>MCI-01427</t>
  </si>
  <si>
    <t>Surveillance for HIV, tuberculosis and malaria</t>
  </si>
  <si>
    <t>a1ODm000000GnwQMAS</t>
  </si>
  <si>
    <t>MCI-01428</t>
  </si>
  <si>
    <t>RSSH/PP: Surveillance for priority epidemic-prone diseases and events</t>
  </si>
  <si>
    <t>a1ODm000000GnwRMAS</t>
  </si>
  <si>
    <t>MCI-01429</t>
  </si>
  <si>
    <t>Surveys</t>
  </si>
  <si>
    <t>a1ODm000000GnwSMAS</t>
  </si>
  <si>
    <t>MCI-01430</t>
  </si>
  <si>
    <t>Data quality</t>
  </si>
  <si>
    <t>a1ODm000000GnwTMAS</t>
  </si>
  <si>
    <t>MCI-01431</t>
  </si>
  <si>
    <t>Analyses, evaluations, reviews and data use</t>
  </si>
  <si>
    <t>a1ODm000000GnwUMAS</t>
  </si>
  <si>
    <t>MCI-01432</t>
  </si>
  <si>
    <t>Administrative data sources</t>
  </si>
  <si>
    <t>a1ODm000000GnwVMAS</t>
  </si>
  <si>
    <t>MCI-01433</t>
  </si>
  <si>
    <t>Civil registration and vital statistics</t>
  </si>
  <si>
    <t>a1ODm000000GnwWMAS</t>
  </si>
  <si>
    <t>MCI-01434</t>
  </si>
  <si>
    <t>Operational Research</t>
  </si>
  <si>
    <t>a1ODm000000GnwXMAS</t>
  </si>
  <si>
    <t>Funding Request Name</t>
  </si>
  <si>
    <t>FR1493-COD-C</t>
  </si>
  <si>
    <t>Country (Name)</t>
  </si>
  <si>
    <t>a1A360000013M2uEAE</t>
  </si>
  <si>
    <t>Group of Countries (Name)</t>
  </si>
  <si>
    <t>Grant</t>
  </si>
  <si>
    <t>Grant Name</t>
  </si>
  <si>
    <t>Geography (Name)</t>
  </si>
  <si>
    <t>Grant Countries</t>
  </si>
  <si>
    <t>Project (Name)</t>
  </si>
  <si>
    <t>Geography ID</t>
  </si>
  <si>
    <t>[Geography (Name)]</t>
  </si>
  <si>
    <t>[Project (Name)]</t>
  </si>
  <si>
    <t>Azerbaijan</t>
  </si>
  <si>
    <t>a1A360000013M0aEAE</t>
  </si>
  <si>
    <t>Belarus</t>
  </si>
  <si>
    <t>a1A360000013M0rEAE</t>
  </si>
  <si>
    <t>Georgia</t>
  </si>
  <si>
    <t>a1A360000013M0dEAE</t>
  </si>
  <si>
    <t>Kazakhstan</t>
  </si>
  <si>
    <t>a1A360000013M03EAE</t>
  </si>
  <si>
    <t>Kyrgyzstan</t>
  </si>
  <si>
    <t>a1A360000013M04EAE</t>
  </si>
  <si>
    <t>Moldova</t>
  </si>
  <si>
    <t>a1A360000013M0wEAE</t>
  </si>
  <si>
    <t>Turkmenistan</t>
  </si>
  <si>
    <t>a1A360000013M06EAE</t>
  </si>
  <si>
    <t>Ukraine</t>
  </si>
  <si>
    <t>a1A360000013M10EAE</t>
  </si>
  <si>
    <t>Uzbekistan</t>
  </si>
  <si>
    <t>a1A360000013M07EAE</t>
  </si>
  <si>
    <t>Tajikistan</t>
  </si>
  <si>
    <t>a1A360000013M05EAE</t>
  </si>
  <si>
    <t>Armenia</t>
  </si>
  <si>
    <t>a1A360000013M0ZEAU</t>
  </si>
  <si>
    <t>Djibouti</t>
  </si>
  <si>
    <t>a1A360000013M21EAE</t>
  </si>
  <si>
    <t>Ethiopia</t>
  </si>
  <si>
    <t>a1A360000013M2MEAU</t>
  </si>
  <si>
    <t>Kenya</t>
  </si>
  <si>
    <t>a1A360000013M2XEAU</t>
  </si>
  <si>
    <t>South Sudan</t>
  </si>
  <si>
    <t>a1A360000013M1zEAE</t>
  </si>
  <si>
    <t>Sudan</t>
  </si>
  <si>
    <t>a1A360000013M33EAE</t>
  </si>
  <si>
    <t>Uganda</t>
  </si>
  <si>
    <t>a1A360000013M2kEAE</t>
  </si>
  <si>
    <t>Somalia</t>
  </si>
  <si>
    <t>a1A360000013M2jEAE</t>
  </si>
  <si>
    <t>Benin</t>
  </si>
  <si>
    <t>a1A360000013M3CEAU</t>
  </si>
  <si>
    <t>Mongolia</t>
  </si>
  <si>
    <t>a1A360000013M0CEAU</t>
  </si>
  <si>
    <t>Bhutan</t>
  </si>
  <si>
    <t>a1A360000013M0SEAU</t>
  </si>
  <si>
    <t>Papua New Guinea</t>
  </si>
  <si>
    <t>a1A360000013M1dEAE</t>
  </si>
  <si>
    <t>Malaysia</t>
  </si>
  <si>
    <t>a1A360000013M0IEAU</t>
  </si>
  <si>
    <t>Timor-Leste</t>
  </si>
  <si>
    <t>a1A360000013M0NEAU</t>
  </si>
  <si>
    <t>Lao (Peoples Democratic Republic)</t>
  </si>
  <si>
    <t>a1A360000013M0HEAU</t>
  </si>
  <si>
    <t>IP Countries</t>
  </si>
  <si>
    <t>IP (Name)</t>
  </si>
  <si>
    <t>[Country (Name)]</t>
  </si>
  <si>
    <t>[IP (Name)]</t>
  </si>
  <si>
    <t>Grant Revision</t>
  </si>
  <si>
    <t>Being uploaded from PF(IP)</t>
  </si>
  <si>
    <t>Being uploaded from PF</t>
  </si>
  <si>
    <t>Population By Interventions</t>
  </si>
  <si>
    <t>No  Applicate</t>
  </si>
  <si>
    <t>[Allocation Cycle]</t>
  </si>
  <si>
    <t>Population By Coverage</t>
  </si>
  <si>
    <t>[Name]</t>
  </si>
  <si>
    <t>Performance Framework -Outcome Indicators - Section C</t>
  </si>
  <si>
    <t>Below table is to pull the Id's for respective fields only</t>
  </si>
  <si>
    <t>Outcome
Indicator
Number</t>
  </si>
  <si>
    <t>Rate Indicator</t>
  </si>
  <si>
    <t>Country Id</t>
  </si>
  <si>
    <t>Outcome Reference ID</t>
  </si>
  <si>
    <t>The increase in TB coverage (or detection rate) has evolved by an average of 4% between 2015 and 2021. In 2022, despite the significant jump in case notification with 30,364 additional cases compared to 2021, the base population used did not reflect the program's treatment coverage efforts. In fact, the population used by WHO was lower than the INS population (a gap of 8,448,783 in 2021). Based on these arguments, the country has applied in the NSP an increase in coverage of 4% in 2023 and 2024, and 6% in 2025 and 2026. Thus, the coverage rate provided for in the NSP is 80% in 2024, 86% in 2025 and 92% in 2026.</t>
  </si>
  <si>
    <t>The country has reported a 94% treatment success rate for susceptible TB. The efforts made in this application with the choice of a patient-centered approach, community involvement and decentralization of services will allow the country to reach at least the 95% therapeutic success rate of 2024-2026. (NSP Targets)</t>
  </si>
  <si>
    <t>Apart from the WHO TB-PR targets expected in the country, the NTP has calculated the number of cases expected among the notified cases. This calculation takes into account the prevalence of MDR-TB resistance among new cases (1.6%) and retreatments (20%) and the strategy of universal screening using rifampicin resistance diagnostic tests such as GeneXpert. This trend will be maintained by the NTP until the results of the drug resistance survey are available in 2023. The laboratory results showed that the Xpert test was widely used for reprocessing (81% in 2021). For new cases, the rate of Xpert testing has steadily increased from 9.1% in 2020 to 22% in 2021 (WHO Global TB report 2022). Following this reasoning, the expected number of PR-TB cases among notified cases would be 3547 in 2024, 3981 in 2025, and 4515 in 2026. The results of the NTP showed a capacity to cover 44.3% of the identified MDR-TB cases among notified patients in 2021 (NC + retreatment). With the activities of the MDR-TB acceleration plan, the Xpert test in 1st line and the Xpert testing strategy for all detected TB+ cases, an annual progression of 10% is expected to reach in 2026 90% of MDR-TB cases identified among notified cases. These targets are aligned with those of the performance framework of the new NSP.</t>
  </si>
  <si>
    <t>The country reports for the 2019 cohort a treatment success rate of 83% for MDR-TB patients put on treatment (80% for detected cases). the efforts made in this application with the choice of a patient-centered approach to MDR-TB, the expansion of the use of the new BPaL/BPaLM regimen, community involvement and the decentralization of services will enable the country to reach at least the 85% treatment success rate by 2024-2026. (NSP Target)</t>
  </si>
  <si>
    <t>Mapping report and key population estimates</t>
  </si>
  <si>
    <t>N: Number of men who have sex with men who reported using a condom the last time they had anal sex
D: Number of men who have sex with men who reported having anal sex with a male partner in the last six months 
The survey will be conducted in 2024 and the results will be published in 2025. The survey report will be submitted in February 2025.</t>
  </si>
  <si>
    <t>N: Number of transgender people who reported using a condom at last sex or anal sex
D: Number of transgender respondents who reported having sex or anal sex in the past six months
The survey will be conducted in 2024 and the results will be published in 2025. The survey report will be submitted in February 2025.</t>
  </si>
  <si>
    <t>N: number of sex workers who reported using a condom with their last client
D: number of sex workers who reported having sex in the last 12 months
The survey will be conducted in 2024 and the results will be published in 2025. The survey report will be submitted in February 2025.</t>
  </si>
  <si>
    <t>N: Number of people who used a new needle when they last injected the drug during the reporting period
D: Number of people who inject drugs who report injecting during the reporting period
The survey will be conducted in 2024 and the results will be published in 2025. The survey report will be submitted in February 2025.</t>
  </si>
  <si>
    <t>HIV program annual report</t>
  </si>
  <si>
    <t>N: Number of people living with HIV who know their HIV status
D: Number of people living with HIV
The contribution of the GF to knowledge of HIV status will be: 265,893 in 2024; 271,696 in 2025 and 276,573 in 2026.</t>
  </si>
  <si>
    <t>N: Number of people living with HIV who were started on ART 12 months prior to the start of the reporting period and have suppressed viral load
D: Number of people living with HIV who were started on ART 12 months prior to the beginning of the reporting year
The contribution of the GF to viral load access will be: 79,159 (30%) in 2024; 16,080 (50%) in 2025 and 268,311 (70%) in 2026</t>
  </si>
  <si>
    <t>Data Not Available</t>
  </si>
  <si>
    <t>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t>
  </si>
  <si>
    <t>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t>
  </si>
  <si>
    <t>Number of female patients with all forms of TB notified (i.e., bacteriologically confirmed + clinically diagnosed); *includes only those with new and relapse TB.</t>
  </si>
  <si>
    <t>TB program annual report</t>
  </si>
  <si>
    <t>The increase in TB coverage (or detection rate) has evolved on average by 4% between 2015 and 2021. The 2022 data being validated The country has implemented in the NSP an increase in coverage of 4% in 2023 and 2024, and 6% in 2025 and 2026 which will be achieved through the following strategies: 1) decentralization and provision of integrated and person-centered TB services; 2) optimization of the use of molecular diagnostic tools, expanding specimen transport with accurate mapping at the SLA level; 3) an efficient diagnostic network 4) expansion of the quality approach 5) implementation of active screening in key and vulnerable populations using digital radiography with CAD or not. The coverage rate planned in the NSP is 80% in 2024, 86% in 2025 and 92% in 2026. The country expects to reach 90% of the NSP target with the grant. Thus, the expected number of TB cases is 258,638 in 2024, 284,558 in 2025 and 311,540 in 2026. The contribution of women during the grant period is 44% per year, or 113,800 in 2024, 125,205 in 2025 and 137,077 in 2026.
This is a gender equity indicator.</t>
  </si>
  <si>
    <t>Performance Framework - Coverage Indicators - Section D</t>
  </si>
  <si>
    <t>Below table is used to pull Id's for respective fields</t>
  </si>
  <si>
    <t>Coverage Indicator Number</t>
  </si>
  <si>
    <t>Include in GF results</t>
  </si>
  <si>
    <t>Country / Scope of targets</t>
  </si>
  <si>
    <t>coverage displayMap row no.</t>
  </si>
  <si>
    <t>coverage target  dispalymap Row NO</t>
  </si>
  <si>
    <t>Reverse - standard indicator</t>
  </si>
  <si>
    <t>Reverse - custom indicator</t>
  </si>
  <si>
    <t>Coverage Indicator Reference ID</t>
  </si>
  <si>
    <t>DHIS2</t>
  </si>
  <si>
    <t>Yes</t>
  </si>
  <si>
    <t/>
  </si>
  <si>
    <t>The increase in TB coverage (or detection rate) has evolved on average by 4% between 2015 and 2021. The 2022 data being validated The country has implemented in the NSP an increase in coverage of 4% in 2023 and 2024, and 6% in 2025 and 2026 which will be achieved through the following strategies: 1) decentralization and provision of integrated and person-centered TB services; 2) optimization of the use of molecular diagnostic tools, expanding specimen transport with accurate mapping at the SLA level; 3) an efficient diagnostic network 4) expansion of the quality approach 5) implementation of active screening in key and vulnerable populations using digital radiography with CAD or not. The coverage rate planned in the NSP is 80% in 2024, 86% in 2025 and 92% in 2026. The country expects to reach 90% of the NSP target with the grant. Thus, the expected number of TB cases is 258,638 in 2024, 284,558 in 2025 and 311,540 in 2026.
This is an equity indicator.</t>
  </si>
  <si>
    <t>The country has reported a 94% treatment success rate for patients who repeat susceptible TB. The efforts made in this application with the choice of a patient-centered approach, community involvement and decentralization of services will enable the country to reach at least the 95% treatment success rate by 2024-2026 as expected as a target by WHO. (NSP targets).</t>
  </si>
  <si>
    <t>The DRC has experienced a significant increase in the number of Xpert machines available; by the end of 2023, the country will have a total of 341 Xpert machines and 38 Truenat machines. Combined with a strengthening of the sample transport system, with community actors and the purchase of X new machines and the application of the PATI 6 diagnostic algorithm (initial molecular diagnostic test in sites equipped with molecular devices), the NTP expects to screen at least 45% of patients with molecular tests by 2026.</t>
  </si>
  <si>
    <t>In 2022, 1614 RP-TB cases were reported and in 2021, 1236 RP-TB cases, which is an increase of 30%. With the implementation of the RP-TB acceleration plan, the increase of access to and optimization of the GeneXpert and Truenat machines, the implementation of the Xpert test for all confirmed TPB+ cases, the country plans to notify 9731 RP-TB patients over the 3 years: 2483 in 2024, 3185 in 2025 and 4063 in 2026.</t>
  </si>
  <si>
    <t>By 2021, the country will have treated 91% of detected cases of MDR-TB. In the NSP, the program foresees an extension of the decentralization of the management with a revitalization of the provincial MDR-TB committees with a particular emphasis on the importance of the rapid enrolment of the totality of the cases detected, i.e., 2322 in 2024, 2978 in 2025 and 3799 in 2026. The targets for the enrolment on treatment are aligned with those of the DR-TB2 indicator.</t>
  </si>
  <si>
    <t>The expected contribution for this GF grant application for the period 2024-2026 will cover 80% of the needs in year 1 and 70% in year 2 and 3. The support will be mainly for the purchase of the Isoniazid-rifapentine combination for children over 5 years of age and RH for children under 5 years of age in accordance with WHO guidelines adopted by the country, community support for contact tracing and reimbursement of transportation for contacts referred to health facilities. Priority in this application will be given to children under 5 years of age (74,581 in 2024, 97,950 in 2025 and 118,011 in 2026).</t>
  </si>
  <si>
    <t>This indicator is selected as an equity indicator. This target concerns prisoners. In 2021, the PNLT reported 1939 cases of TB among prisoners according to DHIS2 data. In collaboration with the HIV program and GIZ, an integrated action plan to fight TB in prisons for equity in access to TB care has been developed and will be implemented. This involves the implementation of systematic screening at the entrance of prisons, the improvement of laboratory services, and the improvement of case management in prisons.   Based on the 2021 target of 1939 TB patients screened, an increase rate of 4% per year is planned until 2026.</t>
  </si>
  <si>
    <t>This indicator is retained as an equity indicator. This target concerns miners (artisanal miners and mining companies). In 2021, the PNLT reported 8132 cases of TB among miners according to DHIS2 data.  Based on the 2021 target, the projection for the three years was made with an annual increase rate of 15%. For an equitable access to TB care, passive and active screening will be done in all these sites. For the passive screening, the presumed patients will be directed to the CSDT/CST and for the active screening, it will be a mass campaign with the collaboration of the RECOs for the transport of the samples to the CSDT. Collaboration with the mining companies will be implemented.   
This is an indicator of equity.</t>
  </si>
  <si>
    <t>In 2021, 77% of patients knew their HIV status, according to the DHIS2 data for 2021. Assuming that we will reach 80% in 2023, this proportion will increase to 83% in 2024, 86% in 2025 and 89% in 2026. The numerator is the number of TB patients (new and relapsed) who know their HIV status at a given time during their TB treatment and the denominator is the number of TB patients (new cases and relapsed) screened during the same insured period. Each year, the country aims to increase the number of patients who know their HIV status by 5%. 80% in 2024, 85% in 2025 and 90% in 2026.</t>
  </si>
  <si>
    <t>In 2021, 83% of HIV+ TB co-infected patients received ARV treatment. According to the 2021 DHIS2 data, this proportion is 90% in 2024, 92% in 2025 and 95% in 2025.     The numerator is HIV+ TB co-infected patients put on ARVs and the denominator is all HIV+ TB co-infected patients.</t>
  </si>
  <si>
    <t>N: Number of MSM who received a defined package of HIV prevention services
D: Estimated number of MSM in the target area
The GF contribution is 41,376 in 2024; 50,280 in 2025; and 59,477 in 2026.</t>
  </si>
  <si>
    <t>N: Number of MSM who received PrEP at least once during the reporting period
D: Number of MSM eligible for PrEP during the reporting period
The GF contribution is 2.850 in 2024; 4.011 in 2025 and 5.341 in 2026.
The PEPFAR-led pilot (FHI 360) in 2022 covered a target of 1214.</t>
  </si>
  <si>
    <t>N: Number of sex workers who received a defined package of HIV prevention services 
D: Estimated number of sex workers in the target area
The GF contribution is 105,108 in 2024; 127,727 in 2025 and 151,040 in 2026.</t>
  </si>
  <si>
    <t>N: Number of TS who received at least one PrEP product during the reporting period
D: Number of STs eligible for PrEP during the reporting period
The GF contribution is 6,904 in 2024; 8,356 in 2025 and 9,918 in 2026.
The pilot project conducted by PEPFAR (FHI 360) in 2022 covered a target of 4,460.</t>
  </si>
  <si>
    <t>N: Number of TGs who received a defined package of HIV prevention services
D: Estimated number of TGs in the target area
The GF contrbution is 10,774 in 2024; 14,320 in 2025 and 18,063 in 2026.
PrEP for the TG population is a new activity.</t>
  </si>
  <si>
    <t>N: Number of TGs who returned for PrEP for 3 consecutive months during the period
D: Number of TGs who were put on PrEP during the period
The GF contribution is 1.692 in 2024; 2.044 in 2025 and 2.386 in 2026.</t>
  </si>
  <si>
    <t>N: Number of IDUs who received a defined package of HIV prevention services
D: Estimated number of IDUs in the target area
The contribution of the GF to the prevention package will be: 15,744 in 2024; 22,320 in 2025 and 29,327 in 2026</t>
  </si>
  <si>
    <t>PrEP for IDUs is a new activity in the country.
The GF contribution to PrEP will be: 2.223 in 2024, 3.004 in 2025 and 3.888 in 2026. An annual increase of 5%.</t>
  </si>
  <si>
    <t>Performance Rating Tool</t>
  </si>
  <si>
    <t>N: Number of people in detention or other closed settings who received a defined package of HIV prevention services.
D: Number of people in detention or other closed settings in the target area
Baseline data: the baseline data available is 5,031 in 2021 (Performance Rating Tool - Jan a Dec 2021). This data does not take into account PEPFAR achievements. 
The GF Contribution is 11,158 in 2024; 13,347 in 2025 and 15,588 in 2026.</t>
  </si>
  <si>
    <t>N:Number of men who have sex with men who were tested for HIV during the reporting period in KP-specific programs and who know their results
D:Estimated number of men who have sex with men in KP-specific program areas
Activities for key populations are implemented but data are not captured by the national system.
The contribution of the GF is 40,300 in 2024; 49,274 in 2025 and 58,565 in 2026.</t>
  </si>
  <si>
    <t>N:Number of transgender people who were tested for HIV during the reporting period in KP-specific programs and who know their results
D:Estimated number of transgender people in KP-specific program areas
Activities for key populations are implemented but data are not captured by the national system.
GF Contribution is 10,774 in 2024; 14,320 in 2025 and 18,063 in 2026.</t>
  </si>
  <si>
    <t>N:Number of SWs who were tested for HIV during the reporting period in KP-specific programs and who know their results
D:Estimated number of SWs in KP-specific program areas
GF Contribution is 103,742 in 2024; 126,450 in 2025 and and 149983 in 2026.
Activities for key populations are being implemented but the data is not captured by the national system.</t>
  </si>
  <si>
    <t>N: Number of people who inject drugs who were tested for HIV during the reporting period and who know their results.
D: Estimated number of people who inject drugs in the target areas
Activities for key populations are being implemented but data are not being captured by the national system.
The GF contribution is 15,744 in 2024; 22,320 in 2025 and 29,327 in 2026.</t>
  </si>
  <si>
    <t>N: Number of people in detention or other closed settings who received a defined package of HIV prevention services.
D: Estimated number of people in detention or other closed settings in the target areas
Baseline data: the baseline data available is 4,676 in 2021 (Performance Rating Tool - Jan a Dec 2021). This data does not take into account PEPFAR achievements. For 2022, the suspension of RHs did not allow for consolidated data.
Activities for key populations are implemented but the reporting process is not captured by the national system.
The contribution of the GF is 11158 in 2024; 13347 in 2025 and 15588 in 2026.</t>
  </si>
  <si>
    <t>N: Number of self-testing kits distributed to all KP
The GF contribution is 25,950 in 2024; 31,254 in 2025 and 36,701 in 2026.</t>
  </si>
  <si>
    <t>N: Number of pregnant women who received antenatal care and/or delivered in a health facility, who were tested for HIV during pregnancy or who already knew they were infected with HIV
D: Number of pregnant women who received antenatal care and/or delivered in a health facility in the past 12 months
The GF contribution is 1,221,620 in 2024; 1,138,388 in 2025; and 1,549,051 in 2026.</t>
  </si>
  <si>
    <t>N: Number of HIV-exposed infants born in the last 12 months who had a virological test for HIV infection within 2 months of birth.
D: Number of HIV-infected pregnant women who gave birth in the last 12 months (indirect measure of the number of infants born to HIV-infected women).
The contribution of the GF is 6,759 in 2024; 8,695 in 2025 and 11,410 in 2026.</t>
  </si>
  <si>
    <t>Rapport Annuel PNLS</t>
  </si>
  <si>
    <t>Rapport Annuel PNLS/Spectrum V6.19</t>
  </si>
  <si>
    <t>Rapport annuel PNLS</t>
  </si>
  <si>
    <t>HPM Other - 1: Pourcentage des etablissements de sante disposant des medicaments ARV le jour de la visite ou du rapportage</t>
  </si>
  <si>
    <t xml:space="preserve">HMIS Jan-jun 2022 </t>
  </si>
  <si>
    <t>HPM Other -2: Pourcentage des etablissements de sante disposant de diagnostic VIH avec des elements traceurs le jour de la visite ou du rapportage</t>
  </si>
  <si>
    <t>HPM Other- 3: Pourcentage des établissements de santé disposant de médicaments traceurs pour la tuberculose le jour de la visite ou du rapportage</t>
  </si>
  <si>
    <t>N: Number of women attending antenatal care services who were tested for syphilis 
D: Number of women attending antenatal care services 
The GF contribution is 1,299,596 in 2024; 1,435,821 in 2025 and 1,580,665 in 2026.</t>
  </si>
  <si>
    <t>Performance Framework - Disaggregation - Section E</t>
  </si>
  <si>
    <t>Coverage</t>
  </si>
  <si>
    <t xml:space="preserve">                                                     </t>
  </si>
  <si>
    <t>Impact Indicator Disaggregation</t>
  </si>
  <si>
    <t>record id</t>
  </si>
  <si>
    <t xml:space="preserve">Impact Indicator Name </t>
  </si>
  <si>
    <t>Category</t>
  </si>
  <si>
    <t>Disaggregation</t>
  </si>
  <si>
    <t>Indicator-Disaggregation Reference 
(Name)</t>
  </si>
  <si>
    <t>Indicator-Disaggregation Reference ID</t>
  </si>
  <si>
    <t>Baseline data is not available. The IBBS survey planned for 2025 will incorporate this disaggregation +25</t>
  </si>
  <si>
    <t>The survey did not include the transgender population. The IBBS survey planned for 2025 will integrate this population with the disaggregation by sex</t>
  </si>
  <si>
    <t>Baseline data is not available. The IBBS survey planned for 2025 will integrate this population with the disaggregation by sex</t>
  </si>
  <si>
    <t>Data is from Spectrum v6.26</t>
  </si>
  <si>
    <t>Data cannot be generated by Spectrum v6.26</t>
  </si>
  <si>
    <t>Donnée ne peut pas etre générée par le Spectrum v6.26</t>
  </si>
  <si>
    <t>Spectrum 6.26</t>
  </si>
  <si>
    <t>Outcome Indicator Disaggregation</t>
  </si>
  <si>
    <t>Outcome Indicator Number</t>
  </si>
  <si>
    <t xml:space="preserve">Outcome Indicator Name </t>
  </si>
  <si>
    <t>Spectrum 6.19</t>
  </si>
  <si>
    <t>Coverage Indicator Disaggregation</t>
  </si>
  <si>
    <t xml:space="preserve">Coverage Indicator Name </t>
  </si>
  <si>
    <t>Adult coverage represents 87% of all forms</t>
  </si>
  <si>
    <t>Adult coverage represents 22% of all forms</t>
  </si>
  <si>
    <t>Children coverage represents 13.6% of all forms</t>
  </si>
  <si>
    <t>Men coverage represents 57% of all forms</t>
  </si>
  <si>
    <t>Coverage of patients with negative status represents 72% of all forms</t>
  </si>
  <si>
    <t>TP+ coverage represents 61% of all forms</t>
  </si>
  <si>
    <t>Women coverage represents 43% of all forms</t>
  </si>
  <si>
    <t>Coverage of positive patients represents 6% of all forms</t>
  </si>
  <si>
    <t>Not available</t>
  </si>
  <si>
    <t>Data not available because the NTP quarterly reporting form does not allow reporting on this indicator</t>
  </si>
  <si>
    <t>Treatment success rate in children is 91%.</t>
  </si>
  <si>
    <t>treatment success rate among HIV-positive people is 73.7%</t>
  </si>
  <si>
    <t>NTP report</t>
  </si>
  <si>
    <t>Percentage of adults with confirmed RR-TB and/or MDR-TB who were notified is 79.6%</t>
  </si>
  <si>
    <t>Percentage of patients with unknown HIV status with confirmed RR-TB and/or MDR-TB who were notified is 35.8%</t>
  </si>
  <si>
    <t>Percentage of children with confirmed RR-TB and/or  MDR-TB who were notified is 2.9%</t>
  </si>
  <si>
    <t>Percentage of men with confirmed RR-TB and/or  MDR-TB who were notified is 61%</t>
  </si>
  <si>
    <t>Percentage of patients with negative HIV status with confirmed RR-TB and/or MDR-TB who were notified is 59.87%</t>
  </si>
  <si>
    <t>Percentage of women with confirmed RR-TB and/or  MDR-TB who were notified is 38.8%</t>
  </si>
  <si>
    <t>Percentage of patients with positive HIV status with confirmed RR-TB and/or MDR-TB who were notified is 4.29%</t>
  </si>
  <si>
    <t>Percentage of adults with confirmed RR-TB and/or MDR-TB that began second line treatment is 86.7%</t>
  </si>
  <si>
    <t>Percentage of children with confirmed RR-TB and/or MDR-TB that began second line treatment is 4.29%</t>
  </si>
  <si>
    <t>Percentage of men with confirmed RR-TB and/or MDR-TB that began second line treatment is 55.5%</t>
  </si>
  <si>
    <t>Percentage of more individualized regimens of patients with confirmed RR-TB and/or MDR-TB that started second-line therapy is 0.40%</t>
  </si>
  <si>
    <t>Percentage of women with confirmed RR-TB and/or MDR-TB that began second line treatment is 38.8%</t>
  </si>
  <si>
    <t>Percentage of shorter regimens of patients with confirmed RR-TB and/or MDR-TB that started second-line therapy is 0.40%</t>
  </si>
  <si>
    <t>Percentage of HIV-negative TB patients registered (new  and relapse cases) with documented HIV status</t>
  </si>
  <si>
    <t>Percentage of HIV-positive TB patients registered (new  and relapse cases) with documented HIV status</t>
  </si>
  <si>
    <t>Disaggregated data not available. The activity will be taken into account from 2024 onwards</t>
  </si>
  <si>
    <t>Impact indicator  (section B)</t>
  </si>
  <si>
    <t>rownumber</t>
  </si>
  <si>
    <t>number to calculated id</t>
  </si>
  <si>
    <t>impact indicator no row for impact</t>
  </si>
  <si>
    <t>outcome indicator no row for outcome</t>
  </si>
  <si>
    <t>coverage indicator targets no row</t>
  </si>
  <si>
    <t>wptm results no row for wptm</t>
  </si>
  <si>
    <t>coverage idicator no row</t>
  </si>
  <si>
    <t>helper section d</t>
  </si>
  <si>
    <t>coverage target period no</t>
  </si>
  <si>
    <t>impact target period no</t>
  </si>
  <si>
    <t>coverage indicator disaggregation</t>
  </si>
  <si>
    <t>outcome indicator disaggregation</t>
  </si>
  <si>
    <t>impact indicator disaggregation</t>
  </si>
  <si>
    <t>Baseline D#</t>
  </si>
  <si>
    <t>Baseline N#</t>
  </si>
  <si>
    <t>Comment</t>
  </si>
  <si>
    <t>Impact Reference (Name)</t>
  </si>
  <si>
    <t>Responsible PR (Name)</t>
  </si>
  <si>
    <t>Impact Indicator Name</t>
  </si>
  <si>
    <t>Country Record ID</t>
  </si>
  <si>
    <t>Impact Reference Record ID</t>
  </si>
  <si>
    <t>[Responsible PR (Name)]</t>
  </si>
  <si>
    <t>[Impact Indicator Name]</t>
  </si>
  <si>
    <t>[Impact Indicator Number]</t>
  </si>
  <si>
    <t>a1IDm0000004lwoMAA</t>
  </si>
  <si>
    <t>2021</t>
  </si>
  <si>
    <t>a1IDm0000004lwpMAA</t>
  </si>
  <si>
    <t>a1IDm0000004lwqMAA</t>
  </si>
  <si>
    <t>a1IDm0000004lwrMAA</t>
  </si>
  <si>
    <t>2019</t>
  </si>
  <si>
    <t>a1IDm0000004lwsMAA</t>
  </si>
  <si>
    <t>a1IDm0000004lwtMAA</t>
  </si>
  <si>
    <t>a1IDm0000004lwuMAA</t>
  </si>
  <si>
    <t>a1IDm0000004lwvMAA</t>
  </si>
  <si>
    <t>2022</t>
  </si>
  <si>
    <t>a1IDm0000004lwwMAA</t>
  </si>
  <si>
    <t>a1IDm0000004lwxMAA</t>
  </si>
  <si>
    <t>a1IDm0000004lwyMAA</t>
  </si>
  <si>
    <t>a1IDm0000004lwzMAA</t>
  </si>
  <si>
    <t>a1IDm0000004lx0MAA</t>
  </si>
  <si>
    <t>a1IDm0000004lx1MAA</t>
  </si>
  <si>
    <t>a1IDm0000004lx2MAA</t>
  </si>
  <si>
    <t>Impact indicator targets  (section B)</t>
  </si>
  <si>
    <t>Impact Indicator (Name)</t>
  </si>
  <si>
    <t>countif</t>
  </si>
  <si>
    <t>calculated record id</t>
  </si>
  <si>
    <t>a1HDm000000c2ydMAA</t>
  </si>
  <si>
    <t>II-65879</t>
  </si>
  <si>
    <t>2024</t>
  </si>
  <si>
    <t>a1HDm000000c2ysMAA</t>
  </si>
  <si>
    <t>2025</t>
  </si>
  <si>
    <t>a1HDm000000c2z7MAA</t>
  </si>
  <si>
    <t>2026</t>
  </si>
  <si>
    <t>a1HDm000000c2zMMAQ</t>
  </si>
  <si>
    <t>a1HDm000000c2zbMAA</t>
  </si>
  <si>
    <t>a1HDm000000c2zqMAA</t>
  </si>
  <si>
    <t>a1HDm000000c2yeMAA</t>
  </si>
  <si>
    <t>II-65880</t>
  </si>
  <si>
    <t>a1HDm000000c2ytMAA</t>
  </si>
  <si>
    <t>a1HDm000000c2z8MAA</t>
  </si>
  <si>
    <t>a1HDm000000c2zNMAQ</t>
  </si>
  <si>
    <t>a1HDm000000c2zcMAA</t>
  </si>
  <si>
    <t>a1HDm000000c2zrMAA</t>
  </si>
  <si>
    <t>a1HDm000000c2yfMAA</t>
  </si>
  <si>
    <t>II-65881</t>
  </si>
  <si>
    <t>a1HDm000000c2yuMAA</t>
  </si>
  <si>
    <t>a1HDm000000c2z9MAA</t>
  </si>
  <si>
    <t>a1HDm000000c2zOMAQ</t>
  </si>
  <si>
    <t>a1HDm000000c2zdMAA</t>
  </si>
  <si>
    <t>a1HDm000000c2zsMAA</t>
  </si>
  <si>
    <t>a1HDm000000c2ygMAA</t>
  </si>
  <si>
    <t>II-65882</t>
  </si>
  <si>
    <t>a1HDm000000c2yvMAA</t>
  </si>
  <si>
    <t>a1HDm000000c2zAMAQ</t>
  </si>
  <si>
    <t>a1HDm000000c2zPMAQ</t>
  </si>
  <si>
    <t>a1HDm000000c2zeMAA</t>
  </si>
  <si>
    <t>a1HDm000000c2ztMAA</t>
  </si>
  <si>
    <t>a1HDm000000c2yhMAA</t>
  </si>
  <si>
    <t>II-65883</t>
  </si>
  <si>
    <t>a1HDm000000c2ywMAA</t>
  </si>
  <si>
    <t>a1HDm000000c2zBMAQ</t>
  </si>
  <si>
    <t>a1HDm000000c2zQMAQ</t>
  </si>
  <si>
    <t>a1HDm000000c2zfMAA</t>
  </si>
  <si>
    <t>a1HDm000000c2zuMAA</t>
  </si>
  <si>
    <t>a1HDm000000c2yiMAA</t>
  </si>
  <si>
    <t>II-65884</t>
  </si>
  <si>
    <t>a1HDm000000c2yxMAA</t>
  </si>
  <si>
    <t>a1HDm000000c2zCMAQ</t>
  </si>
  <si>
    <t>a1HDm000000c2zRMAQ</t>
  </si>
  <si>
    <t>a1HDm000000c2zgMAA</t>
  </si>
  <si>
    <t>a1HDm000000c2zvMAA</t>
  </si>
  <si>
    <t>a1HDm000000c2yjMAA</t>
  </si>
  <si>
    <t>II-65885</t>
  </si>
  <si>
    <t>a1HDm000000c2yyMAA</t>
  </si>
  <si>
    <t>a1HDm000000c2zDMAQ</t>
  </si>
  <si>
    <t>a1HDm000000c2zSMAQ</t>
  </si>
  <si>
    <t>a1HDm000000c2zhMAA</t>
  </si>
  <si>
    <t>a1HDm000000c2zwMAA</t>
  </si>
  <si>
    <t>a1HDm000000c2ykMAA</t>
  </si>
  <si>
    <t>II-65886</t>
  </si>
  <si>
    <t>a1HDm000000c2yzMAA</t>
  </si>
  <si>
    <t>a1HDm000000c2zEMAQ</t>
  </si>
  <si>
    <t>a1HDm000000c2zTMAQ</t>
  </si>
  <si>
    <t>a1HDm000000c2ziMAA</t>
  </si>
  <si>
    <t>a1HDm000000c2zxMAA</t>
  </si>
  <si>
    <t>a1HDm000000c2ylMAA</t>
  </si>
  <si>
    <t>II-65887</t>
  </si>
  <si>
    <t>a1HDm000000c2z0MAA</t>
  </si>
  <si>
    <t>a1HDm000000c2zFMAQ</t>
  </si>
  <si>
    <t>a1HDm000000c2zUMAQ</t>
  </si>
  <si>
    <t>a1HDm000000c2zjMAA</t>
  </si>
  <si>
    <t>a1HDm000000c2zyMAA</t>
  </si>
  <si>
    <t>a1HDm000000c2ymMAA</t>
  </si>
  <si>
    <t>II-65888</t>
  </si>
  <si>
    <t>a1HDm000000c2z1MAA</t>
  </si>
  <si>
    <t>a1HDm000000c2zGMAQ</t>
  </si>
  <si>
    <t>a1HDm000000c2zVMAQ</t>
  </si>
  <si>
    <t>a1HDm000000c2zkMAA</t>
  </si>
  <si>
    <t>a1HDm000000c2zzMAA</t>
  </si>
  <si>
    <t>a1HDm000000c2ynMAA</t>
  </si>
  <si>
    <t>II-65889</t>
  </si>
  <si>
    <t>a1HDm000000c2z2MAA</t>
  </si>
  <si>
    <t>a1HDm000000c2zHMAQ</t>
  </si>
  <si>
    <t>a1HDm000000c2zWMAQ</t>
  </si>
  <si>
    <t>a1HDm000000c2zlMAA</t>
  </si>
  <si>
    <t>a1HDm000000c300MAA</t>
  </si>
  <si>
    <t>a1HDm000000c2yoMAA</t>
  </si>
  <si>
    <t>II-65890</t>
  </si>
  <si>
    <t>a1HDm000000c2z3MAA</t>
  </si>
  <si>
    <t>a1HDm000000c2zIMAQ</t>
  </si>
  <si>
    <t>a1HDm000000c2zXMAQ</t>
  </si>
  <si>
    <t>a1HDm000000c2zmMAA</t>
  </si>
  <si>
    <t>a1HDm000000c301MAA</t>
  </si>
  <si>
    <t>a1HDm000000c2ypMAA</t>
  </si>
  <si>
    <t>II-65891</t>
  </si>
  <si>
    <t>a1HDm000000c2z4MAA</t>
  </si>
  <si>
    <t>a1HDm000000c2zJMAQ</t>
  </si>
  <si>
    <t>a1HDm000000c2zYMAQ</t>
  </si>
  <si>
    <t>a1HDm000000c2znMAA</t>
  </si>
  <si>
    <t>a1HDm000000c302MAA</t>
  </si>
  <si>
    <t>a1HDm000000c2yqMAA</t>
  </si>
  <si>
    <t>II-65892</t>
  </si>
  <si>
    <t>a1HDm000000c2z5MAA</t>
  </si>
  <si>
    <t>a1HDm000000c2zKMAQ</t>
  </si>
  <si>
    <t>a1HDm000000c2zZMAQ</t>
  </si>
  <si>
    <t>a1HDm000000c2zoMAA</t>
  </si>
  <si>
    <t>a1HDm000000c303MAA</t>
  </si>
  <si>
    <t>a1HDm000000c2yrMAA</t>
  </si>
  <si>
    <t>II-65893</t>
  </si>
  <si>
    <t>a1HDm000000c2z6MAA</t>
  </si>
  <si>
    <t>a1HDm000000c2zLMAQ</t>
  </si>
  <si>
    <t>a1HDm000000c2zaMAA</t>
  </si>
  <si>
    <t>a1HDm000000c2zpMAA</t>
  </si>
  <si>
    <t>a1HDm000000c304MAA</t>
  </si>
  <si>
    <t>Outcome indicators (section C)</t>
  </si>
  <si>
    <t>Outcome Number</t>
  </si>
  <si>
    <t>Custom Outcome Indicator</t>
  </si>
  <si>
    <t>Outcome Reference (Name)</t>
  </si>
  <si>
    <t>Outcome Indicator Name</t>
  </si>
  <si>
    <t>Outcome Reference Record ID</t>
  </si>
  <si>
    <t>[Outcome Indicator Name]</t>
  </si>
  <si>
    <t>a1XDm000000GpaBMAS</t>
  </si>
  <si>
    <t>a1XDm000000GpaCMAS</t>
  </si>
  <si>
    <t>a1XDm000000GpaDMAS</t>
  </si>
  <si>
    <t>a1XDm000000GpaEMAS</t>
  </si>
  <si>
    <t>a1XDm000000GpaFMAS</t>
  </si>
  <si>
    <t>a1XDm000000GpaGMAS</t>
  </si>
  <si>
    <t>a1XDm000000GpaHMAS</t>
  </si>
  <si>
    <t>a1XDm000000GpaIMAS</t>
  </si>
  <si>
    <t>a1XDm000000GpaJMAS</t>
  </si>
  <si>
    <t>a1XDm000000GpaKMAS</t>
  </si>
  <si>
    <t>a1XDm000000GpaLMAS</t>
  </si>
  <si>
    <t>a1XDm000000GpaMMAS</t>
  </si>
  <si>
    <t>a1XDm000000GpaNMAS</t>
  </si>
  <si>
    <t>a1XDm000000GpaOMAS</t>
  </si>
  <si>
    <t>a1XDm000000GpaPMAS</t>
  </si>
  <si>
    <t>Outcome indicators Targets (section C)</t>
  </si>
  <si>
    <t>Outcome Indicator Baseline ID (Name)</t>
  </si>
  <si>
    <t>a1WDm000000c5VeMAI</t>
  </si>
  <si>
    <t>OI-65310</t>
  </si>
  <si>
    <t>a1WDm000000c5VtMAI</t>
  </si>
  <si>
    <t>a1WDm000000c5W8MAI</t>
  </si>
  <si>
    <t>a1WDm000000c5WNMAY</t>
  </si>
  <si>
    <t>a1WDm000000c5WcMAI</t>
  </si>
  <si>
    <t>a1WDm000000c5WrMAI</t>
  </si>
  <si>
    <t>a1WDm000000c5VfMAI</t>
  </si>
  <si>
    <t>OI-65311</t>
  </si>
  <si>
    <t>a1WDm000000c5VuMAI</t>
  </si>
  <si>
    <t>a1WDm000000c5W9MAI</t>
  </si>
  <si>
    <t>a1WDm000000c5WOMAY</t>
  </si>
  <si>
    <t>a1WDm000000c5WdMAI</t>
  </si>
  <si>
    <t>a1WDm000000c5WsMAI</t>
  </si>
  <si>
    <t>a1WDm000000c5VgMAI</t>
  </si>
  <si>
    <t>OI-65312</t>
  </si>
  <si>
    <t>a1WDm000000c5VvMAI</t>
  </si>
  <si>
    <t>a1WDm000000c5WAMAY</t>
  </si>
  <si>
    <t>a1WDm000000c5WPMAY</t>
  </si>
  <si>
    <t>a1WDm000000c5WeMAI</t>
  </si>
  <si>
    <t>a1WDm000000c5WtMAI</t>
  </si>
  <si>
    <t>a1WDm000000c5VhMAI</t>
  </si>
  <si>
    <t>OI-65313</t>
  </si>
  <si>
    <t>a1WDm000000c5VwMAI</t>
  </si>
  <si>
    <t>a1WDm000000c5WBMAY</t>
  </si>
  <si>
    <t>a1WDm000000c5WQMAY</t>
  </si>
  <si>
    <t>a1WDm000000c5WfMAI</t>
  </si>
  <si>
    <t>a1WDm000000c5WuMAI</t>
  </si>
  <si>
    <t>a1WDm000000c5ViMAI</t>
  </si>
  <si>
    <t>OI-65314</t>
  </si>
  <si>
    <t>a1WDm000000c5VxMAI</t>
  </si>
  <si>
    <t>a1WDm000000c5WCMAY</t>
  </si>
  <si>
    <t>a1WDm000000c5WRMAY</t>
  </si>
  <si>
    <t>a1WDm000000c5WgMAI</t>
  </si>
  <si>
    <t>a1WDm000000c5WvMAI</t>
  </si>
  <si>
    <t>a1WDm000000c5VjMAI</t>
  </si>
  <si>
    <t>OI-65315</t>
  </si>
  <si>
    <t>a1WDm000000c5VyMAI</t>
  </si>
  <si>
    <t>a1WDm000000c5WDMAY</t>
  </si>
  <si>
    <t>a1WDm000000c5WSMAY</t>
  </si>
  <si>
    <t>a1WDm000000c5WhMAI</t>
  </si>
  <si>
    <t>a1WDm000000c5WwMAI</t>
  </si>
  <si>
    <t>a1WDm000000c5VkMAI</t>
  </si>
  <si>
    <t>OI-65316</t>
  </si>
  <si>
    <t>a1WDm000000c5VzMAI</t>
  </si>
  <si>
    <t>a1WDm000000c5WEMAY</t>
  </si>
  <si>
    <t>a1WDm000000c5WTMAY</t>
  </si>
  <si>
    <t>a1WDm000000c5WiMAI</t>
  </si>
  <si>
    <t>a1WDm000000c5WxMAI</t>
  </si>
  <si>
    <t>a1WDm000000c5VlMAI</t>
  </si>
  <si>
    <t>OI-65317</t>
  </si>
  <si>
    <t>a1WDm000000c5W0MAI</t>
  </si>
  <si>
    <t>a1WDm000000c5WFMAY</t>
  </si>
  <si>
    <t>a1WDm000000c5WUMAY</t>
  </si>
  <si>
    <t>a1WDm000000c5WjMAI</t>
  </si>
  <si>
    <t>a1WDm000000c5WyMAI</t>
  </si>
  <si>
    <t>a1WDm000000c5VmMAI</t>
  </si>
  <si>
    <t>OI-65318</t>
  </si>
  <si>
    <t>a1WDm000000c5W1MAI</t>
  </si>
  <si>
    <t>a1WDm000000c5WGMAY</t>
  </si>
  <si>
    <t>a1WDm000000c5WVMAY</t>
  </si>
  <si>
    <t>a1WDm000000c5WkMAI</t>
  </si>
  <si>
    <t>a1WDm000000c5WzMAI</t>
  </si>
  <si>
    <t>a1WDm000000c5VnMAI</t>
  </si>
  <si>
    <t>OI-65319</t>
  </si>
  <si>
    <t>a1WDm000000c5W2MAI</t>
  </si>
  <si>
    <t>a1WDm000000c5WHMAY</t>
  </si>
  <si>
    <t>a1WDm000000c5WWMAY</t>
  </si>
  <si>
    <t>a1WDm000000c5WlMAI</t>
  </si>
  <si>
    <t>a1WDm000000c5X0MAI</t>
  </si>
  <si>
    <t>a1WDm000000c5VoMAI</t>
  </si>
  <si>
    <t>OI-65320</t>
  </si>
  <si>
    <t>a1WDm000000c5W3MAI</t>
  </si>
  <si>
    <t>a1WDm000000c5WIMAY</t>
  </si>
  <si>
    <t>a1WDm000000c5WXMAY</t>
  </si>
  <si>
    <t>a1WDm000000c5WmMAI</t>
  </si>
  <si>
    <t>a1WDm000000c5X1MAI</t>
  </si>
  <si>
    <t>a1WDm000000c5VpMAI</t>
  </si>
  <si>
    <t>OI-65321</t>
  </si>
  <si>
    <t>a1WDm000000c5W4MAI</t>
  </si>
  <si>
    <t>a1WDm000000c5WJMAY</t>
  </si>
  <si>
    <t>a1WDm000000c5WYMAY</t>
  </si>
  <si>
    <t>a1WDm000000c5WnMAI</t>
  </si>
  <si>
    <t>a1WDm000000c5X2MAI</t>
  </si>
  <si>
    <t>a1WDm000000c5VqMAI</t>
  </si>
  <si>
    <t>OI-65322</t>
  </si>
  <si>
    <t>a1WDm000000c5W5MAI</t>
  </si>
  <si>
    <t>a1WDm000000c5WKMAY</t>
  </si>
  <si>
    <t>a1WDm000000c5WZMAY</t>
  </si>
  <si>
    <t>a1WDm000000c5WoMAI</t>
  </si>
  <si>
    <t>a1WDm000000c5X3MAI</t>
  </si>
  <si>
    <t>a1WDm000000c5VrMAI</t>
  </si>
  <si>
    <t>OI-65323</t>
  </si>
  <si>
    <t>a1WDm000000c5W6MAI</t>
  </si>
  <si>
    <t>a1WDm000000c5WLMAY</t>
  </si>
  <si>
    <t>a1WDm000000c5WaMAI</t>
  </si>
  <si>
    <t>a1WDm000000c5WpMAI</t>
  </si>
  <si>
    <t>a1WDm000000c5X4MAI</t>
  </si>
  <si>
    <t>a1WDm000000c5VsMAI</t>
  </si>
  <si>
    <t>OI-65324</t>
  </si>
  <si>
    <t>a1WDm000000c5W7MAI</t>
  </si>
  <si>
    <t>a1WDm000000c5WMMAY</t>
  </si>
  <si>
    <t>a1WDm000000c5WbMAI</t>
  </si>
  <si>
    <t>a1WDm000000c5WqMAI</t>
  </si>
  <si>
    <t>a1WDm000000c5X5MAI</t>
  </si>
  <si>
    <t>Coverage indicators (secton D)</t>
  </si>
  <si>
    <t>Coverage Indicator Reference ID (Name)</t>
  </si>
  <si>
    <t>Module ID (Name)</t>
  </si>
  <si>
    <t>Year</t>
  </si>
  <si>
    <t>Population (Name)</t>
  </si>
  <si>
    <t>Custom Coverage Indicator Name - EN</t>
  </si>
  <si>
    <t>Geographic Coverage</t>
  </si>
  <si>
    <t>Rating Cumulation Type</t>
  </si>
  <si>
    <t>Subset</t>
  </si>
  <si>
    <t>Coverage Indicator Name</t>
  </si>
  <si>
    <t>Reversed indicator</t>
  </si>
  <si>
    <t>Coverage Indicator Reference ID Record ID</t>
  </si>
  <si>
    <t>Module Record ID</t>
  </si>
  <si>
    <t>[Coverage Indicator Number]</t>
  </si>
  <si>
    <t>[Coverage Indicator Name]</t>
  </si>
  <si>
    <t>[Module Name]</t>
  </si>
  <si>
    <t>a18Dm000000Gw6sIAC</t>
  </si>
  <si>
    <t>a18Dm000000Gw6tIAC</t>
  </si>
  <si>
    <t>a18Dm000000Gw6uIAC</t>
  </si>
  <si>
    <t>a18Dm000000Gw6vIAC</t>
  </si>
  <si>
    <t>a18Dm000000Gw6wIAC</t>
  </si>
  <si>
    <t>a18Dm000000Gw6xIAC</t>
  </si>
  <si>
    <t>a18Dm000000Gw6yIAC</t>
  </si>
  <si>
    <t>a18Dm000000Gw6zIAC</t>
  </si>
  <si>
    <t>a18Dm000000Gw70IAC</t>
  </si>
  <si>
    <t>a18Dm000000Gw71IAC</t>
  </si>
  <si>
    <t>a18Dm000000Gw72IAC</t>
  </si>
  <si>
    <t>a18Dm000000Gw73IAC</t>
  </si>
  <si>
    <t>a18Dm000000Gw74IAC</t>
  </si>
  <si>
    <t>a18Dm000000Gw75IAC</t>
  </si>
  <si>
    <t>a18Dm000000Gw76IAC</t>
  </si>
  <si>
    <t>a18Dm000000Gw77IAC</t>
  </si>
  <si>
    <t>a18Dm000000Gw78IAC</t>
  </si>
  <si>
    <t>a18Dm000000Gw79IAC</t>
  </si>
  <si>
    <t>a18Dm000000Gw7AIAS</t>
  </si>
  <si>
    <t>a18Dm000000Gw7BIAS</t>
  </si>
  <si>
    <t>a18Dm000000Gw7CIAS</t>
  </si>
  <si>
    <t>a18Dm000000Gw7DIAS</t>
  </si>
  <si>
    <t>a18Dm000000Gw7EIAS</t>
  </si>
  <si>
    <t>a18Dm000000Gw7FIAS</t>
  </si>
  <si>
    <t>a18Dm000000Gw7GIAS</t>
  </si>
  <si>
    <t>a18Dm000000Gw7HIAS</t>
  </si>
  <si>
    <t>a18Dm000000Gw7IIAS</t>
  </si>
  <si>
    <t>a18Dm000000Gw7JIAS</t>
  </si>
  <si>
    <t>a18Dm000000Gw7KIAS</t>
  </si>
  <si>
    <t>a18Dm000000Gw7LIAS</t>
  </si>
  <si>
    <t>a18Dm000000HUr6IAG</t>
  </si>
  <si>
    <t>The percentage of people on ART among all people living with HIV at the end of the reporting period is an indicator of equity
N: Number of people on ART at the end of the reporting period
D: Estimated number of people living with HIV
The contribution of the GF is 253,799 in 2024; 265,607 in 2025 and 276,513 in 2026.
This is an equity indicator.</t>
  </si>
  <si>
    <t>a18Dm000000HUr7IAG</t>
  </si>
  <si>
    <t>N: Number of adults (15 years and older) on ART at the end of the reporting period
D: Estimated number of adults (15 years and older) living with HIV
The GF contribution is 230,964 in 2024; 237,328 in 2025 and 243,373 in 2026.
This is an equity indicator.
In 2021, 420,364 adult PLHIV, including 269,620 women and 150,744 men, received ARV treatment based on an estimate of 45,4696 adult PLHIV. The reference to the results obtained in 2021 is due to the fact that the NACP and its PEPFAR partners conducted a DQA in July 2022 in 47 high-volume health facilities comparing the data reported in the NACP's unique reporting framework, the DHIS2, and the Datim, which is PEPFAR's specific reporting tool. This exercise was completed by a small PEPFAR team in November 2022 in 27 health facilities to verify the data of the commodities at the level of the Drug Distribution Centers compared to the active file of patients on ARVs reported in 2022. This comparison showed a tendency to overestimate the active file, ranging from 40 to 60%, with an average of 25% among adults. This trend was not observed in the active file of children on ARV (under 15 years of age). This DQA raises the need to reset the active file in all the ARV treatment facilities (686) supported by PEPFAR in the DRC. While waiting for this update of the 2022 active file, the 2021 data published remain the reference source</t>
  </si>
  <si>
    <t>a18Dm000000HUr8IAG</t>
  </si>
  <si>
    <t>The percentage of children (under 15) on ART among all children living with HIV at the end of the reporting period is an indicator of equity
Number of adults (15 years and older) on ART at the end of the reporting period
Estimated number of adults (15+) living with HIV
The GF contribution is 18,712 in 2024; 22,447 in 2025 and 25,609 in 2026. 
This is an equity indicator.</t>
  </si>
  <si>
    <t>a18Dm000000HUr9IAG</t>
  </si>
  <si>
    <t>HIV program annual report/Spectrum V6.19</t>
  </si>
  <si>
    <t>N: number of HIV-infected pregnant or breastfeeding women on ART (6 and) 12 months after initiation of ART (if ART is initiated after the woman becomes pregnant)
D: number of pregnant women for whom ART was started (6 and)12 months before the start of the reporting period
The contribution of the GF is 10,223 in 2024; 12,789 in 2025 and 16,406 in 2026.</t>
  </si>
  <si>
    <t>a18Dm000000HUrAIAW</t>
  </si>
  <si>
    <t>N: Number of people living with HIV and receiving antiretroviral therapy who had at least one routine viral load test result during the reporting period.
D: Number of people living with HIV who have been on antiretroviral therapy for at least six months
The contribution of the GF for the return of viral load results will be: 99,179 in 2024; 116,168 in 2025 and 171,970 in 2026 with a margin of progression of viral load access averaging 10% per year.</t>
  </si>
  <si>
    <t>a18Dm000000HUrBIAW</t>
  </si>
  <si>
    <t>N: Number of people living with HIV newly enrolled in HIV care with active TB during the reporting period.
D: Number of people living with HIV newly enrolled in HIV care (pre-ART and ART) during the reporting period.
The contribution of the GF is 31,793 in 2024; 30,809 in 2025 and 29,666 in 2026.</t>
  </si>
  <si>
    <t>a18Dm000000HUrCIAW</t>
  </si>
  <si>
    <t>N: Total number of people living with HIV newly enrolled in HIV care who start treatment for latent TB infection (e.g. IPT) during the reporting period. 
D: Total number of people newly enrolled in HIV care, i.e., who are registered in pre-ART or ART registries during the reporting period, excluding confirmed TB cases.
The contribution of the GF is 20,406 in 2024; 20,815 in 2025 and 20042 in 2026.</t>
  </si>
  <si>
    <t>a18Dm000000HUrDIAW</t>
  </si>
  <si>
    <t>N: Number of reports received from HFs
D: Number of HFs that are required to send reports
The expected number of reports is 4,513 in 2024; 4,518 in 2025 and 4,522 in 2026.</t>
  </si>
  <si>
    <t>a18Dm000000HUrEIAW</t>
  </si>
  <si>
    <t>N: Number of HFs reports submitted on time
D: Number of HFs that are required to send reports
The number of HF reports submitted on time is 4132 in 2024; 4155 in 2025 and 4178 in 2026.</t>
  </si>
  <si>
    <t>Coverage Indicator Targets (section D)</t>
  </si>
  <si>
    <t>Coverage Indicator ID (Name)</t>
  </si>
  <si>
    <t>calculated Coverage Indicator Number</t>
  </si>
  <si>
    <t>Due for Reporting</t>
  </si>
  <si>
    <t>[Due for Reporting]</t>
  </si>
  <si>
    <t>a17Dm000001PuZuIAK</t>
  </si>
  <si>
    <t>CI-135752</t>
  </si>
  <si>
    <t>a17Dm000001PuaOIAS</t>
  </si>
  <si>
    <t>a17Dm000001PuasIAC</t>
  </si>
  <si>
    <t>a17Dm000001PubMIAS</t>
  </si>
  <si>
    <t>a17Dm000001PubqIAC</t>
  </si>
  <si>
    <t>a17Dm000001PucKIAS</t>
  </si>
  <si>
    <t>a17Dm000001PuZvIAK</t>
  </si>
  <si>
    <t>CI-135753</t>
  </si>
  <si>
    <t>a17Dm000001PuaPIAS</t>
  </si>
  <si>
    <t>a17Dm000001PuatIAC</t>
  </si>
  <si>
    <t>a17Dm000001PubNIAS</t>
  </si>
  <si>
    <t>a17Dm000001PubrIAC</t>
  </si>
  <si>
    <t>a17Dm000001PucLIAS</t>
  </si>
  <si>
    <t>a17Dm000001PuZwIAK</t>
  </si>
  <si>
    <t>CI-135754</t>
  </si>
  <si>
    <t>a17Dm000001PuaQIAS</t>
  </si>
  <si>
    <t>a17Dm000001PuauIAC</t>
  </si>
  <si>
    <t>a17Dm000001PubOIAS</t>
  </si>
  <si>
    <t>a17Dm000001PubsIAC</t>
  </si>
  <si>
    <t>a17Dm000001PucMIAS</t>
  </si>
  <si>
    <t>a17Dm000001PuZxIAK</t>
  </si>
  <si>
    <t>CI-135755</t>
  </si>
  <si>
    <t>a17Dm000001PuaRIAS</t>
  </si>
  <si>
    <t>a17Dm000001PuavIAC</t>
  </si>
  <si>
    <t>a17Dm000001PubPIAS</t>
  </si>
  <si>
    <t>a17Dm000001PubtIAC</t>
  </si>
  <si>
    <t>a17Dm000001PucNIAS</t>
  </si>
  <si>
    <t>a17Dm000001PuZyIAK</t>
  </si>
  <si>
    <t>CI-135756</t>
  </si>
  <si>
    <t>a17Dm000001PuaSIAS</t>
  </si>
  <si>
    <t>a17Dm000001PuawIAC</t>
  </si>
  <si>
    <t>a17Dm000001PubQIAS</t>
  </si>
  <si>
    <t>a17Dm000001PubuIAC</t>
  </si>
  <si>
    <t>a17Dm000001PucOIAS</t>
  </si>
  <si>
    <t>a17Dm000001PuZzIAK</t>
  </si>
  <si>
    <t>CI-135757</t>
  </si>
  <si>
    <t>a17Dm000001PuaTIAS</t>
  </si>
  <si>
    <t>a17Dm000001PuaxIAC</t>
  </si>
  <si>
    <t>a17Dm000001PubRIAS</t>
  </si>
  <si>
    <t>a17Dm000001PubvIAC</t>
  </si>
  <si>
    <t>a17Dm000001PucPIAS</t>
  </si>
  <si>
    <t>a17Dm000001Pua0IAC</t>
  </si>
  <si>
    <t>CI-135758</t>
  </si>
  <si>
    <t>a17Dm000001PuaUIAS</t>
  </si>
  <si>
    <t>a17Dm000001PuayIAC</t>
  </si>
  <si>
    <t>a17Dm000001PubSIAS</t>
  </si>
  <si>
    <t>a17Dm000001PubwIAC</t>
  </si>
  <si>
    <t>a17Dm000001PucQIAS</t>
  </si>
  <si>
    <t>a17Dm000001Pua1IAC</t>
  </si>
  <si>
    <t>CI-135759</t>
  </si>
  <si>
    <t>a17Dm000001PuaVIAS</t>
  </si>
  <si>
    <t>a17Dm000001PuazIAC</t>
  </si>
  <si>
    <t>a17Dm000001PubTIAS</t>
  </si>
  <si>
    <t>a17Dm000001PubxIAC</t>
  </si>
  <si>
    <t>a17Dm000001PucRIAS</t>
  </si>
  <si>
    <t>a17Dm000001Pua2IAC</t>
  </si>
  <si>
    <t>CI-135760</t>
  </si>
  <si>
    <t>a17Dm000001PuaWIAS</t>
  </si>
  <si>
    <t>a17Dm000001Pub0IAC</t>
  </si>
  <si>
    <t>a17Dm000001PubUIAS</t>
  </si>
  <si>
    <t>a17Dm000001PubyIAC</t>
  </si>
  <si>
    <t>a17Dm000001PucSIAS</t>
  </si>
  <si>
    <t>a17Dm000001Pua3IAC</t>
  </si>
  <si>
    <t>CI-135761</t>
  </si>
  <si>
    <t>a17Dm000001PuaXIAS</t>
  </si>
  <si>
    <t>a17Dm000001Pub1IAC</t>
  </si>
  <si>
    <t>a17Dm000001PubVIAS</t>
  </si>
  <si>
    <t>a17Dm000001PubzIAC</t>
  </si>
  <si>
    <t>a17Dm000001PucTIAS</t>
  </si>
  <si>
    <t>a17Dm000001Pua4IAC</t>
  </si>
  <si>
    <t>CI-135762</t>
  </si>
  <si>
    <t>a17Dm000001PuaYIAS</t>
  </si>
  <si>
    <t>a17Dm000001Pub2IAC</t>
  </si>
  <si>
    <t>a17Dm000001PubWIAS</t>
  </si>
  <si>
    <t>a17Dm000001Puc0IAC</t>
  </si>
  <si>
    <t>a17Dm000001PucUIAS</t>
  </si>
  <si>
    <t>a17Dm000001Pua5IAC</t>
  </si>
  <si>
    <t>CI-135763</t>
  </si>
  <si>
    <t>a17Dm000001PuaZIAS</t>
  </si>
  <si>
    <t>a17Dm000001Pub3IAC</t>
  </si>
  <si>
    <t>a17Dm000001PubXIAS</t>
  </si>
  <si>
    <t>a17Dm000001Puc1IAC</t>
  </si>
  <si>
    <t>a17Dm000001PucVIAS</t>
  </si>
  <si>
    <t>a17Dm000001Pua6IAC</t>
  </si>
  <si>
    <t>CI-135764</t>
  </si>
  <si>
    <t>a17Dm000001PuaaIAC</t>
  </si>
  <si>
    <t>a17Dm000001Pub4IAC</t>
  </si>
  <si>
    <t>a17Dm000001PubYIAS</t>
  </si>
  <si>
    <t>a17Dm000001Puc2IAC</t>
  </si>
  <si>
    <t>a17Dm000001PucWIAS</t>
  </si>
  <si>
    <t>a17Dm000001Pua7IAC</t>
  </si>
  <si>
    <t>CI-135765</t>
  </si>
  <si>
    <t>a17Dm000001PuabIAC</t>
  </si>
  <si>
    <t>a17Dm000001Pub5IAC</t>
  </si>
  <si>
    <t>a17Dm000001PubZIAS</t>
  </si>
  <si>
    <t>a17Dm000001Puc3IAC</t>
  </si>
  <si>
    <t>a17Dm000001PucXIAS</t>
  </si>
  <si>
    <t>a17Dm000001Pua8IAC</t>
  </si>
  <si>
    <t>CI-135766</t>
  </si>
  <si>
    <t>a17Dm000001PuacIAC</t>
  </si>
  <si>
    <t>a17Dm000001Pub6IAC</t>
  </si>
  <si>
    <t>a17Dm000001PubaIAC</t>
  </si>
  <si>
    <t>a17Dm000001Puc4IAC</t>
  </si>
  <si>
    <t>a17Dm000001PucYIAS</t>
  </si>
  <si>
    <t>a17Dm000001Pua9IAC</t>
  </si>
  <si>
    <t>CI-135767</t>
  </si>
  <si>
    <t>a17Dm000001PuadIAC</t>
  </si>
  <si>
    <t>a17Dm000001Pub7IAC</t>
  </si>
  <si>
    <t>a17Dm000001PubbIAC</t>
  </si>
  <si>
    <t>a17Dm000001Puc5IAC</t>
  </si>
  <si>
    <t>a17Dm000001PucZIAS</t>
  </si>
  <si>
    <t>a17Dm000001PuaAIAS</t>
  </si>
  <si>
    <t>CI-135768</t>
  </si>
  <si>
    <t>a17Dm000001PuaeIAC</t>
  </si>
  <si>
    <t>a17Dm000001Pub8IAC</t>
  </si>
  <si>
    <t>a17Dm000001PubcIAC</t>
  </si>
  <si>
    <t>a17Dm000001Puc6IAC</t>
  </si>
  <si>
    <t>a17Dm000001PucaIAC</t>
  </si>
  <si>
    <t>a17Dm000001PuaBIAS</t>
  </si>
  <si>
    <t>CI-135769</t>
  </si>
  <si>
    <t>a17Dm000001PuafIAC</t>
  </si>
  <si>
    <t>a17Dm000001Pub9IAC</t>
  </si>
  <si>
    <t>a17Dm000001PubdIAC</t>
  </si>
  <si>
    <t>a17Dm000001Puc7IAC</t>
  </si>
  <si>
    <t>a17Dm000001PucbIAC</t>
  </si>
  <si>
    <t>a17Dm000001PuaCIAS</t>
  </si>
  <si>
    <t>CI-135770</t>
  </si>
  <si>
    <t>a17Dm000001PuagIAC</t>
  </si>
  <si>
    <t>a17Dm000001PubAIAS</t>
  </si>
  <si>
    <t>a17Dm000001PubeIAC</t>
  </si>
  <si>
    <t>a17Dm000001Puc8IAC</t>
  </si>
  <si>
    <t>a17Dm000001PuccIAC</t>
  </si>
  <si>
    <t>a17Dm000001PuaDIAS</t>
  </si>
  <si>
    <t>CI-135771</t>
  </si>
  <si>
    <t>a17Dm000001PuahIAC</t>
  </si>
  <si>
    <t>a17Dm000001PubBIAS</t>
  </si>
  <si>
    <t>a17Dm000001PubfIAC</t>
  </si>
  <si>
    <t>a17Dm000001Puc9IAC</t>
  </si>
  <si>
    <t>a17Dm000001PucdIAC</t>
  </si>
  <si>
    <t>a17Dm000001PuaEIAS</t>
  </si>
  <si>
    <t>CI-135772</t>
  </si>
  <si>
    <t>a17Dm000001PuaiIAC</t>
  </si>
  <si>
    <t>a17Dm000001PubCIAS</t>
  </si>
  <si>
    <t>a17Dm000001PubgIAC</t>
  </si>
  <si>
    <t>a17Dm000001PucAIAS</t>
  </si>
  <si>
    <t>a17Dm000001PuceIAC</t>
  </si>
  <si>
    <t>a17Dm000001PuaFIAS</t>
  </si>
  <si>
    <t>CI-135773</t>
  </si>
  <si>
    <t>a17Dm000001PuajIAC</t>
  </si>
  <si>
    <t>a17Dm000001PubDIAS</t>
  </si>
  <si>
    <t>a17Dm000001PubhIAC</t>
  </si>
  <si>
    <t>a17Dm000001PucBIAS</t>
  </si>
  <si>
    <t>a17Dm000001PucfIAC</t>
  </si>
  <si>
    <t>a17Dm000001PuaGIAS</t>
  </si>
  <si>
    <t>CI-135774</t>
  </si>
  <si>
    <t>a17Dm000001PuakIAC</t>
  </si>
  <si>
    <t>a17Dm000001PubEIAS</t>
  </si>
  <si>
    <t>a17Dm000001PubiIAC</t>
  </si>
  <si>
    <t>a17Dm000001PucCIAS</t>
  </si>
  <si>
    <t>a17Dm000001PucgIAC</t>
  </si>
  <si>
    <t>a17Dm000001PuaHIAS</t>
  </si>
  <si>
    <t>CI-135775</t>
  </si>
  <si>
    <t>a17Dm000001PualIAC</t>
  </si>
  <si>
    <t>a17Dm000001PubFIAS</t>
  </si>
  <si>
    <t>a17Dm000001PubjIAC</t>
  </si>
  <si>
    <t>a17Dm000001PucDIAS</t>
  </si>
  <si>
    <t>a17Dm000001PuchIAC</t>
  </si>
  <si>
    <t>a17Dm000001PuaIIAS</t>
  </si>
  <si>
    <t>CI-135776</t>
  </si>
  <si>
    <t>a17Dm000001PuamIAC</t>
  </si>
  <si>
    <t>a17Dm000001PubGIAS</t>
  </si>
  <si>
    <t>a17Dm000001PubkIAC</t>
  </si>
  <si>
    <t>a17Dm000001PucEIAS</t>
  </si>
  <si>
    <t>a17Dm000001PuciIAC</t>
  </si>
  <si>
    <t>a17Dm000001PuaJIAS</t>
  </si>
  <si>
    <t>CI-135777</t>
  </si>
  <si>
    <t>a17Dm000001PuanIAC</t>
  </si>
  <si>
    <t>a17Dm000001PubHIAS</t>
  </si>
  <si>
    <t>a17Dm000001PublIAC</t>
  </si>
  <si>
    <t>a17Dm000001PucFIAS</t>
  </si>
  <si>
    <t>a17Dm000001PucjIAC</t>
  </si>
  <si>
    <t>a17Dm000001PuaKIAS</t>
  </si>
  <si>
    <t>CI-135778</t>
  </si>
  <si>
    <t>a17Dm000001PuaoIAC</t>
  </si>
  <si>
    <t>a17Dm000001PubIIAS</t>
  </si>
  <si>
    <t>a17Dm000001PubmIAC</t>
  </si>
  <si>
    <t>a17Dm000001PucGIAS</t>
  </si>
  <si>
    <t>a17Dm000001PuckIAC</t>
  </si>
  <si>
    <t>a17Dm000001PuaLIAS</t>
  </si>
  <si>
    <t>CI-135779</t>
  </si>
  <si>
    <t>a17Dm000001PuapIAC</t>
  </si>
  <si>
    <t>a17Dm000001PubJIAS</t>
  </si>
  <si>
    <t>a17Dm000001PubnIAC</t>
  </si>
  <si>
    <t>a17Dm000001PucHIAS</t>
  </si>
  <si>
    <t>a17Dm000001PuclIAC</t>
  </si>
  <si>
    <t>a17Dm000001PuaMIAS</t>
  </si>
  <si>
    <t>CI-135780</t>
  </si>
  <si>
    <t>a17Dm000001PuaqIAC</t>
  </si>
  <si>
    <t>a17Dm000001PubKIAS</t>
  </si>
  <si>
    <t>a17Dm000001PuboIAC</t>
  </si>
  <si>
    <t>a17Dm000001PucIIAS</t>
  </si>
  <si>
    <t>a17Dm000001PucmIAC</t>
  </si>
  <si>
    <t>a17Dm000001PuaNIAS</t>
  </si>
  <si>
    <t>CI-135781</t>
  </si>
  <si>
    <t>a17Dm000001PuarIAC</t>
  </si>
  <si>
    <t>a17Dm000001PubLIAS</t>
  </si>
  <si>
    <t>a17Dm000001PubpIAC</t>
  </si>
  <si>
    <t>a17Dm000001PucJIAS</t>
  </si>
  <si>
    <t>a17Dm000001PucnIAC</t>
  </si>
  <si>
    <t>a17Dm000002dbLnIAI</t>
  </si>
  <si>
    <t>CI-139959</t>
  </si>
  <si>
    <t>a17Dm000002dbN2IAI</t>
  </si>
  <si>
    <t>a17Dm000002dbT5IAI</t>
  </si>
  <si>
    <t>a17Dm000002dbeaIAA</t>
  </si>
  <si>
    <t>a17Dm000002dbfXIAQ</t>
  </si>
  <si>
    <t>a17Dm000002dbh3IAA</t>
  </si>
  <si>
    <t>a17Dm000002dbLoIAI</t>
  </si>
  <si>
    <t>CI-139960</t>
  </si>
  <si>
    <t>a17Dm000002dbN3IAI</t>
  </si>
  <si>
    <t>a17Dm000002dbT6IAI</t>
  </si>
  <si>
    <t>a17Dm000002dbebIAA</t>
  </si>
  <si>
    <t>a17Dm000002dbfYIAQ</t>
  </si>
  <si>
    <t>a17Dm000002dbh4IAA</t>
  </si>
  <si>
    <t>a17Dm000002dbLpIAI</t>
  </si>
  <si>
    <t>CI-139961</t>
  </si>
  <si>
    <t>a17Dm000002dbN4IAI</t>
  </si>
  <si>
    <t>a17Dm000002dbT7IAI</t>
  </si>
  <si>
    <t>a17Dm000002dbecIAA</t>
  </si>
  <si>
    <t>a17Dm000002dbfZIAQ</t>
  </si>
  <si>
    <t>a17Dm000002dbh5IAA</t>
  </si>
  <si>
    <t>a17Dm000002dbLqIAI</t>
  </si>
  <si>
    <t>CI-139962</t>
  </si>
  <si>
    <t>a17Dm000002dbN5IAI</t>
  </si>
  <si>
    <t>a17Dm000002dbT8IAI</t>
  </si>
  <si>
    <t>a17Dm000002dbedIAA</t>
  </si>
  <si>
    <t>a17Dm000002dbfaIAA</t>
  </si>
  <si>
    <t>a17Dm000002dbh6IAA</t>
  </si>
  <si>
    <t>a17Dm000002dbLrIAI</t>
  </si>
  <si>
    <t>CI-139963</t>
  </si>
  <si>
    <t>a17Dm000002dbN6IAI</t>
  </si>
  <si>
    <t>a17Dm000002dbT9IAI</t>
  </si>
  <si>
    <t>a17Dm000002dbeeIAA</t>
  </si>
  <si>
    <t>a17Dm000002dbfbIAA</t>
  </si>
  <si>
    <t>a17Dm000002dbh7IAA</t>
  </si>
  <si>
    <t>a17Dm000002dbLsIAI</t>
  </si>
  <si>
    <t>CI-139964</t>
  </si>
  <si>
    <t>a17Dm000002dbN7IAI</t>
  </si>
  <si>
    <t>a17Dm000002dbTAIAY</t>
  </si>
  <si>
    <t>a17Dm000002dbefIAA</t>
  </si>
  <si>
    <t>a17Dm000002dbfcIAA</t>
  </si>
  <si>
    <t>a17Dm000002dbh8IAA</t>
  </si>
  <si>
    <t>a17Dm000002dbLtIAI</t>
  </si>
  <si>
    <t>CI-139965</t>
  </si>
  <si>
    <t>a17Dm000002dbN8IAI</t>
  </si>
  <si>
    <t>a17Dm000002dbTBIAY</t>
  </si>
  <si>
    <t>a17Dm000002dbegIAA</t>
  </si>
  <si>
    <t>a17Dm000002dbfdIAA</t>
  </si>
  <si>
    <t>a17Dm000002dbh9IAA</t>
  </si>
  <si>
    <t>a17Dm000002dbLuIAI</t>
  </si>
  <si>
    <t>CI-139966</t>
  </si>
  <si>
    <t>a17Dm000002dbN9IAI</t>
  </si>
  <si>
    <t>a17Dm000002dbTCIAY</t>
  </si>
  <si>
    <t>a17Dm000002dbehIAA</t>
  </si>
  <si>
    <t>a17Dm000002dbfeIAA</t>
  </si>
  <si>
    <t>a17Dm000002dbhAIAQ</t>
  </si>
  <si>
    <t>a17Dm000002dbLvIAI</t>
  </si>
  <si>
    <t>CI-139967</t>
  </si>
  <si>
    <t>a17Dm000002dbNAIAY</t>
  </si>
  <si>
    <t>a17Dm000002dbTDIAY</t>
  </si>
  <si>
    <t>a17Dm000002dbeiIAA</t>
  </si>
  <si>
    <t>a17Dm000002dbffIAA</t>
  </si>
  <si>
    <t>a17Dm000002dbhBIAQ</t>
  </si>
  <si>
    <t xml:space="preserve"> Disaggregation - Section E </t>
  </si>
  <si>
    <t>intervention</t>
  </si>
  <si>
    <t>Indicator-Disaggregation Reference (Name)</t>
  </si>
  <si>
    <t>Outcome Indicator ID (Name)</t>
  </si>
  <si>
    <t>a1VDm000000Pg9nMAC</t>
  </si>
  <si>
    <t>IDR-01140</t>
  </si>
  <si>
    <t>a1LDm000000Cb18MAC</t>
  </si>
  <si>
    <t>a1VDm000000Pg9oMAC</t>
  </si>
  <si>
    <t>IDR-01139</t>
  </si>
  <si>
    <t>a1LDm000000Cb17MAC</t>
  </si>
  <si>
    <t>a1VDm000000Pg9pMAC</t>
  </si>
  <si>
    <t>IDR-01138</t>
  </si>
  <si>
    <t>a1LDm000000Cb16MAC</t>
  </si>
  <si>
    <t>a1VDm000000Pg9qMAC</t>
  </si>
  <si>
    <t>IDR-01137</t>
  </si>
  <si>
    <t>a1LDm000000Cb15MAC</t>
  </si>
  <si>
    <t>a1VDm000000Pg9rMAC</t>
  </si>
  <si>
    <t>a1VDm000000Pg9sMAC</t>
  </si>
  <si>
    <t>a1VDm000000Pg9tMAC</t>
  </si>
  <si>
    <t>a1VDm000000Pg9uMAC</t>
  </si>
  <si>
    <t>a1VDm000000Pg9vMAC</t>
  </si>
  <si>
    <t>a1VDm000000Pg9wMAC</t>
  </si>
  <si>
    <t>a1VDm000000Pg9xMAC</t>
  </si>
  <si>
    <t>a1VDm000000Pg9yMAC</t>
  </si>
  <si>
    <t>a1VDm000000Pg9zMAC</t>
  </si>
  <si>
    <t>a1VDm000000PgA0MAK</t>
  </si>
  <si>
    <t>a1VDm000000PgA1MAK</t>
  </si>
  <si>
    <t>a1VDm000000PgA2MAK</t>
  </si>
  <si>
    <t>a1VDm000000PgA3MAK</t>
  </si>
  <si>
    <t>a1VDm000000PgA4MAK</t>
  </si>
  <si>
    <t>a1VDm000000PgA5MAK</t>
  </si>
  <si>
    <t>a1VDm000000PgA6MAK</t>
  </si>
  <si>
    <t>a1VDm000000PgA7MAK</t>
  </si>
  <si>
    <t>a1VDm000000PgA8MAK</t>
  </si>
  <si>
    <t>a1VDm000000PgA9MAK</t>
  </si>
  <si>
    <t>a1VDm000000PgAAMA0</t>
  </si>
  <si>
    <t>a1VDm000000PgABMA0</t>
  </si>
  <si>
    <t>a1VDm000000PgACMA0</t>
  </si>
  <si>
    <t>a1VDm000000PgADMA0</t>
  </si>
  <si>
    <t>a1VDm000000PgAEMA0</t>
  </si>
  <si>
    <t>a1VDm000000PgAFMA0</t>
  </si>
  <si>
    <t>a1VDm000000PgAGMA0</t>
  </si>
  <si>
    <t>a1VDm000000PgAHMA0</t>
  </si>
  <si>
    <t>a1VDm000000PgAIMA0</t>
  </si>
  <si>
    <t>a1VDm000000PgAJMA0</t>
  </si>
  <si>
    <t>a1VDm000000PgAKMA0</t>
  </si>
  <si>
    <t>a1VDm000000PgALMA0</t>
  </si>
  <si>
    <t>a1VDm000000PgAMMA0</t>
  </si>
  <si>
    <t>a1VDm000000PgANMA0</t>
  </si>
  <si>
    <t>a1VDm000000PgAOMA0</t>
  </si>
  <si>
    <t>a1VDm000000PgAPMA0</t>
  </si>
  <si>
    <t>a1VDm000000PgAQMA0</t>
  </si>
  <si>
    <t>a1VDm000000PgARMA0</t>
  </si>
  <si>
    <t>a1VDm000000PgASMA0</t>
  </si>
  <si>
    <t>a1VDm000000PgATMA0</t>
  </si>
  <si>
    <t>a1VDm000000PgAUMA0</t>
  </si>
  <si>
    <t>a1VDm000000PgAVMA0</t>
  </si>
  <si>
    <t>a1VDm000000PgAWMA0</t>
  </si>
  <si>
    <t>a1VDm000000PgAXMA0</t>
  </si>
  <si>
    <t>a1VDm000000PgAYMA0</t>
  </si>
  <si>
    <t>a1VDm000000PgAZMA0</t>
  </si>
  <si>
    <t>a1VDm000000PgAaMAK</t>
  </si>
  <si>
    <t>a1VDm000000PgAbMAK</t>
  </si>
  <si>
    <t>a1VDm000000PgAcMAK</t>
  </si>
  <si>
    <t>a1VDm000000PgAdMAK</t>
  </si>
  <si>
    <t>a1VDm000000PgAeMAK</t>
  </si>
  <si>
    <t>a1VDm000000PgAfMAK</t>
  </si>
  <si>
    <t>a1VDm000000PgAgMAK</t>
  </si>
  <si>
    <t>a1VDm000000PgAhMAK</t>
  </si>
  <si>
    <t>a1VDm000000PgAiMAK</t>
  </si>
  <si>
    <t>a1VDm000000PgAjMAK</t>
  </si>
  <si>
    <t>a1VDm000000PgAkMAK</t>
  </si>
  <si>
    <t>a1VDm000000PgAlMAK</t>
  </si>
  <si>
    <t>a1VDm000000PgAmMAK</t>
  </si>
  <si>
    <t>a1VDm000000PgAnMAK</t>
  </si>
  <si>
    <t>a1VDm000000PgAoMAK</t>
  </si>
  <si>
    <t>a1VDm000000PgApMAK</t>
  </si>
  <si>
    <t>a1VDm000000PgAqMAK</t>
  </si>
  <si>
    <t>a1VDm000000PgArMAK</t>
  </si>
  <si>
    <t>a1VDm000000PgAsMAK</t>
  </si>
  <si>
    <t>a1VDm000000PgAtMAK</t>
  </si>
  <si>
    <t>a1VDm000000PgAuMAK</t>
  </si>
  <si>
    <t>a1VDm000000PgAvMAK</t>
  </si>
  <si>
    <t>a1VDm000000PgAwMAK</t>
  </si>
  <si>
    <t>a1VDm000000PgAxMAK</t>
  </si>
  <si>
    <t>a1VDm000000PgAyMAK</t>
  </si>
  <si>
    <t>a1VDm000000PgAzMAK</t>
  </si>
  <si>
    <t>a1VDm000000PgB0MAK</t>
  </si>
  <si>
    <t>a1VDm000000PgB1MAK</t>
  </si>
  <si>
    <t>a1VDm000000PgB2MAK</t>
  </si>
  <si>
    <t>a1VDm000000PgB3MAK</t>
  </si>
  <si>
    <t>a1VDm000000PgB4MAK</t>
  </si>
  <si>
    <t>a1VDm000000PgB5MAK</t>
  </si>
  <si>
    <t>IDR-01103</t>
  </si>
  <si>
    <t>a1LDm000000Cb0XMAS</t>
  </si>
  <si>
    <t>a1VDm000000PgB6MAK</t>
  </si>
  <si>
    <t>IDR-01102</t>
  </si>
  <si>
    <t>a1LDm000000Cb0WMAS</t>
  </si>
  <si>
    <t>a1VDm000000PgB7MAK</t>
  </si>
  <si>
    <t>IDR-01101</t>
  </si>
  <si>
    <t>a1LDm000000Cb0VMAS</t>
  </si>
  <si>
    <t>a1VDm000000PgB8MAK</t>
  </si>
  <si>
    <t>IDR-01100</t>
  </si>
  <si>
    <t>a1LDm000000Cb0UMAS</t>
  </si>
  <si>
    <t>a1VDm000000PgB9MAK</t>
  </si>
  <si>
    <t>a1VDm000000PgBAMA0</t>
  </si>
  <si>
    <t>a1VDm000000PgBBMA0</t>
  </si>
  <si>
    <t>a1VDm000000PgBCMA0</t>
  </si>
  <si>
    <t>a1VDm000000PgBDMA0</t>
  </si>
  <si>
    <t>a1VDm000000PgBEMA0</t>
  </si>
  <si>
    <t>a1VDm000000PgBFMA0</t>
  </si>
  <si>
    <t>IDR-01111</t>
  </si>
  <si>
    <t>a1LDm000000Cb0fMAC</t>
  </si>
  <si>
    <t>a1VDm000000PgBGMA0</t>
  </si>
  <si>
    <t>IDR-01110</t>
  </si>
  <si>
    <t>a1LDm000000Cb0eMAC</t>
  </si>
  <si>
    <t>a1VDm000000PgBHMA0</t>
  </si>
  <si>
    <t>IDR-01109</t>
  </si>
  <si>
    <t>a1LDm000000Cb0dMAC</t>
  </si>
  <si>
    <t>a1VDm000000PgBIMA0</t>
  </si>
  <si>
    <t>IDR-01108</t>
  </si>
  <si>
    <t>a1LDm000000Cb0cMAC</t>
  </si>
  <si>
    <t>a1VDm000000PgBJMA0</t>
  </si>
  <si>
    <t>a1VDm000000PgBKMA0</t>
  </si>
  <si>
    <t>a1VDm000000PgBLMA0</t>
  </si>
  <si>
    <t>a1VDm000000PgBMMA0</t>
  </si>
  <si>
    <t>a1VDm000000PgBNMA0</t>
  </si>
  <si>
    <t>a1VDm000000PgBOMA0</t>
  </si>
  <si>
    <t>a1VDm000000PgBPMA0</t>
  </si>
  <si>
    <t>IDR-01124</t>
  </si>
  <si>
    <t>a1LDm000000Cb0sMAC</t>
  </si>
  <si>
    <t>a1VDm000000PgBQMA0</t>
  </si>
  <si>
    <t>IDR-01123</t>
  </si>
  <si>
    <t>a1LDm000000Cb0rMAC</t>
  </si>
  <si>
    <t>a1VDm000000PgBRMA0</t>
  </si>
  <si>
    <t>a1VDm000000PgBSMA0</t>
  </si>
  <si>
    <t>a1VDm000000PgBTMA0</t>
  </si>
  <si>
    <t>a1VDm000000PgBUMA0</t>
  </si>
  <si>
    <t>a1VDm000000PgBVMA0</t>
  </si>
  <si>
    <t>a1VDm000000PgBWMA0</t>
  </si>
  <si>
    <t>a1VDm000000PgBXMA0</t>
  </si>
  <si>
    <t>a1VDm000000PgBYMA0</t>
  </si>
  <si>
    <t>a1VDm000000PgBZMA0</t>
  </si>
  <si>
    <t>IDR-01126</t>
  </si>
  <si>
    <t>a1LDm000000Cb0uMAC</t>
  </si>
  <si>
    <t>a1VDm000000PgBaMAK</t>
  </si>
  <si>
    <t>IDR-01125</t>
  </si>
  <si>
    <t>a1LDm000000Cb0tMAC</t>
  </si>
  <si>
    <t>a1VDm000000PgBbMAK</t>
  </si>
  <si>
    <t>a1VDm000000PgBcMAK</t>
  </si>
  <si>
    <t>a1VDm000000PgBdMAK</t>
  </si>
  <si>
    <t>a1VDm000000PgBeMAK</t>
  </si>
  <si>
    <t>a1VDm000000PgBfMAK</t>
  </si>
  <si>
    <t>a1VDm000000PgBgMAK</t>
  </si>
  <si>
    <t>a1VDm000000PgBhMAK</t>
  </si>
  <si>
    <t>a1VDm000000PgBiMAK</t>
  </si>
  <si>
    <t>a1VDm000000PgBjMAK</t>
  </si>
  <si>
    <t>IDR-01131</t>
  </si>
  <si>
    <t>a1LDm000000Cb0zMAC</t>
  </si>
  <si>
    <t>a1VDm000000PgBkMAK</t>
  </si>
  <si>
    <t>IDR-01130</t>
  </si>
  <si>
    <t>a1LDm000000Cb0yMAC</t>
  </si>
  <si>
    <t>a1VDm000000PgBlMAK</t>
  </si>
  <si>
    <t>IDR-01129</t>
  </si>
  <si>
    <t>a1LDm000000Cb0xMAC</t>
  </si>
  <si>
    <t>a1VDm000000PgBmMAK</t>
  </si>
  <si>
    <t>IDR-01128</t>
  </si>
  <si>
    <t>a1LDm000000Cb0wMAC</t>
  </si>
  <si>
    <t>a1VDm000000PgBnMAK</t>
  </si>
  <si>
    <t>IDR-01127</t>
  </si>
  <si>
    <t>a1LDm000000Cb0vMAC</t>
  </si>
  <si>
    <t>a1VDm000000PgBoMAK</t>
  </si>
  <si>
    <t>a1VDm000000PgBpMAK</t>
  </si>
  <si>
    <t>a1VDm000000PgBqMAK</t>
  </si>
  <si>
    <t>a1VDm000000PgBrMAK</t>
  </si>
  <si>
    <t>a1VDm000000PgBsMAK</t>
  </si>
  <si>
    <t>a1VDm000000PgBtMAK</t>
  </si>
  <si>
    <t>IDR-01136</t>
  </si>
  <si>
    <t>a1LDm000000Cb14MAC</t>
  </si>
  <si>
    <t>a1VDm000000PgBuMAK</t>
  </si>
  <si>
    <t>IDR-01135</t>
  </si>
  <si>
    <t>a1LDm000000Cb13MAC</t>
  </si>
  <si>
    <t>a1VDm000000PgBvMAK</t>
  </si>
  <si>
    <t>IDR-01134</t>
  </si>
  <si>
    <t>a1LDm000000Cb12MAC</t>
  </si>
  <si>
    <t>a1VDm000000PgBwMAK</t>
  </si>
  <si>
    <t>IDR-01133</t>
  </si>
  <si>
    <t>a1LDm000000Cb11MAC</t>
  </si>
  <si>
    <t>a1VDm000000PgBxMAK</t>
  </si>
  <si>
    <t>IDR-01132</t>
  </si>
  <si>
    <t>a1LDm000000Cb10MAC</t>
  </si>
  <si>
    <t>a1VDm000000PgByMAK</t>
  </si>
  <si>
    <t>a1VDm000000PgBzMAK</t>
  </si>
  <si>
    <t>a1VDm000000PgC0MAK</t>
  </si>
  <si>
    <t>a1VDm000000PgC1MAK</t>
  </si>
  <si>
    <t>a1VDm000000PgC2MAK</t>
  </si>
  <si>
    <t>a1VDm000000PgC3MAK</t>
  </si>
  <si>
    <t>a1VDm000000PgC4MAK</t>
  </si>
  <si>
    <t>a1VDm000000PgC5MAK</t>
  </si>
  <si>
    <t>a1VDm000000PgC6MAK</t>
  </si>
  <si>
    <t>a1VDm000000PgC7MAK</t>
  </si>
  <si>
    <t>a1VDm000000PgC8MAK</t>
  </si>
  <si>
    <t>a1VDm000000PgC9MAK</t>
  </si>
  <si>
    <t>a1VDm000000PgCAMA0</t>
  </si>
  <si>
    <t>a1VDm000000PgCBMA0</t>
  </si>
  <si>
    <t>a1VDm000000PgCCMA0</t>
  </si>
  <si>
    <t>Impact Indicator ID (Name)</t>
  </si>
  <si>
    <t>a1GDm000000XyPxMAK</t>
  </si>
  <si>
    <t>a1GDm000000XyPyMAK</t>
  </si>
  <si>
    <t>a1GDm000000XyPzMAK</t>
  </si>
  <si>
    <t>a1GDm000000XyQ0MAK</t>
  </si>
  <si>
    <t>a1GDm000000XyQ1MAK</t>
  </si>
  <si>
    <t>a1GDm000000XyQ2MAK</t>
  </si>
  <si>
    <t>a1GDm000000XyQ3MAK</t>
  </si>
  <si>
    <t>a1GDm000000XyQ4MAK</t>
  </si>
  <si>
    <t>a1GDm000000XyQ5MAK</t>
  </si>
  <si>
    <t>a1GDm000000XyQ6MAK</t>
  </si>
  <si>
    <t>a1GDm000000XyQ7MAK</t>
  </si>
  <si>
    <t>a1GDm000000XyQ8MAK</t>
  </si>
  <si>
    <t>a1GDm000000XyQ9MAK</t>
  </si>
  <si>
    <t>a1GDm000000XyQAMA0</t>
  </si>
  <si>
    <t>a1GDm000000XyQBMA0</t>
  </si>
  <si>
    <t>a1GDm000000XyQCMA0</t>
  </si>
  <si>
    <t>a1GDm000000XyQDMA0</t>
  </si>
  <si>
    <t>a1GDm000000XyQEMA0</t>
  </si>
  <si>
    <t>a1GDm000000XyQFMA0</t>
  </si>
  <si>
    <t>a1GDm000000XyQGMA0</t>
  </si>
  <si>
    <t>a1GDm000000XyQHMA0</t>
  </si>
  <si>
    <t>a1GDm000000XyQIMA0</t>
  </si>
  <si>
    <t>a1GDm000000XyQJMA0</t>
  </si>
  <si>
    <t>a1GDm000000XyQKMA0</t>
  </si>
  <si>
    <t>a1GDm000000XyQLMA0</t>
  </si>
  <si>
    <t>a1GDm000000XyQMMA0</t>
  </si>
  <si>
    <t>a1GDm000000XyQNMA0</t>
  </si>
  <si>
    <t>a1GDm000000XyQOMA0</t>
  </si>
  <si>
    <t>a1GDm000000XyQPMA0</t>
  </si>
  <si>
    <t>a1GDm000000XyQQMA0</t>
  </si>
  <si>
    <t>a1GDm000000XyQRMA0</t>
  </si>
  <si>
    <t>25+</t>
  </si>
  <si>
    <t>IDR-01048</t>
  </si>
  <si>
    <t>a1LDm000000CazeMAC</t>
  </si>
  <si>
    <t>a1GDm000000XyQSMA0</t>
  </si>
  <si>
    <t>&lt;25</t>
  </si>
  <si>
    <t>IDR-01047</t>
  </si>
  <si>
    <t>a1LDm000000CazdMAC</t>
  </si>
  <si>
    <t>a1GDm000000XyQTMA0</t>
  </si>
  <si>
    <t>a1GDm000000XyQUMA0</t>
  </si>
  <si>
    <t>a1GDm000000XyQVMA0</t>
  </si>
  <si>
    <t>a1GDm000000XyQWMA0</t>
  </si>
  <si>
    <t>a1GDm000000XyQXMA0</t>
  </si>
  <si>
    <t>a1GDm000000XyQYMA0</t>
  </si>
  <si>
    <t>a1GDm000000XyQZMA0</t>
  </si>
  <si>
    <t>a1GDm000000XyQaMAK</t>
  </si>
  <si>
    <t>a1GDm000000XyQbMAK</t>
  </si>
  <si>
    <t>IDR-01055</t>
  </si>
  <si>
    <t>a1LDm000000CazlMAC</t>
  </si>
  <si>
    <t>a1GDm000000XyQcMAK</t>
  </si>
  <si>
    <t>IDR-01054</t>
  </si>
  <si>
    <t>a1LDm000000CazkMAC</t>
  </si>
  <si>
    <t>a1GDm000000XyQdMAK</t>
  </si>
  <si>
    <t>Transgender</t>
  </si>
  <si>
    <t>IDR-01053</t>
  </si>
  <si>
    <t>a1LDm000000CazjMAC</t>
  </si>
  <si>
    <t>a1GDm000000XyQeMAK</t>
  </si>
  <si>
    <t>Male</t>
  </si>
  <si>
    <t>IDR-01052</t>
  </si>
  <si>
    <t>a1LDm000000CaziMAC</t>
  </si>
  <si>
    <t>a1GDm000000XyQfMAK</t>
  </si>
  <si>
    <t>Female</t>
  </si>
  <si>
    <t>IDR-01051</t>
  </si>
  <si>
    <t>a1LDm000000CazhMAC</t>
  </si>
  <si>
    <t>a1GDm000000XyQgMAK</t>
  </si>
  <si>
    <t>a1GDm000000XyQhMAK</t>
  </si>
  <si>
    <t>a1GDm000000XyQiMAK</t>
  </si>
  <si>
    <t>a1GDm000000XyQjMAK</t>
  </si>
  <si>
    <t>a1GDm000000XyQkMAK</t>
  </si>
  <si>
    <t>a1GDm000000XyQlMAK</t>
  </si>
  <si>
    <t>IDR-01050</t>
  </si>
  <si>
    <t>a1LDm000000CazgMAC</t>
  </si>
  <si>
    <t>a1GDm000000XyQmMAK</t>
  </si>
  <si>
    <t>IDR-01049</t>
  </si>
  <si>
    <t>a1LDm000000CazfMAC</t>
  </si>
  <si>
    <t>a1GDm000000XyQnMAK</t>
  </si>
  <si>
    <t>a1GDm000000XyQoMAK</t>
  </si>
  <si>
    <t>a1GDm000000XyQpMAK</t>
  </si>
  <si>
    <t>a1GDm000000XyQqMAK</t>
  </si>
  <si>
    <t>a1GDm000000XyQrMAK</t>
  </si>
  <si>
    <t>a1GDm000000XyQsMAK</t>
  </si>
  <si>
    <t>a1GDm000000XyQtMAK</t>
  </si>
  <si>
    <t>a1GDm000000XyQuMAK</t>
  </si>
  <si>
    <t>a1GDm000000XyQvMAK</t>
  </si>
  <si>
    <t>IDR-01060</t>
  </si>
  <si>
    <t>a1LDm000000CazqMAC</t>
  </si>
  <si>
    <t>a1GDm000000XyQwMAK</t>
  </si>
  <si>
    <t>IDR-01059</t>
  </si>
  <si>
    <t>a1LDm000000CazpMAC</t>
  </si>
  <si>
    <t>a1GDm000000XyQxMAK</t>
  </si>
  <si>
    <t>IDR-01058</t>
  </si>
  <si>
    <t>a1LDm000000CazoMAC</t>
  </si>
  <si>
    <t>a1GDm000000XyQyMAK</t>
  </si>
  <si>
    <t>IDR-01057</t>
  </si>
  <si>
    <t>a1LDm000000CaznMAC</t>
  </si>
  <si>
    <t>a1GDm000000XyQzMAK</t>
  </si>
  <si>
    <t>IDR-01056</t>
  </si>
  <si>
    <t>a1LDm000000CazmMAC</t>
  </si>
  <si>
    <t>a1GDm000000XyR0MAK</t>
  </si>
  <si>
    <t>a1GDm000000XyR1MAK</t>
  </si>
  <si>
    <t>a1GDm000000XyR2MAK</t>
  </si>
  <si>
    <t>a1GDm000000XyR3MAK</t>
  </si>
  <si>
    <t>a1GDm000000XyR4MAK</t>
  </si>
  <si>
    <t>a1GDm000000XyR5MAK</t>
  </si>
  <si>
    <t>15+</t>
  </si>
  <si>
    <t>IDR-01029</t>
  </si>
  <si>
    <t>a1LDm000000CazLMAS</t>
  </si>
  <si>
    <t>a1GDm000000XyR6MAK</t>
  </si>
  <si>
    <t>&lt;15</t>
  </si>
  <si>
    <t>IDR-01028</t>
  </si>
  <si>
    <t>a1LDm000000CazKMAS</t>
  </si>
  <si>
    <t>a1GDm000000XyR7MAK</t>
  </si>
  <si>
    <t>Male 20-24</t>
  </si>
  <si>
    <t>IDR-01027</t>
  </si>
  <si>
    <t>a1LDm000000CazJMAS</t>
  </si>
  <si>
    <t>a1GDm000000XyR8MAK</t>
  </si>
  <si>
    <t>Male 15-19</t>
  </si>
  <si>
    <t>IDR-01026</t>
  </si>
  <si>
    <t>a1LDm000000CazIMAS</t>
  </si>
  <si>
    <t>a1GDm000000XyR9MAK</t>
  </si>
  <si>
    <t>IDR-01025</t>
  </si>
  <si>
    <t>a1LDm000000CazHMAS</t>
  </si>
  <si>
    <t>a1GDm000000XyRCMA0</t>
  </si>
  <si>
    <t>Female 20-24</t>
  </si>
  <si>
    <t>IDR-01024</t>
  </si>
  <si>
    <t>a1LDm000000CazGMAS</t>
  </si>
  <si>
    <t>a1GDm000000XyRDMA0</t>
  </si>
  <si>
    <t>Female 15-19</t>
  </si>
  <si>
    <t>IDR-01023</t>
  </si>
  <si>
    <t>a1LDm000000CazFMAS</t>
  </si>
  <si>
    <t>a1GDm000000XyREMA0</t>
  </si>
  <si>
    <t>IDR-01022</t>
  </si>
  <si>
    <t>a1LDm000000CazEMAS</t>
  </si>
  <si>
    <t>a1GDm000000XyRAMA0</t>
  </si>
  <si>
    <t>a1GDm000000XyRBMA0</t>
  </si>
  <si>
    <t>a1GDm000000XyRFMA0</t>
  </si>
  <si>
    <t>a1GDm000000XyRGMA0</t>
  </si>
  <si>
    <t>a1GDm000000XyRHMA0</t>
  </si>
  <si>
    <t>a1GDm000000XyRIMA0</t>
  </si>
  <si>
    <t>a1GDm000000XyRJMA0</t>
  </si>
  <si>
    <t>a1GDm000000XyRKMA0</t>
  </si>
  <si>
    <t>a1GDm000000XyRLMA0</t>
  </si>
  <si>
    <t>a1GDm000000XyRMMA0</t>
  </si>
  <si>
    <t>a1GDm000000XyRNMA0</t>
  </si>
  <si>
    <t>a1GDm000000XyROMA0</t>
  </si>
  <si>
    <t>a1GDm000000XyRPMA0</t>
  </si>
  <si>
    <t>a1GDm000000XyRQMA0</t>
  </si>
  <si>
    <t>a1GDm000000XyRRMA0</t>
  </si>
  <si>
    <t>a1GDm000000XyRSMA0</t>
  </si>
  <si>
    <t>a1GDm000000XyRTMA0</t>
  </si>
  <si>
    <t>a1GDm000000XyRUMA0</t>
  </si>
  <si>
    <t>a1GDm000000XyRVMA0</t>
  </si>
  <si>
    <t>a1GDm000000XyRWMA0</t>
  </si>
  <si>
    <t>a1GDm000000XyRXMA0</t>
  </si>
  <si>
    <t>a1GDm000000XyRYMA0</t>
  </si>
  <si>
    <t>a1GDm000000XyRZMA0</t>
  </si>
  <si>
    <t>a1GDm000000XyRaMAK</t>
  </si>
  <si>
    <t>a1GDm000000XyRbMAK</t>
  </si>
  <si>
    <t>a1GDm000000XyRcMAK</t>
  </si>
  <si>
    <t>a1GDm000000XyRdMAK</t>
  </si>
  <si>
    <t>a1GDm000000XyReMAK</t>
  </si>
  <si>
    <t>a1GDm000000XyRfMAK</t>
  </si>
  <si>
    <t>a1GDm000000XyRgMAK</t>
  </si>
  <si>
    <t>a1GDm000000XyRhMAK</t>
  </si>
  <si>
    <t>a1GDm000000XyRiMAK</t>
  </si>
  <si>
    <t>a1GDm000000XyRjMAK</t>
  </si>
  <si>
    <t>a1GDm000000XyRkMAK</t>
  </si>
  <si>
    <t>a1GDm000000XyRlMAK</t>
  </si>
  <si>
    <t>a1GDm000000XyRmMAK</t>
  </si>
  <si>
    <t>a1GDm000000XyRnMAK</t>
  </si>
  <si>
    <t>a1GDm000000XyRoMAK</t>
  </si>
  <si>
    <t>a1GDm000000XyRpMAK</t>
  </si>
  <si>
    <t>a1GDm000000XyRqMAK</t>
  </si>
  <si>
    <t>a1GDm000000XyRrMAK</t>
  </si>
  <si>
    <t>a1GDm000000XyRsMAK</t>
  </si>
  <si>
    <t>a1GDm000000XyRtMAK</t>
  </si>
  <si>
    <t>a1GDm000000XyRuMAK</t>
  </si>
  <si>
    <t>a1GDm000000XyRvMAK</t>
  </si>
  <si>
    <t>a1GDm000000XyRwMAK</t>
  </si>
  <si>
    <t>a1GDm000000XyRxMAK</t>
  </si>
  <si>
    <t>a1GDm000000XyRyMAK</t>
  </si>
  <si>
    <t>a1GDm000000XyRzMAK</t>
  </si>
  <si>
    <t>a1GDm000000XyS0MAK</t>
  </si>
  <si>
    <t>a1GDm000000XyS1MAK</t>
  </si>
  <si>
    <t>a1GDm000000XyS2MAK</t>
  </si>
  <si>
    <t>a1GDm000000XyS3MAK</t>
  </si>
  <si>
    <t>a1GDm000000XyS4MAK</t>
  </si>
  <si>
    <t>a1GDm000000XyS5MAK</t>
  </si>
  <si>
    <t>a1GDm000000XyS6MAK</t>
  </si>
  <si>
    <t>a1GDm000000XyS7MAK</t>
  </si>
  <si>
    <t>a1GDm000000XyS8MAK</t>
  </si>
  <si>
    <t>a1GDm000000XyS9MAK</t>
  </si>
  <si>
    <t>a1GDm000000XySAMA0</t>
  </si>
  <si>
    <t>a1GDm000000XySBMA0</t>
  </si>
  <si>
    <t>a1GDm000000XySCMA0</t>
  </si>
  <si>
    <t>a1GDm000000XySDMA0</t>
  </si>
  <si>
    <t>a1GDm000000XySEMA0</t>
  </si>
  <si>
    <t>a1GDm000000XySFMA0</t>
  </si>
  <si>
    <t>a1GDm000000XySGMA0</t>
  </si>
  <si>
    <t>a1GDm000000XySHMA0</t>
  </si>
  <si>
    <t>a1GDm000000XySIMA0</t>
  </si>
  <si>
    <t>a1GDm000000XySJMA0</t>
  </si>
  <si>
    <t>a1GDm000000XySKMA0</t>
  </si>
  <si>
    <t>a1GDm000000XySLMA0</t>
  </si>
  <si>
    <t>a1GDm000000XySMMA0</t>
  </si>
  <si>
    <t>Coverage Indicator (Name)</t>
  </si>
  <si>
    <t>a16Dm000000M3qBIAS</t>
  </si>
  <si>
    <t>IDR-01318</t>
  </si>
  <si>
    <t>a1LDm000000Cb40MAC</t>
  </si>
  <si>
    <t>a16Dm000000M3qCIAS</t>
  </si>
  <si>
    <t>Unknown</t>
  </si>
  <si>
    <t>IDR-01317</t>
  </si>
  <si>
    <t>a1LDm000000Cb3zMAC</t>
  </si>
  <si>
    <t>a16Dm000000M3qDIAS</t>
  </si>
  <si>
    <t>IDR-01316</t>
  </si>
  <si>
    <t>a1LDm000000Cb3yMAC</t>
  </si>
  <si>
    <t>a16Dm000000M3qEIAS</t>
  </si>
  <si>
    <t>IDR-01315</t>
  </si>
  <si>
    <t>a1LDm000000Cb3xMAC</t>
  </si>
  <si>
    <t>a16Dm000000M3qFIAS</t>
  </si>
  <si>
    <t>Negative</t>
  </si>
  <si>
    <t>IDR-01314</t>
  </si>
  <si>
    <t>a1LDm000000Cb3wMAC</t>
  </si>
  <si>
    <t>a16Dm000000M3qGIAS</t>
  </si>
  <si>
    <t>Bacteriologically confirmed</t>
  </si>
  <si>
    <t>IDR-01313</t>
  </si>
  <si>
    <t>a1LDm000000Cb3vMAC</t>
  </si>
  <si>
    <t>a16Dm000000M3qHIAS</t>
  </si>
  <si>
    <t>IDR-01312</t>
  </si>
  <si>
    <t>a1LDm000000Cb3uMAC</t>
  </si>
  <si>
    <t>a16Dm000000M3qIIAS</t>
  </si>
  <si>
    <t>Positive</t>
  </si>
  <si>
    <t>IDR-01311</t>
  </si>
  <si>
    <t>a1LDm000000Cb3tMAC</t>
  </si>
  <si>
    <t>a16Dm000000M3qJIAS</t>
  </si>
  <si>
    <t>a16Dm000000M3qKIAS</t>
  </si>
  <si>
    <t>a16Dm000000M3qLIAS</t>
  </si>
  <si>
    <t>a16Dm000000M3qMIAS</t>
  </si>
  <si>
    <t>a16Dm000000M3qNIAS</t>
  </si>
  <si>
    <t>a16Dm000000M3qOIAS</t>
  </si>
  <si>
    <t>a16Dm000000M3qPIAS</t>
  </si>
  <si>
    <t>a16Dm000000M3qQIAS</t>
  </si>
  <si>
    <t>a16Dm000000M3qRIAS</t>
  </si>
  <si>
    <t>a16Dm000000M3qSIAS</t>
  </si>
  <si>
    <t>a16Dm000000M3qTIAS</t>
  </si>
  <si>
    <t>a16Dm000000M3qUIAS</t>
  </si>
  <si>
    <t>a16Dm000000M3qVIAS</t>
  </si>
  <si>
    <t>IDR-01330</t>
  </si>
  <si>
    <t>a1LDm000000Cb4CMAS</t>
  </si>
  <si>
    <t>a16Dm000000M3qWIAS</t>
  </si>
  <si>
    <t>IDR-01329</t>
  </si>
  <si>
    <t>a1LDm000000Cb4BMAS</t>
  </si>
  <si>
    <t>a16Dm000000M3qXIAS</t>
  </si>
  <si>
    <t>IDR-01328</t>
  </si>
  <si>
    <t>a1LDm000000Cb4AMAS</t>
  </si>
  <si>
    <t>a16Dm000000M3qYIAS</t>
  </si>
  <si>
    <t>IDR-01327</t>
  </si>
  <si>
    <t>a1LDm000000Cb49MAC</t>
  </si>
  <si>
    <t>a16Dm000000M3qZIAS</t>
  </si>
  <si>
    <t>IDR-01326</t>
  </si>
  <si>
    <t>a1LDm000000Cb48MAC</t>
  </si>
  <si>
    <t>a16Dm000000M3qaIAC</t>
  </si>
  <si>
    <t>IDR-01325</t>
  </si>
  <si>
    <t>a1LDm000000Cb47MAC</t>
  </si>
  <si>
    <t>a16Dm000000M3qbIAC</t>
  </si>
  <si>
    <t>IDR-01324</t>
  </si>
  <si>
    <t>a1LDm000000Cb46MAC</t>
  </si>
  <si>
    <t>a16Dm000000M3qcIAC</t>
  </si>
  <si>
    <t>a16Dm000000M3qdIAC</t>
  </si>
  <si>
    <t>a16Dm000000M3qeIAC</t>
  </si>
  <si>
    <t>a16Dm000000M3qfIAC</t>
  </si>
  <si>
    <t>a16Dm000000M3qgIAC</t>
  </si>
  <si>
    <t>a16Dm000000M3qhIAC</t>
  </si>
  <si>
    <t>a16Dm000000M3qiIAC</t>
  </si>
  <si>
    <t>a16Dm000000M3qjIAC</t>
  </si>
  <si>
    <t>a16Dm000000M3qkIAC</t>
  </si>
  <si>
    <t>a16Dm000000M3qlIAC</t>
  </si>
  <si>
    <t>a16Dm000000M3qmIAC</t>
  </si>
  <si>
    <t>a16Dm000000M3qnIAC</t>
  </si>
  <si>
    <t>a16Dm000000M3qoIAC</t>
  </si>
  <si>
    <t>a16Dm000000M3qpIAC</t>
  </si>
  <si>
    <t>Private</t>
  </si>
  <si>
    <t>IDR-01323</t>
  </si>
  <si>
    <t>a1LDm000000Cb45MAC</t>
  </si>
  <si>
    <t>a16Dm000000M3qqIAC</t>
  </si>
  <si>
    <t>Public</t>
  </si>
  <si>
    <t>IDR-01322</t>
  </si>
  <si>
    <t>a1LDm000000Cb44MAC</t>
  </si>
  <si>
    <t>a16Dm000000M3qrIAC</t>
  </si>
  <si>
    <t>a16Dm000000M3qsIAC</t>
  </si>
  <si>
    <t>a16Dm000000M3qtIAC</t>
  </si>
  <si>
    <t>a16Dm000000M3quIAC</t>
  </si>
  <si>
    <t>a16Dm000000M3qvIAC</t>
  </si>
  <si>
    <t>a16Dm000000M3qwIAC</t>
  </si>
  <si>
    <t>a16Dm000000M3qxIAC</t>
  </si>
  <si>
    <t>a16Dm000000M3qyIAC</t>
  </si>
  <si>
    <t>a16Dm000000M3qzIAC</t>
  </si>
  <si>
    <t>a16Dm000000M3r0IAC</t>
  </si>
  <si>
    <t>a16Dm000000M3r1IAC</t>
  </si>
  <si>
    <t>a16Dm000000M3r2IAC</t>
  </si>
  <si>
    <t>a16Dm000000M3r3IAC</t>
  </si>
  <si>
    <t>a16Dm000000M3r4IAC</t>
  </si>
  <si>
    <t>a16Dm000000M3r5IAC</t>
  </si>
  <si>
    <t>a16Dm000000M3r6IAC</t>
  </si>
  <si>
    <t>a16Dm000000M3r7IAC</t>
  </si>
  <si>
    <t>a16Dm000000M3r8IAC</t>
  </si>
  <si>
    <t>a16Dm000000M3r9IAC</t>
  </si>
  <si>
    <t>IDR-01378</t>
  </si>
  <si>
    <t>a1LDm000000Cb4yMAC</t>
  </si>
  <si>
    <t>a16Dm000000M3rAIAS</t>
  </si>
  <si>
    <t>IDR-01377</t>
  </si>
  <si>
    <t>a1LDm000000Cb4xMAC</t>
  </si>
  <si>
    <t>a16Dm000000M3rBIAS</t>
  </si>
  <si>
    <t>IDR-01376</t>
  </si>
  <si>
    <t>a1LDm000000Cb4wMAC</t>
  </si>
  <si>
    <t>a16Dm000000M3rCIAS</t>
  </si>
  <si>
    <t>IDR-01375</t>
  </si>
  <si>
    <t>a1LDm000000Cb4vMAC</t>
  </si>
  <si>
    <t>a16Dm000000M3rDIAS</t>
  </si>
  <si>
    <t>IDR-01374</t>
  </si>
  <si>
    <t>a1LDm000000Cb4uMAC</t>
  </si>
  <si>
    <t>a16Dm000000M3rEIAS</t>
  </si>
  <si>
    <t>IDR-01373</t>
  </si>
  <si>
    <t>a1LDm000000Cb4tMAC</t>
  </si>
  <si>
    <t>a16Dm000000M3rFIAS</t>
  </si>
  <si>
    <t>IDR-01372</t>
  </si>
  <si>
    <t>a1LDm000000Cb4sMAC</t>
  </si>
  <si>
    <t>a16Dm000000M3rGIAS</t>
  </si>
  <si>
    <t>a16Dm000000M3rHIAS</t>
  </si>
  <si>
    <t>a16Dm000000M3rIIAS</t>
  </si>
  <si>
    <t>a16Dm000000M3rJIAS</t>
  </si>
  <si>
    <t>a16Dm000000M3rKIAS</t>
  </si>
  <si>
    <t>a16Dm000000M3rLIAS</t>
  </si>
  <si>
    <t>a16Dm000000M3rMIAS</t>
  </si>
  <si>
    <t>a16Dm000000M3rNIAS</t>
  </si>
  <si>
    <t>a16Dm000000M3rOIAS</t>
  </si>
  <si>
    <t>a16Dm000000M3rPIAS</t>
  </si>
  <si>
    <t>a16Dm000000M3rQIAS</t>
  </si>
  <si>
    <t>a16Dm000000M3rRIAS</t>
  </si>
  <si>
    <t>a16Dm000000M3rSIAS</t>
  </si>
  <si>
    <t>a16Dm000000M3rTIAS</t>
  </si>
  <si>
    <t>IDR-01384</t>
  </si>
  <si>
    <t>a1LDm000000Cb54MAC</t>
  </si>
  <si>
    <t>a16Dm000000M3rUIAS</t>
  </si>
  <si>
    <t>IDR-01383</t>
  </si>
  <si>
    <t>a1LDm000000Cb53MAC</t>
  </si>
  <si>
    <t>a16Dm000000M3rVIAS</t>
  </si>
  <si>
    <t>IDR-01382</t>
  </si>
  <si>
    <t>a1LDm000000Cb52MAC</t>
  </si>
  <si>
    <t>a16Dm000000M3rWIAS</t>
  </si>
  <si>
    <t>Longer individualized</t>
  </si>
  <si>
    <t>IDR-01381</t>
  </si>
  <si>
    <t>a1LDm000000Cb51MAC</t>
  </si>
  <si>
    <t>a16Dm000000M3rXIAS</t>
  </si>
  <si>
    <t>IDR-01380</t>
  </si>
  <si>
    <t>a1LDm000000Cb50MAC</t>
  </si>
  <si>
    <t>a16Dm000000M3rYIAS</t>
  </si>
  <si>
    <t>Shorter 6-9 month</t>
  </si>
  <si>
    <t>IDR-01379</t>
  </si>
  <si>
    <t>a1LDm000000Cb4zMAC</t>
  </si>
  <si>
    <t>a16Dm000000M3rZIAS</t>
  </si>
  <si>
    <t>a16Dm000000M3raIAC</t>
  </si>
  <si>
    <t>a16Dm000000M3rbIAC</t>
  </si>
  <si>
    <t>a16Dm000000M3rcIAC</t>
  </si>
  <si>
    <t>a16Dm000000M3rdIAC</t>
  </si>
  <si>
    <t>a16Dm000000M3reIAC</t>
  </si>
  <si>
    <t>a16Dm000000M3rfIAC</t>
  </si>
  <si>
    <t>a16Dm000000M3rgIAC</t>
  </si>
  <si>
    <t>a16Dm000000M3rhIAC</t>
  </si>
  <si>
    <t>a16Dm000000M3riIAC</t>
  </si>
  <si>
    <t>a16Dm000000M3rjIAC</t>
  </si>
  <si>
    <t>a16Dm000000M3rkIAC</t>
  </si>
  <si>
    <t>a16Dm000000M3rlIAC</t>
  </si>
  <si>
    <t>a16Dm000000M3rmIAC</t>
  </si>
  <si>
    <t>a16Dm000000M3rnIAC</t>
  </si>
  <si>
    <t>IDR-01343</t>
  </si>
  <si>
    <t>a1LDm000000Cb4PMAS</t>
  </si>
  <si>
    <t>a16Dm000000M3roIAC</t>
  </si>
  <si>
    <t>6H</t>
  </si>
  <si>
    <t>IDR-01342</t>
  </si>
  <si>
    <t>a1LDm000000Cb4OMAS</t>
  </si>
  <si>
    <t>a16Dm000000M3rpIAC</t>
  </si>
  <si>
    <t>3RH</t>
  </si>
  <si>
    <t>IDR-01341</t>
  </si>
  <si>
    <t>a1LDm000000Cb4NMAS</t>
  </si>
  <si>
    <t>a16Dm000000M3rqIAC</t>
  </si>
  <si>
    <t>RIF</t>
  </si>
  <si>
    <t>IDR-01340</t>
  </si>
  <si>
    <t>a1LDm000000Cb4MMAS</t>
  </si>
  <si>
    <t>a16Dm000000M3rrIAC</t>
  </si>
  <si>
    <t>IDR-01339</t>
  </si>
  <si>
    <t>a1LDm000000Cb4LMAS</t>
  </si>
  <si>
    <t>a16Dm000000M3rsIAC</t>
  </si>
  <si>
    <t>IDR-01338</t>
  </si>
  <si>
    <t>a1LDm000000Cb4KMAS</t>
  </si>
  <si>
    <t>a16Dm000000M3rtIAC</t>
  </si>
  <si>
    <t>IDR-01337</t>
  </si>
  <si>
    <t>a1LDm000000Cb4JMAS</t>
  </si>
  <si>
    <t>a16Dm000000M3ruIAC</t>
  </si>
  <si>
    <t>5-14</t>
  </si>
  <si>
    <t>IDR-01336</t>
  </si>
  <si>
    <t>a1LDm000000Cb4IMAS</t>
  </si>
  <si>
    <t>a16Dm000000M3rvIAC</t>
  </si>
  <si>
    <t>1HP</t>
  </si>
  <si>
    <t>IDR-01335</t>
  </si>
  <si>
    <t>a1LDm000000Cb4HMAS</t>
  </si>
  <si>
    <t>a16Dm000000M3rwIAC</t>
  </si>
  <si>
    <t>3HP</t>
  </si>
  <si>
    <t>IDR-01334</t>
  </si>
  <si>
    <t>a1LDm000000Cb4GMAS</t>
  </si>
  <si>
    <t>a16Dm000000M3rxIAC</t>
  </si>
  <si>
    <t>&lt;5</t>
  </si>
  <si>
    <t>IDR-01333</t>
  </si>
  <si>
    <t>a1LDm000000Cb4FMAS</t>
  </si>
  <si>
    <t>a16Dm000000M3ryIAC</t>
  </si>
  <si>
    <t>IDR-01332</t>
  </si>
  <si>
    <t>a1LDm000000Cb4EMAS</t>
  </si>
  <si>
    <t>a16Dm000000M3rzIAC</t>
  </si>
  <si>
    <t>IDR-01331</t>
  </si>
  <si>
    <t>a1LDm000000Cb4DMAS</t>
  </si>
  <si>
    <t>a16Dm000000M3s0IAC</t>
  </si>
  <si>
    <t>a16Dm000000M3s1IAC</t>
  </si>
  <si>
    <t>a16Dm000000M3s2IAC</t>
  </si>
  <si>
    <t>a16Dm000000M3s3IAC</t>
  </si>
  <si>
    <t>a16Dm000000M3s4IAC</t>
  </si>
  <si>
    <t>a16Dm000000M3s5IAC</t>
  </si>
  <si>
    <t>a16Dm000000M3s6IAC</t>
  </si>
  <si>
    <t>a16Dm000000M3s7IAC</t>
  </si>
  <si>
    <t>a16Dm000000M3s8IAC</t>
  </si>
  <si>
    <t>a16Dm000000M3s9IAC</t>
  </si>
  <si>
    <t>a16Dm000000M3sAIAS</t>
  </si>
  <si>
    <t>a16Dm000000M3sBIAS</t>
  </si>
  <si>
    <t>a16Dm000000M3sCIAS</t>
  </si>
  <si>
    <t>a16Dm000000M3sDIAS</t>
  </si>
  <si>
    <t>a16Dm000000M3sEIAS</t>
  </si>
  <si>
    <t>a16Dm000000M3sFIAS</t>
  </si>
  <si>
    <t>a16Dm000000M3sGIAS</t>
  </si>
  <si>
    <t>a16Dm000000M3sHIAS</t>
  </si>
  <si>
    <t>a16Dm000000M3sIIAS</t>
  </si>
  <si>
    <t>a16Dm000000M3sJIAS</t>
  </si>
  <si>
    <t>a16Dm000000M3sKIAS</t>
  </si>
  <si>
    <t>a16Dm000000M3sLIAS</t>
  </si>
  <si>
    <t>a16Dm000000M3sMIAS</t>
  </si>
  <si>
    <t>a16Dm000000M3sNIAS</t>
  </si>
  <si>
    <t>a16Dm000000M3sOIAS</t>
  </si>
  <si>
    <t>a16Dm000000M3sPIAS</t>
  </si>
  <si>
    <t>a16Dm000000M3sQIAS</t>
  </si>
  <si>
    <t>a16Dm000000M3sRIAS</t>
  </si>
  <si>
    <t>a16Dm000000M3sSIAS</t>
  </si>
  <si>
    <t>a16Dm000000M3sTIAS</t>
  </si>
  <si>
    <t>a16Dm000000M3sUIAS</t>
  </si>
  <si>
    <t>a16Dm000000M3sVIAS</t>
  </si>
  <si>
    <t>a16Dm000000M3sWIAS</t>
  </si>
  <si>
    <t>a16Dm000000M3sXIAS</t>
  </si>
  <si>
    <t>a16Dm000000M3sYIAS</t>
  </si>
  <si>
    <t>a16Dm000000M3sZIAS</t>
  </si>
  <si>
    <t>a16Dm000000M3saIAC</t>
  </si>
  <si>
    <t>a16Dm000000M3sbIAC</t>
  </si>
  <si>
    <t>a16Dm000000M3scIAC</t>
  </si>
  <si>
    <t>a16Dm000000M3sdIAC</t>
  </si>
  <si>
    <t>a16Dm000000M3seIAC</t>
  </si>
  <si>
    <t>a16Dm000000M3sfIAC</t>
  </si>
  <si>
    <t>a16Dm000000M3sgIAC</t>
  </si>
  <si>
    <t>a16Dm000000M3shIAC</t>
  </si>
  <si>
    <t>a16Dm000000M3siIAC</t>
  </si>
  <si>
    <t>a16Dm000000M3sjIAC</t>
  </si>
  <si>
    <t>a16Dm000000M3skIAC</t>
  </si>
  <si>
    <t>a16Dm000000M3slIAC</t>
  </si>
  <si>
    <t>IDR-01356</t>
  </si>
  <si>
    <t>a1LDm000000Cb4cMAC</t>
  </si>
  <si>
    <t>a16Dm000000M3smIAC</t>
  </si>
  <si>
    <t>IDR-01355</t>
  </si>
  <si>
    <t>a1LDm000000Cb4bMAC</t>
  </si>
  <si>
    <t>a16Dm000000M3snIAC</t>
  </si>
  <si>
    <t>IDR-01354</t>
  </si>
  <si>
    <t>a1LDm000000Cb4aMAC</t>
  </si>
  <si>
    <t>a16Dm000000M3soIAC</t>
  </si>
  <si>
    <t>IDR-01353</t>
  </si>
  <si>
    <t>a1LDm000000Cb4ZMAS</t>
  </si>
  <si>
    <t>a16Dm000000M3spIAC</t>
  </si>
  <si>
    <t>IDR-01352</t>
  </si>
  <si>
    <t>a1LDm000000Cb4YMAS</t>
  </si>
  <si>
    <t>a16Dm000000M3sqIAC</t>
  </si>
  <si>
    <t>IDR-01351</t>
  </si>
  <si>
    <t>a1LDm000000Cb4XMAS</t>
  </si>
  <si>
    <t>a16Dm000000M3srIAC</t>
  </si>
  <si>
    <t>IDR-01350</t>
  </si>
  <si>
    <t>a1LDm000000Cb4WMAS</t>
  </si>
  <si>
    <t>a16Dm000000M3ssIAC</t>
  </si>
  <si>
    <t>IDR-01349</t>
  </si>
  <si>
    <t>a1LDm000000Cb4VMAS</t>
  </si>
  <si>
    <t>a16Dm000000M3stIAC</t>
  </si>
  <si>
    <t>a16Dm000000M3suIAC</t>
  </si>
  <si>
    <t>a16Dm000000M3svIAC</t>
  </si>
  <si>
    <t>a16Dm000000M3swIAC</t>
  </si>
  <si>
    <t>a16Dm000000M3sxIAC</t>
  </si>
  <si>
    <t>a16Dm000000M3syIAC</t>
  </si>
  <si>
    <t>a16Dm000000M3szIAC</t>
  </si>
  <si>
    <t>a16Dm000000M3t0IAC</t>
  </si>
  <si>
    <t>a16Dm000000M3t1IAC</t>
  </si>
  <si>
    <t>a16Dm000000M3t2IAC</t>
  </si>
  <si>
    <t>a16Dm000000M3t3IAC</t>
  </si>
  <si>
    <t>a16Dm000000M3t4IAC</t>
  </si>
  <si>
    <t>a16Dm000000M3t5IAC</t>
  </si>
  <si>
    <t>IDR-01361</t>
  </si>
  <si>
    <t>a1LDm000000Cb4hMAC</t>
  </si>
  <si>
    <t>a16Dm000000M3t6IAC</t>
  </si>
  <si>
    <t>IDR-01360</t>
  </si>
  <si>
    <t>a1LDm000000Cb4gMAC</t>
  </si>
  <si>
    <t>a16Dm000000M3t7IAC</t>
  </si>
  <si>
    <t>IDR-01359</t>
  </si>
  <si>
    <t>a1LDm000000Cb4fMAC</t>
  </si>
  <si>
    <t>a16Dm000000M3t8IAC</t>
  </si>
  <si>
    <t>IDR-01358</t>
  </si>
  <si>
    <t>a1LDm000000Cb4eMAC</t>
  </si>
  <si>
    <t>a16Dm000000M3t9IAC</t>
  </si>
  <si>
    <t>IDR-01357</t>
  </si>
  <si>
    <t>a1LDm000000Cb4dMAC</t>
  </si>
  <si>
    <t>a16Dm000000M3tAIAS</t>
  </si>
  <si>
    <t>a16Dm000000M3tBIAS</t>
  </si>
  <si>
    <t>a16Dm000000M3tCIAS</t>
  </si>
  <si>
    <t>a16Dm000000M3tDIAS</t>
  </si>
  <si>
    <t>a16Dm000000M3tEIAS</t>
  </si>
  <si>
    <t>a16Dm000000M3tFIAS</t>
  </si>
  <si>
    <t>a16Dm000000M3tGIAS</t>
  </si>
  <si>
    <t>a16Dm000000M3tHIAS</t>
  </si>
  <si>
    <t>a16Dm000000M3tIIAS</t>
  </si>
  <si>
    <t>a16Dm000000M3tJIAS</t>
  </si>
  <si>
    <t>a16Dm000000M3tKIAS</t>
  </si>
  <si>
    <t>a16Dm000000M3tLIAS</t>
  </si>
  <si>
    <t>a16Dm000000M3tMIAS</t>
  </si>
  <si>
    <t>a16Dm000000M3tNIAS</t>
  </si>
  <si>
    <t>a16Dm000000M3tOIAS</t>
  </si>
  <si>
    <t>a16Dm000000M3tPIAS</t>
  </si>
  <si>
    <t>IDR-01395</t>
  </si>
  <si>
    <t>a1LDm000000Cb5FMAS</t>
  </si>
  <si>
    <t>a16Dm000000M3tQIAS</t>
  </si>
  <si>
    <t>IDR-01394</t>
  </si>
  <si>
    <t>a1LDm000000Cb5EMAS</t>
  </si>
  <si>
    <t>a16Dm000000M3tRIAS</t>
  </si>
  <si>
    <t>IDR-01393</t>
  </si>
  <si>
    <t>a1LDm000000Cb5DMAS</t>
  </si>
  <si>
    <t>a16Dm000000M3tSIAS</t>
  </si>
  <si>
    <t>IDR-01392</t>
  </si>
  <si>
    <t>a1LDm000000Cb5CMAS</t>
  </si>
  <si>
    <t>a16Dm000000M3tTIAS</t>
  </si>
  <si>
    <t>IDR-01391</t>
  </si>
  <si>
    <t>a1LDm000000Cb5BMAS</t>
  </si>
  <si>
    <t>a16Dm000000M3tUIAS</t>
  </si>
  <si>
    <t>IDR-01390</t>
  </si>
  <si>
    <t>a1LDm000000Cb5AMAS</t>
  </si>
  <si>
    <t>a16Dm000000M3tVIAS</t>
  </si>
  <si>
    <t>IDR-01389</t>
  </si>
  <si>
    <t>a1LDm000000Cb59MAC</t>
  </si>
  <si>
    <t>a16Dm000000M3tWIAS</t>
  </si>
  <si>
    <t>IDR-01388</t>
  </si>
  <si>
    <t>a1LDm000000Cb58MAC</t>
  </si>
  <si>
    <t>a16Dm000000M3tXIAS</t>
  </si>
  <si>
    <t>IDR-01387</t>
  </si>
  <si>
    <t>a1LDm000000Cb57MAC</t>
  </si>
  <si>
    <t>a16Dm000000M3tYIAS</t>
  </si>
  <si>
    <t>IDR-01386</t>
  </si>
  <si>
    <t>a1LDm000000Cb56MAC</t>
  </si>
  <si>
    <t>a16Dm000000M3tZIAS</t>
  </si>
  <si>
    <t>IDR-01385</t>
  </si>
  <si>
    <t>a1LDm000000Cb55MAC</t>
  </si>
  <si>
    <t>a16Dm000000M3taIAC</t>
  </si>
  <si>
    <t>a16Dm000000M3tbIAC</t>
  </si>
  <si>
    <t>a16Dm000000M3tcIAC</t>
  </si>
  <si>
    <t>a16Dm000000M3tdIAC</t>
  </si>
  <si>
    <t>a16Dm000000M3teIAC</t>
  </si>
  <si>
    <t>a16Dm000000M3tfIAC</t>
  </si>
  <si>
    <t>a16Dm000000M3tgIAC</t>
  </si>
  <si>
    <t>a16Dm000000M3thIAC</t>
  </si>
  <si>
    <t>a16Dm000000M3tiIAC</t>
  </si>
  <si>
    <t>a16Dm000000M3tjIAC</t>
  </si>
  <si>
    <t>a16Dm000000M3tkIAC</t>
  </si>
  <si>
    <t>a16Dm000000M3tlIAC</t>
  </si>
  <si>
    <t>a16Dm000000M3tmIAC</t>
  </si>
  <si>
    <t>a16Dm000000M3tnIAC</t>
  </si>
  <si>
    <t>a16Dm000000M3toIAC</t>
  </si>
  <si>
    <t>a16Dm000000M3tpIAC</t>
  </si>
  <si>
    <t>a16Dm000000M3tqIAC</t>
  </si>
  <si>
    <t>a16Dm000000M3trIAC</t>
  </si>
  <si>
    <t>a16Dm000000M3tsIAC</t>
  </si>
  <si>
    <t>a16Dm000000M3ttIAC</t>
  </si>
  <si>
    <t>a16Dm000000M3tuIAC</t>
  </si>
  <si>
    <t>a16Dm000000M3tvIAC</t>
  </si>
  <si>
    <t>a16Dm000000M3twIAC</t>
  </si>
  <si>
    <t>a16Dm000000M3txIAC</t>
  </si>
  <si>
    <t>a16Dm000000M3tyIAC</t>
  </si>
  <si>
    <t>a16Dm000000M3tzIAC</t>
  </si>
  <si>
    <t>a16Dm000000M3u0IAC</t>
  </si>
  <si>
    <t>a16Dm000000M3u1IAC</t>
  </si>
  <si>
    <t>a16Dm000000M3u2IAC</t>
  </si>
  <si>
    <t>a16Dm000000M3u3IAC</t>
  </si>
  <si>
    <t>IDR-01165</t>
  </si>
  <si>
    <t>a1LDm000000Cb1XMAS</t>
  </si>
  <si>
    <t>a16Dm000000M3u4IAC</t>
  </si>
  <si>
    <t>20-24</t>
  </si>
  <si>
    <t>IDR-01164</t>
  </si>
  <si>
    <t>a1LDm000000Cb1WMAS</t>
  </si>
  <si>
    <t>a16Dm000000M3u5IAC</t>
  </si>
  <si>
    <t>15-19</t>
  </si>
  <si>
    <t>IDR-01163</t>
  </si>
  <si>
    <t>a1LDm000000Cb1VMAS</t>
  </si>
  <si>
    <t>a16Dm000000M3u6IAC</t>
  </si>
  <si>
    <t>a16Dm000000M3u7IAC</t>
  </si>
  <si>
    <t>a16Dm000000M3u8IAC</t>
  </si>
  <si>
    <t>a16Dm000000M3u9IAC</t>
  </si>
  <si>
    <t>a16Dm000000M3uAIAS</t>
  </si>
  <si>
    <t>a16Dm000000M3uBIAS</t>
  </si>
  <si>
    <t>a16Dm000000M3uCIAS</t>
  </si>
  <si>
    <t>a16Dm000000M3uDIAS</t>
  </si>
  <si>
    <t>a16Dm000000M3uEIAS</t>
  </si>
  <si>
    <t>a16Dm000000M3uFIAS</t>
  </si>
  <si>
    <t>a16Dm000000M3uGIAS</t>
  </si>
  <si>
    <t>a16Dm000000M3uHIAS</t>
  </si>
  <si>
    <t>a16Dm000000M3uIIAS</t>
  </si>
  <si>
    <t>a16Dm000000M3uJIAS</t>
  </si>
  <si>
    <t>a16Dm000000M3uKIAS</t>
  </si>
  <si>
    <t>a16Dm000000M3uLIAS</t>
  </si>
  <si>
    <t>a16Dm000000M3uMIAS</t>
  </si>
  <si>
    <t>a16Dm000000M3uNIAS</t>
  </si>
  <si>
    <t>IDR-01171</t>
  </si>
  <si>
    <t>a1LDm000000Cb1dMAC</t>
  </si>
  <si>
    <t>a16Dm000000M3uOIAS</t>
  </si>
  <si>
    <t>IDR-01170</t>
  </si>
  <si>
    <t>a1LDm000000Cb1cMAC</t>
  </si>
  <si>
    <t>a16Dm000000M3uPIAS</t>
  </si>
  <si>
    <t>IDR-01169</t>
  </si>
  <si>
    <t>a1LDm000000Cb1bMAC</t>
  </si>
  <si>
    <t>a16Dm000000M3uQIAS</t>
  </si>
  <si>
    <t>DPV-VR</t>
  </si>
  <si>
    <t>IDR-01168</t>
  </si>
  <si>
    <t>a1LDm000000Cb1aMAC</t>
  </si>
  <si>
    <t>a16Dm000000M3uRIAS</t>
  </si>
  <si>
    <t>Injectable PrEP</t>
  </si>
  <si>
    <t>IDR-01167</t>
  </si>
  <si>
    <t>a1LDm000000Cb1ZMAS</t>
  </si>
  <si>
    <t>a16Dm000000M3uSIAS</t>
  </si>
  <si>
    <t>Oral PrEP</t>
  </si>
  <si>
    <t>IDR-01166</t>
  </si>
  <si>
    <t>a1LDm000000Cb1YMAS</t>
  </si>
  <si>
    <t>a16Dm000000M3uTIAS</t>
  </si>
  <si>
    <t>a16Dm000000M3uUIAS</t>
  </si>
  <si>
    <t>a16Dm000000M3uVIAS</t>
  </si>
  <si>
    <t>a16Dm000000M3uWIAS</t>
  </si>
  <si>
    <t>a16Dm000000M3uXIAS</t>
  </si>
  <si>
    <t>a16Dm000000M3uYIAS</t>
  </si>
  <si>
    <t>a16Dm000000M3uZIAS</t>
  </si>
  <si>
    <t>a16Dm000000M3uaIAC</t>
  </si>
  <si>
    <t>a16Dm000000M3ubIAC</t>
  </si>
  <si>
    <t>a16Dm000000M3ucIAC</t>
  </si>
  <si>
    <t>a16Dm000000M3udIAC</t>
  </si>
  <si>
    <t>a16Dm000000M3ueIAC</t>
  </si>
  <si>
    <t>a16Dm000000M3ufIAC</t>
  </si>
  <si>
    <t>a16Dm000000M3ugIAC</t>
  </si>
  <si>
    <t>a16Dm000000M3uhIAC</t>
  </si>
  <si>
    <t>IDR-01202</t>
  </si>
  <si>
    <t>a1LDm000000Cb28MAC</t>
  </si>
  <si>
    <t>a16Dm000000M3uiIAC</t>
  </si>
  <si>
    <t>IDR-01201</t>
  </si>
  <si>
    <t>a1LDm000000Cb27MAC</t>
  </si>
  <si>
    <t>a16Dm000000M3ujIAC</t>
  </si>
  <si>
    <t>IDR-01200</t>
  </si>
  <si>
    <t>a1LDm000000Cb26MAC</t>
  </si>
  <si>
    <t>a16Dm000000M3ukIAC</t>
  </si>
  <si>
    <t>IDR-01199</t>
  </si>
  <si>
    <t>a1LDm000000Cb25MAC</t>
  </si>
  <si>
    <t>a16Dm000000M3ulIAC</t>
  </si>
  <si>
    <t>IDR-01198</t>
  </si>
  <si>
    <t>a1LDm000000Cb24MAC</t>
  </si>
  <si>
    <t>a16Dm000000M3umIAC</t>
  </si>
  <si>
    <t>IDR-01197</t>
  </si>
  <si>
    <t>a1LDm000000Cb23MAC</t>
  </si>
  <si>
    <t>a16Dm000000M3unIAC</t>
  </si>
  <si>
    <t>a16Dm000000M3uoIAC</t>
  </si>
  <si>
    <t>a16Dm000000M3upIAC</t>
  </si>
  <si>
    <t>a16Dm000000M3uqIAC</t>
  </si>
  <si>
    <t>a16Dm000000M3urIAC</t>
  </si>
  <si>
    <t>a16Dm000000M3usIAC</t>
  </si>
  <si>
    <t>a16Dm000000M3utIAC</t>
  </si>
  <si>
    <t>a16Dm000000M3uuIAC</t>
  </si>
  <si>
    <t>a16Dm000000M3uvIAC</t>
  </si>
  <si>
    <t>a16Dm000000M3uwIAC</t>
  </si>
  <si>
    <t>a16Dm000000M3uxIAC</t>
  </si>
  <si>
    <t>a16Dm000000M3uyIAC</t>
  </si>
  <si>
    <t>a16Dm000000M3uzIAC</t>
  </si>
  <si>
    <t>a16Dm000000M3v0IAC</t>
  </si>
  <si>
    <t>a16Dm000000M3v1IAC</t>
  </si>
  <si>
    <t>IDR-01211</t>
  </si>
  <si>
    <t>a1LDm000000Cb2HMAS</t>
  </si>
  <si>
    <t>a16Dm000000M3v2IAC</t>
  </si>
  <si>
    <t>IDR-01210</t>
  </si>
  <si>
    <t>a1LDm000000Cb2GMAS</t>
  </si>
  <si>
    <t>a16Dm000000M3v3IAC</t>
  </si>
  <si>
    <t>IDR-01209</t>
  </si>
  <si>
    <t>a1LDm000000Cb2FMAS</t>
  </si>
  <si>
    <t>a16Dm000000M3v4IAC</t>
  </si>
  <si>
    <t>IDR-01208</t>
  </si>
  <si>
    <t>a1LDm000000Cb2EMAS</t>
  </si>
  <si>
    <t>a16Dm000000M3v5IAC</t>
  </si>
  <si>
    <t>IDR-01207</t>
  </si>
  <si>
    <t>a1LDm000000Cb2DMAS</t>
  </si>
  <si>
    <t>a16Dm000000M3v6IAC</t>
  </si>
  <si>
    <t>IDR-01206</t>
  </si>
  <si>
    <t>a1LDm000000Cb2CMAS</t>
  </si>
  <si>
    <t>a16Dm000000M3v7IAC</t>
  </si>
  <si>
    <t>IDR-01205</t>
  </si>
  <si>
    <t>a1LDm000000Cb2BMAS</t>
  </si>
  <si>
    <t>a16Dm000000M3v8IAC</t>
  </si>
  <si>
    <t>IDR-01204</t>
  </si>
  <si>
    <t>a1LDm000000Cb2AMAS</t>
  </si>
  <si>
    <t>a16Dm000000M3v9IAC</t>
  </si>
  <si>
    <t>IDR-01203</t>
  </si>
  <si>
    <t>a1LDm000000Cb29MAC</t>
  </si>
  <si>
    <t>a16Dm000000M3vAIAS</t>
  </si>
  <si>
    <t>a16Dm000000M3vBIAS</t>
  </si>
  <si>
    <t>a16Dm000000M3vCIAS</t>
  </si>
  <si>
    <t>a16Dm000000M3vDIAS</t>
  </si>
  <si>
    <t>a16Dm000000M3vEIAS</t>
  </si>
  <si>
    <t>a16Dm000000M3vFIAS</t>
  </si>
  <si>
    <t>a16Dm000000M3vGIAS</t>
  </si>
  <si>
    <t>a16Dm000000M3vHIAS</t>
  </si>
  <si>
    <t>a16Dm000000M3vIIAS</t>
  </si>
  <si>
    <t>a16Dm000000M3vJIAS</t>
  </si>
  <si>
    <t>a16Dm000000M3vKIAS</t>
  </si>
  <si>
    <t>a16Dm000000M3vLIAS</t>
  </si>
  <si>
    <t>IDR-01181</t>
  </si>
  <si>
    <t>a1LDm000000Cb1nMAC</t>
  </si>
  <si>
    <t>a16Dm000000M3vMIAS</t>
  </si>
  <si>
    <t>IDR-01180</t>
  </si>
  <si>
    <t>a1LDm000000Cb1mMAC</t>
  </si>
  <si>
    <t>a16Dm000000M3vNIAS</t>
  </si>
  <si>
    <t>Transwomen</t>
  </si>
  <si>
    <t>IDR-01179</t>
  </si>
  <si>
    <t>a1LDm000000Cb1lMAC</t>
  </si>
  <si>
    <t>a16Dm000000M3vOIAS</t>
  </si>
  <si>
    <t>Transmen</t>
  </si>
  <si>
    <t>IDR-01178</t>
  </si>
  <si>
    <t>a1LDm000000Cb1kMAC</t>
  </si>
  <si>
    <t>a16Dm000000M3vPIAS</t>
  </si>
  <si>
    <t>IDR-01177</t>
  </si>
  <si>
    <t>a1LDm000000Cb1jMAC</t>
  </si>
  <si>
    <t>a16Dm000000M3vQIAS</t>
  </si>
  <si>
    <t>a16Dm000000M3vRIAS</t>
  </si>
  <si>
    <t>a16Dm000000M3vSIAS</t>
  </si>
  <si>
    <t>a16Dm000000M3vTIAS</t>
  </si>
  <si>
    <t>a16Dm000000M3vUIAS</t>
  </si>
  <si>
    <t>a16Dm000000M3vVIAS</t>
  </si>
  <si>
    <t>a16Dm000000M3vWIAS</t>
  </si>
  <si>
    <t>a16Dm000000M3vXIAS</t>
  </si>
  <si>
    <t>a16Dm000000M3vYIAS</t>
  </si>
  <si>
    <t>a16Dm000000M3vZIAS</t>
  </si>
  <si>
    <t>a16Dm000000M3vaIAC</t>
  </si>
  <si>
    <t>a16Dm000000M3vbIAC</t>
  </si>
  <si>
    <t>a16Dm000000M3vcIAC</t>
  </si>
  <si>
    <t>a16Dm000000M3vdIAC</t>
  </si>
  <si>
    <t>a16Dm000000M3veIAC</t>
  </si>
  <si>
    <t>a16Dm000000M3vfIAC</t>
  </si>
  <si>
    <t>IDR-01189</t>
  </si>
  <si>
    <t>a1LDm000000Cb1vMAC</t>
  </si>
  <si>
    <t>a16Dm000000M3vgIAC</t>
  </si>
  <si>
    <t>IDR-01188</t>
  </si>
  <si>
    <t>a1LDm000000Cb1uMAC</t>
  </si>
  <si>
    <t>a16Dm000000M3vhIAC</t>
  </si>
  <si>
    <t>IDR-01187</t>
  </si>
  <si>
    <t>a1LDm000000Cb1tMAC</t>
  </si>
  <si>
    <t>a16Dm000000M3viIAC</t>
  </si>
  <si>
    <t>IDR-01186</t>
  </si>
  <si>
    <t>a1LDm000000Cb1sMAC</t>
  </si>
  <si>
    <t>a16Dm000000M3vjIAC</t>
  </si>
  <si>
    <t>IDR-01185</t>
  </si>
  <si>
    <t>a1LDm000000Cb1rMAC</t>
  </si>
  <si>
    <t>a16Dm000000M3vkIAC</t>
  </si>
  <si>
    <t>IDR-01184</t>
  </si>
  <si>
    <t>a1LDm000000Cb1qMAC</t>
  </si>
  <si>
    <t>a16Dm000000M3vlIAC</t>
  </si>
  <si>
    <t>IDR-01183</t>
  </si>
  <si>
    <t>a1LDm000000Cb1pMAC</t>
  </si>
  <si>
    <t>a16Dm000000M3vmIAC</t>
  </si>
  <si>
    <t>IDR-01182</t>
  </si>
  <si>
    <t>a1LDm000000Cb1oMAC</t>
  </si>
  <si>
    <t>a16Dm000000M3vnIAC</t>
  </si>
  <si>
    <t>a16Dm000000M3voIAC</t>
  </si>
  <si>
    <t>a16Dm000000M3vpIAC</t>
  </si>
  <si>
    <t>a16Dm000000M3vqIAC</t>
  </si>
  <si>
    <t>a16Dm000000M3vrIAC</t>
  </si>
  <si>
    <t>a16Dm000000M3vsIAC</t>
  </si>
  <si>
    <t>a16Dm000000M3vtIAC</t>
  </si>
  <si>
    <t>a16Dm000000M3vuIAC</t>
  </si>
  <si>
    <t>a16Dm000000M3vvIAC</t>
  </si>
  <si>
    <t>a16Dm000000M3vwIAC</t>
  </si>
  <si>
    <t>a16Dm000000M3vxIAC</t>
  </si>
  <si>
    <t>a16Dm000000M3vyIAC</t>
  </si>
  <si>
    <t>a16Dm000000M3vzIAC</t>
  </si>
  <si>
    <t>IDR-01224</t>
  </si>
  <si>
    <t>a1LDm000000Cb2UMAS</t>
  </si>
  <si>
    <t>a16Dm000000M3w0IAC</t>
  </si>
  <si>
    <t>IDR-01223</t>
  </si>
  <si>
    <t>a1LDm000000Cb2TMAS</t>
  </si>
  <si>
    <t>a16Dm000000M3w1IAC</t>
  </si>
  <si>
    <t>IDR-01222</t>
  </si>
  <si>
    <t>a1LDm000000Cb2SMAS</t>
  </si>
  <si>
    <t>a16Dm000000M3w2IAC</t>
  </si>
  <si>
    <t>IDR-01221</t>
  </si>
  <si>
    <t>a1LDm000000Cb2RMAS</t>
  </si>
  <si>
    <t>a16Dm000000M3w3IAC</t>
  </si>
  <si>
    <t>IDR-01220</t>
  </si>
  <si>
    <t>a1LDm000000Cb2QMAS</t>
  </si>
  <si>
    <t>a16Dm000000M3w4IAC</t>
  </si>
  <si>
    <t>a16Dm000000M3w5IAC</t>
  </si>
  <si>
    <t>a16Dm000000M3w6IAC</t>
  </si>
  <si>
    <t>a16Dm000000M3w7IAC</t>
  </si>
  <si>
    <t>a16Dm000000M3w8IAC</t>
  </si>
  <si>
    <t>a16Dm000000M3w9IAC</t>
  </si>
  <si>
    <t>a16Dm000000M3wAIAS</t>
  </si>
  <si>
    <t>a16Dm000000M3wBIAS</t>
  </si>
  <si>
    <t>a16Dm000000M3wCIAS</t>
  </si>
  <si>
    <t>a16Dm000000M3wDIAS</t>
  </si>
  <si>
    <t>a16Dm000000M3wEIAS</t>
  </si>
  <si>
    <t>a16Dm000000M3wFIAS</t>
  </si>
  <si>
    <t>a16Dm000000M3wGIAS</t>
  </si>
  <si>
    <t>a16Dm000000M3wHIAS</t>
  </si>
  <si>
    <t>a16Dm000000M3wIIAS</t>
  </si>
  <si>
    <t>a16Dm000000M3wJIAS</t>
  </si>
  <si>
    <t>IDR-01237</t>
  </si>
  <si>
    <t>a1LDm000000Cb2hMAC</t>
  </si>
  <si>
    <t>a16Dm000000M3wKIAS</t>
  </si>
  <si>
    <t>IDR-01236</t>
  </si>
  <si>
    <t>a1LDm000000Cb2gMAC</t>
  </si>
  <si>
    <t>a16Dm000000M3wLIAS</t>
  </si>
  <si>
    <t>IDR-01235</t>
  </si>
  <si>
    <t>a1LDm000000Cb2fMAC</t>
  </si>
  <si>
    <t>a16Dm000000M3wMIAS</t>
  </si>
  <si>
    <t>IDR-01234</t>
  </si>
  <si>
    <t>a1LDm000000Cb2eMAC</t>
  </si>
  <si>
    <t>a16Dm000000M3wNIAS</t>
  </si>
  <si>
    <t>IDR-01233</t>
  </si>
  <si>
    <t>a1LDm000000Cb2dMAC</t>
  </si>
  <si>
    <t>a16Dm000000M3wOIAS</t>
  </si>
  <si>
    <t>IDR-01232</t>
  </si>
  <si>
    <t>a1LDm000000Cb2cMAC</t>
  </si>
  <si>
    <t>a16Dm000000M3wPIAS</t>
  </si>
  <si>
    <t>IDR-01231</t>
  </si>
  <si>
    <t>a1LDm000000Cb2bMAC</t>
  </si>
  <si>
    <t>a16Dm000000M3wQIAS</t>
  </si>
  <si>
    <t>IDR-01230</t>
  </si>
  <si>
    <t>a1LDm000000Cb2aMAC</t>
  </si>
  <si>
    <t>a16Dm000000M3wRIAS</t>
  </si>
  <si>
    <t>a16Dm000000M3wSIAS</t>
  </si>
  <si>
    <t>a16Dm000000M3wTIAS</t>
  </si>
  <si>
    <t>a16Dm000000M3wUIAS</t>
  </si>
  <si>
    <t>a16Dm000000M3wVIAS</t>
  </si>
  <si>
    <t>a16Dm000000M3wWIAS</t>
  </si>
  <si>
    <t>a16Dm000000M3wXIAS</t>
  </si>
  <si>
    <t>a16Dm000000M3wYIAS</t>
  </si>
  <si>
    <t>a16Dm000000M3wZIAS</t>
  </si>
  <si>
    <t>a16Dm000000M3waIAC</t>
  </si>
  <si>
    <t>a16Dm000000M3wbIAC</t>
  </si>
  <si>
    <t>a16Dm000000M3wcIAC</t>
  </si>
  <si>
    <t>a16Dm000000M3wdIAC</t>
  </si>
  <si>
    <t>a16Dm000000M3weIAC</t>
  </si>
  <si>
    <t>a16Dm000000M3wfIAC</t>
  </si>
  <si>
    <t>a16Dm000000M3wgIAC</t>
  </si>
  <si>
    <t>a16Dm000000M3whIAC</t>
  </si>
  <si>
    <t>a16Dm000000M3wiIAC</t>
  </si>
  <si>
    <t>a16Dm000000M3wjIAC</t>
  </si>
  <si>
    <t>a16Dm000000M3wkIAC</t>
  </si>
  <si>
    <t>a16Dm000000M3wlIAC</t>
  </si>
  <si>
    <t>a16Dm000000M3wmIAC</t>
  </si>
  <si>
    <t>a16Dm000000M3wnIAC</t>
  </si>
  <si>
    <t>a16Dm000000M3woIAC</t>
  </si>
  <si>
    <t>a16Dm000000M3wpIAC</t>
  </si>
  <si>
    <t>a16Dm000000M3wqIAC</t>
  </si>
  <si>
    <t>a16Dm000000M3wrIAC</t>
  </si>
  <si>
    <t>a16Dm000000M3wsIAC</t>
  </si>
  <si>
    <t>a16Dm000000M3wtIAC</t>
  </si>
  <si>
    <t>a16Dm000000M3wuIAC</t>
  </si>
  <si>
    <t>a16Dm000000M3wvIAC</t>
  </si>
  <si>
    <t>a16Dm000000M3wwIAC</t>
  </si>
  <si>
    <t>a16Dm000000M3wxIAC</t>
  </si>
  <si>
    <t>IDR-01270</t>
  </si>
  <si>
    <t>a1LDm000000Cb3EMAS</t>
  </si>
  <si>
    <t>a16Dm000000M3wyIAC</t>
  </si>
  <si>
    <t>IDR-01269</t>
  </si>
  <si>
    <t>a1LDm000000Cb3DMAS</t>
  </si>
  <si>
    <t>a16Dm000000M3wzIAC</t>
  </si>
  <si>
    <t>IDR-01268</t>
  </si>
  <si>
    <t>a1LDm000000Cb3CMAS</t>
  </si>
  <si>
    <t>a16Dm000000M3x0IAC</t>
  </si>
  <si>
    <t>a16Dm000000M3x1IAC</t>
  </si>
  <si>
    <t>a16Dm000000M3x2IAC</t>
  </si>
  <si>
    <t>a16Dm000000M3x3IAC</t>
  </si>
  <si>
    <t>a16Dm000000M3x4IAC</t>
  </si>
  <si>
    <t>a16Dm000000M3x5IAC</t>
  </si>
  <si>
    <t>a16Dm000000M3x6IAC</t>
  </si>
  <si>
    <t>a16Dm000000M3x7IAC</t>
  </si>
  <si>
    <t>a16Dm000000M3x8IAC</t>
  </si>
  <si>
    <t>a16Dm000000M3x9IAC</t>
  </si>
  <si>
    <t>a16Dm000000M3xAIAS</t>
  </si>
  <si>
    <t>a16Dm000000M3xBIAS</t>
  </si>
  <si>
    <t>a16Dm000000M3xCIAS</t>
  </si>
  <si>
    <t>a16Dm000000M3xDIAS</t>
  </si>
  <si>
    <t>a16Dm000000M3xEIAS</t>
  </si>
  <si>
    <t>a16Dm000000M3xFIAS</t>
  </si>
  <si>
    <t>a16Dm000000M3xGIAS</t>
  </si>
  <si>
    <t>a16Dm000000M3xHIAS</t>
  </si>
  <si>
    <t>IDR-01275</t>
  </si>
  <si>
    <t>a1LDm000000Cb3JMAS</t>
  </si>
  <si>
    <t>a16Dm000000M3xIIAS</t>
  </si>
  <si>
    <t>IDR-01274</t>
  </si>
  <si>
    <t>a1LDm000000Cb3IMAS</t>
  </si>
  <si>
    <t>a16Dm000000M3xJIAS</t>
  </si>
  <si>
    <t>IDR-01273</t>
  </si>
  <si>
    <t>a1LDm000000Cb3HMAS</t>
  </si>
  <si>
    <t>a16Dm000000M3xKIAS</t>
  </si>
  <si>
    <t>IDR-01272</t>
  </si>
  <si>
    <t>a1LDm000000Cb3GMAS</t>
  </si>
  <si>
    <t>a16Dm000000M3xLIAS</t>
  </si>
  <si>
    <t>IDR-01271</t>
  </si>
  <si>
    <t>a1LDm000000Cb3FMAS</t>
  </si>
  <si>
    <t>a16Dm000000M3xMIAS</t>
  </si>
  <si>
    <t>a16Dm000000M3xNIAS</t>
  </si>
  <si>
    <t>a16Dm000000M3xOIAS</t>
  </si>
  <si>
    <t>a16Dm000000M3xPIAS</t>
  </si>
  <si>
    <t>a16Dm000000M3xQIAS</t>
  </si>
  <si>
    <t>a16Dm000000M3xRIAS</t>
  </si>
  <si>
    <t>a16Dm000000M3xSIAS</t>
  </si>
  <si>
    <t>a16Dm000000M3xTIAS</t>
  </si>
  <si>
    <t>a16Dm000000M3xUIAS</t>
  </si>
  <si>
    <t>a16Dm000000M3xVIAS</t>
  </si>
  <si>
    <t>a16Dm000000M3xWIAS</t>
  </si>
  <si>
    <t>a16Dm000000M3xXIAS</t>
  </si>
  <si>
    <t>a16Dm000000M3xYIAS</t>
  </si>
  <si>
    <t>a16Dm000000M3xZIAS</t>
  </si>
  <si>
    <t>a16Dm000000M3xaIAC</t>
  </si>
  <si>
    <t>a16Dm000000M3xbIAC</t>
  </si>
  <si>
    <t>IDR-01281</t>
  </si>
  <si>
    <t>a1LDm000000Cb3PMAS</t>
  </si>
  <si>
    <t>a16Dm000000M3xcIAC</t>
  </si>
  <si>
    <t>IDR-01280</t>
  </si>
  <si>
    <t>a1LDm000000Cb3OMAS</t>
  </si>
  <si>
    <t>a16Dm000000M3xdIAC</t>
  </si>
  <si>
    <t>IDR-01279</t>
  </si>
  <si>
    <t>a1LDm000000Cb3NMAS</t>
  </si>
  <si>
    <t>a16Dm000000M3xeIAC</t>
  </si>
  <si>
    <t>IDR-01278</t>
  </si>
  <si>
    <t>a1LDm000000Cb3MMAS</t>
  </si>
  <si>
    <t>a16Dm000000M3xfIAC</t>
  </si>
  <si>
    <t>IDR-01277</t>
  </si>
  <si>
    <t>a1LDm000000Cb3LMAS</t>
  </si>
  <si>
    <t>a16Dm000000M3xgIAC</t>
  </si>
  <si>
    <t>IDR-01276</t>
  </si>
  <si>
    <t>a1LDm000000Cb3KMAS</t>
  </si>
  <si>
    <t>a16Dm000000M3xhIAC</t>
  </si>
  <si>
    <t>a16Dm000000M3xiIAC</t>
  </si>
  <si>
    <t>a16Dm000000M3xjIAC</t>
  </si>
  <si>
    <t>a16Dm000000M3xkIAC</t>
  </si>
  <si>
    <t>a16Dm000000M3xlIAC</t>
  </si>
  <si>
    <t>a16Dm000000M3xmIAC</t>
  </si>
  <si>
    <t>a16Dm000000M3xnIAC</t>
  </si>
  <si>
    <t>a16Dm000000M3xoIAC</t>
  </si>
  <si>
    <t>a16Dm000000M3xpIAC</t>
  </si>
  <si>
    <t>a16Dm000000M3xqIAC</t>
  </si>
  <si>
    <t>a16Dm000000M3xrIAC</t>
  </si>
  <si>
    <t>a16Dm000000M3xsIAC</t>
  </si>
  <si>
    <t>a16Dm000000M3xtIAC</t>
  </si>
  <si>
    <t>a16Dm000000M3xuIAC</t>
  </si>
  <si>
    <t>a16Dm000000M3xvIAC</t>
  </si>
  <si>
    <t>IDR-01286</t>
  </si>
  <si>
    <t>a1LDm000000Cb3UMAS</t>
  </si>
  <si>
    <t>a16Dm000000M3xwIAC</t>
  </si>
  <si>
    <t>IDR-01285</t>
  </si>
  <si>
    <t>a1LDm000000Cb3TMAS</t>
  </si>
  <si>
    <t>a16Dm000000M3xxIAC</t>
  </si>
  <si>
    <t>IDR-01284</t>
  </si>
  <si>
    <t>a1LDm000000Cb3SMAS</t>
  </si>
  <si>
    <t>a16Dm000000M3xyIAC</t>
  </si>
  <si>
    <t>IDR-01283</t>
  </si>
  <si>
    <t>a1LDm000000Cb3RMAS</t>
  </si>
  <si>
    <t>a16Dm000000M3xzIAC</t>
  </si>
  <si>
    <t>IDR-01282</t>
  </si>
  <si>
    <t>a1LDm000000Cb3QMAS</t>
  </si>
  <si>
    <t>a16Dm000000M3y0IAC</t>
  </si>
  <si>
    <t>a16Dm000000M3y1IAC</t>
  </si>
  <si>
    <t>a16Dm000000M3y2IAC</t>
  </si>
  <si>
    <t>a16Dm000000M3y3IAC</t>
  </si>
  <si>
    <t>a16Dm000000M3y4IAC</t>
  </si>
  <si>
    <t>a16Dm000000M3y5IAC</t>
  </si>
  <si>
    <t>a16Dm000000M3y6IAC</t>
  </si>
  <si>
    <t>a16Dm000000M3y7IAC</t>
  </si>
  <si>
    <t>a16Dm000000M3y8IAC</t>
  </si>
  <si>
    <t>a16Dm000000M3y9IAC</t>
  </si>
  <si>
    <t>a16Dm000000M3yAIAS</t>
  </si>
  <si>
    <t>a16Dm000000M3yBIAS</t>
  </si>
  <si>
    <t>a16Dm000000M3yCIAS</t>
  </si>
  <si>
    <t>a16Dm000000M3yDIAS</t>
  </si>
  <si>
    <t>a16Dm000000M3yEIAS</t>
  </si>
  <si>
    <t>a16Dm000000M3yFIAS</t>
  </si>
  <si>
    <t>IDR-01288</t>
  </si>
  <si>
    <t>a1LDm000000Cb3WMAS</t>
  </si>
  <si>
    <t>a16Dm000000M3yGIAS</t>
  </si>
  <si>
    <t>IDR-01287</t>
  </si>
  <si>
    <t>a1LDm000000Cb3VMAS</t>
  </si>
  <si>
    <t>a16Dm000000M3yHIAS</t>
  </si>
  <si>
    <t>a16Dm000000M3yIIAS</t>
  </si>
  <si>
    <t>a16Dm000000M3yJIAS</t>
  </si>
  <si>
    <t>a16Dm000000M3yKIAS</t>
  </si>
  <si>
    <t>a16Dm000000M3yLIAS</t>
  </si>
  <si>
    <t>a16Dm000000M3yMIAS</t>
  </si>
  <si>
    <t>a16Dm000000M3yNIAS</t>
  </si>
  <si>
    <t>a16Dm000000M3yOIAS</t>
  </si>
  <si>
    <t>a16Dm000000M3yPIAS</t>
  </si>
  <si>
    <t>a16Dm000000M3yQIAS</t>
  </si>
  <si>
    <t>a16Dm000000M3yRIAS</t>
  </si>
  <si>
    <t>a16Dm000000M3ySIAS</t>
  </si>
  <si>
    <t>a16Dm000000M3yTIAS</t>
  </si>
  <si>
    <t>a16Dm000000M3yUIAS</t>
  </si>
  <si>
    <t>a16Dm000000M3yVIAS</t>
  </si>
  <si>
    <t>a16Dm000000M3yWIAS</t>
  </si>
  <si>
    <t>a16Dm000000M3yXIAS</t>
  </si>
  <si>
    <t>a16Dm000000M3yYIAS</t>
  </si>
  <si>
    <t>a16Dm000000M3yZIAS</t>
  </si>
  <si>
    <t>a16Dm000000M3yaIAC</t>
  </si>
  <si>
    <t>a16Dm000000M3ybIAC</t>
  </si>
  <si>
    <t>a16Dm000000M3ycIAC</t>
  </si>
  <si>
    <t>a16Dm000000M3ydIAC</t>
  </si>
  <si>
    <t>a16Dm000000M3yeIAC</t>
  </si>
  <si>
    <t>a16Dm000000M3yfIAC</t>
  </si>
  <si>
    <t>a16Dm000000M3ygIAC</t>
  </si>
  <si>
    <t>a16Dm000000M3yhIAC</t>
  </si>
  <si>
    <t>a16Dm000000M3yiIAC</t>
  </si>
  <si>
    <t>a16Dm000000M3yjIAC</t>
  </si>
  <si>
    <t>a16Dm000000M3ykIAC</t>
  </si>
  <si>
    <t>a16Dm000000M3ylIAC</t>
  </si>
  <si>
    <t>a16Dm000000M3ymIAC</t>
  </si>
  <si>
    <t>a16Dm000000M3ynIAC</t>
  </si>
  <si>
    <t>a16Dm000000M3yoIAC</t>
  </si>
  <si>
    <t>a16Dm000000M3ypIAC</t>
  </si>
  <si>
    <t>a16Dm000000M3yqIAC</t>
  </si>
  <si>
    <t>a16Dm000000M3yrIAC</t>
  </si>
  <si>
    <t>a16Dm000000M3ysIAC</t>
  </si>
  <si>
    <t>a16Dm000000M3ytIAC</t>
  </si>
  <si>
    <t>IDR-01262</t>
  </si>
  <si>
    <t>a1LDm000000Cb36MAC</t>
  </si>
  <si>
    <t>a16Dm000000M3yuIAC</t>
  </si>
  <si>
    <t>IDR-01261</t>
  </si>
  <si>
    <t>a1LDm000000Cb35MAC</t>
  </si>
  <si>
    <t>a16Dm000000M3yvIAC</t>
  </si>
  <si>
    <t>IDR-01260</t>
  </si>
  <si>
    <t>a1LDm000000Cb34MAC</t>
  </si>
  <si>
    <t>a16Dm000000M3ywIAC</t>
  </si>
  <si>
    <t>a16Dm000000M3yxIAC</t>
  </si>
  <si>
    <t>a16Dm000000M3yyIAC</t>
  </si>
  <si>
    <t>a16Dm000000M3yzIAC</t>
  </si>
  <si>
    <t>a16Dm000000M3z0IAC</t>
  </si>
  <si>
    <t>a16Dm000000M3z1IAC</t>
  </si>
  <si>
    <t>a16Dm000000M3z2IAC</t>
  </si>
  <si>
    <t>a16Dm000000M3z3IAC</t>
  </si>
  <si>
    <t>a16Dm000000M3z4IAC</t>
  </si>
  <si>
    <t>a16Dm000000M3z5IAC</t>
  </si>
  <si>
    <t>a16Dm000000M3z6IAC</t>
  </si>
  <si>
    <t>a16Dm000000M3z7IAC</t>
  </si>
  <si>
    <t>a16Dm000000M3z8IAC</t>
  </si>
  <si>
    <t>a16Dm000000M3z9IAC</t>
  </si>
  <si>
    <t>a16Dm000000M3zAIAS</t>
  </si>
  <si>
    <t>a16Dm000000M3zBIAS</t>
  </si>
  <si>
    <t>a16Dm000000M3zCIAS</t>
  </si>
  <si>
    <t>a16Dm000000M3zDIAS</t>
  </si>
  <si>
    <t>IDR-01265</t>
  </si>
  <si>
    <t>a1LDm000000Cb39MAC</t>
  </si>
  <si>
    <t>a16Dm000000M3zEIAS</t>
  </si>
  <si>
    <t>IDR-01264</t>
  </si>
  <si>
    <t>a1LDm000000Cb38MAC</t>
  </si>
  <si>
    <t>a16Dm000000M3zFIAS</t>
  </si>
  <si>
    <t>IDR-01263</t>
  </si>
  <si>
    <t>a1LDm000000Cb37MAC</t>
  </si>
  <si>
    <t>a16Dm000000M3zGIAS</t>
  </si>
  <si>
    <t>a16Dm000000M3zHIAS</t>
  </si>
  <si>
    <t>a16Dm000000M3zIIAS</t>
  </si>
  <si>
    <t>a16Dm000000M3zJIAS</t>
  </si>
  <si>
    <t>a16Dm000000M3zKIAS</t>
  </si>
  <si>
    <t>a16Dm000000M3zLIAS</t>
  </si>
  <si>
    <t>a16Dm000000M3zMIAS</t>
  </si>
  <si>
    <t>a16Dm000000M3zNIAS</t>
  </si>
  <si>
    <t>a16Dm000000M3zOIAS</t>
  </si>
  <si>
    <t>a16Dm000000M3zPIAS</t>
  </si>
  <si>
    <t>a16Dm000000M3zQIAS</t>
  </si>
  <si>
    <t>a16Dm000000M3zRIAS</t>
  </si>
  <si>
    <t>a16Dm000000M3zSIAS</t>
  </si>
  <si>
    <t>a16Dm000000M3zTIAS</t>
  </si>
  <si>
    <t>a16Dm000000M3zUIAS</t>
  </si>
  <si>
    <t>a16Dm000000M3zVIAS</t>
  </si>
  <si>
    <t>a16Dm000000M3zWIAS</t>
  </si>
  <si>
    <t>a16Dm000000M3zXIAS</t>
  </si>
  <si>
    <t>a16Dm000000M3zYIAS</t>
  </si>
  <si>
    <t>a16Dm000000M3zZIAS</t>
  </si>
  <si>
    <t>a16Dm000000M3zaIAC</t>
  </si>
  <si>
    <t>a16Dm000000M3zbIAC</t>
  </si>
  <si>
    <t>a16Dm000000M3zcIAC</t>
  </si>
  <si>
    <t>a16Dm000000M3zdIAC</t>
  </si>
  <si>
    <t>a16Dm000000M3zeIAC</t>
  </si>
  <si>
    <t>a16Dm000000M3zfIAC</t>
  </si>
  <si>
    <t>a16Dm000000M3zgIAC</t>
  </si>
  <si>
    <t>a16Dm000000M3zhIAC</t>
  </si>
  <si>
    <t>a16Dm000000M3ziIAC</t>
  </si>
  <si>
    <t>a16Dm000000M3zjIAC</t>
  </si>
  <si>
    <t>a16Dm000000M3zkIAC</t>
  </si>
  <si>
    <t>a16Dm000000M3zlIAC</t>
  </si>
  <si>
    <t>a16Dm000000M3zmIAC</t>
  </si>
  <si>
    <t>a16Dm000000M3znIAC</t>
  </si>
  <si>
    <t>a16Dm000000M3zoIAC</t>
  </si>
  <si>
    <t>a16Dm000000M3zpIAC</t>
  </si>
  <si>
    <t>a16Dm000000M3zqIAC</t>
  </si>
  <si>
    <t>a16Dm000000NK9XIAW</t>
  </si>
  <si>
    <t>IDR-01298</t>
  </si>
  <si>
    <t>a1LDm000000Cb3gMAC</t>
  </si>
  <si>
    <t>a16Dm000000NK9YIAW</t>
  </si>
  <si>
    <t>IDR-01297</t>
  </si>
  <si>
    <t>a1LDm000000Cb3fMAC</t>
  </si>
  <si>
    <t>a16Dm000000NK9ZIAW</t>
  </si>
  <si>
    <t>IDR-01300</t>
  </si>
  <si>
    <t>a1LDm000000Cb3iMAC</t>
  </si>
  <si>
    <t>a16Dm000000NK9aIAG</t>
  </si>
  <si>
    <t>IDR-01299</t>
  </si>
  <si>
    <t>a1LDm000000Cb3hMAC</t>
  </si>
  <si>
    <t>a16Dm000000NK9bIAG</t>
  </si>
  <si>
    <t>IDR-01302</t>
  </si>
  <si>
    <t>a1LDm000000Cb3kMAC</t>
  </si>
  <si>
    <t>a16Dm000000NK9cIAG</t>
  </si>
  <si>
    <t>IDR-01301</t>
  </si>
  <si>
    <t>a1LDm000000Cb3jMAC</t>
  </si>
  <si>
    <t>a16Dm000000NK9dIAG</t>
  </si>
  <si>
    <t>IDR-01306</t>
  </si>
  <si>
    <t>a1LDm000000Cb3oMAC</t>
  </si>
  <si>
    <t>a16Dm000000NK9eIAG</t>
  </si>
  <si>
    <t>IDR-01305</t>
  </si>
  <si>
    <t>a1LDm000000Cb3nMAC</t>
  </si>
  <si>
    <t>a16Dm000000NK9fIAG</t>
  </si>
  <si>
    <t>Male 15+</t>
  </si>
  <si>
    <t>IDR-01304</t>
  </si>
  <si>
    <t>a1LDm000000Cb3mMAC</t>
  </si>
  <si>
    <t>a16Dm000000NK9gIAG</t>
  </si>
  <si>
    <t>Female 15+</t>
  </si>
  <si>
    <t>IDR-01303</t>
  </si>
  <si>
    <t>a1LDm000000Cb3lMAC</t>
  </si>
  <si>
    <t>a16Dm000000NK9hIAG</t>
  </si>
  <si>
    <t>IDR-01348</t>
  </si>
  <si>
    <t>a1LDm000000Cb4UMAS</t>
  </si>
  <si>
    <t>a16Dm000000NK9iIAG</t>
  </si>
  <si>
    <t>IDR-01347</t>
  </si>
  <si>
    <t>a1LDm000000Cb4TMAS</t>
  </si>
  <si>
    <t>a16Dm000000NK9jIAG</t>
  </si>
  <si>
    <t>IDR-01346</t>
  </si>
  <si>
    <t>a1LDm000000Cb4SMAS</t>
  </si>
  <si>
    <t>a16Dm000000NK9kIAG</t>
  </si>
  <si>
    <t>IDR-01345</t>
  </si>
  <si>
    <t>a1LDm000000Cb4RMAS</t>
  </si>
  <si>
    <t>a16Dm000000NK9lIAG</t>
  </si>
  <si>
    <t>IDR-01344</t>
  </si>
  <si>
    <t>a1LDm000000Cb4QMAS</t>
  </si>
  <si>
    <t>a16Dm000000NK9mIAG</t>
  </si>
  <si>
    <t>IDR-01371</t>
  </si>
  <si>
    <t>a1LDm000000Cb4rMAC</t>
  </si>
  <si>
    <t>a16Dm000000NK9nIAG</t>
  </si>
  <si>
    <t>IDR-01370</t>
  </si>
  <si>
    <t>a1LDm000000Cb4qMAC</t>
  </si>
  <si>
    <t>a16Dm000000NK9oIAG</t>
  </si>
  <si>
    <t>IDR-01369</t>
  </si>
  <si>
    <t>a1LDm000000Cb4pMAC</t>
  </si>
  <si>
    <t>a16Dm000000NK9pIAG</t>
  </si>
  <si>
    <t>IDR-01368</t>
  </si>
  <si>
    <t>a1LDm000000Cb4oMAC</t>
  </si>
  <si>
    <t>a16Dm000000NK9qIAG</t>
  </si>
  <si>
    <t>IDR-01367</t>
  </si>
  <si>
    <t>a1LDm000000Cb4nMAC</t>
  </si>
  <si>
    <t>a16Dm000000NK9rIAG</t>
  </si>
  <si>
    <t>IDR-01366</t>
  </si>
  <si>
    <t>a1LDm000000Cb4mMAC</t>
  </si>
  <si>
    <t>a16Dm000000NK9sIAG</t>
  </si>
  <si>
    <t>IDR-01365</t>
  </si>
  <si>
    <t>a1LDm000000Cb4lMAC</t>
  </si>
  <si>
    <t>a16Dm000000NK9tIAG</t>
  </si>
  <si>
    <t>IDR-01364</t>
  </si>
  <si>
    <t>a1LDm000000Cb4kMAC</t>
  </si>
  <si>
    <t>a16Dm000000NK9uIAG</t>
  </si>
  <si>
    <t>IDR-01363</t>
  </si>
  <si>
    <t>a1LDm000000Cb4jMAC</t>
  </si>
  <si>
    <t>a16Dm000000NK9vIAG</t>
  </si>
  <si>
    <t>IDR-01362</t>
  </si>
  <si>
    <t>a1LDm000000Cb4iMAC</t>
  </si>
  <si>
    <t>a16Dm000000NK9wIAG</t>
  </si>
  <si>
    <t>Notifiable diseases and event surveillance reports</t>
  </si>
  <si>
    <t>IDR-01499</t>
  </si>
  <si>
    <t>a1LDm000000Cb6vMAC</t>
  </si>
  <si>
    <t>a16Dm000000NK9xIAG</t>
  </si>
  <si>
    <t>Community</t>
  </si>
  <si>
    <t>IDR-01498</t>
  </si>
  <si>
    <t>a1LDm000000Cb6uMAC</t>
  </si>
  <si>
    <t>a16Dm000000NK9yIAG</t>
  </si>
  <si>
    <t>Integrated reports</t>
  </si>
  <si>
    <t>IDR-01497</t>
  </si>
  <si>
    <t>a1LDm000000Cb6tMAC</t>
  </si>
  <si>
    <t>a16Dm000000NK9zIAG</t>
  </si>
  <si>
    <t>Malaria reports</t>
  </si>
  <si>
    <t>IDR-01496</t>
  </si>
  <si>
    <t>a1LDm000000Cb6sMAC</t>
  </si>
  <si>
    <t>a16Dm000000NKA0IAO</t>
  </si>
  <si>
    <t>IDR-01495</t>
  </si>
  <si>
    <t>a1LDm000000Cb6rMAC</t>
  </si>
  <si>
    <t>a16Dm000000NKA1IAO</t>
  </si>
  <si>
    <t>TB reports</t>
  </si>
  <si>
    <t>IDR-01494</t>
  </si>
  <si>
    <t>a1LDm000000Cb6qMAC</t>
  </si>
  <si>
    <t>a16Dm000000NKA2IAO</t>
  </si>
  <si>
    <t>HIV reports</t>
  </si>
  <si>
    <t>IDR-01493</t>
  </si>
  <si>
    <t>a1LDm000000Cb6pMAC</t>
  </si>
  <si>
    <t>a16Dm000000NKA3IAO</t>
  </si>
  <si>
    <t>IDR-01492</t>
  </si>
  <si>
    <t>a1LDm000000Cb6oMAC</t>
  </si>
  <si>
    <t>a16Dm000000NKA4IAO</t>
  </si>
  <si>
    <t>IDR-01506</t>
  </si>
  <si>
    <t>a1LDm000000Cb72MAC</t>
  </si>
  <si>
    <t>a16Dm000000NKA5IAO</t>
  </si>
  <si>
    <t>IDR-01505</t>
  </si>
  <si>
    <t>a1LDm000000Cb71MAC</t>
  </si>
  <si>
    <t>a16Dm000000NKA6IAO</t>
  </si>
  <si>
    <t>IDR-01504</t>
  </si>
  <si>
    <t>a1LDm000000Cb70MAC</t>
  </si>
  <si>
    <t>a16Dm000000NKA7IAO</t>
  </si>
  <si>
    <t>IDR-01503</t>
  </si>
  <si>
    <t>a1LDm000000Cb6zMAC</t>
  </si>
  <si>
    <t>a16Dm000000NKA8IAO</t>
  </si>
  <si>
    <t>IDR-01502</t>
  </si>
  <si>
    <t>a1LDm000000Cb6yMAC</t>
  </si>
  <si>
    <t>a16Dm000000NKA9IAO</t>
  </si>
  <si>
    <t>IDR-01501</t>
  </si>
  <si>
    <t>a1LDm000000Cb6xMAC</t>
  </si>
  <si>
    <t>a16Dm000000NKAAIA4</t>
  </si>
  <si>
    <t>IDR-01500</t>
  </si>
  <si>
    <t>a1LDm000000Cb6wMAC</t>
  </si>
  <si>
    <t>WPTM  - Section F</t>
  </si>
  <si>
    <t>Intervention ID (Name)</t>
  </si>
  <si>
    <t>Criterion for Completion</t>
  </si>
  <si>
    <t>Key Activity</t>
  </si>
  <si>
    <t>Key Activity Milestone ID</t>
  </si>
  <si>
    <t>Key Activity Milestone Number</t>
  </si>
  <si>
    <t>Responsible PR ID</t>
  </si>
  <si>
    <t>[Temporary Placeholder for Account Id]</t>
  </si>
  <si>
    <t>[Module]</t>
  </si>
  <si>
    <t>[Key Activity Milestone Number]</t>
  </si>
  <si>
    <t>a1NDm000000H16fMAC</t>
  </si>
  <si>
    <t>KAM-326277</t>
  </si>
  <si>
    <t>a1NDm000000H16gMAC</t>
  </si>
  <si>
    <t>KAM-326278</t>
  </si>
  <si>
    <t>a1NDm000000H16hMAC</t>
  </si>
  <si>
    <t>KAM-326279</t>
  </si>
  <si>
    <t>a1NDm000000H16iMAC</t>
  </si>
  <si>
    <t>KAM-326280</t>
  </si>
  <si>
    <t>a1NDm000000H16jMAC</t>
  </si>
  <si>
    <t>KAM-326281</t>
  </si>
  <si>
    <t>a1NDm000000H16kMAC</t>
  </si>
  <si>
    <t>KAM-326282</t>
  </si>
  <si>
    <t>a1NDm000000H16lMAC</t>
  </si>
  <si>
    <t>KAM-326283</t>
  </si>
  <si>
    <t>a1NDm000000H16mMAC</t>
  </si>
  <si>
    <t>KAM-326284</t>
  </si>
  <si>
    <t>a1NDm000000H16nMAC</t>
  </si>
  <si>
    <t>KAM-326285</t>
  </si>
  <si>
    <t>a1NDm000000H16oMAC</t>
  </si>
  <si>
    <t>KAM-326286</t>
  </si>
  <si>
    <t>a1NDm000000H16pMAC</t>
  </si>
  <si>
    <t>KAM-326287</t>
  </si>
  <si>
    <t>a1NDm000000H16qMAC</t>
  </si>
  <si>
    <t>KAM-326288</t>
  </si>
  <si>
    <t>a1NDm000000H16rMAC</t>
  </si>
  <si>
    <t>KAM-326289</t>
  </si>
  <si>
    <t>a1NDm000000H16sMAC</t>
  </si>
  <si>
    <t>KAM-326290</t>
  </si>
  <si>
    <t>a1NDm000000H16tMAC</t>
  </si>
  <si>
    <t>KAM-326291</t>
  </si>
  <si>
    <t>a1NDm000000H16uMAC</t>
  </si>
  <si>
    <t>KAM-326292</t>
  </si>
  <si>
    <t>a1NDm000000H16vMAC</t>
  </si>
  <si>
    <t>KAM-326293</t>
  </si>
  <si>
    <t>a1NDm000000H16wMAC</t>
  </si>
  <si>
    <t>KAM-326294</t>
  </si>
  <si>
    <t>a1NDm000000H16xMAC</t>
  </si>
  <si>
    <t>KAM-326295</t>
  </si>
  <si>
    <t>a1NDm000000H16yMAC</t>
  </si>
  <si>
    <t>KAM-326296</t>
  </si>
  <si>
    <t>a1NDm000000H16zMAC</t>
  </si>
  <si>
    <t>KAM-326297</t>
  </si>
  <si>
    <t>a1NDm000000H170MAC</t>
  </si>
  <si>
    <t>KAM-326298</t>
  </si>
  <si>
    <t>a1NDm000000H171MAC</t>
  </si>
  <si>
    <t>KAM-326299</t>
  </si>
  <si>
    <t>a1NDm000000H172MAC</t>
  </si>
  <si>
    <t>KAM-326300</t>
  </si>
  <si>
    <t>a1NDm000000H173MAC</t>
  </si>
  <si>
    <t>KAM-326301</t>
  </si>
  <si>
    <t>a1NDm000000H174MAC</t>
  </si>
  <si>
    <t>KAM-326302</t>
  </si>
  <si>
    <t>a1NDm000000H175MAC</t>
  </si>
  <si>
    <t>KAM-326303</t>
  </si>
  <si>
    <t>a1NDm000000H176MAC</t>
  </si>
  <si>
    <t>KAM-326304</t>
  </si>
  <si>
    <t>a1NDm000000H177MAC</t>
  </si>
  <si>
    <t>KAM-326305</t>
  </si>
  <si>
    <t>a1NDm000000H178MAC</t>
  </si>
  <si>
    <t>KAM-326306</t>
  </si>
  <si>
    <t>a1NDm000000H179MAC</t>
  </si>
  <si>
    <t>KAM-326307</t>
  </si>
  <si>
    <t>a1NDm000000H17AMAS</t>
  </si>
  <si>
    <t>KAM-326308</t>
  </si>
  <si>
    <t>a1NDm000000H17BMAS</t>
  </si>
  <si>
    <t>KAM-326309</t>
  </si>
  <si>
    <t>a1NDm000000H17CMAS</t>
  </si>
  <si>
    <t>KAM-326310</t>
  </si>
  <si>
    <t>a1NDm000000H17DMAS</t>
  </si>
  <si>
    <t>KAM-326311</t>
  </si>
  <si>
    <t>a1NDm000000H17EMAS</t>
  </si>
  <si>
    <t>KAM-326312</t>
  </si>
  <si>
    <t>a1NDm000000H17FMAS</t>
  </si>
  <si>
    <t>KAM-326313</t>
  </si>
  <si>
    <t>a1NDm000000H17GMAS</t>
  </si>
  <si>
    <t>KAM-326314</t>
  </si>
  <si>
    <t>a1NDm000000H17HMAS</t>
  </si>
  <si>
    <t>KAM-326315</t>
  </si>
  <si>
    <t>a1NDm000000H17IMAS</t>
  </si>
  <si>
    <t>KAM-326316</t>
  </si>
  <si>
    <t>a1NDm000000H17JMAS</t>
  </si>
  <si>
    <t>KAM-326317</t>
  </si>
  <si>
    <t>a1NDm000000H17KMAS</t>
  </si>
  <si>
    <t>KAM-326318</t>
  </si>
  <si>
    <t>a1NDm000000H17LMAS</t>
  </si>
  <si>
    <t>KAM-326319</t>
  </si>
  <si>
    <t>a1NDm000000H17MMAS</t>
  </si>
  <si>
    <t>KAM-326320</t>
  </si>
  <si>
    <t>a1NDm000000H17NMAS</t>
  </si>
  <si>
    <t>KAM-326321</t>
  </si>
  <si>
    <t>a1NDm000000H17OMAS</t>
  </si>
  <si>
    <t>KAM-326322</t>
  </si>
  <si>
    <t>a1NDm000000H17PMAS</t>
  </si>
  <si>
    <t>KAM-326323</t>
  </si>
  <si>
    <t>a1NDm000000H17QMAS</t>
  </si>
  <si>
    <t>KAM-326324</t>
  </si>
  <si>
    <t>a1NDm000000H17RMAS</t>
  </si>
  <si>
    <t>KAM-326325</t>
  </si>
  <si>
    <t>a1NDm000000H17SMAS</t>
  </si>
  <si>
    <t>KAM-326326</t>
  </si>
  <si>
    <t>a1NDm000000H17TMAS</t>
  </si>
  <si>
    <t>KAM-326327</t>
  </si>
  <si>
    <t>a1NDm000000H17UMAS</t>
  </si>
  <si>
    <t>KAM-326328</t>
  </si>
  <si>
    <t>a1NDm000000H17VMAS</t>
  </si>
  <si>
    <t>KAM-326329</t>
  </si>
  <si>
    <t>a1NDm000000H17WMAS</t>
  </si>
  <si>
    <t>KAM-326330</t>
  </si>
  <si>
    <t>a1NDm000000H17XMAS</t>
  </si>
  <si>
    <t>KAM-326331</t>
  </si>
  <si>
    <t>a1NDm000000H17YMAS</t>
  </si>
  <si>
    <t>KAM-326332</t>
  </si>
  <si>
    <t>a1NDm000000H17ZMAS</t>
  </si>
  <si>
    <t>KAM-326333</t>
  </si>
  <si>
    <t>a1NDm000000H17aMAC</t>
  </si>
  <si>
    <t>KAM-326334</t>
  </si>
  <si>
    <t>a1NDm000000H17bMAC</t>
  </si>
  <si>
    <t>KAM-326335</t>
  </si>
  <si>
    <t>a1NDm000000H17cMAC</t>
  </si>
  <si>
    <t>KAM-326336</t>
  </si>
  <si>
    <t>a1NDm000000H17dMAC</t>
  </si>
  <si>
    <t>KAM-326337</t>
  </si>
  <si>
    <t>a1NDm000000H17eMAC</t>
  </si>
  <si>
    <t>KAM-326338</t>
  </si>
  <si>
    <t>a1NDm000000H17fMAC</t>
  </si>
  <si>
    <t>KAM-326339</t>
  </si>
  <si>
    <t>a1NDm000000H17gMAC</t>
  </si>
  <si>
    <t>KAM-326340</t>
  </si>
  <si>
    <t>a1NDm000000H17hMAC</t>
  </si>
  <si>
    <t>KAM-326341</t>
  </si>
  <si>
    <t>a1NDm000000H17iMAC</t>
  </si>
  <si>
    <t>KAM-326342</t>
  </si>
  <si>
    <t>a1NDm000000H17jMAC</t>
  </si>
  <si>
    <t>KAM-326343</t>
  </si>
  <si>
    <t>a1NDm000000H17kMAC</t>
  </si>
  <si>
    <t>KAM-326344</t>
  </si>
  <si>
    <t>a1NDm000000H17lMAC</t>
  </si>
  <si>
    <t>KAM-326345</t>
  </si>
  <si>
    <t>a1NDm000000H17mMAC</t>
  </si>
  <si>
    <t>KAM-326346</t>
  </si>
  <si>
    <t>a1NDm000000H17nMAC</t>
  </si>
  <si>
    <t>KAM-326347</t>
  </si>
  <si>
    <t>a1NDm000000H17oMAC</t>
  </si>
  <si>
    <t>KAM-326348</t>
  </si>
  <si>
    <t>a1NDm000000H17pMAC</t>
  </si>
  <si>
    <t>KAM-326349</t>
  </si>
  <si>
    <t>a1NDm000000H17qMAC</t>
  </si>
  <si>
    <t>KAM-326350</t>
  </si>
  <si>
    <t>a1NDm000000H17rMAC</t>
  </si>
  <si>
    <t>KAM-326351</t>
  </si>
  <si>
    <t>a1NDm000000H17sMAC</t>
  </si>
  <si>
    <t>KAM-326352</t>
  </si>
  <si>
    <t>a1NDm000000H17tMAC</t>
  </si>
  <si>
    <t>KAM-326353</t>
  </si>
  <si>
    <t>a1NDm000000H17uMAC</t>
  </si>
  <si>
    <t>KAM-326354</t>
  </si>
  <si>
    <t>a1NDm000000H17vMAC</t>
  </si>
  <si>
    <t>KAM-326355</t>
  </si>
  <si>
    <t>a1NDm000000H17wMAC</t>
  </si>
  <si>
    <t>KAM-326356</t>
  </si>
  <si>
    <t>WPTM Results</t>
  </si>
  <si>
    <t>Key Activity-Milestone ID (Name)</t>
  </si>
  <si>
    <t>Milestone / Target Description</t>
  </si>
  <si>
    <t>a1bDm000000YZDuIAO</t>
  </si>
  <si>
    <t>a1bDm000000YZFCIA4</t>
  </si>
  <si>
    <t>a1bDm000000YZGUIA4</t>
  </si>
  <si>
    <t>a1bDm000000YZHmIAO</t>
  </si>
  <si>
    <t>a1bDm000000YZJ4IAO</t>
  </si>
  <si>
    <t>a1bDm000000YZKMIA4</t>
  </si>
  <si>
    <t>a1bDm000000YZDvIAO</t>
  </si>
  <si>
    <t>a1bDm000000YZFDIA4</t>
  </si>
  <si>
    <t>a1bDm000000YZGVIA4</t>
  </si>
  <si>
    <t>a1bDm000000YZHnIAO</t>
  </si>
  <si>
    <t>a1bDm000000YZJ5IAO</t>
  </si>
  <si>
    <t>a1bDm000000YZKNIA4</t>
  </si>
  <si>
    <t>a1bDm000000YZDwIAO</t>
  </si>
  <si>
    <t>a1bDm000000YZFEIA4</t>
  </si>
  <si>
    <t>a1bDm000000YZGWIA4</t>
  </si>
  <si>
    <t>a1bDm000000YZHoIAO</t>
  </si>
  <si>
    <t>a1bDm000000YZKOIA4</t>
  </si>
  <si>
    <t>a1bDm000000YZJ6IAO</t>
  </si>
  <si>
    <t>a1bDm000000YZDxIAO</t>
  </si>
  <si>
    <t>a1bDm000000YZFFIA4</t>
  </si>
  <si>
    <t>a1bDm000000YZGXIA4</t>
  </si>
  <si>
    <t>a1bDm000000YZHpIAO</t>
  </si>
  <si>
    <t>a1bDm000000YZJ7IAO</t>
  </si>
  <si>
    <t>a1bDm000000YZKPIA4</t>
  </si>
  <si>
    <t>a1bDm000000YZDyIAO</t>
  </si>
  <si>
    <t>a1bDm000000YZFGIA4</t>
  </si>
  <si>
    <t>a1bDm000000YZGYIA4</t>
  </si>
  <si>
    <t>a1bDm000000YZHqIAO</t>
  </si>
  <si>
    <t>a1bDm000000YZJ8IAO</t>
  </si>
  <si>
    <t>a1bDm000000YZKQIA4</t>
  </si>
  <si>
    <t>a1bDm000000YZDzIAO</t>
  </si>
  <si>
    <t>a1bDm000000YZFHIA4</t>
  </si>
  <si>
    <t>a1bDm000000YZGZIA4</t>
  </si>
  <si>
    <t>a1bDm000000YZHrIAO</t>
  </si>
  <si>
    <t>a1bDm000000YZJ9IAO</t>
  </si>
  <si>
    <t>a1bDm000000YZKRIA4</t>
  </si>
  <si>
    <t>a1bDm000000YZE0IAO</t>
  </si>
  <si>
    <t>a1bDm000000YZFIIA4</t>
  </si>
  <si>
    <t>a1bDm000000YZGaIAO</t>
  </si>
  <si>
    <t>a1bDm000000YZHsIAO</t>
  </si>
  <si>
    <t>a1bDm000000YZJAIA4</t>
  </si>
  <si>
    <t>a1bDm000000YZKSIA4</t>
  </si>
  <si>
    <t>a1bDm000000YZE1IAO</t>
  </si>
  <si>
    <t>a1bDm000000YZFJIA4</t>
  </si>
  <si>
    <t>a1bDm000000YZGbIAO</t>
  </si>
  <si>
    <t>a1bDm000000YZHtIAO</t>
  </si>
  <si>
    <t>a1bDm000000YZJBIA4</t>
  </si>
  <si>
    <t>a1bDm000000YZKTIA4</t>
  </si>
  <si>
    <t>a1bDm000000YZE2IAO</t>
  </si>
  <si>
    <t>a1bDm000000YZFKIA4</t>
  </si>
  <si>
    <t>a1bDm000000YZGcIAO</t>
  </si>
  <si>
    <t>a1bDm000000YZHuIAO</t>
  </si>
  <si>
    <t>a1bDm000000YZJCIA4</t>
  </si>
  <si>
    <t>a1bDm000000YZKUIA4</t>
  </si>
  <si>
    <t>a1bDm000000YZE3IAO</t>
  </si>
  <si>
    <t>a1bDm000000YZFLIA4</t>
  </si>
  <si>
    <t>a1bDm000000YZGdIAO</t>
  </si>
  <si>
    <t>a1bDm000000YZHvIAO</t>
  </si>
  <si>
    <t>a1bDm000000YZJDIA4</t>
  </si>
  <si>
    <t>a1bDm000000YZKVIA4</t>
  </si>
  <si>
    <t>a1bDm000000YZE4IAO</t>
  </si>
  <si>
    <t>a1bDm000000YZFMIA4</t>
  </si>
  <si>
    <t>a1bDm000000YZGeIAO</t>
  </si>
  <si>
    <t>a1bDm000000YZHwIAO</t>
  </si>
  <si>
    <t>a1bDm000000YZJEIA4</t>
  </si>
  <si>
    <t>a1bDm000000YZKWIA4</t>
  </si>
  <si>
    <t>a1bDm000000YZE5IAO</t>
  </si>
  <si>
    <t>a1bDm000000YZFNIA4</t>
  </si>
  <si>
    <t>a1bDm000000YZGfIAO</t>
  </si>
  <si>
    <t>a1bDm000000YZHxIAO</t>
  </si>
  <si>
    <t>a1bDm000000YZJFIA4</t>
  </si>
  <si>
    <t>a1bDm000000YZKXIA4</t>
  </si>
  <si>
    <t>a1bDm000000YZE6IAO</t>
  </si>
  <si>
    <t>a1bDm000000YZFOIA4</t>
  </si>
  <si>
    <t>a1bDm000000YZGgIAO</t>
  </si>
  <si>
    <t>a1bDm000000YZJGIA4</t>
  </si>
  <si>
    <t>a1bDm000000YZKYIA4</t>
  </si>
  <si>
    <t>a1bDm000000YZHyIAO</t>
  </si>
  <si>
    <t>a1bDm000000YZE7IAO</t>
  </si>
  <si>
    <t>a1bDm000000YZFPIA4</t>
  </si>
  <si>
    <t>a1bDm000000YZJHIA4</t>
  </si>
  <si>
    <t>a1bDm000000YZKZIA4</t>
  </si>
  <si>
    <t>a1bDm000000YZHzIAO</t>
  </si>
  <si>
    <t>a1bDm000000YZGhIAO</t>
  </si>
  <si>
    <t>a1bDm000000YZE8IAO</t>
  </si>
  <si>
    <t>a1bDm000000YZFQIA4</t>
  </si>
  <si>
    <t>a1bDm000000YZJIIA4</t>
  </si>
  <si>
    <t>a1bDm000000YZKaIAO</t>
  </si>
  <si>
    <t>a1bDm000000YZI0IAO</t>
  </si>
  <si>
    <t>a1bDm000000YZGiIAO</t>
  </si>
  <si>
    <t>a1bDm000000YZE9IAO</t>
  </si>
  <si>
    <t>a1bDm000000YZFRIA4</t>
  </si>
  <si>
    <t>a1bDm000000YZGjIAO</t>
  </si>
  <si>
    <t>a1bDm000000YZI1IAO</t>
  </si>
  <si>
    <t>a1bDm000000YZJJIA4</t>
  </si>
  <si>
    <t>a1bDm000000YZKbIAO</t>
  </si>
  <si>
    <t>a1bDm000000YZEAIA4</t>
  </si>
  <si>
    <t>a1bDm000000YZFSIA4</t>
  </si>
  <si>
    <t>a1bDm000000YZGkIAO</t>
  </si>
  <si>
    <t>a1bDm000000YZI2IAO</t>
  </si>
  <si>
    <t>a1bDm000000YZJKIA4</t>
  </si>
  <si>
    <t>a1bDm000000YZKcIAO</t>
  </si>
  <si>
    <t>a1bDm000000YZEBIA4</t>
  </si>
  <si>
    <t>a1bDm000000YZFTIA4</t>
  </si>
  <si>
    <t>a1bDm000000YZGlIAO</t>
  </si>
  <si>
    <t>a1bDm000000YZI3IAO</t>
  </si>
  <si>
    <t>a1bDm000000YZJLIA4</t>
  </si>
  <si>
    <t>a1bDm000000YZKdIAO</t>
  </si>
  <si>
    <t>a1bDm000000YZECIA4</t>
  </si>
  <si>
    <t>a1bDm000000YZFUIA4</t>
  </si>
  <si>
    <t>a1bDm000000YZGmIAO</t>
  </si>
  <si>
    <t>a1bDm000000YZI4IAO</t>
  </si>
  <si>
    <t>a1bDm000000YZJMIA4</t>
  </si>
  <si>
    <t>a1bDm000000YZKeIAO</t>
  </si>
  <si>
    <t>a1bDm000000YZEDIA4</t>
  </si>
  <si>
    <t>a1bDm000000YZFVIA4</t>
  </si>
  <si>
    <t>a1bDm000000YZGnIAO</t>
  </si>
  <si>
    <t>a1bDm000000YZI5IAO</t>
  </si>
  <si>
    <t>a1bDm000000YZJNIA4</t>
  </si>
  <si>
    <t>a1bDm000000YZKfIAO</t>
  </si>
  <si>
    <t>a1bDm000000YZEEIA4</t>
  </si>
  <si>
    <t>a1bDm000000YZFWIA4</t>
  </si>
  <si>
    <t>a1bDm000000YZGoIAO</t>
  </si>
  <si>
    <t>a1bDm000000YZI6IAO</t>
  </si>
  <si>
    <t>a1bDm000000YZJOIA4</t>
  </si>
  <si>
    <t>a1bDm000000YZKgIAO</t>
  </si>
  <si>
    <t>a1bDm000000YZEFIA4</t>
  </si>
  <si>
    <t>a1bDm000000YZFXIA4</t>
  </si>
  <si>
    <t>a1bDm000000YZGpIAO</t>
  </si>
  <si>
    <t>a1bDm000000YZI7IAO</t>
  </si>
  <si>
    <t>a1bDm000000YZJPIA4</t>
  </si>
  <si>
    <t>a1bDm000000YZKhIAO</t>
  </si>
  <si>
    <t>a1bDm000000YZEGIA4</t>
  </si>
  <si>
    <t>a1bDm000000YZFYIA4</t>
  </si>
  <si>
    <t>a1bDm000000YZGqIAO</t>
  </si>
  <si>
    <t>a1bDm000000YZI8IAO</t>
  </si>
  <si>
    <t>a1bDm000000YZJQIA4</t>
  </si>
  <si>
    <t>a1bDm000000YZKiIAO</t>
  </si>
  <si>
    <t>a1bDm000000YZEHIA4</t>
  </si>
  <si>
    <t>a1bDm000000YZFZIA4</t>
  </si>
  <si>
    <t>a1bDm000000YZGrIAO</t>
  </si>
  <si>
    <t>a1bDm000000YZI9IAO</t>
  </si>
  <si>
    <t>a1bDm000000YZKjIAO</t>
  </si>
  <si>
    <t>a1bDm000000YZJRIA4</t>
  </si>
  <si>
    <t>a1bDm000000YZEIIA4</t>
  </si>
  <si>
    <t>a1bDm000000YZFaIAO</t>
  </si>
  <si>
    <t>a1bDm000000YZGsIAO</t>
  </si>
  <si>
    <t>a1bDm000000YZIAIA4</t>
  </si>
  <si>
    <t>a1bDm000000YZKkIAO</t>
  </si>
  <si>
    <t>a1bDm000000YZJSIA4</t>
  </si>
  <si>
    <t>a1bDm000000YZEJIA4</t>
  </si>
  <si>
    <t>a1bDm000000YZFbIAO</t>
  </si>
  <si>
    <t>a1bDm000000YZGtIAO</t>
  </si>
  <si>
    <t>a1bDm000000YZIBIA4</t>
  </si>
  <si>
    <t>a1bDm000000YZKlIAO</t>
  </si>
  <si>
    <t>a1bDm000000YZJTIA4</t>
  </si>
  <si>
    <t>a1bDm000000YZEKIA4</t>
  </si>
  <si>
    <t>a1bDm000000YZFcIAO</t>
  </si>
  <si>
    <t>a1bDm000000YZGuIAO</t>
  </si>
  <si>
    <t>a1bDm000000YZICIA4</t>
  </si>
  <si>
    <t>a1bDm000000YZJUIA4</t>
  </si>
  <si>
    <t>a1bDm000000YZKmIAO</t>
  </si>
  <si>
    <t>a1bDm000000YZELIA4</t>
  </si>
  <si>
    <t>a1bDm000000YZFdIAO</t>
  </si>
  <si>
    <t>a1bDm000000YZGvIAO</t>
  </si>
  <si>
    <t>a1bDm000000YZIDIA4</t>
  </si>
  <si>
    <t>a1bDm000000YZJVIA4</t>
  </si>
  <si>
    <t>a1bDm000000YZKnIAO</t>
  </si>
  <si>
    <t>a1bDm000000YZEMIA4</t>
  </si>
  <si>
    <t>a1bDm000000YZFeIAO</t>
  </si>
  <si>
    <t>a1bDm000000YZGwIAO</t>
  </si>
  <si>
    <t>a1bDm000000YZIEIA4</t>
  </si>
  <si>
    <t>a1bDm000000YZJWIA4</t>
  </si>
  <si>
    <t>a1bDm000000YZKoIAO</t>
  </si>
  <si>
    <t>a1bDm000000YZENIA4</t>
  </si>
  <si>
    <t>a1bDm000000YZFfIAO</t>
  </si>
  <si>
    <t>a1bDm000000YZGxIAO</t>
  </si>
  <si>
    <t>a1bDm000000YZIFIA4</t>
  </si>
  <si>
    <t>a1bDm000000YZJXIA4</t>
  </si>
  <si>
    <t>a1bDm000000YZKpIAO</t>
  </si>
  <si>
    <t>a1bDm000000YZEOIA4</t>
  </si>
  <si>
    <t>a1bDm000000YZFgIAO</t>
  </si>
  <si>
    <t>a1bDm000000YZGyIAO</t>
  </si>
  <si>
    <t>a1bDm000000YZIGIA4</t>
  </si>
  <si>
    <t>a1bDm000000YZJYIA4</t>
  </si>
  <si>
    <t>a1bDm000000YZKqIAO</t>
  </si>
  <si>
    <t>a1bDm000000YZEPIA4</t>
  </si>
  <si>
    <t>a1bDm000000YZFhIAO</t>
  </si>
  <si>
    <t>a1bDm000000YZGzIAO</t>
  </si>
  <si>
    <t>a1bDm000000YZIHIA4</t>
  </si>
  <si>
    <t>a1bDm000000YZJZIA4</t>
  </si>
  <si>
    <t>a1bDm000000YZKrIAO</t>
  </si>
  <si>
    <t>a1bDm000000YZEQIA4</t>
  </si>
  <si>
    <t>a1bDm000000YZFiIAO</t>
  </si>
  <si>
    <t>a1bDm000000YZH0IAO</t>
  </si>
  <si>
    <t>a1bDm000000YZIIIA4</t>
  </si>
  <si>
    <t>a1bDm000000YZJaIAO</t>
  </si>
  <si>
    <t>a1bDm000000YZKsIAO</t>
  </si>
  <si>
    <t>a1bDm000000YZERIA4</t>
  </si>
  <si>
    <t>a1bDm000000YZFjIAO</t>
  </si>
  <si>
    <t>a1bDm000000YZH1IAO</t>
  </si>
  <si>
    <t>a1bDm000000YZIJIA4</t>
  </si>
  <si>
    <t>a1bDm000000YZJbIAO</t>
  </si>
  <si>
    <t>a1bDm000000YZKtIAO</t>
  </si>
  <si>
    <t>a1bDm000000YZESIA4</t>
  </si>
  <si>
    <t>a1bDm000000YZFkIAO</t>
  </si>
  <si>
    <t>a1bDm000000YZH2IAO</t>
  </si>
  <si>
    <t>a1bDm000000YZIKIA4</t>
  </si>
  <si>
    <t>a1bDm000000YZJcIAO</t>
  </si>
  <si>
    <t>a1bDm000000YZKuIAO</t>
  </si>
  <si>
    <t>a1bDm000000YZFlIAO</t>
  </si>
  <si>
    <t>a1bDm000000YZH3IAO</t>
  </si>
  <si>
    <t>a1bDm000000YZILIA4</t>
  </si>
  <si>
    <t>a1bDm000000YZJdIAO</t>
  </si>
  <si>
    <t>a1bDm000000YZKvIAO</t>
  </si>
  <si>
    <t>a1bDm000000YZETIA4</t>
  </si>
  <si>
    <t>a1bDm000000YZEUIA4</t>
  </si>
  <si>
    <t>a1bDm000000YZFmIAO</t>
  </si>
  <si>
    <t>a1bDm000000YZH4IAO</t>
  </si>
  <si>
    <t>a1bDm000000YZIMIA4</t>
  </si>
  <si>
    <t>a1bDm000000YZJeIAO</t>
  </si>
  <si>
    <t>a1bDm000000YZKwIAO</t>
  </si>
  <si>
    <t>a1bDm000000YZEVIA4</t>
  </si>
  <si>
    <t>a1bDm000000YZFnIAO</t>
  </si>
  <si>
    <t>a1bDm000000YZH5IAO</t>
  </si>
  <si>
    <t>a1bDm000000YZINIA4</t>
  </si>
  <si>
    <t>a1bDm000000YZJfIAO</t>
  </si>
  <si>
    <t>a1bDm000000YZKxIAO</t>
  </si>
  <si>
    <t>a1bDm000000YZEWIA4</t>
  </si>
  <si>
    <t>a1bDm000000YZFoIAO</t>
  </si>
  <si>
    <t>a1bDm000000YZH6IAO</t>
  </si>
  <si>
    <t>a1bDm000000YZIOIA4</t>
  </si>
  <si>
    <t>a1bDm000000YZJgIAO</t>
  </si>
  <si>
    <t>a1bDm000000YZKyIAO</t>
  </si>
  <si>
    <t>a1bDm000000YZEXIA4</t>
  </si>
  <si>
    <t>a1bDm000000YZFpIAO</t>
  </si>
  <si>
    <t>a1bDm000000YZH7IAO</t>
  </si>
  <si>
    <t>a1bDm000000YZIPIA4</t>
  </si>
  <si>
    <t>a1bDm000000YZJhIAO</t>
  </si>
  <si>
    <t>a1bDm000000YZKzIAO</t>
  </si>
  <si>
    <t>a1bDm000000YZEYIA4</t>
  </si>
  <si>
    <t>a1bDm000000YZFqIAO</t>
  </si>
  <si>
    <t>a1bDm000000YZH8IAO</t>
  </si>
  <si>
    <t>a1bDm000000YZIQIA4</t>
  </si>
  <si>
    <t>a1bDm000000YZJiIAO</t>
  </si>
  <si>
    <t>a1bDm000000YZL0IAO</t>
  </si>
  <si>
    <t>a1bDm000000YZEZIA4</t>
  </si>
  <si>
    <t>a1bDm000000YZFrIAO</t>
  </si>
  <si>
    <t>a1bDm000000YZH9IAO</t>
  </si>
  <si>
    <t>a1bDm000000YZIRIA4</t>
  </si>
  <si>
    <t>a1bDm000000YZJjIAO</t>
  </si>
  <si>
    <t>a1bDm000000YZL1IAO</t>
  </si>
  <si>
    <t>a1bDm000000YZEaIAO</t>
  </si>
  <si>
    <t>a1bDm000000YZFsIAO</t>
  </si>
  <si>
    <t>a1bDm000000YZHAIA4</t>
  </si>
  <si>
    <t>a1bDm000000YZISIA4</t>
  </si>
  <si>
    <t>a1bDm000000YZJkIAO</t>
  </si>
  <si>
    <t>a1bDm000000YZL2IAO</t>
  </si>
  <si>
    <t>a1bDm000000YZEbIAO</t>
  </si>
  <si>
    <t>a1bDm000000YZFtIAO</t>
  </si>
  <si>
    <t>a1bDm000000YZHBIA4</t>
  </si>
  <si>
    <t>a1bDm000000YZITIA4</t>
  </si>
  <si>
    <t>a1bDm000000YZJlIAO</t>
  </si>
  <si>
    <t>a1bDm000000YZL3IAO</t>
  </si>
  <si>
    <t>a1bDm000000YZEcIAO</t>
  </si>
  <si>
    <t>a1bDm000000YZFuIAO</t>
  </si>
  <si>
    <t>a1bDm000000YZHCIA4</t>
  </si>
  <si>
    <t>a1bDm000000YZIUIA4</t>
  </si>
  <si>
    <t>a1bDm000000YZJmIAO</t>
  </si>
  <si>
    <t>a1bDm000000YZL4IAO</t>
  </si>
  <si>
    <t>a1bDm000000YZEdIAO</t>
  </si>
  <si>
    <t>a1bDm000000YZFvIAO</t>
  </si>
  <si>
    <t>a1bDm000000YZHDIA4</t>
  </si>
  <si>
    <t>a1bDm000000YZIVIA4</t>
  </si>
  <si>
    <t>a1bDm000000YZJnIAO</t>
  </si>
  <si>
    <t>a1bDm000000YZL5IAO</t>
  </si>
  <si>
    <t>a1bDm000000YZEeIAO</t>
  </si>
  <si>
    <t>a1bDm000000YZFwIAO</t>
  </si>
  <si>
    <t>a1bDm000000YZHEIA4</t>
  </si>
  <si>
    <t>a1bDm000000YZIWIA4</t>
  </si>
  <si>
    <t>a1bDm000000YZJoIAO</t>
  </si>
  <si>
    <t>a1bDm000000YZL6IAO</t>
  </si>
  <si>
    <t>a1bDm000000YZEfIAO</t>
  </si>
  <si>
    <t>a1bDm000000YZFxIAO</t>
  </si>
  <si>
    <t>a1bDm000000YZHFIA4</t>
  </si>
  <si>
    <t>a1bDm000000YZJpIAO</t>
  </si>
  <si>
    <t>a1bDm000000YZL7IAO</t>
  </si>
  <si>
    <t>a1bDm000000YZIXIA4</t>
  </si>
  <si>
    <t>a1bDm000000YZEgIAO</t>
  </si>
  <si>
    <t>a1bDm000000YZFyIAO</t>
  </si>
  <si>
    <t>a1bDm000000YZHGIA4</t>
  </si>
  <si>
    <t>a1bDm000000YZJqIAO</t>
  </si>
  <si>
    <t>a1bDm000000YZL8IAO</t>
  </si>
  <si>
    <t>a1bDm000000YZIYIA4</t>
  </si>
  <si>
    <t>a1bDm000000YZEhIAO</t>
  </si>
  <si>
    <t>a1bDm000000YZFzIAO</t>
  </si>
  <si>
    <t>a1bDm000000YZHHIA4</t>
  </si>
  <si>
    <t>a1bDm000000YZJrIAO</t>
  </si>
  <si>
    <t>a1bDm000000YZL9IAO</t>
  </si>
  <si>
    <t>a1bDm000000YZIZIA4</t>
  </si>
  <si>
    <t>a1bDm000000YZEiIAO</t>
  </si>
  <si>
    <t>a1bDm000000YZG0IAO</t>
  </si>
  <si>
    <t>a1bDm000000YZHIIA4</t>
  </si>
  <si>
    <t>a1bDm000000YZIaIAO</t>
  </si>
  <si>
    <t>a1bDm000000YZJsIAO</t>
  </si>
  <si>
    <t>a1bDm000000YZLAIA4</t>
  </si>
  <si>
    <t>a1bDm000000YZEjIAO</t>
  </si>
  <si>
    <t>a1bDm000000YZG1IAO</t>
  </si>
  <si>
    <t>a1bDm000000YZHJIA4</t>
  </si>
  <si>
    <t>a1bDm000000YZIbIAO</t>
  </si>
  <si>
    <t>a1bDm000000YZJtIAO</t>
  </si>
  <si>
    <t>a1bDm000000YZLBIA4</t>
  </si>
  <si>
    <t>a1bDm000000YZEkIAO</t>
  </si>
  <si>
    <t>a1bDm000000YZG2IAO</t>
  </si>
  <si>
    <t>a1bDm000000YZHKIA4</t>
  </si>
  <si>
    <t>a1bDm000000YZIcIAO</t>
  </si>
  <si>
    <t>a1bDm000000YZJuIAO</t>
  </si>
  <si>
    <t>a1bDm000000YZLCIA4</t>
  </si>
  <si>
    <t>a1bDm000000YZElIAO</t>
  </si>
  <si>
    <t>a1bDm000000YZG3IAO</t>
  </si>
  <si>
    <t>a1bDm000000YZHLIA4</t>
  </si>
  <si>
    <t>a1bDm000000YZIdIAO</t>
  </si>
  <si>
    <t>a1bDm000000YZJvIAO</t>
  </si>
  <si>
    <t>a1bDm000000YZLDIA4</t>
  </si>
  <si>
    <t>a1bDm000000YZEmIAO</t>
  </si>
  <si>
    <t>a1bDm000000YZG4IAO</t>
  </si>
  <si>
    <t>a1bDm000000YZHMIA4</t>
  </si>
  <si>
    <t>a1bDm000000YZIeIAO</t>
  </si>
  <si>
    <t>a1bDm000000YZJwIAO</t>
  </si>
  <si>
    <t>a1bDm000000YZLEIA4</t>
  </si>
  <si>
    <t>a1bDm000000YZEnIAO</t>
  </si>
  <si>
    <t>a1bDm000000YZG5IAO</t>
  </si>
  <si>
    <t>a1bDm000000YZHNIA4</t>
  </si>
  <si>
    <t>a1bDm000000YZIfIAO</t>
  </si>
  <si>
    <t>a1bDm000000YZJxIAO</t>
  </si>
  <si>
    <t>a1bDm000000YZLFIA4</t>
  </si>
  <si>
    <t>a1bDm000000YZEoIAO</t>
  </si>
  <si>
    <t>a1bDm000000YZG6IAO</t>
  </si>
  <si>
    <t>a1bDm000000YZHOIA4</t>
  </si>
  <si>
    <t>a1bDm000000YZIgIAO</t>
  </si>
  <si>
    <t>a1bDm000000YZJyIAO</t>
  </si>
  <si>
    <t>a1bDm000000YZLGIA4</t>
  </si>
  <si>
    <t>a1bDm000000YZEpIAO</t>
  </si>
  <si>
    <t>a1bDm000000YZG7IAO</t>
  </si>
  <si>
    <t>a1bDm000000YZHPIA4</t>
  </si>
  <si>
    <t>a1bDm000000YZIhIAO</t>
  </si>
  <si>
    <t>a1bDm000000YZJzIAO</t>
  </si>
  <si>
    <t>a1bDm000000YZLHIA4</t>
  </si>
  <si>
    <t>a1bDm000000YZEqIAO</t>
  </si>
  <si>
    <t>a1bDm000000YZG8IAO</t>
  </si>
  <si>
    <t>a1bDm000000YZHQIA4</t>
  </si>
  <si>
    <t>a1bDm000000YZIiIAO</t>
  </si>
  <si>
    <t>a1bDm000000YZLIIA4</t>
  </si>
  <si>
    <t>a1bDm000000YZK0IAO</t>
  </si>
  <si>
    <t>a1bDm000000YZErIAO</t>
  </si>
  <si>
    <t>a1bDm000000YZG9IAO</t>
  </si>
  <si>
    <t>a1bDm000000YZHRIA4</t>
  </si>
  <si>
    <t>a1bDm000000YZIjIAO</t>
  </si>
  <si>
    <t>a1bDm000000YZLJIA4</t>
  </si>
  <si>
    <t>a1bDm000000YZK1IAO</t>
  </si>
  <si>
    <t>a1bDm000000YZEsIAO</t>
  </si>
  <si>
    <t>a1bDm000000YZGAIA4</t>
  </si>
  <si>
    <t>a1bDm000000YZHSIA4</t>
  </si>
  <si>
    <t>a1bDm000000YZIkIAO</t>
  </si>
  <si>
    <t>a1bDm000000YZLKIA4</t>
  </si>
  <si>
    <t>a1bDm000000YZK2IAO</t>
  </si>
  <si>
    <t>a1bDm000000YZEtIAO</t>
  </si>
  <si>
    <t>a1bDm000000YZGBIA4</t>
  </si>
  <si>
    <t>a1bDm000000YZHTIA4</t>
  </si>
  <si>
    <t>a1bDm000000YZIlIAO</t>
  </si>
  <si>
    <t>a1bDm000000YZK3IAO</t>
  </si>
  <si>
    <t>a1bDm000000YZLLIA4</t>
  </si>
  <si>
    <t>a1bDm000000YZEuIAO</t>
  </si>
  <si>
    <t>a1bDm000000YZGCIA4</t>
  </si>
  <si>
    <t>a1bDm000000YZHUIA4</t>
  </si>
  <si>
    <t>a1bDm000000YZImIAO</t>
  </si>
  <si>
    <t>a1bDm000000YZK4IAO</t>
  </si>
  <si>
    <t>a1bDm000000YZLMIA4</t>
  </si>
  <si>
    <t>a1bDm000000YZEvIAO</t>
  </si>
  <si>
    <t>a1bDm000000YZGDIA4</t>
  </si>
  <si>
    <t>a1bDm000000YZHVIA4</t>
  </si>
  <si>
    <t>a1bDm000000YZInIAO</t>
  </si>
  <si>
    <t>a1bDm000000YZK5IAO</t>
  </si>
  <si>
    <t>a1bDm000000YZLNIA4</t>
  </si>
  <si>
    <t>a1bDm000000YZEwIAO</t>
  </si>
  <si>
    <t>a1bDm000000YZGEIA4</t>
  </si>
  <si>
    <t>a1bDm000000YZHWIA4</t>
  </si>
  <si>
    <t>a1bDm000000YZIoIAO</t>
  </si>
  <si>
    <t>a1bDm000000YZK6IAO</t>
  </si>
  <si>
    <t>a1bDm000000YZLOIA4</t>
  </si>
  <si>
    <t>a1bDm000000YZExIAO</t>
  </si>
  <si>
    <t>a1bDm000000YZGFIA4</t>
  </si>
  <si>
    <t>a1bDm000000YZHXIA4</t>
  </si>
  <si>
    <t>a1bDm000000YZIpIAO</t>
  </si>
  <si>
    <t>a1bDm000000YZK7IAO</t>
  </si>
  <si>
    <t>a1bDm000000YZLPIA4</t>
  </si>
  <si>
    <t>a1bDm000000YZEyIAO</t>
  </si>
  <si>
    <t>a1bDm000000YZGGIA4</t>
  </si>
  <si>
    <t>a1bDm000000YZHYIA4</t>
  </si>
  <si>
    <t>a1bDm000000YZIqIAO</t>
  </si>
  <si>
    <t>a1bDm000000YZK8IAO</t>
  </si>
  <si>
    <t>a1bDm000000YZLQIA4</t>
  </si>
  <si>
    <t>a1bDm000000YZEzIAO</t>
  </si>
  <si>
    <t>a1bDm000000YZGHIA4</t>
  </si>
  <si>
    <t>a1bDm000000YZHZIA4</t>
  </si>
  <si>
    <t>a1bDm000000YZIrIAO</t>
  </si>
  <si>
    <t>a1bDm000000YZK9IAO</t>
  </si>
  <si>
    <t>a1bDm000000YZLRIA4</t>
  </si>
  <si>
    <t>a1bDm000000YZF0IAO</t>
  </si>
  <si>
    <t>a1bDm000000YZGIIA4</t>
  </si>
  <si>
    <t>a1bDm000000YZHaIAO</t>
  </si>
  <si>
    <t>a1bDm000000YZIsIAO</t>
  </si>
  <si>
    <t>a1bDm000000YZKAIA4</t>
  </si>
  <si>
    <t>a1bDm000000YZLSIA4</t>
  </si>
  <si>
    <t>a1bDm000000YZF1IAO</t>
  </si>
  <si>
    <t>a1bDm000000YZGJIA4</t>
  </si>
  <si>
    <t>a1bDm000000YZHbIAO</t>
  </si>
  <si>
    <t>a1bDm000000YZItIAO</t>
  </si>
  <si>
    <t>a1bDm000000YZKBIA4</t>
  </si>
  <si>
    <t>a1bDm000000YZLTIA4</t>
  </si>
  <si>
    <t>a1bDm000000YZF2IAO</t>
  </si>
  <si>
    <t>a1bDm000000YZGKIA4</t>
  </si>
  <si>
    <t>a1bDm000000YZHcIAO</t>
  </si>
  <si>
    <t>a1bDm000000YZIuIAO</t>
  </si>
  <si>
    <t>a1bDm000000YZKCIA4</t>
  </si>
  <si>
    <t>a1bDm000000YZLUIA4</t>
  </si>
  <si>
    <t>a1bDm000000YZF3IAO</t>
  </si>
  <si>
    <t>a1bDm000000YZGLIA4</t>
  </si>
  <si>
    <t>a1bDm000000YZHdIAO</t>
  </si>
  <si>
    <t>a1bDm000000YZIvIAO</t>
  </si>
  <si>
    <t>a1bDm000000YZKDIA4</t>
  </si>
  <si>
    <t>a1bDm000000YZLVIA4</t>
  </si>
  <si>
    <t>a1bDm000000YZF4IAO</t>
  </si>
  <si>
    <t>a1bDm000000YZGMIA4</t>
  </si>
  <si>
    <t>a1bDm000000YZHeIAO</t>
  </si>
  <si>
    <t>a1bDm000000YZIwIAO</t>
  </si>
  <si>
    <t>a1bDm000000YZKEIA4</t>
  </si>
  <si>
    <t>a1bDm000000YZLWIA4</t>
  </si>
  <si>
    <t>a1bDm000000YZF5IAO</t>
  </si>
  <si>
    <t>a1bDm000000YZGNIA4</t>
  </si>
  <si>
    <t>a1bDm000000YZHfIAO</t>
  </si>
  <si>
    <t>a1bDm000000YZIxIAO</t>
  </si>
  <si>
    <t>a1bDm000000YZKFIA4</t>
  </si>
  <si>
    <t>a1bDm000000YZLXIA4</t>
  </si>
  <si>
    <t>a1bDm000000YZF6IAO</t>
  </si>
  <si>
    <t>a1bDm000000YZGOIA4</t>
  </si>
  <si>
    <t>a1bDm000000YZHgIAO</t>
  </si>
  <si>
    <t>a1bDm000000YZIyIAO</t>
  </si>
  <si>
    <t>a1bDm000000YZKGIA4</t>
  </si>
  <si>
    <t>a1bDm000000YZLYIA4</t>
  </si>
  <si>
    <t>a1bDm000000YZF7IAO</t>
  </si>
  <si>
    <t>a1bDm000000YZGPIA4</t>
  </si>
  <si>
    <t>a1bDm000000YZHhIAO</t>
  </si>
  <si>
    <t>a1bDm000000YZIzIAO</t>
  </si>
  <si>
    <t>a1bDm000000YZKHIA4</t>
  </si>
  <si>
    <t>a1bDm000000YZLZIA4</t>
  </si>
  <si>
    <t>a1bDm000000YZF8IAO</t>
  </si>
  <si>
    <t>a1bDm000000YZGQIA4</t>
  </si>
  <si>
    <t>a1bDm000000YZHiIAO</t>
  </si>
  <si>
    <t>a1bDm000000YZJ0IAO</t>
  </si>
  <si>
    <t>a1bDm000000YZKIIA4</t>
  </si>
  <si>
    <t>a1bDm000000YZLaIAO</t>
  </si>
  <si>
    <t>a1bDm000000YZF9IAO</t>
  </si>
  <si>
    <t>a1bDm000000YZGRIA4</t>
  </si>
  <si>
    <t>a1bDm000000YZHjIAO</t>
  </si>
  <si>
    <t>a1bDm000000YZJ1IAO</t>
  </si>
  <si>
    <t>a1bDm000000YZKJIA4</t>
  </si>
  <si>
    <t>a1bDm000000YZLbIAO</t>
  </si>
  <si>
    <t>a1bDm000000YZFAIA4</t>
  </si>
  <si>
    <t>a1bDm000000YZGSIA4</t>
  </si>
  <si>
    <t>a1bDm000000YZHkIAO</t>
  </si>
  <si>
    <t>a1bDm000000YZJ2IAO</t>
  </si>
  <si>
    <t>a1bDm000000YZKKIA4</t>
  </si>
  <si>
    <t>a1bDm000000YZLcIAO</t>
  </si>
  <si>
    <t>a1bDm000000YZFBIA4</t>
  </si>
  <si>
    <t>a1bDm000000YZGTIA4</t>
  </si>
  <si>
    <t>a1bDm000000YZHlIAO</t>
  </si>
  <si>
    <t>a1bDm000000YZJ3IAO</t>
  </si>
  <si>
    <t>a1bDm000000YZKLIA4</t>
  </si>
  <si>
    <t>a1bDm000000YZLdIAO</t>
  </si>
  <si>
    <t>Performance Framework - WPTM - Section F</t>
  </si>
  <si>
    <t>No</t>
  </si>
  <si>
    <t>Criteria for Completion</t>
  </si>
  <si>
    <t>concat module&amp;int</t>
  </si>
  <si>
    <t>WPTM row no display map</t>
  </si>
  <si>
    <t>wptm resutls row no display map</t>
  </si>
  <si>
    <t>Performance Framework</t>
  </si>
  <si>
    <t>Overview</t>
  </si>
  <si>
    <t>Start Date</t>
  </si>
  <si>
    <t>End Date</t>
  </si>
  <si>
    <t>Country / Geography</t>
  </si>
  <si>
    <t>Implementation Period</t>
  </si>
  <si>
    <t>Grant Name / Funding Request Name</t>
  </si>
  <si>
    <t>Allocation Utilization Period</t>
  </si>
  <si>
    <t>Reporting Period</t>
  </si>
  <si>
    <t>Impact Indicators</t>
  </si>
  <si>
    <t xml:space="preserve"># </t>
  </si>
  <si>
    <t>Goal</t>
  </si>
  <si>
    <t>#</t>
  </si>
  <si>
    <t>Baseline</t>
  </si>
  <si>
    <t>Targets</t>
  </si>
  <si>
    <t>Numerator</t>
  </si>
  <si>
    <t>Denominator</t>
  </si>
  <si>
    <t>Percentage</t>
  </si>
  <si>
    <t>Outcome Indicators</t>
  </si>
  <si>
    <t>Objective</t>
  </si>
  <si>
    <t>Coverage Indicators</t>
  </si>
  <si>
    <t>Scope of Targets</t>
  </si>
  <si>
    <t>Workplan Tracking Measures</t>
  </si>
  <si>
    <t>This sheet queries Component - Indicator Reference object to bring all the reference data without filter of Soft Delete</t>
  </si>
  <si>
    <t>Data Type Target</t>
  </si>
  <si>
    <t>[Data Type Target]</t>
  </si>
  <si>
    <t>a3zDm000000GmcdIAC</t>
  </si>
  <si>
    <t>a3zDm000000GmceIAC</t>
  </si>
  <si>
    <t>a3zDm000000GmcfIAC</t>
  </si>
  <si>
    <t>a3zDm000000GmcgIAC</t>
  </si>
  <si>
    <t>a3zDm000000GmbPIAS</t>
  </si>
  <si>
    <t>a3zDm000000GmbQIAS</t>
  </si>
  <si>
    <t>a3zDm000000GmbRIAS</t>
  </si>
  <si>
    <t>a3zDm000000GmbSIAS</t>
  </si>
  <si>
    <t>a3zDm000000GmbTIAS</t>
  </si>
  <si>
    <t>a3zDm000000GmbUIAS</t>
  </si>
  <si>
    <t>a3zDm000000GmbVIAS</t>
  </si>
  <si>
    <t>a3zDm000000GmbWIAS</t>
  </si>
  <si>
    <t>a3zDm000000GmbXIAS</t>
  </si>
  <si>
    <t>a3zDm000000GmbYIAS</t>
  </si>
  <si>
    <t>a3zDm000000GmbZIAS</t>
  </si>
  <si>
    <t>a3zDm000000GmbaIAC</t>
  </si>
  <si>
    <t>a3zDm000000Gmc2IAC</t>
  </si>
  <si>
    <t>a3zDm000000Gmc3IAC</t>
  </si>
  <si>
    <t>a3zDm000000Gmc4IAC</t>
  </si>
  <si>
    <t>a3zDm000000Gmc5IAC</t>
  </si>
  <si>
    <t>a3zDm000000Gmc6IAC</t>
  </si>
  <si>
    <t>a3zDm000000Gmc7IAC</t>
  </si>
  <si>
    <t>a3zDm000000Gmc8IAC</t>
  </si>
  <si>
    <t>a3zDm000000GmchIAC</t>
  </si>
  <si>
    <t>a3zDm000000GmciIAC</t>
  </si>
  <si>
    <t>a3zDm000000GmcjIAC</t>
  </si>
  <si>
    <t>a3zDm000000GmckIAC</t>
  </si>
  <si>
    <t>a3zDm000000GmclIAC</t>
  </si>
  <si>
    <t>a3zDm000000GmcmIAC</t>
  </si>
  <si>
    <t>a3zDm000000GmcnIAC</t>
  </si>
  <si>
    <t>a3zDm000000GmcoIAC</t>
  </si>
  <si>
    <t>a3zDm000000GmcpIAC</t>
  </si>
  <si>
    <t>a3zDm000000GmcqIAC</t>
  </si>
  <si>
    <t>a3zDm000000GmcrIAC</t>
  </si>
  <si>
    <t>a3zDm000000GmcsIAC</t>
  </si>
  <si>
    <t>a3zDm000000GmctIAC</t>
  </si>
  <si>
    <t>a3zDm000000GmcuIAC</t>
  </si>
  <si>
    <t>a3zDm000000GmcvIAC</t>
  </si>
  <si>
    <t>a3zDm000000GmcwIAC</t>
  </si>
  <si>
    <t>a3zDm000000GmcxIAC</t>
  </si>
  <si>
    <t>a3zDm000000GmcyIAC</t>
  </si>
  <si>
    <t>a3zDm000000GmczIAC</t>
  </si>
  <si>
    <t>a3zDm000000GmbbIAC</t>
  </si>
  <si>
    <t>a3zDm000000GmbcIAC</t>
  </si>
  <si>
    <t>a3zDm000000GmbdIAC</t>
  </si>
  <si>
    <t>a3zDm000000GmbeIAC</t>
  </si>
  <si>
    <t>a3zDm000000GmbfIAC</t>
  </si>
  <si>
    <t>a3zDm000000GmbgIAC</t>
  </si>
  <si>
    <t>a3zDm000000GmbhIAC</t>
  </si>
  <si>
    <t>a3zDm000000GmbiIAC</t>
  </si>
  <si>
    <t>a3zDm000000GmbjIAC</t>
  </si>
  <si>
    <t>a3zDm000000GmbkIAC</t>
  </si>
  <si>
    <t>a3zDm000000GmblIAC</t>
  </si>
  <si>
    <t>a3zDm000000GmbmIAC</t>
  </si>
  <si>
    <t>a3zDm000000GmbnIAC</t>
  </si>
  <si>
    <t>a3zDm000000GmboIAC</t>
  </si>
  <si>
    <t>a3zDm000000GmbpIAC</t>
  </si>
  <si>
    <t>a3zDm000000GmbqIAC</t>
  </si>
  <si>
    <t>a3zDm000000GmbrIAC</t>
  </si>
  <si>
    <t>a3zDm000000GmbsIAC</t>
  </si>
  <si>
    <t>a3zDm000000GmbtIAC</t>
  </si>
  <si>
    <t>a3zDm000000GmbuIAC</t>
  </si>
  <si>
    <t>a3zDm000000GmbvIAC</t>
  </si>
  <si>
    <t>a3zDm000000GmbwIAC</t>
  </si>
  <si>
    <t>a3zDm000000GmbxIAC</t>
  </si>
  <si>
    <t>a3zDm000000GmbyIAC</t>
  </si>
  <si>
    <t>a3zDm000000GmbzIAC</t>
  </si>
  <si>
    <t>a3zDm000000Gmc0IAC</t>
  </si>
  <si>
    <t>a3zDm000000Gmc1IAC</t>
  </si>
  <si>
    <t>a3zDm000000H47JIAS</t>
  </si>
  <si>
    <t>Module Data - Module-Coverage-Intervention Reference</t>
  </si>
  <si>
    <t>Record ID Reference</t>
  </si>
  <si>
    <t>Data Type</t>
  </si>
  <si>
    <t>[Data Type]</t>
  </si>
  <si>
    <t>Intervention Data - Module-Coverage-Intervention Reference</t>
  </si>
  <si>
    <t>Impact Data - Indicator-Disaggregation Reference</t>
  </si>
  <si>
    <t>Impact-Outcome Indicator  Reference (Name)</t>
  </si>
  <si>
    <t>Concatenated Name</t>
  </si>
  <si>
    <t>Disaggregation Reference ID</t>
  </si>
  <si>
    <t>[Impact-Outcome Indicator  Reference (Name)]</t>
  </si>
  <si>
    <t>[Category]</t>
  </si>
  <si>
    <t>[Disaggregation]</t>
  </si>
  <si>
    <t>[Disaggregation Reference ID]</t>
  </si>
  <si>
    <t>Gender | Age</t>
  </si>
  <si>
    <t>a1LDm000000CazTMAS</t>
  </si>
  <si>
    <t>IDR-01037</t>
  </si>
  <si>
    <t>a1LDm000000CazSMAS</t>
  </si>
  <si>
    <t>IDR-01036</t>
  </si>
  <si>
    <t>a1LDm000000CazRMAS</t>
  </si>
  <si>
    <t>IDR-01035</t>
  </si>
  <si>
    <t>a1LDm000000CazQMAS</t>
  </si>
  <si>
    <t>IDR-01034</t>
  </si>
  <si>
    <t>a1LDm000000CazPMAS</t>
  </si>
  <si>
    <t>IDR-01033</t>
  </si>
  <si>
    <t>a1LDm000000CazOMAS</t>
  </si>
  <si>
    <t>IDR-01032</t>
  </si>
  <si>
    <t>a1LDm000000CazNMAS</t>
  </si>
  <si>
    <t>IDR-01031</t>
  </si>
  <si>
    <t>a1LDm000000CazMMAS</t>
  </si>
  <si>
    <t>IDR-01030</t>
  </si>
  <si>
    <t>a1LDm000000CazcMAC</t>
  </si>
  <si>
    <t>IDR-01046</t>
  </si>
  <si>
    <t>a1LDm000000CazbMAC</t>
  </si>
  <si>
    <t>IDR-01045</t>
  </si>
  <si>
    <t>a1LDm000000CazaMAC</t>
  </si>
  <si>
    <t>IDR-01044</t>
  </si>
  <si>
    <t>a1LDm000000CazZMAS</t>
  </si>
  <si>
    <t>IDR-01043</t>
  </si>
  <si>
    <t>a1LDm000000CazYMAS</t>
  </si>
  <si>
    <t>IDR-01042</t>
  </si>
  <si>
    <t>a1LDm000000CazXMAS</t>
  </si>
  <si>
    <t>IDR-01041</t>
  </si>
  <si>
    <t>a1LDm000000CazWMAS</t>
  </si>
  <si>
    <t>IDR-01040</t>
  </si>
  <si>
    <t>a1LDm000000CazVMAS</t>
  </si>
  <si>
    <t>IDR-01039</t>
  </si>
  <si>
    <t>a1LDm000000CazUMAS</t>
  </si>
  <si>
    <t>IDR-01038</t>
  </si>
  <si>
    <t>IOR-00158</t>
  </si>
  <si>
    <t>Malaria I-1 Reported malaria cases (presumed and confirmed)</t>
  </si>
  <si>
    <t>a1LDm000000CazvMAC</t>
  </si>
  <si>
    <t>IDR-01065</t>
  </si>
  <si>
    <t>a1LDm000000CazuMAC</t>
  </si>
  <si>
    <t>IDR-01064</t>
  </si>
  <si>
    <t>Malaria case definition</t>
  </si>
  <si>
    <t>Presumptive</t>
  </si>
  <si>
    <t>a1LDm000000CaztMAC</t>
  </si>
  <si>
    <t>IDR-01063</t>
  </si>
  <si>
    <t>Confirmed</t>
  </si>
  <si>
    <t>a1LDm000000CazsMAC</t>
  </si>
  <si>
    <t>IDR-01062</t>
  </si>
  <si>
    <t>a1LDm000000CazrMAC</t>
  </si>
  <si>
    <t>IDR-01061</t>
  </si>
  <si>
    <t>IOR-00159</t>
  </si>
  <si>
    <t>Malaria I-2.1 Confirmed malaria cases (microscopy or RDT): rate per 1000 persons per year</t>
  </si>
  <si>
    <t>a1LDm000000Cb02MAC</t>
  </si>
  <si>
    <t>IDR-01072</t>
  </si>
  <si>
    <t>Species</t>
  </si>
  <si>
    <t>Other species</t>
  </si>
  <si>
    <t>a1LDm000000Cb01MAC</t>
  </si>
  <si>
    <t>IDR-01071</t>
  </si>
  <si>
    <t>Mixed</t>
  </si>
  <si>
    <t>a1LDm000000Cb00MAC</t>
  </si>
  <si>
    <t>IDR-01070</t>
  </si>
  <si>
    <t>a1LDm000000CazzMAC</t>
  </si>
  <si>
    <t>IDR-01069</t>
  </si>
  <si>
    <t>P. falciparum</t>
  </si>
  <si>
    <t>a1LDm000000CazyMAC</t>
  </si>
  <si>
    <t>IDR-01068</t>
  </si>
  <si>
    <t>P. vivax</t>
  </si>
  <si>
    <t>a1LDm000000CazxMAC</t>
  </si>
  <si>
    <t>IDR-01067</t>
  </si>
  <si>
    <t>a1LDm000000CazwMAC</t>
  </si>
  <si>
    <t>IDR-01066</t>
  </si>
  <si>
    <t>IOR-00160</t>
  </si>
  <si>
    <t>Malaria I-3.1 In-patient malaria deaths: rate per 100,000 persons per year</t>
  </si>
  <si>
    <t>a1LDm000000Cb05MAC</t>
  </si>
  <si>
    <t>IDR-01075</t>
  </si>
  <si>
    <t>a1LDm000000Cb04MAC</t>
  </si>
  <si>
    <t>IDR-01074</t>
  </si>
  <si>
    <t>a1LDm000000Cb03MAC</t>
  </si>
  <si>
    <t>IDR-01073</t>
  </si>
  <si>
    <t>IOR-00161</t>
  </si>
  <si>
    <t>Malaria I-4 Malaria test positivity rate</t>
  </si>
  <si>
    <t>Testing type</t>
  </si>
  <si>
    <t>Rapid diagnostic test</t>
  </si>
  <si>
    <t>a1LDm000000Cb07MAC</t>
  </si>
  <si>
    <t>IDR-01077</t>
  </si>
  <si>
    <t>Microscopy</t>
  </si>
  <si>
    <t>a1LDm000000Cb06MAC</t>
  </si>
  <si>
    <t>IDR-01076</t>
  </si>
  <si>
    <t>IOR-00162</t>
  </si>
  <si>
    <t>Malaria I-5.1 Malaria Parasite prevalence: Proportion of population with malaria infection</t>
  </si>
  <si>
    <t>a1LDm000000Cb0CMAS</t>
  </si>
  <si>
    <t>IDR-01082</t>
  </si>
  <si>
    <t>a1LDm000000Cb0BMAS</t>
  </si>
  <si>
    <t>IDR-01081</t>
  </si>
  <si>
    <t>a1LDm000000Cb0AMAS</t>
  </si>
  <si>
    <t>IDR-01080</t>
  </si>
  <si>
    <t>a1LDm000000Cb09MAC</t>
  </si>
  <si>
    <t>IDR-01079</t>
  </si>
  <si>
    <t>a1LDm000000Cb08MAC</t>
  </si>
  <si>
    <t>IDR-01078</t>
  </si>
  <si>
    <t>IOR-00163</t>
  </si>
  <si>
    <t>Malaria I-10 Annual parasite incidence: Confirmed malaria cases (microscopy or RDT): rate per 1000 persons per year (Elimination settings)</t>
  </si>
  <si>
    <t>Source of infection</t>
  </si>
  <si>
    <t>Locally acquired</t>
  </si>
  <si>
    <t>a1LDm000000Cb0EMAS</t>
  </si>
  <si>
    <t>IDR-01084</t>
  </si>
  <si>
    <t>Imported</t>
  </si>
  <si>
    <t>a1LDm000000Cb0DMAS</t>
  </si>
  <si>
    <t>IDR-01083</t>
  </si>
  <si>
    <t>IOR-00165</t>
  </si>
  <si>
    <t>Malaria I-12 Malaria mortality: rate per 100 000 people per year</t>
  </si>
  <si>
    <t>a1LDm000000Cb0HMAS</t>
  </si>
  <si>
    <t>IDR-01087</t>
  </si>
  <si>
    <t>a1LDm000000Cb0GMAS</t>
  </si>
  <si>
    <t>IDR-01086</t>
  </si>
  <si>
    <t>a1LDm000000Cb0FMAS</t>
  </si>
  <si>
    <t>IDR-01085</t>
  </si>
  <si>
    <t>IOR-00166</t>
  </si>
  <si>
    <t>Malaria I-13 Malaria case fatality rate: Percentage of deaths among confirmed malaria cases (for elimination settings)</t>
  </si>
  <si>
    <t>a1LDm000000Cb0KMAS</t>
  </si>
  <si>
    <t>IDR-01090</t>
  </si>
  <si>
    <t>a1LDm000000Cb0JMAS</t>
  </si>
  <si>
    <t>IDR-01089</t>
  </si>
  <si>
    <t>a1LDm000000Cb0IMAS</t>
  </si>
  <si>
    <t>IDR-01088</t>
  </si>
  <si>
    <t>IOR-00167</t>
  </si>
  <si>
    <t>Malaria I-14 Malaria admissions: rate per 100,000 pop per year</t>
  </si>
  <si>
    <t>a1LDm000000Cb0NMAS</t>
  </si>
  <si>
    <t>IDR-01093</t>
  </si>
  <si>
    <t>a1LDm000000Cb0MMAS</t>
  </si>
  <si>
    <t>IDR-01092</t>
  </si>
  <si>
    <t>a1LDm000000Cb0LMAS</t>
  </si>
  <si>
    <t>IDR-01091</t>
  </si>
  <si>
    <t>IOR-00168</t>
  </si>
  <si>
    <t>Malaria I-15 Number of locally acquired malaria cases</t>
  </si>
  <si>
    <t>a1LDm000000Cb0RMAS</t>
  </si>
  <si>
    <t>IDR-01097</t>
  </si>
  <si>
    <t>a1LDm000000Cb0QMAS</t>
  </si>
  <si>
    <t>IDR-01096</t>
  </si>
  <si>
    <t>a1LDm000000Cb0PMAS</t>
  </si>
  <si>
    <t>IDR-01095</t>
  </si>
  <si>
    <t>a1LDm000000Cb0OMAS</t>
  </si>
  <si>
    <t>IDR-01094</t>
  </si>
  <si>
    <t>Outcome Data - Indicator-Disaggregation Reference</t>
  </si>
  <si>
    <t>a1LDm000000Cb0TMAS</t>
  </si>
  <si>
    <t>IDR-01099</t>
  </si>
  <si>
    <t>a1LDm000000Cb0SMAS</t>
  </si>
  <si>
    <t>IDR-01098</t>
  </si>
  <si>
    <t>a1LDm000000Cb0bMAC</t>
  </si>
  <si>
    <t>IDR-01107</t>
  </si>
  <si>
    <t>a1LDm000000Cb0aMAC</t>
  </si>
  <si>
    <t>IDR-01106</t>
  </si>
  <si>
    <t>a1LDm000000Cb0ZMAS</t>
  </si>
  <si>
    <t>IDR-01105</t>
  </si>
  <si>
    <t>a1LDm000000Cb0YMAS</t>
  </si>
  <si>
    <t>IDR-01104</t>
  </si>
  <si>
    <t>25-49</t>
  </si>
  <si>
    <t>a1LDm000000Cb0iMAC</t>
  </si>
  <si>
    <t>IDR-01114</t>
  </si>
  <si>
    <t>a1LDm000000Cb0hMAC</t>
  </si>
  <si>
    <t>IDR-01113</t>
  </si>
  <si>
    <t>a1LDm000000Cb0gMAC</t>
  </si>
  <si>
    <t>IDR-01112</t>
  </si>
  <si>
    <t>Target / Risk population group</t>
  </si>
  <si>
    <t>a1LDm000000Cb0qMAC</t>
  </si>
  <si>
    <t>IDR-01122</t>
  </si>
  <si>
    <t>Prisoners</t>
  </si>
  <si>
    <t>a1LDm000000Cb0pMAC</t>
  </si>
  <si>
    <t>IDR-01121</t>
  </si>
  <si>
    <t>PUD</t>
  </si>
  <si>
    <t>a1LDm000000Cb0oMAC</t>
  </si>
  <si>
    <t>IDR-01120</t>
  </si>
  <si>
    <t>Sex workers</t>
  </si>
  <si>
    <t>a1LDm000000Cb0nMAC</t>
  </si>
  <si>
    <t>IDR-01119</t>
  </si>
  <si>
    <t>MSM</t>
  </si>
  <si>
    <t>a1LDm000000Cb0mMAC</t>
  </si>
  <si>
    <t>IDR-01118</t>
  </si>
  <si>
    <t>a1LDm000000Cb0lMAC</t>
  </si>
  <si>
    <t>IDR-01117</t>
  </si>
  <si>
    <t>a1LDm000000Cb0kMAC</t>
  </si>
  <si>
    <t>IDR-01116</t>
  </si>
  <si>
    <t>a1LDm000000Cb0jMAC</t>
  </si>
  <si>
    <t>IDR-01115</t>
  </si>
  <si>
    <t>IOR-00205</t>
  </si>
  <si>
    <t>Malaria O-1a Proportion of population that slept under an insecticide-treated net the previous night</t>
  </si>
  <si>
    <t>a1LDm000000Cb1AMAS</t>
  </si>
  <si>
    <t>IDR-01142</t>
  </si>
  <si>
    <t>a1LDm000000Cb19MAC</t>
  </si>
  <si>
    <t>IDR-01141</t>
  </si>
  <si>
    <t>IOR-00212</t>
  </si>
  <si>
    <t>Malaria O-12 Proportion of targeted risk groups covered by distributed ITNs</t>
  </si>
  <si>
    <t>Others</t>
  </si>
  <si>
    <t>a1LDm000000Cb1DMAS</t>
  </si>
  <si>
    <t>IDR-01145</t>
  </si>
  <si>
    <t>a1LDm000000Cb1CMAS</t>
  </si>
  <si>
    <t>IDR-01144</t>
  </si>
  <si>
    <t>Migrants/ refugees/ IDPs</t>
  </si>
  <si>
    <t>a1LDm000000Cb1BMAS</t>
  </si>
  <si>
    <t>IDR-01143</t>
  </si>
  <si>
    <t>IOR-00213</t>
  </si>
  <si>
    <t>Malaria O-9 Annual blood examination rate: per 100 population per year (Elimination settings)</t>
  </si>
  <si>
    <t>Case detection</t>
  </si>
  <si>
    <t>Passive</t>
  </si>
  <si>
    <t>a1LDm000000Cb1FMAS</t>
  </si>
  <si>
    <t>IDR-01147</t>
  </si>
  <si>
    <t>Active</t>
  </si>
  <si>
    <t>a1LDm000000Cb1EMAS</t>
  </si>
  <si>
    <t>IDR-01146</t>
  </si>
  <si>
    <t>Tertiary</t>
  </si>
  <si>
    <t>a1LDm000000Cb1IMAS</t>
  </si>
  <si>
    <t>IDR-01150</t>
  </si>
  <si>
    <t>Secondary</t>
  </si>
  <si>
    <t>a1LDm000000Cb1HMAS</t>
  </si>
  <si>
    <t>IDR-01149</t>
  </si>
  <si>
    <t>Primary</t>
  </si>
  <si>
    <t>a1LDm000000Cb1GMAS</t>
  </si>
  <si>
    <t>IDR-01148</t>
  </si>
  <si>
    <t>&gt;25% of total household expenditure/income</t>
  </si>
  <si>
    <t>a1LDm000000Cb1KMAS</t>
  </si>
  <si>
    <t>IDR-01152</t>
  </si>
  <si>
    <t>&gt;10% of total household expenditure/income</t>
  </si>
  <si>
    <t>a1LDm000000Cb1JMAS</t>
  </si>
  <si>
    <t>IDR-01151</t>
  </si>
  <si>
    <t>a1LDm000000Cb1MMAS</t>
  </si>
  <si>
    <t>IDR-01154</t>
  </si>
  <si>
    <t>a1LDm000000Cb1LMAS</t>
  </si>
  <si>
    <t>IDR-01153</t>
  </si>
  <si>
    <t>Lot release of vaccines</t>
  </si>
  <si>
    <t>a1LDm000000Cb1UMAS</t>
  </si>
  <si>
    <t>IDR-01162</t>
  </si>
  <si>
    <t>Clinical trials oversight</t>
  </si>
  <si>
    <t>a1LDm000000Cb1TMAS</t>
  </si>
  <si>
    <t>IDR-01161</t>
  </si>
  <si>
    <t>Laboratory testing</t>
  </si>
  <si>
    <t>a1LDm000000Cb1SMAS</t>
  </si>
  <si>
    <t>IDR-01160</t>
  </si>
  <si>
    <t>Regulatory inspections</t>
  </si>
  <si>
    <t>a1LDm000000Cb1RMAS</t>
  </si>
  <si>
    <t>IDR-01159</t>
  </si>
  <si>
    <t>Licensing of establishments</t>
  </si>
  <si>
    <t>a1LDm000000Cb1QMAS</t>
  </si>
  <si>
    <t>IDR-01158</t>
  </si>
  <si>
    <t>Market surveillance and control</t>
  </si>
  <si>
    <t>a1LDm000000Cb1PMAS</t>
  </si>
  <si>
    <t>IDR-01157</t>
  </si>
  <si>
    <t>Pharmacovigilance</t>
  </si>
  <si>
    <t>a1LDm000000Cb1OMAS</t>
  </si>
  <si>
    <t>IDR-01156</t>
  </si>
  <si>
    <t>Registration and marketing authorization</t>
  </si>
  <si>
    <t>a1LDm000000Cb1NMAS</t>
  </si>
  <si>
    <t>IDR-01155</t>
  </si>
  <si>
    <t>a1LDm000000FnfxMAC</t>
  </si>
  <si>
    <t>IDR-01526</t>
  </si>
  <si>
    <t>a1LDm000000FnfwMAC</t>
  </si>
  <si>
    <t>IDR-01525</t>
  </si>
  <si>
    <t>a1LDm000000FnfvMAC</t>
  </si>
  <si>
    <t>IDR-01524</t>
  </si>
  <si>
    <t>a1LDm000000FnfuMAC</t>
  </si>
  <si>
    <t>IDR-01523</t>
  </si>
  <si>
    <t>Coverage Data - Indicator-Disaggregation Reference</t>
  </si>
  <si>
    <t>Coverage Indicator  Reference (Name)</t>
  </si>
  <si>
    <t>[Coverage Indicator  Reference (Name)]</t>
  </si>
  <si>
    <t>PrEP product</t>
  </si>
  <si>
    <t>a1LDm000000Cb2PMAS</t>
  </si>
  <si>
    <t>IDR-01219</t>
  </si>
  <si>
    <t>a1LDm000000Cb2OMAS</t>
  </si>
  <si>
    <t>IDR-01218</t>
  </si>
  <si>
    <t>a1LDm000000Cb2NMAS</t>
  </si>
  <si>
    <t>IDR-01217</t>
  </si>
  <si>
    <t>a1LDm000000Cb2MMAS</t>
  </si>
  <si>
    <t>IDR-01216</t>
  </si>
  <si>
    <t>a1LDm000000Cb2LMAS</t>
  </si>
  <si>
    <t>IDR-01215</t>
  </si>
  <si>
    <t>STI</t>
  </si>
  <si>
    <t>Gonorrhea</t>
  </si>
  <si>
    <t>a1LDm000000Cb2KMAS</t>
  </si>
  <si>
    <t>IDR-01214</t>
  </si>
  <si>
    <t>a1LDm000000Cb2JMAS</t>
  </si>
  <si>
    <t>IDR-01213</t>
  </si>
  <si>
    <t>Syphilis</t>
  </si>
  <si>
    <t>a1LDm000000Cb2IMAS</t>
  </si>
  <si>
    <t>IDR-01212</t>
  </si>
  <si>
    <t>a1LDm000000Cb2ZMAS</t>
  </si>
  <si>
    <t>IDR-01229</t>
  </si>
  <si>
    <t>a1LDm000000Cb2YMAS</t>
  </si>
  <si>
    <t>IDR-01228</t>
  </si>
  <si>
    <t>a1LDm000000Cb2XMAS</t>
  </si>
  <si>
    <t>IDR-01227</t>
  </si>
  <si>
    <t>a1LDm000000Cb2WMAS</t>
  </si>
  <si>
    <t>IDR-01226</t>
  </si>
  <si>
    <t>a1LDm000000Cb2VMAS</t>
  </si>
  <si>
    <t>IDR-01225</t>
  </si>
  <si>
    <t>a1LDm000000Cb2mMAC</t>
  </si>
  <si>
    <t>IDR-01242</t>
  </si>
  <si>
    <t>a1LDm000000Cb2lMAC</t>
  </si>
  <si>
    <t>IDR-01241</t>
  </si>
  <si>
    <t>a1LDm000000Cb2kMAC</t>
  </si>
  <si>
    <t>IDR-01240</t>
  </si>
  <si>
    <t>a1LDm000000Cb2jMAC</t>
  </si>
  <si>
    <t>IDR-01239</t>
  </si>
  <si>
    <t>a1LDm000000Cb2iMAC</t>
  </si>
  <si>
    <t>IDR-01238</t>
  </si>
  <si>
    <t>a1LDm000000Cb2pMAC</t>
  </si>
  <si>
    <t>IDR-01245</t>
  </si>
  <si>
    <t>a1LDm000000Cb2oMAC</t>
  </si>
  <si>
    <t>IDR-01244</t>
  </si>
  <si>
    <t>a1LDm000000Cb2nMAC</t>
  </si>
  <si>
    <t>IDR-01243</t>
  </si>
  <si>
    <t>a1LDm000000Cb3sMAC</t>
  </si>
  <si>
    <t>IDR-01310</t>
  </si>
  <si>
    <t>a1LDm000000Cb3rMAC</t>
  </si>
  <si>
    <t>IDR-01309</t>
  </si>
  <si>
    <t>a1LDm000000Cb3qMAC</t>
  </si>
  <si>
    <t>IDR-01308</t>
  </si>
  <si>
    <t>a1LDm000000Cb3pMAC</t>
  </si>
  <si>
    <t>IDR-01307</t>
  </si>
  <si>
    <t>TB case definition</t>
  </si>
  <si>
    <t>Private facility type</t>
  </si>
  <si>
    <t>Private for-profit</t>
  </si>
  <si>
    <t>a1LDm000000Cb43MAC</t>
  </si>
  <si>
    <t>IDR-01321</t>
  </si>
  <si>
    <t>a1LDm000000Cb42MAC</t>
  </si>
  <si>
    <t>IDR-01320</t>
  </si>
  <si>
    <t>NGO</t>
  </si>
  <si>
    <t>a1LDm000000Cb41MAC</t>
  </si>
  <si>
    <t>IDR-01319</t>
  </si>
  <si>
    <t>TPT regimen</t>
  </si>
  <si>
    <t>Treatment regimen</t>
  </si>
  <si>
    <t>a1LDm000000Cb5MMAS</t>
  </si>
  <si>
    <t>IDR-01402</t>
  </si>
  <si>
    <t>a1LDm000000Cb5LMAS</t>
  </si>
  <si>
    <t>IDR-01401</t>
  </si>
  <si>
    <t>a1LDm000000Cb5KMAS</t>
  </si>
  <si>
    <t>IDR-01400</t>
  </si>
  <si>
    <t>a1LDm000000Cb5JMAS</t>
  </si>
  <si>
    <t>IDR-01399</t>
  </si>
  <si>
    <t>a1LDm000000Cb5IMAS</t>
  </si>
  <si>
    <t>IDR-01398</t>
  </si>
  <si>
    <t>a1LDm000000Cb5HMAS</t>
  </si>
  <si>
    <t>IDR-01397</t>
  </si>
  <si>
    <t>a1LDm000000Cb5GMAS</t>
  </si>
  <si>
    <t>IDR-01396</t>
  </si>
  <si>
    <t>MCI-01562</t>
  </si>
  <si>
    <t>VC-3 Number of insecticide-treated nets distributed to targeted risk groups through continuous distribution</t>
  </si>
  <si>
    <t>a1LDm000000Cb5QMAS</t>
  </si>
  <si>
    <t>IDR-01406</t>
  </si>
  <si>
    <t>School children</t>
  </si>
  <si>
    <t>a1LDm000000Cb5PMAS</t>
  </si>
  <si>
    <t>IDR-01405</t>
  </si>
  <si>
    <t>Children 0-5</t>
  </si>
  <si>
    <t>a1LDm000000Cb5OMAS</t>
  </si>
  <si>
    <t>IDR-01404</t>
  </si>
  <si>
    <t>Pregnant women</t>
  </si>
  <si>
    <t>a1LDm000000Cb5NMAS</t>
  </si>
  <si>
    <t>IDR-01403</t>
  </si>
  <si>
    <t>MCI-01565</t>
  </si>
  <si>
    <t>CM-1a Proportion of suspected malaria cases that receive a parasitological test at public sector health facilities</t>
  </si>
  <si>
    <t>5+</t>
  </si>
  <si>
    <t>a1LDm000000Cb5UMAS</t>
  </si>
  <si>
    <t>IDR-01410</t>
  </si>
  <si>
    <t>a1LDm000000Cb5TMAS</t>
  </si>
  <si>
    <t>IDR-01409</t>
  </si>
  <si>
    <t>a1LDm000000Cb5SMAS</t>
  </si>
  <si>
    <t>IDR-01408</t>
  </si>
  <si>
    <t>a1LDm000000Cb5RMAS</t>
  </si>
  <si>
    <t>IDR-01407</t>
  </si>
  <si>
    <t>MCI-01566</t>
  </si>
  <si>
    <t>CM-1b Proportion of suspected malaria cases that receive a parasitological test in the community</t>
  </si>
  <si>
    <t>a1LDm000000Cb5YMAS</t>
  </si>
  <si>
    <t>IDR-01414</t>
  </si>
  <si>
    <t>a1LDm000000Cb5XMAS</t>
  </si>
  <si>
    <t>IDR-01413</t>
  </si>
  <si>
    <t>a1LDm000000Cb5WMAS</t>
  </si>
  <si>
    <t>IDR-01412</t>
  </si>
  <si>
    <t>a1LDm000000Cb5VMAS</t>
  </si>
  <si>
    <t>IDR-01411</t>
  </si>
  <si>
    <t>MCI-01567</t>
  </si>
  <si>
    <t>CM-1c Proportion of suspected malaria cases that receive a parasitological test at private sector sites</t>
  </si>
  <si>
    <t>a1LDm000000Cb5cMAC</t>
  </si>
  <si>
    <t>IDR-01418</t>
  </si>
  <si>
    <t>a1LDm000000Cb5bMAC</t>
  </si>
  <si>
    <t>IDR-01417</t>
  </si>
  <si>
    <t>a1LDm000000Cb5aMAC</t>
  </si>
  <si>
    <t>IDR-01416</t>
  </si>
  <si>
    <t>a1LDm000000Cb5ZMAS</t>
  </si>
  <si>
    <t>IDR-01415</t>
  </si>
  <si>
    <t>MCI-01568</t>
  </si>
  <si>
    <t>CM-2a Proportion of confirmed malaria cases that received first-line antimalarial treatment at public sector health facilities</t>
  </si>
  <si>
    <t>a1LDm000000Cb5eMAC</t>
  </si>
  <si>
    <t>IDR-01420</t>
  </si>
  <si>
    <t>a1LDm000000Cb5dMAC</t>
  </si>
  <si>
    <t>IDR-01419</t>
  </si>
  <si>
    <t>MCI-01569</t>
  </si>
  <si>
    <t>CM-2b Proportion of confirmed malaria cases that received first-line antimalarial treatment in the community</t>
  </si>
  <si>
    <t>a1LDm000000Cb5gMAC</t>
  </si>
  <si>
    <t>IDR-01422</t>
  </si>
  <si>
    <t>a1LDm000000Cb5fMAC</t>
  </si>
  <si>
    <t>IDR-01421</t>
  </si>
  <si>
    <t>MCI-01570</t>
  </si>
  <si>
    <t>CM-2c Proportion of confirmed malaria cases that received first-line antimalarial treatment at private sector sites</t>
  </si>
  <si>
    <t>a1LDm000000Cb5iMAC</t>
  </si>
  <si>
    <t>IDR-01424</t>
  </si>
  <si>
    <t>a1LDm000000Cb5hMAC</t>
  </si>
  <si>
    <t>IDR-01423</t>
  </si>
  <si>
    <t>MCI-01571</t>
  </si>
  <si>
    <t>CM-5 Percentage of confirmed cases fully investigated and classified as per national guidance</t>
  </si>
  <si>
    <t>a1LDm000000Cb5kMAC</t>
  </si>
  <si>
    <t>IDR-01426</t>
  </si>
  <si>
    <t>a1LDm000000Cb5jMAC</t>
  </si>
  <si>
    <t>IDR-01425</t>
  </si>
  <si>
    <t>MCI-01573</t>
  </si>
  <si>
    <t>CM-7 Percentage of districts achieving national target for the proportion of suspected malaria patients who receive a parasitological test</t>
  </si>
  <si>
    <t>a1LDm000000Cb5nMAC</t>
  </si>
  <si>
    <t>IDR-01429</t>
  </si>
  <si>
    <t>a1LDm000000Cb5mMAC</t>
  </si>
  <si>
    <t>IDR-01428</t>
  </si>
  <si>
    <t>a1LDm000000Cb5lMAC</t>
  </si>
  <si>
    <t>IDR-01427</t>
  </si>
  <si>
    <t>MCI-01574</t>
  </si>
  <si>
    <t>CM-8 Percentage of districts achieving national target for the proportion of confirmed malaria patients who received first-line antimalarial treatment</t>
  </si>
  <si>
    <t>a1LDm000000Cb5qMAC</t>
  </si>
  <si>
    <t>IDR-01432</t>
  </si>
  <si>
    <t>a1LDm000000Cb5pMAC</t>
  </si>
  <si>
    <t>IDR-01431</t>
  </si>
  <si>
    <t>a1LDm000000Cb5oMAC</t>
  </si>
  <si>
    <t>IDR-01430</t>
  </si>
  <si>
    <t>Community health workers</t>
  </si>
  <si>
    <t>a1LDm000000Cb6VMAS</t>
  </si>
  <si>
    <t>IDR-01473</t>
  </si>
  <si>
    <t>Pharmacists</t>
  </si>
  <si>
    <t>a1LDm000000Cb6UMAS</t>
  </si>
  <si>
    <t>IDR-01472</t>
  </si>
  <si>
    <t>Laboratory technicians</t>
  </si>
  <si>
    <t>a1LDm000000Cb6TMAS</t>
  </si>
  <si>
    <t>IDR-01471</t>
  </si>
  <si>
    <t>Nurses and midwives</t>
  </si>
  <si>
    <t>a1LDm000000Cb6SMAS</t>
  </si>
  <si>
    <t>IDR-01470</t>
  </si>
  <si>
    <t>Physicians</t>
  </si>
  <si>
    <t>a1LDm000000Cb6RMAS</t>
  </si>
  <si>
    <t>IDR-01469</t>
  </si>
  <si>
    <t>a1LDm000000Cb6aMAC</t>
  </si>
  <si>
    <t>IDR-01478</t>
  </si>
  <si>
    <t>a1LDm000000Cb6ZMAS</t>
  </si>
  <si>
    <t>IDR-01477</t>
  </si>
  <si>
    <t>a1LDm000000Cb6YMAS</t>
  </si>
  <si>
    <t>IDR-01476</t>
  </si>
  <si>
    <t>a1LDm000000Cb6XMAS</t>
  </si>
  <si>
    <t>IDR-01475</t>
  </si>
  <si>
    <t>a1LDm000000Cb6WMAS</t>
  </si>
  <si>
    <t>IDR-01474</t>
  </si>
  <si>
    <t>a1LDm000000Cb6fMAC</t>
  </si>
  <si>
    <t>IDR-01483</t>
  </si>
  <si>
    <t>a1LDm000000Cb6eMAC</t>
  </si>
  <si>
    <t>IDR-01482</t>
  </si>
  <si>
    <t>CHW attachment</t>
  </si>
  <si>
    <t>CLO/CBO</t>
  </si>
  <si>
    <t>a1LDm000000Cb6dMAC</t>
  </si>
  <si>
    <t>IDR-01481</t>
  </si>
  <si>
    <t>Public sector health facility</t>
  </si>
  <si>
    <t>a1LDm000000Cb6cMAC</t>
  </si>
  <si>
    <t>IDR-01480</t>
  </si>
  <si>
    <t>a1LDm000000Cb6bMAC</t>
  </si>
  <si>
    <t>IDR-01479</t>
  </si>
  <si>
    <t>Level of government</t>
  </si>
  <si>
    <t>Central and sub-national governments</t>
  </si>
  <si>
    <t>a1LDm000000Cb64MAC</t>
  </si>
  <si>
    <t>IDR-01446</t>
  </si>
  <si>
    <t>Central government</t>
  </si>
  <si>
    <t>a1LDm000000Cb63MAC</t>
  </si>
  <si>
    <t>IDR-01445</t>
  </si>
  <si>
    <t>Source of financing</t>
  </si>
  <si>
    <t>External</t>
  </si>
  <si>
    <t>a1LDm000000Cb62MAC</t>
  </si>
  <si>
    <t>IDR-01444</t>
  </si>
  <si>
    <t>Domestic</t>
  </si>
  <si>
    <t>a1LDm000000Cb61MAC</t>
  </si>
  <si>
    <t>IDR-01443</t>
  </si>
  <si>
    <t>a1LDm000000Cb68MAC</t>
  </si>
  <si>
    <t>IDR-01450</t>
  </si>
  <si>
    <t>a1LDm000000Cb67MAC</t>
  </si>
  <si>
    <t>IDR-01449</t>
  </si>
  <si>
    <t>a1LDm000000Cb66MAC</t>
  </si>
  <si>
    <t>IDR-01448</t>
  </si>
  <si>
    <t>a1LDm000000Cb65MAC</t>
  </si>
  <si>
    <t>IDR-01447</t>
  </si>
  <si>
    <t>People living with HIV</t>
  </si>
  <si>
    <t>a1LDm000000Cb6CMAS</t>
  </si>
  <si>
    <t>IDR-01454</t>
  </si>
  <si>
    <t>Scheme type</t>
  </si>
  <si>
    <t>Other financial risk protection schemes</t>
  </si>
  <si>
    <t>a1LDm000000Cb6BMAS</t>
  </si>
  <si>
    <t>IDR-01453</t>
  </si>
  <si>
    <t>Health funds</t>
  </si>
  <si>
    <t>a1LDm000000Cb6AMAS</t>
  </si>
  <si>
    <t>IDR-01452</t>
  </si>
  <si>
    <t>Social health insurance</t>
  </si>
  <si>
    <t>a1LDm000000Cb69MAC</t>
  </si>
  <si>
    <t>IDR-01451</t>
  </si>
  <si>
    <t>a1LDm000000Cb6MMAS</t>
  </si>
  <si>
    <t>IDR-01464</t>
  </si>
  <si>
    <t>a1LDm000000Cb6LMAS</t>
  </si>
  <si>
    <t>IDR-01463</t>
  </si>
  <si>
    <t>PWID</t>
  </si>
  <si>
    <t>a1LDm000000Cb6KMAS</t>
  </si>
  <si>
    <t>IDR-01462</t>
  </si>
  <si>
    <t>a1LDm000000Cb6JMAS</t>
  </si>
  <si>
    <t>IDR-01461</t>
  </si>
  <si>
    <t>a1LDm000000Cb6IMAS</t>
  </si>
  <si>
    <t>IDR-01460</t>
  </si>
  <si>
    <t>Malaria</t>
  </si>
  <si>
    <t>a1LDm000000Cb6HMAS</t>
  </si>
  <si>
    <t>IDR-01459</t>
  </si>
  <si>
    <t>TB</t>
  </si>
  <si>
    <t>a1LDm000000Cb6GMAS</t>
  </si>
  <si>
    <t>IDR-01458</t>
  </si>
  <si>
    <t>HIV</t>
  </si>
  <si>
    <t>a1LDm000000Cb6FMAS</t>
  </si>
  <si>
    <t>IDR-01457</t>
  </si>
  <si>
    <t>a1LDm000000Cb6EMAS</t>
  </si>
  <si>
    <t>IDR-01456</t>
  </si>
  <si>
    <t>a1LDm000000Cb6DMAS</t>
  </si>
  <si>
    <t>IDR-01455</t>
  </si>
  <si>
    <t>Level of care</t>
  </si>
  <si>
    <t>a1LDm000000Cb6QMAS</t>
  </si>
  <si>
    <t>IDR-01468</t>
  </si>
  <si>
    <t>a1LDm000000Cb6PMAS</t>
  </si>
  <si>
    <t>IDR-01467</t>
  </si>
  <si>
    <t>a1LDm000000Cb6OMAS</t>
  </si>
  <si>
    <t>IDR-01466</t>
  </si>
  <si>
    <t>a1LDm000000Cb6NMAS</t>
  </si>
  <si>
    <t>IDR-01465</t>
  </si>
  <si>
    <t>Community-led organization type</t>
  </si>
  <si>
    <t>Women-led (all diseases)</t>
  </si>
  <si>
    <t>a1LDm000000Cb5vMAC</t>
  </si>
  <si>
    <t>IDR-01437</t>
  </si>
  <si>
    <t>Organization type</t>
  </si>
  <si>
    <t>Community-led organizations</t>
  </si>
  <si>
    <t>a1LDm000000Cb5uMAC</t>
  </si>
  <si>
    <t>IDR-01436</t>
  </si>
  <si>
    <t>KP-led (HIV)</t>
  </si>
  <si>
    <t>a1LDm000000Cb5tMAC</t>
  </si>
  <si>
    <t>IDR-01435</t>
  </si>
  <si>
    <t>KVP-led (TB)</t>
  </si>
  <si>
    <t>a1LDm000000Cb5sMAC</t>
  </si>
  <si>
    <t>IDR-01434</t>
  </si>
  <si>
    <t>Community-based organizations</t>
  </si>
  <si>
    <t>a1LDm000000Cb5rMAC</t>
  </si>
  <si>
    <t>IDR-01433</t>
  </si>
  <si>
    <t>TB/HIV/malaria</t>
  </si>
  <si>
    <t>a1LDm000000Cb60MAC</t>
  </si>
  <si>
    <t>IDR-01442</t>
  </si>
  <si>
    <t>a1LDm000000Cb5zMAC</t>
  </si>
  <si>
    <t>IDR-01441</t>
  </si>
  <si>
    <t>a1LDm000000Cb5yMAC</t>
  </si>
  <si>
    <t>IDR-01440</t>
  </si>
  <si>
    <t>a1LDm000000Cb5xMAC</t>
  </si>
  <si>
    <t>IDR-01439</t>
  </si>
  <si>
    <t>a1LDm000000Cb5wMAC</t>
  </si>
  <si>
    <t>IDR-01438</t>
  </si>
  <si>
    <t>Notifiable diseases and events</t>
  </si>
  <si>
    <t>a1LDm000000Cb79MAC</t>
  </si>
  <si>
    <t>IDR-01513</t>
  </si>
  <si>
    <t>Health facility</t>
  </si>
  <si>
    <t>Health posts</t>
  </si>
  <si>
    <t>a1LDm000000Cb78MAC</t>
  </si>
  <si>
    <t>IDR-01512</t>
  </si>
  <si>
    <t>a1LDm000000Cb77MAC</t>
  </si>
  <si>
    <t>IDR-01511</t>
  </si>
  <si>
    <t>a1LDm000000Cb76MAC</t>
  </si>
  <si>
    <t>IDR-01510</t>
  </si>
  <si>
    <t>Health centers</t>
  </si>
  <si>
    <t>a1LDm000000Cb75MAC</t>
  </si>
  <si>
    <t>IDR-01509</t>
  </si>
  <si>
    <t>a1LDm000000Cb74MAC</t>
  </si>
  <si>
    <t>IDR-01508</t>
  </si>
  <si>
    <t>Hospitals</t>
  </si>
  <si>
    <t>a1LDm000000Cb73MAC</t>
  </si>
  <si>
    <t>IDR-01507</t>
  </si>
  <si>
    <t>a1LDm000000Cb7EMAS</t>
  </si>
  <si>
    <t>IDR-01518</t>
  </si>
  <si>
    <t>a1LDm000000Cb7DMAS</t>
  </si>
  <si>
    <t>IDR-01517</t>
  </si>
  <si>
    <t>a1LDm000000Cb7CMAS</t>
  </si>
  <si>
    <t>IDR-01516</t>
  </si>
  <si>
    <t>a1LDm000000Cb7BMAS</t>
  </si>
  <si>
    <t>IDR-01515</t>
  </si>
  <si>
    <t>a1LDm000000Cb7AMAS</t>
  </si>
  <si>
    <t>IDR-01514</t>
  </si>
  <si>
    <t>a1LDm000000Cb7IMAS</t>
  </si>
  <si>
    <t>IDR-01522</t>
  </si>
  <si>
    <t>a1LDm000000Cb7HMAS</t>
  </si>
  <si>
    <t>IDR-01521</t>
  </si>
  <si>
    <t>a1LDm000000Cb7GMAS</t>
  </si>
  <si>
    <t>IDR-01520</t>
  </si>
  <si>
    <t>a1LDm000000Cb7FMAS</t>
  </si>
  <si>
    <t>IDR-01519</t>
  </si>
  <si>
    <t>a1LDm000000Cb22MAC</t>
  </si>
  <si>
    <t>IDR-01196</t>
  </si>
  <si>
    <t>a1LDm000000Cb21MAC</t>
  </si>
  <si>
    <t>IDR-01195</t>
  </si>
  <si>
    <t>a1LDm000000Cb20MAC</t>
  </si>
  <si>
    <t>IDR-01194</t>
  </si>
  <si>
    <t>a1LDm000000Cb1zMAC</t>
  </si>
  <si>
    <t>IDR-01193</t>
  </si>
  <si>
    <t>a1LDm000000Cb1yMAC</t>
  </si>
  <si>
    <t>IDR-01192</t>
  </si>
  <si>
    <t>a1LDm000000Cb1xMAC</t>
  </si>
  <si>
    <t>IDR-01191</t>
  </si>
  <si>
    <t>a1LDm000000Cb1wMAC</t>
  </si>
  <si>
    <t>IDR-01190</t>
  </si>
  <si>
    <t>a1LDm000000Cb3BMAS</t>
  </si>
  <si>
    <t>IDR-01267</t>
  </si>
  <si>
    <t>a1LDm000000Cb3AMAS</t>
  </si>
  <si>
    <t>IDR-01266</t>
  </si>
  <si>
    <t>MCI-01620</t>
  </si>
  <si>
    <t>HTS-4 Percentage of HIV-positive results among the total HIV tests performed during the reporting period</t>
  </si>
  <si>
    <t>a1LDm000000Cb3aMAC</t>
  </si>
  <si>
    <t>IDR-01292</t>
  </si>
  <si>
    <t>a1LDm000000Cb3ZMAS</t>
  </si>
  <si>
    <t>IDR-01291</t>
  </si>
  <si>
    <t>a1LDm000000Cb3YMAS</t>
  </si>
  <si>
    <t>IDR-01290</t>
  </si>
  <si>
    <t>a1LDm000000Cb3XMAS</t>
  </si>
  <si>
    <t>IDR-01289</t>
  </si>
  <si>
    <t>a1LDm000000Cb3eMAC</t>
  </si>
  <si>
    <t>IDR-01296</t>
  </si>
  <si>
    <t>a1LDm000000Cb3dMAC</t>
  </si>
  <si>
    <t>IDR-01295</t>
  </si>
  <si>
    <t>a1LDm000000Cb3cMAC</t>
  </si>
  <si>
    <t>IDR-01294</t>
  </si>
  <si>
    <t>a1LDm000000Cb3bMAC</t>
  </si>
  <si>
    <t>IDR-01293</t>
  </si>
  <si>
    <t>a1LDm000000Cb1iMAC</t>
  </si>
  <si>
    <t>IDR-01176</t>
  </si>
  <si>
    <t>a1LDm000000Cb1hMAC</t>
  </si>
  <si>
    <t>IDR-01175</t>
  </si>
  <si>
    <t>a1LDm000000Cb1gMAC</t>
  </si>
  <si>
    <t>IDR-01174</t>
  </si>
  <si>
    <t>a1LDm000000Cb1fMAC</t>
  </si>
  <si>
    <t>IDR-01173</t>
  </si>
  <si>
    <t>a1LDm000000Cb1eMAC</t>
  </si>
  <si>
    <t>IDR-01172</t>
  </si>
  <si>
    <t>Two stars</t>
  </si>
  <si>
    <t>a1LDm000000Cb6hMAC</t>
  </si>
  <si>
    <t>IDR-01485</t>
  </si>
  <si>
    <t>Four stars</t>
  </si>
  <si>
    <t>a1LDm000000Cb6gMAC</t>
  </si>
  <si>
    <t>IDR-01484</t>
  </si>
  <si>
    <t>Other</t>
  </si>
  <si>
    <t>a1LDm000000Cb6lMAC</t>
  </si>
  <si>
    <t>IDR-01489</t>
  </si>
  <si>
    <t>a1LDm000000Cb6kMAC</t>
  </si>
  <si>
    <t>IDR-01488</t>
  </si>
  <si>
    <t>a1LDm000000Cb6jMAC</t>
  </si>
  <si>
    <t>IDR-01487</t>
  </si>
  <si>
    <t>a1LDm000000Cb6iMAC</t>
  </si>
  <si>
    <t>IDR-01486</t>
  </si>
  <si>
    <t>Oxygen administration</t>
  </si>
  <si>
    <t>a1LDm000000Cb6nMAC</t>
  </si>
  <si>
    <t>IDR-01491</t>
  </si>
  <si>
    <t>Measure of blood oxygen saturation (pulse oximeter)</t>
  </si>
  <si>
    <t>a1LDm000000Cb6mMAC</t>
  </si>
  <si>
    <t>IDR-01490</t>
  </si>
  <si>
    <t>a1LDm000000Cb2rMAC</t>
  </si>
  <si>
    <t>IDR-01247</t>
  </si>
  <si>
    <t>a1LDm000000Cb2qMAC</t>
  </si>
  <si>
    <t>IDR-01246</t>
  </si>
  <si>
    <t>a1LDm000000Cb2wMAC</t>
  </si>
  <si>
    <t>IDR-01252</t>
  </si>
  <si>
    <t>a1LDm000000Cb2vMAC</t>
  </si>
  <si>
    <t>IDR-01251</t>
  </si>
  <si>
    <t>a1LDm000000Cb2uMAC</t>
  </si>
  <si>
    <t>IDR-01250</t>
  </si>
  <si>
    <t>a1LDm000000Cb2tMAC</t>
  </si>
  <si>
    <t>IDR-01249</t>
  </si>
  <si>
    <t>a1LDm000000Cb2sMAC</t>
  </si>
  <si>
    <t>IDR-01248</t>
  </si>
  <si>
    <t>a1LDm000000Cb30MAC</t>
  </si>
  <si>
    <t>IDR-01256</t>
  </si>
  <si>
    <t>a1LDm000000Cb2zMAC</t>
  </si>
  <si>
    <t>IDR-01255</t>
  </si>
  <si>
    <t>a1LDm000000Cb2yMAC</t>
  </si>
  <si>
    <t>IDR-01254</t>
  </si>
  <si>
    <t>a1LDm000000Cb2xMAC</t>
  </si>
  <si>
    <t>IDR-01253</t>
  </si>
  <si>
    <t>a1LDm000000Cb33MAC</t>
  </si>
  <si>
    <t>IDR-01259</t>
  </si>
  <si>
    <t>a1LDm000000Cb32MAC</t>
  </si>
  <si>
    <t>IDR-01258</t>
  </si>
  <si>
    <t>a1LDm000000Cb31MAC</t>
  </si>
  <si>
    <t>IDR-01257</t>
  </si>
  <si>
    <t>Impact Disaggregation</t>
  </si>
  <si>
    <t>Impact Disaggregation ID</t>
  </si>
  <si>
    <t>Concatenation</t>
  </si>
  <si>
    <t>Baseline Value</t>
  </si>
  <si>
    <t>[Impact Disaggregation ID]</t>
  </si>
  <si>
    <t>[Impact Indicator ID (Name)]</t>
  </si>
  <si>
    <t>[Baseline Value]</t>
  </si>
  <si>
    <t>[Baseline Year]</t>
  </si>
  <si>
    <t>[Baseline Source]</t>
  </si>
  <si>
    <t>[Comments]</t>
  </si>
  <si>
    <t>[Baseline D#]</t>
  </si>
  <si>
    <t>[Baseline N#]</t>
  </si>
  <si>
    <t>[Baseline %]</t>
  </si>
  <si>
    <t>ID-627405</t>
  </si>
  <si>
    <t>ID-627400</t>
  </si>
  <si>
    <t>ID-627404</t>
  </si>
  <si>
    <t>ID-627399</t>
  </si>
  <si>
    <t>ID-627371</t>
  </si>
  <si>
    <t>ID-627391</t>
  </si>
  <si>
    <t>ID-627406</t>
  </si>
  <si>
    <t>ID-627370</t>
  </si>
  <si>
    <t>ID-627390</t>
  </si>
  <si>
    <t>ID-627401</t>
  </si>
  <si>
    <t>ID-627369</t>
  </si>
  <si>
    <t>ID-627389</t>
  </si>
  <si>
    <t>ID-627398</t>
  </si>
  <si>
    <t>ID-627358</t>
  </si>
  <si>
    <t>ID-627368</t>
  </si>
  <si>
    <t>ID-627378</t>
  </si>
  <si>
    <t>ID-627388</t>
  </si>
  <si>
    <t>ID-627397</t>
  </si>
  <si>
    <t>ID-627357</t>
  </si>
  <si>
    <t>ID-627367</t>
  </si>
  <si>
    <t>ID-627377</t>
  </si>
  <si>
    <t>ID-627387</t>
  </si>
  <si>
    <t>ID-627327</t>
  </si>
  <si>
    <t>ID-627328</t>
  </si>
  <si>
    <t>ID-627329</t>
  </si>
  <si>
    <t>ID-627330</t>
  </si>
  <si>
    <t>ID-627331</t>
  </si>
  <si>
    <t>ID-627332</t>
  </si>
  <si>
    <t>ID-627333</t>
  </si>
  <si>
    <t>ID-627334</t>
  </si>
  <si>
    <t>ID-627335</t>
  </si>
  <si>
    <t>ID-627336</t>
  </si>
  <si>
    <t>ID-627337</t>
  </si>
  <si>
    <t>ID-627338</t>
  </si>
  <si>
    <t>ID-627339</t>
  </si>
  <si>
    <t>ID-627340</t>
  </si>
  <si>
    <t>ID-627341</t>
  </si>
  <si>
    <t>ID-627342</t>
  </si>
  <si>
    <t>ID-627343</t>
  </si>
  <si>
    <t>ID-627344</t>
  </si>
  <si>
    <t>ID-627345</t>
  </si>
  <si>
    <t>ID-627346</t>
  </si>
  <si>
    <t>ID-627347</t>
  </si>
  <si>
    <t>ID-627348</t>
  </si>
  <si>
    <t>ID-627349</t>
  </si>
  <si>
    <t>ID-627350</t>
  </si>
  <si>
    <t>ID-627351</t>
  </si>
  <si>
    <t>ID-627352</t>
  </si>
  <si>
    <t>ID-627353</t>
  </si>
  <si>
    <t>ID-627354</t>
  </si>
  <si>
    <t>ID-627355</t>
  </si>
  <si>
    <t>ID-627356</t>
  </si>
  <si>
    <t>ID-627359</t>
  </si>
  <si>
    <t>ID-627360</t>
  </si>
  <si>
    <t>ID-627361</t>
  </si>
  <si>
    <t>ID-627362</t>
  </si>
  <si>
    <t>ID-627363</t>
  </si>
  <si>
    <t>ID-627364</t>
  </si>
  <si>
    <t>ID-627365</t>
  </si>
  <si>
    <t>ID-627366</t>
  </si>
  <si>
    <t>ID-627372</t>
  </si>
  <si>
    <t>ID-627373</t>
  </si>
  <si>
    <t>ID-627374</t>
  </si>
  <si>
    <t>ID-627375</t>
  </si>
  <si>
    <t>ID-627376</t>
  </si>
  <si>
    <t>ID-627379</t>
  </si>
  <si>
    <t>ID-627380</t>
  </si>
  <si>
    <t>ID-627381</t>
  </si>
  <si>
    <t>ID-627382</t>
  </si>
  <si>
    <t>ID-627383</t>
  </si>
  <si>
    <t>ID-627384</t>
  </si>
  <si>
    <t>ID-627385</t>
  </si>
  <si>
    <t>ID-627386</t>
  </si>
  <si>
    <t>ID-627392</t>
  </si>
  <si>
    <t>ID-627393</t>
  </si>
  <si>
    <t>ID-627394</t>
  </si>
  <si>
    <t>ID-627395</t>
  </si>
  <si>
    <t>ID-627396</t>
  </si>
  <si>
    <t>ID-627402</t>
  </si>
  <si>
    <t>ID-627403</t>
  </si>
  <si>
    <t>ID-627407</t>
  </si>
  <si>
    <t>ID-627408</t>
  </si>
  <si>
    <t>ID-627409</t>
  </si>
  <si>
    <t>ID-627410</t>
  </si>
  <si>
    <t>ID-627411</t>
  </si>
  <si>
    <t>ID-627412</t>
  </si>
  <si>
    <t>ID-627413</t>
  </si>
  <si>
    <t>ID-627414</t>
  </si>
  <si>
    <t>ID-627415</t>
  </si>
  <si>
    <t>ID-627416</t>
  </si>
  <si>
    <t>ID-627417</t>
  </si>
  <si>
    <t>ID-627418</t>
  </si>
  <si>
    <t>ID-627419</t>
  </si>
  <si>
    <t>ID-627420</t>
  </si>
  <si>
    <t>ID-627421</t>
  </si>
  <si>
    <t>ID-627422</t>
  </si>
  <si>
    <t>ID-627423</t>
  </si>
  <si>
    <t>ID-627424</t>
  </si>
  <si>
    <t>ID-627425</t>
  </si>
  <si>
    <t>ID-627426</t>
  </si>
  <si>
    <t>ID-627427</t>
  </si>
  <si>
    <t>ID-627428</t>
  </si>
  <si>
    <t>ID-627429</t>
  </si>
  <si>
    <t>ID-627430</t>
  </si>
  <si>
    <t>ID-627431</t>
  </si>
  <si>
    <t>ID-627432</t>
  </si>
  <si>
    <t>ID-627433</t>
  </si>
  <si>
    <t>ID-627434</t>
  </si>
  <si>
    <t>ID-627435</t>
  </si>
  <si>
    <t>ID-627436</t>
  </si>
  <si>
    <t>ID-627437</t>
  </si>
  <si>
    <t>ID-627438</t>
  </si>
  <si>
    <t>ID-627439</t>
  </si>
  <si>
    <t>ID-627440</t>
  </si>
  <si>
    <t>ID-627441</t>
  </si>
  <si>
    <t>ID-627442</t>
  </si>
  <si>
    <t>ID-627443</t>
  </si>
  <si>
    <t>ID-627444</t>
  </si>
  <si>
    <t>ID-627445</t>
  </si>
  <si>
    <t>ID-627446</t>
  </si>
  <si>
    <t>ID-627447</t>
  </si>
  <si>
    <t>ID-627448</t>
  </si>
  <si>
    <t>ID-627449</t>
  </si>
  <si>
    <t>ID-627450</t>
  </si>
  <si>
    <t>ID-627451</t>
  </si>
  <si>
    <t>ID-627452</t>
  </si>
  <si>
    <t>ID-627453</t>
  </si>
  <si>
    <t>ID-627454</t>
  </si>
  <si>
    <t>ID-627455</t>
  </si>
  <si>
    <t>ID-627456</t>
  </si>
  <si>
    <t>ID-627457</t>
  </si>
  <si>
    <t>ID-627458</t>
  </si>
  <si>
    <t>ID-627459</t>
  </si>
  <si>
    <t>ID-627460</t>
  </si>
  <si>
    <t>ID-627461</t>
  </si>
  <si>
    <t>ID-627462</t>
  </si>
  <si>
    <t>ID-627463</t>
  </si>
  <si>
    <t>ID-627464</t>
  </si>
  <si>
    <t>ID-627465</t>
  </si>
  <si>
    <t>ID-627466</t>
  </si>
  <si>
    <t>ID-627467</t>
  </si>
  <si>
    <t>ID-627468</t>
  </si>
  <si>
    <t>ID-627469</t>
  </si>
  <si>
    <t>ID-627470</t>
  </si>
  <si>
    <t>ID-627471</t>
  </si>
  <si>
    <t>ID-627472</t>
  </si>
  <si>
    <t>ID-627473</t>
  </si>
  <si>
    <t>ID-627474</t>
  </si>
  <si>
    <t>ID-627475</t>
  </si>
  <si>
    <t>ID-627476</t>
  </si>
  <si>
    <t>Outcome Disaggregation</t>
  </si>
  <si>
    <t>Outcome Disaggregation ID</t>
  </si>
  <si>
    <t>[Outcome Disaggregation ID]</t>
  </si>
  <si>
    <t>[Outcome Indicator ID (Name)]</t>
  </si>
  <si>
    <t>ODN-621457</t>
  </si>
  <si>
    <t>ODN-621467</t>
  </si>
  <si>
    <t>ODN-621456</t>
  </si>
  <si>
    <t>ODN-621466</t>
  </si>
  <si>
    <t>ODN-621377</t>
  </si>
  <si>
    <t>ODN-621498</t>
  </si>
  <si>
    <t>ODN-621508</t>
  </si>
  <si>
    <t>ODN-621376</t>
  </si>
  <si>
    <t>ODN-621497</t>
  </si>
  <si>
    <t>ODN-621507</t>
  </si>
  <si>
    <t>ODN-621496</t>
  </si>
  <si>
    <t>ODN-621506</t>
  </si>
  <si>
    <t>ODN-621375</t>
  </si>
  <si>
    <t>ODN-621455</t>
  </si>
  <si>
    <t>ODN-621465</t>
  </si>
  <si>
    <t>ODN-621475</t>
  </si>
  <si>
    <t>ODN-621485</t>
  </si>
  <si>
    <t>ODN-621495</t>
  </si>
  <si>
    <t>ODN-621505</t>
  </si>
  <si>
    <t>ODN-621374</t>
  </si>
  <si>
    <t>ODN-621454</t>
  </si>
  <si>
    <t>ODN-621464</t>
  </si>
  <si>
    <t>ODN-621474</t>
  </si>
  <si>
    <t>ODN-621484</t>
  </si>
  <si>
    <t>ODN-621494</t>
  </si>
  <si>
    <t>ODN-621504</t>
  </si>
  <si>
    <t>ODN-621378</t>
  </si>
  <si>
    <t>ODN-621379</t>
  </si>
  <si>
    <t>ODN-621380</t>
  </si>
  <si>
    <t>ODN-621381</t>
  </si>
  <si>
    <t>ODN-621382</t>
  </si>
  <si>
    <t>ODN-621383</t>
  </si>
  <si>
    <t>ODN-621384</t>
  </si>
  <si>
    <t>ODN-621385</t>
  </si>
  <si>
    <t>ODN-621386</t>
  </si>
  <si>
    <t>ODN-621387</t>
  </si>
  <si>
    <t>ODN-621388</t>
  </si>
  <si>
    <t>ODN-621389</t>
  </si>
  <si>
    <t>ODN-621390</t>
  </si>
  <si>
    <t>ODN-621391</t>
  </si>
  <si>
    <t>ODN-621392</t>
  </si>
  <si>
    <t>ODN-621393</t>
  </si>
  <si>
    <t>ODN-621394</t>
  </si>
  <si>
    <t>ODN-621395</t>
  </si>
  <si>
    <t>ODN-621396</t>
  </si>
  <si>
    <t>ODN-621397</t>
  </si>
  <si>
    <t>ODN-621398</t>
  </si>
  <si>
    <t>ODN-621399</t>
  </si>
  <si>
    <t>ODN-621400</t>
  </si>
  <si>
    <t>ODN-621401</t>
  </si>
  <si>
    <t>ODN-621402</t>
  </si>
  <si>
    <t>ODN-621403</t>
  </si>
  <si>
    <t>ODN-621404</t>
  </si>
  <si>
    <t>ODN-621405</t>
  </si>
  <si>
    <t>ODN-621406</t>
  </si>
  <si>
    <t>ODN-621407</t>
  </si>
  <si>
    <t>ODN-621408</t>
  </si>
  <si>
    <t>ODN-621409</t>
  </si>
  <si>
    <t>ODN-621410</t>
  </si>
  <si>
    <t>ODN-621411</t>
  </si>
  <si>
    <t>ODN-621412</t>
  </si>
  <si>
    <t>ODN-621413</t>
  </si>
  <si>
    <t>ODN-621414</t>
  </si>
  <si>
    <t>ODN-621415</t>
  </si>
  <si>
    <t>ODN-621416</t>
  </si>
  <si>
    <t>ODN-621417</t>
  </si>
  <si>
    <t>ODN-621418</t>
  </si>
  <si>
    <t>ODN-621419</t>
  </si>
  <si>
    <t>ODN-621420</t>
  </si>
  <si>
    <t>ODN-621421</t>
  </si>
  <si>
    <t>ODN-621422</t>
  </si>
  <si>
    <t>ODN-621423</t>
  </si>
  <si>
    <t>ODN-621424</t>
  </si>
  <si>
    <t>ODN-621425</t>
  </si>
  <si>
    <t>ODN-621426</t>
  </si>
  <si>
    <t>ODN-621427</t>
  </si>
  <si>
    <t>ODN-621428</t>
  </si>
  <si>
    <t>ODN-621429</t>
  </si>
  <si>
    <t>ODN-621430</t>
  </si>
  <si>
    <t>ODN-621431</t>
  </si>
  <si>
    <t>ODN-621432</t>
  </si>
  <si>
    <t>ODN-621433</t>
  </si>
  <si>
    <t>ODN-621434</t>
  </si>
  <si>
    <t>ODN-621435</t>
  </si>
  <si>
    <t>ODN-621436</t>
  </si>
  <si>
    <t>ODN-621437</t>
  </si>
  <si>
    <t>ODN-621438</t>
  </si>
  <si>
    <t>ODN-621439</t>
  </si>
  <si>
    <t>ODN-621440</t>
  </si>
  <si>
    <t>ODN-621441</t>
  </si>
  <si>
    <t>ODN-621442</t>
  </si>
  <si>
    <t>ODN-621443</t>
  </si>
  <si>
    <t>ODN-621444</t>
  </si>
  <si>
    <t>ODN-621445</t>
  </si>
  <si>
    <t>ODN-621446</t>
  </si>
  <si>
    <t>ODN-621447</t>
  </si>
  <si>
    <t>ODN-621448</t>
  </si>
  <si>
    <t>ODN-621449</t>
  </si>
  <si>
    <t>ODN-621450</t>
  </si>
  <si>
    <t>ODN-621451</t>
  </si>
  <si>
    <t>ODN-621452</t>
  </si>
  <si>
    <t>ODN-621453</t>
  </si>
  <si>
    <t>ODN-621458</t>
  </si>
  <si>
    <t>ODN-621459</t>
  </si>
  <si>
    <t>ODN-621460</t>
  </si>
  <si>
    <t>ODN-621461</t>
  </si>
  <si>
    <t>ODN-621462</t>
  </si>
  <si>
    <t>ODN-621463</t>
  </si>
  <si>
    <t>ODN-621468</t>
  </si>
  <si>
    <t>ODN-621469</t>
  </si>
  <si>
    <t>ODN-621470</t>
  </si>
  <si>
    <t>ODN-621471</t>
  </si>
  <si>
    <t>ODN-621472</t>
  </si>
  <si>
    <t>ODN-621473</t>
  </si>
  <si>
    <t>ODN-621476</t>
  </si>
  <si>
    <t>ODN-621477</t>
  </si>
  <si>
    <t>ODN-621478</t>
  </si>
  <si>
    <t>ODN-621479</t>
  </si>
  <si>
    <t>ODN-621480</t>
  </si>
  <si>
    <t>ODN-621481</t>
  </si>
  <si>
    <t>ODN-621482</t>
  </si>
  <si>
    <t>ODN-621483</t>
  </si>
  <si>
    <t>ODN-621486</t>
  </si>
  <si>
    <t>ODN-621487</t>
  </si>
  <si>
    <t>ODN-621488</t>
  </si>
  <si>
    <t>ODN-621489</t>
  </si>
  <si>
    <t>ODN-621490</t>
  </si>
  <si>
    <t>ODN-621491</t>
  </si>
  <si>
    <t>ODN-621492</t>
  </si>
  <si>
    <t>ODN-621493</t>
  </si>
  <si>
    <t>ODN-621499</t>
  </si>
  <si>
    <t>ODN-621500</t>
  </si>
  <si>
    <t>ODN-621501</t>
  </si>
  <si>
    <t>ODN-621502</t>
  </si>
  <si>
    <t>ODN-621503</t>
  </si>
  <si>
    <t>ODN-621509</t>
  </si>
  <si>
    <t>ODN-621510</t>
  </si>
  <si>
    <t>ODN-621511</t>
  </si>
  <si>
    <t>ODN-621512</t>
  </si>
  <si>
    <t>ODN-621513</t>
  </si>
  <si>
    <t>ODN-621514</t>
  </si>
  <si>
    <t>ODN-621515</t>
  </si>
  <si>
    <t>ODN-621516</t>
  </si>
  <si>
    <t>ODN-621517</t>
  </si>
  <si>
    <t>ODN-621518</t>
  </si>
  <si>
    <t>ODN-621519</t>
  </si>
  <si>
    <t>ODN-621520</t>
  </si>
  <si>
    <t>ODN-621521</t>
  </si>
  <si>
    <t>ODN-621522</t>
  </si>
  <si>
    <t>ODN-621523</t>
  </si>
  <si>
    <t>Coverage Disaggregation</t>
  </si>
  <si>
    <t>Coverage Disaggregation ID</t>
  </si>
  <si>
    <t>[Coverage Disaggregation ID]</t>
  </si>
  <si>
    <t>[Coverage Indicator (Name)]</t>
  </si>
  <si>
    <t>[Year]</t>
  </si>
  <si>
    <t>CD-1961528</t>
  </si>
  <si>
    <t>CD-1961529</t>
  </si>
  <si>
    <t>CD-1961530</t>
  </si>
  <si>
    <t>CD-1961531</t>
  </si>
  <si>
    <t>CD-1961532</t>
  </si>
  <si>
    <t>CD-1961533</t>
  </si>
  <si>
    <t>CD-1961534</t>
  </si>
  <si>
    <t>CD-1961535</t>
  </si>
  <si>
    <t>CD-1961536</t>
  </si>
  <si>
    <t>CD-1961537</t>
  </si>
  <si>
    <t>CD-1961538</t>
  </si>
  <si>
    <t>CD-1961539</t>
  </si>
  <si>
    <t>CD-1961540</t>
  </si>
  <si>
    <t>CD-1961541</t>
  </si>
  <si>
    <t>CD-1961542</t>
  </si>
  <si>
    <t>CD-1961543</t>
  </si>
  <si>
    <t>CD-1961544</t>
  </si>
  <si>
    <t>CD-1961545</t>
  </si>
  <si>
    <t>CD-1961546</t>
  </si>
  <si>
    <t>CD-1961547</t>
  </si>
  <si>
    <t>CD-1961548</t>
  </si>
  <si>
    <t>CD-1961549</t>
  </si>
  <si>
    <t>CD-1961550</t>
  </si>
  <si>
    <t>CD-1961551</t>
  </si>
  <si>
    <t>CD-1961552</t>
  </si>
  <si>
    <t>CD-1961553</t>
  </si>
  <si>
    <t>CD-1961554</t>
  </si>
  <si>
    <t>CD-1961555</t>
  </si>
  <si>
    <t>CD-1961556</t>
  </si>
  <si>
    <t>CD-1961557</t>
  </si>
  <si>
    <t>CD-1961558</t>
  </si>
  <si>
    <t>CD-1961559</t>
  </si>
  <si>
    <t>CD-1961560</t>
  </si>
  <si>
    <t>CD-1961561</t>
  </si>
  <si>
    <t>CD-1961562</t>
  </si>
  <si>
    <t>CD-1961563</t>
  </si>
  <si>
    <t>CD-1961564</t>
  </si>
  <si>
    <t>CD-1961565</t>
  </si>
  <si>
    <t>CD-1961566</t>
  </si>
  <si>
    <t>CD-1961567</t>
  </si>
  <si>
    <t>CD-1961568</t>
  </si>
  <si>
    <t>CD-1961569</t>
  </si>
  <si>
    <t>CD-1961570</t>
  </si>
  <si>
    <t>CD-1961571</t>
  </si>
  <si>
    <t>CD-1961572</t>
  </si>
  <si>
    <t>CD-1961573</t>
  </si>
  <si>
    <t>CD-1961574</t>
  </si>
  <si>
    <t>CD-1961575</t>
  </si>
  <si>
    <t>CD-1961576</t>
  </si>
  <si>
    <t>CD-1961577</t>
  </si>
  <si>
    <t>CD-1961578</t>
  </si>
  <si>
    <t>CD-1961579</t>
  </si>
  <si>
    <t>CD-1961580</t>
  </si>
  <si>
    <t>CD-1961581</t>
  </si>
  <si>
    <t>CD-1961582</t>
  </si>
  <si>
    <t>CD-1961583</t>
  </si>
  <si>
    <t>CD-1961584</t>
  </si>
  <si>
    <t>CD-1961585</t>
  </si>
  <si>
    <t>CD-1961586</t>
  </si>
  <si>
    <t>CD-1961587</t>
  </si>
  <si>
    <t>CD-1961748</t>
  </si>
  <si>
    <t>CD-1961749</t>
  </si>
  <si>
    <t>CD-1961750</t>
  </si>
  <si>
    <t>CD-1961751</t>
  </si>
  <si>
    <t>CD-1961752</t>
  </si>
  <si>
    <t>CD-1961753</t>
  </si>
  <si>
    <t>CD-1961754</t>
  </si>
  <si>
    <t>CD-1961755</t>
  </si>
  <si>
    <t>CD-1961756</t>
  </si>
  <si>
    <t>CD-1961757</t>
  </si>
  <si>
    <t>CD-1961758</t>
  </si>
  <si>
    <t>CD-1961759</t>
  </si>
  <si>
    <t>CD-1961760</t>
  </si>
  <si>
    <t>CD-1961761</t>
  </si>
  <si>
    <t>CD-1961762</t>
  </si>
  <si>
    <t>CD-1961763</t>
  </si>
  <si>
    <t>CD-1961764</t>
  </si>
  <si>
    <t>CD-1961765</t>
  </si>
  <si>
    <t>CD-1961766</t>
  </si>
  <si>
    <t>CD-1961767</t>
  </si>
  <si>
    <t>CD-1961588</t>
  </si>
  <si>
    <t>CD-1961589</t>
  </si>
  <si>
    <t>CD-1961590</t>
  </si>
  <si>
    <t>CD-1961591</t>
  </si>
  <si>
    <t>CD-1961592</t>
  </si>
  <si>
    <t>CD-1961593</t>
  </si>
  <si>
    <t>CD-1961594</t>
  </si>
  <si>
    <t>CD-1961595</t>
  </si>
  <si>
    <t>CD-1961596</t>
  </si>
  <si>
    <t>CD-1961597</t>
  </si>
  <si>
    <t>CD-1961598</t>
  </si>
  <si>
    <t>CD-1961599</t>
  </si>
  <si>
    <t>CD-1961600</t>
  </si>
  <si>
    <t>CD-1961601</t>
  </si>
  <si>
    <t>CD-1961602</t>
  </si>
  <si>
    <t>CD-1961603</t>
  </si>
  <si>
    <t>CD-1961604</t>
  </si>
  <si>
    <t>CD-1961605</t>
  </si>
  <si>
    <t>CD-1961606</t>
  </si>
  <si>
    <t>CD-1961607</t>
  </si>
  <si>
    <t>CD-1961608</t>
  </si>
  <si>
    <t>CD-1961609</t>
  </si>
  <si>
    <t>CD-1961610</t>
  </si>
  <si>
    <t>CD-1961611</t>
  </si>
  <si>
    <t>CD-1961612</t>
  </si>
  <si>
    <t>CD-1961613</t>
  </si>
  <si>
    <t>CD-1961614</t>
  </si>
  <si>
    <t>CD-1961615</t>
  </si>
  <si>
    <t>CD-1961616</t>
  </si>
  <si>
    <t>CD-1961617</t>
  </si>
  <si>
    <t>CD-1961618</t>
  </si>
  <si>
    <t>CD-1961619</t>
  </si>
  <si>
    <t>CD-1961620</t>
  </si>
  <si>
    <t>CD-1961621</t>
  </si>
  <si>
    <t>CD-1961622</t>
  </si>
  <si>
    <t>CD-1961623</t>
  </si>
  <si>
    <t>CD-1961624</t>
  </si>
  <si>
    <t>CD-1961625</t>
  </si>
  <si>
    <t>CD-1961626</t>
  </si>
  <si>
    <t>CD-1961627</t>
  </si>
  <si>
    <t>CD-1961728</t>
  </si>
  <si>
    <t>CD-1961729</t>
  </si>
  <si>
    <t>CD-1961730</t>
  </si>
  <si>
    <t>CD-1961731</t>
  </si>
  <si>
    <t>CD-1961732</t>
  </si>
  <si>
    <t>CD-1961733</t>
  </si>
  <si>
    <t>CD-1961734</t>
  </si>
  <si>
    <t>CD-1961735</t>
  </si>
  <si>
    <t>CD-1961736</t>
  </si>
  <si>
    <t>CD-1961737</t>
  </si>
  <si>
    <t>CD-1961738</t>
  </si>
  <si>
    <t>CD-1961739</t>
  </si>
  <si>
    <t>CD-1961740</t>
  </si>
  <si>
    <t>CD-1961741</t>
  </si>
  <si>
    <t>CD-1961742</t>
  </si>
  <si>
    <t>CD-1961743</t>
  </si>
  <si>
    <t>CD-1961744</t>
  </si>
  <si>
    <t>CD-1961745</t>
  </si>
  <si>
    <t>CD-1961746</t>
  </si>
  <si>
    <t>CD-1961747</t>
  </si>
  <si>
    <t>CD-1961628</t>
  </si>
  <si>
    <t>CD-1961629</t>
  </si>
  <si>
    <t>CD-1961630</t>
  </si>
  <si>
    <t>CD-1961631</t>
  </si>
  <si>
    <t>CD-1961632</t>
  </si>
  <si>
    <t>CD-1961633</t>
  </si>
  <si>
    <t>CD-1961634</t>
  </si>
  <si>
    <t>CD-1961635</t>
  </si>
  <si>
    <t>CD-1961636</t>
  </si>
  <si>
    <t>CD-1961637</t>
  </si>
  <si>
    <t>CD-1961638</t>
  </si>
  <si>
    <t>CD-1961639</t>
  </si>
  <si>
    <t>CD-1961640</t>
  </si>
  <si>
    <t>CD-1961641</t>
  </si>
  <si>
    <t>CD-1961642</t>
  </si>
  <si>
    <t>CD-1961643</t>
  </si>
  <si>
    <t>CD-1961644</t>
  </si>
  <si>
    <t>CD-1961645</t>
  </si>
  <si>
    <t>CD-1961646</t>
  </si>
  <si>
    <t>CD-1961647</t>
  </si>
  <si>
    <t>CD-1961648</t>
  </si>
  <si>
    <t>CD-1961649</t>
  </si>
  <si>
    <t>CD-1961650</t>
  </si>
  <si>
    <t>CD-1961651</t>
  </si>
  <si>
    <t>CD-1961652</t>
  </si>
  <si>
    <t>CD-1961653</t>
  </si>
  <si>
    <t>CD-1961654</t>
  </si>
  <si>
    <t>CD-1961655</t>
  </si>
  <si>
    <t>CD-1961656</t>
  </si>
  <si>
    <t>CD-1961657</t>
  </si>
  <si>
    <t>CD-1961658</t>
  </si>
  <si>
    <t>CD-1961659</t>
  </si>
  <si>
    <t>CD-1961660</t>
  </si>
  <si>
    <t>CD-1961661</t>
  </si>
  <si>
    <t>CD-1961662</t>
  </si>
  <si>
    <t>CD-1961663</t>
  </si>
  <si>
    <t>CD-1961664</t>
  </si>
  <si>
    <t>CD-1961665</t>
  </si>
  <si>
    <t>CD-1961666</t>
  </si>
  <si>
    <t>CD-1961667</t>
  </si>
  <si>
    <t>CD-1961668</t>
  </si>
  <si>
    <t>CD-1961669</t>
  </si>
  <si>
    <t>CD-1961670</t>
  </si>
  <si>
    <t>CD-1961671</t>
  </si>
  <si>
    <t>CD-1961672</t>
  </si>
  <si>
    <t>CD-1961673</t>
  </si>
  <si>
    <t>CD-1961674</t>
  </si>
  <si>
    <t>CD-1961675</t>
  </si>
  <si>
    <t>CD-1961676</t>
  </si>
  <si>
    <t>CD-1961677</t>
  </si>
  <si>
    <t>CD-1961678</t>
  </si>
  <si>
    <t>CD-1961679</t>
  </si>
  <si>
    <t>CD-1961680</t>
  </si>
  <si>
    <t>CD-1961681</t>
  </si>
  <si>
    <t>CD-1961682</t>
  </si>
  <si>
    <t>CD-1961683</t>
  </si>
  <si>
    <t>CD-1961684</t>
  </si>
  <si>
    <t>CD-1961685</t>
  </si>
  <si>
    <t>CD-1961686</t>
  </si>
  <si>
    <t>CD-1961687</t>
  </si>
  <si>
    <t>CD-1961688</t>
  </si>
  <si>
    <t>CD-1961689</t>
  </si>
  <si>
    <t>CD-1961690</t>
  </si>
  <si>
    <t>CD-1961691</t>
  </si>
  <si>
    <t>CD-1961692</t>
  </si>
  <si>
    <t>CD-1961693</t>
  </si>
  <si>
    <t>CD-1961694</t>
  </si>
  <si>
    <t>CD-1961695</t>
  </si>
  <si>
    <t>CD-1961696</t>
  </si>
  <si>
    <t>CD-1961697</t>
  </si>
  <si>
    <t>CD-1961698</t>
  </si>
  <si>
    <t>CD-1961699</t>
  </si>
  <si>
    <t>CD-1961700</t>
  </si>
  <si>
    <t>CD-1961701</t>
  </si>
  <si>
    <t>CD-1961702</t>
  </si>
  <si>
    <t>CD-1961703</t>
  </si>
  <si>
    <t>CD-1961704</t>
  </si>
  <si>
    <t>CD-1961705</t>
  </si>
  <si>
    <t>CD-1961706</t>
  </si>
  <si>
    <t>CD-1961707</t>
  </si>
  <si>
    <t>CD-1961708</t>
  </si>
  <si>
    <t>CD-1961709</t>
  </si>
  <si>
    <t>CD-1961710</t>
  </si>
  <si>
    <t>CD-1961711</t>
  </si>
  <si>
    <t>CD-1961712</t>
  </si>
  <si>
    <t>CD-1961713</t>
  </si>
  <si>
    <t>CD-1961714</t>
  </si>
  <si>
    <t>CD-1961715</t>
  </si>
  <si>
    <t>CD-1961716</t>
  </si>
  <si>
    <t>CD-1961717</t>
  </si>
  <si>
    <t>CD-1961718</t>
  </si>
  <si>
    <t>CD-1961719</t>
  </si>
  <si>
    <t>CD-1961720</t>
  </si>
  <si>
    <t>CD-1961721</t>
  </si>
  <si>
    <t>CD-1961722</t>
  </si>
  <si>
    <t>CD-1961723</t>
  </si>
  <si>
    <t>CD-1961724</t>
  </si>
  <si>
    <t>CD-1961725</t>
  </si>
  <si>
    <t>CD-1961726</t>
  </si>
  <si>
    <t>CD-1961727</t>
  </si>
  <si>
    <t>CD-2042106</t>
  </si>
  <si>
    <t>CD-2042107</t>
  </si>
  <si>
    <t>CD-2042108</t>
  </si>
  <si>
    <t>CD-2042109</t>
  </si>
  <si>
    <t>CD-2042110</t>
  </si>
  <si>
    <t>CD-2042111</t>
  </si>
  <si>
    <t>CD-2042112</t>
  </si>
  <si>
    <t>CD-2042113</t>
  </si>
  <si>
    <t>CD-2042114</t>
  </si>
  <si>
    <t>CD-2042115</t>
  </si>
  <si>
    <t>CD-2042116</t>
  </si>
  <si>
    <t>CD-2042117</t>
  </si>
  <si>
    <t>CD-2042118</t>
  </si>
  <si>
    <t>CD-2042119</t>
  </si>
  <si>
    <t>CD-2042120</t>
  </si>
  <si>
    <t>CD-1961768</t>
  </si>
  <si>
    <t>CD-1961769</t>
  </si>
  <si>
    <t>CD-1961770</t>
  </si>
  <si>
    <t>CD-1961771</t>
  </si>
  <si>
    <t>CD-1961772</t>
  </si>
  <si>
    <t>CD-1961773</t>
  </si>
  <si>
    <t>CD-1961774</t>
  </si>
  <si>
    <t>CD-1961775</t>
  </si>
  <si>
    <t>CD-1961776</t>
  </si>
  <si>
    <t>CD-1961777</t>
  </si>
  <si>
    <t>CD-1961778</t>
  </si>
  <si>
    <t>CD-1961779</t>
  </si>
  <si>
    <t>CD-1961780</t>
  </si>
  <si>
    <t>CD-1961781</t>
  </si>
  <si>
    <t>CD-1961782</t>
  </si>
  <si>
    <t>CD-1961783</t>
  </si>
  <si>
    <t>CD-1961784</t>
  </si>
  <si>
    <t>CD-1961785</t>
  </si>
  <si>
    <t>CD-1961786</t>
  </si>
  <si>
    <t>CD-1961787</t>
  </si>
  <si>
    <t>CD-1961788</t>
  </si>
  <si>
    <t>CD-1961789</t>
  </si>
  <si>
    <t>CD-1961790</t>
  </si>
  <si>
    <t>CD-1961791</t>
  </si>
  <si>
    <t>CD-1961792</t>
  </si>
  <si>
    <t>CD-1961793</t>
  </si>
  <si>
    <t>CD-1961794</t>
  </si>
  <si>
    <t>CD-1961795</t>
  </si>
  <si>
    <t>CD-1961796</t>
  </si>
  <si>
    <t>CD-1961797</t>
  </si>
  <si>
    <t>CD-1961798</t>
  </si>
  <si>
    <t>CD-1961799</t>
  </si>
  <si>
    <t>CD-1961800</t>
  </si>
  <si>
    <t>CD-1961801</t>
  </si>
  <si>
    <t>CD-1961802</t>
  </si>
  <si>
    <t>CD-1961803</t>
  </si>
  <si>
    <t>CD-1961804</t>
  </si>
  <si>
    <t>CD-1961805</t>
  </si>
  <si>
    <t>CD-1961806</t>
  </si>
  <si>
    <t>CD-1961807</t>
  </si>
  <si>
    <t>CD-1961808</t>
  </si>
  <si>
    <t>CD-1961809</t>
  </si>
  <si>
    <t>CD-1961810</t>
  </si>
  <si>
    <t>CD-1961811</t>
  </si>
  <si>
    <t>CD-1961812</t>
  </si>
  <si>
    <t>CD-1961813</t>
  </si>
  <si>
    <t>CD-1961814</t>
  </si>
  <si>
    <t>CD-1961815</t>
  </si>
  <si>
    <t>CD-1961816</t>
  </si>
  <si>
    <t>CD-1961817</t>
  </si>
  <si>
    <t>CD-1961818</t>
  </si>
  <si>
    <t>CD-1961819</t>
  </si>
  <si>
    <t>CD-1961820</t>
  </si>
  <si>
    <t>CD-1961821</t>
  </si>
  <si>
    <t>CD-1961822</t>
  </si>
  <si>
    <t>CD-1961823</t>
  </si>
  <si>
    <t>CD-1961824</t>
  </si>
  <si>
    <t>CD-1961825</t>
  </si>
  <si>
    <t>CD-1961826</t>
  </si>
  <si>
    <t>CD-1961827</t>
  </si>
  <si>
    <t>CD-1961828</t>
  </si>
  <si>
    <t>CD-1961829</t>
  </si>
  <si>
    <t>CD-1961830</t>
  </si>
  <si>
    <t>CD-1961831</t>
  </si>
  <si>
    <t>CD-1961832</t>
  </si>
  <si>
    <t>CD-1961833</t>
  </si>
  <si>
    <t>CD-1961834</t>
  </si>
  <si>
    <t>CD-1961835</t>
  </si>
  <si>
    <t>CD-1961836</t>
  </si>
  <si>
    <t>CD-1961837</t>
  </si>
  <si>
    <t>CD-1961838</t>
  </si>
  <si>
    <t>CD-1961839</t>
  </si>
  <si>
    <t>CD-1961840</t>
  </si>
  <si>
    <t>CD-1961841</t>
  </si>
  <si>
    <t>CD-1961842</t>
  </si>
  <si>
    <t>CD-1961843</t>
  </si>
  <si>
    <t>CD-1961844</t>
  </si>
  <si>
    <t>CD-1961845</t>
  </si>
  <si>
    <t>CD-1961846</t>
  </si>
  <si>
    <t>CD-1961847</t>
  </si>
  <si>
    <t>CD-1961848</t>
  </si>
  <si>
    <t>CD-1961849</t>
  </si>
  <si>
    <t>CD-1961850</t>
  </si>
  <si>
    <t>CD-1961851</t>
  </si>
  <si>
    <t>CD-1961852</t>
  </si>
  <si>
    <t>CD-1961853</t>
  </si>
  <si>
    <t>CD-1961854</t>
  </si>
  <si>
    <t>CD-1961855</t>
  </si>
  <si>
    <t>CD-1961856</t>
  </si>
  <si>
    <t>CD-1961857</t>
  </si>
  <si>
    <t>CD-1961858</t>
  </si>
  <si>
    <t>CD-1961859</t>
  </si>
  <si>
    <t>CD-1961860</t>
  </si>
  <si>
    <t>CD-1961861</t>
  </si>
  <si>
    <t>CD-1961862</t>
  </si>
  <si>
    <t>CD-1961863</t>
  </si>
  <si>
    <t>CD-1961864</t>
  </si>
  <si>
    <t>CD-1961865</t>
  </si>
  <si>
    <t>CD-1961866</t>
  </si>
  <si>
    <t>CD-1961867</t>
  </si>
  <si>
    <t>CD-1961868</t>
  </si>
  <si>
    <t>CD-1961869</t>
  </si>
  <si>
    <t>CD-1961870</t>
  </si>
  <si>
    <t>CD-1961871</t>
  </si>
  <si>
    <t>CD-1961872</t>
  </si>
  <si>
    <t>CD-1961873</t>
  </si>
  <si>
    <t>CD-1961874</t>
  </si>
  <si>
    <t>CD-1961875</t>
  </si>
  <si>
    <t>CD-1961876</t>
  </si>
  <si>
    <t>CD-1961877</t>
  </si>
  <si>
    <t>CD-1961878</t>
  </si>
  <si>
    <t>CD-1961879</t>
  </si>
  <si>
    <t>CD-1961880</t>
  </si>
  <si>
    <t>CD-1961881</t>
  </si>
  <si>
    <t>CD-1961882</t>
  </si>
  <si>
    <t>CD-1961883</t>
  </si>
  <si>
    <t>CD-1961884</t>
  </si>
  <si>
    <t>CD-1961885</t>
  </si>
  <si>
    <t>CD-1961886</t>
  </si>
  <si>
    <t>CD-1961887</t>
  </si>
  <si>
    <t>CD-1961888</t>
  </si>
  <si>
    <t>CD-1961889</t>
  </si>
  <si>
    <t>CD-1961890</t>
  </si>
  <si>
    <t>CD-1961891</t>
  </si>
  <si>
    <t>CD-1961892</t>
  </si>
  <si>
    <t>CD-1961893</t>
  </si>
  <si>
    <t>CD-1961894</t>
  </si>
  <si>
    <t>CD-1961895</t>
  </si>
  <si>
    <t>CD-1961896</t>
  </si>
  <si>
    <t>CD-1961897</t>
  </si>
  <si>
    <t>CD-1961898</t>
  </si>
  <si>
    <t>CD-1961899</t>
  </si>
  <si>
    <t>CD-1961900</t>
  </si>
  <si>
    <t>CD-1961901</t>
  </si>
  <si>
    <t>CD-1961902</t>
  </si>
  <si>
    <t>CD-1961903</t>
  </si>
  <si>
    <t>CD-1961904</t>
  </si>
  <si>
    <t>CD-1961905</t>
  </si>
  <si>
    <t>CD-1961906</t>
  </si>
  <si>
    <t>CD-1961907</t>
  </si>
  <si>
    <t>CD-1961908</t>
  </si>
  <si>
    <t>CD-1961909</t>
  </si>
  <si>
    <t>CD-1961910</t>
  </si>
  <si>
    <t>CD-1961911</t>
  </si>
  <si>
    <t>CD-1961912</t>
  </si>
  <si>
    <t>CD-1961913</t>
  </si>
  <si>
    <t>CD-1961914</t>
  </si>
  <si>
    <t>CD-1961915</t>
  </si>
  <si>
    <t>CD-1961916</t>
  </si>
  <si>
    <t>CD-1961917</t>
  </si>
  <si>
    <t>CD-1961918</t>
  </si>
  <si>
    <t>CD-1961919</t>
  </si>
  <si>
    <t>CD-1961920</t>
  </si>
  <si>
    <t>CD-1961921</t>
  </si>
  <si>
    <t>CD-1961922</t>
  </si>
  <si>
    <t>CD-1961923</t>
  </si>
  <si>
    <t>CD-1961924</t>
  </si>
  <si>
    <t>CD-1961925</t>
  </si>
  <si>
    <t>CD-1961926</t>
  </si>
  <si>
    <t>CD-1961927</t>
  </si>
  <si>
    <t>CD-1961928</t>
  </si>
  <si>
    <t>CD-1961929</t>
  </si>
  <si>
    <t>CD-1961930</t>
  </si>
  <si>
    <t>CD-1961931</t>
  </si>
  <si>
    <t>CD-1961932</t>
  </si>
  <si>
    <t>CD-1961933</t>
  </si>
  <si>
    <t>CD-1961934</t>
  </si>
  <si>
    <t>CD-1961935</t>
  </si>
  <si>
    <t>CD-1961936</t>
  </si>
  <si>
    <t>CD-1961937</t>
  </si>
  <si>
    <t>CD-1961938</t>
  </si>
  <si>
    <t>CD-1961939</t>
  </si>
  <si>
    <t>CD-1961940</t>
  </si>
  <si>
    <t>CD-1961941</t>
  </si>
  <si>
    <t>CD-1961942</t>
  </si>
  <si>
    <t>CD-1961943</t>
  </si>
  <si>
    <t>CD-1961944</t>
  </si>
  <si>
    <t>CD-1961945</t>
  </si>
  <si>
    <t>CD-1961946</t>
  </si>
  <si>
    <t>CD-1961947</t>
  </si>
  <si>
    <t>CD-1962068</t>
  </si>
  <si>
    <t>CD-1962069</t>
  </si>
  <si>
    <t>CD-1962070</t>
  </si>
  <si>
    <t>CD-1962071</t>
  </si>
  <si>
    <t>CD-1962072</t>
  </si>
  <si>
    <t>CD-1962073</t>
  </si>
  <si>
    <t>CD-1962074</t>
  </si>
  <si>
    <t>CD-1962075</t>
  </si>
  <si>
    <t>CD-1962076</t>
  </si>
  <si>
    <t>CD-1962077</t>
  </si>
  <si>
    <t>CD-1962078</t>
  </si>
  <si>
    <t>CD-1962079</t>
  </si>
  <si>
    <t>CD-1962080</t>
  </si>
  <si>
    <t>CD-1962081</t>
  </si>
  <si>
    <t>CD-1962082</t>
  </si>
  <si>
    <t>CD-1962083</t>
  </si>
  <si>
    <t>CD-1962084</t>
  </si>
  <si>
    <t>CD-1962085</t>
  </si>
  <si>
    <t>CD-1962086</t>
  </si>
  <si>
    <t>CD-1962087</t>
  </si>
  <si>
    <t>CD-1962088</t>
  </si>
  <si>
    <t>CD-1962089</t>
  </si>
  <si>
    <t>CD-1962090</t>
  </si>
  <si>
    <t>CD-1962091</t>
  </si>
  <si>
    <t>CD-1962092</t>
  </si>
  <si>
    <t>CD-1962093</t>
  </si>
  <si>
    <t>CD-1962094</t>
  </si>
  <si>
    <t>CD-1962095</t>
  </si>
  <si>
    <t>CD-1962096</t>
  </si>
  <si>
    <t>CD-1962097</t>
  </si>
  <si>
    <t>CD-1962098</t>
  </si>
  <si>
    <t>CD-1962099</t>
  </si>
  <si>
    <t>CD-1962100</t>
  </si>
  <si>
    <t>CD-1962101</t>
  </si>
  <si>
    <t>CD-1962102</t>
  </si>
  <si>
    <t>CD-1962103</t>
  </si>
  <si>
    <t>CD-1962104</t>
  </si>
  <si>
    <t>CD-1962105</t>
  </si>
  <si>
    <t>CD-1962106</t>
  </si>
  <si>
    <t>CD-1962107</t>
  </si>
  <si>
    <t>CD-1962108</t>
  </si>
  <si>
    <t>CD-1962109</t>
  </si>
  <si>
    <t>CD-1962110</t>
  </si>
  <si>
    <t>CD-1962111</t>
  </si>
  <si>
    <t>CD-1962112</t>
  </si>
  <si>
    <t>CD-1962113</t>
  </si>
  <si>
    <t>CD-1962114</t>
  </si>
  <si>
    <t>CD-1962115</t>
  </si>
  <si>
    <t>CD-1962116</t>
  </si>
  <si>
    <t>CD-1962117</t>
  </si>
  <si>
    <t>CD-1962118</t>
  </si>
  <si>
    <t>CD-1962119</t>
  </si>
  <si>
    <t>CD-1962120</t>
  </si>
  <si>
    <t>CD-1962121</t>
  </si>
  <si>
    <t>CD-1962122</t>
  </si>
  <si>
    <t>CD-1962123</t>
  </si>
  <si>
    <t>CD-1962124</t>
  </si>
  <si>
    <t>CD-1962125</t>
  </si>
  <si>
    <t>CD-1962126</t>
  </si>
  <si>
    <t>CD-1962127</t>
  </si>
  <si>
    <t>CD-1961948</t>
  </si>
  <si>
    <t>CD-1961949</t>
  </si>
  <si>
    <t>CD-1961950</t>
  </si>
  <si>
    <t>CD-1961951</t>
  </si>
  <si>
    <t>CD-1961952</t>
  </si>
  <si>
    <t>CD-1961953</t>
  </si>
  <si>
    <t>CD-1961954</t>
  </si>
  <si>
    <t>CD-1961955</t>
  </si>
  <si>
    <t>CD-1961956</t>
  </si>
  <si>
    <t>CD-1961957</t>
  </si>
  <si>
    <t>CD-1961958</t>
  </si>
  <si>
    <t>CD-1961959</t>
  </si>
  <si>
    <t>CD-1961960</t>
  </si>
  <si>
    <t>CD-1961961</t>
  </si>
  <si>
    <t>CD-1961962</t>
  </si>
  <si>
    <t>CD-1961963</t>
  </si>
  <si>
    <t>CD-1961964</t>
  </si>
  <si>
    <t>CD-1961965</t>
  </si>
  <si>
    <t>CD-1961966</t>
  </si>
  <si>
    <t>CD-1961967</t>
  </si>
  <si>
    <t>CD-1961968</t>
  </si>
  <si>
    <t>CD-1961969</t>
  </si>
  <si>
    <t>CD-1961970</t>
  </si>
  <si>
    <t>CD-1961971</t>
  </si>
  <si>
    <t>CD-1961972</t>
  </si>
  <si>
    <t>CD-1961973</t>
  </si>
  <si>
    <t>CD-1961974</t>
  </si>
  <si>
    <t>CD-1961975</t>
  </si>
  <si>
    <t>CD-1961976</t>
  </si>
  <si>
    <t>CD-1961977</t>
  </si>
  <si>
    <t>CD-1961978</t>
  </si>
  <si>
    <t>CD-1961979</t>
  </si>
  <si>
    <t>CD-1961980</t>
  </si>
  <si>
    <t>CD-1961981</t>
  </si>
  <si>
    <t>CD-1961982</t>
  </si>
  <si>
    <t>CD-1961983</t>
  </si>
  <si>
    <t>CD-1961984</t>
  </si>
  <si>
    <t>CD-1961985</t>
  </si>
  <si>
    <t>CD-1961986</t>
  </si>
  <si>
    <t>CD-1961987</t>
  </si>
  <si>
    <t>CD-1961988</t>
  </si>
  <si>
    <t>CD-1961989</t>
  </si>
  <si>
    <t>CD-1961990</t>
  </si>
  <si>
    <t>CD-1961991</t>
  </si>
  <si>
    <t>CD-1961992</t>
  </si>
  <si>
    <t>CD-1961993</t>
  </si>
  <si>
    <t>CD-1961994</t>
  </si>
  <si>
    <t>CD-1961995</t>
  </si>
  <si>
    <t>CD-1961996</t>
  </si>
  <si>
    <t>CD-1961997</t>
  </si>
  <si>
    <t>CD-1961998</t>
  </si>
  <si>
    <t>CD-1961999</t>
  </si>
  <si>
    <t>CD-1962000</t>
  </si>
  <si>
    <t>CD-1962001</t>
  </si>
  <si>
    <t>CD-1962002</t>
  </si>
  <si>
    <t>CD-1962003</t>
  </si>
  <si>
    <t>CD-1962004</t>
  </si>
  <si>
    <t>CD-1962005</t>
  </si>
  <si>
    <t>CD-1962006</t>
  </si>
  <si>
    <t>CD-1962007</t>
  </si>
  <si>
    <t>CD-1962008</t>
  </si>
  <si>
    <t>CD-1962009</t>
  </si>
  <si>
    <t>CD-1962010</t>
  </si>
  <si>
    <t>CD-1962011</t>
  </si>
  <si>
    <t>CD-1962012</t>
  </si>
  <si>
    <t>CD-1962013</t>
  </si>
  <si>
    <t>CD-1962014</t>
  </si>
  <si>
    <t>CD-1962015</t>
  </si>
  <si>
    <t>CD-1962016</t>
  </si>
  <si>
    <t>CD-1962017</t>
  </si>
  <si>
    <t>CD-1962018</t>
  </si>
  <si>
    <t>CD-1962019</t>
  </si>
  <si>
    <t>CD-1962020</t>
  </si>
  <si>
    <t>CD-1962021</t>
  </si>
  <si>
    <t>CD-1962022</t>
  </si>
  <si>
    <t>CD-1962023</t>
  </si>
  <si>
    <t>CD-1962024</t>
  </si>
  <si>
    <t>CD-1962025</t>
  </si>
  <si>
    <t>CD-1962026</t>
  </si>
  <si>
    <t>CD-1962027</t>
  </si>
  <si>
    <t>CD-1962028</t>
  </si>
  <si>
    <t>CD-1962029</t>
  </si>
  <si>
    <t>CD-1962030</t>
  </si>
  <si>
    <t>CD-1962031</t>
  </si>
  <si>
    <t>CD-1962032</t>
  </si>
  <si>
    <t>CD-1962033</t>
  </si>
  <si>
    <t>CD-1962034</t>
  </si>
  <si>
    <t>CD-1962035</t>
  </si>
  <si>
    <t>CD-1962036</t>
  </si>
  <si>
    <t>CD-1962037</t>
  </si>
  <si>
    <t>CD-1962038</t>
  </si>
  <si>
    <t>CD-1962039</t>
  </si>
  <si>
    <t>CD-1962040</t>
  </si>
  <si>
    <t>CD-1962041</t>
  </si>
  <si>
    <t>CD-1962042</t>
  </si>
  <si>
    <t>CD-1962043</t>
  </si>
  <si>
    <t>CD-1962044</t>
  </si>
  <si>
    <t>CD-1962045</t>
  </si>
  <si>
    <t>CD-1962046</t>
  </si>
  <si>
    <t>CD-1962047</t>
  </si>
  <si>
    <t>CD-1962048</t>
  </si>
  <si>
    <t>CD-1962049</t>
  </si>
  <si>
    <t>CD-1962050</t>
  </si>
  <si>
    <t>CD-1962051</t>
  </si>
  <si>
    <t>CD-1962052</t>
  </si>
  <si>
    <t>CD-1962053</t>
  </si>
  <si>
    <t>CD-1962054</t>
  </si>
  <si>
    <t>CD-1962055</t>
  </si>
  <si>
    <t>CD-1962056</t>
  </si>
  <si>
    <t>CD-1962057</t>
  </si>
  <si>
    <t>CD-1962058</t>
  </si>
  <si>
    <t>CD-1962059</t>
  </si>
  <si>
    <t>CD-1962060</t>
  </si>
  <si>
    <t>CD-1962061</t>
  </si>
  <si>
    <t>CD-1962062</t>
  </si>
  <si>
    <t>CD-1962063</t>
  </si>
  <si>
    <t>CD-1962064</t>
  </si>
  <si>
    <t>CD-1962065</t>
  </si>
  <si>
    <t>CD-1962066</t>
  </si>
  <si>
    <t>CD-1962067</t>
  </si>
  <si>
    <t>CD-2042096</t>
  </si>
  <si>
    <t>CD-2042097</t>
  </si>
  <si>
    <t>CD-2042098</t>
  </si>
  <si>
    <t>CD-2042099</t>
  </si>
  <si>
    <t>CD-2042100</t>
  </si>
  <si>
    <t>CD-2042101</t>
  </si>
  <si>
    <t>CD-2042102</t>
  </si>
  <si>
    <t>CD-2042103</t>
  </si>
  <si>
    <t>CD-2042104</t>
  </si>
  <si>
    <t>CD-2042105</t>
  </si>
  <si>
    <t>CD-2042121</t>
  </si>
  <si>
    <t>CD-2042122</t>
  </si>
  <si>
    <t>CD-2042123</t>
  </si>
  <si>
    <t>CD-2042124</t>
  </si>
  <si>
    <t>CD-2042125</t>
  </si>
  <si>
    <t>CD-2042126</t>
  </si>
  <si>
    <t>CD-2042127</t>
  </si>
  <si>
    <t>CD-2042128</t>
  </si>
  <si>
    <t>CD-2042129</t>
  </si>
  <si>
    <t>CD-2042130</t>
  </si>
  <si>
    <t>CD-2042131</t>
  </si>
  <si>
    <t>CD-2042132</t>
  </si>
  <si>
    <t>CD-2042133</t>
  </si>
  <si>
    <t>CD-2042134</t>
  </si>
  <si>
    <t>CD-2042135</t>
  </si>
  <si>
    <t>Quering Account Role for Single Country</t>
  </si>
  <si>
    <t>Account</t>
  </si>
  <si>
    <t>AR-07057</t>
  </si>
  <si>
    <t>0013600000xoEKRAA2</t>
  </si>
  <si>
    <t>a121R00000MSQ3VQAX</t>
  </si>
  <si>
    <t>AR-07058</t>
  </si>
  <si>
    <t>SANRU Asbl</t>
  </si>
  <si>
    <t>0013600000xoEHNAA2</t>
  </si>
  <si>
    <t>a121R00000MSQ3WQAX</t>
  </si>
  <si>
    <t>AR-07075</t>
  </si>
  <si>
    <t>a121R00000MSQ5oQAH</t>
  </si>
  <si>
    <t>AR-07076</t>
  </si>
  <si>
    <t>Stichting Cordaid</t>
  </si>
  <si>
    <t>0013600000xoEGRAA2</t>
  </si>
  <si>
    <t>a121R00000MSQ5pQAH</t>
  </si>
  <si>
    <t>AR-01348</t>
  </si>
  <si>
    <t>a1236000007WBhbAAG</t>
  </si>
  <si>
    <t>AR-01345</t>
  </si>
  <si>
    <t>a1236000007WBhYAAW</t>
  </si>
  <si>
    <t>AR-01342</t>
  </si>
  <si>
    <t>a1236000007WBhVAAW</t>
  </si>
  <si>
    <t>AR-01344</t>
  </si>
  <si>
    <t>a1236000007WBhXAAW</t>
  </si>
  <si>
    <t>AR-01346</t>
  </si>
  <si>
    <t>a1236000007WBhZAAW</t>
  </si>
  <si>
    <t>AR-00975</t>
  </si>
  <si>
    <t>Population Services International</t>
  </si>
  <si>
    <t>0013600000xoEIOAA2</t>
  </si>
  <si>
    <t>a1236000007WBbaAAG</t>
  </si>
  <si>
    <t>AR-01349</t>
  </si>
  <si>
    <t>a1236000007WBhcAAG</t>
  </si>
  <si>
    <t>AR-01343</t>
  </si>
  <si>
    <t>a1236000007WBhWAAW</t>
  </si>
  <si>
    <t>AR-01667</t>
  </si>
  <si>
    <t>Caritas  Congo ASBL</t>
  </si>
  <si>
    <t>0013600000xoEI6AAM</t>
  </si>
  <si>
    <t>a1236000007WBmkAAG</t>
  </si>
  <si>
    <t>AR-01347</t>
  </si>
  <si>
    <t>a1236000007WBhaAAG</t>
  </si>
  <si>
    <t>AR-01660</t>
  </si>
  <si>
    <t>a1236000007WBmdAAG</t>
  </si>
  <si>
    <t>AR-01668</t>
  </si>
  <si>
    <t>a1236000007WBmlAAG</t>
  </si>
  <si>
    <t>AR-03375</t>
  </si>
  <si>
    <t>a1236000007ZR4NAAW</t>
  </si>
  <si>
    <t>AR-03376</t>
  </si>
  <si>
    <t>a1236000007ZR4OAAW</t>
  </si>
  <si>
    <t>AR-03377</t>
  </si>
  <si>
    <t>a1236000007ZR4PAAW</t>
  </si>
  <si>
    <t>AR-03378</t>
  </si>
  <si>
    <t>a1236000007ZR4QAAW</t>
  </si>
  <si>
    <t>AR-04052</t>
  </si>
  <si>
    <t>a1236000009c4IWAAY</t>
  </si>
  <si>
    <t>AR-04053</t>
  </si>
  <si>
    <t>a1236000009c4IbAAI</t>
  </si>
  <si>
    <t>AR-04054</t>
  </si>
  <si>
    <t>a1236000009c4IgAAI</t>
  </si>
  <si>
    <t>AR-04241</t>
  </si>
  <si>
    <t>a1236000009e1SaAAI</t>
  </si>
  <si>
    <t>AR-08626</t>
  </si>
  <si>
    <t>a123p000005ZIJHAA4</t>
  </si>
  <si>
    <t>AR-08627</t>
  </si>
  <si>
    <t>a123p000005ZIJIAA4</t>
  </si>
  <si>
    <t>AR-08714</t>
  </si>
  <si>
    <t>a123p000005ZRADAA4</t>
  </si>
  <si>
    <t>AR-12101</t>
  </si>
  <si>
    <t>a12Dm000000cBqzIAE</t>
  </si>
  <si>
    <t>AR-12110</t>
  </si>
  <si>
    <t>a12Dm000000cC1SIAU</t>
  </si>
  <si>
    <t>Querying Account Role for Group of countries</t>
  </si>
  <si>
    <t>AR-07339</t>
  </si>
  <si>
    <t>Kazakh scientific center of dermatology and infectious diseases of the Ministry of Health of the Republic of Kazakhstan</t>
  </si>
  <si>
    <t>0013600000xoEIZAA2</t>
  </si>
  <si>
    <t>AR-01446</t>
  </si>
  <si>
    <t>Project HOPE  - the People to People Health Foundation</t>
  </si>
  <si>
    <t>0013600000xoEKBAA2</t>
  </si>
  <si>
    <t>AR-01444</t>
  </si>
  <si>
    <t>RSE on REU “National Scientific Center of Phthisiopulmonology of the Republic of  Kazakhstan” of the Ministry of Health of the Republic of  Kazakhstan</t>
  </si>
  <si>
    <t>0013600000xoEFqAAM</t>
  </si>
  <si>
    <t>AR-01445</t>
  </si>
  <si>
    <t>AR-02572</t>
  </si>
  <si>
    <t>AR-03357</t>
  </si>
  <si>
    <t>AR-06232</t>
  </si>
  <si>
    <t>AR-10770</t>
  </si>
  <si>
    <t>AR-07593</t>
  </si>
  <si>
    <t>United Nations Development Programme</t>
  </si>
  <si>
    <t>0013600000xoEIwAAM</t>
  </si>
  <si>
    <t>AR-01028</t>
  </si>
  <si>
    <t>AR-01029</t>
  </si>
  <si>
    <t>AR-01030</t>
  </si>
  <si>
    <t>AR-01618</t>
  </si>
  <si>
    <t>0013600000xoEGGAA2</t>
  </si>
  <si>
    <t>AR-01027</t>
  </si>
  <si>
    <t>AR-04177</t>
  </si>
  <si>
    <t>AR-08389</t>
  </si>
  <si>
    <t>AR-08148</t>
  </si>
  <si>
    <t>0013600000xoEJ2AAM</t>
  </si>
  <si>
    <t>AR-01617</t>
  </si>
  <si>
    <t>AR-01620</t>
  </si>
  <si>
    <t>Republican Center of Tuberculosis Control - Tajikistan</t>
  </si>
  <si>
    <t>0013600000xoEKeAAM</t>
  </si>
  <si>
    <t>AR-01164</t>
  </si>
  <si>
    <t>AR-01212</t>
  </si>
  <si>
    <t>AR-01619</t>
  </si>
  <si>
    <t>AR-02643</t>
  </si>
  <si>
    <t>AR-02645</t>
  </si>
  <si>
    <t>AR-03114</t>
  </si>
  <si>
    <t>AR-03420</t>
  </si>
  <si>
    <t>AR-03421</t>
  </si>
  <si>
    <t>AR-08713</t>
  </si>
  <si>
    <t>AR-08084</t>
  </si>
  <si>
    <t>0013600000xoEIxAAM</t>
  </si>
  <si>
    <t>AR-01213</t>
  </si>
  <si>
    <t>AR-01166</t>
  </si>
  <si>
    <t>AR-03510</t>
  </si>
  <si>
    <t>AR-07859</t>
  </si>
  <si>
    <t>Republican Center to Fight AIDS</t>
  </si>
  <si>
    <t>0013600000xoEKzAAM</t>
  </si>
  <si>
    <t>AR-02650</t>
  </si>
  <si>
    <t>Republican Center of State Sanitary-Epidemiological Surveillance of the Republic of Uzbekistan</t>
  </si>
  <si>
    <t>0013600000xoEIaAAM</t>
  </si>
  <si>
    <t>AR-01640</t>
  </si>
  <si>
    <t>Republican DOTS Centre  Ministry of Health of the Republic of Uzbekistan</t>
  </si>
  <si>
    <t>0013600000xoEI1AAM</t>
  </si>
  <si>
    <t>AR-01638</t>
  </si>
  <si>
    <t>AR-01170</t>
  </si>
  <si>
    <t>0013600000xoEJ6AAM</t>
  </si>
  <si>
    <t>AR-01580</t>
  </si>
  <si>
    <t>AR-01639</t>
  </si>
  <si>
    <t>AR-04028</t>
  </si>
  <si>
    <t>AR-04033</t>
  </si>
  <si>
    <t>AR-06749</t>
  </si>
  <si>
    <t>Republican Specialized Scientific-Practical Medical Center of Phthisiology and Pulmonology</t>
  </si>
  <si>
    <t>0011R00002AIPnkQAH</t>
  </si>
  <si>
    <t>AR-04031</t>
  </si>
  <si>
    <t>AR-09048</t>
  </si>
  <si>
    <t>AR-09305</t>
  </si>
  <si>
    <t>AR-07674</t>
  </si>
  <si>
    <t>Ministry of Health of Mongolia</t>
  </si>
  <si>
    <t>0013600000xoEIFAA2</t>
  </si>
  <si>
    <t>AR-07675</t>
  </si>
  <si>
    <t>AR-01493</t>
  </si>
  <si>
    <t>AR-01494</t>
  </si>
  <si>
    <t>AR-03429</t>
  </si>
  <si>
    <t>AR-04069</t>
  </si>
  <si>
    <t>AR-08547</t>
  </si>
  <si>
    <t>AR-06921</t>
  </si>
  <si>
    <t>Ministry of Health of the Lao People's Democratic Republic</t>
  </si>
  <si>
    <t>0013600000xoEHUAA2</t>
  </si>
  <si>
    <t>AR-01455</t>
  </si>
  <si>
    <t>AR-01452</t>
  </si>
  <si>
    <t>AR-01454</t>
  </si>
  <si>
    <t>AR-01453</t>
  </si>
  <si>
    <t>AR-02574</t>
  </si>
  <si>
    <t>AR-04328</t>
  </si>
  <si>
    <t>AR-03267</t>
  </si>
  <si>
    <t>AR-08550</t>
  </si>
  <si>
    <t>AR-01520</t>
  </si>
  <si>
    <t>Malaysian AIDS Council</t>
  </si>
  <si>
    <t>0013600000xoEFcAAM</t>
  </si>
  <si>
    <t>AR-05118</t>
  </si>
  <si>
    <t>AR-05119</t>
  </si>
  <si>
    <t>AR-10743</t>
  </si>
  <si>
    <t>AR-07764</t>
  </si>
  <si>
    <t>Ministry of Health of the Democratic Republic of Timor-Leste</t>
  </si>
  <si>
    <t>0013600000xoEIeAAM</t>
  </si>
  <si>
    <t>AR-07773</t>
  </si>
  <si>
    <t>AR-07782</t>
  </si>
  <si>
    <t>AR-01621</t>
  </si>
  <si>
    <t>AR-01623</t>
  </si>
  <si>
    <t>AR-01622</t>
  </si>
  <si>
    <t>AR-03033</t>
  </si>
  <si>
    <t>AR-03078</t>
  </si>
  <si>
    <t>AR-07922</t>
  </si>
  <si>
    <t>Ministry of Health of the Royal Government of Bhutan</t>
  </si>
  <si>
    <t>0013600000xoEHnAAM</t>
  </si>
  <si>
    <t>AR-08304</t>
  </si>
  <si>
    <t>AR-01315</t>
  </si>
  <si>
    <t>AR-01316</t>
  </si>
  <si>
    <t>AR-01317</t>
  </si>
  <si>
    <t>AR-04421</t>
  </si>
  <si>
    <t>AR-04430</t>
  </si>
  <si>
    <t>AR-04439</t>
  </si>
  <si>
    <t>AR-09071</t>
  </si>
  <si>
    <t>AR-01277</t>
  </si>
  <si>
    <t>Ministry of Health of the Republic of Armenia</t>
  </si>
  <si>
    <t>0013600000xoEHJAA2</t>
  </si>
  <si>
    <t>AR-01275</t>
  </si>
  <si>
    <t>Mission East</t>
  </si>
  <si>
    <t>0013600000xoEKiAAM</t>
  </si>
  <si>
    <t>AR-01276</t>
  </si>
  <si>
    <t>AR-01278</t>
  </si>
  <si>
    <t>AR-05283</t>
  </si>
  <si>
    <t>AR-06064</t>
  </si>
  <si>
    <t>AR-06162</t>
  </si>
  <si>
    <t>AR-06165</t>
  </si>
  <si>
    <t>AR-08932</t>
  </si>
  <si>
    <t>AR-07647</t>
  </si>
  <si>
    <t>Ministry of Health of the Republic of Azerbaijan</t>
  </si>
  <si>
    <t>0013600000xoEHXAA2</t>
  </si>
  <si>
    <t>AR-01279</t>
  </si>
  <si>
    <t>AR-01280</t>
  </si>
  <si>
    <t>AR-01282</t>
  </si>
  <si>
    <t>AR-01283</t>
  </si>
  <si>
    <t>Main Medical Department of the Ministry of Justice of the Republic of Azerbaijan</t>
  </si>
  <si>
    <t>0013600000xoEF5AAM</t>
  </si>
  <si>
    <t>AR-01281</t>
  </si>
  <si>
    <t>AR-04132</t>
  </si>
  <si>
    <t>AR-04141</t>
  </si>
  <si>
    <t>AR-08561</t>
  </si>
  <si>
    <t>AR-06752</t>
  </si>
  <si>
    <t>National Center For Disease Control and Public Health</t>
  </si>
  <si>
    <t>0013600000xoEJJAA2</t>
  </si>
  <si>
    <t>AR-06673</t>
  </si>
  <si>
    <t>AR-01391</t>
  </si>
  <si>
    <t>AR-01390</t>
  </si>
  <si>
    <t>AR-09055</t>
  </si>
  <si>
    <t>AR-10960</t>
  </si>
  <si>
    <t>AR-01309</t>
  </si>
  <si>
    <t>Republican Scientific and Practical Center for Medical Technologies, Informatization, Administration and Management of Health</t>
  </si>
  <si>
    <t>0013600000xoEKjAAM</t>
  </si>
  <si>
    <t>AR-01310</t>
  </si>
  <si>
    <t>AR-00961</t>
  </si>
  <si>
    <t>0013600000xoEIoAAM</t>
  </si>
  <si>
    <t>AR-00960</t>
  </si>
  <si>
    <t>AR-06035</t>
  </si>
  <si>
    <t>AR-06036</t>
  </si>
  <si>
    <t>AR-06166</t>
  </si>
  <si>
    <t>AR-06210</t>
  </si>
  <si>
    <t>AR-08538</t>
  </si>
  <si>
    <t>AR-10983</t>
  </si>
  <si>
    <t>AR-10996</t>
  </si>
  <si>
    <t>AR-07620</t>
  </si>
  <si>
    <t>Public Institution - Coordination, Implementation and Monitoring Unit of the Health  System Projects</t>
  </si>
  <si>
    <t>0013600000xoEHCAA2</t>
  </si>
  <si>
    <t>AR-01478</t>
  </si>
  <si>
    <t>AR-01477</t>
  </si>
  <si>
    <t>AR-01497</t>
  </si>
  <si>
    <t>Center for Health Policies and Studies</t>
  </si>
  <si>
    <t>0013600000xoEGDAA2</t>
  </si>
  <si>
    <t>AR-01496</t>
  </si>
  <si>
    <t>AR-01495</t>
  </si>
  <si>
    <t>AR-03990</t>
  </si>
  <si>
    <t>AR-03991</t>
  </si>
  <si>
    <t>AR-04018</t>
  </si>
  <si>
    <t>AR-04019</t>
  </si>
  <si>
    <t>AR-04474</t>
  </si>
  <si>
    <t>AR-07746</t>
  </si>
  <si>
    <t>State Institution "Public Health Center of the Ministry of Health of Ukraine"</t>
  </si>
  <si>
    <t>0013600000xoEHhAAM</t>
  </si>
  <si>
    <t>AR-07747</t>
  </si>
  <si>
    <t>Charitable Organization "All-Ukrainian Network of People Living with HIV/AIDS"</t>
  </si>
  <si>
    <t>0013600000xoEFOAA2</t>
  </si>
  <si>
    <t>AR-07748</t>
  </si>
  <si>
    <t>International Charitable Foundation “Alliance for Public Health”</t>
  </si>
  <si>
    <t>0013600000xoEHGAA2</t>
  </si>
  <si>
    <t>AR-01216</t>
  </si>
  <si>
    <t>United Nations Children's Fund</t>
  </si>
  <si>
    <t>0013600000xoEHWAA2</t>
  </si>
  <si>
    <t>AR-01636</t>
  </si>
  <si>
    <t>AR-01637</t>
  </si>
  <si>
    <t>AR-01634</t>
  </si>
  <si>
    <t>AR-01633</t>
  </si>
  <si>
    <t>AR-01635</t>
  </si>
  <si>
    <t>AR-01631</t>
  </si>
  <si>
    <t>AR-01632</t>
  </si>
  <si>
    <t>AR-03177</t>
  </si>
  <si>
    <t>AR-03178</t>
  </si>
  <si>
    <t>AR-03179</t>
  </si>
  <si>
    <t>AR-10943</t>
  </si>
  <si>
    <t>AR-10944</t>
  </si>
  <si>
    <t>AR-07728</t>
  </si>
  <si>
    <t>World Vision (PNG) Trust</t>
  </si>
  <si>
    <t>0013600000xoEKJAA2</t>
  </si>
  <si>
    <t>AR-07737</t>
  </si>
  <si>
    <t>The Rotary Club of Port Moresby Inc.</t>
  </si>
  <si>
    <t>0013600000xoEIbAAM</t>
  </si>
  <si>
    <t>AR-01558</t>
  </si>
  <si>
    <t>Oil Search Foundation</t>
  </si>
  <si>
    <t>0013600000xoEHKAA2</t>
  </si>
  <si>
    <t>AR-00985</t>
  </si>
  <si>
    <t>AR-01559</t>
  </si>
  <si>
    <t>AR-01101</t>
  </si>
  <si>
    <t>AR-06746</t>
  </si>
  <si>
    <t>AR-03105</t>
  </si>
  <si>
    <t>AR-03106</t>
  </si>
  <si>
    <t>AR-04097</t>
  </si>
  <si>
    <t>AR-04469</t>
  </si>
  <si>
    <t>AR-07475</t>
  </si>
  <si>
    <t>0013600000xoEIuAAM</t>
  </si>
  <si>
    <t>AR-09355</t>
  </si>
  <si>
    <t>AR-09356</t>
  </si>
  <si>
    <t>0013p000026yQ7oAAE</t>
  </si>
  <si>
    <t>AR-01141</t>
  </si>
  <si>
    <t>AR-01144</t>
  </si>
  <si>
    <t>AR-00981</t>
  </si>
  <si>
    <t>AR-01140</t>
  </si>
  <si>
    <t>AR-01145</t>
  </si>
  <si>
    <t>AR-01142</t>
  </si>
  <si>
    <t>AR-01143</t>
  </si>
  <si>
    <t>AR-04376</t>
  </si>
  <si>
    <t>AR-04401</t>
  </si>
  <si>
    <t>AR-04402</t>
  </si>
  <si>
    <t>AR-04410</t>
  </si>
  <si>
    <t>AR-08529</t>
  </si>
  <si>
    <t>AR-08775</t>
  </si>
  <si>
    <t>AR-09387</t>
  </si>
  <si>
    <t>AR-11605</t>
  </si>
  <si>
    <t>AR-11632</t>
  </si>
  <si>
    <t>AR-08030</t>
  </si>
  <si>
    <t>0013600000xoEJAAA2</t>
  </si>
  <si>
    <t>AR-00999</t>
  </si>
  <si>
    <t>AR-00998</t>
  </si>
  <si>
    <t>AR-01001</t>
  </si>
  <si>
    <t>AR-01000</t>
  </si>
  <si>
    <t>AR-03918</t>
  </si>
  <si>
    <t>AR-03919</t>
  </si>
  <si>
    <t>AR-03927</t>
  </si>
  <si>
    <t>AR-03928</t>
  </si>
  <si>
    <t>AR-08883</t>
  </si>
  <si>
    <t>AR-06767</t>
  </si>
  <si>
    <t>0011R00002FW6goQAD</t>
  </si>
  <si>
    <t>AR-06768</t>
  </si>
  <si>
    <t>AR-08194</t>
  </si>
  <si>
    <t>Federal Ministry of Health of the Federal Democratic Republic of Ethiopia</t>
  </si>
  <si>
    <t>0013600000xoEHiAAM</t>
  </si>
  <si>
    <t>AR-08195</t>
  </si>
  <si>
    <t>HIV/AIDS Prevention and Control Office</t>
  </si>
  <si>
    <t>0013600000xoEHsAAM</t>
  </si>
  <si>
    <t>AR-01385</t>
  </si>
  <si>
    <t>AR-01383</t>
  </si>
  <si>
    <t>AR-01386</t>
  </si>
  <si>
    <t>AR-01382</t>
  </si>
  <si>
    <t>AR-01381</t>
  </si>
  <si>
    <t>AR-01384</t>
  </si>
  <si>
    <t>AR-01387</t>
  </si>
  <si>
    <t>AR-03168</t>
  </si>
  <si>
    <t>AR-03972</t>
  </si>
  <si>
    <t>AR-04119</t>
  </si>
  <si>
    <t>AR-04120</t>
  </si>
  <si>
    <t>AR-08490</t>
  </si>
  <si>
    <t>AR-08617</t>
  </si>
  <si>
    <t>AR-01449</t>
  </si>
  <si>
    <t>Amref Health Africa</t>
  </si>
  <si>
    <t>0013600000xoEFLAA2</t>
  </si>
  <si>
    <t>AR-01242</t>
  </si>
  <si>
    <t>National Treasury of the Republic of Kenya</t>
  </si>
  <si>
    <t>0013600000xoEHxAAM</t>
  </si>
  <si>
    <t>AR-01447</t>
  </si>
  <si>
    <t>Kenya Red Cross Society</t>
  </si>
  <si>
    <t>0013600000xoEGgAAM</t>
  </si>
  <si>
    <t>AR-01240</t>
  </si>
  <si>
    <t>AR-01448</t>
  </si>
  <si>
    <t>AR-01244</t>
  </si>
  <si>
    <t>AR-03537</t>
  </si>
  <si>
    <t>AR-03538</t>
  </si>
  <si>
    <t>AR-04196</t>
  </si>
  <si>
    <t>AR-04197</t>
  </si>
  <si>
    <t>AR-04198</t>
  </si>
  <si>
    <t>AR-08454</t>
  </si>
  <si>
    <t>AR-08455</t>
  </si>
  <si>
    <t>AR-08456</t>
  </si>
  <si>
    <t>AR-08463</t>
  </si>
  <si>
    <t>AR-08464</t>
  </si>
  <si>
    <t>AR-07166</t>
  </si>
  <si>
    <t>World Vision International</t>
  </si>
  <si>
    <t>0013600000xoEIgAAM</t>
  </si>
  <si>
    <t>AR-07611</t>
  </si>
  <si>
    <t>AR-07701</t>
  </si>
  <si>
    <t>AR-01133</t>
  </si>
  <si>
    <t>AR-01135</t>
  </si>
  <si>
    <t>AR-01136</t>
  </si>
  <si>
    <t>AR-01130</t>
  </si>
  <si>
    <t>AR-01131</t>
  </si>
  <si>
    <t>AR-03204</t>
  </si>
  <si>
    <t>AR-03222</t>
  </si>
  <si>
    <t>AR-04067</t>
  </si>
  <si>
    <t>AR-12165</t>
  </si>
  <si>
    <t>AR-06903</t>
  </si>
  <si>
    <t>Ministry of Finance, Planning and Economic Development of the Republic of Uganda</t>
  </si>
  <si>
    <t>0013600000xoEI0AAM</t>
  </si>
  <si>
    <t>AR-06904</t>
  </si>
  <si>
    <t>The AIDS Support Organisation (Uganda) Limited</t>
  </si>
  <si>
    <t>0013600000xoEGeAAM</t>
  </si>
  <si>
    <t>AR-06905</t>
  </si>
  <si>
    <t>AR-06906</t>
  </si>
  <si>
    <t>AR-06912</t>
  </si>
  <si>
    <t>AR-06913</t>
  </si>
  <si>
    <t>AR-01255</t>
  </si>
  <si>
    <t>AR-01257</t>
  </si>
  <si>
    <t>AR-01263</t>
  </si>
  <si>
    <t>AR-01629</t>
  </si>
  <si>
    <t>AR-01267</t>
  </si>
  <si>
    <t>AR-01628</t>
  </si>
  <si>
    <t>AR-01265</t>
  </si>
  <si>
    <t>AR-01630</t>
  </si>
  <si>
    <t>AR-01261</t>
  </si>
  <si>
    <t>AR-01259</t>
  </si>
  <si>
    <t>AR-03294</t>
  </si>
  <si>
    <t>AR-03295</t>
  </si>
  <si>
    <t>AR-03465</t>
  </si>
  <si>
    <t>AR-03466</t>
  </si>
  <si>
    <t>AR-11398</t>
  </si>
  <si>
    <t>AR-11399</t>
  </si>
  <si>
    <t>AR-01119</t>
  </si>
  <si>
    <t>0013600000xoEIyAAM</t>
  </si>
  <si>
    <t>AR-01123</t>
  </si>
  <si>
    <t>AR-01122</t>
  </si>
  <si>
    <t>AR-01121</t>
  </si>
  <si>
    <t>AR-01585</t>
  </si>
  <si>
    <t>Federal Ministry of Health of the Republic of Sudan</t>
  </si>
  <si>
    <t>0013600000xoEKVAA2</t>
  </si>
  <si>
    <t>AR-01120</t>
  </si>
  <si>
    <t>AR-01124</t>
  </si>
  <si>
    <t>AR-02641</t>
  </si>
  <si>
    <t>AR-04398</t>
  </si>
  <si>
    <t>AR-04399</t>
  </si>
  <si>
    <t>AR-04522</t>
  </si>
  <si>
    <t>AR-08369</t>
  </si>
  <si>
    <t>AR-08370</t>
  </si>
  <si>
    <t>AR-06680</t>
  </si>
  <si>
    <t>Conseil National de Lutte contre le VIH/SIDA, la Tuberculose, le Paludisme, les Hépatites, les Infections sexuellement transmissibles et les Epidémies</t>
  </si>
  <si>
    <t>0013600001xf7DgAAI</t>
  </si>
  <si>
    <t>AR-07994</t>
  </si>
  <si>
    <t>Programme santé de lutte contre le Sida</t>
  </si>
  <si>
    <t>0013600000xoEGoAAM</t>
  </si>
  <si>
    <t>AR-07995</t>
  </si>
  <si>
    <t>Plan International, Inc.</t>
  </si>
  <si>
    <t>0013600000xoEHAAA2</t>
  </si>
  <si>
    <t>AR-08003</t>
  </si>
  <si>
    <t>Programme National de Lutte contre le Paludisme de la République du Bénin</t>
  </si>
  <si>
    <t>0013600000xoEKkAAM</t>
  </si>
  <si>
    <t>AR-08012</t>
  </si>
  <si>
    <t>National Tuberculosis Programme of the Republic of Benin</t>
  </si>
  <si>
    <t>0013600000xoEF9AAM</t>
  </si>
  <si>
    <t>AR-08204</t>
  </si>
  <si>
    <t>AR-08205</t>
  </si>
  <si>
    <t>AR-01295</t>
  </si>
  <si>
    <t>AR-01294</t>
  </si>
  <si>
    <t>Africare</t>
  </si>
  <si>
    <t>0013600000xoEFKAA2</t>
  </si>
  <si>
    <t>AR-00952</t>
  </si>
  <si>
    <t>Catholic Relief Services - United States Conference of Catholic Bishops</t>
  </si>
  <si>
    <t>0013600000xoEG6AAM</t>
  </si>
  <si>
    <t>AR-01298</t>
  </si>
  <si>
    <t>AR-00953</t>
  </si>
  <si>
    <t>AR-01297</t>
  </si>
  <si>
    <t>Health System Performance Program</t>
  </si>
  <si>
    <t>0013600000xoEJNAA2</t>
  </si>
  <si>
    <t>AR-01296</t>
  </si>
  <si>
    <t>AR-04030</t>
  </si>
  <si>
    <t>AR-04244</t>
  </si>
  <si>
    <t>AR-04050</t>
  </si>
  <si>
    <t>AR-04243</t>
  </si>
  <si>
    <t>AR-06638</t>
  </si>
  <si>
    <t>AR-06639</t>
  </si>
  <si>
    <t>5e6872ac-0f9e-4780-9624-dc103a091530</t>
  </si>
  <si>
    <t xml:space="preserve">     </t>
  </si>
  <si>
    <t>PickListValue</t>
  </si>
  <si>
    <t>PickListKey</t>
  </si>
  <si>
    <t>AIM_Reporting_Period__c.AIM_Report_Period_Category__c</t>
  </si>
  <si>
    <t>AIM_Coverage_Indicator__c.AIM_Geographic_Coverage__c</t>
  </si>
  <si>
    <t>AIM_Coverage_Indicator__c.AIM_Rating_Cumulation_Type__c</t>
  </si>
  <si>
    <t>AIM_Coverage_Indicator__c.AIM_Year__c</t>
  </si>
  <si>
    <t>AIM_Coverage_Indicator_Targets_Results__c.AIM_Due_for_Reporting__c</t>
  </si>
  <si>
    <t>AIM_Coverage_Indicator_Targets_Results__c.AIM_Mark_if_target_is_TBD__c</t>
  </si>
  <si>
    <t>AIM_Coverage_Disaggregation__c.AIM_Year__c</t>
  </si>
  <si>
    <t>AIM_Impact_Indicator__c.AIM_Baseline_Year__c</t>
  </si>
  <si>
    <t>AIM_Impact_Indicator_Targets_Results__c.AIM_Year_of_Target__c</t>
  </si>
  <si>
    <t>AIM_Impact_Indicator_Targets_Results__c.AIM_Mark_if_target_is_TBD__c</t>
  </si>
  <si>
    <t>AIM_Impact_Disaggregation__c.AIM_Baseline_Year__c</t>
  </si>
  <si>
    <t>AIM_Outcome_Indicator__c.AIM_Baseline_Year__c</t>
  </si>
  <si>
    <t>AIM_Outcome_Disaggregation__c.AIM_Baseline_Year__c</t>
  </si>
  <si>
    <t>AIM_Outcome_Indicator_Targets_Result__c.AIM_Year_of_Target__c</t>
  </si>
  <si>
    <t>AIM_Outcome_Indicator_Targets_Result__c.AIM_Mark_if_target_is_TBD__c</t>
  </si>
  <si>
    <t>AIM_Grant_Revision__c.aim_revision_type__c</t>
  </si>
  <si>
    <t>AIM_Impact_Outcome_References__c.AIM_Data_Type_Target__c</t>
  </si>
  <si>
    <t>AIM_Module_Coverage_Interventio_Comp_Ref__c.L1FR_Cumulation_Type__c</t>
  </si>
  <si>
    <t>AIM_Module_Coverage_Interventio_Comp_Ref__c.Coverage_by_Population.L1FR_Cumulation_Type__c</t>
  </si>
  <si>
    <t>AIM_Module_Coverage_Interventio_Comp_Ref__c.Intervention_By_Population.L1FR_Cumulation_Type__c</t>
  </si>
  <si>
    <t>AIM_Module_Coverage_Interventio_Comp_Ref__c.Coverage.L1FR_Cumulation_Type__c</t>
  </si>
  <si>
    <t>AIM_Module_Coverage_Interventio_Comp_Ref__c.Intervention.L1FR_Cumulation_Type__c</t>
  </si>
  <si>
    <t>AIM_Module_Coverage_Interventio_Comp_Ref__c.Module.L1FR_Cumulation_Type__c</t>
  </si>
  <si>
    <t>AIM_Module_Coverage_Interventio_Comp_Ref__c.Master.L1FR_Cumulation_Type__c</t>
  </si>
  <si>
    <t>AIM_Module_Coverage_Interventio_Comp_Ref__c.Coverage.AIM_Data_Type__c</t>
  </si>
  <si>
    <t>AIM_Module_Coverage_Interventio_Comp_Ref__c.Coverage_by_Population.AIM_Data_Type__c</t>
  </si>
  <si>
    <t>AIM_Module_Coverage_Interventio_Comp_Ref__c.Intervention.AIM_Data_Type__c</t>
  </si>
  <si>
    <t>AIM_Module_Coverage_Interventio_Comp_Ref__c.Intervention_By_Population.AIM_Data_Type__c</t>
  </si>
  <si>
    <t>Coverage by Population</t>
  </si>
  <si>
    <t>Coverage_by_Population</t>
  </si>
  <si>
    <t>Implementation</t>
  </si>
  <si>
    <t>National</t>
  </si>
  <si>
    <t>N-Non-cumulative</t>
  </si>
  <si>
    <t>2002</t>
  </si>
  <si>
    <t>End-Date Revision</t>
  </si>
  <si>
    <t>Number</t>
  </si>
  <si>
    <t>Intervention By Population</t>
  </si>
  <si>
    <t>Intervention_By_Population</t>
  </si>
  <si>
    <t>Subnational</t>
  </si>
  <si>
    <t>N-Non -cumulative (other)</t>
  </si>
  <si>
    <t>2003</t>
  </si>
  <si>
    <t>Additional Funding</t>
  </si>
  <si>
    <t>Percent</t>
  </si>
  <si>
    <t>N-Non -cumulative (special)</t>
  </si>
  <si>
    <t>2004</t>
  </si>
  <si>
    <t>Program revision / Budget revision</t>
  </si>
  <si>
    <t>Number and Percent</t>
  </si>
  <si>
    <t>2005</t>
  </si>
  <si>
    <t>Admin Revision</t>
  </si>
  <si>
    <t>Numerator and Denominator</t>
  </si>
  <si>
    <t>2006</t>
  </si>
  <si>
    <t>Master</t>
  </si>
  <si>
    <t>2007</t>
  </si>
  <si>
    <t>Y- Cumulative annually</t>
  </si>
  <si>
    <t>2008</t>
  </si>
  <si>
    <t>2009</t>
  </si>
  <si>
    <t>2010</t>
  </si>
  <si>
    <t>2011</t>
  </si>
  <si>
    <t>2012</t>
  </si>
  <si>
    <t>2013</t>
  </si>
  <si>
    <t>2014</t>
  </si>
  <si>
    <t>2015</t>
  </si>
  <si>
    <t>2016</t>
  </si>
  <si>
    <t>2017</t>
  </si>
  <si>
    <t>2018</t>
  </si>
  <si>
    <t>2020</t>
  </si>
  <si>
    <t>2023</t>
  </si>
  <si>
    <t>2027</t>
  </si>
  <si>
    <t>2028</t>
  </si>
  <si>
    <t>2029</t>
  </si>
  <si>
    <t>2030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</si>
</sst>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0_);_(* \(#,##0.0\);_(@_)"/>
    <numFmt numFmtId="165" formatCode="dd\.mm\.yyyy"/>
    <numFmt numFmtId="166" formatCode="_(* #,##0.00_);_(* \(#,##0.00\);_(@_)"/>
    <numFmt numFmtId="167" formatCode="_(* #,##0_);_(* \(#,##0\);_(@_)"/>
    <numFmt numFmtId="168" formatCode="#,##0.00%"/>
    <numFmt numFmtId="169" formatCode="#\'##0.00"/>
    <numFmt numFmtId="170" formatCode="0.000000"/>
    <numFmt numFmtId="171" formatCode="[$-809]dd\-mmm\-yyyy;@"/>
    <numFmt numFmtId="172" formatCode="[$-809]dd\-mmm\-\ yyyy;@"/>
    <numFmt numFmtId="173" formatCode="#,##0.0000"/>
    <numFmt numFmtId="174" formatCode="#,##0.0000_);[Red]\(#,##0.0000\)"/>
    <numFmt numFmtId="175" formatCode="#,##0.0000;[Red]#,##0.0000"/>
    <numFmt numFmtId="176" formatCode="_(* #,##0.0000_);_(* \(#,##0.0000\);_(@_)"/>
  </numFmts>
  <fonts count="45">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2"/>
      <color theme="10"/>
      <name val="Calibri"/>
      <family val="2"/>
      <scheme val="minor"/>
    </font>
    <font>
      <sz val="10"/>
      <name val="Arial"/>
      <family val="2"/>
    </font>
    <font>
      <b/>
      <sz val="10"/>
      <name val="Arial"/>
      <family val="2"/>
    </font>
    <font>
      <sz val="12"/>
      <name val="Calibri"/>
      <family val="2"/>
      <charset val="238"/>
      <scheme val="minor"/>
    </font>
    <font>
      <sz val="12"/>
      <color theme="1"/>
      <name val="Calibri"/>
      <family val="2"/>
      <scheme val="minor"/>
    </font>
    <font>
      <b/>
      <sz val="10"/>
      <name val="Arial"/>
      <family val="2"/>
      <charset val="238"/>
    </font>
    <font>
      <sz val="9"/>
      <color rgb="FF1D1C1D"/>
      <name val="Arial"/>
      <family val="2"/>
      <charset val="238"/>
    </font>
    <font>
      <b/>
      <sz val="12"/>
      <color rgb="FF0A0101"/>
      <name val="Arial"/>
      <family val="2"/>
      <charset val="238"/>
    </font>
    <font>
      <b/>
      <sz val="9"/>
      <color rgb="FF1D1C1D"/>
      <name val="Arial"/>
      <family val="2"/>
      <charset val="238"/>
    </font>
    <font>
      <sz val="10"/>
      <color rgb="FF000000"/>
      <name val="Calibri"/>
      <family val="2"/>
      <scheme val="minor"/>
    </font>
    <font>
      <u/>
      <sz val="10"/>
      <color theme="10"/>
      <name val="Calibri"/>
      <family val="2"/>
      <scheme val="minor"/>
    </font>
    <font>
      <sz val="8"/>
      <name val="Calibri"/>
      <family val="2"/>
      <scheme val="minor"/>
    </font>
    <font>
      <b/>
      <sz val="18"/>
      <color theme="0"/>
      <name val="Arial"/>
      <family val="2"/>
    </font>
    <font>
      <b/>
      <sz val="11"/>
      <color theme="1"/>
      <name val="Arial"/>
      <family val="2"/>
    </font>
    <font>
      <sz val="11"/>
      <color theme="1"/>
      <name val="Arial"/>
      <family val="2"/>
    </font>
    <font>
      <b/>
      <sz val="11"/>
      <color rgb="FF000000"/>
      <name val="Arial"/>
      <family val="2"/>
    </font>
    <font>
      <sz val="11"/>
      <color rgb="FF000000"/>
      <name val="Arial"/>
      <family val="2"/>
    </font>
    <font>
      <sz val="11"/>
      <color rgb="FF212121"/>
      <name val="Arial"/>
      <family val="2"/>
    </font>
    <font>
      <u/>
      <sz val="11"/>
      <color theme="4" tint="-0.249977111117893"/>
      <name val="Arial"/>
      <family val="2"/>
    </font>
    <font>
      <u/>
      <sz val="11"/>
      <color theme="10"/>
      <name val="Arial"/>
      <family val="2"/>
    </font>
    <font>
      <u/>
      <sz val="11"/>
      <color rgb="FF000000"/>
      <name val="Arial"/>
      <family val="2"/>
    </font>
    <font>
      <vertAlign val="superscript"/>
      <sz val="11"/>
      <color rgb="FF000000"/>
      <name val="Arial"/>
      <family val="2"/>
    </font>
    <font>
      <b/>
      <i/>
      <sz val="11"/>
      <color rgb="FF000000"/>
      <name val="Arial"/>
      <family val="2"/>
    </font>
    <font>
      <b/>
      <sz val="11"/>
      <color theme="0"/>
      <name val="Arial"/>
      <family val="2"/>
    </font>
    <font>
      <sz val="11"/>
      <color theme="0"/>
      <name val="Arial"/>
      <family val="2"/>
    </font>
    <font>
      <b/>
      <sz val="11"/>
      <name val="Arial"/>
      <family val="2"/>
    </font>
    <font>
      <b/>
      <sz val="18"/>
      <color theme="0"/>
      <name val="Arial Black"/>
      <family val="2"/>
    </font>
    <font>
      <sz val="18"/>
      <color theme="0"/>
      <name val="Arial Black"/>
      <family val="2"/>
    </font>
    <font>
      <sz val="11"/>
      <name val="Arial"/>
      <family val="2"/>
    </font>
    <font>
      <sz val="11"/>
      <color rgb="FFFF0000"/>
      <name val="Arial"/>
      <family val="2"/>
    </font>
    <font>
      <sz val="11"/>
      <color theme="0" tint="-0.34998626667073579"/>
      <name val="Arial"/>
      <family val="2"/>
    </font>
    <font>
      <b/>
      <sz val="11"/>
      <color theme="8" tint="0.39997558519241921"/>
      <name val="Arial"/>
      <family val="2"/>
    </font>
    <font>
      <b/>
      <sz val="11"/>
      <color theme="0" tint="-0.34998626667073579"/>
      <name val="Arial"/>
      <family val="2"/>
    </font>
    <font>
      <b/>
      <sz val="11"/>
      <color theme="0" tint="-0.499984740745262"/>
      <name val="Arial"/>
      <family val="2"/>
    </font>
    <font>
      <b/>
      <sz val="11"/>
      <color rgb="FFFF0000"/>
      <name val="Arial"/>
      <family val="2"/>
    </font>
    <font>
      <b/>
      <sz val="12"/>
      <color theme="1"/>
      <name val="Arial"/>
      <family val="2"/>
    </font>
  </fonts>
  <fills count="24">
    <fill>
      <patternFill patternType="none"/>
    </fill>
    <fill>
      <patternFill patternType="gray125"/>
    </fill>
    <fill>
      <patternFill patternType="solid">
        <fgColor theme="0"/>
        <bgColor indexed="64"/>
      </patternFill>
    </fill>
    <fill>
      <patternFill patternType="solid">
        <fgColor theme="5" tint="0.59999389629810485"/>
        <bgColor indexed="64"/>
      </patternFill>
    </fill>
    <fill>
      <patternFill patternType="solid">
        <fgColor rgb="FF8DB4E2"/>
        <bgColor indexed="64"/>
      </patternFill>
    </fill>
    <fill>
      <patternFill patternType="solid">
        <fgColor rgb="FFDAEEF3"/>
        <bgColor indexed="64"/>
      </patternFill>
    </fill>
    <fill>
      <patternFill patternType="solid">
        <fgColor theme="4"/>
        <bgColor theme="4"/>
      </patternFill>
    </fill>
    <fill>
      <patternFill patternType="solid">
        <fgColor theme="4" tint="0.59999389629810485"/>
        <bgColor indexed="64"/>
      </patternFill>
    </fill>
    <fill>
      <patternFill patternType="solid">
        <fgColor theme="2"/>
        <bgColor indexed="64"/>
      </patternFill>
    </fill>
    <fill>
      <patternFill patternType="solid">
        <fgColor theme="0" tint="-0.24994659260841701"/>
        <bgColor indexed="64"/>
      </patternFill>
    </fill>
    <fill>
      <patternFill patternType="solid">
        <fgColor theme="4" tint="0.59999389629810485"/>
        <bgColor theme="4" tint="0.59999389629810485"/>
      </patternFill>
    </fill>
    <fill>
      <patternFill patternType="solid">
        <fgColor rgb="FFDAEEF7"/>
        <bgColor indexed="64"/>
      </patternFill>
    </fill>
    <fill>
      <patternFill patternType="solid">
        <fgColor theme="5"/>
        <bgColor indexed="64"/>
      </patternFill>
    </fill>
    <fill>
      <patternFill patternType="solid">
        <fgColor rgb="FFA6A6A6"/>
        <bgColor indexed="64"/>
      </patternFill>
    </fill>
    <fill>
      <patternFill patternType="solid">
        <fgColor rgb="FFE9E9E9"/>
        <bgColor indexed="64"/>
      </patternFill>
    </fill>
    <fill>
      <patternFill patternType="solid">
        <fgColor rgb="FF8294FB"/>
        <bgColor indexed="64"/>
      </patternFill>
    </fill>
    <fill>
      <patternFill patternType="solid">
        <fgColor theme="1"/>
        <bgColor indexed="64"/>
      </patternFill>
    </fill>
    <fill>
      <patternFill patternType="solid">
        <fgColor rgb="FFD9D9D9"/>
        <bgColor indexed="64"/>
      </patternFill>
    </fill>
    <fill>
      <patternFill patternType="solid">
        <fgColor rgb="FFFEF7CF"/>
        <bgColor indexed="64"/>
      </patternFill>
    </fill>
    <fill>
      <patternFill patternType="solid">
        <fgColor rgb="FFFAD90D"/>
        <bgColor indexed="64"/>
      </patternFill>
    </fill>
    <fill>
      <patternFill patternType="solid">
        <fgColor rgb="FFD1A9EE"/>
        <bgColor indexed="64"/>
      </patternFill>
    </fill>
    <fill>
      <patternFill patternType="solid">
        <fgColor rgb="FFD1D3D4"/>
        <bgColor indexed="64"/>
      </patternFill>
    </fill>
    <fill>
      <patternFill patternType="solid">
        <fgColor rgb="FF8294FB"/>
        <bgColor rgb="FF000000"/>
      </patternFill>
    </fill>
    <fill>
      <patternFill patternType="solid">
        <fgColor rgb="FFFFFF00"/>
        <bgColor indexed="64"/>
      </patternFill>
    </fill>
  </fills>
  <borders count="110">
    <border>
      <left/>
      <right/>
      <top/>
      <bottom/>
      <diagonal/>
    </border>
    <border>
      <left style="medium">
        <color auto="1"/>
      </left>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indexed="64"/>
      </top>
      <bottom/>
      <diagonal/>
    </border>
    <border>
      <left style="thin">
        <color indexed="64"/>
      </left>
      <right/>
      <top style="medium">
        <color indexed="64"/>
      </top>
      <bottom style="medium">
        <color indexed="64"/>
      </bottom>
      <diagonal/>
    </border>
    <border>
      <left style="medium">
        <color auto="1"/>
      </left>
      <right/>
      <top style="hair">
        <color rgb="FF00B0F0"/>
      </top>
      <bottom style="medium">
        <color auto="1"/>
      </bottom>
      <diagonal/>
    </border>
    <border>
      <left/>
      <right/>
      <top style="hair">
        <color rgb="FF00B0F0"/>
      </top>
      <bottom style="medium">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hair">
        <color theme="8"/>
      </left>
      <right style="hair">
        <color theme="8"/>
      </right>
      <top style="hair">
        <color theme="8"/>
      </top>
      <bottom style="hair">
        <color theme="8"/>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auto="1"/>
      </left>
      <right style="thin">
        <color indexed="64"/>
      </right>
      <top style="thin">
        <color indexed="64"/>
      </top>
      <bottom/>
      <diagonal/>
    </border>
    <border>
      <left style="medium">
        <color auto="1"/>
      </left>
      <right style="thin">
        <color indexed="64"/>
      </right>
      <top/>
      <bottom style="thin">
        <color indexed="64"/>
      </bottom>
      <diagonal/>
    </border>
    <border>
      <left/>
      <right style="thin">
        <color indexed="64"/>
      </right>
      <top/>
      <bottom style="thin">
        <color indexed="64"/>
      </bottom>
      <diagonal/>
    </border>
    <border>
      <left/>
      <right/>
      <top style="thin">
        <color theme="0"/>
      </top>
      <bottom/>
      <diagonal/>
    </border>
    <border>
      <left/>
      <right/>
      <top/>
      <bottom style="thin">
        <color theme="0"/>
      </bottom>
      <diagonal/>
    </border>
    <border>
      <left style="thin">
        <color rgb="FFFFFFFF"/>
      </left>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diagonalUp="1">
      <left style="thin">
        <color rgb="FFFFFFFF"/>
      </left>
      <right style="thin">
        <color rgb="FFFFFFFF"/>
      </right>
      <top style="thin">
        <color rgb="FFFFFFFF"/>
      </top>
      <bottom style="thin">
        <color rgb="FFFFFFFF"/>
      </bottom>
      <diagonal style="thin">
        <color rgb="FFFFFFFF"/>
      </diagonal>
    </border>
    <border diagonalUp="1">
      <left style="thin">
        <color rgb="FFFFFFFF"/>
      </left>
      <right/>
      <top style="thin">
        <color rgb="FFFFFFFF"/>
      </top>
      <bottom style="thin">
        <color rgb="FFFFFFFF"/>
      </bottom>
      <diagonal style="thin">
        <color rgb="FFFFFFFF"/>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top/>
      <bottom style="thin">
        <color rgb="FFFFFFFF"/>
      </bottom>
      <diagonal/>
    </border>
    <border>
      <left style="hair">
        <color theme="0"/>
      </left>
      <right style="hair">
        <color theme="0"/>
      </right>
      <top style="hair">
        <color theme="0"/>
      </top>
      <bottom style="hair">
        <color theme="0"/>
      </bottom>
      <diagonal/>
    </border>
    <border>
      <left/>
      <right style="hair">
        <color theme="8"/>
      </right>
      <top style="hair">
        <color theme="8"/>
      </top>
      <bottom style="hair">
        <color theme="8"/>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bottom style="hair">
        <color rgb="FF00B0F0"/>
      </bottom>
      <diagonal/>
    </border>
    <border>
      <left style="medium">
        <color indexed="64"/>
      </left>
      <right/>
      <top style="thin">
        <color indexed="64"/>
      </top>
      <bottom style="thin">
        <color indexed="64"/>
      </bottom>
      <diagonal/>
    </border>
    <border>
      <left style="thin">
        <color theme="4"/>
      </left>
      <right/>
      <top style="thin">
        <color theme="4"/>
      </top>
      <bottom/>
      <diagonal/>
    </border>
    <border>
      <left style="thin">
        <color theme="4"/>
      </left>
      <right/>
      <top style="thin">
        <color theme="4"/>
      </top>
      <bottom style="thin">
        <color theme="4"/>
      </bottom>
      <diagonal/>
    </border>
    <border>
      <left style="thin">
        <color theme="4" tint="-0.249977111117893"/>
      </left>
      <right style="thin">
        <color theme="4" tint="-0.249977111117893"/>
      </right>
      <top style="thin">
        <color theme="4" tint="-0.249977111117893"/>
      </top>
      <bottom style="thin">
        <color theme="4" tint="-0.249977111117893"/>
      </bottom>
      <diagonal/>
    </border>
    <border diagonalUp="1">
      <left style="thin">
        <color rgb="FFFFFFFF"/>
      </left>
      <right style="thin">
        <color rgb="FFFFFFFF"/>
      </right>
      <top/>
      <bottom style="thin">
        <color rgb="FFFFFFFF"/>
      </bottom>
      <diagonal style="thin">
        <color rgb="FFFFFFFF"/>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CCCCCC"/>
      </right>
      <top style="thin">
        <color rgb="FFCCCCCC"/>
      </top>
      <bottom/>
      <diagonal/>
    </border>
    <border>
      <left style="thin">
        <color rgb="FFCCCCCC"/>
      </left>
      <right style="thin">
        <color rgb="FFCCCCCC"/>
      </right>
      <top style="thin">
        <color rgb="FFCCCCCC"/>
      </top>
      <bottom/>
      <diagonal/>
    </border>
    <border>
      <left style="thin">
        <color rgb="FFCCCCCC"/>
      </left>
      <right style="thin">
        <color rgb="FF000000"/>
      </right>
      <top style="thin">
        <color rgb="FFCCCCCC"/>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CCCCCC"/>
      </right>
      <top style="thin">
        <color rgb="FFCCCCCC"/>
      </top>
      <bottom/>
      <diagonal/>
    </border>
    <border>
      <left style="thin">
        <color rgb="FF000000"/>
      </left>
      <right style="thin">
        <color rgb="FFCCCCCC"/>
      </right>
      <top/>
      <bottom style="thin">
        <color rgb="FF000000"/>
      </bottom>
      <diagonal/>
    </border>
    <border>
      <left style="thin">
        <color rgb="FFCCCCCC"/>
      </left>
      <right style="thin">
        <color rgb="FFCCCCCC"/>
      </right>
      <top/>
      <bottom style="thin">
        <color rgb="FF000000"/>
      </bottom>
      <diagonal/>
    </border>
    <border>
      <left style="thin">
        <color rgb="FFCCCCCC"/>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CCCCCC"/>
      </left>
      <right style="thin">
        <color rgb="FFCCCCCC"/>
      </right>
      <top/>
      <bottom/>
      <diagonal/>
    </border>
    <border>
      <left style="thin">
        <color rgb="FF000000"/>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top style="thin">
        <color rgb="FFCCCCCC"/>
      </top>
      <bottom/>
      <diagonal/>
    </border>
    <border>
      <left/>
      <right style="thin">
        <color indexed="64"/>
      </right>
      <top style="thin">
        <color rgb="FF000000"/>
      </top>
      <bottom/>
      <diagonal/>
    </border>
    <border>
      <left/>
      <right style="thin">
        <color indexed="64"/>
      </right>
      <top/>
      <bottom/>
      <diagonal/>
    </border>
    <border>
      <left/>
      <right style="thin">
        <color rgb="FFCCCCCC"/>
      </right>
      <top style="thin">
        <color rgb="FFCCCCCC"/>
      </top>
      <bottom style="thin">
        <color rgb="FFCCCCCC"/>
      </bottom>
      <diagonal/>
    </border>
    <border>
      <left/>
      <right style="thin">
        <color indexed="64"/>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top style="thin">
        <color rgb="FF000000"/>
      </top>
      <bottom style="thin">
        <color rgb="FF000000"/>
      </bottom>
      <diagonal/>
    </border>
    <border>
      <left style="thin">
        <color rgb="FF000000"/>
      </left>
      <right style="thin">
        <color rgb="FF000000"/>
      </right>
      <top/>
      <bottom style="thin">
        <color indexed="64"/>
      </bottom>
      <diagonal/>
    </border>
    <border>
      <left style="thin">
        <color rgb="FF000000"/>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rgb="FF000000"/>
      </left>
      <right style="thin">
        <color rgb="FF000000"/>
      </right>
      <top style="thin">
        <color indexed="64"/>
      </top>
      <bottom/>
      <diagonal/>
    </border>
    <border>
      <left style="thin">
        <color rgb="FF000000"/>
      </left>
      <right/>
      <top style="thin">
        <color indexed="64"/>
      </top>
      <bottom/>
      <diagonal/>
    </border>
    <border>
      <left/>
      <right/>
      <top style="thin">
        <color indexed="64"/>
      </top>
      <bottom style="thin">
        <color rgb="FF000000"/>
      </bottom>
      <diagonal/>
    </border>
    <border>
      <left style="thin">
        <color indexed="64"/>
      </left>
      <right/>
      <top style="thin">
        <color rgb="FF000000"/>
      </top>
      <bottom/>
      <diagonal/>
    </border>
    <border>
      <left style="thin">
        <color rgb="FFCCCCCC"/>
      </left>
      <right style="thin">
        <color rgb="FF000000"/>
      </right>
      <top style="thin">
        <color indexed="64"/>
      </top>
      <bottom style="thin">
        <color rgb="FF000000"/>
      </bottom>
      <diagonal/>
    </border>
    <border>
      <left style="thin">
        <color rgb="FF000000"/>
      </left>
      <right/>
      <top style="thin">
        <color indexed="64"/>
      </top>
      <bottom style="thin">
        <color rgb="FF000000"/>
      </bottom>
      <diagonal/>
    </border>
    <border>
      <left/>
      <right style="thin">
        <color indexed="64"/>
      </right>
      <top style="thin">
        <color indexed="64"/>
      </top>
      <bottom style="thin">
        <color rgb="FF000000"/>
      </bottom>
      <diagonal/>
    </border>
    <border>
      <left style="thin">
        <color rgb="FFCCCCCC"/>
      </left>
      <right/>
      <top style="thin">
        <color rgb="FFCCCCCC"/>
      </top>
      <bottom style="thin">
        <color rgb="FF000000"/>
      </bottom>
      <diagonal/>
    </border>
    <border>
      <left style="thin">
        <color rgb="FFCCCCCC"/>
      </left>
      <right/>
      <top style="thin">
        <color rgb="FFCCCCCC"/>
      </top>
      <bottom style="thin">
        <color rgb="FFCCCCCC"/>
      </bottom>
      <diagonal/>
    </border>
    <border>
      <left style="thin">
        <color rgb="FFCCCCCC"/>
      </left>
      <right/>
      <top/>
      <bottom/>
      <diagonal/>
    </border>
    <border diagonalUp="1">
      <left style="thin">
        <color rgb="FFFFFFFF"/>
      </left>
      <right style="thin">
        <color rgb="FFFFFFFF"/>
      </right>
      <top style="thin">
        <color theme="4" tint="-0.249977111117893"/>
      </top>
      <bottom style="medium">
        <color indexed="64"/>
      </bottom>
      <diagonal style="thin">
        <color rgb="FFFFFFFF"/>
      </diagonal>
    </border>
    <border>
      <left style="thin">
        <color indexed="64"/>
      </left>
      <right style="thin">
        <color indexed="64"/>
      </right>
      <top/>
      <bottom/>
      <diagonal/>
    </border>
    <border>
      <left style="thin">
        <color rgb="FF000000"/>
      </left>
      <right style="thin">
        <color rgb="FF000000"/>
      </right>
      <top style="thin">
        <color indexed="64"/>
      </top>
      <bottom style="thin">
        <color rgb="FF000000"/>
      </bottom>
      <diagonal/>
    </border>
    <border>
      <left style="thin">
        <color rgb="FF000000"/>
      </left>
      <right style="thin">
        <color rgb="FFCCCCCC"/>
      </right>
      <top/>
      <bottom/>
      <diagonal/>
    </border>
    <border>
      <left/>
      <right style="medium">
        <color rgb="FF000000"/>
      </right>
      <top/>
      <bottom style="medium">
        <color indexed="64"/>
      </bottom>
      <diagonal/>
    </border>
    <border>
      <left/>
      <right style="medium">
        <color rgb="FF000000"/>
      </right>
      <top/>
      <bottom/>
      <diagonal/>
    </border>
    <border>
      <left/>
      <right style="medium">
        <color rgb="FF000000"/>
      </right>
      <top style="medium">
        <color indexed="64"/>
      </top>
      <bottom style="medium">
        <color indexed="64"/>
      </bottom>
      <diagonal/>
    </border>
    <border>
      <left/>
      <right style="medium">
        <color rgb="FF000000"/>
      </right>
      <top style="medium">
        <color indexed="64"/>
      </top>
      <bottom/>
      <diagonal/>
    </border>
    <border>
      <left/>
      <right style="medium">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s>
  <cellStyleXfs count="147">
    <xf numFmtId="0" fontId="0" fillId="0" borderId="0"/>
    <xf numFmtId="0" fontId="9" fillId="0" borderId="0" applyNumberFormat="0" applyFill="0" applyBorder="0" applyAlignment="0" applyProtection="0"/>
    <xf numFmtId="0" fontId="10" fillId="0" borderId="0"/>
    <xf numFmtId="0" fontId="8" fillId="0" borderId="0"/>
    <xf numFmtId="0" fontId="13" fillId="0" borderId="0"/>
    <xf numFmtId="0" fontId="9" fillId="0" borderId="0" applyNumberFormat="0" applyFill="0" applyBorder="0" applyAlignment="0" applyProtection="0"/>
    <xf numFmtId="0" fontId="7"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8" fillId="0" borderId="0"/>
    <xf numFmtId="0" fontId="19" fillId="0" borderId="0" applyNumberFormat="0" applyFill="0" applyBorder="0" applyAlignment="0" applyProtection="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673">
    <xf numFmtId="0" fontId="0" fillId="0" borderId="0" xfId="0"/>
    <xf numFmtId="0" fontId="10" fillId="0" borderId="0" xfId="2"/>
    <xf numFmtId="0" fontId="11" fillId="0" borderId="0" xfId="2" applyFont="1"/>
    <xf numFmtId="0" fontId="10" fillId="0" borderId="0" xfId="2" quotePrefix="1" applyAlignment="1">
      <alignment horizontal="left"/>
    </xf>
    <xf numFmtId="11" fontId="0" fillId="0" borderId="0" xfId="0" applyNumberFormat="1"/>
    <xf numFmtId="0" fontId="8" fillId="0" borderId="20" xfId="3" applyBorder="1"/>
    <xf numFmtId="0" fontId="8" fillId="0" borderId="20" xfId="3" applyBorder="1" applyAlignment="1">
      <alignment wrapText="1"/>
    </xf>
    <xf numFmtId="0" fontId="8" fillId="0" borderId="20" xfId="3" applyBorder="1" applyAlignment="1">
      <alignment horizontal="center" vertical="center"/>
    </xf>
    <xf numFmtId="14" fontId="8" fillId="0" borderId="20" xfId="3" applyNumberFormat="1" applyBorder="1" applyAlignment="1">
      <alignment horizontal="center" vertical="center"/>
    </xf>
    <xf numFmtId="14" fontId="8" fillId="0" borderId="20" xfId="3" applyNumberFormat="1" applyBorder="1"/>
    <xf numFmtId="17" fontId="12" fillId="0" borderId="20" xfId="0" applyNumberFormat="1" applyFont="1" applyBorder="1" applyAlignment="1">
      <alignment horizontal="center" vertical="center" wrapText="1"/>
    </xf>
    <xf numFmtId="17" fontId="12" fillId="0" borderId="0" xfId="0" applyNumberFormat="1" applyFont="1" applyAlignment="1">
      <alignment horizontal="center" vertical="center" wrapText="1"/>
    </xf>
    <xf numFmtId="14" fontId="0" fillId="0" borderId="0" xfId="0" applyNumberFormat="1"/>
    <xf numFmtId="49" fontId="0" fillId="0" borderId="0" xfId="0" applyNumberFormat="1"/>
    <xf numFmtId="0" fontId="10" fillId="0" borderId="22" xfId="2" applyBorder="1"/>
    <xf numFmtId="49" fontId="10" fillId="0" borderId="22" xfId="2" applyNumberFormat="1" applyBorder="1"/>
    <xf numFmtId="49" fontId="10" fillId="0" borderId="22" xfId="2" quotePrefix="1" applyNumberFormat="1" applyBorder="1"/>
    <xf numFmtId="0" fontId="10" fillId="0" borderId="22" xfId="2" quotePrefix="1" applyBorder="1" applyAlignment="1">
      <alignment horizontal="left"/>
    </xf>
    <xf numFmtId="167" fontId="10" fillId="0" borderId="22" xfId="2" applyNumberFormat="1" applyBorder="1"/>
    <xf numFmtId="0" fontId="0" fillId="0" borderId="0" xfId="0" applyAlignment="1">
      <alignment wrapText="1"/>
    </xf>
    <xf numFmtId="0" fontId="14" fillId="0" borderId="0" xfId="2" applyFont="1"/>
    <xf numFmtId="49" fontId="10" fillId="0" borderId="0" xfId="2" applyNumberFormat="1"/>
    <xf numFmtId="0" fontId="15" fillId="0" borderId="0" xfId="0" applyFont="1"/>
    <xf numFmtId="0" fontId="11" fillId="6" borderId="46" xfId="2" applyFont="1" applyFill="1" applyBorder="1"/>
    <xf numFmtId="0" fontId="10" fillId="0" borderId="47" xfId="2" applyBorder="1"/>
    <xf numFmtId="0" fontId="17" fillId="0" borderId="0" xfId="0" applyFont="1"/>
    <xf numFmtId="15" fontId="8" fillId="0" borderId="20" xfId="3" applyNumberFormat="1" applyBorder="1"/>
    <xf numFmtId="0" fontId="23" fillId="0" borderId="0" xfId="8" applyFont="1"/>
    <xf numFmtId="0" fontId="24" fillId="0" borderId="41" xfId="0" applyFont="1" applyBorder="1" applyAlignment="1">
      <alignment vertical="center" wrapText="1"/>
    </xf>
    <xf numFmtId="0" fontId="25" fillId="0" borderId="15" xfId="0" applyFont="1" applyBorder="1" applyAlignment="1">
      <alignment vertical="center" wrapText="1"/>
    </xf>
    <xf numFmtId="0" fontId="25" fillId="0" borderId="12" xfId="0" applyFont="1" applyBorder="1" applyAlignment="1">
      <alignment vertical="center" wrapText="1"/>
    </xf>
    <xf numFmtId="0" fontId="24" fillId="0" borderId="15" xfId="0" applyFont="1" applyBorder="1" applyAlignment="1">
      <alignment vertical="center" wrapText="1"/>
    </xf>
    <xf numFmtId="0" fontId="24" fillId="0" borderId="12" xfId="0" applyFont="1" applyBorder="1" applyAlignment="1">
      <alignment vertical="center" wrapText="1"/>
    </xf>
    <xf numFmtId="0" fontId="22" fillId="0" borderId="12" xfId="0" applyFont="1" applyBorder="1" applyAlignment="1">
      <alignment vertical="center" wrapText="1"/>
    </xf>
    <xf numFmtId="0" fontId="24" fillId="0" borderId="42" xfId="0" applyFont="1" applyBorder="1" applyAlignment="1">
      <alignment vertical="center" wrapText="1"/>
    </xf>
    <xf numFmtId="0" fontId="25" fillId="0" borderId="15" xfId="0" applyFont="1" applyBorder="1" applyAlignment="1">
      <alignment vertical="center"/>
    </xf>
    <xf numFmtId="0" fontId="25" fillId="0" borderId="12" xfId="0" applyFont="1" applyBorder="1" applyAlignment="1">
      <alignment horizontal="left" vertical="center" wrapText="1" indent="2"/>
    </xf>
    <xf numFmtId="0" fontId="23" fillId="0" borderId="12" xfId="0" applyFont="1" applyBorder="1" applyAlignment="1">
      <alignment horizontal="left" vertical="center" wrapText="1" indent="2"/>
    </xf>
    <xf numFmtId="0" fontId="25" fillId="0" borderId="12" xfId="0" applyFont="1" applyBorder="1" applyAlignment="1">
      <alignment vertical="center"/>
    </xf>
    <xf numFmtId="0" fontId="25" fillId="0" borderId="12" xfId="0" applyFont="1" applyBorder="1" applyAlignment="1">
      <alignment horizontal="left" vertical="center" indent="1"/>
    </xf>
    <xf numFmtId="0" fontId="25" fillId="0" borderId="12" xfId="0" applyFont="1" applyBorder="1" applyAlignment="1">
      <alignment horizontal="left" vertical="center" wrapText="1" indent="1"/>
    </xf>
    <xf numFmtId="0" fontId="25" fillId="0" borderId="15" xfId="0" applyFont="1" applyBorder="1" applyAlignment="1">
      <alignment horizontal="left" vertical="center" wrapText="1" indent="1"/>
    </xf>
    <xf numFmtId="0" fontId="25" fillId="0" borderId="41" xfId="0" applyFont="1" applyBorder="1" applyAlignment="1">
      <alignment vertical="center" wrapText="1"/>
    </xf>
    <xf numFmtId="0" fontId="25" fillId="0" borderId="0" xfId="0" applyFont="1" applyAlignment="1">
      <alignment vertical="center" wrapText="1"/>
    </xf>
    <xf numFmtId="0" fontId="24" fillId="0" borderId="13" xfId="0" applyFont="1" applyBorder="1" applyAlignment="1">
      <alignment vertical="center" wrapText="1"/>
    </xf>
    <xf numFmtId="0" fontId="22" fillId="0" borderId="1" xfId="8" applyFont="1" applyBorder="1" applyAlignment="1">
      <alignment vertical="center" wrapText="1"/>
    </xf>
    <xf numFmtId="0" fontId="22" fillId="0" borderId="0" xfId="8" applyFont="1" applyAlignment="1">
      <alignment vertical="center" wrapText="1"/>
    </xf>
    <xf numFmtId="0" fontId="22" fillId="0" borderId="43" xfId="8" applyFont="1" applyBorder="1" applyAlignment="1">
      <alignment vertical="center" wrapText="1"/>
    </xf>
    <xf numFmtId="0" fontId="23" fillId="0" borderId="0" xfId="0" applyFont="1"/>
    <xf numFmtId="0" fontId="23" fillId="0" borderId="15" xfId="0" applyFont="1" applyBorder="1" applyAlignment="1">
      <alignment vertical="center" wrapText="1"/>
    </xf>
    <xf numFmtId="0" fontId="23" fillId="0" borderId="1" xfId="0" applyFont="1" applyBorder="1"/>
    <xf numFmtId="0" fontId="23" fillId="0" borderId="41" xfId="0" applyFont="1" applyBorder="1" applyAlignment="1">
      <alignment vertical="top" wrapText="1"/>
    </xf>
    <xf numFmtId="0" fontId="23" fillId="0" borderId="42" xfId="0" applyFont="1" applyBorder="1" applyAlignment="1">
      <alignment vertical="top" wrapText="1"/>
    </xf>
    <xf numFmtId="0" fontId="23" fillId="0" borderId="12" xfId="0" applyFont="1" applyBorder="1" applyAlignment="1">
      <alignment vertical="center" wrapText="1"/>
    </xf>
    <xf numFmtId="0" fontId="23" fillId="0" borderId="41" xfId="0" applyFont="1" applyBorder="1" applyAlignment="1">
      <alignment vertical="center" wrapText="1"/>
    </xf>
    <xf numFmtId="0" fontId="23" fillId="0" borderId="0" xfId="0" applyFont="1" applyAlignment="1">
      <alignment horizontal="left" vertical="top"/>
    </xf>
    <xf numFmtId="0" fontId="25" fillId="21" borderId="15" xfId="0" applyFont="1" applyFill="1" applyBorder="1" applyAlignment="1">
      <alignment vertical="center" wrapText="1"/>
    </xf>
    <xf numFmtId="0" fontId="25" fillId="21" borderId="13" xfId="0" applyFont="1" applyFill="1" applyBorder="1" applyAlignment="1">
      <alignment vertical="center" wrapText="1"/>
    </xf>
    <xf numFmtId="0" fontId="25" fillId="0" borderId="0" xfId="0" applyFont="1"/>
    <xf numFmtId="0" fontId="24" fillId="22" borderId="56" xfId="0" applyFont="1" applyFill="1" applyBorder="1" applyAlignment="1">
      <alignment horizontal="left" vertical="top" readingOrder="1"/>
    </xf>
    <xf numFmtId="15" fontId="25" fillId="0" borderId="56" xfId="0" applyNumberFormat="1" applyFont="1" applyBorder="1" applyAlignment="1">
      <alignment horizontal="right" vertical="center"/>
    </xf>
    <xf numFmtId="0" fontId="25" fillId="0" borderId="52" xfId="0" applyFont="1" applyBorder="1" applyAlignment="1">
      <alignment horizontal="left" vertical="top" readingOrder="1"/>
    </xf>
    <xf numFmtId="0" fontId="25" fillId="0" borderId="53" xfId="0" applyFont="1" applyBorder="1" applyAlignment="1">
      <alignment horizontal="left" vertical="top" readingOrder="1"/>
    </xf>
    <xf numFmtId="0" fontId="25" fillId="0" borderId="78" xfId="0" applyFont="1" applyBorder="1" applyAlignment="1">
      <alignment horizontal="left" vertical="top" readingOrder="1"/>
    </xf>
    <xf numFmtId="0" fontId="25" fillId="0" borderId="58" xfId="0" applyFont="1" applyBorder="1" applyAlignment="1">
      <alignment horizontal="left" vertical="top" readingOrder="1"/>
    </xf>
    <xf numFmtId="0" fontId="25" fillId="0" borderId="0" xfId="0" applyFont="1" applyAlignment="1">
      <alignment horizontal="left" vertical="top" readingOrder="1"/>
    </xf>
    <xf numFmtId="0" fontId="25" fillId="0" borderId="102" xfId="0" applyFont="1" applyBorder="1" applyAlignment="1">
      <alignment horizontal="left" vertical="top" readingOrder="1"/>
    </xf>
    <xf numFmtId="0" fontId="25" fillId="0" borderId="72" xfId="0" applyFont="1" applyBorder="1" applyAlignment="1">
      <alignment horizontal="left" vertical="top" readingOrder="1"/>
    </xf>
    <xf numFmtId="0" fontId="25" fillId="0" borderId="98" xfId="0" applyFont="1" applyBorder="1" applyAlignment="1">
      <alignment horizontal="left" vertical="top" readingOrder="1"/>
    </xf>
    <xf numFmtId="0" fontId="25" fillId="0" borderId="59" xfId="0" applyFont="1" applyBorder="1" applyAlignment="1">
      <alignment horizontal="left" vertical="top" readingOrder="1"/>
    </xf>
    <xf numFmtId="0" fontId="25" fillId="0" borderId="60" xfId="0" applyFont="1" applyBorder="1" applyAlignment="1">
      <alignment horizontal="left" vertical="top" readingOrder="1"/>
    </xf>
    <xf numFmtId="0" fontId="25" fillId="0" borderId="61" xfId="0" applyFont="1" applyBorder="1" applyAlignment="1">
      <alignment horizontal="left" vertical="top" readingOrder="1"/>
    </xf>
    <xf numFmtId="0" fontId="25" fillId="0" borderId="54" xfId="0" applyFont="1" applyBorder="1" applyAlignment="1">
      <alignment horizontal="left" vertical="top" readingOrder="1"/>
    </xf>
    <xf numFmtId="0" fontId="24" fillId="22" borderId="62" xfId="0" applyFont="1" applyFill="1" applyBorder="1" applyAlignment="1">
      <alignment horizontal="left" vertical="top" readingOrder="1"/>
    </xf>
    <xf numFmtId="0" fontId="24" fillId="22" borderId="57" xfId="0" applyFont="1" applyFill="1" applyBorder="1" applyAlignment="1">
      <alignment horizontal="left" vertical="top" readingOrder="1"/>
    </xf>
    <xf numFmtId="0" fontId="25" fillId="0" borderId="56" xfId="0" applyFont="1" applyBorder="1" applyAlignment="1">
      <alignment horizontal="left" vertical="top" readingOrder="1"/>
    </xf>
    <xf numFmtId="175" fontId="25" fillId="0" borderId="56" xfId="0" applyNumberFormat="1" applyFont="1" applyBorder="1" applyAlignment="1">
      <alignment horizontal="left" vertical="top" readingOrder="1"/>
    </xf>
    <xf numFmtId="175" fontId="23" fillId="0" borderId="0" xfId="0" applyNumberFormat="1" applyFont="1"/>
    <xf numFmtId="4" fontId="25" fillId="0" borderId="56" xfId="0" applyNumberFormat="1" applyFont="1" applyBorder="1" applyAlignment="1">
      <alignment horizontal="left" vertical="top" readingOrder="1"/>
    </xf>
    <xf numFmtId="4" fontId="23" fillId="0" borderId="0" xfId="0" applyNumberFormat="1" applyFont="1"/>
    <xf numFmtId="174" fontId="25" fillId="0" borderId="56" xfId="0" applyNumberFormat="1" applyFont="1" applyBorder="1" applyAlignment="1">
      <alignment horizontal="left" vertical="top" readingOrder="1"/>
    </xf>
    <xf numFmtId="174" fontId="23" fillId="0" borderId="0" xfId="0" applyNumberFormat="1" applyFont="1"/>
    <xf numFmtId="0" fontId="25" fillId="0" borderId="0" xfId="0" applyFont="1" applyAlignment="1">
      <alignment horizontal="left" vertical="top" wrapText="1"/>
    </xf>
    <xf numFmtId="0" fontId="23" fillId="0" borderId="0" xfId="0" applyFont="1" applyAlignment="1">
      <alignment wrapText="1"/>
    </xf>
    <xf numFmtId="0" fontId="25" fillId="0" borderId="52" xfId="0" applyFont="1" applyBorder="1" applyAlignment="1">
      <alignment horizontal="left" vertical="top" wrapText="1" readingOrder="1"/>
    </xf>
    <xf numFmtId="0" fontId="25" fillId="0" borderId="53" xfId="0" applyFont="1" applyBorder="1" applyAlignment="1">
      <alignment horizontal="left" vertical="top" wrapText="1" readingOrder="1"/>
    </xf>
    <xf numFmtId="0" fontId="25" fillId="0" borderId="58" xfId="0" applyFont="1" applyBorder="1" applyAlignment="1">
      <alignment horizontal="left" vertical="top" wrapText="1" readingOrder="1"/>
    </xf>
    <xf numFmtId="0" fontId="25" fillId="0" borderId="102" xfId="0" applyFont="1" applyBorder="1" applyAlignment="1">
      <alignment horizontal="left" vertical="top" wrapText="1" readingOrder="1"/>
    </xf>
    <xf numFmtId="0" fontId="25" fillId="0" borderId="72" xfId="0" applyFont="1" applyBorder="1" applyAlignment="1">
      <alignment horizontal="left" vertical="top" wrapText="1" readingOrder="1"/>
    </xf>
    <xf numFmtId="0" fontId="24" fillId="22" borderId="56" xfId="0" applyFont="1" applyFill="1" applyBorder="1" applyAlignment="1">
      <alignment horizontal="left" vertical="top" wrapText="1" readingOrder="1"/>
    </xf>
    <xf numFmtId="0" fontId="25" fillId="0" borderId="56" xfId="0" applyFont="1" applyBorder="1" applyAlignment="1">
      <alignment horizontal="left" vertical="top" wrapText="1" readingOrder="1"/>
    </xf>
    <xf numFmtId="38" fontId="25" fillId="0" borderId="56" xfId="0" applyNumberFormat="1" applyFont="1" applyBorder="1" applyAlignment="1">
      <alignment horizontal="left" vertical="top" wrapText="1" readingOrder="1"/>
    </xf>
    <xf numFmtId="38" fontId="25" fillId="0" borderId="0" xfId="0" applyNumberFormat="1" applyFont="1" applyAlignment="1">
      <alignment horizontal="left" vertical="top" wrapText="1"/>
    </xf>
    <xf numFmtId="38" fontId="23" fillId="0" borderId="0" xfId="0" applyNumberFormat="1" applyFont="1" applyAlignment="1">
      <alignment wrapText="1"/>
    </xf>
    <xf numFmtId="3" fontId="25" fillId="0" borderId="56" xfId="0" applyNumberFormat="1" applyFont="1" applyBorder="1" applyAlignment="1">
      <alignment horizontal="left" vertical="top" wrapText="1" readingOrder="1"/>
    </xf>
    <xf numFmtId="3" fontId="25" fillId="0" borderId="0" xfId="0" applyNumberFormat="1" applyFont="1" applyAlignment="1">
      <alignment horizontal="left" vertical="top" wrapText="1"/>
    </xf>
    <xf numFmtId="3" fontId="23" fillId="0" borderId="0" xfId="0" applyNumberFormat="1" applyFont="1" applyAlignment="1">
      <alignment wrapText="1"/>
    </xf>
    <xf numFmtId="0" fontId="25" fillId="0" borderId="73" xfId="0" applyFont="1" applyBorder="1" applyAlignment="1">
      <alignment horizontal="left" vertical="top" wrapText="1" readingOrder="1"/>
    </xf>
    <xf numFmtId="0" fontId="25" fillId="0" borderId="74" xfId="0" applyFont="1" applyBorder="1" applyAlignment="1">
      <alignment horizontal="left" vertical="top" wrapText="1" readingOrder="1"/>
    </xf>
    <xf numFmtId="0" fontId="25" fillId="0" borderId="75" xfId="0" applyFont="1" applyBorder="1" applyAlignment="1">
      <alignment horizontal="left" vertical="top" wrapText="1" readingOrder="1"/>
    </xf>
    <xf numFmtId="0" fontId="25" fillId="0" borderId="97" xfId="0" applyFont="1" applyBorder="1" applyAlignment="1">
      <alignment horizontal="left" vertical="top" wrapText="1" readingOrder="1"/>
    </xf>
    <xf numFmtId="0" fontId="25" fillId="0" borderId="81" xfId="0" applyFont="1" applyBorder="1" applyAlignment="1">
      <alignment horizontal="left" vertical="top" wrapText="1" readingOrder="1"/>
    </xf>
    <xf numFmtId="0" fontId="25" fillId="0" borderId="96" xfId="0" applyFont="1" applyBorder="1" applyAlignment="1">
      <alignment horizontal="left" vertical="top" wrapText="1" readingOrder="1"/>
    </xf>
    <xf numFmtId="0" fontId="24" fillId="22" borderId="77" xfId="0" applyFont="1" applyFill="1" applyBorder="1" applyAlignment="1">
      <alignment horizontal="left" vertical="top" wrapText="1" readingOrder="1"/>
    </xf>
    <xf numFmtId="0" fontId="24" fillId="22" borderId="76" xfId="0" applyFont="1" applyFill="1" applyBorder="1" applyAlignment="1">
      <alignment horizontal="left" vertical="top" wrapText="1" readingOrder="1"/>
    </xf>
    <xf numFmtId="0" fontId="24" fillId="22" borderId="83" xfId="0" applyFont="1" applyFill="1" applyBorder="1" applyAlignment="1">
      <alignment horizontal="left" vertical="top" wrapText="1" readingOrder="1"/>
    </xf>
    <xf numFmtId="0" fontId="24" fillId="22" borderId="93" xfId="0" applyFont="1" applyFill="1" applyBorder="1" applyAlignment="1">
      <alignment horizontal="left" vertical="top" wrapText="1" readingOrder="1"/>
    </xf>
    <xf numFmtId="0" fontId="24" fillId="22" borderId="101" xfId="0" applyFont="1" applyFill="1" applyBorder="1" applyAlignment="1">
      <alignment horizontal="left" vertical="top" wrapText="1" readingOrder="1"/>
    </xf>
    <xf numFmtId="0" fontId="22" fillId="13" borderId="6" xfId="0" applyFont="1" applyFill="1" applyBorder="1" applyAlignment="1">
      <alignment vertical="center"/>
    </xf>
    <xf numFmtId="0" fontId="28" fillId="13" borderId="3" xfId="1" applyFont="1" applyFill="1" applyBorder="1" applyAlignment="1" applyProtection="1">
      <alignment horizontal="center" vertical="center"/>
    </xf>
    <xf numFmtId="0" fontId="33" fillId="0" borderId="0" xfId="0" applyFont="1"/>
    <xf numFmtId="0" fontId="23" fillId="0" borderId="25" xfId="0" applyFont="1" applyBorder="1"/>
    <xf numFmtId="0" fontId="23" fillId="0" borderId="29" xfId="0" applyFont="1" applyBorder="1"/>
    <xf numFmtId="0" fontId="23" fillId="0" borderId="36" xfId="0" applyFont="1" applyBorder="1" applyAlignment="1">
      <alignment horizontal="center"/>
    </xf>
    <xf numFmtId="17" fontId="34" fillId="15" borderId="21" xfId="0" applyNumberFormat="1" applyFont="1" applyFill="1" applyBorder="1" applyAlignment="1">
      <alignment horizontal="center" vertical="center" wrapText="1"/>
    </xf>
    <xf numFmtId="17" fontId="34" fillId="15" borderId="20" xfId="0" applyNumberFormat="1" applyFont="1" applyFill="1" applyBorder="1" applyAlignment="1">
      <alignment horizontal="center" vertical="center" wrapText="1"/>
    </xf>
    <xf numFmtId="17" fontId="34" fillId="15" borderId="100" xfId="0" applyNumberFormat="1" applyFont="1" applyFill="1" applyBorder="1" applyAlignment="1">
      <alignment horizontal="center" vertical="center" wrapText="1"/>
    </xf>
    <xf numFmtId="0" fontId="23" fillId="13" borderId="20" xfId="4" applyFont="1" applyFill="1" applyBorder="1" applyAlignment="1">
      <alignment horizontal="center" vertical="center" wrapText="1"/>
    </xf>
    <xf numFmtId="0" fontId="23" fillId="14" borderId="20" xfId="0" applyFont="1" applyFill="1" applyBorder="1" applyAlignment="1" applyProtection="1">
      <alignment horizontal="left" vertical="center" wrapText="1"/>
      <protection locked="0"/>
    </xf>
    <xf numFmtId="0" fontId="23" fillId="14" borderId="20" xfId="0" applyFont="1" applyFill="1" applyBorder="1" applyAlignment="1" applyProtection="1">
      <alignment horizontal="left" vertical="center"/>
      <protection locked="0"/>
    </xf>
    <xf numFmtId="0" fontId="23" fillId="0" borderId="20" xfId="0" applyFont="1" applyBorder="1" applyAlignment="1" applyProtection="1">
      <alignment horizontal="left" vertical="center" wrapText="1"/>
      <protection locked="0"/>
    </xf>
    <xf numFmtId="0" fontId="23" fillId="0" borderId="20" xfId="0" applyFont="1" applyBorder="1" applyAlignment="1" applyProtection="1">
      <alignment horizontal="left" vertical="center"/>
      <protection locked="0"/>
    </xf>
    <xf numFmtId="0" fontId="22" fillId="2" borderId="16" xfId="0" quotePrefix="1" applyFont="1" applyFill="1" applyBorder="1" applyAlignment="1">
      <alignment vertical="center"/>
    </xf>
    <xf numFmtId="0" fontId="22" fillId="2" borderId="0" xfId="0" quotePrefix="1" applyFont="1" applyFill="1" applyAlignment="1">
      <alignment vertical="center"/>
    </xf>
    <xf numFmtId="0" fontId="28" fillId="13" borderId="6" xfId="1" applyFont="1" applyFill="1" applyBorder="1" applyAlignment="1" applyProtection="1">
      <alignment horizontal="center" vertical="center"/>
    </xf>
    <xf numFmtId="0" fontId="34" fillId="15" borderId="20" xfId="0" applyFont="1" applyFill="1" applyBorder="1" applyAlignment="1">
      <alignment horizontal="center" vertical="center" wrapText="1"/>
    </xf>
    <xf numFmtId="0" fontId="23" fillId="2" borderId="0" xfId="0" applyFont="1" applyFill="1"/>
    <xf numFmtId="173" fontId="23" fillId="2" borderId="20" xfId="0" applyNumberFormat="1" applyFont="1" applyFill="1" applyBorder="1" applyAlignment="1" applyProtection="1">
      <alignment horizontal="center" vertical="center"/>
      <protection locked="0"/>
    </xf>
    <xf numFmtId="4" fontId="23" fillId="2" borderId="20" xfId="0" applyNumberFormat="1" applyFont="1" applyFill="1" applyBorder="1" applyAlignment="1" applyProtection="1">
      <alignment horizontal="center" vertical="center"/>
      <protection locked="0"/>
    </xf>
    <xf numFmtId="0" fontId="23" fillId="2" borderId="0" xfId="0" applyFont="1" applyFill="1" applyAlignment="1">
      <alignment shrinkToFit="1"/>
    </xf>
    <xf numFmtId="0" fontId="23" fillId="2" borderId="0" xfId="0" applyFont="1" applyFill="1" applyAlignment="1" applyProtection="1">
      <alignment horizontal="center"/>
      <protection locked="0"/>
    </xf>
    <xf numFmtId="0" fontId="23" fillId="2" borderId="0" xfId="0" applyFont="1" applyFill="1" applyAlignment="1">
      <alignment horizontal="center"/>
    </xf>
    <xf numFmtId="0" fontId="23" fillId="0" borderId="0" xfId="0" applyFont="1" applyProtection="1">
      <protection locked="0"/>
    </xf>
    <xf numFmtId="0" fontId="37" fillId="0" borderId="0" xfId="0" applyFont="1"/>
    <xf numFmtId="0" fontId="33" fillId="2" borderId="0" xfId="0" applyFont="1" applyFill="1"/>
    <xf numFmtId="0" fontId="33" fillId="0" borderId="0" xfId="0" applyFont="1" applyProtection="1">
      <protection hidden="1"/>
    </xf>
    <xf numFmtId="0" fontId="22" fillId="13" borderId="6" xfId="0" applyFont="1" applyFill="1" applyBorder="1" applyAlignment="1">
      <alignment horizontal="center" vertical="center"/>
    </xf>
    <xf numFmtId="0" fontId="23" fillId="0" borderId="108" xfId="0" applyFont="1" applyBorder="1"/>
    <xf numFmtId="0" fontId="23" fillId="15" borderId="0" xfId="0" applyFont="1" applyFill="1"/>
    <xf numFmtId="0" fontId="34" fillId="12" borderId="21" xfId="0" applyFont="1" applyFill="1" applyBorder="1" applyAlignment="1">
      <alignment horizontal="center" vertical="center"/>
    </xf>
    <xf numFmtId="38" fontId="23" fillId="14" borderId="20" xfId="0" applyNumberFormat="1" applyFont="1" applyFill="1" applyBorder="1" applyAlignment="1" applyProtection="1">
      <alignment horizontal="center" vertical="center"/>
      <protection locked="0"/>
    </xf>
    <xf numFmtId="0" fontId="23" fillId="14" borderId="20" xfId="0" applyFont="1" applyFill="1" applyBorder="1" applyAlignment="1" applyProtection="1">
      <alignment horizontal="center" vertical="center" wrapText="1"/>
      <protection locked="0"/>
    </xf>
    <xf numFmtId="3" fontId="23" fillId="14" borderId="20" xfId="0" applyNumberFormat="1" applyFont="1" applyFill="1" applyBorder="1" applyAlignment="1" applyProtection="1">
      <alignment horizontal="center" vertical="center"/>
      <protection locked="0"/>
    </xf>
    <xf numFmtId="0" fontId="23" fillId="14" borderId="0" xfId="0" applyFont="1" applyFill="1"/>
    <xf numFmtId="0" fontId="23" fillId="14" borderId="0" xfId="0" applyFont="1" applyFill="1" applyProtection="1">
      <protection hidden="1"/>
    </xf>
    <xf numFmtId="0" fontId="23" fillId="14" borderId="0" xfId="0" applyFont="1" applyFill="1" applyAlignment="1">
      <alignment horizontal="center"/>
    </xf>
    <xf numFmtId="0" fontId="33" fillId="2" borderId="0" xfId="0" applyFont="1" applyFill="1" applyAlignment="1">
      <alignment horizontal="center" vertical="center"/>
    </xf>
    <xf numFmtId="0" fontId="23" fillId="14" borderId="21" xfId="0" applyFont="1" applyFill="1" applyBorder="1" applyAlignment="1" applyProtection="1">
      <alignment vertical="center" wrapText="1"/>
      <protection locked="0"/>
    </xf>
    <xf numFmtId="38" fontId="23" fillId="0" borderId="20" xfId="0" applyNumberFormat="1" applyFont="1" applyBorder="1" applyAlignment="1" applyProtection="1">
      <alignment horizontal="center" vertical="center"/>
      <protection locked="0"/>
    </xf>
    <xf numFmtId="0" fontId="23" fillId="0" borderId="20" xfId="0" applyFont="1" applyBorder="1" applyAlignment="1" applyProtection="1">
      <alignment horizontal="center" vertical="center" wrapText="1"/>
      <protection locked="0"/>
    </xf>
    <xf numFmtId="3" fontId="23" fillId="0" borderId="20" xfId="0" applyNumberFormat="1" applyFont="1" applyBorder="1" applyAlignment="1" applyProtection="1">
      <alignment horizontal="center" vertical="center"/>
      <protection locked="0"/>
    </xf>
    <xf numFmtId="0" fontId="23" fillId="0" borderId="0" xfId="0" applyFont="1" applyProtection="1">
      <protection hidden="1"/>
    </xf>
    <xf numFmtId="0" fontId="23" fillId="0" borderId="0" xfId="0" applyFont="1" applyAlignment="1">
      <alignment horizontal="center"/>
    </xf>
    <xf numFmtId="0" fontId="23" fillId="0" borderId="21" xfId="0" applyFont="1" applyBorder="1" applyAlignment="1" applyProtection="1">
      <alignment vertical="center" wrapText="1"/>
      <protection locked="0"/>
    </xf>
    <xf numFmtId="0" fontId="22" fillId="2" borderId="0" xfId="0" applyFont="1" applyFill="1" applyAlignment="1">
      <alignment vertical="center"/>
    </xf>
    <xf numFmtId="0" fontId="38" fillId="2" borderId="0" xfId="0" applyFont="1" applyFill="1"/>
    <xf numFmtId="0" fontId="23" fillId="0" borderId="0" xfId="0" quotePrefix="1" applyFont="1"/>
    <xf numFmtId="0" fontId="23" fillId="0" borderId="25" xfId="0" applyFont="1" applyBorder="1" applyAlignment="1">
      <alignment vertical="center" wrapText="1"/>
    </xf>
    <xf numFmtId="174" fontId="23" fillId="14" borderId="20" xfId="0" applyNumberFormat="1" applyFont="1" applyFill="1" applyBorder="1" applyAlignment="1" applyProtection="1">
      <alignment horizontal="center" vertical="center"/>
      <protection locked="0"/>
    </xf>
    <xf numFmtId="174" fontId="23" fillId="0" borderId="20" xfId="0" applyNumberFormat="1" applyFont="1" applyBorder="1" applyAlignment="1" applyProtection="1">
      <alignment horizontal="center" vertical="center"/>
      <protection locked="0"/>
    </xf>
    <xf numFmtId="0" fontId="22" fillId="2" borderId="0" xfId="0" applyFont="1" applyFill="1" applyAlignment="1" applyProtection="1">
      <alignment vertical="center"/>
      <protection hidden="1"/>
    </xf>
    <xf numFmtId="0" fontId="22" fillId="2" borderId="38" xfId="0" applyFont="1" applyFill="1" applyBorder="1" applyAlignment="1" applyProtection="1">
      <alignment vertical="center"/>
      <protection hidden="1"/>
    </xf>
    <xf numFmtId="0" fontId="23" fillId="0" borderId="49" xfId="0" applyFont="1" applyBorder="1"/>
    <xf numFmtId="0" fontId="23" fillId="0" borderId="99" xfId="0" applyFont="1" applyBorder="1"/>
    <xf numFmtId="0" fontId="23" fillId="0" borderId="35" xfId="0" applyFont="1" applyBorder="1"/>
    <xf numFmtId="0" fontId="23" fillId="0" borderId="33" xfId="0" applyFont="1" applyBorder="1"/>
    <xf numFmtId="0" fontId="23" fillId="0" borderId="32" xfId="0" applyFont="1" applyBorder="1"/>
    <xf numFmtId="0" fontId="23" fillId="0" borderId="30" xfId="0" applyFont="1" applyBorder="1"/>
    <xf numFmtId="0" fontId="33" fillId="0" borderId="30" xfId="0" applyFont="1" applyBorder="1"/>
    <xf numFmtId="0" fontId="37" fillId="0" borderId="30" xfId="0" applyFont="1" applyBorder="1"/>
    <xf numFmtId="0" fontId="33" fillId="2" borderId="30" xfId="0" applyFont="1" applyFill="1" applyBorder="1"/>
    <xf numFmtId="0" fontId="38" fillId="2" borderId="30" xfId="0" applyFont="1" applyFill="1" applyBorder="1"/>
    <xf numFmtId="0" fontId="23" fillId="2" borderId="30" xfId="0" applyFont="1" applyFill="1" applyBorder="1"/>
    <xf numFmtId="0" fontId="22" fillId="13" borderId="6" xfId="0" applyFont="1" applyFill="1" applyBorder="1" applyAlignment="1" applyProtection="1">
      <alignment vertical="center"/>
      <protection hidden="1"/>
    </xf>
    <xf numFmtId="0" fontId="23" fillId="0" borderId="34" xfId="0" applyFont="1" applyBorder="1"/>
    <xf numFmtId="0" fontId="22" fillId="13" borderId="6" xfId="0" applyFont="1" applyFill="1" applyBorder="1" applyAlignment="1" applyProtection="1">
      <alignment horizontal="center" vertical="center"/>
      <protection hidden="1"/>
    </xf>
    <xf numFmtId="0" fontId="33" fillId="0" borderId="33" xfId="0" applyFont="1" applyBorder="1"/>
    <xf numFmtId="0" fontId="23" fillId="0" borderId="31" xfId="0" applyFont="1" applyBorder="1"/>
    <xf numFmtId="0" fontId="33" fillId="0" borderId="31" xfId="0" applyFont="1" applyBorder="1"/>
    <xf numFmtId="0" fontId="37" fillId="0" borderId="31" xfId="0" applyFont="1" applyBorder="1"/>
    <xf numFmtId="0" fontId="33" fillId="2" borderId="31" xfId="0" applyFont="1" applyFill="1" applyBorder="1"/>
    <xf numFmtId="0" fontId="38" fillId="2" borderId="31" xfId="0" applyFont="1" applyFill="1" applyBorder="1"/>
    <xf numFmtId="0" fontId="23" fillId="2" borderId="31" xfId="0" applyFont="1" applyFill="1" applyBorder="1"/>
    <xf numFmtId="0" fontId="23" fillId="0" borderId="25" xfId="0" applyFont="1" applyBorder="1" applyAlignment="1">
      <alignment horizontal="center" vertical="center" wrapText="1"/>
    </xf>
    <xf numFmtId="0" fontId="23" fillId="0" borderId="36" xfId="0" applyFont="1" applyBorder="1" applyAlignment="1">
      <alignment vertical="center" wrapText="1"/>
    </xf>
    <xf numFmtId="0" fontId="33" fillId="0" borderId="25" xfId="0" applyFont="1" applyBorder="1"/>
    <xf numFmtId="17" fontId="34" fillId="15" borderId="21" xfId="0" applyNumberFormat="1" applyFont="1" applyFill="1" applyBorder="1" applyAlignment="1" applyProtection="1">
      <alignment horizontal="center" vertical="center" wrapText="1"/>
      <protection hidden="1"/>
    </xf>
    <xf numFmtId="17" fontId="34" fillId="15" borderId="100" xfId="0" applyNumberFormat="1" applyFont="1" applyFill="1" applyBorder="1" applyAlignment="1" applyProtection="1">
      <alignment horizontal="center" vertical="center" wrapText="1"/>
      <protection hidden="1"/>
    </xf>
    <xf numFmtId="174" fontId="37" fillId="14" borderId="20" xfId="0" applyNumberFormat="1" applyFont="1" applyFill="1" applyBorder="1" applyAlignment="1" applyProtection="1">
      <alignment horizontal="center" vertical="center" wrapText="1"/>
      <protection locked="0"/>
    </xf>
    <xf numFmtId="38" fontId="37" fillId="14" borderId="20" xfId="0" applyNumberFormat="1" applyFont="1" applyFill="1" applyBorder="1" applyAlignment="1" applyProtection="1">
      <alignment horizontal="center" vertical="center" wrapText="1"/>
      <protection locked="0"/>
    </xf>
    <xf numFmtId="174" fontId="37" fillId="0" borderId="20" xfId="0" applyNumberFormat="1" applyFont="1" applyBorder="1" applyAlignment="1" applyProtection="1">
      <alignment horizontal="center" vertical="center" wrapText="1"/>
      <protection locked="0"/>
    </xf>
    <xf numFmtId="38" fontId="37" fillId="0" borderId="20" xfId="0" applyNumberFormat="1" applyFont="1" applyBorder="1" applyAlignment="1" applyProtection="1">
      <alignment horizontal="center" vertical="center" wrapText="1"/>
      <protection locked="0"/>
    </xf>
    <xf numFmtId="2" fontId="23" fillId="0" borderId="0" xfId="0" applyNumberFormat="1" applyFont="1"/>
    <xf numFmtId="0" fontId="23" fillId="0" borderId="0" xfId="0" applyFont="1" applyAlignment="1">
      <alignment vertical="center"/>
    </xf>
    <xf numFmtId="0" fontId="37" fillId="0" borderId="0" xfId="0" applyFont="1" applyAlignment="1">
      <alignment vertical="center"/>
    </xf>
    <xf numFmtId="0" fontId="23" fillId="13" borderId="21" xfId="0" applyFont="1" applyFill="1" applyBorder="1"/>
    <xf numFmtId="0" fontId="23" fillId="0" borderId="21" xfId="0" applyFont="1" applyBorder="1"/>
    <xf numFmtId="170" fontId="22" fillId="2" borderId="0" xfId="0" applyNumberFormat="1" applyFont="1" applyFill="1" applyAlignment="1">
      <alignment horizontal="right" vertical="center"/>
    </xf>
    <xf numFmtId="0" fontId="23" fillId="2" borderId="0" xfId="0" applyFont="1" applyFill="1" applyAlignment="1" applyProtection="1">
      <alignment horizontal="center" vertical="center"/>
      <protection locked="0"/>
    </xf>
    <xf numFmtId="17" fontId="28" fillId="2" borderId="0" xfId="1" quotePrefix="1" applyNumberFormat="1" applyFont="1" applyFill="1" applyBorder="1" applyAlignment="1" applyProtection="1">
      <alignment horizontal="center" vertical="center"/>
    </xf>
    <xf numFmtId="0" fontId="23" fillId="0" borderId="0" xfId="0" applyFont="1" applyAlignment="1">
      <alignment horizontal="center" wrapText="1"/>
    </xf>
    <xf numFmtId="0" fontId="22" fillId="15" borderId="4" xfId="0" applyFont="1" applyFill="1" applyBorder="1" applyAlignment="1">
      <alignment horizontal="center" vertical="center"/>
    </xf>
    <xf numFmtId="0" fontId="22" fillId="4" borderId="0" xfId="0" applyFont="1" applyFill="1" applyAlignment="1">
      <alignment horizontal="center" vertical="center"/>
    </xf>
    <xf numFmtId="0" fontId="22" fillId="4" borderId="12" xfId="0" applyFont="1" applyFill="1" applyBorder="1" applyAlignment="1">
      <alignment horizontal="center" vertical="center" wrapText="1"/>
    </xf>
    <xf numFmtId="0" fontId="23" fillId="13" borderId="9" xfId="0" applyFont="1" applyFill="1" applyBorder="1" applyAlignment="1" applyProtection="1">
      <alignment horizontal="center" vertical="center" wrapText="1"/>
      <protection hidden="1"/>
    </xf>
    <xf numFmtId="0" fontId="23" fillId="0" borderId="0" xfId="0" applyFont="1" applyAlignment="1">
      <alignment horizontal="center" vertical="center"/>
    </xf>
    <xf numFmtId="0" fontId="39" fillId="0" borderId="0" xfId="0" applyFont="1"/>
    <xf numFmtId="0" fontId="23" fillId="13" borderId="10" xfId="0" quotePrefix="1" applyFont="1" applyFill="1" applyBorder="1" applyAlignment="1" applyProtection="1">
      <alignment horizontal="center" vertical="center" wrapText="1"/>
      <protection hidden="1"/>
    </xf>
    <xf numFmtId="15" fontId="23" fillId="17" borderId="10" xfId="0" applyNumberFormat="1" applyFont="1" applyFill="1" applyBorder="1" applyAlignment="1" applyProtection="1">
      <alignment horizontal="center" vertical="center"/>
      <protection locked="0"/>
    </xf>
    <xf numFmtId="15" fontId="23" fillId="0" borderId="0" xfId="0" applyNumberFormat="1" applyFont="1" applyAlignment="1">
      <alignment horizontal="center" vertical="center"/>
    </xf>
    <xf numFmtId="0" fontId="32" fillId="0" borderId="0" xfId="0" applyFont="1" applyAlignment="1">
      <alignment horizontal="center" vertical="center"/>
    </xf>
    <xf numFmtId="0" fontId="40" fillId="4" borderId="12" xfId="0" applyFont="1" applyFill="1" applyBorder="1" applyAlignment="1">
      <alignment horizontal="center" vertical="center" wrapText="1"/>
    </xf>
    <xf numFmtId="15" fontId="33" fillId="0" borderId="0" xfId="0" applyNumberFormat="1" applyFont="1" applyAlignment="1">
      <alignment horizontal="center" vertical="center" wrapText="1"/>
    </xf>
    <xf numFmtId="0" fontId="33" fillId="0" borderId="0" xfId="0" applyFont="1" applyAlignment="1">
      <alignment wrapText="1"/>
    </xf>
    <xf numFmtId="15" fontId="33" fillId="2" borderId="0" xfId="0" applyNumberFormat="1" applyFont="1" applyFill="1" applyAlignment="1">
      <alignment horizontal="center" vertical="center"/>
    </xf>
    <xf numFmtId="15" fontId="33" fillId="2" borderId="0" xfId="0" applyNumberFormat="1" applyFont="1" applyFill="1" applyAlignment="1">
      <alignment horizontal="center" vertical="center" wrapText="1"/>
    </xf>
    <xf numFmtId="15" fontId="23" fillId="2" borderId="0" xfId="0" applyNumberFormat="1" applyFont="1" applyFill="1" applyAlignment="1">
      <alignment horizontal="center" vertical="center"/>
    </xf>
    <xf numFmtId="17" fontId="23" fillId="2" borderId="0" xfId="0" applyNumberFormat="1" applyFont="1" applyFill="1" applyAlignment="1">
      <alignment horizontal="center" vertical="center"/>
    </xf>
    <xf numFmtId="0" fontId="23" fillId="2" borderId="0" xfId="0" applyFont="1" applyFill="1" applyAlignment="1">
      <alignment horizontal="center" vertical="center"/>
    </xf>
    <xf numFmtId="0" fontId="39" fillId="2" borderId="0" xfId="0" applyFont="1" applyFill="1"/>
    <xf numFmtId="0" fontId="37" fillId="2" borderId="0" xfId="0" applyFont="1" applyFill="1"/>
    <xf numFmtId="0" fontId="22" fillId="13" borderId="7" xfId="0" applyFont="1" applyFill="1" applyBorder="1" applyAlignment="1">
      <alignment horizontal="center" vertical="center"/>
    </xf>
    <xf numFmtId="0" fontId="22" fillId="13" borderId="16" xfId="0" applyFont="1" applyFill="1" applyBorder="1" applyAlignment="1">
      <alignment horizontal="center" vertical="center"/>
    </xf>
    <xf numFmtId="0" fontId="28" fillId="13" borderId="2" xfId="1" applyFont="1" applyFill="1" applyBorder="1" applyAlignment="1" applyProtection="1">
      <alignment horizontal="center" vertical="center"/>
    </xf>
    <xf numFmtId="0" fontId="28" fillId="13" borderId="4" xfId="1" applyFont="1" applyFill="1" applyBorder="1" applyAlignment="1" applyProtection="1">
      <alignment horizontal="center" vertical="center"/>
    </xf>
    <xf numFmtId="0" fontId="23" fillId="13" borderId="0" xfId="0" applyFont="1" applyFill="1"/>
    <xf numFmtId="0" fontId="28" fillId="13" borderId="0" xfId="1" applyFont="1" applyFill="1" applyBorder="1" applyAlignment="1" applyProtection="1">
      <alignment horizontal="center" vertical="center"/>
    </xf>
    <xf numFmtId="0" fontId="23" fillId="13" borderId="0" xfId="0" applyFont="1" applyFill="1" applyAlignment="1">
      <alignment horizontal="center" wrapText="1"/>
    </xf>
    <xf numFmtId="0" fontId="37" fillId="13" borderId="0" xfId="0" applyFont="1" applyFill="1"/>
    <xf numFmtId="0" fontId="22" fillId="13" borderId="13" xfId="0" applyFont="1" applyFill="1" applyBorder="1" applyAlignment="1">
      <alignment horizontal="center" vertical="center"/>
    </xf>
    <xf numFmtId="0" fontId="22" fillId="13" borderId="14" xfId="0" applyFont="1" applyFill="1" applyBorder="1" applyAlignment="1">
      <alignment horizontal="center" vertical="center"/>
    </xf>
    <xf numFmtId="17" fontId="28" fillId="2" borderId="7" xfId="1" quotePrefix="1" applyNumberFormat="1" applyFont="1" applyFill="1" applyBorder="1" applyAlignment="1" applyProtection="1">
      <alignment horizontal="center" vertical="center"/>
    </xf>
    <xf numFmtId="17" fontId="28" fillId="2" borderId="16" xfId="1" quotePrefix="1" applyNumberFormat="1" applyFont="1" applyFill="1" applyBorder="1" applyAlignment="1" applyProtection="1">
      <alignment horizontal="center" vertical="center"/>
    </xf>
    <xf numFmtId="17" fontId="28" fillId="2" borderId="8" xfId="1" quotePrefix="1" applyNumberFormat="1" applyFont="1" applyFill="1" applyBorder="1" applyAlignment="1" applyProtection="1">
      <alignment horizontal="center" vertical="center"/>
    </xf>
    <xf numFmtId="0" fontId="22" fillId="15" borderId="22" xfId="0" applyFont="1" applyFill="1" applyBorder="1" applyAlignment="1">
      <alignment horizontal="center" vertical="center" wrapText="1"/>
    </xf>
    <xf numFmtId="0" fontId="22" fillId="4" borderId="22" xfId="0" applyFont="1" applyFill="1" applyBorder="1" applyAlignment="1">
      <alignment horizontal="center" vertical="center" wrapText="1"/>
    </xf>
    <xf numFmtId="17" fontId="28" fillId="2" borderId="12" xfId="1" quotePrefix="1" applyNumberFormat="1" applyFont="1" applyFill="1" applyBorder="1" applyAlignment="1" applyProtection="1">
      <alignment horizontal="center" vertical="center"/>
    </xf>
    <xf numFmtId="49" fontId="23" fillId="5" borderId="22" xfId="0" applyNumberFormat="1" applyFont="1" applyFill="1" applyBorder="1" applyAlignment="1">
      <alignment horizontal="center" vertical="center"/>
    </xf>
    <xf numFmtId="49" fontId="23" fillId="2" borderId="39" xfId="0" applyNumberFormat="1" applyFont="1" applyFill="1" applyBorder="1" applyAlignment="1">
      <alignment horizontal="center" vertical="center"/>
    </xf>
    <xf numFmtId="49" fontId="23" fillId="5" borderId="40" xfId="0" applyNumberFormat="1" applyFont="1" applyFill="1" applyBorder="1" applyAlignment="1">
      <alignment horizontal="center" vertical="center"/>
    </xf>
    <xf numFmtId="17" fontId="28" fillId="0" borderId="0" xfId="1" quotePrefix="1" applyNumberFormat="1" applyFont="1" applyFill="1" applyBorder="1" applyAlignment="1" applyProtection="1">
      <alignment horizontal="center" vertical="center"/>
    </xf>
    <xf numFmtId="0" fontId="23" fillId="0" borderId="16" xfId="0" applyFont="1" applyBorder="1"/>
    <xf numFmtId="0" fontId="23" fillId="0" borderId="12" xfId="0" applyFont="1" applyBorder="1"/>
    <xf numFmtId="17" fontId="34" fillId="2" borderId="0" xfId="0" applyNumberFormat="1" applyFont="1" applyFill="1" applyAlignment="1">
      <alignment horizontal="center" vertical="center" wrapText="1"/>
    </xf>
    <xf numFmtId="17" fontId="34" fillId="2" borderId="0" xfId="0" applyNumberFormat="1" applyFont="1" applyFill="1" applyAlignment="1">
      <alignment vertical="center" wrapText="1"/>
    </xf>
    <xf numFmtId="17" fontId="34" fillId="2" borderId="0" xfId="0" quotePrefix="1" applyNumberFormat="1" applyFont="1" applyFill="1" applyAlignment="1">
      <alignment vertical="center" wrapText="1"/>
    </xf>
    <xf numFmtId="17" fontId="22" fillId="0" borderId="0" xfId="0" applyNumberFormat="1" applyFont="1" applyAlignment="1">
      <alignment horizontal="center" vertical="center" wrapText="1"/>
    </xf>
    <xf numFmtId="0" fontId="37" fillId="2" borderId="0" xfId="0" applyFont="1" applyFill="1" applyAlignment="1">
      <alignment horizontal="left" vertical="center" wrapText="1"/>
    </xf>
    <xf numFmtId="0" fontId="37" fillId="2" borderId="0" xfId="0" applyFont="1" applyFill="1" applyAlignment="1">
      <alignment wrapText="1"/>
    </xf>
    <xf numFmtId="0" fontId="23" fillId="2" borderId="0" xfId="0" applyFont="1" applyFill="1" applyAlignment="1">
      <alignment horizontal="left" vertical="center" wrapText="1"/>
    </xf>
    <xf numFmtId="0" fontId="23" fillId="0" borderId="44" xfId="0" applyFont="1" applyBorder="1"/>
    <xf numFmtId="0" fontId="22" fillId="2" borderId="16" xfId="0" applyFont="1" applyFill="1" applyBorder="1" applyAlignment="1">
      <alignment vertical="center"/>
    </xf>
    <xf numFmtId="0" fontId="23" fillId="0" borderId="8" xfId="0" applyFont="1" applyBorder="1"/>
    <xf numFmtId="0" fontId="23" fillId="0" borderId="14" xfId="0" applyFont="1" applyBorder="1"/>
    <xf numFmtId="17" fontId="23" fillId="0" borderId="14" xfId="0" applyNumberFormat="1" applyFont="1" applyBorder="1"/>
    <xf numFmtId="0" fontId="22" fillId="2" borderId="14" xfId="0" applyFont="1" applyFill="1" applyBorder="1" applyAlignment="1">
      <alignment vertical="center"/>
    </xf>
    <xf numFmtId="0" fontId="23" fillId="0" borderId="15" xfId="0" applyFont="1" applyBorder="1"/>
    <xf numFmtId="17" fontId="23" fillId="0" borderId="0" xfId="0" applyNumberFormat="1" applyFont="1"/>
    <xf numFmtId="17" fontId="23" fillId="0" borderId="12" xfId="0" applyNumberFormat="1" applyFont="1" applyBorder="1"/>
    <xf numFmtId="0" fontId="22" fillId="0" borderId="0" xfId="0" applyFont="1" applyAlignment="1">
      <alignment vertical="center"/>
    </xf>
    <xf numFmtId="17" fontId="22" fillId="15" borderId="22" xfId="0" applyNumberFormat="1" applyFont="1" applyFill="1" applyBorder="1" applyAlignment="1">
      <alignment horizontal="center" vertical="center" wrapText="1"/>
    </xf>
    <xf numFmtId="0" fontId="32" fillId="15" borderId="22" xfId="0" applyFont="1" applyFill="1" applyBorder="1" applyAlignment="1">
      <alignment vertical="center"/>
    </xf>
    <xf numFmtId="0" fontId="23" fillId="15" borderId="22" xfId="0" applyFont="1" applyFill="1" applyBorder="1"/>
    <xf numFmtId="0" fontId="33" fillId="0" borderId="22" xfId="0" applyFont="1" applyBorder="1"/>
    <xf numFmtId="15" fontId="23" fillId="13" borderId="22" xfId="0" applyNumberFormat="1" applyFont="1" applyFill="1" applyBorder="1" applyAlignment="1">
      <alignment horizontal="center" vertical="center"/>
    </xf>
    <xf numFmtId="0" fontId="23" fillId="0" borderId="22" xfId="0" applyFont="1" applyBorder="1" applyAlignment="1">
      <alignment horizontal="center" vertical="center"/>
    </xf>
    <xf numFmtId="0" fontId="23" fillId="0" borderId="22" xfId="0" applyFont="1" applyBorder="1"/>
    <xf numFmtId="15" fontId="23" fillId="0" borderId="22" xfId="0" applyNumberFormat="1" applyFont="1" applyBorder="1" applyAlignment="1" applyProtection="1">
      <alignment horizontal="center" vertical="center"/>
      <protection locked="0"/>
    </xf>
    <xf numFmtId="0" fontId="23" fillId="0" borderId="22" xfId="0" applyFont="1" applyBorder="1" applyAlignment="1" applyProtection="1">
      <alignment horizontal="center" vertical="center"/>
      <protection locked="0"/>
    </xf>
    <xf numFmtId="165" fontId="33" fillId="0" borderId="22" xfId="0" applyNumberFormat="1" applyFont="1" applyBorder="1"/>
    <xf numFmtId="15" fontId="33" fillId="0" borderId="22" xfId="0" applyNumberFormat="1" applyFont="1" applyBorder="1"/>
    <xf numFmtId="0" fontId="32" fillId="2" borderId="22" xfId="0" applyFont="1" applyFill="1" applyBorder="1" applyAlignment="1">
      <alignment vertical="center"/>
    </xf>
    <xf numFmtId="0" fontId="23" fillId="0" borderId="13" xfId="0" applyFont="1" applyBorder="1"/>
    <xf numFmtId="14" fontId="23" fillId="0" borderId="0" xfId="0" applyNumberFormat="1" applyFont="1"/>
    <xf numFmtId="15" fontId="23" fillId="2" borderId="1" xfId="0" applyNumberFormat="1" applyFont="1" applyFill="1" applyBorder="1" applyAlignment="1">
      <alignment horizontal="center" vertical="center"/>
    </xf>
    <xf numFmtId="0" fontId="34" fillId="0" borderId="16" xfId="0" applyFont="1" applyBorder="1" applyAlignment="1">
      <alignment horizontal="center" vertical="center"/>
    </xf>
    <xf numFmtId="0" fontId="34" fillId="0" borderId="8" xfId="0" applyFont="1" applyBorder="1" applyAlignment="1">
      <alignment horizontal="center" vertical="center"/>
    </xf>
    <xf numFmtId="0" fontId="34" fillId="0" borderId="0" xfId="0" applyFont="1" applyAlignment="1">
      <alignment horizontal="center" vertical="center"/>
    </xf>
    <xf numFmtId="17" fontId="34" fillId="0" borderId="0" xfId="0" applyNumberFormat="1" applyFont="1" applyAlignment="1">
      <alignment horizontal="center" vertical="center"/>
    </xf>
    <xf numFmtId="17" fontId="34" fillId="0" borderId="12" xfId="0" applyNumberFormat="1" applyFont="1" applyBorder="1" applyAlignment="1">
      <alignment horizontal="center" vertical="center"/>
    </xf>
    <xf numFmtId="17" fontId="34" fillId="2" borderId="0" xfId="0" applyNumberFormat="1" applyFont="1" applyFill="1" applyAlignment="1">
      <alignment vertical="center"/>
    </xf>
    <xf numFmtId="17" fontId="34" fillId="0" borderId="0" xfId="0" applyNumberFormat="1" applyFont="1" applyAlignment="1">
      <alignment vertical="center"/>
    </xf>
    <xf numFmtId="0" fontId="37" fillId="0" borderId="0" xfId="0" applyFont="1" applyAlignment="1">
      <alignment horizontal="left" wrapText="1"/>
    </xf>
    <xf numFmtId="0" fontId="37" fillId="0" borderId="12" xfId="0" applyFont="1" applyBorder="1" applyAlignment="1">
      <alignment horizontal="left" wrapText="1"/>
    </xf>
    <xf numFmtId="0" fontId="23" fillId="2" borderId="13" xfId="0" applyFont="1" applyFill="1" applyBorder="1"/>
    <xf numFmtId="0" fontId="23" fillId="2" borderId="14" xfId="0" applyFont="1" applyFill="1" applyBorder="1"/>
    <xf numFmtId="0" fontId="23" fillId="2" borderId="15" xfId="0" applyFont="1" applyFill="1" applyBorder="1"/>
    <xf numFmtId="0" fontId="23" fillId="0" borderId="0" xfId="0" applyFont="1" applyAlignment="1">
      <alignment horizontal="center" vertical="center" wrapText="1"/>
    </xf>
    <xf numFmtId="0" fontId="22" fillId="2" borderId="0" xfId="0" applyFont="1" applyFill="1"/>
    <xf numFmtId="0" fontId="32" fillId="0" borderId="16" xfId="0" applyFont="1" applyBorder="1" applyAlignment="1">
      <alignment horizontal="center" vertical="center"/>
    </xf>
    <xf numFmtId="0" fontId="32" fillId="0" borderId="8" xfId="0" applyFont="1" applyBorder="1" applyAlignment="1">
      <alignment horizontal="center" vertical="center"/>
    </xf>
    <xf numFmtId="0" fontId="23" fillId="2" borderId="1" xfId="0" applyFont="1" applyFill="1" applyBorder="1" applyAlignment="1">
      <alignment horizontal="center" vertical="center"/>
    </xf>
    <xf numFmtId="0" fontId="22" fillId="3" borderId="2" xfId="0" applyFont="1" applyFill="1" applyBorder="1" applyAlignment="1">
      <alignment horizontal="center" vertical="center"/>
    </xf>
    <xf numFmtId="0" fontId="23" fillId="0" borderId="2" xfId="0" applyFont="1" applyBorder="1"/>
    <xf numFmtId="0" fontId="23" fillId="0" borderId="3" xfId="0" applyFont="1" applyBorder="1"/>
    <xf numFmtId="0" fontId="22" fillId="4" borderId="2" xfId="0" applyFont="1" applyFill="1" applyBorder="1" applyAlignment="1">
      <alignment horizontal="center" vertical="center"/>
    </xf>
    <xf numFmtId="0" fontId="22" fillId="4" borderId="16" xfId="0" applyFont="1" applyFill="1" applyBorder="1" applyAlignment="1">
      <alignment horizontal="center" vertical="center"/>
    </xf>
    <xf numFmtId="0" fontId="38" fillId="0" borderId="16" xfId="0" applyFont="1" applyBorder="1"/>
    <xf numFmtId="0" fontId="33" fillId="0" borderId="16" xfId="0" applyFont="1" applyBorder="1"/>
    <xf numFmtId="0" fontId="33" fillId="0" borderId="8" xfId="0" applyFont="1" applyBorder="1"/>
    <xf numFmtId="0" fontId="38" fillId="0" borderId="0" xfId="0" applyFont="1"/>
    <xf numFmtId="0" fontId="38" fillId="0" borderId="0" xfId="0" applyFont="1" applyAlignment="1">
      <alignment horizontal="left"/>
    </xf>
    <xf numFmtId="0" fontId="23" fillId="0" borderId="18" xfId="0" applyFont="1" applyBorder="1"/>
    <xf numFmtId="0" fontId="23" fillId="0" borderId="19" xfId="0" applyFont="1" applyBorder="1"/>
    <xf numFmtId="0" fontId="23" fillId="0" borderId="19" xfId="0" applyFont="1" applyBorder="1" applyProtection="1">
      <protection locked="0"/>
    </xf>
    <xf numFmtId="0" fontId="28" fillId="0" borderId="0" xfId="1" quotePrefix="1" applyFont="1" applyProtection="1"/>
    <xf numFmtId="15" fontId="23" fillId="17" borderId="22" xfId="0" applyNumberFormat="1" applyFont="1" applyFill="1" applyBorder="1" applyAlignment="1" applyProtection="1">
      <alignment horizontal="center" vertical="center"/>
      <protection locked="0"/>
    </xf>
    <xf numFmtId="0" fontId="22" fillId="0" borderId="0" xfId="0" applyFont="1" applyAlignment="1">
      <alignment horizontal="center" vertical="center"/>
    </xf>
    <xf numFmtId="15" fontId="23" fillId="13" borderId="10" xfId="0" applyNumberFormat="1" applyFont="1" applyFill="1" applyBorder="1" applyAlignment="1">
      <alignment horizontal="center" vertical="center"/>
    </xf>
    <xf numFmtId="15" fontId="23" fillId="13" borderId="11" xfId="0" applyNumberFormat="1" applyFont="1" applyFill="1" applyBorder="1" applyAlignment="1">
      <alignment horizontal="center" vertical="center"/>
    </xf>
    <xf numFmtId="0" fontId="23" fillId="0" borderId="20" xfId="0" applyFont="1" applyBorder="1"/>
    <xf numFmtId="0" fontId="34" fillId="0" borderId="20" xfId="0" applyFont="1" applyBorder="1" applyAlignment="1">
      <alignment horizontal="center" vertical="center"/>
    </xf>
    <xf numFmtId="0" fontId="22" fillId="0" borderId="20" xfId="0" applyFont="1" applyBorder="1" applyAlignment="1">
      <alignment horizontal="center" vertical="center"/>
    </xf>
    <xf numFmtId="0" fontId="44" fillId="0" borderId="20" xfId="0" applyFont="1" applyBorder="1" applyAlignment="1">
      <alignment horizontal="center" vertical="center"/>
    </xf>
    <xf numFmtId="0" fontId="23" fillId="2" borderId="20" xfId="0" applyFont="1" applyFill="1" applyBorder="1"/>
    <xf numFmtId="0" fontId="22" fillId="2" borderId="20" xfId="0" applyFont="1" applyFill="1" applyBorder="1" applyAlignment="1">
      <alignment horizontal="center" vertical="center"/>
    </xf>
    <xf numFmtId="0" fontId="22" fillId="0" borderId="20" xfId="0" applyFont="1" applyBorder="1" applyAlignment="1">
      <alignment horizontal="center" vertical="center" wrapText="1"/>
    </xf>
    <xf numFmtId="0" fontId="23" fillId="2" borderId="20" xfId="0" applyFont="1" applyFill="1" applyBorder="1" applyAlignment="1">
      <alignment shrinkToFit="1"/>
    </xf>
    <xf numFmtId="0" fontId="24" fillId="0" borderId="43" xfId="0" applyFont="1" applyBorder="1" applyAlignment="1">
      <alignment vertical="center" wrapText="1"/>
    </xf>
    <xf numFmtId="0" fontId="1" fillId="0" borderId="20" xfId="3" applyFont="1" applyBorder="1"/>
    <xf numFmtId="167" fontId="23" fillId="2" borderId="11" xfId="0" applyNumberFormat="1" applyFont="1" applyFill="1" applyBorder="1" applyAlignment="1" applyProtection="1">
      <alignment horizontal="center" vertical="center"/>
      <protection locked="0" hidden="1"/>
    </xf>
    <xf numFmtId="49" fontId="39" fillId="0" borderId="0" xfId="0" applyNumberFormat="1" applyFont="1"/>
    <xf numFmtId="167" fontId="33" fillId="0" borderId="0" xfId="0" applyNumberFormat="1" applyFont="1"/>
    <xf numFmtId="0" fontId="22" fillId="15" borderId="22" xfId="0" quotePrefix="1" applyFont="1" applyFill="1" applyBorder="1" applyAlignment="1">
      <alignment horizontal="center" vertical="center" wrapText="1"/>
    </xf>
    <xf numFmtId="0" fontId="22" fillId="0" borderId="22" xfId="0" applyFont="1" applyBorder="1" applyAlignment="1">
      <alignment horizontal="center" vertical="center" wrapText="1"/>
    </xf>
    <xf numFmtId="0" fontId="32" fillId="0" borderId="22" xfId="0" applyFont="1" applyBorder="1" applyAlignment="1">
      <alignment horizontal="center" vertical="center" wrapText="1"/>
    </xf>
    <xf numFmtId="1" fontId="23" fillId="13" borderId="22" xfId="0" applyNumberFormat="1" applyFont="1" applyFill="1" applyBorder="1" applyAlignment="1">
      <alignment horizontal="center" vertical="center"/>
    </xf>
    <xf numFmtId="49" fontId="23" fillId="13" borderId="22" xfId="0" applyNumberFormat="1" applyFont="1" applyFill="1" applyBorder="1" applyAlignment="1">
      <alignment horizontal="center" vertical="center"/>
    </xf>
    <xf numFmtId="49" fontId="23" fillId="13" borderId="22" xfId="0" applyNumberFormat="1" applyFont="1" applyFill="1" applyBorder="1" applyAlignment="1">
      <alignment horizontal="left" vertical="center" wrapText="1"/>
    </xf>
    <xf numFmtId="0" fontId="23" fillId="0" borderId="22" xfId="0" quotePrefix="1" applyFont="1" applyBorder="1" applyAlignment="1" applyProtection="1">
      <alignment horizontal="left" vertical="center" wrapText="1"/>
      <protection locked="0"/>
    </xf>
    <xf numFmtId="0" fontId="33" fillId="0" borderId="22" xfId="0" quotePrefix="1" applyFont="1" applyBorder="1" applyAlignment="1">
      <alignment horizontal="left" vertical="center" wrapText="1"/>
    </xf>
    <xf numFmtId="49" fontId="23" fillId="0" borderId="22" xfId="0" quotePrefix="1" applyNumberFormat="1" applyFont="1" applyBorder="1" applyAlignment="1" applyProtection="1">
      <alignment horizontal="left" vertical="center" wrapText="1"/>
      <protection locked="0"/>
    </xf>
    <xf numFmtId="0" fontId="34" fillId="15" borderId="22" xfId="0" applyFont="1" applyFill="1" applyBorder="1" applyAlignment="1">
      <alignment horizontal="center" vertical="center"/>
    </xf>
    <xf numFmtId="17" fontId="34" fillId="15" borderId="22" xfId="0" applyNumberFormat="1" applyFont="1" applyFill="1" applyBorder="1" applyAlignment="1">
      <alignment horizontal="center" vertical="center"/>
    </xf>
    <xf numFmtId="17" fontId="32" fillId="0" borderId="22" xfId="0" applyNumberFormat="1" applyFont="1" applyBorder="1" applyAlignment="1">
      <alignment horizontal="center" vertical="center"/>
    </xf>
    <xf numFmtId="49" fontId="23" fillId="18" borderId="22" xfId="0" applyNumberFormat="1" applyFont="1" applyFill="1" applyBorder="1" applyAlignment="1" applyProtection="1">
      <alignment horizontal="left" vertical="center" wrapText="1"/>
      <protection locked="0"/>
    </xf>
    <xf numFmtId="0" fontId="33" fillId="0" borderId="22" xfId="0" applyFont="1" applyBorder="1" applyAlignment="1">
      <alignment horizontal="left" wrapText="1"/>
    </xf>
    <xf numFmtId="0" fontId="39" fillId="15" borderId="22" xfId="0" applyFont="1" applyFill="1" applyBorder="1"/>
    <xf numFmtId="0" fontId="41" fillId="15" borderId="22" xfId="0" applyFont="1" applyFill="1" applyBorder="1" applyAlignment="1">
      <alignment horizontal="center" vertical="center"/>
    </xf>
    <xf numFmtId="0" fontId="32" fillId="0" borderId="22" xfId="0" applyFont="1" applyBorder="1" applyAlignment="1">
      <alignment horizontal="center" vertical="center"/>
    </xf>
    <xf numFmtId="0" fontId="37" fillId="5" borderId="22" xfId="0" applyFont="1" applyFill="1" applyBorder="1" applyAlignment="1">
      <alignment horizontal="center" vertical="center"/>
    </xf>
    <xf numFmtId="0" fontId="39" fillId="9" borderId="22" xfId="0" applyFont="1" applyFill="1" applyBorder="1"/>
    <xf numFmtId="49" fontId="39" fillId="9" borderId="22" xfId="0" quotePrefix="1" applyNumberFormat="1" applyFont="1" applyFill="1" applyBorder="1" applyAlignment="1">
      <alignment horizontal="left" wrapText="1"/>
    </xf>
    <xf numFmtId="0" fontId="23" fillId="2" borderId="22" xfId="0" quotePrefix="1" applyFont="1" applyFill="1" applyBorder="1" applyAlignment="1" applyProtection="1">
      <alignment horizontal="left" vertical="center" wrapText="1"/>
      <protection locked="0"/>
    </xf>
    <xf numFmtId="0" fontId="33" fillId="0" borderId="22" xfId="0" quotePrefix="1" applyFont="1" applyBorder="1" applyAlignment="1">
      <alignment horizontal="left" wrapText="1"/>
    </xf>
    <xf numFmtId="0" fontId="33" fillId="0" borderId="22" xfId="0" quotePrefix="1" applyFont="1" applyBorder="1" applyAlignment="1">
      <alignment horizontal="center" wrapText="1"/>
    </xf>
    <xf numFmtId="0" fontId="34" fillId="4" borderId="22" xfId="0" applyFont="1" applyFill="1" applyBorder="1" applyAlignment="1">
      <alignment horizontal="center" vertical="center"/>
    </xf>
    <xf numFmtId="0" fontId="42" fillId="4" borderId="22" xfId="0" applyFont="1" applyFill="1" applyBorder="1" applyAlignment="1">
      <alignment horizontal="center" vertical="center"/>
    </xf>
    <xf numFmtId="0" fontId="34" fillId="0" borderId="22" xfId="0" applyFont="1" applyBorder="1" applyAlignment="1">
      <alignment horizontal="center" vertical="center" wrapText="1"/>
    </xf>
    <xf numFmtId="17" fontId="32" fillId="2" borderId="22" xfId="0" applyNumberFormat="1" applyFont="1" applyFill="1" applyBorder="1" applyAlignment="1">
      <alignment vertical="center"/>
    </xf>
    <xf numFmtId="0" fontId="37" fillId="0" borderId="22" xfId="0" applyFont="1" applyBorder="1"/>
    <xf numFmtId="17" fontId="43" fillId="2" borderId="22" xfId="0" applyNumberFormat="1" applyFont="1" applyFill="1" applyBorder="1" applyAlignment="1">
      <alignment horizontal="center" vertical="center" wrapText="1"/>
    </xf>
    <xf numFmtId="17" fontId="43" fillId="2" borderId="22" xfId="0" applyNumberFormat="1" applyFont="1" applyFill="1" applyBorder="1" applyAlignment="1">
      <alignment vertical="center"/>
    </xf>
    <xf numFmtId="0" fontId="38" fillId="0" borderId="22" xfId="0" applyFont="1" applyBorder="1"/>
    <xf numFmtId="0" fontId="38" fillId="8" borderId="22" xfId="0" applyFont="1" applyFill="1" applyBorder="1"/>
    <xf numFmtId="0" fontId="37" fillId="2" borderId="22" xfId="0" applyFont="1" applyFill="1" applyBorder="1" applyAlignment="1">
      <alignment horizontal="center" vertical="center"/>
    </xf>
    <xf numFmtId="49" fontId="33" fillId="2" borderId="22" xfId="0" applyNumberFormat="1" applyFont="1" applyFill="1" applyBorder="1" applyAlignment="1">
      <alignment horizontal="center" vertical="center"/>
    </xf>
    <xf numFmtId="49" fontId="23" fillId="2" borderId="22" xfId="0" applyNumberFormat="1" applyFont="1" applyFill="1" applyBorder="1" applyAlignment="1">
      <alignment horizontal="center" vertical="center"/>
    </xf>
    <xf numFmtId="0" fontId="37" fillId="2" borderId="22" xfId="0" applyFont="1" applyFill="1" applyBorder="1" applyAlignment="1" applyProtection="1">
      <alignment horizontal="left" vertical="center" wrapText="1"/>
      <protection locked="0"/>
    </xf>
    <xf numFmtId="0" fontId="38" fillId="2" borderId="22" xfId="0" applyFont="1" applyFill="1" applyBorder="1" applyAlignment="1">
      <alignment horizontal="left" vertical="center" wrapText="1"/>
    </xf>
    <xf numFmtId="0" fontId="37" fillId="2" borderId="22" xfId="0" applyFont="1" applyFill="1" applyBorder="1" applyAlignment="1">
      <alignment horizontal="left" vertical="center" wrapText="1"/>
    </xf>
    <xf numFmtId="49" fontId="33" fillId="2" borderId="22" xfId="0" applyNumberFormat="1" applyFont="1" applyFill="1" applyBorder="1" applyAlignment="1">
      <alignment horizontal="left" vertical="center" wrapText="1"/>
    </xf>
    <xf numFmtId="0" fontId="33" fillId="2" borderId="22" xfId="0" applyFont="1" applyFill="1" applyBorder="1" applyAlignment="1">
      <alignment horizontal="left" vertical="center" wrapText="1"/>
    </xf>
    <xf numFmtId="0" fontId="37" fillId="0" borderId="22" xfId="0" applyFont="1" applyBorder="1" applyAlignment="1">
      <alignment horizontal="left" vertical="center" wrapText="1"/>
    </xf>
    <xf numFmtId="0" fontId="33" fillId="2" borderId="22" xfId="0" applyFont="1" applyFill="1" applyBorder="1"/>
    <xf numFmtId="0" fontId="38" fillId="2" borderId="22" xfId="0" applyFont="1" applyFill="1" applyBorder="1"/>
    <xf numFmtId="49" fontId="38" fillId="0" borderId="22" xfId="0" applyNumberFormat="1" applyFont="1" applyBorder="1"/>
    <xf numFmtId="0" fontId="11" fillId="6" borderId="22" xfId="2" applyFont="1" applyFill="1" applyBorder="1"/>
    <xf numFmtId="0" fontId="10" fillId="0" borderId="22" xfId="2" applyBorder="1" applyAlignment="1">
      <alignment horizontal="left"/>
    </xf>
    <xf numFmtId="0" fontId="11" fillId="6" borderId="22" xfId="2" applyFont="1" applyFill="1" applyBorder="1" applyAlignment="1">
      <alignment horizontal="left"/>
    </xf>
    <xf numFmtId="0" fontId="10" fillId="10" borderId="22" xfId="2" applyFill="1" applyBorder="1"/>
    <xf numFmtId="49" fontId="10" fillId="10" borderId="22" xfId="2" applyNumberFormat="1" applyFill="1" applyBorder="1"/>
    <xf numFmtId="0" fontId="10" fillId="0" borderId="22" xfId="2" quotePrefix="1" applyBorder="1"/>
    <xf numFmtId="176" fontId="10" fillId="0" borderId="22" xfId="2" applyNumberFormat="1" applyBorder="1"/>
    <xf numFmtId="166" fontId="10" fillId="0" borderId="22" xfId="2" applyNumberFormat="1" applyBorder="1"/>
    <xf numFmtId="164" fontId="10" fillId="0" borderId="22" xfId="2" applyNumberFormat="1" applyBorder="1"/>
    <xf numFmtId="0" fontId="23" fillId="15" borderId="22" xfId="0" quotePrefix="1" applyFont="1" applyFill="1" applyBorder="1" applyAlignment="1">
      <alignment horizontal="center" vertical="center" wrapText="1"/>
    </xf>
    <xf numFmtId="17" fontId="23" fillId="15" borderId="22" xfId="0" applyNumberFormat="1" applyFont="1" applyFill="1" applyBorder="1" applyAlignment="1">
      <alignment horizontal="center" vertical="center" wrapText="1"/>
    </xf>
    <xf numFmtId="0" fontId="33" fillId="0" borderId="22" xfId="0" applyFont="1" applyBorder="1" applyAlignment="1">
      <alignment wrapText="1"/>
    </xf>
    <xf numFmtId="49" fontId="23" fillId="0" borderId="22" xfId="0" applyNumberFormat="1" applyFont="1" applyBorder="1" applyAlignment="1" applyProtection="1">
      <alignment horizontal="left" vertical="center" wrapText="1"/>
      <protection locked="0"/>
    </xf>
    <xf numFmtId="17" fontId="23" fillId="0" borderId="22" xfId="0" applyNumberFormat="1" applyFont="1" applyBorder="1" applyAlignment="1">
      <alignment horizontal="center" vertical="center"/>
    </xf>
    <xf numFmtId="17" fontId="33" fillId="0" borderId="22" xfId="0" applyNumberFormat="1" applyFont="1" applyBorder="1" applyAlignment="1">
      <alignment vertical="center"/>
    </xf>
    <xf numFmtId="49" fontId="33" fillId="0" borderId="22" xfId="0" applyNumberFormat="1" applyFont="1" applyBorder="1" applyAlignment="1">
      <alignment vertical="center"/>
    </xf>
    <xf numFmtId="0" fontId="33" fillId="0" borderId="22" xfId="0" applyFont="1" applyBorder="1" applyAlignment="1">
      <alignment vertical="center"/>
    </xf>
    <xf numFmtId="17" fontId="33" fillId="0" borderId="22" xfId="0" applyNumberFormat="1" applyFont="1" applyBorder="1"/>
    <xf numFmtId="0" fontId="0" fillId="7" borderId="0" xfId="0" applyFill="1" applyProtection="1">
      <protection locked="0"/>
    </xf>
    <xf numFmtId="0" fontId="0" fillId="0" borderId="0" xfId="0" applyProtection="1">
      <protection locked="0"/>
    </xf>
    <xf numFmtId="0" fontId="0" fillId="0" borderId="22" xfId="0" applyBorder="1" applyProtection="1">
      <protection locked="0"/>
    </xf>
    <xf numFmtId="0" fontId="0" fillId="0" borderId="22" xfId="0" applyBorder="1" applyAlignment="1" applyProtection="1">
      <alignment wrapText="1"/>
      <protection locked="0"/>
    </xf>
    <xf numFmtId="166" fontId="0" fillId="0" borderId="22" xfId="0" applyNumberFormat="1" applyBorder="1" applyProtection="1">
      <protection locked="0"/>
    </xf>
    <xf numFmtId="2" fontId="0" fillId="0" borderId="22" xfId="0" applyNumberFormat="1" applyBorder="1" applyProtection="1">
      <protection locked="0"/>
    </xf>
    <xf numFmtId="49" fontId="0" fillId="0" borderId="22" xfId="0" applyNumberFormat="1" applyBorder="1" applyProtection="1">
      <protection locked="0"/>
    </xf>
    <xf numFmtId="167" fontId="0" fillId="0" borderId="22" xfId="0" applyNumberFormat="1" applyBorder="1" applyProtection="1">
      <protection locked="0"/>
    </xf>
    <xf numFmtId="0" fontId="0" fillId="0" borderId="0" xfId="0" applyAlignment="1" applyProtection="1">
      <alignment wrapText="1"/>
      <protection locked="0"/>
    </xf>
    <xf numFmtId="2" fontId="0" fillId="0" borderId="0" xfId="0" applyNumberFormat="1" applyProtection="1">
      <protection locked="0"/>
    </xf>
    <xf numFmtId="0" fontId="16" fillId="0" borderId="0" xfId="0" applyFont="1" applyProtection="1">
      <protection locked="0"/>
    </xf>
    <xf numFmtId="0" fontId="0" fillId="0" borderId="22" xfId="0" applyBorder="1"/>
    <xf numFmtId="1" fontId="0" fillId="0" borderId="22" xfId="0" applyNumberFormat="1" applyBorder="1" applyProtection="1">
      <protection locked="0"/>
    </xf>
    <xf numFmtId="169" fontId="0" fillId="0" borderId="22" xfId="0" applyNumberFormat="1" applyBorder="1" applyProtection="1">
      <protection locked="0"/>
    </xf>
    <xf numFmtId="14" fontId="0" fillId="0" borderId="22" xfId="0" applyNumberFormat="1" applyBorder="1" applyProtection="1">
      <protection locked="0"/>
    </xf>
    <xf numFmtId="49" fontId="0" fillId="0" borderId="22" xfId="0" applyNumberFormat="1" applyBorder="1" applyAlignment="1" applyProtection="1">
      <alignment wrapText="1"/>
      <protection locked="0"/>
    </xf>
    <xf numFmtId="0" fontId="0" fillId="0" borderId="22" xfId="0" quotePrefix="1" applyBorder="1" applyProtection="1">
      <protection locked="0"/>
    </xf>
    <xf numFmtId="167" fontId="0" fillId="0" borderId="22" xfId="0" quotePrefix="1" applyNumberFormat="1" applyBorder="1" applyProtection="1">
      <protection locked="0"/>
    </xf>
    <xf numFmtId="176" fontId="0" fillId="0" borderId="22" xfId="0" applyNumberFormat="1" applyBorder="1" applyProtection="1">
      <protection locked="0"/>
    </xf>
    <xf numFmtId="0" fontId="0" fillId="0" borderId="22" xfId="0" quotePrefix="1" applyBorder="1"/>
    <xf numFmtId="49" fontId="0" fillId="0" borderId="22" xfId="0" quotePrefix="1" applyNumberFormat="1" applyBorder="1" applyProtection="1">
      <protection locked="0"/>
    </xf>
    <xf numFmtId="0" fontId="24" fillId="0" borderId="43" xfId="0" applyFont="1" applyBorder="1" applyAlignment="1">
      <alignment vertical="center" wrapText="1"/>
    </xf>
    <xf numFmtId="0" fontId="24" fillId="0" borderId="41" xfId="0" applyFont="1" applyBorder="1" applyAlignment="1">
      <alignment vertical="center" wrapText="1"/>
    </xf>
    <xf numFmtId="0" fontId="24" fillId="0" borderId="42" xfId="0" applyFont="1" applyBorder="1" applyAlignment="1">
      <alignment vertical="center" wrapText="1"/>
    </xf>
    <xf numFmtId="0" fontId="25" fillId="0" borderId="7" xfId="0" applyFont="1" applyBorder="1" applyAlignment="1">
      <alignment horizontal="left" vertical="center" wrapText="1"/>
    </xf>
    <xf numFmtId="0" fontId="25" fillId="0" borderId="106" xfId="0" applyFont="1" applyBorder="1" applyAlignment="1">
      <alignment horizontal="left" vertical="center" wrapText="1"/>
    </xf>
    <xf numFmtId="0" fontId="24" fillId="0" borderId="1" xfId="0" applyFont="1" applyBorder="1" applyAlignment="1">
      <alignment horizontal="left" vertical="center" wrapText="1"/>
    </xf>
    <xf numFmtId="0" fontId="24" fillId="0" borderId="12" xfId="0" applyFont="1" applyBorder="1" applyAlignment="1">
      <alignment horizontal="left" vertical="center" wrapText="1"/>
    </xf>
    <xf numFmtId="0" fontId="25" fillId="0" borderId="4" xfId="0" applyFont="1" applyBorder="1" applyAlignment="1">
      <alignment horizontal="left" vertical="center" wrapText="1"/>
    </xf>
    <xf numFmtId="0" fontId="25" fillId="0" borderId="105" xfId="0" applyFont="1" applyBorder="1" applyAlignment="1">
      <alignment horizontal="left" vertical="center" wrapText="1"/>
    </xf>
    <xf numFmtId="0" fontId="25" fillId="0" borderId="13" xfId="0" applyFont="1" applyBorder="1" applyAlignment="1">
      <alignment horizontal="left" vertical="center" wrapText="1"/>
    </xf>
    <xf numFmtId="0" fontId="25" fillId="0" borderId="103" xfId="0" applyFont="1" applyBorder="1" applyAlignment="1">
      <alignment horizontal="left" vertical="center" wrapText="1"/>
    </xf>
    <xf numFmtId="0" fontId="25" fillId="0" borderId="8" xfId="0" applyFont="1" applyBorder="1" applyAlignment="1">
      <alignment horizontal="left" vertical="center" wrapText="1"/>
    </xf>
    <xf numFmtId="0" fontId="25" fillId="0" borderId="3" xfId="0" applyFont="1" applyBorder="1" applyAlignment="1">
      <alignment horizontal="left" vertical="center" wrapText="1"/>
    </xf>
    <xf numFmtId="0" fontId="25" fillId="21" borderId="4" xfId="0" applyFont="1" applyFill="1" applyBorder="1" applyAlignment="1">
      <alignment vertical="center" wrapText="1"/>
    </xf>
    <xf numFmtId="0" fontId="25" fillId="21" borderId="3" xfId="0" applyFont="1" applyFill="1" applyBorder="1" applyAlignment="1">
      <alignment vertical="center" wrapText="1"/>
    </xf>
    <xf numFmtId="0" fontId="21" fillId="16" borderId="0" xfId="8" applyFont="1" applyFill="1" applyAlignment="1">
      <alignment horizontal="center" vertical="center"/>
    </xf>
    <xf numFmtId="0" fontId="25" fillId="0" borderId="1" xfId="0" applyFont="1" applyBorder="1" applyAlignment="1">
      <alignment horizontal="left" vertical="center" wrapText="1"/>
    </xf>
    <xf numFmtId="0" fontId="25" fillId="0" borderId="104" xfId="0" applyFont="1" applyBorder="1" applyAlignment="1">
      <alignment horizontal="left" vertical="center" wrapText="1"/>
    </xf>
    <xf numFmtId="0" fontId="24" fillId="20" borderId="4" xfId="0" applyFont="1" applyFill="1" applyBorder="1" applyAlignment="1">
      <alignment vertical="center" wrapText="1"/>
    </xf>
    <xf numFmtId="0" fontId="24" fillId="20" borderId="3" xfId="0" applyFont="1" applyFill="1" applyBorder="1" applyAlignment="1">
      <alignment vertical="center" wrapText="1"/>
    </xf>
    <xf numFmtId="0" fontId="23" fillId="0" borderId="7" xfId="1" applyFont="1" applyBorder="1" applyAlignment="1">
      <alignment horizontal="left" vertical="center" wrapText="1"/>
    </xf>
    <xf numFmtId="0" fontId="23" fillId="0" borderId="106" xfId="1" applyFont="1" applyBorder="1" applyAlignment="1">
      <alignment horizontal="left" vertical="center" wrapText="1"/>
    </xf>
    <xf numFmtId="0" fontId="24" fillId="20" borderId="105" xfId="0" applyFont="1" applyFill="1" applyBorder="1" applyAlignment="1">
      <alignment vertical="center" wrapText="1"/>
    </xf>
    <xf numFmtId="0" fontId="24" fillId="0" borderId="13" xfId="0" applyFont="1" applyBorder="1" applyAlignment="1">
      <alignment horizontal="left" vertical="center" wrapText="1"/>
    </xf>
    <xf numFmtId="0" fontId="24" fillId="0" borderId="15" xfId="0" applyFont="1" applyBorder="1" applyAlignment="1">
      <alignment horizontal="left" vertical="center" wrapText="1"/>
    </xf>
    <xf numFmtId="0" fontId="9" fillId="19" borderId="4" xfId="1" applyFill="1" applyBorder="1" applyAlignment="1">
      <alignment vertical="center" wrapText="1"/>
    </xf>
    <xf numFmtId="0" fontId="9" fillId="19" borderId="3" xfId="1" applyFill="1" applyBorder="1" applyAlignment="1">
      <alignment vertical="center" wrapText="1"/>
    </xf>
    <xf numFmtId="0" fontId="28" fillId="19" borderId="4" xfId="1" applyFont="1" applyFill="1" applyBorder="1" applyAlignment="1">
      <alignment vertical="center" wrapText="1"/>
    </xf>
    <xf numFmtId="0" fontId="28" fillId="19" borderId="3" xfId="1" applyFont="1" applyFill="1" applyBorder="1" applyAlignment="1">
      <alignment vertical="center" wrapText="1"/>
    </xf>
    <xf numFmtId="0" fontId="23" fillId="19" borderId="4" xfId="1" applyFont="1" applyFill="1" applyBorder="1" applyAlignment="1">
      <alignment horizontal="left" vertical="center" wrapText="1"/>
    </xf>
    <xf numFmtId="0" fontId="23" fillId="19" borderId="3" xfId="1" applyFont="1" applyFill="1" applyBorder="1" applyAlignment="1">
      <alignment horizontal="left" vertical="center" wrapText="1"/>
    </xf>
    <xf numFmtId="0" fontId="23" fillId="0" borderId="4" xfId="0" applyFont="1" applyBorder="1" applyAlignment="1">
      <alignment horizontal="left" vertical="top"/>
    </xf>
    <xf numFmtId="0" fontId="23" fillId="0" borderId="3" xfId="0" applyFont="1" applyBorder="1" applyAlignment="1">
      <alignment horizontal="left" vertical="top"/>
    </xf>
    <xf numFmtId="0" fontId="31" fillId="21" borderId="4" xfId="0" applyFont="1" applyFill="1" applyBorder="1" applyAlignment="1">
      <alignment vertical="center" wrapText="1"/>
    </xf>
    <xf numFmtId="0" fontId="31" fillId="21" borderId="3" xfId="0" applyFont="1" applyFill="1" applyBorder="1" applyAlignment="1">
      <alignment vertical="center" wrapText="1"/>
    </xf>
    <xf numFmtId="0" fontId="23" fillId="0" borderId="4" xfId="0" applyFont="1" applyBorder="1" applyAlignment="1">
      <alignment horizontal="left" vertical="top" wrapText="1"/>
    </xf>
    <xf numFmtId="0" fontId="23" fillId="0" borderId="3" xfId="0" applyFont="1" applyBorder="1" applyAlignment="1">
      <alignment horizontal="left" vertical="top" wrapText="1"/>
    </xf>
    <xf numFmtId="0" fontId="25" fillId="0" borderId="12" xfId="0" applyFont="1" applyBorder="1" applyAlignment="1">
      <alignment horizontal="left" vertical="center" wrapText="1"/>
    </xf>
    <xf numFmtId="0" fontId="25" fillId="0" borderId="15" xfId="0" applyFont="1" applyBorder="1" applyAlignment="1">
      <alignment horizontal="left" vertical="center" wrapText="1"/>
    </xf>
    <xf numFmtId="0" fontId="28" fillId="19" borderId="7" xfId="1" applyFont="1" applyFill="1" applyBorder="1" applyAlignment="1">
      <alignment vertical="center" wrapText="1"/>
    </xf>
    <xf numFmtId="0" fontId="28" fillId="19" borderId="8" xfId="1" applyFont="1" applyFill="1" applyBorder="1" applyAlignment="1">
      <alignment vertical="center" wrapText="1"/>
    </xf>
    <xf numFmtId="0" fontId="25" fillId="19" borderId="13" xfId="0" applyFont="1" applyFill="1" applyBorder="1" applyAlignment="1">
      <alignment vertical="center" wrapText="1"/>
    </xf>
    <xf numFmtId="0" fontId="25" fillId="19" borderId="15" xfId="0" applyFont="1" applyFill="1" applyBorder="1" applyAlignment="1">
      <alignment vertical="center" wrapText="1"/>
    </xf>
    <xf numFmtId="0" fontId="22" fillId="19" borderId="4" xfId="0" applyFont="1" applyFill="1" applyBorder="1" applyAlignment="1">
      <alignment horizontal="center" vertical="center"/>
    </xf>
    <xf numFmtId="0" fontId="22" fillId="19" borderId="2" xfId="0" applyFont="1" applyFill="1" applyBorder="1" applyAlignment="1">
      <alignment horizontal="center" vertical="center"/>
    </xf>
    <xf numFmtId="0" fontId="22" fillId="15" borderId="4" xfId="0" applyFont="1" applyFill="1" applyBorder="1" applyAlignment="1">
      <alignment horizontal="center" vertical="center"/>
    </xf>
    <xf numFmtId="0" fontId="22" fillId="15" borderId="2" xfId="0" applyFont="1" applyFill="1" applyBorder="1" applyAlignment="1">
      <alignment horizontal="center" vertical="center"/>
    </xf>
    <xf numFmtId="0" fontId="23" fillId="0" borderId="0" xfId="0" applyFont="1" applyAlignment="1">
      <alignment horizontal="center" vertical="center" wrapText="1"/>
    </xf>
    <xf numFmtId="0" fontId="22" fillId="15" borderId="5" xfId="0" applyFont="1" applyFill="1" applyBorder="1" applyAlignment="1">
      <alignment horizontal="center" vertical="center"/>
    </xf>
    <xf numFmtId="0" fontId="22" fillId="15" borderId="17" xfId="0" applyFont="1" applyFill="1" applyBorder="1" applyAlignment="1">
      <alignment horizontal="center" vertical="center"/>
    </xf>
    <xf numFmtId="0" fontId="35" fillId="16" borderId="7" xfId="0" applyFont="1" applyFill="1" applyBorder="1" applyAlignment="1">
      <alignment horizontal="center" vertical="center"/>
    </xf>
    <xf numFmtId="0" fontId="35" fillId="16" borderId="16" xfId="0" applyFont="1" applyFill="1" applyBorder="1" applyAlignment="1">
      <alignment horizontal="center" vertical="center"/>
    </xf>
    <xf numFmtId="0" fontId="35" fillId="16" borderId="8" xfId="0" applyFont="1" applyFill="1" applyBorder="1" applyAlignment="1">
      <alignment horizontal="center" vertical="center"/>
    </xf>
    <xf numFmtId="0" fontId="35" fillId="16" borderId="13" xfId="0" applyFont="1" applyFill="1" applyBorder="1" applyAlignment="1">
      <alignment horizontal="center" vertical="center"/>
    </xf>
    <xf numFmtId="0" fontId="35" fillId="16" borderId="14" xfId="0" applyFont="1" applyFill="1" applyBorder="1" applyAlignment="1">
      <alignment horizontal="center" vertical="center"/>
    </xf>
    <xf numFmtId="0" fontId="35" fillId="16" borderId="15" xfId="0" applyFont="1" applyFill="1" applyBorder="1" applyAlignment="1">
      <alignment horizontal="center" vertical="center"/>
    </xf>
    <xf numFmtId="0" fontId="38" fillId="0" borderId="0" xfId="0" applyFont="1" applyAlignment="1">
      <alignment horizontal="center" vertical="center" wrapText="1"/>
    </xf>
    <xf numFmtId="0" fontId="22" fillId="13" borderId="6" xfId="0" applyFont="1" applyFill="1" applyBorder="1" applyAlignment="1">
      <alignment horizontal="center" vertical="center"/>
    </xf>
    <xf numFmtId="0" fontId="22" fillId="0" borderId="0" xfId="0" applyFont="1" applyAlignment="1">
      <alignment horizontal="center" vertical="center"/>
    </xf>
    <xf numFmtId="0" fontId="22" fillId="23" borderId="30" xfId="0" applyFont="1" applyFill="1" applyBorder="1" applyAlignment="1">
      <alignment vertical="center"/>
    </xf>
    <xf numFmtId="0" fontId="22" fillId="23" borderId="25" xfId="0" applyFont="1" applyFill="1" applyBorder="1" applyAlignment="1">
      <alignment vertical="center"/>
    </xf>
    <xf numFmtId="0" fontId="33" fillId="2" borderId="0" xfId="0" applyFont="1" applyFill="1" applyAlignment="1">
      <alignment horizontal="center" vertical="center"/>
    </xf>
    <xf numFmtId="0" fontId="37" fillId="13" borderId="20" xfId="0" applyFont="1" applyFill="1" applyBorder="1" applyAlignment="1">
      <alignment horizontal="center" vertical="center" wrapText="1"/>
    </xf>
    <xf numFmtId="0" fontId="23" fillId="13" borderId="26" xfId="0" applyFont="1" applyFill="1" applyBorder="1" applyAlignment="1">
      <alignment horizontal="center" vertical="center" wrapText="1"/>
    </xf>
    <xf numFmtId="0" fontId="23" fillId="13" borderId="21" xfId="0" applyFont="1" applyFill="1" applyBorder="1" applyAlignment="1">
      <alignment horizontal="center" vertical="center" wrapText="1"/>
    </xf>
    <xf numFmtId="0" fontId="37" fillId="0" borderId="26" xfId="0" applyFont="1" applyBorder="1" applyAlignment="1" applyProtection="1">
      <alignment horizontal="left" vertical="center" wrapText="1"/>
      <protection locked="0"/>
    </xf>
    <xf numFmtId="0" fontId="37" fillId="0" borderId="21" xfId="0" applyFont="1" applyBorder="1" applyAlignment="1" applyProtection="1">
      <alignment horizontal="left" vertical="center" wrapText="1"/>
      <protection locked="0"/>
    </xf>
    <xf numFmtId="0" fontId="35" fillId="16" borderId="48" xfId="0" applyFont="1" applyFill="1" applyBorder="1" applyAlignment="1" applyProtection="1">
      <alignment horizontal="center" vertical="center"/>
      <protection hidden="1"/>
    </xf>
    <xf numFmtId="0" fontId="22" fillId="2" borderId="0" xfId="0" applyFont="1" applyFill="1" applyAlignment="1" applyProtection="1">
      <alignment horizontal="center" vertical="center"/>
      <protection hidden="1"/>
    </xf>
    <xf numFmtId="0" fontId="22" fillId="2" borderId="38" xfId="0" applyFont="1" applyFill="1" applyBorder="1" applyAlignment="1" applyProtection="1">
      <alignment horizontal="center" vertical="center"/>
      <protection hidden="1"/>
    </xf>
    <xf numFmtId="0" fontId="23" fillId="0" borderId="0" xfId="0" applyFont="1" applyAlignment="1">
      <alignment horizontal="center"/>
    </xf>
    <xf numFmtId="172" fontId="37" fillId="14" borderId="26" xfId="0" applyNumberFormat="1" applyFont="1" applyFill="1" applyBorder="1" applyAlignment="1" applyProtection="1">
      <alignment horizontal="center" vertical="center" wrapText="1"/>
      <protection locked="0"/>
    </xf>
    <xf numFmtId="172" fontId="37" fillId="14" borderId="21" xfId="0" applyNumberFormat="1" applyFont="1" applyFill="1" applyBorder="1" applyAlignment="1" applyProtection="1">
      <alignment horizontal="center" vertical="center" wrapText="1"/>
      <protection locked="0"/>
    </xf>
    <xf numFmtId="0" fontId="37" fillId="14" borderId="26" xfId="0" applyFont="1" applyFill="1" applyBorder="1" applyAlignment="1" applyProtection="1">
      <alignment horizontal="left" vertical="center" wrapText="1"/>
      <protection locked="0"/>
    </xf>
    <xf numFmtId="0" fontId="37" fillId="14" borderId="21" xfId="0" applyFont="1" applyFill="1" applyBorder="1" applyAlignment="1" applyProtection="1">
      <alignment horizontal="left" vertical="center" wrapText="1"/>
      <protection locked="0"/>
    </xf>
    <xf numFmtId="168" fontId="37" fillId="14" borderId="26" xfId="0" applyNumberFormat="1" applyFont="1" applyFill="1" applyBorder="1" applyAlignment="1" applyProtection="1">
      <alignment horizontal="left" vertical="center" wrapText="1"/>
      <protection locked="0"/>
    </xf>
    <xf numFmtId="168" fontId="37" fillId="14" borderId="21" xfId="0" applyNumberFormat="1" applyFont="1" applyFill="1" applyBorder="1" applyAlignment="1" applyProtection="1">
      <alignment horizontal="left" vertical="center" wrapText="1"/>
      <protection locked="0"/>
    </xf>
    <xf numFmtId="0" fontId="37" fillId="14" borderId="26" xfId="0" applyFont="1" applyFill="1" applyBorder="1" applyAlignment="1" applyProtection="1">
      <alignment horizontal="center" vertical="center" wrapText="1"/>
      <protection locked="0"/>
    </xf>
    <xf numFmtId="0" fontId="37" fillId="14" borderId="21" xfId="0" applyFont="1" applyFill="1" applyBorder="1" applyAlignment="1" applyProtection="1">
      <alignment horizontal="center" vertical="center" wrapText="1"/>
      <protection locked="0"/>
    </xf>
    <xf numFmtId="0" fontId="23" fillId="5" borderId="27" xfId="0" applyFont="1" applyFill="1" applyBorder="1" applyAlignment="1" applyProtection="1">
      <alignment horizontal="center" vertical="center" wrapText="1"/>
      <protection hidden="1"/>
    </xf>
    <xf numFmtId="0" fontId="23" fillId="5" borderId="28" xfId="0" applyFont="1" applyFill="1" applyBorder="1" applyAlignment="1" applyProtection="1">
      <alignment horizontal="center" vertical="center" wrapText="1"/>
      <protection hidden="1"/>
    </xf>
    <xf numFmtId="0" fontId="23" fillId="13" borderId="45" xfId="0" applyFont="1" applyFill="1" applyBorder="1" applyAlignment="1">
      <alignment horizontal="center" vertical="center" wrapText="1"/>
    </xf>
    <xf numFmtId="0" fontId="23" fillId="13" borderId="24" xfId="0" applyFont="1" applyFill="1" applyBorder="1" applyAlignment="1">
      <alignment horizontal="center" vertical="center" wrapText="1"/>
    </xf>
    <xf numFmtId="0" fontId="23" fillId="13" borderId="23" xfId="0" applyFont="1" applyFill="1" applyBorder="1" applyAlignment="1">
      <alignment horizontal="center" vertical="center" wrapText="1"/>
    </xf>
    <xf numFmtId="0" fontId="23" fillId="13" borderId="107" xfId="0" applyFont="1" applyFill="1" applyBorder="1" applyAlignment="1">
      <alignment horizontal="center" vertical="center" wrapText="1"/>
    </xf>
    <xf numFmtId="0" fontId="23" fillId="13" borderId="37" xfId="0" applyFont="1" applyFill="1" applyBorder="1" applyAlignment="1">
      <alignment horizontal="center" vertical="center" wrapText="1"/>
    </xf>
    <xf numFmtId="168" fontId="37" fillId="0" borderId="26" xfId="0" applyNumberFormat="1" applyFont="1" applyBorder="1" applyAlignment="1" applyProtection="1">
      <alignment horizontal="center" vertical="center" wrapText="1"/>
      <protection locked="0"/>
    </xf>
    <xf numFmtId="168" fontId="37" fillId="0" borderId="21" xfId="0" applyNumberFormat="1" applyFont="1" applyBorder="1" applyAlignment="1" applyProtection="1">
      <alignment horizontal="center" vertical="center" wrapText="1"/>
      <protection locked="0"/>
    </xf>
    <xf numFmtId="171" fontId="37" fillId="0" borderId="26" xfId="0" applyNumberFormat="1" applyFont="1" applyBorder="1" applyAlignment="1" applyProtection="1">
      <alignment horizontal="center" vertical="center" wrapText="1"/>
      <protection locked="0"/>
    </xf>
    <xf numFmtId="171" fontId="37" fillId="0" borderId="21" xfId="0" applyNumberFormat="1" applyFont="1" applyBorder="1" applyAlignment="1" applyProtection="1">
      <alignment horizontal="center" vertical="center" wrapText="1"/>
      <protection locked="0"/>
    </xf>
    <xf numFmtId="172" fontId="37" fillId="0" borderId="26" xfId="0" applyNumberFormat="1" applyFont="1" applyBorder="1" applyAlignment="1" applyProtection="1">
      <alignment horizontal="center" vertical="center" wrapText="1"/>
      <protection locked="0"/>
    </xf>
    <xf numFmtId="172" fontId="37" fillId="0" borderId="21" xfId="0" applyNumberFormat="1" applyFont="1" applyBorder="1" applyAlignment="1" applyProtection="1">
      <alignment horizontal="center" vertical="center" wrapText="1"/>
      <protection locked="0"/>
    </xf>
    <xf numFmtId="168" fontId="37" fillId="14" borderId="26" xfId="0" applyNumberFormat="1" applyFont="1" applyFill="1" applyBorder="1" applyAlignment="1" applyProtection="1">
      <alignment horizontal="center" vertical="center" wrapText="1"/>
      <protection locked="0"/>
    </xf>
    <xf numFmtId="168" fontId="37" fillId="14" borderId="21" xfId="0" applyNumberFormat="1" applyFont="1" applyFill="1" applyBorder="1" applyAlignment="1" applyProtection="1">
      <alignment horizontal="center" vertical="center" wrapText="1"/>
      <protection locked="0"/>
    </xf>
    <xf numFmtId="171" fontId="37" fillId="14" borderId="26" xfId="0" applyNumberFormat="1" applyFont="1" applyFill="1" applyBorder="1" applyAlignment="1" applyProtection="1">
      <alignment horizontal="center" vertical="center" wrapText="1"/>
      <protection locked="0"/>
    </xf>
    <xf numFmtId="171" fontId="37" fillId="14" borderId="21" xfId="0" applyNumberFormat="1" applyFont="1" applyFill="1" applyBorder="1" applyAlignment="1" applyProtection="1">
      <alignment horizontal="center" vertical="center" wrapText="1"/>
      <protection locked="0"/>
    </xf>
    <xf numFmtId="168" fontId="37" fillId="0" borderId="26" xfId="0" applyNumberFormat="1" applyFont="1" applyBorder="1" applyAlignment="1" applyProtection="1">
      <alignment horizontal="left" vertical="center" wrapText="1"/>
      <protection locked="0"/>
    </xf>
    <xf numFmtId="168" fontId="37" fillId="0" borderId="21" xfId="0" applyNumberFormat="1" applyFont="1" applyBorder="1" applyAlignment="1" applyProtection="1">
      <alignment horizontal="left" vertical="center" wrapText="1"/>
      <protection locked="0"/>
    </xf>
    <xf numFmtId="0" fontId="37" fillId="0" borderId="26" xfId="0" applyFont="1" applyBorder="1" applyAlignment="1" applyProtection="1">
      <alignment horizontal="center" vertical="center" wrapText="1"/>
      <protection locked="0"/>
    </xf>
    <xf numFmtId="0" fontId="37" fillId="0" borderId="21" xfId="0" applyFont="1" applyBorder="1" applyAlignment="1" applyProtection="1">
      <alignment horizontal="center" vertical="center" wrapText="1"/>
      <protection locked="0"/>
    </xf>
    <xf numFmtId="0" fontId="22" fillId="23" borderId="0" xfId="0" applyFont="1" applyFill="1" applyAlignment="1">
      <alignment horizontal="center" vertical="center"/>
    </xf>
    <xf numFmtId="0" fontId="22" fillId="23" borderId="25" xfId="0" applyFont="1" applyFill="1" applyBorder="1" applyAlignment="1">
      <alignment horizontal="center" vertical="center"/>
    </xf>
    <xf numFmtId="0" fontId="33" fillId="2" borderId="0" xfId="0" applyFont="1" applyFill="1" applyAlignment="1">
      <alignment horizontal="center" vertical="center" wrapText="1"/>
    </xf>
    <xf numFmtId="0" fontId="35" fillId="16" borderId="48" xfId="0" applyFont="1" applyFill="1" applyBorder="1" applyAlignment="1">
      <alignment horizontal="center" vertical="center"/>
    </xf>
    <xf numFmtId="168" fontId="23" fillId="14" borderId="26" xfId="0" applyNumberFormat="1" applyFont="1" applyFill="1" applyBorder="1" applyAlignment="1" applyProtection="1">
      <alignment horizontal="left" vertical="center" wrapText="1"/>
      <protection locked="0"/>
    </xf>
    <xf numFmtId="168" fontId="23" fillId="14" borderId="21" xfId="0" applyNumberFormat="1" applyFont="1" applyFill="1" applyBorder="1" applyAlignment="1" applyProtection="1">
      <alignment horizontal="left" vertical="center" wrapText="1"/>
      <protection locked="0"/>
    </xf>
    <xf numFmtId="0" fontId="23" fillId="14" borderId="26" xfId="0" applyFont="1" applyFill="1" applyBorder="1" applyAlignment="1" applyProtection="1">
      <alignment horizontal="left" vertical="center" wrapText="1"/>
      <protection locked="0"/>
    </xf>
    <xf numFmtId="0" fontId="23" fillId="14" borderId="21" xfId="0" applyFont="1" applyFill="1" applyBorder="1" applyAlignment="1" applyProtection="1">
      <alignment horizontal="left" vertical="center" wrapText="1"/>
      <protection locked="0"/>
    </xf>
    <xf numFmtId="0" fontId="23" fillId="5" borderId="26" xfId="4" applyFont="1" applyFill="1" applyBorder="1" applyAlignment="1">
      <alignment horizontal="center" vertical="center" wrapText="1"/>
    </xf>
    <xf numFmtId="0" fontId="23" fillId="5" borderId="21" xfId="4" applyFont="1" applyFill="1" applyBorder="1" applyAlignment="1">
      <alignment horizontal="center" vertical="center" wrapText="1"/>
    </xf>
    <xf numFmtId="168" fontId="23" fillId="14" borderId="26" xfId="0" applyNumberFormat="1" applyFont="1" applyFill="1" applyBorder="1" applyAlignment="1" applyProtection="1">
      <alignment horizontal="center" vertical="center"/>
      <protection locked="0"/>
    </xf>
    <xf numFmtId="168" fontId="23" fillId="14" borderId="21" xfId="0" applyNumberFormat="1" applyFont="1" applyFill="1" applyBorder="1" applyAlignment="1" applyProtection="1">
      <alignment horizontal="center" vertical="center"/>
      <protection locked="0"/>
    </xf>
    <xf numFmtId="171" fontId="23" fillId="14" borderId="26" xfId="0" applyNumberFormat="1" applyFont="1" applyFill="1" applyBorder="1" applyAlignment="1" applyProtection="1">
      <alignment horizontal="left" vertical="center" wrapText="1"/>
      <protection locked="0"/>
    </xf>
    <xf numFmtId="171" fontId="23" fillId="14" borderId="21" xfId="0" applyNumberFormat="1" applyFont="1" applyFill="1" applyBorder="1" applyAlignment="1" applyProtection="1">
      <alignment horizontal="left" vertical="center" wrapText="1"/>
      <protection locked="0"/>
    </xf>
    <xf numFmtId="0" fontId="23" fillId="14" borderId="26" xfId="0" applyFont="1" applyFill="1" applyBorder="1" applyAlignment="1" applyProtection="1">
      <alignment horizontal="center" vertical="center" wrapText="1"/>
      <protection locked="0"/>
    </xf>
    <xf numFmtId="0" fontId="23" fillId="14" borderId="21" xfId="0" applyFont="1" applyFill="1" applyBorder="1" applyAlignment="1" applyProtection="1">
      <alignment horizontal="center" vertical="center" wrapText="1"/>
      <protection locked="0"/>
    </xf>
    <xf numFmtId="0" fontId="23" fillId="13" borderId="27" xfId="0" applyFont="1" applyFill="1" applyBorder="1" applyAlignment="1">
      <alignment horizontal="center" vertical="center" wrapText="1"/>
    </xf>
    <xf numFmtId="0" fontId="23" fillId="13" borderId="28" xfId="0" applyFont="1" applyFill="1" applyBorder="1" applyAlignment="1">
      <alignment horizontal="center" vertical="center" wrapText="1"/>
    </xf>
    <xf numFmtId="168" fontId="23" fillId="0" borderId="26" xfId="0" applyNumberFormat="1" applyFont="1" applyBorder="1" applyAlignment="1" applyProtection="1">
      <alignment horizontal="center" vertical="center"/>
      <protection locked="0"/>
    </xf>
    <xf numFmtId="168" fontId="23" fillId="0" borderId="21" xfId="0" applyNumberFormat="1" applyFont="1" applyBorder="1" applyAlignment="1" applyProtection="1">
      <alignment horizontal="center" vertical="center"/>
      <protection locked="0"/>
    </xf>
    <xf numFmtId="171" fontId="23" fillId="0" borderId="26" xfId="0" applyNumberFormat="1" applyFont="1" applyBorder="1" applyAlignment="1" applyProtection="1">
      <alignment horizontal="left" vertical="center" wrapText="1"/>
      <protection locked="0"/>
    </xf>
    <xf numFmtId="171" fontId="23" fillId="0" borderId="21" xfId="0" applyNumberFormat="1" applyFont="1" applyBorder="1" applyAlignment="1" applyProtection="1">
      <alignment horizontal="left" vertical="center" wrapText="1"/>
      <protection locked="0"/>
    </xf>
    <xf numFmtId="0" fontId="23" fillId="0" borderId="26" xfId="0" applyFont="1" applyBorder="1" applyAlignment="1" applyProtection="1">
      <alignment horizontal="left" vertical="center" wrapText="1"/>
      <protection locked="0"/>
    </xf>
    <xf numFmtId="0" fontId="23" fillId="0" borderId="21" xfId="0" applyFont="1" applyBorder="1" applyAlignment="1" applyProtection="1">
      <alignment horizontal="left" vertical="center" wrapText="1"/>
      <protection locked="0"/>
    </xf>
    <xf numFmtId="0" fontId="23" fillId="13" borderId="27" xfId="0" applyFont="1" applyFill="1" applyBorder="1" applyAlignment="1" applyProtection="1">
      <alignment horizontal="center" vertical="center" wrapText="1"/>
      <protection hidden="1"/>
    </xf>
    <xf numFmtId="0" fontId="23" fillId="13" borderId="28" xfId="0" applyFont="1" applyFill="1" applyBorder="1" applyAlignment="1" applyProtection="1">
      <alignment horizontal="center" vertical="center" wrapText="1"/>
      <protection hidden="1"/>
    </xf>
    <xf numFmtId="0" fontId="23" fillId="2" borderId="26" xfId="0" applyFont="1" applyFill="1" applyBorder="1" applyAlignment="1" applyProtection="1">
      <alignment horizontal="left" vertical="center" wrapText="1"/>
      <protection locked="0"/>
    </xf>
    <xf numFmtId="0" fontId="23" fillId="2" borderId="21" xfId="0" applyFont="1" applyFill="1" applyBorder="1" applyAlignment="1" applyProtection="1">
      <alignment horizontal="left" vertical="center" wrapText="1"/>
      <protection locked="0"/>
    </xf>
    <xf numFmtId="168" fontId="23" fillId="0" borderId="26" xfId="0" applyNumberFormat="1" applyFont="1" applyBorder="1" applyAlignment="1" applyProtection="1">
      <alignment horizontal="left" vertical="center" wrapText="1"/>
      <protection locked="0"/>
    </xf>
    <xf numFmtId="168" fontId="23" fillId="0" borderId="21" xfId="0" applyNumberFormat="1" applyFont="1" applyBorder="1" applyAlignment="1" applyProtection="1">
      <alignment horizontal="left" vertical="center" wrapText="1"/>
      <protection locked="0"/>
    </xf>
    <xf numFmtId="0" fontId="23" fillId="0" borderId="26" xfId="0" applyFont="1" applyBorder="1" applyAlignment="1" applyProtection="1">
      <alignment horizontal="center" vertical="center" wrapText="1"/>
      <protection locked="0"/>
    </xf>
    <xf numFmtId="0" fontId="23" fillId="0" borderId="21" xfId="0" applyFont="1" applyBorder="1" applyAlignment="1" applyProtection="1">
      <alignment horizontal="center" vertical="center" wrapText="1"/>
      <protection locked="0"/>
    </xf>
    <xf numFmtId="0" fontId="23" fillId="2" borderId="0" xfId="0" applyFont="1" applyFill="1" applyAlignment="1">
      <alignment horizontal="center"/>
    </xf>
    <xf numFmtId="0" fontId="23" fillId="2" borderId="26" xfId="0" applyFont="1" applyFill="1" applyBorder="1" applyAlignment="1" applyProtection="1">
      <alignment horizontal="center" vertical="center"/>
      <protection locked="0"/>
    </xf>
    <xf numFmtId="0" fontId="23" fillId="2" borderId="21" xfId="0" applyFont="1" applyFill="1" applyBorder="1" applyAlignment="1" applyProtection="1">
      <alignment horizontal="center" vertical="center"/>
      <protection locked="0"/>
    </xf>
    <xf numFmtId="0" fontId="37" fillId="13" borderId="26" xfId="0" applyFont="1" applyFill="1" applyBorder="1" applyAlignment="1">
      <alignment horizontal="center" vertical="center" wrapText="1"/>
    </xf>
    <xf numFmtId="0" fontId="37" fillId="13" borderId="21" xfId="0" applyFont="1" applyFill="1" applyBorder="1" applyAlignment="1">
      <alignment horizontal="center" vertical="center" wrapText="1"/>
    </xf>
    <xf numFmtId="0" fontId="23" fillId="0" borderId="26" xfId="0" applyFont="1" applyBorder="1" applyAlignment="1" applyProtection="1">
      <alignment horizontal="center" vertical="center"/>
      <protection locked="0"/>
    </xf>
    <xf numFmtId="0" fontId="23" fillId="0" borderId="21" xfId="0" applyFont="1" applyBorder="1" applyAlignment="1" applyProtection="1">
      <alignment horizontal="center" vertical="center"/>
      <protection locked="0"/>
    </xf>
    <xf numFmtId="0" fontId="23" fillId="5" borderId="26" xfId="4" applyFont="1" applyFill="1" applyBorder="1" applyAlignment="1" applyProtection="1">
      <alignment horizontal="center" vertical="center" wrapText="1"/>
      <protection hidden="1"/>
    </xf>
    <xf numFmtId="0" fontId="23" fillId="5" borderId="21" xfId="4" applyFont="1" applyFill="1" applyBorder="1" applyAlignment="1" applyProtection="1">
      <alignment horizontal="center" vertical="center" wrapText="1"/>
      <protection hidden="1"/>
    </xf>
    <xf numFmtId="0" fontId="23" fillId="0" borderId="26" xfId="0" applyFont="1" applyBorder="1" applyAlignment="1" applyProtection="1">
      <alignment vertical="center" wrapText="1"/>
      <protection locked="0"/>
    </xf>
    <xf numFmtId="0" fontId="23" fillId="0" borderId="21" xfId="0" applyFont="1" applyBorder="1" applyAlignment="1" applyProtection="1">
      <alignment vertical="center" wrapText="1"/>
      <protection locked="0"/>
    </xf>
    <xf numFmtId="168" fontId="23" fillId="2" borderId="26" xfId="0" applyNumberFormat="1" applyFont="1" applyFill="1" applyBorder="1" applyAlignment="1" applyProtection="1">
      <alignment horizontal="center" vertical="center"/>
      <protection locked="0"/>
    </xf>
    <xf numFmtId="168" fontId="23" fillId="2" borderId="21" xfId="0" applyNumberFormat="1" applyFont="1" applyFill="1" applyBorder="1" applyAlignment="1" applyProtection="1">
      <alignment horizontal="center" vertical="center"/>
      <protection locked="0"/>
    </xf>
    <xf numFmtId="0" fontId="23" fillId="2" borderId="20" xfId="0" applyFont="1" applyFill="1" applyBorder="1" applyAlignment="1">
      <alignment horizontal="center" vertical="center"/>
    </xf>
    <xf numFmtId="0" fontId="23" fillId="14" borderId="26" xfId="0" applyFont="1" applyFill="1" applyBorder="1" applyAlignment="1" applyProtection="1">
      <alignment horizontal="center" vertical="center"/>
      <protection locked="0"/>
    </xf>
    <xf numFmtId="0" fontId="23" fillId="14" borderId="21" xfId="0" applyFont="1" applyFill="1" applyBorder="1" applyAlignment="1" applyProtection="1">
      <alignment horizontal="center" vertical="center"/>
      <protection locked="0"/>
    </xf>
    <xf numFmtId="0" fontId="23" fillId="14" borderId="0" xfId="0" applyFont="1" applyFill="1" applyAlignment="1">
      <alignment horizontal="center"/>
    </xf>
    <xf numFmtId="0" fontId="23" fillId="14" borderId="20" xfId="0" applyFont="1" applyFill="1" applyBorder="1" applyAlignment="1">
      <alignment horizontal="center" vertical="center"/>
    </xf>
    <xf numFmtId="0" fontId="23" fillId="14" borderId="26" xfId="0" applyFont="1" applyFill="1" applyBorder="1" applyAlignment="1" applyProtection="1">
      <alignment vertical="center" wrapText="1"/>
      <protection locked="0"/>
    </xf>
    <xf numFmtId="0" fontId="23" fillId="14" borderId="21" xfId="0" applyFont="1" applyFill="1" applyBorder="1" applyAlignment="1" applyProtection="1">
      <alignment vertical="center" wrapText="1"/>
      <protection locked="0"/>
    </xf>
    <xf numFmtId="0" fontId="23" fillId="14" borderId="20" xfId="0" applyFont="1" applyFill="1" applyBorder="1" applyAlignment="1" applyProtection="1">
      <alignment horizontal="center" vertical="center"/>
      <protection locked="0"/>
    </xf>
    <xf numFmtId="0" fontId="23" fillId="2" borderId="20" xfId="0" applyFont="1" applyFill="1" applyBorder="1" applyAlignment="1" applyProtection="1">
      <alignment horizontal="center" vertical="center"/>
      <protection locked="0"/>
    </xf>
    <xf numFmtId="0" fontId="22" fillId="23" borderId="109" xfId="0" applyFont="1" applyFill="1" applyBorder="1" applyAlignment="1">
      <alignment horizontal="center" vertical="center"/>
    </xf>
    <xf numFmtId="0" fontId="22" fillId="23" borderId="87" xfId="0" applyFont="1" applyFill="1" applyBorder="1" applyAlignment="1">
      <alignment horizontal="center" vertical="center"/>
    </xf>
    <xf numFmtId="0" fontId="22" fillId="23" borderId="88" xfId="0" applyFont="1" applyFill="1" applyBorder="1" applyAlignment="1">
      <alignment horizontal="center" vertical="center"/>
    </xf>
    <xf numFmtId="0" fontId="22" fillId="23" borderId="36" xfId="0" applyFont="1" applyFill="1" applyBorder="1" applyAlignment="1">
      <alignment horizontal="center" vertical="center"/>
    </xf>
    <xf numFmtId="0" fontId="22" fillId="23" borderId="29" xfId="0" applyFont="1" applyFill="1" applyBorder="1" applyAlignment="1">
      <alignment horizontal="center" vertical="center"/>
    </xf>
    <xf numFmtId="0" fontId="35" fillId="16" borderId="48" xfId="0" applyFont="1" applyFill="1" applyBorder="1" applyAlignment="1">
      <alignment horizontal="center" vertical="center" wrapText="1"/>
    </xf>
    <xf numFmtId="0" fontId="22" fillId="13" borderId="20" xfId="0" applyFont="1" applyFill="1" applyBorder="1" applyAlignment="1">
      <alignment horizontal="center" vertical="center"/>
    </xf>
    <xf numFmtId="0" fontId="22" fillId="13" borderId="23" xfId="0" applyFont="1" applyFill="1" applyBorder="1" applyAlignment="1">
      <alignment horizontal="center" vertical="center"/>
    </xf>
    <xf numFmtId="0" fontId="22" fillId="13" borderId="37" xfId="0" applyFont="1" applyFill="1" applyBorder="1" applyAlignment="1">
      <alignment horizontal="center" vertical="center"/>
    </xf>
    <xf numFmtId="0" fontId="22" fillId="13" borderId="24" xfId="0" applyFont="1" applyFill="1" applyBorder="1" applyAlignment="1">
      <alignment horizontal="center" vertical="center"/>
    </xf>
    <xf numFmtId="0" fontId="23" fillId="11" borderId="26" xfId="0" applyFont="1" applyFill="1" applyBorder="1" applyAlignment="1">
      <alignment horizontal="center" vertical="center"/>
    </xf>
    <xf numFmtId="0" fontId="23" fillId="11" borderId="21" xfId="0" applyFont="1" applyFill="1" applyBorder="1" applyAlignment="1">
      <alignment horizontal="center" vertical="center"/>
    </xf>
    <xf numFmtId="0" fontId="23" fillId="11" borderId="26" xfId="0" applyFont="1" applyFill="1" applyBorder="1" applyAlignment="1">
      <alignment horizontal="left" vertical="center" wrapText="1"/>
    </xf>
    <xf numFmtId="0" fontId="23" fillId="11" borderId="21" xfId="0" applyFont="1" applyFill="1" applyBorder="1" applyAlignment="1">
      <alignment horizontal="left" vertical="center" wrapText="1"/>
    </xf>
    <xf numFmtId="0" fontId="23" fillId="11" borderId="26" xfId="0" applyFont="1" applyFill="1" applyBorder="1" applyAlignment="1">
      <alignment horizontal="center" vertical="center" wrapText="1"/>
    </xf>
    <xf numFmtId="0" fontId="23" fillId="11" borderId="21" xfId="0" applyFont="1" applyFill="1" applyBorder="1" applyAlignment="1">
      <alignment horizontal="center" vertical="center" wrapText="1"/>
    </xf>
    <xf numFmtId="10" fontId="23" fillId="2" borderId="26" xfId="0" applyNumberFormat="1" applyFont="1" applyFill="1" applyBorder="1" applyAlignment="1" applyProtection="1">
      <alignment horizontal="center" vertical="center"/>
      <protection locked="0"/>
    </xf>
    <xf numFmtId="10" fontId="23" fillId="2" borderId="21" xfId="0" applyNumberFormat="1" applyFont="1" applyFill="1" applyBorder="1" applyAlignment="1" applyProtection="1">
      <alignment horizontal="center" vertical="center"/>
      <protection locked="0"/>
    </xf>
    <xf numFmtId="0" fontId="23" fillId="2" borderId="26" xfId="0" applyFont="1" applyFill="1" applyBorder="1" applyAlignment="1" applyProtection="1">
      <alignment horizontal="center" vertical="center" wrapText="1"/>
      <protection locked="0"/>
    </xf>
    <xf numFmtId="0" fontId="23" fillId="2" borderId="21" xfId="0" applyFont="1" applyFill="1" applyBorder="1" applyAlignment="1" applyProtection="1">
      <alignment horizontal="center" vertical="center" wrapText="1"/>
      <protection locked="0"/>
    </xf>
    <xf numFmtId="0" fontId="34" fillId="15" borderId="23" xfId="0" applyFont="1" applyFill="1" applyBorder="1" applyAlignment="1">
      <alignment horizontal="center" vertical="center"/>
    </xf>
    <xf numFmtId="0" fontId="34" fillId="15" borderId="24" xfId="0" applyFont="1" applyFill="1" applyBorder="1" applyAlignment="1">
      <alignment horizontal="center" vertical="center"/>
    </xf>
    <xf numFmtId="0" fontId="35" fillId="16" borderId="48" xfId="0" quotePrefix="1" applyFont="1" applyFill="1" applyBorder="1" applyAlignment="1">
      <alignment horizontal="center" vertical="center"/>
    </xf>
    <xf numFmtId="0" fontId="34" fillId="15" borderId="37" xfId="0" applyFont="1" applyFill="1" applyBorder="1" applyAlignment="1">
      <alignment horizontal="center" vertical="center"/>
    </xf>
    <xf numFmtId="0" fontId="34" fillId="15" borderId="36" xfId="0" applyFont="1" applyFill="1" applyBorder="1" applyAlignment="1">
      <alignment horizontal="center" vertical="center"/>
    </xf>
    <xf numFmtId="0" fontId="34" fillId="15" borderId="25" xfId="0" applyFont="1" applyFill="1" applyBorder="1" applyAlignment="1">
      <alignment horizontal="center" vertical="center"/>
    </xf>
    <xf numFmtId="16" fontId="22" fillId="13" borderId="23" xfId="0" applyNumberFormat="1" applyFont="1" applyFill="1" applyBorder="1" applyAlignment="1">
      <alignment horizontal="center" vertical="center"/>
    </xf>
    <xf numFmtId="16" fontId="22" fillId="13" borderId="24" xfId="0" applyNumberFormat="1" applyFont="1" applyFill="1" applyBorder="1" applyAlignment="1">
      <alignment horizontal="center" vertical="center"/>
    </xf>
    <xf numFmtId="0" fontId="35" fillId="16" borderId="20" xfId="0" applyFont="1" applyFill="1" applyBorder="1" applyAlignment="1">
      <alignment horizontal="center" vertical="center"/>
    </xf>
    <xf numFmtId="0" fontId="36" fillId="16" borderId="20" xfId="0" applyFont="1" applyFill="1" applyBorder="1" applyAlignment="1">
      <alignment horizontal="center" vertical="center"/>
    </xf>
    <xf numFmtId="0" fontId="24" fillId="22" borderId="50" xfId="0" applyFont="1" applyFill="1" applyBorder="1" applyAlignment="1">
      <alignment horizontal="left" vertical="top" readingOrder="1"/>
    </xf>
    <xf numFmtId="0" fontId="24" fillId="22" borderId="51" xfId="0" applyFont="1" applyFill="1" applyBorder="1" applyAlignment="1">
      <alignment horizontal="left" vertical="top" readingOrder="1"/>
    </xf>
    <xf numFmtId="0" fontId="24" fillId="22" borderId="57" xfId="0" applyFont="1" applyFill="1" applyBorder="1" applyAlignment="1">
      <alignment horizontal="left" vertical="top" readingOrder="1"/>
    </xf>
    <xf numFmtId="0" fontId="28" fillId="0" borderId="50" xfId="1" applyFont="1" applyBorder="1" applyAlignment="1">
      <alignment horizontal="center" vertical="top" readingOrder="1"/>
    </xf>
    <xf numFmtId="0" fontId="28" fillId="0" borderId="57" xfId="1" applyFont="1" applyBorder="1" applyAlignment="1">
      <alignment horizontal="center" vertical="top" readingOrder="1"/>
    </xf>
    <xf numFmtId="0" fontId="25" fillId="0" borderId="50" xfId="0" applyFont="1" applyBorder="1" applyAlignment="1">
      <alignment horizontal="left" vertical="center"/>
    </xf>
    <xf numFmtId="0" fontId="25" fillId="0" borderId="51" xfId="0" applyFont="1" applyBorder="1" applyAlignment="1">
      <alignment horizontal="left" vertical="center"/>
    </xf>
    <xf numFmtId="0" fontId="25" fillId="0" borderId="57" xfId="0" applyFont="1" applyBorder="1" applyAlignment="1">
      <alignment horizontal="left" vertical="center"/>
    </xf>
    <xf numFmtId="0" fontId="24" fillId="22" borderId="23" xfId="0" applyFont="1" applyFill="1" applyBorder="1" applyAlignment="1">
      <alignment horizontal="left" vertical="top" readingOrder="1"/>
    </xf>
    <xf numFmtId="0" fontId="24" fillId="22" borderId="37" xfId="0" applyFont="1" applyFill="1" applyBorder="1" applyAlignment="1">
      <alignment horizontal="left" vertical="top" readingOrder="1"/>
    </xf>
    <xf numFmtId="0" fontId="28" fillId="2" borderId="51" xfId="1" applyFont="1" applyFill="1" applyBorder="1" applyAlignment="1">
      <alignment horizontal="center" vertical="top" readingOrder="1"/>
    </xf>
    <xf numFmtId="0" fontId="28" fillId="2" borderId="57" xfId="1" applyFont="1" applyFill="1" applyBorder="1" applyAlignment="1">
      <alignment horizontal="center" vertical="top" readingOrder="1"/>
    </xf>
    <xf numFmtId="0" fontId="25" fillId="0" borderId="50" xfId="0" quotePrefix="1" applyFont="1" applyBorder="1" applyAlignment="1">
      <alignment horizontal="left" vertical="top" readingOrder="1"/>
    </xf>
    <xf numFmtId="0" fontId="25" fillId="0" borderId="51" xfId="0" applyFont="1" applyBorder="1" applyAlignment="1">
      <alignment horizontal="left" vertical="top" readingOrder="1"/>
    </xf>
    <xf numFmtId="0" fontId="25" fillId="0" borderId="57" xfId="0" applyFont="1" applyBorder="1" applyAlignment="1">
      <alignment horizontal="left" vertical="top" readingOrder="1"/>
    </xf>
    <xf numFmtId="0" fontId="24" fillId="22" borderId="82" xfId="0" applyFont="1" applyFill="1" applyBorder="1" applyAlignment="1">
      <alignment horizontal="left" vertical="top" readingOrder="1"/>
    </xf>
    <xf numFmtId="0" fontId="25" fillId="0" borderId="62" xfId="0" applyFont="1" applyBorder="1" applyAlignment="1">
      <alignment horizontal="left" vertical="top" readingOrder="1"/>
    </xf>
    <xf numFmtId="0" fontId="25" fillId="0" borderId="63" xfId="0" applyFont="1" applyBorder="1" applyAlignment="1">
      <alignment horizontal="left" vertical="top" readingOrder="1"/>
    </xf>
    <xf numFmtId="0" fontId="25" fillId="0" borderId="70" xfId="0" applyFont="1" applyBorder="1" applyAlignment="1">
      <alignment horizontal="left" vertical="top" readingOrder="1"/>
    </xf>
    <xf numFmtId="0" fontId="25" fillId="0" borderId="65" xfId="0" applyFont="1" applyBorder="1" applyAlignment="1">
      <alignment horizontal="left" vertical="top" readingOrder="1"/>
    </xf>
    <xf numFmtId="0" fontId="25" fillId="0" borderId="66" xfId="0" applyFont="1" applyBorder="1" applyAlignment="1">
      <alignment horizontal="left" vertical="top" readingOrder="1"/>
    </xf>
    <xf numFmtId="0" fontId="25" fillId="0" borderId="55" xfId="0" applyFont="1" applyBorder="1" applyAlignment="1">
      <alignment horizontal="left" vertical="top" readingOrder="1"/>
    </xf>
    <xf numFmtId="0" fontId="25" fillId="0" borderId="0" xfId="0" applyFont="1" applyAlignment="1">
      <alignment horizontal="left" vertical="top" readingOrder="1"/>
    </xf>
    <xf numFmtId="0" fontId="25" fillId="0" borderId="67" xfId="0" applyFont="1" applyBorder="1" applyAlignment="1">
      <alignment horizontal="left" vertical="top" readingOrder="1"/>
    </xf>
    <xf numFmtId="0" fontId="25" fillId="0" borderId="71" xfId="0" applyFont="1" applyBorder="1" applyAlignment="1">
      <alignment horizontal="left" vertical="top" readingOrder="1"/>
    </xf>
    <xf numFmtId="0" fontId="25" fillId="0" borderId="68" xfId="0" applyFont="1" applyBorder="1" applyAlignment="1">
      <alignment horizontal="left" vertical="top" readingOrder="1"/>
    </xf>
    <xf numFmtId="0" fontId="25" fillId="0" borderId="69" xfId="0" applyFont="1" applyBorder="1" applyAlignment="1">
      <alignment horizontal="left" vertical="top" readingOrder="1"/>
    </xf>
    <xf numFmtId="0" fontId="25" fillId="0" borderId="50" xfId="0" applyFont="1" applyBorder="1" applyAlignment="1">
      <alignment horizontal="left" vertical="top" readingOrder="1"/>
    </xf>
    <xf numFmtId="0" fontId="24" fillId="22" borderId="24" xfId="0" applyFont="1" applyFill="1" applyBorder="1" applyAlignment="1">
      <alignment horizontal="left" vertical="top" readingOrder="1"/>
    </xf>
    <xf numFmtId="174" fontId="25" fillId="0" borderId="65" xfId="0" applyNumberFormat="1" applyFont="1" applyBorder="1" applyAlignment="1">
      <alignment horizontal="left" vertical="top" readingOrder="1"/>
    </xf>
    <xf numFmtId="174" fontId="25" fillId="0" borderId="66" xfId="0" applyNumberFormat="1" applyFont="1" applyBorder="1" applyAlignment="1">
      <alignment horizontal="left" vertical="top" readingOrder="1"/>
    </xf>
    <xf numFmtId="174" fontId="25" fillId="0" borderId="68" xfId="0" applyNumberFormat="1" applyFont="1" applyBorder="1" applyAlignment="1">
      <alignment horizontal="left" vertical="top" readingOrder="1"/>
    </xf>
    <xf numFmtId="174" fontId="25" fillId="0" borderId="69" xfId="0" applyNumberFormat="1" applyFont="1" applyBorder="1" applyAlignment="1">
      <alignment horizontal="left" vertical="top" readingOrder="1"/>
    </xf>
    <xf numFmtId="0" fontId="28" fillId="0" borderId="51" xfId="1" applyFont="1" applyBorder="1" applyAlignment="1">
      <alignment horizontal="center" vertical="top" readingOrder="1"/>
    </xf>
    <xf numFmtId="0" fontId="25" fillId="0" borderId="64" xfId="0" applyFont="1" applyBorder="1" applyAlignment="1">
      <alignment horizontal="left" vertical="top" readingOrder="1"/>
    </xf>
    <xf numFmtId="0" fontId="24" fillId="22" borderId="50" xfId="0" applyFont="1" applyFill="1" applyBorder="1" applyAlignment="1">
      <alignment horizontal="left" vertical="top" wrapText="1" readingOrder="1"/>
    </xf>
    <xf numFmtId="0" fontId="24" fillId="22" borderId="51" xfId="0" applyFont="1" applyFill="1" applyBorder="1" applyAlignment="1">
      <alignment horizontal="left" vertical="top" wrapText="1" readingOrder="1"/>
    </xf>
    <xf numFmtId="0" fontId="24" fillId="22" borderId="20" xfId="0" applyFont="1" applyFill="1" applyBorder="1" applyAlignment="1">
      <alignment horizontal="left" vertical="top" wrapText="1" readingOrder="1"/>
    </xf>
    <xf numFmtId="0" fontId="28" fillId="0" borderId="51" xfId="1" applyFont="1" applyBorder="1" applyAlignment="1">
      <alignment horizontal="center" vertical="top" wrapText="1" readingOrder="1"/>
    </xf>
    <xf numFmtId="0" fontId="28" fillId="0" borderId="57" xfId="1" applyFont="1" applyBorder="1" applyAlignment="1">
      <alignment horizontal="center" vertical="top" wrapText="1" readingOrder="1"/>
    </xf>
    <xf numFmtId="0" fontId="24" fillId="22" borderId="57" xfId="0" applyFont="1" applyFill="1" applyBorder="1" applyAlignment="1">
      <alignment horizontal="left" vertical="top" wrapText="1" readingOrder="1"/>
    </xf>
    <xf numFmtId="0" fontId="25" fillId="0" borderId="50" xfId="0" applyFont="1" applyBorder="1" applyAlignment="1">
      <alignment horizontal="left" vertical="top" wrapText="1" readingOrder="1"/>
    </xf>
    <xf numFmtId="0" fontId="25" fillId="0" borderId="51" xfId="0" applyFont="1" applyBorder="1" applyAlignment="1">
      <alignment horizontal="left" vertical="top" wrapText="1" readingOrder="1"/>
    </xf>
    <xf numFmtId="0" fontId="25" fillId="0" borderId="57" xfId="0" applyFont="1" applyBorder="1" applyAlignment="1">
      <alignment horizontal="left" vertical="top" wrapText="1" readingOrder="1"/>
    </xf>
    <xf numFmtId="0" fontId="25" fillId="0" borderId="70" xfId="0" applyFont="1" applyBorder="1" applyAlignment="1">
      <alignment horizontal="left" vertical="top" wrapText="1" readingOrder="1"/>
    </xf>
    <xf numFmtId="0" fontId="25" fillId="0" borderId="65" xfId="0" applyFont="1" applyBorder="1" applyAlignment="1">
      <alignment horizontal="left" vertical="top" wrapText="1" readingOrder="1"/>
    </xf>
    <xf numFmtId="0" fontId="25" fillId="0" borderId="66" xfId="0" applyFont="1" applyBorder="1" applyAlignment="1">
      <alignment horizontal="left" vertical="top" wrapText="1" readingOrder="1"/>
    </xf>
    <xf numFmtId="0" fontId="25" fillId="0" borderId="71" xfId="0" applyFont="1" applyBorder="1" applyAlignment="1">
      <alignment horizontal="left" vertical="top" wrapText="1" readingOrder="1"/>
    </xf>
    <xf numFmtId="0" fontId="25" fillId="0" borderId="68" xfId="0" applyFont="1" applyBorder="1" applyAlignment="1">
      <alignment horizontal="left" vertical="top" wrapText="1" readingOrder="1"/>
    </xf>
    <xf numFmtId="0" fontId="25" fillId="0" borderId="69" xfId="0" applyFont="1" applyBorder="1" applyAlignment="1">
      <alignment horizontal="left" vertical="top" wrapText="1" readingOrder="1"/>
    </xf>
    <xf numFmtId="0" fontId="25" fillId="0" borderId="62" xfId="0" applyFont="1" applyBorder="1" applyAlignment="1">
      <alignment horizontal="left" vertical="top" wrapText="1" readingOrder="1"/>
    </xf>
    <xf numFmtId="0" fontId="25" fillId="0" borderId="63" xfId="0" applyFont="1" applyBorder="1" applyAlignment="1">
      <alignment horizontal="left" vertical="top" wrapText="1" readingOrder="1"/>
    </xf>
    <xf numFmtId="0" fontId="25" fillId="0" borderId="64" xfId="0" applyFont="1" applyBorder="1" applyAlignment="1">
      <alignment horizontal="left" vertical="top" wrapText="1" readingOrder="1"/>
    </xf>
    <xf numFmtId="0" fontId="25" fillId="0" borderId="55" xfId="0" applyFont="1" applyBorder="1" applyAlignment="1">
      <alignment horizontal="left" vertical="top" wrapText="1" readingOrder="1"/>
    </xf>
    <xf numFmtId="0" fontId="25" fillId="0" borderId="0" xfId="0" applyFont="1" applyAlignment="1">
      <alignment horizontal="left" vertical="top" wrapText="1" readingOrder="1"/>
    </xf>
    <xf numFmtId="0" fontId="25" fillId="0" borderId="67" xfId="0" applyFont="1" applyBorder="1" applyAlignment="1">
      <alignment horizontal="left" vertical="top" wrapText="1" readingOrder="1"/>
    </xf>
    <xf numFmtId="0" fontId="24" fillId="22" borderId="82" xfId="0" applyFont="1" applyFill="1" applyBorder="1" applyAlignment="1">
      <alignment horizontal="left" vertical="top" wrapText="1" readingOrder="1"/>
    </xf>
    <xf numFmtId="0" fontId="28" fillId="0" borderId="84" xfId="1" applyFont="1" applyBorder="1" applyAlignment="1">
      <alignment horizontal="center" vertical="top" wrapText="1" readingOrder="1"/>
    </xf>
    <xf numFmtId="0" fontId="28" fillId="0" borderId="82" xfId="1" applyFont="1" applyBorder="1" applyAlignment="1">
      <alignment horizontal="center" vertical="top" wrapText="1" readingOrder="1"/>
    </xf>
    <xf numFmtId="0" fontId="25" fillId="0" borderId="82" xfId="0" applyFont="1" applyBorder="1" applyAlignment="1">
      <alignment horizontal="left" vertical="top" wrapText="1" readingOrder="1"/>
    </xf>
    <xf numFmtId="0" fontId="24" fillId="22" borderId="84" xfId="0" applyFont="1" applyFill="1" applyBorder="1" applyAlignment="1">
      <alignment horizontal="left" vertical="top" wrapText="1" readingOrder="1"/>
    </xf>
    <xf numFmtId="0" fontId="25" fillId="0" borderId="84" xfId="0" applyFont="1" applyBorder="1" applyAlignment="1">
      <alignment horizontal="left" vertical="top" wrapText="1" readingOrder="1"/>
    </xf>
    <xf numFmtId="0" fontId="25" fillId="0" borderId="92" xfId="0" applyFont="1" applyBorder="1" applyAlignment="1">
      <alignment horizontal="left" vertical="top" wrapText="1" readingOrder="1"/>
    </xf>
    <xf numFmtId="0" fontId="25" fillId="0" borderId="79" xfId="0" applyFont="1" applyBorder="1" applyAlignment="1">
      <alignment horizontal="left" vertical="top" wrapText="1" readingOrder="1"/>
    </xf>
    <xf numFmtId="0" fontId="24" fillId="22" borderId="94" xfId="0" applyFont="1" applyFill="1" applyBorder="1" applyAlignment="1">
      <alignment horizontal="left" vertical="top" wrapText="1" readingOrder="1"/>
    </xf>
    <xf numFmtId="0" fontId="24" fillId="22" borderId="95" xfId="0" applyFont="1" applyFill="1" applyBorder="1" applyAlignment="1">
      <alignment horizontal="left" vertical="top" wrapText="1" readingOrder="1"/>
    </xf>
    <xf numFmtId="0" fontId="24" fillId="22" borderId="91" xfId="0" applyFont="1" applyFill="1" applyBorder="1" applyAlignment="1">
      <alignment horizontal="left" vertical="top" wrapText="1" readingOrder="1"/>
    </xf>
    <xf numFmtId="0" fontId="24" fillId="22" borderId="62" xfId="0" applyFont="1" applyFill="1" applyBorder="1" applyAlignment="1">
      <alignment horizontal="left" vertical="top" wrapText="1" readingOrder="1"/>
    </xf>
    <xf numFmtId="0" fontId="24" fillId="22" borderId="63" xfId="0" applyFont="1" applyFill="1" applyBorder="1" applyAlignment="1">
      <alignment horizontal="left" vertical="top" wrapText="1" readingOrder="1"/>
    </xf>
    <xf numFmtId="0" fontId="24" fillId="22" borderId="85" xfId="0" applyFont="1" applyFill="1" applyBorder="1" applyAlignment="1">
      <alignment horizontal="left" vertical="top" wrapText="1" readingOrder="1"/>
    </xf>
    <xf numFmtId="0" fontId="25" fillId="0" borderId="80" xfId="0" applyFont="1" applyBorder="1" applyAlignment="1">
      <alignment horizontal="left" vertical="top" wrapText="1" readingOrder="1"/>
    </xf>
    <xf numFmtId="0" fontId="25" fillId="0" borderId="86" xfId="0" applyFont="1" applyBorder="1" applyAlignment="1">
      <alignment horizontal="left" vertical="top" wrapText="1" readingOrder="1"/>
    </xf>
    <xf numFmtId="0" fontId="25" fillId="0" borderId="29" xfId="0" applyFont="1" applyBorder="1" applyAlignment="1">
      <alignment horizontal="left" vertical="top" wrapText="1" readingOrder="1"/>
    </xf>
    <xf numFmtId="0" fontId="24" fillId="22" borderId="89" xfId="0" applyFont="1" applyFill="1" applyBorder="1" applyAlignment="1">
      <alignment horizontal="left" vertical="top" wrapText="1" readingOrder="1"/>
    </xf>
    <xf numFmtId="0" fontId="25" fillId="0" borderId="90" xfId="0" applyFont="1" applyBorder="1" applyAlignment="1">
      <alignment horizontal="left" vertical="top" wrapText="1" readingOrder="1"/>
    </xf>
    <xf numFmtId="0" fontId="25" fillId="0" borderId="88" xfId="0" applyFont="1" applyBorder="1" applyAlignment="1">
      <alignment horizontal="left" vertical="top" wrapText="1" readingOrder="1"/>
    </xf>
    <xf numFmtId="0" fontId="25" fillId="0" borderId="87" xfId="0" applyFont="1" applyBorder="1" applyAlignment="1">
      <alignment horizontal="left" vertical="top" wrapText="1" readingOrder="1"/>
    </xf>
    <xf numFmtId="0" fontId="25" fillId="0" borderId="25" xfId="0" applyFont="1" applyBorder="1" applyAlignment="1">
      <alignment horizontal="left" vertical="top" wrapText="1" readingOrder="1"/>
    </xf>
    <xf numFmtId="0" fontId="11" fillId="0" borderId="0" xfId="2" applyFont="1" applyAlignment="1">
      <alignment horizontal="center"/>
    </xf>
    <xf numFmtId="0" fontId="1" fillId="0" borderId="20" xfId="3" applyFont="1" applyBorder="1" applyAlignment="1">
      <alignment wrapText="1"/>
    </xf>
    <xf numFmtId="14" fontId="1" fillId="0" borderId="20" xfId="3" applyNumberFormat="1" applyFont="1" applyBorder="1"/>
    <xf numFmtId="0" fontId="25" fillId="0" borderId="51" xfId="0" applyFont="1" applyBorder="1" applyAlignment="1"/>
    <xf numFmtId="0" fontId="25" fillId="0" borderId="65" xfId="0" applyFont="1" applyBorder="1" applyAlignment="1"/>
  </cellXfs>
  <cellStyles count="147">
    <cellStyle name="Hyperlink" xfId="1" builtinId="8"/>
    <cellStyle name="Hyperlink 2" xfId="5" xr:uid="{00000000-0005-0000-0000-000001000000}"/>
    <cellStyle name="Hyperlink 3" xfId="38" xr:uid="{07B4CDB1-6EFF-4C19-B280-726EAB4CE7FE}"/>
    <cellStyle name="Normal" xfId="0" builtinId="0"/>
    <cellStyle name="Normal 2" xfId="2" xr:uid="{00000000-0005-0000-0000-000003000000}"/>
    <cellStyle name="Normal 3" xfId="3" xr:uid="{00000000-0005-0000-0000-000004000000}"/>
    <cellStyle name="Normal 3 10" xfId="79" xr:uid="{B6380C77-EE43-45D6-84E4-335D1C6F248A}"/>
    <cellStyle name="Normal 3 11" xfId="43" xr:uid="{D97F35E5-BC23-4B66-BEB4-51ED228D5C2D}"/>
    <cellStyle name="Normal 3 2" xfId="6" xr:uid="{00000000-0005-0000-0000-000005000000}"/>
    <cellStyle name="Normal 3 2 10" xfId="44" xr:uid="{935EB4A5-7B56-49C9-806E-70FD5B7ED950}"/>
    <cellStyle name="Normal 3 2 2" xfId="8" xr:uid="{00000000-0005-0000-0000-000006000000}"/>
    <cellStyle name="Normal 3 2 2 2" xfId="16" xr:uid="{8C397CB4-F371-47AC-9C71-860FF58EAD71}"/>
    <cellStyle name="Normal 3 2 2 2 2" xfId="36" xr:uid="{60D7BE8A-F035-4933-8331-03C69F6A8FB5}"/>
    <cellStyle name="Normal 3 2 2 2 2 2" xfId="146" xr:uid="{8956290C-CDFE-49D0-868E-0D1B12523224}"/>
    <cellStyle name="Normal 3 2 2 2 2 3" xfId="110" xr:uid="{40BF7322-070E-4296-9906-1A352D7C40ED}"/>
    <cellStyle name="Normal 3 2 2 2 2 4" xfId="74" xr:uid="{3C8485B5-E134-4430-AEEE-9FA2CDCC6777}"/>
    <cellStyle name="Normal 3 2 2 2 3" xfId="24" xr:uid="{7C498515-E80B-45AE-AC97-98B0FCD14AED}"/>
    <cellStyle name="Normal 3 2 2 2 3 2" xfId="134" xr:uid="{5B0D5321-7379-44D8-9D3A-A47A81BC36B7}"/>
    <cellStyle name="Normal 3 2 2 2 3 3" xfId="98" xr:uid="{5A08B134-3FFF-46A4-8BA0-161BDA1609E5}"/>
    <cellStyle name="Normal 3 2 2 2 3 4" xfId="62" xr:uid="{04B254CA-6E00-436B-9A72-BD184143BCD3}"/>
    <cellStyle name="Normal 3 2 2 2 4" xfId="126" xr:uid="{9A14C3AC-9C74-4805-8FB6-84D9F415BDC4}"/>
    <cellStyle name="Normal 3 2 2 2 5" xfId="90" xr:uid="{730F6920-9F69-43EB-8C1D-5773D1A9C1D8}"/>
    <cellStyle name="Normal 3 2 2 2 6" xfId="54" xr:uid="{600C145A-8AF9-4734-AF96-81A82242DDFC}"/>
    <cellStyle name="Normal 3 2 2 3" xfId="12" xr:uid="{DD654CBB-098C-41B4-BC2B-CEE5974D2682}"/>
    <cellStyle name="Normal 3 2 2 3 2" xfId="32" xr:uid="{E9036762-15AF-4956-9BA6-0C7AFA70482F}"/>
    <cellStyle name="Normal 3 2 2 3 2 2" xfId="142" xr:uid="{4EB04104-960A-4054-AA19-E30FF6BBCAA5}"/>
    <cellStyle name="Normal 3 2 2 3 2 3" xfId="106" xr:uid="{1702A9F0-D57C-4A89-A0F3-638553F75545}"/>
    <cellStyle name="Normal 3 2 2 3 2 4" xfId="70" xr:uid="{A1E873BB-23A4-4CD4-89FF-F11E3D5D1AED}"/>
    <cellStyle name="Normal 3 2 2 3 3" xfId="122" xr:uid="{68652432-325B-4317-9DB9-7F02185480A8}"/>
    <cellStyle name="Normal 3 2 2 3 4" xfId="86" xr:uid="{64518E3A-94BD-408B-B83F-06F5DD9CDC0C}"/>
    <cellStyle name="Normal 3 2 2 3 5" xfId="50" xr:uid="{4D5E4806-F237-4B6B-A8DA-D4583E32FAEC}"/>
    <cellStyle name="Normal 3 2 2 4" xfId="28" xr:uid="{5B9229F3-CB3A-400A-A12F-2CEB45E2AB78}"/>
    <cellStyle name="Normal 3 2 2 4 2" xfId="138" xr:uid="{EDE93726-DAD5-408F-9271-905C980B3BD9}"/>
    <cellStyle name="Normal 3 2 2 4 3" xfId="102" xr:uid="{05A225CB-AB30-414D-8872-31A172598B8A}"/>
    <cellStyle name="Normal 3 2 2 4 4" xfId="66" xr:uid="{D0727546-4468-45DA-8F23-FCAD8BBCF7DB}"/>
    <cellStyle name="Normal 3 2 2 5" xfId="20" xr:uid="{CC86FB40-2199-4E22-B928-EE59E7A08DAF}"/>
    <cellStyle name="Normal 3 2 2 5 2" xfId="130" xr:uid="{7FFDAFF6-0B36-4973-92F9-E7F1C86E9D1C}"/>
    <cellStyle name="Normal 3 2 2 5 3" xfId="94" xr:uid="{B8152EE5-6EF1-424F-8AED-9CE3514DA49D}"/>
    <cellStyle name="Normal 3 2 2 5 4" xfId="58" xr:uid="{24C379AC-44E8-45F0-859C-9C1D2933DEC4}"/>
    <cellStyle name="Normal 3 2 2 6" xfId="42" xr:uid="{3DFE4F1C-2802-4572-AAA8-C341E7D3D585}"/>
    <cellStyle name="Normal 3 2 2 6 2" xfId="114" xr:uid="{F30A834E-A9CE-4B30-8296-7809C247B213}"/>
    <cellStyle name="Normal 3 2 2 6 3" xfId="78" xr:uid="{3C215651-0096-420E-988C-E2DAF7A7A6A2}"/>
    <cellStyle name="Normal 3 2 2 7" xfId="118" xr:uid="{293FB7F6-46D8-4C0B-BE72-B47C2F12DB46}"/>
    <cellStyle name="Normal 3 2 2 8" xfId="82" xr:uid="{C010BF00-944B-4ED8-A067-E33A0F8FBA85}"/>
    <cellStyle name="Normal 3 2 2 9" xfId="46" xr:uid="{1708F020-4CF5-453B-9A18-E627142BC2E9}"/>
    <cellStyle name="Normal 3 2 3" xfId="14" xr:uid="{E2277A51-82A5-4DCE-B44B-69F738FF4483}"/>
    <cellStyle name="Normal 3 2 3 2" xfId="34" xr:uid="{6E6FEA80-3940-49DF-8396-F3F2AD83ECE9}"/>
    <cellStyle name="Normal 3 2 3 2 2" xfId="144" xr:uid="{529A5338-99CC-48BF-87F1-69E79D30B9D2}"/>
    <cellStyle name="Normal 3 2 3 2 3" xfId="108" xr:uid="{85779DD2-6D6A-4F69-97C2-14289D64EA31}"/>
    <cellStyle name="Normal 3 2 3 2 4" xfId="72" xr:uid="{0AEE6A49-B70F-4D52-9209-2078CBDF2531}"/>
    <cellStyle name="Normal 3 2 3 3" xfId="22" xr:uid="{A60CD77A-A619-470A-812B-8EF8103F8DC2}"/>
    <cellStyle name="Normal 3 2 3 3 2" xfId="132" xr:uid="{24ED4992-CE30-4FDE-BF16-B3084DACB642}"/>
    <cellStyle name="Normal 3 2 3 3 3" xfId="96" xr:uid="{05F45133-F30D-4F8D-81B7-76B15C06B399}"/>
    <cellStyle name="Normal 3 2 3 3 4" xfId="60" xr:uid="{72F811A2-5B84-4730-AE95-BFD62E71F412}"/>
    <cellStyle name="Normal 3 2 3 4" xfId="124" xr:uid="{C454C9DB-E22C-4F08-A9D5-A5DD76D9BFF3}"/>
    <cellStyle name="Normal 3 2 3 5" xfId="88" xr:uid="{CA4BC019-A279-40B4-8F48-A3C6ECEB707B}"/>
    <cellStyle name="Normal 3 2 3 6" xfId="52" xr:uid="{C2304C07-9171-4EF9-8588-4364FA6916AC}"/>
    <cellStyle name="Normal 3 2 4" xfId="10" xr:uid="{C7515779-E9A7-4B3F-A401-833E66E280C5}"/>
    <cellStyle name="Normal 3 2 4 2" xfId="30" xr:uid="{D2F36D93-7173-4F9E-8232-05D4E016BA2A}"/>
    <cellStyle name="Normal 3 2 4 2 2" xfId="140" xr:uid="{9CDDB928-CF03-4319-8A0F-4854A49195BB}"/>
    <cellStyle name="Normal 3 2 4 2 3" xfId="104" xr:uid="{31702B72-359E-41D0-B3EC-12BC0DD1CB43}"/>
    <cellStyle name="Normal 3 2 4 2 4" xfId="68" xr:uid="{DEADF69A-A3A6-4B4F-893A-9E15FF25D227}"/>
    <cellStyle name="Normal 3 2 4 3" xfId="120" xr:uid="{47864CBE-355F-4142-A14B-15B0CE4C713F}"/>
    <cellStyle name="Normal 3 2 4 4" xfId="84" xr:uid="{10D2F165-A638-418A-B19E-5777C1A13CCD}"/>
    <cellStyle name="Normal 3 2 4 5" xfId="48" xr:uid="{7D414736-639D-4619-B249-4225209ABB4E}"/>
    <cellStyle name="Normal 3 2 5" xfId="26" xr:uid="{F578A422-C0AB-4F49-9236-B26C1BC2AAFA}"/>
    <cellStyle name="Normal 3 2 5 2" xfId="136" xr:uid="{B2762BAD-944D-4B8C-ACF5-7E8368740BF9}"/>
    <cellStyle name="Normal 3 2 5 3" xfId="100" xr:uid="{337CF73A-794A-4A1C-BEF5-D4E7AB23C9F2}"/>
    <cellStyle name="Normal 3 2 5 4" xfId="64" xr:uid="{D55F63DE-00D3-44A2-8421-C5C15C66416C}"/>
    <cellStyle name="Normal 3 2 6" xfId="18" xr:uid="{AE4BB486-A61F-49F3-A00A-2476A56CB5BD}"/>
    <cellStyle name="Normal 3 2 6 2" xfId="128" xr:uid="{3E363874-8723-45B4-AE04-41858AC153D6}"/>
    <cellStyle name="Normal 3 2 6 3" xfId="92" xr:uid="{B7541DFC-1076-4C91-919A-901E764E5EA0}"/>
    <cellStyle name="Normal 3 2 6 4" xfId="56" xr:uid="{5B2E322E-6AD6-40F8-A832-2CF1ACE65862}"/>
    <cellStyle name="Normal 3 2 7" xfId="40" xr:uid="{DB14D568-BE5E-4159-BB4A-A982820D94C8}"/>
    <cellStyle name="Normal 3 2 7 2" xfId="112" xr:uid="{BDAFFD52-EE5A-42AB-A191-620B324494ED}"/>
    <cellStyle name="Normal 3 2 7 3" xfId="76" xr:uid="{446F8F18-34AC-41D9-8993-53363A538849}"/>
    <cellStyle name="Normal 3 2 8" xfId="116" xr:uid="{580DA45A-BC38-4CF8-B140-CDD7E5BD7FC6}"/>
    <cellStyle name="Normal 3 2 9" xfId="80" xr:uid="{A8991061-4C6D-498E-93F8-17BDF30E040D}"/>
    <cellStyle name="Normal 3 3" xfId="7" xr:uid="{00000000-0005-0000-0000-000007000000}"/>
    <cellStyle name="Normal 3 3 2" xfId="15" xr:uid="{76CB10A0-370E-478E-BCBA-62749C9DDBD2}"/>
    <cellStyle name="Normal 3 3 2 2" xfId="35" xr:uid="{5595390D-390F-49EE-8FA0-389D115F27BE}"/>
    <cellStyle name="Normal 3 3 2 2 2" xfId="145" xr:uid="{BF30C995-F5BD-45C2-ACBC-A8229452837C}"/>
    <cellStyle name="Normal 3 3 2 2 3" xfId="109" xr:uid="{326527FF-7BB4-486E-8D53-B6518EBC41DB}"/>
    <cellStyle name="Normal 3 3 2 2 4" xfId="73" xr:uid="{C10103B9-6B9A-48DD-8D76-973DFCB91961}"/>
    <cellStyle name="Normal 3 3 2 3" xfId="23" xr:uid="{821A1FDA-0A94-4ADF-95EF-074AD7DB4FFC}"/>
    <cellStyle name="Normal 3 3 2 3 2" xfId="133" xr:uid="{424F291C-B7C8-46B4-8B67-8C51357A52FF}"/>
    <cellStyle name="Normal 3 3 2 3 3" xfId="97" xr:uid="{BF44C52B-F81C-40A6-BB87-DEE6E8306D13}"/>
    <cellStyle name="Normal 3 3 2 3 4" xfId="61" xr:uid="{A333DF36-A02E-4EE9-9E26-280500440C7C}"/>
    <cellStyle name="Normal 3 3 2 4" xfId="125" xr:uid="{26FC8069-9DE0-4AB2-A7BB-14F22BD38543}"/>
    <cellStyle name="Normal 3 3 2 5" xfId="89" xr:uid="{C55D9305-6511-4C20-A465-867C023DF4EE}"/>
    <cellStyle name="Normal 3 3 2 6" xfId="53" xr:uid="{9D4F4A53-4436-4F32-93EF-D7D3C0AFC047}"/>
    <cellStyle name="Normal 3 3 3" xfId="11" xr:uid="{8AA09F88-2148-40F3-A9AC-00E82230CF34}"/>
    <cellStyle name="Normal 3 3 3 2" xfId="31" xr:uid="{3F73E290-4B09-404D-81E5-CA129AF184E8}"/>
    <cellStyle name="Normal 3 3 3 2 2" xfId="141" xr:uid="{0A12ABAA-86C2-4D6F-9BDC-9114719CF84F}"/>
    <cellStyle name="Normal 3 3 3 2 3" xfId="105" xr:uid="{8DB95095-2713-4913-9C3B-CBAEE81557DF}"/>
    <cellStyle name="Normal 3 3 3 2 4" xfId="69" xr:uid="{DBCDC293-DF4F-4DCA-9550-4C7A3894380F}"/>
    <cellStyle name="Normal 3 3 3 3" xfId="121" xr:uid="{C8FE7C5F-D04E-4984-B0A3-F83771B3A2CB}"/>
    <cellStyle name="Normal 3 3 3 4" xfId="85" xr:uid="{02DC5068-FF85-4B88-B023-A839F6CE53B8}"/>
    <cellStyle name="Normal 3 3 3 5" xfId="49" xr:uid="{F10447C2-2360-4AC3-865F-9B4F9818741A}"/>
    <cellStyle name="Normal 3 3 4" xfId="27" xr:uid="{FFD74E93-9742-46D6-92F5-51778740E5EB}"/>
    <cellStyle name="Normal 3 3 4 2" xfId="137" xr:uid="{46AA92F9-FA2C-4349-86E5-4629B14000E8}"/>
    <cellStyle name="Normal 3 3 4 3" xfId="101" xr:uid="{5146206A-709C-4CC0-9E80-12D31F1C2720}"/>
    <cellStyle name="Normal 3 3 4 4" xfId="65" xr:uid="{FFA2E408-216E-49E1-8B5A-9A1B56EDD9C9}"/>
    <cellStyle name="Normal 3 3 5" xfId="19" xr:uid="{E1D703E1-A292-426A-8FB4-DBF9F4E796A5}"/>
    <cellStyle name="Normal 3 3 5 2" xfId="129" xr:uid="{700C94E8-1EB4-4A92-8159-F131958A0088}"/>
    <cellStyle name="Normal 3 3 5 3" xfId="93" xr:uid="{F7E99301-57C0-4E85-A441-09893EC54078}"/>
    <cellStyle name="Normal 3 3 5 4" xfId="57" xr:uid="{98AEF7FD-A202-43AB-81C1-83FCD39FECD3}"/>
    <cellStyle name="Normal 3 3 6" xfId="41" xr:uid="{6E2FB2E6-4E5B-43FC-8332-D44C66E9794E}"/>
    <cellStyle name="Normal 3 3 6 2" xfId="113" xr:uid="{1EE6DE60-603A-4AAF-BF26-A1A269B6757D}"/>
    <cellStyle name="Normal 3 3 6 3" xfId="77" xr:uid="{65964866-2281-4683-BD59-FD680CF1CD41}"/>
    <cellStyle name="Normal 3 3 7" xfId="117" xr:uid="{DBA3A173-A643-43B0-B822-F5440BFADA9C}"/>
    <cellStyle name="Normal 3 3 8" xfId="81" xr:uid="{C6D7E234-A36A-451F-AD10-EEC8593D016E}"/>
    <cellStyle name="Normal 3 3 9" xfId="45" xr:uid="{11DC85E9-6379-4017-B75E-FA296592B753}"/>
    <cellStyle name="Normal 3 4" xfId="13" xr:uid="{626D75BF-7925-4651-8CF9-4A2530F58353}"/>
    <cellStyle name="Normal 3 4 2" xfId="33" xr:uid="{212D48A8-6105-40CC-B8C5-1B84AD17C308}"/>
    <cellStyle name="Normal 3 4 2 2" xfId="143" xr:uid="{8C6A07FA-95D6-46F4-AE3B-05ABA4A5F8C3}"/>
    <cellStyle name="Normal 3 4 2 3" xfId="107" xr:uid="{E307A447-55F3-4E58-8634-FFDC6E3CCD82}"/>
    <cellStyle name="Normal 3 4 2 4" xfId="71" xr:uid="{E4620FDD-C354-4ED8-B82B-B9BA6E5F2CA7}"/>
    <cellStyle name="Normal 3 4 3" xfId="21" xr:uid="{7C70A80E-3AF7-47C8-9BDD-D0A26C47343E}"/>
    <cellStyle name="Normal 3 4 3 2" xfId="131" xr:uid="{1CEF839D-6917-4213-BB18-27DC3B0293C6}"/>
    <cellStyle name="Normal 3 4 3 3" xfId="95" xr:uid="{A5B7D32A-D7F2-4D96-BC4C-5160A70AFD36}"/>
    <cellStyle name="Normal 3 4 3 4" xfId="59" xr:uid="{945BDE88-1CE3-4E0E-9D11-902BCD8C7E4C}"/>
    <cellStyle name="Normal 3 4 4" xfId="123" xr:uid="{B1BAAEB6-8CBC-413E-B336-306B3619E4F6}"/>
    <cellStyle name="Normal 3 4 5" xfId="87" xr:uid="{F60B45B4-83A7-43F0-B525-548A4859B16A}"/>
    <cellStyle name="Normal 3 4 6" xfId="51" xr:uid="{3D24B998-B2F1-4C8F-96D4-6A0BC777D6E2}"/>
    <cellStyle name="Normal 3 5" xfId="9" xr:uid="{AF00B7C2-8791-4340-8942-B2D3012A1FD7}"/>
    <cellStyle name="Normal 3 5 2" xfId="29" xr:uid="{7EF67A90-9934-4E21-A709-9FEDAE4FA106}"/>
    <cellStyle name="Normal 3 5 2 2" xfId="139" xr:uid="{4A8F1DF7-509A-436B-9139-0BC21C1C5A93}"/>
    <cellStyle name="Normal 3 5 2 3" xfId="103" xr:uid="{6475F974-1AE9-4EB9-9347-9400CF09F099}"/>
    <cellStyle name="Normal 3 5 2 4" xfId="67" xr:uid="{38B1030F-9CF2-4EAF-8EF5-B594FCC24BAB}"/>
    <cellStyle name="Normal 3 5 3" xfId="119" xr:uid="{BEE31DBB-6CB5-4757-8286-65FF90A7DFC1}"/>
    <cellStyle name="Normal 3 5 4" xfId="83" xr:uid="{3E47A272-4B65-49B7-95E9-D5C9D4E97147}"/>
    <cellStyle name="Normal 3 5 5" xfId="47" xr:uid="{A82EE08D-843A-4453-8260-36F0709162E3}"/>
    <cellStyle name="Normal 3 6" xfId="25" xr:uid="{D4A39EBC-1911-4FB9-BD49-40DD2CD34879}"/>
    <cellStyle name="Normal 3 6 2" xfId="135" xr:uid="{B36C6D5D-6B00-40ED-8117-CB56D5E11220}"/>
    <cellStyle name="Normal 3 6 3" xfId="99" xr:uid="{8EE7E91D-B905-4448-A3F3-B449CA0AF8BF}"/>
    <cellStyle name="Normal 3 6 4" xfId="63" xr:uid="{F4BBF247-5A01-485D-9F63-A9BD87856CA7}"/>
    <cellStyle name="Normal 3 7" xfId="17" xr:uid="{70DBF794-7C95-41BC-97F6-2F748F63ADE4}"/>
    <cellStyle name="Normal 3 7 2" xfId="127" xr:uid="{8E4A7F9F-B098-4A4D-ABCE-E4AA166793AF}"/>
    <cellStyle name="Normal 3 7 3" xfId="91" xr:uid="{A838B1AB-C238-4C2A-92EF-BB05F4401A83}"/>
    <cellStyle name="Normal 3 7 4" xfId="55" xr:uid="{7FD45DE1-A482-4EAA-B72C-2D2BF836BC23}"/>
    <cellStyle name="Normal 3 8" xfId="39" xr:uid="{13A4F9BD-38EE-4E0B-9A36-F2226BC206E6}"/>
    <cellStyle name="Normal 3 8 2" xfId="111" xr:uid="{39F3CBD7-62C6-4314-A06A-D606D67EC023}"/>
    <cellStyle name="Normal 3 8 3" xfId="75" xr:uid="{47789BC6-4BE5-4A68-B50F-2174C418742A}"/>
    <cellStyle name="Normal 3 9" xfId="115" xr:uid="{6193E278-0555-413A-99D1-F5F30F1C58C3}"/>
    <cellStyle name="Normal 4" xfId="4" xr:uid="{00000000-0005-0000-0000-000008000000}"/>
    <cellStyle name="Normal 5" xfId="37" xr:uid="{C76A1E4C-66E5-4B42-8D7B-0183C396CA0F}"/>
  </cellStyles>
  <dxfs count="2425">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dxf>
    <dxf>
      <fill>
        <patternFill>
          <bgColor rgb="FFFF0000"/>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fgColor theme="1" tint="0.499984740745262"/>
          <bgColor rgb="FFA6A6A6"/>
        </patternFill>
      </fill>
      <border>
        <left/>
        <right/>
        <top/>
        <bottom/>
      </border>
    </dxf>
    <dxf>
      <font>
        <color theme="4" tint="0.79998168889431442"/>
      </font>
      <fill>
        <patternFill patternType="solid">
          <fgColor theme="0"/>
          <bgColor rgb="FFDAEEF3"/>
        </patternFill>
      </fill>
      <border>
        <left/>
        <right/>
        <top/>
        <bottom/>
      </border>
    </dxf>
    <dxf>
      <font>
        <color rgb="FF6E6E6E"/>
      </font>
      <fill>
        <patternFill>
          <bgColor rgb="FF6E6E6E"/>
        </patternFill>
      </fill>
      <border>
        <left/>
        <right/>
        <top/>
        <bottom/>
      </border>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fgColor theme="0"/>
          <bgColor rgb="FFA6A6A6"/>
        </patternFill>
      </fill>
      <border>
        <left/>
        <right/>
        <top/>
        <bottom/>
      </border>
    </dxf>
  </dxfs>
  <tableStyles count="0" defaultTableStyle="TableStyleMedium9" defaultPivotStyle="PivotStyleMedium7"/>
  <colors>
    <mruColors>
      <color rgb="FFA6A6A6"/>
      <color rgb="FF6E6E6E"/>
      <color rgb="FFD9D9D9"/>
      <color rgb="FF8294FB"/>
      <color rgb="FFDAEEF3"/>
      <color rgb="FFD1D3D4"/>
      <color rgb="FFFAD90D"/>
      <color rgb="FFD1A9EE"/>
      <color rgb="FFFEF7CF"/>
      <color rgb="FFE9E9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 Id="rId4"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oneCellAnchor>
    <xdr:from>
      <xdr:col>0</xdr:col>
      <xdr:colOff>647700</xdr:colOff>
      <xdr:row>7</xdr:row>
      <xdr:rowOff>53340</xdr:rowOff>
    </xdr:from>
    <xdr:ext cx="184731" cy="264560"/>
    <xdr:sp macro="" textlink="">
      <xdr:nvSpPr>
        <xdr:cNvPr id="3" name="TextBox 2">
          <a:extLst>
            <a:ext uri="{FF2B5EF4-FFF2-40B4-BE49-F238E27FC236}">
              <a16:creationId xmlns:a16="http://schemas.microsoft.com/office/drawing/2014/main" id="{10BCDC02-4CFA-4238-8758-E19046B0945D}"/>
            </a:ext>
          </a:extLst>
        </xdr:cNvPr>
        <xdr:cNvSpPr txBox="1"/>
      </xdr:nvSpPr>
      <xdr:spPr>
        <a:xfrm>
          <a:off x="647700" y="14401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0</xdr:col>
      <xdr:colOff>0</xdr:colOff>
      <xdr:row>0</xdr:row>
      <xdr:rowOff>0</xdr:rowOff>
    </xdr:from>
    <xdr:to>
      <xdr:col>1</xdr:col>
      <xdr:colOff>1085849</xdr:colOff>
      <xdr:row>5</xdr:row>
      <xdr:rowOff>92075</xdr:rowOff>
    </xdr:to>
    <xdr:pic>
      <xdr:nvPicPr>
        <xdr:cNvPr id="5" name="Picture 4">
          <a:extLst>
            <a:ext uri="{FF2B5EF4-FFF2-40B4-BE49-F238E27FC236}">
              <a16:creationId xmlns:a16="http://schemas.microsoft.com/office/drawing/2014/main" id="{2C898F55-BCCA-4D17-B8C4-C4EF8ADF36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724149" cy="958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6</xdr:col>
          <xdr:colOff>266700</xdr:colOff>
          <xdr:row>2</xdr:row>
          <xdr:rowOff>114300</xdr:rowOff>
        </xdr:to>
        <xdr:sp macro="" textlink="">
          <xdr:nvSpPr>
            <xdr:cNvPr id="8193" name="Apttus_App" hidden="1">
              <a:extLst>
                <a:ext uri="{63B3BB69-23CF-44E3-9099-C40C66FF867C}">
                  <a14:compatExt spid="_x0000_s8193"/>
                </a:ext>
                <a:ext uri="{FF2B5EF4-FFF2-40B4-BE49-F238E27FC236}">
                  <a16:creationId xmlns:a16="http://schemas.microsoft.com/office/drawing/2014/main" id="{00000000-0008-0000-16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552450</xdr:colOff>
          <xdr:row>2</xdr:row>
          <xdr:rowOff>114300</xdr:rowOff>
        </xdr:to>
        <xdr:sp macro="" textlink="">
          <xdr:nvSpPr>
            <xdr:cNvPr id="8209" name="Apttus_AppData" hidden="1">
              <a:extLst>
                <a:ext uri="{63B3BB69-23CF-44E3-9099-C40C66FF867C}">
                  <a14:compatExt spid="_x0000_s8209"/>
                </a:ext>
                <a:ext uri="{FF2B5EF4-FFF2-40B4-BE49-F238E27FC236}">
                  <a16:creationId xmlns:a16="http://schemas.microsoft.com/office/drawing/2014/main" id="{94536AFC-A01E-7229-C0C8-CFA5E3FD127D}"/>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314325</xdr:colOff>
          <xdr:row>2</xdr:row>
          <xdr:rowOff>114300</xdr:rowOff>
        </xdr:to>
        <xdr:sp macro="" textlink="">
          <xdr:nvSpPr>
            <xdr:cNvPr id="8210" name="Apttus_AppDataTracker" hidden="1">
              <a:extLst>
                <a:ext uri="{63B3BB69-23CF-44E3-9099-C40C66FF867C}">
                  <a14:compatExt spid="_x0000_s8210"/>
                </a:ext>
                <a:ext uri="{FF2B5EF4-FFF2-40B4-BE49-F238E27FC236}">
                  <a16:creationId xmlns:a16="http://schemas.microsoft.com/office/drawing/2014/main" id="{6C73182B-79C2-2C6B-86FD-730D75C579D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266700</xdr:colOff>
          <xdr:row>2</xdr:row>
          <xdr:rowOff>114300</xdr:rowOff>
        </xdr:to>
        <xdr:sp macro="" textlink="">
          <xdr:nvSpPr>
            <xdr:cNvPr id="8211" name="Apttus_DataProtection" hidden="1">
              <a:extLst>
                <a:ext uri="{63B3BB69-23CF-44E3-9099-C40C66FF867C}">
                  <a14:compatExt spid="_x0000_s8211"/>
                </a:ext>
                <a:ext uri="{FF2B5EF4-FFF2-40B4-BE49-F238E27FC236}">
                  <a16:creationId xmlns:a16="http://schemas.microsoft.com/office/drawing/2014/main" id="{0E8532D9-25B9-2D4D-77C9-645552DBBC4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franczukr\AppData\Local\Microsoft\Windows\INetCache\Content.Outlook\8WZF18XC\Text%20for%20PF%20instructions%20tab-06Dec2019_revised%20French%2011%20dec%20(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verage%20Indicators%20-%20Section%20I"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Impact%20Indicators%20-%20Section%20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structions"/>
      <sheetName val="Francais"/>
      <sheetName val="Espagnol"/>
      <sheetName val="Overview - Section A"/>
      <sheetName val="Version history"/>
      <sheetName val="Impact Indicators - Section B"/>
      <sheetName val="Impact Indicators - Section B "/>
      <sheetName val="update Helper"/>
      <sheetName val="Setup"/>
      <sheetName val="Impact Indicator Target Update"/>
      <sheetName val="Outcome Indicators - Section C"/>
      <sheetName val="Outcome Indicators - Section C "/>
      <sheetName val="Coverage Indicators-Section D"/>
      <sheetName val="Coverage Indicators - Section D"/>
      <sheetName val=" Disaggregation - Section E "/>
      <sheetName val="Disaggregation tab old"/>
      <sheetName val="Translations"/>
      <sheetName val="old - Section F"/>
      <sheetName val="WPTM - Section F"/>
      <sheetName val="Print View"/>
      <sheetName val="Reference Records"/>
      <sheetName val="Reference records(soft deleted)"/>
      <sheetName val="Disaggregation Records"/>
      <sheetName val="Disaggregation Data"/>
      <sheetName val="Account Role"/>
      <sheetName val="apttusmetadata"/>
      <sheetName val="Text for PF instructions tab-06"/>
      <sheetName val="Text%20for%20PF%20instruction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age Indicators - Section I"/>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act Indicators - Section B"/>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AppData/Local/Temp/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stesfaye/AppData/Local/Microsoft/Windows/INetCache/Content.MSO/E74EAC77.xlsx" TargetMode="External"/><Relationship Id="rId7" Type="http://schemas.openxmlformats.org/officeDocument/2006/relationships/hyperlink" Target="../../AppData/Local/Temp/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stesfaye/AppData/Local/Microsoft/Windows/INetCache/Content.MSO/E74EAC77.xlsx" TargetMode="External"/><Relationship Id="rId2" Type="http://schemas.openxmlformats.org/officeDocument/2006/relationships/hyperlink" Target="../../AppData/Local/Temp/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stesfaye/AppData/Local/Microsoft/Windows/INetCache/Content.MSO/E74EAC77.xlsx" TargetMode="External"/><Relationship Id="rId1" Type="http://schemas.openxmlformats.org/officeDocument/2006/relationships/hyperlink" Target="https://www.theglobalfund.org/en/monitoring-evaluation/framework/" TargetMode="External"/><Relationship Id="rId6" Type="http://schemas.openxmlformats.org/officeDocument/2006/relationships/hyperlink" Target="../../AppData/Local/Temp/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stesfaye/AppData/Local/Microsoft/Windows/INetCache/Content.MSO/E74EAC77.xlsx" TargetMode="External"/><Relationship Id="rId5" Type="http://schemas.openxmlformats.org/officeDocument/2006/relationships/hyperlink" Target="../../AppData/Local/Temp/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stesfaye/AppData/Local/Microsoft/Windows/INetCache/Content.MSO/E74EAC77.xlsx" TargetMode="External"/><Relationship Id="rId4" Type="http://schemas.openxmlformats.org/officeDocument/2006/relationships/hyperlink" Target="../../AppData/Local/Temp/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stesfaye/AppData/Local/Microsoft/Windows/INetCache/Content.MSO/E74EAC77.xlsx"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xample.com/"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example.com/"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example.com/"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example.com/"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example.com/"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3.emf"/><Relationship Id="rId2" Type="http://schemas.openxmlformats.org/officeDocument/2006/relationships/drawing" Target="../drawings/drawing2.xml"/><Relationship Id="rId1" Type="http://schemas.openxmlformats.org/officeDocument/2006/relationships/printerSettings" Target="../printerSettings/printerSettings23.bin"/><Relationship Id="rId6" Type="http://schemas.openxmlformats.org/officeDocument/2006/relationships/oleObject" Target="../embeddings/oleObject2.bin"/><Relationship Id="rId11" Type="http://schemas.openxmlformats.org/officeDocument/2006/relationships/image" Target="../media/image5.emf"/><Relationship Id="rId5" Type="http://schemas.openxmlformats.org/officeDocument/2006/relationships/image" Target="../media/image2.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4.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rgb="FFFFFFFF"/>
    <pageSetUpPr fitToPage="1"/>
  </sheetPr>
  <dimension ref="A6:BC312"/>
  <sheetViews>
    <sheetView showGridLines="0" tabSelected="1" showWhiteSpace="0" view="pageLayout" zoomScale="80" zoomScaleNormal="80" zoomScalePageLayoutView="80" workbookViewId="0">
      <selection activeCell="C6" sqref="C6"/>
    </sheetView>
  </sheetViews>
  <sheetFormatPr defaultColWidth="8.875" defaultRowHeight="14.25"/>
  <cols>
    <col min="1" max="1" width="21.125" style="48" customWidth="1"/>
    <col min="2" max="2" width="146" style="48" customWidth="1"/>
    <col min="3" max="3" width="8.875" style="48" customWidth="1"/>
    <col min="4" max="16384" width="8.875" style="48"/>
  </cols>
  <sheetData>
    <row r="6" spans="1:2" ht="23.25">
      <c r="A6" s="421" t="s">
        <v>0</v>
      </c>
      <c r="B6" s="421"/>
    </row>
    <row r="7" spans="1:2" ht="15" thickBot="1">
      <c r="A7" s="27"/>
      <c r="B7" s="27"/>
    </row>
    <row r="8" spans="1:2" ht="21.6" customHeight="1" thickBot="1">
      <c r="A8" s="424" t="s">
        <v>1</v>
      </c>
      <c r="B8" s="425"/>
    </row>
    <row r="9" spans="1:2" ht="44.1" customHeight="1" thickBot="1">
      <c r="A9" s="413" t="s">
        <v>2</v>
      </c>
      <c r="B9" s="414"/>
    </row>
    <row r="10" spans="1:2" ht="21" customHeight="1" thickBot="1">
      <c r="A10" s="413" t="s">
        <v>3</v>
      </c>
      <c r="B10" s="414"/>
    </row>
    <row r="11" spans="1:2" ht="53.45" customHeight="1">
      <c r="A11" s="426" t="s">
        <v>4</v>
      </c>
      <c r="B11" s="427"/>
    </row>
    <row r="12" spans="1:2" ht="29.1" customHeight="1" thickBot="1">
      <c r="A12" s="415" t="s">
        <v>5</v>
      </c>
      <c r="B12" s="416"/>
    </row>
    <row r="13" spans="1:2" ht="21.95" customHeight="1" thickBot="1">
      <c r="A13" s="424" t="s">
        <v>6</v>
      </c>
      <c r="B13" s="428"/>
    </row>
    <row r="14" spans="1:2" ht="63.75" customHeight="1">
      <c r="A14" s="409" t="s">
        <v>7</v>
      </c>
      <c r="B14" s="410"/>
    </row>
    <row r="15" spans="1:2" ht="36" customHeight="1" thickBot="1">
      <c r="A15" s="415" t="s">
        <v>8</v>
      </c>
      <c r="B15" s="416"/>
    </row>
    <row r="16" spans="1:2" ht="49.5" customHeight="1">
      <c r="A16" s="409" t="s">
        <v>9</v>
      </c>
      <c r="B16" s="410"/>
    </row>
    <row r="17" spans="1:2" ht="29.1" customHeight="1" thickBot="1">
      <c r="A17" s="415" t="s">
        <v>10</v>
      </c>
      <c r="B17" s="416"/>
    </row>
    <row r="18" spans="1:2" ht="17.45" customHeight="1">
      <c r="A18" s="409" t="s">
        <v>11</v>
      </c>
      <c r="B18" s="410"/>
    </row>
    <row r="19" spans="1:2" ht="17.45" customHeight="1">
      <c r="A19" s="422" t="s">
        <v>12</v>
      </c>
      <c r="B19" s="443"/>
    </row>
    <row r="20" spans="1:2" ht="17.45" customHeight="1">
      <c r="A20" s="422" t="s">
        <v>13</v>
      </c>
      <c r="B20" s="443"/>
    </row>
    <row r="21" spans="1:2" ht="51" customHeight="1" thickBot="1">
      <c r="A21" s="415" t="s">
        <v>14</v>
      </c>
      <c r="B21" s="444"/>
    </row>
    <row r="22" spans="1:2" ht="23.1" customHeight="1">
      <c r="A22" s="409" t="s">
        <v>15</v>
      </c>
      <c r="B22" s="410"/>
    </row>
    <row r="23" spans="1:2" ht="24" customHeight="1">
      <c r="A23" s="422" t="s">
        <v>16</v>
      </c>
      <c r="B23" s="423"/>
    </row>
    <row r="24" spans="1:2" ht="18.75" customHeight="1" thickBot="1">
      <c r="A24" s="415" t="s">
        <v>17</v>
      </c>
      <c r="B24" s="416"/>
    </row>
    <row r="25" spans="1:2" ht="29.1" customHeight="1" thickBot="1">
      <c r="A25" s="413" t="s">
        <v>18</v>
      </c>
      <c r="B25" s="414"/>
    </row>
    <row r="26" spans="1:2" ht="24" customHeight="1" thickBot="1">
      <c r="A26" s="413" t="s">
        <v>19</v>
      </c>
      <c r="B26" s="418"/>
    </row>
    <row r="27" spans="1:2" ht="24" customHeight="1" thickBot="1">
      <c r="A27" s="413" t="s">
        <v>20</v>
      </c>
      <c r="B27" s="418"/>
    </row>
    <row r="28" spans="1:2" ht="24" customHeight="1" thickBot="1">
      <c r="A28" s="413" t="s">
        <v>21</v>
      </c>
      <c r="B28" s="418"/>
    </row>
    <row r="29" spans="1:2" ht="18.95" customHeight="1">
      <c r="A29" s="409" t="s">
        <v>22</v>
      </c>
      <c r="B29" s="417"/>
    </row>
    <row r="30" spans="1:2" ht="18.95" customHeight="1">
      <c r="A30" s="411" t="s">
        <v>23</v>
      </c>
      <c r="B30" s="412"/>
    </row>
    <row r="31" spans="1:2" ht="18.95" customHeight="1">
      <c r="A31" s="411" t="s">
        <v>24</v>
      </c>
      <c r="B31" s="412"/>
    </row>
    <row r="32" spans="1:2" ht="18.95" customHeight="1">
      <c r="A32" s="411" t="s">
        <v>25</v>
      </c>
      <c r="B32" s="412"/>
    </row>
    <row r="33" spans="1:2" ht="18.95" customHeight="1">
      <c r="A33" s="411" t="s">
        <v>26</v>
      </c>
      <c r="B33" s="412"/>
    </row>
    <row r="34" spans="1:2" ht="18.95" customHeight="1">
      <c r="A34" s="411" t="s">
        <v>27</v>
      </c>
      <c r="B34" s="412"/>
    </row>
    <row r="35" spans="1:2" ht="18.95" customHeight="1">
      <c r="A35" s="411" t="s">
        <v>28</v>
      </c>
      <c r="B35" s="412"/>
    </row>
    <row r="36" spans="1:2" ht="18.95" customHeight="1" thickBot="1">
      <c r="A36" s="429" t="s">
        <v>29</v>
      </c>
      <c r="B36" s="430"/>
    </row>
    <row r="37" spans="1:2" ht="20.100000000000001" customHeight="1" thickBot="1">
      <c r="A37" s="431" t="s">
        <v>30</v>
      </c>
      <c r="B37" s="432"/>
    </row>
    <row r="38" spans="1:2" ht="15.75" thickBot="1">
      <c r="A38" s="28" t="s">
        <v>31</v>
      </c>
      <c r="B38" s="29" t="s">
        <v>32</v>
      </c>
    </row>
    <row r="39" spans="1:2" ht="29.1" customHeight="1" thickBot="1">
      <c r="A39" s="28" t="s">
        <v>33</v>
      </c>
      <c r="B39" s="29" t="s">
        <v>32</v>
      </c>
    </row>
    <row r="40" spans="1:2" ht="15.6" customHeight="1">
      <c r="A40" s="406" t="s">
        <v>34</v>
      </c>
      <c r="B40" s="30" t="s">
        <v>32</v>
      </c>
    </row>
    <row r="41" spans="1:2" ht="28.5">
      <c r="A41" s="408"/>
      <c r="B41" s="30" t="s">
        <v>35</v>
      </c>
    </row>
    <row r="42" spans="1:2">
      <c r="A42" s="408"/>
      <c r="B42" s="30" t="s">
        <v>36</v>
      </c>
    </row>
    <row r="43" spans="1:2">
      <c r="A43" s="408"/>
      <c r="B43" s="30" t="s">
        <v>37</v>
      </c>
    </row>
    <row r="44" spans="1:2" ht="15" thickBot="1">
      <c r="A44" s="407"/>
      <c r="B44" s="29" t="s">
        <v>38</v>
      </c>
    </row>
    <row r="45" spans="1:2" ht="15.6" customHeight="1">
      <c r="A45" s="406" t="s">
        <v>39</v>
      </c>
      <c r="B45" s="30" t="s">
        <v>32</v>
      </c>
    </row>
    <row r="46" spans="1:2" ht="28.5">
      <c r="A46" s="408"/>
      <c r="B46" s="30" t="s">
        <v>40</v>
      </c>
    </row>
    <row r="47" spans="1:2">
      <c r="A47" s="408"/>
      <c r="B47" s="30" t="s">
        <v>41</v>
      </c>
    </row>
    <row r="48" spans="1:2" ht="18.75" customHeight="1">
      <c r="A48" s="408"/>
      <c r="B48" s="30" t="s">
        <v>42</v>
      </c>
    </row>
    <row r="49" spans="1:2" ht="33.75" customHeight="1" thickBot="1">
      <c r="A49" s="407"/>
      <c r="B49" s="29" t="s">
        <v>38</v>
      </c>
    </row>
    <row r="50" spans="1:2" ht="20.25" customHeight="1">
      <c r="A50" s="406" t="s">
        <v>43</v>
      </c>
      <c r="B50" s="30" t="s">
        <v>44</v>
      </c>
    </row>
    <row r="51" spans="1:2">
      <c r="A51" s="408"/>
      <c r="B51" s="30" t="s">
        <v>45</v>
      </c>
    </row>
    <row r="52" spans="1:2">
      <c r="A52" s="408"/>
      <c r="B52" s="30" t="s">
        <v>46</v>
      </c>
    </row>
    <row r="53" spans="1:2">
      <c r="A53" s="408"/>
      <c r="B53" s="30" t="s">
        <v>47</v>
      </c>
    </row>
    <row r="54" spans="1:2" ht="15.75" thickBot="1">
      <c r="A54" s="407"/>
      <c r="B54" s="31"/>
    </row>
    <row r="55" spans="1:2" ht="21" customHeight="1">
      <c r="A55" s="406" t="s">
        <v>48</v>
      </c>
      <c r="B55" s="30" t="s">
        <v>32</v>
      </c>
    </row>
    <row r="56" spans="1:2" ht="29.25" thickBot="1">
      <c r="A56" s="407"/>
      <c r="B56" s="29" t="s">
        <v>49</v>
      </c>
    </row>
    <row r="57" spans="1:2" ht="15.6" customHeight="1">
      <c r="A57" s="406" t="s">
        <v>50</v>
      </c>
      <c r="B57" s="30" t="s">
        <v>32</v>
      </c>
    </row>
    <row r="58" spans="1:2" ht="15" thickBot="1">
      <c r="A58" s="407"/>
      <c r="B58" s="29" t="s">
        <v>51</v>
      </c>
    </row>
    <row r="59" spans="1:2" ht="15" thickBot="1">
      <c r="A59" s="57"/>
      <c r="B59" s="56"/>
    </row>
    <row r="60" spans="1:2" ht="15.75" thickBot="1">
      <c r="A60" s="28" t="s">
        <v>52</v>
      </c>
      <c r="B60" s="29" t="s">
        <v>53</v>
      </c>
    </row>
    <row r="61" spans="1:2" ht="15" thickBot="1">
      <c r="A61" s="419"/>
      <c r="B61" s="420"/>
    </row>
    <row r="62" spans="1:2" ht="15.75" thickBot="1">
      <c r="A62" s="28" t="s">
        <v>54</v>
      </c>
      <c r="B62" s="29" t="s">
        <v>55</v>
      </c>
    </row>
    <row r="63" spans="1:2" ht="15" thickBot="1">
      <c r="A63" s="419"/>
      <c r="B63" s="420"/>
    </row>
    <row r="64" spans="1:2" ht="15">
      <c r="A64" s="406" t="s">
        <v>56</v>
      </c>
      <c r="B64" s="32" t="s">
        <v>57</v>
      </c>
    </row>
    <row r="65" spans="1:2">
      <c r="A65" s="408"/>
      <c r="B65" s="30" t="s">
        <v>58</v>
      </c>
    </row>
    <row r="66" spans="1:2" ht="29.25">
      <c r="A66" s="408"/>
      <c r="B66" s="30" t="s">
        <v>59</v>
      </c>
    </row>
    <row r="67" spans="1:2" ht="15">
      <c r="A67" s="408"/>
      <c r="B67" s="32" t="s">
        <v>60</v>
      </c>
    </row>
    <row r="68" spans="1:2" ht="15" thickBot="1">
      <c r="A68" s="407"/>
      <c r="B68" s="29" t="s">
        <v>32</v>
      </c>
    </row>
    <row r="69" spans="1:2" ht="15" thickBot="1">
      <c r="A69" s="419"/>
      <c r="B69" s="420"/>
    </row>
    <row r="70" spans="1:2" ht="28.5">
      <c r="A70" s="406" t="s">
        <v>61</v>
      </c>
      <c r="B70" s="30" t="s">
        <v>62</v>
      </c>
    </row>
    <row r="71" spans="1:2" ht="73.5">
      <c r="A71" s="408"/>
      <c r="B71" s="30" t="s">
        <v>63</v>
      </c>
    </row>
    <row r="72" spans="1:2" ht="43.5" thickBot="1">
      <c r="A72" s="407"/>
      <c r="B72" s="29" t="s">
        <v>64</v>
      </c>
    </row>
    <row r="73" spans="1:2" ht="15.75" thickBot="1">
      <c r="A73" s="28" t="s">
        <v>65</v>
      </c>
      <c r="B73" s="49" t="s">
        <v>66</v>
      </c>
    </row>
    <row r="74" spans="1:2" ht="29.25" thickBot="1">
      <c r="A74" s="28" t="s">
        <v>67</v>
      </c>
      <c r="B74" s="29" t="s">
        <v>68</v>
      </c>
    </row>
    <row r="75" spans="1:2" ht="15">
      <c r="A75" s="406" t="s">
        <v>69</v>
      </c>
      <c r="B75" s="33" t="s">
        <v>70</v>
      </c>
    </row>
    <row r="76" spans="1:2">
      <c r="A76" s="408"/>
      <c r="B76" s="30" t="s">
        <v>71</v>
      </c>
    </row>
    <row r="77" spans="1:2" ht="30.75" customHeight="1" thickBot="1">
      <c r="A77" s="407"/>
      <c r="B77" s="29" t="s">
        <v>72</v>
      </c>
    </row>
    <row r="78" spans="1:2" ht="15">
      <c r="A78" s="406" t="s">
        <v>73</v>
      </c>
      <c r="B78" s="33" t="s">
        <v>70</v>
      </c>
    </row>
    <row r="79" spans="1:2" ht="15" thickBot="1">
      <c r="A79" s="407"/>
      <c r="B79" s="29" t="s">
        <v>74</v>
      </c>
    </row>
    <row r="80" spans="1:2" ht="15" thickBot="1">
      <c r="A80" s="419"/>
      <c r="B80" s="420"/>
    </row>
    <row r="81" spans="1:3" ht="29.25" thickBot="1">
      <c r="A81" s="28" t="s">
        <v>75</v>
      </c>
      <c r="B81" s="29" t="s">
        <v>76</v>
      </c>
    </row>
    <row r="82" spans="1:3" ht="15" thickBot="1">
      <c r="A82" s="419"/>
      <c r="B82" s="420"/>
    </row>
    <row r="83" spans="1:3" ht="29.25" thickBot="1">
      <c r="A83" s="28" t="s">
        <v>77</v>
      </c>
      <c r="B83" s="29" t="s">
        <v>78</v>
      </c>
    </row>
    <row r="84" spans="1:3" ht="28.5">
      <c r="A84" s="406" t="s">
        <v>79</v>
      </c>
      <c r="B84" s="30" t="s">
        <v>80</v>
      </c>
      <c r="C84" s="50"/>
    </row>
    <row r="85" spans="1:3" ht="29.25">
      <c r="A85" s="408"/>
      <c r="B85" s="32" t="s">
        <v>81</v>
      </c>
    </row>
    <row r="86" spans="1:3">
      <c r="A86" s="408"/>
      <c r="B86" s="30" t="s">
        <v>82</v>
      </c>
    </row>
    <row r="87" spans="1:3" ht="28.5">
      <c r="A87" s="408"/>
      <c r="B87" s="30" t="s">
        <v>83</v>
      </c>
    </row>
    <row r="88" spans="1:3" ht="17.25" customHeight="1" thickBot="1">
      <c r="A88" s="407"/>
      <c r="B88" s="29" t="s">
        <v>84</v>
      </c>
    </row>
    <row r="89" spans="1:3" ht="15" thickBot="1">
      <c r="A89" s="419"/>
      <c r="B89" s="420"/>
    </row>
    <row r="90" spans="1:3" ht="15.6" customHeight="1">
      <c r="A90" s="406" t="s">
        <v>85</v>
      </c>
      <c r="B90" s="30" t="s">
        <v>86</v>
      </c>
    </row>
    <row r="91" spans="1:3" ht="15.6" customHeight="1" thickBot="1">
      <c r="A91" s="407"/>
      <c r="B91" s="29" t="s">
        <v>87</v>
      </c>
    </row>
    <row r="92" spans="1:3" ht="15.75" thickBot="1">
      <c r="A92" s="318"/>
      <c r="B92" s="30"/>
    </row>
    <row r="93" spans="1:3" ht="21.6" customHeight="1" thickBot="1">
      <c r="A93" s="433" t="s">
        <v>88</v>
      </c>
      <c r="B93" s="434"/>
    </row>
    <row r="94" spans="1:3" ht="15.75" thickBot="1">
      <c r="A94" s="28" t="s">
        <v>89</v>
      </c>
      <c r="B94" s="29" t="s">
        <v>90</v>
      </c>
    </row>
    <row r="95" spans="1:3" ht="15.75" thickBot="1">
      <c r="A95" s="28" t="s">
        <v>91</v>
      </c>
      <c r="B95" s="29" t="s">
        <v>92</v>
      </c>
    </row>
    <row r="96" spans="1:3" ht="15.6" customHeight="1">
      <c r="A96" s="406" t="s">
        <v>93</v>
      </c>
      <c r="B96" s="30" t="s">
        <v>94</v>
      </c>
    </row>
    <row r="97" spans="1:2">
      <c r="A97" s="408"/>
      <c r="B97" s="30" t="s">
        <v>95</v>
      </c>
    </row>
    <row r="98" spans="1:2" ht="29.25" thickBot="1">
      <c r="A98" s="407"/>
      <c r="B98" s="29" t="s">
        <v>96</v>
      </c>
    </row>
    <row r="99" spans="1:2">
      <c r="A99" s="406" t="s">
        <v>97</v>
      </c>
      <c r="B99" s="30" t="s">
        <v>98</v>
      </c>
    </row>
    <row r="100" spans="1:2" ht="43.5" thickBot="1">
      <c r="A100" s="407"/>
      <c r="B100" s="29" t="s">
        <v>99</v>
      </c>
    </row>
    <row r="101" spans="1:2" ht="28.5">
      <c r="A101" s="34" t="s">
        <v>100</v>
      </c>
      <c r="B101" s="30" t="s">
        <v>101</v>
      </c>
    </row>
    <row r="102" spans="1:2" ht="28.5">
      <c r="A102" s="34" t="s">
        <v>102</v>
      </c>
      <c r="B102" s="30" t="s">
        <v>103</v>
      </c>
    </row>
    <row r="103" spans="1:2" ht="29.25" thickBot="1">
      <c r="A103" s="51"/>
      <c r="B103" s="29" t="s">
        <v>104</v>
      </c>
    </row>
    <row r="104" spans="1:2">
      <c r="A104" s="406" t="s">
        <v>105</v>
      </c>
      <c r="B104" s="30" t="s">
        <v>106</v>
      </c>
    </row>
    <row r="105" spans="1:2" ht="28.5">
      <c r="A105" s="408"/>
      <c r="B105" s="30" t="s">
        <v>107</v>
      </c>
    </row>
    <row r="106" spans="1:2" ht="29.25" thickBot="1">
      <c r="A106" s="407"/>
      <c r="B106" s="29" t="s">
        <v>108</v>
      </c>
    </row>
    <row r="107" spans="1:2">
      <c r="A107" s="406" t="s">
        <v>109</v>
      </c>
      <c r="B107" s="30" t="s">
        <v>110</v>
      </c>
    </row>
    <row r="108" spans="1:2" ht="15" thickBot="1">
      <c r="A108" s="407"/>
      <c r="B108" s="29" t="s">
        <v>111</v>
      </c>
    </row>
    <row r="109" spans="1:2" ht="15.6" customHeight="1">
      <c r="A109" s="406" t="s">
        <v>112</v>
      </c>
      <c r="B109" s="30" t="s">
        <v>113</v>
      </c>
    </row>
    <row r="110" spans="1:2" ht="15.6" customHeight="1">
      <c r="A110" s="408"/>
      <c r="B110" s="30" t="s">
        <v>114</v>
      </c>
    </row>
    <row r="111" spans="1:2" ht="15" thickBot="1">
      <c r="A111" s="407"/>
      <c r="B111" s="29" t="s">
        <v>111</v>
      </c>
    </row>
    <row r="112" spans="1:2">
      <c r="A112" s="406" t="s">
        <v>115</v>
      </c>
      <c r="B112" s="30" t="s">
        <v>116</v>
      </c>
    </row>
    <row r="113" spans="1:2" ht="29.25">
      <c r="A113" s="408"/>
      <c r="B113" s="30" t="s">
        <v>117</v>
      </c>
    </row>
    <row r="114" spans="1:2">
      <c r="A114" s="408"/>
      <c r="B114" s="30" t="s">
        <v>118</v>
      </c>
    </row>
    <row r="115" spans="1:2" ht="29.25" thickBot="1">
      <c r="A115" s="407"/>
      <c r="B115" s="29" t="s">
        <v>119</v>
      </c>
    </row>
    <row r="116" spans="1:2" ht="15">
      <c r="A116" s="406" t="s">
        <v>120</v>
      </c>
      <c r="B116" s="32" t="s">
        <v>121</v>
      </c>
    </row>
    <row r="117" spans="1:2">
      <c r="A117" s="408"/>
      <c r="B117" s="30" t="s">
        <v>122</v>
      </c>
    </row>
    <row r="118" spans="1:2">
      <c r="A118" s="408"/>
      <c r="B118" s="30" t="s">
        <v>123</v>
      </c>
    </row>
    <row r="119" spans="1:2" ht="15">
      <c r="A119" s="408"/>
      <c r="B119" s="32" t="s">
        <v>60</v>
      </c>
    </row>
    <row r="120" spans="1:2" ht="28.5">
      <c r="A120" s="408"/>
      <c r="B120" s="30" t="s">
        <v>124</v>
      </c>
    </row>
    <row r="121" spans="1:2" ht="15.6" customHeight="1">
      <c r="A121" s="408"/>
      <c r="B121" s="30" t="s">
        <v>125</v>
      </c>
    </row>
    <row r="122" spans="1:2" ht="15" thickBot="1">
      <c r="A122" s="407"/>
      <c r="B122" s="29" t="s">
        <v>126</v>
      </c>
    </row>
    <row r="123" spans="1:2" ht="18.95" customHeight="1">
      <c r="A123" s="406" t="s">
        <v>127</v>
      </c>
      <c r="B123" s="30" t="s">
        <v>128</v>
      </c>
    </row>
    <row r="124" spans="1:2" ht="18.75" customHeight="1">
      <c r="A124" s="408"/>
      <c r="B124" s="30" t="s">
        <v>129</v>
      </c>
    </row>
    <row r="125" spans="1:2" ht="29.25" thickBot="1">
      <c r="A125" s="407"/>
      <c r="B125" s="29" t="s">
        <v>130</v>
      </c>
    </row>
    <row r="126" spans="1:2" ht="15.75" thickBot="1">
      <c r="A126" s="28" t="s">
        <v>131</v>
      </c>
      <c r="B126" s="35" t="s">
        <v>132</v>
      </c>
    </row>
    <row r="127" spans="1:2" ht="15">
      <c r="A127" s="34" t="s">
        <v>133</v>
      </c>
      <c r="B127" s="30" t="s">
        <v>134</v>
      </c>
    </row>
    <row r="128" spans="1:2" ht="15">
      <c r="A128" s="34" t="s">
        <v>135</v>
      </c>
      <c r="B128" s="30" t="s">
        <v>136</v>
      </c>
    </row>
    <row r="129" spans="1:3" ht="28.5">
      <c r="A129" s="52"/>
      <c r="B129" s="30" t="s">
        <v>137</v>
      </c>
    </row>
    <row r="130" spans="1:3" ht="28.5">
      <c r="A130" s="52"/>
      <c r="B130" s="30" t="s">
        <v>138</v>
      </c>
    </row>
    <row r="131" spans="1:3" ht="15" thickBot="1">
      <c r="A131" s="51"/>
      <c r="B131" s="29" t="s">
        <v>139</v>
      </c>
    </row>
    <row r="132" spans="1:3">
      <c r="A132" s="406" t="s">
        <v>140</v>
      </c>
      <c r="B132" s="30" t="s">
        <v>141</v>
      </c>
    </row>
    <row r="133" spans="1:3" ht="15" thickBot="1">
      <c r="A133" s="407"/>
      <c r="B133" s="29" t="s">
        <v>142</v>
      </c>
    </row>
    <row r="134" spans="1:3" ht="29.25" thickBot="1">
      <c r="A134" s="28" t="s">
        <v>143</v>
      </c>
      <c r="B134" s="29" t="s">
        <v>144</v>
      </c>
    </row>
    <row r="135" spans="1:3" ht="29.25">
      <c r="A135" s="406" t="s">
        <v>145</v>
      </c>
      <c r="B135" s="30" t="s">
        <v>146</v>
      </c>
    </row>
    <row r="136" spans="1:3" ht="29.25" thickBot="1">
      <c r="A136" s="407"/>
      <c r="B136" s="29" t="s">
        <v>147</v>
      </c>
      <c r="C136" s="50"/>
    </row>
    <row r="137" spans="1:3">
      <c r="A137" s="406" t="s">
        <v>148</v>
      </c>
      <c r="B137" s="30" t="s">
        <v>149</v>
      </c>
    </row>
    <row r="138" spans="1:3">
      <c r="A138" s="408"/>
      <c r="B138" s="36" t="s">
        <v>150</v>
      </c>
    </row>
    <row r="139" spans="1:3">
      <c r="A139" s="408"/>
      <c r="B139" s="36" t="s">
        <v>151</v>
      </c>
    </row>
    <row r="140" spans="1:3" ht="15.95" customHeight="1">
      <c r="A140" s="408"/>
      <c r="B140" s="36" t="s">
        <v>152</v>
      </c>
    </row>
    <row r="141" spans="1:3">
      <c r="A141" s="408"/>
      <c r="B141" s="36" t="s">
        <v>153</v>
      </c>
    </row>
    <row r="142" spans="1:3">
      <c r="A142" s="408"/>
      <c r="B142" s="37" t="s">
        <v>154</v>
      </c>
    </row>
    <row r="143" spans="1:3" ht="15.6" customHeight="1">
      <c r="A143" s="408"/>
      <c r="B143" s="36" t="s">
        <v>155</v>
      </c>
    </row>
    <row r="144" spans="1:3" ht="29.25" thickBot="1">
      <c r="A144" s="407"/>
      <c r="B144" s="29" t="s">
        <v>156</v>
      </c>
    </row>
    <row r="145" spans="1:3" ht="30.75" thickBot="1">
      <c r="A145" s="28" t="s">
        <v>157</v>
      </c>
      <c r="B145" s="29" t="s">
        <v>158</v>
      </c>
    </row>
    <row r="146" spans="1:3" ht="22.5" customHeight="1" thickBot="1">
      <c r="A146" s="433" t="s">
        <v>159</v>
      </c>
      <c r="B146" s="434"/>
    </row>
    <row r="147" spans="1:3" ht="15.75" thickBot="1">
      <c r="A147" s="28" t="s">
        <v>89</v>
      </c>
      <c r="B147" s="29" t="s">
        <v>160</v>
      </c>
    </row>
    <row r="148" spans="1:3" ht="15.75" thickBot="1">
      <c r="A148" s="28" t="s">
        <v>91</v>
      </c>
      <c r="B148" s="29" t="s">
        <v>161</v>
      </c>
    </row>
    <row r="149" spans="1:3" ht="15.6" customHeight="1">
      <c r="A149" s="406" t="s">
        <v>162</v>
      </c>
      <c r="B149" s="30" t="s">
        <v>163</v>
      </c>
    </row>
    <row r="150" spans="1:3">
      <c r="A150" s="408"/>
      <c r="B150" s="30" t="s">
        <v>95</v>
      </c>
      <c r="C150" s="50"/>
    </row>
    <row r="151" spans="1:3" ht="29.25" thickBot="1">
      <c r="A151" s="407"/>
      <c r="B151" s="29" t="s">
        <v>96</v>
      </c>
    </row>
    <row r="152" spans="1:3" ht="15.6" customHeight="1">
      <c r="A152" s="406" t="s">
        <v>164</v>
      </c>
      <c r="B152" s="30" t="s">
        <v>165</v>
      </c>
    </row>
    <row r="153" spans="1:3" ht="43.5" thickBot="1">
      <c r="A153" s="407"/>
      <c r="B153" s="29" t="s">
        <v>166</v>
      </c>
    </row>
    <row r="154" spans="1:3" ht="28.5">
      <c r="A154" s="34" t="s">
        <v>100</v>
      </c>
      <c r="B154" s="30" t="s">
        <v>167</v>
      </c>
    </row>
    <row r="155" spans="1:3" ht="29.25" thickBot="1">
      <c r="A155" s="28" t="s">
        <v>102</v>
      </c>
      <c r="B155" s="29" t="s">
        <v>104</v>
      </c>
    </row>
    <row r="156" spans="1:3">
      <c r="A156" s="406" t="s">
        <v>105</v>
      </c>
      <c r="B156" s="30" t="s">
        <v>106</v>
      </c>
    </row>
    <row r="157" spans="1:3" ht="28.5">
      <c r="A157" s="408"/>
      <c r="B157" s="30" t="s">
        <v>107</v>
      </c>
    </row>
    <row r="158" spans="1:3" ht="29.25" thickBot="1">
      <c r="A158" s="407"/>
      <c r="B158" s="29" t="s">
        <v>108</v>
      </c>
    </row>
    <row r="159" spans="1:3">
      <c r="A159" s="406" t="s">
        <v>109</v>
      </c>
      <c r="B159" s="30" t="s">
        <v>110</v>
      </c>
    </row>
    <row r="160" spans="1:3" ht="15" thickBot="1">
      <c r="A160" s="407"/>
      <c r="B160" s="29" t="s">
        <v>111</v>
      </c>
    </row>
    <row r="161" spans="1:2">
      <c r="A161" s="406" t="s">
        <v>112</v>
      </c>
      <c r="B161" s="30" t="s">
        <v>113</v>
      </c>
    </row>
    <row r="162" spans="1:2" ht="15.6" customHeight="1">
      <c r="A162" s="408"/>
      <c r="B162" s="30" t="s">
        <v>114</v>
      </c>
    </row>
    <row r="163" spans="1:2" ht="15" thickBot="1">
      <c r="A163" s="407"/>
      <c r="B163" s="29" t="s">
        <v>111</v>
      </c>
    </row>
    <row r="164" spans="1:2">
      <c r="A164" s="406" t="s">
        <v>168</v>
      </c>
      <c r="B164" s="30" t="s">
        <v>116</v>
      </c>
    </row>
    <row r="165" spans="1:2" ht="29.25">
      <c r="A165" s="408"/>
      <c r="B165" s="30" t="s">
        <v>117</v>
      </c>
    </row>
    <row r="166" spans="1:2">
      <c r="A166" s="408"/>
      <c r="B166" s="30" t="s">
        <v>118</v>
      </c>
    </row>
    <row r="167" spans="1:2" ht="29.25" thickBot="1">
      <c r="A167" s="407"/>
      <c r="B167" s="29" t="s">
        <v>119</v>
      </c>
    </row>
    <row r="168" spans="1:2" ht="15">
      <c r="A168" s="406" t="s">
        <v>120</v>
      </c>
      <c r="B168" s="32" t="s">
        <v>121</v>
      </c>
    </row>
    <row r="169" spans="1:2" ht="28.5">
      <c r="A169" s="408"/>
      <c r="B169" s="30" t="s">
        <v>169</v>
      </c>
    </row>
    <row r="170" spans="1:2" ht="15">
      <c r="A170" s="408"/>
      <c r="B170" s="32" t="s">
        <v>60</v>
      </c>
    </row>
    <row r="171" spans="1:2" ht="29.1" customHeight="1">
      <c r="A171" s="408"/>
      <c r="B171" s="30" t="s">
        <v>124</v>
      </c>
    </row>
    <row r="172" spans="1:2" ht="29.25" thickBot="1">
      <c r="A172" s="407"/>
      <c r="B172" s="29" t="s">
        <v>170</v>
      </c>
    </row>
    <row r="173" spans="1:2">
      <c r="A173" s="406" t="s">
        <v>171</v>
      </c>
      <c r="B173" s="30" t="s">
        <v>128</v>
      </c>
    </row>
    <row r="174" spans="1:2" ht="16.5" customHeight="1">
      <c r="A174" s="408"/>
      <c r="B174" s="30" t="s">
        <v>129</v>
      </c>
    </row>
    <row r="175" spans="1:2" ht="29.25" thickBot="1">
      <c r="A175" s="407"/>
      <c r="B175" s="29" t="s">
        <v>130</v>
      </c>
    </row>
    <row r="176" spans="1:2" ht="15.75" thickBot="1">
      <c r="A176" s="28" t="s">
        <v>131</v>
      </c>
      <c r="B176" s="29" t="s">
        <v>172</v>
      </c>
    </row>
    <row r="177" spans="1:2" ht="15">
      <c r="A177" s="34" t="s">
        <v>133</v>
      </c>
      <c r="B177" s="30" t="s">
        <v>134</v>
      </c>
    </row>
    <row r="178" spans="1:2" ht="15">
      <c r="A178" s="34" t="s">
        <v>135</v>
      </c>
      <c r="B178" s="30" t="s">
        <v>136</v>
      </c>
    </row>
    <row r="179" spans="1:2" ht="28.5">
      <c r="A179" s="52"/>
      <c r="B179" s="30" t="s">
        <v>173</v>
      </c>
    </row>
    <row r="180" spans="1:2" ht="28.5">
      <c r="A180" s="52"/>
      <c r="B180" s="30" t="s">
        <v>138</v>
      </c>
    </row>
    <row r="181" spans="1:2" ht="15" thickBot="1">
      <c r="A181" s="51"/>
      <c r="B181" s="29" t="s">
        <v>174</v>
      </c>
    </row>
    <row r="182" spans="1:2">
      <c r="A182" s="406" t="s">
        <v>140</v>
      </c>
      <c r="B182" s="30" t="s">
        <v>141</v>
      </c>
    </row>
    <row r="183" spans="1:2" ht="15" thickBot="1">
      <c r="A183" s="407"/>
      <c r="B183" s="29" t="s">
        <v>142</v>
      </c>
    </row>
    <row r="184" spans="1:2" ht="29.25" thickBot="1">
      <c r="A184" s="28" t="s">
        <v>143</v>
      </c>
      <c r="B184" s="29" t="s">
        <v>175</v>
      </c>
    </row>
    <row r="185" spans="1:2" ht="29.25">
      <c r="A185" s="406" t="s">
        <v>145</v>
      </c>
      <c r="B185" s="30" t="s">
        <v>146</v>
      </c>
    </row>
    <row r="186" spans="1:2" ht="29.25" thickBot="1">
      <c r="A186" s="407"/>
      <c r="B186" s="29" t="s">
        <v>147</v>
      </c>
    </row>
    <row r="187" spans="1:2">
      <c r="A187" s="406" t="s">
        <v>176</v>
      </c>
      <c r="B187" s="38" t="s">
        <v>149</v>
      </c>
    </row>
    <row r="188" spans="1:2">
      <c r="A188" s="408"/>
      <c r="B188" s="39" t="s">
        <v>177</v>
      </c>
    </row>
    <row r="189" spans="1:2">
      <c r="A189" s="408"/>
      <c r="B189" s="39" t="s">
        <v>178</v>
      </c>
    </row>
    <row r="190" spans="1:2" ht="15.95" customHeight="1">
      <c r="A190" s="408"/>
      <c r="B190" s="39" t="s">
        <v>179</v>
      </c>
    </row>
    <row r="191" spans="1:2">
      <c r="A191" s="408"/>
      <c r="B191" s="39" t="s">
        <v>180</v>
      </c>
    </row>
    <row r="192" spans="1:2">
      <c r="A192" s="408"/>
      <c r="B192" s="39" t="s">
        <v>181</v>
      </c>
    </row>
    <row r="193" spans="1:3">
      <c r="A193" s="408"/>
      <c r="B193" s="39" t="s">
        <v>182</v>
      </c>
    </row>
    <row r="194" spans="1:3" ht="15.6" customHeight="1" thickBot="1">
      <c r="A194" s="407"/>
      <c r="B194" s="35" t="s">
        <v>183</v>
      </c>
    </row>
    <row r="195" spans="1:3" ht="30.75" thickBot="1">
      <c r="A195" s="28" t="s">
        <v>157</v>
      </c>
      <c r="B195" s="29" t="s">
        <v>158</v>
      </c>
    </row>
    <row r="196" spans="1:3" ht="21.95" customHeight="1" thickBot="1">
      <c r="A196" s="433" t="s">
        <v>184</v>
      </c>
      <c r="B196" s="434"/>
    </row>
    <row r="197" spans="1:3" ht="16.5" customHeight="1" thickBot="1">
      <c r="A197" s="28" t="s">
        <v>89</v>
      </c>
      <c r="B197" s="29" t="s">
        <v>185</v>
      </c>
    </row>
    <row r="198" spans="1:3" ht="17.25" customHeight="1" thickBot="1">
      <c r="A198" s="28" t="s">
        <v>91</v>
      </c>
      <c r="B198" s="29" t="s">
        <v>186</v>
      </c>
    </row>
    <row r="199" spans="1:3" ht="34.5" customHeight="1" thickBot="1">
      <c r="A199" s="28" t="s">
        <v>79</v>
      </c>
      <c r="B199" s="29" t="s">
        <v>187</v>
      </c>
    </row>
    <row r="200" spans="1:3" ht="21.95" customHeight="1">
      <c r="A200" s="406" t="s">
        <v>188</v>
      </c>
      <c r="B200" s="30" t="s">
        <v>189</v>
      </c>
    </row>
    <row r="201" spans="1:3" ht="15.6" customHeight="1">
      <c r="A201" s="408"/>
      <c r="B201" s="30" t="s">
        <v>95</v>
      </c>
    </row>
    <row r="202" spans="1:3" ht="29.25" thickBot="1">
      <c r="A202" s="407"/>
      <c r="B202" s="29" t="s">
        <v>96</v>
      </c>
    </row>
    <row r="203" spans="1:3" ht="15.6" customHeight="1">
      <c r="A203" s="406" t="s">
        <v>190</v>
      </c>
      <c r="B203" s="30" t="s">
        <v>191</v>
      </c>
      <c r="C203" s="50"/>
    </row>
    <row r="204" spans="1:3">
      <c r="A204" s="408"/>
      <c r="B204" s="30" t="s">
        <v>192</v>
      </c>
    </row>
    <row r="205" spans="1:3" ht="28.5">
      <c r="A205" s="408"/>
      <c r="B205" s="40" t="s">
        <v>193</v>
      </c>
    </row>
    <row r="206" spans="1:3" ht="43.5" thickBot="1">
      <c r="A206" s="407"/>
      <c r="B206" s="41" t="s">
        <v>194</v>
      </c>
    </row>
    <row r="207" spans="1:3" ht="15">
      <c r="A207" s="34" t="s">
        <v>100</v>
      </c>
      <c r="B207" s="30" t="s">
        <v>195</v>
      </c>
    </row>
    <row r="208" spans="1:3" ht="29.25" thickBot="1">
      <c r="A208" s="28" t="s">
        <v>196</v>
      </c>
      <c r="B208" s="29" t="s">
        <v>197</v>
      </c>
    </row>
    <row r="209" spans="1:2" ht="15.75" thickBot="1">
      <c r="A209" s="28" t="s">
        <v>198</v>
      </c>
      <c r="B209" s="29" t="s">
        <v>106</v>
      </c>
    </row>
    <row r="210" spans="1:2">
      <c r="A210" s="406" t="s">
        <v>109</v>
      </c>
      <c r="B210" s="30" t="s">
        <v>110</v>
      </c>
    </row>
    <row r="211" spans="1:2" ht="15" thickBot="1">
      <c r="A211" s="407"/>
      <c r="B211" s="42" t="s">
        <v>111</v>
      </c>
    </row>
    <row r="212" spans="1:2">
      <c r="A212" s="406" t="s">
        <v>199</v>
      </c>
      <c r="B212" s="43" t="s">
        <v>200</v>
      </c>
    </row>
    <row r="213" spans="1:2" ht="15.6" customHeight="1">
      <c r="A213" s="408"/>
      <c r="B213" s="30" t="s">
        <v>201</v>
      </c>
    </row>
    <row r="214" spans="1:2" ht="15" thickBot="1">
      <c r="A214" s="407"/>
      <c r="B214" s="29" t="s">
        <v>111</v>
      </c>
    </row>
    <row r="215" spans="1:2">
      <c r="A215" s="406" t="s">
        <v>168</v>
      </c>
      <c r="B215" s="30" t="s">
        <v>116</v>
      </c>
    </row>
    <row r="216" spans="1:2" ht="29.25">
      <c r="A216" s="408"/>
      <c r="B216" s="30" t="s">
        <v>117</v>
      </c>
    </row>
    <row r="217" spans="1:2">
      <c r="A217" s="408"/>
      <c r="B217" s="30" t="s">
        <v>118</v>
      </c>
    </row>
    <row r="218" spans="1:2" ht="57.75" thickBot="1">
      <c r="A218" s="407"/>
      <c r="B218" s="29" t="s">
        <v>202</v>
      </c>
    </row>
    <row r="219" spans="1:2" ht="15.6" customHeight="1">
      <c r="A219" s="406" t="s">
        <v>203</v>
      </c>
      <c r="B219" s="32" t="s">
        <v>204</v>
      </c>
    </row>
    <row r="220" spans="1:2" ht="29.25" thickBot="1">
      <c r="A220" s="407"/>
      <c r="B220" s="29" t="s">
        <v>205</v>
      </c>
    </row>
    <row r="221" spans="1:2" ht="15.6" customHeight="1">
      <c r="A221" s="406" t="s">
        <v>120</v>
      </c>
      <c r="B221" s="32" t="s">
        <v>206</v>
      </c>
    </row>
    <row r="222" spans="1:2" ht="32.450000000000003" customHeight="1">
      <c r="A222" s="408"/>
      <c r="B222" s="30" t="s">
        <v>169</v>
      </c>
    </row>
    <row r="223" spans="1:2" ht="15.6" customHeight="1">
      <c r="A223" s="408"/>
      <c r="B223" s="32" t="s">
        <v>60</v>
      </c>
    </row>
    <row r="224" spans="1:2" ht="28.5">
      <c r="A224" s="408"/>
      <c r="B224" s="30" t="s">
        <v>124</v>
      </c>
    </row>
    <row r="225" spans="1:3" ht="15.6" customHeight="1">
      <c r="A225" s="408"/>
      <c r="B225" s="30" t="s">
        <v>207</v>
      </c>
    </row>
    <row r="226" spans="1:3" ht="15.6" customHeight="1" thickBot="1">
      <c r="A226" s="407"/>
      <c r="B226" s="29" t="s">
        <v>126</v>
      </c>
      <c r="C226" s="50"/>
    </row>
    <row r="227" spans="1:3" ht="15">
      <c r="A227" s="406" t="s">
        <v>208</v>
      </c>
      <c r="B227" s="32" t="s">
        <v>209</v>
      </c>
    </row>
    <row r="228" spans="1:3">
      <c r="A228" s="408"/>
      <c r="B228" s="30" t="s">
        <v>128</v>
      </c>
    </row>
    <row r="229" spans="1:3">
      <c r="A229" s="408"/>
      <c r="B229" s="30" t="s">
        <v>129</v>
      </c>
    </row>
    <row r="230" spans="1:3" ht="33.950000000000003" customHeight="1">
      <c r="A230" s="408"/>
      <c r="B230" s="30" t="s">
        <v>130</v>
      </c>
    </row>
    <row r="231" spans="1:3" ht="30" customHeight="1">
      <c r="A231" s="408"/>
      <c r="B231" s="32" t="s">
        <v>210</v>
      </c>
    </row>
    <row r="232" spans="1:3" ht="24" customHeight="1">
      <c r="A232" s="408"/>
      <c r="B232" s="53" t="s">
        <v>211</v>
      </c>
    </row>
    <row r="233" spans="1:3">
      <c r="A233" s="408"/>
      <c r="B233" s="40" t="s">
        <v>212</v>
      </c>
    </row>
    <row r="234" spans="1:3" ht="30" customHeight="1">
      <c r="A234" s="408"/>
      <c r="B234" s="40" t="s">
        <v>213</v>
      </c>
    </row>
    <row r="235" spans="1:3" ht="32.1" customHeight="1">
      <c r="A235" s="408"/>
      <c r="B235" s="40" t="s">
        <v>214</v>
      </c>
    </row>
    <row r="236" spans="1:3" ht="33" customHeight="1" thickBot="1">
      <c r="A236" s="407"/>
      <c r="B236" s="29" t="s">
        <v>215</v>
      </c>
    </row>
    <row r="237" spans="1:3" ht="43.5">
      <c r="A237" s="406" t="s">
        <v>216</v>
      </c>
      <c r="B237" s="30" t="s">
        <v>217</v>
      </c>
    </row>
    <row r="238" spans="1:3" ht="29.25">
      <c r="A238" s="408"/>
      <c r="B238" s="32" t="s">
        <v>218</v>
      </c>
    </row>
    <row r="239" spans="1:3" ht="43.5">
      <c r="A239" s="408"/>
      <c r="B239" s="32" t="s">
        <v>219</v>
      </c>
    </row>
    <row r="240" spans="1:3" ht="29.25">
      <c r="A240" s="408"/>
      <c r="B240" s="32" t="s">
        <v>220</v>
      </c>
    </row>
    <row r="241" spans="1:2" ht="15.75" thickBot="1">
      <c r="A241" s="407"/>
      <c r="B241" s="29" t="s">
        <v>221</v>
      </c>
    </row>
    <row r="242" spans="1:2" ht="15">
      <c r="A242" s="34" t="s">
        <v>133</v>
      </c>
      <c r="B242" s="30" t="s">
        <v>134</v>
      </c>
    </row>
    <row r="243" spans="1:2" ht="15">
      <c r="A243" s="34" t="s">
        <v>135</v>
      </c>
      <c r="B243" s="30" t="s">
        <v>136</v>
      </c>
    </row>
    <row r="244" spans="1:2" ht="28.5">
      <c r="A244" s="52"/>
      <c r="B244" s="30" t="s">
        <v>222</v>
      </c>
    </row>
    <row r="245" spans="1:2" ht="28.5">
      <c r="A245" s="52"/>
      <c r="B245" s="30" t="s">
        <v>223</v>
      </c>
    </row>
    <row r="246" spans="1:2" ht="15" thickBot="1">
      <c r="A246" s="51"/>
      <c r="B246" s="29" t="s">
        <v>224</v>
      </c>
    </row>
    <row r="247" spans="1:2">
      <c r="A247" s="406" t="s">
        <v>225</v>
      </c>
      <c r="B247" s="38" t="s">
        <v>141</v>
      </c>
    </row>
    <row r="248" spans="1:2">
      <c r="A248" s="408"/>
      <c r="B248" s="38" t="s">
        <v>142</v>
      </c>
    </row>
    <row r="249" spans="1:2" ht="15" thickBot="1">
      <c r="A249" s="407"/>
      <c r="B249" s="35" t="s">
        <v>226</v>
      </c>
    </row>
    <row r="250" spans="1:2" ht="29.25">
      <c r="A250" s="406" t="s">
        <v>227</v>
      </c>
      <c r="B250" s="30" t="s">
        <v>146</v>
      </c>
    </row>
    <row r="251" spans="1:2" ht="29.25" thickBot="1">
      <c r="A251" s="407"/>
      <c r="B251" s="29" t="s">
        <v>228</v>
      </c>
    </row>
    <row r="252" spans="1:2">
      <c r="A252" s="406" t="s">
        <v>148</v>
      </c>
      <c r="B252" s="30" t="s">
        <v>149</v>
      </c>
    </row>
    <row r="253" spans="1:2">
      <c r="A253" s="408"/>
      <c r="B253" s="40" t="s">
        <v>177</v>
      </c>
    </row>
    <row r="254" spans="1:2" ht="30" customHeight="1">
      <c r="A254" s="408"/>
      <c r="B254" s="40" t="s">
        <v>178</v>
      </c>
    </row>
    <row r="255" spans="1:2" ht="22.5" customHeight="1">
      <c r="A255" s="408"/>
      <c r="B255" s="40" t="s">
        <v>179</v>
      </c>
    </row>
    <row r="256" spans="1:2" ht="33" customHeight="1">
      <c r="A256" s="408"/>
      <c r="B256" s="40" t="s">
        <v>180</v>
      </c>
    </row>
    <row r="257" spans="1:55" ht="49.5" customHeight="1">
      <c r="A257" s="408"/>
      <c r="B257" s="40" t="s">
        <v>229</v>
      </c>
    </row>
    <row r="258" spans="1:55" ht="19.5" customHeight="1">
      <c r="A258" s="408"/>
      <c r="B258" s="30" t="s">
        <v>230</v>
      </c>
    </row>
    <row r="259" spans="1:55" ht="31.5" customHeight="1" thickBot="1">
      <c r="A259" s="407"/>
      <c r="B259" s="29" t="s">
        <v>231</v>
      </c>
    </row>
    <row r="260" spans="1:55" s="47" customFormat="1" ht="30.6" customHeight="1" thickBot="1">
      <c r="A260" s="44" t="s">
        <v>232</v>
      </c>
      <c r="B260" s="54" t="s">
        <v>233</v>
      </c>
      <c r="C260" s="45"/>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c r="AB260" s="46"/>
      <c r="AC260" s="46"/>
      <c r="AD260" s="46"/>
      <c r="AE260" s="46"/>
      <c r="AF260" s="46"/>
      <c r="AG260" s="46"/>
      <c r="AH260" s="46"/>
      <c r="AI260" s="46"/>
      <c r="AJ260" s="46"/>
      <c r="AK260" s="46"/>
      <c r="AL260" s="46"/>
      <c r="AM260" s="46"/>
      <c r="AN260" s="46"/>
      <c r="AO260" s="46"/>
      <c r="AP260" s="46"/>
      <c r="AQ260" s="46"/>
      <c r="AR260" s="46"/>
      <c r="AS260" s="46"/>
      <c r="AT260" s="46"/>
      <c r="AU260" s="46"/>
      <c r="AV260" s="46"/>
      <c r="AW260" s="46"/>
      <c r="AX260" s="46"/>
      <c r="AY260" s="46"/>
      <c r="AZ260" s="46"/>
      <c r="BA260" s="46"/>
      <c r="BB260" s="46"/>
      <c r="BC260" s="46"/>
    </row>
    <row r="261" spans="1:55" ht="26.45" customHeight="1" thickBot="1">
      <c r="A261" s="44" t="s">
        <v>234</v>
      </c>
      <c r="B261" s="54" t="s">
        <v>235</v>
      </c>
    </row>
    <row r="262" spans="1:55" ht="34.5" customHeight="1" thickBot="1">
      <c r="A262" s="28" t="s">
        <v>157</v>
      </c>
      <c r="B262" s="29" t="s">
        <v>158</v>
      </c>
    </row>
    <row r="263" spans="1:55" ht="21.95" customHeight="1">
      <c r="A263" s="445" t="s">
        <v>236</v>
      </c>
      <c r="B263" s="446"/>
    </row>
    <row r="264" spans="1:55" ht="43.5" customHeight="1" thickBot="1">
      <c r="A264" s="447" t="s">
        <v>237</v>
      </c>
      <c r="B264" s="448"/>
    </row>
    <row r="265" spans="1:55">
      <c r="A265" s="406" t="s">
        <v>89</v>
      </c>
      <c r="B265" s="30" t="s">
        <v>238</v>
      </c>
    </row>
    <row r="266" spans="1:55" ht="15" thickBot="1">
      <c r="A266" s="407"/>
      <c r="B266" s="29" t="s">
        <v>239</v>
      </c>
    </row>
    <row r="267" spans="1:55" ht="32.1" customHeight="1" thickBot="1">
      <c r="A267" s="28" t="s">
        <v>240</v>
      </c>
      <c r="B267" s="29" t="s">
        <v>241</v>
      </c>
    </row>
    <row r="268" spans="1:55" ht="15">
      <c r="A268" s="34" t="s">
        <v>100</v>
      </c>
      <c r="B268" s="30" t="s">
        <v>242</v>
      </c>
    </row>
    <row r="269" spans="1:55" ht="29.25" thickBot="1">
      <c r="A269" s="28" t="s">
        <v>196</v>
      </c>
      <c r="B269" s="29" t="s">
        <v>243</v>
      </c>
    </row>
    <row r="270" spans="1:55">
      <c r="A270" s="406" t="s">
        <v>105</v>
      </c>
      <c r="B270" s="30" t="s">
        <v>244</v>
      </c>
    </row>
    <row r="271" spans="1:55" ht="15" thickBot="1">
      <c r="A271" s="407"/>
      <c r="B271" s="29" t="s">
        <v>245</v>
      </c>
    </row>
    <row r="272" spans="1:55">
      <c r="A272" s="406" t="s">
        <v>109</v>
      </c>
      <c r="B272" s="30" t="s">
        <v>110</v>
      </c>
    </row>
    <row r="273" spans="1:2" ht="19.5" customHeight="1" thickBot="1">
      <c r="A273" s="407"/>
      <c r="B273" s="29" t="s">
        <v>246</v>
      </c>
    </row>
    <row r="274" spans="1:2">
      <c r="A274" s="406" t="s">
        <v>247</v>
      </c>
      <c r="B274" s="30" t="s">
        <v>200</v>
      </c>
    </row>
    <row r="275" spans="1:2" ht="15" thickBot="1">
      <c r="A275" s="407"/>
      <c r="B275" s="29" t="s">
        <v>248</v>
      </c>
    </row>
    <row r="276" spans="1:2" ht="20.25" customHeight="1">
      <c r="A276" s="406" t="s">
        <v>148</v>
      </c>
      <c r="B276" s="30" t="s">
        <v>249</v>
      </c>
    </row>
    <row r="277" spans="1:2" ht="19.5" customHeight="1">
      <c r="A277" s="408"/>
      <c r="B277" s="30" t="s">
        <v>250</v>
      </c>
    </row>
    <row r="278" spans="1:2" ht="18.75" customHeight="1">
      <c r="A278" s="408"/>
      <c r="B278" s="30" t="s">
        <v>251</v>
      </c>
    </row>
    <row r="279" spans="1:2" ht="15" thickBot="1">
      <c r="A279" s="407"/>
      <c r="B279" s="29" t="s">
        <v>252</v>
      </c>
    </row>
    <row r="280" spans="1:2" ht="21.6" customHeight="1" thickBot="1">
      <c r="A280" s="433" t="s">
        <v>253</v>
      </c>
      <c r="B280" s="434"/>
    </row>
    <row r="281" spans="1:2" ht="15.75" thickBot="1">
      <c r="A281" s="28" t="s">
        <v>254</v>
      </c>
      <c r="B281" s="29" t="s">
        <v>255</v>
      </c>
    </row>
    <row r="282" spans="1:2" ht="15" thickBot="1">
      <c r="A282" s="439"/>
      <c r="B282" s="440"/>
    </row>
    <row r="283" spans="1:2" ht="15.75" thickBot="1">
      <c r="A283" s="28" t="s">
        <v>256</v>
      </c>
      <c r="B283" s="29" t="s">
        <v>257</v>
      </c>
    </row>
    <row r="284" spans="1:2" ht="29.25" thickBot="1">
      <c r="A284" s="28" t="s">
        <v>258</v>
      </c>
      <c r="B284" s="29" t="s">
        <v>259</v>
      </c>
    </row>
    <row r="285" spans="1:2" ht="15.75" thickBot="1">
      <c r="A285" s="28" t="s">
        <v>260</v>
      </c>
      <c r="B285" s="29" t="s">
        <v>261</v>
      </c>
    </row>
    <row r="286" spans="1:2" ht="15">
      <c r="A286" s="406" t="s">
        <v>262</v>
      </c>
      <c r="B286" s="32" t="s">
        <v>206</v>
      </c>
    </row>
    <row r="287" spans="1:2" ht="34.5" customHeight="1">
      <c r="A287" s="408"/>
      <c r="B287" s="30" t="s">
        <v>263</v>
      </c>
    </row>
    <row r="288" spans="1:2" ht="19.5" customHeight="1">
      <c r="A288" s="408"/>
      <c r="B288" s="32" t="s">
        <v>60</v>
      </c>
    </row>
    <row r="289" spans="1:3" ht="31.5" customHeight="1">
      <c r="A289" s="408"/>
      <c r="B289" s="30" t="s">
        <v>124</v>
      </c>
    </row>
    <row r="290" spans="1:3">
      <c r="A290" s="408"/>
      <c r="B290" s="30" t="s">
        <v>264</v>
      </c>
    </row>
    <row r="291" spans="1:3" ht="15" thickBot="1">
      <c r="A291" s="407"/>
      <c r="B291" s="29" t="s">
        <v>265</v>
      </c>
    </row>
    <row r="292" spans="1:3" ht="15.6" customHeight="1">
      <c r="A292" s="406" t="s">
        <v>171</v>
      </c>
      <c r="B292" s="30" t="s">
        <v>266</v>
      </c>
    </row>
    <row r="293" spans="1:3">
      <c r="A293" s="408"/>
      <c r="B293" s="43" t="s">
        <v>267</v>
      </c>
      <c r="C293" s="50"/>
    </row>
    <row r="294" spans="1:3" ht="29.25" thickBot="1">
      <c r="A294" s="407"/>
      <c r="B294" s="29" t="s">
        <v>268</v>
      </c>
    </row>
    <row r="295" spans="1:3" s="55" customFormat="1" ht="19.5" customHeight="1">
      <c r="A295" s="406" t="s">
        <v>269</v>
      </c>
      <c r="B295" s="53" t="s">
        <v>270</v>
      </c>
    </row>
    <row r="296" spans="1:3" s="55" customFormat="1" ht="19.5" customHeight="1">
      <c r="A296" s="408"/>
      <c r="B296" s="30" t="s">
        <v>271</v>
      </c>
    </row>
    <row r="297" spans="1:3" s="55" customFormat="1" ht="19.5" customHeight="1" thickBot="1">
      <c r="A297" s="407"/>
      <c r="B297" s="29" t="s">
        <v>272</v>
      </c>
    </row>
    <row r="298" spans="1:3" s="55" customFormat="1" ht="19.5" customHeight="1" thickBot="1">
      <c r="A298" s="28" t="s">
        <v>273</v>
      </c>
      <c r="B298" s="29" t="s">
        <v>274</v>
      </c>
    </row>
    <row r="299" spans="1:3" s="55" customFormat="1" ht="19.5" customHeight="1" thickBot="1">
      <c r="A299" s="28" t="s">
        <v>176</v>
      </c>
      <c r="B299" s="29" t="s">
        <v>275</v>
      </c>
    </row>
    <row r="300" spans="1:3" ht="15" thickBot="1"/>
    <row r="301" spans="1:3" ht="21.95" customHeight="1" thickBot="1">
      <c r="A301" s="435" t="s">
        <v>276</v>
      </c>
      <c r="B301" s="436"/>
    </row>
    <row r="302" spans="1:3" ht="15" customHeight="1" thickBot="1">
      <c r="A302" s="441" t="s">
        <v>277</v>
      </c>
      <c r="B302" s="442"/>
    </row>
    <row r="303" spans="1:3" ht="21.95" customHeight="1" thickBot="1">
      <c r="A303" s="435" t="s">
        <v>278</v>
      </c>
      <c r="B303" s="436"/>
    </row>
    <row r="304" spans="1:3" ht="15" thickBot="1">
      <c r="A304" s="437" t="s">
        <v>279</v>
      </c>
      <c r="B304" s="438"/>
    </row>
    <row r="305" spans="1:2" ht="21.95" customHeight="1" thickBot="1">
      <c r="A305" s="435" t="s">
        <v>280</v>
      </c>
      <c r="B305" s="436"/>
    </row>
    <row r="306" spans="1:2" ht="15" customHeight="1" thickBot="1">
      <c r="A306" s="441" t="s">
        <v>281</v>
      </c>
      <c r="B306" s="442"/>
    </row>
    <row r="307" spans="1:2" ht="23.45" customHeight="1" thickBot="1">
      <c r="A307" s="435" t="s">
        <v>282</v>
      </c>
      <c r="B307" s="436"/>
    </row>
    <row r="308" spans="1:2" ht="15" thickBot="1">
      <c r="A308" s="437" t="s">
        <v>283</v>
      </c>
      <c r="B308" s="438"/>
    </row>
    <row r="309" spans="1:2" ht="21.95" customHeight="1" thickBot="1">
      <c r="A309" s="435" t="s">
        <v>284</v>
      </c>
      <c r="B309" s="436"/>
    </row>
    <row r="310" spans="1:2" ht="15" thickBot="1">
      <c r="A310" s="437" t="s">
        <v>285</v>
      </c>
      <c r="B310" s="438"/>
    </row>
    <row r="311" spans="1:2" ht="21.95" customHeight="1" thickBot="1">
      <c r="A311" s="435" t="s">
        <v>286</v>
      </c>
      <c r="B311" s="436"/>
    </row>
    <row r="312" spans="1:2" ht="15" thickBot="1">
      <c r="A312" s="437" t="s">
        <v>287</v>
      </c>
      <c r="B312" s="438"/>
    </row>
  </sheetData>
  <sheetProtection algorithmName="SHA-512" hashValue="utQ1PGHht+ZbcQSJNq//rQbUjw+ojhcpSiLfDKh2PteC95gpm9fWffsH2vIO1UZ3fyR2GqhOwFeOQ/S1N7UVWw==" saltValue="aBdQB6mQxXuPz6PA+Zm4fA==" spinCount="100000" sheet="1" objects="1" scenarios="1"/>
  <mergeCells count="109">
    <mergeCell ref="A19:B19"/>
    <mergeCell ref="A20:B20"/>
    <mergeCell ref="A21:B21"/>
    <mergeCell ref="A18:B18"/>
    <mergeCell ref="A252:A259"/>
    <mergeCell ref="A263:B263"/>
    <mergeCell ref="A264:B264"/>
    <mergeCell ref="A307:B307"/>
    <mergeCell ref="A308:B308"/>
    <mergeCell ref="A210:A211"/>
    <mergeCell ref="A212:A214"/>
    <mergeCell ref="A215:A218"/>
    <mergeCell ref="A219:A220"/>
    <mergeCell ref="A221:A226"/>
    <mergeCell ref="A227:A236"/>
    <mergeCell ref="A237:A241"/>
    <mergeCell ref="A247:A249"/>
    <mergeCell ref="A250:A251"/>
    <mergeCell ref="A185:A186"/>
    <mergeCell ref="A187:A194"/>
    <mergeCell ref="A196:B196"/>
    <mergeCell ref="A200:A202"/>
    <mergeCell ref="A203:A206"/>
    <mergeCell ref="A137:A144"/>
    <mergeCell ref="A309:B309"/>
    <mergeCell ref="A310:B310"/>
    <mergeCell ref="A311:B311"/>
    <mergeCell ref="A312:B312"/>
    <mergeCell ref="A270:A271"/>
    <mergeCell ref="A272:A273"/>
    <mergeCell ref="A274:A275"/>
    <mergeCell ref="A276:A279"/>
    <mergeCell ref="A280:B280"/>
    <mergeCell ref="A282:B282"/>
    <mergeCell ref="A286:A291"/>
    <mergeCell ref="A292:A294"/>
    <mergeCell ref="A295:A297"/>
    <mergeCell ref="A302:B302"/>
    <mergeCell ref="A303:B303"/>
    <mergeCell ref="A304:B304"/>
    <mergeCell ref="A305:B305"/>
    <mergeCell ref="A306:B306"/>
    <mergeCell ref="A301:B301"/>
    <mergeCell ref="A149:A151"/>
    <mergeCell ref="A152:A153"/>
    <mergeCell ref="A112:A115"/>
    <mergeCell ref="A116:A122"/>
    <mergeCell ref="A93:B93"/>
    <mergeCell ref="A96:A98"/>
    <mergeCell ref="A123:A125"/>
    <mergeCell ref="A132:A133"/>
    <mergeCell ref="A135:A136"/>
    <mergeCell ref="A55:A56"/>
    <mergeCell ref="A57:A58"/>
    <mergeCell ref="A61:B61"/>
    <mergeCell ref="A63:B63"/>
    <mergeCell ref="A99:A100"/>
    <mergeCell ref="A104:A106"/>
    <mergeCell ref="A107:A108"/>
    <mergeCell ref="A109:A111"/>
    <mergeCell ref="A146:B146"/>
    <mergeCell ref="A6:B6"/>
    <mergeCell ref="A23:B23"/>
    <mergeCell ref="A26:B26"/>
    <mergeCell ref="A30:B30"/>
    <mergeCell ref="A82:B82"/>
    <mergeCell ref="A64:A68"/>
    <mergeCell ref="A69:B69"/>
    <mergeCell ref="A70:A72"/>
    <mergeCell ref="A75:A77"/>
    <mergeCell ref="A78:A79"/>
    <mergeCell ref="A80:B80"/>
    <mergeCell ref="A16:B16"/>
    <mergeCell ref="A8:B8"/>
    <mergeCell ref="A12:B12"/>
    <mergeCell ref="A9:B9"/>
    <mergeCell ref="A10:B10"/>
    <mergeCell ref="A11:B11"/>
    <mergeCell ref="A13:B13"/>
    <mergeCell ref="A14:B14"/>
    <mergeCell ref="A15:B15"/>
    <mergeCell ref="A17:B17"/>
    <mergeCell ref="A36:B36"/>
    <mergeCell ref="A37:B37"/>
    <mergeCell ref="A40:A44"/>
    <mergeCell ref="A265:A266"/>
    <mergeCell ref="A156:A158"/>
    <mergeCell ref="A159:A160"/>
    <mergeCell ref="A161:A163"/>
    <mergeCell ref="A164:A167"/>
    <mergeCell ref="A168:A172"/>
    <mergeCell ref="A173:A175"/>
    <mergeCell ref="A22:B22"/>
    <mergeCell ref="A31:B31"/>
    <mergeCell ref="A25:B25"/>
    <mergeCell ref="A24:B24"/>
    <mergeCell ref="A29:B29"/>
    <mergeCell ref="A27:B27"/>
    <mergeCell ref="A28:B28"/>
    <mergeCell ref="A32:B32"/>
    <mergeCell ref="A33:B33"/>
    <mergeCell ref="A34:B34"/>
    <mergeCell ref="A35:B35"/>
    <mergeCell ref="A84:A88"/>
    <mergeCell ref="A89:B89"/>
    <mergeCell ref="A90:A91"/>
    <mergeCell ref="A45:A49"/>
    <mergeCell ref="A182:A183"/>
    <mergeCell ref="A50:A54"/>
  </mergeCells>
  <hyperlinks>
    <hyperlink ref="A11" r:id="rId1" display="https://www.theglobalfund.org/en/monitoring-evaluation/framework/" xr:uid="{C3E8ABD8-CCD2-410F-8B09-68F4220A023A}"/>
    <hyperlink ref="A37" r:id="rId2" location="SectionATab" display="../../../../stesfaye/AppData/Local/Microsoft/Windows/INetCache/Content.MSO/E74EAC77.xlsx - SectionATab" xr:uid="{9930ED91-C13D-4FC8-850B-55D92CFEC569}"/>
    <hyperlink ref="A93" r:id="rId3" location="SectionBTab" display="../../../../stesfaye/AppData/Local/Microsoft/Windows/INetCache/Content.MSO/E74EAC77.xlsx - SectionBTab" xr:uid="{5B8C0542-6964-4EDC-88E5-859D2BE656DA}"/>
    <hyperlink ref="A146" r:id="rId4" location="SectionCTab" display="../../../../stesfaye/AppData/Local/Microsoft/Windows/INetCache/Content.MSO/E74EAC77.xlsx - SectionCTab" xr:uid="{77F25244-07C0-4793-9297-09744433136B}"/>
    <hyperlink ref="A196" r:id="rId5" location="SectionDTab" display="../../../../stesfaye/AppData/Local/Microsoft/Windows/INetCache/Content.MSO/E74EAC77.xlsx - SectionDTab" xr:uid="{CA636503-8C42-4ED0-B9FF-F1E5DA96FE83}"/>
    <hyperlink ref="A263" r:id="rId6" location="SectionETab" display="../../../../stesfaye/AppData/Local/Microsoft/Windows/INetCache/Content.MSO/E74EAC77.xlsx - SectionETab" xr:uid="{E84E6D41-7C73-4BD3-BE4A-443FF521F153}"/>
    <hyperlink ref="A280" r:id="rId7" location="SectionFTab" display="../../../../stesfaye/AppData/Local/Microsoft/Windows/INetCache/Content.MSO/E74EAC77.xlsx - SectionFTab" xr:uid="{4856B426-ADBB-462C-9806-A53A5F0221CC}"/>
    <hyperlink ref="A311:B311" location="'Print - WPTM'!A1" display="Sheet: Print – WPTM " xr:uid="{0AEC3AA8-35CA-4A90-BEC5-76F9D26313CD}"/>
    <hyperlink ref="A309:B309" location="'Print - Coverage'!A1" display="Sheet: Print – Coverage " xr:uid="{178137F8-AB0B-41DA-B388-8C3EEFE47341}"/>
    <hyperlink ref="A307:B307" location="'Print - Objectives &amp; Outcome'!A1" display="Sheet: Print – Objectives &amp; Outcome" xr:uid="{240E16B0-C598-49C1-840F-369590A4DE0B}"/>
    <hyperlink ref="A305:B305" location="'Print - Goals &amp; Impact'!A1" display="Sheet: Print – Goals &amp; Impact" xr:uid="{51677091-DDA3-400E-B4FA-CFF6719A3B38}"/>
    <hyperlink ref="A303:B303" location="'Print - Summary'!A1" display="Sheet: Print - Summary" xr:uid="{C4B8F622-F8A1-4BFE-AB7D-DA106F2907C3}"/>
    <hyperlink ref="A301:B301" location="'Target Assumptions'!A1" display="Sheet: Target Assumptions" xr:uid="{E0843AC7-7874-4139-899C-49BC0E98647F}"/>
    <hyperlink ref="A37:B37" location="'Overview - Section A'!A1" display="Overview- Section A " xr:uid="{A02D9538-AC36-4489-9166-C02DC1906B47}"/>
  </hyperlinks>
  <pageMargins left="0.27037878787878789" right="0.7" top="0.19479166666666667" bottom="0.75" header="4.4270833333333332E-3" footer="0.3"/>
  <pageSetup paperSize="9" scale="48" fitToHeight="0" orientation="portrait" r:id="rId8"/>
  <headerFooter>
    <oddFooter>&amp;CPage &amp;P</oddFooter>
  </headerFooter>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XFD202"/>
  <sheetViews>
    <sheetView showGridLines="0" view="pageBreakPreview" topLeftCell="BA115" zoomScale="60" zoomScaleNormal="80" workbookViewId="0">
      <selection activeCell="E33" sqref="E33"/>
    </sheetView>
  </sheetViews>
  <sheetFormatPr defaultColWidth="11" defaultRowHeight="14.25"/>
  <cols>
    <col min="1" max="1" width="39.5" style="48" customWidth="1"/>
    <col min="2" max="2" width="43.125" style="48" hidden="1" customWidth="1"/>
    <col min="3" max="3" width="15.625" style="48" hidden="1" customWidth="1"/>
    <col min="4" max="4" width="17.5" style="48" hidden="1" customWidth="1"/>
    <col min="5" max="5" width="55" style="48" customWidth="1"/>
    <col min="6" max="6" width="16" style="48" hidden="1" customWidth="1"/>
    <col min="7" max="7" width="14.875" style="48" hidden="1" customWidth="1"/>
    <col min="8" max="8" width="14.125" style="48" hidden="1" customWidth="1"/>
    <col min="9" max="9" width="11.125" style="48" hidden="1" customWidth="1"/>
    <col min="10" max="10" width="28.5" style="48" hidden="1" customWidth="1"/>
    <col min="11" max="11" width="31.625" style="48" customWidth="1"/>
    <col min="12" max="12" width="21.125" style="48" hidden="1" customWidth="1"/>
    <col min="13" max="13" width="19.875" style="48" hidden="1" customWidth="1"/>
    <col min="14" max="14" width="26.375" style="48" hidden="1" customWidth="1"/>
    <col min="15" max="15" width="10.625" style="48" hidden="1" customWidth="1"/>
    <col min="16" max="16" width="12.375" style="48" hidden="1" customWidth="1"/>
    <col min="17" max="17" width="10.375" style="48" hidden="1" customWidth="1"/>
    <col min="18" max="18" width="29.875" style="48" hidden="1" customWidth="1"/>
    <col min="19" max="19" width="14" style="48" hidden="1" customWidth="1"/>
    <col min="20" max="20" width="35.125" style="48" customWidth="1"/>
    <col min="21" max="21" width="19.125" style="48" hidden="1" customWidth="1"/>
    <col min="22" max="22" width="40.5" style="48" hidden="1" customWidth="1"/>
    <col min="23" max="23" width="29.125" style="48" hidden="1" customWidth="1"/>
    <col min="24" max="24" width="39.625" style="48" hidden="1" customWidth="1"/>
    <col min="25" max="25" width="27.625" style="48" hidden="1" customWidth="1"/>
    <col min="26" max="26" width="20" style="48" hidden="1" customWidth="1"/>
    <col min="27" max="27" width="17.875" style="48" hidden="1" customWidth="1"/>
    <col min="28" max="28" width="23.875" style="48" hidden="1" customWidth="1"/>
    <col min="29" max="29" width="32.125" style="48" hidden="1" customWidth="1"/>
    <col min="30" max="30" width="27.375" style="48" hidden="1" customWidth="1"/>
    <col min="31" max="31" width="21.5" style="48" hidden="1" customWidth="1"/>
    <col min="32" max="32" width="25.875" style="48" hidden="1" customWidth="1"/>
    <col min="33" max="33" width="26.625" style="48" hidden="1" customWidth="1"/>
    <col min="34" max="34" width="31.125" style="48" hidden="1" customWidth="1"/>
    <col min="35" max="35" width="23.625" style="48" hidden="1" customWidth="1"/>
    <col min="36" max="38" width="11" style="48" hidden="1" customWidth="1"/>
    <col min="39" max="39" width="19.125" style="48" hidden="1" customWidth="1"/>
    <col min="40" max="40" width="15.625" style="48" hidden="1" customWidth="1"/>
    <col min="41" max="41" width="15.625" style="133" hidden="1" customWidth="1"/>
    <col min="42" max="42" width="38" style="133" hidden="1" customWidth="1"/>
    <col min="43" max="43" width="40.625" style="133" hidden="1" customWidth="1"/>
    <col min="44" max="44" width="52.875" style="133" hidden="1" customWidth="1"/>
    <col min="45" max="45" width="26.875" style="133" hidden="1" customWidth="1"/>
    <col min="46" max="46" width="40.5" style="133" customWidth="1"/>
    <col min="47" max="47" width="11" style="133" customWidth="1"/>
    <col min="48" max="50" width="11" style="133"/>
    <col min="51" max="16384" width="11" style="48"/>
  </cols>
  <sheetData>
    <row r="1" spans="1:50">
      <c r="A1" s="456" t="s">
        <v>288</v>
      </c>
      <c r="B1" s="457"/>
      <c r="C1" s="457"/>
      <c r="D1" s="457"/>
      <c r="E1" s="457"/>
      <c r="F1" s="457"/>
      <c r="G1" s="457"/>
      <c r="H1" s="457"/>
      <c r="I1" s="457"/>
      <c r="J1" s="457"/>
      <c r="K1" s="457"/>
      <c r="L1" s="457"/>
      <c r="M1" s="457"/>
      <c r="N1" s="457"/>
      <c r="O1" s="457"/>
      <c r="P1" s="457"/>
      <c r="Q1" s="457"/>
      <c r="R1" s="457"/>
      <c r="S1" s="457"/>
      <c r="T1" s="458"/>
      <c r="AS1" s="133" t="str">
        <f>AN5</f>
        <v>Funding Request</v>
      </c>
    </row>
    <row r="2" spans="1:50" s="193" customFormat="1" ht="27" customHeight="1" thickBot="1">
      <c r="A2" s="459"/>
      <c r="B2" s="460"/>
      <c r="C2" s="460"/>
      <c r="D2" s="460"/>
      <c r="E2" s="460"/>
      <c r="F2" s="460"/>
      <c r="G2" s="460"/>
      <c r="H2" s="460"/>
      <c r="I2" s="460"/>
      <c r="J2" s="460"/>
      <c r="K2" s="460"/>
      <c r="L2" s="460"/>
      <c r="M2" s="460"/>
      <c r="N2" s="460"/>
      <c r="O2" s="460"/>
      <c r="P2" s="460"/>
      <c r="Q2" s="460"/>
      <c r="R2" s="460"/>
      <c r="S2" s="460"/>
      <c r="T2" s="461"/>
      <c r="AO2" s="194"/>
      <c r="AP2" s="194"/>
      <c r="AQ2" s="194"/>
      <c r="AR2" s="194"/>
      <c r="AS2" s="194"/>
      <c r="AT2" s="194"/>
      <c r="AU2" s="194"/>
      <c r="AV2" s="194"/>
      <c r="AW2" s="194"/>
      <c r="AX2" s="194"/>
    </row>
    <row r="3" spans="1:50" ht="15">
      <c r="A3" s="195" t="s">
        <v>289</v>
      </c>
      <c r="B3" s="196"/>
      <c r="C3" s="196"/>
      <c r="D3" s="196"/>
      <c r="K3" s="197"/>
      <c r="L3" s="134"/>
      <c r="M3" s="134"/>
      <c r="N3" s="134"/>
      <c r="O3" s="134"/>
      <c r="P3" s="134"/>
      <c r="Q3" s="134"/>
      <c r="R3" s="134"/>
      <c r="S3" s="134"/>
      <c r="T3" s="198"/>
    </row>
    <row r="4" spans="1:50" ht="19.5" customHeight="1" thickBot="1">
      <c r="L4" s="199"/>
      <c r="M4" s="199"/>
      <c r="N4" s="199"/>
      <c r="O4" s="199"/>
      <c r="P4" s="199"/>
      <c r="Q4" s="199"/>
      <c r="R4" s="199"/>
      <c r="S4" s="199"/>
      <c r="T4" s="199"/>
      <c r="W4" s="200"/>
    </row>
    <row r="5" spans="1:50" ht="29.1" customHeight="1" thickBot="1">
      <c r="A5" s="201" t="s">
        <v>31</v>
      </c>
      <c r="B5" s="202"/>
      <c r="C5" s="202"/>
      <c r="D5" s="203"/>
      <c r="E5" s="204" t="str">
        <f>IFERROR(IF($AN$5="Funding Request",IF('Reference Records'!$B$427&lt;&gt;"",'Reference Records'!$B$427,'Reference Records'!$B$428),IF(OR($AN$5="Grant Making", $AN$5="Grant Revision"),'Reference Records'!B432,"")),"")</f>
        <v>Congo (Democratic Republic)</v>
      </c>
      <c r="F5" s="205"/>
      <c r="G5" s="205"/>
      <c r="H5" s="205"/>
      <c r="I5" s="205"/>
      <c r="J5" s="205"/>
      <c r="K5" s="205"/>
      <c r="L5" s="199"/>
      <c r="M5" s="199"/>
      <c r="N5" s="199"/>
      <c r="O5" s="199"/>
      <c r="P5" s="199"/>
      <c r="Q5" s="199"/>
      <c r="R5" s="199"/>
      <c r="S5" s="199"/>
      <c r="T5" s="199"/>
      <c r="V5" s="200"/>
      <c r="W5" s="200"/>
      <c r="AL5" s="133"/>
      <c r="AM5" s="206" t="s">
        <v>290</v>
      </c>
      <c r="AN5" s="321" t="s">
        <v>291</v>
      </c>
      <c r="AO5" s="206"/>
      <c r="AP5" s="206"/>
    </row>
    <row r="6" spans="1:50" ht="28.35" customHeight="1" thickBot="1">
      <c r="A6" s="201" t="s">
        <v>33</v>
      </c>
      <c r="B6" s="202"/>
      <c r="C6" s="202"/>
      <c r="D6" s="203"/>
      <c r="E6" s="207" t="str">
        <f>IF($AN$5="Funding Request",'Reference Records'!$B$426,IF(OR($AN$5="Grant Making", $AN$5="Grant Revision"),'Reference Records'!$B$431,""))</f>
        <v>FR1493-COD-C</v>
      </c>
      <c r="F6" s="205"/>
      <c r="G6" s="205"/>
      <c r="H6" s="205"/>
      <c r="I6" s="205"/>
      <c r="J6" s="205"/>
      <c r="K6" s="205"/>
      <c r="L6" s="199"/>
      <c r="M6" s="199"/>
      <c r="N6" s="199"/>
      <c r="O6" s="199"/>
      <c r="P6" s="199"/>
      <c r="Q6" s="199"/>
      <c r="R6" s="199"/>
      <c r="S6" s="199"/>
      <c r="T6" s="199"/>
      <c r="V6" s="200"/>
      <c r="W6" s="200"/>
    </row>
    <row r="7" spans="1:50" ht="31.5" customHeight="1" thickBot="1">
      <c r="A7" s="201" t="s">
        <v>292</v>
      </c>
      <c r="B7" s="202"/>
      <c r="C7" s="202"/>
      <c r="D7" s="203"/>
      <c r="E7" s="208">
        <v>45292</v>
      </c>
      <c r="F7" s="209"/>
      <c r="G7" s="209"/>
      <c r="H7" s="209"/>
      <c r="I7" s="209"/>
      <c r="J7" s="209"/>
      <c r="K7" s="209"/>
      <c r="L7" s="199"/>
      <c r="M7" s="199"/>
      <c r="N7" s="199"/>
      <c r="O7" s="199"/>
      <c r="P7" s="199"/>
      <c r="Q7" s="199"/>
      <c r="R7" s="199"/>
      <c r="S7" s="199"/>
      <c r="T7" s="199"/>
      <c r="V7" s="200" t="s">
        <v>293</v>
      </c>
      <c r="W7" s="200"/>
    </row>
    <row r="8" spans="1:50" ht="31.5" customHeight="1" thickBot="1">
      <c r="A8" s="201" t="s">
        <v>294</v>
      </c>
      <c r="B8" s="210"/>
      <c r="C8" s="210"/>
      <c r="D8" s="211" t="s">
        <v>295</v>
      </c>
      <c r="E8" s="208">
        <v>46387</v>
      </c>
      <c r="F8" s="209"/>
      <c r="G8" s="209"/>
      <c r="H8" s="209"/>
      <c r="I8" s="209"/>
      <c r="J8" s="209"/>
      <c r="K8" s="212"/>
      <c r="L8" s="199"/>
      <c r="M8" s="199"/>
      <c r="N8" s="199"/>
      <c r="O8" s="199"/>
      <c r="P8" s="199"/>
      <c r="Q8" s="199"/>
      <c r="R8" s="199"/>
      <c r="S8" s="199"/>
      <c r="T8" s="199"/>
      <c r="V8" s="200"/>
      <c r="W8" s="200"/>
      <c r="AL8" s="206"/>
      <c r="AM8" s="206"/>
      <c r="AN8" s="206"/>
      <c r="AO8" s="206"/>
    </row>
    <row r="9" spans="1:50" ht="32.25" customHeight="1" thickBot="1">
      <c r="A9" s="201" t="s">
        <v>43</v>
      </c>
      <c r="B9" s="110" t="s">
        <v>296</v>
      </c>
      <c r="C9" s="322">
        <v>6</v>
      </c>
      <c r="D9" s="213" t="s">
        <v>296</v>
      </c>
      <c r="E9" s="320">
        <f>IFERROR(IF(C9="","",C9),"")</f>
        <v>6</v>
      </c>
      <c r="F9" s="205"/>
      <c r="G9" s="205"/>
      <c r="H9" s="205"/>
      <c r="I9" s="205"/>
      <c r="J9" s="205"/>
      <c r="K9" s="205"/>
      <c r="L9" s="199"/>
      <c r="M9" s="199"/>
      <c r="N9" s="199"/>
      <c r="O9" s="199"/>
      <c r="P9" s="199"/>
      <c r="Q9" s="199"/>
      <c r="R9" s="199"/>
      <c r="S9" s="199"/>
      <c r="T9" s="199"/>
      <c r="W9" s="200"/>
      <c r="AL9" s="206"/>
      <c r="AM9" s="206" t="s">
        <v>297</v>
      </c>
      <c r="AN9" s="206">
        <f>'Reference Records'!$B$501</f>
        <v>0</v>
      </c>
      <c r="AO9" s="206"/>
    </row>
    <row r="10" spans="1:50" ht="32.25" customHeight="1" thickBot="1">
      <c r="A10" s="201" t="s">
        <v>48</v>
      </c>
      <c r="D10" s="213" t="s">
        <v>298</v>
      </c>
      <c r="E10" s="308">
        <v>45292</v>
      </c>
      <c r="F10" s="205"/>
      <c r="G10" s="205"/>
      <c r="H10" s="205"/>
      <c r="I10" s="205"/>
      <c r="J10" s="205"/>
      <c r="K10" s="462" t="str">
        <f>IF(E8&gt;E11,"Please note, the Implementation Period End Date is longer than the Allocation Utilization Period End Date"," ")</f>
        <v xml:space="preserve"> </v>
      </c>
      <c r="L10" s="199"/>
      <c r="M10" s="199"/>
      <c r="N10" s="199"/>
      <c r="O10" s="199"/>
      <c r="P10" s="199"/>
      <c r="Q10" s="199"/>
      <c r="R10" s="199"/>
      <c r="S10" s="199"/>
      <c r="T10" s="199"/>
      <c r="AM10" s="206" t="s">
        <v>299</v>
      </c>
      <c r="AN10" s="206" t="s">
        <v>300</v>
      </c>
    </row>
    <row r="11" spans="1:50" ht="27" customHeight="1" thickBot="1">
      <c r="A11" s="201" t="s">
        <v>50</v>
      </c>
      <c r="B11" s="214"/>
      <c r="C11" s="214"/>
      <c r="D11" s="215" t="s">
        <v>301</v>
      </c>
      <c r="E11" s="309">
        <v>46387</v>
      </c>
      <c r="F11" s="216"/>
      <c r="G11" s="216"/>
      <c r="H11" s="216"/>
      <c r="I11" s="216"/>
      <c r="J11" s="216"/>
      <c r="K11" s="462"/>
      <c r="L11" s="199"/>
      <c r="M11" s="199"/>
      <c r="N11" s="199"/>
      <c r="O11" s="199"/>
      <c r="P11" s="199"/>
      <c r="Q11" s="199"/>
      <c r="R11" s="199"/>
      <c r="S11" s="199"/>
      <c r="T11" s="217"/>
      <c r="W11" s="200"/>
      <c r="AM11" s="206" t="s">
        <v>302</v>
      </c>
      <c r="AN11" s="206" t="str">
        <f ca="1">CONCATENATE(E6&amp;"_PF_"&amp;AN5&amp;"_Imported_",TEXT(TODAY(),"dd-mmm-yy"))</f>
        <v>FR1493-COD-C_PF_Funding Request_Imported_18-Apr-23</v>
      </c>
    </row>
    <row r="12" spans="1:50" s="126" customFormat="1" ht="27.75" customHeight="1" thickBot="1">
      <c r="A12" s="216"/>
      <c r="B12" s="216"/>
      <c r="C12" s="216"/>
      <c r="D12" s="216"/>
      <c r="E12" s="216"/>
      <c r="F12" s="216"/>
      <c r="G12" s="216"/>
      <c r="H12" s="216"/>
      <c r="I12" s="216"/>
      <c r="J12" s="216"/>
      <c r="K12" s="216"/>
      <c r="L12" s="217"/>
      <c r="M12" s="217"/>
      <c r="N12" s="217"/>
      <c r="O12" s="217"/>
      <c r="P12" s="217"/>
      <c r="Q12" s="217"/>
      <c r="R12" s="217"/>
      <c r="S12" s="217"/>
      <c r="T12" s="218"/>
      <c r="V12" s="48"/>
      <c r="W12" s="200"/>
      <c r="X12" s="48"/>
      <c r="Y12" s="48"/>
      <c r="Z12" s="48"/>
      <c r="AN12" s="219" t="str">
        <f ca="1">CONCATENATE(E6&amp;"_PF_"&amp;AN5&amp;"_Extracted_",TEXT(TODAY(),"dd-mmm-yy"))</f>
        <v>FR1493-COD-C_PF_Funding Request_Extracted_18-Apr-23</v>
      </c>
      <c r="AO12" s="220"/>
      <c r="AP12" s="220"/>
      <c r="AQ12" s="220"/>
      <c r="AR12" s="220"/>
      <c r="AS12" s="220"/>
      <c r="AT12" s="220"/>
      <c r="AU12" s="220"/>
      <c r="AV12" s="220"/>
      <c r="AW12" s="220"/>
      <c r="AX12" s="220"/>
    </row>
    <row r="13" spans="1:50" s="126" customFormat="1" ht="35.25" customHeight="1" thickBot="1">
      <c r="A13" s="463" t="s">
        <v>89</v>
      </c>
      <c r="B13" s="221"/>
      <c r="C13" s="222"/>
      <c r="D13" s="222"/>
      <c r="E13" s="109" t="s">
        <v>303</v>
      </c>
      <c r="F13" s="223"/>
      <c r="G13" s="223"/>
      <c r="H13" s="223"/>
      <c r="I13" s="223"/>
      <c r="J13" s="223"/>
      <c r="K13" s="109" t="s">
        <v>304</v>
      </c>
      <c r="L13" s="224"/>
      <c r="M13" s="223"/>
      <c r="N13" s="223"/>
      <c r="O13" s="223"/>
      <c r="P13" s="223"/>
      <c r="Q13" s="223"/>
      <c r="R13" s="223"/>
      <c r="S13" s="223"/>
      <c r="T13" s="109" t="s">
        <v>305</v>
      </c>
      <c r="U13" s="225"/>
      <c r="V13" s="226"/>
      <c r="W13" s="227"/>
      <c r="X13" s="225"/>
      <c r="Y13" s="225"/>
      <c r="Z13" s="225"/>
      <c r="AA13" s="225"/>
      <c r="AB13" s="225"/>
      <c r="AC13" s="225"/>
      <c r="AD13" s="225"/>
      <c r="AE13" s="225"/>
      <c r="AF13" s="225"/>
      <c r="AG13" s="225"/>
      <c r="AH13" s="225"/>
      <c r="AI13" s="225"/>
      <c r="AJ13" s="225"/>
      <c r="AK13" s="225"/>
      <c r="AL13" s="225"/>
      <c r="AM13" s="225"/>
      <c r="AN13" s="225"/>
      <c r="AO13" s="228"/>
      <c r="AP13" s="228"/>
      <c r="AQ13" s="228"/>
      <c r="AR13" s="228"/>
      <c r="AS13" s="228"/>
      <c r="AT13" s="109" t="s">
        <v>306</v>
      </c>
      <c r="AU13" s="220"/>
      <c r="AV13" s="220"/>
      <c r="AW13" s="220"/>
      <c r="AX13" s="220"/>
    </row>
    <row r="14" spans="1:50" s="126" customFormat="1" ht="40.5" customHeight="1" thickBot="1">
      <c r="A14" s="463"/>
      <c r="B14" s="229"/>
      <c r="C14" s="230"/>
      <c r="D14" s="230"/>
      <c r="E14" s="109" t="s">
        <v>307</v>
      </c>
      <c r="F14" s="223"/>
      <c r="G14" s="223"/>
      <c r="H14" s="223"/>
      <c r="I14" s="223"/>
      <c r="J14" s="223"/>
      <c r="K14" s="109" t="s">
        <v>308</v>
      </c>
      <c r="L14" s="224"/>
      <c r="M14" s="223"/>
      <c r="N14" s="223"/>
      <c r="O14" s="223"/>
      <c r="P14" s="223"/>
      <c r="Q14" s="223"/>
      <c r="R14" s="223"/>
      <c r="S14" s="223"/>
      <c r="T14" s="109" t="s">
        <v>309</v>
      </c>
      <c r="U14" s="225"/>
      <c r="V14" s="225"/>
      <c r="W14" s="227"/>
      <c r="X14" s="225"/>
      <c r="Y14" s="225"/>
      <c r="Z14" s="225"/>
      <c r="AA14" s="225"/>
      <c r="AB14" s="225"/>
      <c r="AC14" s="225"/>
      <c r="AD14" s="225"/>
      <c r="AE14" s="225"/>
      <c r="AF14" s="225"/>
      <c r="AG14" s="225"/>
      <c r="AH14" s="225"/>
      <c r="AI14" s="225"/>
      <c r="AJ14" s="225"/>
      <c r="AK14" s="225"/>
      <c r="AL14" s="225"/>
      <c r="AM14" s="225"/>
      <c r="AN14" s="225"/>
      <c r="AO14" s="228"/>
      <c r="AP14" s="228"/>
      <c r="AQ14" s="228"/>
      <c r="AR14" s="228"/>
      <c r="AS14" s="228"/>
      <c r="AT14" s="220"/>
      <c r="AU14" s="220"/>
      <c r="AV14" s="220"/>
      <c r="AW14" s="220"/>
      <c r="AX14" s="220"/>
    </row>
    <row r="15" spans="1:50" s="126" customFormat="1" ht="28.5" customHeight="1">
      <c r="A15" s="216"/>
      <c r="B15" s="216"/>
      <c r="C15" s="216"/>
      <c r="D15" s="216"/>
      <c r="E15" s="216"/>
      <c r="F15" s="216"/>
      <c r="G15" s="216"/>
      <c r="H15" s="216"/>
      <c r="I15" s="216"/>
      <c r="J15" s="216"/>
      <c r="K15" s="216"/>
      <c r="L15" s="217"/>
      <c r="M15" s="217"/>
      <c r="N15" s="217"/>
      <c r="O15" s="217"/>
      <c r="P15" s="217"/>
      <c r="Q15" s="217"/>
      <c r="R15" s="217"/>
      <c r="S15" s="217"/>
      <c r="T15" s="218"/>
      <c r="V15" s="48"/>
      <c r="W15" s="200"/>
      <c r="X15" s="48"/>
      <c r="Y15" s="48"/>
      <c r="Z15" s="48"/>
      <c r="AO15" s="220"/>
      <c r="AP15" s="220"/>
      <c r="AQ15" s="220"/>
      <c r="AR15" s="220"/>
      <c r="AS15" s="220"/>
      <c r="AT15" s="220"/>
      <c r="AU15" s="220"/>
      <c r="AV15" s="220"/>
      <c r="AW15" s="220"/>
      <c r="AX15" s="220"/>
    </row>
    <row r="16" spans="1:50" ht="37.5" customHeight="1" thickBot="1">
      <c r="A16" s="199"/>
      <c r="B16" s="199"/>
      <c r="C16" s="199"/>
      <c r="D16" s="199"/>
      <c r="W16" s="200"/>
      <c r="X16" s="200"/>
    </row>
    <row r="17" spans="1:26" ht="0.75" customHeight="1">
      <c r="A17" s="231"/>
      <c r="B17" s="232"/>
      <c r="C17" s="232"/>
      <c r="D17" s="233"/>
      <c r="E17" s="199"/>
      <c r="F17" s="199"/>
      <c r="G17" s="199"/>
      <c r="H17" s="199"/>
      <c r="I17" s="199"/>
      <c r="J17" s="199"/>
      <c r="K17" s="199"/>
      <c r="L17" s="199"/>
      <c r="M17" s="199"/>
      <c r="N17" s="199"/>
      <c r="O17" s="199"/>
      <c r="P17" s="199"/>
      <c r="Q17" s="199"/>
      <c r="R17" s="199"/>
      <c r="S17" s="199"/>
      <c r="W17" s="200"/>
      <c r="X17" s="200"/>
    </row>
    <row r="18" spans="1:26" ht="36.75" customHeight="1">
      <c r="A18" s="234" t="s">
        <v>54</v>
      </c>
      <c r="B18" s="235"/>
      <c r="C18" s="235" t="s">
        <v>310</v>
      </c>
      <c r="D18" s="236"/>
      <c r="E18" s="199"/>
      <c r="F18" s="199"/>
      <c r="G18" s="199"/>
      <c r="H18" s="199"/>
      <c r="I18" s="199"/>
      <c r="J18" s="199"/>
      <c r="K18" s="199"/>
      <c r="L18" s="199"/>
      <c r="M18" s="199"/>
      <c r="N18" s="199"/>
      <c r="O18" s="199"/>
      <c r="P18" s="199"/>
      <c r="Q18" s="199"/>
      <c r="R18" s="199"/>
      <c r="S18" s="199"/>
      <c r="W18" s="200"/>
      <c r="X18" s="200"/>
    </row>
    <row r="19" spans="1:26" ht="47.1" hidden="1" customHeight="1">
      <c r="A19" s="327" t="s">
        <v>311</v>
      </c>
      <c r="B19" s="237"/>
      <c r="C19" s="237" t="s">
        <v>312</v>
      </c>
      <c r="D19" s="199"/>
      <c r="E19" s="199"/>
      <c r="F19" s="199"/>
      <c r="G19" s="199"/>
      <c r="H19" s="199"/>
      <c r="I19" s="199"/>
      <c r="J19" s="199"/>
      <c r="K19" s="199"/>
      <c r="L19" s="199"/>
      <c r="M19" s="199"/>
      <c r="N19" s="199"/>
      <c r="O19" s="199"/>
      <c r="P19" s="199"/>
      <c r="Q19" s="199"/>
      <c r="R19" s="199"/>
      <c r="S19" s="199"/>
      <c r="W19" s="200"/>
      <c r="X19" s="200"/>
    </row>
    <row r="20" spans="1:26" ht="47.1" customHeight="1">
      <c r="A20" s="327" t="s">
        <v>313</v>
      </c>
      <c r="B20" s="237"/>
      <c r="C20" s="237" t="s">
        <v>313</v>
      </c>
      <c r="D20" s="199"/>
      <c r="E20" s="199"/>
      <c r="F20" s="199"/>
      <c r="G20" s="199"/>
      <c r="H20" s="199"/>
      <c r="I20" s="199"/>
      <c r="J20" s="199"/>
      <c r="K20" s="199"/>
      <c r="L20" s="199"/>
      <c r="M20" s="199"/>
      <c r="N20" s="199"/>
      <c r="O20" s="199"/>
      <c r="P20" s="199"/>
      <c r="Q20" s="199"/>
      <c r="R20" s="199"/>
      <c r="S20" s="199"/>
      <c r="W20" s="200"/>
      <c r="X20" s="200"/>
    </row>
    <row r="21" spans="1:26" ht="47.1" customHeight="1">
      <c r="A21" s="327" t="s">
        <v>314</v>
      </c>
      <c r="B21" s="237"/>
      <c r="C21" s="237" t="s">
        <v>314</v>
      </c>
      <c r="D21" s="199"/>
      <c r="E21" s="199"/>
      <c r="F21" s="199"/>
      <c r="G21" s="199"/>
      <c r="H21" s="199"/>
      <c r="I21" s="199"/>
      <c r="J21" s="199"/>
      <c r="K21" s="199"/>
      <c r="L21" s="199"/>
      <c r="M21" s="199"/>
      <c r="N21" s="199"/>
      <c r="O21" s="199"/>
      <c r="P21" s="199"/>
      <c r="Q21" s="199"/>
      <c r="R21" s="199"/>
      <c r="S21" s="199"/>
      <c r="W21" s="200"/>
      <c r="X21" s="200"/>
    </row>
    <row r="22" spans="1:26" ht="47.1" customHeight="1">
      <c r="A22" s="238"/>
      <c r="B22" s="239"/>
      <c r="C22" s="237" t="s">
        <v>315</v>
      </c>
      <c r="D22" s="199"/>
      <c r="E22" s="199"/>
      <c r="F22" s="199"/>
      <c r="G22" s="199"/>
      <c r="H22" s="199"/>
      <c r="I22" s="199"/>
      <c r="J22" s="199"/>
      <c r="K22" s="199"/>
      <c r="L22" s="199"/>
      <c r="M22" s="199"/>
      <c r="N22" s="199"/>
      <c r="O22" s="199"/>
      <c r="P22" s="199"/>
      <c r="Q22" s="199"/>
      <c r="R22" s="199"/>
      <c r="S22" s="199"/>
      <c r="W22" s="200"/>
      <c r="X22" s="200"/>
    </row>
    <row r="23" spans="1:26" s="199" customFormat="1" ht="20.100000000000001" customHeight="1">
      <c r="A23" s="238"/>
      <c r="B23" s="239"/>
      <c r="C23" s="237"/>
      <c r="V23" s="240"/>
      <c r="W23" s="240"/>
      <c r="X23" s="240"/>
      <c r="Y23" s="240"/>
      <c r="Z23" s="240"/>
    </row>
    <row r="24" spans="1:26" ht="16.350000000000001" customHeight="1" thickBot="1">
      <c r="W24" s="200"/>
      <c r="X24" s="200"/>
    </row>
    <row r="25" spans="1:26" ht="0.75" customHeight="1">
      <c r="B25" s="241"/>
      <c r="C25" s="241"/>
      <c r="D25" s="241"/>
      <c r="F25" s="241"/>
      <c r="G25" s="241"/>
      <c r="H25" s="241"/>
      <c r="I25" s="241"/>
      <c r="J25" s="242"/>
      <c r="W25" s="200"/>
      <c r="X25" s="200"/>
    </row>
    <row r="26" spans="1:26" ht="21" customHeight="1">
      <c r="A26" s="234" t="s">
        <v>316</v>
      </c>
      <c r="B26" s="234"/>
      <c r="C26" s="234"/>
      <c r="D26" s="234"/>
      <c r="E26" s="323" t="s">
        <v>317</v>
      </c>
      <c r="F26" s="324"/>
      <c r="G26" s="324"/>
      <c r="H26" s="324"/>
      <c r="I26" s="325" t="s">
        <v>318</v>
      </c>
      <c r="J26" s="324" t="s">
        <v>319</v>
      </c>
      <c r="L26" s="243"/>
      <c r="M26" s="244"/>
      <c r="N26" s="244"/>
      <c r="O26" s="245"/>
      <c r="P26" s="245"/>
      <c r="Q26" s="244"/>
      <c r="R26" s="246"/>
      <c r="W26" s="200"/>
      <c r="X26" s="200"/>
    </row>
    <row r="27" spans="1:26" ht="27.6" hidden="1" customHeight="1">
      <c r="A27" s="326" t="str">
        <f>IF(E27&lt;&gt;"[Account (Name)]",1,"")</f>
        <v/>
      </c>
      <c r="B27" s="327"/>
      <c r="C27" s="327"/>
      <c r="D27" s="327"/>
      <c r="E27" s="328" t="s">
        <v>320</v>
      </c>
      <c r="F27" s="329"/>
      <c r="G27" s="329"/>
      <c r="H27" s="329"/>
      <c r="I27" s="330" t="s">
        <v>321</v>
      </c>
      <c r="J27" s="331" t="s">
        <v>322</v>
      </c>
      <c r="L27" s="247"/>
      <c r="M27" s="247"/>
      <c r="N27" s="247"/>
      <c r="O27" s="248"/>
      <c r="P27" s="248"/>
      <c r="Q27" s="248"/>
      <c r="R27" s="249"/>
      <c r="W27" s="200"/>
      <c r="X27" s="200"/>
    </row>
    <row r="28" spans="1:26" ht="27.6" customHeight="1">
      <c r="A28" s="326">
        <v>1</v>
      </c>
      <c r="B28" s="327"/>
      <c r="C28" s="327"/>
      <c r="D28" s="327"/>
      <c r="E28" s="328" t="s">
        <v>323</v>
      </c>
      <c r="F28" s="329"/>
      <c r="G28" s="329"/>
      <c r="H28" s="329"/>
      <c r="I28" s="330" t="s">
        <v>324</v>
      </c>
      <c r="J28" s="331" t="s">
        <v>325</v>
      </c>
      <c r="L28" s="247"/>
      <c r="M28" s="247"/>
      <c r="N28" s="247"/>
      <c r="O28" s="248"/>
      <c r="P28" s="248"/>
      <c r="Q28" s="248"/>
      <c r="R28" s="249"/>
      <c r="W28" s="200"/>
      <c r="X28" s="200"/>
    </row>
    <row r="29" spans="1:26" ht="18.600000000000001" customHeight="1" thickBot="1">
      <c r="A29" s="50"/>
      <c r="W29" s="200"/>
      <c r="X29" s="200"/>
    </row>
    <row r="30" spans="1:26" ht="12.6" customHeight="1">
      <c r="A30" s="250"/>
      <c r="B30" s="241"/>
      <c r="C30" s="241"/>
      <c r="D30" s="241"/>
      <c r="E30" s="250"/>
      <c r="F30" s="241"/>
      <c r="G30" s="241"/>
      <c r="H30" s="241"/>
      <c r="I30" s="241"/>
      <c r="K30" s="250"/>
      <c r="L30" s="241"/>
      <c r="M30" s="241"/>
      <c r="N30" s="241"/>
      <c r="O30" s="241"/>
      <c r="P30" s="241"/>
      <c r="Q30" s="241"/>
      <c r="R30" s="251"/>
      <c r="S30" s="252"/>
      <c r="W30" s="200"/>
    </row>
    <row r="31" spans="1:26" ht="78.599999999999994" customHeight="1">
      <c r="A31" s="234" t="s">
        <v>316</v>
      </c>
      <c r="B31" s="262"/>
      <c r="C31" s="262"/>
      <c r="D31" s="262"/>
      <c r="E31" s="376" t="s">
        <v>326</v>
      </c>
      <c r="F31" s="262"/>
      <c r="G31" s="262"/>
      <c r="H31" s="262"/>
      <c r="I31" s="262"/>
      <c r="J31" s="262" t="str">
        <f>P31</f>
        <v>Record ID</v>
      </c>
      <c r="K31" s="377" t="s">
        <v>327</v>
      </c>
      <c r="L31" s="263" t="s">
        <v>328</v>
      </c>
      <c r="M31" s="378" t="s">
        <v>329</v>
      </c>
      <c r="N31" s="378" t="s">
        <v>330</v>
      </c>
      <c r="O31" s="378" t="s">
        <v>331</v>
      </c>
      <c r="P31" s="263" t="s">
        <v>318</v>
      </c>
      <c r="Q31" s="263" t="s">
        <v>332</v>
      </c>
      <c r="R31" s="266" t="s">
        <v>319</v>
      </c>
      <c r="S31" s="242"/>
      <c r="W31" s="200"/>
    </row>
    <row r="32" spans="1:26" ht="27.6" hidden="1" customHeight="1">
      <c r="A32" s="327" t="s">
        <v>333</v>
      </c>
      <c r="B32" s="265"/>
      <c r="C32" s="265"/>
      <c r="D32" s="265" t="str">
        <f>IF(E32&lt;&gt;"",E32,K32)</f>
        <v>[Account (Name)]</v>
      </c>
      <c r="E32" s="379" t="str">
        <f>IFERROR(IF(Q32="Funding Request Place Holder","",Q32),"")</f>
        <v>[Account (Name)]</v>
      </c>
      <c r="F32" s="380"/>
      <c r="G32" s="380"/>
      <c r="H32" s="380"/>
      <c r="I32" s="380"/>
      <c r="J32" s="266" t="str">
        <f>P32</f>
        <v>[Record ID]</v>
      </c>
      <c r="K32" s="335" t="s">
        <v>334</v>
      </c>
      <c r="L32" s="381" t="b">
        <f>IFERROR(IF(AND($AN$5="Funding Request",OR(E32&lt;&gt;"",K32&lt;&gt;"")),TRUE,FALSE),FALSE)</f>
        <v>1</v>
      </c>
      <c r="M32" s="381" t="str">
        <f>E32&amp;K32</f>
        <v>[Account (Name)][Alternative Account]</v>
      </c>
      <c r="N32" s="382" t="str">
        <f>IFERROR(IF(E32&lt;&gt;"",IF('Reference Records'!$C$427&lt;&gt;"",VLOOKUP(E32,'Account Role'!$B$3:$D$34,3,FALSE),VLOOKUP(E32,'Account Role'!$B$42:$D$327,3,FALSE)),O32),"")</f>
        <v>[Account]</v>
      </c>
      <c r="O32" s="381" t="s">
        <v>335</v>
      </c>
      <c r="P32" s="383" t="s">
        <v>321</v>
      </c>
      <c r="Q32" s="384" t="s">
        <v>320</v>
      </c>
      <c r="R32" s="380" t="s">
        <v>322</v>
      </c>
      <c r="S32" s="242"/>
      <c r="W32" s="200"/>
    </row>
    <row r="33" spans="1:23" ht="27.6" customHeight="1">
      <c r="A33" s="327">
        <v>2</v>
      </c>
      <c r="B33" s="265"/>
      <c r="C33" s="265"/>
      <c r="D33" s="265" t="str">
        <f t="shared" ref="D33:D40" si="0">IF(E33&lt;&gt;"",E33,K33)</f>
        <v>Ministry of Public Health, Hygiene and Prevention</v>
      </c>
      <c r="E33" s="379" t="s">
        <v>323</v>
      </c>
      <c r="F33" s="380"/>
      <c r="G33" s="380"/>
      <c r="H33" s="380"/>
      <c r="I33" s="380"/>
      <c r="J33" s="266" t="str">
        <f t="shared" ref="J33:J40" si="1">P33</f>
        <v>a12Dm000000cC1cIAE</v>
      </c>
      <c r="K33" s="335"/>
      <c r="L33" s="381" t="b">
        <f t="shared" ref="L33:L40" si="2">IFERROR(IF(AND($AN$5="Funding Request",OR(E33&lt;&gt;"",K33&lt;&gt;"")),TRUE,FALSE),FALSE)</f>
        <v>1</v>
      </c>
      <c r="M33" s="381" t="str">
        <f t="shared" ref="M33:M40" si="3">E33&amp;K33</f>
        <v>Ministry of Public Health, Hygiene and Prevention</v>
      </c>
      <c r="N33" s="382" t="str">
        <f>IFERROR(IF(E33&lt;&gt;"",IF('Reference Records'!$C$427&lt;&gt;"",VLOOKUP(E33,'Account Role'!$B$3:$D$34,3,FALSE),VLOOKUP(E33,'Account Role'!$B$42:$D$327,3,FALSE)),O33),"")</f>
        <v>0013600000xoEKRAA2</v>
      </c>
      <c r="O33" s="381" t="s">
        <v>336</v>
      </c>
      <c r="P33" s="383" t="s">
        <v>337</v>
      </c>
      <c r="Q33" s="384" t="s">
        <v>338</v>
      </c>
      <c r="R33" s="380" t="s">
        <v>339</v>
      </c>
      <c r="S33" s="242"/>
      <c r="W33" s="200"/>
    </row>
    <row r="34" spans="1:23" ht="27.6" customHeight="1">
      <c r="A34" s="327">
        <v>3</v>
      </c>
      <c r="B34" s="265"/>
      <c r="C34" s="265"/>
      <c r="D34" s="265" t="str">
        <f t="shared" si="0"/>
        <v>PR 2</v>
      </c>
      <c r="E34" s="379" t="str">
        <f t="shared" ref="E33:E40" si="4">IFERROR(IF(Q34="Funding Request Place Holder","",Q34),"")</f>
        <v/>
      </c>
      <c r="F34" s="380"/>
      <c r="G34" s="380"/>
      <c r="H34" s="380"/>
      <c r="I34" s="380"/>
      <c r="J34" s="266" t="str">
        <f t="shared" si="1"/>
        <v>a12Dm000000cC1dIAE</v>
      </c>
      <c r="K34" s="335" t="s">
        <v>340</v>
      </c>
      <c r="L34" s="381" t="b">
        <f t="shared" si="2"/>
        <v>1</v>
      </c>
      <c r="M34" s="381" t="str">
        <f t="shared" si="3"/>
        <v>PR 2</v>
      </c>
      <c r="N34" s="382" t="str">
        <f>IFERROR(IF(E34&lt;&gt;"",IF('Reference Records'!$C$427&lt;&gt;"",VLOOKUP(E34,'Account Role'!$B$3:$D$34,3,FALSE),VLOOKUP(E34,'Account Role'!$B$42:$D$327,3,FALSE)),O34),"")</f>
        <v>0013600000zN6z8AAC</v>
      </c>
      <c r="O34" s="381" t="s">
        <v>336</v>
      </c>
      <c r="P34" s="383" t="s">
        <v>341</v>
      </c>
      <c r="Q34" s="384" t="s">
        <v>338</v>
      </c>
      <c r="R34" s="380" t="s">
        <v>342</v>
      </c>
      <c r="S34" s="242"/>
      <c r="W34" s="200"/>
    </row>
    <row r="35" spans="1:23" ht="27.6" customHeight="1">
      <c r="A35" s="327">
        <v>4</v>
      </c>
      <c r="B35" s="265"/>
      <c r="C35" s="265"/>
      <c r="D35" s="265">
        <f t="shared" si="0"/>
        <v>0</v>
      </c>
      <c r="E35" s="379" t="str">
        <f t="shared" si="4"/>
        <v/>
      </c>
      <c r="F35" s="380"/>
      <c r="G35" s="380"/>
      <c r="H35" s="380"/>
      <c r="I35" s="380"/>
      <c r="J35" s="266" t="str">
        <f t="shared" si="1"/>
        <v>a12Dm000000cC1eIAE</v>
      </c>
      <c r="K35" s="335"/>
      <c r="L35" s="381" t="b">
        <f t="shared" si="2"/>
        <v>0</v>
      </c>
      <c r="M35" s="381" t="str">
        <f t="shared" si="3"/>
        <v/>
      </c>
      <c r="N35" s="382" t="str">
        <f>IFERROR(IF(E35&lt;&gt;"",IF('Reference Records'!$C$427&lt;&gt;"",VLOOKUP(E35,'Account Role'!$B$3:$D$34,3,FALSE),VLOOKUP(E35,'Account Role'!$B$42:$D$327,3,FALSE)),O35),"")</f>
        <v>0013600000zN6z8AAC</v>
      </c>
      <c r="O35" s="381" t="s">
        <v>336</v>
      </c>
      <c r="P35" s="383" t="s">
        <v>343</v>
      </c>
      <c r="Q35" s="384" t="s">
        <v>338</v>
      </c>
      <c r="R35" s="380" t="s">
        <v>344</v>
      </c>
      <c r="S35" s="242"/>
      <c r="W35" s="200"/>
    </row>
    <row r="36" spans="1:23" ht="27.6" customHeight="1">
      <c r="A36" s="327">
        <v>5</v>
      </c>
      <c r="B36" s="265"/>
      <c r="C36" s="265"/>
      <c r="D36" s="265">
        <f t="shared" si="0"/>
        <v>0</v>
      </c>
      <c r="E36" s="379" t="str">
        <f t="shared" si="4"/>
        <v/>
      </c>
      <c r="F36" s="380"/>
      <c r="G36" s="380"/>
      <c r="H36" s="380"/>
      <c r="I36" s="380"/>
      <c r="J36" s="266" t="str">
        <f t="shared" si="1"/>
        <v>a12Dm000000cC1fIAE</v>
      </c>
      <c r="K36" s="335"/>
      <c r="L36" s="381" t="b">
        <f t="shared" si="2"/>
        <v>0</v>
      </c>
      <c r="M36" s="381" t="str">
        <f t="shared" si="3"/>
        <v/>
      </c>
      <c r="N36" s="382" t="str">
        <f>IFERROR(IF(E36&lt;&gt;"",IF('Reference Records'!$C$427&lt;&gt;"",VLOOKUP(E36,'Account Role'!$B$3:$D$34,3,FALSE),VLOOKUP(E36,'Account Role'!$B$42:$D$327,3,FALSE)),O36),"")</f>
        <v>0013600000zN6z8AAC</v>
      </c>
      <c r="O36" s="381" t="s">
        <v>336</v>
      </c>
      <c r="P36" s="383" t="s">
        <v>345</v>
      </c>
      <c r="Q36" s="384" t="s">
        <v>338</v>
      </c>
      <c r="R36" s="380" t="s">
        <v>346</v>
      </c>
      <c r="S36" s="242"/>
      <c r="W36" s="200"/>
    </row>
    <row r="37" spans="1:23" ht="27.6" customHeight="1">
      <c r="A37" s="327">
        <v>6</v>
      </c>
      <c r="B37" s="265"/>
      <c r="C37" s="265"/>
      <c r="D37" s="265">
        <f t="shared" si="0"/>
        <v>0</v>
      </c>
      <c r="E37" s="379" t="str">
        <f t="shared" si="4"/>
        <v/>
      </c>
      <c r="F37" s="380"/>
      <c r="G37" s="380"/>
      <c r="H37" s="380"/>
      <c r="I37" s="380"/>
      <c r="J37" s="266" t="str">
        <f t="shared" si="1"/>
        <v>a12Dm000000cC1gIAE</v>
      </c>
      <c r="K37" s="335"/>
      <c r="L37" s="381" t="b">
        <f t="shared" si="2"/>
        <v>0</v>
      </c>
      <c r="M37" s="381" t="str">
        <f t="shared" si="3"/>
        <v/>
      </c>
      <c r="N37" s="382" t="str">
        <f>IFERROR(IF(E37&lt;&gt;"",IF('Reference Records'!$C$427&lt;&gt;"",VLOOKUP(E37,'Account Role'!$B$3:$D$34,3,FALSE),VLOOKUP(E37,'Account Role'!$B$42:$D$327,3,FALSE)),O37),"")</f>
        <v>0013600000zN6z8AAC</v>
      </c>
      <c r="O37" s="381" t="s">
        <v>336</v>
      </c>
      <c r="P37" s="383" t="s">
        <v>347</v>
      </c>
      <c r="Q37" s="384" t="s">
        <v>338</v>
      </c>
      <c r="R37" s="380" t="s">
        <v>348</v>
      </c>
      <c r="S37" s="242"/>
      <c r="W37" s="200"/>
    </row>
    <row r="38" spans="1:23" ht="27.6" customHeight="1">
      <c r="A38" s="327">
        <v>7</v>
      </c>
      <c r="B38" s="265"/>
      <c r="C38" s="265"/>
      <c r="D38" s="265">
        <f t="shared" si="0"/>
        <v>0</v>
      </c>
      <c r="E38" s="379" t="str">
        <f t="shared" si="4"/>
        <v/>
      </c>
      <c r="F38" s="380"/>
      <c r="G38" s="380"/>
      <c r="H38" s="380"/>
      <c r="I38" s="380"/>
      <c r="J38" s="266" t="str">
        <f t="shared" si="1"/>
        <v>a12Dm000000cC1hIAE</v>
      </c>
      <c r="K38" s="335"/>
      <c r="L38" s="381" t="b">
        <f t="shared" si="2"/>
        <v>0</v>
      </c>
      <c r="M38" s="381" t="str">
        <f t="shared" si="3"/>
        <v/>
      </c>
      <c r="N38" s="382" t="str">
        <f>IFERROR(IF(E38&lt;&gt;"",IF('Reference Records'!$C$427&lt;&gt;"",VLOOKUP(E38,'Account Role'!$B$3:$D$34,3,FALSE),VLOOKUP(E38,'Account Role'!$B$42:$D$327,3,FALSE)),O38),"")</f>
        <v>0013600000zN6z8AAC</v>
      </c>
      <c r="O38" s="381" t="s">
        <v>336</v>
      </c>
      <c r="P38" s="383" t="s">
        <v>349</v>
      </c>
      <c r="Q38" s="384" t="s">
        <v>338</v>
      </c>
      <c r="R38" s="380" t="s">
        <v>350</v>
      </c>
      <c r="S38" s="242"/>
      <c r="W38" s="200"/>
    </row>
    <row r="39" spans="1:23" ht="27.6" customHeight="1">
      <c r="A39" s="327">
        <v>8</v>
      </c>
      <c r="B39" s="265"/>
      <c r="C39" s="265"/>
      <c r="D39" s="265">
        <f t="shared" si="0"/>
        <v>0</v>
      </c>
      <c r="E39" s="379" t="str">
        <f t="shared" si="4"/>
        <v/>
      </c>
      <c r="F39" s="380"/>
      <c r="G39" s="380"/>
      <c r="H39" s="380"/>
      <c r="I39" s="380"/>
      <c r="J39" s="266" t="str">
        <f t="shared" si="1"/>
        <v>a12Dm000000cC1iIAE</v>
      </c>
      <c r="K39" s="335"/>
      <c r="L39" s="381" t="b">
        <f t="shared" si="2"/>
        <v>0</v>
      </c>
      <c r="M39" s="381" t="str">
        <f t="shared" si="3"/>
        <v/>
      </c>
      <c r="N39" s="382" t="str">
        <f>IFERROR(IF(E39&lt;&gt;"",IF('Reference Records'!$C$427&lt;&gt;"",VLOOKUP(E39,'Account Role'!$B$3:$D$34,3,FALSE),VLOOKUP(E39,'Account Role'!$B$42:$D$327,3,FALSE)),O39),"")</f>
        <v>0013600000zN6z8AAC</v>
      </c>
      <c r="O39" s="381" t="s">
        <v>336</v>
      </c>
      <c r="P39" s="383" t="s">
        <v>351</v>
      </c>
      <c r="Q39" s="384" t="s">
        <v>338</v>
      </c>
      <c r="R39" s="380" t="s">
        <v>352</v>
      </c>
      <c r="S39" s="242"/>
      <c r="W39" s="200"/>
    </row>
    <row r="40" spans="1:23" ht="27.6" customHeight="1">
      <c r="A40" s="327">
        <v>9</v>
      </c>
      <c r="B40" s="265"/>
      <c r="C40" s="265"/>
      <c r="D40" s="265">
        <f t="shared" si="0"/>
        <v>0</v>
      </c>
      <c r="E40" s="379" t="str">
        <f t="shared" si="4"/>
        <v/>
      </c>
      <c r="F40" s="380"/>
      <c r="G40" s="380"/>
      <c r="H40" s="380"/>
      <c r="I40" s="380"/>
      <c r="J40" s="266" t="str">
        <f t="shared" si="1"/>
        <v>a12Dm000000cC1jIAE</v>
      </c>
      <c r="K40" s="335"/>
      <c r="L40" s="381" t="b">
        <f t="shared" si="2"/>
        <v>0</v>
      </c>
      <c r="M40" s="381" t="str">
        <f t="shared" si="3"/>
        <v/>
      </c>
      <c r="N40" s="382" t="str">
        <f>IFERROR(IF(E40&lt;&gt;"",IF('Reference Records'!$C$427&lt;&gt;"",VLOOKUP(E40,'Account Role'!$B$3:$D$34,3,FALSE),VLOOKUP(E40,'Account Role'!$B$42:$D$327,3,FALSE)),O40),"")</f>
        <v>0013600000zN6z8AAC</v>
      </c>
      <c r="O40" s="381" t="s">
        <v>336</v>
      </c>
      <c r="P40" s="383" t="s">
        <v>353</v>
      </c>
      <c r="Q40" s="384" t="s">
        <v>338</v>
      </c>
      <c r="R40" s="380" t="s">
        <v>354</v>
      </c>
      <c r="S40" s="242"/>
      <c r="W40" s="200"/>
    </row>
    <row r="41" spans="1:23" ht="24" customHeight="1" thickBot="1">
      <c r="A41" s="253"/>
      <c r="B41" s="253"/>
      <c r="C41" s="253"/>
      <c r="D41" s="253"/>
      <c r="E41" s="254"/>
      <c r="F41" s="254"/>
      <c r="G41" s="254"/>
      <c r="H41" s="254"/>
      <c r="I41" s="254"/>
      <c r="J41" s="254"/>
      <c r="K41" s="254"/>
      <c r="L41" s="254"/>
      <c r="M41" s="254"/>
      <c r="N41" s="254"/>
      <c r="O41" s="254"/>
      <c r="P41" s="254"/>
      <c r="Q41" s="254"/>
      <c r="R41" s="255"/>
      <c r="S41" s="256"/>
      <c r="W41" s="200"/>
    </row>
    <row r="42" spans="1:23" ht="30" customHeight="1">
      <c r="A42" s="50"/>
      <c r="E42" s="257"/>
      <c r="F42" s="257"/>
      <c r="G42" s="257"/>
      <c r="H42" s="257"/>
      <c r="I42" s="257"/>
      <c r="J42" s="257"/>
      <c r="K42" s="257"/>
      <c r="L42" s="257"/>
      <c r="M42" s="257"/>
      <c r="N42" s="257"/>
      <c r="O42" s="257"/>
      <c r="P42" s="258"/>
      <c r="Q42" s="257"/>
      <c r="R42" s="154"/>
      <c r="W42" s="200"/>
    </row>
    <row r="43" spans="1:23" ht="29.25" customHeight="1">
      <c r="A43" s="464"/>
      <c r="B43" s="464"/>
      <c r="C43" s="464"/>
      <c r="D43" s="464"/>
      <c r="E43" s="464"/>
      <c r="F43" s="464"/>
      <c r="G43" s="464"/>
      <c r="H43" s="464"/>
      <c r="I43" s="464"/>
      <c r="J43" s="464"/>
      <c r="K43" s="464"/>
      <c r="L43" s="464"/>
      <c r="M43" s="259"/>
      <c r="N43" s="259"/>
      <c r="O43" s="259"/>
      <c r="P43" s="259"/>
      <c r="Q43" s="259"/>
      <c r="R43" s="259"/>
      <c r="W43" s="200"/>
    </row>
    <row r="44" spans="1:23" ht="30.75" customHeight="1" thickBot="1">
      <c r="R44" s="154"/>
      <c r="W44" s="200"/>
    </row>
    <row r="45" spans="1:23" ht="29.25" customHeight="1" thickBot="1">
      <c r="A45" s="451" t="s">
        <v>355</v>
      </c>
      <c r="B45" s="452"/>
      <c r="C45" s="452"/>
      <c r="D45" s="452"/>
      <c r="E45" s="452"/>
      <c r="F45" s="452"/>
      <c r="G45" s="452"/>
      <c r="H45" s="452"/>
      <c r="I45" s="452"/>
      <c r="J45" s="452"/>
      <c r="K45" s="452"/>
      <c r="L45" s="452"/>
      <c r="M45" s="452"/>
      <c r="N45" s="452"/>
      <c r="O45" s="452"/>
      <c r="P45" s="452"/>
      <c r="Q45" s="452"/>
      <c r="R45" s="452"/>
      <c r="S45" s="452"/>
      <c r="T45" s="452"/>
      <c r="U45" s="241"/>
      <c r="W45" s="200"/>
    </row>
    <row r="46" spans="1:23" ht="32.1" customHeight="1">
      <c r="A46" s="260" t="s">
        <v>356</v>
      </c>
      <c r="B46" s="234">
        <v>0</v>
      </c>
      <c r="C46" s="260"/>
      <c r="D46" s="260"/>
      <c r="E46" s="260" t="s">
        <v>357</v>
      </c>
      <c r="F46" s="260"/>
      <c r="G46" s="260"/>
      <c r="H46" s="260"/>
      <c r="I46" s="260"/>
      <c r="J46" s="260"/>
      <c r="K46" s="260" t="s">
        <v>69</v>
      </c>
      <c r="L46" s="261" t="s">
        <v>358</v>
      </c>
      <c r="M46" s="261" t="s">
        <v>359</v>
      </c>
      <c r="N46" s="261" t="s">
        <v>328</v>
      </c>
      <c r="O46" s="261" t="s">
        <v>360</v>
      </c>
      <c r="P46" s="261" t="s">
        <v>361</v>
      </c>
      <c r="Q46" s="261" t="s">
        <v>299</v>
      </c>
      <c r="R46" s="261"/>
      <c r="S46" s="262"/>
      <c r="T46" s="260" t="s">
        <v>362</v>
      </c>
      <c r="U46" s="263" t="s">
        <v>318</v>
      </c>
      <c r="W46" s="200"/>
    </row>
    <row r="47" spans="1:23" ht="20.100000000000001" hidden="1" customHeight="1">
      <c r="A47" s="264" t="str">
        <f ca="1">IF(P47="",IF(B47=2,$E$7,IF(B47=1,"",E46+1)),IF(P47&lt;TODAY(),O47,IF(B47=2,$E$7,IF(B47=1,"",E46+1))))</f>
        <v/>
      </c>
      <c r="B47" s="265">
        <f>B46+1</f>
        <v>1</v>
      </c>
      <c r="C47" s="266"/>
      <c r="D47" s="266"/>
      <c r="E47" s="306" t="str">
        <f ca="1">IF(P47="",IFERROR(EOMONTH($A47,$E$9-1),""),IF(P47&lt;TODAY(),P47,IFERROR(EOMONTH($A47,$E$9-1),"")))</f>
        <v/>
      </c>
      <c r="F47" s="267"/>
      <c r="G47" s="267"/>
      <c r="H47" s="267"/>
      <c r="I47" s="267"/>
      <c r="J47" s="267"/>
      <c r="K47" s="268" t="str">
        <f>IF(M47=TRUE,"Yes","No")</f>
        <v>No</v>
      </c>
      <c r="L47" s="263" t="b">
        <f>IF(K47="Yes",TRUE,FALSE)</f>
        <v>0</v>
      </c>
      <c r="M47" s="263" t="s">
        <v>363</v>
      </c>
      <c r="N47" s="263" t="b">
        <f ca="1">IFERROR(IF(E47&lt;=$E$8,TRUE,FALSE),"")</f>
        <v>0</v>
      </c>
      <c r="O47" s="269" t="s">
        <v>364</v>
      </c>
      <c r="P47" s="269" t="s">
        <v>365</v>
      </c>
      <c r="Q47" s="270" t="s">
        <v>321</v>
      </c>
      <c r="R47" s="271"/>
      <c r="S47" s="263"/>
      <c r="T47" s="264" t="str">
        <f ca="1">IFERROR(TEXT(IF(K47="","", IF(OR((E47=$E$8),(K47="Yes")),E47+60, IF(K47="No",E47+45,""))),Setup!$A$33),"")</f>
        <v/>
      </c>
      <c r="U47" s="263" t="s">
        <v>321</v>
      </c>
      <c r="W47" s="200"/>
    </row>
    <row r="48" spans="1:23" ht="20.100000000000001" customHeight="1">
      <c r="A48" s="264">
        <f t="shared" ref="A48:A53" ca="1" si="5">IF(P48="",IF(B48=2,$E$7,IF(B48=1,"",E47+1)),IF(P48&lt;TODAY(),O48,IF(B48=2,$E$7,IF(B48=1,"",E47+1))))</f>
        <v>45292</v>
      </c>
      <c r="B48" s="265">
        <f t="shared" ref="B48:B53" si="6">B47+1</f>
        <v>2</v>
      </c>
      <c r="C48" s="266"/>
      <c r="D48" s="266"/>
      <c r="E48" s="306">
        <f t="shared" ref="E48:E53" ca="1" si="7">IF(P48="",IFERROR(EOMONTH($A48,$E$9-1),""),IF(P48&lt;TODAY(),P48,IFERROR(EOMONTH($A48,$E$9-1),"")))</f>
        <v>45473</v>
      </c>
      <c r="F48" s="267"/>
      <c r="G48" s="267"/>
      <c r="H48" s="267"/>
      <c r="I48" s="267"/>
      <c r="J48" s="267"/>
      <c r="K48" s="268" t="str">
        <f t="shared" ref="K48:K53" si="8">IF(M48=TRUE,"Yes","No")</f>
        <v>No</v>
      </c>
      <c r="L48" s="263" t="b">
        <f t="shared" ref="L48:L53" si="9">IF(K48="Yes",TRUE,FALSE)</f>
        <v>0</v>
      </c>
      <c r="M48" s="263" t="b">
        <v>0</v>
      </c>
      <c r="N48" s="263" t="b">
        <f t="shared" ref="N48:N53" ca="1" si="10">IFERROR(IF(E48&lt;=$E$8,TRUE,FALSE),"")</f>
        <v>1</v>
      </c>
      <c r="O48" s="269">
        <v>45292</v>
      </c>
      <c r="P48" s="269">
        <v>45473</v>
      </c>
      <c r="Q48" s="270" t="s">
        <v>300</v>
      </c>
      <c r="R48" s="271"/>
      <c r="S48" s="263"/>
      <c r="T48" s="264" t="str">
        <f ca="1">IFERROR(TEXT(IF(K48="","", IF(OR((E48=$E$8),(K48="Yes")),E48+60, IF(K48="No",E48+45,""))),Setup!$A$33),"")</f>
        <v>14-Aug-24</v>
      </c>
      <c r="U48" s="263" t="s">
        <v>366</v>
      </c>
      <c r="W48" s="200"/>
    </row>
    <row r="49" spans="1:25" ht="20.100000000000001" customHeight="1">
      <c r="A49" s="264">
        <f t="shared" ca="1" si="5"/>
        <v>45474</v>
      </c>
      <c r="B49" s="265">
        <f t="shared" si="6"/>
        <v>3</v>
      </c>
      <c r="C49" s="266"/>
      <c r="D49" s="266"/>
      <c r="E49" s="306">
        <f t="shared" ca="1" si="7"/>
        <v>45657</v>
      </c>
      <c r="F49" s="267"/>
      <c r="G49" s="267"/>
      <c r="H49" s="267"/>
      <c r="I49" s="267"/>
      <c r="J49" s="267"/>
      <c r="K49" s="268" t="str">
        <f t="shared" si="8"/>
        <v>Yes</v>
      </c>
      <c r="L49" s="263" t="b">
        <f t="shared" si="9"/>
        <v>1</v>
      </c>
      <c r="M49" s="263" t="b">
        <v>1</v>
      </c>
      <c r="N49" s="263" t="b">
        <f t="shared" ca="1" si="10"/>
        <v>1</v>
      </c>
      <c r="O49" s="269">
        <v>45474</v>
      </c>
      <c r="P49" s="269">
        <v>45657</v>
      </c>
      <c r="Q49" s="270" t="s">
        <v>300</v>
      </c>
      <c r="R49" s="271"/>
      <c r="S49" s="263"/>
      <c r="T49" s="264" t="str">
        <f ca="1">IFERROR(TEXT(IF(K49="","", IF(OR((E49=$E$8),(K49="Yes")),E49+60, IF(K49="No",E49+45,""))),Setup!$A$33),"")</f>
        <v>1-Mar-25</v>
      </c>
      <c r="U49" s="263" t="s">
        <v>367</v>
      </c>
      <c r="W49" s="200"/>
    </row>
    <row r="50" spans="1:25" ht="20.100000000000001" customHeight="1">
      <c r="A50" s="264">
        <f t="shared" ca="1" si="5"/>
        <v>45658</v>
      </c>
      <c r="B50" s="265">
        <f t="shared" si="6"/>
        <v>4</v>
      </c>
      <c r="C50" s="266"/>
      <c r="D50" s="266"/>
      <c r="E50" s="306">
        <f t="shared" ca="1" si="7"/>
        <v>45838</v>
      </c>
      <c r="F50" s="267"/>
      <c r="G50" s="267"/>
      <c r="H50" s="267"/>
      <c r="I50" s="267"/>
      <c r="J50" s="267"/>
      <c r="K50" s="268" t="str">
        <f t="shared" si="8"/>
        <v>No</v>
      </c>
      <c r="L50" s="263" t="b">
        <f t="shared" si="9"/>
        <v>0</v>
      </c>
      <c r="M50" s="263" t="b">
        <v>0</v>
      </c>
      <c r="N50" s="263" t="b">
        <f t="shared" ca="1" si="10"/>
        <v>1</v>
      </c>
      <c r="O50" s="269">
        <v>45658</v>
      </c>
      <c r="P50" s="269">
        <v>45838</v>
      </c>
      <c r="Q50" s="270" t="s">
        <v>300</v>
      </c>
      <c r="R50" s="271"/>
      <c r="S50" s="263"/>
      <c r="T50" s="264" t="str">
        <f ca="1">IFERROR(TEXT(IF(K50="","", IF(OR((E50=$E$8),(K50="Yes")),E50+60, IF(K50="No",E50+45,""))),Setup!$A$33),"")</f>
        <v>14-Aug-25</v>
      </c>
      <c r="U50" s="263" t="s">
        <v>368</v>
      </c>
      <c r="W50" s="200"/>
    </row>
    <row r="51" spans="1:25" ht="20.100000000000001" customHeight="1">
      <c r="A51" s="264">
        <f t="shared" ca="1" si="5"/>
        <v>45839</v>
      </c>
      <c r="B51" s="265">
        <f t="shared" si="6"/>
        <v>5</v>
      </c>
      <c r="C51" s="266"/>
      <c r="D51" s="266"/>
      <c r="E51" s="306">
        <f t="shared" ca="1" si="7"/>
        <v>46022</v>
      </c>
      <c r="F51" s="267"/>
      <c r="G51" s="267"/>
      <c r="H51" s="267"/>
      <c r="I51" s="267"/>
      <c r="J51" s="267"/>
      <c r="K51" s="268" t="str">
        <f t="shared" si="8"/>
        <v>Yes</v>
      </c>
      <c r="L51" s="263" t="b">
        <f t="shared" si="9"/>
        <v>1</v>
      </c>
      <c r="M51" s="263" t="b">
        <v>1</v>
      </c>
      <c r="N51" s="263" t="b">
        <f t="shared" ca="1" si="10"/>
        <v>1</v>
      </c>
      <c r="O51" s="269">
        <v>45839</v>
      </c>
      <c r="P51" s="269">
        <v>46022</v>
      </c>
      <c r="Q51" s="270" t="s">
        <v>300</v>
      </c>
      <c r="R51" s="271"/>
      <c r="S51" s="263"/>
      <c r="T51" s="264" t="str">
        <f ca="1">IFERROR(TEXT(IF(K51="","", IF(OR((E51=$E$8),(K51="Yes")),E51+60, IF(K51="No",E51+45,""))),Setup!$A$33),"")</f>
        <v>1-Mar-26</v>
      </c>
      <c r="U51" s="263" t="s">
        <v>369</v>
      </c>
      <c r="W51" s="200"/>
    </row>
    <row r="52" spans="1:25" ht="20.100000000000001" customHeight="1">
      <c r="A52" s="264">
        <f t="shared" ca="1" si="5"/>
        <v>46023</v>
      </c>
      <c r="B52" s="265">
        <f t="shared" si="6"/>
        <v>6</v>
      </c>
      <c r="C52" s="266"/>
      <c r="D52" s="266"/>
      <c r="E52" s="306">
        <f t="shared" ca="1" si="7"/>
        <v>46203</v>
      </c>
      <c r="F52" s="267"/>
      <c r="G52" s="267"/>
      <c r="H52" s="267"/>
      <c r="I52" s="267"/>
      <c r="J52" s="267"/>
      <c r="K52" s="268" t="str">
        <f t="shared" si="8"/>
        <v>No</v>
      </c>
      <c r="L52" s="263" t="b">
        <f t="shared" si="9"/>
        <v>0</v>
      </c>
      <c r="M52" s="263" t="b">
        <v>0</v>
      </c>
      <c r="N52" s="263" t="b">
        <f t="shared" ca="1" si="10"/>
        <v>1</v>
      </c>
      <c r="O52" s="269">
        <v>46023</v>
      </c>
      <c r="P52" s="269">
        <v>46203</v>
      </c>
      <c r="Q52" s="270" t="s">
        <v>300</v>
      </c>
      <c r="R52" s="271"/>
      <c r="S52" s="263"/>
      <c r="T52" s="264" t="str">
        <f ca="1">IFERROR(TEXT(IF(K52="","", IF(OR((E52=$E$8),(K52="Yes")),E52+60, IF(K52="No",E52+45,""))),Setup!$A$33),"")</f>
        <v>14-Aug-26</v>
      </c>
      <c r="U52" s="263" t="s">
        <v>370</v>
      </c>
      <c r="W52" s="200"/>
    </row>
    <row r="53" spans="1:25" ht="20.100000000000001" customHeight="1">
      <c r="A53" s="264">
        <f t="shared" ca="1" si="5"/>
        <v>46204</v>
      </c>
      <c r="B53" s="265">
        <f t="shared" si="6"/>
        <v>7</v>
      </c>
      <c r="C53" s="266"/>
      <c r="D53" s="266"/>
      <c r="E53" s="306">
        <f t="shared" ca="1" si="7"/>
        <v>46387</v>
      </c>
      <c r="F53" s="267"/>
      <c r="G53" s="267"/>
      <c r="H53" s="267"/>
      <c r="I53" s="267"/>
      <c r="J53" s="267"/>
      <c r="K53" s="268" t="str">
        <f t="shared" si="8"/>
        <v>Yes</v>
      </c>
      <c r="L53" s="263" t="b">
        <f t="shared" si="9"/>
        <v>1</v>
      </c>
      <c r="M53" s="263" t="b">
        <v>1</v>
      </c>
      <c r="N53" s="263" t="b">
        <f t="shared" ca="1" si="10"/>
        <v>1</v>
      </c>
      <c r="O53" s="269">
        <v>46204</v>
      </c>
      <c r="P53" s="269">
        <v>46387</v>
      </c>
      <c r="Q53" s="270" t="s">
        <v>300</v>
      </c>
      <c r="R53" s="271"/>
      <c r="S53" s="263"/>
      <c r="T53" s="264" t="str">
        <f ca="1">IFERROR(TEXT(IF(K53="","", IF(OR((E53=$E$8),(K53="Yes")),E53+60, IF(K53="No",E53+45,""))),Setup!$A$33),"")</f>
        <v>1-Mar-27</v>
      </c>
      <c r="U53" s="263" t="s">
        <v>371</v>
      </c>
      <c r="W53" s="200"/>
    </row>
    <row r="54" spans="1:25" ht="11.25" hidden="1" customHeight="1" thickBot="1">
      <c r="A54" s="272"/>
      <c r="B54" s="253"/>
      <c r="C54" s="253"/>
      <c r="D54" s="253"/>
      <c r="E54" s="253"/>
      <c r="F54" s="253"/>
      <c r="G54" s="253"/>
      <c r="H54" s="253"/>
      <c r="I54" s="253"/>
      <c r="J54" s="253"/>
      <c r="K54" s="253"/>
      <c r="L54" s="253"/>
      <c r="M54" s="253"/>
      <c r="N54" s="253"/>
      <c r="O54" s="253"/>
      <c r="P54" s="253"/>
      <c r="Q54" s="253"/>
      <c r="R54" s="253"/>
      <c r="S54" s="253"/>
      <c r="T54" s="253"/>
      <c r="U54" s="253"/>
      <c r="V54" s="256"/>
      <c r="W54" s="200"/>
    </row>
    <row r="55" spans="1:25" ht="30" customHeight="1">
      <c r="W55" s="200"/>
    </row>
    <row r="56" spans="1:25" ht="30" customHeight="1">
      <c r="L56" s="273"/>
      <c r="W56" s="200"/>
    </row>
    <row r="57" spans="1:25" ht="25.5" customHeight="1" thickBot="1">
      <c r="A57" s="274"/>
      <c r="B57" s="216"/>
      <c r="C57" s="216"/>
      <c r="D57" s="216"/>
      <c r="E57" s="216"/>
      <c r="F57" s="216"/>
      <c r="G57" s="216"/>
      <c r="H57" s="216"/>
      <c r="I57" s="216"/>
      <c r="J57" s="216"/>
      <c r="K57" s="216"/>
      <c r="L57" s="217"/>
      <c r="M57" s="217"/>
      <c r="N57" s="217"/>
      <c r="O57" s="217"/>
      <c r="P57" s="217"/>
      <c r="Q57" s="217"/>
      <c r="R57" s="217"/>
      <c r="S57" s="217"/>
      <c r="T57" s="218"/>
      <c r="U57" s="218"/>
      <c r="V57" s="205"/>
      <c r="W57" s="200"/>
    </row>
    <row r="58" spans="1:25" ht="25.5" customHeight="1" thickBot="1">
      <c r="A58" s="451" t="s">
        <v>305</v>
      </c>
      <c r="B58" s="452"/>
      <c r="C58" s="452"/>
      <c r="D58" s="452"/>
      <c r="E58" s="452"/>
      <c r="F58" s="275"/>
      <c r="G58" s="275"/>
      <c r="H58" s="275"/>
      <c r="I58" s="275"/>
      <c r="J58" s="276"/>
      <c r="K58" s="277"/>
      <c r="L58" s="154"/>
      <c r="M58" s="154"/>
      <c r="N58" s="154"/>
      <c r="O58" s="154"/>
      <c r="P58" s="154"/>
      <c r="Q58" s="154"/>
      <c r="R58" s="154"/>
      <c r="S58" s="154"/>
      <c r="T58" s="154"/>
      <c r="U58" s="154"/>
      <c r="V58" s="259"/>
      <c r="W58" s="200"/>
    </row>
    <row r="59" spans="1:25" ht="32.25" customHeight="1">
      <c r="A59" s="332" t="s">
        <v>372</v>
      </c>
      <c r="B59" s="332"/>
      <c r="C59" s="332"/>
      <c r="D59" s="332"/>
      <c r="E59" s="333" t="s">
        <v>373</v>
      </c>
      <c r="F59" s="334" t="s">
        <v>299</v>
      </c>
      <c r="G59" s="334" t="s">
        <v>328</v>
      </c>
      <c r="H59" s="334" t="s">
        <v>318</v>
      </c>
      <c r="I59" s="278"/>
      <c r="J59" s="279"/>
      <c r="K59" s="278"/>
      <c r="L59" s="280"/>
      <c r="M59" s="280"/>
      <c r="N59" s="280"/>
      <c r="O59" s="280"/>
      <c r="P59" s="280"/>
      <c r="Q59" s="280"/>
      <c r="R59" s="280"/>
      <c r="S59" s="280"/>
      <c r="T59" s="280"/>
      <c r="U59" s="280"/>
      <c r="V59" s="281"/>
      <c r="W59" s="200"/>
      <c r="Y59" s="453"/>
    </row>
    <row r="60" spans="1:25" ht="47.1" hidden="1" customHeight="1">
      <c r="A60" s="327" t="s">
        <v>374</v>
      </c>
      <c r="B60" s="237"/>
      <c r="C60" s="237"/>
      <c r="D60" s="237"/>
      <c r="E60" s="335" t="s">
        <v>375</v>
      </c>
      <c r="F60" s="336" t="s">
        <v>321</v>
      </c>
      <c r="G60" s="336" t="b">
        <f>IFERROR(IF(E60&lt;&gt;"",TRUE,FALSE),FALSE)</f>
        <v>1</v>
      </c>
      <c r="H60" s="336" t="s">
        <v>321</v>
      </c>
      <c r="I60" s="282"/>
      <c r="J60" s="283"/>
      <c r="K60" s="282"/>
      <c r="L60" s="154"/>
      <c r="M60" s="154"/>
      <c r="N60" s="154"/>
      <c r="O60" s="154"/>
      <c r="P60" s="154"/>
      <c r="Q60" s="154"/>
      <c r="R60" s="154"/>
      <c r="S60" s="154"/>
      <c r="T60" s="154"/>
      <c r="U60" s="154"/>
      <c r="V60" s="259"/>
      <c r="Y60" s="453"/>
    </row>
    <row r="61" spans="1:25" ht="47.1" customHeight="1">
      <c r="A61" s="327">
        <v>1</v>
      </c>
      <c r="B61" s="237"/>
      <c r="C61" s="237"/>
      <c r="D61" s="237"/>
      <c r="E61" s="335" t="s">
        <v>376</v>
      </c>
      <c r="F61" s="336" t="s">
        <v>300</v>
      </c>
      <c r="G61" s="336" t="b">
        <f t="shared" ref="G61:G72" si="11">IFERROR(IF(E61&lt;&gt;"",TRUE,FALSE),FALSE)</f>
        <v>1</v>
      </c>
      <c r="H61" s="336" t="s">
        <v>377</v>
      </c>
      <c r="I61" s="282"/>
      <c r="J61" s="283"/>
      <c r="K61" s="282"/>
      <c r="L61" s="154"/>
      <c r="M61" s="154"/>
      <c r="N61" s="154"/>
      <c r="O61" s="154"/>
      <c r="P61" s="154"/>
      <c r="Q61" s="154"/>
      <c r="R61" s="154"/>
      <c r="S61" s="154"/>
      <c r="T61" s="154"/>
      <c r="U61" s="154"/>
      <c r="V61" s="259"/>
      <c r="Y61" s="287"/>
    </row>
    <row r="62" spans="1:25" ht="47.1" customHeight="1">
      <c r="A62" s="327">
        <v>2</v>
      </c>
      <c r="B62" s="237"/>
      <c r="C62" s="237"/>
      <c r="D62" s="237"/>
      <c r="E62" s="335" t="s">
        <v>378</v>
      </c>
      <c r="F62" s="336" t="s">
        <v>300</v>
      </c>
      <c r="G62" s="336" t="b">
        <f t="shared" si="11"/>
        <v>1</v>
      </c>
      <c r="H62" s="336" t="s">
        <v>379</v>
      </c>
      <c r="I62" s="282"/>
      <c r="J62" s="283"/>
      <c r="K62" s="282"/>
      <c r="L62" s="154"/>
      <c r="M62" s="154"/>
      <c r="N62" s="154"/>
      <c r="O62" s="154"/>
      <c r="P62" s="154"/>
      <c r="Q62" s="154"/>
      <c r="R62" s="154"/>
      <c r="S62" s="154"/>
      <c r="T62" s="154"/>
      <c r="U62" s="154"/>
      <c r="V62" s="259"/>
      <c r="Y62" s="287"/>
    </row>
    <row r="63" spans="1:25" ht="47.1" customHeight="1">
      <c r="A63" s="327">
        <v>3</v>
      </c>
      <c r="B63" s="237"/>
      <c r="C63" s="237"/>
      <c r="D63" s="237"/>
      <c r="E63" s="335"/>
      <c r="F63" s="336" t="s">
        <v>300</v>
      </c>
      <c r="G63" s="336" t="b">
        <f t="shared" si="11"/>
        <v>0</v>
      </c>
      <c r="H63" s="336" t="s">
        <v>380</v>
      </c>
      <c r="I63" s="282"/>
      <c r="J63" s="283"/>
      <c r="K63" s="282"/>
      <c r="L63" s="154"/>
      <c r="M63" s="154"/>
      <c r="N63" s="154"/>
      <c r="O63" s="154"/>
      <c r="P63" s="154"/>
      <c r="Q63" s="154"/>
      <c r="R63" s="154"/>
      <c r="S63" s="154"/>
      <c r="T63" s="154"/>
      <c r="U63" s="154"/>
      <c r="V63" s="259"/>
      <c r="Y63" s="287"/>
    </row>
    <row r="64" spans="1:25" ht="47.1" customHeight="1">
      <c r="A64" s="327">
        <v>4</v>
      </c>
      <c r="B64" s="237"/>
      <c r="C64" s="237"/>
      <c r="D64" s="237"/>
      <c r="E64" s="335"/>
      <c r="F64" s="336" t="s">
        <v>300</v>
      </c>
      <c r="G64" s="336" t="b">
        <f t="shared" si="11"/>
        <v>0</v>
      </c>
      <c r="H64" s="336" t="s">
        <v>381</v>
      </c>
      <c r="I64" s="282"/>
      <c r="J64" s="283"/>
      <c r="K64" s="282"/>
      <c r="L64" s="154"/>
      <c r="M64" s="154"/>
      <c r="N64" s="154"/>
      <c r="O64" s="154"/>
      <c r="P64" s="154"/>
      <c r="Q64" s="154"/>
      <c r="R64" s="154"/>
      <c r="S64" s="154"/>
      <c r="T64" s="154"/>
      <c r="U64" s="154"/>
      <c r="V64" s="259"/>
      <c r="Y64" s="287"/>
    </row>
    <row r="65" spans="1:50" ht="47.1" customHeight="1">
      <c r="A65" s="327">
        <v>5</v>
      </c>
      <c r="B65" s="237"/>
      <c r="C65" s="237"/>
      <c r="D65" s="237"/>
      <c r="E65" s="335"/>
      <c r="F65" s="336" t="s">
        <v>300</v>
      </c>
      <c r="G65" s="336" t="b">
        <f t="shared" si="11"/>
        <v>0</v>
      </c>
      <c r="H65" s="336" t="s">
        <v>382</v>
      </c>
      <c r="I65" s="282"/>
      <c r="J65" s="283"/>
      <c r="K65" s="282"/>
      <c r="L65" s="154"/>
      <c r="M65" s="154"/>
      <c r="N65" s="154"/>
      <c r="O65" s="154"/>
      <c r="P65" s="154"/>
      <c r="Q65" s="154"/>
      <c r="R65" s="154"/>
      <c r="S65" s="154"/>
      <c r="T65" s="154"/>
      <c r="U65" s="154"/>
      <c r="V65" s="259"/>
      <c r="Y65" s="287"/>
    </row>
    <row r="66" spans="1:50" ht="47.1" customHeight="1">
      <c r="A66" s="327">
        <v>6</v>
      </c>
      <c r="B66" s="237"/>
      <c r="C66" s="237"/>
      <c r="D66" s="237"/>
      <c r="E66" s="335"/>
      <c r="F66" s="336" t="s">
        <v>300</v>
      </c>
      <c r="G66" s="336" t="b">
        <f t="shared" si="11"/>
        <v>0</v>
      </c>
      <c r="H66" s="336" t="s">
        <v>383</v>
      </c>
      <c r="I66" s="282"/>
      <c r="J66" s="283"/>
      <c r="K66" s="282"/>
      <c r="L66" s="154"/>
      <c r="M66" s="154"/>
      <c r="N66" s="154"/>
      <c r="O66" s="154"/>
      <c r="P66" s="154"/>
      <c r="Q66" s="154"/>
      <c r="R66" s="154"/>
      <c r="S66" s="154"/>
      <c r="T66" s="154"/>
      <c r="U66" s="154"/>
      <c r="V66" s="259"/>
      <c r="Y66" s="287"/>
    </row>
    <row r="67" spans="1:50" ht="47.1" customHeight="1">
      <c r="A67" s="327">
        <v>7</v>
      </c>
      <c r="B67" s="237"/>
      <c r="C67" s="237"/>
      <c r="D67" s="237"/>
      <c r="E67" s="335"/>
      <c r="F67" s="336" t="s">
        <v>300</v>
      </c>
      <c r="G67" s="336" t="b">
        <f t="shared" si="11"/>
        <v>0</v>
      </c>
      <c r="H67" s="336" t="s">
        <v>384</v>
      </c>
      <c r="I67" s="282"/>
      <c r="J67" s="283"/>
      <c r="K67" s="282"/>
      <c r="L67" s="154"/>
      <c r="M67" s="154"/>
      <c r="N67" s="154"/>
      <c r="O67" s="154"/>
      <c r="P67" s="154"/>
      <c r="Q67" s="154"/>
      <c r="R67" s="154"/>
      <c r="S67" s="154"/>
      <c r="T67" s="154"/>
      <c r="U67" s="154"/>
      <c r="V67" s="259"/>
      <c r="Y67" s="287"/>
    </row>
    <row r="68" spans="1:50" ht="47.1" customHeight="1">
      <c r="A68" s="327">
        <v>8</v>
      </c>
      <c r="B68" s="237"/>
      <c r="C68" s="237"/>
      <c r="D68" s="237"/>
      <c r="E68" s="335"/>
      <c r="F68" s="336" t="s">
        <v>300</v>
      </c>
      <c r="G68" s="336" t="b">
        <f t="shared" si="11"/>
        <v>0</v>
      </c>
      <c r="H68" s="336" t="s">
        <v>385</v>
      </c>
      <c r="I68" s="282"/>
      <c r="J68" s="283"/>
      <c r="K68" s="282"/>
      <c r="L68" s="154"/>
      <c r="M68" s="154"/>
      <c r="N68" s="154"/>
      <c r="O68" s="154"/>
      <c r="P68" s="154"/>
      <c r="Q68" s="154"/>
      <c r="R68" s="154"/>
      <c r="S68" s="154"/>
      <c r="T68" s="154"/>
      <c r="U68" s="154"/>
      <c r="V68" s="259"/>
      <c r="Y68" s="287"/>
    </row>
    <row r="69" spans="1:50" ht="47.1" customHeight="1">
      <c r="A69" s="327">
        <v>9</v>
      </c>
      <c r="B69" s="237"/>
      <c r="C69" s="237"/>
      <c r="D69" s="237"/>
      <c r="E69" s="335"/>
      <c r="F69" s="336" t="s">
        <v>300</v>
      </c>
      <c r="G69" s="336" t="b">
        <f t="shared" si="11"/>
        <v>0</v>
      </c>
      <c r="H69" s="336" t="s">
        <v>386</v>
      </c>
      <c r="I69" s="282"/>
      <c r="J69" s="283"/>
      <c r="K69" s="282"/>
      <c r="L69" s="154"/>
      <c r="M69" s="154"/>
      <c r="N69" s="154"/>
      <c r="O69" s="154"/>
      <c r="P69" s="154"/>
      <c r="Q69" s="154"/>
      <c r="R69" s="154"/>
      <c r="S69" s="154"/>
      <c r="T69" s="154"/>
      <c r="U69" s="154"/>
      <c r="V69" s="259"/>
      <c r="Y69" s="287"/>
    </row>
    <row r="70" spans="1:50" ht="47.1" customHeight="1">
      <c r="A70" s="327">
        <v>10</v>
      </c>
      <c r="B70" s="237"/>
      <c r="C70" s="237"/>
      <c r="D70" s="237"/>
      <c r="E70" s="335"/>
      <c r="F70" s="336" t="s">
        <v>300</v>
      </c>
      <c r="G70" s="336" t="b">
        <f t="shared" si="11"/>
        <v>0</v>
      </c>
      <c r="H70" s="336" t="s">
        <v>387</v>
      </c>
      <c r="I70" s="282"/>
      <c r="J70" s="283"/>
      <c r="K70" s="282"/>
      <c r="L70" s="154"/>
      <c r="M70" s="154"/>
      <c r="N70" s="154"/>
      <c r="O70" s="154"/>
      <c r="P70" s="154"/>
      <c r="Q70" s="154"/>
      <c r="R70" s="154"/>
      <c r="S70" s="154"/>
      <c r="T70" s="154"/>
      <c r="U70" s="154"/>
      <c r="V70" s="259"/>
      <c r="Y70" s="287"/>
    </row>
    <row r="71" spans="1:50" ht="47.1" customHeight="1">
      <c r="A71" s="327">
        <v>11</v>
      </c>
      <c r="B71" s="237"/>
      <c r="C71" s="237"/>
      <c r="D71" s="237"/>
      <c r="E71" s="335"/>
      <c r="F71" s="336" t="s">
        <v>300</v>
      </c>
      <c r="G71" s="336" t="b">
        <f t="shared" si="11"/>
        <v>0</v>
      </c>
      <c r="H71" s="336" t="s">
        <v>388</v>
      </c>
      <c r="I71" s="282"/>
      <c r="J71" s="283"/>
      <c r="K71" s="282"/>
      <c r="L71" s="154"/>
      <c r="M71" s="154"/>
      <c r="N71" s="154"/>
      <c r="O71" s="154"/>
      <c r="P71" s="154"/>
      <c r="Q71" s="154"/>
      <c r="R71" s="154"/>
      <c r="S71" s="154"/>
      <c r="T71" s="154"/>
      <c r="U71" s="154"/>
      <c r="V71" s="259"/>
      <c r="Y71" s="287"/>
    </row>
    <row r="72" spans="1:50" ht="47.1" customHeight="1">
      <c r="A72" s="327">
        <v>12</v>
      </c>
      <c r="B72" s="237"/>
      <c r="C72" s="237"/>
      <c r="D72" s="237"/>
      <c r="E72" s="335"/>
      <c r="F72" s="336" t="s">
        <v>300</v>
      </c>
      <c r="G72" s="336" t="b">
        <f t="shared" si="11"/>
        <v>0</v>
      </c>
      <c r="H72" s="336" t="s">
        <v>389</v>
      </c>
      <c r="I72" s="282"/>
      <c r="J72" s="283"/>
      <c r="K72" s="282"/>
      <c r="L72" s="154"/>
      <c r="M72" s="154"/>
      <c r="N72" s="154"/>
      <c r="O72" s="154"/>
      <c r="P72" s="154"/>
      <c r="Q72" s="154"/>
      <c r="R72" s="154"/>
      <c r="S72" s="154"/>
      <c r="T72" s="154"/>
      <c r="U72" s="154"/>
      <c r="V72" s="259"/>
      <c r="Y72" s="287"/>
    </row>
    <row r="73" spans="1:50" ht="2.85" customHeight="1" thickBot="1">
      <c r="A73" s="284"/>
      <c r="B73" s="285"/>
      <c r="C73" s="285"/>
      <c r="D73" s="285"/>
      <c r="E73" s="285"/>
      <c r="F73" s="285"/>
      <c r="G73" s="285"/>
      <c r="H73" s="285"/>
      <c r="I73" s="285"/>
      <c r="J73" s="286"/>
      <c r="K73" s="126"/>
      <c r="L73" s="154"/>
      <c r="M73" s="154"/>
      <c r="N73" s="154"/>
      <c r="O73" s="154"/>
      <c r="P73" s="154"/>
      <c r="Q73" s="154"/>
      <c r="R73" s="154"/>
      <c r="S73" s="154"/>
      <c r="T73" s="154"/>
      <c r="U73" s="154"/>
      <c r="V73" s="259"/>
      <c r="Y73" s="287"/>
    </row>
    <row r="74" spans="1:50" ht="29.25" customHeight="1">
      <c r="A74" s="126"/>
      <c r="B74" s="126"/>
      <c r="C74" s="126"/>
      <c r="D74" s="126"/>
      <c r="E74" s="126"/>
      <c r="F74" s="126"/>
      <c r="G74" s="126"/>
      <c r="H74" s="126"/>
      <c r="I74" s="126"/>
      <c r="J74" s="126"/>
      <c r="K74" s="126"/>
      <c r="L74" s="154"/>
      <c r="M74" s="154"/>
      <c r="N74" s="154"/>
      <c r="O74" s="154"/>
      <c r="P74" s="154"/>
      <c r="Q74" s="154"/>
      <c r="R74" s="154"/>
      <c r="S74" s="154"/>
      <c r="T74" s="154"/>
      <c r="U74" s="154"/>
      <c r="V74" s="259"/>
      <c r="Y74" s="287"/>
    </row>
    <row r="75" spans="1:50" s="126" customFormat="1" ht="30.75" customHeight="1" thickBot="1">
      <c r="A75" s="288"/>
      <c r="B75" s="288"/>
      <c r="C75" s="288"/>
      <c r="D75" s="288"/>
      <c r="E75" s="288"/>
      <c r="F75" s="288"/>
      <c r="G75" s="288"/>
      <c r="H75" s="288"/>
      <c r="I75" s="288"/>
      <c r="J75" s="288"/>
      <c r="K75" s="288"/>
      <c r="L75" s="288"/>
      <c r="M75" s="288"/>
      <c r="N75" s="288"/>
      <c r="O75" s="288"/>
      <c r="P75" s="288"/>
      <c r="Q75" s="288"/>
      <c r="R75" s="288"/>
      <c r="S75" s="288"/>
      <c r="T75" s="288"/>
      <c r="U75" s="288"/>
      <c r="V75" s="48"/>
      <c r="W75" s="48"/>
      <c r="X75" s="48"/>
      <c r="Y75" s="48"/>
      <c r="Z75" s="48"/>
      <c r="AO75" s="220"/>
      <c r="AP75" s="220"/>
      <c r="AQ75" s="220"/>
      <c r="AR75" s="220"/>
      <c r="AS75" s="220"/>
      <c r="AT75" s="220"/>
      <c r="AU75" s="220"/>
      <c r="AV75" s="220"/>
      <c r="AW75" s="220"/>
      <c r="AX75" s="220"/>
    </row>
    <row r="76" spans="1:50" ht="30.75" customHeight="1" thickBot="1">
      <c r="A76" s="454" t="s">
        <v>307</v>
      </c>
      <c r="B76" s="452"/>
      <c r="C76" s="452"/>
      <c r="D76" s="452"/>
      <c r="E76" s="455"/>
      <c r="F76" s="275"/>
      <c r="G76" s="275"/>
      <c r="H76" s="275"/>
      <c r="I76" s="275"/>
      <c r="J76" s="276"/>
      <c r="K76" s="277"/>
      <c r="L76" s="154"/>
      <c r="M76" s="154"/>
      <c r="N76" s="154"/>
      <c r="O76" s="154"/>
      <c r="P76" s="154"/>
      <c r="Q76" s="154"/>
      <c r="R76" s="154"/>
      <c r="S76" s="154"/>
      <c r="T76" s="154"/>
      <c r="U76" s="154"/>
      <c r="V76" s="259"/>
      <c r="W76" s="200"/>
    </row>
    <row r="77" spans="1:50" ht="30.75" customHeight="1">
      <c r="A77" s="332" t="s">
        <v>390</v>
      </c>
      <c r="B77" s="332"/>
      <c r="C77" s="332"/>
      <c r="D77" s="332"/>
      <c r="E77" s="333" t="s">
        <v>391</v>
      </c>
      <c r="F77" s="334" t="s">
        <v>299</v>
      </c>
      <c r="G77" s="334" t="s">
        <v>328</v>
      </c>
      <c r="H77" s="334" t="s">
        <v>318</v>
      </c>
      <c r="I77" s="278"/>
      <c r="J77" s="279"/>
      <c r="K77" s="278"/>
      <c r="L77" s="280"/>
      <c r="M77" s="280"/>
      <c r="N77" s="280"/>
      <c r="O77" s="280"/>
      <c r="P77" s="280"/>
      <c r="Q77" s="280"/>
      <c r="R77" s="280"/>
      <c r="S77" s="280"/>
      <c r="T77" s="280"/>
      <c r="U77" s="280"/>
      <c r="V77" s="281"/>
      <c r="W77" s="200"/>
      <c r="Y77" s="453"/>
    </row>
    <row r="78" spans="1:50" ht="47.1" hidden="1" customHeight="1">
      <c r="A78" s="327" t="s">
        <v>392</v>
      </c>
      <c r="B78" s="237"/>
      <c r="C78" s="237"/>
      <c r="D78" s="237"/>
      <c r="E78" s="335" t="s">
        <v>393</v>
      </c>
      <c r="F78" s="336" t="s">
        <v>321</v>
      </c>
      <c r="G78" s="336" t="b">
        <f>IFERROR(IF(E78&lt;&gt;"",TRUE,FALSE),FALSE)</f>
        <v>1</v>
      </c>
      <c r="H78" s="336" t="s">
        <v>321</v>
      </c>
      <c r="I78" s="282"/>
      <c r="J78" s="283"/>
      <c r="K78" s="282"/>
      <c r="L78" s="126"/>
      <c r="M78" s="126"/>
      <c r="N78" s="126"/>
      <c r="O78" s="126"/>
      <c r="P78" s="126"/>
      <c r="Q78" s="126"/>
      <c r="R78" s="126"/>
      <c r="S78" s="126"/>
      <c r="T78" s="126"/>
      <c r="U78" s="126"/>
      <c r="Y78" s="453"/>
    </row>
    <row r="79" spans="1:50" ht="47.1" customHeight="1">
      <c r="A79" s="327">
        <v>1</v>
      </c>
      <c r="B79" s="237"/>
      <c r="C79" s="237"/>
      <c r="D79" s="237"/>
      <c r="E79" s="335" t="s">
        <v>394</v>
      </c>
      <c r="F79" s="336" t="s">
        <v>300</v>
      </c>
      <c r="G79" s="336" t="b">
        <f t="shared" ref="G79:G90" si="12">IFERROR(IF(E79&lt;&gt;"",TRUE,FALSE),FALSE)</f>
        <v>1</v>
      </c>
      <c r="H79" s="336" t="s">
        <v>395</v>
      </c>
      <c r="I79" s="282"/>
      <c r="J79" s="283"/>
      <c r="K79" s="282"/>
      <c r="L79" s="126"/>
      <c r="M79" s="126"/>
      <c r="N79" s="126"/>
      <c r="O79" s="126"/>
      <c r="P79" s="126"/>
      <c r="Q79" s="126"/>
      <c r="R79" s="126"/>
      <c r="S79" s="126"/>
      <c r="T79" s="126"/>
      <c r="U79" s="126"/>
      <c r="Y79" s="453"/>
    </row>
    <row r="80" spans="1:50" ht="47.1" customHeight="1">
      <c r="A80" s="327">
        <v>2</v>
      </c>
      <c r="B80" s="237"/>
      <c r="C80" s="237"/>
      <c r="D80" s="237"/>
      <c r="E80" s="335" t="s">
        <v>396</v>
      </c>
      <c r="F80" s="336" t="s">
        <v>300</v>
      </c>
      <c r="G80" s="336" t="b">
        <f t="shared" si="12"/>
        <v>1</v>
      </c>
      <c r="H80" s="336" t="s">
        <v>397</v>
      </c>
      <c r="I80" s="282"/>
      <c r="J80" s="283"/>
      <c r="K80" s="282"/>
      <c r="L80" s="126"/>
      <c r="M80" s="126"/>
      <c r="N80" s="126"/>
      <c r="O80" s="126"/>
      <c r="P80" s="126"/>
      <c r="Q80" s="126"/>
      <c r="R80" s="126"/>
      <c r="S80" s="126"/>
      <c r="T80" s="126"/>
      <c r="U80" s="126"/>
      <c r="Y80" s="453"/>
    </row>
    <row r="81" spans="1:25" ht="47.1" customHeight="1">
      <c r="A81" s="327">
        <v>3</v>
      </c>
      <c r="B81" s="237"/>
      <c r="C81" s="237"/>
      <c r="D81" s="237"/>
      <c r="E81" s="335" t="s">
        <v>398</v>
      </c>
      <c r="F81" s="336" t="s">
        <v>300</v>
      </c>
      <c r="G81" s="336" t="b">
        <f t="shared" si="12"/>
        <v>1</v>
      </c>
      <c r="H81" s="336" t="s">
        <v>399</v>
      </c>
      <c r="I81" s="282"/>
      <c r="J81" s="283"/>
      <c r="K81" s="282"/>
      <c r="L81" s="126"/>
      <c r="M81" s="126"/>
      <c r="N81" s="126"/>
      <c r="O81" s="126"/>
      <c r="P81" s="126"/>
      <c r="Q81" s="126"/>
      <c r="R81" s="126"/>
      <c r="S81" s="126"/>
      <c r="T81" s="126"/>
      <c r="U81" s="126"/>
      <c r="Y81" s="453"/>
    </row>
    <row r="82" spans="1:25" ht="47.1" customHeight="1">
      <c r="A82" s="327">
        <v>4</v>
      </c>
      <c r="B82" s="237"/>
      <c r="C82" s="237"/>
      <c r="D82" s="237"/>
      <c r="E82" s="335" t="s">
        <v>400</v>
      </c>
      <c r="F82" s="336" t="s">
        <v>300</v>
      </c>
      <c r="G82" s="336" t="b">
        <f t="shared" si="12"/>
        <v>1</v>
      </c>
      <c r="H82" s="336" t="s">
        <v>401</v>
      </c>
      <c r="I82" s="282"/>
      <c r="J82" s="283"/>
      <c r="K82" s="282"/>
      <c r="L82" s="126"/>
      <c r="M82" s="126"/>
      <c r="N82" s="126"/>
      <c r="O82" s="126"/>
      <c r="P82" s="126"/>
      <c r="Q82" s="126"/>
      <c r="R82" s="126"/>
      <c r="S82" s="126"/>
      <c r="T82" s="126"/>
      <c r="U82" s="126"/>
      <c r="Y82" s="453"/>
    </row>
    <row r="83" spans="1:25" ht="47.1" customHeight="1">
      <c r="A83" s="327">
        <v>5</v>
      </c>
      <c r="B83" s="237"/>
      <c r="C83" s="237"/>
      <c r="D83" s="237"/>
      <c r="E83" s="335" t="s">
        <v>402</v>
      </c>
      <c r="F83" s="336" t="s">
        <v>300</v>
      </c>
      <c r="G83" s="336" t="b">
        <f t="shared" si="12"/>
        <v>1</v>
      </c>
      <c r="H83" s="336" t="s">
        <v>403</v>
      </c>
      <c r="I83" s="282"/>
      <c r="J83" s="283"/>
      <c r="K83" s="282"/>
      <c r="L83" s="126"/>
      <c r="M83" s="126"/>
      <c r="N83" s="126"/>
      <c r="O83" s="126"/>
      <c r="P83" s="126"/>
      <c r="Q83" s="126"/>
      <c r="R83" s="126"/>
      <c r="S83" s="126"/>
      <c r="T83" s="126"/>
      <c r="U83" s="126"/>
      <c r="Y83" s="453"/>
    </row>
    <row r="84" spans="1:25" ht="47.1" customHeight="1">
      <c r="A84" s="327">
        <v>6</v>
      </c>
      <c r="B84" s="237"/>
      <c r="C84" s="237"/>
      <c r="D84" s="237"/>
      <c r="E84" s="335" t="s">
        <v>404</v>
      </c>
      <c r="F84" s="336" t="s">
        <v>300</v>
      </c>
      <c r="G84" s="336" t="b">
        <f t="shared" si="12"/>
        <v>1</v>
      </c>
      <c r="H84" s="336" t="s">
        <v>405</v>
      </c>
      <c r="I84" s="282"/>
      <c r="J84" s="283"/>
      <c r="K84" s="282"/>
      <c r="L84" s="126"/>
      <c r="M84" s="126"/>
      <c r="N84" s="126"/>
      <c r="O84" s="126"/>
      <c r="P84" s="126"/>
      <c r="Q84" s="126"/>
      <c r="R84" s="126"/>
      <c r="S84" s="126"/>
      <c r="T84" s="126"/>
      <c r="U84" s="126"/>
      <c r="Y84" s="453"/>
    </row>
    <row r="85" spans="1:25" ht="47.1" customHeight="1">
      <c r="A85" s="327">
        <v>7</v>
      </c>
      <c r="B85" s="237"/>
      <c r="C85" s="237"/>
      <c r="D85" s="237"/>
      <c r="E85" s="335" t="s">
        <v>406</v>
      </c>
      <c r="F85" s="336" t="s">
        <v>300</v>
      </c>
      <c r="G85" s="336" t="b">
        <f t="shared" si="12"/>
        <v>1</v>
      </c>
      <c r="H85" s="336" t="s">
        <v>407</v>
      </c>
      <c r="I85" s="282"/>
      <c r="J85" s="283"/>
      <c r="K85" s="282"/>
      <c r="L85" s="126"/>
      <c r="M85" s="126"/>
      <c r="N85" s="126"/>
      <c r="O85" s="126"/>
      <c r="P85" s="126"/>
      <c r="Q85" s="126"/>
      <c r="R85" s="126"/>
      <c r="S85" s="126"/>
      <c r="T85" s="126"/>
      <c r="U85" s="126"/>
      <c r="Y85" s="453"/>
    </row>
    <row r="86" spans="1:25" ht="47.1" customHeight="1">
      <c r="A86" s="327">
        <v>8</v>
      </c>
      <c r="B86" s="237"/>
      <c r="C86" s="237"/>
      <c r="D86" s="237"/>
      <c r="E86" s="335" t="s">
        <v>408</v>
      </c>
      <c r="F86" s="336" t="s">
        <v>300</v>
      </c>
      <c r="G86" s="336" t="b">
        <f t="shared" si="12"/>
        <v>1</v>
      </c>
      <c r="H86" s="336" t="s">
        <v>409</v>
      </c>
      <c r="I86" s="282"/>
      <c r="J86" s="283"/>
      <c r="K86" s="282"/>
      <c r="L86" s="126"/>
      <c r="M86" s="126"/>
      <c r="N86" s="126"/>
      <c r="O86" s="126"/>
      <c r="P86" s="126"/>
      <c r="Q86" s="126"/>
      <c r="R86" s="126"/>
      <c r="S86" s="126"/>
      <c r="T86" s="126"/>
      <c r="U86" s="126"/>
      <c r="Y86" s="453"/>
    </row>
    <row r="87" spans="1:25" ht="47.1" customHeight="1">
      <c r="A87" s="327">
        <v>9</v>
      </c>
      <c r="B87" s="237"/>
      <c r="C87" s="237"/>
      <c r="D87" s="237"/>
      <c r="E87" s="335" t="s">
        <v>410</v>
      </c>
      <c r="F87" s="336" t="s">
        <v>300</v>
      </c>
      <c r="G87" s="336" t="b">
        <f t="shared" si="12"/>
        <v>1</v>
      </c>
      <c r="H87" s="336" t="s">
        <v>411</v>
      </c>
      <c r="I87" s="282"/>
      <c r="J87" s="283"/>
      <c r="K87" s="282"/>
      <c r="L87" s="126"/>
      <c r="M87" s="126"/>
      <c r="N87" s="126"/>
      <c r="O87" s="126"/>
      <c r="P87" s="126"/>
      <c r="Q87" s="126"/>
      <c r="R87" s="126"/>
      <c r="S87" s="126"/>
      <c r="T87" s="126"/>
      <c r="U87" s="126"/>
      <c r="Y87" s="453"/>
    </row>
    <row r="88" spans="1:25" ht="47.1" customHeight="1">
      <c r="A88" s="327">
        <v>10</v>
      </c>
      <c r="B88" s="237"/>
      <c r="C88" s="237"/>
      <c r="D88" s="237"/>
      <c r="E88" s="335" t="s">
        <v>412</v>
      </c>
      <c r="F88" s="336" t="s">
        <v>300</v>
      </c>
      <c r="G88" s="336" t="b">
        <f t="shared" si="12"/>
        <v>1</v>
      </c>
      <c r="H88" s="336" t="s">
        <v>413</v>
      </c>
      <c r="I88" s="282"/>
      <c r="J88" s="283"/>
      <c r="K88" s="282"/>
      <c r="L88" s="126"/>
      <c r="M88" s="126"/>
      <c r="N88" s="126"/>
      <c r="O88" s="126"/>
      <c r="P88" s="126"/>
      <c r="Q88" s="126"/>
      <c r="R88" s="126"/>
      <c r="S88" s="126"/>
      <c r="T88" s="126"/>
      <c r="U88" s="126"/>
      <c r="Y88" s="453"/>
    </row>
    <row r="89" spans="1:25" ht="47.1" customHeight="1">
      <c r="A89" s="327">
        <v>11</v>
      </c>
      <c r="B89" s="237"/>
      <c r="C89" s="237"/>
      <c r="D89" s="237"/>
      <c r="E89" s="335"/>
      <c r="F89" s="336" t="s">
        <v>300</v>
      </c>
      <c r="G89" s="336" t="b">
        <f t="shared" si="12"/>
        <v>0</v>
      </c>
      <c r="H89" s="336" t="s">
        <v>414</v>
      </c>
      <c r="I89" s="282"/>
      <c r="J89" s="283"/>
      <c r="K89" s="282"/>
      <c r="L89" s="126"/>
      <c r="M89" s="126"/>
      <c r="N89" s="126"/>
      <c r="O89" s="126"/>
      <c r="P89" s="126"/>
      <c r="Q89" s="126"/>
      <c r="R89" s="126"/>
      <c r="S89" s="126"/>
      <c r="T89" s="126"/>
      <c r="U89" s="126"/>
      <c r="Y89" s="453"/>
    </row>
    <row r="90" spans="1:25" ht="47.1" customHeight="1">
      <c r="A90" s="327">
        <v>12</v>
      </c>
      <c r="B90" s="237"/>
      <c r="C90" s="237"/>
      <c r="D90" s="237"/>
      <c r="E90" s="335"/>
      <c r="F90" s="336" t="s">
        <v>300</v>
      </c>
      <c r="G90" s="336" t="b">
        <f t="shared" si="12"/>
        <v>0</v>
      </c>
      <c r="H90" s="336" t="s">
        <v>415</v>
      </c>
      <c r="I90" s="282"/>
      <c r="J90" s="283"/>
      <c r="K90" s="282"/>
      <c r="L90" s="126"/>
      <c r="M90" s="126"/>
      <c r="N90" s="126"/>
      <c r="O90" s="126"/>
      <c r="P90" s="126"/>
      <c r="Q90" s="126"/>
      <c r="R90" s="126"/>
      <c r="S90" s="126"/>
      <c r="T90" s="126"/>
      <c r="U90" s="126"/>
      <c r="Y90" s="453"/>
    </row>
    <row r="91" spans="1:25" ht="2.85" customHeight="1" thickBot="1">
      <c r="A91" s="272"/>
      <c r="B91" s="253"/>
      <c r="C91" s="253"/>
      <c r="D91" s="253"/>
      <c r="E91" s="253"/>
      <c r="F91" s="253"/>
      <c r="G91" s="253"/>
      <c r="H91" s="253"/>
      <c r="I91" s="253"/>
      <c r="J91" s="256"/>
      <c r="L91" s="126"/>
      <c r="M91" s="126"/>
      <c r="N91" s="126"/>
      <c r="O91" s="126"/>
      <c r="P91" s="126"/>
      <c r="Q91" s="126"/>
      <c r="R91" s="126"/>
      <c r="S91" s="126"/>
      <c r="T91" s="126"/>
      <c r="U91" s="126"/>
      <c r="Y91" s="453"/>
    </row>
    <row r="92" spans="1:25" ht="35.25" customHeight="1">
      <c r="L92" s="126"/>
      <c r="M92" s="126"/>
      <c r="N92" s="126"/>
      <c r="O92" s="126"/>
      <c r="P92" s="126"/>
      <c r="Q92" s="126"/>
      <c r="R92" s="126"/>
      <c r="S92" s="126"/>
      <c r="T92" s="126"/>
      <c r="U92" s="126"/>
      <c r="Y92" s="453"/>
    </row>
    <row r="93" spans="1:25" ht="35.25" hidden="1" customHeight="1">
      <c r="L93" s="126"/>
      <c r="M93" s="126"/>
      <c r="N93" s="126"/>
      <c r="O93" s="126"/>
      <c r="P93" s="126"/>
      <c r="Q93" s="126"/>
      <c r="R93" s="126"/>
      <c r="S93" s="126"/>
      <c r="T93" s="126"/>
      <c r="U93" s="126"/>
    </row>
    <row r="94" spans="1:25" ht="35.25" hidden="1" customHeight="1">
      <c r="L94" s="126"/>
      <c r="M94" s="126"/>
      <c r="N94" s="126"/>
      <c r="O94" s="126"/>
      <c r="P94" s="126"/>
      <c r="Q94" s="126"/>
      <c r="R94" s="126"/>
      <c r="S94" s="126"/>
      <c r="T94" s="126"/>
      <c r="U94" s="126"/>
    </row>
    <row r="95" spans="1:25" ht="35.25" hidden="1" customHeight="1">
      <c r="L95" s="126"/>
      <c r="M95" s="126"/>
      <c r="N95" s="126"/>
      <c r="O95" s="126"/>
      <c r="P95" s="126"/>
      <c r="Q95" s="126"/>
      <c r="R95" s="126"/>
      <c r="S95" s="126"/>
      <c r="T95" s="126"/>
      <c r="U95" s="126"/>
    </row>
    <row r="96" spans="1:25" ht="35.25" hidden="1" customHeight="1">
      <c r="L96" s="126"/>
      <c r="M96" s="126"/>
      <c r="N96" s="126"/>
      <c r="O96" s="126"/>
      <c r="P96" s="126"/>
      <c r="Q96" s="126"/>
      <c r="R96" s="126"/>
      <c r="S96" s="126"/>
      <c r="T96" s="126"/>
      <c r="U96" s="126"/>
    </row>
    <row r="97" spans="1:45" ht="17.25" hidden="1" customHeight="1">
      <c r="L97" s="126"/>
      <c r="M97" s="126"/>
      <c r="N97" s="126"/>
      <c r="O97" s="126"/>
      <c r="P97" s="126"/>
      <c r="Q97" s="126"/>
      <c r="R97" s="126"/>
      <c r="S97" s="126"/>
      <c r="T97" s="126"/>
      <c r="U97" s="126"/>
    </row>
    <row r="98" spans="1:45" ht="21.75" hidden="1" customHeight="1">
      <c r="L98" s="126"/>
      <c r="M98" s="126"/>
      <c r="N98" s="126"/>
      <c r="O98" s="126"/>
      <c r="P98" s="126"/>
      <c r="Q98" s="126"/>
      <c r="R98" s="126"/>
      <c r="S98" s="126"/>
      <c r="T98" s="126"/>
      <c r="U98" s="126"/>
    </row>
    <row r="99" spans="1:45" ht="29.25" customHeight="1" thickBot="1">
      <c r="L99" s="126"/>
      <c r="M99" s="126"/>
      <c r="N99" s="126"/>
      <c r="O99" s="126"/>
      <c r="P99" s="126"/>
      <c r="Q99" s="126"/>
      <c r="R99" s="126"/>
      <c r="S99" s="126"/>
      <c r="T99" s="126"/>
      <c r="U99" s="126"/>
    </row>
    <row r="100" spans="1:45" ht="29.25" customHeight="1" thickBot="1">
      <c r="A100" s="454" t="s">
        <v>308</v>
      </c>
      <c r="B100" s="452"/>
      <c r="C100" s="452"/>
      <c r="D100" s="452"/>
      <c r="E100" s="455"/>
      <c r="F100" s="289"/>
      <c r="G100" s="289"/>
      <c r="H100" s="289"/>
      <c r="I100" s="289"/>
      <c r="J100" s="290"/>
      <c r="K100" s="277"/>
      <c r="L100" s="154"/>
      <c r="M100" s="154"/>
      <c r="N100" s="154"/>
      <c r="O100" s="154"/>
      <c r="P100" s="154"/>
      <c r="Q100" s="154"/>
      <c r="R100" s="154"/>
      <c r="S100" s="154"/>
      <c r="T100" s="154"/>
      <c r="U100" s="154"/>
      <c r="V100" s="259"/>
    </row>
    <row r="101" spans="1:45" ht="26.25" customHeight="1">
      <c r="A101" s="332" t="s">
        <v>416</v>
      </c>
      <c r="B101" s="332"/>
      <c r="C101" s="337" t="s">
        <v>417</v>
      </c>
      <c r="D101" s="338" t="s">
        <v>418</v>
      </c>
      <c r="E101" s="332" t="s">
        <v>256</v>
      </c>
      <c r="F101" s="339" t="s">
        <v>419</v>
      </c>
      <c r="G101" s="339" t="s">
        <v>328</v>
      </c>
      <c r="H101" s="339" t="s">
        <v>318</v>
      </c>
      <c r="I101" s="325" t="s">
        <v>420</v>
      </c>
      <c r="J101" s="325" t="s">
        <v>299</v>
      </c>
      <c r="L101" s="280"/>
      <c r="M101" s="280"/>
      <c r="N101" s="280"/>
      <c r="O101" s="280"/>
      <c r="P101" s="280"/>
      <c r="Q101" s="280"/>
      <c r="R101" s="280"/>
      <c r="S101" s="280"/>
      <c r="T101" s="280"/>
      <c r="U101" s="280"/>
      <c r="V101" s="281"/>
    </row>
    <row r="102" spans="1:45" ht="47.1" hidden="1" customHeight="1">
      <c r="A102" s="327" t="s">
        <v>421</v>
      </c>
      <c r="B102" s="340" t="str" cm="1">
        <f t="array" ref="B102">IFERROR(INDEX($E$102:$E$118, MATCH(0, COUNTIF($B$101:B101, $E$102:$E$118&amp;"") + IF($E$102:$E$118="",1,0),0)),"")</f>
        <v>--Select--</v>
      </c>
      <c r="C102" s="341" t="str">
        <f>IF(ISNUMBER(A102),IF(E102="","--select--",E102),"")</f>
        <v/>
      </c>
      <c r="D102" s="342" t="s">
        <v>422</v>
      </c>
      <c r="E102" s="343" t="str">
        <f>IFERROR(IF(F102="[Module Reference (Name)]","--Select--",VLOOKUP(F102,'Reference records(soft deleted)'!$B$87:$D$138,3,FALSE)),"")</f>
        <v>--Select--</v>
      </c>
      <c r="F102" s="344" t="s">
        <v>423</v>
      </c>
      <c r="G102" s="344" t="b">
        <f>IFERROR(IF(E102&lt;&gt;"",TRUE,FALSE),FALSE)</f>
        <v>1</v>
      </c>
      <c r="H102" s="345" t="s">
        <v>321</v>
      </c>
      <c r="I102" s="345" t="str">
        <f>IFERROR(VLOOKUP(E102,'Reference records(soft deleted)'!D$87:F$138,3,FALSE),"")</f>
        <v/>
      </c>
      <c r="J102" s="344" t="s">
        <v>321</v>
      </c>
      <c r="L102" s="126"/>
      <c r="M102" s="126"/>
      <c r="N102" s="126"/>
      <c r="O102" s="126"/>
      <c r="P102" s="126"/>
      <c r="Q102" s="126"/>
      <c r="R102" s="126"/>
      <c r="S102" s="126"/>
      <c r="T102" s="126"/>
      <c r="U102" s="126"/>
      <c r="Y102" s="287"/>
      <c r="AS102" s="48"/>
    </row>
    <row r="103" spans="1:45" ht="47.1" customHeight="1">
      <c r="A103" s="327">
        <v>1</v>
      </c>
      <c r="B103" s="340" t="str" cm="1">
        <f t="array" ref="B103">IFERROR(INDEX($E$102:$E$118, MATCH(0, COUNTIF($B$101:B102, $E$102:$E$118&amp;"") + IF($E$102:$E$118="",1,0),0)),"")</f>
        <v>TB diagnosis, treatment and care</v>
      </c>
      <c r="C103" s="341" t="str">
        <f t="shared" ref="C103:C117" si="13">IF(ISNUMBER(A103),IF(E103="","--select--",E103),"")</f>
        <v>TB diagnosis, treatment and care</v>
      </c>
      <c r="D103" s="342" t="s">
        <v>424</v>
      </c>
      <c r="E103" s="343" t="str">
        <f>IFERROR(IF(F103="[Module Reference (Name)]","--Select--",VLOOKUP(F103,'Reference records(soft deleted)'!$B$87:$D$138,3,FALSE)),"")</f>
        <v>TB diagnosis, treatment and care</v>
      </c>
      <c r="F103" s="344" t="s">
        <v>425</v>
      </c>
      <c r="G103" s="344" t="b">
        <f t="shared" ref="G103:G117" si="14">IFERROR(IF(E103&lt;&gt;"",TRUE,FALSE),FALSE)</f>
        <v>1</v>
      </c>
      <c r="H103" s="345" t="s">
        <v>426</v>
      </c>
      <c r="I103" s="345" t="str">
        <f>IFERROR(VLOOKUP(E103,'Reference records(soft deleted)'!D$87:F$138,3,FALSE),"")</f>
        <v>a1ODm000000GnuVMAS</v>
      </c>
      <c r="J103" s="344" t="s">
        <v>300</v>
      </c>
      <c r="L103" s="126"/>
      <c r="M103" s="126"/>
      <c r="N103" s="126"/>
      <c r="O103" s="126"/>
      <c r="P103" s="126"/>
      <c r="Q103" s="126"/>
      <c r="R103" s="126"/>
      <c r="S103" s="126"/>
      <c r="T103" s="126"/>
      <c r="U103" s="126"/>
      <c r="Y103" s="287"/>
      <c r="AS103" s="48"/>
    </row>
    <row r="104" spans="1:45" ht="47.1" customHeight="1">
      <c r="A104" s="327">
        <v>2</v>
      </c>
      <c r="B104" s="340" t="str" cm="1">
        <f t="array" ref="B104">IFERROR(INDEX($E$102:$E$118, MATCH(0, COUNTIF($B$101:B103, $E$102:$E$118&amp;"") + IF($E$102:$E$118="",1,0),0)),"")</f>
        <v>Drug-resistant (DR)-TB diagnosis, treatment and care</v>
      </c>
      <c r="C104" s="341" t="str">
        <f t="shared" si="13"/>
        <v>Drug-resistant (DR)-TB diagnosis, treatment and care</v>
      </c>
      <c r="D104" s="342" t="s">
        <v>427</v>
      </c>
      <c r="E104" s="343" t="str">
        <f>IFERROR(IF(F104="[Module Reference (Name)]","--Select--",VLOOKUP(F104,'Reference records(soft deleted)'!$B$87:$D$138,3,FALSE)),"")</f>
        <v>Drug-resistant (DR)-TB diagnosis, treatment and care</v>
      </c>
      <c r="F104" s="344" t="s">
        <v>428</v>
      </c>
      <c r="G104" s="344" t="b">
        <f t="shared" si="14"/>
        <v>1</v>
      </c>
      <c r="H104" s="345" t="s">
        <v>429</v>
      </c>
      <c r="I104" s="345" t="str">
        <f>IFERROR(VLOOKUP(E104,'Reference records(soft deleted)'!D$87:F$138,3,FALSE),"")</f>
        <v>a1ODm000000GnuWMAS</v>
      </c>
      <c r="J104" s="344" t="s">
        <v>300</v>
      </c>
      <c r="L104" s="126"/>
      <c r="M104" s="126"/>
      <c r="N104" s="126"/>
      <c r="O104" s="126"/>
      <c r="P104" s="126"/>
      <c r="Q104" s="126"/>
      <c r="R104" s="126"/>
      <c r="S104" s="126"/>
      <c r="T104" s="126"/>
      <c r="U104" s="126"/>
      <c r="Y104" s="287"/>
      <c r="AS104" s="48"/>
    </row>
    <row r="105" spans="1:45" ht="47.1" customHeight="1">
      <c r="A105" s="327">
        <v>3</v>
      </c>
      <c r="B105" s="340" t="str" cm="1">
        <f t="array" ref="B105">IFERROR(INDEX($E$102:$E$118, MATCH(0, COUNTIF($B$101:B104, $E$102:$E$118&amp;"") + IF($E$102:$E$118="",1,0),0)),"")</f>
        <v>TB/DR-TB Prevention</v>
      </c>
      <c r="C105" s="341" t="str">
        <f t="shared" si="13"/>
        <v>TB/DR-TB Prevention</v>
      </c>
      <c r="D105" s="342" t="s">
        <v>430</v>
      </c>
      <c r="E105" s="343" t="str">
        <f>IFERROR(IF(F105="[Module Reference (Name)]","--Select--",VLOOKUP(F105,'Reference records(soft deleted)'!$B$87:$D$138,3,FALSE)),"")</f>
        <v>TB/DR-TB Prevention</v>
      </c>
      <c r="F105" s="344" t="s">
        <v>431</v>
      </c>
      <c r="G105" s="344" t="b">
        <f t="shared" si="14"/>
        <v>1</v>
      </c>
      <c r="H105" s="345" t="s">
        <v>432</v>
      </c>
      <c r="I105" s="345" t="str">
        <f>IFERROR(VLOOKUP(E105,'Reference records(soft deleted)'!D$87:F$138,3,FALSE),"")</f>
        <v>a1ODm000000GnuXMAS</v>
      </c>
      <c r="J105" s="344" t="s">
        <v>300</v>
      </c>
      <c r="L105" s="126"/>
      <c r="M105" s="126"/>
      <c r="N105" s="126"/>
      <c r="O105" s="126"/>
      <c r="P105" s="126"/>
      <c r="Q105" s="126"/>
      <c r="R105" s="126"/>
      <c r="S105" s="126"/>
      <c r="T105" s="126"/>
      <c r="U105" s="126"/>
      <c r="Y105" s="287"/>
      <c r="AS105" s="48"/>
    </row>
    <row r="106" spans="1:45" ht="47.1" customHeight="1">
      <c r="A106" s="327">
        <v>4</v>
      </c>
      <c r="B106" s="340" t="str" cm="1">
        <f t="array" ref="B106">IFERROR(INDEX($E$102:$E$118, MATCH(0, COUNTIF($B$101:B105, $E$102:$E$118&amp;"") + IF($E$102:$E$118="",1,0),0)),"")</f>
        <v>Key and vulnerable populations (KVP) – TB/DR-TB</v>
      </c>
      <c r="C106" s="341" t="str">
        <f t="shared" si="13"/>
        <v>Key and vulnerable populations (KVP) – TB/DR-TB</v>
      </c>
      <c r="D106" s="342" t="s">
        <v>433</v>
      </c>
      <c r="E106" s="343" t="str">
        <f>IFERROR(IF(F106="[Module Reference (Name)]","--Select--",VLOOKUP(F106,'Reference records(soft deleted)'!$B$87:$D$138,3,FALSE)),"")</f>
        <v>Key and vulnerable populations (KVP) – TB/DR-TB</v>
      </c>
      <c r="F106" s="344" t="s">
        <v>434</v>
      </c>
      <c r="G106" s="344" t="b">
        <f t="shared" si="14"/>
        <v>1</v>
      </c>
      <c r="H106" s="345" t="s">
        <v>435</v>
      </c>
      <c r="I106" s="345" t="str">
        <f>IFERROR(VLOOKUP(E106,'Reference records(soft deleted)'!D$87:F$138,3,FALSE),"")</f>
        <v>a1ODm000000GnuZMAS</v>
      </c>
      <c r="J106" s="344" t="s">
        <v>300</v>
      </c>
      <c r="L106" s="126"/>
      <c r="M106" s="126"/>
      <c r="N106" s="126"/>
      <c r="O106" s="126"/>
      <c r="P106" s="126"/>
      <c r="Q106" s="126"/>
      <c r="R106" s="126"/>
      <c r="S106" s="126"/>
      <c r="T106" s="126"/>
      <c r="U106" s="126"/>
      <c r="Y106" s="287"/>
      <c r="AS106" s="48"/>
    </row>
    <row r="107" spans="1:45" ht="47.1" customHeight="1">
      <c r="A107" s="327">
        <v>5</v>
      </c>
      <c r="B107" s="340" t="str" cm="1">
        <f t="array" ref="B107">IFERROR(INDEX($E$102:$E$118, MATCH(0, COUNTIF($B$101:B106, $E$102:$E$118&amp;"") + IF($E$102:$E$118="",1,0),0)),"")</f>
        <v>TB/HIV</v>
      </c>
      <c r="C107" s="341" t="str">
        <f t="shared" si="13"/>
        <v>TB/HIV</v>
      </c>
      <c r="D107" s="342" t="s">
        <v>436</v>
      </c>
      <c r="E107" s="343" t="str">
        <f>IFERROR(IF(F107="[Module Reference (Name)]","--Select--",VLOOKUP(F107,'Reference records(soft deleted)'!$B$87:$D$138,3,FALSE)),"")</f>
        <v>TB/HIV</v>
      </c>
      <c r="F107" s="344" t="s">
        <v>437</v>
      </c>
      <c r="G107" s="344" t="b">
        <f t="shared" si="14"/>
        <v>1</v>
      </c>
      <c r="H107" s="345" t="s">
        <v>438</v>
      </c>
      <c r="I107" s="345" t="str">
        <f>IFERROR(VLOOKUP(E107,'Reference records(soft deleted)'!D$87:F$138,3,FALSE),"")</f>
        <v>a1ODm000000GnuaMAC</v>
      </c>
      <c r="J107" s="344" t="s">
        <v>300</v>
      </c>
      <c r="L107" s="126"/>
      <c r="M107" s="126"/>
      <c r="N107" s="126"/>
      <c r="O107" s="126"/>
      <c r="P107" s="126"/>
      <c r="Q107" s="126"/>
      <c r="R107" s="126"/>
      <c r="S107" s="126"/>
      <c r="T107" s="126"/>
      <c r="U107" s="126"/>
      <c r="Y107" s="287"/>
      <c r="AS107" s="48"/>
    </row>
    <row r="108" spans="1:45" ht="47.1" customHeight="1">
      <c r="A108" s="327">
        <v>6</v>
      </c>
      <c r="B108" s="340" t="str" cm="1">
        <f t="array" ref="B108">IFERROR(INDEX($E$102:$E$118, MATCH(0, COUNTIF($B$101:B107, $E$102:$E$118&amp;"") + IF($E$102:$E$118="",1,0),0)),"")</f>
        <v>Prevention package for men who have sex with men (MSM) and their sexual partners</v>
      </c>
      <c r="C108" s="341" t="str">
        <f t="shared" si="13"/>
        <v>Prevention package for men who have sex with men (MSM) and their sexual partners</v>
      </c>
      <c r="D108" s="342" t="s">
        <v>439</v>
      </c>
      <c r="E108" s="343" t="str">
        <f>IFERROR(IF(F108="[Module Reference (Name)]","--Select--",VLOOKUP(F108,'Reference records(soft deleted)'!$B$87:$D$138,3,FALSE)),"")</f>
        <v>Prevention package for men who have sex with men (MSM) and their sexual partners</v>
      </c>
      <c r="F108" s="344" t="s">
        <v>440</v>
      </c>
      <c r="G108" s="344" t="b">
        <f t="shared" si="14"/>
        <v>1</v>
      </c>
      <c r="H108" s="345" t="s">
        <v>441</v>
      </c>
      <c r="I108" s="345" t="str">
        <f>IFERROR(VLOOKUP(E108,'Reference records(soft deleted)'!D$87:F$138,3,FALSE),"")</f>
        <v>a1ODm000000GnuJMAS</v>
      </c>
      <c r="J108" s="344" t="s">
        <v>300</v>
      </c>
      <c r="L108" s="126"/>
      <c r="M108" s="126"/>
      <c r="N108" s="126"/>
      <c r="O108" s="126"/>
      <c r="P108" s="126"/>
      <c r="Q108" s="126"/>
      <c r="R108" s="126"/>
      <c r="S108" s="126"/>
      <c r="T108" s="126"/>
      <c r="U108" s="126"/>
      <c r="Y108" s="287"/>
      <c r="AS108" s="48"/>
    </row>
    <row r="109" spans="1:45" ht="47.1" customHeight="1">
      <c r="A109" s="327">
        <v>7</v>
      </c>
      <c r="B109" s="340" t="str" cm="1">
        <f t="array" ref="B109">IFERROR(INDEX($E$102:$E$118, MATCH(0, COUNTIF($B$101:B108, $E$102:$E$118&amp;"") + IF($E$102:$E$118="",1,0),0)),"")</f>
        <v>Prevention package for sex workers, their clients and other sexual partners</v>
      </c>
      <c r="C109" s="341" t="str">
        <f t="shared" si="13"/>
        <v>Prevention package for sex workers, their clients and other sexual partners</v>
      </c>
      <c r="D109" s="342" t="s">
        <v>442</v>
      </c>
      <c r="E109" s="343" t="str">
        <f>IFERROR(IF(F109="[Module Reference (Name)]","--Select--",VLOOKUP(F109,'Reference records(soft deleted)'!$B$87:$D$138,3,FALSE)),"")</f>
        <v>Prevention package for sex workers, their clients and other sexual partners</v>
      </c>
      <c r="F109" s="344" t="s">
        <v>443</v>
      </c>
      <c r="G109" s="344" t="b">
        <f t="shared" si="14"/>
        <v>1</v>
      </c>
      <c r="H109" s="345" t="s">
        <v>444</v>
      </c>
      <c r="I109" s="345" t="str">
        <f>IFERROR(VLOOKUP(E109,'Reference records(soft deleted)'!D$87:F$138,3,FALSE),"")</f>
        <v>a1ODm000000GnuKMAS</v>
      </c>
      <c r="J109" s="344" t="s">
        <v>300</v>
      </c>
      <c r="L109" s="126"/>
      <c r="M109" s="126"/>
      <c r="N109" s="126"/>
      <c r="O109" s="126"/>
      <c r="P109" s="126"/>
      <c r="Q109" s="126"/>
      <c r="R109" s="126"/>
      <c r="S109" s="126"/>
      <c r="T109" s="126"/>
      <c r="U109" s="126"/>
      <c r="Y109" s="287"/>
      <c r="AS109" s="48"/>
    </row>
    <row r="110" spans="1:45" ht="47.1" customHeight="1">
      <c r="A110" s="327">
        <v>8</v>
      </c>
      <c r="B110" s="340" t="str" cm="1">
        <f t="array" ref="B110">IFERROR(INDEX($E$102:$E$118, MATCH(0, COUNTIF($B$101:B109, $E$102:$E$118&amp;"") + IF($E$102:$E$118="",1,0),0)),"")</f>
        <v>Prevention package for transgender people and their sexual partners</v>
      </c>
      <c r="C110" s="341" t="str">
        <f t="shared" si="13"/>
        <v>Prevention package for transgender people and their sexual partners</v>
      </c>
      <c r="D110" s="342" t="s">
        <v>445</v>
      </c>
      <c r="E110" s="343" t="str">
        <f>IFERROR(IF(F110="[Module Reference (Name)]","--Select--",VLOOKUP(F110,'Reference records(soft deleted)'!$B$87:$D$138,3,FALSE)),"")</f>
        <v>Prevention package for transgender people and their sexual partners</v>
      </c>
      <c r="F110" s="344" t="s">
        <v>446</v>
      </c>
      <c r="G110" s="344" t="b">
        <f t="shared" si="14"/>
        <v>1</v>
      </c>
      <c r="H110" s="345" t="s">
        <v>447</v>
      </c>
      <c r="I110" s="345" t="str">
        <f>IFERROR(VLOOKUP(E110,'Reference records(soft deleted)'!D$87:F$138,3,FALSE),"")</f>
        <v>a1ODm000000GnuLMAS</v>
      </c>
      <c r="J110" s="344" t="s">
        <v>300</v>
      </c>
      <c r="L110" s="126"/>
      <c r="M110" s="126"/>
      <c r="N110" s="126"/>
      <c r="O110" s="126"/>
      <c r="P110" s="126"/>
      <c r="Q110" s="126"/>
      <c r="R110" s="126"/>
      <c r="S110" s="126"/>
      <c r="T110" s="126"/>
      <c r="U110" s="126"/>
      <c r="Y110" s="287"/>
      <c r="AS110" s="48"/>
    </row>
    <row r="111" spans="1:45" ht="47.1" customHeight="1">
      <c r="A111" s="327">
        <v>9</v>
      </c>
      <c r="B111" s="340" t="str" cm="1">
        <f t="array" ref="B111">IFERROR(INDEX($E$102:$E$118, MATCH(0, COUNTIF($B$101:B110, $E$102:$E$118&amp;"") + IF($E$102:$E$118="",1,0),0)),"")</f>
        <v>Prevention package for people who use drugs (PUD) and their sexual partners</v>
      </c>
      <c r="C111" s="341" t="str">
        <f t="shared" si="13"/>
        <v>Prevention package for people who use drugs (PUD) and their sexual partners</v>
      </c>
      <c r="D111" s="342" t="s">
        <v>448</v>
      </c>
      <c r="E111" s="343" t="str">
        <f>IFERROR(IF(F111="[Module Reference (Name)]","--Select--",VLOOKUP(F111,'Reference records(soft deleted)'!$B$87:$D$138,3,FALSE)),"")</f>
        <v>Prevention package for people who use drugs (PUD) and their sexual partners</v>
      </c>
      <c r="F111" s="344" t="s">
        <v>449</v>
      </c>
      <c r="G111" s="344" t="b">
        <f t="shared" si="14"/>
        <v>1</v>
      </c>
      <c r="H111" s="345" t="s">
        <v>450</v>
      </c>
      <c r="I111" s="345" t="str">
        <f>IFERROR(VLOOKUP(E111,'Reference records(soft deleted)'!D$87:F$138,3,FALSE),"")</f>
        <v>a1ODm000000GnuMMAS</v>
      </c>
      <c r="J111" s="344" t="s">
        <v>300</v>
      </c>
      <c r="L111" s="126"/>
      <c r="M111" s="126"/>
      <c r="N111" s="126"/>
      <c r="O111" s="126"/>
      <c r="P111" s="126"/>
      <c r="Q111" s="126"/>
      <c r="R111" s="126"/>
      <c r="S111" s="126"/>
      <c r="T111" s="126"/>
      <c r="U111" s="126"/>
      <c r="Y111" s="287"/>
      <c r="AS111" s="48"/>
    </row>
    <row r="112" spans="1:45" ht="47.1" customHeight="1">
      <c r="A112" s="327">
        <v>10</v>
      </c>
      <c r="B112" s="340" t="str" cm="1">
        <f t="array" ref="B112">IFERROR(INDEX($E$102:$E$118, MATCH(0, COUNTIF($B$101:B111, $E$102:$E$118&amp;"") + IF($E$102:$E$118="",1,0),0)),"")</f>
        <v>Prevention package for people in prisons and other closed settings</v>
      </c>
      <c r="C112" s="341" t="str">
        <f t="shared" si="13"/>
        <v>Prevention package for people in prisons and other closed settings</v>
      </c>
      <c r="D112" s="342" t="s">
        <v>451</v>
      </c>
      <c r="E112" s="343" t="str">
        <f>IFERROR(IF(F112="[Module Reference (Name)]","--Select--",VLOOKUP(F112,'Reference records(soft deleted)'!$B$87:$D$138,3,FALSE)),"")</f>
        <v>Prevention package for people in prisons and other closed settings</v>
      </c>
      <c r="F112" s="344" t="s">
        <v>452</v>
      </c>
      <c r="G112" s="344" t="b">
        <f t="shared" si="14"/>
        <v>1</v>
      </c>
      <c r="H112" s="345" t="s">
        <v>453</v>
      </c>
      <c r="I112" s="345" t="str">
        <f>IFERROR(VLOOKUP(E112,'Reference records(soft deleted)'!D$87:F$138,3,FALSE),"")</f>
        <v>a1ODm000000GnuNMAS</v>
      </c>
      <c r="J112" s="344" t="s">
        <v>300</v>
      </c>
      <c r="L112" s="126"/>
      <c r="M112" s="126"/>
      <c r="N112" s="126"/>
      <c r="O112" s="126"/>
      <c r="P112" s="126"/>
      <c r="Q112" s="126"/>
      <c r="R112" s="126"/>
      <c r="S112" s="126"/>
      <c r="T112" s="126"/>
      <c r="U112" s="126"/>
      <c r="Y112" s="287"/>
      <c r="AS112" s="48"/>
    </row>
    <row r="113" spans="1:45" ht="47.1" customHeight="1">
      <c r="A113" s="327">
        <v>11</v>
      </c>
      <c r="B113" s="340" t="str" cm="1">
        <f t="array" ref="B113">IFERROR(INDEX($E$102:$E$118, MATCH(0, COUNTIF($B$101:B112, $E$102:$E$118&amp;"") + IF($E$102:$E$118="",1,0),0)),"")</f>
        <v>Elimination of vertical transmission of HIV, syphilis and hepatitis B</v>
      </c>
      <c r="C113" s="341" t="str">
        <f t="shared" si="13"/>
        <v>Elimination of vertical transmission of HIV, syphilis and hepatitis B</v>
      </c>
      <c r="D113" s="342" t="s">
        <v>454</v>
      </c>
      <c r="E113" s="343" t="str">
        <f>IFERROR(IF(F113="[Module Reference (Name)]","--Select--",VLOOKUP(F113,'Reference records(soft deleted)'!$B$87:$D$138,3,FALSE)),"")</f>
        <v>Elimination of vertical transmission of HIV, syphilis and hepatitis B</v>
      </c>
      <c r="F113" s="344" t="s">
        <v>455</v>
      </c>
      <c r="G113" s="344" t="b">
        <f t="shared" si="14"/>
        <v>1</v>
      </c>
      <c r="H113" s="345" t="s">
        <v>456</v>
      </c>
      <c r="I113" s="345" t="str">
        <f>IFERROR(VLOOKUP(E113,'Reference records(soft deleted)'!D$87:F$138,3,FALSE),"")</f>
        <v>a1ODm000000GnuRMAS</v>
      </c>
      <c r="J113" s="344" t="s">
        <v>300</v>
      </c>
      <c r="L113" s="126"/>
      <c r="M113" s="126"/>
      <c r="N113" s="126"/>
      <c r="O113" s="126"/>
      <c r="P113" s="126"/>
      <c r="Q113" s="126"/>
      <c r="R113" s="126"/>
      <c r="S113" s="126"/>
      <c r="T113" s="126"/>
      <c r="U113" s="126"/>
      <c r="Y113" s="287"/>
      <c r="AS113" s="48"/>
    </row>
    <row r="114" spans="1:45" ht="47.1" customHeight="1">
      <c r="A114" s="327">
        <v>12</v>
      </c>
      <c r="B114" s="340" t="str" cm="1">
        <f t="array" ref="B114">IFERROR(INDEX($E$102:$E$118, MATCH(0, COUNTIF($B$101:B113, $E$102:$E$118&amp;"") + IF($E$102:$E$118="",1,0),0)),"")</f>
        <v>Differentiated HIV Testing Services</v>
      </c>
      <c r="C114" s="341" t="str">
        <f t="shared" si="13"/>
        <v>Differentiated HIV Testing Services</v>
      </c>
      <c r="D114" s="342" t="s">
        <v>457</v>
      </c>
      <c r="E114" s="343" t="str">
        <f>IFERROR(IF(F114="[Module Reference (Name)]","--Select--",VLOOKUP(F114,'Reference records(soft deleted)'!$B$87:$D$138,3,FALSE)),"")</f>
        <v>Differentiated HIV Testing Services</v>
      </c>
      <c r="F114" s="344" t="s">
        <v>458</v>
      </c>
      <c r="G114" s="344" t="b">
        <f t="shared" si="14"/>
        <v>1</v>
      </c>
      <c r="H114" s="345" t="s">
        <v>459</v>
      </c>
      <c r="I114" s="345" t="str">
        <f>IFERROR(VLOOKUP(E114,'Reference records(soft deleted)'!D$87:F$138,3,FALSE),"")</f>
        <v>a1ODm000000GnuSMAS</v>
      </c>
      <c r="J114" s="344" t="s">
        <v>300</v>
      </c>
      <c r="L114" s="126"/>
      <c r="M114" s="126"/>
      <c r="N114" s="126"/>
      <c r="O114" s="126"/>
      <c r="P114" s="126"/>
      <c r="Q114" s="126"/>
      <c r="R114" s="126"/>
      <c r="S114" s="126"/>
      <c r="T114" s="126"/>
      <c r="U114" s="126"/>
      <c r="Y114" s="287"/>
      <c r="AS114" s="48"/>
    </row>
    <row r="115" spans="1:45" ht="47.1" customHeight="1">
      <c r="A115" s="327">
        <v>13</v>
      </c>
      <c r="B115" s="340" t="str" cm="1">
        <f t="array" ref="B115">IFERROR(INDEX($E$102:$E$118, MATCH(0, COUNTIF($B$101:B114, $E$102:$E$118&amp;"") + IF($E$102:$E$118="",1,0),0)),"")</f>
        <v>Treatment, care and support</v>
      </c>
      <c r="C115" s="341" t="str">
        <f t="shared" si="13"/>
        <v>Treatment, care and support</v>
      </c>
      <c r="D115" s="342" t="s">
        <v>460</v>
      </c>
      <c r="E115" s="343" t="str">
        <f>IFERROR(IF(F115="[Module Reference (Name)]","--Select--",VLOOKUP(F115,'Reference records(soft deleted)'!$B$87:$D$138,3,FALSE)),"")</f>
        <v>Treatment, care and support</v>
      </c>
      <c r="F115" s="344" t="s">
        <v>461</v>
      </c>
      <c r="G115" s="344" t="b">
        <f t="shared" si="14"/>
        <v>1</v>
      </c>
      <c r="H115" s="345" t="s">
        <v>462</v>
      </c>
      <c r="I115" s="345" t="str">
        <f>IFERROR(VLOOKUP(E115,'Reference records(soft deleted)'!D$87:F$138,3,FALSE),"")</f>
        <v>a1ODm000000GnuTMAS</v>
      </c>
      <c r="J115" s="344" t="s">
        <v>300</v>
      </c>
      <c r="L115" s="126"/>
      <c r="M115" s="126"/>
      <c r="N115" s="126"/>
      <c r="O115" s="126"/>
      <c r="P115" s="126"/>
      <c r="Q115" s="126"/>
      <c r="R115" s="126"/>
      <c r="S115" s="126"/>
      <c r="T115" s="126"/>
      <c r="U115" s="126"/>
      <c r="Y115" s="287"/>
      <c r="AS115" s="48"/>
    </row>
    <row r="116" spans="1:45" ht="47.1" customHeight="1">
      <c r="A116" s="327">
        <v>14</v>
      </c>
      <c r="B116" s="340" t="str" cm="1">
        <f t="array" ref="B116">IFERROR(INDEX($E$102:$E$118, MATCH(0, COUNTIF($B$101:B115, $E$102:$E$118&amp;"") + IF($E$102:$E$118="",1,0),0)),"")</f>
        <v>RSSH: Health products management systems</v>
      </c>
      <c r="C116" s="341" t="str">
        <f t="shared" si="13"/>
        <v>RSSH: Health products management systems</v>
      </c>
      <c r="D116" s="342" t="s">
        <v>463</v>
      </c>
      <c r="E116" s="343" t="str">
        <f>IFERROR(IF(F116="[Module Reference (Name)]","--Select--",VLOOKUP(F116,'Reference records(soft deleted)'!$B$87:$D$138,3,FALSE)),"")</f>
        <v>RSSH: Health products management systems</v>
      </c>
      <c r="F116" s="344" t="s">
        <v>464</v>
      </c>
      <c r="G116" s="344" t="b">
        <f t="shared" si="14"/>
        <v>1</v>
      </c>
      <c r="H116" s="345" t="s">
        <v>465</v>
      </c>
      <c r="I116" s="345" t="str">
        <f>IFERROR(VLOOKUP(E116,'Reference records(soft deleted)'!D$87:F$138,3,FALSE),"")</f>
        <v>a1ODm000000GnukMAC</v>
      </c>
      <c r="J116" s="344" t="s">
        <v>300</v>
      </c>
      <c r="L116" s="126"/>
      <c r="M116" s="126"/>
      <c r="N116" s="126"/>
      <c r="O116" s="126"/>
      <c r="P116" s="126"/>
      <c r="Q116" s="126"/>
      <c r="R116" s="126"/>
      <c r="S116" s="126"/>
      <c r="T116" s="126"/>
      <c r="U116" s="126"/>
      <c r="Y116" s="287"/>
      <c r="AS116" s="48"/>
    </row>
    <row r="117" spans="1:45" ht="47.1" customHeight="1">
      <c r="A117" s="327">
        <v>15</v>
      </c>
      <c r="B117" s="340" t="str" cm="1">
        <f t="array" ref="B117">IFERROR(INDEX($E$102:$E$118, MATCH(0, COUNTIF($B$101:B116, $E$102:$E$118&amp;"") + IF($E$102:$E$118="",1,0),0)),"")</f>
        <v>RSSH: Monitoring and evaluation systems</v>
      </c>
      <c r="C117" s="341" t="str">
        <f t="shared" si="13"/>
        <v>RSSH: Monitoring and evaluation systems</v>
      </c>
      <c r="D117" s="342" t="s">
        <v>466</v>
      </c>
      <c r="E117" s="343" t="str">
        <f>IFERROR(IF(F117="[Module Reference (Name)]","--Select--",VLOOKUP(F117,'Reference records(soft deleted)'!$B$87:$D$138,3,FALSE)),"")</f>
        <v>RSSH: Monitoring and evaluation systems</v>
      </c>
      <c r="F117" s="344" t="s">
        <v>467</v>
      </c>
      <c r="G117" s="344" t="b">
        <f t="shared" si="14"/>
        <v>1</v>
      </c>
      <c r="H117" s="345" t="s">
        <v>468</v>
      </c>
      <c r="I117" s="345" t="str">
        <f>IFERROR(VLOOKUP(E117,'Reference records(soft deleted)'!D$87:F$138,3,FALSE),"")</f>
        <v>a1ODm000000GnuoMAC</v>
      </c>
      <c r="J117" s="344" t="s">
        <v>300</v>
      </c>
      <c r="L117" s="126"/>
      <c r="M117" s="126"/>
      <c r="N117" s="126"/>
      <c r="O117" s="126"/>
      <c r="P117" s="126"/>
      <c r="Q117" s="126"/>
      <c r="R117" s="126"/>
      <c r="S117" s="126"/>
      <c r="T117" s="126"/>
      <c r="U117" s="126"/>
      <c r="Y117" s="287"/>
      <c r="AS117" s="48"/>
    </row>
    <row r="118" spans="1:45" ht="21" hidden="1" customHeight="1" thickBot="1">
      <c r="A118" s="272"/>
      <c r="B118" s="253"/>
      <c r="C118" s="253"/>
      <c r="D118" s="253"/>
      <c r="E118" s="253"/>
      <c r="F118" s="253"/>
      <c r="G118" s="253"/>
      <c r="H118" s="253"/>
      <c r="I118" s="253"/>
      <c r="J118" s="256"/>
      <c r="L118" s="126"/>
      <c r="M118" s="126"/>
      <c r="N118" s="126"/>
      <c r="O118" s="126"/>
      <c r="P118" s="126"/>
      <c r="Q118" s="126"/>
      <c r="R118" s="126"/>
      <c r="S118" s="126"/>
      <c r="T118" s="126"/>
      <c r="U118" s="126"/>
    </row>
    <row r="119" spans="1:45" ht="35.25" customHeight="1">
      <c r="L119" s="126"/>
      <c r="M119" s="126"/>
      <c r="N119" s="126"/>
      <c r="O119" s="126"/>
      <c r="P119" s="126"/>
      <c r="Q119" s="126"/>
      <c r="R119" s="126"/>
      <c r="S119" s="126"/>
      <c r="T119" s="126"/>
      <c r="U119" s="126"/>
    </row>
    <row r="120" spans="1:45" ht="27.75" customHeight="1" thickBot="1">
      <c r="A120" s="291"/>
      <c r="B120" s="218"/>
      <c r="C120" s="218"/>
      <c r="D120" s="218"/>
      <c r="E120" s="126"/>
      <c r="F120" s="126"/>
      <c r="G120" s="126"/>
      <c r="H120" s="126"/>
      <c r="I120" s="126"/>
      <c r="J120" s="126"/>
      <c r="K120" s="126"/>
      <c r="L120" s="126"/>
      <c r="M120" s="126"/>
      <c r="N120" s="126"/>
      <c r="O120" s="126"/>
      <c r="P120" s="126"/>
      <c r="Q120" s="126"/>
      <c r="R120" s="126"/>
      <c r="S120" s="126"/>
      <c r="T120" s="126"/>
      <c r="U120" s="126"/>
    </row>
    <row r="121" spans="1:45" ht="16.5" customHeight="1" thickBot="1">
      <c r="A121" s="449" t="s">
        <v>469</v>
      </c>
      <c r="B121" s="450"/>
      <c r="C121" s="450"/>
      <c r="D121" s="450"/>
      <c r="E121" s="450"/>
      <c r="F121" s="450"/>
      <c r="G121" s="450"/>
      <c r="H121" s="450"/>
      <c r="I121" s="450"/>
      <c r="J121" s="450"/>
      <c r="K121" s="450"/>
      <c r="L121" s="292"/>
      <c r="M121" s="292"/>
      <c r="N121" s="292"/>
      <c r="O121" s="292"/>
      <c r="P121" s="292"/>
      <c r="Q121" s="292"/>
      <c r="R121" s="292"/>
      <c r="S121" s="292"/>
      <c r="T121" s="307"/>
      <c r="U121" s="292"/>
      <c r="V121" s="133"/>
      <c r="W121" s="293"/>
      <c r="X121" s="293"/>
      <c r="Y121" s="293"/>
      <c r="Z121" s="293"/>
      <c r="AA121" s="293"/>
      <c r="AB121" s="293"/>
      <c r="AC121" s="294"/>
    </row>
    <row r="122" spans="1:45" ht="30" customHeight="1" thickBot="1">
      <c r="A122" s="451" t="s">
        <v>309</v>
      </c>
      <c r="B122" s="452"/>
      <c r="C122" s="452"/>
      <c r="D122" s="452"/>
      <c r="E122" s="452"/>
      <c r="F122" s="452"/>
      <c r="G122" s="452"/>
      <c r="H122" s="452"/>
      <c r="I122" s="452"/>
      <c r="J122" s="452"/>
      <c r="K122" s="452"/>
      <c r="L122" s="295"/>
      <c r="M122" s="295"/>
      <c r="N122" s="295"/>
      <c r="O122" s="295"/>
      <c r="P122" s="295"/>
      <c r="Q122" s="295"/>
      <c r="R122" s="295"/>
      <c r="S122" s="295"/>
      <c r="T122" s="307"/>
      <c r="U122" s="296"/>
      <c r="V122" s="133"/>
      <c r="W122" s="297"/>
      <c r="X122" s="297"/>
      <c r="Y122" s="297"/>
      <c r="Z122" s="298"/>
      <c r="AA122" s="298"/>
      <c r="AB122" s="298"/>
      <c r="AC122" s="299"/>
    </row>
    <row r="123" spans="1:45" ht="46.5" customHeight="1">
      <c r="A123" s="332" t="s">
        <v>470</v>
      </c>
      <c r="B123" s="332"/>
      <c r="C123" s="332"/>
      <c r="D123" s="332"/>
      <c r="E123" s="332" t="s">
        <v>308</v>
      </c>
      <c r="F123" s="332"/>
      <c r="G123" s="332" t="s">
        <v>471</v>
      </c>
      <c r="H123" s="332" t="s">
        <v>472</v>
      </c>
      <c r="I123" s="332" t="s">
        <v>473</v>
      </c>
      <c r="J123" s="332" t="s">
        <v>474</v>
      </c>
      <c r="K123" s="332" t="s">
        <v>475</v>
      </c>
      <c r="L123" s="346" t="s">
        <v>476</v>
      </c>
      <c r="M123" s="347" t="s">
        <v>477</v>
      </c>
      <c r="N123" s="347" t="s">
        <v>478</v>
      </c>
      <c r="O123" s="347" t="s">
        <v>479</v>
      </c>
      <c r="P123" s="347" t="s">
        <v>480</v>
      </c>
      <c r="Q123" s="347" t="s">
        <v>419</v>
      </c>
      <c r="R123" s="347" t="s">
        <v>481</v>
      </c>
      <c r="S123" s="346" t="s">
        <v>482</v>
      </c>
      <c r="T123" s="348"/>
      <c r="U123" s="349" t="s">
        <v>256</v>
      </c>
      <c r="V123" s="350"/>
      <c r="W123" s="351" t="s">
        <v>329</v>
      </c>
      <c r="X123" s="352" t="s">
        <v>418</v>
      </c>
      <c r="Y123" s="352" t="s">
        <v>328</v>
      </c>
      <c r="Z123" s="352" t="s">
        <v>483</v>
      </c>
      <c r="AA123" s="352" t="s">
        <v>484</v>
      </c>
      <c r="AB123" s="352" t="s">
        <v>318</v>
      </c>
      <c r="AC123" s="353"/>
      <c r="AD123" s="353" t="s">
        <v>485</v>
      </c>
      <c r="AE123" s="352" t="s">
        <v>486</v>
      </c>
      <c r="AF123" s="353" t="s">
        <v>487</v>
      </c>
      <c r="AG123" s="353" t="s">
        <v>484</v>
      </c>
      <c r="AH123" s="354" t="s">
        <v>488</v>
      </c>
      <c r="AI123" s="353" t="s">
        <v>489</v>
      </c>
      <c r="AJ123" s="353" t="s">
        <v>490</v>
      </c>
      <c r="AK123" s="353" t="s">
        <v>491</v>
      </c>
      <c r="AL123" s="353" t="s">
        <v>492</v>
      </c>
      <c r="AM123" s="353" t="s">
        <v>493</v>
      </c>
      <c r="AN123" s="353" t="s">
        <v>494</v>
      </c>
      <c r="AO123" s="353"/>
      <c r="AP123" s="353" t="s">
        <v>495</v>
      </c>
      <c r="AQ123" s="353" t="s">
        <v>496</v>
      </c>
      <c r="AR123" s="301"/>
      <c r="AS123" s="300"/>
    </row>
    <row r="124" spans="1:45" ht="47.1" hidden="1" customHeight="1">
      <c r="A124" s="327"/>
      <c r="B124" s="355" t="str" cm="1">
        <f t="array" ref="B124">IFERROR(INDEX($E$123:$E$175, MATCH(0, COUNTIF($B$123:B123, $E$123:$E$175&amp;"") + IF($E$123:$E$175="",1,0),0)),"")</f>
        <v>Modules</v>
      </c>
      <c r="C124" s="356"/>
      <c r="D124" s="357"/>
      <c r="E124" s="358" t="str">
        <f>IFERROR(IF(AND(K124="",T124=""),"",(VLOOKUP(Q124,'Reference records(soft deleted)'!$B$87:$D$138,3,FALSE))),"")</f>
        <v/>
      </c>
      <c r="F124" s="359">
        <f>AQ124</f>
        <v>0</v>
      </c>
      <c r="G124" s="360"/>
      <c r="H124" s="360"/>
      <c r="I124" s="360"/>
      <c r="J124" s="360"/>
      <c r="K124" s="358" t="str">
        <f>IFERROR(VLOOKUP(R124,'Reference Records'!B$252:C419,2,0),"")</f>
        <v/>
      </c>
      <c r="L124" s="360" t="e">
        <f>VLOOKUP(U124&amp;K124,'Reference Records'!H$252:I419,2,0)</f>
        <v>#N/A</v>
      </c>
      <c r="M124" s="360" t="e">
        <f>MATCH($L124,'Reference Records'!$E$507:$E$509,0)+ROW(Population_by_intervention) -1</f>
        <v>#N/A</v>
      </c>
      <c r="N124" s="360" t="e">
        <f>MATCH($L124,'Reference Records'!$E$507:$E$509,1)+ROW(Population_by_intervention) -1</f>
        <v>#N/A</v>
      </c>
      <c r="O124" s="360" t="str">
        <f>IFERROR(VLOOKUP(AA124,'Reference Records'!B507:C509,2,0),"")</f>
        <v/>
      </c>
      <c r="P124" s="360"/>
      <c r="Q124" s="361" t="s">
        <v>423</v>
      </c>
      <c r="R124" s="362" t="s">
        <v>497</v>
      </c>
      <c r="S124" s="360"/>
      <c r="T124" s="363"/>
      <c r="U124" s="364" t="str">
        <f>IFERROR(IF(VLOOKUP(E124,'Reference Records'!$C$192:$D$250,2,FALSE)=0,"",VLOOKUP(E124,'Reference Records'!$C$192:$D$250,2,FALSE)),"")</f>
        <v/>
      </c>
      <c r="V124" s="350"/>
      <c r="W124" s="365" t="str">
        <f>K124&amp;T124</f>
        <v/>
      </c>
      <c r="X124" s="365" t="str">
        <f>IFERROR(VLOOKUP(E124,$E$102:$H$119,4,FALSE),"")</f>
        <v/>
      </c>
      <c r="Y124" s="365" t="b">
        <f>IFERROR(IF(OR(K124&lt;&gt;"",T124&lt;&gt;""),TRUE,FALSE),FALSE)</f>
        <v>0</v>
      </c>
      <c r="Z124" s="365" t="b">
        <f>IFERROR(TRUE,FALSE)</f>
        <v>1</v>
      </c>
      <c r="AA124" s="365" t="str">
        <f>IFERROR(VLOOKUP(L124,'Reference Records'!B$252:E419,4,0),"")</f>
        <v/>
      </c>
      <c r="AB124" s="365" t="s">
        <v>321</v>
      </c>
      <c r="AC124" s="353" t="e">
        <f>IF(R124="",L124,L124&amp;"|"&amp;R124)</f>
        <v>#N/A</v>
      </c>
      <c r="AD124" s="353" t="str">
        <f>E124</f>
        <v/>
      </c>
      <c r="AE124" s="353" t="str">
        <f t="array" ref="AE124">IFERROR(IF(INDEX($W$124:$W$175, MATCH(0, IF(AD124=$E$124:$E$175, COUNTIF($AE$123:$AE123, $W$124:$W$175), ""), 0))=0,"",INDEX($W$124:$W$175, MATCH(0, IF(AD124=$E$124:$E$175, COUNTIF($AE$123:$AE123, $W$124:$W$175), ""), 0))),"")</f>
        <v/>
      </c>
      <c r="AF124" s="353" t="str">
        <f>IF(AND(E124="",AQ124&lt;&gt;""),"|empty|",E124&amp;K124&amp;T124)</f>
        <v/>
      </c>
      <c r="AG124" s="353">
        <f>AQ124</f>
        <v>0</v>
      </c>
      <c r="AH124" s="353" t="str">
        <f>X124&amp;AP124</f>
        <v>Sort Order for Intervention</v>
      </c>
      <c r="AI124" s="353">
        <f>IF(COUNTIF($AH$124:AH175,"&lt;="&amp;AH124)=0,"",COUNTIF($AH$124:AH175,"&lt;="&amp;AH124))</f>
        <v>51</v>
      </c>
      <c r="AJ124" s="353">
        <f>RANK(AI124,AI$124:AI175,1)</f>
        <v>51</v>
      </c>
      <c r="AK124" s="353" t="str">
        <f>INDEX(E$124:E175,MATCH(ROWS(AJ$124:AJ124),AJ$124:AJ175,0))</f>
        <v/>
      </c>
      <c r="AL124" s="353" t="str">
        <f>INDEX(K$124:K175,MATCH(ROWS(AJ$124:AJ124),AJ$124:AJ175,0))</f>
        <v/>
      </c>
      <c r="AM124" s="353">
        <f>INDEX(V$124:V175,MATCH(ROWS(AJ$124:AJ124),AJ$124:AJ175,0))</f>
        <v>0</v>
      </c>
      <c r="AN124" s="353" t="str">
        <f>AK124&amp;AL124</f>
        <v/>
      </c>
      <c r="AO124" s="353" t="e">
        <f>L124</f>
        <v>#N/A</v>
      </c>
      <c r="AP124" s="353" t="str">
        <f>Setup!A85</f>
        <v>Sort Order for Intervention</v>
      </c>
      <c r="AQ124" s="366"/>
      <c r="AR124" s="301"/>
      <c r="AS124" s="300"/>
    </row>
    <row r="125" spans="1:45" ht="47.1" customHeight="1">
      <c r="A125" s="327">
        <v>1</v>
      </c>
      <c r="B125" s="355" t="str" cm="1">
        <f t="array" ref="B125">IFERROR(INDEX($E$123:$E$175, MATCH(0, COUNTIF($B$123:B124, $E$123:$E$175&amp;"") + IF($E$123:$E$175="",1,0),0)),"")</f>
        <v/>
      </c>
      <c r="C125" s="356"/>
      <c r="D125" s="357"/>
      <c r="E125" s="358" t="str">
        <f>IFERROR(IF(AND(K125="",T125=""),"",(VLOOKUP(Q125,'Reference records(soft deleted)'!$B$87:$D$138,3,FALSE))),"")</f>
        <v/>
      </c>
      <c r="F125" s="359" t="str">
        <f t="shared" ref="F125:F174" si="15">AQ125</f>
        <v>INT-350981</v>
      </c>
      <c r="G125" s="360"/>
      <c r="H125" s="360"/>
      <c r="I125" s="360"/>
      <c r="J125" s="360"/>
      <c r="K125" s="358" t="str">
        <f>IFERROR(VLOOKUP(R125,'Reference Records'!B$252:C420,2,0),"")</f>
        <v/>
      </c>
      <c r="L125" s="360" t="e">
        <f>VLOOKUP(U125&amp;K125,'Reference Records'!H$252:I420,2,0)</f>
        <v>#N/A</v>
      </c>
      <c r="M125" s="360" t="e">
        <f>MATCH($L125,'Reference Records'!$E$507:$E$509,0)+ROW(Population_by_intervention) -1</f>
        <v>#N/A</v>
      </c>
      <c r="N125" s="360" t="e">
        <f>MATCH($L125,'Reference Records'!$E$507:$E$509,1)+ROW(Population_by_intervention) -1</f>
        <v>#N/A</v>
      </c>
      <c r="O125" s="360" t="str">
        <f>IFERROR(VLOOKUP(AA125,'Reference Records'!B508:C510,2,0),"")</f>
        <v/>
      </c>
      <c r="P125" s="360"/>
      <c r="Q125" s="361" t="s">
        <v>425</v>
      </c>
      <c r="R125" s="362"/>
      <c r="S125" s="360"/>
      <c r="T125" s="363"/>
      <c r="U125" s="364" t="str">
        <f>IFERROR(IF(VLOOKUP(E125,'Reference Records'!$C$192:$D$250,2,FALSE)=0,"",VLOOKUP(E125,'Reference Records'!$C$192:$D$250,2,FALSE)),"")</f>
        <v/>
      </c>
      <c r="V125" s="350"/>
      <c r="W125" s="365" t="str">
        <f t="shared" ref="W125:W174" si="16">K125&amp;T125</f>
        <v/>
      </c>
      <c r="X125" s="365" t="str">
        <f t="shared" ref="X125:X174" si="17">IFERROR(VLOOKUP(E125,$E$102:$H$119,4,FALSE),"")</f>
        <v/>
      </c>
      <c r="Y125" s="365" t="b">
        <f t="shared" ref="Y125:Y174" si="18">IFERROR(IF(OR(K125&lt;&gt;"",T125&lt;&gt;""),TRUE,FALSE),FALSE)</f>
        <v>0</v>
      </c>
      <c r="Z125" s="365" t="b">
        <f t="shared" ref="Z125:Z174" si="19">IFERROR(TRUE,FALSE)</f>
        <v>1</v>
      </c>
      <c r="AA125" s="365" t="str">
        <f>IFERROR(VLOOKUP(L125,'Reference Records'!B$252:E420,4,0),"")</f>
        <v/>
      </c>
      <c r="AB125" s="365" t="s">
        <v>498</v>
      </c>
      <c r="AC125" s="353" t="e">
        <f t="shared" ref="AC125:AC174" si="20">IF(R125="",L125,L125&amp;"|"&amp;R125)</f>
        <v>#N/A</v>
      </c>
      <c r="AD125" s="353" t="str">
        <f t="shared" ref="AD125:AD174" si="21">E125</f>
        <v/>
      </c>
      <c r="AE125" s="353" t="str">
        <f t="array" ref="AE125">IFERROR(IF(INDEX($W$124:$W$175, MATCH(0, IF(AD125=$E$124:$E$175, COUNTIF($AE$123:$AE124, $W$124:$W$175), ""), 0))=0,"",INDEX($W$124:$W$175, MATCH(0, IF(AD125=$E$124:$E$175, COUNTIF($AE$123:$AE124, $W$124:$W$175), ""), 0))),"")</f>
        <v/>
      </c>
      <c r="AF125" s="353" t="str">
        <f t="shared" ref="AF125:AF174" si="22">IF(AND(E125="",AQ125&lt;&gt;""),"|empty|",E125&amp;K125&amp;T125)</f>
        <v>|empty|</v>
      </c>
      <c r="AG125" s="353" t="str">
        <f t="shared" ref="AG125:AG174" si="23">AQ125</f>
        <v>INT-350981</v>
      </c>
      <c r="AH125" s="353" t="str">
        <f t="shared" ref="AH125:AH174" si="24">X125&amp;AP125</f>
        <v>a11</v>
      </c>
      <c r="AI125" s="353">
        <f>IF(COUNTIF($AH$124:AH176,"&lt;="&amp;AH125)=0,"",COUNTIF($AH$124:AH176,"&lt;="&amp;AH125))</f>
        <v>1</v>
      </c>
      <c r="AJ125" s="353">
        <f>RANK(AI125,AI$124:AI176,1)</f>
        <v>1</v>
      </c>
      <c r="AK125" s="353" t="str">
        <f>INDEX(E$124:E176,MATCH(ROWS(AJ$124:AJ125),AJ$124:AJ176,0))</f>
        <v/>
      </c>
      <c r="AL125" s="353" t="str">
        <f>INDEX(K$124:K176,MATCH(ROWS(AJ$124:AJ125),AJ$124:AJ176,0))</f>
        <v/>
      </c>
      <c r="AM125" s="353">
        <f>INDEX(V$124:V176,MATCH(ROWS(AJ$124:AJ125),AJ$124:AJ176,0))</f>
        <v>0</v>
      </c>
      <c r="AN125" s="353" t="str">
        <f t="shared" ref="AN125:AN174" si="25">AK125&amp;AL125</f>
        <v/>
      </c>
      <c r="AO125" s="353" t="e">
        <f t="shared" ref="AO125:AO174" si="26">L125</f>
        <v>#N/A</v>
      </c>
      <c r="AP125" s="353" t="str">
        <f>Setup!A86</f>
        <v>a11</v>
      </c>
      <c r="AQ125" s="366" t="s">
        <v>499</v>
      </c>
      <c r="AR125" s="301"/>
      <c r="AS125" s="300"/>
    </row>
    <row r="126" spans="1:45" ht="47.1" customHeight="1">
      <c r="A126" s="327">
        <v>2</v>
      </c>
      <c r="B126" s="355" t="str" cm="1">
        <f t="array" ref="B126">IFERROR(INDEX($E$123:$E$175, MATCH(0, COUNTIF($B$123:B125, $E$123:$E$175&amp;"") + IF($E$123:$E$175="",1,0),0)),"")</f>
        <v/>
      </c>
      <c r="C126" s="356"/>
      <c r="D126" s="357"/>
      <c r="E126" s="358" t="str">
        <f>IFERROR(IF(AND(K126="",T126=""),"",(VLOOKUP(Q126,'Reference records(soft deleted)'!$B$87:$D$138,3,FALSE))),"")</f>
        <v/>
      </c>
      <c r="F126" s="359" t="str">
        <f t="shared" si="15"/>
        <v>INT-350982</v>
      </c>
      <c r="G126" s="360"/>
      <c r="H126" s="360"/>
      <c r="I126" s="360"/>
      <c r="J126" s="360"/>
      <c r="K126" s="358" t="str">
        <f>IFERROR(VLOOKUP(R126,'Reference Records'!B$252:C421,2,0),"")</f>
        <v/>
      </c>
      <c r="L126" s="360" t="e">
        <f>VLOOKUP(U126&amp;K126,'Reference Records'!H$252:I421,2,0)</f>
        <v>#N/A</v>
      </c>
      <c r="M126" s="360" t="e">
        <f>MATCH($L126,'Reference Records'!$E$507:$E$509,0)+ROW(Population_by_intervention) -1</f>
        <v>#N/A</v>
      </c>
      <c r="N126" s="360" t="e">
        <f>MATCH($L126,'Reference Records'!$E$507:$E$509,1)+ROW(Population_by_intervention) -1</f>
        <v>#N/A</v>
      </c>
      <c r="O126" s="360" t="str">
        <f>IFERROR(VLOOKUP(AA126,'Reference Records'!B509:C511,2,0),"")</f>
        <v/>
      </c>
      <c r="P126" s="360"/>
      <c r="Q126" s="361" t="s">
        <v>425</v>
      </c>
      <c r="R126" s="362"/>
      <c r="S126" s="360"/>
      <c r="T126" s="363"/>
      <c r="U126" s="364" t="str">
        <f>IFERROR(IF(VLOOKUP(E126,'Reference Records'!$C$192:$D$250,2,FALSE)=0,"",VLOOKUP(E126,'Reference Records'!$C$192:$D$250,2,FALSE)),"")</f>
        <v/>
      </c>
      <c r="V126" s="350"/>
      <c r="W126" s="365" t="str">
        <f t="shared" si="16"/>
        <v/>
      </c>
      <c r="X126" s="365" t="str">
        <f t="shared" si="17"/>
        <v/>
      </c>
      <c r="Y126" s="365" t="b">
        <f t="shared" si="18"/>
        <v>0</v>
      </c>
      <c r="Z126" s="365" t="b">
        <f t="shared" si="19"/>
        <v>1</v>
      </c>
      <c r="AA126" s="365" t="str">
        <f>IFERROR(VLOOKUP(L126,'Reference Records'!B$252:E421,4,0),"")</f>
        <v/>
      </c>
      <c r="AB126" s="365" t="s">
        <v>500</v>
      </c>
      <c r="AC126" s="353" t="e">
        <f t="shared" si="20"/>
        <v>#N/A</v>
      </c>
      <c r="AD126" s="353" t="str">
        <f t="shared" si="21"/>
        <v/>
      </c>
      <c r="AE126" s="353" t="str">
        <f t="array" ref="AE126">IFERROR(IF(INDEX($W$124:$W$175, MATCH(0, IF(AD126=$E$124:$E$175, COUNTIF($AE$123:$AE125, $W$124:$W$175), ""), 0))=0,"",INDEX($W$124:$W$175, MATCH(0, IF(AD126=$E$124:$E$175, COUNTIF($AE$123:$AE125, $W$124:$W$175), ""), 0))),"")</f>
        <v/>
      </c>
      <c r="AF126" s="353" t="str">
        <f t="shared" si="22"/>
        <v>|empty|</v>
      </c>
      <c r="AG126" s="353" t="str">
        <f t="shared" si="23"/>
        <v>INT-350982</v>
      </c>
      <c r="AH126" s="353" t="str">
        <f t="shared" si="24"/>
        <v>a12</v>
      </c>
      <c r="AI126" s="353">
        <f>IF(COUNTIF($AH$124:AH177,"&lt;="&amp;AH126)=0,"",COUNTIF($AH$124:AH177,"&lt;="&amp;AH126))</f>
        <v>2</v>
      </c>
      <c r="AJ126" s="353">
        <f>RANK(AI126,AI$124:AI177,1)</f>
        <v>2</v>
      </c>
      <c r="AK126" s="353" t="str">
        <f>INDEX(E$124:E177,MATCH(ROWS(AJ$124:AJ126),AJ$124:AJ177,0))</f>
        <v/>
      </c>
      <c r="AL126" s="353" t="str">
        <f>INDEX(K$124:K177,MATCH(ROWS(AJ$124:AJ126),AJ$124:AJ177,0))</f>
        <v/>
      </c>
      <c r="AM126" s="353">
        <f>INDEX(V$124:V177,MATCH(ROWS(AJ$124:AJ126),AJ$124:AJ177,0))</f>
        <v>0</v>
      </c>
      <c r="AN126" s="353" t="str">
        <f t="shared" si="25"/>
        <v/>
      </c>
      <c r="AO126" s="353" t="e">
        <f t="shared" si="26"/>
        <v>#N/A</v>
      </c>
      <c r="AP126" s="353" t="str">
        <f>Setup!A87</f>
        <v>a12</v>
      </c>
      <c r="AQ126" s="366" t="s">
        <v>501</v>
      </c>
      <c r="AR126" s="301"/>
      <c r="AS126" s="300"/>
    </row>
    <row r="127" spans="1:45" ht="47.1" customHeight="1">
      <c r="A127" s="327">
        <v>3</v>
      </c>
      <c r="B127" s="355" t="str" cm="1">
        <f t="array" ref="B127">IFERROR(INDEX($E$123:$E$175, MATCH(0, COUNTIF($B$123:B126, $E$123:$E$175&amp;"") + IF($E$123:$E$175="",1,0),0)),"")</f>
        <v/>
      </c>
      <c r="C127" s="356"/>
      <c r="D127" s="357"/>
      <c r="E127" s="358" t="str">
        <f>IFERROR(IF(AND(K127="",T127=""),"",(VLOOKUP(Q127,'Reference records(soft deleted)'!$B$87:$D$138,3,FALSE))),"")</f>
        <v/>
      </c>
      <c r="F127" s="359" t="str">
        <f t="shared" si="15"/>
        <v>INT-350983</v>
      </c>
      <c r="G127" s="360"/>
      <c r="H127" s="360"/>
      <c r="I127" s="360"/>
      <c r="J127" s="360"/>
      <c r="K127" s="358" t="str">
        <f>IFERROR(VLOOKUP(R127,'Reference Records'!B$252:C422,2,0),"")</f>
        <v/>
      </c>
      <c r="L127" s="360" t="e">
        <f>VLOOKUP(U127&amp;K127,'Reference Records'!H$252:I422,2,0)</f>
        <v>#N/A</v>
      </c>
      <c r="M127" s="360" t="e">
        <f>MATCH($L127,'Reference Records'!$E$507:$E$509,0)+ROW(Population_by_intervention) -1</f>
        <v>#N/A</v>
      </c>
      <c r="N127" s="360" t="e">
        <f>MATCH($L127,'Reference Records'!$E$507:$E$509,1)+ROW(Population_by_intervention) -1</f>
        <v>#N/A</v>
      </c>
      <c r="O127" s="360" t="str">
        <f>IFERROR(VLOOKUP(AA127,'Reference Records'!B510:C512,2,0),"")</f>
        <v/>
      </c>
      <c r="P127" s="360"/>
      <c r="Q127" s="361" t="s">
        <v>425</v>
      </c>
      <c r="R127" s="362"/>
      <c r="S127" s="360"/>
      <c r="T127" s="363"/>
      <c r="U127" s="364" t="str">
        <f>IFERROR(IF(VLOOKUP(E127,'Reference Records'!$C$192:$D$250,2,FALSE)=0,"",VLOOKUP(E127,'Reference Records'!$C$192:$D$250,2,FALSE)),"")</f>
        <v/>
      </c>
      <c r="V127" s="350"/>
      <c r="W127" s="365" t="str">
        <f t="shared" si="16"/>
        <v/>
      </c>
      <c r="X127" s="365" t="str">
        <f t="shared" si="17"/>
        <v/>
      </c>
      <c r="Y127" s="365" t="b">
        <f t="shared" si="18"/>
        <v>0</v>
      </c>
      <c r="Z127" s="365" t="b">
        <f t="shared" si="19"/>
        <v>1</v>
      </c>
      <c r="AA127" s="365" t="str">
        <f>IFERROR(VLOOKUP(L127,'Reference Records'!B$252:E422,4,0),"")</f>
        <v/>
      </c>
      <c r="AB127" s="365" t="s">
        <v>502</v>
      </c>
      <c r="AC127" s="353" t="e">
        <f t="shared" si="20"/>
        <v>#N/A</v>
      </c>
      <c r="AD127" s="353" t="str">
        <f t="shared" si="21"/>
        <v/>
      </c>
      <c r="AE127" s="353" t="str">
        <f t="array" ref="AE127">IFERROR(IF(INDEX($W$124:$W$175, MATCH(0, IF(AD127=$E$124:$E$175, COUNTIF($AE$123:$AE126, $W$124:$W$175), ""), 0))=0,"",INDEX($W$124:$W$175, MATCH(0, IF(AD127=$E$124:$E$175, COUNTIF($AE$123:$AE126, $W$124:$W$175), ""), 0))),"")</f>
        <v/>
      </c>
      <c r="AF127" s="353" t="str">
        <f t="shared" si="22"/>
        <v>|empty|</v>
      </c>
      <c r="AG127" s="353" t="str">
        <f t="shared" si="23"/>
        <v>INT-350983</v>
      </c>
      <c r="AH127" s="353" t="str">
        <f t="shared" si="24"/>
        <v>a13</v>
      </c>
      <c r="AI127" s="353">
        <f>IF(COUNTIF($AH$124:AH178,"&lt;="&amp;AH127)=0,"",COUNTIF($AH$124:AH178,"&lt;="&amp;AH127))</f>
        <v>3</v>
      </c>
      <c r="AJ127" s="353">
        <f>RANK(AI127,AI$124:AI178,1)</f>
        <v>3</v>
      </c>
      <c r="AK127" s="353" t="str">
        <f>INDEX(E$124:E178,MATCH(ROWS(AJ$124:AJ127),AJ$124:AJ178,0))</f>
        <v/>
      </c>
      <c r="AL127" s="353" t="str">
        <f>INDEX(K$124:K178,MATCH(ROWS(AJ$124:AJ127),AJ$124:AJ178,0))</f>
        <v/>
      </c>
      <c r="AM127" s="353">
        <f>INDEX(V$124:V178,MATCH(ROWS(AJ$124:AJ127),AJ$124:AJ178,0))</f>
        <v>0</v>
      </c>
      <c r="AN127" s="353" t="str">
        <f t="shared" si="25"/>
        <v/>
      </c>
      <c r="AO127" s="353" t="e">
        <f t="shared" si="26"/>
        <v>#N/A</v>
      </c>
      <c r="AP127" s="353" t="str">
        <f>Setup!A88</f>
        <v>a13</v>
      </c>
      <c r="AQ127" s="366" t="s">
        <v>503</v>
      </c>
      <c r="AR127" s="301"/>
      <c r="AS127" s="300"/>
    </row>
    <row r="128" spans="1:45" ht="47.1" customHeight="1">
      <c r="A128" s="327">
        <v>4</v>
      </c>
      <c r="B128" s="355" t="str" cm="1">
        <f t="array" ref="B128">IFERROR(INDEX($E$123:$E$175, MATCH(0, COUNTIF($B$123:B127, $E$123:$E$175&amp;"") + IF($E$123:$E$175="",1,0),0)),"")</f>
        <v/>
      </c>
      <c r="C128" s="356"/>
      <c r="D128" s="357"/>
      <c r="E128" s="358" t="str">
        <f>IFERROR(IF(AND(K128="",T128=""),"",(VLOOKUP(Q128,'Reference records(soft deleted)'!$B$87:$D$138,3,FALSE))),"")</f>
        <v/>
      </c>
      <c r="F128" s="359" t="str">
        <f t="shared" si="15"/>
        <v>INT-350984</v>
      </c>
      <c r="G128" s="360"/>
      <c r="H128" s="360"/>
      <c r="I128" s="360"/>
      <c r="J128" s="360"/>
      <c r="K128" s="358" t="str">
        <f>IFERROR(VLOOKUP(R128,'Reference Records'!B$252:C423,2,0),"")</f>
        <v/>
      </c>
      <c r="L128" s="360" t="e">
        <f>VLOOKUP(U128&amp;K128,'Reference Records'!H$252:I423,2,0)</f>
        <v>#N/A</v>
      </c>
      <c r="M128" s="360" t="e">
        <f>MATCH($L128,'Reference Records'!$E$507:$E$509,0)+ROW(Population_by_intervention) -1</f>
        <v>#N/A</v>
      </c>
      <c r="N128" s="360" t="e">
        <f>MATCH($L128,'Reference Records'!$E$507:$E$509,1)+ROW(Population_by_intervention) -1</f>
        <v>#N/A</v>
      </c>
      <c r="O128" s="360" t="str">
        <f>IFERROR(VLOOKUP(AA128,'Reference Records'!B511:C513,2,0),"")</f>
        <v/>
      </c>
      <c r="P128" s="360"/>
      <c r="Q128" s="361" t="s">
        <v>425</v>
      </c>
      <c r="R128" s="362"/>
      <c r="S128" s="360"/>
      <c r="T128" s="363"/>
      <c r="U128" s="364" t="str">
        <f>IFERROR(IF(VLOOKUP(E128,'Reference Records'!$C$192:$D$250,2,FALSE)=0,"",VLOOKUP(E128,'Reference Records'!$C$192:$D$250,2,FALSE)),"")</f>
        <v/>
      </c>
      <c r="V128" s="350"/>
      <c r="W128" s="365" t="str">
        <f t="shared" si="16"/>
        <v/>
      </c>
      <c r="X128" s="365" t="str">
        <f t="shared" si="17"/>
        <v/>
      </c>
      <c r="Y128" s="365" t="b">
        <f t="shared" si="18"/>
        <v>0</v>
      </c>
      <c r="Z128" s="365" t="b">
        <f t="shared" si="19"/>
        <v>1</v>
      </c>
      <c r="AA128" s="365" t="str">
        <f>IFERROR(VLOOKUP(L128,'Reference Records'!B$252:E423,4,0),"")</f>
        <v/>
      </c>
      <c r="AB128" s="365" t="s">
        <v>504</v>
      </c>
      <c r="AC128" s="353" t="e">
        <f t="shared" si="20"/>
        <v>#N/A</v>
      </c>
      <c r="AD128" s="353" t="str">
        <f t="shared" si="21"/>
        <v/>
      </c>
      <c r="AE128" s="353" t="str">
        <f t="array" ref="AE128">IFERROR(IF(INDEX($W$124:$W$175, MATCH(0, IF(AD128=$E$124:$E$175, COUNTIF($AE$123:$AE127, $W$124:$W$175), ""), 0))=0,"",INDEX($W$124:$W$175, MATCH(0, IF(AD128=$E$124:$E$175, COUNTIF($AE$123:$AE127, $W$124:$W$175), ""), 0))),"")</f>
        <v/>
      </c>
      <c r="AF128" s="353" t="str">
        <f t="shared" si="22"/>
        <v>|empty|</v>
      </c>
      <c r="AG128" s="353" t="str">
        <f t="shared" si="23"/>
        <v>INT-350984</v>
      </c>
      <c r="AH128" s="353" t="str">
        <f t="shared" si="24"/>
        <v>a14</v>
      </c>
      <c r="AI128" s="353">
        <f>IF(COUNTIF($AH$124:AH179,"&lt;="&amp;AH128)=0,"",COUNTIF($AH$124:AH179,"&lt;="&amp;AH128))</f>
        <v>4</v>
      </c>
      <c r="AJ128" s="353">
        <f>RANK(AI128,AI$124:AI179,1)</f>
        <v>4</v>
      </c>
      <c r="AK128" s="353" t="str">
        <f>INDEX(E$124:E179,MATCH(ROWS(AJ$124:AJ128),AJ$124:AJ179,0))</f>
        <v/>
      </c>
      <c r="AL128" s="353" t="str">
        <f>INDEX(K$124:K179,MATCH(ROWS(AJ$124:AJ128),AJ$124:AJ179,0))</f>
        <v/>
      </c>
      <c r="AM128" s="353">
        <f>INDEX(V$124:V179,MATCH(ROWS(AJ$124:AJ128),AJ$124:AJ179,0))</f>
        <v>0</v>
      </c>
      <c r="AN128" s="353" t="str">
        <f t="shared" si="25"/>
        <v/>
      </c>
      <c r="AO128" s="353" t="e">
        <f t="shared" si="26"/>
        <v>#N/A</v>
      </c>
      <c r="AP128" s="353" t="str">
        <f>Setup!A89</f>
        <v>a14</v>
      </c>
      <c r="AQ128" s="366" t="s">
        <v>505</v>
      </c>
      <c r="AR128" s="301"/>
      <c r="AS128" s="300"/>
    </row>
    <row r="129" spans="1:45" ht="47.1" customHeight="1">
      <c r="A129" s="327">
        <v>5</v>
      </c>
      <c r="B129" s="355" t="str" cm="1">
        <f t="array" ref="B129">IFERROR(INDEX($E$123:$E$175, MATCH(0, COUNTIF($B$123:B128, $E$123:$E$175&amp;"") + IF($E$123:$E$175="",1,0),0)),"")</f>
        <v/>
      </c>
      <c r="C129" s="356"/>
      <c r="D129" s="357"/>
      <c r="E129" s="358" t="str">
        <f>IFERROR(IF(AND(K129="",T129=""),"",(VLOOKUP(Q129,'Reference records(soft deleted)'!$B$87:$D$138,3,FALSE))),"")</f>
        <v/>
      </c>
      <c r="F129" s="359" t="str">
        <f t="shared" si="15"/>
        <v>INT-350985</v>
      </c>
      <c r="G129" s="360"/>
      <c r="H129" s="360"/>
      <c r="I129" s="360"/>
      <c r="J129" s="360"/>
      <c r="K129" s="358" t="str">
        <f>IFERROR(VLOOKUP(R129,'Reference Records'!B$252:C424,2,0),"")</f>
        <v/>
      </c>
      <c r="L129" s="360" t="e">
        <f>VLOOKUP(U129&amp;K129,'Reference Records'!H$252:I424,2,0)</f>
        <v>#N/A</v>
      </c>
      <c r="M129" s="360" t="e">
        <f>MATCH($L129,'Reference Records'!$E$507:$E$509,0)+ROW(Population_by_intervention) -1</f>
        <v>#N/A</v>
      </c>
      <c r="N129" s="360" t="e">
        <f>MATCH($L129,'Reference Records'!$E$507:$E$509,1)+ROW(Population_by_intervention) -1</f>
        <v>#N/A</v>
      </c>
      <c r="O129" s="360" t="str">
        <f>IFERROR(VLOOKUP(AA129,'Reference Records'!B512:C514,2,0),"")</f>
        <v/>
      </c>
      <c r="P129" s="360"/>
      <c r="Q129" s="361" t="s">
        <v>425</v>
      </c>
      <c r="R129" s="362"/>
      <c r="S129" s="360"/>
      <c r="T129" s="363"/>
      <c r="U129" s="364" t="str">
        <f>IFERROR(IF(VLOOKUP(E129,'Reference Records'!$C$192:$D$250,2,FALSE)=0,"",VLOOKUP(E129,'Reference Records'!$C$192:$D$250,2,FALSE)),"")</f>
        <v/>
      </c>
      <c r="V129" s="350"/>
      <c r="W129" s="365" t="str">
        <f t="shared" si="16"/>
        <v/>
      </c>
      <c r="X129" s="365" t="str">
        <f t="shared" si="17"/>
        <v/>
      </c>
      <c r="Y129" s="365" t="b">
        <f t="shared" si="18"/>
        <v>0</v>
      </c>
      <c r="Z129" s="365" t="b">
        <f t="shared" si="19"/>
        <v>1</v>
      </c>
      <c r="AA129" s="365" t="str">
        <f>IFERROR(VLOOKUP(L129,'Reference Records'!B$252:E424,4,0),"")</f>
        <v/>
      </c>
      <c r="AB129" s="365" t="s">
        <v>506</v>
      </c>
      <c r="AC129" s="353" t="e">
        <f t="shared" si="20"/>
        <v>#N/A</v>
      </c>
      <c r="AD129" s="353" t="str">
        <f t="shared" si="21"/>
        <v/>
      </c>
      <c r="AE129" s="353" t="str">
        <f t="array" ref="AE129">IFERROR(IF(INDEX($W$124:$W$175, MATCH(0, IF(AD129=$E$124:$E$175, COUNTIF($AE$123:$AE128, $W$124:$W$175), ""), 0))=0,"",INDEX($W$124:$W$175, MATCH(0, IF(AD129=$E$124:$E$175, COUNTIF($AE$123:$AE128, $W$124:$W$175), ""), 0))),"")</f>
        <v/>
      </c>
      <c r="AF129" s="353" t="str">
        <f t="shared" si="22"/>
        <v>|empty|</v>
      </c>
      <c r="AG129" s="353" t="str">
        <f t="shared" si="23"/>
        <v>INT-350985</v>
      </c>
      <c r="AH129" s="353" t="str">
        <f t="shared" si="24"/>
        <v>a15</v>
      </c>
      <c r="AI129" s="353">
        <f>IF(COUNTIF($AH$124:AH180,"&lt;="&amp;AH129)=0,"",COUNTIF($AH$124:AH180,"&lt;="&amp;AH129))</f>
        <v>5</v>
      </c>
      <c r="AJ129" s="353">
        <f>RANK(AI129,AI$124:AI180,1)</f>
        <v>5</v>
      </c>
      <c r="AK129" s="353" t="str">
        <f>INDEX(E$124:E180,MATCH(ROWS(AJ$124:AJ129),AJ$124:AJ180,0))</f>
        <v/>
      </c>
      <c r="AL129" s="353" t="str">
        <f>INDEX(K$124:K180,MATCH(ROWS(AJ$124:AJ129),AJ$124:AJ180,0))</f>
        <v/>
      </c>
      <c r="AM129" s="353">
        <f>INDEX(V$124:V180,MATCH(ROWS(AJ$124:AJ129),AJ$124:AJ180,0))</f>
        <v>0</v>
      </c>
      <c r="AN129" s="353" t="str">
        <f t="shared" si="25"/>
        <v/>
      </c>
      <c r="AO129" s="353" t="e">
        <f t="shared" si="26"/>
        <v>#N/A</v>
      </c>
      <c r="AP129" s="353" t="str">
        <f>Setup!A90</f>
        <v>a15</v>
      </c>
      <c r="AQ129" s="366" t="s">
        <v>507</v>
      </c>
      <c r="AR129" s="301"/>
      <c r="AS129" s="300"/>
    </row>
    <row r="130" spans="1:45" ht="47.1" customHeight="1">
      <c r="A130" s="327">
        <v>6</v>
      </c>
      <c r="B130" s="355" t="str" cm="1">
        <f t="array" ref="B130">IFERROR(INDEX($E$123:$E$175, MATCH(0, COUNTIF($B$123:B129, $E$123:$E$175&amp;"") + IF($E$123:$E$175="",1,0),0)),"")</f>
        <v/>
      </c>
      <c r="C130" s="356"/>
      <c r="D130" s="357"/>
      <c r="E130" s="358" t="str">
        <f>IFERROR(IF(AND(K130="",T130=""),"",(VLOOKUP(Q130,'Reference records(soft deleted)'!$B$87:$D$138,3,FALSE))),"")</f>
        <v/>
      </c>
      <c r="F130" s="359" t="str">
        <f t="shared" si="15"/>
        <v>INT-350986</v>
      </c>
      <c r="G130" s="360"/>
      <c r="H130" s="360"/>
      <c r="I130" s="360"/>
      <c r="J130" s="360"/>
      <c r="K130" s="358" t="str">
        <f>IFERROR(VLOOKUP(R130,'Reference Records'!B$252:C425,2,0),"")</f>
        <v/>
      </c>
      <c r="L130" s="360" t="e">
        <f>VLOOKUP(U130&amp;K130,'Reference Records'!H$252:I425,2,0)</f>
        <v>#N/A</v>
      </c>
      <c r="M130" s="360" t="e">
        <f>MATCH($L130,'Reference Records'!$E$507:$E$509,0)+ROW(Population_by_intervention) -1</f>
        <v>#N/A</v>
      </c>
      <c r="N130" s="360" t="e">
        <f>MATCH($L130,'Reference Records'!$E$507:$E$509,1)+ROW(Population_by_intervention) -1</f>
        <v>#N/A</v>
      </c>
      <c r="O130" s="360" t="str">
        <f>IFERROR(VLOOKUP(AA130,'Reference Records'!B513:C515,2,0),"")</f>
        <v/>
      </c>
      <c r="P130" s="360"/>
      <c r="Q130" s="361" t="s">
        <v>425</v>
      </c>
      <c r="R130" s="362"/>
      <c r="S130" s="360"/>
      <c r="T130" s="363"/>
      <c r="U130" s="364" t="str">
        <f>IFERROR(IF(VLOOKUP(E130,'Reference Records'!$C$192:$D$250,2,FALSE)=0,"",VLOOKUP(E130,'Reference Records'!$C$192:$D$250,2,FALSE)),"")</f>
        <v/>
      </c>
      <c r="V130" s="350"/>
      <c r="W130" s="365" t="str">
        <f t="shared" si="16"/>
        <v/>
      </c>
      <c r="X130" s="365" t="str">
        <f t="shared" si="17"/>
        <v/>
      </c>
      <c r="Y130" s="365" t="b">
        <f t="shared" si="18"/>
        <v>0</v>
      </c>
      <c r="Z130" s="365" t="b">
        <f t="shared" si="19"/>
        <v>1</v>
      </c>
      <c r="AA130" s="365" t="str">
        <f>IFERROR(VLOOKUP(L130,'Reference Records'!B$252:E425,4,0),"")</f>
        <v/>
      </c>
      <c r="AB130" s="365" t="s">
        <v>508</v>
      </c>
      <c r="AC130" s="353" t="e">
        <f t="shared" si="20"/>
        <v>#N/A</v>
      </c>
      <c r="AD130" s="353" t="str">
        <f t="shared" si="21"/>
        <v/>
      </c>
      <c r="AE130" s="353" t="str">
        <f t="array" ref="AE130">IFERROR(IF(INDEX($W$124:$W$175, MATCH(0, IF(AD130=$E$124:$E$175, COUNTIF($AE$123:$AE129, $W$124:$W$175), ""), 0))=0,"",INDEX($W$124:$W$175, MATCH(0, IF(AD130=$E$124:$E$175, COUNTIF($AE$123:$AE129, $W$124:$W$175), ""), 0))),"")</f>
        <v/>
      </c>
      <c r="AF130" s="353" t="str">
        <f t="shared" si="22"/>
        <v>|empty|</v>
      </c>
      <c r="AG130" s="353" t="str">
        <f t="shared" si="23"/>
        <v>INT-350986</v>
      </c>
      <c r="AH130" s="353" t="str">
        <f t="shared" si="24"/>
        <v>a16</v>
      </c>
      <c r="AI130" s="353">
        <f>IF(COUNTIF($AH$124:AH181,"&lt;="&amp;AH130)=0,"",COUNTIF($AH$124:AH181,"&lt;="&amp;AH130))</f>
        <v>6</v>
      </c>
      <c r="AJ130" s="353">
        <f>RANK(AI130,AI$124:AI181,1)</f>
        <v>6</v>
      </c>
      <c r="AK130" s="353" t="str">
        <f>INDEX(E$124:E181,MATCH(ROWS(AJ$124:AJ130),AJ$124:AJ181,0))</f>
        <v/>
      </c>
      <c r="AL130" s="353" t="str">
        <f>INDEX(K$124:K181,MATCH(ROWS(AJ$124:AJ130),AJ$124:AJ181,0))</f>
        <v/>
      </c>
      <c r="AM130" s="353">
        <f>INDEX(V$124:V181,MATCH(ROWS(AJ$124:AJ130),AJ$124:AJ181,0))</f>
        <v>0</v>
      </c>
      <c r="AN130" s="353" t="str">
        <f t="shared" si="25"/>
        <v/>
      </c>
      <c r="AO130" s="353" t="e">
        <f t="shared" si="26"/>
        <v>#N/A</v>
      </c>
      <c r="AP130" s="353" t="str">
        <f>Setup!A91</f>
        <v>a16</v>
      </c>
      <c r="AQ130" s="366" t="s">
        <v>509</v>
      </c>
      <c r="AR130" s="301"/>
      <c r="AS130" s="300"/>
    </row>
    <row r="131" spans="1:45" ht="47.1" customHeight="1">
      <c r="A131" s="327">
        <v>7</v>
      </c>
      <c r="B131" s="355" t="str" cm="1">
        <f t="array" ref="B131">IFERROR(INDEX($E$123:$E$175, MATCH(0, COUNTIF($B$123:B130, $E$123:$E$175&amp;"") + IF($E$123:$E$175="",1,0),0)),"")</f>
        <v/>
      </c>
      <c r="C131" s="356"/>
      <c r="D131" s="357"/>
      <c r="E131" s="358" t="str">
        <f>IFERROR(IF(AND(K131="",T131=""),"",(VLOOKUP(Q131,'Reference records(soft deleted)'!$B$87:$D$138,3,FALSE))),"")</f>
        <v/>
      </c>
      <c r="F131" s="359" t="str">
        <f t="shared" si="15"/>
        <v>INT-350987</v>
      </c>
      <c r="G131" s="360"/>
      <c r="H131" s="360"/>
      <c r="I131" s="360"/>
      <c r="J131" s="360"/>
      <c r="K131" s="358" t="str">
        <f>IFERROR(VLOOKUP(R131,'Reference Records'!B$252:C426,2,0),"")</f>
        <v/>
      </c>
      <c r="L131" s="360" t="e">
        <f>VLOOKUP(U131&amp;K131,'Reference Records'!H$252:I426,2,0)</f>
        <v>#N/A</v>
      </c>
      <c r="M131" s="360" t="e">
        <f>MATCH($L131,'Reference Records'!$E$507:$E$509,0)+ROW(Population_by_intervention) -1</f>
        <v>#N/A</v>
      </c>
      <c r="N131" s="360" t="e">
        <f>MATCH($L131,'Reference Records'!$E$507:$E$509,1)+ROW(Population_by_intervention) -1</f>
        <v>#N/A</v>
      </c>
      <c r="O131" s="360" t="str">
        <f>IFERROR(VLOOKUP(AA131,'Reference Records'!B514:C516,2,0),"")</f>
        <v/>
      </c>
      <c r="P131" s="360"/>
      <c r="Q131" s="361" t="s">
        <v>425</v>
      </c>
      <c r="R131" s="362"/>
      <c r="S131" s="360"/>
      <c r="T131" s="363"/>
      <c r="U131" s="364" t="str">
        <f>IFERROR(IF(VLOOKUP(E131,'Reference Records'!$C$192:$D$250,2,FALSE)=0,"",VLOOKUP(E131,'Reference Records'!$C$192:$D$250,2,FALSE)),"")</f>
        <v/>
      </c>
      <c r="V131" s="350"/>
      <c r="W131" s="365" t="str">
        <f t="shared" si="16"/>
        <v/>
      </c>
      <c r="X131" s="365" t="str">
        <f t="shared" si="17"/>
        <v/>
      </c>
      <c r="Y131" s="365" t="b">
        <f t="shared" si="18"/>
        <v>0</v>
      </c>
      <c r="Z131" s="365" t="b">
        <f t="shared" si="19"/>
        <v>1</v>
      </c>
      <c r="AA131" s="365" t="str">
        <f>IFERROR(VLOOKUP(L131,'Reference Records'!B$252:E426,4,0),"")</f>
        <v/>
      </c>
      <c r="AB131" s="365" t="s">
        <v>510</v>
      </c>
      <c r="AC131" s="353" t="e">
        <f t="shared" si="20"/>
        <v>#N/A</v>
      </c>
      <c r="AD131" s="353" t="str">
        <f t="shared" si="21"/>
        <v/>
      </c>
      <c r="AE131" s="353" t="str">
        <f t="array" ref="AE131">IFERROR(IF(INDEX($W$124:$W$175, MATCH(0, IF(AD131=$E$124:$E$175, COUNTIF($AE$123:$AE130, $W$124:$W$175), ""), 0))=0,"",INDEX($W$124:$W$175, MATCH(0, IF(AD131=$E$124:$E$175, COUNTIF($AE$123:$AE130, $W$124:$W$175), ""), 0))),"")</f>
        <v/>
      </c>
      <c r="AF131" s="353" t="str">
        <f t="shared" si="22"/>
        <v>|empty|</v>
      </c>
      <c r="AG131" s="353" t="str">
        <f t="shared" si="23"/>
        <v>INT-350987</v>
      </c>
      <c r="AH131" s="353" t="str">
        <f t="shared" si="24"/>
        <v>a17</v>
      </c>
      <c r="AI131" s="353">
        <f>IF(COUNTIF($AH$124:AH182,"&lt;="&amp;AH131)=0,"",COUNTIF($AH$124:AH182,"&lt;="&amp;AH131))</f>
        <v>7</v>
      </c>
      <c r="AJ131" s="353">
        <f>RANK(AI131,AI$124:AI182,1)</f>
        <v>7</v>
      </c>
      <c r="AK131" s="353" t="str">
        <f>INDEX(E$124:E182,MATCH(ROWS(AJ$124:AJ131),AJ$124:AJ182,0))</f>
        <v/>
      </c>
      <c r="AL131" s="353" t="str">
        <f>INDEX(K$124:K182,MATCH(ROWS(AJ$124:AJ131),AJ$124:AJ182,0))</f>
        <v/>
      </c>
      <c r="AM131" s="353">
        <f>INDEX(V$124:V182,MATCH(ROWS(AJ$124:AJ131),AJ$124:AJ182,0))</f>
        <v>0</v>
      </c>
      <c r="AN131" s="353" t="str">
        <f t="shared" si="25"/>
        <v/>
      </c>
      <c r="AO131" s="353" t="e">
        <f t="shared" si="26"/>
        <v>#N/A</v>
      </c>
      <c r="AP131" s="353" t="str">
        <f>Setup!A92</f>
        <v>a17</v>
      </c>
      <c r="AQ131" s="366" t="s">
        <v>511</v>
      </c>
      <c r="AR131" s="301"/>
      <c r="AS131" s="300"/>
    </row>
    <row r="132" spans="1:45" ht="47.1" customHeight="1">
      <c r="A132" s="327">
        <v>8</v>
      </c>
      <c r="B132" s="355" t="str" cm="1">
        <f t="array" ref="B132">IFERROR(INDEX($E$123:$E$175, MATCH(0, COUNTIF($B$123:B131, $E$123:$E$175&amp;"") + IF($E$123:$E$175="",1,0),0)),"")</f>
        <v/>
      </c>
      <c r="C132" s="356"/>
      <c r="D132" s="357"/>
      <c r="E132" s="358" t="str">
        <f>IFERROR(IF(AND(K132="",T132=""),"",(VLOOKUP(Q132,'Reference records(soft deleted)'!$B$87:$D$138,3,FALSE))),"")</f>
        <v/>
      </c>
      <c r="F132" s="359" t="str">
        <f t="shared" si="15"/>
        <v>INT-350988</v>
      </c>
      <c r="G132" s="360"/>
      <c r="H132" s="360"/>
      <c r="I132" s="360"/>
      <c r="J132" s="360"/>
      <c r="K132" s="358" t="str">
        <f>IFERROR(VLOOKUP(R132,'Reference Records'!B$252:C427,2,0),"")</f>
        <v/>
      </c>
      <c r="L132" s="360" t="e">
        <f>VLOOKUP(U132&amp;K132,'Reference Records'!H$252:I427,2,0)</f>
        <v>#N/A</v>
      </c>
      <c r="M132" s="360" t="e">
        <f>MATCH($L132,'Reference Records'!$E$507:$E$509,0)+ROW(Population_by_intervention) -1</f>
        <v>#N/A</v>
      </c>
      <c r="N132" s="360" t="e">
        <f>MATCH($L132,'Reference Records'!$E$507:$E$509,1)+ROW(Population_by_intervention) -1</f>
        <v>#N/A</v>
      </c>
      <c r="O132" s="360" t="str">
        <f>IFERROR(VLOOKUP(AA132,'Reference Records'!B515:C517,2,0),"")</f>
        <v/>
      </c>
      <c r="P132" s="360"/>
      <c r="Q132" s="361" t="s">
        <v>425</v>
      </c>
      <c r="R132" s="362"/>
      <c r="S132" s="360"/>
      <c r="T132" s="363"/>
      <c r="U132" s="364" t="str">
        <f>IFERROR(IF(VLOOKUP(E132,'Reference Records'!$C$192:$D$250,2,FALSE)=0,"",VLOOKUP(E132,'Reference Records'!$C$192:$D$250,2,FALSE)),"")</f>
        <v/>
      </c>
      <c r="V132" s="350"/>
      <c r="W132" s="365" t="str">
        <f t="shared" si="16"/>
        <v/>
      </c>
      <c r="X132" s="365" t="str">
        <f t="shared" si="17"/>
        <v/>
      </c>
      <c r="Y132" s="365" t="b">
        <f t="shared" si="18"/>
        <v>0</v>
      </c>
      <c r="Z132" s="365" t="b">
        <f t="shared" si="19"/>
        <v>1</v>
      </c>
      <c r="AA132" s="365" t="str">
        <f>IFERROR(VLOOKUP(L132,'Reference Records'!B$252:E427,4,0),"")</f>
        <v/>
      </c>
      <c r="AB132" s="365" t="s">
        <v>512</v>
      </c>
      <c r="AC132" s="353" t="e">
        <f t="shared" si="20"/>
        <v>#N/A</v>
      </c>
      <c r="AD132" s="353" t="str">
        <f t="shared" si="21"/>
        <v/>
      </c>
      <c r="AE132" s="353" t="str">
        <f t="array" ref="AE132">IFERROR(IF(INDEX($W$124:$W$175, MATCH(0, IF(AD132=$E$124:$E$175, COUNTIF($AE$123:$AE131, $W$124:$W$175), ""), 0))=0,"",INDEX($W$124:$W$175, MATCH(0, IF(AD132=$E$124:$E$175, COUNTIF($AE$123:$AE131, $W$124:$W$175), ""), 0))),"")</f>
        <v/>
      </c>
      <c r="AF132" s="353" t="str">
        <f t="shared" si="22"/>
        <v>|empty|</v>
      </c>
      <c r="AG132" s="353" t="str">
        <f t="shared" si="23"/>
        <v>INT-350988</v>
      </c>
      <c r="AH132" s="353" t="str">
        <f t="shared" si="24"/>
        <v>a18</v>
      </c>
      <c r="AI132" s="353">
        <f>IF(COUNTIF($AH$124:AH183,"&lt;="&amp;AH132)=0,"",COUNTIF($AH$124:AH183,"&lt;="&amp;AH132))</f>
        <v>8</v>
      </c>
      <c r="AJ132" s="353">
        <f>RANK(AI132,AI$124:AI183,1)</f>
        <v>8</v>
      </c>
      <c r="AK132" s="353" t="str">
        <f>INDEX(E$124:E183,MATCH(ROWS(AJ$124:AJ132),AJ$124:AJ183,0))</f>
        <v/>
      </c>
      <c r="AL132" s="353" t="str">
        <f>INDEX(K$124:K183,MATCH(ROWS(AJ$124:AJ132),AJ$124:AJ183,0))</f>
        <v/>
      </c>
      <c r="AM132" s="353">
        <f>INDEX(V$124:V183,MATCH(ROWS(AJ$124:AJ132),AJ$124:AJ183,0))</f>
        <v>0</v>
      </c>
      <c r="AN132" s="353" t="str">
        <f t="shared" si="25"/>
        <v/>
      </c>
      <c r="AO132" s="353" t="e">
        <f t="shared" si="26"/>
        <v>#N/A</v>
      </c>
      <c r="AP132" s="353" t="str">
        <f>Setup!A93</f>
        <v>a18</v>
      </c>
      <c r="AQ132" s="366" t="s">
        <v>513</v>
      </c>
      <c r="AR132" s="301"/>
      <c r="AS132" s="300"/>
    </row>
    <row r="133" spans="1:45" ht="47.1" customHeight="1">
      <c r="A133" s="327">
        <v>9</v>
      </c>
      <c r="B133" s="355" t="str" cm="1">
        <f t="array" ref="B133">IFERROR(INDEX($E$123:$E$175, MATCH(0, COUNTIF($B$123:B132, $E$123:$E$175&amp;"") + IF($E$123:$E$175="",1,0),0)),"")</f>
        <v/>
      </c>
      <c r="C133" s="356"/>
      <c r="D133" s="357"/>
      <c r="E133" s="358" t="str">
        <f>IFERROR(IF(AND(K133="",T133=""),"",(VLOOKUP(Q133,'Reference records(soft deleted)'!$B$87:$D$138,3,FALSE))),"")</f>
        <v/>
      </c>
      <c r="F133" s="359" t="str">
        <f t="shared" si="15"/>
        <v>INT-350989</v>
      </c>
      <c r="G133" s="360"/>
      <c r="H133" s="360"/>
      <c r="I133" s="360"/>
      <c r="J133" s="360"/>
      <c r="K133" s="358" t="str">
        <f>IFERROR(VLOOKUP(R133,'Reference Records'!B$252:C428,2,0),"")</f>
        <v/>
      </c>
      <c r="L133" s="360" t="e">
        <f>VLOOKUP(U133&amp;K133,'Reference Records'!H$252:I428,2,0)</f>
        <v>#N/A</v>
      </c>
      <c r="M133" s="360" t="e">
        <f>MATCH($L133,'Reference Records'!$E$507:$E$509,0)+ROW(Population_by_intervention) -1</f>
        <v>#N/A</v>
      </c>
      <c r="N133" s="360" t="e">
        <f>MATCH($L133,'Reference Records'!$E$507:$E$509,1)+ROW(Population_by_intervention) -1</f>
        <v>#N/A</v>
      </c>
      <c r="O133" s="360" t="str">
        <f>IFERROR(VLOOKUP(AA133,'Reference Records'!B516:C518,2,0),"")</f>
        <v/>
      </c>
      <c r="P133" s="360"/>
      <c r="Q133" s="361" t="s">
        <v>425</v>
      </c>
      <c r="R133" s="362"/>
      <c r="S133" s="360"/>
      <c r="T133" s="363"/>
      <c r="U133" s="364" t="str">
        <f>IFERROR(IF(VLOOKUP(E133,'Reference Records'!$C$192:$D$250,2,FALSE)=0,"",VLOOKUP(E133,'Reference Records'!$C$192:$D$250,2,FALSE)),"")</f>
        <v/>
      </c>
      <c r="V133" s="350"/>
      <c r="W133" s="365" t="str">
        <f t="shared" si="16"/>
        <v/>
      </c>
      <c r="X133" s="365" t="str">
        <f t="shared" si="17"/>
        <v/>
      </c>
      <c r="Y133" s="365" t="b">
        <f t="shared" si="18"/>
        <v>0</v>
      </c>
      <c r="Z133" s="365" t="b">
        <f t="shared" si="19"/>
        <v>1</v>
      </c>
      <c r="AA133" s="365" t="str">
        <f>IFERROR(VLOOKUP(L133,'Reference Records'!B$252:E428,4,0),"")</f>
        <v/>
      </c>
      <c r="AB133" s="365" t="s">
        <v>514</v>
      </c>
      <c r="AC133" s="353" t="e">
        <f t="shared" si="20"/>
        <v>#N/A</v>
      </c>
      <c r="AD133" s="353" t="str">
        <f t="shared" si="21"/>
        <v/>
      </c>
      <c r="AE133" s="353" t="str">
        <f t="array" ref="AE133">IFERROR(IF(INDEX($W$124:$W$175, MATCH(0, IF(AD133=$E$124:$E$175, COUNTIF($AE$123:$AE132, $W$124:$W$175), ""), 0))=0,"",INDEX($W$124:$W$175, MATCH(0, IF(AD133=$E$124:$E$175, COUNTIF($AE$123:$AE132, $W$124:$W$175), ""), 0))),"")</f>
        <v/>
      </c>
      <c r="AF133" s="353" t="str">
        <f t="shared" si="22"/>
        <v>|empty|</v>
      </c>
      <c r="AG133" s="353" t="str">
        <f t="shared" si="23"/>
        <v>INT-350989</v>
      </c>
      <c r="AH133" s="353" t="str">
        <f t="shared" si="24"/>
        <v>a19</v>
      </c>
      <c r="AI133" s="353">
        <f>IF(COUNTIF($AH$124:AH184,"&lt;="&amp;AH133)=0,"",COUNTIF($AH$124:AH184,"&lt;="&amp;AH133))</f>
        <v>9</v>
      </c>
      <c r="AJ133" s="353">
        <f>RANK(AI133,AI$124:AI184,1)</f>
        <v>9</v>
      </c>
      <c r="AK133" s="353" t="str">
        <f>INDEX(E$124:E184,MATCH(ROWS(AJ$124:AJ133),AJ$124:AJ184,0))</f>
        <v/>
      </c>
      <c r="AL133" s="353" t="str">
        <f>INDEX(K$124:K184,MATCH(ROWS(AJ$124:AJ133),AJ$124:AJ184,0))</f>
        <v/>
      </c>
      <c r="AM133" s="353">
        <f>INDEX(V$124:V184,MATCH(ROWS(AJ$124:AJ133),AJ$124:AJ184,0))</f>
        <v>0</v>
      </c>
      <c r="AN133" s="353" t="str">
        <f t="shared" si="25"/>
        <v/>
      </c>
      <c r="AO133" s="353" t="e">
        <f t="shared" si="26"/>
        <v>#N/A</v>
      </c>
      <c r="AP133" s="353" t="str">
        <f>Setup!A94</f>
        <v>a19</v>
      </c>
      <c r="AQ133" s="366" t="s">
        <v>515</v>
      </c>
      <c r="AR133" s="301"/>
      <c r="AS133" s="300"/>
    </row>
    <row r="134" spans="1:45" ht="47.1" customHeight="1">
      <c r="A134" s="327">
        <v>10</v>
      </c>
      <c r="B134" s="355" t="str" cm="1">
        <f t="array" ref="B134">IFERROR(INDEX($E$123:$E$175, MATCH(0, COUNTIF($B$123:B133, $E$123:$E$175&amp;"") + IF($E$123:$E$175="",1,0),0)),"")</f>
        <v/>
      </c>
      <c r="C134" s="356"/>
      <c r="D134" s="357"/>
      <c r="E134" s="358" t="str">
        <f>IFERROR(IF(AND(K134="",T134=""),"",(VLOOKUP(Q134,'Reference records(soft deleted)'!$B$87:$D$138,3,FALSE))),"")</f>
        <v/>
      </c>
      <c r="F134" s="359" t="str">
        <f t="shared" si="15"/>
        <v>INT-350990</v>
      </c>
      <c r="G134" s="360"/>
      <c r="H134" s="360"/>
      <c r="I134" s="360"/>
      <c r="J134" s="360"/>
      <c r="K134" s="358" t="str">
        <f>IFERROR(VLOOKUP(R134,'Reference Records'!B$252:C429,2,0),"")</f>
        <v/>
      </c>
      <c r="L134" s="360" t="e">
        <f>VLOOKUP(U134&amp;K134,'Reference Records'!H$252:I429,2,0)</f>
        <v>#N/A</v>
      </c>
      <c r="M134" s="360" t="e">
        <f>MATCH($L134,'Reference Records'!$E$507:$E$509,0)+ROW(Population_by_intervention) -1</f>
        <v>#N/A</v>
      </c>
      <c r="N134" s="360" t="e">
        <f>MATCH($L134,'Reference Records'!$E$507:$E$509,1)+ROW(Population_by_intervention) -1</f>
        <v>#N/A</v>
      </c>
      <c r="O134" s="360" t="str">
        <f>IFERROR(VLOOKUP(AA134,'Reference Records'!B517:C519,2,0),"")</f>
        <v/>
      </c>
      <c r="P134" s="360"/>
      <c r="Q134" s="361" t="s">
        <v>425</v>
      </c>
      <c r="R134" s="362"/>
      <c r="S134" s="360"/>
      <c r="T134" s="363"/>
      <c r="U134" s="364" t="str">
        <f>IFERROR(IF(VLOOKUP(E134,'Reference Records'!$C$192:$D$250,2,FALSE)=0,"",VLOOKUP(E134,'Reference Records'!$C$192:$D$250,2,FALSE)),"")</f>
        <v/>
      </c>
      <c r="V134" s="350"/>
      <c r="W134" s="365" t="str">
        <f t="shared" si="16"/>
        <v/>
      </c>
      <c r="X134" s="365" t="str">
        <f t="shared" si="17"/>
        <v/>
      </c>
      <c r="Y134" s="365" t="b">
        <f t="shared" si="18"/>
        <v>0</v>
      </c>
      <c r="Z134" s="365" t="b">
        <f t="shared" si="19"/>
        <v>1</v>
      </c>
      <c r="AA134" s="365" t="str">
        <f>IFERROR(VLOOKUP(L134,'Reference Records'!B$252:E429,4,0),"")</f>
        <v/>
      </c>
      <c r="AB134" s="365" t="s">
        <v>516</v>
      </c>
      <c r="AC134" s="353" t="e">
        <f t="shared" si="20"/>
        <v>#N/A</v>
      </c>
      <c r="AD134" s="353" t="str">
        <f t="shared" si="21"/>
        <v/>
      </c>
      <c r="AE134" s="353" t="str">
        <f t="array" ref="AE134">IFERROR(IF(INDEX($W$124:$W$175, MATCH(0, IF(AD134=$E$124:$E$175, COUNTIF($AE$123:$AE133, $W$124:$W$175), ""), 0))=0,"",INDEX($W$124:$W$175, MATCH(0, IF(AD134=$E$124:$E$175, COUNTIF($AE$123:$AE133, $W$124:$W$175), ""), 0))),"")</f>
        <v/>
      </c>
      <c r="AF134" s="353" t="str">
        <f t="shared" si="22"/>
        <v>|empty|</v>
      </c>
      <c r="AG134" s="353" t="str">
        <f t="shared" si="23"/>
        <v>INT-350990</v>
      </c>
      <c r="AH134" s="353" t="str">
        <f t="shared" si="24"/>
        <v>a20</v>
      </c>
      <c r="AI134" s="353">
        <f>IF(COUNTIF($AH$124:AH185,"&lt;="&amp;AH134)=0,"",COUNTIF($AH$124:AH185,"&lt;="&amp;AH134))</f>
        <v>10</v>
      </c>
      <c r="AJ134" s="353">
        <f>RANK(AI134,AI$124:AI185,1)</f>
        <v>10</v>
      </c>
      <c r="AK134" s="353" t="str">
        <f>INDEX(E$124:E185,MATCH(ROWS(AJ$124:AJ134),AJ$124:AJ185,0))</f>
        <v/>
      </c>
      <c r="AL134" s="353" t="str">
        <f>INDEX(K$124:K185,MATCH(ROWS(AJ$124:AJ134),AJ$124:AJ185,0))</f>
        <v/>
      </c>
      <c r="AM134" s="353">
        <f>INDEX(V$124:V185,MATCH(ROWS(AJ$124:AJ134),AJ$124:AJ185,0))</f>
        <v>0</v>
      </c>
      <c r="AN134" s="353" t="str">
        <f t="shared" si="25"/>
        <v/>
      </c>
      <c r="AO134" s="353" t="e">
        <f t="shared" si="26"/>
        <v>#N/A</v>
      </c>
      <c r="AP134" s="353" t="str">
        <f>Setup!A95</f>
        <v>a20</v>
      </c>
      <c r="AQ134" s="366" t="s">
        <v>517</v>
      </c>
      <c r="AR134" s="301"/>
      <c r="AS134" s="300"/>
    </row>
    <row r="135" spans="1:45" ht="47.1" customHeight="1">
      <c r="A135" s="327">
        <v>11</v>
      </c>
      <c r="B135" s="355" t="str" cm="1">
        <f t="array" ref="B135">IFERROR(INDEX($E$123:$E$175, MATCH(0, COUNTIF($B$123:B134, $E$123:$E$175&amp;"") + IF($E$123:$E$175="",1,0),0)),"")</f>
        <v/>
      </c>
      <c r="C135" s="356"/>
      <c r="D135" s="357"/>
      <c r="E135" s="358" t="str">
        <f>IFERROR(IF(AND(K135="",T135=""),"",(VLOOKUP(Q135,'Reference records(soft deleted)'!$B$87:$D$138,3,FALSE))),"")</f>
        <v/>
      </c>
      <c r="F135" s="359" t="str">
        <f t="shared" si="15"/>
        <v>INT-350991</v>
      </c>
      <c r="G135" s="360"/>
      <c r="H135" s="360"/>
      <c r="I135" s="360"/>
      <c r="J135" s="360"/>
      <c r="K135" s="358" t="str">
        <f>IFERROR(VLOOKUP(R135,'Reference Records'!B$252:C430,2,0),"")</f>
        <v/>
      </c>
      <c r="L135" s="360" t="e">
        <f>VLOOKUP(U135&amp;K135,'Reference Records'!H$252:I430,2,0)</f>
        <v>#N/A</v>
      </c>
      <c r="M135" s="360" t="e">
        <f>MATCH($L135,'Reference Records'!$E$507:$E$509,0)+ROW(Population_by_intervention) -1</f>
        <v>#N/A</v>
      </c>
      <c r="N135" s="360" t="e">
        <f>MATCH($L135,'Reference Records'!$E$507:$E$509,1)+ROW(Population_by_intervention) -1</f>
        <v>#N/A</v>
      </c>
      <c r="O135" s="360" t="str">
        <f>IFERROR(VLOOKUP(AA135,'Reference Records'!B518:C520,2,0),"")</f>
        <v/>
      </c>
      <c r="P135" s="360"/>
      <c r="Q135" s="361" t="s">
        <v>425</v>
      </c>
      <c r="R135" s="362"/>
      <c r="S135" s="360"/>
      <c r="T135" s="363"/>
      <c r="U135" s="364" t="str">
        <f>IFERROR(IF(VLOOKUP(E135,'Reference Records'!$C$192:$D$250,2,FALSE)=0,"",VLOOKUP(E135,'Reference Records'!$C$192:$D$250,2,FALSE)),"")</f>
        <v/>
      </c>
      <c r="V135" s="350"/>
      <c r="W135" s="365" t="str">
        <f t="shared" si="16"/>
        <v/>
      </c>
      <c r="X135" s="365" t="str">
        <f t="shared" si="17"/>
        <v/>
      </c>
      <c r="Y135" s="365" t="b">
        <f t="shared" si="18"/>
        <v>0</v>
      </c>
      <c r="Z135" s="365" t="b">
        <f t="shared" si="19"/>
        <v>1</v>
      </c>
      <c r="AA135" s="365" t="str">
        <f>IFERROR(VLOOKUP(L135,'Reference Records'!B$252:E430,4,0),"")</f>
        <v/>
      </c>
      <c r="AB135" s="365" t="s">
        <v>518</v>
      </c>
      <c r="AC135" s="353" t="e">
        <f t="shared" si="20"/>
        <v>#N/A</v>
      </c>
      <c r="AD135" s="353" t="str">
        <f t="shared" si="21"/>
        <v/>
      </c>
      <c r="AE135" s="353" t="str">
        <f t="array" ref="AE135">IFERROR(IF(INDEX($W$124:$W$175, MATCH(0, IF(AD135=$E$124:$E$175, COUNTIF($AE$123:$AE134, $W$124:$W$175), ""), 0))=0,"",INDEX($W$124:$W$175, MATCH(0, IF(AD135=$E$124:$E$175, COUNTIF($AE$123:$AE134, $W$124:$W$175), ""), 0))),"")</f>
        <v/>
      </c>
      <c r="AF135" s="353" t="str">
        <f t="shared" si="22"/>
        <v>|empty|</v>
      </c>
      <c r="AG135" s="353" t="str">
        <f t="shared" si="23"/>
        <v>INT-350991</v>
      </c>
      <c r="AH135" s="353" t="str">
        <f t="shared" si="24"/>
        <v>a21</v>
      </c>
      <c r="AI135" s="353">
        <f>IF(COUNTIF($AH$124:AH186,"&lt;="&amp;AH135)=0,"",COUNTIF($AH$124:AH186,"&lt;="&amp;AH135))</f>
        <v>11</v>
      </c>
      <c r="AJ135" s="353">
        <f>RANK(AI135,AI$124:AI186,1)</f>
        <v>11</v>
      </c>
      <c r="AK135" s="353" t="str">
        <f>INDEX(E$124:E186,MATCH(ROWS(AJ$124:AJ135),AJ$124:AJ186,0))</f>
        <v/>
      </c>
      <c r="AL135" s="353" t="str">
        <f>INDEX(K$124:K186,MATCH(ROWS(AJ$124:AJ135),AJ$124:AJ186,0))</f>
        <v/>
      </c>
      <c r="AM135" s="353">
        <f>INDEX(V$124:V186,MATCH(ROWS(AJ$124:AJ135),AJ$124:AJ186,0))</f>
        <v>0</v>
      </c>
      <c r="AN135" s="353" t="str">
        <f t="shared" si="25"/>
        <v/>
      </c>
      <c r="AO135" s="353" t="e">
        <f t="shared" si="26"/>
        <v>#N/A</v>
      </c>
      <c r="AP135" s="353" t="str">
        <f>Setup!A96</f>
        <v>a21</v>
      </c>
      <c r="AQ135" s="366" t="s">
        <v>519</v>
      </c>
      <c r="AR135" s="301"/>
      <c r="AS135" s="300"/>
    </row>
    <row r="136" spans="1:45" ht="47.1" customHeight="1">
      <c r="A136" s="327">
        <v>12</v>
      </c>
      <c r="B136" s="355" t="str" cm="1">
        <f t="array" ref="B136">IFERROR(INDEX($E$123:$E$175, MATCH(0, COUNTIF($B$123:B135, $E$123:$E$175&amp;"") + IF($E$123:$E$175="",1,0),0)),"")</f>
        <v/>
      </c>
      <c r="C136" s="356"/>
      <c r="D136" s="357"/>
      <c r="E136" s="358" t="str">
        <f>IFERROR(IF(AND(K136="",T136=""),"",(VLOOKUP(Q136,'Reference records(soft deleted)'!$B$87:$D$138,3,FALSE))),"")</f>
        <v/>
      </c>
      <c r="F136" s="359" t="str">
        <f t="shared" si="15"/>
        <v>INT-350992</v>
      </c>
      <c r="G136" s="360"/>
      <c r="H136" s="360"/>
      <c r="I136" s="360"/>
      <c r="J136" s="360"/>
      <c r="K136" s="358" t="str">
        <f>IFERROR(VLOOKUP(R136,'Reference Records'!B$252:C431,2,0),"")</f>
        <v/>
      </c>
      <c r="L136" s="360" t="e">
        <f>VLOOKUP(U136&amp;K136,'Reference Records'!H$252:I431,2,0)</f>
        <v>#N/A</v>
      </c>
      <c r="M136" s="360" t="e">
        <f>MATCH($L136,'Reference Records'!$E$507:$E$509,0)+ROW(Population_by_intervention) -1</f>
        <v>#N/A</v>
      </c>
      <c r="N136" s="360" t="e">
        <f>MATCH($L136,'Reference Records'!$E$507:$E$509,1)+ROW(Population_by_intervention) -1</f>
        <v>#N/A</v>
      </c>
      <c r="O136" s="360" t="str">
        <f>IFERROR(VLOOKUP(AA136,'Reference Records'!B519:C521,2,0),"")</f>
        <v/>
      </c>
      <c r="P136" s="360"/>
      <c r="Q136" s="361" t="s">
        <v>425</v>
      </c>
      <c r="R136" s="362"/>
      <c r="S136" s="360"/>
      <c r="T136" s="363"/>
      <c r="U136" s="364" t="str">
        <f>IFERROR(IF(VLOOKUP(E136,'Reference Records'!$C$192:$D$250,2,FALSE)=0,"",VLOOKUP(E136,'Reference Records'!$C$192:$D$250,2,FALSE)),"")</f>
        <v/>
      </c>
      <c r="V136" s="350"/>
      <c r="W136" s="365" t="str">
        <f t="shared" si="16"/>
        <v/>
      </c>
      <c r="X136" s="365" t="str">
        <f t="shared" si="17"/>
        <v/>
      </c>
      <c r="Y136" s="365" t="b">
        <f t="shared" si="18"/>
        <v>0</v>
      </c>
      <c r="Z136" s="365" t="b">
        <f t="shared" si="19"/>
        <v>1</v>
      </c>
      <c r="AA136" s="365" t="str">
        <f>IFERROR(VLOOKUP(L136,'Reference Records'!B$252:E431,4,0),"")</f>
        <v/>
      </c>
      <c r="AB136" s="365" t="s">
        <v>520</v>
      </c>
      <c r="AC136" s="353" t="e">
        <f t="shared" si="20"/>
        <v>#N/A</v>
      </c>
      <c r="AD136" s="353" t="str">
        <f t="shared" si="21"/>
        <v/>
      </c>
      <c r="AE136" s="353" t="str">
        <f t="array" ref="AE136">IFERROR(IF(INDEX($W$124:$W$175, MATCH(0, IF(AD136=$E$124:$E$175, COUNTIF($AE$123:$AE135, $W$124:$W$175), ""), 0))=0,"",INDEX($W$124:$W$175, MATCH(0, IF(AD136=$E$124:$E$175, COUNTIF($AE$123:$AE135, $W$124:$W$175), ""), 0))),"")</f>
        <v/>
      </c>
      <c r="AF136" s="353" t="str">
        <f t="shared" si="22"/>
        <v>|empty|</v>
      </c>
      <c r="AG136" s="353" t="str">
        <f t="shared" si="23"/>
        <v>INT-350992</v>
      </c>
      <c r="AH136" s="353" t="str">
        <f t="shared" si="24"/>
        <v>a22</v>
      </c>
      <c r="AI136" s="353">
        <f>IF(COUNTIF($AH$124:AH187,"&lt;="&amp;AH136)=0,"",COUNTIF($AH$124:AH187,"&lt;="&amp;AH136))</f>
        <v>12</v>
      </c>
      <c r="AJ136" s="353">
        <f>RANK(AI136,AI$124:AI187,1)</f>
        <v>12</v>
      </c>
      <c r="AK136" s="353" t="str">
        <f>INDEX(E$124:E187,MATCH(ROWS(AJ$124:AJ136),AJ$124:AJ187,0))</f>
        <v/>
      </c>
      <c r="AL136" s="353" t="str">
        <f>INDEX(K$124:K187,MATCH(ROWS(AJ$124:AJ136),AJ$124:AJ187,0))</f>
        <v/>
      </c>
      <c r="AM136" s="353">
        <f>INDEX(V$124:V187,MATCH(ROWS(AJ$124:AJ136),AJ$124:AJ187,0))</f>
        <v>0</v>
      </c>
      <c r="AN136" s="353" t="str">
        <f t="shared" si="25"/>
        <v/>
      </c>
      <c r="AO136" s="353" t="e">
        <f t="shared" si="26"/>
        <v>#N/A</v>
      </c>
      <c r="AP136" s="353" t="str">
        <f>Setup!A97</f>
        <v>a22</v>
      </c>
      <c r="AQ136" s="366" t="s">
        <v>521</v>
      </c>
      <c r="AR136" s="301"/>
      <c r="AS136" s="300"/>
    </row>
    <row r="137" spans="1:45" ht="47.1" customHeight="1">
      <c r="A137" s="327">
        <v>13</v>
      </c>
      <c r="B137" s="355" t="str" cm="1">
        <f t="array" ref="B137">IFERROR(INDEX($E$123:$E$175, MATCH(0, COUNTIF($B$123:B136, $E$123:$E$175&amp;"") + IF($E$123:$E$175="",1,0),0)),"")</f>
        <v/>
      </c>
      <c r="C137" s="356"/>
      <c r="D137" s="357"/>
      <c r="E137" s="358" t="str">
        <f>IFERROR(IF(AND(K137="",T137=""),"",(VLOOKUP(Q137,'Reference records(soft deleted)'!$B$87:$D$138,3,FALSE))),"")</f>
        <v/>
      </c>
      <c r="F137" s="359" t="str">
        <f t="shared" si="15"/>
        <v>INT-350993</v>
      </c>
      <c r="G137" s="360"/>
      <c r="H137" s="360"/>
      <c r="I137" s="360"/>
      <c r="J137" s="360"/>
      <c r="K137" s="358" t="str">
        <f>IFERROR(VLOOKUP(R137,'Reference Records'!B$252:C432,2,0),"")</f>
        <v/>
      </c>
      <c r="L137" s="360" t="e">
        <f>VLOOKUP(U137&amp;K137,'Reference Records'!H$252:I432,2,0)</f>
        <v>#N/A</v>
      </c>
      <c r="M137" s="360" t="e">
        <f>MATCH($L137,'Reference Records'!$E$507:$E$509,0)+ROW(Population_by_intervention) -1</f>
        <v>#N/A</v>
      </c>
      <c r="N137" s="360" t="e">
        <f>MATCH($L137,'Reference Records'!$E$507:$E$509,1)+ROW(Population_by_intervention) -1</f>
        <v>#N/A</v>
      </c>
      <c r="O137" s="360" t="str">
        <f>IFERROR(VLOOKUP(AA137,'Reference Records'!B520:C522,2,0),"")</f>
        <v/>
      </c>
      <c r="P137" s="360"/>
      <c r="Q137" s="361" t="s">
        <v>425</v>
      </c>
      <c r="R137" s="362"/>
      <c r="S137" s="360"/>
      <c r="T137" s="363"/>
      <c r="U137" s="364" t="str">
        <f>IFERROR(IF(VLOOKUP(E137,'Reference Records'!$C$192:$D$250,2,FALSE)=0,"",VLOOKUP(E137,'Reference Records'!$C$192:$D$250,2,FALSE)),"")</f>
        <v/>
      </c>
      <c r="V137" s="350"/>
      <c r="W137" s="365" t="str">
        <f t="shared" si="16"/>
        <v/>
      </c>
      <c r="X137" s="365" t="str">
        <f t="shared" si="17"/>
        <v/>
      </c>
      <c r="Y137" s="365" t="b">
        <f t="shared" si="18"/>
        <v>0</v>
      </c>
      <c r="Z137" s="365" t="b">
        <f t="shared" si="19"/>
        <v>1</v>
      </c>
      <c r="AA137" s="365" t="str">
        <f>IFERROR(VLOOKUP(L137,'Reference Records'!B$252:E432,4,0),"")</f>
        <v/>
      </c>
      <c r="AB137" s="365" t="s">
        <v>522</v>
      </c>
      <c r="AC137" s="353" t="e">
        <f t="shared" si="20"/>
        <v>#N/A</v>
      </c>
      <c r="AD137" s="353" t="str">
        <f t="shared" si="21"/>
        <v/>
      </c>
      <c r="AE137" s="353" t="str">
        <f t="array" ref="AE137">IFERROR(IF(INDEX($W$124:$W$175, MATCH(0, IF(AD137=$E$124:$E$175, COUNTIF($AE$123:$AE136, $W$124:$W$175), ""), 0))=0,"",INDEX($W$124:$W$175, MATCH(0, IF(AD137=$E$124:$E$175, COUNTIF($AE$123:$AE136, $W$124:$W$175), ""), 0))),"")</f>
        <v/>
      </c>
      <c r="AF137" s="353" t="str">
        <f t="shared" si="22"/>
        <v>|empty|</v>
      </c>
      <c r="AG137" s="353" t="str">
        <f t="shared" si="23"/>
        <v>INT-350993</v>
      </c>
      <c r="AH137" s="353" t="str">
        <f t="shared" si="24"/>
        <v>a23</v>
      </c>
      <c r="AI137" s="353">
        <f>IF(COUNTIF($AH$124:AH188,"&lt;="&amp;AH137)=0,"",COUNTIF($AH$124:AH188,"&lt;="&amp;AH137))</f>
        <v>13</v>
      </c>
      <c r="AJ137" s="353">
        <f>RANK(AI137,AI$124:AI188,1)</f>
        <v>13</v>
      </c>
      <c r="AK137" s="353" t="str">
        <f>INDEX(E$124:E188,MATCH(ROWS(AJ$124:AJ137),AJ$124:AJ188,0))</f>
        <v/>
      </c>
      <c r="AL137" s="353" t="str">
        <f>INDEX(K$124:K188,MATCH(ROWS(AJ$124:AJ137),AJ$124:AJ188,0))</f>
        <v/>
      </c>
      <c r="AM137" s="353">
        <f>INDEX(V$124:V188,MATCH(ROWS(AJ$124:AJ137),AJ$124:AJ188,0))</f>
        <v>0</v>
      </c>
      <c r="AN137" s="353" t="str">
        <f t="shared" si="25"/>
        <v/>
      </c>
      <c r="AO137" s="353" t="e">
        <f t="shared" si="26"/>
        <v>#N/A</v>
      </c>
      <c r="AP137" s="353" t="str">
        <f>Setup!A98</f>
        <v>a23</v>
      </c>
      <c r="AQ137" s="366" t="s">
        <v>523</v>
      </c>
      <c r="AR137" s="301"/>
      <c r="AS137" s="300"/>
    </row>
    <row r="138" spans="1:45" ht="47.1" customHeight="1">
      <c r="A138" s="327">
        <v>14</v>
      </c>
      <c r="B138" s="355" t="str" cm="1">
        <f t="array" ref="B138">IFERROR(INDEX($E$123:$E$175, MATCH(0, COUNTIF($B$123:B137, $E$123:$E$175&amp;"") + IF($E$123:$E$175="",1,0),0)),"")</f>
        <v/>
      </c>
      <c r="C138" s="356"/>
      <c r="D138" s="357"/>
      <c r="E138" s="358" t="str">
        <f>IFERROR(IF(AND(K138="",T138=""),"",(VLOOKUP(Q138,'Reference records(soft deleted)'!$B$87:$D$138,3,FALSE))),"")</f>
        <v/>
      </c>
      <c r="F138" s="359" t="str">
        <f t="shared" si="15"/>
        <v>INT-350994</v>
      </c>
      <c r="G138" s="360"/>
      <c r="H138" s="360"/>
      <c r="I138" s="360"/>
      <c r="J138" s="360"/>
      <c r="K138" s="358" t="str">
        <f>IFERROR(VLOOKUP(R138,'Reference Records'!B$252:C433,2,0),"")</f>
        <v/>
      </c>
      <c r="L138" s="360" t="e">
        <f>VLOOKUP(U138&amp;K138,'Reference Records'!H$252:I433,2,0)</f>
        <v>#N/A</v>
      </c>
      <c r="M138" s="360" t="e">
        <f>MATCH($L138,'Reference Records'!$E$507:$E$509,0)+ROW(Population_by_intervention) -1</f>
        <v>#N/A</v>
      </c>
      <c r="N138" s="360" t="e">
        <f>MATCH($L138,'Reference Records'!$E$507:$E$509,1)+ROW(Population_by_intervention) -1</f>
        <v>#N/A</v>
      </c>
      <c r="O138" s="360" t="str">
        <f>IFERROR(VLOOKUP(AA138,'Reference Records'!B521:C523,2,0),"")</f>
        <v/>
      </c>
      <c r="P138" s="360"/>
      <c r="Q138" s="361" t="s">
        <v>425</v>
      </c>
      <c r="R138" s="362"/>
      <c r="S138" s="360"/>
      <c r="T138" s="363"/>
      <c r="U138" s="364" t="str">
        <f>IFERROR(IF(VLOOKUP(E138,'Reference Records'!$C$192:$D$250,2,FALSE)=0,"",VLOOKUP(E138,'Reference Records'!$C$192:$D$250,2,FALSE)),"")</f>
        <v/>
      </c>
      <c r="V138" s="350"/>
      <c r="W138" s="365" t="str">
        <f t="shared" si="16"/>
        <v/>
      </c>
      <c r="X138" s="365" t="str">
        <f t="shared" si="17"/>
        <v/>
      </c>
      <c r="Y138" s="365" t="b">
        <f t="shared" si="18"/>
        <v>0</v>
      </c>
      <c r="Z138" s="365" t="b">
        <f t="shared" si="19"/>
        <v>1</v>
      </c>
      <c r="AA138" s="365" t="str">
        <f>IFERROR(VLOOKUP(L138,'Reference Records'!B$252:E433,4,0),"")</f>
        <v/>
      </c>
      <c r="AB138" s="365" t="s">
        <v>524</v>
      </c>
      <c r="AC138" s="353" t="e">
        <f t="shared" si="20"/>
        <v>#N/A</v>
      </c>
      <c r="AD138" s="353" t="str">
        <f t="shared" si="21"/>
        <v/>
      </c>
      <c r="AE138" s="353" t="str">
        <f t="array" ref="AE138">IFERROR(IF(INDEX($W$124:$W$175, MATCH(0, IF(AD138=$E$124:$E$175, COUNTIF($AE$123:$AE137, $W$124:$W$175), ""), 0))=0,"",INDEX($W$124:$W$175, MATCH(0, IF(AD138=$E$124:$E$175, COUNTIF($AE$123:$AE137, $W$124:$W$175), ""), 0))),"")</f>
        <v/>
      </c>
      <c r="AF138" s="353" t="str">
        <f t="shared" si="22"/>
        <v>|empty|</v>
      </c>
      <c r="AG138" s="353" t="str">
        <f t="shared" si="23"/>
        <v>INT-350994</v>
      </c>
      <c r="AH138" s="353" t="str">
        <f t="shared" si="24"/>
        <v>a24</v>
      </c>
      <c r="AI138" s="353">
        <f>IF(COUNTIF($AH$124:AH189,"&lt;="&amp;AH138)=0,"",COUNTIF($AH$124:AH189,"&lt;="&amp;AH138))</f>
        <v>14</v>
      </c>
      <c r="AJ138" s="353">
        <f>RANK(AI138,AI$124:AI189,1)</f>
        <v>14</v>
      </c>
      <c r="AK138" s="353" t="str">
        <f>INDEX(E$124:E189,MATCH(ROWS(AJ$124:AJ138),AJ$124:AJ189,0))</f>
        <v/>
      </c>
      <c r="AL138" s="353" t="str">
        <f>INDEX(K$124:K189,MATCH(ROWS(AJ$124:AJ138),AJ$124:AJ189,0))</f>
        <v/>
      </c>
      <c r="AM138" s="353">
        <f>INDEX(V$124:V189,MATCH(ROWS(AJ$124:AJ138),AJ$124:AJ189,0))</f>
        <v>0</v>
      </c>
      <c r="AN138" s="353" t="str">
        <f t="shared" si="25"/>
        <v/>
      </c>
      <c r="AO138" s="353" t="e">
        <f t="shared" si="26"/>
        <v>#N/A</v>
      </c>
      <c r="AP138" s="353" t="str">
        <f>Setup!A99</f>
        <v>a24</v>
      </c>
      <c r="AQ138" s="366" t="s">
        <v>525</v>
      </c>
      <c r="AR138" s="301"/>
      <c r="AS138" s="300"/>
    </row>
    <row r="139" spans="1:45" ht="47.1" customHeight="1">
      <c r="A139" s="327">
        <v>15</v>
      </c>
      <c r="B139" s="355" t="str" cm="1">
        <f t="array" ref="B139">IFERROR(INDEX($E$123:$E$175, MATCH(0, COUNTIF($B$123:B138, $E$123:$E$175&amp;"") + IF($E$123:$E$175="",1,0),0)),"")</f>
        <v/>
      </c>
      <c r="C139" s="356"/>
      <c r="D139" s="357"/>
      <c r="E139" s="358" t="str">
        <f>IFERROR(IF(AND(K139="",T139=""),"",(VLOOKUP(Q139,'Reference records(soft deleted)'!$B$87:$D$138,3,FALSE))),"")</f>
        <v/>
      </c>
      <c r="F139" s="359" t="str">
        <f t="shared" si="15"/>
        <v>INT-350995</v>
      </c>
      <c r="G139" s="360"/>
      <c r="H139" s="360"/>
      <c r="I139" s="360"/>
      <c r="J139" s="360"/>
      <c r="K139" s="358" t="str">
        <f>IFERROR(VLOOKUP(R139,'Reference Records'!B$252:C434,2,0),"")</f>
        <v/>
      </c>
      <c r="L139" s="360" t="e">
        <f>VLOOKUP(U139&amp;K139,'Reference Records'!H$252:I434,2,0)</f>
        <v>#N/A</v>
      </c>
      <c r="M139" s="360" t="e">
        <f>MATCH($L139,'Reference Records'!$E$507:$E$509,0)+ROW(Population_by_intervention) -1</f>
        <v>#N/A</v>
      </c>
      <c r="N139" s="360" t="e">
        <f>MATCH($L139,'Reference Records'!$E$507:$E$509,1)+ROW(Population_by_intervention) -1</f>
        <v>#N/A</v>
      </c>
      <c r="O139" s="360" t="str">
        <f>IFERROR(VLOOKUP(AA139,'Reference Records'!B522:C524,2,0),"")</f>
        <v/>
      </c>
      <c r="P139" s="360"/>
      <c r="Q139" s="361" t="s">
        <v>425</v>
      </c>
      <c r="R139" s="362"/>
      <c r="S139" s="360"/>
      <c r="T139" s="363"/>
      <c r="U139" s="364" t="str">
        <f>IFERROR(IF(VLOOKUP(E139,'Reference Records'!$C$192:$D$250,2,FALSE)=0,"",VLOOKUP(E139,'Reference Records'!$C$192:$D$250,2,FALSE)),"")</f>
        <v/>
      </c>
      <c r="V139" s="350"/>
      <c r="W139" s="365" t="str">
        <f t="shared" si="16"/>
        <v/>
      </c>
      <c r="X139" s="365" t="str">
        <f t="shared" si="17"/>
        <v/>
      </c>
      <c r="Y139" s="365" t="b">
        <f t="shared" si="18"/>
        <v>0</v>
      </c>
      <c r="Z139" s="365" t="b">
        <f t="shared" si="19"/>
        <v>1</v>
      </c>
      <c r="AA139" s="365" t="str">
        <f>IFERROR(VLOOKUP(L139,'Reference Records'!B$252:E434,4,0),"")</f>
        <v/>
      </c>
      <c r="AB139" s="365" t="s">
        <v>526</v>
      </c>
      <c r="AC139" s="353" t="e">
        <f t="shared" si="20"/>
        <v>#N/A</v>
      </c>
      <c r="AD139" s="353" t="str">
        <f t="shared" si="21"/>
        <v/>
      </c>
      <c r="AE139" s="353" t="str">
        <f t="array" ref="AE139">IFERROR(IF(INDEX($W$124:$W$175, MATCH(0, IF(AD139=$E$124:$E$175, COUNTIF($AE$123:$AE138, $W$124:$W$175), ""), 0))=0,"",INDEX($W$124:$W$175, MATCH(0, IF(AD139=$E$124:$E$175, COUNTIF($AE$123:$AE138, $W$124:$W$175), ""), 0))),"")</f>
        <v/>
      </c>
      <c r="AF139" s="353" t="str">
        <f t="shared" si="22"/>
        <v>|empty|</v>
      </c>
      <c r="AG139" s="353" t="str">
        <f t="shared" si="23"/>
        <v>INT-350995</v>
      </c>
      <c r="AH139" s="353" t="str">
        <f t="shared" si="24"/>
        <v>a25</v>
      </c>
      <c r="AI139" s="353">
        <f>IF(COUNTIF($AH$124:AH190,"&lt;="&amp;AH139)=0,"",COUNTIF($AH$124:AH190,"&lt;="&amp;AH139))</f>
        <v>15</v>
      </c>
      <c r="AJ139" s="353">
        <f>RANK(AI139,AI$124:AI190,1)</f>
        <v>15</v>
      </c>
      <c r="AK139" s="353" t="str">
        <f>INDEX(E$124:E190,MATCH(ROWS(AJ$124:AJ139),AJ$124:AJ190,0))</f>
        <v/>
      </c>
      <c r="AL139" s="353" t="str">
        <f>INDEX(K$124:K190,MATCH(ROWS(AJ$124:AJ139),AJ$124:AJ190,0))</f>
        <v/>
      </c>
      <c r="AM139" s="353">
        <f>INDEX(V$124:V190,MATCH(ROWS(AJ$124:AJ139),AJ$124:AJ190,0))</f>
        <v>0</v>
      </c>
      <c r="AN139" s="353" t="str">
        <f t="shared" si="25"/>
        <v/>
      </c>
      <c r="AO139" s="353" t="e">
        <f t="shared" si="26"/>
        <v>#N/A</v>
      </c>
      <c r="AP139" s="353" t="str">
        <f>Setup!A100</f>
        <v>a25</v>
      </c>
      <c r="AQ139" s="366" t="s">
        <v>527</v>
      </c>
      <c r="AR139" s="301"/>
      <c r="AS139" s="300"/>
    </row>
    <row r="140" spans="1:45" ht="47.1" customHeight="1">
      <c r="A140" s="327">
        <v>16</v>
      </c>
      <c r="B140" s="355" t="str" cm="1">
        <f t="array" ref="B140">IFERROR(INDEX($E$123:$E$175, MATCH(0, COUNTIF($B$123:B139, $E$123:$E$175&amp;"") + IF($E$123:$E$175="",1,0),0)),"")</f>
        <v/>
      </c>
      <c r="C140" s="356"/>
      <c r="D140" s="357"/>
      <c r="E140" s="358" t="str">
        <f>IFERROR(IF(AND(K140="",T140=""),"",(VLOOKUP(Q140,'Reference records(soft deleted)'!$B$87:$D$138,3,FALSE))),"")</f>
        <v/>
      </c>
      <c r="F140" s="359" t="str">
        <f t="shared" si="15"/>
        <v>INT-350996</v>
      </c>
      <c r="G140" s="360"/>
      <c r="H140" s="360"/>
      <c r="I140" s="360"/>
      <c r="J140" s="360"/>
      <c r="K140" s="358" t="str">
        <f>IFERROR(VLOOKUP(R140,'Reference Records'!B$252:C435,2,0),"")</f>
        <v/>
      </c>
      <c r="L140" s="360" t="e">
        <f>VLOOKUP(U140&amp;K140,'Reference Records'!H$252:I435,2,0)</f>
        <v>#N/A</v>
      </c>
      <c r="M140" s="360" t="e">
        <f>MATCH($L140,'Reference Records'!$E$507:$E$509,0)+ROW(Population_by_intervention) -1</f>
        <v>#N/A</v>
      </c>
      <c r="N140" s="360" t="e">
        <f>MATCH($L140,'Reference Records'!$E$507:$E$509,1)+ROW(Population_by_intervention) -1</f>
        <v>#N/A</v>
      </c>
      <c r="O140" s="360" t="str">
        <f>IFERROR(VLOOKUP(AA140,'Reference Records'!B523:C525,2,0),"")</f>
        <v/>
      </c>
      <c r="P140" s="360"/>
      <c r="Q140" s="361" t="s">
        <v>425</v>
      </c>
      <c r="R140" s="362"/>
      <c r="S140" s="360"/>
      <c r="T140" s="363"/>
      <c r="U140" s="364" t="str">
        <f>IFERROR(IF(VLOOKUP(E140,'Reference Records'!$C$192:$D$250,2,FALSE)=0,"",VLOOKUP(E140,'Reference Records'!$C$192:$D$250,2,FALSE)),"")</f>
        <v/>
      </c>
      <c r="V140" s="350"/>
      <c r="W140" s="365" t="str">
        <f t="shared" si="16"/>
        <v/>
      </c>
      <c r="X140" s="365" t="str">
        <f t="shared" si="17"/>
        <v/>
      </c>
      <c r="Y140" s="365" t="b">
        <f t="shared" si="18"/>
        <v>0</v>
      </c>
      <c r="Z140" s="365" t="b">
        <f t="shared" si="19"/>
        <v>1</v>
      </c>
      <c r="AA140" s="365" t="str">
        <f>IFERROR(VLOOKUP(L140,'Reference Records'!B$252:E435,4,0),"")</f>
        <v/>
      </c>
      <c r="AB140" s="365" t="s">
        <v>528</v>
      </c>
      <c r="AC140" s="353" t="e">
        <f t="shared" si="20"/>
        <v>#N/A</v>
      </c>
      <c r="AD140" s="353" t="str">
        <f t="shared" si="21"/>
        <v/>
      </c>
      <c r="AE140" s="353" t="str">
        <f t="array" ref="AE140">IFERROR(IF(INDEX($W$124:$W$175, MATCH(0, IF(AD140=$E$124:$E$175, COUNTIF($AE$123:$AE139, $W$124:$W$175), ""), 0))=0,"",INDEX($W$124:$W$175, MATCH(0, IF(AD140=$E$124:$E$175, COUNTIF($AE$123:$AE139, $W$124:$W$175), ""), 0))),"")</f>
        <v/>
      </c>
      <c r="AF140" s="353" t="str">
        <f t="shared" si="22"/>
        <v>|empty|</v>
      </c>
      <c r="AG140" s="353" t="str">
        <f t="shared" si="23"/>
        <v>INT-350996</v>
      </c>
      <c r="AH140" s="353" t="str">
        <f t="shared" si="24"/>
        <v>a26</v>
      </c>
      <c r="AI140" s="353">
        <f>IF(COUNTIF($AH$124:AH191,"&lt;="&amp;AH140)=0,"",COUNTIF($AH$124:AH191,"&lt;="&amp;AH140))</f>
        <v>16</v>
      </c>
      <c r="AJ140" s="353">
        <f>RANK(AI140,AI$124:AI191,1)</f>
        <v>16</v>
      </c>
      <c r="AK140" s="353" t="str">
        <f>INDEX(E$124:E191,MATCH(ROWS(AJ$124:AJ140),AJ$124:AJ191,0))</f>
        <v/>
      </c>
      <c r="AL140" s="353" t="str">
        <f>INDEX(K$124:K191,MATCH(ROWS(AJ$124:AJ140),AJ$124:AJ191,0))</f>
        <v/>
      </c>
      <c r="AM140" s="353">
        <f>INDEX(V$124:V191,MATCH(ROWS(AJ$124:AJ140),AJ$124:AJ191,0))</f>
        <v>0</v>
      </c>
      <c r="AN140" s="353" t="str">
        <f t="shared" si="25"/>
        <v/>
      </c>
      <c r="AO140" s="353" t="e">
        <f t="shared" si="26"/>
        <v>#N/A</v>
      </c>
      <c r="AP140" s="353" t="str">
        <f>Setup!A101</f>
        <v>a26</v>
      </c>
      <c r="AQ140" s="366" t="s">
        <v>529</v>
      </c>
      <c r="AR140" s="301"/>
      <c r="AS140" s="300"/>
    </row>
    <row r="141" spans="1:45" ht="47.1" customHeight="1">
      <c r="A141" s="327">
        <v>17</v>
      </c>
      <c r="B141" s="355" t="str" cm="1">
        <f t="array" ref="B141">IFERROR(INDEX($E$123:$E$175, MATCH(0, COUNTIF($B$123:B140, $E$123:$E$175&amp;"") + IF($E$123:$E$175="",1,0),0)),"")</f>
        <v/>
      </c>
      <c r="C141" s="356"/>
      <c r="D141" s="357"/>
      <c r="E141" s="358" t="str">
        <f>IFERROR(IF(AND(K141="",T141=""),"",(VLOOKUP(Q141,'Reference records(soft deleted)'!$B$87:$D$138,3,FALSE))),"")</f>
        <v/>
      </c>
      <c r="F141" s="359" t="str">
        <f t="shared" si="15"/>
        <v>INT-350997</v>
      </c>
      <c r="G141" s="360"/>
      <c r="H141" s="360"/>
      <c r="I141" s="360"/>
      <c r="J141" s="360"/>
      <c r="K141" s="358" t="str">
        <f>IFERROR(VLOOKUP(R141,'Reference Records'!B$252:C436,2,0),"")</f>
        <v/>
      </c>
      <c r="L141" s="360" t="e">
        <f>VLOOKUP(U141&amp;K141,'Reference Records'!H$252:I436,2,0)</f>
        <v>#N/A</v>
      </c>
      <c r="M141" s="360" t="e">
        <f>MATCH($L141,'Reference Records'!$E$507:$E$509,0)+ROW(Population_by_intervention) -1</f>
        <v>#N/A</v>
      </c>
      <c r="N141" s="360" t="e">
        <f>MATCH($L141,'Reference Records'!$E$507:$E$509,1)+ROW(Population_by_intervention) -1</f>
        <v>#N/A</v>
      </c>
      <c r="O141" s="360" t="str">
        <f>IFERROR(VLOOKUP(AA141,'Reference Records'!B524:C526,2,0),"")</f>
        <v/>
      </c>
      <c r="P141" s="360"/>
      <c r="Q141" s="361" t="s">
        <v>425</v>
      </c>
      <c r="R141" s="362"/>
      <c r="S141" s="360"/>
      <c r="T141" s="363"/>
      <c r="U141" s="364" t="str">
        <f>IFERROR(IF(VLOOKUP(E141,'Reference Records'!$C$192:$D$250,2,FALSE)=0,"",VLOOKUP(E141,'Reference Records'!$C$192:$D$250,2,FALSE)),"")</f>
        <v/>
      </c>
      <c r="V141" s="350"/>
      <c r="W141" s="365" t="str">
        <f t="shared" si="16"/>
        <v/>
      </c>
      <c r="X141" s="365" t="str">
        <f t="shared" si="17"/>
        <v/>
      </c>
      <c r="Y141" s="365" t="b">
        <f t="shared" si="18"/>
        <v>0</v>
      </c>
      <c r="Z141" s="365" t="b">
        <f t="shared" si="19"/>
        <v>1</v>
      </c>
      <c r="AA141" s="365" t="str">
        <f>IFERROR(VLOOKUP(L141,'Reference Records'!B$252:E436,4,0),"")</f>
        <v/>
      </c>
      <c r="AB141" s="365" t="s">
        <v>530</v>
      </c>
      <c r="AC141" s="353" t="e">
        <f t="shared" si="20"/>
        <v>#N/A</v>
      </c>
      <c r="AD141" s="353" t="str">
        <f t="shared" si="21"/>
        <v/>
      </c>
      <c r="AE141" s="353" t="str">
        <f t="array" ref="AE141">IFERROR(IF(INDEX($W$124:$W$175, MATCH(0, IF(AD141=$E$124:$E$175, COUNTIF($AE$123:$AE140, $W$124:$W$175), ""), 0))=0,"",INDEX($W$124:$W$175, MATCH(0, IF(AD141=$E$124:$E$175, COUNTIF($AE$123:$AE140, $W$124:$W$175), ""), 0))),"")</f>
        <v/>
      </c>
      <c r="AF141" s="353" t="str">
        <f t="shared" si="22"/>
        <v>|empty|</v>
      </c>
      <c r="AG141" s="353" t="str">
        <f t="shared" si="23"/>
        <v>INT-350997</v>
      </c>
      <c r="AH141" s="353" t="str">
        <f t="shared" si="24"/>
        <v>a27</v>
      </c>
      <c r="AI141" s="353">
        <f>IF(COUNTIF($AH$124:AH192,"&lt;="&amp;AH141)=0,"",COUNTIF($AH$124:AH192,"&lt;="&amp;AH141))</f>
        <v>17</v>
      </c>
      <c r="AJ141" s="353">
        <f>RANK(AI141,AI$124:AI192,1)</f>
        <v>17</v>
      </c>
      <c r="AK141" s="353" t="str">
        <f>INDEX(E$124:E192,MATCH(ROWS(AJ$124:AJ141),AJ$124:AJ192,0))</f>
        <v/>
      </c>
      <c r="AL141" s="353" t="str">
        <f>INDEX(K$124:K192,MATCH(ROWS(AJ$124:AJ141),AJ$124:AJ192,0))</f>
        <v/>
      </c>
      <c r="AM141" s="353">
        <f>INDEX(V$124:V192,MATCH(ROWS(AJ$124:AJ141),AJ$124:AJ192,0))</f>
        <v>0</v>
      </c>
      <c r="AN141" s="353" t="str">
        <f t="shared" si="25"/>
        <v/>
      </c>
      <c r="AO141" s="353" t="e">
        <f t="shared" si="26"/>
        <v>#N/A</v>
      </c>
      <c r="AP141" s="353" t="str">
        <f>Setup!A102</f>
        <v>a27</v>
      </c>
      <c r="AQ141" s="366" t="s">
        <v>531</v>
      </c>
      <c r="AR141" s="301"/>
      <c r="AS141" s="300"/>
    </row>
    <row r="142" spans="1:45" ht="47.1" customHeight="1">
      <c r="A142" s="327">
        <v>18</v>
      </c>
      <c r="B142" s="355" t="str" cm="1">
        <f t="array" ref="B142">IFERROR(INDEX($E$123:$E$175, MATCH(0, COUNTIF($B$123:B141, $E$123:$E$175&amp;"") + IF($E$123:$E$175="",1,0),0)),"")</f>
        <v/>
      </c>
      <c r="C142" s="356"/>
      <c r="D142" s="357"/>
      <c r="E142" s="358" t="str">
        <f>IFERROR(IF(AND(K142="",T142=""),"",(VLOOKUP(Q142,'Reference records(soft deleted)'!$B$87:$D$138,3,FALSE))),"")</f>
        <v/>
      </c>
      <c r="F142" s="359" t="str">
        <f t="shared" si="15"/>
        <v>INT-350998</v>
      </c>
      <c r="G142" s="360"/>
      <c r="H142" s="360"/>
      <c r="I142" s="360"/>
      <c r="J142" s="360"/>
      <c r="K142" s="358" t="str">
        <f>IFERROR(VLOOKUP(R142,'Reference Records'!B$252:C437,2,0),"")</f>
        <v/>
      </c>
      <c r="L142" s="360" t="e">
        <f>VLOOKUP(U142&amp;K142,'Reference Records'!H$252:I437,2,0)</f>
        <v>#N/A</v>
      </c>
      <c r="M142" s="360" t="e">
        <f>MATCH($L142,'Reference Records'!$E$507:$E$509,0)+ROW(Population_by_intervention) -1</f>
        <v>#N/A</v>
      </c>
      <c r="N142" s="360" t="e">
        <f>MATCH($L142,'Reference Records'!$E$507:$E$509,1)+ROW(Population_by_intervention) -1</f>
        <v>#N/A</v>
      </c>
      <c r="O142" s="360" t="str">
        <f>IFERROR(VLOOKUP(AA142,'Reference Records'!B525:C527,2,0),"")</f>
        <v/>
      </c>
      <c r="P142" s="360"/>
      <c r="Q142" s="361" t="s">
        <v>425</v>
      </c>
      <c r="R142" s="362"/>
      <c r="S142" s="360"/>
      <c r="T142" s="363"/>
      <c r="U142" s="364" t="str">
        <f>IFERROR(IF(VLOOKUP(E142,'Reference Records'!$C$192:$D$250,2,FALSE)=0,"",VLOOKUP(E142,'Reference Records'!$C$192:$D$250,2,FALSE)),"")</f>
        <v/>
      </c>
      <c r="V142" s="350"/>
      <c r="W142" s="365" t="str">
        <f t="shared" si="16"/>
        <v/>
      </c>
      <c r="X142" s="365" t="str">
        <f t="shared" si="17"/>
        <v/>
      </c>
      <c r="Y142" s="365" t="b">
        <f t="shared" si="18"/>
        <v>0</v>
      </c>
      <c r="Z142" s="365" t="b">
        <f t="shared" si="19"/>
        <v>1</v>
      </c>
      <c r="AA142" s="365" t="str">
        <f>IFERROR(VLOOKUP(L142,'Reference Records'!B$252:E437,4,0),"")</f>
        <v/>
      </c>
      <c r="AB142" s="365" t="s">
        <v>532</v>
      </c>
      <c r="AC142" s="353" t="e">
        <f t="shared" si="20"/>
        <v>#N/A</v>
      </c>
      <c r="AD142" s="353" t="str">
        <f t="shared" si="21"/>
        <v/>
      </c>
      <c r="AE142" s="353" t="str">
        <f t="array" ref="AE142">IFERROR(IF(INDEX($W$124:$W$175, MATCH(0, IF(AD142=$E$124:$E$175, COUNTIF($AE$123:$AE141, $W$124:$W$175), ""), 0))=0,"",INDEX($W$124:$W$175, MATCH(0, IF(AD142=$E$124:$E$175, COUNTIF($AE$123:$AE141, $W$124:$W$175), ""), 0))),"")</f>
        <v/>
      </c>
      <c r="AF142" s="353" t="str">
        <f t="shared" si="22"/>
        <v>|empty|</v>
      </c>
      <c r="AG142" s="353" t="str">
        <f t="shared" si="23"/>
        <v>INT-350998</v>
      </c>
      <c r="AH142" s="353" t="str">
        <f t="shared" si="24"/>
        <v>a28</v>
      </c>
      <c r="AI142" s="353">
        <f>IF(COUNTIF($AH$124:AH193,"&lt;="&amp;AH142)=0,"",COUNTIF($AH$124:AH193,"&lt;="&amp;AH142))</f>
        <v>18</v>
      </c>
      <c r="AJ142" s="353">
        <f>RANK(AI142,AI$124:AI193,1)</f>
        <v>18</v>
      </c>
      <c r="AK142" s="353" t="str">
        <f>INDEX(E$124:E193,MATCH(ROWS(AJ$124:AJ142),AJ$124:AJ193,0))</f>
        <v/>
      </c>
      <c r="AL142" s="353" t="str">
        <f>INDEX(K$124:K193,MATCH(ROWS(AJ$124:AJ142),AJ$124:AJ193,0))</f>
        <v/>
      </c>
      <c r="AM142" s="353">
        <f>INDEX(V$124:V193,MATCH(ROWS(AJ$124:AJ142),AJ$124:AJ193,0))</f>
        <v>0</v>
      </c>
      <c r="AN142" s="353" t="str">
        <f t="shared" si="25"/>
        <v/>
      </c>
      <c r="AO142" s="353" t="e">
        <f t="shared" si="26"/>
        <v>#N/A</v>
      </c>
      <c r="AP142" s="353" t="str">
        <f>Setup!A103</f>
        <v>a28</v>
      </c>
      <c r="AQ142" s="366" t="s">
        <v>533</v>
      </c>
      <c r="AR142" s="301"/>
      <c r="AS142" s="300"/>
    </row>
    <row r="143" spans="1:45" ht="47.1" customHeight="1">
      <c r="A143" s="327">
        <v>19</v>
      </c>
      <c r="B143" s="355" t="str" cm="1">
        <f t="array" ref="B143">IFERROR(INDEX($E$123:$E$175, MATCH(0, COUNTIF($B$123:B142, $E$123:$E$175&amp;"") + IF($E$123:$E$175="",1,0),0)),"")</f>
        <v/>
      </c>
      <c r="C143" s="356"/>
      <c r="D143" s="357"/>
      <c r="E143" s="358" t="str">
        <f>IFERROR(IF(AND(K143="",T143=""),"",(VLOOKUP(Q143,'Reference records(soft deleted)'!$B$87:$D$138,3,FALSE))),"")</f>
        <v/>
      </c>
      <c r="F143" s="359" t="str">
        <f t="shared" si="15"/>
        <v>INT-350999</v>
      </c>
      <c r="G143" s="360"/>
      <c r="H143" s="360"/>
      <c r="I143" s="360"/>
      <c r="J143" s="360"/>
      <c r="K143" s="358" t="str">
        <f>IFERROR(VLOOKUP(R143,'Reference Records'!B$252:C438,2,0),"")</f>
        <v/>
      </c>
      <c r="L143" s="360" t="e">
        <f>VLOOKUP(U143&amp;K143,'Reference Records'!H$252:I438,2,0)</f>
        <v>#N/A</v>
      </c>
      <c r="M143" s="360" t="e">
        <f>MATCH($L143,'Reference Records'!$E$507:$E$509,0)+ROW(Population_by_intervention) -1</f>
        <v>#N/A</v>
      </c>
      <c r="N143" s="360" t="e">
        <f>MATCH($L143,'Reference Records'!$E$507:$E$509,1)+ROW(Population_by_intervention) -1</f>
        <v>#N/A</v>
      </c>
      <c r="O143" s="360" t="str">
        <f>IFERROR(VLOOKUP(AA143,'Reference Records'!B526:C528,2,0),"")</f>
        <v/>
      </c>
      <c r="P143" s="360"/>
      <c r="Q143" s="361" t="s">
        <v>425</v>
      </c>
      <c r="R143" s="362"/>
      <c r="S143" s="360"/>
      <c r="T143" s="363"/>
      <c r="U143" s="364" t="str">
        <f>IFERROR(IF(VLOOKUP(E143,'Reference Records'!$C$192:$D$250,2,FALSE)=0,"",VLOOKUP(E143,'Reference Records'!$C$192:$D$250,2,FALSE)),"")</f>
        <v/>
      </c>
      <c r="V143" s="350"/>
      <c r="W143" s="365" t="str">
        <f t="shared" si="16"/>
        <v/>
      </c>
      <c r="X143" s="365" t="str">
        <f t="shared" si="17"/>
        <v/>
      </c>
      <c r="Y143" s="365" t="b">
        <f t="shared" si="18"/>
        <v>0</v>
      </c>
      <c r="Z143" s="365" t="b">
        <f t="shared" si="19"/>
        <v>1</v>
      </c>
      <c r="AA143" s="365" t="str">
        <f>IFERROR(VLOOKUP(L143,'Reference Records'!B$252:E438,4,0),"")</f>
        <v/>
      </c>
      <c r="AB143" s="365" t="s">
        <v>534</v>
      </c>
      <c r="AC143" s="353" t="e">
        <f t="shared" si="20"/>
        <v>#N/A</v>
      </c>
      <c r="AD143" s="353" t="str">
        <f t="shared" si="21"/>
        <v/>
      </c>
      <c r="AE143" s="353" t="str">
        <f t="array" ref="AE143">IFERROR(IF(INDEX($W$124:$W$175, MATCH(0, IF(AD143=$E$124:$E$175, COUNTIF($AE$123:$AE142, $W$124:$W$175), ""), 0))=0,"",INDEX($W$124:$W$175, MATCH(0, IF(AD143=$E$124:$E$175, COUNTIF($AE$123:$AE142, $W$124:$W$175), ""), 0))),"")</f>
        <v/>
      </c>
      <c r="AF143" s="353" t="str">
        <f t="shared" si="22"/>
        <v>|empty|</v>
      </c>
      <c r="AG143" s="353" t="str">
        <f t="shared" si="23"/>
        <v>INT-350999</v>
      </c>
      <c r="AH143" s="353" t="str">
        <f t="shared" si="24"/>
        <v>a29</v>
      </c>
      <c r="AI143" s="353">
        <f>IF(COUNTIF($AH$124:AH194,"&lt;="&amp;AH143)=0,"",COUNTIF($AH$124:AH194,"&lt;="&amp;AH143))</f>
        <v>19</v>
      </c>
      <c r="AJ143" s="353">
        <f>RANK(AI143,AI$124:AI194,1)</f>
        <v>19</v>
      </c>
      <c r="AK143" s="353" t="str">
        <f>INDEX(E$124:E194,MATCH(ROWS(AJ$124:AJ143),AJ$124:AJ194,0))</f>
        <v/>
      </c>
      <c r="AL143" s="353" t="str">
        <f>INDEX(K$124:K194,MATCH(ROWS(AJ$124:AJ143),AJ$124:AJ194,0))</f>
        <v/>
      </c>
      <c r="AM143" s="353">
        <f>INDEX(V$124:V194,MATCH(ROWS(AJ$124:AJ143),AJ$124:AJ194,0))</f>
        <v>0</v>
      </c>
      <c r="AN143" s="353" t="str">
        <f t="shared" si="25"/>
        <v/>
      </c>
      <c r="AO143" s="353" t="e">
        <f t="shared" si="26"/>
        <v>#N/A</v>
      </c>
      <c r="AP143" s="353" t="str">
        <f>Setup!A104</f>
        <v>a29</v>
      </c>
      <c r="AQ143" s="366" t="s">
        <v>535</v>
      </c>
      <c r="AR143" s="301"/>
      <c r="AS143" s="300"/>
    </row>
    <row r="144" spans="1:45" ht="47.1" customHeight="1">
      <c r="A144" s="327">
        <v>20</v>
      </c>
      <c r="B144" s="355" t="str" cm="1">
        <f t="array" ref="B144">IFERROR(INDEX($E$123:$E$175, MATCH(0, COUNTIF($B$123:B143, $E$123:$E$175&amp;"") + IF($E$123:$E$175="",1,0),0)),"")</f>
        <v/>
      </c>
      <c r="C144" s="356"/>
      <c r="D144" s="357"/>
      <c r="E144" s="358" t="str">
        <f>IFERROR(IF(AND(K144="",T144=""),"",(VLOOKUP(Q144,'Reference records(soft deleted)'!$B$87:$D$138,3,FALSE))),"")</f>
        <v/>
      </c>
      <c r="F144" s="359" t="str">
        <f t="shared" si="15"/>
        <v>INT-351000</v>
      </c>
      <c r="G144" s="360"/>
      <c r="H144" s="360"/>
      <c r="I144" s="360"/>
      <c r="J144" s="360"/>
      <c r="K144" s="358" t="str">
        <f>IFERROR(VLOOKUP(R144,'Reference Records'!B$252:C439,2,0),"")</f>
        <v/>
      </c>
      <c r="L144" s="360" t="e">
        <f>VLOOKUP(U144&amp;K144,'Reference Records'!H$252:I439,2,0)</f>
        <v>#N/A</v>
      </c>
      <c r="M144" s="360" t="e">
        <f>MATCH($L144,'Reference Records'!$E$507:$E$509,0)+ROW(Population_by_intervention) -1</f>
        <v>#N/A</v>
      </c>
      <c r="N144" s="360" t="e">
        <f>MATCH($L144,'Reference Records'!$E$507:$E$509,1)+ROW(Population_by_intervention) -1</f>
        <v>#N/A</v>
      </c>
      <c r="O144" s="360" t="str">
        <f>IFERROR(VLOOKUP(AA144,'Reference Records'!B527:C529,2,0),"")</f>
        <v/>
      </c>
      <c r="P144" s="360"/>
      <c r="Q144" s="361" t="s">
        <v>425</v>
      </c>
      <c r="R144" s="362"/>
      <c r="S144" s="360"/>
      <c r="T144" s="363"/>
      <c r="U144" s="364" t="str">
        <f>IFERROR(IF(VLOOKUP(E144,'Reference Records'!$C$192:$D$250,2,FALSE)=0,"",VLOOKUP(E144,'Reference Records'!$C$192:$D$250,2,FALSE)),"")</f>
        <v/>
      </c>
      <c r="V144" s="350"/>
      <c r="W144" s="365" t="str">
        <f t="shared" si="16"/>
        <v/>
      </c>
      <c r="X144" s="365" t="str">
        <f t="shared" si="17"/>
        <v/>
      </c>
      <c r="Y144" s="365" t="b">
        <f t="shared" si="18"/>
        <v>0</v>
      </c>
      <c r="Z144" s="365" t="b">
        <f t="shared" si="19"/>
        <v>1</v>
      </c>
      <c r="AA144" s="365" t="str">
        <f>IFERROR(VLOOKUP(L144,'Reference Records'!B$252:E439,4,0),"")</f>
        <v/>
      </c>
      <c r="AB144" s="365" t="s">
        <v>536</v>
      </c>
      <c r="AC144" s="353" t="e">
        <f t="shared" si="20"/>
        <v>#N/A</v>
      </c>
      <c r="AD144" s="353" t="str">
        <f t="shared" si="21"/>
        <v/>
      </c>
      <c r="AE144" s="353" t="str">
        <f t="array" ref="AE144">IFERROR(IF(INDEX($W$124:$W$175, MATCH(0, IF(AD144=$E$124:$E$175, COUNTIF($AE$123:$AE143, $W$124:$W$175), ""), 0))=0,"",INDEX($W$124:$W$175, MATCH(0, IF(AD144=$E$124:$E$175, COUNTIF($AE$123:$AE143, $W$124:$W$175), ""), 0))),"")</f>
        <v/>
      </c>
      <c r="AF144" s="353" t="str">
        <f t="shared" si="22"/>
        <v>|empty|</v>
      </c>
      <c r="AG144" s="353" t="str">
        <f t="shared" si="23"/>
        <v>INT-351000</v>
      </c>
      <c r="AH144" s="353" t="str">
        <f t="shared" si="24"/>
        <v>a30</v>
      </c>
      <c r="AI144" s="353">
        <f>IF(COUNTIF($AH$124:AH195,"&lt;="&amp;AH144)=0,"",COUNTIF($AH$124:AH195,"&lt;="&amp;AH144))</f>
        <v>20</v>
      </c>
      <c r="AJ144" s="353">
        <f>RANK(AI144,AI$124:AI195,1)</f>
        <v>20</v>
      </c>
      <c r="AK144" s="353" t="str">
        <f>INDEX(E$124:E195,MATCH(ROWS(AJ$124:AJ144),AJ$124:AJ195,0))</f>
        <v/>
      </c>
      <c r="AL144" s="353" t="str">
        <f>INDEX(K$124:K195,MATCH(ROWS(AJ$124:AJ144),AJ$124:AJ195,0))</f>
        <v/>
      </c>
      <c r="AM144" s="353">
        <f>INDEX(V$124:V195,MATCH(ROWS(AJ$124:AJ144),AJ$124:AJ195,0))</f>
        <v>0</v>
      </c>
      <c r="AN144" s="353" t="str">
        <f t="shared" si="25"/>
        <v/>
      </c>
      <c r="AO144" s="353" t="e">
        <f t="shared" si="26"/>
        <v>#N/A</v>
      </c>
      <c r="AP144" s="353" t="str">
        <f>Setup!A105</f>
        <v>a30</v>
      </c>
      <c r="AQ144" s="366" t="s">
        <v>537</v>
      </c>
      <c r="AR144" s="301"/>
      <c r="AS144" s="300"/>
    </row>
    <row r="145" spans="1:45" ht="47.1" customHeight="1">
      <c r="A145" s="327">
        <v>21</v>
      </c>
      <c r="B145" s="355" t="str" cm="1">
        <f t="array" ref="B145">IFERROR(INDEX($E$123:$E$175, MATCH(0, COUNTIF($B$123:B144, $E$123:$E$175&amp;"") + IF($E$123:$E$175="",1,0),0)),"")</f>
        <v/>
      </c>
      <c r="C145" s="356"/>
      <c r="D145" s="357"/>
      <c r="E145" s="358" t="str">
        <f>IFERROR(IF(AND(K145="",T145=""),"",(VLOOKUP(Q145,'Reference records(soft deleted)'!$B$87:$D$138,3,FALSE))),"")</f>
        <v/>
      </c>
      <c r="F145" s="359" t="str">
        <f t="shared" si="15"/>
        <v>INT-351001</v>
      </c>
      <c r="G145" s="360"/>
      <c r="H145" s="360"/>
      <c r="I145" s="360"/>
      <c r="J145" s="360"/>
      <c r="K145" s="358" t="str">
        <f>IFERROR(VLOOKUP(R145,'Reference Records'!B$252:C440,2,0),"")</f>
        <v/>
      </c>
      <c r="L145" s="360" t="e">
        <f>VLOOKUP(U145&amp;K145,'Reference Records'!H$252:I440,2,0)</f>
        <v>#N/A</v>
      </c>
      <c r="M145" s="360" t="e">
        <f>MATCH($L145,'Reference Records'!$E$507:$E$509,0)+ROW(Population_by_intervention) -1</f>
        <v>#N/A</v>
      </c>
      <c r="N145" s="360" t="e">
        <f>MATCH($L145,'Reference Records'!$E$507:$E$509,1)+ROW(Population_by_intervention) -1</f>
        <v>#N/A</v>
      </c>
      <c r="O145" s="360" t="str">
        <f>IFERROR(VLOOKUP(AA145,'Reference Records'!B528:C530,2,0),"")</f>
        <v/>
      </c>
      <c r="P145" s="360"/>
      <c r="Q145" s="361" t="s">
        <v>425</v>
      </c>
      <c r="R145" s="362"/>
      <c r="S145" s="360"/>
      <c r="T145" s="363"/>
      <c r="U145" s="364" t="str">
        <f>IFERROR(IF(VLOOKUP(E145,'Reference Records'!$C$192:$D$250,2,FALSE)=0,"",VLOOKUP(E145,'Reference Records'!$C$192:$D$250,2,FALSE)),"")</f>
        <v/>
      </c>
      <c r="V145" s="350"/>
      <c r="W145" s="365" t="str">
        <f t="shared" si="16"/>
        <v/>
      </c>
      <c r="X145" s="365" t="str">
        <f t="shared" si="17"/>
        <v/>
      </c>
      <c r="Y145" s="365" t="b">
        <f t="shared" si="18"/>
        <v>0</v>
      </c>
      <c r="Z145" s="365" t="b">
        <f t="shared" si="19"/>
        <v>1</v>
      </c>
      <c r="AA145" s="365" t="str">
        <f>IFERROR(VLOOKUP(L145,'Reference Records'!B$252:E440,4,0),"")</f>
        <v/>
      </c>
      <c r="AB145" s="365" t="s">
        <v>538</v>
      </c>
      <c r="AC145" s="353" t="e">
        <f t="shared" si="20"/>
        <v>#N/A</v>
      </c>
      <c r="AD145" s="353" t="str">
        <f t="shared" si="21"/>
        <v/>
      </c>
      <c r="AE145" s="353" t="str">
        <f t="array" ref="AE145">IFERROR(IF(INDEX($W$124:$W$175, MATCH(0, IF(AD145=$E$124:$E$175, COUNTIF($AE$123:$AE144, $W$124:$W$175), ""), 0))=0,"",INDEX($W$124:$W$175, MATCH(0, IF(AD145=$E$124:$E$175, COUNTIF($AE$123:$AE144, $W$124:$W$175), ""), 0))),"")</f>
        <v/>
      </c>
      <c r="AF145" s="353" t="str">
        <f t="shared" si="22"/>
        <v>|empty|</v>
      </c>
      <c r="AG145" s="353" t="str">
        <f t="shared" si="23"/>
        <v>INT-351001</v>
      </c>
      <c r="AH145" s="353" t="str">
        <f t="shared" si="24"/>
        <v>a31</v>
      </c>
      <c r="AI145" s="353">
        <f>IF(COUNTIF($AH$124:AH196,"&lt;="&amp;AH145)=0,"",COUNTIF($AH$124:AH196,"&lt;="&amp;AH145))</f>
        <v>21</v>
      </c>
      <c r="AJ145" s="353">
        <f>RANK(AI145,AI$124:AI196,1)</f>
        <v>21</v>
      </c>
      <c r="AK145" s="353" t="str">
        <f>INDEX(E$124:E196,MATCH(ROWS(AJ$124:AJ145),AJ$124:AJ196,0))</f>
        <v/>
      </c>
      <c r="AL145" s="353" t="str">
        <f>INDEX(K$124:K196,MATCH(ROWS(AJ$124:AJ145),AJ$124:AJ196,0))</f>
        <v/>
      </c>
      <c r="AM145" s="353">
        <f>INDEX(V$124:V196,MATCH(ROWS(AJ$124:AJ145),AJ$124:AJ196,0))</f>
        <v>0</v>
      </c>
      <c r="AN145" s="353" t="str">
        <f t="shared" si="25"/>
        <v/>
      </c>
      <c r="AO145" s="353" t="e">
        <f t="shared" si="26"/>
        <v>#N/A</v>
      </c>
      <c r="AP145" s="353" t="str">
        <f>Setup!A106</f>
        <v>a31</v>
      </c>
      <c r="AQ145" s="366" t="s">
        <v>539</v>
      </c>
      <c r="AR145" s="301"/>
      <c r="AS145" s="300"/>
    </row>
    <row r="146" spans="1:45" ht="47.1" customHeight="1">
      <c r="A146" s="327">
        <v>22</v>
      </c>
      <c r="B146" s="355" t="str" cm="1">
        <f t="array" ref="B146">IFERROR(INDEX($E$123:$E$175, MATCH(0, COUNTIF($B$123:B145, $E$123:$E$175&amp;"") + IF($E$123:$E$175="",1,0),0)),"")</f>
        <v/>
      </c>
      <c r="C146" s="356"/>
      <c r="D146" s="357"/>
      <c r="E146" s="358" t="str">
        <f>IFERROR(IF(AND(K146="",T146=""),"",(VLOOKUP(Q146,'Reference records(soft deleted)'!$B$87:$D$138,3,FALSE))),"")</f>
        <v/>
      </c>
      <c r="F146" s="359" t="str">
        <f t="shared" si="15"/>
        <v>INT-351002</v>
      </c>
      <c r="G146" s="360"/>
      <c r="H146" s="360"/>
      <c r="I146" s="360"/>
      <c r="J146" s="360"/>
      <c r="K146" s="358" t="str">
        <f>IFERROR(VLOOKUP(R146,'Reference Records'!B$252:C495,2,0),"")</f>
        <v/>
      </c>
      <c r="L146" s="360" t="e">
        <f>VLOOKUP(U146&amp;K146,'Reference Records'!H$252:I495,2,0)</f>
        <v>#N/A</v>
      </c>
      <c r="M146" s="360" t="e">
        <f>MATCH($L146,'Reference Records'!$E$507:$E$509,0)+ROW(Population_by_intervention) -1</f>
        <v>#N/A</v>
      </c>
      <c r="N146" s="360" t="e">
        <f>MATCH($L146,'Reference Records'!$E$507:$E$509,1)+ROW(Population_by_intervention) -1</f>
        <v>#N/A</v>
      </c>
      <c r="O146" s="360" t="str">
        <f>IFERROR(VLOOKUP(AA146,'Reference Records'!B529:C531,2,0),"")</f>
        <v/>
      </c>
      <c r="P146" s="360"/>
      <c r="Q146" s="361" t="s">
        <v>425</v>
      </c>
      <c r="R146" s="362"/>
      <c r="S146" s="360"/>
      <c r="T146" s="363"/>
      <c r="U146" s="364" t="str">
        <f>IFERROR(IF(VLOOKUP(E146,'Reference Records'!$C$192:$D$250,2,FALSE)=0,"",VLOOKUP(E146,'Reference Records'!$C$192:$D$250,2,FALSE)),"")</f>
        <v/>
      </c>
      <c r="V146" s="350"/>
      <c r="W146" s="365" t="str">
        <f t="shared" si="16"/>
        <v/>
      </c>
      <c r="X146" s="365" t="str">
        <f t="shared" si="17"/>
        <v/>
      </c>
      <c r="Y146" s="365" t="b">
        <f t="shared" si="18"/>
        <v>0</v>
      </c>
      <c r="Z146" s="365" t="b">
        <f t="shared" si="19"/>
        <v>1</v>
      </c>
      <c r="AA146" s="365" t="str">
        <f>IFERROR(VLOOKUP(L146,'Reference Records'!B$252:E495,4,0),"")</f>
        <v/>
      </c>
      <c r="AB146" s="365" t="s">
        <v>540</v>
      </c>
      <c r="AC146" s="353" t="e">
        <f t="shared" si="20"/>
        <v>#N/A</v>
      </c>
      <c r="AD146" s="353" t="str">
        <f t="shared" si="21"/>
        <v/>
      </c>
      <c r="AE146" s="353" t="str">
        <f t="array" ref="AE146">IFERROR(IF(INDEX($W$124:$W$175, MATCH(0, IF(AD146=$E$124:$E$175, COUNTIF($AE$123:$AE145, $W$124:$W$175), ""), 0))=0,"",INDEX($W$124:$W$175, MATCH(0, IF(AD146=$E$124:$E$175, COUNTIF($AE$123:$AE145, $W$124:$W$175), ""), 0))),"")</f>
        <v/>
      </c>
      <c r="AF146" s="353" t="str">
        <f t="shared" si="22"/>
        <v>|empty|</v>
      </c>
      <c r="AG146" s="353" t="str">
        <f t="shared" si="23"/>
        <v>INT-351002</v>
      </c>
      <c r="AH146" s="353" t="str">
        <f t="shared" si="24"/>
        <v>a32</v>
      </c>
      <c r="AI146" s="353">
        <f>IF(COUNTIF($AH$124:AH197,"&lt;="&amp;AH146)=0,"",COUNTIF($AH$124:AH197,"&lt;="&amp;AH146))</f>
        <v>22</v>
      </c>
      <c r="AJ146" s="353">
        <f>RANK(AI146,AI$124:AI197,1)</f>
        <v>22</v>
      </c>
      <c r="AK146" s="353" t="str">
        <f>INDEX(E$124:E197,MATCH(ROWS(AJ$124:AJ146),AJ$124:AJ197,0))</f>
        <v/>
      </c>
      <c r="AL146" s="353" t="str">
        <f>INDEX(K$124:K197,MATCH(ROWS(AJ$124:AJ146),AJ$124:AJ197,0))</f>
        <v/>
      </c>
      <c r="AM146" s="353">
        <f>INDEX(V$124:V197,MATCH(ROWS(AJ$124:AJ146),AJ$124:AJ197,0))</f>
        <v>0</v>
      </c>
      <c r="AN146" s="353" t="str">
        <f t="shared" si="25"/>
        <v/>
      </c>
      <c r="AO146" s="353" t="e">
        <f t="shared" si="26"/>
        <v>#N/A</v>
      </c>
      <c r="AP146" s="353" t="str">
        <f>Setup!A107</f>
        <v>a32</v>
      </c>
      <c r="AQ146" s="366" t="s">
        <v>541</v>
      </c>
      <c r="AR146" s="301"/>
      <c r="AS146" s="300"/>
    </row>
    <row r="147" spans="1:45" ht="47.1" customHeight="1">
      <c r="A147" s="327">
        <v>23</v>
      </c>
      <c r="B147" s="355" t="str" cm="1">
        <f t="array" ref="B147">IFERROR(INDEX($E$123:$E$175, MATCH(0, COUNTIF($B$123:B146, $E$123:$E$175&amp;"") + IF($E$123:$E$175="",1,0),0)),"")</f>
        <v/>
      </c>
      <c r="C147" s="356"/>
      <c r="D147" s="357"/>
      <c r="E147" s="358" t="str">
        <f>IFERROR(IF(AND(K147="",T147=""),"",(VLOOKUP(Q147,'Reference records(soft deleted)'!$B$87:$D$138,3,FALSE))),"")</f>
        <v/>
      </c>
      <c r="F147" s="359" t="str">
        <f t="shared" si="15"/>
        <v>INT-351003</v>
      </c>
      <c r="G147" s="360"/>
      <c r="H147" s="360"/>
      <c r="I147" s="360"/>
      <c r="J147" s="360"/>
      <c r="K147" s="358" t="str">
        <f>IFERROR(VLOOKUP(R147,'Reference Records'!B$252:C496,2,0),"")</f>
        <v/>
      </c>
      <c r="L147" s="360" t="e">
        <f>VLOOKUP(U147&amp;K147,'Reference Records'!H$252:I496,2,0)</f>
        <v>#N/A</v>
      </c>
      <c r="M147" s="360" t="e">
        <f>MATCH($L147,'Reference Records'!$E$507:$E$509,0)+ROW(Population_by_intervention) -1</f>
        <v>#N/A</v>
      </c>
      <c r="N147" s="360" t="e">
        <f>MATCH($L147,'Reference Records'!$E$507:$E$509,1)+ROW(Population_by_intervention) -1</f>
        <v>#N/A</v>
      </c>
      <c r="O147" s="360" t="str">
        <f>IFERROR(VLOOKUP(AA147,'Reference Records'!B530:C532,2,0),"")</f>
        <v/>
      </c>
      <c r="P147" s="360"/>
      <c r="Q147" s="361" t="s">
        <v>425</v>
      </c>
      <c r="R147" s="362"/>
      <c r="S147" s="360"/>
      <c r="T147" s="363"/>
      <c r="U147" s="364" t="str">
        <f>IFERROR(IF(VLOOKUP(E147,'Reference Records'!$C$192:$D$250,2,FALSE)=0,"",VLOOKUP(E147,'Reference Records'!$C$192:$D$250,2,FALSE)),"")</f>
        <v/>
      </c>
      <c r="V147" s="350"/>
      <c r="W147" s="365" t="str">
        <f t="shared" si="16"/>
        <v/>
      </c>
      <c r="X147" s="365" t="str">
        <f t="shared" si="17"/>
        <v/>
      </c>
      <c r="Y147" s="365" t="b">
        <f t="shared" si="18"/>
        <v>0</v>
      </c>
      <c r="Z147" s="365" t="b">
        <f t="shared" si="19"/>
        <v>1</v>
      </c>
      <c r="AA147" s="365" t="str">
        <f>IFERROR(VLOOKUP(L147,'Reference Records'!B$252:E496,4,0),"")</f>
        <v/>
      </c>
      <c r="AB147" s="365" t="s">
        <v>542</v>
      </c>
      <c r="AC147" s="353" t="e">
        <f t="shared" si="20"/>
        <v>#N/A</v>
      </c>
      <c r="AD147" s="353" t="str">
        <f t="shared" si="21"/>
        <v/>
      </c>
      <c r="AE147" s="353" t="str">
        <f t="array" ref="AE147">IFERROR(IF(INDEX($W$124:$W$175, MATCH(0, IF(AD147=$E$124:$E$175, COUNTIF($AE$123:$AE146, $W$124:$W$175), ""), 0))=0,"",INDEX($W$124:$W$175, MATCH(0, IF(AD147=$E$124:$E$175, COUNTIF($AE$123:$AE146, $W$124:$W$175), ""), 0))),"")</f>
        <v/>
      </c>
      <c r="AF147" s="353" t="str">
        <f t="shared" si="22"/>
        <v>|empty|</v>
      </c>
      <c r="AG147" s="353" t="str">
        <f t="shared" si="23"/>
        <v>INT-351003</v>
      </c>
      <c r="AH147" s="353" t="str">
        <f t="shared" si="24"/>
        <v>a33</v>
      </c>
      <c r="AI147" s="353">
        <f>IF(COUNTIF($AH$124:AH198,"&lt;="&amp;AH147)=0,"",COUNTIF($AH$124:AH198,"&lt;="&amp;AH147))</f>
        <v>23</v>
      </c>
      <c r="AJ147" s="353">
        <f>RANK(AI147,AI$124:AI198,1)</f>
        <v>23</v>
      </c>
      <c r="AK147" s="353" t="str">
        <f>INDEX(E$124:E198,MATCH(ROWS(AJ$124:AJ147),AJ$124:AJ198,0))</f>
        <v/>
      </c>
      <c r="AL147" s="353" t="str">
        <f>INDEX(K$124:K198,MATCH(ROWS(AJ$124:AJ147),AJ$124:AJ198,0))</f>
        <v/>
      </c>
      <c r="AM147" s="353">
        <f>INDEX(V$124:V198,MATCH(ROWS(AJ$124:AJ147),AJ$124:AJ198,0))</f>
        <v>0</v>
      </c>
      <c r="AN147" s="353" t="str">
        <f t="shared" si="25"/>
        <v/>
      </c>
      <c r="AO147" s="353" t="e">
        <f t="shared" si="26"/>
        <v>#N/A</v>
      </c>
      <c r="AP147" s="353" t="str">
        <f>Setup!A108</f>
        <v>a33</v>
      </c>
      <c r="AQ147" s="366" t="s">
        <v>543</v>
      </c>
      <c r="AR147" s="301"/>
      <c r="AS147" s="300"/>
    </row>
    <row r="148" spans="1:45" ht="47.1" customHeight="1">
      <c r="A148" s="327">
        <v>24</v>
      </c>
      <c r="B148" s="355" t="str" cm="1">
        <f t="array" ref="B148">IFERROR(INDEX($E$123:$E$175, MATCH(0, COUNTIF($B$123:B147, $E$123:$E$175&amp;"") + IF($E$123:$E$175="",1,0),0)),"")</f>
        <v/>
      </c>
      <c r="C148" s="356"/>
      <c r="D148" s="357"/>
      <c r="E148" s="358" t="str">
        <f>IFERROR(IF(AND(K148="",T148=""),"",(VLOOKUP(Q148,'Reference records(soft deleted)'!$B$87:$D$138,3,FALSE))),"")</f>
        <v/>
      </c>
      <c r="F148" s="359" t="str">
        <f t="shared" si="15"/>
        <v>INT-351004</v>
      </c>
      <c r="G148" s="360"/>
      <c r="H148" s="360"/>
      <c r="I148" s="360"/>
      <c r="J148" s="360"/>
      <c r="K148" s="358" t="str">
        <f>IFERROR(VLOOKUP(R148,'Reference Records'!B$252:C497,2,0),"")</f>
        <v/>
      </c>
      <c r="L148" s="360" t="e">
        <f>VLOOKUP(U148&amp;K148,'Reference Records'!H$252:I497,2,0)</f>
        <v>#N/A</v>
      </c>
      <c r="M148" s="360" t="e">
        <f>MATCH($L148,'Reference Records'!$E$507:$E$509,0)+ROW(Population_by_intervention) -1</f>
        <v>#N/A</v>
      </c>
      <c r="N148" s="360" t="e">
        <f>MATCH($L148,'Reference Records'!$E$507:$E$509,1)+ROW(Population_by_intervention) -1</f>
        <v>#N/A</v>
      </c>
      <c r="O148" s="360" t="str">
        <f>IFERROR(VLOOKUP(AA148,'Reference Records'!B531:C533,2,0),"")</f>
        <v/>
      </c>
      <c r="P148" s="360"/>
      <c r="Q148" s="361" t="s">
        <v>425</v>
      </c>
      <c r="R148" s="362"/>
      <c r="S148" s="360"/>
      <c r="T148" s="363"/>
      <c r="U148" s="364" t="str">
        <f>IFERROR(IF(VLOOKUP(E148,'Reference Records'!$C$192:$D$250,2,FALSE)=0,"",VLOOKUP(E148,'Reference Records'!$C$192:$D$250,2,FALSE)),"")</f>
        <v/>
      </c>
      <c r="V148" s="350"/>
      <c r="W148" s="365" t="str">
        <f t="shared" si="16"/>
        <v/>
      </c>
      <c r="X148" s="365" t="str">
        <f t="shared" si="17"/>
        <v/>
      </c>
      <c r="Y148" s="365" t="b">
        <f t="shared" si="18"/>
        <v>0</v>
      </c>
      <c r="Z148" s="365" t="b">
        <f t="shared" si="19"/>
        <v>1</v>
      </c>
      <c r="AA148" s="365" t="str">
        <f>IFERROR(VLOOKUP(L148,'Reference Records'!B$252:E497,4,0),"")</f>
        <v/>
      </c>
      <c r="AB148" s="365" t="s">
        <v>544</v>
      </c>
      <c r="AC148" s="353" t="e">
        <f t="shared" si="20"/>
        <v>#N/A</v>
      </c>
      <c r="AD148" s="353" t="str">
        <f t="shared" si="21"/>
        <v/>
      </c>
      <c r="AE148" s="353" t="str">
        <f t="array" ref="AE148">IFERROR(IF(INDEX($W$124:$W$175, MATCH(0, IF(AD148=$E$124:$E$175, COUNTIF($AE$123:$AE147, $W$124:$W$175), ""), 0))=0,"",INDEX($W$124:$W$175, MATCH(0, IF(AD148=$E$124:$E$175, COUNTIF($AE$123:$AE147, $W$124:$W$175), ""), 0))),"")</f>
        <v/>
      </c>
      <c r="AF148" s="353" t="str">
        <f t="shared" si="22"/>
        <v>|empty|</v>
      </c>
      <c r="AG148" s="353" t="str">
        <f t="shared" si="23"/>
        <v>INT-351004</v>
      </c>
      <c r="AH148" s="353" t="str">
        <f t="shared" si="24"/>
        <v>a34</v>
      </c>
      <c r="AI148" s="353">
        <f>IF(COUNTIF($AH$124:AH199,"&lt;="&amp;AH148)=0,"",COUNTIF($AH$124:AH199,"&lt;="&amp;AH148))</f>
        <v>24</v>
      </c>
      <c r="AJ148" s="353">
        <f>RANK(AI148,AI$124:AI199,1)</f>
        <v>24</v>
      </c>
      <c r="AK148" s="353" t="str">
        <f>INDEX(E$124:E199,MATCH(ROWS(AJ$124:AJ148),AJ$124:AJ199,0))</f>
        <v/>
      </c>
      <c r="AL148" s="353" t="str">
        <f>INDEX(K$124:K199,MATCH(ROWS(AJ$124:AJ148),AJ$124:AJ199,0))</f>
        <v/>
      </c>
      <c r="AM148" s="353">
        <f>INDEX(V$124:V199,MATCH(ROWS(AJ$124:AJ148),AJ$124:AJ199,0))</f>
        <v>0</v>
      </c>
      <c r="AN148" s="353" t="str">
        <f t="shared" si="25"/>
        <v/>
      </c>
      <c r="AO148" s="353" t="e">
        <f t="shared" si="26"/>
        <v>#N/A</v>
      </c>
      <c r="AP148" s="353" t="str">
        <f>Setup!A109</f>
        <v>a34</v>
      </c>
      <c r="AQ148" s="366" t="s">
        <v>545</v>
      </c>
      <c r="AR148" s="301"/>
      <c r="AS148" s="300"/>
    </row>
    <row r="149" spans="1:45" ht="47.1" customHeight="1">
      <c r="A149" s="327">
        <v>25</v>
      </c>
      <c r="B149" s="355" t="str" cm="1">
        <f t="array" ref="B149">IFERROR(INDEX($E$123:$E$175, MATCH(0, COUNTIF($B$123:B148, $E$123:$E$175&amp;"") + IF($E$123:$E$175="",1,0),0)),"")</f>
        <v/>
      </c>
      <c r="C149" s="356"/>
      <c r="D149" s="357"/>
      <c r="E149" s="358" t="str">
        <f>IFERROR(IF(AND(K149="",T149=""),"",(VLOOKUP(Q149,'Reference records(soft deleted)'!$B$87:$D$138,3,FALSE))),"")</f>
        <v/>
      </c>
      <c r="F149" s="359" t="str">
        <f t="shared" si="15"/>
        <v>INT-351005</v>
      </c>
      <c r="G149" s="360"/>
      <c r="H149" s="360"/>
      <c r="I149" s="360"/>
      <c r="J149" s="360"/>
      <c r="K149" s="358" t="str">
        <f>IFERROR(VLOOKUP(R149,'Reference Records'!B$252:C498,2,0),"")</f>
        <v/>
      </c>
      <c r="L149" s="360" t="e">
        <f>VLOOKUP(U149&amp;K149,'Reference Records'!H$252:I498,2,0)</f>
        <v>#N/A</v>
      </c>
      <c r="M149" s="360" t="e">
        <f>MATCH($L149,'Reference Records'!$E$507:$E$509,0)+ROW(Population_by_intervention) -1</f>
        <v>#N/A</v>
      </c>
      <c r="N149" s="360" t="e">
        <f>MATCH($L149,'Reference Records'!$E$507:$E$509,1)+ROW(Population_by_intervention) -1</f>
        <v>#N/A</v>
      </c>
      <c r="O149" s="360" t="str">
        <f>IFERROR(VLOOKUP(AA149,'Reference Records'!B532:C534,2,0),"")</f>
        <v/>
      </c>
      <c r="P149" s="360"/>
      <c r="Q149" s="361" t="s">
        <v>425</v>
      </c>
      <c r="R149" s="362"/>
      <c r="S149" s="360"/>
      <c r="T149" s="363"/>
      <c r="U149" s="364" t="str">
        <f>IFERROR(IF(VLOOKUP(E149,'Reference Records'!$C$192:$D$250,2,FALSE)=0,"",VLOOKUP(E149,'Reference Records'!$C$192:$D$250,2,FALSE)),"")</f>
        <v/>
      </c>
      <c r="V149" s="350"/>
      <c r="W149" s="365" t="str">
        <f t="shared" si="16"/>
        <v/>
      </c>
      <c r="X149" s="365" t="str">
        <f t="shared" si="17"/>
        <v/>
      </c>
      <c r="Y149" s="365" t="b">
        <f t="shared" si="18"/>
        <v>0</v>
      </c>
      <c r="Z149" s="365" t="b">
        <f t="shared" si="19"/>
        <v>1</v>
      </c>
      <c r="AA149" s="365" t="str">
        <f>IFERROR(VLOOKUP(L149,'Reference Records'!B$252:E498,4,0),"")</f>
        <v/>
      </c>
      <c r="AB149" s="365" t="s">
        <v>546</v>
      </c>
      <c r="AC149" s="353" t="e">
        <f t="shared" si="20"/>
        <v>#N/A</v>
      </c>
      <c r="AD149" s="353" t="str">
        <f t="shared" si="21"/>
        <v/>
      </c>
      <c r="AE149" s="353" t="str">
        <f t="array" ref="AE149">IFERROR(IF(INDEX($W$124:$W$175, MATCH(0, IF(AD149=$E$124:$E$175, COUNTIF($AE$123:$AE148, $W$124:$W$175), ""), 0))=0,"",INDEX($W$124:$W$175, MATCH(0, IF(AD149=$E$124:$E$175, COUNTIF($AE$123:$AE148, $W$124:$W$175), ""), 0))),"")</f>
        <v/>
      </c>
      <c r="AF149" s="353" t="str">
        <f t="shared" si="22"/>
        <v>|empty|</v>
      </c>
      <c r="AG149" s="353" t="str">
        <f t="shared" si="23"/>
        <v>INT-351005</v>
      </c>
      <c r="AH149" s="353" t="str">
        <f t="shared" si="24"/>
        <v>a35</v>
      </c>
      <c r="AI149" s="353">
        <f>IF(COUNTIF($AH$124:AH200,"&lt;="&amp;AH149)=0,"",COUNTIF($AH$124:AH200,"&lt;="&amp;AH149))</f>
        <v>25</v>
      </c>
      <c r="AJ149" s="353">
        <f>RANK(AI149,AI$124:AI200,1)</f>
        <v>25</v>
      </c>
      <c r="AK149" s="353" t="str">
        <f>INDEX(E$124:E200,MATCH(ROWS(AJ$124:AJ149),AJ$124:AJ200,0))</f>
        <v/>
      </c>
      <c r="AL149" s="353" t="str">
        <f>INDEX(K$124:K200,MATCH(ROWS(AJ$124:AJ149),AJ$124:AJ200,0))</f>
        <v/>
      </c>
      <c r="AM149" s="353">
        <f>INDEX(V$124:V200,MATCH(ROWS(AJ$124:AJ149),AJ$124:AJ200,0))</f>
        <v>0</v>
      </c>
      <c r="AN149" s="353" t="str">
        <f t="shared" si="25"/>
        <v/>
      </c>
      <c r="AO149" s="353" t="e">
        <f t="shared" si="26"/>
        <v>#N/A</v>
      </c>
      <c r="AP149" s="353" t="str">
        <f>Setup!A110</f>
        <v>a35</v>
      </c>
      <c r="AQ149" s="366" t="s">
        <v>547</v>
      </c>
      <c r="AR149" s="301"/>
      <c r="AS149" s="300"/>
    </row>
    <row r="150" spans="1:45" ht="47.1" customHeight="1">
      <c r="A150" s="327">
        <v>26</v>
      </c>
      <c r="B150" s="355" t="str" cm="1">
        <f t="array" ref="B150">IFERROR(INDEX($E$123:$E$175, MATCH(0, COUNTIF($B$123:B149, $E$123:$E$175&amp;"") + IF($E$123:$E$175="",1,0),0)),"")</f>
        <v/>
      </c>
      <c r="C150" s="356"/>
      <c r="D150" s="357"/>
      <c r="E150" s="358" t="str">
        <f>IFERROR(IF(AND(K150="",T150=""),"",(VLOOKUP(Q150,'Reference records(soft deleted)'!$B$87:$D$138,3,FALSE))),"")</f>
        <v/>
      </c>
      <c r="F150" s="359" t="str">
        <f t="shared" si="15"/>
        <v>INT-351006</v>
      </c>
      <c r="G150" s="360"/>
      <c r="H150" s="360"/>
      <c r="I150" s="360"/>
      <c r="J150" s="360"/>
      <c r="K150" s="358" t="str">
        <f>IFERROR(VLOOKUP(R150,'Reference Records'!B$252:C499,2,0),"")</f>
        <v/>
      </c>
      <c r="L150" s="360" t="e">
        <f>VLOOKUP(U150&amp;K150,'Reference Records'!H$252:I499,2,0)</f>
        <v>#N/A</v>
      </c>
      <c r="M150" s="360" t="e">
        <f>MATCH($L150,'Reference Records'!$E$507:$E$509,0)+ROW(Population_by_intervention) -1</f>
        <v>#N/A</v>
      </c>
      <c r="N150" s="360" t="e">
        <f>MATCH($L150,'Reference Records'!$E$507:$E$509,1)+ROW(Population_by_intervention) -1</f>
        <v>#N/A</v>
      </c>
      <c r="O150" s="360" t="str">
        <f>IFERROR(VLOOKUP(AA150,'Reference Records'!B533:C535,2,0),"")</f>
        <v/>
      </c>
      <c r="P150" s="360"/>
      <c r="Q150" s="361" t="s">
        <v>425</v>
      </c>
      <c r="R150" s="362"/>
      <c r="S150" s="360"/>
      <c r="T150" s="363"/>
      <c r="U150" s="364" t="str">
        <f>IFERROR(IF(VLOOKUP(E150,'Reference Records'!$C$192:$D$250,2,FALSE)=0,"",VLOOKUP(E150,'Reference Records'!$C$192:$D$250,2,FALSE)),"")</f>
        <v/>
      </c>
      <c r="V150" s="350"/>
      <c r="W150" s="365" t="str">
        <f t="shared" si="16"/>
        <v/>
      </c>
      <c r="X150" s="365" t="str">
        <f t="shared" si="17"/>
        <v/>
      </c>
      <c r="Y150" s="365" t="b">
        <f t="shared" si="18"/>
        <v>0</v>
      </c>
      <c r="Z150" s="365" t="b">
        <f t="shared" si="19"/>
        <v>1</v>
      </c>
      <c r="AA150" s="365" t="str">
        <f>IFERROR(VLOOKUP(L150,'Reference Records'!B$252:E499,4,0),"")</f>
        <v/>
      </c>
      <c r="AB150" s="365" t="s">
        <v>548</v>
      </c>
      <c r="AC150" s="353" t="e">
        <f t="shared" si="20"/>
        <v>#N/A</v>
      </c>
      <c r="AD150" s="353" t="str">
        <f t="shared" si="21"/>
        <v/>
      </c>
      <c r="AE150" s="353" t="str">
        <f t="array" ref="AE150">IFERROR(IF(INDEX($W$124:$W$175, MATCH(0, IF(AD150=$E$124:$E$175, COUNTIF($AE$123:$AE149, $W$124:$W$175), ""), 0))=0,"",INDEX($W$124:$W$175, MATCH(0, IF(AD150=$E$124:$E$175, COUNTIF($AE$123:$AE149, $W$124:$W$175), ""), 0))),"")</f>
        <v/>
      </c>
      <c r="AF150" s="353" t="str">
        <f t="shared" si="22"/>
        <v>|empty|</v>
      </c>
      <c r="AG150" s="353" t="str">
        <f t="shared" si="23"/>
        <v>INT-351006</v>
      </c>
      <c r="AH150" s="353" t="str">
        <f t="shared" si="24"/>
        <v>a36</v>
      </c>
      <c r="AI150" s="353">
        <f>IF(COUNTIF($AH$124:AH201,"&lt;="&amp;AH150)=0,"",COUNTIF($AH$124:AH201,"&lt;="&amp;AH150))</f>
        <v>26</v>
      </c>
      <c r="AJ150" s="353">
        <f>RANK(AI150,AI$124:AI201,1)</f>
        <v>26</v>
      </c>
      <c r="AK150" s="353" t="str">
        <f>INDEX(E$124:E201,MATCH(ROWS(AJ$124:AJ150),AJ$124:AJ201,0))</f>
        <v/>
      </c>
      <c r="AL150" s="353" t="str">
        <f>INDEX(K$124:K201,MATCH(ROWS(AJ$124:AJ150),AJ$124:AJ201,0))</f>
        <v/>
      </c>
      <c r="AM150" s="353">
        <f>INDEX(V$124:V201,MATCH(ROWS(AJ$124:AJ150),AJ$124:AJ201,0))</f>
        <v>0</v>
      </c>
      <c r="AN150" s="353" t="str">
        <f t="shared" si="25"/>
        <v/>
      </c>
      <c r="AO150" s="353" t="e">
        <f t="shared" si="26"/>
        <v>#N/A</v>
      </c>
      <c r="AP150" s="353" t="str">
        <f>Setup!A111</f>
        <v>a36</v>
      </c>
      <c r="AQ150" s="366" t="s">
        <v>549</v>
      </c>
      <c r="AR150" s="301"/>
      <c r="AS150" s="300"/>
    </row>
    <row r="151" spans="1:45" ht="47.1" customHeight="1">
      <c r="A151" s="327">
        <v>27</v>
      </c>
      <c r="B151" s="355" t="str" cm="1">
        <f t="array" ref="B151">IFERROR(INDEX($E$123:$E$175, MATCH(0, COUNTIF($B$123:B150, $E$123:$E$175&amp;"") + IF($E$123:$E$175="",1,0),0)),"")</f>
        <v/>
      </c>
      <c r="C151" s="356"/>
      <c r="D151" s="357"/>
      <c r="E151" s="358" t="str">
        <f>IFERROR(IF(AND(K151="",T151=""),"",(VLOOKUP(Q151,'Reference records(soft deleted)'!$B$87:$D$138,3,FALSE))),"")</f>
        <v/>
      </c>
      <c r="F151" s="359" t="str">
        <f t="shared" si="15"/>
        <v>INT-351007</v>
      </c>
      <c r="G151" s="360"/>
      <c r="H151" s="360"/>
      <c r="I151" s="360"/>
      <c r="J151" s="360"/>
      <c r="K151" s="358" t="str">
        <f>IFERROR(VLOOKUP(R151,'Reference Records'!B$252:C500,2,0),"")</f>
        <v/>
      </c>
      <c r="L151" s="360" t="e">
        <f>VLOOKUP(U151&amp;K151,'Reference Records'!H$252:I500,2,0)</f>
        <v>#N/A</v>
      </c>
      <c r="M151" s="360" t="e">
        <f>MATCH($L151,'Reference Records'!$E$507:$E$509,0)+ROW(Population_by_intervention) -1</f>
        <v>#N/A</v>
      </c>
      <c r="N151" s="360" t="e">
        <f>MATCH($L151,'Reference Records'!$E$507:$E$509,1)+ROW(Population_by_intervention) -1</f>
        <v>#N/A</v>
      </c>
      <c r="O151" s="360" t="str">
        <f>IFERROR(VLOOKUP(AA151,'Reference Records'!B534:C536,2,0),"")</f>
        <v/>
      </c>
      <c r="P151" s="360"/>
      <c r="Q151" s="361" t="s">
        <v>425</v>
      </c>
      <c r="R151" s="362"/>
      <c r="S151" s="360"/>
      <c r="T151" s="363"/>
      <c r="U151" s="364" t="str">
        <f>IFERROR(IF(VLOOKUP(E151,'Reference Records'!$C$192:$D$250,2,FALSE)=0,"",VLOOKUP(E151,'Reference Records'!$C$192:$D$250,2,FALSE)),"")</f>
        <v/>
      </c>
      <c r="V151" s="350"/>
      <c r="W151" s="365" t="str">
        <f t="shared" si="16"/>
        <v/>
      </c>
      <c r="X151" s="365" t="str">
        <f t="shared" si="17"/>
        <v/>
      </c>
      <c r="Y151" s="365" t="b">
        <f t="shared" si="18"/>
        <v>0</v>
      </c>
      <c r="Z151" s="365" t="b">
        <f t="shared" si="19"/>
        <v>1</v>
      </c>
      <c r="AA151" s="365" t="str">
        <f>IFERROR(VLOOKUP(L151,'Reference Records'!B$252:E500,4,0),"")</f>
        <v/>
      </c>
      <c r="AB151" s="365" t="s">
        <v>550</v>
      </c>
      <c r="AC151" s="353" t="e">
        <f t="shared" si="20"/>
        <v>#N/A</v>
      </c>
      <c r="AD151" s="353" t="str">
        <f t="shared" si="21"/>
        <v/>
      </c>
      <c r="AE151" s="353" t="str">
        <f t="array" ref="AE151">IFERROR(IF(INDEX($W$124:$W$175, MATCH(0, IF(AD151=$E$124:$E$175, COUNTIF($AE$123:$AE150, $W$124:$W$175), ""), 0))=0,"",INDEX($W$124:$W$175, MATCH(0, IF(AD151=$E$124:$E$175, COUNTIF($AE$123:$AE150, $W$124:$W$175), ""), 0))),"")</f>
        <v/>
      </c>
      <c r="AF151" s="353" t="str">
        <f t="shared" si="22"/>
        <v>|empty|</v>
      </c>
      <c r="AG151" s="353" t="str">
        <f t="shared" si="23"/>
        <v>INT-351007</v>
      </c>
      <c r="AH151" s="353" t="str">
        <f t="shared" si="24"/>
        <v>a37</v>
      </c>
      <c r="AI151" s="353">
        <f>IF(COUNTIF($AH$124:AH202,"&lt;="&amp;AH151)=0,"",COUNTIF($AH$124:AH202,"&lt;="&amp;AH151))</f>
        <v>27</v>
      </c>
      <c r="AJ151" s="353">
        <f>RANK(AI151,AI$124:AI202,1)</f>
        <v>27</v>
      </c>
      <c r="AK151" s="353" t="str">
        <f>INDEX(E$124:E202,MATCH(ROWS(AJ$124:AJ151),AJ$124:AJ202,0))</f>
        <v/>
      </c>
      <c r="AL151" s="353" t="str">
        <f>INDEX(K$124:K202,MATCH(ROWS(AJ$124:AJ151),AJ$124:AJ202,0))</f>
        <v/>
      </c>
      <c r="AM151" s="353">
        <f>INDEX(V$124:V202,MATCH(ROWS(AJ$124:AJ151),AJ$124:AJ202,0))</f>
        <v>0</v>
      </c>
      <c r="AN151" s="353" t="str">
        <f t="shared" si="25"/>
        <v/>
      </c>
      <c r="AO151" s="353" t="e">
        <f t="shared" si="26"/>
        <v>#N/A</v>
      </c>
      <c r="AP151" s="353" t="str">
        <f>Setup!A112</f>
        <v>a37</v>
      </c>
      <c r="AQ151" s="366" t="s">
        <v>551</v>
      </c>
      <c r="AR151" s="301"/>
      <c r="AS151" s="300"/>
    </row>
    <row r="152" spans="1:45" ht="47.1" customHeight="1">
      <c r="A152" s="327">
        <v>28</v>
      </c>
      <c r="B152" s="355" t="str" cm="1">
        <f t="array" ref="B152">IFERROR(INDEX($E$123:$E$175, MATCH(0, COUNTIF($B$123:B151, $E$123:$E$175&amp;"") + IF($E$123:$E$175="",1,0),0)),"")</f>
        <v/>
      </c>
      <c r="C152" s="356"/>
      <c r="D152" s="357"/>
      <c r="E152" s="358" t="str">
        <f>IFERROR(IF(AND(K152="",T152=""),"",(VLOOKUP(Q152,'Reference records(soft deleted)'!$B$87:$D$138,3,FALSE))),"")</f>
        <v/>
      </c>
      <c r="F152" s="359" t="str">
        <f t="shared" si="15"/>
        <v>INT-351008</v>
      </c>
      <c r="G152" s="360"/>
      <c r="H152" s="360"/>
      <c r="I152" s="360"/>
      <c r="J152" s="360"/>
      <c r="K152" s="358" t="str">
        <f>IFERROR(VLOOKUP(R152,'Reference Records'!B$252:C501,2,0),"")</f>
        <v/>
      </c>
      <c r="L152" s="360" t="e">
        <f>VLOOKUP(U152&amp;K152,'Reference Records'!H$252:I501,2,0)</f>
        <v>#N/A</v>
      </c>
      <c r="M152" s="360" t="e">
        <f>MATCH($L152,'Reference Records'!$E$507:$E$509,0)+ROW(Population_by_intervention) -1</f>
        <v>#N/A</v>
      </c>
      <c r="N152" s="360" t="e">
        <f>MATCH($L152,'Reference Records'!$E$507:$E$509,1)+ROW(Population_by_intervention) -1</f>
        <v>#N/A</v>
      </c>
      <c r="O152" s="360" t="str">
        <f>IFERROR(VLOOKUP(AA152,'Reference Records'!B535:C537,2,0),"")</f>
        <v/>
      </c>
      <c r="P152" s="360"/>
      <c r="Q152" s="361" t="s">
        <v>425</v>
      </c>
      <c r="R152" s="362"/>
      <c r="S152" s="360"/>
      <c r="T152" s="363"/>
      <c r="U152" s="364" t="str">
        <f>IFERROR(IF(VLOOKUP(E152,'Reference Records'!$C$192:$D$250,2,FALSE)=0,"",VLOOKUP(E152,'Reference Records'!$C$192:$D$250,2,FALSE)),"")</f>
        <v/>
      </c>
      <c r="V152" s="350"/>
      <c r="W152" s="365" t="str">
        <f t="shared" si="16"/>
        <v/>
      </c>
      <c r="X152" s="365" t="str">
        <f t="shared" si="17"/>
        <v/>
      </c>
      <c r="Y152" s="365" t="b">
        <f t="shared" si="18"/>
        <v>0</v>
      </c>
      <c r="Z152" s="365" t="b">
        <f t="shared" si="19"/>
        <v>1</v>
      </c>
      <c r="AA152" s="365" t="str">
        <f>IFERROR(VLOOKUP(L152,'Reference Records'!B$252:E501,4,0),"")</f>
        <v/>
      </c>
      <c r="AB152" s="365" t="s">
        <v>552</v>
      </c>
      <c r="AC152" s="353" t="e">
        <f t="shared" si="20"/>
        <v>#N/A</v>
      </c>
      <c r="AD152" s="353" t="str">
        <f t="shared" si="21"/>
        <v/>
      </c>
      <c r="AE152" s="353" t="str">
        <f t="array" ref="AE152">IFERROR(IF(INDEX($W$124:$W$175, MATCH(0, IF(AD152=$E$124:$E$175, COUNTIF($AE$123:$AE151, $W$124:$W$175), ""), 0))=0,"",INDEX($W$124:$W$175, MATCH(0, IF(AD152=$E$124:$E$175, COUNTIF($AE$123:$AE151, $W$124:$W$175), ""), 0))),"")</f>
        <v/>
      </c>
      <c r="AF152" s="353" t="str">
        <f t="shared" si="22"/>
        <v>|empty|</v>
      </c>
      <c r="AG152" s="353" t="str">
        <f t="shared" si="23"/>
        <v>INT-351008</v>
      </c>
      <c r="AH152" s="353" t="str">
        <f t="shared" si="24"/>
        <v>a38</v>
      </c>
      <c r="AI152" s="353">
        <f>IF(COUNTIF($AH$124:AH203,"&lt;="&amp;AH152)=0,"",COUNTIF($AH$124:AH203,"&lt;="&amp;AH152))</f>
        <v>28</v>
      </c>
      <c r="AJ152" s="353">
        <f>RANK(AI152,AI$124:AI203,1)</f>
        <v>28</v>
      </c>
      <c r="AK152" s="353" t="str">
        <f>INDEX(E$124:E203,MATCH(ROWS(AJ$124:AJ152),AJ$124:AJ203,0))</f>
        <v/>
      </c>
      <c r="AL152" s="353" t="str">
        <f>INDEX(K$124:K203,MATCH(ROWS(AJ$124:AJ152),AJ$124:AJ203,0))</f>
        <v/>
      </c>
      <c r="AM152" s="353">
        <f>INDEX(V$124:V203,MATCH(ROWS(AJ$124:AJ152),AJ$124:AJ203,0))</f>
        <v>0</v>
      </c>
      <c r="AN152" s="353" t="str">
        <f t="shared" si="25"/>
        <v/>
      </c>
      <c r="AO152" s="353" t="e">
        <f t="shared" si="26"/>
        <v>#N/A</v>
      </c>
      <c r="AP152" s="353" t="str">
        <f>Setup!A113</f>
        <v>a38</v>
      </c>
      <c r="AQ152" s="366" t="s">
        <v>553</v>
      </c>
      <c r="AR152" s="301"/>
      <c r="AS152" s="300"/>
    </row>
    <row r="153" spans="1:45" ht="47.1" customHeight="1">
      <c r="A153" s="327">
        <v>29</v>
      </c>
      <c r="B153" s="355" t="str" cm="1">
        <f t="array" ref="B153">IFERROR(INDEX($E$123:$E$175, MATCH(0, COUNTIF($B$123:B152, $E$123:$E$175&amp;"") + IF($E$123:$E$175="",1,0),0)),"")</f>
        <v/>
      </c>
      <c r="C153" s="356"/>
      <c r="D153" s="357"/>
      <c r="E153" s="358" t="str">
        <f>IFERROR(IF(AND(K153="",T153=""),"",(VLOOKUP(Q153,'Reference records(soft deleted)'!$B$87:$D$138,3,FALSE))),"")</f>
        <v/>
      </c>
      <c r="F153" s="359" t="str">
        <f t="shared" si="15"/>
        <v>INT-351009</v>
      </c>
      <c r="G153" s="360"/>
      <c r="H153" s="360"/>
      <c r="I153" s="360"/>
      <c r="J153" s="360"/>
      <c r="K153" s="358" t="str">
        <f>IFERROR(VLOOKUP(R153,'Reference Records'!B$252:C502,2,0),"")</f>
        <v/>
      </c>
      <c r="L153" s="360" t="e">
        <f>VLOOKUP(U153&amp;K153,'Reference Records'!H$252:I502,2,0)</f>
        <v>#N/A</v>
      </c>
      <c r="M153" s="360" t="e">
        <f>MATCH($L153,'Reference Records'!$E$507:$E$509,0)+ROW(Population_by_intervention) -1</f>
        <v>#N/A</v>
      </c>
      <c r="N153" s="360" t="e">
        <f>MATCH($L153,'Reference Records'!$E$507:$E$509,1)+ROW(Population_by_intervention) -1</f>
        <v>#N/A</v>
      </c>
      <c r="O153" s="360" t="str">
        <f>IFERROR(VLOOKUP(AA153,'Reference Records'!B536:C538,2,0),"")</f>
        <v/>
      </c>
      <c r="P153" s="360"/>
      <c r="Q153" s="361" t="s">
        <v>425</v>
      </c>
      <c r="R153" s="362"/>
      <c r="S153" s="360"/>
      <c r="T153" s="363"/>
      <c r="U153" s="364" t="str">
        <f>IFERROR(IF(VLOOKUP(E153,'Reference Records'!$C$192:$D$250,2,FALSE)=0,"",VLOOKUP(E153,'Reference Records'!$C$192:$D$250,2,FALSE)),"")</f>
        <v/>
      </c>
      <c r="V153" s="350"/>
      <c r="W153" s="365" t="str">
        <f t="shared" si="16"/>
        <v/>
      </c>
      <c r="X153" s="365" t="str">
        <f t="shared" si="17"/>
        <v/>
      </c>
      <c r="Y153" s="365" t="b">
        <f t="shared" si="18"/>
        <v>0</v>
      </c>
      <c r="Z153" s="365" t="b">
        <f t="shared" si="19"/>
        <v>1</v>
      </c>
      <c r="AA153" s="365" t="str">
        <f>IFERROR(VLOOKUP(L153,'Reference Records'!B$252:E502,4,0),"")</f>
        <v/>
      </c>
      <c r="AB153" s="365" t="s">
        <v>554</v>
      </c>
      <c r="AC153" s="353" t="e">
        <f t="shared" si="20"/>
        <v>#N/A</v>
      </c>
      <c r="AD153" s="353" t="str">
        <f t="shared" si="21"/>
        <v/>
      </c>
      <c r="AE153" s="353" t="str">
        <f t="array" ref="AE153">IFERROR(IF(INDEX($W$124:$W$175, MATCH(0, IF(AD153=$E$124:$E$175, COUNTIF($AE$123:$AE152, $W$124:$W$175), ""), 0))=0,"",INDEX($W$124:$W$175, MATCH(0, IF(AD153=$E$124:$E$175, COUNTIF($AE$123:$AE152, $W$124:$W$175), ""), 0))),"")</f>
        <v/>
      </c>
      <c r="AF153" s="353" t="str">
        <f t="shared" si="22"/>
        <v>|empty|</v>
      </c>
      <c r="AG153" s="353" t="str">
        <f t="shared" si="23"/>
        <v>INT-351009</v>
      </c>
      <c r="AH153" s="353" t="str">
        <f t="shared" si="24"/>
        <v>a39</v>
      </c>
      <c r="AI153" s="353">
        <f>IF(COUNTIF($AH$124:AH204,"&lt;="&amp;AH153)=0,"",COUNTIF($AH$124:AH204,"&lt;="&amp;AH153))</f>
        <v>29</v>
      </c>
      <c r="AJ153" s="353">
        <f>RANK(AI153,AI$124:AI204,1)</f>
        <v>29</v>
      </c>
      <c r="AK153" s="353" t="str">
        <f>INDEX(E$124:E204,MATCH(ROWS(AJ$124:AJ153),AJ$124:AJ204,0))</f>
        <v/>
      </c>
      <c r="AL153" s="353" t="str">
        <f>INDEX(K$124:K204,MATCH(ROWS(AJ$124:AJ153),AJ$124:AJ204,0))</f>
        <v/>
      </c>
      <c r="AM153" s="353">
        <f>INDEX(V$124:V204,MATCH(ROWS(AJ$124:AJ153),AJ$124:AJ204,0))</f>
        <v>0</v>
      </c>
      <c r="AN153" s="353" t="str">
        <f t="shared" si="25"/>
        <v/>
      </c>
      <c r="AO153" s="353" t="e">
        <f t="shared" si="26"/>
        <v>#N/A</v>
      </c>
      <c r="AP153" s="353" t="str">
        <f>Setup!A114</f>
        <v>a39</v>
      </c>
      <c r="AQ153" s="366" t="s">
        <v>555</v>
      </c>
      <c r="AR153" s="301"/>
      <c r="AS153" s="300"/>
    </row>
    <row r="154" spans="1:45" ht="47.1" customHeight="1">
      <c r="A154" s="327">
        <v>30</v>
      </c>
      <c r="B154" s="355" t="str" cm="1">
        <f t="array" ref="B154">IFERROR(INDEX($E$123:$E$175, MATCH(0, COUNTIF($B$123:B153, $E$123:$E$175&amp;"") + IF($E$123:$E$175="",1,0),0)),"")</f>
        <v/>
      </c>
      <c r="C154" s="356"/>
      <c r="D154" s="357"/>
      <c r="E154" s="358" t="str">
        <f>IFERROR(IF(AND(K154="",T154=""),"",(VLOOKUP(Q154,'Reference records(soft deleted)'!$B$87:$D$138,3,FALSE))),"")</f>
        <v/>
      </c>
      <c r="F154" s="359" t="str">
        <f t="shared" si="15"/>
        <v>INT-351010</v>
      </c>
      <c r="G154" s="360"/>
      <c r="H154" s="360"/>
      <c r="I154" s="360"/>
      <c r="J154" s="360"/>
      <c r="K154" s="358" t="str">
        <f>IFERROR(VLOOKUP(R154,'Reference Records'!B$252:C503,2,0),"")</f>
        <v/>
      </c>
      <c r="L154" s="360" t="e">
        <f>VLOOKUP(U154&amp;K154,'Reference Records'!H$252:I503,2,0)</f>
        <v>#N/A</v>
      </c>
      <c r="M154" s="360" t="e">
        <f>MATCH($L154,'Reference Records'!$E$507:$E$509,0)+ROW(Population_by_intervention) -1</f>
        <v>#N/A</v>
      </c>
      <c r="N154" s="360" t="e">
        <f>MATCH($L154,'Reference Records'!$E$507:$E$509,1)+ROW(Population_by_intervention) -1</f>
        <v>#N/A</v>
      </c>
      <c r="O154" s="360" t="str">
        <f>IFERROR(VLOOKUP(AA154,'Reference Records'!B537:C539,2,0),"")</f>
        <v/>
      </c>
      <c r="P154" s="360"/>
      <c r="Q154" s="361" t="s">
        <v>425</v>
      </c>
      <c r="R154" s="362"/>
      <c r="S154" s="360"/>
      <c r="T154" s="363"/>
      <c r="U154" s="364" t="str">
        <f>IFERROR(IF(VLOOKUP(E154,'Reference Records'!$C$192:$D$250,2,FALSE)=0,"",VLOOKUP(E154,'Reference Records'!$C$192:$D$250,2,FALSE)),"")</f>
        <v/>
      </c>
      <c r="V154" s="350"/>
      <c r="W154" s="365" t="str">
        <f t="shared" si="16"/>
        <v/>
      </c>
      <c r="X154" s="365" t="str">
        <f t="shared" si="17"/>
        <v/>
      </c>
      <c r="Y154" s="365" t="b">
        <f t="shared" si="18"/>
        <v>0</v>
      </c>
      <c r="Z154" s="365" t="b">
        <f t="shared" si="19"/>
        <v>1</v>
      </c>
      <c r="AA154" s="365" t="str">
        <f>IFERROR(VLOOKUP(L154,'Reference Records'!B$252:E503,4,0),"")</f>
        <v/>
      </c>
      <c r="AB154" s="365" t="s">
        <v>556</v>
      </c>
      <c r="AC154" s="353" t="e">
        <f t="shared" si="20"/>
        <v>#N/A</v>
      </c>
      <c r="AD154" s="353" t="str">
        <f t="shared" si="21"/>
        <v/>
      </c>
      <c r="AE154" s="353" t="str">
        <f t="array" ref="AE154">IFERROR(IF(INDEX($W$124:$W$175, MATCH(0, IF(AD154=$E$124:$E$175, COUNTIF($AE$123:$AE153, $W$124:$W$175), ""), 0))=0,"",INDEX($W$124:$W$175, MATCH(0, IF(AD154=$E$124:$E$175, COUNTIF($AE$123:$AE153, $W$124:$W$175), ""), 0))),"")</f>
        <v/>
      </c>
      <c r="AF154" s="353" t="str">
        <f t="shared" si="22"/>
        <v>|empty|</v>
      </c>
      <c r="AG154" s="353" t="str">
        <f t="shared" si="23"/>
        <v>INT-351010</v>
      </c>
      <c r="AH154" s="353" t="str">
        <f t="shared" si="24"/>
        <v>a40</v>
      </c>
      <c r="AI154" s="353">
        <f>IF(COUNTIF($AH$124:AH205,"&lt;="&amp;AH154)=0,"",COUNTIF($AH$124:AH205,"&lt;="&amp;AH154))</f>
        <v>30</v>
      </c>
      <c r="AJ154" s="353">
        <f>RANK(AI154,AI$124:AI205,1)</f>
        <v>30</v>
      </c>
      <c r="AK154" s="353" t="str">
        <f>INDEX(E$124:E205,MATCH(ROWS(AJ$124:AJ154),AJ$124:AJ205,0))</f>
        <v/>
      </c>
      <c r="AL154" s="353" t="str">
        <f>INDEX(K$124:K205,MATCH(ROWS(AJ$124:AJ154),AJ$124:AJ205,0))</f>
        <v/>
      </c>
      <c r="AM154" s="353">
        <f>INDEX(V$124:V205,MATCH(ROWS(AJ$124:AJ154),AJ$124:AJ205,0))</f>
        <v>0</v>
      </c>
      <c r="AN154" s="353" t="str">
        <f t="shared" si="25"/>
        <v/>
      </c>
      <c r="AO154" s="353" t="e">
        <f t="shared" si="26"/>
        <v>#N/A</v>
      </c>
      <c r="AP154" s="353" t="str">
        <f>Setup!A115</f>
        <v>a40</v>
      </c>
      <c r="AQ154" s="366" t="s">
        <v>557</v>
      </c>
      <c r="AR154" s="301"/>
      <c r="AS154" s="300"/>
    </row>
    <row r="155" spans="1:45" ht="47.1" customHeight="1">
      <c r="A155" s="327">
        <v>31</v>
      </c>
      <c r="B155" s="355" t="str" cm="1">
        <f t="array" ref="B155">IFERROR(INDEX($E$123:$E$175, MATCH(0, COUNTIF($B$123:B154, $E$123:$E$175&amp;"") + IF($E$123:$E$175="",1,0),0)),"")</f>
        <v/>
      </c>
      <c r="C155" s="356"/>
      <c r="D155" s="357"/>
      <c r="E155" s="358" t="str">
        <f>IFERROR(IF(AND(K155="",T155=""),"",(VLOOKUP(Q155,'Reference records(soft deleted)'!$B$87:$D$138,3,FALSE))),"")</f>
        <v/>
      </c>
      <c r="F155" s="359" t="str">
        <f t="shared" si="15"/>
        <v>INT-351011</v>
      </c>
      <c r="G155" s="360"/>
      <c r="H155" s="360"/>
      <c r="I155" s="360"/>
      <c r="J155" s="360"/>
      <c r="K155" s="358" t="str">
        <f>IFERROR(VLOOKUP(R155,'Reference Records'!B$252:C504,2,0),"")</f>
        <v/>
      </c>
      <c r="L155" s="360" t="e">
        <f>VLOOKUP(U155&amp;K155,'Reference Records'!H$252:I504,2,0)</f>
        <v>#N/A</v>
      </c>
      <c r="M155" s="360" t="e">
        <f>MATCH($L155,'Reference Records'!$E$507:$E$509,0)+ROW(Population_by_intervention) -1</f>
        <v>#N/A</v>
      </c>
      <c r="N155" s="360" t="e">
        <f>MATCH($L155,'Reference Records'!$E$507:$E$509,1)+ROW(Population_by_intervention) -1</f>
        <v>#N/A</v>
      </c>
      <c r="O155" s="360" t="str">
        <f>IFERROR(VLOOKUP(AA155,'Reference Records'!B538:C540,2,0),"")</f>
        <v/>
      </c>
      <c r="P155" s="360"/>
      <c r="Q155" s="361" t="s">
        <v>425</v>
      </c>
      <c r="R155" s="362"/>
      <c r="S155" s="360"/>
      <c r="T155" s="363"/>
      <c r="U155" s="364" t="str">
        <f>IFERROR(IF(VLOOKUP(E155,'Reference Records'!$C$192:$D$250,2,FALSE)=0,"",VLOOKUP(E155,'Reference Records'!$C$192:$D$250,2,FALSE)),"")</f>
        <v/>
      </c>
      <c r="V155" s="350"/>
      <c r="W155" s="365" t="str">
        <f t="shared" si="16"/>
        <v/>
      </c>
      <c r="X155" s="365" t="str">
        <f t="shared" si="17"/>
        <v/>
      </c>
      <c r="Y155" s="365" t="b">
        <f t="shared" si="18"/>
        <v>0</v>
      </c>
      <c r="Z155" s="365" t="b">
        <f t="shared" si="19"/>
        <v>1</v>
      </c>
      <c r="AA155" s="365" t="str">
        <f>IFERROR(VLOOKUP(L155,'Reference Records'!B$252:E504,4,0),"")</f>
        <v/>
      </c>
      <c r="AB155" s="365" t="s">
        <v>558</v>
      </c>
      <c r="AC155" s="353" t="e">
        <f t="shared" si="20"/>
        <v>#N/A</v>
      </c>
      <c r="AD155" s="353" t="str">
        <f t="shared" si="21"/>
        <v/>
      </c>
      <c r="AE155" s="353" t="str">
        <f t="array" ref="AE155">IFERROR(IF(INDEX($W$124:$W$175, MATCH(0, IF(AD155=$E$124:$E$175, COUNTIF($AE$123:$AE154, $W$124:$W$175), ""), 0))=0,"",INDEX($W$124:$W$175, MATCH(0, IF(AD155=$E$124:$E$175, COUNTIF($AE$123:$AE154, $W$124:$W$175), ""), 0))),"")</f>
        <v/>
      </c>
      <c r="AF155" s="353" t="str">
        <f t="shared" si="22"/>
        <v>|empty|</v>
      </c>
      <c r="AG155" s="353" t="str">
        <f t="shared" si="23"/>
        <v>INT-351011</v>
      </c>
      <c r="AH155" s="353" t="str">
        <f t="shared" si="24"/>
        <v>a41</v>
      </c>
      <c r="AI155" s="353">
        <f>IF(COUNTIF($AH$124:AH206,"&lt;="&amp;AH155)=0,"",COUNTIF($AH$124:AH206,"&lt;="&amp;AH155))</f>
        <v>31</v>
      </c>
      <c r="AJ155" s="353">
        <f>RANK(AI155,AI$124:AI206,1)</f>
        <v>31</v>
      </c>
      <c r="AK155" s="353" t="str">
        <f>INDEX(E$124:E206,MATCH(ROWS(AJ$124:AJ155),AJ$124:AJ206,0))</f>
        <v/>
      </c>
      <c r="AL155" s="353" t="str">
        <f>INDEX(K$124:K206,MATCH(ROWS(AJ$124:AJ155),AJ$124:AJ206,0))</f>
        <v/>
      </c>
      <c r="AM155" s="353">
        <f>INDEX(V$124:V206,MATCH(ROWS(AJ$124:AJ155),AJ$124:AJ206,0))</f>
        <v>0</v>
      </c>
      <c r="AN155" s="353" t="str">
        <f t="shared" si="25"/>
        <v/>
      </c>
      <c r="AO155" s="353" t="e">
        <f t="shared" si="26"/>
        <v>#N/A</v>
      </c>
      <c r="AP155" s="353" t="str">
        <f>Setup!A116</f>
        <v>a41</v>
      </c>
      <c r="AQ155" s="366" t="s">
        <v>559</v>
      </c>
      <c r="AR155" s="301"/>
      <c r="AS155" s="300"/>
    </row>
    <row r="156" spans="1:45" ht="47.1" customHeight="1">
      <c r="A156" s="327">
        <v>32</v>
      </c>
      <c r="B156" s="355" t="str" cm="1">
        <f t="array" ref="B156">IFERROR(INDEX($E$123:$E$175, MATCH(0, COUNTIF($B$123:B155, $E$123:$E$175&amp;"") + IF($E$123:$E$175="",1,0),0)),"")</f>
        <v/>
      </c>
      <c r="C156" s="356"/>
      <c r="D156" s="357"/>
      <c r="E156" s="358" t="str">
        <f>IFERROR(IF(AND(K156="",T156=""),"",(VLOOKUP(Q156,'Reference records(soft deleted)'!$B$87:$D$138,3,FALSE))),"")</f>
        <v/>
      </c>
      <c r="F156" s="359" t="str">
        <f t="shared" si="15"/>
        <v>INT-351012</v>
      </c>
      <c r="G156" s="360"/>
      <c r="H156" s="360"/>
      <c r="I156" s="360"/>
      <c r="J156" s="360"/>
      <c r="K156" s="358" t="str">
        <f>IFERROR(VLOOKUP(R156,'Reference Records'!B$252:C505,2,0),"")</f>
        <v/>
      </c>
      <c r="L156" s="360" t="e">
        <f>VLOOKUP(U156&amp;K156,'Reference Records'!H$252:I505,2,0)</f>
        <v>#N/A</v>
      </c>
      <c r="M156" s="360" t="e">
        <f>MATCH($L156,'Reference Records'!$E$507:$E$509,0)+ROW(Population_by_intervention) -1</f>
        <v>#N/A</v>
      </c>
      <c r="N156" s="360" t="e">
        <f>MATCH($L156,'Reference Records'!$E$507:$E$509,1)+ROW(Population_by_intervention) -1</f>
        <v>#N/A</v>
      </c>
      <c r="O156" s="360" t="str">
        <f>IFERROR(VLOOKUP(AA156,'Reference Records'!B539:C541,2,0),"")</f>
        <v/>
      </c>
      <c r="P156" s="360"/>
      <c r="Q156" s="361" t="s">
        <v>425</v>
      </c>
      <c r="R156" s="362"/>
      <c r="S156" s="360"/>
      <c r="T156" s="363"/>
      <c r="U156" s="364" t="str">
        <f>IFERROR(IF(VLOOKUP(E156,'Reference Records'!$C$192:$D$250,2,FALSE)=0,"",VLOOKUP(E156,'Reference Records'!$C$192:$D$250,2,FALSE)),"")</f>
        <v/>
      </c>
      <c r="V156" s="350"/>
      <c r="W156" s="365" t="str">
        <f t="shared" si="16"/>
        <v/>
      </c>
      <c r="X156" s="365" t="str">
        <f t="shared" si="17"/>
        <v/>
      </c>
      <c r="Y156" s="365" t="b">
        <f t="shared" si="18"/>
        <v>0</v>
      </c>
      <c r="Z156" s="365" t="b">
        <f t="shared" si="19"/>
        <v>1</v>
      </c>
      <c r="AA156" s="365" t="str">
        <f>IFERROR(VLOOKUP(L156,'Reference Records'!B$252:E505,4,0),"")</f>
        <v/>
      </c>
      <c r="AB156" s="365" t="s">
        <v>560</v>
      </c>
      <c r="AC156" s="353" t="e">
        <f t="shared" si="20"/>
        <v>#N/A</v>
      </c>
      <c r="AD156" s="353" t="str">
        <f t="shared" si="21"/>
        <v/>
      </c>
      <c r="AE156" s="353" t="str">
        <f t="array" ref="AE156">IFERROR(IF(INDEX($W$124:$W$175, MATCH(0, IF(AD156=$E$124:$E$175, COUNTIF($AE$123:$AE155, $W$124:$W$175), ""), 0))=0,"",INDEX($W$124:$W$175, MATCH(0, IF(AD156=$E$124:$E$175, COUNTIF($AE$123:$AE155, $W$124:$W$175), ""), 0))),"")</f>
        <v/>
      </c>
      <c r="AF156" s="353" t="str">
        <f t="shared" si="22"/>
        <v>|empty|</v>
      </c>
      <c r="AG156" s="353" t="str">
        <f t="shared" si="23"/>
        <v>INT-351012</v>
      </c>
      <c r="AH156" s="353" t="str">
        <f t="shared" si="24"/>
        <v>a42</v>
      </c>
      <c r="AI156" s="353">
        <f>IF(COUNTIF($AH$124:AH207,"&lt;="&amp;AH156)=0,"",COUNTIF($AH$124:AH207,"&lt;="&amp;AH156))</f>
        <v>32</v>
      </c>
      <c r="AJ156" s="353">
        <f>RANK(AI156,AI$124:AI207,1)</f>
        <v>32</v>
      </c>
      <c r="AK156" s="353" t="str">
        <f>INDEX(E$124:E207,MATCH(ROWS(AJ$124:AJ156),AJ$124:AJ207,0))</f>
        <v/>
      </c>
      <c r="AL156" s="353" t="str">
        <f>INDEX(K$124:K207,MATCH(ROWS(AJ$124:AJ156),AJ$124:AJ207,0))</f>
        <v/>
      </c>
      <c r="AM156" s="353">
        <f>INDEX(V$124:V207,MATCH(ROWS(AJ$124:AJ156),AJ$124:AJ207,0))</f>
        <v>0</v>
      </c>
      <c r="AN156" s="353" t="str">
        <f t="shared" si="25"/>
        <v/>
      </c>
      <c r="AO156" s="353" t="e">
        <f t="shared" si="26"/>
        <v>#N/A</v>
      </c>
      <c r="AP156" s="353" t="str">
        <f>Setup!A117</f>
        <v>a42</v>
      </c>
      <c r="AQ156" s="366" t="s">
        <v>561</v>
      </c>
      <c r="AR156" s="301"/>
      <c r="AS156" s="300"/>
    </row>
    <row r="157" spans="1:45" ht="47.1" customHeight="1">
      <c r="A157" s="327">
        <v>33</v>
      </c>
      <c r="B157" s="355" t="str" cm="1">
        <f t="array" ref="B157">IFERROR(INDEX($E$123:$E$175, MATCH(0, COUNTIF($B$123:B156, $E$123:$E$175&amp;"") + IF($E$123:$E$175="",1,0),0)),"")</f>
        <v/>
      </c>
      <c r="C157" s="356"/>
      <c r="D157" s="357"/>
      <c r="E157" s="358" t="str">
        <f>IFERROR(IF(AND(K157="",T157=""),"",(VLOOKUP(Q157,'Reference records(soft deleted)'!$B$87:$D$138,3,FALSE))),"")</f>
        <v/>
      </c>
      <c r="F157" s="359" t="str">
        <f t="shared" si="15"/>
        <v>INT-351013</v>
      </c>
      <c r="G157" s="360"/>
      <c r="H157" s="360"/>
      <c r="I157" s="360"/>
      <c r="J157" s="360"/>
      <c r="K157" s="358" t="str">
        <f>IFERROR(VLOOKUP(R157,'Reference Records'!B$252:C506,2,0),"")</f>
        <v/>
      </c>
      <c r="L157" s="360" t="e">
        <f>VLOOKUP(U157&amp;K157,'Reference Records'!H$252:I506,2,0)</f>
        <v>#N/A</v>
      </c>
      <c r="M157" s="360" t="e">
        <f>MATCH($L157,'Reference Records'!$E$507:$E$509,0)+ROW(Population_by_intervention) -1</f>
        <v>#N/A</v>
      </c>
      <c r="N157" s="360" t="e">
        <f>MATCH($L157,'Reference Records'!$E$507:$E$509,1)+ROW(Population_by_intervention) -1</f>
        <v>#N/A</v>
      </c>
      <c r="O157" s="360" t="str">
        <f>IFERROR(VLOOKUP(AA157,'Reference Records'!B540:C542,2,0),"")</f>
        <v/>
      </c>
      <c r="P157" s="360"/>
      <c r="Q157" s="361" t="s">
        <v>425</v>
      </c>
      <c r="R157" s="362"/>
      <c r="S157" s="360"/>
      <c r="T157" s="363"/>
      <c r="U157" s="364" t="str">
        <f>IFERROR(IF(VLOOKUP(E157,'Reference Records'!$C$192:$D$250,2,FALSE)=0,"",VLOOKUP(E157,'Reference Records'!$C$192:$D$250,2,FALSE)),"")</f>
        <v/>
      </c>
      <c r="V157" s="350"/>
      <c r="W157" s="365" t="str">
        <f t="shared" si="16"/>
        <v/>
      </c>
      <c r="X157" s="365" t="str">
        <f t="shared" si="17"/>
        <v/>
      </c>
      <c r="Y157" s="365" t="b">
        <f t="shared" si="18"/>
        <v>0</v>
      </c>
      <c r="Z157" s="365" t="b">
        <f t="shared" si="19"/>
        <v>1</v>
      </c>
      <c r="AA157" s="365" t="str">
        <f>IFERROR(VLOOKUP(L157,'Reference Records'!B$252:E506,4,0),"")</f>
        <v/>
      </c>
      <c r="AB157" s="365" t="s">
        <v>562</v>
      </c>
      <c r="AC157" s="353" t="e">
        <f t="shared" si="20"/>
        <v>#N/A</v>
      </c>
      <c r="AD157" s="353" t="str">
        <f t="shared" si="21"/>
        <v/>
      </c>
      <c r="AE157" s="353" t="str">
        <f t="array" ref="AE157">IFERROR(IF(INDEX($W$124:$W$175, MATCH(0, IF(AD157=$E$124:$E$175, COUNTIF($AE$123:$AE156, $W$124:$W$175), ""), 0))=0,"",INDEX($W$124:$W$175, MATCH(0, IF(AD157=$E$124:$E$175, COUNTIF($AE$123:$AE156, $W$124:$W$175), ""), 0))),"")</f>
        <v/>
      </c>
      <c r="AF157" s="353" t="str">
        <f t="shared" si="22"/>
        <v>|empty|</v>
      </c>
      <c r="AG157" s="353" t="str">
        <f t="shared" si="23"/>
        <v>INT-351013</v>
      </c>
      <c r="AH157" s="353" t="str">
        <f t="shared" si="24"/>
        <v>a43</v>
      </c>
      <c r="AI157" s="353">
        <f>IF(COUNTIF($AH$124:AH208,"&lt;="&amp;AH157)=0,"",COUNTIF($AH$124:AH208,"&lt;="&amp;AH157))</f>
        <v>33</v>
      </c>
      <c r="AJ157" s="353">
        <f>RANK(AI157,AI$124:AI208,1)</f>
        <v>33</v>
      </c>
      <c r="AK157" s="353" t="str">
        <f>INDEX(E$124:E208,MATCH(ROWS(AJ$124:AJ157),AJ$124:AJ208,0))</f>
        <v/>
      </c>
      <c r="AL157" s="353" t="str">
        <f>INDEX(K$124:K208,MATCH(ROWS(AJ$124:AJ157),AJ$124:AJ208,0))</f>
        <v/>
      </c>
      <c r="AM157" s="353">
        <f>INDEX(V$124:V208,MATCH(ROWS(AJ$124:AJ157),AJ$124:AJ208,0))</f>
        <v>0</v>
      </c>
      <c r="AN157" s="353" t="str">
        <f t="shared" si="25"/>
        <v/>
      </c>
      <c r="AO157" s="353" t="e">
        <f t="shared" si="26"/>
        <v>#N/A</v>
      </c>
      <c r="AP157" s="353" t="str">
        <f>Setup!A118</f>
        <v>a43</v>
      </c>
      <c r="AQ157" s="366" t="s">
        <v>563</v>
      </c>
      <c r="AR157" s="301"/>
      <c r="AS157" s="300"/>
    </row>
    <row r="158" spans="1:45" ht="47.1" customHeight="1">
      <c r="A158" s="327">
        <v>34</v>
      </c>
      <c r="B158" s="355" t="str" cm="1">
        <f t="array" ref="B158">IFERROR(INDEX($E$123:$E$175, MATCH(0, COUNTIF($B$123:B157, $E$123:$E$175&amp;"") + IF($E$123:$E$175="",1,0),0)),"")</f>
        <v/>
      </c>
      <c r="C158" s="356"/>
      <c r="D158" s="357"/>
      <c r="E158" s="358" t="str">
        <f>IFERROR(IF(AND(K158="",T158=""),"",(VLOOKUP(Q158,'Reference records(soft deleted)'!$B$87:$D$138,3,FALSE))),"")</f>
        <v/>
      </c>
      <c r="F158" s="359" t="str">
        <f t="shared" si="15"/>
        <v>INT-351014</v>
      </c>
      <c r="G158" s="360"/>
      <c r="H158" s="360"/>
      <c r="I158" s="360"/>
      <c r="J158" s="360"/>
      <c r="K158" s="358" t="str">
        <f>IFERROR(VLOOKUP(R158,'Reference Records'!B$252:C507,2,0),"")</f>
        <v/>
      </c>
      <c r="L158" s="360" t="e">
        <f>VLOOKUP(U158&amp;K158,'Reference Records'!H$252:I507,2,0)</f>
        <v>#N/A</v>
      </c>
      <c r="M158" s="360" t="e">
        <f>MATCH($L158,'Reference Records'!$E$507:$E$509,0)+ROW(Population_by_intervention) -1</f>
        <v>#N/A</v>
      </c>
      <c r="N158" s="360" t="e">
        <f>MATCH($L158,'Reference Records'!$E$507:$E$509,1)+ROW(Population_by_intervention) -1</f>
        <v>#N/A</v>
      </c>
      <c r="O158" s="360" t="str">
        <f>IFERROR(VLOOKUP(AA158,'Reference Records'!B541:C543,2,0),"")</f>
        <v/>
      </c>
      <c r="P158" s="360"/>
      <c r="Q158" s="361" t="s">
        <v>425</v>
      </c>
      <c r="R158" s="362"/>
      <c r="S158" s="360"/>
      <c r="T158" s="363"/>
      <c r="U158" s="364" t="str">
        <f>IFERROR(IF(VLOOKUP(E158,'Reference Records'!$C$192:$D$250,2,FALSE)=0,"",VLOOKUP(E158,'Reference Records'!$C$192:$D$250,2,FALSE)),"")</f>
        <v/>
      </c>
      <c r="V158" s="350"/>
      <c r="W158" s="365" t="str">
        <f t="shared" si="16"/>
        <v/>
      </c>
      <c r="X158" s="365" t="str">
        <f t="shared" si="17"/>
        <v/>
      </c>
      <c r="Y158" s="365" t="b">
        <f t="shared" si="18"/>
        <v>0</v>
      </c>
      <c r="Z158" s="365" t="b">
        <f t="shared" si="19"/>
        <v>1</v>
      </c>
      <c r="AA158" s="365" t="str">
        <f>IFERROR(VLOOKUP(L158,'Reference Records'!B$252:E507,4,0),"")</f>
        <v/>
      </c>
      <c r="AB158" s="365" t="s">
        <v>564</v>
      </c>
      <c r="AC158" s="353" t="e">
        <f t="shared" si="20"/>
        <v>#N/A</v>
      </c>
      <c r="AD158" s="353" t="str">
        <f t="shared" si="21"/>
        <v/>
      </c>
      <c r="AE158" s="353" t="str">
        <f t="array" ref="AE158">IFERROR(IF(INDEX($W$124:$W$175, MATCH(0, IF(AD158=$E$124:$E$175, COUNTIF($AE$123:$AE157, $W$124:$W$175), ""), 0))=0,"",INDEX($W$124:$W$175, MATCH(0, IF(AD158=$E$124:$E$175, COUNTIF($AE$123:$AE157, $W$124:$W$175), ""), 0))),"")</f>
        <v/>
      </c>
      <c r="AF158" s="353" t="str">
        <f t="shared" si="22"/>
        <v>|empty|</v>
      </c>
      <c r="AG158" s="353" t="str">
        <f t="shared" si="23"/>
        <v>INT-351014</v>
      </c>
      <c r="AH158" s="353" t="str">
        <f t="shared" si="24"/>
        <v>a44</v>
      </c>
      <c r="AI158" s="353">
        <f>IF(COUNTIF($AH$124:AH209,"&lt;="&amp;AH158)=0,"",COUNTIF($AH$124:AH209,"&lt;="&amp;AH158))</f>
        <v>34</v>
      </c>
      <c r="AJ158" s="353">
        <f>RANK(AI158,AI$124:AI209,1)</f>
        <v>34</v>
      </c>
      <c r="AK158" s="353" t="str">
        <f>INDEX(E$124:E209,MATCH(ROWS(AJ$124:AJ158),AJ$124:AJ209,0))</f>
        <v/>
      </c>
      <c r="AL158" s="353" t="str">
        <f>INDEX(K$124:K209,MATCH(ROWS(AJ$124:AJ158),AJ$124:AJ209,0))</f>
        <v/>
      </c>
      <c r="AM158" s="353">
        <f>INDEX(V$124:V209,MATCH(ROWS(AJ$124:AJ158),AJ$124:AJ209,0))</f>
        <v>0</v>
      </c>
      <c r="AN158" s="353" t="str">
        <f t="shared" si="25"/>
        <v/>
      </c>
      <c r="AO158" s="353" t="e">
        <f t="shared" si="26"/>
        <v>#N/A</v>
      </c>
      <c r="AP158" s="353" t="str">
        <f>Setup!A119</f>
        <v>a44</v>
      </c>
      <c r="AQ158" s="366" t="s">
        <v>565</v>
      </c>
      <c r="AR158" s="301"/>
      <c r="AS158" s="300"/>
    </row>
    <row r="159" spans="1:45" ht="47.1" customHeight="1">
      <c r="A159" s="327">
        <v>35</v>
      </c>
      <c r="B159" s="355" t="str" cm="1">
        <f t="array" ref="B159">IFERROR(INDEX($E$123:$E$175, MATCH(0, COUNTIF($B$123:B158, $E$123:$E$175&amp;"") + IF($E$123:$E$175="",1,0),0)),"")</f>
        <v/>
      </c>
      <c r="C159" s="356"/>
      <c r="D159" s="357"/>
      <c r="E159" s="358" t="str">
        <f>IFERROR(IF(AND(K159="",T159=""),"",(VLOOKUP(Q159,'Reference records(soft deleted)'!$B$87:$D$138,3,FALSE))),"")</f>
        <v/>
      </c>
      <c r="F159" s="359" t="str">
        <f t="shared" si="15"/>
        <v>INT-351015</v>
      </c>
      <c r="G159" s="360"/>
      <c r="H159" s="360"/>
      <c r="I159" s="360"/>
      <c r="J159" s="360"/>
      <c r="K159" s="358" t="str">
        <f>IFERROR(VLOOKUP(R159,'Reference Records'!B$252:C508,2,0),"")</f>
        <v/>
      </c>
      <c r="L159" s="360" t="e">
        <f>VLOOKUP(U159&amp;K159,'Reference Records'!H$252:I508,2,0)</f>
        <v>#N/A</v>
      </c>
      <c r="M159" s="360" t="e">
        <f>MATCH($L159,'Reference Records'!$E$507:$E$509,0)+ROW(Population_by_intervention) -1</f>
        <v>#N/A</v>
      </c>
      <c r="N159" s="360" t="e">
        <f>MATCH($L159,'Reference Records'!$E$507:$E$509,1)+ROW(Population_by_intervention) -1</f>
        <v>#N/A</v>
      </c>
      <c r="O159" s="360" t="str">
        <f>IFERROR(VLOOKUP(AA159,'Reference Records'!B542:C544,2,0),"")</f>
        <v/>
      </c>
      <c r="P159" s="360"/>
      <c r="Q159" s="361" t="s">
        <v>425</v>
      </c>
      <c r="R159" s="362"/>
      <c r="S159" s="360"/>
      <c r="T159" s="363"/>
      <c r="U159" s="364" t="str">
        <f>IFERROR(IF(VLOOKUP(E159,'Reference Records'!$C$192:$D$250,2,FALSE)=0,"",VLOOKUP(E159,'Reference Records'!$C$192:$D$250,2,FALSE)),"")</f>
        <v/>
      </c>
      <c r="V159" s="350"/>
      <c r="W159" s="365" t="str">
        <f t="shared" si="16"/>
        <v/>
      </c>
      <c r="X159" s="365" t="str">
        <f t="shared" si="17"/>
        <v/>
      </c>
      <c r="Y159" s="365" t="b">
        <f t="shared" si="18"/>
        <v>0</v>
      </c>
      <c r="Z159" s="365" t="b">
        <f t="shared" si="19"/>
        <v>1</v>
      </c>
      <c r="AA159" s="365" t="str">
        <f>IFERROR(VLOOKUP(L159,'Reference Records'!B$252:E508,4,0),"")</f>
        <v/>
      </c>
      <c r="AB159" s="365" t="s">
        <v>566</v>
      </c>
      <c r="AC159" s="353" t="e">
        <f t="shared" si="20"/>
        <v>#N/A</v>
      </c>
      <c r="AD159" s="353" t="str">
        <f t="shared" si="21"/>
        <v/>
      </c>
      <c r="AE159" s="353" t="str">
        <f t="array" ref="AE159">IFERROR(IF(INDEX($W$124:$W$175, MATCH(0, IF(AD159=$E$124:$E$175, COUNTIF($AE$123:$AE158, $W$124:$W$175), ""), 0))=0,"",INDEX($W$124:$W$175, MATCH(0, IF(AD159=$E$124:$E$175, COUNTIF($AE$123:$AE158, $W$124:$W$175), ""), 0))),"")</f>
        <v/>
      </c>
      <c r="AF159" s="353" t="str">
        <f t="shared" si="22"/>
        <v>|empty|</v>
      </c>
      <c r="AG159" s="353" t="str">
        <f t="shared" si="23"/>
        <v>INT-351015</v>
      </c>
      <c r="AH159" s="353" t="str">
        <f t="shared" si="24"/>
        <v>a45</v>
      </c>
      <c r="AI159" s="353">
        <f>IF(COUNTIF($AH$124:AH210,"&lt;="&amp;AH159)=0,"",COUNTIF($AH$124:AH210,"&lt;="&amp;AH159))</f>
        <v>35</v>
      </c>
      <c r="AJ159" s="353">
        <f>RANK(AI159,AI$124:AI210,1)</f>
        <v>35</v>
      </c>
      <c r="AK159" s="353" t="str">
        <f>INDEX(E$124:E210,MATCH(ROWS(AJ$124:AJ159),AJ$124:AJ210,0))</f>
        <v/>
      </c>
      <c r="AL159" s="353" t="str">
        <f>INDEX(K$124:K210,MATCH(ROWS(AJ$124:AJ159),AJ$124:AJ210,0))</f>
        <v/>
      </c>
      <c r="AM159" s="353">
        <f>INDEX(V$124:V210,MATCH(ROWS(AJ$124:AJ159),AJ$124:AJ210,0))</f>
        <v>0</v>
      </c>
      <c r="AN159" s="353" t="str">
        <f t="shared" si="25"/>
        <v/>
      </c>
      <c r="AO159" s="353" t="e">
        <f t="shared" si="26"/>
        <v>#N/A</v>
      </c>
      <c r="AP159" s="353" t="str">
        <f>Setup!A120</f>
        <v>a45</v>
      </c>
      <c r="AQ159" s="366" t="s">
        <v>567</v>
      </c>
      <c r="AR159" s="301"/>
      <c r="AS159" s="300"/>
    </row>
    <row r="160" spans="1:45" ht="47.1" customHeight="1">
      <c r="A160" s="327">
        <v>36</v>
      </c>
      <c r="B160" s="355" t="str" cm="1">
        <f t="array" ref="B160">IFERROR(INDEX($E$123:$E$175, MATCH(0, COUNTIF($B$123:B159, $E$123:$E$175&amp;"") + IF($E$123:$E$175="",1,0),0)),"")</f>
        <v/>
      </c>
      <c r="C160" s="356"/>
      <c r="D160" s="357"/>
      <c r="E160" s="358" t="str">
        <f>IFERROR(IF(AND(K160="",T160=""),"",(VLOOKUP(Q160,'Reference records(soft deleted)'!$B$87:$D$138,3,FALSE))),"")</f>
        <v/>
      </c>
      <c r="F160" s="359" t="str">
        <f t="shared" si="15"/>
        <v>INT-351016</v>
      </c>
      <c r="G160" s="360"/>
      <c r="H160" s="360"/>
      <c r="I160" s="360"/>
      <c r="J160" s="360"/>
      <c r="K160" s="358" t="str">
        <f>IFERROR(VLOOKUP(R160,'Reference Records'!B$252:C509,2,0),"")</f>
        <v/>
      </c>
      <c r="L160" s="360" t="e">
        <f>VLOOKUP(U160&amp;K160,'Reference Records'!H$252:I509,2,0)</f>
        <v>#N/A</v>
      </c>
      <c r="M160" s="360" t="e">
        <f>MATCH($L160,'Reference Records'!$E$507:$E$509,0)+ROW(Population_by_intervention) -1</f>
        <v>#N/A</v>
      </c>
      <c r="N160" s="360" t="e">
        <f>MATCH($L160,'Reference Records'!$E$507:$E$509,1)+ROW(Population_by_intervention) -1</f>
        <v>#N/A</v>
      </c>
      <c r="O160" s="360" t="str">
        <f>IFERROR(VLOOKUP(AA160,'Reference Records'!B543:C545,2,0),"")</f>
        <v/>
      </c>
      <c r="P160" s="360"/>
      <c r="Q160" s="361" t="s">
        <v>425</v>
      </c>
      <c r="R160" s="362"/>
      <c r="S160" s="360"/>
      <c r="T160" s="363"/>
      <c r="U160" s="364" t="str">
        <f>IFERROR(IF(VLOOKUP(E160,'Reference Records'!$C$192:$D$250,2,FALSE)=0,"",VLOOKUP(E160,'Reference Records'!$C$192:$D$250,2,FALSE)),"")</f>
        <v/>
      </c>
      <c r="V160" s="350"/>
      <c r="W160" s="365" t="str">
        <f t="shared" si="16"/>
        <v/>
      </c>
      <c r="X160" s="365" t="str">
        <f t="shared" si="17"/>
        <v/>
      </c>
      <c r="Y160" s="365" t="b">
        <f t="shared" si="18"/>
        <v>0</v>
      </c>
      <c r="Z160" s="365" t="b">
        <f t="shared" si="19"/>
        <v>1</v>
      </c>
      <c r="AA160" s="365" t="str">
        <f>IFERROR(VLOOKUP(L160,'Reference Records'!B$252:E509,4,0),"")</f>
        <v/>
      </c>
      <c r="AB160" s="365" t="s">
        <v>568</v>
      </c>
      <c r="AC160" s="353" t="e">
        <f t="shared" si="20"/>
        <v>#N/A</v>
      </c>
      <c r="AD160" s="353" t="str">
        <f t="shared" si="21"/>
        <v/>
      </c>
      <c r="AE160" s="353" t="str">
        <f t="array" ref="AE160">IFERROR(IF(INDEX($W$124:$W$175, MATCH(0, IF(AD160=$E$124:$E$175, COUNTIF($AE$123:$AE159, $W$124:$W$175), ""), 0))=0,"",INDEX($W$124:$W$175, MATCH(0, IF(AD160=$E$124:$E$175, COUNTIF($AE$123:$AE159, $W$124:$W$175), ""), 0))),"")</f>
        <v/>
      </c>
      <c r="AF160" s="353" t="str">
        <f t="shared" si="22"/>
        <v>|empty|</v>
      </c>
      <c r="AG160" s="353" t="str">
        <f t="shared" si="23"/>
        <v>INT-351016</v>
      </c>
      <c r="AH160" s="353" t="str">
        <f t="shared" si="24"/>
        <v>a46</v>
      </c>
      <c r="AI160" s="353">
        <f>IF(COUNTIF($AH$124:AH211,"&lt;="&amp;AH160)=0,"",COUNTIF($AH$124:AH211,"&lt;="&amp;AH160))</f>
        <v>36</v>
      </c>
      <c r="AJ160" s="353">
        <f>RANK(AI160,AI$124:AI211,1)</f>
        <v>36</v>
      </c>
      <c r="AK160" s="353" t="str">
        <f>INDEX(E$124:E211,MATCH(ROWS(AJ$124:AJ160),AJ$124:AJ211,0))</f>
        <v/>
      </c>
      <c r="AL160" s="353" t="str">
        <f>INDEX(K$124:K211,MATCH(ROWS(AJ$124:AJ160),AJ$124:AJ211,0))</f>
        <v/>
      </c>
      <c r="AM160" s="353">
        <f>INDEX(V$124:V211,MATCH(ROWS(AJ$124:AJ160),AJ$124:AJ211,0))</f>
        <v>0</v>
      </c>
      <c r="AN160" s="353" t="str">
        <f t="shared" si="25"/>
        <v/>
      </c>
      <c r="AO160" s="353" t="e">
        <f t="shared" si="26"/>
        <v>#N/A</v>
      </c>
      <c r="AP160" s="353" t="str">
        <f>Setup!A121</f>
        <v>a46</v>
      </c>
      <c r="AQ160" s="366" t="s">
        <v>569</v>
      </c>
      <c r="AR160" s="301"/>
      <c r="AS160" s="300"/>
    </row>
    <row r="161" spans="1:45" ht="47.1" customHeight="1">
      <c r="A161" s="327">
        <v>37</v>
      </c>
      <c r="B161" s="355" t="str" cm="1">
        <f t="array" ref="B161">IFERROR(INDEX($E$123:$E$175, MATCH(0, COUNTIF($B$123:B160, $E$123:$E$175&amp;"") + IF($E$123:$E$175="",1,0),0)),"")</f>
        <v/>
      </c>
      <c r="C161" s="356"/>
      <c r="D161" s="357"/>
      <c r="E161" s="358" t="str">
        <f>IFERROR(IF(AND(K161="",T161=""),"",(VLOOKUP(Q161,'Reference records(soft deleted)'!$B$87:$D$138,3,FALSE))),"")</f>
        <v/>
      </c>
      <c r="F161" s="359" t="str">
        <f t="shared" si="15"/>
        <v>INT-351017</v>
      </c>
      <c r="G161" s="360"/>
      <c r="H161" s="360"/>
      <c r="I161" s="360"/>
      <c r="J161" s="360"/>
      <c r="K161" s="358" t="str">
        <f>IFERROR(VLOOKUP(R161,'Reference Records'!B$252:C510,2,0),"")</f>
        <v/>
      </c>
      <c r="L161" s="360" t="e">
        <f>VLOOKUP(U161&amp;K161,'Reference Records'!H$252:I510,2,0)</f>
        <v>#N/A</v>
      </c>
      <c r="M161" s="360" t="e">
        <f>MATCH($L161,'Reference Records'!$E$507:$E$509,0)+ROW(Population_by_intervention) -1</f>
        <v>#N/A</v>
      </c>
      <c r="N161" s="360" t="e">
        <f>MATCH($L161,'Reference Records'!$E$507:$E$509,1)+ROW(Population_by_intervention) -1</f>
        <v>#N/A</v>
      </c>
      <c r="O161" s="360" t="str">
        <f>IFERROR(VLOOKUP(AA161,'Reference Records'!B544:C546,2,0),"")</f>
        <v/>
      </c>
      <c r="P161" s="360"/>
      <c r="Q161" s="361" t="s">
        <v>425</v>
      </c>
      <c r="R161" s="362"/>
      <c r="S161" s="360"/>
      <c r="T161" s="363"/>
      <c r="U161" s="364" t="str">
        <f>IFERROR(IF(VLOOKUP(E161,'Reference Records'!$C$192:$D$250,2,FALSE)=0,"",VLOOKUP(E161,'Reference Records'!$C$192:$D$250,2,FALSE)),"")</f>
        <v/>
      </c>
      <c r="V161" s="350"/>
      <c r="W161" s="365" t="str">
        <f t="shared" si="16"/>
        <v/>
      </c>
      <c r="X161" s="365" t="str">
        <f t="shared" si="17"/>
        <v/>
      </c>
      <c r="Y161" s="365" t="b">
        <f t="shared" si="18"/>
        <v>0</v>
      </c>
      <c r="Z161" s="365" t="b">
        <f t="shared" si="19"/>
        <v>1</v>
      </c>
      <c r="AA161" s="365" t="str">
        <f>IFERROR(VLOOKUP(L161,'Reference Records'!B$252:E510,4,0),"")</f>
        <v/>
      </c>
      <c r="AB161" s="365" t="s">
        <v>570</v>
      </c>
      <c r="AC161" s="353" t="e">
        <f t="shared" si="20"/>
        <v>#N/A</v>
      </c>
      <c r="AD161" s="353" t="str">
        <f t="shared" si="21"/>
        <v/>
      </c>
      <c r="AE161" s="353" t="str">
        <f t="array" ref="AE161">IFERROR(IF(INDEX($W$124:$W$175, MATCH(0, IF(AD161=$E$124:$E$175, COUNTIF($AE$123:$AE160, $W$124:$W$175), ""), 0))=0,"",INDEX($W$124:$W$175, MATCH(0, IF(AD161=$E$124:$E$175, COUNTIF($AE$123:$AE160, $W$124:$W$175), ""), 0))),"")</f>
        <v/>
      </c>
      <c r="AF161" s="353" t="str">
        <f t="shared" si="22"/>
        <v>|empty|</v>
      </c>
      <c r="AG161" s="353" t="str">
        <f t="shared" si="23"/>
        <v>INT-351017</v>
      </c>
      <c r="AH161" s="353" t="str">
        <f t="shared" si="24"/>
        <v>a47</v>
      </c>
      <c r="AI161" s="353">
        <f>IF(COUNTIF($AH$124:AH212,"&lt;="&amp;AH161)=0,"",COUNTIF($AH$124:AH212,"&lt;="&amp;AH161))</f>
        <v>37</v>
      </c>
      <c r="AJ161" s="353">
        <f>RANK(AI161,AI$124:AI212,1)</f>
        <v>37</v>
      </c>
      <c r="AK161" s="353" t="str">
        <f>INDEX(E$124:E212,MATCH(ROWS(AJ$124:AJ161),AJ$124:AJ212,0))</f>
        <v/>
      </c>
      <c r="AL161" s="353" t="str">
        <f>INDEX(K$124:K212,MATCH(ROWS(AJ$124:AJ161),AJ$124:AJ212,0))</f>
        <v/>
      </c>
      <c r="AM161" s="353">
        <f>INDEX(V$124:V212,MATCH(ROWS(AJ$124:AJ161),AJ$124:AJ212,0))</f>
        <v>0</v>
      </c>
      <c r="AN161" s="353" t="str">
        <f t="shared" si="25"/>
        <v/>
      </c>
      <c r="AO161" s="353" t="e">
        <f t="shared" si="26"/>
        <v>#N/A</v>
      </c>
      <c r="AP161" s="353" t="str">
        <f>Setup!A122</f>
        <v>a47</v>
      </c>
      <c r="AQ161" s="366" t="s">
        <v>571</v>
      </c>
      <c r="AR161" s="301"/>
      <c r="AS161" s="300"/>
    </row>
    <row r="162" spans="1:45" ht="47.1" customHeight="1">
      <c r="A162" s="327">
        <v>38</v>
      </c>
      <c r="B162" s="355" t="str" cm="1">
        <f t="array" ref="B162">IFERROR(INDEX($E$123:$E$175, MATCH(0, COUNTIF($B$123:B161, $E$123:$E$175&amp;"") + IF($E$123:$E$175="",1,0),0)),"")</f>
        <v/>
      </c>
      <c r="C162" s="356"/>
      <c r="D162" s="357"/>
      <c r="E162" s="358" t="str">
        <f>IFERROR(IF(AND(K162="",T162=""),"",(VLOOKUP(Q162,'Reference records(soft deleted)'!$B$87:$D$138,3,FALSE))),"")</f>
        <v/>
      </c>
      <c r="F162" s="359" t="str">
        <f t="shared" si="15"/>
        <v>INT-351018</v>
      </c>
      <c r="G162" s="360"/>
      <c r="H162" s="360"/>
      <c r="I162" s="360"/>
      <c r="J162" s="360"/>
      <c r="K162" s="358" t="str">
        <f>IFERROR(VLOOKUP(R162,'Reference Records'!B$252:C511,2,0),"")</f>
        <v/>
      </c>
      <c r="L162" s="360" t="e">
        <f>VLOOKUP(U162&amp;K162,'Reference Records'!H$252:I511,2,0)</f>
        <v>#N/A</v>
      </c>
      <c r="M162" s="360" t="e">
        <f>MATCH($L162,'Reference Records'!$E$507:$E$509,0)+ROW(Population_by_intervention) -1</f>
        <v>#N/A</v>
      </c>
      <c r="N162" s="360" t="e">
        <f>MATCH($L162,'Reference Records'!$E$507:$E$509,1)+ROW(Population_by_intervention) -1</f>
        <v>#N/A</v>
      </c>
      <c r="O162" s="360" t="str">
        <f>IFERROR(VLOOKUP(AA162,'Reference Records'!B545:C547,2,0),"")</f>
        <v/>
      </c>
      <c r="P162" s="360"/>
      <c r="Q162" s="361" t="s">
        <v>425</v>
      </c>
      <c r="R162" s="362"/>
      <c r="S162" s="360"/>
      <c r="T162" s="363"/>
      <c r="U162" s="364" t="str">
        <f>IFERROR(IF(VLOOKUP(E162,'Reference Records'!$C$192:$D$250,2,FALSE)=0,"",VLOOKUP(E162,'Reference Records'!$C$192:$D$250,2,FALSE)),"")</f>
        <v/>
      </c>
      <c r="V162" s="350"/>
      <c r="W162" s="365" t="str">
        <f t="shared" si="16"/>
        <v/>
      </c>
      <c r="X162" s="365" t="str">
        <f t="shared" si="17"/>
        <v/>
      </c>
      <c r="Y162" s="365" t="b">
        <f t="shared" si="18"/>
        <v>0</v>
      </c>
      <c r="Z162" s="365" t="b">
        <f t="shared" si="19"/>
        <v>1</v>
      </c>
      <c r="AA162" s="365" t="str">
        <f>IFERROR(VLOOKUP(L162,'Reference Records'!B$252:E511,4,0),"")</f>
        <v/>
      </c>
      <c r="AB162" s="365" t="s">
        <v>572</v>
      </c>
      <c r="AC162" s="353" t="e">
        <f t="shared" si="20"/>
        <v>#N/A</v>
      </c>
      <c r="AD162" s="353" t="str">
        <f t="shared" si="21"/>
        <v/>
      </c>
      <c r="AE162" s="353" t="str">
        <f t="array" ref="AE162">IFERROR(IF(INDEX($W$124:$W$175, MATCH(0, IF(AD162=$E$124:$E$175, COUNTIF($AE$123:$AE161, $W$124:$W$175), ""), 0))=0,"",INDEX($W$124:$W$175, MATCH(0, IF(AD162=$E$124:$E$175, COUNTIF($AE$123:$AE161, $W$124:$W$175), ""), 0))),"")</f>
        <v/>
      </c>
      <c r="AF162" s="353" t="str">
        <f t="shared" si="22"/>
        <v>|empty|</v>
      </c>
      <c r="AG162" s="353" t="str">
        <f t="shared" si="23"/>
        <v>INT-351018</v>
      </c>
      <c r="AH162" s="353" t="str">
        <f t="shared" si="24"/>
        <v>a48</v>
      </c>
      <c r="AI162" s="353">
        <f>IF(COUNTIF($AH$124:AH213,"&lt;="&amp;AH162)=0,"",COUNTIF($AH$124:AH213,"&lt;="&amp;AH162))</f>
        <v>38</v>
      </c>
      <c r="AJ162" s="353">
        <f>RANK(AI162,AI$124:AI213,1)</f>
        <v>38</v>
      </c>
      <c r="AK162" s="353" t="str">
        <f>INDEX(E$124:E213,MATCH(ROWS(AJ$124:AJ162),AJ$124:AJ213,0))</f>
        <v/>
      </c>
      <c r="AL162" s="353" t="str">
        <f>INDEX(K$124:K213,MATCH(ROWS(AJ$124:AJ162),AJ$124:AJ213,0))</f>
        <v/>
      </c>
      <c r="AM162" s="353">
        <f>INDEX(V$124:V213,MATCH(ROWS(AJ$124:AJ162),AJ$124:AJ213,0))</f>
        <v>0</v>
      </c>
      <c r="AN162" s="353" t="str">
        <f t="shared" si="25"/>
        <v/>
      </c>
      <c r="AO162" s="353" t="e">
        <f t="shared" si="26"/>
        <v>#N/A</v>
      </c>
      <c r="AP162" s="353" t="str">
        <f>Setup!A123</f>
        <v>a48</v>
      </c>
      <c r="AQ162" s="366" t="s">
        <v>573</v>
      </c>
      <c r="AR162" s="301"/>
      <c r="AS162" s="300"/>
    </row>
    <row r="163" spans="1:45" ht="47.1" customHeight="1">
      <c r="A163" s="327">
        <v>39</v>
      </c>
      <c r="B163" s="355" t="str" cm="1">
        <f t="array" ref="B163">IFERROR(INDEX($E$123:$E$175, MATCH(0, COUNTIF($B$123:B162, $E$123:$E$175&amp;"") + IF($E$123:$E$175="",1,0),0)),"")</f>
        <v/>
      </c>
      <c r="C163" s="356"/>
      <c r="D163" s="357"/>
      <c r="E163" s="358" t="str">
        <f>IFERROR(IF(AND(K163="",T163=""),"",(VLOOKUP(Q163,'Reference records(soft deleted)'!$B$87:$D$138,3,FALSE))),"")</f>
        <v/>
      </c>
      <c r="F163" s="359" t="str">
        <f t="shared" si="15"/>
        <v>INT-351019</v>
      </c>
      <c r="G163" s="360"/>
      <c r="H163" s="360"/>
      <c r="I163" s="360"/>
      <c r="J163" s="360"/>
      <c r="K163" s="358" t="str">
        <f>IFERROR(VLOOKUP(R163,'Reference Records'!B$252:C512,2,0),"")</f>
        <v/>
      </c>
      <c r="L163" s="360" t="e">
        <f>VLOOKUP(U163&amp;K163,'Reference Records'!H$252:I512,2,0)</f>
        <v>#N/A</v>
      </c>
      <c r="M163" s="360" t="e">
        <f>MATCH($L163,'Reference Records'!$E$507:$E$509,0)+ROW(Population_by_intervention) -1</f>
        <v>#N/A</v>
      </c>
      <c r="N163" s="360" t="e">
        <f>MATCH($L163,'Reference Records'!$E$507:$E$509,1)+ROW(Population_by_intervention) -1</f>
        <v>#N/A</v>
      </c>
      <c r="O163" s="360" t="str">
        <f>IFERROR(VLOOKUP(AA163,'Reference Records'!B546:C548,2,0),"")</f>
        <v/>
      </c>
      <c r="P163" s="360"/>
      <c r="Q163" s="361" t="s">
        <v>425</v>
      </c>
      <c r="R163" s="362"/>
      <c r="S163" s="360"/>
      <c r="T163" s="363"/>
      <c r="U163" s="364" t="str">
        <f>IFERROR(IF(VLOOKUP(E163,'Reference Records'!$C$192:$D$250,2,FALSE)=0,"",VLOOKUP(E163,'Reference Records'!$C$192:$D$250,2,FALSE)),"")</f>
        <v/>
      </c>
      <c r="V163" s="350"/>
      <c r="W163" s="365" t="str">
        <f t="shared" si="16"/>
        <v/>
      </c>
      <c r="X163" s="365" t="str">
        <f t="shared" si="17"/>
        <v/>
      </c>
      <c r="Y163" s="365" t="b">
        <f t="shared" si="18"/>
        <v>0</v>
      </c>
      <c r="Z163" s="365" t="b">
        <f t="shared" si="19"/>
        <v>1</v>
      </c>
      <c r="AA163" s="365" t="str">
        <f>IFERROR(VLOOKUP(L163,'Reference Records'!B$252:E512,4,0),"")</f>
        <v/>
      </c>
      <c r="AB163" s="365" t="s">
        <v>574</v>
      </c>
      <c r="AC163" s="353" t="e">
        <f t="shared" si="20"/>
        <v>#N/A</v>
      </c>
      <c r="AD163" s="353" t="str">
        <f t="shared" si="21"/>
        <v/>
      </c>
      <c r="AE163" s="353" t="str">
        <f t="array" ref="AE163">IFERROR(IF(INDEX($W$124:$W$175, MATCH(0, IF(AD163=$E$124:$E$175, COUNTIF($AE$123:$AE162, $W$124:$W$175), ""), 0))=0,"",INDEX($W$124:$W$175, MATCH(0, IF(AD163=$E$124:$E$175, COUNTIF($AE$123:$AE162, $W$124:$W$175), ""), 0))),"")</f>
        <v/>
      </c>
      <c r="AF163" s="353" t="str">
        <f t="shared" si="22"/>
        <v>|empty|</v>
      </c>
      <c r="AG163" s="353" t="str">
        <f t="shared" si="23"/>
        <v>INT-351019</v>
      </c>
      <c r="AH163" s="353" t="str">
        <f t="shared" si="24"/>
        <v>a49</v>
      </c>
      <c r="AI163" s="353">
        <f>IF(COUNTIF($AH$124:AH214,"&lt;="&amp;AH163)=0,"",COUNTIF($AH$124:AH214,"&lt;="&amp;AH163))</f>
        <v>39</v>
      </c>
      <c r="AJ163" s="353">
        <f>RANK(AI163,AI$124:AI214,1)</f>
        <v>39</v>
      </c>
      <c r="AK163" s="353" t="str">
        <f>INDEX(E$124:E214,MATCH(ROWS(AJ$124:AJ163),AJ$124:AJ214,0))</f>
        <v/>
      </c>
      <c r="AL163" s="353" t="str">
        <f>INDEX(K$124:K214,MATCH(ROWS(AJ$124:AJ163),AJ$124:AJ214,0))</f>
        <v/>
      </c>
      <c r="AM163" s="353">
        <f>INDEX(V$124:V214,MATCH(ROWS(AJ$124:AJ163),AJ$124:AJ214,0))</f>
        <v>0</v>
      </c>
      <c r="AN163" s="353" t="str">
        <f t="shared" si="25"/>
        <v/>
      </c>
      <c r="AO163" s="353" t="e">
        <f t="shared" si="26"/>
        <v>#N/A</v>
      </c>
      <c r="AP163" s="353" t="str">
        <f>Setup!A124</f>
        <v>a49</v>
      </c>
      <c r="AQ163" s="366" t="s">
        <v>575</v>
      </c>
      <c r="AR163" s="301"/>
      <c r="AS163" s="300"/>
    </row>
    <row r="164" spans="1:45" ht="47.1" customHeight="1">
      <c r="A164" s="327">
        <v>40</v>
      </c>
      <c r="B164" s="355" t="str" cm="1">
        <f t="array" ref="B164">IFERROR(INDEX($E$123:$E$175, MATCH(0, COUNTIF($B$123:B163, $E$123:$E$175&amp;"") + IF($E$123:$E$175="",1,0),0)),"")</f>
        <v/>
      </c>
      <c r="C164" s="356"/>
      <c r="D164" s="357"/>
      <c r="E164" s="358" t="str">
        <f>IFERROR(IF(AND(K164="",T164=""),"",(VLOOKUP(Q164,'Reference records(soft deleted)'!$B$87:$D$138,3,FALSE))),"")</f>
        <v/>
      </c>
      <c r="F164" s="359" t="str">
        <f t="shared" si="15"/>
        <v>INT-351020</v>
      </c>
      <c r="G164" s="360"/>
      <c r="H164" s="360"/>
      <c r="I164" s="360"/>
      <c r="J164" s="360"/>
      <c r="K164" s="358" t="str">
        <f>IFERROR(VLOOKUP(R164,'Reference Records'!B$252:C513,2,0),"")</f>
        <v/>
      </c>
      <c r="L164" s="360" t="e">
        <f>VLOOKUP(U164&amp;K164,'Reference Records'!H$252:I513,2,0)</f>
        <v>#N/A</v>
      </c>
      <c r="M164" s="360" t="e">
        <f>MATCH($L164,'Reference Records'!$E$507:$E$509,0)+ROW(Population_by_intervention) -1</f>
        <v>#N/A</v>
      </c>
      <c r="N164" s="360" t="e">
        <f>MATCH($L164,'Reference Records'!$E$507:$E$509,1)+ROW(Population_by_intervention) -1</f>
        <v>#N/A</v>
      </c>
      <c r="O164" s="360" t="str">
        <f>IFERROR(VLOOKUP(AA164,'Reference Records'!B547:C549,2,0),"")</f>
        <v/>
      </c>
      <c r="P164" s="360"/>
      <c r="Q164" s="361" t="s">
        <v>425</v>
      </c>
      <c r="R164" s="362"/>
      <c r="S164" s="360"/>
      <c r="T164" s="363"/>
      <c r="U164" s="364" t="str">
        <f>IFERROR(IF(VLOOKUP(E164,'Reference Records'!$C$192:$D$250,2,FALSE)=0,"",VLOOKUP(E164,'Reference Records'!$C$192:$D$250,2,FALSE)),"")</f>
        <v/>
      </c>
      <c r="V164" s="350"/>
      <c r="W164" s="365" t="str">
        <f t="shared" si="16"/>
        <v/>
      </c>
      <c r="X164" s="365" t="str">
        <f t="shared" si="17"/>
        <v/>
      </c>
      <c r="Y164" s="365" t="b">
        <f t="shared" si="18"/>
        <v>0</v>
      </c>
      <c r="Z164" s="365" t="b">
        <f t="shared" si="19"/>
        <v>1</v>
      </c>
      <c r="AA164" s="365" t="str">
        <f>IFERROR(VLOOKUP(L164,'Reference Records'!B$252:E513,4,0),"")</f>
        <v/>
      </c>
      <c r="AB164" s="365" t="s">
        <v>576</v>
      </c>
      <c r="AC164" s="353" t="e">
        <f t="shared" si="20"/>
        <v>#N/A</v>
      </c>
      <c r="AD164" s="353" t="str">
        <f t="shared" si="21"/>
        <v/>
      </c>
      <c r="AE164" s="353" t="str">
        <f t="array" ref="AE164">IFERROR(IF(INDEX($W$124:$W$175, MATCH(0, IF(AD164=$E$124:$E$175, COUNTIF($AE$123:$AE163, $W$124:$W$175), ""), 0))=0,"",INDEX($W$124:$W$175, MATCH(0, IF(AD164=$E$124:$E$175, COUNTIF($AE$123:$AE163, $W$124:$W$175), ""), 0))),"")</f>
        <v/>
      </c>
      <c r="AF164" s="353" t="str">
        <f t="shared" si="22"/>
        <v>|empty|</v>
      </c>
      <c r="AG164" s="353" t="str">
        <f t="shared" si="23"/>
        <v>INT-351020</v>
      </c>
      <c r="AH164" s="353" t="str">
        <f t="shared" si="24"/>
        <v>a50</v>
      </c>
      <c r="AI164" s="353">
        <f>IF(COUNTIF($AH$124:AH215,"&lt;="&amp;AH164)=0,"",COUNTIF($AH$124:AH215,"&lt;="&amp;AH164))</f>
        <v>40</v>
      </c>
      <c r="AJ164" s="353">
        <f>RANK(AI164,AI$124:AI215,1)</f>
        <v>40</v>
      </c>
      <c r="AK164" s="353" t="str">
        <f>INDEX(E$124:E215,MATCH(ROWS(AJ$124:AJ164),AJ$124:AJ215,0))</f>
        <v/>
      </c>
      <c r="AL164" s="353" t="str">
        <f>INDEX(K$124:K215,MATCH(ROWS(AJ$124:AJ164),AJ$124:AJ215,0))</f>
        <v/>
      </c>
      <c r="AM164" s="353">
        <f>INDEX(V$124:V215,MATCH(ROWS(AJ$124:AJ164),AJ$124:AJ215,0))</f>
        <v>0</v>
      </c>
      <c r="AN164" s="353" t="str">
        <f t="shared" si="25"/>
        <v/>
      </c>
      <c r="AO164" s="353" t="e">
        <f t="shared" si="26"/>
        <v>#N/A</v>
      </c>
      <c r="AP164" s="353" t="str">
        <f>Setup!A125</f>
        <v>a50</v>
      </c>
      <c r="AQ164" s="366" t="s">
        <v>577</v>
      </c>
      <c r="AR164" s="301"/>
      <c r="AS164" s="300"/>
    </row>
    <row r="165" spans="1:45" ht="47.1" customHeight="1">
      <c r="A165" s="327">
        <v>41</v>
      </c>
      <c r="B165" s="355" t="str" cm="1">
        <f t="array" ref="B165">IFERROR(INDEX($E$123:$E$175, MATCH(0, COUNTIF($B$123:B164, $E$123:$E$175&amp;"") + IF($E$123:$E$175="",1,0),0)),"")</f>
        <v/>
      </c>
      <c r="C165" s="356"/>
      <c r="D165" s="357"/>
      <c r="E165" s="358" t="str">
        <f>IFERROR(IF(AND(K165="",T165=""),"",(VLOOKUP(Q165,'Reference records(soft deleted)'!$B$87:$D$138,3,FALSE))),"")</f>
        <v/>
      </c>
      <c r="F165" s="359" t="str">
        <f t="shared" si="15"/>
        <v>INT-351021</v>
      </c>
      <c r="G165" s="360"/>
      <c r="H165" s="360"/>
      <c r="I165" s="360"/>
      <c r="J165" s="360"/>
      <c r="K165" s="358" t="str">
        <f>IFERROR(VLOOKUP(R165,'Reference Records'!B$252:C514,2,0),"")</f>
        <v/>
      </c>
      <c r="L165" s="360" t="e">
        <f>VLOOKUP(U165&amp;K165,'Reference Records'!H$252:I514,2,0)</f>
        <v>#N/A</v>
      </c>
      <c r="M165" s="360" t="e">
        <f>MATCH($L165,'Reference Records'!$E$507:$E$509,0)+ROW(Population_by_intervention) -1</f>
        <v>#N/A</v>
      </c>
      <c r="N165" s="360" t="e">
        <f>MATCH($L165,'Reference Records'!$E$507:$E$509,1)+ROW(Population_by_intervention) -1</f>
        <v>#N/A</v>
      </c>
      <c r="O165" s="360" t="str">
        <f>IFERROR(VLOOKUP(AA165,'Reference Records'!B548:C550,2,0),"")</f>
        <v/>
      </c>
      <c r="P165" s="360"/>
      <c r="Q165" s="361" t="s">
        <v>425</v>
      </c>
      <c r="R165" s="362"/>
      <c r="S165" s="360"/>
      <c r="T165" s="363"/>
      <c r="U165" s="364" t="str">
        <f>IFERROR(IF(VLOOKUP(E165,'Reference Records'!$C$192:$D$250,2,FALSE)=0,"",VLOOKUP(E165,'Reference Records'!$C$192:$D$250,2,FALSE)),"")</f>
        <v/>
      </c>
      <c r="V165" s="350"/>
      <c r="W165" s="365" t="str">
        <f t="shared" si="16"/>
        <v/>
      </c>
      <c r="X165" s="365" t="str">
        <f t="shared" si="17"/>
        <v/>
      </c>
      <c r="Y165" s="365" t="b">
        <f t="shared" si="18"/>
        <v>0</v>
      </c>
      <c r="Z165" s="365" t="b">
        <f t="shared" si="19"/>
        <v>1</v>
      </c>
      <c r="AA165" s="365" t="str">
        <f>IFERROR(VLOOKUP(L165,'Reference Records'!B$252:E514,4,0),"")</f>
        <v/>
      </c>
      <c r="AB165" s="365" t="s">
        <v>578</v>
      </c>
      <c r="AC165" s="353" t="e">
        <f t="shared" si="20"/>
        <v>#N/A</v>
      </c>
      <c r="AD165" s="353" t="str">
        <f t="shared" si="21"/>
        <v/>
      </c>
      <c r="AE165" s="353" t="str">
        <f t="array" ref="AE165">IFERROR(IF(INDEX($W$124:$W$175, MATCH(0, IF(AD165=$E$124:$E$175, COUNTIF($AE$123:$AE164, $W$124:$W$175), ""), 0))=0,"",INDEX($W$124:$W$175, MATCH(0, IF(AD165=$E$124:$E$175, COUNTIF($AE$123:$AE164, $W$124:$W$175), ""), 0))),"")</f>
        <v/>
      </c>
      <c r="AF165" s="353" t="str">
        <f t="shared" si="22"/>
        <v>|empty|</v>
      </c>
      <c r="AG165" s="353" t="str">
        <f t="shared" si="23"/>
        <v>INT-351021</v>
      </c>
      <c r="AH165" s="353" t="str">
        <f t="shared" si="24"/>
        <v>a51</v>
      </c>
      <c r="AI165" s="353">
        <f>IF(COUNTIF($AH$124:AH216,"&lt;="&amp;AH165)=0,"",COUNTIF($AH$124:AH216,"&lt;="&amp;AH165))</f>
        <v>41</v>
      </c>
      <c r="AJ165" s="353">
        <f>RANK(AI165,AI$124:AI216,1)</f>
        <v>41</v>
      </c>
      <c r="AK165" s="353" t="str">
        <f>INDEX(E$124:E216,MATCH(ROWS(AJ$124:AJ165),AJ$124:AJ216,0))</f>
        <v/>
      </c>
      <c r="AL165" s="353" t="str">
        <f>INDEX(K$124:K216,MATCH(ROWS(AJ$124:AJ165),AJ$124:AJ216,0))</f>
        <v/>
      </c>
      <c r="AM165" s="353">
        <f>INDEX(V$124:V216,MATCH(ROWS(AJ$124:AJ165),AJ$124:AJ216,0))</f>
        <v>0</v>
      </c>
      <c r="AN165" s="353" t="str">
        <f t="shared" si="25"/>
        <v/>
      </c>
      <c r="AO165" s="353" t="e">
        <f t="shared" si="26"/>
        <v>#N/A</v>
      </c>
      <c r="AP165" s="353" t="str">
        <f>Setup!A126</f>
        <v>a51</v>
      </c>
      <c r="AQ165" s="366" t="s">
        <v>579</v>
      </c>
      <c r="AR165" s="301"/>
      <c r="AS165" s="300"/>
    </row>
    <row r="166" spans="1:45" ht="47.1" customHeight="1">
      <c r="A166" s="327">
        <v>42</v>
      </c>
      <c r="B166" s="355" t="str" cm="1">
        <f t="array" ref="B166">IFERROR(INDEX($E$123:$E$175, MATCH(0, COUNTIF($B$123:B165, $E$123:$E$175&amp;"") + IF($E$123:$E$175="",1,0),0)),"")</f>
        <v/>
      </c>
      <c r="C166" s="356"/>
      <c r="D166" s="357"/>
      <c r="E166" s="358" t="str">
        <f>IFERROR(IF(AND(K166="",T166=""),"",(VLOOKUP(Q166,'Reference records(soft deleted)'!$B$87:$D$138,3,FALSE))),"")</f>
        <v/>
      </c>
      <c r="F166" s="359" t="str">
        <f t="shared" si="15"/>
        <v>INT-351022</v>
      </c>
      <c r="G166" s="360"/>
      <c r="H166" s="360"/>
      <c r="I166" s="360"/>
      <c r="J166" s="360"/>
      <c r="K166" s="358" t="str">
        <f>IFERROR(VLOOKUP(R166,'Reference Records'!B$252:C515,2,0),"")</f>
        <v/>
      </c>
      <c r="L166" s="360" t="e">
        <f>VLOOKUP(U166&amp;K166,'Reference Records'!H$252:I515,2,0)</f>
        <v>#N/A</v>
      </c>
      <c r="M166" s="360" t="e">
        <f>MATCH($L166,'Reference Records'!$E$507:$E$509,0)+ROW(Population_by_intervention) -1</f>
        <v>#N/A</v>
      </c>
      <c r="N166" s="360" t="e">
        <f>MATCH($L166,'Reference Records'!$E$507:$E$509,1)+ROW(Population_by_intervention) -1</f>
        <v>#N/A</v>
      </c>
      <c r="O166" s="360" t="str">
        <f>IFERROR(VLOOKUP(AA166,'Reference Records'!B549:C551,2,0),"")</f>
        <v/>
      </c>
      <c r="P166" s="360"/>
      <c r="Q166" s="361" t="s">
        <v>425</v>
      </c>
      <c r="R166" s="362"/>
      <c r="S166" s="360"/>
      <c r="T166" s="363"/>
      <c r="U166" s="364" t="str">
        <f>IFERROR(IF(VLOOKUP(E166,'Reference Records'!$C$192:$D$250,2,FALSE)=0,"",VLOOKUP(E166,'Reference Records'!$C$192:$D$250,2,FALSE)),"")</f>
        <v/>
      </c>
      <c r="V166" s="350"/>
      <c r="W166" s="365" t="str">
        <f t="shared" si="16"/>
        <v/>
      </c>
      <c r="X166" s="365" t="str">
        <f t="shared" si="17"/>
        <v/>
      </c>
      <c r="Y166" s="365" t="b">
        <f t="shared" si="18"/>
        <v>0</v>
      </c>
      <c r="Z166" s="365" t="b">
        <f t="shared" si="19"/>
        <v>1</v>
      </c>
      <c r="AA166" s="365" t="str">
        <f>IFERROR(VLOOKUP(L166,'Reference Records'!B$252:E515,4,0),"")</f>
        <v/>
      </c>
      <c r="AB166" s="365" t="s">
        <v>580</v>
      </c>
      <c r="AC166" s="353" t="e">
        <f t="shared" si="20"/>
        <v>#N/A</v>
      </c>
      <c r="AD166" s="353" t="str">
        <f t="shared" si="21"/>
        <v/>
      </c>
      <c r="AE166" s="353" t="str">
        <f t="array" ref="AE166">IFERROR(IF(INDEX($W$124:$W$175, MATCH(0, IF(AD166=$E$124:$E$175, COUNTIF($AE$123:$AE165, $W$124:$W$175), ""), 0))=0,"",INDEX($W$124:$W$175, MATCH(0, IF(AD166=$E$124:$E$175, COUNTIF($AE$123:$AE165, $W$124:$W$175), ""), 0))),"")</f>
        <v/>
      </c>
      <c r="AF166" s="353" t="str">
        <f t="shared" si="22"/>
        <v>|empty|</v>
      </c>
      <c r="AG166" s="353" t="str">
        <f t="shared" si="23"/>
        <v>INT-351022</v>
      </c>
      <c r="AH166" s="353" t="str">
        <f t="shared" si="24"/>
        <v>a52</v>
      </c>
      <c r="AI166" s="353">
        <f>IF(COUNTIF($AH$124:AH217,"&lt;="&amp;AH166)=0,"",COUNTIF($AH$124:AH217,"&lt;="&amp;AH166))</f>
        <v>42</v>
      </c>
      <c r="AJ166" s="353">
        <f>RANK(AI166,AI$124:AI217,1)</f>
        <v>42</v>
      </c>
      <c r="AK166" s="353" t="str">
        <f>INDEX(E$124:E217,MATCH(ROWS(AJ$124:AJ166),AJ$124:AJ217,0))</f>
        <v/>
      </c>
      <c r="AL166" s="353" t="str">
        <f>INDEX(K$124:K217,MATCH(ROWS(AJ$124:AJ166),AJ$124:AJ217,0))</f>
        <v/>
      </c>
      <c r="AM166" s="353">
        <f>INDEX(V$124:V217,MATCH(ROWS(AJ$124:AJ166),AJ$124:AJ217,0))</f>
        <v>0</v>
      </c>
      <c r="AN166" s="353" t="str">
        <f t="shared" si="25"/>
        <v/>
      </c>
      <c r="AO166" s="353" t="e">
        <f t="shared" si="26"/>
        <v>#N/A</v>
      </c>
      <c r="AP166" s="353" t="str">
        <f>Setup!A127</f>
        <v>a52</v>
      </c>
      <c r="AQ166" s="366" t="s">
        <v>581</v>
      </c>
      <c r="AR166" s="301"/>
      <c r="AS166" s="300"/>
    </row>
    <row r="167" spans="1:45" ht="47.1" customHeight="1">
      <c r="A167" s="327">
        <v>43</v>
      </c>
      <c r="B167" s="355" t="str" cm="1">
        <f t="array" ref="B167">IFERROR(INDEX($E$123:$E$175, MATCH(0, COUNTIF($B$123:B166, $E$123:$E$175&amp;"") + IF($E$123:$E$175="",1,0),0)),"")</f>
        <v/>
      </c>
      <c r="C167" s="356"/>
      <c r="D167" s="357"/>
      <c r="E167" s="358" t="str">
        <f>IFERROR(IF(AND(K167="",T167=""),"",(VLOOKUP(Q167,'Reference records(soft deleted)'!$B$87:$D$138,3,FALSE))),"")</f>
        <v/>
      </c>
      <c r="F167" s="359" t="str">
        <f t="shared" si="15"/>
        <v>INT-351023</v>
      </c>
      <c r="G167" s="360"/>
      <c r="H167" s="360"/>
      <c r="I167" s="360"/>
      <c r="J167" s="360"/>
      <c r="K167" s="358" t="str">
        <f>IFERROR(VLOOKUP(R167,'Reference Records'!B$252:C516,2,0),"")</f>
        <v/>
      </c>
      <c r="L167" s="360" t="e">
        <f>VLOOKUP(U167&amp;K167,'Reference Records'!H$252:I516,2,0)</f>
        <v>#N/A</v>
      </c>
      <c r="M167" s="360" t="e">
        <f>MATCH($L167,'Reference Records'!$E$507:$E$509,0)+ROW(Population_by_intervention) -1</f>
        <v>#N/A</v>
      </c>
      <c r="N167" s="360" t="e">
        <f>MATCH($L167,'Reference Records'!$E$507:$E$509,1)+ROW(Population_by_intervention) -1</f>
        <v>#N/A</v>
      </c>
      <c r="O167" s="360" t="str">
        <f>IFERROR(VLOOKUP(AA167,'Reference Records'!B550:C552,2,0),"")</f>
        <v/>
      </c>
      <c r="P167" s="360"/>
      <c r="Q167" s="361" t="s">
        <v>425</v>
      </c>
      <c r="R167" s="362"/>
      <c r="S167" s="360"/>
      <c r="T167" s="363"/>
      <c r="U167" s="364" t="str">
        <f>IFERROR(IF(VLOOKUP(E167,'Reference Records'!$C$192:$D$250,2,FALSE)=0,"",VLOOKUP(E167,'Reference Records'!$C$192:$D$250,2,FALSE)),"")</f>
        <v/>
      </c>
      <c r="V167" s="350"/>
      <c r="W167" s="365" t="str">
        <f t="shared" si="16"/>
        <v/>
      </c>
      <c r="X167" s="365" t="str">
        <f t="shared" si="17"/>
        <v/>
      </c>
      <c r="Y167" s="365" t="b">
        <f t="shared" si="18"/>
        <v>0</v>
      </c>
      <c r="Z167" s="365" t="b">
        <f t="shared" si="19"/>
        <v>1</v>
      </c>
      <c r="AA167" s="365" t="str">
        <f>IFERROR(VLOOKUP(L167,'Reference Records'!B$252:E516,4,0),"")</f>
        <v/>
      </c>
      <c r="AB167" s="365" t="s">
        <v>582</v>
      </c>
      <c r="AC167" s="353" t="e">
        <f t="shared" si="20"/>
        <v>#N/A</v>
      </c>
      <c r="AD167" s="353" t="str">
        <f t="shared" si="21"/>
        <v/>
      </c>
      <c r="AE167" s="353" t="str">
        <f t="array" ref="AE167">IFERROR(IF(INDEX($W$124:$W$175, MATCH(0, IF(AD167=$E$124:$E$175, COUNTIF($AE$123:$AE166, $W$124:$W$175), ""), 0))=0,"",INDEX($W$124:$W$175, MATCH(0, IF(AD167=$E$124:$E$175, COUNTIF($AE$123:$AE166, $W$124:$W$175), ""), 0))),"")</f>
        <v/>
      </c>
      <c r="AF167" s="353" t="str">
        <f t="shared" si="22"/>
        <v>|empty|</v>
      </c>
      <c r="AG167" s="353" t="str">
        <f t="shared" si="23"/>
        <v>INT-351023</v>
      </c>
      <c r="AH167" s="353" t="str">
        <f t="shared" si="24"/>
        <v>a53</v>
      </c>
      <c r="AI167" s="353">
        <f>IF(COUNTIF($AH$124:AH218,"&lt;="&amp;AH167)=0,"",COUNTIF($AH$124:AH218,"&lt;="&amp;AH167))</f>
        <v>43</v>
      </c>
      <c r="AJ167" s="353">
        <f>RANK(AI167,AI$124:AI218,1)</f>
        <v>43</v>
      </c>
      <c r="AK167" s="353" t="str">
        <f>INDEX(E$124:E218,MATCH(ROWS(AJ$124:AJ167),AJ$124:AJ218,0))</f>
        <v/>
      </c>
      <c r="AL167" s="353" t="str">
        <f>INDEX(K$124:K218,MATCH(ROWS(AJ$124:AJ167),AJ$124:AJ218,0))</f>
        <v/>
      </c>
      <c r="AM167" s="353">
        <f>INDEX(V$124:V218,MATCH(ROWS(AJ$124:AJ167),AJ$124:AJ218,0))</f>
        <v>0</v>
      </c>
      <c r="AN167" s="353" t="str">
        <f t="shared" si="25"/>
        <v/>
      </c>
      <c r="AO167" s="353" t="e">
        <f t="shared" si="26"/>
        <v>#N/A</v>
      </c>
      <c r="AP167" s="353" t="str">
        <f>Setup!A128</f>
        <v>a53</v>
      </c>
      <c r="AQ167" s="366" t="s">
        <v>583</v>
      </c>
      <c r="AR167" s="301"/>
      <c r="AS167" s="300"/>
    </row>
    <row r="168" spans="1:45" ht="47.1" customHeight="1">
      <c r="A168" s="327">
        <v>44</v>
      </c>
      <c r="B168" s="355" t="str" cm="1">
        <f t="array" ref="B168">IFERROR(INDEX($E$123:$E$175, MATCH(0, COUNTIF($B$123:B167, $E$123:$E$175&amp;"") + IF($E$123:$E$175="",1,0),0)),"")</f>
        <v/>
      </c>
      <c r="C168" s="356"/>
      <c r="D168" s="357"/>
      <c r="E168" s="358" t="str">
        <f>IFERROR(IF(AND(K168="",T168=""),"",(VLOOKUP(Q168,'Reference records(soft deleted)'!$B$87:$D$138,3,FALSE))),"")</f>
        <v/>
      </c>
      <c r="F168" s="359" t="str">
        <f t="shared" si="15"/>
        <v>INT-351024</v>
      </c>
      <c r="G168" s="360"/>
      <c r="H168" s="360"/>
      <c r="I168" s="360"/>
      <c r="J168" s="360"/>
      <c r="K168" s="358" t="str">
        <f>IFERROR(VLOOKUP(R168,'Reference Records'!B$252:C517,2,0),"")</f>
        <v/>
      </c>
      <c r="L168" s="360" t="e">
        <f>VLOOKUP(U168&amp;K168,'Reference Records'!H$252:I517,2,0)</f>
        <v>#N/A</v>
      </c>
      <c r="M168" s="360" t="e">
        <f>MATCH($L168,'Reference Records'!$E$507:$E$509,0)+ROW(Population_by_intervention) -1</f>
        <v>#N/A</v>
      </c>
      <c r="N168" s="360" t="e">
        <f>MATCH($L168,'Reference Records'!$E$507:$E$509,1)+ROW(Population_by_intervention) -1</f>
        <v>#N/A</v>
      </c>
      <c r="O168" s="360" t="str">
        <f>IFERROR(VLOOKUP(AA168,'Reference Records'!B551:C553,2,0),"")</f>
        <v/>
      </c>
      <c r="P168" s="360"/>
      <c r="Q168" s="361" t="s">
        <v>425</v>
      </c>
      <c r="R168" s="362"/>
      <c r="S168" s="360"/>
      <c r="T168" s="363"/>
      <c r="U168" s="364" t="str">
        <f>IFERROR(IF(VLOOKUP(E168,'Reference Records'!$C$192:$D$250,2,FALSE)=0,"",VLOOKUP(E168,'Reference Records'!$C$192:$D$250,2,FALSE)),"")</f>
        <v/>
      </c>
      <c r="V168" s="350"/>
      <c r="W168" s="365" t="str">
        <f t="shared" si="16"/>
        <v/>
      </c>
      <c r="X168" s="365" t="str">
        <f t="shared" si="17"/>
        <v/>
      </c>
      <c r="Y168" s="365" t="b">
        <f t="shared" si="18"/>
        <v>0</v>
      </c>
      <c r="Z168" s="365" t="b">
        <f t="shared" si="19"/>
        <v>1</v>
      </c>
      <c r="AA168" s="365" t="str">
        <f>IFERROR(VLOOKUP(L168,'Reference Records'!B$252:E517,4,0),"")</f>
        <v/>
      </c>
      <c r="AB168" s="365" t="s">
        <v>584</v>
      </c>
      <c r="AC168" s="353" t="e">
        <f t="shared" si="20"/>
        <v>#N/A</v>
      </c>
      <c r="AD168" s="353" t="str">
        <f t="shared" si="21"/>
        <v/>
      </c>
      <c r="AE168" s="353" t="str">
        <f t="array" ref="AE168">IFERROR(IF(INDEX($W$124:$W$175, MATCH(0, IF(AD168=$E$124:$E$175, COUNTIF($AE$123:$AE167, $W$124:$W$175), ""), 0))=0,"",INDEX($W$124:$W$175, MATCH(0, IF(AD168=$E$124:$E$175, COUNTIF($AE$123:$AE167, $W$124:$W$175), ""), 0))),"")</f>
        <v/>
      </c>
      <c r="AF168" s="353" t="str">
        <f t="shared" si="22"/>
        <v>|empty|</v>
      </c>
      <c r="AG168" s="353" t="str">
        <f t="shared" si="23"/>
        <v>INT-351024</v>
      </c>
      <c r="AH168" s="353" t="str">
        <f t="shared" si="24"/>
        <v>a54</v>
      </c>
      <c r="AI168" s="353">
        <f>IF(COUNTIF($AH$124:AH219,"&lt;="&amp;AH168)=0,"",COUNTIF($AH$124:AH219,"&lt;="&amp;AH168))</f>
        <v>44</v>
      </c>
      <c r="AJ168" s="353">
        <f>RANK(AI168,AI$124:AI219,1)</f>
        <v>44</v>
      </c>
      <c r="AK168" s="353" t="str">
        <f>INDEX(E$124:E219,MATCH(ROWS(AJ$124:AJ168),AJ$124:AJ219,0))</f>
        <v/>
      </c>
      <c r="AL168" s="353" t="str">
        <f>INDEX(K$124:K219,MATCH(ROWS(AJ$124:AJ168),AJ$124:AJ219,0))</f>
        <v/>
      </c>
      <c r="AM168" s="353">
        <f>INDEX(V$124:V219,MATCH(ROWS(AJ$124:AJ168),AJ$124:AJ219,0))</f>
        <v>0</v>
      </c>
      <c r="AN168" s="353" t="str">
        <f t="shared" si="25"/>
        <v/>
      </c>
      <c r="AO168" s="353" t="e">
        <f t="shared" si="26"/>
        <v>#N/A</v>
      </c>
      <c r="AP168" s="353" t="str">
        <f>Setup!A129</f>
        <v>a54</v>
      </c>
      <c r="AQ168" s="366" t="s">
        <v>585</v>
      </c>
      <c r="AR168" s="301"/>
      <c r="AS168" s="300"/>
    </row>
    <row r="169" spans="1:45" ht="47.1" customHeight="1">
      <c r="A169" s="327">
        <v>45</v>
      </c>
      <c r="B169" s="355" t="str" cm="1">
        <f t="array" ref="B169">IFERROR(INDEX($E$123:$E$175, MATCH(0, COUNTIF($B$123:B168, $E$123:$E$175&amp;"") + IF($E$123:$E$175="",1,0),0)),"")</f>
        <v/>
      </c>
      <c r="C169" s="356"/>
      <c r="D169" s="357"/>
      <c r="E169" s="358" t="str">
        <f>IFERROR(IF(AND(K169="",T169=""),"",(VLOOKUP(Q169,'Reference records(soft deleted)'!$B$87:$D$138,3,FALSE))),"")</f>
        <v/>
      </c>
      <c r="F169" s="359" t="str">
        <f t="shared" si="15"/>
        <v>INT-351025</v>
      </c>
      <c r="G169" s="360"/>
      <c r="H169" s="360"/>
      <c r="I169" s="360"/>
      <c r="J169" s="360"/>
      <c r="K169" s="358" t="str">
        <f>IFERROR(VLOOKUP(R169,'Reference Records'!B$252:C518,2,0),"")</f>
        <v/>
      </c>
      <c r="L169" s="360" t="e">
        <f>VLOOKUP(U169&amp;K169,'Reference Records'!H$252:I518,2,0)</f>
        <v>#N/A</v>
      </c>
      <c r="M169" s="360" t="e">
        <f>MATCH($L169,'Reference Records'!$E$507:$E$509,0)+ROW(Population_by_intervention) -1</f>
        <v>#N/A</v>
      </c>
      <c r="N169" s="360" t="e">
        <f>MATCH($L169,'Reference Records'!$E$507:$E$509,1)+ROW(Population_by_intervention) -1</f>
        <v>#N/A</v>
      </c>
      <c r="O169" s="360" t="str">
        <f>IFERROR(VLOOKUP(AA169,'Reference Records'!B552:C554,2,0),"")</f>
        <v/>
      </c>
      <c r="P169" s="360"/>
      <c r="Q169" s="361" t="s">
        <v>425</v>
      </c>
      <c r="R169" s="362"/>
      <c r="S169" s="360"/>
      <c r="T169" s="363"/>
      <c r="U169" s="364" t="str">
        <f>IFERROR(IF(VLOOKUP(E169,'Reference Records'!$C$192:$D$250,2,FALSE)=0,"",VLOOKUP(E169,'Reference Records'!$C$192:$D$250,2,FALSE)),"")</f>
        <v/>
      </c>
      <c r="V169" s="350"/>
      <c r="W169" s="365" t="str">
        <f t="shared" si="16"/>
        <v/>
      </c>
      <c r="X169" s="365" t="str">
        <f t="shared" si="17"/>
        <v/>
      </c>
      <c r="Y169" s="365" t="b">
        <f t="shared" si="18"/>
        <v>0</v>
      </c>
      <c r="Z169" s="365" t="b">
        <f t="shared" si="19"/>
        <v>1</v>
      </c>
      <c r="AA169" s="365" t="str">
        <f>IFERROR(VLOOKUP(L169,'Reference Records'!B$252:E518,4,0),"")</f>
        <v/>
      </c>
      <c r="AB169" s="365" t="s">
        <v>586</v>
      </c>
      <c r="AC169" s="353" t="e">
        <f t="shared" si="20"/>
        <v>#N/A</v>
      </c>
      <c r="AD169" s="353" t="str">
        <f t="shared" si="21"/>
        <v/>
      </c>
      <c r="AE169" s="353" t="str">
        <f t="array" ref="AE169">IFERROR(IF(INDEX($W$124:$W$175, MATCH(0, IF(AD169=$E$124:$E$175, COUNTIF($AE$123:$AE168, $W$124:$W$175), ""), 0))=0,"",INDEX($W$124:$W$175, MATCH(0, IF(AD169=$E$124:$E$175, COUNTIF($AE$123:$AE168, $W$124:$W$175), ""), 0))),"")</f>
        <v/>
      </c>
      <c r="AF169" s="353" t="str">
        <f t="shared" si="22"/>
        <v>|empty|</v>
      </c>
      <c r="AG169" s="353" t="str">
        <f t="shared" si="23"/>
        <v>INT-351025</v>
      </c>
      <c r="AH169" s="353" t="str">
        <f t="shared" si="24"/>
        <v>a55</v>
      </c>
      <c r="AI169" s="353">
        <f>IF(COUNTIF($AH$124:AH220,"&lt;="&amp;AH169)=0,"",COUNTIF($AH$124:AH220,"&lt;="&amp;AH169))</f>
        <v>45</v>
      </c>
      <c r="AJ169" s="353">
        <f>RANK(AI169,AI$124:AI220,1)</f>
        <v>45</v>
      </c>
      <c r="AK169" s="353" t="str">
        <f>INDEX(E$124:E220,MATCH(ROWS(AJ$124:AJ169),AJ$124:AJ220,0))</f>
        <v/>
      </c>
      <c r="AL169" s="353" t="str">
        <f>INDEX(K$124:K220,MATCH(ROWS(AJ$124:AJ169),AJ$124:AJ220,0))</f>
        <v/>
      </c>
      <c r="AM169" s="353">
        <f>INDEX(V$124:V220,MATCH(ROWS(AJ$124:AJ169),AJ$124:AJ220,0))</f>
        <v>0</v>
      </c>
      <c r="AN169" s="353" t="str">
        <f t="shared" si="25"/>
        <v/>
      </c>
      <c r="AO169" s="353" t="e">
        <f t="shared" si="26"/>
        <v>#N/A</v>
      </c>
      <c r="AP169" s="353" t="str">
        <f>Setup!A130</f>
        <v>a55</v>
      </c>
      <c r="AQ169" s="366" t="s">
        <v>587</v>
      </c>
      <c r="AR169" s="301"/>
      <c r="AS169" s="300"/>
    </row>
    <row r="170" spans="1:45" ht="47.1" customHeight="1">
      <c r="A170" s="327">
        <v>46</v>
      </c>
      <c r="B170" s="355" t="str" cm="1">
        <f t="array" ref="B170">IFERROR(INDEX($E$123:$E$175, MATCH(0, COUNTIF($B$123:B169, $E$123:$E$175&amp;"") + IF($E$123:$E$175="",1,0),0)),"")</f>
        <v/>
      </c>
      <c r="C170" s="356"/>
      <c r="D170" s="357"/>
      <c r="E170" s="358" t="str">
        <f>IFERROR(IF(AND(K170="",T170=""),"",(VLOOKUP(Q170,'Reference records(soft deleted)'!$B$87:$D$138,3,FALSE))),"")</f>
        <v/>
      </c>
      <c r="F170" s="359" t="str">
        <f t="shared" si="15"/>
        <v>INT-351026</v>
      </c>
      <c r="G170" s="360"/>
      <c r="H170" s="360"/>
      <c r="I170" s="360"/>
      <c r="J170" s="360"/>
      <c r="K170" s="358" t="str">
        <f>IFERROR(VLOOKUP(R170,'Reference Records'!B$252:C519,2,0),"")</f>
        <v/>
      </c>
      <c r="L170" s="360" t="e">
        <f>VLOOKUP(U170&amp;K170,'Reference Records'!H$252:I519,2,0)</f>
        <v>#N/A</v>
      </c>
      <c r="M170" s="360" t="e">
        <f>MATCH($L170,'Reference Records'!$E$507:$E$509,0)+ROW(Population_by_intervention) -1</f>
        <v>#N/A</v>
      </c>
      <c r="N170" s="360" t="e">
        <f>MATCH($L170,'Reference Records'!$E$507:$E$509,1)+ROW(Population_by_intervention) -1</f>
        <v>#N/A</v>
      </c>
      <c r="O170" s="360" t="str">
        <f>IFERROR(VLOOKUP(AA170,'Reference Records'!B553:C555,2,0),"")</f>
        <v/>
      </c>
      <c r="P170" s="360"/>
      <c r="Q170" s="361" t="s">
        <v>425</v>
      </c>
      <c r="R170" s="362"/>
      <c r="S170" s="360"/>
      <c r="T170" s="363"/>
      <c r="U170" s="364" t="str">
        <f>IFERROR(IF(VLOOKUP(E170,'Reference Records'!$C$192:$D$250,2,FALSE)=0,"",VLOOKUP(E170,'Reference Records'!$C$192:$D$250,2,FALSE)),"")</f>
        <v/>
      </c>
      <c r="V170" s="350"/>
      <c r="W170" s="365" t="str">
        <f t="shared" si="16"/>
        <v/>
      </c>
      <c r="X170" s="365" t="str">
        <f t="shared" si="17"/>
        <v/>
      </c>
      <c r="Y170" s="365" t="b">
        <f t="shared" si="18"/>
        <v>0</v>
      </c>
      <c r="Z170" s="365" t="b">
        <f t="shared" si="19"/>
        <v>1</v>
      </c>
      <c r="AA170" s="365" t="str">
        <f>IFERROR(VLOOKUP(L170,'Reference Records'!B$252:E519,4,0),"")</f>
        <v/>
      </c>
      <c r="AB170" s="365" t="s">
        <v>588</v>
      </c>
      <c r="AC170" s="353" t="e">
        <f t="shared" si="20"/>
        <v>#N/A</v>
      </c>
      <c r="AD170" s="353" t="str">
        <f t="shared" si="21"/>
        <v/>
      </c>
      <c r="AE170" s="353" t="str">
        <f t="array" ref="AE170">IFERROR(IF(INDEX($W$124:$W$175, MATCH(0, IF(AD170=$E$124:$E$175, COUNTIF($AE$123:$AE169, $W$124:$W$175), ""), 0))=0,"",INDEX($W$124:$W$175, MATCH(0, IF(AD170=$E$124:$E$175, COUNTIF($AE$123:$AE169, $W$124:$W$175), ""), 0))),"")</f>
        <v/>
      </c>
      <c r="AF170" s="353" t="str">
        <f t="shared" si="22"/>
        <v>|empty|</v>
      </c>
      <c r="AG170" s="353" t="str">
        <f t="shared" si="23"/>
        <v>INT-351026</v>
      </c>
      <c r="AH170" s="353" t="str">
        <f t="shared" si="24"/>
        <v>a56</v>
      </c>
      <c r="AI170" s="353">
        <f>IF(COUNTIF($AH$124:AH221,"&lt;="&amp;AH170)=0,"",COUNTIF($AH$124:AH221,"&lt;="&amp;AH170))</f>
        <v>46</v>
      </c>
      <c r="AJ170" s="353">
        <f>RANK(AI170,AI$124:AI221,1)</f>
        <v>46</v>
      </c>
      <c r="AK170" s="353" t="str">
        <f>INDEX(E$124:E221,MATCH(ROWS(AJ$124:AJ170),AJ$124:AJ221,0))</f>
        <v/>
      </c>
      <c r="AL170" s="353" t="str">
        <f>INDEX(K$124:K221,MATCH(ROWS(AJ$124:AJ170),AJ$124:AJ221,0))</f>
        <v/>
      </c>
      <c r="AM170" s="353">
        <f>INDEX(V$124:V221,MATCH(ROWS(AJ$124:AJ170),AJ$124:AJ221,0))</f>
        <v>0</v>
      </c>
      <c r="AN170" s="353" t="str">
        <f t="shared" si="25"/>
        <v/>
      </c>
      <c r="AO170" s="353" t="e">
        <f t="shared" si="26"/>
        <v>#N/A</v>
      </c>
      <c r="AP170" s="353" t="str">
        <f>Setup!A131</f>
        <v>a56</v>
      </c>
      <c r="AQ170" s="366" t="s">
        <v>589</v>
      </c>
      <c r="AR170" s="301"/>
      <c r="AS170" s="300"/>
    </row>
    <row r="171" spans="1:45" ht="47.1" customHeight="1">
      <c r="A171" s="327">
        <v>47</v>
      </c>
      <c r="B171" s="355" t="str" cm="1">
        <f t="array" ref="B171">IFERROR(INDEX($E$123:$E$175, MATCH(0, COUNTIF($B$123:B170, $E$123:$E$175&amp;"") + IF($E$123:$E$175="",1,0),0)),"")</f>
        <v/>
      </c>
      <c r="C171" s="356"/>
      <c r="D171" s="357"/>
      <c r="E171" s="358" t="str">
        <f>IFERROR(IF(AND(K171="",T171=""),"",(VLOOKUP(Q171,'Reference records(soft deleted)'!$B$87:$D$138,3,FALSE))),"")</f>
        <v/>
      </c>
      <c r="F171" s="359" t="str">
        <f t="shared" si="15"/>
        <v>INT-351027</v>
      </c>
      <c r="G171" s="360"/>
      <c r="H171" s="360"/>
      <c r="I171" s="360"/>
      <c r="J171" s="360"/>
      <c r="K171" s="358" t="str">
        <f>IFERROR(VLOOKUP(R171,'Reference Records'!B$252:C520,2,0),"")</f>
        <v/>
      </c>
      <c r="L171" s="360" t="e">
        <f>VLOOKUP(U171&amp;K171,'Reference Records'!H$252:I520,2,0)</f>
        <v>#N/A</v>
      </c>
      <c r="M171" s="360" t="e">
        <f>MATCH($L171,'Reference Records'!$E$507:$E$509,0)+ROW(Population_by_intervention) -1</f>
        <v>#N/A</v>
      </c>
      <c r="N171" s="360" t="e">
        <f>MATCH($L171,'Reference Records'!$E$507:$E$509,1)+ROW(Population_by_intervention) -1</f>
        <v>#N/A</v>
      </c>
      <c r="O171" s="360" t="str">
        <f>IFERROR(VLOOKUP(AA171,'Reference Records'!B554:C556,2,0),"")</f>
        <v/>
      </c>
      <c r="P171" s="360"/>
      <c r="Q171" s="361" t="s">
        <v>425</v>
      </c>
      <c r="R171" s="362"/>
      <c r="S171" s="360"/>
      <c r="T171" s="363"/>
      <c r="U171" s="364" t="str">
        <f>IFERROR(IF(VLOOKUP(E171,'Reference Records'!$C$192:$D$250,2,FALSE)=0,"",VLOOKUP(E171,'Reference Records'!$C$192:$D$250,2,FALSE)),"")</f>
        <v/>
      </c>
      <c r="V171" s="350"/>
      <c r="W171" s="365" t="str">
        <f t="shared" si="16"/>
        <v/>
      </c>
      <c r="X171" s="365" t="str">
        <f t="shared" si="17"/>
        <v/>
      </c>
      <c r="Y171" s="365" t="b">
        <f t="shared" si="18"/>
        <v>0</v>
      </c>
      <c r="Z171" s="365" t="b">
        <f t="shared" si="19"/>
        <v>1</v>
      </c>
      <c r="AA171" s="365" t="str">
        <f>IFERROR(VLOOKUP(L171,'Reference Records'!B$252:E520,4,0),"")</f>
        <v/>
      </c>
      <c r="AB171" s="365" t="s">
        <v>590</v>
      </c>
      <c r="AC171" s="353" t="e">
        <f t="shared" si="20"/>
        <v>#N/A</v>
      </c>
      <c r="AD171" s="353" t="str">
        <f t="shared" si="21"/>
        <v/>
      </c>
      <c r="AE171" s="353" t="str">
        <f t="array" ref="AE171">IFERROR(IF(INDEX($W$124:$W$175, MATCH(0, IF(AD171=$E$124:$E$175, COUNTIF($AE$123:$AE170, $W$124:$W$175), ""), 0))=0,"",INDEX($W$124:$W$175, MATCH(0, IF(AD171=$E$124:$E$175, COUNTIF($AE$123:$AE170, $W$124:$W$175), ""), 0))),"")</f>
        <v/>
      </c>
      <c r="AF171" s="353" t="str">
        <f t="shared" si="22"/>
        <v>|empty|</v>
      </c>
      <c r="AG171" s="353" t="str">
        <f t="shared" si="23"/>
        <v>INT-351027</v>
      </c>
      <c r="AH171" s="353" t="str">
        <f t="shared" si="24"/>
        <v>a57</v>
      </c>
      <c r="AI171" s="353">
        <f>IF(COUNTIF($AH$124:AH222,"&lt;="&amp;AH171)=0,"",COUNTIF($AH$124:AH222,"&lt;="&amp;AH171))</f>
        <v>47</v>
      </c>
      <c r="AJ171" s="353">
        <f>RANK(AI171,AI$124:AI222,1)</f>
        <v>47</v>
      </c>
      <c r="AK171" s="353" t="str">
        <f>INDEX(E$124:E222,MATCH(ROWS(AJ$124:AJ171),AJ$124:AJ222,0))</f>
        <v/>
      </c>
      <c r="AL171" s="353" t="str">
        <f>INDEX(K$124:K222,MATCH(ROWS(AJ$124:AJ171),AJ$124:AJ222,0))</f>
        <v/>
      </c>
      <c r="AM171" s="353">
        <f>INDEX(V$124:V222,MATCH(ROWS(AJ$124:AJ171),AJ$124:AJ222,0))</f>
        <v>0</v>
      </c>
      <c r="AN171" s="353" t="str">
        <f t="shared" si="25"/>
        <v/>
      </c>
      <c r="AO171" s="353" t="e">
        <f t="shared" si="26"/>
        <v>#N/A</v>
      </c>
      <c r="AP171" s="353" t="str">
        <f>Setup!A132</f>
        <v>a57</v>
      </c>
      <c r="AQ171" s="366" t="s">
        <v>591</v>
      </c>
      <c r="AR171" s="301"/>
      <c r="AS171" s="300"/>
    </row>
    <row r="172" spans="1:45" ht="47.1" customHeight="1">
      <c r="A172" s="327">
        <v>48</v>
      </c>
      <c r="B172" s="355" t="str" cm="1">
        <f t="array" ref="B172">IFERROR(INDEX($E$123:$E$175, MATCH(0, COUNTIF($B$123:B171, $E$123:$E$175&amp;"") + IF($E$123:$E$175="",1,0),0)),"")</f>
        <v/>
      </c>
      <c r="C172" s="356"/>
      <c r="D172" s="357"/>
      <c r="E172" s="358" t="str">
        <f>IFERROR(IF(AND(K172="",T172=""),"",(VLOOKUP(Q172,'Reference records(soft deleted)'!$B$87:$D$138,3,FALSE))),"")</f>
        <v/>
      </c>
      <c r="F172" s="359" t="str">
        <f t="shared" si="15"/>
        <v>INT-351028</v>
      </c>
      <c r="G172" s="360"/>
      <c r="H172" s="360"/>
      <c r="I172" s="360"/>
      <c r="J172" s="360"/>
      <c r="K172" s="358" t="str">
        <f>IFERROR(VLOOKUP(R172,'Reference Records'!B$252:C521,2,0),"")</f>
        <v/>
      </c>
      <c r="L172" s="360" t="e">
        <f>VLOOKUP(U172&amp;K172,'Reference Records'!H$252:I521,2,0)</f>
        <v>#N/A</v>
      </c>
      <c r="M172" s="360" t="e">
        <f>MATCH($L172,'Reference Records'!$E$507:$E$509,0)+ROW(Population_by_intervention) -1</f>
        <v>#N/A</v>
      </c>
      <c r="N172" s="360" t="e">
        <f>MATCH($L172,'Reference Records'!$E$507:$E$509,1)+ROW(Population_by_intervention) -1</f>
        <v>#N/A</v>
      </c>
      <c r="O172" s="360" t="str">
        <f>IFERROR(VLOOKUP(AA172,'Reference Records'!B555:C557,2,0),"")</f>
        <v/>
      </c>
      <c r="P172" s="360"/>
      <c r="Q172" s="361" t="s">
        <v>425</v>
      </c>
      <c r="R172" s="362"/>
      <c r="S172" s="360"/>
      <c r="T172" s="363"/>
      <c r="U172" s="364" t="str">
        <f>IFERROR(IF(VLOOKUP(E172,'Reference Records'!$C$192:$D$250,2,FALSE)=0,"",VLOOKUP(E172,'Reference Records'!$C$192:$D$250,2,FALSE)),"")</f>
        <v/>
      </c>
      <c r="V172" s="350"/>
      <c r="W172" s="365" t="str">
        <f t="shared" si="16"/>
        <v/>
      </c>
      <c r="X172" s="365" t="str">
        <f t="shared" si="17"/>
        <v/>
      </c>
      <c r="Y172" s="365" t="b">
        <f t="shared" si="18"/>
        <v>0</v>
      </c>
      <c r="Z172" s="365" t="b">
        <f t="shared" si="19"/>
        <v>1</v>
      </c>
      <c r="AA172" s="365" t="str">
        <f>IFERROR(VLOOKUP(L172,'Reference Records'!B$252:E521,4,0),"")</f>
        <v/>
      </c>
      <c r="AB172" s="365" t="s">
        <v>592</v>
      </c>
      <c r="AC172" s="353" t="e">
        <f t="shared" si="20"/>
        <v>#N/A</v>
      </c>
      <c r="AD172" s="353" t="str">
        <f t="shared" si="21"/>
        <v/>
      </c>
      <c r="AE172" s="353" t="str">
        <f t="array" ref="AE172">IFERROR(IF(INDEX($W$124:$W$175, MATCH(0, IF(AD172=$E$124:$E$175, COUNTIF($AE$123:$AE171, $W$124:$W$175), ""), 0))=0,"",INDEX($W$124:$W$175, MATCH(0, IF(AD172=$E$124:$E$175, COUNTIF($AE$123:$AE171, $W$124:$W$175), ""), 0))),"")</f>
        <v/>
      </c>
      <c r="AF172" s="353" t="str">
        <f t="shared" si="22"/>
        <v>|empty|</v>
      </c>
      <c r="AG172" s="353" t="str">
        <f t="shared" si="23"/>
        <v>INT-351028</v>
      </c>
      <c r="AH172" s="353" t="str">
        <f t="shared" si="24"/>
        <v>a58</v>
      </c>
      <c r="AI172" s="353">
        <f>IF(COUNTIF($AH$124:AH223,"&lt;="&amp;AH172)=0,"",COUNTIF($AH$124:AH223,"&lt;="&amp;AH172))</f>
        <v>48</v>
      </c>
      <c r="AJ172" s="353">
        <f>RANK(AI172,AI$124:AI223,1)</f>
        <v>48</v>
      </c>
      <c r="AK172" s="353" t="str">
        <f>INDEX(E$124:E223,MATCH(ROWS(AJ$124:AJ172),AJ$124:AJ223,0))</f>
        <v/>
      </c>
      <c r="AL172" s="353" t="str">
        <f>INDEX(K$124:K223,MATCH(ROWS(AJ$124:AJ172),AJ$124:AJ223,0))</f>
        <v/>
      </c>
      <c r="AM172" s="353">
        <f>INDEX(V$124:V223,MATCH(ROWS(AJ$124:AJ172),AJ$124:AJ223,0))</f>
        <v>0</v>
      </c>
      <c r="AN172" s="353" t="str">
        <f t="shared" si="25"/>
        <v/>
      </c>
      <c r="AO172" s="353" t="e">
        <f t="shared" si="26"/>
        <v>#N/A</v>
      </c>
      <c r="AP172" s="353" t="str">
        <f>Setup!A133</f>
        <v>a58</v>
      </c>
      <c r="AQ172" s="366" t="s">
        <v>593</v>
      </c>
      <c r="AR172" s="301"/>
      <c r="AS172" s="300"/>
    </row>
    <row r="173" spans="1:45" ht="47.1" customHeight="1">
      <c r="A173" s="327">
        <v>49</v>
      </c>
      <c r="B173" s="355" t="str" cm="1">
        <f t="array" ref="B173">IFERROR(INDEX($E$123:$E$175, MATCH(0, COUNTIF($B$123:B172, $E$123:$E$175&amp;"") + IF($E$123:$E$175="",1,0),0)),"")</f>
        <v/>
      </c>
      <c r="C173" s="356"/>
      <c r="D173" s="357"/>
      <c r="E173" s="358" t="str">
        <f>IFERROR(IF(AND(K173="",T173=""),"",(VLOOKUP(Q173,'Reference records(soft deleted)'!$B$87:$D$138,3,FALSE))),"")</f>
        <v/>
      </c>
      <c r="F173" s="359" t="str">
        <f t="shared" si="15"/>
        <v>INT-351029</v>
      </c>
      <c r="G173" s="360"/>
      <c r="H173" s="360"/>
      <c r="I173" s="360"/>
      <c r="J173" s="360"/>
      <c r="K173" s="358" t="str">
        <f>IFERROR(VLOOKUP(R173,'Reference Records'!B$252:C522,2,0),"")</f>
        <v/>
      </c>
      <c r="L173" s="360" t="e">
        <f>VLOOKUP(U173&amp;K173,'Reference Records'!H$252:I522,2,0)</f>
        <v>#N/A</v>
      </c>
      <c r="M173" s="360" t="e">
        <f>MATCH($L173,'Reference Records'!$E$507:$E$509,0)+ROW(Population_by_intervention) -1</f>
        <v>#N/A</v>
      </c>
      <c r="N173" s="360" t="e">
        <f>MATCH($L173,'Reference Records'!$E$507:$E$509,1)+ROW(Population_by_intervention) -1</f>
        <v>#N/A</v>
      </c>
      <c r="O173" s="360" t="str">
        <f>IFERROR(VLOOKUP(AA173,'Reference Records'!B556:C558,2,0),"")</f>
        <v/>
      </c>
      <c r="P173" s="360"/>
      <c r="Q173" s="361" t="s">
        <v>425</v>
      </c>
      <c r="R173" s="362"/>
      <c r="S173" s="360"/>
      <c r="T173" s="363"/>
      <c r="U173" s="364" t="str">
        <f>IFERROR(IF(VLOOKUP(E173,'Reference Records'!$C$192:$D$250,2,FALSE)=0,"",VLOOKUP(E173,'Reference Records'!$C$192:$D$250,2,FALSE)),"")</f>
        <v/>
      </c>
      <c r="V173" s="350"/>
      <c r="W173" s="365" t="str">
        <f t="shared" si="16"/>
        <v/>
      </c>
      <c r="X173" s="365" t="str">
        <f t="shared" si="17"/>
        <v/>
      </c>
      <c r="Y173" s="365" t="b">
        <f t="shared" si="18"/>
        <v>0</v>
      </c>
      <c r="Z173" s="365" t="b">
        <f t="shared" si="19"/>
        <v>1</v>
      </c>
      <c r="AA173" s="365" t="str">
        <f>IFERROR(VLOOKUP(L173,'Reference Records'!B$252:E522,4,0),"")</f>
        <v/>
      </c>
      <c r="AB173" s="365" t="s">
        <v>594</v>
      </c>
      <c r="AC173" s="353" t="e">
        <f t="shared" si="20"/>
        <v>#N/A</v>
      </c>
      <c r="AD173" s="353" t="str">
        <f t="shared" si="21"/>
        <v/>
      </c>
      <c r="AE173" s="353" t="str">
        <f t="array" ref="AE173">IFERROR(IF(INDEX($W$124:$W$175, MATCH(0, IF(AD173=$E$124:$E$175, COUNTIF($AE$123:$AE172, $W$124:$W$175), ""), 0))=0,"",INDEX($W$124:$W$175, MATCH(0, IF(AD173=$E$124:$E$175, COUNTIF($AE$123:$AE172, $W$124:$W$175), ""), 0))),"")</f>
        <v/>
      </c>
      <c r="AF173" s="353" t="str">
        <f t="shared" si="22"/>
        <v>|empty|</v>
      </c>
      <c r="AG173" s="353" t="str">
        <f t="shared" si="23"/>
        <v>INT-351029</v>
      </c>
      <c r="AH173" s="353" t="str">
        <f t="shared" si="24"/>
        <v>a59</v>
      </c>
      <c r="AI173" s="353">
        <f>IF(COUNTIF($AH$124:AH224,"&lt;="&amp;AH173)=0,"",COUNTIF($AH$124:AH224,"&lt;="&amp;AH173))</f>
        <v>49</v>
      </c>
      <c r="AJ173" s="353">
        <f>RANK(AI173,AI$124:AI224,1)</f>
        <v>49</v>
      </c>
      <c r="AK173" s="353" t="str">
        <f>INDEX(E$124:E224,MATCH(ROWS(AJ$124:AJ173),AJ$124:AJ224,0))</f>
        <v/>
      </c>
      <c r="AL173" s="353" t="str">
        <f>INDEX(K$124:K224,MATCH(ROWS(AJ$124:AJ173),AJ$124:AJ224,0))</f>
        <v/>
      </c>
      <c r="AM173" s="353">
        <f>INDEX(V$124:V224,MATCH(ROWS(AJ$124:AJ173),AJ$124:AJ224,0))</f>
        <v>0</v>
      </c>
      <c r="AN173" s="353" t="str">
        <f t="shared" si="25"/>
        <v/>
      </c>
      <c r="AO173" s="353" t="e">
        <f t="shared" si="26"/>
        <v>#N/A</v>
      </c>
      <c r="AP173" s="353" t="str">
        <f>Setup!A134</f>
        <v>a59</v>
      </c>
      <c r="AQ173" s="366" t="s">
        <v>595</v>
      </c>
      <c r="AR173" s="301"/>
      <c r="AS173" s="300"/>
    </row>
    <row r="174" spans="1:45" ht="47.1" customHeight="1">
      <c r="A174" s="327">
        <v>50</v>
      </c>
      <c r="B174" s="355" t="str" cm="1">
        <f t="array" ref="B174">IFERROR(INDEX($E$123:$E$175, MATCH(0, COUNTIF($B$123:B173, $E$123:$E$175&amp;"") + IF($E$123:$E$175="",1,0),0)),"")</f>
        <v/>
      </c>
      <c r="C174" s="356"/>
      <c r="D174" s="357"/>
      <c r="E174" s="358" t="str">
        <f>IFERROR(IF(AND(K174="",T174=""),"",(VLOOKUP(Q174,'Reference records(soft deleted)'!$B$87:$D$138,3,FALSE))),"")</f>
        <v/>
      </c>
      <c r="F174" s="359" t="str">
        <f t="shared" si="15"/>
        <v>INT-351030</v>
      </c>
      <c r="G174" s="360"/>
      <c r="H174" s="360"/>
      <c r="I174" s="360"/>
      <c r="J174" s="360"/>
      <c r="K174" s="358" t="str">
        <f>IFERROR(VLOOKUP(R174,'Reference Records'!B$252:C523,2,0),"")</f>
        <v/>
      </c>
      <c r="L174" s="360" t="e">
        <f>VLOOKUP(U174&amp;K174,'Reference Records'!H$252:I523,2,0)</f>
        <v>#N/A</v>
      </c>
      <c r="M174" s="360" t="e">
        <f>MATCH($L174,'Reference Records'!$E$507:$E$509,0)+ROW(Population_by_intervention) -1</f>
        <v>#N/A</v>
      </c>
      <c r="N174" s="360" t="e">
        <f>MATCH($L174,'Reference Records'!$E$507:$E$509,1)+ROW(Population_by_intervention) -1</f>
        <v>#N/A</v>
      </c>
      <c r="O174" s="360" t="str">
        <f>IFERROR(VLOOKUP(AA174,'Reference Records'!B557:C559,2,0),"")</f>
        <v/>
      </c>
      <c r="P174" s="360"/>
      <c r="Q174" s="361" t="s">
        <v>425</v>
      </c>
      <c r="R174" s="362"/>
      <c r="S174" s="360"/>
      <c r="T174" s="363"/>
      <c r="U174" s="364" t="str">
        <f>IFERROR(IF(VLOOKUP(E174,'Reference Records'!$C$192:$D$250,2,FALSE)=0,"",VLOOKUP(E174,'Reference Records'!$C$192:$D$250,2,FALSE)),"")</f>
        <v/>
      </c>
      <c r="V174" s="350"/>
      <c r="W174" s="365" t="str">
        <f t="shared" si="16"/>
        <v/>
      </c>
      <c r="X174" s="365" t="str">
        <f t="shared" si="17"/>
        <v/>
      </c>
      <c r="Y174" s="365" t="b">
        <f t="shared" si="18"/>
        <v>0</v>
      </c>
      <c r="Z174" s="365" t="b">
        <f t="shared" si="19"/>
        <v>1</v>
      </c>
      <c r="AA174" s="365" t="str">
        <f>IFERROR(VLOOKUP(L174,'Reference Records'!B$252:E523,4,0),"")</f>
        <v/>
      </c>
      <c r="AB174" s="365" t="s">
        <v>596</v>
      </c>
      <c r="AC174" s="353" t="e">
        <f t="shared" si="20"/>
        <v>#N/A</v>
      </c>
      <c r="AD174" s="353" t="str">
        <f t="shared" si="21"/>
        <v/>
      </c>
      <c r="AE174" s="353" t="str">
        <f t="array" ref="AE174">IFERROR(IF(INDEX($W$124:$W$175, MATCH(0, IF(AD174=$E$124:$E$175, COUNTIF($AE$123:$AE173, $W$124:$W$175), ""), 0))=0,"",INDEX($W$124:$W$175, MATCH(0, IF(AD174=$E$124:$E$175, COUNTIF($AE$123:$AE173, $W$124:$W$175), ""), 0))),"")</f>
        <v/>
      </c>
      <c r="AF174" s="353" t="str">
        <f t="shared" si="22"/>
        <v>|empty|</v>
      </c>
      <c r="AG174" s="353" t="str">
        <f t="shared" si="23"/>
        <v>INT-351030</v>
      </c>
      <c r="AH174" s="353" t="str">
        <f t="shared" si="24"/>
        <v>a60</v>
      </c>
      <c r="AI174" s="353">
        <f>IF(COUNTIF($AH$124:AH225,"&lt;="&amp;AH174)=0,"",COUNTIF($AH$124:AH225,"&lt;="&amp;AH174))</f>
        <v>50</v>
      </c>
      <c r="AJ174" s="353">
        <f>RANK(AI174,AI$124:AI225,1)</f>
        <v>50</v>
      </c>
      <c r="AK174" s="353" t="str">
        <f>INDEX(E$124:E225,MATCH(ROWS(AJ$124:AJ174),AJ$124:AJ225,0))</f>
        <v/>
      </c>
      <c r="AL174" s="353" t="str">
        <f>INDEX(K$124:K225,MATCH(ROWS(AJ$124:AJ174),AJ$124:AJ225,0))</f>
        <v/>
      </c>
      <c r="AM174" s="353">
        <f>INDEX(V$124:V225,MATCH(ROWS(AJ$124:AJ174),AJ$124:AJ225,0))</f>
        <v>0</v>
      </c>
      <c r="AN174" s="353" t="str">
        <f t="shared" si="25"/>
        <v/>
      </c>
      <c r="AO174" s="353" t="e">
        <f t="shared" si="26"/>
        <v>#N/A</v>
      </c>
      <c r="AP174" s="353" t="str">
        <f>Setup!A135</f>
        <v>a60</v>
      </c>
      <c r="AQ174" s="366" t="s">
        <v>597</v>
      </c>
      <c r="AR174" s="301"/>
      <c r="AS174" s="300"/>
    </row>
    <row r="175" spans="1:45" ht="21.6" customHeight="1" thickBot="1">
      <c r="A175" s="302"/>
      <c r="B175" s="303"/>
      <c r="C175" s="303"/>
      <c r="D175" s="303"/>
      <c r="E175" s="304"/>
      <c r="F175" s="303"/>
      <c r="G175" s="303"/>
      <c r="H175" s="303"/>
      <c r="I175" s="303"/>
      <c r="J175" s="303"/>
      <c r="K175" s="304"/>
      <c r="L175" s="303"/>
      <c r="M175" s="303"/>
      <c r="N175" s="303"/>
      <c r="O175" s="303"/>
      <c r="P175" s="303"/>
      <c r="Q175" s="303"/>
      <c r="R175" s="303"/>
      <c r="S175" s="303"/>
      <c r="T175" s="253"/>
      <c r="U175" s="253"/>
      <c r="V175" s="133"/>
      <c r="W175" s="253"/>
      <c r="X175" s="253"/>
      <c r="Y175" s="253"/>
      <c r="Z175" s="253"/>
      <c r="AA175" s="253"/>
      <c r="AB175" s="253"/>
      <c r="AC175" s="256"/>
      <c r="AE175" s="206"/>
      <c r="AF175" s="206"/>
      <c r="AG175" s="206"/>
      <c r="AH175" s="206"/>
    </row>
    <row r="176" spans="1:45">
      <c r="E176" s="132"/>
      <c r="K176" s="132"/>
      <c r="T176" s="132"/>
      <c r="AE176" s="206"/>
      <c r="AF176" s="206"/>
      <c r="AG176" s="206"/>
      <c r="AH176" s="206"/>
    </row>
    <row r="177" spans="1:34 16384:16384">
      <c r="E177" s="132"/>
      <c r="K177" s="132"/>
      <c r="T177" s="132"/>
      <c r="AE177" s="206"/>
      <c r="AF177" s="206"/>
      <c r="AG177" s="206"/>
      <c r="AH177" s="206"/>
    </row>
    <row r="178" spans="1:34 16384:16384">
      <c r="E178" s="132"/>
      <c r="K178" s="132"/>
      <c r="T178" s="132"/>
    </row>
    <row r="183" spans="1:34 16384:16384">
      <c r="A183" s="305"/>
      <c r="B183" s="305"/>
      <c r="C183" s="305"/>
      <c r="D183" s="305"/>
      <c r="XFD183" s="48" t="s">
        <v>598</v>
      </c>
    </row>
    <row r="187" spans="1:34 16384:16384">
      <c r="AE187" s="206" t="s">
        <v>599</v>
      </c>
    </row>
    <row r="198" spans="44:45">
      <c r="AS198" s="206"/>
    </row>
    <row r="199" spans="44:45">
      <c r="AR199" s="206">
        <f>IF(C9="","",C9)</f>
        <v>6</v>
      </c>
      <c r="AS199" s="206">
        <v>3</v>
      </c>
    </row>
    <row r="200" spans="44:45">
      <c r="AS200" s="206">
        <v>6</v>
      </c>
    </row>
    <row r="201" spans="44:45">
      <c r="AS201" s="206">
        <v>12</v>
      </c>
    </row>
    <row r="202" spans="44:45">
      <c r="AS202" s="206"/>
    </row>
  </sheetData>
  <sheetProtection algorithmName="SHA-512" hashValue="xoPamr/7cgKW9N5n2lxcbS0BCdpqFNrRIUpSES5mHdh1mUHwe5fELTh60V7739Ucmjocc8FfR3c577u66fWmCw==" saltValue="K23htAUcD+GtFdtBgsCeZA==" spinCount="100000" sheet="1" objects="1" scenarios="1" formatCells="0" formatRows="0" sort="0" autoFilter="0"/>
  <autoFilter ref="A31:R40" xr:uid="{00000000-0001-0000-0100-000000000000}"/>
  <mergeCells count="12">
    <mergeCell ref="A1:T2"/>
    <mergeCell ref="A45:T45"/>
    <mergeCell ref="K10:K11"/>
    <mergeCell ref="A13:A14"/>
    <mergeCell ref="A43:L43"/>
    <mergeCell ref="A121:K121"/>
    <mergeCell ref="A122:K122"/>
    <mergeCell ref="Y59:Y60"/>
    <mergeCell ref="A58:E58"/>
    <mergeCell ref="A100:E100"/>
    <mergeCell ref="A76:E76"/>
    <mergeCell ref="Y77:Y92"/>
  </mergeCells>
  <conditionalFormatting sqref="A32:A40">
    <cfRule type="expression" dxfId="2424" priority="21">
      <formula>OR($AN$5="Grant Making", $AN$5="Grant Revision")</formula>
    </cfRule>
  </conditionalFormatting>
  <conditionalFormatting sqref="A60:E65 A78:E89">
    <cfRule type="expression" dxfId="2423" priority="16">
      <formula>$H60:$H73="[Record ID]"</formula>
    </cfRule>
  </conditionalFormatting>
  <conditionalFormatting sqref="A66:E72">
    <cfRule type="expression" dxfId="2422" priority="2375">
      <formula>$H66:$H91="[Record ID]"</formula>
    </cfRule>
  </conditionalFormatting>
  <conditionalFormatting sqref="A90:E90">
    <cfRule type="expression" dxfId="2421" priority="2377">
      <formula>$H90:$H118="[Record ID]"</formula>
    </cfRule>
  </conditionalFormatting>
  <conditionalFormatting sqref="A102:E108">
    <cfRule type="expression" dxfId="2420" priority="11">
      <formula>$H102:$H118="[Record ID]"</formula>
    </cfRule>
  </conditionalFormatting>
  <conditionalFormatting sqref="A109:E117">
    <cfRule type="expression" dxfId="2419" priority="2379">
      <formula>$H109:$H175="[Record ID]"</formula>
    </cfRule>
  </conditionalFormatting>
  <conditionalFormatting sqref="A32:I40 K32:K40 R32:R40">
    <cfRule type="expression" dxfId="2418" priority="18">
      <formula>$P32:$P41="[Record ID]"</formula>
    </cfRule>
  </conditionalFormatting>
  <conditionalFormatting sqref="A124:S174">
    <cfRule type="expression" dxfId="2417" priority="10">
      <formula>$AB124:$AB175="[Record ID]"</formula>
    </cfRule>
  </conditionalFormatting>
  <conditionalFormatting sqref="A47:T53">
    <cfRule type="expression" dxfId="2416" priority="8">
      <formula>$A47&gt;$E$8</formula>
    </cfRule>
  </conditionalFormatting>
  <conditionalFormatting sqref="B9:E9">
    <cfRule type="expression" dxfId="2415" priority="26">
      <formula>$AN$5="Funding Request_old"</formula>
    </cfRule>
  </conditionalFormatting>
  <conditionalFormatting sqref="B32:I40 A31:I31 K31:K40 R31:R40">
    <cfRule type="expression" dxfId="2414" priority="30">
      <formula>OR($AN$5="Grant Making", $AN$5="Grant Revision")</formula>
    </cfRule>
  </conditionalFormatting>
  <conditionalFormatting sqref="E7 E10">
    <cfRule type="expression" dxfId="2413" priority="3">
      <formula>$E$7&lt;$E$10</formula>
    </cfRule>
  </conditionalFormatting>
  <conditionalFormatting sqref="E8 E11">
    <cfRule type="expression" dxfId="2412" priority="19">
      <formula>$E$8&gt;$E$11</formula>
    </cfRule>
  </conditionalFormatting>
  <conditionalFormatting sqref="E32:E40 K32:K40">
    <cfRule type="expression" dxfId="2411" priority="37">
      <formula>AND($E32&lt;&gt;"",$K32&lt;&gt;"")</formula>
    </cfRule>
  </conditionalFormatting>
  <conditionalFormatting sqref="E32:E41">
    <cfRule type="expression" dxfId="2410" priority="4">
      <formula>AND(COUNTIF($E$32:$E$41,$E32)&gt;1,E32&lt;&gt;"")</formula>
    </cfRule>
  </conditionalFormatting>
  <conditionalFormatting sqref="E102:E118">
    <cfRule type="expression" dxfId="2409" priority="31">
      <formula>AND(COUNTIF($E$102:$E$118,$E102)&gt;1,E102&lt;&gt;"")</formula>
    </cfRule>
  </conditionalFormatting>
  <conditionalFormatting sqref="K8">
    <cfRule type="expression" dxfId="2408" priority="20">
      <formula>OR($AN$9="Additional Funding", $AN$9="Other Revison")</formula>
    </cfRule>
  </conditionalFormatting>
  <dataValidations count="20">
    <dataValidation type="list" allowBlank="1" showInputMessage="1" showErrorMessage="1" sqref="E124:E174" xr:uid="{00000000-0002-0000-0100-000000000000}">
      <formula1>Modules</formula1>
    </dataValidation>
    <dataValidation type="custom" allowBlank="1" showInputMessage="1" showErrorMessage="1" errorTitle="Implementation Period Start Date" error="The Implementation Period Start should be the first day of the month" sqref="E7" xr:uid="{00000000-0002-0000-0100-000001000000}">
      <formula1>DAY(E7)=1</formula1>
    </dataValidation>
    <dataValidation type="list" allowBlank="1" showInputMessage="1" showErrorMessage="1" sqref="K124:K174" xr:uid="{00000000-0002-0000-0100-000002000000}">
      <formula1>OFFSET(ModuleStart,MATCH(U124,ModuleColumn,0)-1,2,COUNTIF(ModuleColumn,U124),1)</formula1>
    </dataValidation>
    <dataValidation type="list" allowBlank="1" showInputMessage="1" showErrorMessage="1" sqref="E32:E40" xr:uid="{00000000-0002-0000-0100-000003000000}">
      <formula1>FundingRequestPR</formula1>
    </dataValidation>
    <dataValidation type="list" allowBlank="1" showInputMessage="1" showErrorMessage="1" sqref="E9" xr:uid="{00000000-0002-0000-0100-000004000000}">
      <formula1>$AS$200:$AS$201</formula1>
    </dataValidation>
    <dataValidation type="date" allowBlank="1" showInputMessage="1" showErrorMessage="1" sqref="E8" xr:uid="{00000000-0002-0000-0100-000005000000}">
      <formula1>1</formula1>
      <formula2>767376</formula2>
    </dataValidation>
    <dataValidation type="custom" allowBlank="1" showInputMessage="1" showErrorMessage="1" sqref="K32:K41" xr:uid="{00000000-0002-0000-0100-000006000000}">
      <formula1>E32=""</formula1>
    </dataValidation>
    <dataValidation type="list" allowBlank="1" showInputMessage="1" showErrorMessage="1" sqref="K47:K53" xr:uid="{00000000-0002-0000-0100-000007000000}">
      <formula1>"Yes,No"</formula1>
    </dataValidation>
    <dataValidation type="list" allowBlank="1" showInputMessage="1" showErrorMessage="1" sqref="E102:E117" xr:uid="{00000000-0002-0000-0100-000008000000}">
      <formula1>Module_List</formula1>
    </dataValidation>
    <dataValidation type="list" allowBlank="1" showInputMessage="1" showErrorMessage="1" errorTitle="X-Author for Excel" error="Please select either TRUE or FALSE from the dropdown." promptTitle="X-Author for Excel" sqref="Y124:Z174 G60:G72 G78:G90 G102:G117 M47:N53 L32:L40" xr:uid="{00000000-0002-0000-0100-000009000000}">
      <formula1>"TRUE,FALSE"</formula1>
    </dataValidation>
    <dataValidation type="date" allowBlank="1" showInputMessage="1" showErrorMessage="1" errorTitle="X-Author for Excel" error="Please enter a valid date." promptTitle="X-Author for Excel" sqref="O47:P53 E10:E11" xr:uid="{00000000-0002-0000-0100-00000A000000}">
      <formula1>1</formula1>
      <formula2>767376</formula2>
    </dataValidation>
    <dataValidation type="custom" allowBlank="1" showInputMessage="1" showErrorMessage="1" errorTitle="X-Author for Excel" error="Id and Lookup fields are not editable." promptTitle="X-Author for Excel" sqref="Q47:Q53 U47:U53 I27:I28 AN10 H60:H72 F60:F72 H78:H90 F78:F90 H102:J117 X124:X174 AA124:AB174 O32:P40" xr:uid="{00000000-0002-0000-0100-00000B000000}">
      <formula1>""</formula1>
    </dataValidation>
    <dataValidation showInputMessage="1" showErrorMessage="1" sqref="T124:T174" xr:uid="{00000000-0002-0000-0100-00000C000000}"/>
    <dataValidation type="list" allowBlank="1" showInputMessage="1" showErrorMessage="1" sqref="T3" xr:uid="{00000000-0002-0000-0100-00000D000000}">
      <formula1>#REF!</formula1>
    </dataValidation>
    <dataValidation type="decimal" allowBlank="1" showInputMessage="1" showErrorMessage="1" errorTitle="X-Author for Excel" error="Please enter a valid numeric value. Valid range for Programmatic Report Period Frequency is -1E+18 to 1E+18." promptTitle="X-Author for Excel" sqref="C9" xr:uid="{75360005-D858-4019-9EC9-E77F70214BEC}">
      <formula1>-1000000000000000000</formula1>
      <formula2>1000000000000000000</formula2>
    </dataValidation>
    <dataValidation type="decimal" allowBlank="1" showInputMessage="1" showErrorMessage="1" errorTitle="X-Author for Excel" error="Please enter a valid numeric value. Valid range for Account Role Number is -1E+18 to 1E+18." promptTitle="X-Author for Excel" sqref="A27:A28 A32:A40" xr:uid="{8B392D6C-FE35-4543-A48A-2060658A481D}">
      <formula1>-1000000000000000000</formula1>
      <formula2>1000000000000000000</formula2>
    </dataValidation>
    <dataValidation type="decimal" allowBlank="1" showInputMessage="1" showErrorMessage="1" errorTitle="X-Author for Excel" error="Please enter a valid numeric value. Valid range for Goal Number is -1E+18 to 1E+18." promptTitle="X-Author for Excel" sqref="A60:A72" xr:uid="{87725D61-50B4-4749-8E5F-B387C58565CC}">
      <formula1>-1000000000000000000</formula1>
      <formula2>1000000000000000000</formula2>
    </dataValidation>
    <dataValidation type="decimal" allowBlank="1" showInputMessage="1" showErrorMessage="1" errorTitle="X-Author for Excel" error="Please enter a valid numeric value. Valid range for Objective Number is -1E+18 to 1E+18." promptTitle="X-Author for Excel" sqref="A78:A90" xr:uid="{2D68C80B-3049-47E2-9EF6-A198FBBC653B}">
      <formula1>-1000000000000000000</formula1>
      <formula2>1000000000000000000</formula2>
    </dataValidation>
    <dataValidation type="decimal" allowBlank="1" showInputMessage="1" showErrorMessage="1" errorTitle="X-Author for Excel" error="Please enter a valid numeric value. Valid range for Module Number is -1E+18 to 1E+18." promptTitle="X-Author for Excel" sqref="A102:A117" xr:uid="{0FBDFC49-765E-43D7-801A-85E492E243A4}">
      <formula1>-1000000000000000000</formula1>
      <formula2>1000000000000000000</formula2>
    </dataValidation>
    <dataValidation type="decimal" allowBlank="1" showInputMessage="1" showErrorMessage="1" errorTitle="X-Author for Excel" error="Please enter a valid numeric value. Valid range for Intervention Number is -1E+18 to 1E+18." promptTitle="X-Author for Excel" sqref="A124:A174" xr:uid="{5B7B5016-73CC-44A5-B510-56016409B1EC}">
      <formula1>-1000000000000000000</formula1>
      <formula2>1000000000000000000</formula2>
    </dataValidation>
  </dataValidations>
  <hyperlinks>
    <hyperlink ref="E14" location="_4f36af19_06bf_4c59_990d_586822b3d259" display="=Translations!A25" xr:uid="{00000000-0004-0000-0100-000000000000}"/>
    <hyperlink ref="T13" location="_0215c642_4079_4a66_b33f_02948e5b161c" display="=Translations!A22" xr:uid="{00000000-0004-0000-0100-000001000000}"/>
    <hyperlink ref="T14" location="_4ede0df7_bdae_485c_a6aa_cd381b32466f" display="Interventions" xr:uid="{00000000-0004-0000-0100-000002000000}"/>
    <hyperlink ref="E13" location="_8273a11c_a030_45ba_bf8f_2b577e1aa93b" display="=Translations!A14" xr:uid="{00000000-0004-0000-0100-000003000000}"/>
    <hyperlink ref="K13" location="_6a3dda26_b269_4afa_8b05_c602a881a167" display="=Translations!A17" xr:uid="{00000000-0004-0000-0100-000004000000}"/>
    <hyperlink ref="K14" location="_eabb6097_6646_49fe_9d42_cce1d696601b" display="Modules" xr:uid="{00000000-0004-0000-0100-000005000000}"/>
    <hyperlink ref="AT13" location="Instructions!InstructionA" display="Instructions" xr:uid="{D355AC83-52CB-408B-A8BF-C9E2C0D44227}"/>
  </hyperlinks>
  <pageMargins left="0.7" right="0.7" top="0.75" bottom="0.75" header="0.3" footer="0.3"/>
  <pageSetup paperSize="8" scale="10" fitToHeight="0" orientation="landscape" r:id="rId1"/>
  <rowBreaks count="4" manualBreakCount="4">
    <brk id="17" max="16383" man="1"/>
    <brk id="41" max="16383" man="1"/>
    <brk id="58" max="16383" man="1"/>
    <brk id="175" max="16383" man="1"/>
  </rowBreak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F000000}">
          <x14:formula1>
            <xm:f>'Account Role'!$C$2:$C$39</xm:f>
          </x14:formula1>
          <xm:sqref>J27:J28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4"/>
  <dimension ref="A1:E14"/>
  <sheetViews>
    <sheetView topLeftCell="A5" zoomScale="70" zoomScaleNormal="70" workbookViewId="0">
      <selection activeCell="E11" sqref="E11"/>
    </sheetView>
  </sheetViews>
  <sheetFormatPr defaultRowHeight="15.75"/>
  <cols>
    <col min="1" max="2" width="16.625" customWidth="1"/>
    <col min="3" max="3" width="36.625" customWidth="1"/>
    <col min="4" max="4" width="17.125" customWidth="1"/>
    <col min="5" max="5" width="26.125" bestFit="1" customWidth="1"/>
  </cols>
  <sheetData>
    <row r="1" spans="1:5">
      <c r="A1" s="5" t="s">
        <v>600</v>
      </c>
      <c r="B1" s="5" t="s">
        <v>601</v>
      </c>
      <c r="C1" s="5" t="s">
        <v>602</v>
      </c>
      <c r="D1" s="5" t="s">
        <v>603</v>
      </c>
      <c r="E1" s="5" t="s">
        <v>604</v>
      </c>
    </row>
    <row r="2" spans="1:5" ht="118.5" customHeight="1">
      <c r="A2" s="7">
        <v>6</v>
      </c>
      <c r="B2" s="8">
        <v>43308</v>
      </c>
      <c r="C2" s="6" t="s">
        <v>605</v>
      </c>
      <c r="D2" s="5" t="s">
        <v>606</v>
      </c>
      <c r="E2" s="5" t="s">
        <v>607</v>
      </c>
    </row>
    <row r="3" spans="1:5" ht="30">
      <c r="A3" s="5">
        <v>7</v>
      </c>
      <c r="B3" s="9">
        <v>43328</v>
      </c>
      <c r="C3" s="669" t="s">
        <v>608</v>
      </c>
      <c r="D3" s="5"/>
      <c r="E3" s="5"/>
    </row>
    <row r="4" spans="1:5" ht="252">
      <c r="A4" s="319" t="s">
        <v>609</v>
      </c>
      <c r="B4" s="9">
        <v>44140</v>
      </c>
      <c r="C4" s="19" t="s">
        <v>610</v>
      </c>
      <c r="D4" s="319" t="s">
        <v>611</v>
      </c>
      <c r="E4" s="319" t="s">
        <v>612</v>
      </c>
    </row>
    <row r="5" spans="1:5" ht="45">
      <c r="A5" s="319" t="s">
        <v>609</v>
      </c>
      <c r="B5" s="9">
        <v>44012</v>
      </c>
      <c r="C5" s="6" t="s">
        <v>613</v>
      </c>
      <c r="D5" s="319" t="s">
        <v>614</v>
      </c>
      <c r="E5" s="319" t="s">
        <v>615</v>
      </c>
    </row>
    <row r="6" spans="1:5" ht="150">
      <c r="A6" s="319" t="s">
        <v>616</v>
      </c>
      <c r="B6" s="9">
        <v>44214</v>
      </c>
      <c r="C6" s="669" t="s">
        <v>617</v>
      </c>
      <c r="D6" s="319" t="s">
        <v>618</v>
      </c>
      <c r="E6" s="319" t="s">
        <v>619</v>
      </c>
    </row>
    <row r="7" spans="1:5" ht="90">
      <c r="A7" s="319" t="s">
        <v>620</v>
      </c>
      <c r="B7" s="26">
        <v>44777</v>
      </c>
      <c r="C7" s="669" t="s">
        <v>621</v>
      </c>
      <c r="D7" s="319" t="s">
        <v>614</v>
      </c>
      <c r="E7" s="319" t="s">
        <v>622</v>
      </c>
    </row>
    <row r="8" spans="1:5">
      <c r="A8" s="319" t="s">
        <v>623</v>
      </c>
      <c r="B8" s="670">
        <v>44876</v>
      </c>
      <c r="C8" s="319" t="s">
        <v>624</v>
      </c>
      <c r="D8" s="319" t="s">
        <v>614</v>
      </c>
      <c r="E8" s="319" t="s">
        <v>625</v>
      </c>
    </row>
    <row r="9" spans="1:5">
      <c r="A9" s="319" t="s">
        <v>623</v>
      </c>
      <c r="B9" s="9">
        <v>44978</v>
      </c>
      <c r="C9" s="319" t="s">
        <v>626</v>
      </c>
      <c r="D9" s="319" t="s">
        <v>611</v>
      </c>
      <c r="E9" s="319" t="s">
        <v>625</v>
      </c>
    </row>
    <row r="10" spans="1:5">
      <c r="A10" s="319" t="s">
        <v>623</v>
      </c>
      <c r="B10" s="9">
        <v>44978</v>
      </c>
      <c r="C10" s="319" t="s">
        <v>627</v>
      </c>
      <c r="D10" s="319" t="s">
        <v>611</v>
      </c>
      <c r="E10" s="319" t="s">
        <v>625</v>
      </c>
    </row>
    <row r="11" spans="1:5">
      <c r="A11" s="5"/>
      <c r="B11" s="5"/>
      <c r="C11" s="5"/>
      <c r="D11" s="5"/>
      <c r="E11" s="5"/>
    </row>
    <row r="12" spans="1:5">
      <c r="A12" s="5"/>
      <c r="B12" s="5"/>
      <c r="C12" s="5"/>
      <c r="D12" s="5"/>
      <c r="E12" s="5"/>
    </row>
    <row r="13" spans="1:5">
      <c r="A13" s="5"/>
      <c r="B13" s="5"/>
      <c r="C13" s="5"/>
      <c r="D13" s="5"/>
      <c r="E13" s="5"/>
    </row>
    <row r="14" spans="1:5">
      <c r="A14" s="5"/>
      <c r="B14" s="5"/>
      <c r="C14" s="5"/>
      <c r="D14" s="5"/>
      <c r="E14" s="5"/>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5"/>
  <dimension ref="A1:Q174"/>
  <sheetViews>
    <sheetView topLeftCell="A14" workbookViewId="0">
      <selection activeCell="B24" sqref="B24"/>
    </sheetView>
  </sheetViews>
  <sheetFormatPr defaultRowHeight="15.75"/>
  <cols>
    <col min="1" max="1" width="25.625" customWidth="1"/>
    <col min="4" max="4" width="17.125" customWidth="1"/>
    <col min="5" max="5" width="13.625" customWidth="1"/>
    <col min="6" max="6" width="16.125" customWidth="1"/>
    <col min="7" max="7" width="26.375" customWidth="1"/>
    <col min="9" max="9" width="23.625" customWidth="1"/>
    <col min="12" max="12" width="27.875" customWidth="1"/>
    <col min="14" max="14" width="24.375" customWidth="1"/>
    <col min="16" max="16" width="24.125" customWidth="1"/>
    <col min="17" max="17" width="8.875" customWidth="1"/>
  </cols>
  <sheetData>
    <row r="1" spans="1:17">
      <c r="A1" t="s">
        <v>628</v>
      </c>
      <c r="B1" t="s">
        <v>629</v>
      </c>
      <c r="C1" t="s">
        <v>630</v>
      </c>
      <c r="D1" t="s">
        <v>631</v>
      </c>
      <c r="E1" t="s">
        <v>632</v>
      </c>
      <c r="F1" t="s">
        <v>633</v>
      </c>
      <c r="G1" t="s">
        <v>634</v>
      </c>
      <c r="H1" t="s">
        <v>635</v>
      </c>
      <c r="L1" t="s">
        <v>636</v>
      </c>
      <c r="N1" t="s">
        <v>637</v>
      </c>
      <c r="P1" t="s">
        <v>636</v>
      </c>
    </row>
    <row r="2" spans="1:17">
      <c r="B2">
        <f>COUNTA(#REF!)-2</f>
        <v>-1</v>
      </c>
      <c r="C2">
        <f>COUNTA(#REF!)-2</f>
        <v>-1</v>
      </c>
      <c r="D2" s="13">
        <f>COUNTA(#REF!)-1</f>
        <v>0</v>
      </c>
      <c r="E2" s="13">
        <f>COUNTA(#REF!)-2</f>
        <v>-1</v>
      </c>
      <c r="F2" s="13">
        <f>COUNTA(#REF!)-1</f>
        <v>0</v>
      </c>
      <c r="G2" s="13">
        <f>COUNTA(#REF!)-1</f>
        <v>0</v>
      </c>
      <c r="H2">
        <f>COUNTA(#REF!)-2</f>
        <v>-1</v>
      </c>
      <c r="L2" t="str">
        <f t="array" ref="L2">IFERROR(INDEX(SectionAPopulation, MATCH(0, COUNTIF($L$1:L1, SectionAPopulation&amp;"") + IF(SectionAPopulation="",1,0), 0)), "")</f>
        <v/>
      </c>
      <c r="N2">
        <f ca="1">'update Helper'!X2</f>
        <v>234</v>
      </c>
      <c r="O2" t="str">
        <f ca="1">OFFSET('Overview - Section A'!$AK$124,MATCH(P2,'Overview - Section A'!$AN$124:$AN$175,0)-1,0,IF(COUNTIF('Overview - Section A'!$AN$124:$AN$175,P2)&gt;1,1,COUNTIF('Overview - Section A'!$AN$124:$AN$175,P2)),1)</f>
        <v/>
      </c>
      <c r="P2" t="str">
        <f t="array" ref="P2">IFERROR(INDEX('Overview - Section A'!$AN$124:$AN$175, MATCH(0, COUNTIF($P$1:P1, 'Overview - Section A'!$AN$124:$AN$175&amp;"") + IF('Overview - Section A'!$AN$124:$AN$175="",1,0), 0)), "")</f>
        <v/>
      </c>
      <c r="Q2" t="str">
        <f ca="1">OFFSET('Overview - Section A'!$AK$124,MATCH(P2,'Overview - Section A'!$AN$124:$AN$175,0)-1,1,IF(COUNTIF('Overview - Section A'!$AN$124:$AN$175,P2)&gt;1,1,COUNTIF('Overview - Section A'!$AN$124:$AN$175,P2)),1)</f>
        <v/>
      </c>
    </row>
    <row r="3" spans="1:17">
      <c r="A3" t="s">
        <v>638</v>
      </c>
      <c r="B3">
        <f>B2*2</f>
        <v>-2</v>
      </c>
      <c r="C3">
        <f t="shared" ref="C3:G3" si="0">C2*2</f>
        <v>-2</v>
      </c>
      <c r="D3">
        <f t="shared" si="0"/>
        <v>0</v>
      </c>
      <c r="E3">
        <f t="shared" si="0"/>
        <v>-2</v>
      </c>
      <c r="F3">
        <f t="shared" si="0"/>
        <v>0</v>
      </c>
      <c r="G3">
        <f t="shared" si="0"/>
        <v>0</v>
      </c>
      <c r="L3" t="str">
        <f t="array" ref="L3">IFERROR(INDEX(SectionAPopulation, MATCH(0, COUNTIF($L$1:L2, SectionAPopulation&amp;"") + IF(SectionAPopulation="",1,0), 0)), "")</f>
        <v/>
      </c>
      <c r="O3" t="str">
        <f ca="1">OFFSET('Overview - Section A'!$AK$124,MATCH(P3,'Overview - Section A'!$AN$124:$AN$175,0)-1,0,IF(COUNTIF('Overview - Section A'!$AN$124:$AN$175,P3)&gt;1,1,COUNTIF('Overview - Section A'!$AN$124:$AN$175,P3)),1)</f>
        <v/>
      </c>
      <c r="P3" t="str">
        <f t="array" ref="P3">IFERROR(INDEX('Overview - Section A'!$AN$124:$AN$175, MATCH(0, COUNTIF($P$1:P2, 'Overview - Section A'!$AN$124:$AN$175&amp;"") + IF('Overview - Section A'!$AN$124:$AN$175="",1,0), 0)), "")</f>
        <v/>
      </c>
      <c r="Q3" t="str">
        <f ca="1">OFFSET('Overview - Section A'!$AK$124,MATCH(P3,'Overview - Section A'!$AN$124:$AN$175,0)-1,1,IF(COUNTIF('Overview - Section A'!$AN$124:$AN$175,P3)&gt;1,1,COUNTIF('Overview - Section A'!$AN$124:$AN$175,P3)),1)</f>
        <v/>
      </c>
    </row>
    <row r="4" spans="1:17">
      <c r="L4" t="str">
        <f t="array" ref="L4">IFERROR(INDEX(SectionAPopulation, MATCH(0, COUNTIF($L$1:L3, SectionAPopulation&amp;"") + IF(SectionAPopulation="",1,0), 0)), "")</f>
        <v/>
      </c>
      <c r="O4" t="str">
        <f ca="1">OFFSET('Overview - Section A'!$AK$124,MATCH(P4,'Overview - Section A'!$AN$124:$AN$175,0)-1,0,IF(COUNTIF('Overview - Section A'!$AN$124:$AN$175,P4)&gt;1,1,COUNTIF('Overview - Section A'!$AN$124:$AN$175,P4)),1)</f>
        <v/>
      </c>
      <c r="P4" t="str">
        <f t="array" ref="P4">IFERROR(INDEX('Overview - Section A'!$AN$124:$AN$175, MATCH(0, COUNTIF($P$1:P3, 'Overview - Section A'!$AN$124:$AN$175&amp;"") + IF('Overview - Section A'!$AN$124:$AN$175="",1,0), 0)), "")</f>
        <v/>
      </c>
      <c r="Q4" t="str">
        <f ca="1">OFFSET('Overview - Section A'!$AK$124,MATCH(P4,'Overview - Section A'!$AN$124:$AN$175,0)-1,1,IF(COUNTIF('Overview - Section A'!$AN$124:$AN$175,P4)&gt;1,1,COUNTIF('Overview - Section A'!$AN$124:$AN$175,P4)),1)</f>
        <v/>
      </c>
    </row>
    <row r="5" spans="1:17">
      <c r="A5" t="s">
        <v>639</v>
      </c>
      <c r="B5">
        <v>9</v>
      </c>
      <c r="L5" t="str">
        <f t="array" ref="L5">IFERROR(INDEX(SectionAPopulation, MATCH(0, COUNTIF($L$1:L4, SectionAPopulation&amp;"") + IF(SectionAPopulation="",1,0), 0)), "")</f>
        <v/>
      </c>
      <c r="O5" t="str">
        <f ca="1">OFFSET('Overview - Section A'!$AK$124,MATCH(P5,'Overview - Section A'!$AN$124:$AN$175,0)-1,0,IF(COUNTIF('Overview - Section A'!$AN$124:$AN$175,P5)&gt;1,1,COUNTIF('Overview - Section A'!$AN$124:$AN$175,P5)),1)</f>
        <v/>
      </c>
      <c r="P5" t="str">
        <f t="array" ref="P5">IFERROR(INDEX('Overview - Section A'!$AN$124:$AN$175, MATCH(0, COUNTIF($P$1:P4, 'Overview - Section A'!$AN$124:$AN$175&amp;"") + IF('Overview - Section A'!$AN$124:$AN$175="",1,0), 0)), "")</f>
        <v/>
      </c>
      <c r="Q5" t="str">
        <f ca="1">OFFSET('Overview - Section A'!$AK$124,MATCH(P5,'Overview - Section A'!$AN$124:$AN$175,0)-1,1,IF(COUNTIF('Overview - Section A'!$AN$124:$AN$175,P5)&gt;1,1,COUNTIF('Overview - Section A'!$AN$124:$AN$175,P5)),1)</f>
        <v/>
      </c>
    </row>
    <row r="6" spans="1:17">
      <c r="A6" t="s">
        <v>640</v>
      </c>
      <c r="B6">
        <v>9</v>
      </c>
      <c r="L6" t="str">
        <f t="array" ref="L6">IFERROR(INDEX(SectionAPopulation, MATCH(0, COUNTIF($L$1:L5, SectionAPopulation&amp;"") + IF(SectionAPopulation="",1,0), 0)), "")</f>
        <v/>
      </c>
      <c r="O6" t="str">
        <f ca="1">OFFSET('Overview - Section A'!$AK$124,MATCH(P6,'Overview - Section A'!$AN$124:$AN$175,0)-1,0,IF(COUNTIF('Overview - Section A'!$AN$124:$AN$175,P6)&gt;1,1,COUNTIF('Overview - Section A'!$AN$124:$AN$175,P6)),1)</f>
        <v/>
      </c>
      <c r="P6" t="str">
        <f t="array" ref="P6">IFERROR(INDEX('Overview - Section A'!$AN$124:$AN$175, MATCH(0, COUNTIF($P$1:P5, 'Overview - Section A'!$AN$124:$AN$175&amp;"") + IF('Overview - Section A'!$AN$124:$AN$175="",1,0), 0)), "")</f>
        <v/>
      </c>
      <c r="Q6" t="str">
        <f ca="1">OFFSET('Overview - Section A'!$AK$124,MATCH(P6,'Overview - Section A'!$AN$124:$AN$175,0)-1,1,IF(COUNTIF('Overview - Section A'!$AN$124:$AN$175,P6)&gt;1,1,COUNTIF('Overview - Section A'!$AN$124:$AN$175,P6)),1)</f>
        <v/>
      </c>
    </row>
    <row r="7" spans="1:17">
      <c r="A7" t="s">
        <v>641</v>
      </c>
      <c r="B7">
        <v>7</v>
      </c>
      <c r="L7" t="str">
        <f t="array" ref="L7">IFERROR(INDEX(SectionAPopulation, MATCH(0, COUNTIF($L$1:L6, SectionAPopulation&amp;"") + IF(SectionAPopulation="",1,0), 0)), "")</f>
        <v/>
      </c>
      <c r="O7" t="str">
        <f ca="1">OFFSET('Overview - Section A'!$AK$124,MATCH(P7,'Overview - Section A'!$AN$124:$AN$175,0)-1,0,IF(COUNTIF('Overview - Section A'!$AN$124:$AN$175,P7)&gt;1,1,COUNTIF('Overview - Section A'!$AN$124:$AN$175,P7)),1)</f>
        <v/>
      </c>
      <c r="P7" t="str">
        <f t="array" ref="P7">IFERROR(INDEX('Overview - Section A'!$AN$124:$AN$175, MATCH(0, COUNTIF($P$1:P6, 'Overview - Section A'!$AN$124:$AN$175&amp;"") + IF('Overview - Section A'!$AN$124:$AN$175="",1,0), 0)), "")</f>
        <v/>
      </c>
      <c r="Q7" t="str">
        <f ca="1">OFFSET('Overview - Section A'!$AK$124,MATCH(P7,'Overview - Section A'!$AN$124:$AN$175,0)-1,1,IF(COUNTIF('Overview - Section A'!$AN$124:$AN$175,P7)&gt;1,1,COUNTIF('Overview - Section A'!$AN$124:$AN$175,P7)),1)</f>
        <v/>
      </c>
    </row>
    <row r="8" spans="1:17">
      <c r="A8" t="s">
        <v>642</v>
      </c>
      <c r="B8">
        <v>9</v>
      </c>
      <c r="L8" t="str">
        <f t="array" ref="L8">IFERROR(INDEX(SectionAPopulation, MATCH(0, COUNTIF($L$1:L7, SectionAPopulation&amp;"") + IF(SectionAPopulation="",1,0), 0)), "")</f>
        <v/>
      </c>
      <c r="O8" t="str">
        <f ca="1">OFFSET('Overview - Section A'!$AK$124,MATCH(P8,'Overview - Section A'!$AN$124:$AN$175,0)-1,0,IF(COUNTIF('Overview - Section A'!$AN$124:$AN$175,P8)&gt;1,1,COUNTIF('Overview - Section A'!$AN$124:$AN$175,P8)),1)</f>
        <v/>
      </c>
      <c r="P8" t="str">
        <f t="array" ref="P8">IFERROR(INDEX('Overview - Section A'!$AN$124:$AN$175, MATCH(0, COUNTIF($P$1:P7, 'Overview - Section A'!$AN$124:$AN$175&amp;"") + IF('Overview - Section A'!$AN$124:$AN$175="",1,0), 0)), "")</f>
        <v/>
      </c>
      <c r="Q8" t="str">
        <f ca="1">OFFSET('Overview - Section A'!$AK$124,MATCH(P8,'Overview - Section A'!$AN$124:$AN$175,0)-1,1,IF(COUNTIF('Overview - Section A'!$AN$124:$AN$175,P8)&gt;1,1,COUNTIF('Overview - Section A'!$AN$124:$AN$175,P8)),1)</f>
        <v/>
      </c>
    </row>
    <row r="9" spans="1:17">
      <c r="A9" t="s">
        <v>643</v>
      </c>
      <c r="B9" s="13">
        <f>E2+B8+10</f>
        <v>18</v>
      </c>
      <c r="C9">
        <f>(B9-12)*2</f>
        <v>12</v>
      </c>
      <c r="L9" t="str">
        <f t="array" ref="L9">IFERROR(INDEX(SectionAPopulation, MATCH(0, COUNTIF($L$1:L8, SectionAPopulation&amp;"") + IF(SectionAPopulation="",1,0), 0)), "")</f>
        <v/>
      </c>
      <c r="O9" t="str">
        <f ca="1">OFFSET('Overview - Section A'!$AK$124,MATCH(P9,'Overview - Section A'!$AN$124:$AN$175,0)-1,0,IF(COUNTIF('Overview - Section A'!$AN$124:$AN$175,P9)&gt;1,1,COUNTIF('Overview - Section A'!$AN$124:$AN$175,P9)),1)</f>
        <v/>
      </c>
      <c r="P9" t="str">
        <f t="array" ref="P9">IFERROR(INDEX('Overview - Section A'!$AN$124:$AN$175, MATCH(0, COUNTIF($P$1:P8, 'Overview - Section A'!$AN$124:$AN$175&amp;"") + IF('Overview - Section A'!$AN$124:$AN$175="",1,0), 0)), "")</f>
        <v/>
      </c>
      <c r="Q9" t="str">
        <f ca="1">OFFSET('Overview - Section A'!$AK$124,MATCH(P9,'Overview - Section A'!$AN$124:$AN$175,0)-1,1,IF(COUNTIF('Overview - Section A'!$AN$124:$AN$175,P9)&gt;1,1,COUNTIF('Overview - Section A'!$AN$124:$AN$175,P9)),1)</f>
        <v/>
      </c>
    </row>
    <row r="10" spans="1:17">
      <c r="A10" t="s">
        <v>644</v>
      </c>
      <c r="B10" s="13">
        <f>F2+B9+9</f>
        <v>27</v>
      </c>
      <c r="C10">
        <f>(B10-19)*2</f>
        <v>16</v>
      </c>
      <c r="L10" t="str">
        <f t="array" ref="L10">IFERROR(INDEX(SectionAPopulation, MATCH(0, COUNTIF($L$1:L9, SectionAPopulation&amp;"") + IF(SectionAPopulation="",1,0), 0)), "")</f>
        <v/>
      </c>
      <c r="O10" t="str">
        <f ca="1">OFFSET('Overview - Section A'!$AK$124,MATCH(P10,'Overview - Section A'!$AN$124:$AN$175,0)-1,0,IF(COUNTIF('Overview - Section A'!$AN$124:$AN$175,P10)&gt;1,1,COUNTIF('Overview - Section A'!$AN$124:$AN$175,P10)),1)</f>
        <v/>
      </c>
      <c r="P10" t="str">
        <f t="array" ref="P10">IFERROR(INDEX('Overview - Section A'!$AN$124:$AN$175, MATCH(0, COUNTIF($P$1:P9, 'Overview - Section A'!$AN$124:$AN$175&amp;"") + IF('Overview - Section A'!$AN$124:$AN$175="",1,0), 0)), "")</f>
        <v/>
      </c>
      <c r="Q10" t="str">
        <f ca="1">OFFSET('Overview - Section A'!$AK$124,MATCH(P10,'Overview - Section A'!$AN$124:$AN$175,0)-1,1,IF(COUNTIF('Overview - Section A'!$AN$124:$AN$175,P10)&gt;1,1,COUNTIF('Overview - Section A'!$AN$124:$AN$175,P10)),1)</f>
        <v/>
      </c>
    </row>
    <row r="11" spans="1:17">
      <c r="A11" t="s">
        <v>645</v>
      </c>
      <c r="B11">
        <v>9</v>
      </c>
      <c r="L11" t="str">
        <f t="array" ref="L11">IFERROR(INDEX(SectionAPopulation, MATCH(0, COUNTIF($L$1:L10, SectionAPopulation&amp;"") + IF(SectionAPopulation="",1,0), 0)), "")</f>
        <v/>
      </c>
      <c r="O11" t="str">
        <f ca="1">OFFSET('Overview - Section A'!$AK$124,MATCH(P11,'Overview - Section A'!$AN$124:$AN$175,0)-1,0,IF(COUNTIF('Overview - Section A'!$AN$124:$AN$175,P11)&gt;1,1,COUNTIF('Overview - Section A'!$AN$124:$AN$175,P11)),1)</f>
        <v/>
      </c>
      <c r="P11" t="str">
        <f t="array" ref="P11">IFERROR(INDEX('Overview - Section A'!$AN$124:$AN$175, MATCH(0, COUNTIF($P$1:P10, 'Overview - Section A'!$AN$124:$AN$175&amp;"") + IF('Overview - Section A'!$AN$124:$AN$175="",1,0), 0)), "")</f>
        <v/>
      </c>
      <c r="Q11" t="str">
        <f ca="1">OFFSET('Overview - Section A'!$AK$124,MATCH(P11,'Overview - Section A'!$AN$124:$AN$175,0)-1,1,IF(COUNTIF('Overview - Section A'!$AN$124:$AN$175,P11)&gt;1,1,COUNTIF('Overview - Section A'!$AN$124:$AN$175,P11)),1)</f>
        <v/>
      </c>
    </row>
    <row r="12" spans="1:17">
      <c r="L12" t="str">
        <f t="array" ref="L12">IFERROR(INDEX(SectionAPopulation, MATCH(0, COUNTIF($L$1:L11, SectionAPopulation&amp;"") + IF(SectionAPopulation="",1,0), 0)), "")</f>
        <v/>
      </c>
      <c r="O12" t="str">
        <f ca="1">OFFSET('Overview - Section A'!$AK$124,MATCH(P12,'Overview - Section A'!$AN$124:$AN$175,0)-1,0,IF(COUNTIF('Overview - Section A'!$AN$124:$AN$175,P12)&gt;1,1,COUNTIF('Overview - Section A'!$AN$124:$AN$175,P12)),1)</f>
        <v/>
      </c>
      <c r="P12" t="str">
        <f t="array" ref="P12">IFERROR(INDEX('Overview - Section A'!$AN$124:$AN$175, MATCH(0, COUNTIF($P$1:P11, 'Overview - Section A'!$AN$124:$AN$175&amp;"") + IF('Overview - Section A'!$AN$124:$AN$175="",1,0), 0)), "")</f>
        <v/>
      </c>
      <c r="Q12" t="str">
        <f ca="1">OFFSET('Overview - Section A'!$AK$124,MATCH(P12,'Overview - Section A'!$AN$124:$AN$175,0)-1,1,IF(COUNTIF('Overview - Section A'!$AN$124:$AN$175,P12)&gt;1,1,COUNTIF('Overview - Section A'!$AN$124:$AN$175,P12)),1)</f>
        <v/>
      </c>
    </row>
    <row r="13" spans="1:17">
      <c r="L13" t="str">
        <f t="array" ref="L13">IFERROR(INDEX(SectionAPopulation, MATCH(0, COUNTIF($L$1:L12, SectionAPopulation&amp;"") + IF(SectionAPopulation="",1,0), 0)), "")</f>
        <v/>
      </c>
      <c r="O13" t="str">
        <f ca="1">OFFSET('Overview - Section A'!$AK$124,MATCH(P13,'Overview - Section A'!$AN$124:$AN$175,0)-1,0,IF(COUNTIF('Overview - Section A'!$AN$124:$AN$175,P13)&gt;1,1,COUNTIF('Overview - Section A'!$AN$124:$AN$175,P13)),1)</f>
        <v/>
      </c>
      <c r="P13" t="str">
        <f t="array" ref="P13">IFERROR(INDEX('Overview - Section A'!$AN$124:$AN$175, MATCH(0, COUNTIF($P$1:P12, 'Overview - Section A'!$AN$124:$AN$175&amp;"") + IF('Overview - Section A'!$AN$124:$AN$175="",1,0), 0)), "")</f>
        <v/>
      </c>
      <c r="Q13" t="str">
        <f ca="1">OFFSET('Overview - Section A'!$AK$124,MATCH(P13,'Overview - Section A'!$AN$124:$AN$175,0)-1,1,IF(COUNTIF('Overview - Section A'!$AN$124:$AN$175,P13)&gt;1,1,COUNTIF('Overview - Section A'!$AN$124:$AN$175,P13)),1)</f>
        <v/>
      </c>
    </row>
    <row r="14" spans="1:17">
      <c r="A14" s="22" t="s">
        <v>646</v>
      </c>
      <c r="E14" t="s">
        <v>647</v>
      </c>
      <c r="G14" t="s">
        <v>648</v>
      </c>
      <c r="I14" t="s">
        <v>649</v>
      </c>
      <c r="L14" t="str">
        <f t="array" ref="L14">IFERROR(INDEX(SectionAPopulation, MATCH(0, COUNTIF($L$1:L13, SectionAPopulation&amp;"") + IF(SectionAPopulation="",1,0), 0)), "")</f>
        <v/>
      </c>
      <c r="O14" t="str">
        <f ca="1">OFFSET('Overview - Section A'!$AK$124,MATCH(P14,'Overview - Section A'!$AN$124:$AN$175,0)-1,0,IF(COUNTIF('Overview - Section A'!$AN$124:$AN$175,P14)&gt;1,1,COUNTIF('Overview - Section A'!$AN$124:$AN$175,P14)),1)</f>
        <v/>
      </c>
      <c r="P14" t="str">
        <f t="array" ref="P14">IFERROR(INDEX('Overview - Section A'!$AN$124:$AN$175, MATCH(0, COUNTIF($P$1:P13, 'Overview - Section A'!$AN$124:$AN$175&amp;"") + IF('Overview - Section A'!$AN$124:$AN$175="",1,0), 0)), "")</f>
        <v/>
      </c>
      <c r="Q14" t="str">
        <f ca="1">OFFSET('Overview - Section A'!$AK$124,MATCH(P14,'Overview - Section A'!$AN$124:$AN$175,0)-1,1,IF(COUNTIF('Overview - Section A'!$AN$124:$AN$175,P14)&gt;1,1,COUNTIF('Overview - Section A'!$AN$124:$AN$175,P14)),1)</f>
        <v/>
      </c>
    </row>
    <row r="15" spans="1:17">
      <c r="E15" s="22" t="s">
        <v>650</v>
      </c>
      <c r="G15" s="22" t="str">
        <f ca="1">IF(OFFSET('Overview - Section A'!I$27,H15,0)&lt;&gt;"",OFFSET('Overview - Section A'!E$27,H15,0),"")</f>
        <v>Ministry of Public Health, Hygiene and Prevention</v>
      </c>
      <c r="H15">
        <v>1</v>
      </c>
      <c r="I15" t="str">
        <f ca="1">IFERROR(LOOKUP(2, 1/((COUNTIF(I$14:I14,$G$15:$G$41)=0)*($G$15:$G$41&lt;&gt;"")), $G$15:$G$41),"")</f>
        <v>PR 2</v>
      </c>
      <c r="L15" t="str">
        <f t="array" ref="L15">IFERROR(INDEX(SectionAPopulation, MATCH(0, COUNTIF($L$1:L14, SectionAPopulation&amp;"") + IF(SectionAPopulation="",1,0), 0)), "")</f>
        <v/>
      </c>
      <c r="O15" t="str">
        <f ca="1">OFFSET('Overview - Section A'!$AK$124,MATCH(P15,'Overview - Section A'!$AN$124:$AN$175,0)-1,0,IF(COUNTIF('Overview - Section A'!$AN$124:$AN$175,P15)&gt;1,1,COUNTIF('Overview - Section A'!$AN$124:$AN$175,P15)),1)</f>
        <v/>
      </c>
      <c r="P15" t="str">
        <f t="array" ref="P15">IFERROR(INDEX('Overview - Section A'!$AN$124:$AN$175, MATCH(0, COUNTIF($P$1:P14, 'Overview - Section A'!$AN$124:$AN$175&amp;"") + IF('Overview - Section A'!$AN$124:$AN$175="",1,0), 0)), "")</f>
        <v/>
      </c>
      <c r="Q15" t="str">
        <f ca="1">OFFSET('Overview - Section A'!$AK$124,MATCH(P15,'Overview - Section A'!$AN$124:$AN$175,0)-1,1,IF(COUNTIF('Overview - Section A'!$AN$124:$AN$175,P15)&gt;1,1,COUNTIF('Overview - Section A'!$AN$124:$AN$175,P15)),1)</f>
        <v/>
      </c>
    </row>
    <row r="16" spans="1:17">
      <c r="A16" s="22" t="s">
        <v>651</v>
      </c>
      <c r="E16" s="22" t="s">
        <v>652</v>
      </c>
      <c r="G16" s="22" t="str">
        <f ca="1">IF(OFFSET('Overview - Section A'!I$27,H16,0)&lt;&gt;"",OFFSET('Overview - Section A'!E$27,H16,0),"")</f>
        <v/>
      </c>
      <c r="H16">
        <v>2</v>
      </c>
      <c r="I16" t="str">
        <f ca="1">IFERROR(LOOKUP(2, 1/((COUNTIF(I$14:I15,$G$15:$G$41)=0)*($G$15:$G$41&lt;&gt;"")), $G$15:$G$41),"")</f>
        <v>Ministry of Public Health, Hygiene and Prevention</v>
      </c>
      <c r="L16" t="str">
        <f t="array" ref="L16">IFERROR(INDEX(SectionAPopulation, MATCH(0, COUNTIF($L$1:L15, SectionAPopulation&amp;"") + IF(SectionAPopulation="",1,0), 0)), "")</f>
        <v/>
      </c>
      <c r="O16" t="str">
        <f ca="1">OFFSET('Overview - Section A'!$AK$124,MATCH(P16,'Overview - Section A'!$AN$124:$AN$175,0)-1,0,IF(COUNTIF('Overview - Section A'!$AN$124:$AN$175,P16)&gt;1,1,COUNTIF('Overview - Section A'!$AN$124:$AN$175,P16)),1)</f>
        <v/>
      </c>
      <c r="P16" t="str">
        <f t="array" ref="P16">IFERROR(INDEX('Overview - Section A'!$AN$124:$AN$175, MATCH(0, COUNTIF($P$1:P15, 'Overview - Section A'!$AN$124:$AN$175&amp;"") + IF('Overview - Section A'!$AN$124:$AN$175="",1,0), 0)), "")</f>
        <v/>
      </c>
      <c r="Q16" t="str">
        <f ca="1">OFFSET('Overview - Section A'!$AK$124,MATCH(P16,'Overview - Section A'!$AN$124:$AN$175,0)-1,1,IF(COUNTIF('Overview - Section A'!$AN$124:$AN$175,P16)&gt;1,1,COUNTIF('Overview - Section A'!$AN$124:$AN$175,P16)),1)</f>
        <v/>
      </c>
    </row>
    <row r="17" spans="1:17">
      <c r="A17" s="22" t="s">
        <v>653</v>
      </c>
      <c r="E17" s="22" t="s">
        <v>654</v>
      </c>
      <c r="G17" s="22" t="str">
        <f ca="1">IF(OFFSET('Overview - Section A'!I$27,H17,0)&lt;&gt;"",OFFSET('Overview - Section A'!E$27,H17,0),"")</f>
        <v/>
      </c>
      <c r="H17">
        <v>3</v>
      </c>
      <c r="I17" t="str">
        <f ca="1">IFERROR(LOOKUP(2, 1/((COUNTIF(I$14:I16,$G$15:$G$41)=0)*($G$15:$G$41&lt;&gt;"")), $G$15:$G$41),"")</f>
        <v/>
      </c>
      <c r="L17" t="str">
        <f t="array" ref="L17">IFERROR(INDEX(SectionAPopulation, MATCH(0, COUNTIF($L$1:L16, SectionAPopulation&amp;"") + IF(SectionAPopulation="",1,0), 0)), "")</f>
        <v/>
      </c>
      <c r="O17" t="str">
        <f ca="1">OFFSET('Overview - Section A'!$AK$124,MATCH(P17,'Overview - Section A'!$AN$124:$AN$175,0)-1,0,IF(COUNTIF('Overview - Section A'!$AN$124:$AN$175,P17)&gt;1,1,COUNTIF('Overview - Section A'!$AN$124:$AN$175,P17)),1)</f>
        <v/>
      </c>
      <c r="P17" t="str">
        <f t="array" ref="P17">IFERROR(INDEX('Overview - Section A'!$AN$124:$AN$175, MATCH(0, COUNTIF($P$1:P16, 'Overview - Section A'!$AN$124:$AN$175&amp;"") + IF('Overview - Section A'!$AN$124:$AN$175="",1,0), 0)), "")</f>
        <v/>
      </c>
      <c r="Q17" t="str">
        <f ca="1">OFFSET('Overview - Section A'!$AK$124,MATCH(P17,'Overview - Section A'!$AN$124:$AN$175,0)-1,1,IF(COUNTIF('Overview - Section A'!$AN$124:$AN$175,P17)&gt;1,1,COUNTIF('Overview - Section A'!$AN$124:$AN$175,P17)),1)</f>
        <v/>
      </c>
    </row>
    <row r="18" spans="1:17">
      <c r="A18" s="22" t="s">
        <v>655</v>
      </c>
      <c r="E18" s="22"/>
      <c r="G18" s="22" t="str">
        <f ca="1">IF(OFFSET('Overview - Section A'!I$27,H18,0)&lt;&gt;"",OFFSET('Overview - Section A'!E$27,H18,0),"")</f>
        <v/>
      </c>
      <c r="H18">
        <v>4</v>
      </c>
      <c r="I18" t="str">
        <f ca="1">IFERROR(LOOKUP(2, 1/((COUNTIF(I$14:I17,$G$15:$G$41)=0)*($G$15:$G$41&lt;&gt;"")), $G$15:$G$41),"")</f>
        <v/>
      </c>
      <c r="L18" t="str">
        <f t="array" ref="L18">IFERROR(INDEX(SectionAPopulation, MATCH(0, COUNTIF($L$1:L17, SectionAPopulation&amp;"") + IF(SectionAPopulation="",1,0), 0)), "")</f>
        <v/>
      </c>
      <c r="O18" t="str">
        <f ca="1">OFFSET('Overview - Section A'!$AK$124,MATCH(P18,'Overview - Section A'!$AN$124:$AN$175,0)-1,0,IF(COUNTIF('Overview - Section A'!$AN$124:$AN$175,P18)&gt;1,1,COUNTIF('Overview - Section A'!$AN$124:$AN$175,P18)),1)</f>
        <v/>
      </c>
      <c r="P18" t="str">
        <f t="array" ref="P18">IFERROR(INDEX('Overview - Section A'!$AN$124:$AN$175, MATCH(0, COUNTIF($P$1:P17, 'Overview - Section A'!$AN$124:$AN$175&amp;"") + IF('Overview - Section A'!$AN$124:$AN$175="",1,0), 0)), "")</f>
        <v/>
      </c>
      <c r="Q18" t="str">
        <f ca="1">OFFSET('Overview - Section A'!$AK$124,MATCH(P18,'Overview - Section A'!$AN$124:$AN$175,0)-1,1,IF(COUNTIF('Overview - Section A'!$AN$124:$AN$175,P18)&gt;1,1,COUNTIF('Overview - Section A'!$AN$124:$AN$175,P18)),1)</f>
        <v/>
      </c>
    </row>
    <row r="19" spans="1:17">
      <c r="G19" s="22" t="str">
        <f ca="1">IF(OFFSET('Overview - Section A'!I$27,H19,0)&lt;&gt;"",OFFSET('Overview - Section A'!E$27,H19,0),"")</f>
        <v/>
      </c>
      <c r="H19">
        <v>5</v>
      </c>
      <c r="I19" t="str">
        <f ca="1">IFERROR(LOOKUP(2, 1/((COUNTIF(I$14:I18,$G$15:$G$41)=0)*($G$15:$G$41&lt;&gt;"")), $G$15:$G$41),"")</f>
        <v/>
      </c>
      <c r="L19" t="str">
        <f t="array" ref="L19">IFERROR(INDEX(SectionAPopulation, MATCH(0, COUNTIF($L$1:L18, SectionAPopulation&amp;"") + IF(SectionAPopulation="",1,0), 0)), "")</f>
        <v/>
      </c>
      <c r="O19" t="str">
        <f ca="1">OFFSET('Overview - Section A'!$AK$124,MATCH(P19,'Overview - Section A'!$AN$124:$AN$175,0)-1,0,IF(COUNTIF('Overview - Section A'!$AN$124:$AN$175,P19)&gt;1,1,COUNTIF('Overview - Section A'!$AN$124:$AN$175,P19)),1)</f>
        <v/>
      </c>
      <c r="P19" t="str">
        <f t="array" ref="P19">IFERROR(INDEX('Overview - Section A'!$AN$124:$AN$175, MATCH(0, COUNTIF($P$1:P18, 'Overview - Section A'!$AN$124:$AN$175&amp;"") + IF('Overview - Section A'!$AN$124:$AN$175="",1,0), 0)), "")</f>
        <v/>
      </c>
      <c r="Q19" t="str">
        <f ca="1">OFFSET('Overview - Section A'!$AK$124,MATCH(P19,'Overview - Section A'!$AN$124:$AN$175,0)-1,1,IF(COUNTIF('Overview - Section A'!$AN$124:$AN$175,P19)&gt;1,1,COUNTIF('Overview - Section A'!$AN$124:$AN$175,P19)),1)</f>
        <v/>
      </c>
    </row>
    <row r="20" spans="1:17">
      <c r="G20" s="22" t="str">
        <f ca="1">IF(OFFSET('Overview - Section A'!I$27,H20,0)&lt;&gt;"",OFFSET('Overview - Section A'!E$27,H20,0),"")</f>
        <v/>
      </c>
      <c r="H20">
        <v>6</v>
      </c>
      <c r="I20" t="str">
        <f ca="1">IFERROR(LOOKUP(2, 1/((COUNTIF(I$14:I19,$G$15:$G$41)=0)*($G$15:$G$41&lt;&gt;"")), $G$15:$G$41),"")</f>
        <v/>
      </c>
      <c r="L20" t="str">
        <f t="array" ref="L20">IFERROR(INDEX(SectionAPopulation, MATCH(0, COUNTIF($L$1:L19, SectionAPopulation&amp;"") + IF(SectionAPopulation="",1,0), 0)), "")</f>
        <v/>
      </c>
      <c r="O20" t="str">
        <f ca="1">OFFSET('Overview - Section A'!$AK$124,MATCH(P20,'Overview - Section A'!$AN$124:$AN$175,0)-1,0,IF(COUNTIF('Overview - Section A'!$AN$124:$AN$175,P20)&gt;1,1,COUNTIF('Overview - Section A'!$AN$124:$AN$175,P20)),1)</f>
        <v/>
      </c>
      <c r="P20" t="str">
        <f t="array" ref="P20">IFERROR(INDEX('Overview - Section A'!$AN$124:$AN$175, MATCH(0, COUNTIF($P$1:P19, 'Overview - Section A'!$AN$124:$AN$175&amp;"") + IF('Overview - Section A'!$AN$124:$AN$175="",1,0), 0)), "")</f>
        <v/>
      </c>
      <c r="Q20" t="str">
        <f ca="1">OFFSET('Overview - Section A'!$AK$124,MATCH(P20,'Overview - Section A'!$AN$124:$AN$175,0)-1,1,IF(COUNTIF('Overview - Section A'!$AN$124:$AN$175,P20)&gt;1,1,COUNTIF('Overview - Section A'!$AN$124:$AN$175,P20)),1)</f>
        <v/>
      </c>
    </row>
    <row r="21" spans="1:17">
      <c r="A21" s="25" t="s">
        <v>656</v>
      </c>
      <c r="B21">
        <f>MAX('update Helper'!Q$2:Q34)</f>
        <v>15</v>
      </c>
      <c r="D21" t="s">
        <v>657</v>
      </c>
      <c r="E21">
        <f>'update Helper'!AA2</f>
        <v>150</v>
      </c>
      <c r="G21" s="22" t="str">
        <f ca="1">IF(OFFSET('Overview - Section A'!I$27,H21,0)&lt;&gt;"",OFFSET('Overview - Section A'!E$27,H21,0),"")</f>
        <v/>
      </c>
      <c r="H21">
        <v>7</v>
      </c>
      <c r="I21" t="str">
        <f ca="1">IFERROR(LOOKUP(2, 1/((COUNTIF(I$14:I20,$G$15:$G$41)=0)*($G$15:$G$41&lt;&gt;"")), $G$15:$G$41),"")</f>
        <v/>
      </c>
      <c r="L21" t="str">
        <f t="array" ref="L21">IFERROR(INDEX(SectionAPopulation, MATCH(0, COUNTIF($L$1:L20, SectionAPopulation&amp;"") + IF(SectionAPopulation="",1,0), 0)), "")</f>
        <v/>
      </c>
      <c r="O21" t="str">
        <f ca="1">OFFSET('Overview - Section A'!$AK$124,MATCH(P21,'Overview - Section A'!$AN$124:$AN$175,0)-1,0,IF(COUNTIF('Overview - Section A'!$AN$124:$AN$175,P21)&gt;1,1,COUNTIF('Overview - Section A'!$AN$124:$AN$175,P21)),1)</f>
        <v/>
      </c>
      <c r="P21" t="str">
        <f t="array" ref="P21">IFERROR(INDEX('Overview - Section A'!$AN$124:$AN$175, MATCH(0, COUNTIF($P$1:P20, 'Overview - Section A'!$AN$124:$AN$175&amp;"") + IF('Overview - Section A'!$AN$124:$AN$175="",1,0), 0)), "")</f>
        <v/>
      </c>
      <c r="Q21" t="str">
        <f ca="1">OFFSET('Overview - Section A'!$AK$124,MATCH(P21,'Overview - Section A'!$AN$124:$AN$175,0)-1,1,IF(COUNTIF('Overview - Section A'!$AN$124:$AN$175,P21)&gt;1,1,COUNTIF('Overview - Section A'!$AN$124:$AN$175,P21)),1)</f>
        <v/>
      </c>
    </row>
    <row r="22" spans="1:17">
      <c r="A22" t="s">
        <v>658</v>
      </c>
      <c r="B22">
        <f ca="1">MAX('update Helper'!P42:P224)</f>
        <v>90</v>
      </c>
      <c r="D22" t="s">
        <v>659</v>
      </c>
      <c r="E22">
        <f>'update Helper'!AB2</f>
        <v>150</v>
      </c>
      <c r="G22" s="22" t="str">
        <f ca="1">IF(OFFSET('Overview - Section A'!I$27,H22,0)&lt;&gt;"",OFFSET('Overview - Section A'!E$27,H22,0),"")</f>
        <v/>
      </c>
      <c r="H22">
        <v>8</v>
      </c>
      <c r="I22" t="str">
        <f ca="1">IFERROR(LOOKUP(2, 1/((COUNTIF(I$14:I21,$G$15:$G$41)=0)*($G$15:$G$41&lt;&gt;"")), $G$15:$G$41),"")</f>
        <v/>
      </c>
      <c r="L22" t="str">
        <f t="array" ref="L22">IFERROR(INDEX(SectionAPopulation, MATCH(0, COUNTIF($L$1:L21, SectionAPopulation&amp;"") + IF(SectionAPopulation="",1,0), 0)), "")</f>
        <v/>
      </c>
      <c r="O22" t="str">
        <f ca="1">OFFSET('Overview - Section A'!$AK$124,MATCH(P22,'Overview - Section A'!$AN$124:$AN$175,0)-1,0,IF(COUNTIF('Overview - Section A'!$AN$124:$AN$175,P22)&gt;1,1,COUNTIF('Overview - Section A'!$AN$124:$AN$175,P22)),1)</f>
        <v/>
      </c>
      <c r="P22" t="str">
        <f t="array" ref="P22">IFERROR(INDEX('Overview - Section A'!$AN$124:$AN$175, MATCH(0, COUNTIF($P$1:P21, 'Overview - Section A'!$AN$124:$AN$175&amp;"") + IF('Overview - Section A'!$AN$124:$AN$175="",1,0), 0)), "")</f>
        <v/>
      </c>
      <c r="Q22" t="str">
        <f ca="1">OFFSET('Overview - Section A'!$AK$124,MATCH(P22,'Overview - Section A'!$AN$124:$AN$175,0)-1,1,IF(COUNTIF('Overview - Section A'!$AN$124:$AN$175,P22)&gt;1,1,COUNTIF('Overview - Section A'!$AN$124:$AN$175,P22)),1)</f>
        <v/>
      </c>
    </row>
    <row r="23" spans="1:17">
      <c r="A23" t="s">
        <v>660</v>
      </c>
      <c r="B23">
        <f>COUNTA('Outcome Indicators - Section C '!A9:A100)</f>
        <v>15</v>
      </c>
      <c r="G23" s="22" t="str">
        <f ca="1">IF(OFFSET('Overview - Section A'!I$27,H23,0)&lt;&gt;"",OFFSET('Overview - Section A'!E$27,H23,0),"")</f>
        <v/>
      </c>
      <c r="H23">
        <v>9</v>
      </c>
      <c r="I23" t="str">
        <f ca="1">IFERROR(LOOKUP(2, 1/((COUNTIF(I$14:I22,$G$15:$G$41)=0)*($G$15:$G$41&lt;&gt;"")), $G$15:$G$41),"")</f>
        <v/>
      </c>
      <c r="L23" t="str">
        <f t="array" ref="L23">IFERROR(INDEX(SectionAPopulation, MATCH(0, COUNTIF($L$1:L22, SectionAPopulation&amp;"") + IF(SectionAPopulation="",1,0), 0)), "")</f>
        <v/>
      </c>
      <c r="O23" t="str">
        <f ca="1">OFFSET('Overview - Section A'!$AK$124,MATCH(P23,'Overview - Section A'!$AN$124:$AN$175,0)-1,0,IF(COUNTIF('Overview - Section A'!$AN$124:$AN$175,P23)&gt;1,1,COUNTIF('Overview - Section A'!$AN$124:$AN$175,P23)),1)</f>
        <v/>
      </c>
      <c r="P23" t="str">
        <f t="array" ref="P23">IFERROR(INDEX('Overview - Section A'!$AN$124:$AN$175, MATCH(0, COUNTIF($P$1:P22, 'Overview - Section A'!$AN$124:$AN$175&amp;"") + IF('Overview - Section A'!$AN$124:$AN$175="",1,0), 0)), "")</f>
        <v/>
      </c>
      <c r="Q23" t="str">
        <f ca="1">OFFSET('Overview - Section A'!$AK$124,MATCH(P23,'Overview - Section A'!$AN$124:$AN$175,0)-1,1,IF(COUNTIF('Overview - Section A'!$AN$124:$AN$175,P23)&gt;1,1,COUNTIF('Overview - Section A'!$AN$124:$AN$175,P23)),1)</f>
        <v/>
      </c>
    </row>
    <row r="24" spans="1:17">
      <c r="A24" t="s">
        <v>661</v>
      </c>
      <c r="B24" cm="1">
        <f t="array" aca="1" ref="B24" ca="1">SUMPRODUCT(--(NOT(_xlfn.ISFORMULA('update Helper'!F267:F448))))-1</f>
        <v>90</v>
      </c>
      <c r="G24" s="22" t="str">
        <f ca="1">IF(OFFSET('Overview - Section A'!J$32,H24,0)&lt;&gt;0,OFFSET('Overview - Section A'!E$32,H24,0),"")</f>
        <v>Ministry of Public Health, Hygiene and Prevention</v>
      </c>
      <c r="H24">
        <v>1</v>
      </c>
      <c r="I24" t="str">
        <f ca="1">IFERROR(LOOKUP(2, 1/((COUNTIF(I$14:I23,$G$15:$G$41)=0)*($G$15:$G$41&lt;&gt;"")), $G$15:$G$41),"")</f>
        <v/>
      </c>
      <c r="L24" t="str">
        <f t="array" ref="L24">IFERROR(INDEX(SectionAPopulation, MATCH(0, COUNTIF($L$1:L23, SectionAPopulation&amp;"") + IF(SectionAPopulation="",1,0), 0)), "")</f>
        <v/>
      </c>
      <c r="O24" t="str">
        <f ca="1">OFFSET('Overview - Section A'!$AK$124,MATCH(P24,'Overview - Section A'!$AN$124:$AN$175,0)-1,0,IF(COUNTIF('Overview - Section A'!$AN$124:$AN$175,P24)&gt;1,1,COUNTIF('Overview - Section A'!$AN$124:$AN$175,P24)),1)</f>
        <v/>
      </c>
      <c r="P24" t="str">
        <f t="array" ref="P24">IFERROR(INDEX('Overview - Section A'!$AN$124:$AN$175, MATCH(0, COUNTIF($P$1:P23, 'Overview - Section A'!$AN$124:$AN$175&amp;"") + IF('Overview - Section A'!$AN$124:$AN$175="",1,0), 0)), "")</f>
        <v/>
      </c>
      <c r="Q24" t="str">
        <f ca="1">OFFSET('Overview - Section A'!$AK$124,MATCH(P24,'Overview - Section A'!$AN$124:$AN$175,0)-1,1,IF(COUNTIF('Overview - Section A'!$AN$124:$AN$175,P24)&gt;1,1,COUNTIF('Overview - Section A'!$AN$124:$AN$175,P24)),1)</f>
        <v/>
      </c>
    </row>
    <row r="25" spans="1:17">
      <c r="A25" t="s">
        <v>662</v>
      </c>
      <c r="B25">
        <f>COUNTA('Coverage Indicators - Section D'!A9:A124)</f>
        <v>42</v>
      </c>
      <c r="G25" s="22" t="str">
        <f ca="1">IF(OFFSET('Overview - Section A'!J$32,H25,0)&lt;&gt;0,OFFSET('Overview - Section A'!E$32,H25,0),"")</f>
        <v/>
      </c>
      <c r="H25">
        <v>2</v>
      </c>
      <c r="I25" t="str">
        <f ca="1">IFERROR(LOOKUP(2, 1/((COUNTIF(I$14:I24,$G$15:$G$41)=0)*($G$15:$G$41&lt;&gt;"")), $G$15:$G$41),"")</f>
        <v/>
      </c>
      <c r="L25" t="str">
        <f t="array" ref="L25">IFERROR(INDEX(SectionAPopulation, MATCH(0, COUNTIF($L$1:L24, SectionAPopulation&amp;"") + IF(SectionAPopulation="",1,0), 0)), "")</f>
        <v/>
      </c>
      <c r="O25" t="str">
        <f ca="1">OFFSET('Overview - Section A'!$AK$124,MATCH(P25,'Overview - Section A'!$AN$124:$AN$175,0)-1,0,IF(COUNTIF('Overview - Section A'!$AN$124:$AN$175,P25)&gt;1,1,COUNTIF('Overview - Section A'!$AN$124:$AN$175,P25)),1)</f>
        <v/>
      </c>
      <c r="P25" t="str">
        <f t="array" ref="P25">IFERROR(INDEX('Overview - Section A'!$AN$124:$AN$175, MATCH(0, COUNTIF($P$1:P24, 'Overview - Section A'!$AN$124:$AN$175&amp;"") + IF('Overview - Section A'!$AN$124:$AN$175="",1,0), 0)), "")</f>
        <v/>
      </c>
      <c r="Q25" t="str">
        <f ca="1">OFFSET('Overview - Section A'!$AK$124,MATCH(P25,'Overview - Section A'!$AN$124:$AN$175,0)-1,1,IF(COUNTIF('Overview - Section A'!$AN$124:$AN$175,P25)&gt;1,1,COUNTIF('Overview - Section A'!$AN$124:$AN$175,P25)),1)</f>
        <v/>
      </c>
    </row>
    <row r="26" spans="1:17">
      <c r="A26" t="s">
        <v>663</v>
      </c>
      <c r="B26">
        <f ca="1">'update Helper'!X2</f>
        <v>234</v>
      </c>
      <c r="G26" s="22" t="str">
        <f ca="1">IF(OFFSET('Overview - Section A'!J$32,H26,0)&lt;&gt;0,OFFSET('Overview - Section A'!E$32,H26,0),"")</f>
        <v/>
      </c>
      <c r="H26">
        <v>3</v>
      </c>
      <c r="I26" t="str">
        <f ca="1">IFERROR(LOOKUP(2, 1/((COUNTIF(I$14:I25,$G$15:$G$41)=0)*($G$15:$G$41&lt;&gt;"")), $G$15:$G$41),"")</f>
        <v/>
      </c>
      <c r="L26" t="str">
        <f t="array" ref="L26">IFERROR(INDEX(SectionAPopulation, MATCH(0, COUNTIF($L$1:L25, SectionAPopulation&amp;"") + IF(SectionAPopulation="",1,0), 0)), "")</f>
        <v/>
      </c>
      <c r="O26" t="str">
        <f ca="1">OFFSET('Overview - Section A'!$AK$124,MATCH(P26,'Overview - Section A'!$AN$124:$AN$175,0)-1,0,IF(COUNTIF('Overview - Section A'!$AN$124:$AN$175,P26)&gt;1,1,COUNTIF('Overview - Section A'!$AN$124:$AN$175,P26)),1)</f>
        <v/>
      </c>
      <c r="P26" t="str">
        <f t="array" ref="P26">IFERROR(INDEX('Overview - Section A'!$AN$124:$AN$175, MATCH(0, COUNTIF($P$1:P25, 'Overview - Section A'!$AN$124:$AN$175&amp;"") + IF('Overview - Section A'!$AN$124:$AN$175="",1,0), 0)), "")</f>
        <v/>
      </c>
      <c r="Q26" t="str">
        <f ca="1">OFFSET('Overview - Section A'!$AK$124,MATCH(P26,'Overview - Section A'!$AN$124:$AN$175,0)-1,1,IF(COUNTIF('Overview - Section A'!$AN$124:$AN$175,P26)&gt;1,1,COUNTIF('Overview - Section A'!$AN$124:$AN$175,P26)),1)</f>
        <v/>
      </c>
    </row>
    <row r="27" spans="1:17">
      <c r="A27" t="s">
        <v>664</v>
      </c>
      <c r="B27">
        <f>'update Helper'!Z2</f>
        <v>640</v>
      </c>
      <c r="G27" s="22" t="str">
        <f ca="1">IF(OFFSET('Overview - Section A'!J$32,H27,0)&lt;&gt;0,OFFSET('Overview - Section A'!E$32,H27,0),"")</f>
        <v/>
      </c>
      <c r="H27">
        <v>4</v>
      </c>
      <c r="I27" t="str">
        <f ca="1">IFERROR(LOOKUP(2, 1/((COUNTIF(I$14:I26,$G$15:$G$41)=0)*($G$15:$G$41&lt;&gt;"")), $G$15:$G$41),"")</f>
        <v/>
      </c>
      <c r="L27" t="str">
        <f t="array" ref="L27">IFERROR(INDEX(SectionAPopulation, MATCH(0, COUNTIF($L$1:L26, SectionAPopulation&amp;"") + IF(SectionAPopulation="",1,0), 0)), "")</f>
        <v/>
      </c>
      <c r="O27" t="str">
        <f ca="1">OFFSET('Overview - Section A'!$AK$124,MATCH(P27,'Overview - Section A'!$AN$124:$AN$175,0)-1,0,IF(COUNTIF('Overview - Section A'!$AN$124:$AN$175,P27)&gt;1,1,COUNTIF('Overview - Section A'!$AN$124:$AN$175,P27)),1)</f>
        <v/>
      </c>
      <c r="P27" t="str">
        <f t="array" ref="P27">IFERROR(INDEX('Overview - Section A'!$AN$124:$AN$175, MATCH(0, COUNTIF($P$1:P26, 'Overview - Section A'!$AN$124:$AN$175&amp;"") + IF('Overview - Section A'!$AN$124:$AN$175="",1,0), 0)), "")</f>
        <v/>
      </c>
      <c r="Q27" t="str">
        <f ca="1">OFFSET('Overview - Section A'!$AK$124,MATCH(P27,'Overview - Section A'!$AN$124:$AN$175,0)-1,1,IF(COUNTIF('Overview - Section A'!$AN$124:$AN$175,P27)&gt;1,1,COUNTIF('Overview - Section A'!$AN$124:$AN$175,P27)),1)</f>
        <v/>
      </c>
    </row>
    <row r="28" spans="1:17">
      <c r="G28" s="22" t="str">
        <f ca="1">IF(OFFSET('Overview - Section A'!J$32,H28,0)&lt;&gt;0,OFFSET('Overview - Section A'!E$32,H28,0),"")</f>
        <v/>
      </c>
      <c r="H28">
        <v>5</v>
      </c>
      <c r="I28" t="str">
        <f ca="1">IFERROR(LOOKUP(2, 1/((COUNTIF(I$14:I27,$G$15:$G$41)=0)*($G$15:$G$41&lt;&gt;"")), $G$15:$G$41),"")</f>
        <v/>
      </c>
      <c r="L28" t="str">
        <f t="array" ref="L28">IFERROR(INDEX(SectionAPopulation, MATCH(0, COUNTIF($L$1:L27, SectionAPopulation&amp;"") + IF(SectionAPopulation="",1,0), 0)), "")</f>
        <v/>
      </c>
      <c r="O28" t="str">
        <f ca="1">OFFSET('Overview - Section A'!$AK$124,MATCH(P28,'Overview - Section A'!$AN$124:$AN$175,0)-1,0,IF(COUNTIF('Overview - Section A'!$AN$124:$AN$175,P28)&gt;1,1,COUNTIF('Overview - Section A'!$AN$124:$AN$175,P28)),1)</f>
        <v/>
      </c>
      <c r="P28" t="str">
        <f t="array" ref="P28">IFERROR(INDEX('Overview - Section A'!$AN$124:$AN$175, MATCH(0, COUNTIF($P$1:P27, 'Overview - Section A'!$AN$124:$AN$175&amp;"") + IF('Overview - Section A'!$AN$124:$AN$175="",1,0), 0)), "")</f>
        <v/>
      </c>
      <c r="Q28" t="str">
        <f ca="1">OFFSET('Overview - Section A'!$AK$124,MATCH(P28,'Overview - Section A'!$AN$124:$AN$175,0)-1,1,IF(COUNTIF('Overview - Section A'!$AN$124:$AN$175,P28)&gt;1,1,COUNTIF('Overview - Section A'!$AN$124:$AN$175,P28)),1)</f>
        <v/>
      </c>
    </row>
    <row r="29" spans="1:17">
      <c r="A29" t="s">
        <v>665</v>
      </c>
      <c r="G29" s="22" t="str">
        <f ca="1">IF(OFFSET('Overview - Section A'!J$32,H29,0)&lt;&gt;0,OFFSET('Overview - Section A'!E$32,H29,0),"")</f>
        <v/>
      </c>
      <c r="H29">
        <v>6</v>
      </c>
      <c r="I29" t="str">
        <f ca="1">IFERROR(LOOKUP(2, 1/((COUNTIF(I$14:I28,$G$15:$G$41)=0)*($G$15:$G$41&lt;&gt;"")), $G$15:$G$41),"")</f>
        <v/>
      </c>
      <c r="L29" t="str">
        <f t="array" ref="L29">IFERROR(INDEX(SectionAPopulation, MATCH(0, COUNTIF($L$1:L28, SectionAPopulation&amp;"") + IF(SectionAPopulation="",1,0), 0)), "")</f>
        <v/>
      </c>
      <c r="O29" t="str">
        <f ca="1">OFFSET('Overview - Section A'!$AK$124,MATCH(P29,'Overview - Section A'!$AN$124:$AN$175,0)-1,0,IF(COUNTIF('Overview - Section A'!$AN$124:$AN$175,P29)&gt;1,1,COUNTIF('Overview - Section A'!$AN$124:$AN$175,P29)),1)</f>
        <v/>
      </c>
      <c r="P29" t="str">
        <f t="array" ref="P29">IFERROR(INDEX('Overview - Section A'!$AN$124:$AN$175, MATCH(0, COUNTIF($P$1:P28, 'Overview - Section A'!$AN$124:$AN$175&amp;"") + IF('Overview - Section A'!$AN$124:$AN$175="",1,0), 0)), "")</f>
        <v/>
      </c>
      <c r="Q29" t="str">
        <f ca="1">OFFSET('Overview - Section A'!$AK$124,MATCH(P29,'Overview - Section A'!$AN$124:$AN$175,0)-1,1,IF(COUNTIF('Overview - Section A'!$AN$124:$AN$175,P29)&gt;1,1,COUNTIF('Overview - Section A'!$AN$124:$AN$175,P29)),1)</f>
        <v/>
      </c>
    </row>
    <row r="30" spans="1:17">
      <c r="G30" s="22" t="str">
        <f ca="1">IF(OFFSET('Overview - Section A'!J$32,H30,0)&lt;&gt;0,OFFSET('Overview - Section A'!E$32,H30,0),"")</f>
        <v/>
      </c>
      <c r="H30">
        <v>7</v>
      </c>
      <c r="I30" t="str">
        <f ca="1">IFERROR(LOOKUP(2, 1/((COUNTIF(I$14:I29,$G$15:$G$41)=0)*($G$15:$G$41&lt;&gt;"")), $G$15:$G$41),"")</f>
        <v/>
      </c>
      <c r="L30" t="str">
        <f t="array" ref="L30">IFERROR(INDEX(SectionAPopulation, MATCH(0, COUNTIF($L$1:L29, SectionAPopulation&amp;"") + IF(SectionAPopulation="",1,0), 0)), "")</f>
        <v/>
      </c>
      <c r="O30" t="str">
        <f ca="1">OFFSET('Overview - Section A'!$AK$124,MATCH(P30,'Overview - Section A'!$AN$124:$AN$175,0)-1,0,IF(COUNTIF('Overview - Section A'!$AN$124:$AN$175,P30)&gt;1,1,COUNTIF('Overview - Section A'!$AN$124:$AN$175,P30)),1)</f>
        <v/>
      </c>
      <c r="P30" t="str">
        <f t="array" ref="P30">IFERROR(INDEX('Overview - Section A'!$AN$124:$AN$175, MATCH(0, COUNTIF($P$1:P29, 'Overview - Section A'!$AN$124:$AN$175&amp;"") + IF('Overview - Section A'!$AN$124:$AN$175="",1,0), 0)), "")</f>
        <v/>
      </c>
      <c r="Q30" t="str">
        <f ca="1">OFFSET('Overview - Section A'!$AK$124,MATCH(P30,'Overview - Section A'!$AN$124:$AN$175,0)-1,1,IF(COUNTIF('Overview - Section A'!$AN$124:$AN$175,P30)&gt;1,1,COUNTIF('Overview - Section A'!$AN$124:$AN$175,P30)),1)</f>
        <v/>
      </c>
    </row>
    <row r="31" spans="1:17">
      <c r="C31">
        <v>2014</v>
      </c>
      <c r="G31" s="22" t="str">
        <f ca="1">IF(OFFSET('Overview - Section A'!J$32,H31,0)&lt;&gt;0,OFFSET('Overview - Section A'!E$32,H31,0),"")</f>
        <v/>
      </c>
      <c r="H31">
        <v>8</v>
      </c>
      <c r="I31" t="str">
        <f ca="1">IFERROR(LOOKUP(2, 1/((COUNTIF(I$14:I30,$G$15:$G$41)=0)*($G$15:$G$41&lt;&gt;"")), $G$15:$G$41),"")</f>
        <v/>
      </c>
      <c r="L31" t="str">
        <f t="array" ref="L31">IFERROR(INDEX(SectionAPopulation, MATCH(0, COUNTIF($L$1:L30, SectionAPopulation&amp;"") + IF(SectionAPopulation="",1,0), 0)), "")</f>
        <v/>
      </c>
      <c r="O31" t="str">
        <f ca="1">OFFSET('Overview - Section A'!$AK$124,MATCH(P31,'Overview - Section A'!$AN$124:$AN$175,0)-1,0,IF(COUNTIF('Overview - Section A'!$AN$124:$AN$175,P31)&gt;1,1,COUNTIF('Overview - Section A'!$AN$124:$AN$175,P31)),1)</f>
        <v/>
      </c>
      <c r="P31" t="str">
        <f t="array" ref="P31">IFERROR(INDEX('Overview - Section A'!$AN$124:$AN$175, MATCH(0, COUNTIF($P$1:P30, 'Overview - Section A'!$AN$124:$AN$175&amp;"") + IF('Overview - Section A'!$AN$124:$AN$175="",1,0), 0)), "")</f>
        <v/>
      </c>
      <c r="Q31" t="str">
        <f ca="1">OFFSET('Overview - Section A'!$AK$124,MATCH(P31,'Overview - Section A'!$AN$124:$AN$175,0)-1,1,IF(COUNTIF('Overview - Section A'!$AN$124:$AN$175,P31)&gt;1,1,COUNTIF('Overview - Section A'!$AN$124:$AN$175,P31)),1)</f>
        <v/>
      </c>
    </row>
    <row r="32" spans="1:17">
      <c r="A32" t="s">
        <v>666</v>
      </c>
      <c r="C32">
        <v>2015</v>
      </c>
      <c r="G32" s="22" t="str">
        <f ca="1">IF(OFFSET('Overview - Section A'!J$32,H32,0)&lt;&gt;0,OFFSET('Overview - Section A'!E$32,H32,0),"")</f>
        <v/>
      </c>
      <c r="H32">
        <v>9</v>
      </c>
      <c r="I32" t="str">
        <f ca="1">IFERROR(LOOKUP(2, 1/((COUNTIF(I$14:I31,$G$15:$G$41)=0)*($G$15:$G$41&lt;&gt;"")), $G$15:$G$41),"")</f>
        <v/>
      </c>
      <c r="L32" t="str">
        <f t="array" ref="L32">IFERROR(INDEX(SectionAPopulation, MATCH(0, COUNTIF($L$1:L31, SectionAPopulation&amp;"") + IF(SectionAPopulation="",1,0), 0)), "")</f>
        <v/>
      </c>
      <c r="O32" t="str">
        <f ca="1">OFFSET('Overview - Section A'!$AK$124,MATCH(P32,'Overview - Section A'!$AN$124:$AN$175,0)-1,0,IF(COUNTIF('Overview - Section A'!$AN$124:$AN$175,P32)&gt;1,1,COUNTIF('Overview - Section A'!$AN$124:$AN$175,P32)),1)</f>
        <v/>
      </c>
      <c r="P32" t="str">
        <f t="array" ref="P32">IFERROR(INDEX('Overview - Section A'!$AN$124:$AN$175, MATCH(0, COUNTIF($P$1:P31, 'Overview - Section A'!$AN$124:$AN$175&amp;"") + IF('Overview - Section A'!$AN$124:$AN$175="",1,0), 0)), "")</f>
        <v/>
      </c>
      <c r="Q32" t="str">
        <f ca="1">OFFSET('Overview - Section A'!$AK$124,MATCH(P32,'Overview - Section A'!$AN$124:$AN$175,0)-1,1,IF(COUNTIF('Overview - Section A'!$AN$124:$AN$175,P32)&gt;1,1,COUNTIF('Overview - Section A'!$AN$124:$AN$175,P32)),1)</f>
        <v/>
      </c>
    </row>
    <row r="33" spans="1:17">
      <c r="A33" t="str">
        <f ca="1">IF(ISNUMBER(DATEVALUE(TEXT(TODAY(),"a-mmm-jj"))),"j-mmm-aa","[$-en-GB]d-mmm-yy")</f>
        <v>[$-en-GB]d-mmm-yy</v>
      </c>
      <c r="C33">
        <v>2016</v>
      </c>
      <c r="G33" s="22" t="str">
        <f ca="1">IF(AND(OFFSET('Overview - Section A'!K$32,H33,0)&lt;&gt;0,OFFSET('Overview - Section A'!D$32,H33,0)&lt;&gt;0),OFFSET('Overview - Section A'!D$32,H33,0),"")</f>
        <v/>
      </c>
      <c r="H33">
        <v>1</v>
      </c>
      <c r="I33" t="str">
        <f ca="1">IFERROR(LOOKUP(2, 1/((COUNTIF(I$14:I32,$G$15:$G$41)=0)*($G$15:$G$41&lt;&gt;"")), $G$15:$G$41),"")</f>
        <v/>
      </c>
      <c r="L33" t="str">
        <f t="array" ref="L33">IFERROR(INDEX(SectionAPopulation, MATCH(0, COUNTIF($L$1:L32, SectionAPopulation&amp;"") + IF(SectionAPopulation="",1,0), 0)), "")</f>
        <v/>
      </c>
      <c r="O33" t="str">
        <f ca="1">OFFSET('Overview - Section A'!$AK$124,MATCH(P33,'Overview - Section A'!$AN$124:$AN$175,0)-1,0,IF(COUNTIF('Overview - Section A'!$AN$124:$AN$175,P33)&gt;1,1,COUNTIF('Overview - Section A'!$AN$124:$AN$175,P33)),1)</f>
        <v/>
      </c>
      <c r="P33" t="str">
        <f t="array" ref="P33">IFERROR(INDEX('Overview - Section A'!$AN$124:$AN$175, MATCH(0, COUNTIF($P$1:P32, 'Overview - Section A'!$AN$124:$AN$175&amp;"") + IF('Overview - Section A'!$AN$124:$AN$175="",1,0), 0)), "")</f>
        <v/>
      </c>
      <c r="Q33" t="str">
        <f ca="1">OFFSET('Overview - Section A'!$AK$124,MATCH(P33,'Overview - Section A'!$AN$124:$AN$175,0)-1,1,IF(COUNTIF('Overview - Section A'!$AN$124:$AN$175,P33)&gt;1,1,COUNTIF('Overview - Section A'!$AN$124:$AN$175,P33)),1)</f>
        <v/>
      </c>
    </row>
    <row r="34" spans="1:17">
      <c r="C34">
        <v>2017</v>
      </c>
      <c r="G34" s="22" t="str">
        <f ca="1">IF(AND(OFFSET('Overview - Section A'!K$32,H34,0)&lt;&gt;0,OFFSET('Overview - Section A'!D$32,H34,0)&lt;&gt;0),OFFSET('Overview - Section A'!D$32,H34,0),"")</f>
        <v>PR 2</v>
      </c>
      <c r="H34">
        <v>2</v>
      </c>
      <c r="I34" t="str">
        <f ca="1">IFERROR(LOOKUP(2, 1/((COUNTIF(I$14:I33,$G$15:$G$41)=0)*($G$15:$G$41&lt;&gt;"")), $G$15:$G$41),"")</f>
        <v/>
      </c>
      <c r="L34" t="str">
        <f t="array" ref="L34">IFERROR(INDEX(SectionAPopulation, MATCH(0, COUNTIF($L$1:L33, SectionAPopulation&amp;"") + IF(SectionAPopulation="",1,0), 0)), "")</f>
        <v/>
      </c>
      <c r="O34" t="str">
        <f ca="1">OFFSET('Overview - Section A'!$AK$124,MATCH(P34,'Overview - Section A'!$AN$124:$AN$175,0)-1,0,IF(COUNTIF('Overview - Section A'!$AN$124:$AN$175,P34)&gt;1,1,COUNTIF('Overview - Section A'!$AN$124:$AN$175,P34)),1)</f>
        <v/>
      </c>
      <c r="P34" t="str">
        <f t="array" ref="P34">IFERROR(INDEX('Overview - Section A'!$AN$124:$AN$175, MATCH(0, COUNTIF($P$1:P33, 'Overview - Section A'!$AN$124:$AN$175&amp;"") + IF('Overview - Section A'!$AN$124:$AN$175="",1,0), 0)), "")</f>
        <v/>
      </c>
      <c r="Q34" t="str">
        <f ca="1">OFFSET('Overview - Section A'!$AK$124,MATCH(P34,'Overview - Section A'!$AN$124:$AN$175,0)-1,1,IF(COUNTIF('Overview - Section A'!$AN$124:$AN$175,P34)&gt;1,1,COUNTIF('Overview - Section A'!$AN$124:$AN$175,P34)),1)</f>
        <v/>
      </c>
    </row>
    <row r="35" spans="1:17">
      <c r="C35">
        <v>2018</v>
      </c>
      <c r="G35" s="22" t="str">
        <f ca="1">IF(AND(OFFSET('Overview - Section A'!K$32,H35,0)&lt;&gt;0,OFFSET('Overview - Section A'!D$32,H35,0)&lt;&gt;0),OFFSET('Overview - Section A'!D$32,H35,0),"")</f>
        <v/>
      </c>
      <c r="H35">
        <v>3</v>
      </c>
      <c r="I35" t="str">
        <f ca="1">IFERROR(LOOKUP(2, 1/((COUNTIF(I$14:I34,$G$15:$G$41)=0)*($G$15:$G$41&lt;&gt;"")), $G$15:$G$41),"")</f>
        <v/>
      </c>
      <c r="L35" t="str">
        <f t="array" ref="L35">IFERROR(INDEX(SectionAPopulation, MATCH(0, COUNTIF($L$1:L34, SectionAPopulation&amp;"") + IF(SectionAPopulation="",1,0), 0)), "")</f>
        <v/>
      </c>
      <c r="O35" t="str">
        <f ca="1">OFFSET('Overview - Section A'!$AK$124,MATCH(P35,'Overview - Section A'!$AN$124:$AN$175,0)-1,0,IF(COUNTIF('Overview - Section A'!$AN$124:$AN$175,P35)&gt;1,1,COUNTIF('Overview - Section A'!$AN$124:$AN$175,P35)),1)</f>
        <v/>
      </c>
      <c r="P35" t="str">
        <f t="array" ref="P35">IFERROR(INDEX('Overview - Section A'!$AN$124:$AN$175, MATCH(0, COUNTIF($P$1:P34, 'Overview - Section A'!$AN$124:$AN$175&amp;"") + IF('Overview - Section A'!$AN$124:$AN$175="",1,0), 0)), "")</f>
        <v/>
      </c>
      <c r="Q35" t="str">
        <f ca="1">OFFSET('Overview - Section A'!$AK$124,MATCH(P35,'Overview - Section A'!$AN$124:$AN$175,0)-1,1,IF(COUNTIF('Overview - Section A'!$AN$124:$AN$175,P35)&gt;1,1,COUNTIF('Overview - Section A'!$AN$124:$AN$175,P35)),1)</f>
        <v/>
      </c>
    </row>
    <row r="36" spans="1:17">
      <c r="C36">
        <v>2019</v>
      </c>
      <c r="G36" s="22" t="str">
        <f ca="1">IF(AND(OFFSET('Overview - Section A'!K$32,H36,0)&lt;&gt;0,OFFSET('Overview - Section A'!D$32,H36,0)&lt;&gt;0),OFFSET('Overview - Section A'!D$32,H36,0),"")</f>
        <v/>
      </c>
      <c r="H36">
        <v>4</v>
      </c>
      <c r="I36" t="str">
        <f ca="1">IFERROR(LOOKUP(2, 1/((COUNTIF(I$14:I35,$G$15:$G$41)=0)*($G$15:$G$41&lt;&gt;"")), $G$15:$G$41),"")</f>
        <v/>
      </c>
      <c r="L36" t="str">
        <f t="array" ref="L36">IFERROR(INDEX(SectionAPopulation, MATCH(0, COUNTIF($L$1:L35, SectionAPopulation&amp;"") + IF(SectionAPopulation="",1,0), 0)), "")</f>
        <v/>
      </c>
      <c r="O36" t="str">
        <f ca="1">OFFSET('Overview - Section A'!$AK$124,MATCH(P36,'Overview - Section A'!$AN$124:$AN$175,0)-1,0,IF(COUNTIF('Overview - Section A'!$AN$124:$AN$175,P36)&gt;1,1,COUNTIF('Overview - Section A'!$AN$124:$AN$175,P36)),1)</f>
        <v/>
      </c>
      <c r="P36" t="str">
        <f t="array" ref="P36">IFERROR(INDEX('Overview - Section A'!$AN$124:$AN$175, MATCH(0, COUNTIF($P$1:P35, 'Overview - Section A'!$AN$124:$AN$175&amp;"") + IF('Overview - Section A'!$AN$124:$AN$175="",1,0), 0)), "")</f>
        <v/>
      </c>
      <c r="Q36" t="str">
        <f ca="1">OFFSET('Overview - Section A'!$AK$124,MATCH(P36,'Overview - Section A'!$AN$124:$AN$175,0)-1,1,IF(COUNTIF('Overview - Section A'!$AN$124:$AN$175,P36)&gt;1,1,COUNTIF('Overview - Section A'!$AN$124:$AN$175,P36)),1)</f>
        <v/>
      </c>
    </row>
    <row r="37" spans="1:17">
      <c r="C37">
        <v>2020</v>
      </c>
      <c r="G37" s="22" t="str">
        <f ca="1">IF(AND(OFFSET('Overview - Section A'!K$32,H37,0)&lt;&gt;0,OFFSET('Overview - Section A'!D$32,H37,0)&lt;&gt;0),OFFSET('Overview - Section A'!D$32,H37,0),"")</f>
        <v/>
      </c>
      <c r="H37">
        <v>5</v>
      </c>
      <c r="I37" t="str">
        <f ca="1">IFERROR(LOOKUP(2, 1/((COUNTIF(I$14:I36,$G$15:$G$41)=0)*($G$15:$G$41&lt;&gt;"")), $G$15:$G$41),"")</f>
        <v/>
      </c>
      <c r="L37" t="str">
        <f t="array" ref="L37">IFERROR(INDEX(SectionAPopulation, MATCH(0, COUNTIF($L$1:L36, SectionAPopulation&amp;"") + IF(SectionAPopulation="",1,0), 0)), "")</f>
        <v/>
      </c>
      <c r="O37" t="str">
        <f ca="1">OFFSET('Overview - Section A'!$AK$124,MATCH(P37,'Overview - Section A'!$AN$124:$AN$175,0)-1,0,IF(COUNTIF('Overview - Section A'!$AN$124:$AN$175,P37)&gt;1,1,COUNTIF('Overview - Section A'!$AN$124:$AN$175,P37)),1)</f>
        <v/>
      </c>
      <c r="P37" t="str">
        <f t="array" ref="P37">IFERROR(INDEX('Overview - Section A'!$AN$124:$AN$175, MATCH(0, COUNTIF($P$1:P36, 'Overview - Section A'!$AN$124:$AN$175&amp;"") + IF('Overview - Section A'!$AN$124:$AN$175="",1,0), 0)), "")</f>
        <v/>
      </c>
      <c r="Q37" t="str">
        <f ca="1">OFFSET('Overview - Section A'!$AK$124,MATCH(P37,'Overview - Section A'!$AN$124:$AN$175,0)-1,1,IF(COUNTIF('Overview - Section A'!$AN$124:$AN$175,P37)&gt;1,1,COUNTIF('Overview - Section A'!$AN$124:$AN$175,P37)),1)</f>
        <v/>
      </c>
    </row>
    <row r="38" spans="1:17">
      <c r="C38">
        <v>2021</v>
      </c>
      <c r="G38" s="22" t="str">
        <f ca="1">IF(AND(OFFSET('Overview - Section A'!K$32,H38,0)&lt;&gt;0,OFFSET('Overview - Section A'!D$32,H38,0)&lt;&gt;0),OFFSET('Overview - Section A'!D$32,H38,0),"")</f>
        <v/>
      </c>
      <c r="H38">
        <v>6</v>
      </c>
      <c r="I38" t="str">
        <f ca="1">IFERROR(LOOKUP(2, 1/((COUNTIF(I$14:I37,$G$15:$G$41)=0)*($G$15:$G$41&lt;&gt;"")), $G$15:$G$41),"")</f>
        <v/>
      </c>
      <c r="L38" t="str">
        <f t="array" ref="L38">IFERROR(INDEX(SectionAPopulation, MATCH(0, COUNTIF($L$1:L37, SectionAPopulation&amp;"") + IF(SectionAPopulation="",1,0), 0)), "")</f>
        <v/>
      </c>
      <c r="O38" t="str">
        <f ca="1">OFFSET('Overview - Section A'!$AK$124,MATCH(P38,'Overview - Section A'!$AN$124:$AN$175,0)-1,0,IF(COUNTIF('Overview - Section A'!$AN$124:$AN$175,P38)&gt;1,1,COUNTIF('Overview - Section A'!$AN$124:$AN$175,P38)),1)</f>
        <v/>
      </c>
      <c r="P38" t="str">
        <f t="array" ref="P38">IFERROR(INDEX('Overview - Section A'!$AN$124:$AN$175, MATCH(0, COUNTIF($P$1:P37, 'Overview - Section A'!$AN$124:$AN$175&amp;"") + IF('Overview - Section A'!$AN$124:$AN$175="",1,0), 0)), "")</f>
        <v/>
      </c>
      <c r="Q38" t="str">
        <f ca="1">OFFSET('Overview - Section A'!$AK$124,MATCH(P38,'Overview - Section A'!$AN$124:$AN$175,0)-1,1,IF(COUNTIF('Overview - Section A'!$AN$124:$AN$175,P38)&gt;1,1,COUNTIF('Overview - Section A'!$AN$124:$AN$175,P38)),1)</f>
        <v/>
      </c>
    </row>
    <row r="39" spans="1:17">
      <c r="C39">
        <v>2022</v>
      </c>
      <c r="G39" s="22" t="str">
        <f ca="1">IF(AND(OFFSET('Overview - Section A'!K$32,H39,0)&lt;&gt;0,OFFSET('Overview - Section A'!D$32,H39,0)&lt;&gt;0),OFFSET('Overview - Section A'!D$32,H39,0),"")</f>
        <v/>
      </c>
      <c r="H39">
        <v>7</v>
      </c>
      <c r="I39" t="str">
        <f ca="1">IFERROR(LOOKUP(2, 1/((COUNTIF(I$14:I38,$G$15:$G$41)=0)*($G$15:$G$41&lt;&gt;"")), $G$15:$G$41),"")</f>
        <v/>
      </c>
      <c r="L39" t="str">
        <f t="array" ref="L39">IFERROR(INDEX(SectionAPopulation, MATCH(0, COUNTIF($L$1:L38, SectionAPopulation&amp;"") + IF(SectionAPopulation="",1,0), 0)), "")</f>
        <v/>
      </c>
      <c r="O39" t="str">
        <f ca="1">OFFSET('Overview - Section A'!$AK$124,MATCH(P39,'Overview - Section A'!$AN$124:$AN$175,0)-1,0,IF(COUNTIF('Overview - Section A'!$AN$124:$AN$175,P39)&gt;1,1,COUNTIF('Overview - Section A'!$AN$124:$AN$175,P39)),1)</f>
        <v/>
      </c>
      <c r="P39" t="str">
        <f t="array" ref="P39">IFERROR(INDEX('Overview - Section A'!$AN$124:$AN$175, MATCH(0, COUNTIF($P$1:P38, 'Overview - Section A'!$AN$124:$AN$175&amp;"") + IF('Overview - Section A'!$AN$124:$AN$175="",1,0), 0)), "")</f>
        <v/>
      </c>
      <c r="Q39" t="str">
        <f ca="1">OFFSET('Overview - Section A'!$AK$124,MATCH(P39,'Overview - Section A'!$AN$124:$AN$175,0)-1,1,IF(COUNTIF('Overview - Section A'!$AN$124:$AN$175,P39)&gt;1,1,COUNTIF('Overview - Section A'!$AN$124:$AN$175,P39)),1)</f>
        <v/>
      </c>
    </row>
    <row r="40" spans="1:17">
      <c r="C40">
        <v>2023</v>
      </c>
      <c r="G40" s="22" t="str">
        <f ca="1">IF(AND(OFFSET('Overview - Section A'!K$32,H40,0)&lt;&gt;0,OFFSET('Overview - Section A'!D$32,H40,0)&lt;&gt;0),OFFSET('Overview - Section A'!D$32,H40,0),"")</f>
        <v/>
      </c>
      <c r="H40">
        <v>8</v>
      </c>
      <c r="I40" t="str">
        <f ca="1">IFERROR(LOOKUP(2, 1/((COUNTIF(I$14:I39,$G$15:$G$41)=0)*($G$15:$G$41&lt;&gt;"")), $G$15:$G$41),"")</f>
        <v/>
      </c>
      <c r="L40" t="str">
        <f t="array" ref="L40">IFERROR(INDEX(SectionAPopulation, MATCH(0, COUNTIF($L$1:L39, SectionAPopulation&amp;"") + IF(SectionAPopulation="",1,0), 0)), "")</f>
        <v/>
      </c>
      <c r="O40" t="str">
        <f ca="1">OFFSET('Overview - Section A'!$AK$124,MATCH(P40,'Overview - Section A'!$AN$124:$AN$175,0)-1,0,IF(COUNTIF('Overview - Section A'!$AN$124:$AN$175,P40)&gt;1,1,COUNTIF('Overview - Section A'!$AN$124:$AN$175,P40)),1)</f>
        <v/>
      </c>
      <c r="P40" t="str">
        <f t="array" ref="P40">IFERROR(INDEX('Overview - Section A'!$AN$124:$AN$175, MATCH(0, COUNTIF($P$1:P39, 'Overview - Section A'!$AN$124:$AN$175&amp;"") + IF('Overview - Section A'!$AN$124:$AN$175="",1,0), 0)), "")</f>
        <v/>
      </c>
      <c r="Q40" t="str">
        <f ca="1">OFFSET('Overview - Section A'!$AK$124,MATCH(P40,'Overview - Section A'!$AN$124:$AN$175,0)-1,1,IF(COUNTIF('Overview - Section A'!$AN$124:$AN$175,P40)&gt;1,1,COUNTIF('Overview - Section A'!$AN$124:$AN$175,P40)),1)</f>
        <v/>
      </c>
    </row>
    <row r="41" spans="1:17">
      <c r="C41">
        <v>2024</v>
      </c>
      <c r="G41" s="22" t="str">
        <f ca="1">IF(AND(OFFSET('Overview - Section A'!K$32,H41,0)&lt;&gt;0,OFFSET('Overview - Section A'!D$32,H41,0)&lt;&gt;0),OFFSET('Overview - Section A'!D$32,H41,0),"")</f>
        <v/>
      </c>
      <c r="H41">
        <v>9</v>
      </c>
      <c r="I41" t="str">
        <f ca="1">IFERROR(LOOKUP(2, 1/((COUNTIF(I$14:I40,$G$15:$G$41)=0)*($G$15:$G$41&lt;&gt;"")), $G$15:$G$41),"")</f>
        <v/>
      </c>
      <c r="L41" t="str">
        <f t="array" ref="L41">IFERROR(INDEX(SectionAPopulation, MATCH(0, COUNTIF($L$1:L40, SectionAPopulation&amp;"") + IF(SectionAPopulation="",1,0), 0)), "")</f>
        <v/>
      </c>
      <c r="O41" t="str">
        <f ca="1">OFFSET('Overview - Section A'!$AK$124,MATCH(P41,'Overview - Section A'!$AN$124:$AN$175,0)-1,0,IF(COUNTIF('Overview - Section A'!$AN$124:$AN$175,P41)&gt;1,1,COUNTIF('Overview - Section A'!$AN$124:$AN$175,P41)),1)</f>
        <v/>
      </c>
      <c r="P41" t="str">
        <f t="array" ref="P41">IFERROR(INDEX('Overview - Section A'!$AN$124:$AN$175, MATCH(0, COUNTIF($P$1:P40, 'Overview - Section A'!$AN$124:$AN$175&amp;"") + IF('Overview - Section A'!$AN$124:$AN$175="",1,0), 0)), "")</f>
        <v/>
      </c>
      <c r="Q41" t="str">
        <f ca="1">OFFSET('Overview - Section A'!$AK$124,MATCH(P41,'Overview - Section A'!$AN$124:$AN$175,0)-1,1,IF(COUNTIF('Overview - Section A'!$AN$124:$AN$175,P41)&gt;1,1,COUNTIF('Overview - Section A'!$AN$124:$AN$175,P41)),1)</f>
        <v/>
      </c>
    </row>
    <row r="42" spans="1:17">
      <c r="C42">
        <v>2025</v>
      </c>
      <c r="L42" t="str">
        <f t="array" ref="L42">IFERROR(INDEX(SectionAPopulation, MATCH(0, COUNTIF($L$1:L41, SectionAPopulation&amp;"") + IF(SectionAPopulation="",1,0), 0)), "")</f>
        <v/>
      </c>
      <c r="O42" t="str">
        <f ca="1">OFFSET('Overview - Section A'!$AK$124,MATCH(P42,'Overview - Section A'!$AN$124:$AN$175,0)-1,0,IF(COUNTIF('Overview - Section A'!$AN$124:$AN$175,P42)&gt;1,1,COUNTIF('Overview - Section A'!$AN$124:$AN$175,P42)),1)</f>
        <v/>
      </c>
      <c r="P42" t="str">
        <f t="array" ref="P42">IFERROR(INDEX('Overview - Section A'!$AN$124:$AN$175, MATCH(0, COUNTIF($P$1:P41, 'Overview - Section A'!$AN$124:$AN$175&amp;"") + IF('Overview - Section A'!$AN$124:$AN$175="",1,0), 0)), "")</f>
        <v/>
      </c>
      <c r="Q42" t="str">
        <f ca="1">OFFSET('Overview - Section A'!$AK$124,MATCH(P42,'Overview - Section A'!$AN$124:$AN$175,0)-1,1,IF(COUNTIF('Overview - Section A'!$AN$124:$AN$175,P42)&gt;1,1,COUNTIF('Overview - Section A'!$AN$124:$AN$175,P42)),1)</f>
        <v/>
      </c>
    </row>
    <row r="43" spans="1:17">
      <c r="C43">
        <v>2026</v>
      </c>
      <c r="L43" t="str">
        <f t="array" ref="L43">IFERROR(INDEX(SectionAPopulation, MATCH(0, COUNTIF($L$1:L42, SectionAPopulation&amp;"") + IF(SectionAPopulation="",1,0), 0)), "")</f>
        <v/>
      </c>
      <c r="O43" t="str">
        <f ca="1">OFFSET('Overview - Section A'!$AK$124,MATCH(P43,'Overview - Section A'!$AN$124:$AN$175,0)-1,0,IF(COUNTIF('Overview - Section A'!$AN$124:$AN$175,P43)&gt;1,1,COUNTIF('Overview - Section A'!$AN$124:$AN$175,P43)),1)</f>
        <v/>
      </c>
      <c r="P43" t="str">
        <f t="array" ref="P43">IFERROR(INDEX('Overview - Section A'!$AN$124:$AN$175, MATCH(0, COUNTIF($P$1:P42, 'Overview - Section A'!$AN$124:$AN$175&amp;"") + IF('Overview - Section A'!$AN$124:$AN$175="",1,0), 0)), "")</f>
        <v/>
      </c>
      <c r="Q43" t="str">
        <f ca="1">OFFSET('Overview - Section A'!$AK$124,MATCH(P43,'Overview - Section A'!$AN$124:$AN$175,0)-1,1,IF(COUNTIF('Overview - Section A'!$AN$124:$AN$175,P43)&gt;1,1,COUNTIF('Overview - Section A'!$AN$124:$AN$175,P43)),1)</f>
        <v/>
      </c>
    </row>
    <row r="44" spans="1:17">
      <c r="C44">
        <v>2027</v>
      </c>
      <c r="L44" t="str">
        <f t="array" ref="L44">IFERROR(INDEX(SectionAPopulation, MATCH(0, COUNTIF($L$1:L43, SectionAPopulation&amp;"") + IF(SectionAPopulation="",1,0), 0)), "")</f>
        <v/>
      </c>
      <c r="O44" t="str">
        <f ca="1">OFFSET('Overview - Section A'!$AK$124,MATCH(P44,'Overview - Section A'!$AN$124:$AN$175,0)-1,0,IF(COUNTIF('Overview - Section A'!$AN$124:$AN$175,P44)&gt;1,1,COUNTIF('Overview - Section A'!$AN$124:$AN$175,P44)),1)</f>
        <v/>
      </c>
      <c r="P44" t="str">
        <f t="array" ref="P44">IFERROR(INDEX('Overview - Section A'!$AN$124:$AN$175, MATCH(0, COUNTIF($P$1:P43, 'Overview - Section A'!$AN$124:$AN$175&amp;"") + IF('Overview - Section A'!$AN$124:$AN$175="",1,0), 0)), "")</f>
        <v/>
      </c>
      <c r="Q44" t="str">
        <f ca="1">OFFSET('Overview - Section A'!$AK$124,MATCH(P44,'Overview - Section A'!$AN$124:$AN$175,0)-1,1,IF(COUNTIF('Overview - Section A'!$AN$124:$AN$175,P44)&gt;1,1,COUNTIF('Overview - Section A'!$AN$124:$AN$175,P44)),1)</f>
        <v/>
      </c>
    </row>
    <row r="45" spans="1:17">
      <c r="C45">
        <v>2028</v>
      </c>
      <c r="L45" t="str">
        <f t="array" ref="L45">IFERROR(INDEX(SectionAPopulation, MATCH(0, COUNTIF($L$1:L44, SectionAPopulation&amp;"") + IF(SectionAPopulation="",1,0), 0)), "")</f>
        <v/>
      </c>
      <c r="O45" t="str">
        <f ca="1">OFFSET('Overview - Section A'!$AK$124,MATCH(P45,'Overview - Section A'!$AN$124:$AN$175,0)-1,0,IF(COUNTIF('Overview - Section A'!$AN$124:$AN$175,P45)&gt;1,1,COUNTIF('Overview - Section A'!$AN$124:$AN$175,P45)),1)</f>
        <v/>
      </c>
      <c r="P45" t="str">
        <f t="array" ref="P45">IFERROR(INDEX('Overview - Section A'!$AN$124:$AN$175, MATCH(0, COUNTIF($P$1:P44, 'Overview - Section A'!$AN$124:$AN$175&amp;"") + IF('Overview - Section A'!$AN$124:$AN$175="",1,0), 0)), "")</f>
        <v/>
      </c>
      <c r="Q45" t="str">
        <f ca="1">OFFSET('Overview - Section A'!$AK$124,MATCH(P45,'Overview - Section A'!$AN$124:$AN$175,0)-1,1,IF(COUNTIF('Overview - Section A'!$AN$124:$AN$175,P45)&gt;1,1,COUNTIF('Overview - Section A'!$AN$124:$AN$175,P45)),1)</f>
        <v/>
      </c>
    </row>
    <row r="46" spans="1:17">
      <c r="C46">
        <v>2029</v>
      </c>
      <c r="L46" t="str">
        <f t="array" ref="L46">IFERROR(INDEX(SectionAPopulation, MATCH(0, COUNTIF($L$1:L45, SectionAPopulation&amp;"") + IF(SectionAPopulation="",1,0), 0)), "")</f>
        <v/>
      </c>
      <c r="O46" t="str">
        <f ca="1">OFFSET('Overview - Section A'!$AK$124,MATCH(P46,'Overview - Section A'!$AN$124:$AN$175,0)-1,0,IF(COUNTIF('Overview - Section A'!$AN$124:$AN$175,P46)&gt;1,1,COUNTIF('Overview - Section A'!$AN$124:$AN$175,P46)),1)</f>
        <v/>
      </c>
      <c r="P46" t="str">
        <f t="array" ref="P46">IFERROR(INDEX('Overview - Section A'!$AN$124:$AN$175, MATCH(0, COUNTIF($P$1:P45, 'Overview - Section A'!$AN$124:$AN$175&amp;"") + IF('Overview - Section A'!$AN$124:$AN$175="",1,0), 0)), "")</f>
        <v/>
      </c>
      <c r="Q46" t="str">
        <f ca="1">OFFSET('Overview - Section A'!$AK$124,MATCH(P46,'Overview - Section A'!$AN$124:$AN$175,0)-1,1,IF(COUNTIF('Overview - Section A'!$AN$124:$AN$175,P46)&gt;1,1,COUNTIF('Overview - Section A'!$AN$124:$AN$175,P46)),1)</f>
        <v/>
      </c>
    </row>
    <row r="47" spans="1:17">
      <c r="C47">
        <v>2030</v>
      </c>
      <c r="L47" t="str">
        <f t="array" ref="L47">IFERROR(INDEX(SectionAPopulation, MATCH(0, COUNTIF($L$1:L46, SectionAPopulation&amp;"") + IF(SectionAPopulation="",1,0), 0)), "")</f>
        <v/>
      </c>
      <c r="O47" t="str">
        <f ca="1">OFFSET('Overview - Section A'!$AK$124,MATCH(P47,'Overview - Section A'!$AN$124:$AN$175,0)-1,0,IF(COUNTIF('Overview - Section A'!$AN$124:$AN$175,P47)&gt;1,1,COUNTIF('Overview - Section A'!$AN$124:$AN$175,P47)),1)</f>
        <v/>
      </c>
      <c r="P47" t="str">
        <f t="array" ref="P47">IFERROR(INDEX('Overview - Section A'!$AN$124:$AN$175, MATCH(0, COUNTIF($P$1:P46, 'Overview - Section A'!$AN$124:$AN$175&amp;"") + IF('Overview - Section A'!$AN$124:$AN$175="",1,0), 0)), "")</f>
        <v/>
      </c>
      <c r="Q47" t="str">
        <f ca="1">OFFSET('Overview - Section A'!$AK$124,MATCH(P47,'Overview - Section A'!$AN$124:$AN$175,0)-1,1,IF(COUNTIF('Overview - Section A'!$AN$124:$AN$175,P47)&gt;1,1,COUNTIF('Overview - Section A'!$AN$124:$AN$175,P47)),1)</f>
        <v/>
      </c>
    </row>
    <row r="48" spans="1:17">
      <c r="L48" t="str">
        <f t="array" ref="L48">IFERROR(INDEX(SectionAPopulation, MATCH(0, COUNTIF($L$1:L47, SectionAPopulation&amp;"") + IF(SectionAPopulation="",1,0), 0)), "")</f>
        <v/>
      </c>
      <c r="O48" t="str">
        <f ca="1">OFFSET('Overview - Section A'!$AK$124,MATCH(P48,'Overview - Section A'!$AN$124:$AN$175,0)-1,0,IF(COUNTIF('Overview - Section A'!$AN$124:$AN$175,P48)&gt;1,1,COUNTIF('Overview - Section A'!$AN$124:$AN$175,P48)),1)</f>
        <v/>
      </c>
      <c r="P48" t="str">
        <f t="array" ref="P48">IFERROR(INDEX('Overview - Section A'!$AN$124:$AN$175, MATCH(0, COUNTIF($P$1:P47, 'Overview - Section A'!$AN$124:$AN$175&amp;"") + IF('Overview - Section A'!$AN$124:$AN$175="",1,0), 0)), "")</f>
        <v/>
      </c>
      <c r="Q48" t="str">
        <f ca="1">OFFSET('Overview - Section A'!$AK$124,MATCH(P48,'Overview - Section A'!$AN$124:$AN$175,0)-1,1,IF(COUNTIF('Overview - Section A'!$AN$124:$AN$175,P48)&gt;1,1,COUNTIF('Overview - Section A'!$AN$124:$AN$175,P48)),1)</f>
        <v/>
      </c>
    </row>
    <row r="49" spans="1:17">
      <c r="L49" t="str">
        <f t="array" ref="L49">IFERROR(INDEX(SectionAPopulation, MATCH(0, COUNTIF($L$1:L48, SectionAPopulation&amp;"") + IF(SectionAPopulation="",1,0), 0)), "")</f>
        <v/>
      </c>
      <c r="O49" t="str">
        <f ca="1">OFFSET('Overview - Section A'!$AK$124,MATCH(P49,'Overview - Section A'!$AN$124:$AN$175,0)-1,0,IF(COUNTIF('Overview - Section A'!$AN$124:$AN$175,P49)&gt;1,1,COUNTIF('Overview - Section A'!$AN$124:$AN$175,P49)),1)</f>
        <v/>
      </c>
      <c r="P49" t="str">
        <f t="array" ref="P49">IFERROR(INDEX('Overview - Section A'!$AN$124:$AN$175, MATCH(0, COUNTIF($P$1:P48, 'Overview - Section A'!$AN$124:$AN$175&amp;"") + IF('Overview - Section A'!$AN$124:$AN$175="",1,0), 0)), "")</f>
        <v/>
      </c>
      <c r="Q49" t="str">
        <f ca="1">OFFSET('Overview - Section A'!$AK$124,MATCH(P49,'Overview - Section A'!$AN$124:$AN$175,0)-1,1,IF(COUNTIF('Overview - Section A'!$AN$124:$AN$175,P49)&gt;1,1,COUNTIF('Overview - Section A'!$AN$124:$AN$175,P49)),1)</f>
        <v/>
      </c>
    </row>
    <row r="50" spans="1:17">
      <c r="O50" t="str">
        <f ca="1">OFFSET('Overview - Section A'!$AK$124,MATCH(P50,'Overview - Section A'!$AN$124:$AN$175,0)-1,0,IF(COUNTIF('Overview - Section A'!$AN$124:$AN$175,P50)&gt;1,1,COUNTIF('Overview - Section A'!$AN$124:$AN$175,P50)),1)</f>
        <v/>
      </c>
      <c r="P50" t="str">
        <f t="array" ref="P50">IFERROR(INDEX('Overview - Section A'!$AN$124:$AN$175, MATCH(0, COUNTIF($P$1:P49, 'Overview - Section A'!$AN$124:$AN$175&amp;"") + IF('Overview - Section A'!$AN$124:$AN$175="",1,0), 0)), "")</f>
        <v/>
      </c>
      <c r="Q50" t="str">
        <f ca="1">OFFSET('Overview - Section A'!$AK$124,MATCH(P50,'Overview - Section A'!$AN$124:$AN$175,0)-1,1,IF(COUNTIF('Overview - Section A'!$AN$124:$AN$175,P50)&gt;1,1,COUNTIF('Overview - Section A'!$AN$124:$AN$175,P50)),1)</f>
        <v/>
      </c>
    </row>
    <row r="61" spans="1:17">
      <c r="A61" t="s">
        <v>667</v>
      </c>
    </row>
    <row r="62" spans="1:17">
      <c r="A62" t="s">
        <v>668</v>
      </c>
    </row>
    <row r="63" spans="1:17">
      <c r="A63" t="s">
        <v>669</v>
      </c>
    </row>
    <row r="64" spans="1:17">
      <c r="A64" t="s">
        <v>670</v>
      </c>
    </row>
    <row r="85" spans="1:1">
      <c r="A85" t="s">
        <v>671</v>
      </c>
    </row>
    <row r="86" spans="1:1">
      <c r="A86" t="s">
        <v>672</v>
      </c>
    </row>
    <row r="87" spans="1:1">
      <c r="A87" t="s">
        <v>673</v>
      </c>
    </row>
    <row r="88" spans="1:1">
      <c r="A88" t="s">
        <v>674</v>
      </c>
    </row>
    <row r="89" spans="1:1">
      <c r="A89" t="s">
        <v>675</v>
      </c>
    </row>
    <row r="90" spans="1:1">
      <c r="A90" t="s">
        <v>676</v>
      </c>
    </row>
    <row r="91" spans="1:1">
      <c r="A91" t="s">
        <v>677</v>
      </c>
    </row>
    <row r="92" spans="1:1">
      <c r="A92" t="s">
        <v>678</v>
      </c>
    </row>
    <row r="93" spans="1:1">
      <c r="A93" t="s">
        <v>679</v>
      </c>
    </row>
    <row r="94" spans="1:1">
      <c r="A94" t="s">
        <v>680</v>
      </c>
    </row>
    <row r="95" spans="1:1">
      <c r="A95" t="s">
        <v>681</v>
      </c>
    </row>
    <row r="96" spans="1:1">
      <c r="A96" t="s">
        <v>682</v>
      </c>
    </row>
    <row r="97" spans="1:1">
      <c r="A97" t="s">
        <v>683</v>
      </c>
    </row>
    <row r="98" spans="1:1">
      <c r="A98" t="s">
        <v>684</v>
      </c>
    </row>
    <row r="99" spans="1:1">
      <c r="A99" t="s">
        <v>685</v>
      </c>
    </row>
    <row r="100" spans="1:1">
      <c r="A100" t="s">
        <v>686</v>
      </c>
    </row>
    <row r="101" spans="1:1">
      <c r="A101" t="s">
        <v>687</v>
      </c>
    </row>
    <row r="102" spans="1:1">
      <c r="A102" t="s">
        <v>688</v>
      </c>
    </row>
    <row r="103" spans="1:1">
      <c r="A103" t="s">
        <v>689</v>
      </c>
    </row>
    <row r="104" spans="1:1">
      <c r="A104" t="s">
        <v>690</v>
      </c>
    </row>
    <row r="105" spans="1:1">
      <c r="A105" t="s">
        <v>691</v>
      </c>
    </row>
    <row r="106" spans="1:1">
      <c r="A106" t="s">
        <v>692</v>
      </c>
    </row>
    <row r="107" spans="1:1">
      <c r="A107" t="s">
        <v>693</v>
      </c>
    </row>
    <row r="108" spans="1:1">
      <c r="A108" t="s">
        <v>694</v>
      </c>
    </row>
    <row r="109" spans="1:1">
      <c r="A109" t="s">
        <v>695</v>
      </c>
    </row>
    <row r="110" spans="1:1">
      <c r="A110" t="s">
        <v>696</v>
      </c>
    </row>
    <row r="111" spans="1:1">
      <c r="A111" t="s">
        <v>697</v>
      </c>
    </row>
    <row r="112" spans="1:1">
      <c r="A112" t="s">
        <v>698</v>
      </c>
    </row>
    <row r="113" spans="1:1">
      <c r="A113" t="s">
        <v>699</v>
      </c>
    </row>
    <row r="114" spans="1:1">
      <c r="A114" t="s">
        <v>700</v>
      </c>
    </row>
    <row r="115" spans="1:1">
      <c r="A115" t="s">
        <v>701</v>
      </c>
    </row>
    <row r="116" spans="1:1">
      <c r="A116" t="s">
        <v>702</v>
      </c>
    </row>
    <row r="117" spans="1:1">
      <c r="A117" t="s">
        <v>703</v>
      </c>
    </row>
    <row r="118" spans="1:1">
      <c r="A118" t="s">
        <v>704</v>
      </c>
    </row>
    <row r="119" spans="1:1">
      <c r="A119" t="s">
        <v>705</v>
      </c>
    </row>
    <row r="120" spans="1:1">
      <c r="A120" t="s">
        <v>706</v>
      </c>
    </row>
    <row r="121" spans="1:1">
      <c r="A121" t="s">
        <v>707</v>
      </c>
    </row>
    <row r="122" spans="1:1">
      <c r="A122" t="s">
        <v>708</v>
      </c>
    </row>
    <row r="123" spans="1:1">
      <c r="A123" t="s">
        <v>709</v>
      </c>
    </row>
    <row r="124" spans="1:1">
      <c r="A124" t="s">
        <v>710</v>
      </c>
    </row>
    <row r="125" spans="1:1">
      <c r="A125" t="s">
        <v>711</v>
      </c>
    </row>
    <row r="126" spans="1:1">
      <c r="A126" t="s">
        <v>712</v>
      </c>
    </row>
    <row r="127" spans="1:1">
      <c r="A127" t="s">
        <v>713</v>
      </c>
    </row>
    <row r="128" spans="1:1">
      <c r="A128" t="s">
        <v>714</v>
      </c>
    </row>
    <row r="129" spans="1:1">
      <c r="A129" t="s">
        <v>715</v>
      </c>
    </row>
    <row r="130" spans="1:1">
      <c r="A130" t="s">
        <v>716</v>
      </c>
    </row>
    <row r="131" spans="1:1">
      <c r="A131" t="s">
        <v>717</v>
      </c>
    </row>
    <row r="132" spans="1:1">
      <c r="A132" t="s">
        <v>718</v>
      </c>
    </row>
    <row r="133" spans="1:1">
      <c r="A133" t="s">
        <v>719</v>
      </c>
    </row>
    <row r="134" spans="1:1">
      <c r="A134" t="s">
        <v>720</v>
      </c>
    </row>
    <row r="135" spans="1:1">
      <c r="A135" t="s">
        <v>721</v>
      </c>
    </row>
    <row r="136" spans="1:1">
      <c r="A136" t="s">
        <v>722</v>
      </c>
    </row>
    <row r="137" spans="1:1">
      <c r="A137" t="s">
        <v>723</v>
      </c>
    </row>
    <row r="138" spans="1:1">
      <c r="A138" t="s">
        <v>724</v>
      </c>
    </row>
    <row r="139" spans="1:1">
      <c r="A139" t="s">
        <v>725</v>
      </c>
    </row>
    <row r="140" spans="1:1">
      <c r="A140" t="s">
        <v>726</v>
      </c>
    </row>
    <row r="141" spans="1:1">
      <c r="A141" t="s">
        <v>727</v>
      </c>
    </row>
    <row r="142" spans="1:1">
      <c r="A142" t="s">
        <v>728</v>
      </c>
    </row>
    <row r="143" spans="1:1">
      <c r="A143" t="s">
        <v>729</v>
      </c>
    </row>
    <row r="144" spans="1:1">
      <c r="A144" t="s">
        <v>730</v>
      </c>
    </row>
    <row r="145" spans="1:1">
      <c r="A145" t="s">
        <v>731</v>
      </c>
    </row>
    <row r="146" spans="1:1">
      <c r="A146" t="s">
        <v>732</v>
      </c>
    </row>
    <row r="147" spans="1:1">
      <c r="A147" t="s">
        <v>733</v>
      </c>
    </row>
    <row r="148" spans="1:1">
      <c r="A148" t="s">
        <v>734</v>
      </c>
    </row>
    <row r="149" spans="1:1">
      <c r="A149" t="s">
        <v>735</v>
      </c>
    </row>
    <row r="150" spans="1:1">
      <c r="A150" t="s">
        <v>736</v>
      </c>
    </row>
    <row r="151" spans="1:1">
      <c r="A151" t="s">
        <v>737</v>
      </c>
    </row>
    <row r="152" spans="1:1">
      <c r="A152" t="s">
        <v>738</v>
      </c>
    </row>
    <row r="153" spans="1:1">
      <c r="A153" t="s">
        <v>739</v>
      </c>
    </row>
    <row r="154" spans="1:1">
      <c r="A154" t="s">
        <v>740</v>
      </c>
    </row>
    <row r="155" spans="1:1">
      <c r="A155" t="s">
        <v>741</v>
      </c>
    </row>
    <row r="156" spans="1:1">
      <c r="A156" t="s">
        <v>742</v>
      </c>
    </row>
    <row r="157" spans="1:1">
      <c r="A157" t="s">
        <v>743</v>
      </c>
    </row>
    <row r="158" spans="1:1">
      <c r="A158" t="s">
        <v>744</v>
      </c>
    </row>
    <row r="159" spans="1:1">
      <c r="A159" t="s">
        <v>745</v>
      </c>
    </row>
    <row r="160" spans="1:1">
      <c r="A160" t="s">
        <v>746</v>
      </c>
    </row>
    <row r="161" spans="1:1">
      <c r="A161" t="s">
        <v>747</v>
      </c>
    </row>
    <row r="162" spans="1:1">
      <c r="A162" t="s">
        <v>748</v>
      </c>
    </row>
    <row r="163" spans="1:1">
      <c r="A163" t="s">
        <v>749</v>
      </c>
    </row>
    <row r="164" spans="1:1">
      <c r="A164" t="s">
        <v>750</v>
      </c>
    </row>
    <row r="165" spans="1:1">
      <c r="A165" t="s">
        <v>751</v>
      </c>
    </row>
    <row r="166" spans="1:1">
      <c r="A166" t="s">
        <v>752</v>
      </c>
    </row>
    <row r="167" spans="1:1">
      <c r="A167" t="s">
        <v>753</v>
      </c>
    </row>
    <row r="168" spans="1:1">
      <c r="A168" t="s">
        <v>754</v>
      </c>
    </row>
    <row r="169" spans="1:1">
      <c r="A169" t="s">
        <v>755</v>
      </c>
    </row>
    <row r="170" spans="1:1">
      <c r="A170" t="s">
        <v>756</v>
      </c>
    </row>
    <row r="171" spans="1:1">
      <c r="A171" t="s">
        <v>757</v>
      </c>
    </row>
    <row r="172" spans="1:1">
      <c r="A172" t="s">
        <v>758</v>
      </c>
    </row>
    <row r="173" spans="1:1">
      <c r="A173" t="s">
        <v>759</v>
      </c>
    </row>
    <row r="174" spans="1:1">
      <c r="A174" t="s">
        <v>760</v>
      </c>
    </row>
  </sheetData>
  <phoneticPr fontId="20"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M323"/>
  <sheetViews>
    <sheetView showGridLines="0" topLeftCell="R20" zoomScale="60" zoomScaleNormal="60" workbookViewId="0">
      <selection activeCell="G9" sqref="G9:G10"/>
    </sheetView>
  </sheetViews>
  <sheetFormatPr defaultColWidth="8.625" defaultRowHeight="14.25"/>
  <cols>
    <col min="1" max="1" width="16.375" style="48" customWidth="1"/>
    <col min="2" max="2" width="23.5" style="48" customWidth="1"/>
    <col min="3" max="3" width="14.125" style="48" customWidth="1"/>
    <col min="4" max="4" width="16.625" style="48" customWidth="1"/>
    <col min="5" max="5" width="8.25" style="48" customWidth="1"/>
    <col min="6" max="6" width="16.125" style="48" customWidth="1"/>
    <col min="7" max="7" width="30.625" style="48" customWidth="1"/>
    <col min="8" max="8" width="40.625" style="48" customWidth="1"/>
    <col min="9" max="9" width="30.625" style="48" customWidth="1"/>
    <col min="10" max="10" width="20.625" style="48" customWidth="1"/>
    <col min="11" max="11" width="12" style="48" customWidth="1"/>
    <col min="12" max="12" width="8" style="48" customWidth="1"/>
    <col min="13" max="13" width="9.625" style="48" customWidth="1"/>
    <col min="14" max="14" width="11.375" style="48" customWidth="1"/>
    <col min="15" max="15" width="14.375" style="48" customWidth="1"/>
    <col min="16" max="16" width="12.5" style="48" customWidth="1"/>
    <col min="17" max="17" width="11.25" style="48" customWidth="1"/>
    <col min="18" max="18" width="10.125" style="48" customWidth="1"/>
    <col min="19" max="19" width="14.5" style="48" customWidth="1"/>
    <col min="20" max="20" width="13" style="48" customWidth="1"/>
    <col min="21" max="21" width="18.625" style="48" customWidth="1"/>
    <col min="22" max="22" width="16.125" style="48" customWidth="1"/>
    <col min="23" max="23" width="11.625" style="48" customWidth="1"/>
    <col min="24" max="24" width="13.125" style="48" customWidth="1"/>
    <col min="25" max="25" width="18.625" style="48" customWidth="1"/>
    <col min="26" max="26" width="15.125" style="48" customWidth="1"/>
    <col min="27" max="27" width="58.125" style="48" customWidth="1"/>
    <col min="28" max="28" width="23.125" style="48" hidden="1" customWidth="1"/>
    <col min="29" max="29" width="21" style="48" hidden="1" customWidth="1"/>
    <col min="30" max="30" width="15" style="48" hidden="1" customWidth="1"/>
    <col min="31" max="31" width="11.625" style="48" hidden="1" customWidth="1"/>
    <col min="32" max="32" width="14" style="48" hidden="1" customWidth="1"/>
    <col min="33" max="33" width="22.25" style="48" hidden="1" customWidth="1"/>
    <col min="34" max="34" width="28.375" style="48" hidden="1" customWidth="1"/>
    <col min="35" max="35" width="22.5" style="110" hidden="1" customWidth="1"/>
    <col min="36" max="36" width="22.875" style="110" hidden="1" customWidth="1"/>
    <col min="37" max="37" width="21.25" style="110" hidden="1" customWidth="1"/>
    <col min="38" max="38" width="27.375" style="110" hidden="1" customWidth="1"/>
    <col min="39" max="39" width="24.125" style="110" hidden="1" customWidth="1"/>
    <col min="40" max="40" width="17.75" style="110" hidden="1" customWidth="1"/>
    <col min="41" max="41" width="34.125" style="133" bestFit="1" customWidth="1"/>
    <col min="42" max="42" width="30.625" style="134" hidden="1" customWidth="1"/>
    <col min="43" max="43" width="28.375" style="134" hidden="1" customWidth="1"/>
    <col min="44" max="48" width="3.625" style="134" hidden="1" customWidth="1"/>
    <col min="49" max="52" width="10.125" style="134" hidden="1" customWidth="1"/>
    <col min="53" max="53" width="12" style="134" hidden="1" customWidth="1"/>
    <col min="54" max="54" width="11.375" style="134" hidden="1" customWidth="1"/>
    <col min="55" max="55" width="11.625" style="134" hidden="1" customWidth="1"/>
    <col min="56" max="56" width="23.125" style="155" hidden="1" customWidth="1"/>
    <col min="57" max="57" width="17.625" style="126" hidden="1" customWidth="1"/>
    <col min="58" max="58" width="15.625" style="126" hidden="1" customWidth="1"/>
    <col min="59" max="59" width="16.5" style="126" hidden="1" customWidth="1"/>
    <col min="60" max="60" width="19" style="126" hidden="1" customWidth="1"/>
    <col min="61" max="61" width="20" style="126" hidden="1" customWidth="1"/>
    <col min="62" max="62" width="21.125" style="126" hidden="1" customWidth="1"/>
    <col min="63" max="63" width="8.625" style="126" hidden="1" customWidth="1"/>
    <col min="64" max="64" width="31.25" style="48" hidden="1" customWidth="1"/>
    <col min="65" max="65" width="34.5" style="48" hidden="1" customWidth="1"/>
    <col min="66" max="16384" width="8.625" style="48"/>
  </cols>
  <sheetData>
    <row r="1" spans="1:65" ht="15.6" customHeight="1">
      <c r="A1" s="473" t="s">
        <v>761</v>
      </c>
      <c r="B1" s="473"/>
      <c r="C1" s="473"/>
      <c r="D1" s="473"/>
      <c r="E1" s="473"/>
      <c r="F1" s="473"/>
      <c r="G1" s="473"/>
      <c r="H1" s="160"/>
      <c r="I1" s="160"/>
      <c r="J1" s="474"/>
      <c r="K1" s="474"/>
      <c r="L1" s="474"/>
      <c r="M1" s="474"/>
      <c r="N1" s="474"/>
      <c r="O1" s="474"/>
      <c r="P1" s="474"/>
      <c r="Q1" s="474"/>
      <c r="R1" s="474"/>
      <c r="S1" s="474"/>
      <c r="T1" s="474"/>
      <c r="U1" s="474"/>
      <c r="V1" s="474"/>
      <c r="W1" s="474"/>
      <c r="X1" s="474"/>
      <c r="Y1" s="474"/>
      <c r="Z1" s="474"/>
      <c r="AA1" s="474"/>
    </row>
    <row r="2" spans="1:65" ht="15.6" customHeight="1">
      <c r="A2" s="473"/>
      <c r="B2" s="473"/>
      <c r="C2" s="473"/>
      <c r="D2" s="473"/>
      <c r="E2" s="473"/>
      <c r="F2" s="473"/>
      <c r="G2" s="473"/>
      <c r="H2" s="161"/>
      <c r="I2" s="161"/>
      <c r="J2" s="475"/>
      <c r="K2" s="475"/>
      <c r="L2" s="475"/>
      <c r="M2" s="475"/>
      <c r="N2" s="475"/>
      <c r="O2" s="475"/>
      <c r="P2" s="475"/>
      <c r="Q2" s="475"/>
      <c r="R2" s="475"/>
      <c r="S2" s="475"/>
      <c r="T2" s="475"/>
      <c r="U2" s="475"/>
      <c r="V2" s="475"/>
      <c r="W2" s="475"/>
      <c r="X2" s="475"/>
      <c r="Y2" s="475"/>
      <c r="Z2" s="475"/>
      <c r="AA2" s="475"/>
    </row>
    <row r="3" spans="1:65" s="167" customFormat="1" ht="15" thickBot="1">
      <c r="A3" s="162"/>
      <c r="B3" s="162"/>
      <c r="C3" s="163"/>
      <c r="D3" s="162"/>
      <c r="E3" s="162"/>
      <c r="F3" s="162"/>
      <c r="G3" s="162"/>
      <c r="H3" s="164"/>
      <c r="I3" s="165"/>
      <c r="J3" s="165"/>
      <c r="K3" s="165"/>
      <c r="L3" s="165"/>
      <c r="M3" s="165"/>
      <c r="N3" s="165"/>
      <c r="O3" s="165"/>
      <c r="P3" s="165"/>
      <c r="Q3" s="165"/>
      <c r="R3" s="165"/>
      <c r="S3" s="165"/>
      <c r="T3" s="165"/>
      <c r="U3" s="165"/>
      <c r="V3" s="165"/>
      <c r="W3" s="165"/>
      <c r="X3" s="165"/>
      <c r="Y3" s="165"/>
      <c r="Z3" s="165"/>
      <c r="AA3" s="166"/>
      <c r="AI3" s="168"/>
      <c r="AJ3" s="168"/>
      <c r="AK3" s="168"/>
      <c r="AL3" s="168"/>
      <c r="AM3" s="168"/>
      <c r="AN3" s="168"/>
      <c r="AO3" s="169"/>
      <c r="AP3" s="170"/>
      <c r="AQ3" s="170"/>
      <c r="AR3" s="170"/>
      <c r="AS3" s="170"/>
      <c r="AT3" s="170"/>
      <c r="AU3" s="170"/>
      <c r="AV3" s="170"/>
      <c r="AW3" s="170"/>
      <c r="AX3" s="170"/>
      <c r="AY3" s="170"/>
      <c r="AZ3" s="170"/>
      <c r="BA3" s="170"/>
      <c r="BB3" s="170"/>
      <c r="BC3" s="170"/>
      <c r="BD3" s="171"/>
      <c r="BE3" s="172"/>
      <c r="BF3" s="172"/>
      <c r="BG3" s="172"/>
      <c r="BH3" s="172"/>
      <c r="BI3" s="172"/>
      <c r="BJ3" s="172"/>
      <c r="BK3" s="172"/>
    </row>
    <row r="4" spans="1:65" ht="15.75" thickBot="1">
      <c r="A4" s="173" t="s">
        <v>89</v>
      </c>
      <c r="B4" s="124" t="s">
        <v>306</v>
      </c>
      <c r="C4" s="124" t="s">
        <v>762</v>
      </c>
      <c r="D4" s="174"/>
      <c r="E4" s="174"/>
      <c r="F4" s="174"/>
      <c r="G4" s="174"/>
      <c r="H4" s="164"/>
      <c r="I4" s="165"/>
      <c r="J4" s="165"/>
      <c r="K4" s="165"/>
      <c r="L4" s="165"/>
      <c r="M4" s="165"/>
      <c r="N4" s="165"/>
      <c r="O4" s="165"/>
      <c r="P4" s="165"/>
      <c r="Q4" s="165"/>
      <c r="R4" s="165"/>
      <c r="S4" s="165"/>
      <c r="T4" s="165"/>
      <c r="U4" s="165"/>
      <c r="V4" s="165"/>
      <c r="W4" s="165"/>
      <c r="X4" s="165"/>
      <c r="Y4" s="165"/>
      <c r="Z4" s="165"/>
      <c r="AA4" s="166"/>
    </row>
    <row r="5" spans="1:65" s="177" customFormat="1" ht="15.75" thickBot="1">
      <c r="A5" s="173" t="s">
        <v>91</v>
      </c>
      <c r="B5" s="175">
        <f ca="1">MAX(A9:A38) - COUNTIF(AO9:AO38,"No Error")</f>
        <v>0</v>
      </c>
      <c r="C5" s="162"/>
      <c r="D5" s="174"/>
      <c r="E5" s="174"/>
      <c r="F5" s="174"/>
      <c r="G5" s="174"/>
      <c r="H5" s="164"/>
      <c r="I5" s="165"/>
      <c r="J5" s="165"/>
      <c r="K5" s="176">
        <v>2</v>
      </c>
      <c r="L5" s="165"/>
      <c r="M5" s="165"/>
      <c r="N5" s="165"/>
      <c r="O5" s="176">
        <v>3</v>
      </c>
      <c r="P5" s="165"/>
      <c r="Q5" s="165"/>
      <c r="R5" s="165"/>
      <c r="S5" s="176">
        <v>4</v>
      </c>
      <c r="T5" s="165"/>
      <c r="U5" s="165"/>
      <c r="V5" s="165"/>
      <c r="W5" s="176">
        <v>5</v>
      </c>
      <c r="X5" s="165"/>
      <c r="Y5" s="165"/>
      <c r="Z5" s="165"/>
      <c r="AA5" s="166"/>
      <c r="AI5" s="178"/>
      <c r="AJ5" s="178"/>
      <c r="AK5" s="178"/>
      <c r="AL5" s="178"/>
      <c r="AM5" s="178"/>
      <c r="AN5" s="178"/>
      <c r="AO5" s="179"/>
      <c r="AP5" s="180"/>
      <c r="AQ5" s="180"/>
      <c r="AR5" s="180"/>
      <c r="AS5" s="180"/>
      <c r="AT5" s="180"/>
      <c r="AU5" s="180"/>
      <c r="AV5" s="180"/>
      <c r="AW5" s="180"/>
      <c r="AX5" s="180"/>
      <c r="AY5" s="180"/>
      <c r="AZ5" s="180"/>
      <c r="BA5" s="180"/>
      <c r="BB5" s="180"/>
      <c r="BC5" s="180"/>
      <c r="BD5" s="181"/>
      <c r="BE5" s="182"/>
      <c r="BF5" s="182"/>
      <c r="BG5" s="182"/>
      <c r="BH5" s="182"/>
      <c r="BI5" s="182"/>
      <c r="BJ5" s="182"/>
      <c r="BK5" s="182"/>
    </row>
    <row r="6" spans="1:65">
      <c r="BL6" s="465" t="s">
        <v>763</v>
      </c>
      <c r="BM6" s="465"/>
    </row>
    <row r="7" spans="1:65">
      <c r="A7" s="183"/>
      <c r="B7" s="183"/>
      <c r="C7" s="183"/>
      <c r="D7" s="183"/>
      <c r="E7" s="183"/>
      <c r="F7" s="183"/>
      <c r="G7" s="183"/>
      <c r="H7" s="183"/>
      <c r="I7" s="183"/>
      <c r="J7" s="183"/>
      <c r="K7" s="489">
        <f ca="1">IFERROR(IF(YEAR(INDEX('Overview - Section A'!$A$47:$A$54,MATCH(K5,'Overview - Section A'!$B$47:$B$54,0)))&lt;=YEAR('Overview - Section A'!$E$8),YEAR(INDEX('Overview - Section A'!$A$47:$A$54,MATCH($K$5,'Overview - Section A'!$B$47:$B$54,0))),""),"")</f>
        <v>2024</v>
      </c>
      <c r="L7" s="488"/>
      <c r="M7" s="488"/>
      <c r="N7" s="490"/>
      <c r="O7" s="487">
        <f ca="1">IFERROR(IF(K7+1&lt;=YEAR('Overview - Section A'!$E$8),K7+1,""),"")</f>
        <v>2025</v>
      </c>
      <c r="P7" s="488"/>
      <c r="Q7" s="488"/>
      <c r="R7" s="491"/>
      <c r="S7" s="487">
        <f ca="1">IFERROR(IF(O7+1&lt;=YEAR('Overview - Section A'!$E$8),O7+1,""),"")</f>
        <v>2026</v>
      </c>
      <c r="T7" s="488"/>
      <c r="U7" s="488"/>
      <c r="V7" s="491"/>
      <c r="W7" s="487" t="str">
        <f ca="1">IFERROR(IF(S7+1&lt;=YEAR('Overview - Section A'!$E$8),S7+1,""),"")</f>
        <v/>
      </c>
      <c r="X7" s="488"/>
      <c r="Y7" s="488"/>
      <c r="Z7" s="488"/>
      <c r="AA7" s="184"/>
      <c r="AB7" s="111"/>
      <c r="AC7" s="111"/>
      <c r="AD7" s="111"/>
      <c r="AE7" s="111"/>
      <c r="AF7" s="111"/>
      <c r="AG7" s="111"/>
      <c r="AH7" s="185">
        <v>2020</v>
      </c>
      <c r="AI7" s="185">
        <v>2021</v>
      </c>
      <c r="AJ7" s="185">
        <v>2022</v>
      </c>
      <c r="AK7" s="185">
        <v>2023</v>
      </c>
      <c r="AL7" s="185">
        <v>2024</v>
      </c>
      <c r="AM7" s="185">
        <v>2025</v>
      </c>
      <c r="AN7" s="185">
        <v>2026</v>
      </c>
      <c r="AO7" s="157"/>
      <c r="BL7" s="466"/>
      <c r="BM7" s="466"/>
    </row>
    <row r="8" spans="1:65" ht="59.1" customHeight="1">
      <c r="A8" s="186" t="s">
        <v>764</v>
      </c>
      <c r="B8" s="186" t="s">
        <v>765</v>
      </c>
      <c r="C8" s="186" t="s">
        <v>766</v>
      </c>
      <c r="D8" s="187" t="s">
        <v>767</v>
      </c>
      <c r="E8" s="186" t="s">
        <v>105</v>
      </c>
      <c r="F8" s="186" t="s">
        <v>768</v>
      </c>
      <c r="G8" s="186" t="s">
        <v>199</v>
      </c>
      <c r="H8" s="186" t="s">
        <v>769</v>
      </c>
      <c r="I8" s="186" t="s">
        <v>120</v>
      </c>
      <c r="J8" s="186" t="s">
        <v>127</v>
      </c>
      <c r="K8" s="115" t="s">
        <v>770</v>
      </c>
      <c r="L8" s="115" t="s">
        <v>225</v>
      </c>
      <c r="M8" s="115" t="s">
        <v>771</v>
      </c>
      <c r="N8" s="115" t="s">
        <v>772</v>
      </c>
      <c r="O8" s="115" t="s">
        <v>770</v>
      </c>
      <c r="P8" s="115" t="s">
        <v>225</v>
      </c>
      <c r="Q8" s="115" t="s">
        <v>771</v>
      </c>
      <c r="R8" s="115" t="s">
        <v>772</v>
      </c>
      <c r="S8" s="115" t="s">
        <v>770</v>
      </c>
      <c r="T8" s="115" t="s">
        <v>225</v>
      </c>
      <c r="U8" s="115" t="s">
        <v>771</v>
      </c>
      <c r="V8" s="115" t="s">
        <v>772</v>
      </c>
      <c r="W8" s="115" t="s">
        <v>770</v>
      </c>
      <c r="X8" s="115" t="s">
        <v>225</v>
      </c>
      <c r="Y8" s="115" t="s">
        <v>771</v>
      </c>
      <c r="Z8" s="115" t="s">
        <v>772</v>
      </c>
      <c r="AA8" s="114" t="s">
        <v>176</v>
      </c>
      <c r="AE8" s="48" t="s">
        <v>773</v>
      </c>
      <c r="AG8" s="48" t="s">
        <v>774</v>
      </c>
      <c r="AH8" s="48" t="s">
        <v>775</v>
      </c>
      <c r="AO8" s="139" t="s">
        <v>157</v>
      </c>
      <c r="BD8" s="155" t="s">
        <v>776</v>
      </c>
      <c r="BL8" s="313" t="s">
        <v>777</v>
      </c>
      <c r="BM8" s="313" t="s">
        <v>778</v>
      </c>
    </row>
    <row r="9" spans="1:65" ht="30" customHeight="1">
      <c r="A9" s="469">
        <v>1</v>
      </c>
      <c r="B9" s="479" t="s">
        <v>779</v>
      </c>
      <c r="C9" s="479"/>
      <c r="D9" s="188">
        <v>44</v>
      </c>
      <c r="E9" s="481" t="str">
        <f ca="1">IF(OR(INDIRECT("'update Helper'!D"&amp;AH9)="",D9&lt;&gt;0,D10&lt;&gt;0),IF(IFERROR((D9/D10),"")="","",(D9/D10)),INDIRECT("'update Helper'!D"&amp;AH9)/100)</f>
        <v/>
      </c>
      <c r="F9" s="479">
        <v>2021</v>
      </c>
      <c r="G9" s="479" t="s">
        <v>780</v>
      </c>
      <c r="H9" s="485" t="str">
        <f>AB9</f>
        <v/>
      </c>
      <c r="I9" s="483" t="s">
        <v>323</v>
      </c>
      <c r="J9" s="479" t="s">
        <v>781</v>
      </c>
      <c r="K9" s="188">
        <v>38</v>
      </c>
      <c r="L9" s="498" t="str">
        <f ca="1">IFERROR(IF(K$7="","",IF(OR(K9&lt;&gt;0,K10&lt;&gt;0),IFERROR(IF(K9/K10="","",(K9/K10)),""),IF(VLOOKUP(CONCATENATE(A9,K$7),'update Helper'!$G$42:$N$224,5,FALSE)="","",VLOOKUP(CONCATENATE(A9,K$7),'update Helper'!$G$42:$N$224,5,FALSE)/100))),"")</f>
        <v/>
      </c>
      <c r="M9" s="500"/>
      <c r="N9" s="477"/>
      <c r="O9" s="188">
        <v>33</v>
      </c>
      <c r="P9" s="498" t="str">
        <f ca="1">IFERROR(IF(O$7="","",IF(OR(O9&lt;&gt;0,O10&lt;&gt;0),IFERROR(IF(O9/O10="","",(O9/O10)),""),IF(VLOOKUP(CONCATENATE(A9,O$7),'update Helper'!$G$42:$N$224,5,FALSE)="","",VLOOKUP(CONCATENATE(A9,O$7),'update Helper'!$G$42:$N$224,5,FALSE)/100))),"")</f>
        <v/>
      </c>
      <c r="Q9" s="500"/>
      <c r="R9" s="477"/>
      <c r="S9" s="188">
        <v>28</v>
      </c>
      <c r="T9" s="498" t="str">
        <f ca="1">IFERROR(IF(S$7="","",IF(OR(S9&lt;&gt;0,S10&lt;&gt;0),IFERROR(IF(S9/S10="","",(S9/S10)),""),IF(VLOOKUP(CONCATENATE(A9,S$7),'update Helper'!$G$42:$N$224,5,FALSE)="","",VLOOKUP(CONCATENATE(A9,S$7),'update Helper'!$G$42:$N$224,5,FALSE)/100))),"")</f>
        <v/>
      </c>
      <c r="U9" s="500"/>
      <c r="V9" s="477"/>
      <c r="W9" s="188"/>
      <c r="X9" s="498" t="str">
        <f ca="1">IFERROR(IF(W$7="","",IF(OR(W9&lt;&gt;0,W10&lt;&gt;0),IFERROR(IF(W9/W10="","",(W9/W10)),""),IF(VLOOKUP(CONCATENATE(A9,W$7),'update Helper'!$G$42:$N$224,5,FALSE)="","",VLOOKUP(CONCATENATE(A9,W$7),'update Helper'!$G$42:$N$224,5,FALSE)/100))),"")</f>
        <v/>
      </c>
      <c r="Y9" s="500"/>
      <c r="Z9" s="477"/>
      <c r="AA9" s="479" t="s">
        <v>782</v>
      </c>
      <c r="AB9" s="48" t="str">
        <f t="array" ref="AB9">IFERROR(IF(INDEX('Reference Records'!$D$4:$D$24,MATCH(LEFT(B9,255),LEFT('Reference Records'!$C$4:$C$24,255),0))=0,"",INDEX('Reference Records'!$D$4:$D$24,MATCH(LEFT(B9,255),LEFT('Reference Records'!$C$4:$C$24,255),0))),"")</f>
        <v/>
      </c>
      <c r="AC9" s="476" t="str">
        <f>IF(H9&lt;&gt;"",B9&amp;C9,"")</f>
        <v/>
      </c>
      <c r="AD9" s="476" t="b">
        <f>IF(OR(B9&lt;&gt;"",C9&lt;&gt;""),TRUE,FALSE)</f>
        <v>1</v>
      </c>
      <c r="AE9" s="48" t="str">
        <f t="array" ref="AE9">IFERROR(IF(INDEX('Reference Records'!$G$4:$G$24,MATCH(LEFT(B9,255),LEFT('Reference Records'!$C$4:$C$24,255),0))=0,"",INDEX('Reference Records'!$G$4:$G$24,MATCH(LEFT(B9,255),LEFT('Reference Records'!$C$4:$C$24,255),0))),"")</f>
        <v>a1JDm000000k9boMAA</v>
      </c>
      <c r="AG9" s="48">
        <f>ROW(Impact_indicator_targets___section_B)+3</f>
        <v>44</v>
      </c>
      <c r="AH9" s="48">
        <f>ROW(Impact_indicator___section_B)+3</f>
        <v>4</v>
      </c>
      <c r="AO9" s="468" t="str">
        <f ca="1">IF(AND(BI9="Continue",BJ9="Continue"),"No Error",IF(AND(BI9&lt;&gt;"Continue",BJ9="Continue"),BI9,IF(AND(BJ9&lt;&gt;"Continue",BI9="Continue"),BJ9,CONCATENATE(BI9,CHAR(10),BJ9))))</f>
        <v>No Error</v>
      </c>
      <c r="AP9" s="467" t="str" cm="1">
        <f t="array" ref="AP9">IF(ISBLANK(B9),"Continue",(IF(IFERROR(_xlfn.XMATCH(B9,LEFT('Reference Records'!$I$3:$I$21,32768),0),0)&lt;&gt;0,"Continue","Invalid indicator entry. Select from dropdown list.")))</f>
        <v>Continue</v>
      </c>
      <c r="AQ9" s="467" t="str">
        <f>IF(SUM(AR9:AV10)=0, "Continue", "Enter valid number only.")</f>
        <v>Continue</v>
      </c>
      <c r="AR9" s="146">
        <f>IF(NOT(ISBLANK(D9)),IF(D9&lt;&gt;"",(IF(NOT(ISNUMBER(D9)),1,0)),0),0)</f>
        <v>0</v>
      </c>
      <c r="AS9" s="146">
        <f>IF(NOT(ISBLANK(K9)),IF(K9&lt;&gt;"",(IF(NOT(ISNUMBER(K9)),1,0)),0),0)</f>
        <v>0</v>
      </c>
      <c r="AT9" s="146">
        <f>IF(NOT(ISBLANK(O9)),IF(O9&lt;&gt;"",(IF(NOT(ISNUMBER(O9)),1,0)),0),0)</f>
        <v>0</v>
      </c>
      <c r="AU9" s="146">
        <f>IF(NOT(ISBLANK(S9)),IF(S9&lt;&gt;"",(IF(NOT(ISNUMBER(S9)),1,0)),0),0)</f>
        <v>0</v>
      </c>
      <c r="AV9" s="146">
        <f>IF(NOT(ISBLANK(W9)),IF(W9&lt;&gt;"",(IF(NOT(ISNUMBER(W9)),1,0)),0),0)</f>
        <v>0</v>
      </c>
      <c r="AW9" s="467">
        <f ca="1">IF(NOT(ISBLANK(E9)),IF(E9&lt;&gt;"",(IF(NOT(ISNUMBER(E9)),1,0)),0),0)</f>
        <v>0</v>
      </c>
      <c r="AX9" s="467">
        <f ca="1">IF(NOT(ISBLANK(L9)),IF(L9&lt;&gt;"",(IF(NOT(ISNUMBER(L9)),1,0)),0),0)</f>
        <v>0</v>
      </c>
      <c r="AY9" s="467">
        <f ca="1">IF(NOT(ISBLANK(P9)),IF(P9&lt;&gt;"",(IF(NOT(ISNUMBER(P9)),1,0)),0),0)</f>
        <v>0</v>
      </c>
      <c r="AZ9" s="467">
        <f ca="1">IF(NOT(ISBLANK(T9)),IF(T9&lt;&gt;"",(IF(NOT(ISNUMBER(T9)),1,0)),0),0)</f>
        <v>0</v>
      </c>
      <c r="BA9" s="467">
        <f ca="1">IF(NOT(ISBLANK(X9)),IF(X9&lt;&gt;"",(IF(NOT(ISNUMBER(X9)),1,0)),0),0)</f>
        <v>0</v>
      </c>
      <c r="BB9" s="467" t="str">
        <f ca="1">IF(SUM(AW9:BA10)=0, "Continue", "Enter valid number only.")</f>
        <v>Continue</v>
      </c>
      <c r="BC9" s="467" t="str">
        <f ca="1">IF(AND(AQ9="Continue",BB9="Continue"),"Continue",IF(AND(AQ9&lt;&gt;"Continue",BB9="Continue"),AQ9,IF(AND(BB9&lt;&gt;"Continue",AQ9="Continue"),BB9,CONCATENATE(AQ9,CHAR(10)))))</f>
        <v>Continue</v>
      </c>
      <c r="BD9" s="155" t="b">
        <f>IFERROR(INDEX('Reference Records'!$O$3:$O$21,MATCH($B9,'Reference Records'!$I$3:$I$21,0)),"")</f>
        <v>1</v>
      </c>
      <c r="BE9" s="126" t="str">
        <f ca="1">IF(AND($BF9="Continue",$BG9="Continue"),"Continue",
 IF(AND($BF9="Continue",$BG9&lt;&gt;"Continue"),$BG9,
 IF(AND($BF9&lt;&gt;"Continue",$BG9="Continue"),$BF9,
 IF(AND($BF9&lt;&gt;"Continue",$BG9&lt;&gt;"Continue"),CONCATENATE($BF9,CHAR(10),$BG9)))))</f>
        <v>Continue</v>
      </c>
      <c r="BF9" s="126" t="str">
        <f>IF(OR($BD9=FALSE,$BD9=""),"Continue",IF(AND($BD9=TRUE, AND($D10="",$K10="",$O10="",$S10="",$W10="")),"Continue","Denominator is not applicable for this indicator."))</f>
        <v>Continue</v>
      </c>
      <c r="BG9" s="126" t="str">
        <f ca="1">IF(OR($BD9=FALSE,$BD9=""),"Continue",IF(AND($BD9=TRUE,$E9="",$L9="",$P9="",$T9="",$X9=""),"Continue","Percentage is not applicable for this indicator."))</f>
        <v>Continue</v>
      </c>
      <c r="BH9" s="467" t="str">
        <f ca="1">IF(AND(AP9="Continue",BC9="Continue"),"Continue",IF(AND(AP9&lt;&gt;"Continue",BC9="Continue"),AP9,IF(AND(BC9&lt;&gt;"Continue",AP9="Continue"),BC9,CONCATENATE(AP9,CHAR(10),BC9))))</f>
        <v>Continue</v>
      </c>
      <c r="BI9" s="467" t="str">
        <f>IF(AND(B9="",C9=""),"Continue",
IF(AND(B9="",C9&lt;&gt;""),"Continue",
IF(AND(B9&lt;&gt;"",C9=""),"Continue",
IF(AND(B9&lt;&gt;"",C9&lt;&gt;""),"Cannot enter both standard and custom indicators on the same line."))))</f>
        <v>Continue</v>
      </c>
      <c r="BJ9" s="467" t="str">
        <f ca="1">IF(AND(BE9="Continue",BH9="Continue"),"Continue",IF(AND(BE9&lt;&gt;"Continue",BH9="Continue"),BE9,IF(AND(BH9&lt;&gt;"Continue",BE9="Continue"),BH9,CONCATENATE(BE9,CHAR(10),BH9))))</f>
        <v>Continue</v>
      </c>
      <c r="BL9" s="310" t="str">
        <f>IFERROR(IF('Overview - Section A'!$AN$5="Funding Request",
IF(AND('Reference Records'!$B$427&lt;&gt;"",$J9 ='Reference Records'!$B$427),'Reference Records'!$C$427,""),
INDEX('Reference Records'!$A$498:$C$499,MATCH($J9,'Reference Records'!$A$498:$A$499,0),3)),"")</f>
        <v>a1A360000013M2uEAE</v>
      </c>
      <c r="BM9" s="310" t="str" cm="1">
        <f t="array" ref="BM9">IFERROR(IF($B9="", "", IF(INDEX('Reference Records'!$G$4:$G$24,MATCH(LEFT(B9,255),LEFT('Reference Records'!$C$4:$C$24,255),0))=0,"",
INDEX('Reference Records'!$G$4:$G$24,MATCH(LEFT(B9,255),LEFT('Reference Records'!$C$4:$C$24,255),0)))),"")</f>
        <v>a1JDm000000k9boMAA</v>
      </c>
    </row>
    <row r="10" spans="1:65" ht="30" customHeight="1">
      <c r="A10" s="470"/>
      <c r="B10" s="480"/>
      <c r="C10" s="480"/>
      <c r="D10" s="189"/>
      <c r="E10" s="482"/>
      <c r="F10" s="480"/>
      <c r="G10" s="480"/>
      <c r="H10" s="486"/>
      <c r="I10" s="484"/>
      <c r="J10" s="480"/>
      <c r="K10" s="189"/>
      <c r="L10" s="499"/>
      <c r="M10" s="501"/>
      <c r="N10" s="478"/>
      <c r="O10" s="189"/>
      <c r="P10" s="499"/>
      <c r="Q10" s="501"/>
      <c r="R10" s="478"/>
      <c r="S10" s="189"/>
      <c r="T10" s="499"/>
      <c r="U10" s="501"/>
      <c r="V10" s="478"/>
      <c r="W10" s="189"/>
      <c r="X10" s="499"/>
      <c r="Y10" s="501"/>
      <c r="Z10" s="478"/>
      <c r="AA10" s="480"/>
      <c r="AC10" s="476"/>
      <c r="AD10" s="476"/>
      <c r="AO10" s="468"/>
      <c r="AP10" s="467"/>
      <c r="AQ10" s="467"/>
      <c r="AR10" s="146">
        <f t="shared" ref="AR10:AR38" si="0">IF(NOT(ISBLANK(D10)),IF(D10&lt;&gt;"",(IF(NOT(ISNUMBER(D10)),1,0)),0),0)</f>
        <v>0</v>
      </c>
      <c r="AS10" s="146">
        <f t="shared" ref="AS10:AS38" si="1">IF(NOT(ISBLANK(K10)),IF(K10&lt;&gt;"",(IF(NOT(ISNUMBER(K10)),1,0)),0),0)</f>
        <v>0</v>
      </c>
      <c r="AT10" s="146">
        <f t="shared" ref="AT10:AT38" si="2">IF(NOT(ISBLANK(O10)),IF(O10&lt;&gt;"",(IF(NOT(ISNUMBER(O10)),1,0)),0),0)</f>
        <v>0</v>
      </c>
      <c r="AU10" s="146">
        <f t="shared" ref="AU10:AU38" si="3">IF(NOT(ISBLANK(S10)),IF(S10&lt;&gt;"",(IF(NOT(ISNUMBER(S10)),1,0)),0),0)</f>
        <v>0</v>
      </c>
      <c r="AV10" s="146">
        <f t="shared" ref="AV10:AV38" si="4">IF(NOT(ISBLANK(W10)),IF(W10&lt;&gt;"",(IF(NOT(ISNUMBER(W10)),1,0)),0),0)</f>
        <v>0</v>
      </c>
      <c r="AW10" s="467"/>
      <c r="AX10" s="467"/>
      <c r="AY10" s="467"/>
      <c r="AZ10" s="467"/>
      <c r="BA10" s="467"/>
      <c r="BB10" s="467"/>
      <c r="BC10" s="467"/>
      <c r="BD10" s="155" t="str">
        <f>IFERROR(INDEX('Reference Records'!$O$3:$O$21,MATCH($B10,'Reference Records'!$I$3:$I$21,0)),"")</f>
        <v/>
      </c>
      <c r="BE10" s="126" t="str">
        <f t="shared" ref="BE10:BE38" si="5">IF(AND($BF10="Continue",$BG10="Continue"),"Continue",
 IF(AND($BF10="Continue",$BG10&lt;&gt;"Continue"),$BG10,
 IF(AND($BF10&lt;&gt;"Continue",$BG10="Continue"),$BF10,
 IF(AND($BF10&lt;&gt;"Continue",$BG10&lt;&gt;"Continue"),CONCATENATE($BF10,CHAR(10),$BG10)))))</f>
        <v>Continue</v>
      </c>
      <c r="BF10" s="126" t="str">
        <f t="shared" ref="BF10:BF38" si="6">IF(OR($BD10=FALSE,$BD10=""),"Continue",IF(AND($BD10=TRUE, AND($D11="",$K11="",$O11="",$S11="",$W11="")),"Continue","Denominator is not applicable for this indicator."))</f>
        <v>Continue</v>
      </c>
      <c r="BG10" s="126" t="str">
        <f t="shared" ref="BG10:BG38" si="7">IF(OR($BD10=FALSE,$BD10=""),"Continue",IF(AND($BD10=TRUE,$E10="",$L10="",$P10="",$T10="",$X10=""),"Continue","Percentage is not applicable for this indicator."))</f>
        <v>Continue</v>
      </c>
      <c r="BH10" s="467"/>
      <c r="BI10" s="467"/>
      <c r="BJ10" s="467"/>
      <c r="BL10" s="310" t="str">
        <f>IFERROR(IF('Overview - Section A'!$AN$5="Funding Request",
IF(AND('Reference Records'!$B$427&lt;&gt;"",$J10 ='Reference Records'!$B$427),'Reference Records'!$C$427,""),
INDEX('Reference Records'!$A$498:$C$499,MATCH($J10,'Reference Records'!$A$498:$A$499,0),3)),"")</f>
        <v/>
      </c>
      <c r="BM10" s="310" t="str" cm="1">
        <f t="array" ref="BM10">IFERROR(IF($B10="", "", IF(INDEX('Reference Records'!$G$4:$G$24,MATCH(LEFT(B10,255),LEFT('Reference Records'!$C$4:$C$24,255),0))=0,"",
INDEX('Reference Records'!$G$4:$G$24,MATCH(LEFT(B10,255),LEFT('Reference Records'!$C$4:$C$24,255),0)))),"")</f>
        <v/>
      </c>
    </row>
    <row r="11" spans="1:65" ht="30" customHeight="1">
      <c r="A11" s="469">
        <v>2</v>
      </c>
      <c r="B11" s="471" t="s">
        <v>783</v>
      </c>
      <c r="C11" s="471"/>
      <c r="D11" s="190">
        <v>318</v>
      </c>
      <c r="E11" s="502" t="str">
        <f ca="1">IF(OR(INDIRECT("'update Helper'!D"&amp;AH11)="",D11&lt;&gt;0,D12&lt;&gt;0),IF(IFERROR((D11/D12),"")="","",(D11/D12)),INDIRECT("'update Helper'!D"&amp;AH11)/100)</f>
        <v/>
      </c>
      <c r="F11" s="471">
        <v>2021</v>
      </c>
      <c r="G11" s="471" t="s">
        <v>780</v>
      </c>
      <c r="H11" s="485" t="str">
        <f>AB11</f>
        <v/>
      </c>
      <c r="I11" s="504" t="s">
        <v>323</v>
      </c>
      <c r="J11" s="471" t="s">
        <v>781</v>
      </c>
      <c r="K11" s="190">
        <v>315</v>
      </c>
      <c r="L11" s="492" t="str">
        <f ca="1">IFERROR(IF(K$7="","",IF(OR(K11&lt;&gt;0,K12&lt;&gt;0),IFERROR(IF(K11/K12="","",(K11/K12)),""),IF(VLOOKUP(CONCATENATE(A11,K$7),'update Helper'!$G$42:$N$224,5,FALSE)="","",VLOOKUP(CONCATENATE(A11,K$7),'update Helper'!$G$42:$N$224,5,FALSE)/100))),"")</f>
        <v/>
      </c>
      <c r="M11" s="494"/>
      <c r="N11" s="496"/>
      <c r="O11" s="190">
        <v>313</v>
      </c>
      <c r="P11" s="492" t="str">
        <f ca="1">IFERROR(IF(O$7="","",IF(OR(O11&lt;&gt;0,O12&lt;&gt;0),IFERROR(IF(O11/O12="","",(O11/O12)),""),IF(VLOOKUP(CONCATENATE(A11,O$7),'update Helper'!$G$42:$N$224,5,FALSE)="","",VLOOKUP(CONCATENATE(A11,O$7),'update Helper'!$G$42:$N$224,5,FALSE)/100))),"")</f>
        <v/>
      </c>
      <c r="Q11" s="494"/>
      <c r="R11" s="496"/>
      <c r="S11" s="190">
        <v>311</v>
      </c>
      <c r="T11" s="492" t="str">
        <f ca="1">IFERROR(IF(S$7="","",IF(OR(S11&lt;&gt;0,S12&lt;&gt;0),IFERROR(IF(S11/S12="","",(S11/S12)),""),IF(VLOOKUP(CONCATENATE(A11,S$7),'update Helper'!$G$42:$N$224,5,FALSE)="","",VLOOKUP(CONCATENATE(A11,S$7),'update Helper'!$G$42:$N$224,5,FALSE)/100))),"")</f>
        <v/>
      </c>
      <c r="U11" s="494"/>
      <c r="V11" s="496"/>
      <c r="W11" s="190"/>
      <c r="X11" s="492" t="str">
        <f ca="1">IFERROR(IF(W$7="","",IF(OR(W11&lt;&gt;0,W12&lt;&gt;0),IFERROR(IF(W11/W12="","",(W11/W12)),""),IF(VLOOKUP(CONCATENATE(A11,W$7),'update Helper'!$G$42:$N$224,5,FALSE)="","",VLOOKUP(CONCATENATE(A11,W$7),'update Helper'!$G$42:$N$224,5,FALSE)/100))),"")</f>
        <v/>
      </c>
      <c r="Y11" s="494"/>
      <c r="Z11" s="496"/>
      <c r="AA11" s="471" t="s">
        <v>784</v>
      </c>
      <c r="AB11" s="48" t="str">
        <f t="array" ref="AB11">IFERROR(IF(INDEX('Reference Records'!$D$4:$D$24,MATCH(LEFT(B11,255),LEFT('Reference Records'!$C$4:$C$24,255),0))=0,"",INDEX('Reference Records'!$D$4:$D$24,MATCH(LEFT(B11,255),LEFT('Reference Records'!$C$4:$C$24,255),0))),"")</f>
        <v/>
      </c>
      <c r="AC11" s="476" t="str">
        <f>IF(H11&lt;&gt;"",B11&amp;C11,"")</f>
        <v/>
      </c>
      <c r="AD11" s="476" t="b">
        <f>IF(OR(B11&lt;&gt;"",C11&lt;&gt;""),TRUE,FALSE)</f>
        <v>1</v>
      </c>
      <c r="AE11" s="48" t="str">
        <f t="array" ref="AE11">IFERROR(IF(INDEX('Reference Records'!$G$4:$G$24,MATCH(LEFT(B11,255),LEFT('Reference Records'!$C$4:$C$24,255),0))=0,"",INDEX('Reference Records'!$G$4:$G$24,MATCH(LEFT(B11,255),LEFT('Reference Records'!$C$4:$C$24,255),0))),"")</f>
        <v>a1JDm000000k9bnMAA</v>
      </c>
      <c r="AG11" s="48">
        <f>AG9+'update Helper'!$R$2</f>
        <v>50</v>
      </c>
      <c r="AH11" s="48">
        <f>AH9+1</f>
        <v>5</v>
      </c>
      <c r="AO11" s="468" t="str">
        <f t="shared" ref="AO11" ca="1" si="8">IF(AND(BI11="Continue",BJ11="Continue"),"No Error",IF(AND(BI11&lt;&gt;"Continue",BJ11="Continue"),BI11,IF(AND(BJ11&lt;&gt;"Continue",BI11="Continue"),BJ11,CONCATENATE(BI11,CHAR(10),BJ11))))</f>
        <v>No Error</v>
      </c>
      <c r="AP11" s="467" t="str" cm="1">
        <f t="array" ref="AP11">IF(ISBLANK(B11),"Continue",(IF(IFERROR(_xlfn.XMATCH(B11,LEFT('Reference Records'!$I$3:$I$21,32768),0),0)&lt;&gt;0,"Continue","Invalid indicator entry. Select from dropdown list.")))</f>
        <v>Continue</v>
      </c>
      <c r="AQ11" s="467" t="str">
        <f t="shared" ref="AQ11" si="9">IF(SUM(AR11:AV12)=0, "Continue", "Enter valid number only.")</f>
        <v>Continue</v>
      </c>
      <c r="AR11" s="146">
        <f t="shared" si="0"/>
        <v>0</v>
      </c>
      <c r="AS11" s="146">
        <f t="shared" si="1"/>
        <v>0</v>
      </c>
      <c r="AT11" s="146">
        <f t="shared" si="2"/>
        <v>0</v>
      </c>
      <c r="AU11" s="146">
        <f t="shared" si="3"/>
        <v>0</v>
      </c>
      <c r="AV11" s="146">
        <f t="shared" si="4"/>
        <v>0</v>
      </c>
      <c r="AW11" s="467">
        <f t="shared" ref="AW11" ca="1" si="10">IF(NOT(ISBLANK(E11)),IF(E11&lt;&gt;"",(IF(NOT(ISNUMBER(E11)),1,0)),0),0)</f>
        <v>0</v>
      </c>
      <c r="AX11" s="467">
        <f t="shared" ref="AX11" ca="1" si="11">IF(NOT(ISBLANK(L11)),IF(L11&lt;&gt;"",(IF(NOT(ISNUMBER(L11)),1,0)),0),0)</f>
        <v>0</v>
      </c>
      <c r="AY11" s="467">
        <f t="shared" ref="AY11" ca="1" si="12">IF(NOT(ISBLANK(P11)),IF(P11&lt;&gt;"",(IF(NOT(ISNUMBER(P11)),1,0)),0),0)</f>
        <v>0</v>
      </c>
      <c r="AZ11" s="467">
        <f t="shared" ref="AZ11" ca="1" si="13">IF(NOT(ISBLANK(T11)),IF(T11&lt;&gt;"",(IF(NOT(ISNUMBER(T11)),1,0)),0),0)</f>
        <v>0</v>
      </c>
      <c r="BA11" s="467">
        <f t="shared" ref="BA11" ca="1" si="14">IF(NOT(ISBLANK(X11)),IF(X11&lt;&gt;"",(IF(NOT(ISNUMBER(X11)),1,0)),0),0)</f>
        <v>0</v>
      </c>
      <c r="BB11" s="467" t="str">
        <f t="shared" ref="BB11" ca="1" si="15">IF(SUM(AW11:BA12)=0, "Continue", "Enter valid number only.")</f>
        <v>Continue</v>
      </c>
      <c r="BC11" s="467" t="str">
        <f t="shared" ref="BC11" ca="1" si="16">IF(AND(AQ11="Continue",BB11="Continue"),"Continue",IF(AND(AQ11&lt;&gt;"Continue",BB11="Continue"),AQ11,IF(AND(BB11&lt;&gt;"Continue",AQ11="Continue"),BB11,CONCATENATE(AQ11,CHAR(10)))))</f>
        <v>Continue</v>
      </c>
      <c r="BD11" s="155" t="b">
        <f>IFERROR(INDEX('Reference Records'!$O$3:$O$21,MATCH($B11,'Reference Records'!$I$3:$I$21,0)),"")</f>
        <v>1</v>
      </c>
      <c r="BE11" s="126" t="str">
        <f t="shared" ca="1" si="5"/>
        <v>Continue</v>
      </c>
      <c r="BF11" s="126" t="str">
        <f t="shared" si="6"/>
        <v>Continue</v>
      </c>
      <c r="BG11" s="126" t="str">
        <f t="shared" ca="1" si="7"/>
        <v>Continue</v>
      </c>
      <c r="BH11" s="467" t="str">
        <f t="shared" ref="BH11" ca="1" si="17">IF(AND(AP11="Continue",BC11="Continue"),"Continue",IF(AND(AP11&lt;&gt;"Continue",BC11="Continue"),AP11,IF(AND(BC11&lt;&gt;"Continue",AP11="Continue"),BC11,CONCATENATE(AP11,CHAR(10),BC11))))</f>
        <v>Continue</v>
      </c>
      <c r="BI11" s="467" t="str">
        <f t="shared" ref="BI11" si="18">IF(AND(B11="",C11=""),"Continue",
IF(AND(B11="",C11&lt;&gt;""),"Continue",
IF(AND(B11&lt;&gt;"",C11=""),"Continue",
IF(AND(B11&lt;&gt;"",C11&lt;&gt;""),"Cannot enter both standard and custom indicators on the same line."))))</f>
        <v>Continue</v>
      </c>
      <c r="BJ11" s="467" t="str">
        <f t="shared" ref="BJ11" ca="1" si="19">IF(AND(BE11="Continue",BH11="Continue"),"Continue",IF(AND(BE11&lt;&gt;"Continue",BH11="Continue"),BE11,IF(AND(BH11&lt;&gt;"Continue",BE11="Continue"),BH11,CONCATENATE(BE11,CHAR(10),BH11))))</f>
        <v>Continue</v>
      </c>
      <c r="BL11" s="310" t="str">
        <f>IFERROR(IF('Overview - Section A'!$AN$5="Funding Request",
IF(AND('Reference Records'!$B$427&lt;&gt;"",$J11 ='Reference Records'!$B$427),'Reference Records'!$C$427,""),
INDEX('Reference Records'!$A$498:$C$499,MATCH($J11,'Reference Records'!$A$498:$A$499,0),3)),"")</f>
        <v>a1A360000013M2uEAE</v>
      </c>
      <c r="BM11" s="310" t="str" cm="1">
        <f t="array" ref="BM11">IFERROR(IF($B11="", "", IF(INDEX('Reference Records'!$G$4:$G$24,MATCH(LEFT(B11,255),LEFT('Reference Records'!$C$4:$C$24,255),0))=0,"",
INDEX('Reference Records'!$G$4:$G$24,MATCH(LEFT(B11,255),LEFT('Reference Records'!$C$4:$C$24,255),0)))),"")</f>
        <v>a1JDm000000k9bnMAA</v>
      </c>
    </row>
    <row r="12" spans="1:65" ht="30" customHeight="1">
      <c r="A12" s="470"/>
      <c r="B12" s="472"/>
      <c r="C12" s="472"/>
      <c r="D12" s="191"/>
      <c r="E12" s="503"/>
      <c r="F12" s="472"/>
      <c r="G12" s="472"/>
      <c r="H12" s="486"/>
      <c r="I12" s="505"/>
      <c r="J12" s="472"/>
      <c r="K12" s="191"/>
      <c r="L12" s="493"/>
      <c r="M12" s="495"/>
      <c r="N12" s="497"/>
      <c r="O12" s="191"/>
      <c r="P12" s="493"/>
      <c r="Q12" s="495"/>
      <c r="R12" s="497"/>
      <c r="S12" s="191"/>
      <c r="T12" s="493"/>
      <c r="U12" s="495"/>
      <c r="V12" s="497"/>
      <c r="W12" s="191"/>
      <c r="X12" s="493"/>
      <c r="Y12" s="495"/>
      <c r="Z12" s="497"/>
      <c r="AA12" s="472"/>
      <c r="AC12" s="476"/>
      <c r="AD12" s="476"/>
      <c r="AO12" s="468"/>
      <c r="AP12" s="467"/>
      <c r="AQ12" s="467"/>
      <c r="AR12" s="146">
        <f t="shared" si="0"/>
        <v>0</v>
      </c>
      <c r="AS12" s="146">
        <f t="shared" si="1"/>
        <v>0</v>
      </c>
      <c r="AT12" s="146">
        <f t="shared" si="2"/>
        <v>0</v>
      </c>
      <c r="AU12" s="146">
        <f t="shared" si="3"/>
        <v>0</v>
      </c>
      <c r="AV12" s="146">
        <f t="shared" si="4"/>
        <v>0</v>
      </c>
      <c r="AW12" s="467"/>
      <c r="AX12" s="467"/>
      <c r="AY12" s="467"/>
      <c r="AZ12" s="467"/>
      <c r="BA12" s="467"/>
      <c r="BB12" s="467"/>
      <c r="BC12" s="467"/>
      <c r="BD12" s="155" t="str">
        <f>IFERROR(INDEX('Reference Records'!$O$3:$O$21,MATCH($B12,'Reference Records'!$I$3:$I$21,0)),"")</f>
        <v/>
      </c>
      <c r="BE12" s="126" t="str">
        <f t="shared" si="5"/>
        <v>Continue</v>
      </c>
      <c r="BF12" s="126" t="str">
        <f t="shared" si="6"/>
        <v>Continue</v>
      </c>
      <c r="BG12" s="126" t="str">
        <f t="shared" si="7"/>
        <v>Continue</v>
      </c>
      <c r="BH12" s="467"/>
      <c r="BI12" s="467"/>
      <c r="BJ12" s="467"/>
      <c r="BL12" s="310" t="str">
        <f>IFERROR(IF('Overview - Section A'!$AN$5="Funding Request",
IF(AND('Reference Records'!$B$427&lt;&gt;"",$J12 ='Reference Records'!$B$427),'Reference Records'!$C$427,""),
INDEX('Reference Records'!$A$498:$C$499,MATCH($J12,'Reference Records'!$A$498:$A$499,0),3)),"")</f>
        <v/>
      </c>
      <c r="BM12" s="310" t="str" cm="1">
        <f t="array" ref="BM12">IFERROR(IF($B12="", "", IF(INDEX('Reference Records'!$G$4:$G$24,MATCH(LEFT(B12,255),LEFT('Reference Records'!$C$4:$C$24,255),0))=0,"",
INDEX('Reference Records'!$G$4:$G$24,MATCH(LEFT(B12,255),LEFT('Reference Records'!$C$4:$C$24,255),0)))),"")</f>
        <v/>
      </c>
    </row>
    <row r="13" spans="1:65" ht="30" customHeight="1">
      <c r="A13" s="469">
        <v>3</v>
      </c>
      <c r="B13" s="479" t="s">
        <v>785</v>
      </c>
      <c r="C13" s="479"/>
      <c r="D13" s="188">
        <v>1.6</v>
      </c>
      <c r="E13" s="481" t="str">
        <f ca="1">IF(OR(INDIRECT("'update Helper'!D"&amp;AH13)="",D13&lt;&gt;0,D14&lt;&gt;0),IF(IFERROR((D13/D14),"")="","",(D13/D14)),INDIRECT("'update Helper'!D"&amp;AH13)/100)</f>
        <v/>
      </c>
      <c r="F13" s="479">
        <v>2021</v>
      </c>
      <c r="G13" s="479" t="s">
        <v>780</v>
      </c>
      <c r="H13" s="485" t="str">
        <f>AB13</f>
        <v/>
      </c>
      <c r="I13" s="483" t="s">
        <v>323</v>
      </c>
      <c r="J13" s="479" t="s">
        <v>781</v>
      </c>
      <c r="K13" s="188">
        <v>1.6</v>
      </c>
      <c r="L13" s="498" t="str">
        <f ca="1">IFERROR(IF(K$7="","",IF(OR(K13&lt;&gt;0,K14&lt;&gt;0),IFERROR(IF(K13/K14="","",(K13/K14)),""),IF(VLOOKUP(CONCATENATE(A13,K$7),'update Helper'!$G$42:$N$224,5,FALSE)="","",VLOOKUP(CONCATENATE(A13,K$7),'update Helper'!$G$42:$N$224,5,FALSE)/100))),"")</f>
        <v/>
      </c>
      <c r="M13" s="500"/>
      <c r="N13" s="477"/>
      <c r="O13" s="188">
        <v>1.6</v>
      </c>
      <c r="P13" s="498" t="str">
        <f ca="1">IFERROR(IF(O$7="","",IF(OR(O13&lt;&gt;0,O14&lt;&gt;0),IFERROR(IF(O13/O14="","",(O13/O14)),""),IF(VLOOKUP(CONCATENATE(A13,O$7),'update Helper'!$G$42:$N$224,5,FALSE)="","",VLOOKUP(CONCATENATE(A13,O$7),'update Helper'!$G$42:$N$224,5,FALSE)/100))),"")</f>
        <v/>
      </c>
      <c r="Q13" s="500"/>
      <c r="R13" s="477"/>
      <c r="S13" s="188">
        <v>1.6</v>
      </c>
      <c r="T13" s="498" t="str">
        <f ca="1">IFERROR(IF(S$7="","",IF(OR(S13&lt;&gt;0,S14&lt;&gt;0),IFERROR(IF(S13/S14="","",(S13/S14)),""),IF(VLOOKUP(CONCATENATE(A13,S$7),'update Helper'!$G$42:$N$224,5,FALSE)="","",VLOOKUP(CONCATENATE(A13,S$7),'update Helper'!$G$42:$N$224,5,FALSE)/100))),"")</f>
        <v/>
      </c>
      <c r="U13" s="500"/>
      <c r="V13" s="477"/>
      <c r="W13" s="188"/>
      <c r="X13" s="498" t="str">
        <f ca="1">IFERROR(IF(W$7="","",IF(OR(W13&lt;&gt;0,W14&lt;&gt;0),IFERROR(IF(W13/W14="","",(W13/W14)),""),IF(VLOOKUP(CONCATENATE(A13,W$7),'update Helper'!$G$42:$N$224,5,FALSE)="","",VLOOKUP(CONCATENATE(A13,W$7),'update Helper'!$G$42:$N$224,5,FALSE)/100))),"")</f>
        <v/>
      </c>
      <c r="Y13" s="500"/>
      <c r="Z13" s="477"/>
      <c r="AA13" s="479" t="s">
        <v>786</v>
      </c>
      <c r="AB13" s="48" t="str">
        <f t="array" ref="AB13">IFERROR(IF(INDEX('Reference Records'!$D$4:$D$24,MATCH(LEFT(B13,255),LEFT('Reference Records'!$C$4:$C$24,255),0))=0,"",INDEX('Reference Records'!$D$4:$D$24,MATCH(LEFT(B13,255),LEFT('Reference Records'!$C$4:$C$24,255),0))),"")</f>
        <v/>
      </c>
      <c r="AC13" s="476" t="str">
        <f>IF(H13&lt;&gt;"",B13&amp;C13,"")</f>
        <v/>
      </c>
      <c r="AD13" s="476" t="b">
        <f>IF(OR(B13&lt;&gt;"",C13&lt;&gt;""),TRUE,FALSE)</f>
        <v>1</v>
      </c>
      <c r="AE13" s="48" t="str">
        <f t="array" ref="AE13">IFERROR(IF(INDEX('Reference Records'!$G$4:$G$24,MATCH(LEFT(B13,255),LEFT('Reference Records'!$C$4:$C$24,255),0))=0,"",INDEX('Reference Records'!$G$4:$G$24,MATCH(LEFT(B13,255),LEFT('Reference Records'!$C$4:$C$24,255),0))),"")</f>
        <v>a1JDm000000k9bpMAA</v>
      </c>
      <c r="AG13" s="48">
        <f>AG11+'update Helper'!$R$2</f>
        <v>56</v>
      </c>
      <c r="AH13" s="48">
        <f t="shared" ref="AH13" si="20">AH11+1</f>
        <v>6</v>
      </c>
      <c r="AO13" s="468" t="str">
        <f t="shared" ref="AO13" ca="1" si="21">IF(AND(BI13="Continue",BJ13="Continue"),"No Error",IF(AND(BI13&lt;&gt;"Continue",BJ13="Continue"),BI13,IF(AND(BJ13&lt;&gt;"Continue",BI13="Continue"),BJ13,CONCATENATE(BI13,CHAR(10),BJ13))))</f>
        <v>No Error</v>
      </c>
      <c r="AP13" s="467" t="str" cm="1">
        <f t="array" ref="AP13">IF(ISBLANK(B13),"Continue",(IF(IFERROR(_xlfn.XMATCH(B13,LEFT('Reference Records'!$I$3:$I$21,32768),0),0)&lt;&gt;0,"Continue","Invalid indicator entry. Select from dropdown list.")))</f>
        <v>Continue</v>
      </c>
      <c r="AQ13" s="467" t="str">
        <f t="shared" ref="AQ13" si="22">IF(SUM(AR13:AV14)=0, "Continue", "Enter valid number only.")</f>
        <v>Continue</v>
      </c>
      <c r="AR13" s="146">
        <f t="shared" si="0"/>
        <v>0</v>
      </c>
      <c r="AS13" s="146">
        <f t="shared" si="1"/>
        <v>0</v>
      </c>
      <c r="AT13" s="146">
        <f t="shared" si="2"/>
        <v>0</v>
      </c>
      <c r="AU13" s="146">
        <f t="shared" si="3"/>
        <v>0</v>
      </c>
      <c r="AV13" s="146">
        <f t="shared" si="4"/>
        <v>0</v>
      </c>
      <c r="AW13" s="467">
        <f t="shared" ref="AW13" ca="1" si="23">IF(NOT(ISBLANK(E13)),IF(E13&lt;&gt;"",(IF(NOT(ISNUMBER(E13)),1,0)),0),0)</f>
        <v>0</v>
      </c>
      <c r="AX13" s="467">
        <f t="shared" ref="AX13" ca="1" si="24">IF(NOT(ISBLANK(L13)),IF(L13&lt;&gt;"",(IF(NOT(ISNUMBER(L13)),1,0)),0),0)</f>
        <v>0</v>
      </c>
      <c r="AY13" s="467">
        <f t="shared" ref="AY13" ca="1" si="25">IF(NOT(ISBLANK(P13)),IF(P13&lt;&gt;"",(IF(NOT(ISNUMBER(P13)),1,0)),0),0)</f>
        <v>0</v>
      </c>
      <c r="AZ13" s="467">
        <f t="shared" ref="AZ13" ca="1" si="26">IF(NOT(ISBLANK(T13)),IF(T13&lt;&gt;"",(IF(NOT(ISNUMBER(T13)),1,0)),0),0)</f>
        <v>0</v>
      </c>
      <c r="BA13" s="467">
        <f t="shared" ref="BA13" ca="1" si="27">IF(NOT(ISBLANK(X13)),IF(X13&lt;&gt;"",(IF(NOT(ISNUMBER(X13)),1,0)),0),0)</f>
        <v>0</v>
      </c>
      <c r="BB13" s="467" t="str">
        <f t="shared" ref="BB13" ca="1" si="28">IF(SUM(AW13:BA14)=0, "Continue", "Enter valid number only.")</f>
        <v>Continue</v>
      </c>
      <c r="BC13" s="467" t="str">
        <f t="shared" ref="BC13" ca="1" si="29">IF(AND(AQ13="Continue",BB13="Continue"),"Continue",IF(AND(AQ13&lt;&gt;"Continue",BB13="Continue"),AQ13,IF(AND(BB13&lt;&gt;"Continue",AQ13="Continue"),BB13,CONCATENATE(AQ13,CHAR(10)))))</f>
        <v>Continue</v>
      </c>
      <c r="BD13" s="155" t="b">
        <f>IFERROR(INDEX('Reference Records'!$O$3:$O$21,MATCH($B13,'Reference Records'!$I$3:$I$21,0)),"")</f>
        <v>0</v>
      </c>
      <c r="BE13" s="126" t="str">
        <f t="shared" ca="1" si="5"/>
        <v>Continue</v>
      </c>
      <c r="BF13" s="126" t="str">
        <f t="shared" si="6"/>
        <v>Continue</v>
      </c>
      <c r="BG13" s="126" t="str">
        <f t="shared" ca="1" si="7"/>
        <v>Continue</v>
      </c>
      <c r="BH13" s="467" t="str">
        <f t="shared" ref="BH13" ca="1" si="30">IF(AND(AP13="Continue",BC13="Continue"),"Continue",IF(AND(AP13&lt;&gt;"Continue",BC13="Continue"),AP13,IF(AND(BC13&lt;&gt;"Continue",AP13="Continue"),BC13,CONCATENATE(AP13,CHAR(10),BC13))))</f>
        <v>Continue</v>
      </c>
      <c r="BI13" s="467" t="str">
        <f t="shared" ref="BI13" si="31">IF(AND(B13="",C13=""),"Continue",
IF(AND(B13="",C13&lt;&gt;""),"Continue",
IF(AND(B13&lt;&gt;"",C13=""),"Continue",
IF(AND(B13&lt;&gt;"",C13&lt;&gt;""),"Cannot enter both standard and custom indicators on the same line."))))</f>
        <v>Continue</v>
      </c>
      <c r="BJ13" s="467" t="str">
        <f t="shared" ref="BJ13" ca="1" si="32">IF(AND(BE13="Continue",BH13="Continue"),"Continue",IF(AND(BE13&lt;&gt;"Continue",BH13="Continue"),BE13,IF(AND(BH13&lt;&gt;"Continue",BE13="Continue"),BH13,CONCATENATE(BE13,CHAR(10),BH13))))</f>
        <v>Continue</v>
      </c>
      <c r="BL13" s="310" t="str">
        <f>IFERROR(IF('Overview - Section A'!$AN$5="Funding Request",
IF(AND('Reference Records'!$B$427&lt;&gt;"",$J13 ='Reference Records'!$B$427),'Reference Records'!$C$427,""),
INDEX('Reference Records'!$A$498:$C$499,MATCH($J13,'Reference Records'!$A$498:$A$499,0),3)),"")</f>
        <v>a1A360000013M2uEAE</v>
      </c>
      <c r="BM13" s="310" t="str" cm="1">
        <f t="array" ref="BM13">IFERROR(IF($B13="", "", IF(INDEX('Reference Records'!$G$4:$G$24,MATCH(LEFT(B13,255),LEFT('Reference Records'!$C$4:$C$24,255),0))=0,"",
INDEX('Reference Records'!$G$4:$G$24,MATCH(LEFT(B13,255),LEFT('Reference Records'!$C$4:$C$24,255),0)))),"")</f>
        <v>a1JDm000000k9bpMAA</v>
      </c>
    </row>
    <row r="14" spans="1:65" ht="30" customHeight="1">
      <c r="A14" s="470"/>
      <c r="B14" s="480"/>
      <c r="C14" s="480"/>
      <c r="D14" s="189"/>
      <c r="E14" s="482"/>
      <c r="F14" s="480"/>
      <c r="G14" s="480"/>
      <c r="H14" s="486"/>
      <c r="I14" s="484"/>
      <c r="J14" s="480"/>
      <c r="K14" s="189"/>
      <c r="L14" s="499"/>
      <c r="M14" s="501"/>
      <c r="N14" s="478"/>
      <c r="O14" s="189"/>
      <c r="P14" s="499"/>
      <c r="Q14" s="501"/>
      <c r="R14" s="478"/>
      <c r="S14" s="189"/>
      <c r="T14" s="499"/>
      <c r="U14" s="501"/>
      <c r="V14" s="478"/>
      <c r="W14" s="189"/>
      <c r="X14" s="499"/>
      <c r="Y14" s="501"/>
      <c r="Z14" s="478"/>
      <c r="AA14" s="480"/>
      <c r="AC14" s="476"/>
      <c r="AD14" s="476"/>
      <c r="AO14" s="468"/>
      <c r="AP14" s="467"/>
      <c r="AQ14" s="467"/>
      <c r="AR14" s="146">
        <f t="shared" si="0"/>
        <v>0</v>
      </c>
      <c r="AS14" s="146">
        <f t="shared" si="1"/>
        <v>0</v>
      </c>
      <c r="AT14" s="146">
        <f t="shared" si="2"/>
        <v>0</v>
      </c>
      <c r="AU14" s="146">
        <f t="shared" si="3"/>
        <v>0</v>
      </c>
      <c r="AV14" s="146">
        <f t="shared" si="4"/>
        <v>0</v>
      </c>
      <c r="AW14" s="467"/>
      <c r="AX14" s="467"/>
      <c r="AY14" s="467"/>
      <c r="AZ14" s="467"/>
      <c r="BA14" s="467"/>
      <c r="BB14" s="467"/>
      <c r="BC14" s="467"/>
      <c r="BD14" s="155" t="str">
        <f>IFERROR(INDEX('Reference Records'!$O$3:$O$21,MATCH($B14,'Reference Records'!$I$3:$I$21,0)),"")</f>
        <v/>
      </c>
      <c r="BE14" s="126" t="str">
        <f t="shared" si="5"/>
        <v>Continue</v>
      </c>
      <c r="BF14" s="126" t="str">
        <f t="shared" si="6"/>
        <v>Continue</v>
      </c>
      <c r="BG14" s="126" t="str">
        <f t="shared" si="7"/>
        <v>Continue</v>
      </c>
      <c r="BH14" s="467"/>
      <c r="BI14" s="467"/>
      <c r="BJ14" s="467"/>
      <c r="BL14" s="310" t="str">
        <f>IFERROR(IF('Overview - Section A'!$AN$5="Funding Request",
IF(AND('Reference Records'!$B$427&lt;&gt;"",$J14 ='Reference Records'!$B$427),'Reference Records'!$C$427,""),
INDEX('Reference Records'!$A$498:$C$499,MATCH($J14,'Reference Records'!$A$498:$A$499,0),3)),"")</f>
        <v/>
      </c>
      <c r="BM14" s="310" t="str" cm="1">
        <f t="array" ref="BM14">IFERROR(IF($B14="", "", IF(INDEX('Reference Records'!$G$4:$G$24,MATCH(LEFT(B14,255),LEFT('Reference Records'!$C$4:$C$24,255),0))=0,"",
INDEX('Reference Records'!$G$4:$G$24,MATCH(LEFT(B14,255),LEFT('Reference Records'!$C$4:$C$24,255),0)))),"")</f>
        <v/>
      </c>
    </row>
    <row r="15" spans="1:65" ht="30" customHeight="1">
      <c r="A15" s="469">
        <v>4</v>
      </c>
      <c r="B15" s="471" t="s">
        <v>787</v>
      </c>
      <c r="C15" s="471"/>
      <c r="D15" s="190"/>
      <c r="E15" s="502">
        <f ca="1">IF(OR(INDIRECT("'update Helper'!D"&amp;AH15)="",D15&lt;&gt;0,D16&lt;&gt;0),IF(IFERROR((D15/D16),"")="","",(D15/D16)),INDIRECT("'update Helper'!D"&amp;AH15)/100)</f>
        <v>7.0999999999999994E-2</v>
      </c>
      <c r="F15" s="471">
        <v>2019</v>
      </c>
      <c r="G15" s="471" t="s">
        <v>788</v>
      </c>
      <c r="H15" s="485" t="str">
        <f>AB15</f>
        <v>Age</v>
      </c>
      <c r="I15" s="504" t="s">
        <v>323</v>
      </c>
      <c r="J15" s="471" t="s">
        <v>781</v>
      </c>
      <c r="K15" s="190"/>
      <c r="L15" s="492" t="str">
        <f ca="1">IFERROR(IF(K$7="","",IF(OR(K15&lt;&gt;0,K16&lt;&gt;0),IFERROR(IF(K15/K16="","",(K15/K16)),""),IF(VLOOKUP(CONCATENATE(A15,K$7),'update Helper'!$G$42:$N$224,5,FALSE)="","",VLOOKUP(CONCATENATE(A15,K$7),'update Helper'!$G$42:$N$224,5,FALSE)/100))),"")</f>
        <v/>
      </c>
      <c r="M15" s="494"/>
      <c r="N15" s="496"/>
      <c r="O15" s="190"/>
      <c r="P15" s="492" t="str">
        <f ca="1">IFERROR(IF(O$7="","",IF(OR(O15&lt;&gt;0,O16&lt;&gt;0),IFERROR(IF(O15/O16="","",(O15/O16)),""),IF(VLOOKUP(CONCATENATE(A15,O$7),'update Helper'!$G$42:$N$224,5,FALSE)="","",VLOOKUP(CONCATENATE(A15,O$7),'update Helper'!$G$42:$N$224,5,FALSE)/100))),"")</f>
        <v/>
      </c>
      <c r="Q15" s="494"/>
      <c r="R15" s="496" t="s">
        <v>665</v>
      </c>
      <c r="S15" s="190"/>
      <c r="T15" s="492" t="str">
        <f ca="1">IFERROR(IF(S$7="","",IF(OR(S15&lt;&gt;0,S16&lt;&gt;0),IFERROR(IF(S15/S16="","",(S15/S16)),""),IF(VLOOKUP(CONCATENATE(A15,S$7),'update Helper'!$G$42:$N$224,5,FALSE)="","",VLOOKUP(CONCATENATE(A15,S$7),'update Helper'!$G$42:$N$224,5,FALSE)/100))),"")</f>
        <v/>
      </c>
      <c r="U15" s="494"/>
      <c r="V15" s="496"/>
      <c r="W15" s="190"/>
      <c r="X15" s="492" t="str">
        <f ca="1">IFERROR(IF(W$7="","",IF(OR(W15&lt;&gt;0,W16&lt;&gt;0),IFERROR(IF(W15/W16="","",(W15/W16)),""),IF(VLOOKUP(CONCATENATE(A15,W$7),'update Helper'!$G$42:$N$224,5,FALSE)="","",VLOOKUP(CONCATENATE(A15,W$7),'update Helper'!$G$42:$N$224,5,FALSE)/100))),"")</f>
        <v/>
      </c>
      <c r="Y15" s="494"/>
      <c r="Z15" s="496"/>
      <c r="AA15" s="471" t="s">
        <v>789</v>
      </c>
      <c r="AB15" s="48" t="str">
        <f t="array" ref="AB15">IFERROR(IF(INDEX('Reference Records'!$D$4:$D$24,MATCH(LEFT(B15,255),LEFT('Reference Records'!$C$4:$C$24,255),0))=0,"",INDEX('Reference Records'!$D$4:$D$24,MATCH(LEFT(B15,255),LEFT('Reference Records'!$C$4:$C$24,255),0))),"")</f>
        <v>Age</v>
      </c>
      <c r="AC15" s="476" t="str">
        <f>IF(H15&lt;&gt;"",B15&amp;C15,"")</f>
        <v>HIV I-9a Percentage of men who have sex with men who are living with HIV</v>
      </c>
      <c r="AD15" s="476" t="b">
        <f>IF(OR(B15&lt;&gt;"",C15&lt;&gt;""),TRUE,FALSE)</f>
        <v>1</v>
      </c>
      <c r="AE15" s="48" t="str">
        <f t="array" ref="AE15">IFERROR(IF(INDEX('Reference Records'!$G$4:$G$24,MATCH(LEFT(B15,255),LEFT('Reference Records'!$C$4:$C$24,255),0))=0,"",INDEX('Reference Records'!$G$4:$G$24,MATCH(LEFT(B15,255),LEFT('Reference Records'!$C$4:$C$24,255),0))),"")</f>
        <v>a1JDm000000k9bgMAA</v>
      </c>
      <c r="AG15" s="48">
        <f>AG13+'update Helper'!$R$2</f>
        <v>62</v>
      </c>
      <c r="AH15" s="48">
        <f t="shared" ref="AH15" si="33">AH13+1</f>
        <v>7</v>
      </c>
      <c r="AO15" s="468" t="str">
        <f t="shared" ref="AO15" ca="1" si="34">IF(AND(BI15="Continue",BJ15="Continue"),"No Error",IF(AND(BI15&lt;&gt;"Continue",BJ15="Continue"),BI15,IF(AND(BJ15&lt;&gt;"Continue",BI15="Continue"),BJ15,CONCATENATE(BI15,CHAR(10),BJ15))))</f>
        <v>No Error</v>
      </c>
      <c r="AP15" s="467" t="str" cm="1">
        <f t="array" ref="AP15">IF(ISBLANK(B15),"Continue",(IF(IFERROR(_xlfn.XMATCH(B15,LEFT('Reference Records'!$I$3:$I$21,32768),0),0)&lt;&gt;0,"Continue","Invalid indicator entry. Select from dropdown list.")))</f>
        <v>Continue</v>
      </c>
      <c r="AQ15" s="467" t="str">
        <f t="shared" ref="AQ15" si="35">IF(SUM(AR15:AV16)=0, "Continue", "Enter valid number only.")</f>
        <v>Continue</v>
      </c>
      <c r="AR15" s="146">
        <f t="shared" si="0"/>
        <v>0</v>
      </c>
      <c r="AS15" s="146">
        <f t="shared" si="1"/>
        <v>0</v>
      </c>
      <c r="AT15" s="146">
        <f t="shared" si="2"/>
        <v>0</v>
      </c>
      <c r="AU15" s="146">
        <f t="shared" si="3"/>
        <v>0</v>
      </c>
      <c r="AV15" s="146">
        <f t="shared" si="4"/>
        <v>0</v>
      </c>
      <c r="AW15" s="467">
        <f t="shared" ref="AW15" ca="1" si="36">IF(NOT(ISBLANK(E15)),IF(E15&lt;&gt;"",(IF(NOT(ISNUMBER(E15)),1,0)),0),0)</f>
        <v>0</v>
      </c>
      <c r="AX15" s="467">
        <f t="shared" ref="AX15" ca="1" si="37">IF(NOT(ISBLANK(L15)),IF(L15&lt;&gt;"",(IF(NOT(ISNUMBER(L15)),1,0)),0),0)</f>
        <v>0</v>
      </c>
      <c r="AY15" s="467">
        <f t="shared" ref="AY15" ca="1" si="38">IF(NOT(ISBLANK(P15)),IF(P15&lt;&gt;"",(IF(NOT(ISNUMBER(P15)),1,0)),0),0)</f>
        <v>0</v>
      </c>
      <c r="AZ15" s="467">
        <f t="shared" ref="AZ15" ca="1" si="39">IF(NOT(ISBLANK(T15)),IF(T15&lt;&gt;"",(IF(NOT(ISNUMBER(T15)),1,0)),0),0)</f>
        <v>0</v>
      </c>
      <c r="BA15" s="467">
        <f t="shared" ref="BA15" ca="1" si="40">IF(NOT(ISBLANK(X15)),IF(X15&lt;&gt;"",(IF(NOT(ISNUMBER(X15)),1,0)),0),0)</f>
        <v>0</v>
      </c>
      <c r="BB15" s="467" t="str">
        <f t="shared" ref="BB15" ca="1" si="41">IF(SUM(AW15:BA16)=0, "Continue", "Enter valid number only.")</f>
        <v>Continue</v>
      </c>
      <c r="BC15" s="467" t="str">
        <f t="shared" ref="BC15" ca="1" si="42">IF(AND(AQ15="Continue",BB15="Continue"),"Continue",IF(AND(AQ15&lt;&gt;"Continue",BB15="Continue"),AQ15,IF(AND(BB15&lt;&gt;"Continue",AQ15="Continue"),BB15,CONCATENATE(AQ15,CHAR(10)))))</f>
        <v>Continue</v>
      </c>
      <c r="BD15" s="155" t="b">
        <f>IFERROR(INDEX('Reference Records'!$O$3:$O$21,MATCH($B15,'Reference Records'!$I$3:$I$21,0)),"")</f>
        <v>0</v>
      </c>
      <c r="BE15" s="126" t="str">
        <f t="shared" ca="1" si="5"/>
        <v>Continue</v>
      </c>
      <c r="BF15" s="126" t="str">
        <f t="shared" si="6"/>
        <v>Continue</v>
      </c>
      <c r="BG15" s="126" t="str">
        <f t="shared" ca="1" si="7"/>
        <v>Continue</v>
      </c>
      <c r="BH15" s="467" t="str">
        <f t="shared" ref="BH15" ca="1" si="43">IF(AND(AP15="Continue",BC15="Continue"),"Continue",IF(AND(AP15&lt;&gt;"Continue",BC15="Continue"),AP15,IF(AND(BC15&lt;&gt;"Continue",AP15="Continue"),BC15,CONCATENATE(AP15,CHAR(10),BC15))))</f>
        <v>Continue</v>
      </c>
      <c r="BI15" s="467" t="str">
        <f t="shared" ref="BI15" si="44">IF(AND(B15="",C15=""),"Continue",
IF(AND(B15="",C15&lt;&gt;""),"Continue",
IF(AND(B15&lt;&gt;"",C15=""),"Continue",
IF(AND(B15&lt;&gt;"",C15&lt;&gt;""),"Cannot enter both standard and custom indicators on the same line."))))</f>
        <v>Continue</v>
      </c>
      <c r="BJ15" s="467" t="str">
        <f t="shared" ref="BJ15" ca="1" si="45">IF(AND(BE15="Continue",BH15="Continue"),"Continue",IF(AND(BE15&lt;&gt;"Continue",BH15="Continue"),BE15,IF(AND(BH15&lt;&gt;"Continue",BE15="Continue"),BH15,CONCATENATE(BE15,CHAR(10),BH15))))</f>
        <v>Continue</v>
      </c>
      <c r="BL15" s="310" t="str">
        <f>IFERROR(IF('Overview - Section A'!$AN$5="Funding Request",
IF(AND('Reference Records'!$B$427&lt;&gt;"",$J15 ='Reference Records'!$B$427),'Reference Records'!$C$427,""),
INDEX('Reference Records'!$A$498:$C$499,MATCH($J15,'Reference Records'!$A$498:$A$499,0),3)),"")</f>
        <v>a1A360000013M2uEAE</v>
      </c>
      <c r="BM15" s="310" t="str" cm="1">
        <f t="array" ref="BM15">IFERROR(IF($B15="", "", IF(INDEX('Reference Records'!$G$4:$G$24,MATCH(LEFT(B15,255),LEFT('Reference Records'!$C$4:$C$24,255),0))=0,"",
INDEX('Reference Records'!$G$4:$G$24,MATCH(LEFT(B15,255),LEFT('Reference Records'!$C$4:$C$24,255),0)))),"")</f>
        <v>a1JDm000000k9bgMAA</v>
      </c>
    </row>
    <row r="16" spans="1:65" ht="30" customHeight="1">
      <c r="A16" s="470"/>
      <c r="B16" s="472"/>
      <c r="C16" s="472"/>
      <c r="D16" s="191"/>
      <c r="E16" s="503"/>
      <c r="F16" s="472"/>
      <c r="G16" s="472"/>
      <c r="H16" s="486"/>
      <c r="I16" s="505"/>
      <c r="J16" s="472"/>
      <c r="K16" s="191"/>
      <c r="L16" s="493"/>
      <c r="M16" s="495"/>
      <c r="N16" s="497"/>
      <c r="O16" s="191"/>
      <c r="P16" s="493"/>
      <c r="Q16" s="495"/>
      <c r="R16" s="497"/>
      <c r="S16" s="191"/>
      <c r="T16" s="493"/>
      <c r="U16" s="495"/>
      <c r="V16" s="497"/>
      <c r="W16" s="191"/>
      <c r="X16" s="493"/>
      <c r="Y16" s="495"/>
      <c r="Z16" s="497"/>
      <c r="AA16" s="472"/>
      <c r="AC16" s="476"/>
      <c r="AD16" s="476"/>
      <c r="AO16" s="468"/>
      <c r="AP16" s="467"/>
      <c r="AQ16" s="467"/>
      <c r="AR16" s="146">
        <f t="shared" si="0"/>
        <v>0</v>
      </c>
      <c r="AS16" s="146">
        <f t="shared" si="1"/>
        <v>0</v>
      </c>
      <c r="AT16" s="146">
        <f t="shared" si="2"/>
        <v>0</v>
      </c>
      <c r="AU16" s="146">
        <f t="shared" si="3"/>
        <v>0</v>
      </c>
      <c r="AV16" s="146">
        <f t="shared" si="4"/>
        <v>0</v>
      </c>
      <c r="AW16" s="467"/>
      <c r="AX16" s="467"/>
      <c r="AY16" s="467"/>
      <c r="AZ16" s="467"/>
      <c r="BA16" s="467"/>
      <c r="BB16" s="467"/>
      <c r="BC16" s="467"/>
      <c r="BD16" s="155" t="str">
        <f>IFERROR(INDEX('Reference Records'!$O$3:$O$21,MATCH($B16,'Reference Records'!$I$3:$I$21,0)),"")</f>
        <v/>
      </c>
      <c r="BE16" s="126" t="str">
        <f t="shared" si="5"/>
        <v>Continue</v>
      </c>
      <c r="BF16" s="126" t="str">
        <f t="shared" si="6"/>
        <v>Continue</v>
      </c>
      <c r="BG16" s="126" t="str">
        <f t="shared" si="7"/>
        <v>Continue</v>
      </c>
      <c r="BH16" s="467"/>
      <c r="BI16" s="467"/>
      <c r="BJ16" s="467"/>
      <c r="BL16" s="310" t="str">
        <f>IFERROR(IF('Overview - Section A'!$AN$5="Funding Request",
IF(AND('Reference Records'!$B$427&lt;&gt;"",$J16 ='Reference Records'!$B$427),'Reference Records'!$C$427,""),
INDEX('Reference Records'!$A$498:$C$499,MATCH($J16,'Reference Records'!$A$498:$A$499,0),3)),"")</f>
        <v/>
      </c>
      <c r="BM16" s="310" t="str" cm="1">
        <f t="array" ref="BM16">IFERROR(IF($B16="", "", IF(INDEX('Reference Records'!$G$4:$G$24,MATCH(LEFT(B16,255),LEFT('Reference Records'!$C$4:$C$24,255),0))=0,"",
INDEX('Reference Records'!$G$4:$G$24,MATCH(LEFT(B16,255),LEFT('Reference Records'!$C$4:$C$24,255),0)))),"")</f>
        <v/>
      </c>
    </row>
    <row r="17" spans="1:65" ht="30" customHeight="1">
      <c r="A17" s="469">
        <v>5</v>
      </c>
      <c r="B17" s="479" t="s">
        <v>790</v>
      </c>
      <c r="C17" s="479"/>
      <c r="D17" s="188"/>
      <c r="E17" s="481">
        <f ca="1">IF(OR(INDIRECT("'update Helper'!D"&amp;AH17)="",D17&lt;&gt;0,D18&lt;&gt;0),IF(IFERROR((D17/D18),"")="","",(D17/D18)),INDIRECT("'update Helper'!D"&amp;AH17)/100)</f>
        <v>7.6999999999999999E-2</v>
      </c>
      <c r="F17" s="479">
        <v>2019</v>
      </c>
      <c r="G17" s="479" t="s">
        <v>788</v>
      </c>
      <c r="H17" s="485" t="str">
        <f>AB17</f>
        <v>Gender,Age</v>
      </c>
      <c r="I17" s="483" t="s">
        <v>323</v>
      </c>
      <c r="J17" s="479" t="s">
        <v>781</v>
      </c>
      <c r="K17" s="188"/>
      <c r="L17" s="498" t="str">
        <f ca="1">IFERROR(IF(K$7="","",IF(OR(K17&lt;&gt;0,K18&lt;&gt;0),IFERROR(IF(K17/K18="","",(K17/K18)),""),IF(VLOOKUP(CONCATENATE(A17,K$7),'update Helper'!$G$42:$N$224,5,FALSE)="","",VLOOKUP(CONCATENATE(A17,K$7),'update Helper'!$G$42:$N$224,5,FALSE)/100))),"")</f>
        <v/>
      </c>
      <c r="M17" s="500"/>
      <c r="N17" s="477"/>
      <c r="O17" s="188"/>
      <c r="P17" s="498" t="str">
        <f ca="1">IFERROR(IF(O$7="","",IF(OR(O17&lt;&gt;0,O18&lt;&gt;0),IFERROR(IF(O17/O18="","",(O17/O18)),""),IF(VLOOKUP(CONCATENATE(A17,O$7),'update Helper'!$G$42:$N$224,5,FALSE)="","",VLOOKUP(CONCATENATE(A17,O$7),'update Helper'!$G$42:$N$224,5,FALSE)/100))),"")</f>
        <v/>
      </c>
      <c r="Q17" s="500"/>
      <c r="R17" s="477" t="s">
        <v>665</v>
      </c>
      <c r="S17" s="188"/>
      <c r="T17" s="498" t="str">
        <f ca="1">IFERROR(IF(S$7="","",IF(OR(S17&lt;&gt;0,S18&lt;&gt;0),IFERROR(IF(S17/S18="","",(S17/S18)),""),IF(VLOOKUP(CONCATENATE(A17,S$7),'update Helper'!$G$42:$N$224,5,FALSE)="","",VLOOKUP(CONCATENATE(A17,S$7),'update Helper'!$G$42:$N$224,5,FALSE)/100))),"")</f>
        <v/>
      </c>
      <c r="U17" s="500"/>
      <c r="V17" s="477"/>
      <c r="W17" s="188"/>
      <c r="X17" s="498" t="str">
        <f ca="1">IFERROR(IF(W$7="","",IF(OR(W17&lt;&gt;0,W18&lt;&gt;0),IFERROR(IF(W17/W18="","",(W17/W18)),""),IF(VLOOKUP(CONCATENATE(A17,W$7),'update Helper'!$G$42:$N$224,5,FALSE)="","",VLOOKUP(CONCATENATE(A17,W$7),'update Helper'!$G$42:$N$224,5,FALSE)/100))),"")</f>
        <v/>
      </c>
      <c r="Y17" s="500"/>
      <c r="Z17" s="477"/>
      <c r="AA17" s="479" t="s">
        <v>789</v>
      </c>
      <c r="AB17" s="48" t="str">
        <f t="array" ref="AB17">IFERROR(IF(INDEX('Reference Records'!$D$4:$D$24,MATCH(LEFT(B17,255),LEFT('Reference Records'!$C$4:$C$24,255),0))=0,"",INDEX('Reference Records'!$D$4:$D$24,MATCH(LEFT(B17,255),LEFT('Reference Records'!$C$4:$C$24,255),0))),"")</f>
        <v>Gender,Age</v>
      </c>
      <c r="AC17" s="476" t="str">
        <f>IF(H17&lt;&gt;"",B17&amp;C17,"")</f>
        <v>HIV I-10 Percentage of sex workers who are living with HIV</v>
      </c>
      <c r="AD17" s="476" t="b">
        <f>IF(OR(B17&lt;&gt;"",C17&lt;&gt;""),TRUE,FALSE)</f>
        <v>1</v>
      </c>
      <c r="AE17" s="48" t="str">
        <f t="array" ref="AE17">IFERROR(IF(INDEX('Reference Records'!$G$4:$G$24,MATCH(LEFT(B17,255),LEFT('Reference Records'!$C$4:$C$24,255),0))=0,"",INDEX('Reference Records'!$G$4:$G$24,MATCH(LEFT(B17,255),LEFT('Reference Records'!$C$4:$C$24,255),0))),"")</f>
        <v>a1JDm000000k9biMAA</v>
      </c>
      <c r="AG17" s="48">
        <f>AG15+'update Helper'!$R$2</f>
        <v>68</v>
      </c>
      <c r="AH17" s="48">
        <f t="shared" ref="AH17" si="46">AH15+1</f>
        <v>8</v>
      </c>
      <c r="AO17" s="468" t="str">
        <f t="shared" ref="AO17" ca="1" si="47">IF(AND(BI17="Continue",BJ17="Continue"),"No Error",IF(AND(BI17&lt;&gt;"Continue",BJ17="Continue"),BI17,IF(AND(BJ17&lt;&gt;"Continue",BI17="Continue"),BJ17,CONCATENATE(BI17,CHAR(10),BJ17))))</f>
        <v>No Error</v>
      </c>
      <c r="AP17" s="467" t="str" cm="1">
        <f t="array" ref="AP17">IF(ISBLANK(B17),"Continue",(IF(IFERROR(_xlfn.XMATCH(B17,LEFT('Reference Records'!$I$3:$I$21,32768),0),0)&lt;&gt;0,"Continue","Invalid indicator entry. Select from dropdown list.")))</f>
        <v>Continue</v>
      </c>
      <c r="AQ17" s="467" t="str">
        <f t="shared" ref="AQ17" si="48">IF(SUM(AR17:AV18)=0, "Continue", "Enter valid number only.")</f>
        <v>Continue</v>
      </c>
      <c r="AR17" s="146">
        <f t="shared" si="0"/>
        <v>0</v>
      </c>
      <c r="AS17" s="146">
        <f t="shared" si="1"/>
        <v>0</v>
      </c>
      <c r="AT17" s="146">
        <f t="shared" si="2"/>
        <v>0</v>
      </c>
      <c r="AU17" s="146">
        <f t="shared" si="3"/>
        <v>0</v>
      </c>
      <c r="AV17" s="146">
        <f t="shared" si="4"/>
        <v>0</v>
      </c>
      <c r="AW17" s="467">
        <f t="shared" ref="AW17" ca="1" si="49">IF(NOT(ISBLANK(E17)),IF(E17&lt;&gt;"",(IF(NOT(ISNUMBER(E17)),1,0)),0),0)</f>
        <v>0</v>
      </c>
      <c r="AX17" s="467">
        <f t="shared" ref="AX17" ca="1" si="50">IF(NOT(ISBLANK(L17)),IF(L17&lt;&gt;"",(IF(NOT(ISNUMBER(L17)),1,0)),0),0)</f>
        <v>0</v>
      </c>
      <c r="AY17" s="467">
        <f t="shared" ref="AY17" ca="1" si="51">IF(NOT(ISBLANK(P17)),IF(P17&lt;&gt;"",(IF(NOT(ISNUMBER(P17)),1,0)),0),0)</f>
        <v>0</v>
      </c>
      <c r="AZ17" s="467">
        <f t="shared" ref="AZ17" ca="1" si="52">IF(NOT(ISBLANK(T17)),IF(T17&lt;&gt;"",(IF(NOT(ISNUMBER(T17)),1,0)),0),0)</f>
        <v>0</v>
      </c>
      <c r="BA17" s="467">
        <f t="shared" ref="BA17" ca="1" si="53">IF(NOT(ISBLANK(X17)),IF(X17&lt;&gt;"",(IF(NOT(ISNUMBER(X17)),1,0)),0),0)</f>
        <v>0</v>
      </c>
      <c r="BB17" s="467" t="str">
        <f t="shared" ref="BB17" ca="1" si="54">IF(SUM(AW17:BA18)=0, "Continue", "Enter valid number only.")</f>
        <v>Continue</v>
      </c>
      <c r="BC17" s="467" t="str">
        <f t="shared" ref="BC17" ca="1" si="55">IF(AND(AQ17="Continue",BB17="Continue"),"Continue",IF(AND(AQ17&lt;&gt;"Continue",BB17="Continue"),AQ17,IF(AND(BB17&lt;&gt;"Continue",AQ17="Continue"),BB17,CONCATENATE(AQ17,CHAR(10)))))</f>
        <v>Continue</v>
      </c>
      <c r="BD17" s="155" t="b">
        <f>IFERROR(INDEX('Reference Records'!$O$3:$O$21,MATCH($B17,'Reference Records'!$I$3:$I$21,0)),"")</f>
        <v>0</v>
      </c>
      <c r="BE17" s="126" t="str">
        <f t="shared" ca="1" si="5"/>
        <v>Continue</v>
      </c>
      <c r="BF17" s="126" t="str">
        <f t="shared" si="6"/>
        <v>Continue</v>
      </c>
      <c r="BG17" s="126" t="str">
        <f t="shared" ca="1" si="7"/>
        <v>Continue</v>
      </c>
      <c r="BH17" s="467" t="str">
        <f t="shared" ref="BH17" ca="1" si="56">IF(AND(AP17="Continue",BC17="Continue"),"Continue",IF(AND(AP17&lt;&gt;"Continue",BC17="Continue"),AP17,IF(AND(BC17&lt;&gt;"Continue",AP17="Continue"),BC17,CONCATENATE(AP17,CHAR(10),BC17))))</f>
        <v>Continue</v>
      </c>
      <c r="BI17" s="467" t="str">
        <f t="shared" ref="BI17" si="57">IF(AND(B17="",C17=""),"Continue",
IF(AND(B17="",C17&lt;&gt;""),"Continue",
IF(AND(B17&lt;&gt;"",C17=""),"Continue",
IF(AND(B17&lt;&gt;"",C17&lt;&gt;""),"Cannot enter both standard and custom indicators on the same line."))))</f>
        <v>Continue</v>
      </c>
      <c r="BJ17" s="467" t="str">
        <f t="shared" ref="BJ17" ca="1" si="58">IF(AND(BE17="Continue",BH17="Continue"),"Continue",IF(AND(BE17&lt;&gt;"Continue",BH17="Continue"),BE17,IF(AND(BH17&lt;&gt;"Continue",BE17="Continue"),BH17,CONCATENATE(BE17,CHAR(10),BH17))))</f>
        <v>Continue</v>
      </c>
      <c r="BL17" s="310" t="str">
        <f>IFERROR(IF('Overview - Section A'!$AN$5="Funding Request",
IF(AND('Reference Records'!$B$427&lt;&gt;"",$J17 ='Reference Records'!$B$427),'Reference Records'!$C$427,""),
INDEX('Reference Records'!$A$498:$C$499,MATCH($J17,'Reference Records'!$A$498:$A$499,0),3)),"")</f>
        <v>a1A360000013M2uEAE</v>
      </c>
      <c r="BM17" s="310" t="str" cm="1">
        <f t="array" ref="BM17">IFERROR(IF($B17="", "", IF(INDEX('Reference Records'!$G$4:$G$24,MATCH(LEFT(B17,255),LEFT('Reference Records'!$C$4:$C$24,255),0))=0,"",
INDEX('Reference Records'!$G$4:$G$24,MATCH(LEFT(B17,255),LEFT('Reference Records'!$C$4:$C$24,255),0)))),"")</f>
        <v>a1JDm000000k9biMAA</v>
      </c>
    </row>
    <row r="18" spans="1:65" ht="30" customHeight="1">
      <c r="A18" s="470"/>
      <c r="B18" s="480"/>
      <c r="C18" s="480"/>
      <c r="D18" s="189"/>
      <c r="E18" s="482"/>
      <c r="F18" s="480"/>
      <c r="G18" s="480"/>
      <c r="H18" s="486"/>
      <c r="I18" s="484"/>
      <c r="J18" s="480"/>
      <c r="K18" s="189"/>
      <c r="L18" s="499"/>
      <c r="M18" s="501"/>
      <c r="N18" s="478"/>
      <c r="O18" s="189"/>
      <c r="P18" s="499"/>
      <c r="Q18" s="501"/>
      <c r="R18" s="478"/>
      <c r="S18" s="189"/>
      <c r="T18" s="499"/>
      <c r="U18" s="501"/>
      <c r="V18" s="478"/>
      <c r="W18" s="189"/>
      <c r="X18" s="499"/>
      <c r="Y18" s="501"/>
      <c r="Z18" s="478"/>
      <c r="AA18" s="480"/>
      <c r="AC18" s="476"/>
      <c r="AD18" s="476"/>
      <c r="AO18" s="468"/>
      <c r="AP18" s="467"/>
      <c r="AQ18" s="467"/>
      <c r="AR18" s="146">
        <f t="shared" si="0"/>
        <v>0</v>
      </c>
      <c r="AS18" s="146">
        <f t="shared" si="1"/>
        <v>0</v>
      </c>
      <c r="AT18" s="146">
        <f t="shared" si="2"/>
        <v>0</v>
      </c>
      <c r="AU18" s="146">
        <f t="shared" si="3"/>
        <v>0</v>
      </c>
      <c r="AV18" s="146">
        <f t="shared" si="4"/>
        <v>0</v>
      </c>
      <c r="AW18" s="467"/>
      <c r="AX18" s="467"/>
      <c r="AY18" s="467"/>
      <c r="AZ18" s="467"/>
      <c r="BA18" s="467"/>
      <c r="BB18" s="467"/>
      <c r="BC18" s="467"/>
      <c r="BD18" s="155" t="str">
        <f>IFERROR(INDEX('Reference Records'!$O$3:$O$21,MATCH($B18,'Reference Records'!$I$3:$I$21,0)),"")</f>
        <v/>
      </c>
      <c r="BE18" s="126" t="str">
        <f t="shared" si="5"/>
        <v>Continue</v>
      </c>
      <c r="BF18" s="126" t="str">
        <f t="shared" si="6"/>
        <v>Continue</v>
      </c>
      <c r="BG18" s="126" t="str">
        <f t="shared" si="7"/>
        <v>Continue</v>
      </c>
      <c r="BH18" s="467"/>
      <c r="BI18" s="467"/>
      <c r="BJ18" s="467"/>
      <c r="BL18" s="310" t="str">
        <f>IFERROR(IF('Overview - Section A'!$AN$5="Funding Request",
IF(AND('Reference Records'!$B$427&lt;&gt;"",$J18 ='Reference Records'!$B$427),'Reference Records'!$C$427,""),
INDEX('Reference Records'!$A$498:$C$499,MATCH($J18,'Reference Records'!$A$498:$A$499,0),3)),"")</f>
        <v/>
      </c>
      <c r="BM18" s="310" t="str" cm="1">
        <f t="array" ref="BM18">IFERROR(IF($B18="", "", IF(INDEX('Reference Records'!$G$4:$G$24,MATCH(LEFT(B18,255),LEFT('Reference Records'!$C$4:$C$24,255),0))=0,"",
INDEX('Reference Records'!$G$4:$G$24,MATCH(LEFT(B18,255),LEFT('Reference Records'!$C$4:$C$24,255),0)))),"")</f>
        <v/>
      </c>
    </row>
    <row r="19" spans="1:65" ht="30" customHeight="1">
      <c r="A19" s="469">
        <v>6</v>
      </c>
      <c r="B19" s="471" t="s">
        <v>791</v>
      </c>
      <c r="C19" s="471"/>
      <c r="D19" s="190"/>
      <c r="E19" s="502" t="str">
        <f ca="1">IF(OR(INDIRECT("'update Helper'!D"&amp;AH19)="",D19&lt;&gt;0,D20&lt;&gt;0),IF(IFERROR((D19/D20),"")="","",(D19/D20)),INDIRECT("'update Helper'!D"&amp;AH19)/100)</f>
        <v/>
      </c>
      <c r="F19" s="471"/>
      <c r="G19" s="471" t="s">
        <v>792</v>
      </c>
      <c r="H19" s="485" t="str">
        <f>AB19</f>
        <v>Age</v>
      </c>
      <c r="I19" s="504" t="s">
        <v>323</v>
      </c>
      <c r="J19" s="471" t="s">
        <v>781</v>
      </c>
      <c r="K19" s="190"/>
      <c r="L19" s="492" t="str">
        <f ca="1">IFERROR(IF(K$7="","",IF(OR(K19&lt;&gt;0,K20&lt;&gt;0),IFERROR(IF(K19/K20="","",(K19/K20)),""),IF(VLOOKUP(CONCATENATE(A19,K$7),'update Helper'!$G$42:$N$224,5,FALSE)="","",VLOOKUP(CONCATENATE(A19,K$7),'update Helper'!$G$42:$N$224,5,FALSE)/100))),"")</f>
        <v/>
      </c>
      <c r="M19" s="494"/>
      <c r="N19" s="496"/>
      <c r="O19" s="190"/>
      <c r="P19" s="492" t="str">
        <f ca="1">IFERROR(IF(O$7="","",IF(OR(O19&lt;&gt;0,O20&lt;&gt;0),IFERROR(IF(O19/O20="","",(O19/O20)),""),IF(VLOOKUP(CONCATENATE(A19,O$7),'update Helper'!$G$42:$N$224,5,FALSE)="","",VLOOKUP(CONCATENATE(A19,O$7),'update Helper'!$G$42:$N$224,5,FALSE)/100))),"")</f>
        <v/>
      </c>
      <c r="Q19" s="494"/>
      <c r="R19" s="496" t="s">
        <v>665</v>
      </c>
      <c r="S19" s="190"/>
      <c r="T19" s="492" t="str">
        <f ca="1">IFERROR(IF(S$7="","",IF(OR(S19&lt;&gt;0,S20&lt;&gt;0),IFERROR(IF(S19/S20="","",(S19/S20)),""),IF(VLOOKUP(CONCATENATE(A19,S$7),'update Helper'!$G$42:$N$224,5,FALSE)="","",VLOOKUP(CONCATENATE(A19,S$7),'update Helper'!$G$42:$N$224,5,FALSE)/100))),"")</f>
        <v/>
      </c>
      <c r="U19" s="494"/>
      <c r="V19" s="496"/>
      <c r="W19" s="190"/>
      <c r="X19" s="492" t="str">
        <f ca="1">IFERROR(IF(W$7="","",IF(OR(W19&lt;&gt;0,W20&lt;&gt;0),IFERROR(IF(W19/W20="","",(W19/W20)),""),IF(VLOOKUP(CONCATENATE(A19,W$7),'update Helper'!$G$42:$N$224,5,FALSE)="","",VLOOKUP(CONCATENATE(A19,W$7),'update Helper'!$G$42:$N$224,5,FALSE)/100))),"")</f>
        <v/>
      </c>
      <c r="Y19" s="494"/>
      <c r="Z19" s="496"/>
      <c r="AA19" s="471" t="s">
        <v>789</v>
      </c>
      <c r="AB19" s="48" t="str">
        <f t="array" ref="AB19">IFERROR(IF(INDEX('Reference Records'!$D$4:$D$24,MATCH(LEFT(B19,255),LEFT('Reference Records'!$C$4:$C$24,255),0))=0,"",INDEX('Reference Records'!$D$4:$D$24,MATCH(LEFT(B19,255),LEFT('Reference Records'!$C$4:$C$24,255),0))),"")</f>
        <v>Age</v>
      </c>
      <c r="AC19" s="476" t="str">
        <f>IF(H19&lt;&gt;"",B19&amp;C19,"")</f>
        <v>HIV I-9b Percentage of transgender people who are living with HIV</v>
      </c>
      <c r="AD19" s="476" t="b">
        <f>IF(OR(B19&lt;&gt;"",C19&lt;&gt;""),TRUE,FALSE)</f>
        <v>1</v>
      </c>
      <c r="AE19" s="48" t="str">
        <f t="array" ref="AE19">IFERROR(IF(INDEX('Reference Records'!$G$4:$G$24,MATCH(LEFT(B19,255),LEFT('Reference Records'!$C$4:$C$24,255),0))=0,"",INDEX('Reference Records'!$G$4:$G$24,MATCH(LEFT(B19,255),LEFT('Reference Records'!$C$4:$C$24,255),0))),"")</f>
        <v>a1JDm000000k9bhMAA</v>
      </c>
      <c r="AG19" s="48">
        <f>AG17+'update Helper'!$R$2</f>
        <v>74</v>
      </c>
      <c r="AH19" s="48">
        <f t="shared" ref="AH19" si="59">AH17+1</f>
        <v>9</v>
      </c>
      <c r="AO19" s="468" t="str">
        <f t="shared" ref="AO19" ca="1" si="60">IF(AND(BI19="Continue",BJ19="Continue"),"No Error",IF(AND(BI19&lt;&gt;"Continue",BJ19="Continue"),BI19,IF(AND(BJ19&lt;&gt;"Continue",BI19="Continue"),BJ19,CONCATENATE(BI19,CHAR(10),BJ19))))</f>
        <v>No Error</v>
      </c>
      <c r="AP19" s="467" t="str" cm="1">
        <f t="array" ref="AP19">IF(ISBLANK(B19),"Continue",(IF(IFERROR(_xlfn.XMATCH(B19,LEFT('Reference Records'!$I$3:$I$21,32768),0),0)&lt;&gt;0,"Continue","Invalid indicator entry. Select from dropdown list.")))</f>
        <v>Continue</v>
      </c>
      <c r="AQ19" s="467" t="str">
        <f t="shared" ref="AQ19" si="61">IF(SUM(AR19:AV20)=0, "Continue", "Enter valid number only.")</f>
        <v>Continue</v>
      </c>
      <c r="AR19" s="146">
        <f t="shared" si="0"/>
        <v>0</v>
      </c>
      <c r="AS19" s="146">
        <f t="shared" si="1"/>
        <v>0</v>
      </c>
      <c r="AT19" s="146">
        <f t="shared" si="2"/>
        <v>0</v>
      </c>
      <c r="AU19" s="146">
        <f t="shared" si="3"/>
        <v>0</v>
      </c>
      <c r="AV19" s="146">
        <f t="shared" si="4"/>
        <v>0</v>
      </c>
      <c r="AW19" s="467">
        <f t="shared" ref="AW19" ca="1" si="62">IF(NOT(ISBLANK(E19)),IF(E19&lt;&gt;"",(IF(NOT(ISNUMBER(E19)),1,0)),0),0)</f>
        <v>0</v>
      </c>
      <c r="AX19" s="467">
        <f t="shared" ref="AX19" ca="1" si="63">IF(NOT(ISBLANK(L19)),IF(L19&lt;&gt;"",(IF(NOT(ISNUMBER(L19)),1,0)),0),0)</f>
        <v>0</v>
      </c>
      <c r="AY19" s="467">
        <f t="shared" ref="AY19" ca="1" si="64">IF(NOT(ISBLANK(P19)),IF(P19&lt;&gt;"",(IF(NOT(ISNUMBER(P19)),1,0)),0),0)</f>
        <v>0</v>
      </c>
      <c r="AZ19" s="467">
        <f t="shared" ref="AZ19" ca="1" si="65">IF(NOT(ISBLANK(T19)),IF(T19&lt;&gt;"",(IF(NOT(ISNUMBER(T19)),1,0)),0),0)</f>
        <v>0</v>
      </c>
      <c r="BA19" s="467">
        <f t="shared" ref="BA19" ca="1" si="66">IF(NOT(ISBLANK(X19)),IF(X19&lt;&gt;"",(IF(NOT(ISNUMBER(X19)),1,0)),0),0)</f>
        <v>0</v>
      </c>
      <c r="BB19" s="467" t="str">
        <f t="shared" ref="BB19" ca="1" si="67">IF(SUM(AW19:BA20)=0, "Continue", "Enter valid number only.")</f>
        <v>Continue</v>
      </c>
      <c r="BC19" s="467" t="str">
        <f t="shared" ref="BC19" ca="1" si="68">IF(AND(AQ19="Continue",BB19="Continue"),"Continue",IF(AND(AQ19&lt;&gt;"Continue",BB19="Continue"),AQ19,IF(AND(BB19&lt;&gt;"Continue",AQ19="Continue"),BB19,CONCATENATE(AQ19,CHAR(10)))))</f>
        <v>Continue</v>
      </c>
      <c r="BD19" s="155" t="b">
        <f>IFERROR(INDEX('Reference Records'!$O$3:$O$21,MATCH($B19,'Reference Records'!$I$3:$I$21,0)),"")</f>
        <v>0</v>
      </c>
      <c r="BE19" s="126" t="str">
        <f t="shared" ca="1" si="5"/>
        <v>Continue</v>
      </c>
      <c r="BF19" s="126" t="str">
        <f t="shared" si="6"/>
        <v>Continue</v>
      </c>
      <c r="BG19" s="126" t="str">
        <f t="shared" ca="1" si="7"/>
        <v>Continue</v>
      </c>
      <c r="BH19" s="467" t="str">
        <f t="shared" ref="BH19" ca="1" si="69">IF(AND(AP19="Continue",BC19="Continue"),"Continue",IF(AND(AP19&lt;&gt;"Continue",BC19="Continue"),AP19,IF(AND(BC19&lt;&gt;"Continue",AP19="Continue"),BC19,CONCATENATE(AP19,CHAR(10),BC19))))</f>
        <v>Continue</v>
      </c>
      <c r="BI19" s="467" t="str">
        <f t="shared" ref="BI19" si="70">IF(AND(B19="",C19=""),"Continue",
IF(AND(B19="",C19&lt;&gt;""),"Continue",
IF(AND(B19&lt;&gt;"",C19=""),"Continue",
IF(AND(B19&lt;&gt;"",C19&lt;&gt;""),"Cannot enter both standard and custom indicators on the same line."))))</f>
        <v>Continue</v>
      </c>
      <c r="BJ19" s="467" t="str">
        <f t="shared" ref="BJ19" ca="1" si="71">IF(AND(BE19="Continue",BH19="Continue"),"Continue",IF(AND(BE19&lt;&gt;"Continue",BH19="Continue"),BE19,IF(AND(BH19&lt;&gt;"Continue",BE19="Continue"),BH19,CONCATENATE(BE19,CHAR(10),BH19))))</f>
        <v>Continue</v>
      </c>
      <c r="BL19" s="310" t="str">
        <f>IFERROR(IF('Overview - Section A'!$AN$5="Funding Request",
IF(AND('Reference Records'!$B$427&lt;&gt;"",$J19 ='Reference Records'!$B$427),'Reference Records'!$C$427,""),
INDEX('Reference Records'!$A$498:$C$499,MATCH($J19,'Reference Records'!$A$498:$A$499,0),3)),"")</f>
        <v>a1A360000013M2uEAE</v>
      </c>
      <c r="BM19" s="310" t="str" cm="1">
        <f t="array" ref="BM19">IFERROR(IF($B19="", "", IF(INDEX('Reference Records'!$G$4:$G$24,MATCH(LEFT(B19,255),LEFT('Reference Records'!$C$4:$C$24,255),0))=0,"",
INDEX('Reference Records'!$G$4:$G$24,MATCH(LEFT(B19,255),LEFT('Reference Records'!$C$4:$C$24,255),0)))),"")</f>
        <v>a1JDm000000k9bhMAA</v>
      </c>
    </row>
    <row r="20" spans="1:65" ht="30" customHeight="1">
      <c r="A20" s="470"/>
      <c r="B20" s="472"/>
      <c r="C20" s="472"/>
      <c r="D20" s="191"/>
      <c r="E20" s="503"/>
      <c r="F20" s="472"/>
      <c r="G20" s="472"/>
      <c r="H20" s="486"/>
      <c r="I20" s="505"/>
      <c r="J20" s="472"/>
      <c r="K20" s="191"/>
      <c r="L20" s="493"/>
      <c r="M20" s="495"/>
      <c r="N20" s="497"/>
      <c r="O20" s="191"/>
      <c r="P20" s="493"/>
      <c r="Q20" s="495"/>
      <c r="R20" s="497"/>
      <c r="S20" s="191"/>
      <c r="T20" s="493"/>
      <c r="U20" s="495"/>
      <c r="V20" s="497"/>
      <c r="W20" s="191"/>
      <c r="X20" s="493"/>
      <c r="Y20" s="495"/>
      <c r="Z20" s="497"/>
      <c r="AA20" s="472"/>
      <c r="AC20" s="476"/>
      <c r="AD20" s="476"/>
      <c r="AO20" s="468"/>
      <c r="AP20" s="467"/>
      <c r="AQ20" s="467"/>
      <c r="AR20" s="146">
        <f t="shared" si="0"/>
        <v>0</v>
      </c>
      <c r="AS20" s="146">
        <f t="shared" si="1"/>
        <v>0</v>
      </c>
      <c r="AT20" s="146">
        <f t="shared" si="2"/>
        <v>0</v>
      </c>
      <c r="AU20" s="146">
        <f t="shared" si="3"/>
        <v>0</v>
      </c>
      <c r="AV20" s="146">
        <f t="shared" si="4"/>
        <v>0</v>
      </c>
      <c r="AW20" s="467"/>
      <c r="AX20" s="467"/>
      <c r="AY20" s="467"/>
      <c r="AZ20" s="467"/>
      <c r="BA20" s="467"/>
      <c r="BB20" s="467"/>
      <c r="BC20" s="467"/>
      <c r="BD20" s="155" t="str">
        <f>IFERROR(INDEX('Reference Records'!$O$3:$O$21,MATCH($B20,'Reference Records'!$I$3:$I$21,0)),"")</f>
        <v/>
      </c>
      <c r="BE20" s="126" t="str">
        <f t="shared" si="5"/>
        <v>Continue</v>
      </c>
      <c r="BF20" s="126" t="str">
        <f t="shared" si="6"/>
        <v>Continue</v>
      </c>
      <c r="BG20" s="126" t="str">
        <f t="shared" si="7"/>
        <v>Continue</v>
      </c>
      <c r="BH20" s="467"/>
      <c r="BI20" s="467"/>
      <c r="BJ20" s="467"/>
      <c r="BL20" s="310" t="str">
        <f>IFERROR(IF('Overview - Section A'!$AN$5="Funding Request",
IF(AND('Reference Records'!$B$427&lt;&gt;"",$J20 ='Reference Records'!$B$427),'Reference Records'!$C$427,""),
INDEX('Reference Records'!$A$498:$C$499,MATCH($J20,'Reference Records'!$A$498:$A$499,0),3)),"")</f>
        <v/>
      </c>
      <c r="BM20" s="310" t="str" cm="1">
        <f t="array" ref="BM20">IFERROR(IF($B20="", "", IF(INDEX('Reference Records'!$G$4:$G$24,MATCH(LEFT(B20,255),LEFT('Reference Records'!$C$4:$C$24,255),0))=0,"",
INDEX('Reference Records'!$G$4:$G$24,MATCH(LEFT(B20,255),LEFT('Reference Records'!$C$4:$C$24,255),0)))),"")</f>
        <v/>
      </c>
    </row>
    <row r="21" spans="1:65" ht="30" customHeight="1">
      <c r="A21" s="469">
        <v>7</v>
      </c>
      <c r="B21" s="479" t="s">
        <v>793</v>
      </c>
      <c r="C21" s="479"/>
      <c r="D21" s="188"/>
      <c r="E21" s="481">
        <f ca="1">IF(OR(INDIRECT("'update Helper'!D"&amp;AH21)="",D21&lt;&gt;0,D22&lt;&gt;0),IF(IFERROR((D21/D22),"")="","",(D21/D22)),INDIRECT("'update Helper'!D"&amp;AH21)/100)</f>
        <v>3.9E-2</v>
      </c>
      <c r="F21" s="479">
        <v>2019</v>
      </c>
      <c r="G21" s="479" t="s">
        <v>788</v>
      </c>
      <c r="H21" s="485" t="str">
        <f>AB21</f>
        <v>Gender,Age</v>
      </c>
      <c r="I21" s="483" t="s">
        <v>323</v>
      </c>
      <c r="J21" s="479" t="s">
        <v>781</v>
      </c>
      <c r="K21" s="188"/>
      <c r="L21" s="498" t="str">
        <f ca="1">IFERROR(IF(K$7="","",IF(OR(K21&lt;&gt;0,K22&lt;&gt;0),IFERROR(IF(K21/K22="","",(K21/K22)),""),IF(VLOOKUP(CONCATENATE(A21,K$7),'update Helper'!$G$42:$N$224,5,FALSE)="","",VLOOKUP(CONCATENATE(A21,K$7),'update Helper'!$G$42:$N$224,5,FALSE)/100))),"")</f>
        <v/>
      </c>
      <c r="M21" s="500"/>
      <c r="N21" s="477"/>
      <c r="O21" s="188"/>
      <c r="P21" s="498" t="str">
        <f ca="1">IFERROR(IF(O$7="","",IF(OR(O21&lt;&gt;0,O22&lt;&gt;0),IFERROR(IF(O21/O22="","",(O21/O22)),""),IF(VLOOKUP(CONCATENATE(A21,O$7),'update Helper'!$G$42:$N$224,5,FALSE)="","",VLOOKUP(CONCATENATE(A21,O$7),'update Helper'!$G$42:$N$224,5,FALSE)/100))),"")</f>
        <v/>
      </c>
      <c r="Q21" s="500"/>
      <c r="R21" s="477" t="s">
        <v>665</v>
      </c>
      <c r="S21" s="188"/>
      <c r="T21" s="498" t="str">
        <f ca="1">IFERROR(IF(S$7="","",IF(OR(S21&lt;&gt;0,S22&lt;&gt;0),IFERROR(IF(S21/S22="","",(S21/S22)),""),IF(VLOOKUP(CONCATENATE(A21,S$7),'update Helper'!$G$42:$N$224,5,FALSE)="","",VLOOKUP(CONCATENATE(A21,S$7),'update Helper'!$G$42:$N$224,5,FALSE)/100))),"")</f>
        <v/>
      </c>
      <c r="U21" s="500"/>
      <c r="V21" s="477"/>
      <c r="W21" s="188"/>
      <c r="X21" s="498" t="str">
        <f ca="1">IFERROR(IF(W$7="","",IF(OR(W21&lt;&gt;0,W22&lt;&gt;0),IFERROR(IF(W21/W22="","",(W21/W22)),""),IF(VLOOKUP(CONCATENATE(A21,W$7),'update Helper'!$G$42:$N$224,5,FALSE)="","",VLOOKUP(CONCATENATE(A21,W$7),'update Helper'!$G$42:$N$224,5,FALSE)/100))),"")</f>
        <v/>
      </c>
      <c r="Y21" s="500"/>
      <c r="Z21" s="477"/>
      <c r="AA21" s="479" t="s">
        <v>789</v>
      </c>
      <c r="AB21" s="48" t="str">
        <f t="array" ref="AB21">IFERROR(IF(INDEX('Reference Records'!$D$4:$D$24,MATCH(LEFT(B21,255),LEFT('Reference Records'!$C$4:$C$24,255),0))=0,"",INDEX('Reference Records'!$D$4:$D$24,MATCH(LEFT(B21,255),LEFT('Reference Records'!$C$4:$C$24,255),0))),"")</f>
        <v>Gender,Age</v>
      </c>
      <c r="AC21" s="476" t="str">
        <f>IF(H21&lt;&gt;"",B21&amp;C21,"")</f>
        <v>HIV I-11 Percentage of people who inject drugs who are living with HIV</v>
      </c>
      <c r="AD21" s="476" t="b">
        <f>IF(OR(B21&lt;&gt;"",C21&lt;&gt;""),TRUE,FALSE)</f>
        <v>1</v>
      </c>
      <c r="AE21" s="48" t="str">
        <f t="array" ref="AE21">IFERROR(IF(INDEX('Reference Records'!$G$4:$G$24,MATCH(LEFT(B21,255),LEFT('Reference Records'!$C$4:$C$24,255),0))=0,"",INDEX('Reference Records'!$G$4:$G$24,MATCH(LEFT(B21,255),LEFT('Reference Records'!$C$4:$C$24,255),0))),"")</f>
        <v>a1JDm000000k9bjMAA</v>
      </c>
      <c r="AG21" s="48">
        <f>AG19+'update Helper'!$R$2</f>
        <v>80</v>
      </c>
      <c r="AH21" s="48">
        <f t="shared" ref="AH21" si="72">AH19+1</f>
        <v>10</v>
      </c>
      <c r="AO21" s="468" t="str">
        <f t="shared" ref="AO21" ca="1" si="73">IF(AND(BI21="Continue",BJ21="Continue"),"No Error",IF(AND(BI21&lt;&gt;"Continue",BJ21="Continue"),BI21,IF(AND(BJ21&lt;&gt;"Continue",BI21="Continue"),BJ21,CONCATENATE(BI21,CHAR(10),BJ21))))</f>
        <v>No Error</v>
      </c>
      <c r="AP21" s="467" t="str" cm="1">
        <f t="array" ref="AP21">IF(ISBLANK(B21),"Continue",(IF(IFERROR(_xlfn.XMATCH(B21,LEFT('Reference Records'!$I$3:$I$21,32768),0),0)&lt;&gt;0,"Continue","Invalid indicator entry. Select from dropdown list.")))</f>
        <v>Continue</v>
      </c>
      <c r="AQ21" s="467" t="str">
        <f t="shared" ref="AQ21" si="74">IF(SUM(AR21:AV22)=0, "Continue", "Enter valid number only.")</f>
        <v>Continue</v>
      </c>
      <c r="AR21" s="146">
        <f t="shared" si="0"/>
        <v>0</v>
      </c>
      <c r="AS21" s="146">
        <f t="shared" si="1"/>
        <v>0</v>
      </c>
      <c r="AT21" s="146">
        <f t="shared" si="2"/>
        <v>0</v>
      </c>
      <c r="AU21" s="146">
        <f t="shared" si="3"/>
        <v>0</v>
      </c>
      <c r="AV21" s="146">
        <f t="shared" si="4"/>
        <v>0</v>
      </c>
      <c r="AW21" s="467">
        <f t="shared" ref="AW21" ca="1" si="75">IF(NOT(ISBLANK(E21)),IF(E21&lt;&gt;"",(IF(NOT(ISNUMBER(E21)),1,0)),0),0)</f>
        <v>0</v>
      </c>
      <c r="AX21" s="467">
        <f t="shared" ref="AX21" ca="1" si="76">IF(NOT(ISBLANK(L21)),IF(L21&lt;&gt;"",(IF(NOT(ISNUMBER(L21)),1,0)),0),0)</f>
        <v>0</v>
      </c>
      <c r="AY21" s="467">
        <f t="shared" ref="AY21" ca="1" si="77">IF(NOT(ISBLANK(P21)),IF(P21&lt;&gt;"",(IF(NOT(ISNUMBER(P21)),1,0)),0),0)</f>
        <v>0</v>
      </c>
      <c r="AZ21" s="467">
        <f t="shared" ref="AZ21" ca="1" si="78">IF(NOT(ISBLANK(T21)),IF(T21&lt;&gt;"",(IF(NOT(ISNUMBER(T21)),1,0)),0),0)</f>
        <v>0</v>
      </c>
      <c r="BA21" s="467">
        <f t="shared" ref="BA21" ca="1" si="79">IF(NOT(ISBLANK(X21)),IF(X21&lt;&gt;"",(IF(NOT(ISNUMBER(X21)),1,0)),0),0)</f>
        <v>0</v>
      </c>
      <c r="BB21" s="467" t="str">
        <f t="shared" ref="BB21" ca="1" si="80">IF(SUM(AW21:BA22)=0, "Continue", "Enter valid number only.")</f>
        <v>Continue</v>
      </c>
      <c r="BC21" s="467" t="str">
        <f t="shared" ref="BC21" ca="1" si="81">IF(AND(AQ21="Continue",BB21="Continue"),"Continue",IF(AND(AQ21&lt;&gt;"Continue",BB21="Continue"),AQ21,IF(AND(BB21&lt;&gt;"Continue",AQ21="Continue"),BB21,CONCATENATE(AQ21,CHAR(10)))))</f>
        <v>Continue</v>
      </c>
      <c r="BD21" s="155" t="b">
        <f>IFERROR(INDEX('Reference Records'!$O$3:$O$21,MATCH($B21,'Reference Records'!$I$3:$I$21,0)),"")</f>
        <v>0</v>
      </c>
      <c r="BE21" s="126" t="str">
        <f t="shared" ca="1" si="5"/>
        <v>Continue</v>
      </c>
      <c r="BF21" s="126" t="str">
        <f t="shared" si="6"/>
        <v>Continue</v>
      </c>
      <c r="BG21" s="126" t="str">
        <f t="shared" ca="1" si="7"/>
        <v>Continue</v>
      </c>
      <c r="BH21" s="467" t="str">
        <f t="shared" ref="BH21" ca="1" si="82">IF(AND(AP21="Continue",BC21="Continue"),"Continue",IF(AND(AP21&lt;&gt;"Continue",BC21="Continue"),AP21,IF(AND(BC21&lt;&gt;"Continue",AP21="Continue"),BC21,CONCATENATE(AP21,CHAR(10),BC21))))</f>
        <v>Continue</v>
      </c>
      <c r="BI21" s="467" t="str">
        <f t="shared" ref="BI21" si="83">IF(AND(B21="",C21=""),"Continue",
IF(AND(B21="",C21&lt;&gt;""),"Continue",
IF(AND(B21&lt;&gt;"",C21=""),"Continue",
IF(AND(B21&lt;&gt;"",C21&lt;&gt;""),"Cannot enter both standard and custom indicators on the same line."))))</f>
        <v>Continue</v>
      </c>
      <c r="BJ21" s="467" t="str">
        <f t="shared" ref="BJ21" ca="1" si="84">IF(AND(BE21="Continue",BH21="Continue"),"Continue",IF(AND(BE21&lt;&gt;"Continue",BH21="Continue"),BE21,IF(AND(BH21&lt;&gt;"Continue",BE21="Continue"),BH21,CONCATENATE(BE21,CHAR(10),BH21))))</f>
        <v>Continue</v>
      </c>
      <c r="BL21" s="310" t="str">
        <f>IFERROR(IF('Overview - Section A'!$AN$5="Funding Request",
IF(AND('Reference Records'!$B$427&lt;&gt;"",$J21 ='Reference Records'!$B$427),'Reference Records'!$C$427,""),
INDEX('Reference Records'!$A$498:$C$499,MATCH($J21,'Reference Records'!$A$498:$A$499,0),3)),"")</f>
        <v>a1A360000013M2uEAE</v>
      </c>
      <c r="BM21" s="310" t="str" cm="1">
        <f t="array" ref="BM21">IFERROR(IF($B21="", "", IF(INDEX('Reference Records'!$G$4:$G$24,MATCH(LEFT(B21,255),LEFT('Reference Records'!$C$4:$C$24,255),0))=0,"",
INDEX('Reference Records'!$G$4:$G$24,MATCH(LEFT(B21,255),LEFT('Reference Records'!$C$4:$C$24,255),0)))),"")</f>
        <v>a1JDm000000k9bjMAA</v>
      </c>
    </row>
    <row r="22" spans="1:65" ht="30" customHeight="1">
      <c r="A22" s="470"/>
      <c r="B22" s="480"/>
      <c r="C22" s="480"/>
      <c r="D22" s="189"/>
      <c r="E22" s="482"/>
      <c r="F22" s="480"/>
      <c r="G22" s="480"/>
      <c r="H22" s="486"/>
      <c r="I22" s="484"/>
      <c r="J22" s="480"/>
      <c r="K22" s="189"/>
      <c r="L22" s="499"/>
      <c r="M22" s="501"/>
      <c r="N22" s="478"/>
      <c r="O22" s="189"/>
      <c r="P22" s="499"/>
      <c r="Q22" s="501"/>
      <c r="R22" s="478"/>
      <c r="S22" s="189"/>
      <c r="T22" s="499"/>
      <c r="U22" s="501"/>
      <c r="V22" s="478"/>
      <c r="W22" s="189"/>
      <c r="X22" s="499"/>
      <c r="Y22" s="501"/>
      <c r="Z22" s="478"/>
      <c r="AA22" s="480"/>
      <c r="AC22" s="476"/>
      <c r="AD22" s="476"/>
      <c r="AO22" s="468"/>
      <c r="AP22" s="467"/>
      <c r="AQ22" s="467"/>
      <c r="AR22" s="146">
        <f t="shared" si="0"/>
        <v>0</v>
      </c>
      <c r="AS22" s="146">
        <f t="shared" si="1"/>
        <v>0</v>
      </c>
      <c r="AT22" s="146">
        <f t="shared" si="2"/>
        <v>0</v>
      </c>
      <c r="AU22" s="146">
        <f t="shared" si="3"/>
        <v>0</v>
      </c>
      <c r="AV22" s="146">
        <f t="shared" si="4"/>
        <v>0</v>
      </c>
      <c r="AW22" s="467"/>
      <c r="AX22" s="467"/>
      <c r="AY22" s="467"/>
      <c r="AZ22" s="467"/>
      <c r="BA22" s="467"/>
      <c r="BB22" s="467"/>
      <c r="BC22" s="467"/>
      <c r="BD22" s="155" t="str">
        <f>IFERROR(INDEX('Reference Records'!$O$3:$O$21,MATCH($B22,'Reference Records'!$I$3:$I$21,0)),"")</f>
        <v/>
      </c>
      <c r="BE22" s="126" t="str">
        <f t="shared" si="5"/>
        <v>Continue</v>
      </c>
      <c r="BF22" s="126" t="str">
        <f t="shared" si="6"/>
        <v>Continue</v>
      </c>
      <c r="BG22" s="126" t="str">
        <f t="shared" si="7"/>
        <v>Continue</v>
      </c>
      <c r="BH22" s="467"/>
      <c r="BI22" s="467"/>
      <c r="BJ22" s="467"/>
      <c r="BL22" s="310" t="str">
        <f>IFERROR(IF('Overview - Section A'!$AN$5="Funding Request",
IF(AND('Reference Records'!$B$427&lt;&gt;"",$J22 ='Reference Records'!$B$427),'Reference Records'!$C$427,""),
INDEX('Reference Records'!$A$498:$C$499,MATCH($J22,'Reference Records'!$A$498:$A$499,0),3)),"")</f>
        <v/>
      </c>
      <c r="BM22" s="310" t="str" cm="1">
        <f t="array" ref="BM22">IFERROR(IF($B22="", "", IF(INDEX('Reference Records'!$G$4:$G$24,MATCH(LEFT(B22,255),LEFT('Reference Records'!$C$4:$C$24,255),0))=0,"",
INDEX('Reference Records'!$G$4:$G$24,MATCH(LEFT(B22,255),LEFT('Reference Records'!$C$4:$C$24,255),0)))),"")</f>
        <v/>
      </c>
    </row>
    <row r="23" spans="1:65" ht="30" customHeight="1">
      <c r="A23" s="469">
        <v>8</v>
      </c>
      <c r="B23" s="471" t="s">
        <v>794</v>
      </c>
      <c r="C23" s="471"/>
      <c r="D23" s="190"/>
      <c r="E23" s="502">
        <f ca="1">IF(OR(INDIRECT("'update Helper'!D"&amp;AH23)="",D23&lt;&gt;0,D24&lt;&gt;0),IF(IFERROR((D23/D24),"")="","",(D23/D24)),INDIRECT("'update Helper'!D"&amp;AH23)/100)</f>
        <v>8.0000000000000002E-3</v>
      </c>
      <c r="F23" s="471">
        <v>2022</v>
      </c>
      <c r="G23" s="471" t="s">
        <v>795</v>
      </c>
      <c r="H23" s="485" t="str">
        <f>AB23</f>
        <v>Gender,Gender | Age,Age</v>
      </c>
      <c r="I23" s="504" t="s">
        <v>323</v>
      </c>
      <c r="J23" s="471" t="s">
        <v>781</v>
      </c>
      <c r="K23" s="190"/>
      <c r="L23" s="492" t="str">
        <f ca="1">IFERROR(IF(K$7="","",IF(OR(K23&lt;&gt;0,K24&lt;&gt;0),IFERROR(IF(K23/K24="","",(K23/K24)),""),IF(VLOOKUP(CONCATENATE(A23,K$7),'update Helper'!$G$42:$N$224,5,FALSE)="","",VLOOKUP(CONCATENATE(A23,K$7),'update Helper'!$G$42:$N$224,5,FALSE)/100))),"")</f>
        <v/>
      </c>
      <c r="M23" s="494"/>
      <c r="N23" s="496"/>
      <c r="O23" s="190"/>
      <c r="P23" s="492" t="str">
        <f ca="1">IFERROR(IF(O$7="","",IF(OR(O23&lt;&gt;0,O24&lt;&gt;0),IFERROR(IF(O23/O24="","",(O23/O24)),""),IF(VLOOKUP(CONCATENATE(A23,O$7),'update Helper'!$G$42:$N$224,5,FALSE)="","",VLOOKUP(CONCATENATE(A23,O$7),'update Helper'!$G$42:$N$224,5,FALSE)/100))),"")</f>
        <v/>
      </c>
      <c r="Q23" s="494"/>
      <c r="R23" s="496" t="s">
        <v>665</v>
      </c>
      <c r="S23" s="190"/>
      <c r="T23" s="492" t="str">
        <f ca="1">IFERROR(IF(S$7="","",IF(OR(S23&lt;&gt;0,S24&lt;&gt;0),IFERROR(IF(S23/S24="","",(S23/S24)),""),IF(VLOOKUP(CONCATENATE(A23,S$7),'update Helper'!$G$42:$N$224,5,FALSE)="","",VLOOKUP(CONCATENATE(A23,S$7),'update Helper'!$G$42:$N$224,5,FALSE)/100))),"")</f>
        <v/>
      </c>
      <c r="U23" s="494"/>
      <c r="V23" s="496"/>
      <c r="W23" s="190"/>
      <c r="X23" s="492" t="str">
        <f ca="1">IFERROR(IF(W$7="","",IF(OR(W23&lt;&gt;0,W24&lt;&gt;0),IFERROR(IF(W23/W24="","",(W23/W24)),""),IF(VLOOKUP(CONCATENATE(A23,W$7),'update Helper'!$G$42:$N$224,5,FALSE)="","",VLOOKUP(CONCATENATE(A23,W$7),'update Helper'!$G$42:$N$224,5,FALSE)/100))),"")</f>
        <v/>
      </c>
      <c r="Y23" s="494"/>
      <c r="Z23" s="496"/>
      <c r="AA23" s="471" t="s">
        <v>796</v>
      </c>
      <c r="AB23" s="48" t="str">
        <f t="array" ref="AB23">IFERROR(IF(INDEX('Reference Records'!$D$4:$D$24,MATCH(LEFT(B23,255),LEFT('Reference Records'!$C$4:$C$24,255),0))=0,"",INDEX('Reference Records'!$D$4:$D$24,MATCH(LEFT(B23,255),LEFT('Reference Records'!$C$4:$C$24,255),0))),"")</f>
        <v>Gender,Gender | Age,Age</v>
      </c>
      <c r="AC23" s="476" t="str">
        <f>IF(H23&lt;&gt;"",B23&amp;C23,"")</f>
        <v>HIV I-13 Percentage of people living with HIV</v>
      </c>
      <c r="AD23" s="476" t="b">
        <f>IF(OR(B23&lt;&gt;"",C23&lt;&gt;""),TRUE,FALSE)</f>
        <v>1</v>
      </c>
      <c r="AE23" s="48" t="str">
        <f t="array" ref="AE23">IFERROR(IF(INDEX('Reference Records'!$G$4:$G$24,MATCH(LEFT(B23,255),LEFT('Reference Records'!$C$4:$C$24,255),0))=0,"",INDEX('Reference Records'!$G$4:$G$24,MATCH(LEFT(B23,255),LEFT('Reference Records'!$C$4:$C$24,255),0))),"")</f>
        <v>a1JDm000000k9bcMAA</v>
      </c>
      <c r="AG23" s="48">
        <f>AG21+'update Helper'!$R$2</f>
        <v>86</v>
      </c>
      <c r="AH23" s="48">
        <f t="shared" ref="AH23" si="85">AH21+1</f>
        <v>11</v>
      </c>
      <c r="AO23" s="468" t="str">
        <f t="shared" ref="AO23" ca="1" si="86">IF(AND(BI23="Continue",BJ23="Continue"),"No Error",IF(AND(BI23&lt;&gt;"Continue",BJ23="Continue"),BI23,IF(AND(BJ23&lt;&gt;"Continue",BI23="Continue"),BJ23,CONCATENATE(BI23,CHAR(10),BJ23))))</f>
        <v>No Error</v>
      </c>
      <c r="AP23" s="467" t="str" cm="1">
        <f t="array" ref="AP23">IF(ISBLANK(B23),"Continue",(IF(IFERROR(_xlfn.XMATCH(B23,LEFT('Reference Records'!$I$3:$I$21,32768),0),0)&lt;&gt;0,"Continue","Invalid indicator entry. Select from dropdown list.")))</f>
        <v>Continue</v>
      </c>
      <c r="AQ23" s="467" t="str">
        <f t="shared" ref="AQ23" si="87">IF(SUM(AR23:AV24)=0, "Continue", "Enter valid number only.")</f>
        <v>Continue</v>
      </c>
      <c r="AR23" s="146">
        <f t="shared" si="0"/>
        <v>0</v>
      </c>
      <c r="AS23" s="146">
        <f t="shared" si="1"/>
        <v>0</v>
      </c>
      <c r="AT23" s="146">
        <f t="shared" si="2"/>
        <v>0</v>
      </c>
      <c r="AU23" s="146">
        <f t="shared" si="3"/>
        <v>0</v>
      </c>
      <c r="AV23" s="146">
        <f t="shared" si="4"/>
        <v>0</v>
      </c>
      <c r="AW23" s="467">
        <f t="shared" ref="AW23" ca="1" si="88">IF(NOT(ISBLANK(E23)),IF(E23&lt;&gt;"",(IF(NOT(ISNUMBER(E23)),1,0)),0),0)</f>
        <v>0</v>
      </c>
      <c r="AX23" s="467">
        <f t="shared" ref="AX23" ca="1" si="89">IF(NOT(ISBLANK(L23)),IF(L23&lt;&gt;"",(IF(NOT(ISNUMBER(L23)),1,0)),0),0)</f>
        <v>0</v>
      </c>
      <c r="AY23" s="467">
        <f t="shared" ref="AY23" ca="1" si="90">IF(NOT(ISBLANK(P23)),IF(P23&lt;&gt;"",(IF(NOT(ISNUMBER(P23)),1,0)),0),0)</f>
        <v>0</v>
      </c>
      <c r="AZ23" s="467">
        <f t="shared" ref="AZ23" ca="1" si="91">IF(NOT(ISBLANK(T23)),IF(T23&lt;&gt;"",(IF(NOT(ISNUMBER(T23)),1,0)),0),0)</f>
        <v>0</v>
      </c>
      <c r="BA23" s="467">
        <f t="shared" ref="BA23" ca="1" si="92">IF(NOT(ISBLANK(X23)),IF(X23&lt;&gt;"",(IF(NOT(ISNUMBER(X23)),1,0)),0),0)</f>
        <v>0</v>
      </c>
      <c r="BB23" s="467" t="str">
        <f t="shared" ref="BB23" ca="1" si="93">IF(SUM(AW23:BA24)=0, "Continue", "Enter valid number only.")</f>
        <v>Continue</v>
      </c>
      <c r="BC23" s="467" t="str">
        <f t="shared" ref="BC23" ca="1" si="94">IF(AND(AQ23="Continue",BB23="Continue"),"Continue",IF(AND(AQ23&lt;&gt;"Continue",BB23="Continue"),AQ23,IF(AND(BB23&lt;&gt;"Continue",AQ23="Continue"),BB23,CONCATENATE(AQ23,CHAR(10)))))</f>
        <v>Continue</v>
      </c>
      <c r="BD23" s="155" t="b">
        <f>IFERROR(INDEX('Reference Records'!$O$3:$O$21,MATCH($B23,'Reference Records'!$I$3:$I$21,0)),"")</f>
        <v>0</v>
      </c>
      <c r="BE23" s="126" t="str">
        <f t="shared" ca="1" si="5"/>
        <v>Continue</v>
      </c>
      <c r="BF23" s="126" t="str">
        <f t="shared" si="6"/>
        <v>Continue</v>
      </c>
      <c r="BG23" s="126" t="str">
        <f t="shared" ca="1" si="7"/>
        <v>Continue</v>
      </c>
      <c r="BH23" s="467" t="str">
        <f t="shared" ref="BH23" ca="1" si="95">IF(AND(AP23="Continue",BC23="Continue"),"Continue",IF(AND(AP23&lt;&gt;"Continue",BC23="Continue"),AP23,IF(AND(BC23&lt;&gt;"Continue",AP23="Continue"),BC23,CONCATENATE(AP23,CHAR(10),BC23))))</f>
        <v>Continue</v>
      </c>
      <c r="BI23" s="467" t="str">
        <f t="shared" ref="BI23" si="96">IF(AND(B23="",C23=""),"Continue",
IF(AND(B23="",C23&lt;&gt;""),"Continue",
IF(AND(B23&lt;&gt;"",C23=""),"Continue",
IF(AND(B23&lt;&gt;"",C23&lt;&gt;""),"Cannot enter both standard and custom indicators on the same line."))))</f>
        <v>Continue</v>
      </c>
      <c r="BJ23" s="467" t="str">
        <f t="shared" ref="BJ23" ca="1" si="97">IF(AND(BE23="Continue",BH23="Continue"),"Continue",IF(AND(BE23&lt;&gt;"Continue",BH23="Continue"),BE23,IF(AND(BH23&lt;&gt;"Continue",BE23="Continue"),BH23,CONCATENATE(BE23,CHAR(10),BH23))))</f>
        <v>Continue</v>
      </c>
      <c r="BL23" s="310" t="str">
        <f>IFERROR(IF('Overview - Section A'!$AN$5="Funding Request",
IF(AND('Reference Records'!$B$427&lt;&gt;"",$J23 ='Reference Records'!$B$427),'Reference Records'!$C$427,""),
INDEX('Reference Records'!$A$498:$C$499,MATCH($J23,'Reference Records'!$A$498:$A$499,0),3)),"")</f>
        <v>a1A360000013M2uEAE</v>
      </c>
      <c r="BM23" s="310" t="str" cm="1">
        <f t="array" ref="BM23">IFERROR(IF($B23="", "", IF(INDEX('Reference Records'!$G$4:$G$24,MATCH(LEFT(B23,255),LEFT('Reference Records'!$C$4:$C$24,255),0))=0,"",
INDEX('Reference Records'!$G$4:$G$24,MATCH(LEFT(B23,255),LEFT('Reference Records'!$C$4:$C$24,255),0)))),"")</f>
        <v>a1JDm000000k9bcMAA</v>
      </c>
    </row>
    <row r="24" spans="1:65" ht="30" customHeight="1">
      <c r="A24" s="470"/>
      <c r="B24" s="472"/>
      <c r="C24" s="472"/>
      <c r="D24" s="191"/>
      <c r="E24" s="503"/>
      <c r="F24" s="472"/>
      <c r="G24" s="472"/>
      <c r="H24" s="486"/>
      <c r="I24" s="505"/>
      <c r="J24" s="472"/>
      <c r="K24" s="191"/>
      <c r="L24" s="493"/>
      <c r="M24" s="495"/>
      <c r="N24" s="497"/>
      <c r="O24" s="191"/>
      <c r="P24" s="493"/>
      <c r="Q24" s="495"/>
      <c r="R24" s="497"/>
      <c r="S24" s="191"/>
      <c r="T24" s="493"/>
      <c r="U24" s="495"/>
      <c r="V24" s="497"/>
      <c r="W24" s="191"/>
      <c r="X24" s="493"/>
      <c r="Y24" s="495"/>
      <c r="Z24" s="497"/>
      <c r="AA24" s="472"/>
      <c r="AC24" s="476"/>
      <c r="AD24" s="476"/>
      <c r="AO24" s="468"/>
      <c r="AP24" s="467"/>
      <c r="AQ24" s="467"/>
      <c r="AR24" s="146">
        <f t="shared" si="0"/>
        <v>0</v>
      </c>
      <c r="AS24" s="146">
        <f t="shared" si="1"/>
        <v>0</v>
      </c>
      <c r="AT24" s="146">
        <f t="shared" si="2"/>
        <v>0</v>
      </c>
      <c r="AU24" s="146">
        <f t="shared" si="3"/>
        <v>0</v>
      </c>
      <c r="AV24" s="146">
        <f t="shared" si="4"/>
        <v>0</v>
      </c>
      <c r="AW24" s="467"/>
      <c r="AX24" s="467"/>
      <c r="AY24" s="467"/>
      <c r="AZ24" s="467"/>
      <c r="BA24" s="467"/>
      <c r="BB24" s="467"/>
      <c r="BC24" s="467"/>
      <c r="BD24" s="155" t="str">
        <f>IFERROR(INDEX('Reference Records'!$O$3:$O$21,MATCH($B24,'Reference Records'!$I$3:$I$21,0)),"")</f>
        <v/>
      </c>
      <c r="BE24" s="126" t="str">
        <f t="shared" si="5"/>
        <v>Continue</v>
      </c>
      <c r="BF24" s="126" t="str">
        <f t="shared" si="6"/>
        <v>Continue</v>
      </c>
      <c r="BG24" s="126" t="str">
        <f t="shared" si="7"/>
        <v>Continue</v>
      </c>
      <c r="BH24" s="467"/>
      <c r="BI24" s="467"/>
      <c r="BJ24" s="467"/>
      <c r="BL24" s="310" t="str">
        <f>IFERROR(IF('Overview - Section A'!$AN$5="Funding Request",
IF(AND('Reference Records'!$B$427&lt;&gt;"",$J24 ='Reference Records'!$B$427),'Reference Records'!$C$427,""),
INDEX('Reference Records'!$A$498:$C$499,MATCH($J24,'Reference Records'!$A$498:$A$499,0),3)),"")</f>
        <v/>
      </c>
      <c r="BM24" s="310" t="str" cm="1">
        <f t="array" ref="BM24">IFERROR(IF($B24="", "", IF(INDEX('Reference Records'!$G$4:$G$24,MATCH(LEFT(B24,255),LEFT('Reference Records'!$C$4:$C$24,255),0))=0,"",
INDEX('Reference Records'!$G$4:$G$24,MATCH(LEFT(B24,255),LEFT('Reference Records'!$C$4:$C$24,255),0)))),"")</f>
        <v/>
      </c>
    </row>
    <row r="25" spans="1:65" ht="30" customHeight="1">
      <c r="A25" s="469">
        <v>9</v>
      </c>
      <c r="B25" s="479" t="s">
        <v>797</v>
      </c>
      <c r="C25" s="479"/>
      <c r="D25" s="188">
        <v>21036</v>
      </c>
      <c r="E25" s="481" t="str">
        <f ca="1">IF(OR(INDIRECT("'update Helper'!D"&amp;AH25)="",D25&lt;&gt;0,D26&lt;&gt;0),IF(IFERROR((D25/D26),"")="","",(D25/D26)),INDIRECT("'update Helper'!D"&amp;AH25)/100)</f>
        <v/>
      </c>
      <c r="F25" s="479">
        <v>2022</v>
      </c>
      <c r="G25" s="479" t="s">
        <v>798</v>
      </c>
      <c r="H25" s="485" t="str">
        <f>AB25</f>
        <v>Gender,Gender | Age,Age</v>
      </c>
      <c r="I25" s="483" t="s">
        <v>323</v>
      </c>
      <c r="J25" s="479" t="s">
        <v>781</v>
      </c>
      <c r="K25" s="188">
        <v>17607</v>
      </c>
      <c r="L25" s="498" t="str">
        <f ca="1">IFERROR(IF(K$7="","",IF(OR(K25&lt;&gt;0,K26&lt;&gt;0),IFERROR(IF(K25/K26="","",(K25/K26)),""),IF(VLOOKUP(CONCATENATE(A25,K$7),'update Helper'!$G$42:$N$224,5,FALSE)="","",VLOOKUP(CONCATENATE(A25,K$7),'update Helper'!$G$42:$N$224,5,FALSE)/100))),"")</f>
        <v/>
      </c>
      <c r="M25" s="500"/>
      <c r="N25" s="477"/>
      <c r="O25" s="188">
        <v>16072</v>
      </c>
      <c r="P25" s="498" t="str">
        <f ca="1">IFERROR(IF(O$7="","",IF(OR(O25&lt;&gt;0,O26&lt;&gt;0),IFERROR(IF(O25/O26="","",(O25/O26)),""),IF(VLOOKUP(CONCATENATE(A25,O$7),'update Helper'!$G$42:$N$224,5,FALSE)="","",VLOOKUP(CONCATENATE(A25,O$7),'update Helper'!$G$42:$N$224,5,FALSE)/100))),"")</f>
        <v/>
      </c>
      <c r="Q25" s="500"/>
      <c r="R25" s="477"/>
      <c r="S25" s="188">
        <v>14276</v>
      </c>
      <c r="T25" s="498" t="str">
        <f ca="1">IFERROR(IF(S$7="","",IF(OR(S25&lt;&gt;0,S26&lt;&gt;0),IFERROR(IF(S25/S26="","",(S25/S26)),""),IF(VLOOKUP(CONCATENATE(A25,S$7),'update Helper'!$G$42:$N$224,5,FALSE)="","",VLOOKUP(CONCATENATE(A25,S$7),'update Helper'!$G$42:$N$224,5,FALSE)/100))),"")</f>
        <v/>
      </c>
      <c r="U25" s="500"/>
      <c r="V25" s="477"/>
      <c r="W25" s="188"/>
      <c r="X25" s="498" t="str">
        <f ca="1">IFERROR(IF(W$7="","",IF(OR(W25&lt;&gt;0,W26&lt;&gt;0),IFERROR(IF(W25/W26="","",(W25/W26)),""),IF(VLOOKUP(CONCATENATE(A25,W$7),'update Helper'!$G$42:$N$224,5,FALSE)="","",VLOOKUP(CONCATENATE(A25,W$7),'update Helper'!$G$42:$N$224,5,FALSE)/100))),"")</f>
        <v/>
      </c>
      <c r="Y25" s="500"/>
      <c r="Z25" s="477"/>
      <c r="AA25" s="479" t="s">
        <v>796</v>
      </c>
      <c r="AB25" s="48" t="str">
        <f t="array" ref="AB25">IFERROR(IF(INDEX('Reference Records'!$D$4:$D$24,MATCH(LEFT(B25,255),LEFT('Reference Records'!$C$4:$C$24,255),0))=0,"",INDEX('Reference Records'!$D$4:$D$24,MATCH(LEFT(B25,255),LEFT('Reference Records'!$C$4:$C$24,255),0))),"")</f>
        <v>Gender,Gender | Age,Age</v>
      </c>
      <c r="AC25" s="476" t="str">
        <f>IF(H25&lt;&gt;"",B25&amp;C25,"")</f>
        <v>HIV I-14 Number of new HIV infections per 1000 uninfected population</v>
      </c>
      <c r="AD25" s="476" t="b">
        <f>IF(OR(B25&lt;&gt;"",C25&lt;&gt;""),TRUE,FALSE)</f>
        <v>1</v>
      </c>
      <c r="AE25" s="48" t="str">
        <f t="array" ref="AE25">IFERROR(IF(INDEX('Reference Records'!$G$4:$G$24,MATCH(LEFT(B25,255),LEFT('Reference Records'!$C$4:$C$24,255),0))=0,"",INDEX('Reference Records'!$G$4:$G$24,MATCH(LEFT(B25,255),LEFT('Reference Records'!$C$4:$C$24,255),0))),"")</f>
        <v>a1JDm000000k9bdMAA</v>
      </c>
      <c r="AG25" s="48">
        <f>AG23+'update Helper'!$R$2</f>
        <v>92</v>
      </c>
      <c r="AH25" s="48">
        <f t="shared" ref="AH25" si="98">AH23+1</f>
        <v>12</v>
      </c>
      <c r="AO25" s="468" t="str">
        <f t="shared" ref="AO25" ca="1" si="99">IF(AND(BI25="Continue",BJ25="Continue"),"No Error",IF(AND(BI25&lt;&gt;"Continue",BJ25="Continue"),BI25,IF(AND(BJ25&lt;&gt;"Continue",BI25="Continue"),BJ25,CONCATENATE(BI25,CHAR(10),BJ25))))</f>
        <v>No Error</v>
      </c>
      <c r="AP25" s="467" t="str" cm="1">
        <f t="array" ref="AP25">IF(ISBLANK(B25),"Continue",(IF(IFERROR(_xlfn.XMATCH(B25,LEFT('Reference Records'!$I$3:$I$21,32768),0),0)&lt;&gt;0,"Continue","Invalid indicator entry. Select from dropdown list.")))</f>
        <v>Continue</v>
      </c>
      <c r="AQ25" s="467" t="str">
        <f t="shared" ref="AQ25" si="100">IF(SUM(AR25:AV26)=0, "Continue", "Enter valid number only.")</f>
        <v>Continue</v>
      </c>
      <c r="AR25" s="146">
        <f t="shared" si="0"/>
        <v>0</v>
      </c>
      <c r="AS25" s="146">
        <f t="shared" si="1"/>
        <v>0</v>
      </c>
      <c r="AT25" s="146">
        <f t="shared" si="2"/>
        <v>0</v>
      </c>
      <c r="AU25" s="146">
        <f t="shared" si="3"/>
        <v>0</v>
      </c>
      <c r="AV25" s="146">
        <f t="shared" si="4"/>
        <v>0</v>
      </c>
      <c r="AW25" s="467">
        <f t="shared" ref="AW25" ca="1" si="101">IF(NOT(ISBLANK(E25)),IF(E25&lt;&gt;"",(IF(NOT(ISNUMBER(E25)),1,0)),0),0)</f>
        <v>0</v>
      </c>
      <c r="AX25" s="467">
        <f t="shared" ref="AX25" ca="1" si="102">IF(NOT(ISBLANK(L25)),IF(L25&lt;&gt;"",(IF(NOT(ISNUMBER(L25)),1,0)),0),0)</f>
        <v>0</v>
      </c>
      <c r="AY25" s="467">
        <f t="shared" ref="AY25" ca="1" si="103">IF(NOT(ISBLANK(P25)),IF(P25&lt;&gt;"",(IF(NOT(ISNUMBER(P25)),1,0)),0),0)</f>
        <v>0</v>
      </c>
      <c r="AZ25" s="467">
        <f t="shared" ref="AZ25" ca="1" si="104">IF(NOT(ISBLANK(T25)),IF(T25&lt;&gt;"",(IF(NOT(ISNUMBER(T25)),1,0)),0),0)</f>
        <v>0</v>
      </c>
      <c r="BA25" s="467">
        <f t="shared" ref="BA25" ca="1" si="105">IF(NOT(ISBLANK(X25)),IF(X25&lt;&gt;"",(IF(NOT(ISNUMBER(X25)),1,0)),0),0)</f>
        <v>0</v>
      </c>
      <c r="BB25" s="467" t="str">
        <f t="shared" ref="BB25" ca="1" si="106">IF(SUM(AW25:BA26)=0, "Continue", "Enter valid number only.")</f>
        <v>Continue</v>
      </c>
      <c r="BC25" s="467" t="str">
        <f t="shared" ref="BC25" ca="1" si="107">IF(AND(AQ25="Continue",BB25="Continue"),"Continue",IF(AND(AQ25&lt;&gt;"Continue",BB25="Continue"),AQ25,IF(AND(BB25&lt;&gt;"Continue",AQ25="Continue"),BB25,CONCATENATE(AQ25,CHAR(10)))))</f>
        <v>Continue</v>
      </c>
      <c r="BD25" s="155" t="b">
        <f>IFERROR(INDEX('Reference Records'!$O$3:$O$21,MATCH($B25,'Reference Records'!$I$3:$I$21,0)),"")</f>
        <v>1</v>
      </c>
      <c r="BE25" s="126" t="str">
        <f t="shared" ca="1" si="5"/>
        <v>Continue</v>
      </c>
      <c r="BF25" s="126" t="str">
        <f t="shared" si="6"/>
        <v>Continue</v>
      </c>
      <c r="BG25" s="126" t="str">
        <f t="shared" ca="1" si="7"/>
        <v>Continue</v>
      </c>
      <c r="BH25" s="467" t="str">
        <f t="shared" ref="BH25" ca="1" si="108">IF(AND(AP25="Continue",BC25="Continue"),"Continue",IF(AND(AP25&lt;&gt;"Continue",BC25="Continue"),AP25,IF(AND(BC25&lt;&gt;"Continue",AP25="Continue"),BC25,CONCATENATE(AP25,CHAR(10),BC25))))</f>
        <v>Continue</v>
      </c>
      <c r="BI25" s="467" t="str">
        <f t="shared" ref="BI25" si="109">IF(AND(B25="",C25=""),"Continue",
IF(AND(B25="",C25&lt;&gt;""),"Continue",
IF(AND(B25&lt;&gt;"",C25=""),"Continue",
IF(AND(B25&lt;&gt;"",C25&lt;&gt;""),"Cannot enter both standard and custom indicators on the same line."))))</f>
        <v>Continue</v>
      </c>
      <c r="BJ25" s="467" t="str">
        <f t="shared" ref="BJ25" ca="1" si="110">IF(AND(BE25="Continue",BH25="Continue"),"Continue",IF(AND(BE25&lt;&gt;"Continue",BH25="Continue"),BE25,IF(AND(BH25&lt;&gt;"Continue",BE25="Continue"),BH25,CONCATENATE(BE25,CHAR(10),BH25))))</f>
        <v>Continue</v>
      </c>
      <c r="BL25" s="310" t="str">
        <f>IFERROR(IF('Overview - Section A'!$AN$5="Funding Request",
IF(AND('Reference Records'!$B$427&lt;&gt;"",$J25 ='Reference Records'!$B$427),'Reference Records'!$C$427,""),
INDEX('Reference Records'!$A$498:$C$499,MATCH($J25,'Reference Records'!$A$498:$A$499,0),3)),"")</f>
        <v>a1A360000013M2uEAE</v>
      </c>
      <c r="BM25" s="310" t="str" cm="1">
        <f t="array" ref="BM25">IFERROR(IF($B25="", "", IF(INDEX('Reference Records'!$G$4:$G$24,MATCH(LEFT(B25,255),LEFT('Reference Records'!$C$4:$C$24,255),0))=0,"",
INDEX('Reference Records'!$G$4:$G$24,MATCH(LEFT(B25,255),LEFT('Reference Records'!$C$4:$C$24,255),0)))),"")</f>
        <v>a1JDm000000k9bdMAA</v>
      </c>
    </row>
    <row r="26" spans="1:65" ht="30" customHeight="1">
      <c r="A26" s="470"/>
      <c r="B26" s="480"/>
      <c r="C26" s="480"/>
      <c r="D26" s="189"/>
      <c r="E26" s="482"/>
      <c r="F26" s="480"/>
      <c r="G26" s="480"/>
      <c r="H26" s="486"/>
      <c r="I26" s="484"/>
      <c r="J26" s="480"/>
      <c r="K26" s="189"/>
      <c r="L26" s="499"/>
      <c r="M26" s="501"/>
      <c r="N26" s="478"/>
      <c r="O26" s="189"/>
      <c r="P26" s="499"/>
      <c r="Q26" s="501"/>
      <c r="R26" s="478"/>
      <c r="S26" s="189"/>
      <c r="T26" s="499"/>
      <c r="U26" s="501"/>
      <c r="V26" s="478"/>
      <c r="W26" s="189"/>
      <c r="X26" s="499"/>
      <c r="Y26" s="501"/>
      <c r="Z26" s="478"/>
      <c r="AA26" s="480"/>
      <c r="AC26" s="476"/>
      <c r="AD26" s="476"/>
      <c r="AO26" s="468"/>
      <c r="AP26" s="467"/>
      <c r="AQ26" s="467"/>
      <c r="AR26" s="146">
        <f t="shared" si="0"/>
        <v>0</v>
      </c>
      <c r="AS26" s="146">
        <f t="shared" si="1"/>
        <v>0</v>
      </c>
      <c r="AT26" s="146">
        <f t="shared" si="2"/>
        <v>0</v>
      </c>
      <c r="AU26" s="146">
        <f t="shared" si="3"/>
        <v>0</v>
      </c>
      <c r="AV26" s="146">
        <f t="shared" si="4"/>
        <v>0</v>
      </c>
      <c r="AW26" s="467"/>
      <c r="AX26" s="467"/>
      <c r="AY26" s="467"/>
      <c r="AZ26" s="467"/>
      <c r="BA26" s="467"/>
      <c r="BB26" s="467"/>
      <c r="BC26" s="467"/>
      <c r="BD26" s="155" t="str">
        <f>IFERROR(INDEX('Reference Records'!$O$3:$O$21,MATCH($B26,'Reference Records'!$I$3:$I$21,0)),"")</f>
        <v/>
      </c>
      <c r="BE26" s="126" t="str">
        <f t="shared" si="5"/>
        <v>Continue</v>
      </c>
      <c r="BF26" s="126" t="str">
        <f t="shared" si="6"/>
        <v>Continue</v>
      </c>
      <c r="BG26" s="126" t="str">
        <f t="shared" si="7"/>
        <v>Continue</v>
      </c>
      <c r="BH26" s="467"/>
      <c r="BI26" s="467"/>
      <c r="BJ26" s="467"/>
      <c r="BL26" s="310" t="str">
        <f>IFERROR(IF('Overview - Section A'!$AN$5="Funding Request",
IF(AND('Reference Records'!$B$427&lt;&gt;"",$J26 ='Reference Records'!$B$427),'Reference Records'!$C$427,""),
INDEX('Reference Records'!$A$498:$C$499,MATCH($J26,'Reference Records'!$A$498:$A$499,0),3)),"")</f>
        <v/>
      </c>
      <c r="BM26" s="310" t="str" cm="1">
        <f t="array" ref="BM26">IFERROR(IF($B26="", "", IF(INDEX('Reference Records'!$G$4:$G$24,MATCH(LEFT(B26,255),LEFT('Reference Records'!$C$4:$C$24,255),0))=0,"",
INDEX('Reference Records'!$G$4:$G$24,MATCH(LEFT(B26,255),LEFT('Reference Records'!$C$4:$C$24,255),0)))),"")</f>
        <v/>
      </c>
    </row>
    <row r="27" spans="1:65" ht="30" customHeight="1">
      <c r="A27" s="469">
        <v>10</v>
      </c>
      <c r="B27" s="471" t="s">
        <v>799</v>
      </c>
      <c r="C27" s="471"/>
      <c r="D27" s="190">
        <v>15248</v>
      </c>
      <c r="E27" s="502" t="str">
        <f ca="1">IF(OR(INDIRECT("'update Helper'!D"&amp;AH27)="",D27&lt;&gt;0,D28&lt;&gt;0),IF(IFERROR((D27/D28),"")="","",(D27/D28)),INDIRECT("'update Helper'!D"&amp;AH27)/100)</f>
        <v/>
      </c>
      <c r="F27" s="471">
        <v>2022</v>
      </c>
      <c r="G27" s="471" t="s">
        <v>798</v>
      </c>
      <c r="H27" s="485" t="str">
        <f>AB27</f>
        <v>Gender,Age,Gender | Age</v>
      </c>
      <c r="I27" s="504" t="s">
        <v>323</v>
      </c>
      <c r="J27" s="471" t="s">
        <v>781</v>
      </c>
      <c r="K27" s="190">
        <v>12157</v>
      </c>
      <c r="L27" s="492" t="str">
        <f ca="1">IFERROR(IF(K$7="","",IF(OR(K27&lt;&gt;0,K28&lt;&gt;0),IFERROR(IF(K27/K28="","",(K27/K28)),""),IF(VLOOKUP(CONCATENATE(A27,K$7),'update Helper'!$G$42:$N$224,5,FALSE)="","",VLOOKUP(CONCATENATE(A27,K$7),'update Helper'!$G$42:$N$224,5,FALSE)/100))),"")</f>
        <v/>
      </c>
      <c r="M27" s="494"/>
      <c r="N27" s="496"/>
      <c r="O27" s="190">
        <v>12188</v>
      </c>
      <c r="P27" s="492" t="str">
        <f ca="1">IFERROR(IF(O$7="","",IF(OR(O27&lt;&gt;0,O28&lt;&gt;0),IFERROR(IF(O27/O28="","",(O27/O28)),""),IF(VLOOKUP(CONCATENATE(A27,O$7),'update Helper'!$G$42:$N$224,5,FALSE)="","",VLOOKUP(CONCATENATE(A27,O$7),'update Helper'!$G$42:$N$224,5,FALSE)/100))),"")</f>
        <v/>
      </c>
      <c r="Q27" s="494"/>
      <c r="R27" s="496"/>
      <c r="S27" s="190">
        <v>11980</v>
      </c>
      <c r="T27" s="492" t="str">
        <f ca="1">IFERROR(IF(S$7="","",IF(OR(S27&lt;&gt;0,S28&lt;&gt;0),IFERROR(IF(S27/S28="","",(S27/S28)),""),IF(VLOOKUP(CONCATENATE(A27,S$7),'update Helper'!$G$42:$N$224,5,FALSE)="","",VLOOKUP(CONCATENATE(A27,S$7),'update Helper'!$G$42:$N$224,5,FALSE)/100))),"")</f>
        <v/>
      </c>
      <c r="U27" s="494"/>
      <c r="V27" s="496"/>
      <c r="W27" s="190"/>
      <c r="X27" s="492" t="str">
        <f ca="1">IFERROR(IF(W$7="","",IF(OR(W27&lt;&gt;0,W28&lt;&gt;0),IFERROR(IF(W27/W28="","",(W27/W28)),""),IF(VLOOKUP(CONCATENATE(A27,W$7),'update Helper'!$G$42:$N$224,5,FALSE)="","",VLOOKUP(CONCATENATE(A27,W$7),'update Helper'!$G$42:$N$224,5,FALSE)/100))),"")</f>
        <v/>
      </c>
      <c r="Y27" s="494"/>
      <c r="Z27" s="496"/>
      <c r="AA27" s="471" t="s">
        <v>796</v>
      </c>
      <c r="AB27" s="48" t="str">
        <f t="array" ref="AB27">IFERROR(IF(INDEX('Reference Records'!$D$4:$D$24,MATCH(LEFT(B27,255),LEFT('Reference Records'!$C$4:$C$24,255),0))=0,"",INDEX('Reference Records'!$D$4:$D$24,MATCH(LEFT(B27,255),LEFT('Reference Records'!$C$4:$C$24,255),0))),"")</f>
        <v>Gender,Age,Gender | Age</v>
      </c>
      <c r="AC27" s="476" t="str">
        <f>IF(H27&lt;&gt;"",B27&amp;C27,"")</f>
        <v>HIV I-4 Number of AIDS-related deaths per 100,000 population</v>
      </c>
      <c r="AD27" s="476" t="b">
        <f>IF(OR(B27&lt;&gt;"",C27&lt;&gt;""),TRUE,FALSE)</f>
        <v>1</v>
      </c>
      <c r="AE27" s="48" t="str">
        <f t="array" ref="AE27">IFERROR(IF(INDEX('Reference Records'!$G$4:$G$24,MATCH(LEFT(B27,255),LEFT('Reference Records'!$C$4:$C$24,255),0))=0,"",INDEX('Reference Records'!$G$4:$G$24,MATCH(LEFT(B27,255),LEFT('Reference Records'!$C$4:$C$24,255),0))),"")</f>
        <v>a1JDm000000k9beMAA</v>
      </c>
      <c r="AG27" s="48">
        <f>AG25+'update Helper'!$R$2</f>
        <v>98</v>
      </c>
      <c r="AH27" s="48">
        <f t="shared" ref="AH27" si="111">AH25+1</f>
        <v>13</v>
      </c>
      <c r="AO27" s="468" t="str">
        <f t="shared" ref="AO27" ca="1" si="112">IF(AND(BI27="Continue",BJ27="Continue"),"No Error",IF(AND(BI27&lt;&gt;"Continue",BJ27="Continue"),BI27,IF(AND(BJ27&lt;&gt;"Continue",BI27="Continue"),BJ27,CONCATENATE(BI27,CHAR(10),BJ27))))</f>
        <v>No Error</v>
      </c>
      <c r="AP27" s="467" t="str" cm="1">
        <f t="array" ref="AP27">IF(ISBLANK(B27),"Continue",(IF(IFERROR(_xlfn.XMATCH(B27,LEFT('Reference Records'!$I$3:$I$21,32768),0),0)&lt;&gt;0,"Continue","Invalid indicator entry. Select from dropdown list.")))</f>
        <v>Continue</v>
      </c>
      <c r="AQ27" s="467" t="str">
        <f t="shared" ref="AQ27" si="113">IF(SUM(AR27:AV28)=0, "Continue", "Enter valid number only.")</f>
        <v>Continue</v>
      </c>
      <c r="AR27" s="146">
        <f t="shared" si="0"/>
        <v>0</v>
      </c>
      <c r="AS27" s="146">
        <f t="shared" si="1"/>
        <v>0</v>
      </c>
      <c r="AT27" s="146">
        <f t="shared" si="2"/>
        <v>0</v>
      </c>
      <c r="AU27" s="146">
        <f t="shared" si="3"/>
        <v>0</v>
      </c>
      <c r="AV27" s="146">
        <f t="shared" si="4"/>
        <v>0</v>
      </c>
      <c r="AW27" s="467">
        <f t="shared" ref="AW27" ca="1" si="114">IF(NOT(ISBLANK(E27)),IF(E27&lt;&gt;"",(IF(NOT(ISNUMBER(E27)),1,0)),0),0)</f>
        <v>0</v>
      </c>
      <c r="AX27" s="467">
        <f t="shared" ref="AX27" ca="1" si="115">IF(NOT(ISBLANK(L27)),IF(L27&lt;&gt;"",(IF(NOT(ISNUMBER(L27)),1,0)),0),0)</f>
        <v>0</v>
      </c>
      <c r="AY27" s="467">
        <f t="shared" ref="AY27" ca="1" si="116">IF(NOT(ISBLANK(P27)),IF(P27&lt;&gt;"",(IF(NOT(ISNUMBER(P27)),1,0)),0),0)</f>
        <v>0</v>
      </c>
      <c r="AZ27" s="467">
        <f t="shared" ref="AZ27" ca="1" si="117">IF(NOT(ISBLANK(T27)),IF(T27&lt;&gt;"",(IF(NOT(ISNUMBER(T27)),1,0)),0),0)</f>
        <v>0</v>
      </c>
      <c r="BA27" s="467">
        <f t="shared" ref="BA27" ca="1" si="118">IF(NOT(ISBLANK(X27)),IF(X27&lt;&gt;"",(IF(NOT(ISNUMBER(X27)),1,0)),0),0)</f>
        <v>0</v>
      </c>
      <c r="BB27" s="467" t="str">
        <f t="shared" ref="BB27" ca="1" si="119">IF(SUM(AW27:BA28)=0, "Continue", "Enter valid number only.")</f>
        <v>Continue</v>
      </c>
      <c r="BC27" s="467" t="str">
        <f t="shared" ref="BC27" ca="1" si="120">IF(AND(AQ27="Continue",BB27="Continue"),"Continue",IF(AND(AQ27&lt;&gt;"Continue",BB27="Continue"),AQ27,IF(AND(BB27&lt;&gt;"Continue",AQ27="Continue"),BB27,CONCATENATE(AQ27,CHAR(10)))))</f>
        <v>Continue</v>
      </c>
      <c r="BD27" s="155" t="b">
        <f>IFERROR(INDEX('Reference Records'!$O$3:$O$21,MATCH($B27,'Reference Records'!$I$3:$I$21,0)),"")</f>
        <v>1</v>
      </c>
      <c r="BE27" s="126" t="str">
        <f t="shared" ca="1" si="5"/>
        <v>Continue</v>
      </c>
      <c r="BF27" s="126" t="str">
        <f t="shared" si="6"/>
        <v>Continue</v>
      </c>
      <c r="BG27" s="126" t="str">
        <f t="shared" ca="1" si="7"/>
        <v>Continue</v>
      </c>
      <c r="BH27" s="467" t="str">
        <f t="shared" ref="BH27" ca="1" si="121">IF(AND(AP27="Continue",BC27="Continue"),"Continue",IF(AND(AP27&lt;&gt;"Continue",BC27="Continue"),AP27,IF(AND(BC27&lt;&gt;"Continue",AP27="Continue"),BC27,CONCATENATE(AP27,CHAR(10),BC27))))</f>
        <v>Continue</v>
      </c>
      <c r="BI27" s="467" t="str">
        <f t="shared" ref="BI27" si="122">IF(AND(B27="",C27=""),"Continue",
IF(AND(B27="",C27&lt;&gt;""),"Continue",
IF(AND(B27&lt;&gt;"",C27=""),"Continue",
IF(AND(B27&lt;&gt;"",C27&lt;&gt;""),"Cannot enter both standard and custom indicators on the same line."))))</f>
        <v>Continue</v>
      </c>
      <c r="BJ27" s="467" t="str">
        <f t="shared" ref="BJ27" ca="1" si="123">IF(AND(BE27="Continue",BH27="Continue"),"Continue",IF(AND(BE27&lt;&gt;"Continue",BH27="Continue"),BE27,IF(AND(BH27&lt;&gt;"Continue",BE27="Continue"),BH27,CONCATENATE(BE27,CHAR(10),BH27))))</f>
        <v>Continue</v>
      </c>
      <c r="BL27" s="310" t="str">
        <f>IFERROR(IF('Overview - Section A'!$AN$5="Funding Request",
IF(AND('Reference Records'!$B$427&lt;&gt;"",$J27 ='Reference Records'!$B$427),'Reference Records'!$C$427,""),
INDEX('Reference Records'!$A$498:$C$499,MATCH($J27,'Reference Records'!$A$498:$A$499,0),3)),"")</f>
        <v>a1A360000013M2uEAE</v>
      </c>
      <c r="BM27" s="310" t="str" cm="1">
        <f t="array" ref="BM27">IFERROR(IF($B27="", "", IF(INDEX('Reference Records'!$G$4:$G$24,MATCH(LEFT(B27,255),LEFT('Reference Records'!$C$4:$C$24,255),0))=0,"",
INDEX('Reference Records'!$G$4:$G$24,MATCH(LEFT(B27,255),LEFT('Reference Records'!$C$4:$C$24,255),0)))),"")</f>
        <v>a1JDm000000k9beMAA</v>
      </c>
    </row>
    <row r="28" spans="1:65" ht="30" customHeight="1">
      <c r="A28" s="470"/>
      <c r="B28" s="472"/>
      <c r="C28" s="472"/>
      <c r="D28" s="191"/>
      <c r="E28" s="503"/>
      <c r="F28" s="472"/>
      <c r="G28" s="472"/>
      <c r="H28" s="486"/>
      <c r="I28" s="505"/>
      <c r="J28" s="472"/>
      <c r="K28" s="191"/>
      <c r="L28" s="493"/>
      <c r="M28" s="495"/>
      <c r="N28" s="497"/>
      <c r="O28" s="191"/>
      <c r="P28" s="493"/>
      <c r="Q28" s="495"/>
      <c r="R28" s="497"/>
      <c r="S28" s="191"/>
      <c r="T28" s="493"/>
      <c r="U28" s="495"/>
      <c r="V28" s="497"/>
      <c r="W28" s="191"/>
      <c r="X28" s="493"/>
      <c r="Y28" s="495"/>
      <c r="Z28" s="497"/>
      <c r="AA28" s="472"/>
      <c r="AC28" s="476"/>
      <c r="AD28" s="476"/>
      <c r="AO28" s="468"/>
      <c r="AP28" s="467"/>
      <c r="AQ28" s="467"/>
      <c r="AR28" s="146">
        <f t="shared" si="0"/>
        <v>0</v>
      </c>
      <c r="AS28" s="146">
        <f t="shared" si="1"/>
        <v>0</v>
      </c>
      <c r="AT28" s="146">
        <f t="shared" si="2"/>
        <v>0</v>
      </c>
      <c r="AU28" s="146">
        <f t="shared" si="3"/>
        <v>0</v>
      </c>
      <c r="AV28" s="146">
        <f t="shared" si="4"/>
        <v>0</v>
      </c>
      <c r="AW28" s="467"/>
      <c r="AX28" s="467"/>
      <c r="AY28" s="467"/>
      <c r="AZ28" s="467"/>
      <c r="BA28" s="467"/>
      <c r="BB28" s="467"/>
      <c r="BC28" s="467"/>
      <c r="BD28" s="155" t="str">
        <f>IFERROR(INDEX('Reference Records'!$O$3:$O$21,MATCH($B28,'Reference Records'!$I$3:$I$21,0)),"")</f>
        <v/>
      </c>
      <c r="BE28" s="126" t="str">
        <f t="shared" si="5"/>
        <v>Continue</v>
      </c>
      <c r="BF28" s="126" t="str">
        <f t="shared" si="6"/>
        <v>Continue</v>
      </c>
      <c r="BG28" s="126" t="str">
        <f t="shared" si="7"/>
        <v>Continue</v>
      </c>
      <c r="BH28" s="467"/>
      <c r="BI28" s="467"/>
      <c r="BJ28" s="467"/>
      <c r="BL28" s="310" t="str">
        <f>IFERROR(IF('Overview - Section A'!$AN$5="Funding Request",
IF(AND('Reference Records'!$B$427&lt;&gt;"",$J28 ='Reference Records'!$B$427),'Reference Records'!$C$427,""),
INDEX('Reference Records'!$A$498:$C$499,MATCH($J28,'Reference Records'!$A$498:$A$499,0),3)),"")</f>
        <v/>
      </c>
      <c r="BM28" s="310" t="str" cm="1">
        <f t="array" ref="BM28">IFERROR(IF($B28="", "", IF(INDEX('Reference Records'!$G$4:$G$24,MATCH(LEFT(B28,255),LEFT('Reference Records'!$C$4:$C$24,255),0))=0,"",
INDEX('Reference Records'!$G$4:$G$24,MATCH(LEFT(B28,255),LEFT('Reference Records'!$C$4:$C$24,255),0)))),"")</f>
        <v/>
      </c>
    </row>
    <row r="29" spans="1:65" ht="30" customHeight="1">
      <c r="A29" s="469">
        <v>11</v>
      </c>
      <c r="B29" s="479" t="s">
        <v>800</v>
      </c>
      <c r="C29" s="479"/>
      <c r="D29" s="188">
        <v>12508</v>
      </c>
      <c r="E29" s="481">
        <f ca="1">IF(OR(INDIRECT("'update Helper'!D"&amp;AH29)="",D29&lt;&gt;0,D30&lt;&gt;0),IF(IFERROR((D29/D30),"")="","",(D29/D30)),INDIRECT("'update Helper'!D"&amp;AH29)/100)</f>
        <v>0.30720110030454856</v>
      </c>
      <c r="F29" s="479">
        <v>2022</v>
      </c>
      <c r="G29" s="479" t="s">
        <v>798</v>
      </c>
      <c r="H29" s="485" t="str">
        <f>AB29</f>
        <v/>
      </c>
      <c r="I29" s="483" t="s">
        <v>323</v>
      </c>
      <c r="J29" s="479" t="s">
        <v>781</v>
      </c>
      <c r="K29" s="188">
        <v>9208</v>
      </c>
      <c r="L29" s="498">
        <f ca="1">IFERROR(IF(K$7="","",IF(OR(K29&lt;&gt;0,K30&lt;&gt;0),IFERROR(IF(K29/K30="","",(K29/K30)),""),IF(VLOOKUP(CONCATENATE(A29,K$7),'update Helper'!$G$42:$N$224,5,FALSE)="","",VLOOKUP(CONCATENATE(A29,K$7),'update Helper'!$G$42:$N$224,5,FALSE)/100))),"")</f>
        <v>0.2391315639121176</v>
      </c>
      <c r="M29" s="500"/>
      <c r="N29" s="477"/>
      <c r="O29" s="188">
        <v>8062</v>
      </c>
      <c r="P29" s="498">
        <f ca="1">IFERROR(IF(O$7="","",IF(OR(O29&lt;&gt;0,O30&lt;&gt;0),IFERROR(IF(O29/O30="","",(O29/O30)),""),IF(VLOOKUP(CONCATENATE(A29,O$7),'update Helper'!$G$42:$N$224,5,FALSE)="","",VLOOKUP(CONCATENATE(A29,O$7),'update Helper'!$G$42:$N$224,5,FALSE)/100))),"")</f>
        <v>0.21753325598337875</v>
      </c>
      <c r="Q29" s="500"/>
      <c r="R29" s="477"/>
      <c r="S29" s="188">
        <v>6909</v>
      </c>
      <c r="T29" s="498">
        <f ca="1">IFERROR(IF(S$7="","",IF(OR(S29&lt;&gt;0,S30&lt;&gt;0),IFERROR(IF(S29/S30="","",(S29/S30)),""),IF(VLOOKUP(CONCATENATE(A29,S$7),'update Helper'!$G$42:$N$224,5,FALSE)="","",VLOOKUP(CONCATENATE(A29,S$7),'update Helper'!$G$42:$N$224,5,FALSE)/100))),"")</f>
        <v>0.19224241075155124</v>
      </c>
      <c r="U29" s="500"/>
      <c r="V29" s="477"/>
      <c r="W29" s="188"/>
      <c r="X29" s="498" t="str">
        <f ca="1">IFERROR(IF(W$7="","",IF(OR(W29&lt;&gt;0,W30&lt;&gt;0),IFERROR(IF(W29/W30="","",(W29/W30)),""),IF(VLOOKUP(CONCATENATE(A29,W$7),'update Helper'!$G$42:$N$224,5,FALSE)="","",VLOOKUP(CONCATENATE(A29,W$7),'update Helper'!$G$42:$N$224,5,FALSE)/100))),"")</f>
        <v/>
      </c>
      <c r="Y29" s="500"/>
      <c r="Z29" s="477"/>
      <c r="AA29" s="479" t="s">
        <v>796</v>
      </c>
      <c r="AB29" s="48" t="str">
        <f t="array" ref="AB29">IFERROR(IF(INDEX('Reference Records'!$D$4:$D$24,MATCH(LEFT(B29,255),LEFT('Reference Records'!$C$4:$C$24,255),0))=0,"",INDEX('Reference Records'!$D$4:$D$24,MATCH(LEFT(B29,255),LEFT('Reference Records'!$C$4:$C$24,255),0))),"")</f>
        <v/>
      </c>
      <c r="AC29" s="476" t="str">
        <f>IF(H29&lt;&gt;"",B29&amp;C29,"")</f>
        <v/>
      </c>
      <c r="AD29" s="476" t="b">
        <f>IF(OR(B29&lt;&gt;"",C29&lt;&gt;""),TRUE,FALSE)</f>
        <v>1</v>
      </c>
      <c r="AE29" s="48" t="str">
        <f t="array" ref="AE29">IFERROR(IF(INDEX('Reference Records'!$G$4:$G$24,MATCH(LEFT(B29,255),LEFT('Reference Records'!$C$4:$C$24,255),0))=0,"",INDEX('Reference Records'!$G$4:$G$24,MATCH(LEFT(B29,255),LEFT('Reference Records'!$C$4:$C$24,255),0))),"")</f>
        <v>a1JDm000000k9bfMAA</v>
      </c>
      <c r="AG29" s="48">
        <f>AG27+'update Helper'!$R$2</f>
        <v>104</v>
      </c>
      <c r="AH29" s="48">
        <f t="shared" ref="AH29" si="124">AH27+1</f>
        <v>14</v>
      </c>
      <c r="AO29" s="468" t="str">
        <f t="shared" ref="AO29" ca="1" si="125">IF(AND(BI29="Continue",BJ29="Continue"),"No Error",IF(AND(BI29&lt;&gt;"Continue",BJ29="Continue"),BI29,IF(AND(BJ29&lt;&gt;"Continue",BI29="Continue"),BJ29,CONCATENATE(BI29,CHAR(10),BJ29))))</f>
        <v>No Error</v>
      </c>
      <c r="AP29" s="467" t="str" cm="1">
        <f t="array" ref="AP29">IF(ISBLANK(B29),"Continue",(IF(IFERROR(_xlfn.XMATCH(B29,LEFT('Reference Records'!$I$3:$I$21,32768),0),0)&lt;&gt;0,"Continue","Invalid indicator entry. Select from dropdown list.")))</f>
        <v>Continue</v>
      </c>
      <c r="AQ29" s="467" t="str">
        <f t="shared" ref="AQ29" si="126">IF(SUM(AR29:AV30)=0, "Continue", "Enter valid number only.")</f>
        <v>Continue</v>
      </c>
      <c r="AR29" s="146">
        <f t="shared" si="0"/>
        <v>0</v>
      </c>
      <c r="AS29" s="146">
        <f t="shared" si="1"/>
        <v>0</v>
      </c>
      <c r="AT29" s="146">
        <f t="shared" si="2"/>
        <v>0</v>
      </c>
      <c r="AU29" s="146">
        <f t="shared" si="3"/>
        <v>0</v>
      </c>
      <c r="AV29" s="146">
        <f t="shared" si="4"/>
        <v>0</v>
      </c>
      <c r="AW29" s="467">
        <f t="shared" ref="AW29" ca="1" si="127">IF(NOT(ISBLANK(E29)),IF(E29&lt;&gt;"",(IF(NOT(ISNUMBER(E29)),1,0)),0),0)</f>
        <v>0</v>
      </c>
      <c r="AX29" s="467">
        <f t="shared" ref="AX29" ca="1" si="128">IF(NOT(ISBLANK(L29)),IF(L29&lt;&gt;"",(IF(NOT(ISNUMBER(L29)),1,0)),0),0)</f>
        <v>0</v>
      </c>
      <c r="AY29" s="467">
        <f t="shared" ref="AY29" ca="1" si="129">IF(NOT(ISBLANK(P29)),IF(P29&lt;&gt;"",(IF(NOT(ISNUMBER(P29)),1,0)),0),0)</f>
        <v>0</v>
      </c>
      <c r="AZ29" s="467">
        <f t="shared" ref="AZ29" ca="1" si="130">IF(NOT(ISBLANK(T29)),IF(T29&lt;&gt;"",(IF(NOT(ISNUMBER(T29)),1,0)),0),0)</f>
        <v>0</v>
      </c>
      <c r="BA29" s="467">
        <f t="shared" ref="BA29" ca="1" si="131">IF(NOT(ISBLANK(X29)),IF(X29&lt;&gt;"",(IF(NOT(ISNUMBER(X29)),1,0)),0),0)</f>
        <v>0</v>
      </c>
      <c r="BB29" s="467" t="str">
        <f t="shared" ref="BB29" ca="1" si="132">IF(SUM(AW29:BA30)=0, "Continue", "Enter valid number only.")</f>
        <v>Continue</v>
      </c>
      <c r="BC29" s="467" t="str">
        <f t="shared" ref="BC29" ca="1" si="133">IF(AND(AQ29="Continue",BB29="Continue"),"Continue",IF(AND(AQ29&lt;&gt;"Continue",BB29="Continue"),AQ29,IF(AND(BB29&lt;&gt;"Continue",AQ29="Continue"),BB29,CONCATENATE(AQ29,CHAR(10)))))</f>
        <v>Continue</v>
      </c>
      <c r="BD29" s="155" t="b">
        <f>IFERROR(INDEX('Reference Records'!$O$3:$O$21,MATCH($B29,'Reference Records'!$I$3:$I$21,0)),"")</f>
        <v>0</v>
      </c>
      <c r="BE29" s="126" t="str">
        <f t="shared" ca="1" si="5"/>
        <v>Continue</v>
      </c>
      <c r="BF29" s="126" t="str">
        <f t="shared" si="6"/>
        <v>Continue</v>
      </c>
      <c r="BG29" s="126" t="str">
        <f t="shared" ca="1" si="7"/>
        <v>Continue</v>
      </c>
      <c r="BH29" s="467" t="str">
        <f t="shared" ref="BH29" ca="1" si="134">IF(AND(AP29="Continue",BC29="Continue"),"Continue",IF(AND(AP29&lt;&gt;"Continue",BC29="Continue"),AP29,IF(AND(BC29&lt;&gt;"Continue",AP29="Continue"),BC29,CONCATENATE(AP29,CHAR(10),BC29))))</f>
        <v>Continue</v>
      </c>
      <c r="BI29" s="467" t="str">
        <f t="shared" ref="BI29" si="135">IF(AND(B29="",C29=""),"Continue",
IF(AND(B29="",C29&lt;&gt;""),"Continue",
IF(AND(B29&lt;&gt;"",C29=""),"Continue",
IF(AND(B29&lt;&gt;"",C29&lt;&gt;""),"Cannot enter both standard and custom indicators on the same line."))))</f>
        <v>Continue</v>
      </c>
      <c r="BJ29" s="467" t="str">
        <f t="shared" ref="BJ29" ca="1" si="136">IF(AND(BE29="Continue",BH29="Continue"),"Continue",IF(AND(BE29&lt;&gt;"Continue",BH29="Continue"),BE29,IF(AND(BH29&lt;&gt;"Continue",BE29="Continue"),BH29,CONCATENATE(BE29,CHAR(10),BH29))))</f>
        <v>Continue</v>
      </c>
      <c r="BL29" s="310" t="str">
        <f>IFERROR(IF('Overview - Section A'!$AN$5="Funding Request",
IF(AND('Reference Records'!$B$427&lt;&gt;"",$J29 ='Reference Records'!$B$427),'Reference Records'!$C$427,""),
INDEX('Reference Records'!$A$498:$C$499,MATCH($J29,'Reference Records'!$A$498:$A$499,0),3)),"")</f>
        <v>a1A360000013M2uEAE</v>
      </c>
      <c r="BM29" s="310" t="str" cm="1">
        <f t="array" ref="BM29">IFERROR(IF($B29="", "", IF(INDEX('Reference Records'!$G$4:$G$24,MATCH(LEFT(B29,255),LEFT('Reference Records'!$C$4:$C$24,255),0))=0,"",
INDEX('Reference Records'!$G$4:$G$24,MATCH(LEFT(B29,255),LEFT('Reference Records'!$C$4:$C$24,255),0)))),"")</f>
        <v>a1JDm000000k9bfMAA</v>
      </c>
    </row>
    <row r="30" spans="1:65" ht="30" customHeight="1">
      <c r="A30" s="470"/>
      <c r="B30" s="480"/>
      <c r="C30" s="480"/>
      <c r="D30" s="189">
        <v>40716</v>
      </c>
      <c r="E30" s="482"/>
      <c r="F30" s="480"/>
      <c r="G30" s="480"/>
      <c r="H30" s="486"/>
      <c r="I30" s="484"/>
      <c r="J30" s="480"/>
      <c r="K30" s="189">
        <v>38506</v>
      </c>
      <c r="L30" s="499"/>
      <c r="M30" s="501"/>
      <c r="N30" s="478"/>
      <c r="O30" s="189">
        <v>37061</v>
      </c>
      <c r="P30" s="499"/>
      <c r="Q30" s="501"/>
      <c r="R30" s="478"/>
      <c r="S30" s="189">
        <v>35939</v>
      </c>
      <c r="T30" s="499"/>
      <c r="U30" s="501"/>
      <c r="V30" s="478"/>
      <c r="W30" s="189"/>
      <c r="X30" s="499"/>
      <c r="Y30" s="501"/>
      <c r="Z30" s="478"/>
      <c r="AA30" s="480"/>
      <c r="AC30" s="476"/>
      <c r="AD30" s="476"/>
      <c r="AO30" s="468"/>
      <c r="AP30" s="467"/>
      <c r="AQ30" s="467"/>
      <c r="AR30" s="146">
        <f t="shared" si="0"/>
        <v>0</v>
      </c>
      <c r="AS30" s="146">
        <f t="shared" si="1"/>
        <v>0</v>
      </c>
      <c r="AT30" s="146">
        <f t="shared" si="2"/>
        <v>0</v>
      </c>
      <c r="AU30" s="146">
        <f t="shared" si="3"/>
        <v>0</v>
      </c>
      <c r="AV30" s="146">
        <f t="shared" si="4"/>
        <v>0</v>
      </c>
      <c r="AW30" s="467"/>
      <c r="AX30" s="467"/>
      <c r="AY30" s="467"/>
      <c r="AZ30" s="467"/>
      <c r="BA30" s="467"/>
      <c r="BB30" s="467"/>
      <c r="BC30" s="467"/>
      <c r="BD30" s="155" t="str">
        <f>IFERROR(INDEX('Reference Records'!$O$3:$O$21,MATCH($B30,'Reference Records'!$I$3:$I$21,0)),"")</f>
        <v/>
      </c>
      <c r="BE30" s="126" t="str">
        <f t="shared" si="5"/>
        <v>Continue</v>
      </c>
      <c r="BF30" s="126" t="str">
        <f t="shared" si="6"/>
        <v>Continue</v>
      </c>
      <c r="BG30" s="126" t="str">
        <f t="shared" si="7"/>
        <v>Continue</v>
      </c>
      <c r="BH30" s="467"/>
      <c r="BI30" s="467"/>
      <c r="BJ30" s="467"/>
      <c r="BL30" s="310" t="str">
        <f>IFERROR(IF('Overview - Section A'!$AN$5="Funding Request",
IF(AND('Reference Records'!$B$427&lt;&gt;"",$J30 ='Reference Records'!$B$427),'Reference Records'!$C$427,""),
INDEX('Reference Records'!$A$498:$C$499,MATCH($J30,'Reference Records'!$A$498:$A$499,0),3)),"")</f>
        <v/>
      </c>
      <c r="BM30" s="310" t="str" cm="1">
        <f t="array" ref="BM30">IFERROR(IF($B30="", "", IF(INDEX('Reference Records'!$G$4:$G$24,MATCH(LEFT(B30,255),LEFT('Reference Records'!$C$4:$C$24,255),0))=0,"",
INDEX('Reference Records'!$G$4:$G$24,MATCH(LEFT(B30,255),LEFT('Reference Records'!$C$4:$C$24,255),0)))),"")</f>
        <v/>
      </c>
    </row>
    <row r="31" spans="1:65" ht="30" customHeight="1">
      <c r="A31" s="469">
        <v>12</v>
      </c>
      <c r="B31" s="471"/>
      <c r="C31" s="471"/>
      <c r="D31" s="190"/>
      <c r="E31" s="502" t="str">
        <f ca="1">IF(OR(INDIRECT("'update Helper'!D"&amp;AH31)="",D31&lt;&gt;0,D32&lt;&gt;0),IF(IFERROR((D31/D32),"")="","",(D31/D32)),INDIRECT("'update Helper'!D"&amp;AH31)/100)</f>
        <v/>
      </c>
      <c r="F31" s="471"/>
      <c r="G31" s="471"/>
      <c r="H31" s="485" t="str">
        <f>AB31</f>
        <v/>
      </c>
      <c r="I31" s="504"/>
      <c r="J31" s="471"/>
      <c r="K31" s="190"/>
      <c r="L31" s="492" t="str">
        <f ca="1">IFERROR(IF(K$7="","",IF(OR(K31&lt;&gt;0,K32&lt;&gt;0),IFERROR(IF(K31/K32="","",(K31/K32)),""),IF(VLOOKUP(CONCATENATE(A31,K$7),'update Helper'!$G$42:$N$224,5,FALSE)="","",VLOOKUP(CONCATENATE(A31,K$7),'update Helper'!$G$42:$N$224,5,FALSE)/100))),"")</f>
        <v/>
      </c>
      <c r="M31" s="494"/>
      <c r="N31" s="496"/>
      <c r="O31" s="190"/>
      <c r="P31" s="492" t="str">
        <f ca="1">IFERROR(IF(O$7="","",IF(OR(O31&lt;&gt;0,O32&lt;&gt;0),IFERROR(IF(O31/O32="","",(O31/O32)),""),IF(VLOOKUP(CONCATENATE(A31,O$7),'update Helper'!$G$42:$N$224,5,FALSE)="","",VLOOKUP(CONCATENATE(A31,O$7),'update Helper'!$G$42:$N$224,5,FALSE)/100))),"")</f>
        <v/>
      </c>
      <c r="Q31" s="494"/>
      <c r="R31" s="496"/>
      <c r="S31" s="190"/>
      <c r="T31" s="492" t="str">
        <f ca="1">IFERROR(IF(S$7="","",IF(OR(S31&lt;&gt;0,S32&lt;&gt;0),IFERROR(IF(S31/S32="","",(S31/S32)),""),IF(VLOOKUP(CONCATENATE(A31,S$7),'update Helper'!$G$42:$N$224,5,FALSE)="","",VLOOKUP(CONCATENATE(A31,S$7),'update Helper'!$G$42:$N$224,5,FALSE)/100))),"")</f>
        <v/>
      </c>
      <c r="U31" s="494"/>
      <c r="V31" s="496"/>
      <c r="W31" s="190"/>
      <c r="X31" s="492" t="str">
        <f ca="1">IFERROR(IF(W$7="","",IF(OR(W31&lt;&gt;0,W32&lt;&gt;0),IFERROR(IF(W31/W32="","",(W31/W32)),""),IF(VLOOKUP(CONCATENATE(A31,W$7),'update Helper'!$G$42:$N$224,5,FALSE)="","",VLOOKUP(CONCATENATE(A31,W$7),'update Helper'!$G$42:$N$224,5,FALSE)/100))),"")</f>
        <v/>
      </c>
      <c r="Y31" s="494"/>
      <c r="Z31" s="496"/>
      <c r="AA31" s="471"/>
      <c r="AB31" s="48" t="str">
        <f t="array" ref="AB31">IFERROR(IF(INDEX('Reference Records'!$D$4:$D$24,MATCH(LEFT(B31,255),LEFT('Reference Records'!$C$4:$C$24,255),0))=0,"",INDEX('Reference Records'!$D$4:$D$24,MATCH(LEFT(B31,255),LEFT('Reference Records'!$C$4:$C$24,255),0))),"")</f>
        <v/>
      </c>
      <c r="AC31" s="476" t="str">
        <f>IF(H31&lt;&gt;"",B31&amp;C31,"")</f>
        <v/>
      </c>
      <c r="AD31" s="476" t="b">
        <f>IF(OR(B31&lt;&gt;"",C31&lt;&gt;""),TRUE,FALSE)</f>
        <v>0</v>
      </c>
      <c r="AE31" s="48" t="str">
        <f t="array" ref="AE31">IFERROR(IF(INDEX('Reference Records'!$G$4:$G$24,MATCH(LEFT(B31,255),LEFT('Reference Records'!$C$4:$C$24,255),0))=0,"",INDEX('Reference Records'!$G$4:$G$24,MATCH(LEFT(B31,255),LEFT('Reference Records'!$C$4:$C$24,255),0))),"")</f>
        <v/>
      </c>
      <c r="AG31" s="48">
        <f>AG29+'update Helper'!$R$2</f>
        <v>110</v>
      </c>
      <c r="AH31" s="48">
        <f t="shared" ref="AH31" si="137">AH29+1</f>
        <v>15</v>
      </c>
      <c r="AO31" s="468" t="str">
        <f t="shared" ref="AO31" ca="1" si="138">IF(AND(BI31="Continue",BJ31="Continue"),"No Error",IF(AND(BI31&lt;&gt;"Continue",BJ31="Continue"),BI31,IF(AND(BJ31&lt;&gt;"Continue",BI31="Continue"),BJ31,CONCATENATE(BI31,CHAR(10),BJ31))))</f>
        <v>No Error</v>
      </c>
      <c r="AP31" s="467" t="str" cm="1">
        <f t="array" ref="AP31">IF(ISBLANK(B31),"Continue",(IF(IFERROR(_xlfn.XMATCH(B31,LEFT('Reference Records'!$I$3:$I$21,32768),0),0)&lt;&gt;0,"Continue","Invalid indicator entry. Select from dropdown list.")))</f>
        <v>Continue</v>
      </c>
      <c r="AQ31" s="467" t="str">
        <f t="shared" ref="AQ31" si="139">IF(SUM(AR31:AV32)=0, "Continue", "Enter valid number only.")</f>
        <v>Continue</v>
      </c>
      <c r="AR31" s="146">
        <f t="shared" si="0"/>
        <v>0</v>
      </c>
      <c r="AS31" s="146">
        <f t="shared" si="1"/>
        <v>0</v>
      </c>
      <c r="AT31" s="146">
        <f t="shared" si="2"/>
        <v>0</v>
      </c>
      <c r="AU31" s="146">
        <f t="shared" si="3"/>
        <v>0</v>
      </c>
      <c r="AV31" s="146">
        <f t="shared" si="4"/>
        <v>0</v>
      </c>
      <c r="AW31" s="467">
        <f t="shared" ref="AW31" ca="1" si="140">IF(NOT(ISBLANK(E31)),IF(E31&lt;&gt;"",(IF(NOT(ISNUMBER(E31)),1,0)),0),0)</f>
        <v>0</v>
      </c>
      <c r="AX31" s="467">
        <f t="shared" ref="AX31" ca="1" si="141">IF(NOT(ISBLANK(L31)),IF(L31&lt;&gt;"",(IF(NOT(ISNUMBER(L31)),1,0)),0),0)</f>
        <v>0</v>
      </c>
      <c r="AY31" s="467">
        <f t="shared" ref="AY31" ca="1" si="142">IF(NOT(ISBLANK(P31)),IF(P31&lt;&gt;"",(IF(NOT(ISNUMBER(P31)),1,0)),0),0)</f>
        <v>0</v>
      </c>
      <c r="AZ31" s="467">
        <f t="shared" ref="AZ31" ca="1" si="143">IF(NOT(ISBLANK(T31)),IF(T31&lt;&gt;"",(IF(NOT(ISNUMBER(T31)),1,0)),0),0)</f>
        <v>0</v>
      </c>
      <c r="BA31" s="467">
        <f t="shared" ref="BA31" ca="1" si="144">IF(NOT(ISBLANK(X31)),IF(X31&lt;&gt;"",(IF(NOT(ISNUMBER(X31)),1,0)),0),0)</f>
        <v>0</v>
      </c>
      <c r="BB31" s="467" t="str">
        <f t="shared" ref="BB31" ca="1" si="145">IF(SUM(AW31:BA32)=0, "Continue", "Enter valid number only.")</f>
        <v>Continue</v>
      </c>
      <c r="BC31" s="467" t="str">
        <f t="shared" ref="BC31" ca="1" si="146">IF(AND(AQ31="Continue",BB31="Continue"),"Continue",IF(AND(AQ31&lt;&gt;"Continue",BB31="Continue"),AQ31,IF(AND(BB31&lt;&gt;"Continue",AQ31="Continue"),BB31,CONCATENATE(AQ31,CHAR(10)))))</f>
        <v>Continue</v>
      </c>
      <c r="BD31" s="155" t="str">
        <f>IFERROR(INDEX('Reference Records'!$O$3:$O$21,MATCH($B31,'Reference Records'!$I$3:$I$21,0)),"")</f>
        <v/>
      </c>
      <c r="BE31" s="126" t="str">
        <f t="shared" ca="1" si="5"/>
        <v>Continue</v>
      </c>
      <c r="BF31" s="126" t="str">
        <f t="shared" si="6"/>
        <v>Continue</v>
      </c>
      <c r="BG31" s="126" t="str">
        <f t="shared" ca="1" si="7"/>
        <v>Continue</v>
      </c>
      <c r="BH31" s="467" t="str">
        <f t="shared" ref="BH31" ca="1" si="147">IF(AND(AP31="Continue",BC31="Continue"),"Continue",IF(AND(AP31&lt;&gt;"Continue",BC31="Continue"),AP31,IF(AND(BC31&lt;&gt;"Continue",AP31="Continue"),BC31,CONCATENATE(AP31,CHAR(10),BC31))))</f>
        <v>Continue</v>
      </c>
      <c r="BI31" s="467" t="str">
        <f t="shared" ref="BI31" si="148">IF(AND(B31="",C31=""),"Continue",
IF(AND(B31="",C31&lt;&gt;""),"Continue",
IF(AND(B31&lt;&gt;"",C31=""),"Continue",
IF(AND(B31&lt;&gt;"",C31&lt;&gt;""),"Cannot enter both standard and custom indicators on the same line."))))</f>
        <v>Continue</v>
      </c>
      <c r="BJ31" s="467" t="str">
        <f t="shared" ref="BJ31" ca="1" si="149">IF(AND(BE31="Continue",BH31="Continue"),"Continue",IF(AND(BE31&lt;&gt;"Continue",BH31="Continue"),BE31,IF(AND(BH31&lt;&gt;"Continue",BE31="Continue"),BH31,CONCATENATE(BE31,CHAR(10),BH31))))</f>
        <v>Continue</v>
      </c>
      <c r="BL31" s="310" t="str">
        <f>IFERROR(IF('Overview - Section A'!$AN$5="Funding Request",
IF(AND('Reference Records'!$B$427&lt;&gt;"",$J31 ='Reference Records'!$B$427),'Reference Records'!$C$427,""),
INDEX('Reference Records'!$A$498:$C$499,MATCH($J31,'Reference Records'!$A$498:$A$499,0),3)),"")</f>
        <v/>
      </c>
      <c r="BM31" s="310" t="str" cm="1">
        <f t="array" ref="BM31">IFERROR(IF($B31="", "", IF(INDEX('Reference Records'!$G$4:$G$24,MATCH(LEFT(B31,255),LEFT('Reference Records'!$C$4:$C$24,255),0))=0,"",
INDEX('Reference Records'!$G$4:$G$24,MATCH(LEFT(B31,255),LEFT('Reference Records'!$C$4:$C$24,255),0)))),"")</f>
        <v/>
      </c>
    </row>
    <row r="32" spans="1:65" ht="30" customHeight="1">
      <c r="A32" s="470"/>
      <c r="B32" s="472"/>
      <c r="C32" s="472"/>
      <c r="D32" s="191"/>
      <c r="E32" s="503"/>
      <c r="F32" s="472"/>
      <c r="G32" s="472"/>
      <c r="H32" s="486"/>
      <c r="I32" s="505"/>
      <c r="J32" s="472"/>
      <c r="K32" s="191"/>
      <c r="L32" s="493"/>
      <c r="M32" s="495"/>
      <c r="N32" s="497"/>
      <c r="O32" s="191"/>
      <c r="P32" s="493"/>
      <c r="Q32" s="495"/>
      <c r="R32" s="497"/>
      <c r="S32" s="191"/>
      <c r="T32" s="493"/>
      <c r="U32" s="495"/>
      <c r="V32" s="497"/>
      <c r="W32" s="191"/>
      <c r="X32" s="493"/>
      <c r="Y32" s="495"/>
      <c r="Z32" s="497"/>
      <c r="AA32" s="472"/>
      <c r="AC32" s="476"/>
      <c r="AD32" s="476"/>
      <c r="AO32" s="468"/>
      <c r="AP32" s="467"/>
      <c r="AQ32" s="467"/>
      <c r="AR32" s="146">
        <f t="shared" si="0"/>
        <v>0</v>
      </c>
      <c r="AS32" s="146">
        <f t="shared" si="1"/>
        <v>0</v>
      </c>
      <c r="AT32" s="146">
        <f t="shared" si="2"/>
        <v>0</v>
      </c>
      <c r="AU32" s="146">
        <f t="shared" si="3"/>
        <v>0</v>
      </c>
      <c r="AV32" s="146">
        <f t="shared" si="4"/>
        <v>0</v>
      </c>
      <c r="AW32" s="467"/>
      <c r="AX32" s="467"/>
      <c r="AY32" s="467"/>
      <c r="AZ32" s="467"/>
      <c r="BA32" s="467"/>
      <c r="BB32" s="467"/>
      <c r="BC32" s="467"/>
      <c r="BD32" s="155" t="str">
        <f>IFERROR(INDEX('Reference Records'!$O$3:$O$21,MATCH($B32,'Reference Records'!$I$3:$I$21,0)),"")</f>
        <v/>
      </c>
      <c r="BE32" s="126" t="str">
        <f t="shared" si="5"/>
        <v>Continue</v>
      </c>
      <c r="BF32" s="126" t="str">
        <f t="shared" si="6"/>
        <v>Continue</v>
      </c>
      <c r="BG32" s="126" t="str">
        <f t="shared" si="7"/>
        <v>Continue</v>
      </c>
      <c r="BH32" s="467"/>
      <c r="BI32" s="467"/>
      <c r="BJ32" s="467"/>
      <c r="BL32" s="310" t="str">
        <f>IFERROR(IF('Overview - Section A'!$AN$5="Funding Request",
IF(AND('Reference Records'!$B$427&lt;&gt;"",$J32 ='Reference Records'!$B$427),'Reference Records'!$C$427,""),
INDEX('Reference Records'!$A$498:$C$499,MATCH($J32,'Reference Records'!$A$498:$A$499,0),3)),"")</f>
        <v/>
      </c>
      <c r="BM32" s="310" t="str" cm="1">
        <f t="array" ref="BM32">IFERROR(IF($B32="", "", IF(INDEX('Reference Records'!$G$4:$G$24,MATCH(LEFT(B32,255),LEFT('Reference Records'!$C$4:$C$24,255),0))=0,"",
INDEX('Reference Records'!$G$4:$G$24,MATCH(LEFT(B32,255),LEFT('Reference Records'!$C$4:$C$24,255),0)))),"")</f>
        <v/>
      </c>
    </row>
    <row r="33" spans="1:65" ht="30" customHeight="1">
      <c r="A33" s="469">
        <v>13</v>
      </c>
      <c r="B33" s="479"/>
      <c r="C33" s="479"/>
      <c r="D33" s="188"/>
      <c r="E33" s="481" t="str">
        <f ca="1">IF(OR(INDIRECT("'update Helper'!D"&amp;AH33)="",D33&lt;&gt;0,D34&lt;&gt;0),IF(IFERROR((D33/D34),"")="","",(D33/D34)),INDIRECT("'update Helper'!D"&amp;AH33)/100)</f>
        <v/>
      </c>
      <c r="F33" s="479"/>
      <c r="G33" s="479"/>
      <c r="H33" s="485" t="str">
        <f>AB33</f>
        <v/>
      </c>
      <c r="I33" s="483"/>
      <c r="J33" s="479"/>
      <c r="K33" s="188"/>
      <c r="L33" s="498" t="str">
        <f ca="1">IFERROR(IF(K$7="","",IF(OR(K33&lt;&gt;0,K34&lt;&gt;0),IFERROR(IF(K33/K34="","",(K33/K34)),""),IF(VLOOKUP(CONCATENATE(A33,K$7),'update Helper'!$G$42:$N$224,5,FALSE)="","",VLOOKUP(CONCATENATE(A33,K$7),'update Helper'!$G$42:$N$224,5,FALSE)/100))),"")</f>
        <v/>
      </c>
      <c r="M33" s="500"/>
      <c r="N33" s="477"/>
      <c r="O33" s="188"/>
      <c r="P33" s="498" t="str">
        <f ca="1">IFERROR(IF(O$7="","",IF(OR(O33&lt;&gt;0,O34&lt;&gt;0),IFERROR(IF(O33/O34="","",(O33/O34)),""),IF(VLOOKUP(CONCATENATE(A33,O$7),'update Helper'!$G$42:$N$224,5,FALSE)="","",VLOOKUP(CONCATENATE(A33,O$7),'update Helper'!$G$42:$N$224,5,FALSE)/100))),"")</f>
        <v/>
      </c>
      <c r="Q33" s="500"/>
      <c r="R33" s="477"/>
      <c r="S33" s="188"/>
      <c r="T33" s="498" t="str">
        <f ca="1">IFERROR(IF(S$7="","",IF(OR(S33&lt;&gt;0,S34&lt;&gt;0),IFERROR(IF(S33/S34="","",(S33/S34)),""),IF(VLOOKUP(CONCATENATE(A33,S$7),'update Helper'!$G$42:$N$224,5,FALSE)="","",VLOOKUP(CONCATENATE(A33,S$7),'update Helper'!$G$42:$N$224,5,FALSE)/100))),"")</f>
        <v/>
      </c>
      <c r="U33" s="500"/>
      <c r="V33" s="477"/>
      <c r="W33" s="188"/>
      <c r="X33" s="498" t="str">
        <f ca="1">IFERROR(IF(W$7="","",IF(OR(W33&lt;&gt;0,W34&lt;&gt;0),IFERROR(IF(W33/W34="","",(W33/W34)),""),IF(VLOOKUP(CONCATENATE(A33,W$7),'update Helper'!$G$42:$N$224,5,FALSE)="","",VLOOKUP(CONCATENATE(A33,W$7),'update Helper'!$G$42:$N$224,5,FALSE)/100))),"")</f>
        <v/>
      </c>
      <c r="Y33" s="500"/>
      <c r="Z33" s="477"/>
      <c r="AA33" s="479"/>
      <c r="AB33" s="48" t="str">
        <f t="array" ref="AB33">IFERROR(IF(INDEX('Reference Records'!$D$4:$D$24,MATCH(LEFT(B33,255),LEFT('Reference Records'!$C$4:$C$24,255),0))=0,"",INDEX('Reference Records'!$D$4:$D$24,MATCH(LEFT(B33,255),LEFT('Reference Records'!$C$4:$C$24,255),0))),"")</f>
        <v/>
      </c>
      <c r="AC33" s="476" t="str">
        <f>IF(H33&lt;&gt;"",B33&amp;C33,"")</f>
        <v/>
      </c>
      <c r="AD33" s="476" t="b">
        <f>IF(OR(B33&lt;&gt;"",C33&lt;&gt;""),TRUE,FALSE)</f>
        <v>0</v>
      </c>
      <c r="AE33" s="48" t="str">
        <f t="array" ref="AE33">IFERROR(IF(INDEX('Reference Records'!$G$4:$G$24,MATCH(LEFT(B33,255),LEFT('Reference Records'!$C$4:$C$24,255),0))=0,"",INDEX('Reference Records'!$G$4:$G$24,MATCH(LEFT(B33,255),LEFT('Reference Records'!$C$4:$C$24,255),0))),"")</f>
        <v/>
      </c>
      <c r="AG33" s="48">
        <f>AG31+'update Helper'!$R$2</f>
        <v>116</v>
      </c>
      <c r="AH33" s="48">
        <f t="shared" ref="AH33" si="150">AH31+1</f>
        <v>16</v>
      </c>
      <c r="AO33" s="468" t="str">
        <f t="shared" ref="AO33" ca="1" si="151">IF(AND(BI33="Continue",BJ33="Continue"),"No Error",IF(AND(BI33&lt;&gt;"Continue",BJ33="Continue"),BI33,IF(AND(BJ33&lt;&gt;"Continue",BI33="Continue"),BJ33,CONCATENATE(BI33,CHAR(10),BJ33))))</f>
        <v>No Error</v>
      </c>
      <c r="AP33" s="467" t="str" cm="1">
        <f t="array" ref="AP33">IF(ISBLANK(B33),"Continue",(IF(IFERROR(_xlfn.XMATCH(B33,LEFT('Reference Records'!$I$3:$I$21,32768),0),0)&lt;&gt;0,"Continue","Invalid indicator entry. Select from dropdown list.")))</f>
        <v>Continue</v>
      </c>
      <c r="AQ33" s="467" t="str">
        <f t="shared" ref="AQ33" si="152">IF(SUM(AR33:AV34)=0, "Continue", "Enter valid number only.")</f>
        <v>Continue</v>
      </c>
      <c r="AR33" s="146">
        <f t="shared" si="0"/>
        <v>0</v>
      </c>
      <c r="AS33" s="146">
        <f t="shared" si="1"/>
        <v>0</v>
      </c>
      <c r="AT33" s="146">
        <f t="shared" si="2"/>
        <v>0</v>
      </c>
      <c r="AU33" s="146">
        <f t="shared" si="3"/>
        <v>0</v>
      </c>
      <c r="AV33" s="146">
        <f t="shared" si="4"/>
        <v>0</v>
      </c>
      <c r="AW33" s="467">
        <f t="shared" ref="AW33" ca="1" si="153">IF(NOT(ISBLANK(E33)),IF(E33&lt;&gt;"",(IF(NOT(ISNUMBER(E33)),1,0)),0),0)</f>
        <v>0</v>
      </c>
      <c r="AX33" s="467">
        <f t="shared" ref="AX33" ca="1" si="154">IF(NOT(ISBLANK(L33)),IF(L33&lt;&gt;"",(IF(NOT(ISNUMBER(L33)),1,0)),0),0)</f>
        <v>0</v>
      </c>
      <c r="AY33" s="467">
        <f t="shared" ref="AY33" ca="1" si="155">IF(NOT(ISBLANK(P33)),IF(P33&lt;&gt;"",(IF(NOT(ISNUMBER(P33)),1,0)),0),0)</f>
        <v>0</v>
      </c>
      <c r="AZ33" s="467">
        <f t="shared" ref="AZ33" ca="1" si="156">IF(NOT(ISBLANK(T33)),IF(T33&lt;&gt;"",(IF(NOT(ISNUMBER(T33)),1,0)),0),0)</f>
        <v>0</v>
      </c>
      <c r="BA33" s="467">
        <f t="shared" ref="BA33" ca="1" si="157">IF(NOT(ISBLANK(X33)),IF(X33&lt;&gt;"",(IF(NOT(ISNUMBER(X33)),1,0)),0),0)</f>
        <v>0</v>
      </c>
      <c r="BB33" s="467" t="str">
        <f t="shared" ref="BB33" ca="1" si="158">IF(SUM(AW33:BA34)=0, "Continue", "Enter valid number only.")</f>
        <v>Continue</v>
      </c>
      <c r="BC33" s="467" t="str">
        <f t="shared" ref="BC33" ca="1" si="159">IF(AND(AQ33="Continue",BB33="Continue"),"Continue",IF(AND(AQ33&lt;&gt;"Continue",BB33="Continue"),AQ33,IF(AND(BB33&lt;&gt;"Continue",AQ33="Continue"),BB33,CONCATENATE(AQ33,CHAR(10)))))</f>
        <v>Continue</v>
      </c>
      <c r="BD33" s="155" t="str">
        <f>IFERROR(INDEX('Reference Records'!$O$3:$O$21,MATCH($B33,'Reference Records'!$I$3:$I$21,0)),"")</f>
        <v/>
      </c>
      <c r="BE33" s="126" t="str">
        <f t="shared" ca="1" si="5"/>
        <v>Continue</v>
      </c>
      <c r="BF33" s="126" t="str">
        <f t="shared" si="6"/>
        <v>Continue</v>
      </c>
      <c r="BG33" s="126" t="str">
        <f t="shared" ca="1" si="7"/>
        <v>Continue</v>
      </c>
      <c r="BH33" s="467" t="str">
        <f t="shared" ref="BH33" ca="1" si="160">IF(AND(AP33="Continue",BC33="Continue"),"Continue",IF(AND(AP33&lt;&gt;"Continue",BC33="Continue"),AP33,IF(AND(BC33&lt;&gt;"Continue",AP33="Continue"),BC33,CONCATENATE(AP33,CHAR(10),BC33))))</f>
        <v>Continue</v>
      </c>
      <c r="BI33" s="467" t="str">
        <f t="shared" ref="BI33" si="161">IF(AND(B33="",C33=""),"Continue",
IF(AND(B33="",C33&lt;&gt;""),"Continue",
IF(AND(B33&lt;&gt;"",C33=""),"Continue",
IF(AND(B33&lt;&gt;"",C33&lt;&gt;""),"Cannot enter both standard and custom indicators on the same line."))))</f>
        <v>Continue</v>
      </c>
      <c r="BJ33" s="467" t="str">
        <f t="shared" ref="BJ33" ca="1" si="162">IF(AND(BE33="Continue",BH33="Continue"),"Continue",IF(AND(BE33&lt;&gt;"Continue",BH33="Continue"),BE33,IF(AND(BH33&lt;&gt;"Continue",BE33="Continue"),BH33,CONCATENATE(BE33,CHAR(10),BH33))))</f>
        <v>Continue</v>
      </c>
      <c r="BL33" s="310" t="str">
        <f>IFERROR(IF('Overview - Section A'!$AN$5="Funding Request",
IF(AND('Reference Records'!$B$427&lt;&gt;"",$J33 ='Reference Records'!$B$427),'Reference Records'!$C$427,""),
INDEX('Reference Records'!$A$498:$C$499,MATCH($J33,'Reference Records'!$A$498:$A$499,0),3)),"")</f>
        <v/>
      </c>
      <c r="BM33" s="310" t="str" cm="1">
        <f t="array" ref="BM33">IFERROR(IF($B33="", "", IF(INDEX('Reference Records'!$G$4:$G$24,MATCH(LEFT(B33,255),LEFT('Reference Records'!$C$4:$C$24,255),0))=0,"",
INDEX('Reference Records'!$G$4:$G$24,MATCH(LEFT(B33,255),LEFT('Reference Records'!$C$4:$C$24,255),0)))),"")</f>
        <v/>
      </c>
    </row>
    <row r="34" spans="1:65" ht="30" customHeight="1">
      <c r="A34" s="470"/>
      <c r="B34" s="480"/>
      <c r="C34" s="480"/>
      <c r="D34" s="189"/>
      <c r="E34" s="482"/>
      <c r="F34" s="480"/>
      <c r="G34" s="480"/>
      <c r="H34" s="486"/>
      <c r="I34" s="484"/>
      <c r="J34" s="480"/>
      <c r="K34" s="189"/>
      <c r="L34" s="499"/>
      <c r="M34" s="501"/>
      <c r="N34" s="478"/>
      <c r="O34" s="189"/>
      <c r="P34" s="499"/>
      <c r="Q34" s="501"/>
      <c r="R34" s="478"/>
      <c r="S34" s="189"/>
      <c r="T34" s="499"/>
      <c r="U34" s="501"/>
      <c r="V34" s="478"/>
      <c r="W34" s="189"/>
      <c r="X34" s="499"/>
      <c r="Y34" s="501"/>
      <c r="Z34" s="478"/>
      <c r="AA34" s="480"/>
      <c r="AC34" s="476"/>
      <c r="AD34" s="476"/>
      <c r="AO34" s="468"/>
      <c r="AP34" s="467"/>
      <c r="AQ34" s="467"/>
      <c r="AR34" s="146">
        <f t="shared" si="0"/>
        <v>0</v>
      </c>
      <c r="AS34" s="146">
        <f t="shared" si="1"/>
        <v>0</v>
      </c>
      <c r="AT34" s="146">
        <f t="shared" si="2"/>
        <v>0</v>
      </c>
      <c r="AU34" s="146">
        <f t="shared" si="3"/>
        <v>0</v>
      </c>
      <c r="AV34" s="146">
        <f t="shared" si="4"/>
        <v>0</v>
      </c>
      <c r="AW34" s="467"/>
      <c r="AX34" s="467"/>
      <c r="AY34" s="467"/>
      <c r="AZ34" s="467"/>
      <c r="BA34" s="467"/>
      <c r="BB34" s="467"/>
      <c r="BC34" s="467"/>
      <c r="BD34" s="155" t="str">
        <f>IFERROR(INDEX('Reference Records'!$O$3:$O$21,MATCH($B34,'Reference Records'!$I$3:$I$21,0)),"")</f>
        <v/>
      </c>
      <c r="BE34" s="126" t="str">
        <f t="shared" si="5"/>
        <v>Continue</v>
      </c>
      <c r="BF34" s="126" t="str">
        <f t="shared" si="6"/>
        <v>Continue</v>
      </c>
      <c r="BG34" s="126" t="str">
        <f t="shared" si="7"/>
        <v>Continue</v>
      </c>
      <c r="BH34" s="467"/>
      <c r="BI34" s="467"/>
      <c r="BJ34" s="467"/>
      <c r="BL34" s="310" t="str">
        <f>IFERROR(IF('Overview - Section A'!$AN$5="Funding Request",
IF(AND('Reference Records'!$B$427&lt;&gt;"",$J34 ='Reference Records'!$B$427),'Reference Records'!$C$427,""),
INDEX('Reference Records'!$A$498:$C$499,MATCH($J34,'Reference Records'!$A$498:$A$499,0),3)),"")</f>
        <v/>
      </c>
      <c r="BM34" s="310" t="str" cm="1">
        <f t="array" ref="BM34">IFERROR(IF($B34="", "", IF(INDEX('Reference Records'!$G$4:$G$24,MATCH(LEFT(B34,255),LEFT('Reference Records'!$C$4:$C$24,255),0))=0,"",
INDEX('Reference Records'!$G$4:$G$24,MATCH(LEFT(B34,255),LEFT('Reference Records'!$C$4:$C$24,255),0)))),"")</f>
        <v/>
      </c>
    </row>
    <row r="35" spans="1:65" ht="30" customHeight="1">
      <c r="A35" s="469">
        <v>14</v>
      </c>
      <c r="B35" s="471"/>
      <c r="C35" s="471"/>
      <c r="D35" s="190"/>
      <c r="E35" s="502" t="str">
        <f ca="1">IF(OR(INDIRECT("'update Helper'!D"&amp;AH35)="",D35&lt;&gt;0,D36&lt;&gt;0),IF(IFERROR((D35/D36),"")="","",(D35/D36)),INDIRECT("'update Helper'!D"&amp;AH35)/100)</f>
        <v/>
      </c>
      <c r="F35" s="471"/>
      <c r="G35" s="471"/>
      <c r="H35" s="485" t="str">
        <f>AB35</f>
        <v/>
      </c>
      <c r="I35" s="504"/>
      <c r="J35" s="471"/>
      <c r="K35" s="190"/>
      <c r="L35" s="492" t="str">
        <f ca="1">IFERROR(IF(K$7="","",IF(OR(K35&lt;&gt;0,K36&lt;&gt;0),IFERROR(IF(K35/K36="","",(K35/K36)),""),IF(VLOOKUP(CONCATENATE(A35,K$7),'update Helper'!$G$42:$N$224,5,FALSE)="","",VLOOKUP(CONCATENATE(A35,K$7),'update Helper'!$G$42:$N$224,5,FALSE)/100))),"")</f>
        <v/>
      </c>
      <c r="M35" s="494"/>
      <c r="N35" s="496"/>
      <c r="O35" s="190"/>
      <c r="P35" s="492" t="str">
        <f ca="1">IFERROR(IF(O$7="","",IF(OR(O35&lt;&gt;0,O36&lt;&gt;0),IFERROR(IF(O35/O36="","",(O35/O36)),""),IF(VLOOKUP(CONCATENATE(A35,O$7),'update Helper'!$G$42:$N$224,5,FALSE)="","",VLOOKUP(CONCATENATE(A35,O$7),'update Helper'!$G$42:$N$224,5,FALSE)/100))),"")</f>
        <v/>
      </c>
      <c r="Q35" s="494"/>
      <c r="R35" s="496"/>
      <c r="S35" s="190"/>
      <c r="T35" s="492" t="str">
        <f ca="1">IFERROR(IF(S$7="","",IF(OR(S35&lt;&gt;0,S36&lt;&gt;0),IFERROR(IF(S35/S36="","",(S35/S36)),""),IF(VLOOKUP(CONCATENATE(A35,S$7),'update Helper'!$G$42:$N$224,5,FALSE)="","",VLOOKUP(CONCATENATE(A35,S$7),'update Helper'!$G$42:$N$224,5,FALSE)/100))),"")</f>
        <v/>
      </c>
      <c r="U35" s="494"/>
      <c r="V35" s="496"/>
      <c r="W35" s="190"/>
      <c r="X35" s="492" t="str">
        <f ca="1">IFERROR(IF(W$7="","",IF(OR(W35&lt;&gt;0,W36&lt;&gt;0),IFERROR(IF(W35/W36="","",(W35/W36)),""),IF(VLOOKUP(CONCATENATE(A35,W$7),'update Helper'!$G$42:$N$224,5,FALSE)="","",VLOOKUP(CONCATENATE(A35,W$7),'update Helper'!$G$42:$N$224,5,FALSE)/100))),"")</f>
        <v/>
      </c>
      <c r="Y35" s="494"/>
      <c r="Z35" s="496"/>
      <c r="AA35" s="471"/>
      <c r="AB35" s="48" t="str">
        <f t="array" ref="AB35">IFERROR(IF(INDEX('Reference Records'!$D$4:$D$24,MATCH(LEFT(B35,255),LEFT('Reference Records'!$C$4:$C$24,255),0))=0,"",INDEX('Reference Records'!$D$4:$D$24,MATCH(LEFT(B35,255),LEFT('Reference Records'!$C$4:$C$24,255),0))),"")</f>
        <v/>
      </c>
      <c r="AC35" s="476" t="str">
        <f>IF(H35&lt;&gt;"",B35&amp;C35,"")</f>
        <v/>
      </c>
      <c r="AD35" s="476" t="b">
        <f>IF(OR(B35&lt;&gt;"",C35&lt;&gt;""),TRUE,FALSE)</f>
        <v>0</v>
      </c>
      <c r="AE35" s="48" t="str">
        <f t="array" ref="AE35">IFERROR(IF(INDEX('Reference Records'!$G$4:$G$24,MATCH(LEFT(B35,255),LEFT('Reference Records'!$C$4:$C$24,255),0))=0,"",INDEX('Reference Records'!$G$4:$G$24,MATCH(LEFT(B35,255),LEFT('Reference Records'!$C$4:$C$24,255),0))),"")</f>
        <v/>
      </c>
      <c r="AG35" s="48">
        <f>AG33+'update Helper'!$R$2</f>
        <v>122</v>
      </c>
      <c r="AH35" s="48">
        <f t="shared" ref="AH35" si="163">AH33+1</f>
        <v>17</v>
      </c>
      <c r="AO35" s="468" t="str">
        <f t="shared" ref="AO35" ca="1" si="164">IF(AND(BI35="Continue",BJ35="Continue"),"No Error",IF(AND(BI35&lt;&gt;"Continue",BJ35="Continue"),BI35,IF(AND(BJ35&lt;&gt;"Continue",BI35="Continue"),BJ35,CONCATENATE(BI35,CHAR(10),BJ35))))</f>
        <v>No Error</v>
      </c>
      <c r="AP35" s="467" t="str" cm="1">
        <f t="array" ref="AP35">IF(ISBLANK(B35),"Continue",(IF(IFERROR(_xlfn.XMATCH(B35,LEFT('Reference Records'!$I$3:$I$21,32768),0),0)&lt;&gt;0,"Continue","Invalid indicator entry. Select from dropdown list.")))</f>
        <v>Continue</v>
      </c>
      <c r="AQ35" s="467" t="str">
        <f t="shared" ref="AQ35" si="165">IF(SUM(AR35:AV36)=0, "Continue", "Enter valid number only.")</f>
        <v>Continue</v>
      </c>
      <c r="AR35" s="146">
        <f t="shared" si="0"/>
        <v>0</v>
      </c>
      <c r="AS35" s="146">
        <f t="shared" si="1"/>
        <v>0</v>
      </c>
      <c r="AT35" s="146">
        <f t="shared" si="2"/>
        <v>0</v>
      </c>
      <c r="AU35" s="146">
        <f t="shared" si="3"/>
        <v>0</v>
      </c>
      <c r="AV35" s="146">
        <f t="shared" si="4"/>
        <v>0</v>
      </c>
      <c r="AW35" s="467">
        <f t="shared" ref="AW35" ca="1" si="166">IF(NOT(ISBLANK(E35)),IF(E35&lt;&gt;"",(IF(NOT(ISNUMBER(E35)),1,0)),0),0)</f>
        <v>0</v>
      </c>
      <c r="AX35" s="467">
        <f t="shared" ref="AX35" ca="1" si="167">IF(NOT(ISBLANK(L35)),IF(L35&lt;&gt;"",(IF(NOT(ISNUMBER(L35)),1,0)),0),0)</f>
        <v>0</v>
      </c>
      <c r="AY35" s="467">
        <f t="shared" ref="AY35" ca="1" si="168">IF(NOT(ISBLANK(P35)),IF(P35&lt;&gt;"",(IF(NOT(ISNUMBER(P35)),1,0)),0),0)</f>
        <v>0</v>
      </c>
      <c r="AZ35" s="467">
        <f t="shared" ref="AZ35" ca="1" si="169">IF(NOT(ISBLANK(T35)),IF(T35&lt;&gt;"",(IF(NOT(ISNUMBER(T35)),1,0)),0),0)</f>
        <v>0</v>
      </c>
      <c r="BA35" s="467">
        <f t="shared" ref="BA35" ca="1" si="170">IF(NOT(ISBLANK(X35)),IF(X35&lt;&gt;"",(IF(NOT(ISNUMBER(X35)),1,0)),0),0)</f>
        <v>0</v>
      </c>
      <c r="BB35" s="467" t="str">
        <f t="shared" ref="BB35" ca="1" si="171">IF(SUM(AW35:BA36)=0, "Continue", "Enter valid number only.")</f>
        <v>Continue</v>
      </c>
      <c r="BC35" s="467" t="str">
        <f t="shared" ref="BC35" ca="1" si="172">IF(AND(AQ35="Continue",BB35="Continue"),"Continue",IF(AND(AQ35&lt;&gt;"Continue",BB35="Continue"),AQ35,IF(AND(BB35&lt;&gt;"Continue",AQ35="Continue"),BB35,CONCATENATE(AQ35,CHAR(10)))))</f>
        <v>Continue</v>
      </c>
      <c r="BD35" s="155" t="str">
        <f>IFERROR(INDEX('Reference Records'!$O$3:$O$21,MATCH($B35,'Reference Records'!$I$3:$I$21,0)),"")</f>
        <v/>
      </c>
      <c r="BE35" s="126" t="str">
        <f t="shared" ca="1" si="5"/>
        <v>Continue</v>
      </c>
      <c r="BF35" s="126" t="str">
        <f t="shared" si="6"/>
        <v>Continue</v>
      </c>
      <c r="BG35" s="126" t="str">
        <f t="shared" ca="1" si="7"/>
        <v>Continue</v>
      </c>
      <c r="BH35" s="467" t="str">
        <f t="shared" ref="BH35" ca="1" si="173">IF(AND(AP35="Continue",BC35="Continue"),"Continue",IF(AND(AP35&lt;&gt;"Continue",BC35="Continue"),AP35,IF(AND(BC35&lt;&gt;"Continue",AP35="Continue"),BC35,CONCATENATE(AP35,CHAR(10),BC35))))</f>
        <v>Continue</v>
      </c>
      <c r="BI35" s="467" t="str">
        <f t="shared" ref="BI35" si="174">IF(AND(B35="",C35=""),"Continue",
IF(AND(B35="",C35&lt;&gt;""),"Continue",
IF(AND(B35&lt;&gt;"",C35=""),"Continue",
IF(AND(B35&lt;&gt;"",C35&lt;&gt;""),"Cannot enter both standard and custom indicators on the same line."))))</f>
        <v>Continue</v>
      </c>
      <c r="BJ35" s="467" t="str">
        <f t="shared" ref="BJ35" ca="1" si="175">IF(AND(BE35="Continue",BH35="Continue"),"Continue",IF(AND(BE35&lt;&gt;"Continue",BH35="Continue"),BE35,IF(AND(BH35&lt;&gt;"Continue",BE35="Continue"),BH35,CONCATENATE(BE35,CHAR(10),BH35))))</f>
        <v>Continue</v>
      </c>
      <c r="BL35" s="310" t="str">
        <f>IFERROR(IF('Overview - Section A'!$AN$5="Funding Request",
IF(AND('Reference Records'!$B$427&lt;&gt;"",$J35 ='Reference Records'!$B$427),'Reference Records'!$C$427,""),
INDEX('Reference Records'!$A$498:$C$499,MATCH($J35,'Reference Records'!$A$498:$A$499,0),3)),"")</f>
        <v/>
      </c>
      <c r="BM35" s="310" t="str" cm="1">
        <f t="array" ref="BM35">IFERROR(IF($B35="", "", IF(INDEX('Reference Records'!$G$4:$G$24,MATCH(LEFT(B35,255),LEFT('Reference Records'!$C$4:$C$24,255),0))=0,"",
INDEX('Reference Records'!$G$4:$G$24,MATCH(LEFT(B35,255),LEFT('Reference Records'!$C$4:$C$24,255),0)))),"")</f>
        <v/>
      </c>
    </row>
    <row r="36" spans="1:65" ht="30" customHeight="1">
      <c r="A36" s="470"/>
      <c r="B36" s="472"/>
      <c r="C36" s="472"/>
      <c r="D36" s="191"/>
      <c r="E36" s="503"/>
      <c r="F36" s="472"/>
      <c r="G36" s="472"/>
      <c r="H36" s="486"/>
      <c r="I36" s="505"/>
      <c r="J36" s="472"/>
      <c r="K36" s="191"/>
      <c r="L36" s="493"/>
      <c r="M36" s="495"/>
      <c r="N36" s="497"/>
      <c r="O36" s="191"/>
      <c r="P36" s="493"/>
      <c r="Q36" s="495"/>
      <c r="R36" s="497"/>
      <c r="S36" s="191"/>
      <c r="T36" s="493"/>
      <c r="U36" s="495"/>
      <c r="V36" s="497"/>
      <c r="W36" s="191"/>
      <c r="X36" s="493"/>
      <c r="Y36" s="495"/>
      <c r="Z36" s="497"/>
      <c r="AA36" s="472"/>
      <c r="AC36" s="476"/>
      <c r="AD36" s="476"/>
      <c r="AO36" s="468"/>
      <c r="AP36" s="467"/>
      <c r="AQ36" s="467"/>
      <c r="AR36" s="146">
        <f t="shared" si="0"/>
        <v>0</v>
      </c>
      <c r="AS36" s="146">
        <f t="shared" si="1"/>
        <v>0</v>
      </c>
      <c r="AT36" s="146">
        <f t="shared" si="2"/>
        <v>0</v>
      </c>
      <c r="AU36" s="146">
        <f t="shared" si="3"/>
        <v>0</v>
      </c>
      <c r="AV36" s="146">
        <f t="shared" si="4"/>
        <v>0</v>
      </c>
      <c r="AW36" s="467"/>
      <c r="AX36" s="467"/>
      <c r="AY36" s="467"/>
      <c r="AZ36" s="467"/>
      <c r="BA36" s="467"/>
      <c r="BB36" s="467"/>
      <c r="BC36" s="467"/>
      <c r="BD36" s="155" t="str">
        <f>IFERROR(INDEX('Reference Records'!$O$3:$O$21,MATCH($B36,'Reference Records'!$I$3:$I$21,0)),"")</f>
        <v/>
      </c>
      <c r="BE36" s="126" t="str">
        <f t="shared" si="5"/>
        <v>Continue</v>
      </c>
      <c r="BF36" s="126" t="str">
        <f t="shared" si="6"/>
        <v>Continue</v>
      </c>
      <c r="BG36" s="126" t="str">
        <f t="shared" si="7"/>
        <v>Continue</v>
      </c>
      <c r="BH36" s="467"/>
      <c r="BI36" s="467"/>
      <c r="BJ36" s="467"/>
      <c r="BL36" s="310" t="str">
        <f>IFERROR(IF('Overview - Section A'!$AN$5="Funding Request",
IF(AND('Reference Records'!$B$427&lt;&gt;"",$J36 ='Reference Records'!$B$427),'Reference Records'!$C$427,""),
INDEX('Reference Records'!$A$498:$C$499,MATCH($J36,'Reference Records'!$A$498:$A$499,0),3)),"")</f>
        <v/>
      </c>
      <c r="BM36" s="310" t="str" cm="1">
        <f t="array" ref="BM36">IFERROR(IF($B36="", "", IF(INDEX('Reference Records'!$G$4:$G$24,MATCH(LEFT(B36,255),LEFT('Reference Records'!$C$4:$C$24,255),0))=0,"",
INDEX('Reference Records'!$G$4:$G$24,MATCH(LEFT(B36,255),LEFT('Reference Records'!$C$4:$C$24,255),0)))),"")</f>
        <v/>
      </c>
    </row>
    <row r="37" spans="1:65" ht="30" customHeight="1">
      <c r="A37" s="469">
        <v>15</v>
      </c>
      <c r="B37" s="479"/>
      <c r="C37" s="479"/>
      <c r="D37" s="188"/>
      <c r="E37" s="481" t="str">
        <f ca="1">IF(OR(INDIRECT("'update Helper'!D"&amp;AH37)="",D37&lt;&gt;0,D38&lt;&gt;0),IF(IFERROR((D37/D38),"")="","",(D37/D38)),INDIRECT("'update Helper'!D"&amp;AH37)/100)</f>
        <v/>
      </c>
      <c r="F37" s="479"/>
      <c r="G37" s="479"/>
      <c r="H37" s="485" t="str">
        <f>AB37</f>
        <v/>
      </c>
      <c r="I37" s="483"/>
      <c r="J37" s="479"/>
      <c r="K37" s="188"/>
      <c r="L37" s="498" t="str">
        <f ca="1">IFERROR(IF(K$7="","",IF(OR(K37&lt;&gt;0,K38&lt;&gt;0),IFERROR(IF(K37/K38="","",(K37/K38)),""),IF(VLOOKUP(CONCATENATE(A37,K$7),'update Helper'!$G$42:$N$224,5,FALSE)="","",VLOOKUP(CONCATENATE(A37,K$7),'update Helper'!$G$42:$N$224,5,FALSE)/100))),"")</f>
        <v/>
      </c>
      <c r="M37" s="500"/>
      <c r="N37" s="477"/>
      <c r="O37" s="188"/>
      <c r="P37" s="498" t="str">
        <f ca="1">IFERROR(IF(O$7="","",IF(OR(O37&lt;&gt;0,O38&lt;&gt;0),IFERROR(IF(O37/O38="","",(O37/O38)),""),IF(VLOOKUP(CONCATENATE(A37,O$7),'update Helper'!$G$42:$N$224,5,FALSE)="","",VLOOKUP(CONCATENATE(A37,O$7),'update Helper'!$G$42:$N$224,5,FALSE)/100))),"")</f>
        <v/>
      </c>
      <c r="Q37" s="500"/>
      <c r="R37" s="477"/>
      <c r="S37" s="188"/>
      <c r="T37" s="498" t="str">
        <f ca="1">IFERROR(IF(S$7="","",IF(OR(S37&lt;&gt;0,S38&lt;&gt;0),IFERROR(IF(S37/S38="","",(S37/S38)),""),IF(VLOOKUP(CONCATENATE(A37,S$7),'update Helper'!$G$42:$N$224,5,FALSE)="","",VLOOKUP(CONCATENATE(A37,S$7),'update Helper'!$G$42:$N$224,5,FALSE)/100))),"")</f>
        <v/>
      </c>
      <c r="U37" s="500"/>
      <c r="V37" s="477"/>
      <c r="W37" s="188"/>
      <c r="X37" s="498" t="str">
        <f ca="1">IFERROR(IF(W$7="","",IF(OR(W37&lt;&gt;0,W38&lt;&gt;0),IFERROR(IF(W37/W38="","",(W37/W38)),""),IF(VLOOKUP(CONCATENATE(A37,W$7),'update Helper'!$G$42:$N$224,5,FALSE)="","",VLOOKUP(CONCATENATE(A37,W$7),'update Helper'!$G$42:$N$224,5,FALSE)/100))),"")</f>
        <v/>
      </c>
      <c r="Y37" s="500"/>
      <c r="Z37" s="477"/>
      <c r="AA37" s="479"/>
      <c r="AB37" s="48" t="str">
        <f t="array" ref="AB37">IFERROR(IF(INDEX('Reference Records'!$D$4:$D$24,MATCH(LEFT(B37,255),LEFT('Reference Records'!$C$4:$C$24,255),0))=0,"",INDEX('Reference Records'!$D$4:$D$24,MATCH(LEFT(B37,255),LEFT('Reference Records'!$C$4:$C$24,255),0))),"")</f>
        <v/>
      </c>
      <c r="AC37" s="476" t="str">
        <f>IF(H37&lt;&gt;"",B37&amp;C37,"")</f>
        <v/>
      </c>
      <c r="AD37" s="476" t="b">
        <f>IF(OR(B37&lt;&gt;"",C37&lt;&gt;""),TRUE,FALSE)</f>
        <v>0</v>
      </c>
      <c r="AE37" s="48" t="str">
        <f t="array" ref="AE37">IFERROR(IF(INDEX('Reference Records'!$G$4:$G$24,MATCH(LEFT(B37,255),LEFT('Reference Records'!$C$4:$C$24,255),0))=0,"",INDEX('Reference Records'!$G$4:$G$24,MATCH(LEFT(B37,255),LEFT('Reference Records'!$C$4:$C$24,255),0))),"")</f>
        <v/>
      </c>
      <c r="AG37" s="48">
        <f>AG35+'update Helper'!$R$2</f>
        <v>128</v>
      </c>
      <c r="AH37" s="48">
        <f t="shared" ref="AH37" si="176">AH35+1</f>
        <v>18</v>
      </c>
      <c r="AO37" s="468" t="str">
        <f t="shared" ref="AO37" ca="1" si="177">IF(AND(BI37="Continue",BJ37="Continue"),"No Error",IF(AND(BI37&lt;&gt;"Continue",BJ37="Continue"),BI37,IF(AND(BJ37&lt;&gt;"Continue",BI37="Continue"),BJ37,CONCATENATE(BI37,CHAR(10),BJ37))))</f>
        <v>No Error</v>
      </c>
      <c r="AP37" s="467" t="str" cm="1">
        <f t="array" ref="AP37">IF(ISBLANK(B37),"Continue",(IF(IFERROR(_xlfn.XMATCH(B37,LEFT('Reference Records'!$I$3:$I$21,32768),0),0)&lt;&gt;0,"Continue","Invalid indicator entry. Select from dropdown list.")))</f>
        <v>Continue</v>
      </c>
      <c r="AQ37" s="467" t="str">
        <f t="shared" ref="AQ37" si="178">IF(SUM(AR37:AV38)=0, "Continue", "Enter valid number only.")</f>
        <v>Continue</v>
      </c>
      <c r="AR37" s="146">
        <f t="shared" si="0"/>
        <v>0</v>
      </c>
      <c r="AS37" s="146">
        <f t="shared" si="1"/>
        <v>0</v>
      </c>
      <c r="AT37" s="146">
        <f t="shared" si="2"/>
        <v>0</v>
      </c>
      <c r="AU37" s="146">
        <f t="shared" si="3"/>
        <v>0</v>
      </c>
      <c r="AV37" s="146">
        <f t="shared" si="4"/>
        <v>0</v>
      </c>
      <c r="AW37" s="467">
        <f t="shared" ref="AW37" ca="1" si="179">IF(NOT(ISBLANK(E37)),IF(E37&lt;&gt;"",(IF(NOT(ISNUMBER(E37)),1,0)),0),0)</f>
        <v>0</v>
      </c>
      <c r="AX37" s="467">
        <f t="shared" ref="AX37" ca="1" si="180">IF(NOT(ISBLANK(L37)),IF(L37&lt;&gt;"",(IF(NOT(ISNUMBER(L37)),1,0)),0),0)</f>
        <v>0</v>
      </c>
      <c r="AY37" s="467">
        <f t="shared" ref="AY37" ca="1" si="181">IF(NOT(ISBLANK(P37)),IF(P37&lt;&gt;"",(IF(NOT(ISNUMBER(P37)),1,0)),0),0)</f>
        <v>0</v>
      </c>
      <c r="AZ37" s="467">
        <f t="shared" ref="AZ37" ca="1" si="182">IF(NOT(ISBLANK(T37)),IF(T37&lt;&gt;"",(IF(NOT(ISNUMBER(T37)),1,0)),0),0)</f>
        <v>0</v>
      </c>
      <c r="BA37" s="467">
        <f t="shared" ref="BA37" ca="1" si="183">IF(NOT(ISBLANK(X37)),IF(X37&lt;&gt;"",(IF(NOT(ISNUMBER(X37)),1,0)),0),0)</f>
        <v>0</v>
      </c>
      <c r="BB37" s="467" t="str">
        <f t="shared" ref="BB37" ca="1" si="184">IF(SUM(AW37:BA38)=0, "Continue", "Enter valid number only.")</f>
        <v>Continue</v>
      </c>
      <c r="BC37" s="467" t="str">
        <f t="shared" ref="BC37" ca="1" si="185">IF(AND(AQ37="Continue",BB37="Continue"),"Continue",IF(AND(AQ37&lt;&gt;"Continue",BB37="Continue"),AQ37,IF(AND(BB37&lt;&gt;"Continue",AQ37="Continue"),BB37,CONCATENATE(AQ37,CHAR(10)))))</f>
        <v>Continue</v>
      </c>
      <c r="BD37" s="155" t="str">
        <f>IFERROR(INDEX('Reference Records'!$O$3:$O$21,MATCH($B37,'Reference Records'!$I$3:$I$21,0)),"")</f>
        <v/>
      </c>
      <c r="BE37" s="126" t="str">
        <f t="shared" ca="1" si="5"/>
        <v>Continue</v>
      </c>
      <c r="BF37" s="126" t="str">
        <f t="shared" si="6"/>
        <v>Continue</v>
      </c>
      <c r="BG37" s="126" t="str">
        <f t="shared" ca="1" si="7"/>
        <v>Continue</v>
      </c>
      <c r="BH37" s="467" t="str">
        <f t="shared" ref="BH37" ca="1" si="186">IF(AND(AP37="Continue",BC37="Continue"),"Continue",IF(AND(AP37&lt;&gt;"Continue",BC37="Continue"),AP37,IF(AND(BC37&lt;&gt;"Continue",AP37="Continue"),BC37,CONCATENATE(AP37,CHAR(10),BC37))))</f>
        <v>Continue</v>
      </c>
      <c r="BI37" s="467" t="str">
        <f t="shared" ref="BI37" si="187">IF(AND(B37="",C37=""),"Continue",
IF(AND(B37="",C37&lt;&gt;""),"Continue",
IF(AND(B37&lt;&gt;"",C37=""),"Continue",
IF(AND(B37&lt;&gt;"",C37&lt;&gt;""),"Cannot enter both standard and custom indicators on the same line."))))</f>
        <v>Continue</v>
      </c>
      <c r="BJ37" s="467" t="str">
        <f t="shared" ref="BJ37" ca="1" si="188">IF(AND(BE37="Continue",BH37="Continue"),"Continue",IF(AND(BE37&lt;&gt;"Continue",BH37="Continue"),BE37,IF(AND(BH37&lt;&gt;"Continue",BE37="Continue"),BH37,CONCATENATE(BE37,CHAR(10),BH37))))</f>
        <v>Continue</v>
      </c>
      <c r="BL37" s="310" t="str">
        <f>IFERROR(IF('Overview - Section A'!$AN$5="Funding Request",
IF(AND('Reference Records'!$B$427&lt;&gt;"",$J37 ='Reference Records'!$B$427),'Reference Records'!$C$427,""),
INDEX('Reference Records'!$A$498:$C$499,MATCH($J37,'Reference Records'!$A$498:$A$499,0),3)),"")</f>
        <v/>
      </c>
      <c r="BM37" s="310" t="str" cm="1">
        <f t="array" ref="BM37">IFERROR(IF($B37="", "", IF(INDEX('Reference Records'!$G$4:$G$24,MATCH(LEFT(B37,255),LEFT('Reference Records'!$C$4:$C$24,255),0))=0,"",
INDEX('Reference Records'!$G$4:$G$24,MATCH(LEFT(B37,255),LEFT('Reference Records'!$C$4:$C$24,255),0)))),"")</f>
        <v/>
      </c>
    </row>
    <row r="38" spans="1:65" ht="30" customHeight="1">
      <c r="A38" s="470"/>
      <c r="B38" s="480"/>
      <c r="C38" s="480"/>
      <c r="D38" s="189"/>
      <c r="E38" s="482"/>
      <c r="F38" s="480"/>
      <c r="G38" s="480"/>
      <c r="H38" s="486"/>
      <c r="I38" s="484"/>
      <c r="J38" s="480"/>
      <c r="K38" s="189"/>
      <c r="L38" s="499"/>
      <c r="M38" s="501"/>
      <c r="N38" s="478"/>
      <c r="O38" s="189"/>
      <c r="P38" s="499"/>
      <c r="Q38" s="501"/>
      <c r="R38" s="478"/>
      <c r="S38" s="189"/>
      <c r="T38" s="499"/>
      <c r="U38" s="501"/>
      <c r="V38" s="478"/>
      <c r="W38" s="189"/>
      <c r="X38" s="499"/>
      <c r="Y38" s="501"/>
      <c r="Z38" s="478"/>
      <c r="AA38" s="480"/>
      <c r="AC38" s="476"/>
      <c r="AD38" s="476"/>
      <c r="AO38" s="468"/>
      <c r="AP38" s="467"/>
      <c r="AQ38" s="467"/>
      <c r="AR38" s="146">
        <f t="shared" si="0"/>
        <v>0</v>
      </c>
      <c r="AS38" s="146">
        <f t="shared" si="1"/>
        <v>0</v>
      </c>
      <c r="AT38" s="146">
        <f t="shared" si="2"/>
        <v>0</v>
      </c>
      <c r="AU38" s="146">
        <f t="shared" si="3"/>
        <v>0</v>
      </c>
      <c r="AV38" s="146">
        <f t="shared" si="4"/>
        <v>0</v>
      </c>
      <c r="AW38" s="467"/>
      <c r="AX38" s="467"/>
      <c r="AY38" s="467"/>
      <c r="AZ38" s="467"/>
      <c r="BA38" s="467"/>
      <c r="BB38" s="467"/>
      <c r="BC38" s="467"/>
      <c r="BD38" s="155" t="str">
        <f>IFERROR(INDEX('Reference Records'!$O$3:$O$21,MATCH($B38,'Reference Records'!$I$3:$I$21,0)),"")</f>
        <v/>
      </c>
      <c r="BE38" s="126" t="str">
        <f t="shared" si="5"/>
        <v>Continue</v>
      </c>
      <c r="BF38" s="126" t="str">
        <f t="shared" si="6"/>
        <v>Continue</v>
      </c>
      <c r="BG38" s="126" t="str">
        <f t="shared" si="7"/>
        <v>Continue</v>
      </c>
      <c r="BH38" s="467"/>
      <c r="BI38" s="467"/>
      <c r="BJ38" s="467"/>
      <c r="BL38" s="310" t="str">
        <f>IFERROR(IF('Overview - Section A'!$AN$5="Funding Request",
IF(AND('Reference Records'!$B$427&lt;&gt;"",$J38 ='Reference Records'!$B$427),'Reference Records'!$C$427,""),
INDEX('Reference Records'!$A$498:$C$499,MATCH($J38,'Reference Records'!$A$498:$A$499,0),3)),"")</f>
        <v/>
      </c>
      <c r="BM38" s="310" t="str" cm="1">
        <f t="array" ref="BM38">IFERROR(IF($B38="", "", IF(INDEX('Reference Records'!$G$4:$G$24,MATCH(LEFT(B38,255),LEFT('Reference Records'!$C$4:$C$24,255),0))=0,"",
INDEX('Reference Records'!$G$4:$G$24,MATCH(LEFT(B38,255),LEFT('Reference Records'!$C$4:$C$24,255),0)))),"")</f>
        <v/>
      </c>
    </row>
    <row r="39" spans="1:65" ht="30" customHeight="1">
      <c r="D39" s="192"/>
    </row>
    <row r="40" spans="1:65" ht="30" customHeight="1">
      <c r="D40" s="192"/>
      <c r="T40" s="126"/>
    </row>
    <row r="41" spans="1:65" ht="30" customHeight="1">
      <c r="D41" s="192"/>
    </row>
    <row r="42" spans="1:65" ht="30" customHeight="1">
      <c r="D42" s="192"/>
    </row>
    <row r="43" spans="1:65" ht="30" customHeight="1">
      <c r="D43" s="192"/>
    </row>
    <row r="44" spans="1:65" ht="30" customHeight="1">
      <c r="D44" s="192"/>
    </row>
    <row r="45" spans="1:65" ht="30" customHeight="1">
      <c r="D45" s="192"/>
    </row>
    <row r="46" spans="1:65" ht="30" customHeight="1">
      <c r="D46" s="192"/>
      <c r="L46" s="126"/>
    </row>
    <row r="47" spans="1:65" ht="30" customHeight="1">
      <c r="D47" s="192"/>
    </row>
    <row r="48" spans="1:65" ht="30" customHeight="1">
      <c r="D48" s="192"/>
    </row>
    <row r="49" spans="4:4" ht="30" customHeight="1">
      <c r="D49" s="192"/>
    </row>
    <row r="50" spans="4:4" ht="30" customHeight="1">
      <c r="D50" s="192"/>
    </row>
    <row r="51" spans="4:4" ht="30" customHeight="1">
      <c r="D51" s="192"/>
    </row>
    <row r="52" spans="4:4" ht="30" customHeight="1">
      <c r="D52" s="192"/>
    </row>
    <row r="53" spans="4:4" ht="30" customHeight="1">
      <c r="D53" s="192"/>
    </row>
    <row r="54" spans="4:4" ht="30" customHeight="1">
      <c r="D54" s="192"/>
    </row>
    <row r="55" spans="4:4" ht="30" customHeight="1">
      <c r="D55" s="192"/>
    </row>
    <row r="56" spans="4:4" ht="30" customHeight="1">
      <c r="D56" s="192"/>
    </row>
    <row r="57" spans="4:4" ht="30" customHeight="1">
      <c r="D57" s="192"/>
    </row>
    <row r="58" spans="4:4" ht="30" customHeight="1">
      <c r="D58" s="192"/>
    </row>
    <row r="59" spans="4:4" ht="30" customHeight="1">
      <c r="D59" s="192"/>
    </row>
    <row r="60" spans="4:4" ht="30" customHeight="1">
      <c r="D60" s="192"/>
    </row>
    <row r="61" spans="4:4" ht="30" customHeight="1">
      <c r="D61" s="192"/>
    </row>
    <row r="62" spans="4:4" ht="30" customHeight="1">
      <c r="D62" s="192"/>
    </row>
    <row r="63" spans="4:4" ht="30" customHeight="1">
      <c r="D63" s="192"/>
    </row>
    <row r="64" spans="4:4" ht="30" customHeight="1">
      <c r="D64" s="192"/>
    </row>
    <row r="65" spans="4:4" ht="30" customHeight="1">
      <c r="D65" s="192"/>
    </row>
    <row r="66" spans="4:4" ht="30" customHeight="1">
      <c r="D66" s="192"/>
    </row>
    <row r="67" spans="4:4" ht="30" customHeight="1">
      <c r="D67" s="192"/>
    </row>
    <row r="68" spans="4:4" ht="30" customHeight="1">
      <c r="D68" s="192"/>
    </row>
    <row r="69" spans="4:4" ht="30" customHeight="1">
      <c r="D69" s="192"/>
    </row>
    <row r="70" spans="4:4" ht="30" customHeight="1">
      <c r="D70" s="192"/>
    </row>
    <row r="71" spans="4:4" ht="30" customHeight="1">
      <c r="D71" s="192"/>
    </row>
    <row r="72" spans="4:4" ht="30" customHeight="1">
      <c r="D72" s="192"/>
    </row>
    <row r="73" spans="4:4" ht="30" customHeight="1">
      <c r="D73" s="192"/>
    </row>
    <row r="74" spans="4:4" ht="30" customHeight="1">
      <c r="D74" s="192"/>
    </row>
    <row r="75" spans="4:4" ht="30" customHeight="1">
      <c r="D75" s="192"/>
    </row>
    <row r="76" spans="4:4" ht="30" customHeight="1">
      <c r="D76" s="192"/>
    </row>
    <row r="77" spans="4:4" ht="30" customHeight="1">
      <c r="D77" s="192"/>
    </row>
    <row r="78" spans="4:4" ht="30" customHeight="1">
      <c r="D78" s="192"/>
    </row>
    <row r="79" spans="4:4" ht="30" customHeight="1">
      <c r="D79" s="192"/>
    </row>
    <row r="80" spans="4:4" ht="30" customHeight="1">
      <c r="D80" s="192"/>
    </row>
    <row r="81" spans="4:4" ht="30" customHeight="1">
      <c r="D81" s="192"/>
    </row>
    <row r="82" spans="4:4" ht="30" customHeight="1">
      <c r="D82" s="192"/>
    </row>
    <row r="83" spans="4:4" ht="30" customHeight="1">
      <c r="D83" s="192"/>
    </row>
    <row r="84" spans="4:4" ht="30" customHeight="1">
      <c r="D84" s="192"/>
    </row>
    <row r="85" spans="4:4" ht="30" customHeight="1">
      <c r="D85" s="192"/>
    </row>
    <row r="86" spans="4:4" ht="30" customHeight="1">
      <c r="D86" s="192"/>
    </row>
    <row r="87" spans="4:4" ht="30" customHeight="1">
      <c r="D87" s="192"/>
    </row>
    <row r="88" spans="4:4" ht="30" customHeight="1">
      <c r="D88" s="192"/>
    </row>
    <row r="89" spans="4:4" ht="30" customHeight="1">
      <c r="D89" s="192"/>
    </row>
    <row r="90" spans="4:4" ht="30" customHeight="1">
      <c r="D90" s="192"/>
    </row>
    <row r="91" spans="4:4" ht="30" customHeight="1">
      <c r="D91" s="192"/>
    </row>
    <row r="92" spans="4:4" ht="30" customHeight="1">
      <c r="D92" s="192"/>
    </row>
    <row r="93" spans="4:4" ht="30" customHeight="1">
      <c r="D93" s="192"/>
    </row>
    <row r="94" spans="4:4" ht="30" customHeight="1">
      <c r="D94" s="192"/>
    </row>
    <row r="95" spans="4:4" ht="30" customHeight="1">
      <c r="D95" s="192"/>
    </row>
    <row r="96" spans="4:4" ht="30" customHeight="1">
      <c r="D96" s="192"/>
    </row>
    <row r="97" spans="4:4" ht="30" customHeight="1">
      <c r="D97" s="192"/>
    </row>
    <row r="98" spans="4:4" ht="30" customHeight="1">
      <c r="D98" s="192"/>
    </row>
    <row r="99" spans="4:4" ht="30" customHeight="1">
      <c r="D99" s="192"/>
    </row>
    <row r="100" spans="4:4" ht="30" customHeight="1">
      <c r="D100" s="192"/>
    </row>
    <row r="101" spans="4:4">
      <c r="D101" s="192"/>
    </row>
    <row r="102" spans="4:4">
      <c r="D102" s="192"/>
    </row>
    <row r="103" spans="4:4">
      <c r="D103" s="192"/>
    </row>
    <row r="104" spans="4:4">
      <c r="D104" s="192"/>
    </row>
    <row r="105" spans="4:4">
      <c r="D105" s="192"/>
    </row>
    <row r="106" spans="4:4">
      <c r="D106" s="192"/>
    </row>
    <row r="107" spans="4:4">
      <c r="D107" s="192"/>
    </row>
    <row r="108" spans="4:4">
      <c r="D108" s="192"/>
    </row>
    <row r="109" spans="4:4">
      <c r="D109" s="192"/>
    </row>
    <row r="110" spans="4:4">
      <c r="D110" s="192"/>
    </row>
    <row r="111" spans="4:4">
      <c r="D111" s="192"/>
    </row>
    <row r="112" spans="4:4">
      <c r="D112" s="192"/>
    </row>
    <row r="113" spans="4:4">
      <c r="D113" s="192"/>
    </row>
    <row r="114" spans="4:4">
      <c r="D114" s="192"/>
    </row>
    <row r="115" spans="4:4">
      <c r="D115" s="192"/>
    </row>
    <row r="116" spans="4:4">
      <c r="D116" s="192"/>
    </row>
    <row r="117" spans="4:4">
      <c r="D117" s="192"/>
    </row>
    <row r="118" spans="4:4">
      <c r="D118" s="192"/>
    </row>
    <row r="119" spans="4:4">
      <c r="D119" s="192"/>
    </row>
    <row r="120" spans="4:4">
      <c r="D120" s="192"/>
    </row>
    <row r="121" spans="4:4">
      <c r="D121" s="192"/>
    </row>
    <row r="122" spans="4:4">
      <c r="D122" s="192"/>
    </row>
    <row r="123" spans="4:4">
      <c r="D123" s="192"/>
    </row>
    <row r="124" spans="4:4">
      <c r="D124" s="192"/>
    </row>
    <row r="125" spans="4:4">
      <c r="D125" s="192"/>
    </row>
    <row r="126" spans="4:4">
      <c r="D126" s="192"/>
    </row>
    <row r="127" spans="4:4">
      <c r="D127" s="192"/>
    </row>
    <row r="128" spans="4:4">
      <c r="D128" s="192"/>
    </row>
    <row r="129" spans="4:4">
      <c r="D129" s="192"/>
    </row>
    <row r="130" spans="4:4">
      <c r="D130" s="192"/>
    </row>
    <row r="131" spans="4:4">
      <c r="D131" s="192"/>
    </row>
    <row r="132" spans="4:4">
      <c r="D132" s="192"/>
    </row>
    <row r="133" spans="4:4">
      <c r="D133" s="192"/>
    </row>
    <row r="134" spans="4:4">
      <c r="D134" s="192"/>
    </row>
    <row r="135" spans="4:4">
      <c r="D135" s="192"/>
    </row>
    <row r="136" spans="4:4">
      <c r="D136" s="192"/>
    </row>
    <row r="137" spans="4:4">
      <c r="D137" s="192"/>
    </row>
    <row r="138" spans="4:4">
      <c r="D138" s="192"/>
    </row>
    <row r="139" spans="4:4">
      <c r="D139" s="192"/>
    </row>
    <row r="140" spans="4:4">
      <c r="D140" s="192"/>
    </row>
    <row r="141" spans="4:4">
      <c r="D141" s="192"/>
    </row>
    <row r="142" spans="4:4">
      <c r="D142" s="192"/>
    </row>
    <row r="143" spans="4:4">
      <c r="D143" s="192"/>
    </row>
    <row r="144" spans="4:4">
      <c r="D144" s="192"/>
    </row>
    <row r="145" spans="4:4">
      <c r="D145" s="192"/>
    </row>
    <row r="146" spans="4:4">
      <c r="D146" s="192"/>
    </row>
    <row r="147" spans="4:4">
      <c r="D147" s="192"/>
    </row>
    <row r="148" spans="4:4">
      <c r="D148" s="192"/>
    </row>
    <row r="149" spans="4:4">
      <c r="D149" s="192"/>
    </row>
    <row r="150" spans="4:4">
      <c r="D150" s="192"/>
    </row>
    <row r="151" spans="4:4">
      <c r="D151" s="192"/>
    </row>
    <row r="152" spans="4:4">
      <c r="D152" s="192"/>
    </row>
    <row r="153" spans="4:4">
      <c r="D153" s="192"/>
    </row>
    <row r="154" spans="4:4">
      <c r="D154" s="192"/>
    </row>
    <row r="155" spans="4:4">
      <c r="D155" s="192"/>
    </row>
    <row r="156" spans="4:4">
      <c r="D156" s="192"/>
    </row>
    <row r="157" spans="4:4">
      <c r="D157" s="192"/>
    </row>
    <row r="158" spans="4:4">
      <c r="D158" s="192"/>
    </row>
    <row r="159" spans="4:4">
      <c r="D159" s="192"/>
    </row>
    <row r="160" spans="4:4">
      <c r="D160" s="192"/>
    </row>
    <row r="161" spans="4:4">
      <c r="D161" s="192"/>
    </row>
    <row r="162" spans="4:4">
      <c r="D162" s="192"/>
    </row>
    <row r="163" spans="4:4">
      <c r="D163" s="192"/>
    </row>
    <row r="164" spans="4:4">
      <c r="D164" s="192"/>
    </row>
    <row r="165" spans="4:4">
      <c r="D165" s="192"/>
    </row>
    <row r="166" spans="4:4">
      <c r="D166" s="192"/>
    </row>
    <row r="167" spans="4:4">
      <c r="D167" s="192"/>
    </row>
    <row r="168" spans="4:4">
      <c r="D168" s="192"/>
    </row>
    <row r="169" spans="4:4">
      <c r="D169" s="192"/>
    </row>
    <row r="170" spans="4:4">
      <c r="D170" s="192"/>
    </row>
    <row r="171" spans="4:4">
      <c r="D171" s="192"/>
    </row>
    <row r="172" spans="4:4">
      <c r="D172" s="192"/>
    </row>
    <row r="173" spans="4:4">
      <c r="D173" s="192"/>
    </row>
    <row r="174" spans="4:4">
      <c r="D174" s="192"/>
    </row>
    <row r="175" spans="4:4">
      <c r="D175" s="192"/>
    </row>
    <row r="176" spans="4:4">
      <c r="D176" s="192"/>
    </row>
    <row r="177" spans="4:4">
      <c r="D177" s="192"/>
    </row>
    <row r="178" spans="4:4">
      <c r="D178" s="192"/>
    </row>
    <row r="179" spans="4:4">
      <c r="D179" s="192"/>
    </row>
    <row r="180" spans="4:4">
      <c r="D180" s="192"/>
    </row>
    <row r="181" spans="4:4">
      <c r="D181" s="192"/>
    </row>
    <row r="182" spans="4:4">
      <c r="D182" s="192"/>
    </row>
    <row r="183" spans="4:4">
      <c r="D183" s="192"/>
    </row>
    <row r="184" spans="4:4">
      <c r="D184" s="192"/>
    </row>
    <row r="185" spans="4:4">
      <c r="D185" s="192"/>
    </row>
    <row r="186" spans="4:4">
      <c r="D186" s="192"/>
    </row>
    <row r="187" spans="4:4">
      <c r="D187" s="192"/>
    </row>
    <row r="188" spans="4:4">
      <c r="D188" s="192"/>
    </row>
    <row r="189" spans="4:4">
      <c r="D189" s="192"/>
    </row>
    <row r="190" spans="4:4">
      <c r="D190" s="192"/>
    </row>
    <row r="191" spans="4:4">
      <c r="D191" s="192"/>
    </row>
    <row r="192" spans="4:4">
      <c r="D192" s="192"/>
    </row>
    <row r="193" spans="4:4">
      <c r="D193" s="192"/>
    </row>
    <row r="194" spans="4:4">
      <c r="D194" s="192"/>
    </row>
    <row r="195" spans="4:4">
      <c r="D195" s="192"/>
    </row>
    <row r="196" spans="4:4">
      <c r="D196" s="192"/>
    </row>
    <row r="197" spans="4:4">
      <c r="D197" s="192"/>
    </row>
    <row r="198" spans="4:4">
      <c r="D198" s="192"/>
    </row>
    <row r="199" spans="4:4">
      <c r="D199" s="192"/>
    </row>
    <row r="200" spans="4:4">
      <c r="D200" s="192"/>
    </row>
    <row r="201" spans="4:4">
      <c r="D201" s="192"/>
    </row>
    <row r="202" spans="4:4">
      <c r="D202" s="192"/>
    </row>
    <row r="203" spans="4:4">
      <c r="D203" s="192"/>
    </row>
    <row r="204" spans="4:4">
      <c r="D204" s="192"/>
    </row>
    <row r="205" spans="4:4">
      <c r="D205" s="192"/>
    </row>
    <row r="206" spans="4:4">
      <c r="D206" s="192"/>
    </row>
    <row r="207" spans="4:4">
      <c r="D207" s="192"/>
    </row>
    <row r="208" spans="4:4">
      <c r="D208" s="192"/>
    </row>
    <row r="209" spans="4:4">
      <c r="D209" s="192"/>
    </row>
    <row r="210" spans="4:4">
      <c r="D210" s="192"/>
    </row>
    <row r="211" spans="4:4">
      <c r="D211" s="192"/>
    </row>
    <row r="212" spans="4:4">
      <c r="D212" s="192"/>
    </row>
    <row r="213" spans="4:4">
      <c r="D213" s="192"/>
    </row>
    <row r="214" spans="4:4">
      <c r="D214" s="192"/>
    </row>
    <row r="215" spans="4:4">
      <c r="D215" s="192"/>
    </row>
    <row r="216" spans="4:4">
      <c r="D216" s="192"/>
    </row>
    <row r="217" spans="4:4">
      <c r="D217" s="192"/>
    </row>
    <row r="218" spans="4:4">
      <c r="D218" s="192"/>
    </row>
    <row r="219" spans="4:4">
      <c r="D219" s="192"/>
    </row>
    <row r="220" spans="4:4">
      <c r="D220" s="192"/>
    </row>
    <row r="221" spans="4:4">
      <c r="D221" s="192"/>
    </row>
    <row r="222" spans="4:4">
      <c r="D222" s="192"/>
    </row>
    <row r="223" spans="4:4">
      <c r="D223" s="192"/>
    </row>
    <row r="224" spans="4:4">
      <c r="D224" s="192"/>
    </row>
    <row r="225" spans="4:4">
      <c r="D225" s="192"/>
    </row>
    <row r="226" spans="4:4">
      <c r="D226" s="192"/>
    </row>
    <row r="227" spans="4:4">
      <c r="D227" s="192"/>
    </row>
    <row r="228" spans="4:4">
      <c r="D228" s="192"/>
    </row>
    <row r="229" spans="4:4">
      <c r="D229" s="192"/>
    </row>
    <row r="230" spans="4:4">
      <c r="D230" s="192"/>
    </row>
    <row r="231" spans="4:4">
      <c r="D231" s="192"/>
    </row>
    <row r="232" spans="4:4">
      <c r="D232" s="192"/>
    </row>
    <row r="233" spans="4:4">
      <c r="D233" s="192"/>
    </row>
    <row r="234" spans="4:4">
      <c r="D234" s="192"/>
    </row>
    <row r="235" spans="4:4">
      <c r="D235" s="192"/>
    </row>
    <row r="236" spans="4:4">
      <c r="D236" s="192"/>
    </row>
    <row r="237" spans="4:4">
      <c r="D237" s="192"/>
    </row>
    <row r="238" spans="4:4">
      <c r="D238" s="192"/>
    </row>
    <row r="239" spans="4:4">
      <c r="D239" s="192"/>
    </row>
    <row r="240" spans="4:4">
      <c r="D240" s="192"/>
    </row>
    <row r="241" spans="4:4">
      <c r="D241" s="192"/>
    </row>
    <row r="242" spans="4:4">
      <c r="D242" s="192"/>
    </row>
    <row r="243" spans="4:4">
      <c r="D243" s="192"/>
    </row>
    <row r="244" spans="4:4">
      <c r="D244" s="192"/>
    </row>
    <row r="245" spans="4:4">
      <c r="D245" s="192"/>
    </row>
    <row r="246" spans="4:4">
      <c r="D246" s="192"/>
    </row>
    <row r="247" spans="4:4">
      <c r="D247" s="192"/>
    </row>
    <row r="248" spans="4:4">
      <c r="D248" s="192"/>
    </row>
    <row r="249" spans="4:4">
      <c r="D249" s="192"/>
    </row>
    <row r="250" spans="4:4">
      <c r="D250" s="192"/>
    </row>
    <row r="251" spans="4:4">
      <c r="D251" s="192"/>
    </row>
    <row r="252" spans="4:4">
      <c r="D252" s="192"/>
    </row>
    <row r="253" spans="4:4">
      <c r="D253" s="192"/>
    </row>
    <row r="254" spans="4:4">
      <c r="D254" s="192"/>
    </row>
    <row r="255" spans="4:4">
      <c r="D255" s="192"/>
    </row>
    <row r="256" spans="4:4">
      <c r="D256" s="192"/>
    </row>
    <row r="257" spans="4:4">
      <c r="D257" s="192"/>
    </row>
    <row r="258" spans="4:4">
      <c r="D258" s="192"/>
    </row>
    <row r="259" spans="4:4">
      <c r="D259" s="192"/>
    </row>
    <row r="260" spans="4:4">
      <c r="D260" s="192"/>
    </row>
    <row r="261" spans="4:4">
      <c r="D261" s="192"/>
    </row>
    <row r="262" spans="4:4">
      <c r="D262" s="192"/>
    </row>
    <row r="263" spans="4:4">
      <c r="D263" s="192"/>
    </row>
    <row r="264" spans="4:4">
      <c r="D264" s="192"/>
    </row>
    <row r="265" spans="4:4">
      <c r="D265" s="192"/>
    </row>
    <row r="266" spans="4:4">
      <c r="D266" s="192"/>
    </row>
    <row r="267" spans="4:4">
      <c r="D267" s="192"/>
    </row>
    <row r="268" spans="4:4">
      <c r="D268" s="192"/>
    </row>
    <row r="269" spans="4:4">
      <c r="D269" s="192"/>
    </row>
    <row r="270" spans="4:4">
      <c r="D270" s="192"/>
    </row>
    <row r="271" spans="4:4">
      <c r="D271" s="192"/>
    </row>
    <row r="272" spans="4:4">
      <c r="D272" s="192"/>
    </row>
    <row r="273" spans="4:4">
      <c r="D273" s="192"/>
    </row>
    <row r="274" spans="4:4">
      <c r="D274" s="192"/>
    </row>
    <row r="275" spans="4:4">
      <c r="D275" s="192"/>
    </row>
    <row r="276" spans="4:4">
      <c r="D276" s="192"/>
    </row>
    <row r="277" spans="4:4">
      <c r="D277" s="192"/>
    </row>
    <row r="278" spans="4:4">
      <c r="D278" s="192"/>
    </row>
    <row r="279" spans="4:4">
      <c r="D279" s="192"/>
    </row>
    <row r="280" spans="4:4">
      <c r="D280" s="192"/>
    </row>
    <row r="281" spans="4:4">
      <c r="D281" s="192"/>
    </row>
    <row r="282" spans="4:4">
      <c r="D282" s="192"/>
    </row>
    <row r="283" spans="4:4">
      <c r="D283" s="192"/>
    </row>
    <row r="284" spans="4:4">
      <c r="D284" s="192"/>
    </row>
    <row r="285" spans="4:4">
      <c r="D285" s="192"/>
    </row>
    <row r="286" spans="4:4">
      <c r="D286" s="192"/>
    </row>
    <row r="287" spans="4:4">
      <c r="D287" s="192"/>
    </row>
    <row r="288" spans="4:4">
      <c r="D288" s="192"/>
    </row>
    <row r="289" spans="4:4">
      <c r="D289" s="192"/>
    </row>
    <row r="290" spans="4:4">
      <c r="D290" s="192"/>
    </row>
    <row r="291" spans="4:4">
      <c r="D291" s="192"/>
    </row>
    <row r="292" spans="4:4">
      <c r="D292" s="192"/>
    </row>
    <row r="293" spans="4:4">
      <c r="D293" s="192"/>
    </row>
    <row r="294" spans="4:4">
      <c r="D294" s="192"/>
    </row>
    <row r="295" spans="4:4">
      <c r="D295" s="192"/>
    </row>
    <row r="296" spans="4:4">
      <c r="D296" s="192"/>
    </row>
    <row r="297" spans="4:4">
      <c r="D297" s="192"/>
    </row>
    <row r="298" spans="4:4">
      <c r="D298" s="192"/>
    </row>
    <row r="299" spans="4:4">
      <c r="D299" s="192"/>
    </row>
    <row r="300" spans="4:4">
      <c r="D300" s="192"/>
    </row>
    <row r="301" spans="4:4">
      <c r="D301" s="192"/>
    </row>
    <row r="302" spans="4:4">
      <c r="D302" s="192"/>
    </row>
    <row r="303" spans="4:4">
      <c r="D303" s="192"/>
    </row>
    <row r="304" spans="4:4">
      <c r="D304" s="192"/>
    </row>
    <row r="305" spans="4:4">
      <c r="D305" s="192"/>
    </row>
    <row r="306" spans="4:4">
      <c r="D306" s="192"/>
    </row>
    <row r="307" spans="4:4">
      <c r="D307" s="192"/>
    </row>
    <row r="308" spans="4:4">
      <c r="D308" s="192"/>
    </row>
    <row r="309" spans="4:4">
      <c r="D309" s="192"/>
    </row>
    <row r="310" spans="4:4">
      <c r="D310" s="192"/>
    </row>
    <row r="311" spans="4:4">
      <c r="D311" s="192"/>
    </row>
    <row r="312" spans="4:4">
      <c r="D312" s="192"/>
    </row>
    <row r="313" spans="4:4">
      <c r="D313" s="192"/>
    </row>
    <row r="314" spans="4:4">
      <c r="D314" s="192"/>
    </row>
    <row r="315" spans="4:4">
      <c r="D315" s="192"/>
    </row>
    <row r="316" spans="4:4">
      <c r="D316" s="192"/>
    </row>
    <row r="317" spans="4:4">
      <c r="D317" s="192"/>
    </row>
    <row r="318" spans="4:4">
      <c r="D318" s="192"/>
    </row>
    <row r="319" spans="4:4">
      <c r="D319" s="192"/>
    </row>
    <row r="320" spans="4:4">
      <c r="D320" s="192"/>
    </row>
    <row r="321" spans="4:4">
      <c r="D321" s="192"/>
    </row>
    <row r="322" spans="4:4">
      <c r="D322" s="192"/>
    </row>
    <row r="323" spans="4:4">
      <c r="D323" s="192"/>
    </row>
  </sheetData>
  <sheetProtection algorithmName="SHA-512" hashValue="vf+djplZ8JycRI8m4TJ1hFvBX98KRjKxD1/X0V1RCvOp3+F04mD/YECN7jtGrg9h/HSMkpYVAl6F8wkDEvgZow==" saltValue="l0IAizd2iqWlF8QIC+UP2w==" spinCount="100000" sheet="1" objects="1" scenarios="1" formatCells="0" formatColumns="0" formatRows="0"/>
  <mergeCells count="562">
    <mergeCell ref="BB37:BB38"/>
    <mergeCell ref="BC9:BC10"/>
    <mergeCell ref="BC11:BC12"/>
    <mergeCell ref="BC13:BC14"/>
    <mergeCell ref="BC15:BC16"/>
    <mergeCell ref="BC17:BC18"/>
    <mergeCell ref="BC19:BC20"/>
    <mergeCell ref="BC21:BC22"/>
    <mergeCell ref="BC23:BC24"/>
    <mergeCell ref="BC25:BC26"/>
    <mergeCell ref="BC27:BC28"/>
    <mergeCell ref="BC29:BC30"/>
    <mergeCell ref="BC31:BC32"/>
    <mergeCell ref="BC33:BC34"/>
    <mergeCell ref="BC35:BC36"/>
    <mergeCell ref="BC37:BC38"/>
    <mergeCell ref="BB9:BB10"/>
    <mergeCell ref="BB11:BB12"/>
    <mergeCell ref="BB13:BB14"/>
    <mergeCell ref="BB15:BB16"/>
    <mergeCell ref="BB17:BB18"/>
    <mergeCell ref="BB19:BB20"/>
    <mergeCell ref="BB21:BB22"/>
    <mergeCell ref="BB23:BB24"/>
    <mergeCell ref="BB25:BB26"/>
    <mergeCell ref="AZ31:AZ32"/>
    <mergeCell ref="AZ33:AZ34"/>
    <mergeCell ref="AZ35:AZ36"/>
    <mergeCell ref="BB27:BB28"/>
    <mergeCell ref="BB29:BB30"/>
    <mergeCell ref="BB31:BB32"/>
    <mergeCell ref="BB33:BB34"/>
    <mergeCell ref="BB35:BB36"/>
    <mergeCell ref="AZ37:AZ38"/>
    <mergeCell ref="BA11:BA12"/>
    <mergeCell ref="BA13:BA14"/>
    <mergeCell ref="BA15:BA16"/>
    <mergeCell ref="BA17:BA18"/>
    <mergeCell ref="BA19:BA20"/>
    <mergeCell ref="BA21:BA22"/>
    <mergeCell ref="BA23:BA24"/>
    <mergeCell ref="BA25:BA26"/>
    <mergeCell ref="BA27:BA28"/>
    <mergeCell ref="BA29:BA30"/>
    <mergeCell ref="BA31:BA32"/>
    <mergeCell ref="BA33:BA34"/>
    <mergeCell ref="BA35:BA36"/>
    <mergeCell ref="BA37:BA38"/>
    <mergeCell ref="BA9:BA10"/>
    <mergeCell ref="AX11:AX12"/>
    <mergeCell ref="AX13:AX14"/>
    <mergeCell ref="AX15:AX16"/>
    <mergeCell ref="AX17:AX18"/>
    <mergeCell ref="AX19:AX20"/>
    <mergeCell ref="AX21:AX22"/>
    <mergeCell ref="AX23:AX24"/>
    <mergeCell ref="AX25:AX26"/>
    <mergeCell ref="AY11:AY12"/>
    <mergeCell ref="AY13:AY14"/>
    <mergeCell ref="AY15:AY16"/>
    <mergeCell ref="AY17:AY18"/>
    <mergeCell ref="AY19:AY20"/>
    <mergeCell ref="AY21:AY22"/>
    <mergeCell ref="AY23:AY24"/>
    <mergeCell ref="AY25:AY26"/>
    <mergeCell ref="AZ11:AZ12"/>
    <mergeCell ref="AZ13:AZ14"/>
    <mergeCell ref="AZ15:AZ16"/>
    <mergeCell ref="AZ17:AZ18"/>
    <mergeCell ref="AZ19:AZ20"/>
    <mergeCell ref="AZ21:AZ22"/>
    <mergeCell ref="AZ23:AZ24"/>
    <mergeCell ref="AW27:AW28"/>
    <mergeCell ref="AW29:AW30"/>
    <mergeCell ref="AW31:AW32"/>
    <mergeCell ref="AW33:AW34"/>
    <mergeCell ref="AW35:AW36"/>
    <mergeCell ref="AW37:AW38"/>
    <mergeCell ref="AX9:AX10"/>
    <mergeCell ref="AY9:AY10"/>
    <mergeCell ref="AZ9:AZ10"/>
    <mergeCell ref="AX27:AX28"/>
    <mergeCell ref="AX29:AX30"/>
    <mergeCell ref="AX31:AX32"/>
    <mergeCell ref="AX33:AX34"/>
    <mergeCell ref="AX35:AX36"/>
    <mergeCell ref="AX37:AX38"/>
    <mergeCell ref="AY27:AY28"/>
    <mergeCell ref="AY29:AY30"/>
    <mergeCell ref="AY31:AY32"/>
    <mergeCell ref="AY33:AY34"/>
    <mergeCell ref="AY35:AY36"/>
    <mergeCell ref="AY37:AY38"/>
    <mergeCell ref="AZ25:AZ26"/>
    <mergeCell ref="AZ27:AZ28"/>
    <mergeCell ref="AZ29:AZ30"/>
    <mergeCell ref="AW9:AW10"/>
    <mergeCell ref="AW11:AW12"/>
    <mergeCell ref="AW13:AW14"/>
    <mergeCell ref="AW15:AW16"/>
    <mergeCell ref="AW17:AW18"/>
    <mergeCell ref="AW19:AW20"/>
    <mergeCell ref="AW21:AW22"/>
    <mergeCell ref="AW23:AW24"/>
    <mergeCell ref="AW25:AW26"/>
    <mergeCell ref="BJ35:BJ36"/>
    <mergeCell ref="BJ37:BJ38"/>
    <mergeCell ref="BH23:BH24"/>
    <mergeCell ref="BH25:BH26"/>
    <mergeCell ref="BH27:BH28"/>
    <mergeCell ref="BH29:BH30"/>
    <mergeCell ref="BH31:BH32"/>
    <mergeCell ref="BH33:BH34"/>
    <mergeCell ref="BH35:BH36"/>
    <mergeCell ref="BH37:BH38"/>
    <mergeCell ref="BI29:BI30"/>
    <mergeCell ref="BI31:BI32"/>
    <mergeCell ref="BI33:BI34"/>
    <mergeCell ref="BI35:BI36"/>
    <mergeCell ref="BI37:BI38"/>
    <mergeCell ref="BI23:BI24"/>
    <mergeCell ref="BI25:BI26"/>
    <mergeCell ref="BI27:BI28"/>
    <mergeCell ref="BJ23:BJ24"/>
    <mergeCell ref="BJ25:BJ26"/>
    <mergeCell ref="BJ27:BJ28"/>
    <mergeCell ref="BJ29:BJ30"/>
    <mergeCell ref="BJ31:BJ32"/>
    <mergeCell ref="BJ33:BJ34"/>
    <mergeCell ref="BH21:BH22"/>
    <mergeCell ref="BJ11:BJ12"/>
    <mergeCell ref="BJ13:BJ14"/>
    <mergeCell ref="BJ15:BJ16"/>
    <mergeCell ref="BJ17:BJ18"/>
    <mergeCell ref="BJ19:BJ20"/>
    <mergeCell ref="BJ21:BJ22"/>
    <mergeCell ref="BI11:BI12"/>
    <mergeCell ref="BI13:BI14"/>
    <mergeCell ref="BI15:BI16"/>
    <mergeCell ref="BI17:BI18"/>
    <mergeCell ref="BI19:BI20"/>
    <mergeCell ref="BI21:BI22"/>
    <mergeCell ref="AA37:AA38"/>
    <mergeCell ref="AC37:AC38"/>
    <mergeCell ref="AD37:AD38"/>
    <mergeCell ref="T37:T38"/>
    <mergeCell ref="U37:U38"/>
    <mergeCell ref="V37:V38"/>
    <mergeCell ref="X37:X38"/>
    <mergeCell ref="Y37:Y38"/>
    <mergeCell ref="Z37:Z38"/>
    <mergeCell ref="J37:J38"/>
    <mergeCell ref="L37:L38"/>
    <mergeCell ref="M37:M38"/>
    <mergeCell ref="N37:N38"/>
    <mergeCell ref="P37:P38"/>
    <mergeCell ref="Q37:Q38"/>
    <mergeCell ref="R37:R38"/>
    <mergeCell ref="A37:A38"/>
    <mergeCell ref="B37:B38"/>
    <mergeCell ref="C37:C38"/>
    <mergeCell ref="E37:E38"/>
    <mergeCell ref="F37:F38"/>
    <mergeCell ref="G37:G38"/>
    <mergeCell ref="H37:H38"/>
    <mergeCell ref="I37:I38"/>
    <mergeCell ref="AC35:AC36"/>
    <mergeCell ref="AD35:AD36"/>
    <mergeCell ref="T35:T36"/>
    <mergeCell ref="U35:U36"/>
    <mergeCell ref="V35:V36"/>
    <mergeCell ref="X35:X36"/>
    <mergeCell ref="Y35:Y36"/>
    <mergeCell ref="Z35:Z36"/>
    <mergeCell ref="AC33:AC34"/>
    <mergeCell ref="AD33:AD34"/>
    <mergeCell ref="AA35:AA36"/>
    <mergeCell ref="AA33:AA34"/>
    <mergeCell ref="A35:A36"/>
    <mergeCell ref="B35:B36"/>
    <mergeCell ref="C35:C36"/>
    <mergeCell ref="E35:E36"/>
    <mergeCell ref="F35:F36"/>
    <mergeCell ref="G35:G36"/>
    <mergeCell ref="H35:H36"/>
    <mergeCell ref="I35:I36"/>
    <mergeCell ref="J35:J36"/>
    <mergeCell ref="L35:L36"/>
    <mergeCell ref="M35:M36"/>
    <mergeCell ref="N35:N36"/>
    <mergeCell ref="P35:P36"/>
    <mergeCell ref="Q35:Q36"/>
    <mergeCell ref="R35:R36"/>
    <mergeCell ref="X33:X34"/>
    <mergeCell ref="Y33:Y34"/>
    <mergeCell ref="Z33:Z34"/>
    <mergeCell ref="L33:L34"/>
    <mergeCell ref="M33:M34"/>
    <mergeCell ref="N33:N34"/>
    <mergeCell ref="P33:P34"/>
    <mergeCell ref="Q33:Q34"/>
    <mergeCell ref="R33:R34"/>
    <mergeCell ref="T33:T34"/>
    <mergeCell ref="U33:U34"/>
    <mergeCell ref="V33:V34"/>
    <mergeCell ref="A33:A34"/>
    <mergeCell ref="B33:B34"/>
    <mergeCell ref="C33:C34"/>
    <mergeCell ref="E33:E34"/>
    <mergeCell ref="F33:F34"/>
    <mergeCell ref="G33:G34"/>
    <mergeCell ref="H33:H34"/>
    <mergeCell ref="I33:I34"/>
    <mergeCell ref="J33:J34"/>
    <mergeCell ref="AA31:AA32"/>
    <mergeCell ref="AC31:AC32"/>
    <mergeCell ref="AD31:AD32"/>
    <mergeCell ref="T31:T32"/>
    <mergeCell ref="U31:U32"/>
    <mergeCell ref="V31:V32"/>
    <mergeCell ref="X31:X32"/>
    <mergeCell ref="Y31:Y32"/>
    <mergeCell ref="Z31:Z32"/>
    <mergeCell ref="J31:J32"/>
    <mergeCell ref="L31:L32"/>
    <mergeCell ref="M31:M32"/>
    <mergeCell ref="N31:N32"/>
    <mergeCell ref="P31:P32"/>
    <mergeCell ref="Q31:Q32"/>
    <mergeCell ref="R31:R32"/>
    <mergeCell ref="A31:A32"/>
    <mergeCell ref="B31:B32"/>
    <mergeCell ref="C31:C32"/>
    <mergeCell ref="E31:E32"/>
    <mergeCell ref="F31:F32"/>
    <mergeCell ref="G31:G32"/>
    <mergeCell ref="H31:H32"/>
    <mergeCell ref="I31:I32"/>
    <mergeCell ref="AC29:AC30"/>
    <mergeCell ref="AD29:AD30"/>
    <mergeCell ref="T29:T30"/>
    <mergeCell ref="U29:U30"/>
    <mergeCell ref="V29:V30"/>
    <mergeCell ref="X29:X30"/>
    <mergeCell ref="Y29:Y30"/>
    <mergeCell ref="Z29:Z30"/>
    <mergeCell ref="AC27:AC28"/>
    <mergeCell ref="AD27:AD28"/>
    <mergeCell ref="AA29:AA30"/>
    <mergeCell ref="AA27:AA28"/>
    <mergeCell ref="A29:A30"/>
    <mergeCell ref="B29:B30"/>
    <mergeCell ref="C29:C30"/>
    <mergeCell ref="E29:E30"/>
    <mergeCell ref="F29:F30"/>
    <mergeCell ref="G29:G30"/>
    <mergeCell ref="H29:H30"/>
    <mergeCell ref="I29:I30"/>
    <mergeCell ref="J29:J30"/>
    <mergeCell ref="L29:L30"/>
    <mergeCell ref="M29:M30"/>
    <mergeCell ref="N29:N30"/>
    <mergeCell ref="P29:P30"/>
    <mergeCell ref="Q29:Q30"/>
    <mergeCell ref="R29:R30"/>
    <mergeCell ref="X27:X28"/>
    <mergeCell ref="Y27:Y28"/>
    <mergeCell ref="Z27:Z28"/>
    <mergeCell ref="L27:L28"/>
    <mergeCell ref="M27:M28"/>
    <mergeCell ref="N27:N28"/>
    <mergeCell ref="P27:P28"/>
    <mergeCell ref="Q27:Q28"/>
    <mergeCell ref="R27:R28"/>
    <mergeCell ref="T27:T28"/>
    <mergeCell ref="U27:U28"/>
    <mergeCell ref="V27:V28"/>
    <mergeCell ref="A27:A28"/>
    <mergeCell ref="B27:B28"/>
    <mergeCell ref="C27:C28"/>
    <mergeCell ref="E27:E28"/>
    <mergeCell ref="F27:F28"/>
    <mergeCell ref="G27:G28"/>
    <mergeCell ref="H27:H28"/>
    <mergeCell ref="I27:I28"/>
    <mergeCell ref="J27:J28"/>
    <mergeCell ref="AA25:AA26"/>
    <mergeCell ref="AC25:AC26"/>
    <mergeCell ref="AD25:AD26"/>
    <mergeCell ref="T25:T26"/>
    <mergeCell ref="U25:U26"/>
    <mergeCell ref="V25:V26"/>
    <mergeCell ref="X25:X26"/>
    <mergeCell ref="Y25:Y26"/>
    <mergeCell ref="Z25:Z26"/>
    <mergeCell ref="J25:J26"/>
    <mergeCell ref="L25:L26"/>
    <mergeCell ref="M25:M26"/>
    <mergeCell ref="N25:N26"/>
    <mergeCell ref="P25:P26"/>
    <mergeCell ref="Q25:Q26"/>
    <mergeCell ref="R25:R26"/>
    <mergeCell ref="A25:A26"/>
    <mergeCell ref="B25:B26"/>
    <mergeCell ref="C25:C26"/>
    <mergeCell ref="E25:E26"/>
    <mergeCell ref="F25:F26"/>
    <mergeCell ref="G25:G26"/>
    <mergeCell ref="H25:H26"/>
    <mergeCell ref="I25:I26"/>
    <mergeCell ref="AC23:AC24"/>
    <mergeCell ref="AD23:AD24"/>
    <mergeCell ref="T23:T24"/>
    <mergeCell ref="U23:U24"/>
    <mergeCell ref="V23:V24"/>
    <mergeCell ref="X23:X24"/>
    <mergeCell ref="Y23:Y24"/>
    <mergeCell ref="Z23:Z24"/>
    <mergeCell ref="AC21:AC22"/>
    <mergeCell ref="AD21:AD22"/>
    <mergeCell ref="AA23:AA24"/>
    <mergeCell ref="AA21:AA22"/>
    <mergeCell ref="A23:A24"/>
    <mergeCell ref="B23:B24"/>
    <mergeCell ref="C23:C24"/>
    <mergeCell ref="E23:E24"/>
    <mergeCell ref="F23:F24"/>
    <mergeCell ref="G23:G24"/>
    <mergeCell ref="H23:H24"/>
    <mergeCell ref="I23:I24"/>
    <mergeCell ref="J23:J24"/>
    <mergeCell ref="L23:L24"/>
    <mergeCell ref="M23:M24"/>
    <mergeCell ref="N23:N24"/>
    <mergeCell ref="P23:P24"/>
    <mergeCell ref="Q23:Q24"/>
    <mergeCell ref="R23:R24"/>
    <mergeCell ref="X21:X22"/>
    <mergeCell ref="Y21:Y22"/>
    <mergeCell ref="Z21:Z22"/>
    <mergeCell ref="L21:L22"/>
    <mergeCell ref="M21:M22"/>
    <mergeCell ref="N21:N22"/>
    <mergeCell ref="P21:P22"/>
    <mergeCell ref="Q21:Q22"/>
    <mergeCell ref="R21:R22"/>
    <mergeCell ref="T21:T22"/>
    <mergeCell ref="U21:U22"/>
    <mergeCell ref="V21:V22"/>
    <mergeCell ref="A21:A22"/>
    <mergeCell ref="B21:B22"/>
    <mergeCell ref="C21:C22"/>
    <mergeCell ref="E21:E22"/>
    <mergeCell ref="F21:F22"/>
    <mergeCell ref="G21:G22"/>
    <mergeCell ref="H21:H22"/>
    <mergeCell ref="I21:I22"/>
    <mergeCell ref="J21:J22"/>
    <mergeCell ref="AA19:AA20"/>
    <mergeCell ref="AC19:AC20"/>
    <mergeCell ref="AD19:AD20"/>
    <mergeCell ref="T19:T20"/>
    <mergeCell ref="U19:U20"/>
    <mergeCell ref="V19:V20"/>
    <mergeCell ref="X19:X20"/>
    <mergeCell ref="Y19:Y20"/>
    <mergeCell ref="Z19:Z20"/>
    <mergeCell ref="J19:J20"/>
    <mergeCell ref="L19:L20"/>
    <mergeCell ref="M19:M20"/>
    <mergeCell ref="N19:N20"/>
    <mergeCell ref="P19:P20"/>
    <mergeCell ref="Q19:Q20"/>
    <mergeCell ref="R19:R20"/>
    <mergeCell ref="A19:A20"/>
    <mergeCell ref="B19:B20"/>
    <mergeCell ref="C19:C20"/>
    <mergeCell ref="E19:E20"/>
    <mergeCell ref="F19:F20"/>
    <mergeCell ref="G19:G20"/>
    <mergeCell ref="H19:H20"/>
    <mergeCell ref="I19:I20"/>
    <mergeCell ref="AC17:AC18"/>
    <mergeCell ref="AD17:AD18"/>
    <mergeCell ref="T17:T18"/>
    <mergeCell ref="U17:U18"/>
    <mergeCell ref="V17:V18"/>
    <mergeCell ref="X17:X18"/>
    <mergeCell ref="Y17:Y18"/>
    <mergeCell ref="Z17:Z18"/>
    <mergeCell ref="AD15:AD16"/>
    <mergeCell ref="AA17:AA18"/>
    <mergeCell ref="V15:V16"/>
    <mergeCell ref="X15:X16"/>
    <mergeCell ref="Y15:Y16"/>
    <mergeCell ref="Z15:Z16"/>
    <mergeCell ref="AC15:AC16"/>
    <mergeCell ref="L17:L18"/>
    <mergeCell ref="M17:M18"/>
    <mergeCell ref="N17:N18"/>
    <mergeCell ref="P17:P18"/>
    <mergeCell ref="Q17:Q18"/>
    <mergeCell ref="R17:R18"/>
    <mergeCell ref="T15:T16"/>
    <mergeCell ref="U15:U16"/>
    <mergeCell ref="A17:A18"/>
    <mergeCell ref="B17:B18"/>
    <mergeCell ref="C17:C18"/>
    <mergeCell ref="E17:E18"/>
    <mergeCell ref="F17:F18"/>
    <mergeCell ref="G17:G18"/>
    <mergeCell ref="H17:H18"/>
    <mergeCell ref="I17:I18"/>
    <mergeCell ref="J17:J18"/>
    <mergeCell ref="AD13:AD14"/>
    <mergeCell ref="A15:A16"/>
    <mergeCell ref="B15:B16"/>
    <mergeCell ref="E15:E16"/>
    <mergeCell ref="F15:F16"/>
    <mergeCell ref="G15:G16"/>
    <mergeCell ref="H15:H16"/>
    <mergeCell ref="I15:I16"/>
    <mergeCell ref="J15:J16"/>
    <mergeCell ref="L15:L16"/>
    <mergeCell ref="M15:M16"/>
    <mergeCell ref="N15:N16"/>
    <mergeCell ref="P15:P16"/>
    <mergeCell ref="Q15:Q16"/>
    <mergeCell ref="R15:R16"/>
    <mergeCell ref="T13:T14"/>
    <mergeCell ref="U13:U14"/>
    <mergeCell ref="V13:V14"/>
    <mergeCell ref="X13:X14"/>
    <mergeCell ref="Y13:Y14"/>
    <mergeCell ref="C15:C16"/>
    <mergeCell ref="C13:C14"/>
    <mergeCell ref="AC11:AC12"/>
    <mergeCell ref="AD11:AD12"/>
    <mergeCell ref="A13:A14"/>
    <mergeCell ref="B13:B14"/>
    <mergeCell ref="E13:E14"/>
    <mergeCell ref="F13:F14"/>
    <mergeCell ref="G13:G14"/>
    <mergeCell ref="H13:H14"/>
    <mergeCell ref="I13:I14"/>
    <mergeCell ref="J13:J14"/>
    <mergeCell ref="L13:L14"/>
    <mergeCell ref="M13:M14"/>
    <mergeCell ref="N13:N14"/>
    <mergeCell ref="P13:P14"/>
    <mergeCell ref="Q13:Q14"/>
    <mergeCell ref="R13:R14"/>
    <mergeCell ref="T11:T12"/>
    <mergeCell ref="U11:U12"/>
    <mergeCell ref="V11:V12"/>
    <mergeCell ref="X11:X12"/>
    <mergeCell ref="Y11:Y12"/>
    <mergeCell ref="Z11:Z12"/>
    <mergeCell ref="J11:J12"/>
    <mergeCell ref="AC13:AC14"/>
    <mergeCell ref="C11:C12"/>
    <mergeCell ref="C9:C10"/>
    <mergeCell ref="P11:P12"/>
    <mergeCell ref="Q11:Q12"/>
    <mergeCell ref="R11:R12"/>
    <mergeCell ref="Q9:Q10"/>
    <mergeCell ref="P9:P10"/>
    <mergeCell ref="N9:N10"/>
    <mergeCell ref="M9:M10"/>
    <mergeCell ref="L9:L10"/>
    <mergeCell ref="R9:R10"/>
    <mergeCell ref="E11:E12"/>
    <mergeCell ref="H11:H12"/>
    <mergeCell ref="I11:I12"/>
    <mergeCell ref="K7:N7"/>
    <mergeCell ref="O7:R7"/>
    <mergeCell ref="S7:V7"/>
    <mergeCell ref="F11:F12"/>
    <mergeCell ref="G11:G12"/>
    <mergeCell ref="AA13:AA14"/>
    <mergeCell ref="AA15:AA16"/>
    <mergeCell ref="L11:L12"/>
    <mergeCell ref="M11:M12"/>
    <mergeCell ref="N11:N12"/>
    <mergeCell ref="X9:X10"/>
    <mergeCell ref="Y9:Y10"/>
    <mergeCell ref="V9:V10"/>
    <mergeCell ref="U9:U10"/>
    <mergeCell ref="T9:T10"/>
    <mergeCell ref="Z13:Z14"/>
    <mergeCell ref="AO15:AO16"/>
    <mergeCell ref="AO17:AO18"/>
    <mergeCell ref="AO19:AO20"/>
    <mergeCell ref="AO21:AO22"/>
    <mergeCell ref="AO23:AO24"/>
    <mergeCell ref="AO25:AO26"/>
    <mergeCell ref="A11:A12"/>
    <mergeCell ref="B11:B12"/>
    <mergeCell ref="A1:G2"/>
    <mergeCell ref="J1:AA2"/>
    <mergeCell ref="AD9:AD10"/>
    <mergeCell ref="Z9:Z10"/>
    <mergeCell ref="J9:J10"/>
    <mergeCell ref="G9:G10"/>
    <mergeCell ref="F9:F10"/>
    <mergeCell ref="AC9:AC10"/>
    <mergeCell ref="E9:E10"/>
    <mergeCell ref="A9:A10"/>
    <mergeCell ref="B9:B10"/>
    <mergeCell ref="I9:I10"/>
    <mergeCell ref="H9:H10"/>
    <mergeCell ref="W7:Z7"/>
    <mergeCell ref="AA9:AA10"/>
    <mergeCell ref="AA11:AA12"/>
    <mergeCell ref="AO27:AO28"/>
    <mergeCell ref="AO29:AO30"/>
    <mergeCell ref="AO31:AO32"/>
    <mergeCell ref="AO33:AO34"/>
    <mergeCell ref="AO35:AO36"/>
    <mergeCell ref="AO37:AO38"/>
    <mergeCell ref="AP9:AP10"/>
    <mergeCell ref="AP11:AP12"/>
    <mergeCell ref="AP13:AP14"/>
    <mergeCell ref="AP15:AP16"/>
    <mergeCell ref="AP17:AP18"/>
    <mergeCell ref="AP19:AP20"/>
    <mergeCell ref="AP21:AP22"/>
    <mergeCell ref="AP23:AP24"/>
    <mergeCell ref="AP25:AP26"/>
    <mergeCell ref="AP27:AP28"/>
    <mergeCell ref="AP29:AP30"/>
    <mergeCell ref="AP31:AP32"/>
    <mergeCell ref="AP33:AP34"/>
    <mergeCell ref="AP35:AP36"/>
    <mergeCell ref="AP37:AP38"/>
    <mergeCell ref="AO9:AO10"/>
    <mergeCell ref="AO11:AO12"/>
    <mergeCell ref="AO13:AO14"/>
    <mergeCell ref="BL6:BM7"/>
    <mergeCell ref="AQ27:AQ28"/>
    <mergeCell ref="AQ29:AQ30"/>
    <mergeCell ref="AQ31:AQ32"/>
    <mergeCell ref="AQ33:AQ34"/>
    <mergeCell ref="AQ35:AQ36"/>
    <mergeCell ref="AQ37:AQ38"/>
    <mergeCell ref="AQ9:AQ10"/>
    <mergeCell ref="AQ11:AQ12"/>
    <mergeCell ref="AQ13:AQ14"/>
    <mergeCell ref="AQ15:AQ16"/>
    <mergeCell ref="AQ17:AQ18"/>
    <mergeCell ref="AQ19:AQ20"/>
    <mergeCell ref="AQ21:AQ22"/>
    <mergeCell ref="AQ23:AQ24"/>
    <mergeCell ref="AQ25:AQ26"/>
    <mergeCell ref="BH9:BH10"/>
    <mergeCell ref="BI9:BI10"/>
    <mergeCell ref="BJ9:BJ10"/>
    <mergeCell ref="BH11:BH12"/>
    <mergeCell ref="BH13:BH14"/>
    <mergeCell ref="BH15:BH16"/>
    <mergeCell ref="BH17:BH18"/>
    <mergeCell ref="BH19:BH20"/>
  </mergeCells>
  <conditionalFormatting sqref="A5">
    <cfRule type="expression" dxfId="2407" priority="190">
      <formula>B5&gt;0</formula>
    </cfRule>
  </conditionalFormatting>
  <conditionalFormatting sqref="B5">
    <cfRule type="expression" dxfId="2406" priority="191">
      <formula>B5&gt;0</formula>
    </cfRule>
  </conditionalFormatting>
  <conditionalFormatting sqref="B9:C9 B11:C11">
    <cfRule type="expression" dxfId="2405" priority="425">
      <formula>AND($B9&lt;&gt;"",$C9&lt;&gt;"")</formula>
    </cfRule>
  </conditionalFormatting>
  <conditionalFormatting sqref="B13:C13">
    <cfRule type="expression" dxfId="2404" priority="189">
      <formula>AND($B13&lt;&gt;"",$C13&lt;&gt;"")</formula>
    </cfRule>
  </conditionalFormatting>
  <conditionalFormatting sqref="B15:C15">
    <cfRule type="expression" dxfId="2403" priority="182">
      <formula>AND($B15&lt;&gt;"",$C15&lt;&gt;"")</formula>
    </cfRule>
  </conditionalFormatting>
  <conditionalFormatting sqref="B17:C17">
    <cfRule type="expression" dxfId="2402" priority="188">
      <formula>AND($B17&lt;&gt;"",$C17&lt;&gt;"")</formula>
    </cfRule>
  </conditionalFormatting>
  <conditionalFormatting sqref="B19:C19">
    <cfRule type="expression" dxfId="2401" priority="181">
      <formula>AND($B19&lt;&gt;"",$C19&lt;&gt;"")</formula>
    </cfRule>
  </conditionalFormatting>
  <conditionalFormatting sqref="B21:C21">
    <cfRule type="expression" dxfId="2400" priority="187">
      <formula>AND($B21&lt;&gt;"",$C21&lt;&gt;"")</formula>
    </cfRule>
  </conditionalFormatting>
  <conditionalFormatting sqref="B23:C23">
    <cfRule type="expression" dxfId="2399" priority="180">
      <formula>AND($B23&lt;&gt;"",$C23&lt;&gt;"")</formula>
    </cfRule>
  </conditionalFormatting>
  <conditionalFormatting sqref="B25:C25">
    <cfRule type="expression" dxfId="2398" priority="186">
      <formula>AND($B25&lt;&gt;"",$C25&lt;&gt;"")</formula>
    </cfRule>
  </conditionalFormatting>
  <conditionalFormatting sqref="B27:C27">
    <cfRule type="expression" dxfId="2397" priority="179">
      <formula>AND($B27&lt;&gt;"",$C27&lt;&gt;"")</formula>
    </cfRule>
  </conditionalFormatting>
  <conditionalFormatting sqref="B29:C29">
    <cfRule type="expression" dxfId="2396" priority="185">
      <formula>AND($B29&lt;&gt;"",$C29&lt;&gt;"")</formula>
    </cfRule>
  </conditionalFormatting>
  <conditionalFormatting sqref="B31:C31">
    <cfRule type="expression" dxfId="2395" priority="178">
      <formula>AND($B31&lt;&gt;"",$C31&lt;&gt;"")</formula>
    </cfRule>
  </conditionalFormatting>
  <conditionalFormatting sqref="B33:C33">
    <cfRule type="expression" dxfId="2394" priority="184">
      <formula>AND($B33&lt;&gt;"",$C33&lt;&gt;"")</formula>
    </cfRule>
  </conditionalFormatting>
  <conditionalFormatting sqref="B35:C35">
    <cfRule type="expression" dxfId="2393" priority="177">
      <formula>AND($B35&lt;&gt;"",$C35&lt;&gt;"")</formula>
    </cfRule>
  </conditionalFormatting>
  <conditionalFormatting sqref="B37:C37">
    <cfRule type="expression" dxfId="2392" priority="183">
      <formula>AND($B37&lt;&gt;"",$C37&lt;&gt;"")</formula>
    </cfRule>
  </conditionalFormatting>
  <conditionalFormatting sqref="K9:K38">
    <cfRule type="expression" dxfId="2391" priority="16">
      <formula>AND(OR($O9&lt;&gt;"",$O10&lt;&gt;"",$P9&lt;&gt;""),$R9="TBD")</formula>
    </cfRule>
  </conditionalFormatting>
  <conditionalFormatting sqref="K10">
    <cfRule type="expression" dxfId="2390" priority="157">
      <formula>AND(OR($O9&lt;&gt;"",$O10&lt;&gt;"",$P9&lt;&gt;""),$R9="TBD")</formula>
    </cfRule>
  </conditionalFormatting>
  <conditionalFormatting sqref="K12">
    <cfRule type="expression" dxfId="2389" priority="41">
      <formula>AND(OR($O11&lt;&gt;"",$O12&lt;&gt;"",$P11&lt;&gt;""),$R11="TBD")</formula>
    </cfRule>
  </conditionalFormatting>
  <conditionalFormatting sqref="K14">
    <cfRule type="expression" dxfId="2388" priority="39">
      <formula>AND(OR($O13&lt;&gt;"",$O14&lt;&gt;"",$P13&lt;&gt;""),$R13="TBD")</formula>
    </cfRule>
  </conditionalFormatting>
  <conditionalFormatting sqref="K16">
    <cfRule type="expression" dxfId="2387" priority="37">
      <formula>AND(OR($O15&lt;&gt;"",$O16&lt;&gt;"",$P15&lt;&gt;""),$R15="TBD")</formula>
    </cfRule>
  </conditionalFormatting>
  <conditionalFormatting sqref="K18">
    <cfRule type="expression" dxfId="2386" priority="35">
      <formula>AND(OR($O17&lt;&gt;"",$O18&lt;&gt;"",$P17&lt;&gt;""),$R17="TBD")</formula>
    </cfRule>
  </conditionalFormatting>
  <conditionalFormatting sqref="K20">
    <cfRule type="expression" dxfId="2385" priority="33">
      <formula>AND(OR($O19&lt;&gt;"",$O20&lt;&gt;"",$P19&lt;&gt;""),$R19="TBD")</formula>
    </cfRule>
  </conditionalFormatting>
  <conditionalFormatting sqref="K22">
    <cfRule type="expression" dxfId="2384" priority="31">
      <formula>AND(OR($O21&lt;&gt;"",$O22&lt;&gt;"",$P21&lt;&gt;""),$R21="TBD")</formula>
    </cfRule>
  </conditionalFormatting>
  <conditionalFormatting sqref="K24">
    <cfRule type="expression" dxfId="2383" priority="29">
      <formula>AND(OR($O23&lt;&gt;"",$O24&lt;&gt;"",$P23&lt;&gt;""),$R23="TBD")</formula>
    </cfRule>
  </conditionalFormatting>
  <conditionalFormatting sqref="K26">
    <cfRule type="expression" dxfId="2382" priority="27">
      <formula>AND(OR($O25&lt;&gt;"",$O26&lt;&gt;"",$P25&lt;&gt;""),$R25="TBD")</formula>
    </cfRule>
  </conditionalFormatting>
  <conditionalFormatting sqref="K28">
    <cfRule type="expression" dxfId="2381" priority="25">
      <formula>AND(OR($O27&lt;&gt;"",$O28&lt;&gt;"",$P27&lt;&gt;""),$R27="TBD")</formula>
    </cfRule>
  </conditionalFormatting>
  <conditionalFormatting sqref="K30">
    <cfRule type="expression" dxfId="2380" priority="23">
      <formula>AND(OR($O29&lt;&gt;"",$O30&lt;&gt;"",$P29&lt;&gt;""),$R29="TBD")</formula>
    </cfRule>
  </conditionalFormatting>
  <conditionalFormatting sqref="K32">
    <cfRule type="expression" dxfId="2379" priority="21">
      <formula>AND(OR($O31&lt;&gt;"",$O32&lt;&gt;"",$P31&lt;&gt;""),$R31="TBD")</formula>
    </cfRule>
  </conditionalFormatting>
  <conditionalFormatting sqref="K34">
    <cfRule type="expression" dxfId="2378" priority="19">
      <formula>AND(OR($O33&lt;&gt;"",$O34&lt;&gt;"",$P33&lt;&gt;""),$R33="TBD")</formula>
    </cfRule>
  </conditionalFormatting>
  <conditionalFormatting sqref="K36">
    <cfRule type="expression" dxfId="2377" priority="17">
      <formula>AND(OR($O35&lt;&gt;"",$O36&lt;&gt;"",$P35&lt;&gt;""),$R35="TBD")</formula>
    </cfRule>
  </conditionalFormatting>
  <conditionalFormatting sqref="K38">
    <cfRule type="expression" dxfId="2376" priority="15">
      <formula>AND(OR($O37&lt;&gt;"",$O38&lt;&gt;"",$P37&lt;&gt;""),$R37="TBD")</formula>
    </cfRule>
  </conditionalFormatting>
  <conditionalFormatting sqref="L9:M38">
    <cfRule type="expression" dxfId="2375" priority="420">
      <formula>AND(OR($K9&lt;&gt;"",$K10&lt;&gt;"",$L9&lt;&gt;""),$N9="TBD")</formula>
    </cfRule>
  </conditionalFormatting>
  <conditionalFormatting sqref="N9:O38">
    <cfRule type="expression" dxfId="2374" priority="1">
      <formula>AND(OR($O9&lt;&gt;"",$O10&lt;&gt;"",$P9&lt;&gt;""),$R9="TBD")</formula>
    </cfRule>
  </conditionalFormatting>
  <conditionalFormatting sqref="O10 O12 O14 O16 O18 O20 O22 O24 O26 O28 O30 O32 O34 O36 O38">
    <cfRule type="expression" dxfId="2373" priority="389">
      <formula>AND(OR($O9&lt;&gt;"",$O10&lt;&gt;"",$P9&lt;&gt;""),$R9="TBD")</formula>
    </cfRule>
  </conditionalFormatting>
  <conditionalFormatting sqref="P9:P38">
    <cfRule type="expression" dxfId="2372" priority="194">
      <formula>AND(OR($K9&lt;&gt;"",$K10&lt;&gt;"",$L9&lt;&gt;""),$N9="TBD")</formula>
    </cfRule>
  </conditionalFormatting>
  <conditionalFormatting sqref="Q9:R38">
    <cfRule type="expression" dxfId="2371" priority="390">
      <formula>AND(OR($O9&lt;&gt;"",$O10&lt;&gt;"",$P9&lt;&gt;""),$R9="TBD")</formula>
    </cfRule>
  </conditionalFormatting>
  <conditionalFormatting sqref="S9:S38 U9:V38">
    <cfRule type="expression" dxfId="2370" priority="360">
      <formula>AND(OR($S9&lt;&gt;"",$S10&lt;&gt;"",$T9&lt;&gt;""),$V9="TBD")</formula>
    </cfRule>
  </conditionalFormatting>
  <conditionalFormatting sqref="S10 S12 S14 S16 S18 S20 S22 S24 S26 S28 S30 S32 S34 S36 S38">
    <cfRule type="expression" dxfId="2369" priority="359">
      <formula>AND(OR($S9&lt;&gt;"",$S10&lt;&gt;"",$T9&lt;&gt;""),$V9="TBD")</formula>
    </cfRule>
  </conditionalFormatting>
  <conditionalFormatting sqref="T9:T38">
    <cfRule type="expression" dxfId="2368" priority="193">
      <formula>AND(OR($K9&lt;&gt;"",$K10&lt;&gt;"",$L9&lt;&gt;""),$N9="TBD")</formula>
    </cfRule>
  </conditionalFormatting>
  <conditionalFormatting sqref="W9:W38 Y9:Z38">
    <cfRule type="expression" dxfId="2367" priority="330">
      <formula>AND(OR($W9&lt;&gt;"",$W10&lt;&gt;"",$X9&lt;&gt;""),$Z9="TBD")</formula>
    </cfRule>
  </conditionalFormatting>
  <conditionalFormatting sqref="W10 W12 W14 W16 W18 W20 W22 W24 W26 W28 W30 W32 W34 W36 W38">
    <cfRule type="expression" dxfId="2366" priority="329">
      <formula>AND(OR($W9&lt;&gt;"",$W10&lt;&gt;"",$X9&lt;&gt;""),$Z9="TBD")</formula>
    </cfRule>
  </conditionalFormatting>
  <conditionalFormatting sqref="X9:X38">
    <cfRule type="expression" dxfId="2365" priority="176">
      <formula>AND(OR($K9&lt;&gt;"",$K10&lt;&gt;"",$L9&lt;&gt;""),$N9="TBD")</formula>
    </cfRule>
  </conditionalFormatting>
  <conditionalFormatting sqref="AO9:AO38">
    <cfRule type="expression" dxfId="2364" priority="192">
      <formula>AO9&lt;&gt;"No Error"</formula>
    </cfRule>
  </conditionalFormatting>
  <dataValidations count="11">
    <dataValidation type="decimal" operator="greaterThanOrEqual" allowBlank="1" showInputMessage="1" showErrorMessage="1" error="Enter valid number only." sqref="D39:D323 K10 K12 K14 K16 K18 K20 K22 K24 K26 K28 K30 K32 K34 K36 K38" xr:uid="{00000000-0002-0000-0300-000000000000}">
      <formula1>0</formula1>
    </dataValidation>
    <dataValidation type="custom" allowBlank="1" showErrorMessage="1" errorTitle="Indicator" error="Cannot enter both standard and custom indicators on the same line." sqref="C9:C38" xr:uid="{00000000-0002-0000-0300-000001000000}">
      <formula1>B9=""</formula1>
    </dataValidation>
    <dataValidation type="list" allowBlank="1" showErrorMessage="1" errorTitle="Indicator" error="Invalid entry. Select from dropdown list." sqref="J9:J38" xr:uid="{00000000-0002-0000-0300-000003000000}">
      <formula1>Country</formula1>
    </dataValidation>
    <dataValidation type="list" allowBlank="1" showErrorMessage="1" errorTitle="Indicator" error="Invalid entry. Select from dropdown list." sqref="I9:I38" xr:uid="{00000000-0002-0000-0300-000004000000}">
      <formula1>MergedAndDistinctPR</formula1>
    </dataValidation>
    <dataValidation type="list" allowBlank="1" showInputMessage="1" showErrorMessage="1" error="Invalid entry. Select from dropdown list." sqref="F9:F38" xr:uid="{00000000-0002-0000-0300-000005000000}">
      <formula1>baseline_validation</formula1>
    </dataValidation>
    <dataValidation type="decimal" operator="greaterThanOrEqual" allowBlank="1" showInputMessage="1" showErrorMessage="1" errorTitle="Error" error="Enter valid number only." sqref="D30 D38 D28 D10 D12 D14 D16 D18 D20 D26 D36 D24 D34 D32 D22 O10 S10 W10 O12 O14 O16 O18 O20 O22 O24 O26 O28 O30 O32 O34 O36 O38 S12 S14 S16 S18 S20 S22 S24 S26 S28 S30 S32 S34 S36 S38 W12 W14 W16 W18 W20 W22 W24 W26 W28 W30 W32 W34 W36 W38" xr:uid="{CF1B284E-B3E7-4F26-970C-7CF7280DD614}">
      <formula1>0</formula1>
    </dataValidation>
    <dataValidation type="decimal" operator="greaterThanOrEqual" allowBlank="1" showInputMessage="1" showErrorMessage="1" error="Enter valid number only." prompt="Do not enter more than 4 decimal places" sqref="D9 D11 D13 D15 D17 D19 D21 D25 D35 D37 D27 D33 D31 D29 D23 K9 O9 K11 K13 K15 K17 K19 K21 K23 K25 K27 K29 K31 K33 K35 K37 O11 O13 O15 O17 O19 O21 O23 O25 O27 O29 O31 O33 O35 O37" xr:uid="{200CAE3F-002F-4A24-B0CD-D45056676B56}">
      <formula1>0</formula1>
    </dataValidation>
    <dataValidation type="decimal" operator="greaterThanOrEqual" allowBlank="1" showInputMessage="1" showErrorMessage="1" error="Enter valid number only." prompt="Do not enter more than 2 decimal places" sqref="E9:E38 L9:L38 P9:P38 T9:T38 X9:X38" xr:uid="{6C5718C4-C277-4667-8749-7155EFBF2CD8}">
      <formula1>0</formula1>
    </dataValidation>
    <dataValidation type="list" allowBlank="1" showErrorMessage="1" error="Invalid entry. Select from dropdown list" sqref="B9:B38" xr:uid="{68767BB5-FE06-4EE6-B1E8-D1FDEAA3C5B1}">
      <formula1>ImpactIndicator</formula1>
    </dataValidation>
    <dataValidation type="decimal" operator="greaterThanOrEqual" allowBlank="1" showInputMessage="1" showErrorMessage="1" errorTitle="Error" error="Enter valid number only." prompt="Do not enter more than 4 decimal places" sqref="W35 S9 W9 S11 S13 S15 S17 S19 S21 S23 S25 S27 S29 S31 S33 S35 S37 W11 W13 W15 W17 W19 W21 W23 W25 W27 W29 W31 W33 W37" xr:uid="{07B7CC38-2102-4BF1-A8DA-8AE96B320784}">
      <formula1>0</formula1>
    </dataValidation>
    <dataValidation type="date" operator="greaterThan" allowBlank="1" showInputMessage="1" showErrorMessage="1" sqref="M9:M38 Q9:Q38 U9:U38 Y9:Y38" xr:uid="{31E7733A-F1E0-4A3C-8DC6-2D74C4841EDA}">
      <formula1>36526</formula1>
    </dataValidation>
  </dataValidations>
  <hyperlinks>
    <hyperlink ref="B4" location="Instructions!InstructionB" display="Instructions" xr:uid="{00000000-0004-0000-0300-000000000000}"/>
    <hyperlink ref="C4" location="'Print - Goals &amp; Impact'!A1" display="Print View" xr:uid="{AA6C933C-4B9A-4A64-9126-53B02FB6CC81}"/>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showInputMessage="1" showErrorMessage="1" error="Invalid entry. Select from dropdown list." xr:uid="{374A6181-4B5A-4939-BBC9-00BADE3C66FE}">
          <x14:formula1>
            <xm:f>IF(OR($K9&lt;&gt;"",$K10&lt;&gt;"",$L9&lt;&gt;""),INDIRECT("FakeRange"),Setup!A$29)</xm:f>
          </x14:formula1>
          <xm:sqref>N9:N38</xm:sqref>
        </x14:dataValidation>
        <x14:dataValidation type="list" showInputMessage="1" showErrorMessage="1" error="Invalid entry. Select from dropdown list." xr:uid="{AB182181-BDE9-4E48-A593-3B08CDB91082}">
          <x14:formula1>
            <xm:f>IF(OR($O9&lt;&gt;"",$O10&lt;&gt;"",$P9&lt;&gt;""),INDIRECT("FakeRange"),Setup!A$29)</xm:f>
          </x14:formula1>
          <xm:sqref>R9:R38</xm:sqref>
        </x14:dataValidation>
        <x14:dataValidation type="list" showInputMessage="1" showErrorMessage="1" error="Invalid entry. Select from dropdown list." xr:uid="{1C6F5D8F-2529-430E-A7CD-B85D1403964E}">
          <x14:formula1>
            <xm:f>IF(OR($S9&lt;&gt;"",$S10&lt;&gt;"",$T9&lt;&gt;""),INDIRECT("FakeRange"),Setup!A$29)</xm:f>
          </x14:formula1>
          <xm:sqref>V9:V38</xm:sqref>
        </x14:dataValidation>
        <x14:dataValidation type="list" showInputMessage="1" showErrorMessage="1" error="Invalid entry. Select from dropdown list." xr:uid="{FACA1CDA-C77B-4465-AB51-124642B04C9E}">
          <x14:formula1>
            <xm:f>IF(OR($W9&lt;&gt;"",$W10&lt;&gt;"",$X9&lt;&gt;""),INDIRECT("FakeRange"),Setup!A$29)</xm:f>
          </x14:formula1>
          <xm:sqref>Z9:Z38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dimension ref="A1:U616"/>
  <sheetViews>
    <sheetView topLeftCell="G1" workbookViewId="0">
      <selection activeCell="T2" sqref="T2"/>
    </sheetView>
  </sheetViews>
  <sheetFormatPr defaultRowHeight="15.75"/>
  <cols>
    <col min="2" max="2" width="17.125" customWidth="1"/>
    <col min="4" max="5" width="14.125" customWidth="1"/>
    <col min="6" max="6" width="20.625" customWidth="1"/>
    <col min="7" max="7" width="13.125" customWidth="1"/>
    <col min="8" max="8" width="15.125" customWidth="1"/>
    <col min="9" max="9" width="17.5" customWidth="1"/>
    <col min="10" max="10" width="21.625" customWidth="1"/>
    <col min="12" max="12" width="11.625" customWidth="1"/>
    <col min="13" max="13" width="14.125" customWidth="1"/>
    <col min="14" max="14" width="12.125" customWidth="1"/>
  </cols>
  <sheetData>
    <row r="1" spans="1:21" ht="54" customHeight="1">
      <c r="A1" s="19" t="s">
        <v>801</v>
      </c>
      <c r="B1" t="s">
        <v>802</v>
      </c>
      <c r="C1" t="s">
        <v>803</v>
      </c>
      <c r="D1" t="s">
        <v>804</v>
      </c>
      <c r="E1" t="s">
        <v>805</v>
      </c>
      <c r="F1" t="s">
        <v>806</v>
      </c>
      <c r="H1" t="s">
        <v>807</v>
      </c>
      <c r="I1" s="10" t="s">
        <v>225</v>
      </c>
      <c r="J1" s="10" t="s">
        <v>771</v>
      </c>
      <c r="K1" s="10" t="s">
        <v>808</v>
      </c>
      <c r="L1" s="11" t="s">
        <v>809</v>
      </c>
      <c r="M1" s="11" t="s">
        <v>810</v>
      </c>
      <c r="N1" s="19" t="s">
        <v>811</v>
      </c>
      <c r="P1" t="s">
        <v>318</v>
      </c>
      <c r="Q1" t="s">
        <v>318</v>
      </c>
      <c r="R1" s="19" t="s">
        <v>812</v>
      </c>
      <c r="T1" s="19" t="s">
        <v>328</v>
      </c>
    </row>
    <row r="2" spans="1:21" hidden="1">
      <c r="A2">
        <f ca="1">IF(COUNTA(N:N)&gt;R2,0,(COUNTA(#REF!)-2)*5)</f>
        <v>-5</v>
      </c>
      <c r="B2" t="str">
        <f ca="1">IFERROR(CHOOSE(C2,INDIRECT("'Impact Indicators - Section B '! " &amp; "S" &amp; E2 -1),INDIRECT("'Impact Indicators - Section B '! " &amp; "W" &amp; E2 -1),INDIRECT("'Impact Indicators - Section B '! " &amp; "AA" &amp; E2 -1),INDIRECT("'Impact Indicators - Section B '! " &amp; "AE" &amp; E2 -1),INDIRECT("'Impact Indicators - Section B '! " &amp; "AI" &amp; E2 -1)),"")</f>
        <v/>
      </c>
      <c r="C2" t="str">
        <f ca="1">IF(ROW()&lt;$R$2,"",IF(ISNUMBER(OFFSET(INDIRECT(ADDRESS(ROW(), COLUMN())),-1,0)),IF(OFFSET(INDIRECT(ADDRESS(ROW(), COLUMN())),-1,0)&lt;5,OFFSET(INDIRECT(ADDRESS(ROW(), COLUMN())),-1,0)+1,1),1))</f>
        <v/>
      </c>
      <c r="D2" t="str">
        <f ca="1">IF(ROW()&lt;$R$2,"",F2&amp;"|"&amp;CHOOSE(C2,#REF!,#REF!,#REF!,#REF!,#REF!))</f>
        <v/>
      </c>
      <c r="E2" t="str">
        <f ca="1">IF(ROW()&lt;$R$2,"",IF(NOT(ISNUMBER(OFFSET(INDIRECT(ADDRESS(ROW(), COLUMN())),-1,0))),9,IF(C2=1, OFFSET(INDIRECT(ADDRESS(ROW(), COLUMN())),-1,0)+2,OFFSET(INDIRECT(ADDRESS(ROW(), COLUMN())),-1,0))))</f>
        <v/>
      </c>
      <c r="F2" t="str">
        <f ca="1">IF(ROW()&lt;$R$2,"",INDIRECT("'Impact Indicators - Section B'!A"&amp;E2))</f>
        <v/>
      </c>
      <c r="H2" t="str">
        <f ca="1">IFERROR(CHOOSE(C2,INDIRECT("'Impact Indicators - Section B '! " &amp; "S" &amp; E2),INDIRECT("'Impact Indicators - Section B '! " &amp; "W" &amp; E2),INDIRECT("'Impact Indicators - Section B '! " &amp; "AA" &amp; E2),INDIRECT("'Impact Indicators - Section B '! " &amp; "AE" &amp; E2),INDIRECT("'Impact Indicators - Section B '! " &amp; "AI" &amp; E2)),"")</f>
        <v/>
      </c>
      <c r="I2" t="str">
        <f ca="1">IFERROR(CHOOSE(C2,INDIRECT("'Impact Indicators - Section B '! " &amp; "T" &amp; E2-1),INDIRECT("'Impact Indicators - Section B '! " &amp; "X" &amp; E2-1),INDIRECT("'Impact Indicators - Section B '! " &amp; "AB" &amp; E2-1),INDIRECT("'Impact Indicators - Section B '! " &amp; "AF" &amp; E2-1),INDIRECT("'Impact Indicators - Section B '! " &amp; "AJ" &amp; E2-1)),"")</f>
        <v/>
      </c>
      <c r="J2" s="12" t="str">
        <f ca="1">IFERROR(CHOOSE(C2,INDIRECT("'Impact Indicators - Section B '! " &amp; "U" &amp; E2-1),INDIRECT("'Impact Indicators - Section B '! " &amp; "Y" &amp; E2-1),INDIRECT("'Impact Indicators - Section B '! " &amp; "AC" &amp; E2-1),INDIRECT("'Impact Indicators - Section B '! " &amp; "AG" &amp; E2-1),INDIRECT("'Impact Indicators - Section B '! " &amp; "AK" &amp; E2-1)),"")</f>
        <v/>
      </c>
      <c r="K2" t="str">
        <f ca="1">IFERROR(CHOOSE(C2,INDIRECT("'Impact Indicators - Section B '! " &amp; "V" &amp; E2-1),INDIRECT("'Impact Indicators - Section B '! " &amp; "Z" &amp; E2-1),INDIRECT("'Impact Indicators - Section B '! " &amp; "AD" &amp; E2-1),INDIRECT("'Impact Indicators - Section B '! " &amp; "AH" &amp; E2-1),INDIRECT("'Impact Indicators - Section B '! " &amp; "AL" &amp; E2-1)),"")</f>
        <v/>
      </c>
      <c r="L2" t="str">
        <f ca="1">IFERROR(VLOOKUP(D2,#REF!,6,0),"")</f>
        <v/>
      </c>
      <c r="M2" t="e">
        <f ca="1">INDIRECT("'Impact Indicators - Section B'!AR"&amp;E2)</f>
        <v>#REF!</v>
      </c>
      <c r="N2" t="str">
        <f ca="1">IFERROR(CHOOSE(C2,#REF!,#REF!,#REF!,#REF!,#REF!),"")</f>
        <v/>
      </c>
      <c r="P2" t="str">
        <f ca="1">L2</f>
        <v/>
      </c>
      <c r="Q2" t="e">
        <f ca="1">M2</f>
        <v>#REF!</v>
      </c>
      <c r="R2" s="13">
        <f>COUNTA(#REF!)+2</f>
        <v>3</v>
      </c>
      <c r="T2" t="b">
        <v>1</v>
      </c>
      <c r="U2" t="str">
        <f ca="1">IF(ROW()&gt;$A$2,"",IF(ISNUMBER(OFFSET(INDIRECT(ADDRESS(ROW(), COLUMN())),-1,0)),IF(OFFSET(INDIRECT(ADDRESS(ROW(), COLUMN())),-1,0)&lt;5,OFFSET(INDIRECT(ADDRESS(ROW(), COLUMN())),-1,0)+1,1),1))</f>
        <v/>
      </c>
    </row>
    <row r="3" spans="1:21">
      <c r="G3" s="19"/>
      <c r="H3" s="19"/>
      <c r="I3" s="19"/>
      <c r="J3" s="12"/>
      <c r="L3" s="19"/>
      <c r="M3" s="19"/>
      <c r="N3" s="19"/>
      <c r="O3" s="19"/>
    </row>
    <row r="4" spans="1:21">
      <c r="J4" s="12"/>
    </row>
    <row r="5" spans="1:21">
      <c r="J5" s="12"/>
    </row>
    <row r="6" spans="1:21">
      <c r="J6" s="12"/>
    </row>
    <row r="7" spans="1:21">
      <c r="J7" s="12"/>
    </row>
    <row r="8" spans="1:21">
      <c r="J8" s="12"/>
    </row>
    <row r="9" spans="1:21">
      <c r="J9" s="12"/>
    </row>
    <row r="10" spans="1:21">
      <c r="J10" s="12"/>
    </row>
    <row r="11" spans="1:21">
      <c r="J11" s="12"/>
    </row>
    <row r="12" spans="1:21">
      <c r="J12" s="12"/>
    </row>
    <row r="13" spans="1:21">
      <c r="J13" s="12"/>
    </row>
    <row r="14" spans="1:21">
      <c r="J14" s="12"/>
    </row>
    <row r="15" spans="1:21">
      <c r="J15" s="12"/>
    </row>
    <row r="16" spans="1:21">
      <c r="J16" s="12"/>
    </row>
    <row r="17" spans="10:10">
      <c r="J17" s="12"/>
    </row>
    <row r="18" spans="10:10">
      <c r="J18" s="12"/>
    </row>
    <row r="19" spans="10:10">
      <c r="J19" s="12"/>
    </row>
    <row r="20" spans="10:10">
      <c r="J20" s="12"/>
    </row>
    <row r="21" spans="10:10">
      <c r="J21" s="12"/>
    </row>
    <row r="22" spans="10:10">
      <c r="J22" s="12"/>
    </row>
    <row r="23" spans="10:10">
      <c r="J23" s="12"/>
    </row>
    <row r="24" spans="10:10">
      <c r="J24" s="12"/>
    </row>
    <row r="25" spans="10:10">
      <c r="J25" s="12"/>
    </row>
    <row r="26" spans="10:10">
      <c r="J26" s="12"/>
    </row>
    <row r="27" spans="10:10">
      <c r="J27" s="12"/>
    </row>
    <row r="28" spans="10:10">
      <c r="J28" s="12"/>
    </row>
    <row r="29" spans="10:10">
      <c r="J29" s="12"/>
    </row>
    <row r="30" spans="10:10">
      <c r="J30" s="12"/>
    </row>
    <row r="31" spans="10:10">
      <c r="J31" s="12"/>
    </row>
    <row r="32" spans="10:10">
      <c r="J32" s="12"/>
    </row>
    <row r="33" spans="10:10">
      <c r="J33" s="12"/>
    </row>
    <row r="34" spans="10:10">
      <c r="J34" s="12"/>
    </row>
    <row r="35" spans="10:10">
      <c r="J35" s="12"/>
    </row>
    <row r="36" spans="10:10">
      <c r="J36" s="12"/>
    </row>
    <row r="37" spans="10:10">
      <c r="J37" s="12"/>
    </row>
    <row r="38" spans="10:10">
      <c r="J38" s="12"/>
    </row>
    <row r="39" spans="10:10">
      <c r="J39" s="12"/>
    </row>
    <row r="40" spans="10:10">
      <c r="J40" s="12"/>
    </row>
    <row r="41" spans="10:10">
      <c r="J41" s="12"/>
    </row>
    <row r="42" spans="10:10">
      <c r="J42" s="12"/>
    </row>
    <row r="43" spans="10:10">
      <c r="J43" s="12"/>
    </row>
    <row r="44" spans="10:10">
      <c r="J44" s="12"/>
    </row>
    <row r="45" spans="10:10">
      <c r="J45" s="12"/>
    </row>
    <row r="46" spans="10:10">
      <c r="J46" s="12"/>
    </row>
    <row r="47" spans="10:10">
      <c r="J47" s="12"/>
    </row>
    <row r="48" spans="10:10">
      <c r="J48" s="12"/>
    </row>
    <row r="49" spans="10:10">
      <c r="J49" s="12"/>
    </row>
    <row r="50" spans="10:10">
      <c r="J50" s="12"/>
    </row>
    <row r="51" spans="10:10">
      <c r="J51" s="12"/>
    </row>
    <row r="52" spans="10:10">
      <c r="J52" s="12"/>
    </row>
    <row r="53" spans="10:10">
      <c r="J53" s="12"/>
    </row>
    <row r="54" spans="10:10">
      <c r="J54" s="12"/>
    </row>
    <row r="55" spans="10:10">
      <c r="J55" s="12"/>
    </row>
    <row r="56" spans="10:10">
      <c r="J56" s="12"/>
    </row>
    <row r="57" spans="10:10">
      <c r="J57" s="12"/>
    </row>
    <row r="58" spans="10:10">
      <c r="J58" s="12"/>
    </row>
    <row r="59" spans="10:10">
      <c r="J59" s="12"/>
    </row>
    <row r="60" spans="10:10">
      <c r="J60" s="12"/>
    </row>
    <row r="61" spans="10:10">
      <c r="J61" s="12"/>
    </row>
    <row r="62" spans="10:10">
      <c r="J62" s="12"/>
    </row>
    <row r="63" spans="10:10">
      <c r="J63" s="12"/>
    </row>
    <row r="64" spans="10:10">
      <c r="J64" s="12"/>
    </row>
    <row r="65" spans="10:10">
      <c r="J65" s="12"/>
    </row>
    <row r="66" spans="10:10">
      <c r="J66" s="12"/>
    </row>
    <row r="67" spans="10:10">
      <c r="J67" s="12"/>
    </row>
    <row r="68" spans="10:10">
      <c r="J68" s="12"/>
    </row>
    <row r="69" spans="10:10">
      <c r="J69" s="12"/>
    </row>
    <row r="70" spans="10:10">
      <c r="J70" s="12"/>
    </row>
    <row r="71" spans="10:10">
      <c r="J71" s="12"/>
    </row>
    <row r="72" spans="10:10">
      <c r="J72" s="12"/>
    </row>
    <row r="73" spans="10:10">
      <c r="J73" s="12"/>
    </row>
    <row r="74" spans="10:10">
      <c r="J74" s="12"/>
    </row>
    <row r="75" spans="10:10">
      <c r="J75" s="12"/>
    </row>
    <row r="76" spans="10:10">
      <c r="J76" s="12"/>
    </row>
    <row r="77" spans="10:10">
      <c r="J77" s="12"/>
    </row>
    <row r="78" spans="10:10">
      <c r="J78" s="12"/>
    </row>
    <row r="79" spans="10:10">
      <c r="J79" s="12"/>
    </row>
    <row r="80" spans="10:10">
      <c r="J80" s="12"/>
    </row>
    <row r="81" spans="10:10">
      <c r="J81" s="12"/>
    </row>
    <row r="82" spans="10:10">
      <c r="J82" s="12"/>
    </row>
    <row r="83" spans="10:10">
      <c r="J83" s="12"/>
    </row>
    <row r="84" spans="10:10">
      <c r="J84" s="12"/>
    </row>
    <row r="85" spans="10:10">
      <c r="J85" s="12"/>
    </row>
    <row r="86" spans="10:10">
      <c r="J86" s="12"/>
    </row>
    <row r="87" spans="10:10">
      <c r="J87" s="12"/>
    </row>
    <row r="88" spans="10:10">
      <c r="J88" s="12"/>
    </row>
    <row r="89" spans="10:10">
      <c r="J89" s="12"/>
    </row>
    <row r="90" spans="10:10">
      <c r="J90" s="12"/>
    </row>
    <row r="91" spans="10:10">
      <c r="J91" s="12"/>
    </row>
    <row r="92" spans="10:10">
      <c r="J92" s="12"/>
    </row>
    <row r="93" spans="10:10">
      <c r="J93" s="12"/>
    </row>
    <row r="94" spans="10:10">
      <c r="J94" s="12"/>
    </row>
    <row r="95" spans="10:10">
      <c r="J95" s="12"/>
    </row>
    <row r="96" spans="10:10">
      <c r="J96" s="12"/>
    </row>
    <row r="97" spans="10:10">
      <c r="J97" s="12"/>
    </row>
    <row r="98" spans="10:10">
      <c r="J98" s="12"/>
    </row>
    <row r="99" spans="10:10">
      <c r="J99" s="12"/>
    </row>
    <row r="100" spans="10:10">
      <c r="J100" s="12"/>
    </row>
    <row r="101" spans="10:10">
      <c r="J101" s="12"/>
    </row>
    <row r="102" spans="10:10">
      <c r="J102" s="12"/>
    </row>
    <row r="103" spans="10:10">
      <c r="J103" s="12"/>
    </row>
    <row r="104" spans="10:10">
      <c r="J104" s="12"/>
    </row>
    <row r="105" spans="10:10">
      <c r="J105" s="12"/>
    </row>
    <row r="106" spans="10:10">
      <c r="J106" s="12"/>
    </row>
    <row r="107" spans="10:10">
      <c r="J107" s="12"/>
    </row>
    <row r="108" spans="10:10">
      <c r="J108" s="12"/>
    </row>
    <row r="109" spans="10:10">
      <c r="J109" s="12"/>
    </row>
    <row r="110" spans="10:10">
      <c r="J110" s="12"/>
    </row>
    <row r="111" spans="10:10">
      <c r="J111" s="12"/>
    </row>
    <row r="112" spans="10:10">
      <c r="J112" s="12"/>
    </row>
    <row r="113" spans="10:10">
      <c r="J113" s="12"/>
    </row>
    <row r="114" spans="10:10">
      <c r="J114" s="12"/>
    </row>
    <row r="115" spans="10:10">
      <c r="J115" s="12"/>
    </row>
    <row r="116" spans="10:10">
      <c r="J116" s="12"/>
    </row>
    <row r="117" spans="10:10">
      <c r="J117" s="12"/>
    </row>
    <row r="118" spans="10:10">
      <c r="J118" s="12"/>
    </row>
    <row r="119" spans="10:10">
      <c r="J119" s="12"/>
    </row>
    <row r="120" spans="10:10">
      <c r="J120" s="12"/>
    </row>
    <row r="121" spans="10:10">
      <c r="J121" s="12"/>
    </row>
    <row r="122" spans="10:10">
      <c r="J122" s="12"/>
    </row>
    <row r="123" spans="10:10">
      <c r="J123" s="12"/>
    </row>
    <row r="124" spans="10:10">
      <c r="J124" s="12"/>
    </row>
    <row r="125" spans="10:10">
      <c r="J125" s="12"/>
    </row>
    <row r="126" spans="10:10">
      <c r="J126" s="12"/>
    </row>
    <row r="127" spans="10:10">
      <c r="J127" s="12"/>
    </row>
    <row r="128" spans="10:10">
      <c r="J128" s="12"/>
    </row>
    <row r="129" spans="10:10">
      <c r="J129" s="12"/>
    </row>
    <row r="130" spans="10:10">
      <c r="J130" s="12"/>
    </row>
    <row r="131" spans="10:10">
      <c r="J131" s="12"/>
    </row>
    <row r="132" spans="10:10">
      <c r="J132" s="12"/>
    </row>
    <row r="133" spans="10:10">
      <c r="J133" s="12"/>
    </row>
    <row r="134" spans="10:10">
      <c r="J134" s="12"/>
    </row>
    <row r="135" spans="10:10">
      <c r="J135" s="12"/>
    </row>
    <row r="136" spans="10:10">
      <c r="J136" s="12"/>
    </row>
    <row r="137" spans="10:10">
      <c r="J137" s="12"/>
    </row>
    <row r="138" spans="10:10">
      <c r="J138" s="12"/>
    </row>
    <row r="139" spans="10:10">
      <c r="J139" s="12"/>
    </row>
    <row r="140" spans="10:10">
      <c r="J140" s="12"/>
    </row>
    <row r="141" spans="10:10">
      <c r="J141" s="12"/>
    </row>
    <row r="142" spans="10:10">
      <c r="J142" s="12"/>
    </row>
    <row r="143" spans="10:10">
      <c r="J143" s="12"/>
    </row>
    <row r="144" spans="10:10">
      <c r="J144" s="12"/>
    </row>
    <row r="145" spans="10:10">
      <c r="J145" s="12"/>
    </row>
    <row r="146" spans="10:10">
      <c r="J146" s="12"/>
    </row>
    <row r="147" spans="10:10">
      <c r="J147" s="12"/>
    </row>
    <row r="148" spans="10:10">
      <c r="J148" s="12"/>
    </row>
    <row r="149" spans="10:10">
      <c r="J149" s="12"/>
    </row>
    <row r="150" spans="10:10">
      <c r="J150" s="12"/>
    </row>
    <row r="151" spans="10:10">
      <c r="J151" s="12"/>
    </row>
    <row r="152" spans="10:10">
      <c r="J152" s="12"/>
    </row>
    <row r="153" spans="10:10">
      <c r="J153" s="12"/>
    </row>
    <row r="154" spans="10:10">
      <c r="J154" s="12"/>
    </row>
    <row r="155" spans="10:10">
      <c r="J155" s="12"/>
    </row>
    <row r="156" spans="10:10">
      <c r="J156" s="12"/>
    </row>
    <row r="157" spans="10:10">
      <c r="J157" s="12"/>
    </row>
    <row r="158" spans="10:10">
      <c r="J158" s="12"/>
    </row>
    <row r="159" spans="10:10">
      <c r="J159" s="12"/>
    </row>
    <row r="160" spans="10:10">
      <c r="J160" s="12"/>
    </row>
    <row r="161" spans="10:10">
      <c r="J161" s="12"/>
    </row>
    <row r="162" spans="10:10">
      <c r="J162" s="12"/>
    </row>
    <row r="163" spans="10:10">
      <c r="J163" s="12"/>
    </row>
    <row r="164" spans="10:10">
      <c r="J164" s="12"/>
    </row>
    <row r="165" spans="10:10">
      <c r="J165" s="12"/>
    </row>
    <row r="166" spans="10:10">
      <c r="J166" s="12"/>
    </row>
    <row r="167" spans="10:10">
      <c r="J167" s="12"/>
    </row>
    <row r="168" spans="10:10">
      <c r="J168" s="12"/>
    </row>
    <row r="169" spans="10:10">
      <c r="J169" s="12"/>
    </row>
    <row r="170" spans="10:10">
      <c r="J170" s="12"/>
    </row>
    <row r="171" spans="10:10">
      <c r="J171" s="12"/>
    </row>
    <row r="172" spans="10:10">
      <c r="J172" s="12"/>
    </row>
    <row r="173" spans="10:10">
      <c r="J173" s="12"/>
    </row>
    <row r="174" spans="10:10">
      <c r="J174" s="12"/>
    </row>
    <row r="175" spans="10:10">
      <c r="J175" s="12"/>
    </row>
    <row r="176" spans="10:10">
      <c r="J176" s="12"/>
    </row>
    <row r="177" spans="10:10">
      <c r="J177" s="12"/>
    </row>
    <row r="178" spans="10:10">
      <c r="J178" s="12"/>
    </row>
    <row r="179" spans="10:10">
      <c r="J179" s="12"/>
    </row>
    <row r="180" spans="10:10">
      <c r="J180" s="12"/>
    </row>
    <row r="181" spans="10:10">
      <c r="J181" s="12"/>
    </row>
    <row r="182" spans="10:10">
      <c r="J182" s="12"/>
    </row>
    <row r="183" spans="10:10">
      <c r="J183" s="12"/>
    </row>
    <row r="184" spans="10:10">
      <c r="J184" s="12"/>
    </row>
    <row r="185" spans="10:10">
      <c r="J185" s="12"/>
    </row>
    <row r="186" spans="10:10">
      <c r="J186" s="12"/>
    </row>
    <row r="187" spans="10:10">
      <c r="J187" s="12"/>
    </row>
    <row r="188" spans="10:10">
      <c r="J188" s="12"/>
    </row>
    <row r="189" spans="10:10">
      <c r="J189" s="12"/>
    </row>
    <row r="190" spans="10:10">
      <c r="J190" s="12"/>
    </row>
    <row r="191" spans="10:10">
      <c r="J191" s="12"/>
    </row>
    <row r="192" spans="10:10">
      <c r="J192" s="12"/>
    </row>
    <row r="193" spans="10:10">
      <c r="J193" s="12"/>
    </row>
    <row r="194" spans="10:10">
      <c r="J194" s="12"/>
    </row>
    <row r="195" spans="10:10">
      <c r="J195" s="12"/>
    </row>
    <row r="196" spans="10:10">
      <c r="J196" s="12"/>
    </row>
    <row r="197" spans="10:10">
      <c r="J197" s="12"/>
    </row>
    <row r="198" spans="10:10">
      <c r="J198" s="12"/>
    </row>
    <row r="199" spans="10:10">
      <c r="J199" s="12"/>
    </row>
    <row r="200" spans="10:10">
      <c r="J200" s="12"/>
    </row>
    <row r="201" spans="10:10">
      <c r="J201" s="12"/>
    </row>
    <row r="202" spans="10:10">
      <c r="J202" s="12"/>
    </row>
    <row r="203" spans="10:10">
      <c r="J203" s="12"/>
    </row>
    <row r="204" spans="10:10">
      <c r="J204" s="12"/>
    </row>
    <row r="205" spans="10:10">
      <c r="J205" s="12"/>
    </row>
    <row r="206" spans="10:10">
      <c r="J206" s="12"/>
    </row>
    <row r="207" spans="10:10">
      <c r="J207" s="12"/>
    </row>
    <row r="208" spans="10:10">
      <c r="J208" s="12"/>
    </row>
    <row r="209" spans="10:10">
      <c r="J209" s="12"/>
    </row>
    <row r="210" spans="10:10">
      <c r="J210" s="12"/>
    </row>
    <row r="211" spans="10:10">
      <c r="J211" s="12"/>
    </row>
    <row r="212" spans="10:10">
      <c r="J212" s="12"/>
    </row>
    <row r="213" spans="10:10">
      <c r="J213" s="12"/>
    </row>
    <row r="214" spans="10:10">
      <c r="J214" s="12"/>
    </row>
    <row r="215" spans="10:10">
      <c r="J215" s="12"/>
    </row>
    <row r="216" spans="10:10">
      <c r="J216" s="12"/>
    </row>
    <row r="217" spans="10:10">
      <c r="J217" s="12"/>
    </row>
    <row r="218" spans="10:10">
      <c r="J218" s="12"/>
    </row>
    <row r="219" spans="10:10">
      <c r="J219" s="12"/>
    </row>
    <row r="220" spans="10:10">
      <c r="J220" s="12"/>
    </row>
    <row r="221" spans="10:10">
      <c r="J221" s="12"/>
    </row>
    <row r="222" spans="10:10">
      <c r="J222" s="12"/>
    </row>
    <row r="223" spans="10:10">
      <c r="J223" s="12"/>
    </row>
    <row r="224" spans="10:10">
      <c r="J224" s="12"/>
    </row>
    <row r="225" spans="10:10">
      <c r="J225" s="12"/>
    </row>
    <row r="226" spans="10:10">
      <c r="J226" s="12"/>
    </row>
    <row r="227" spans="10:10">
      <c r="J227" s="12"/>
    </row>
    <row r="228" spans="10:10">
      <c r="J228" s="12"/>
    </row>
    <row r="229" spans="10:10">
      <c r="J229" s="12"/>
    </row>
    <row r="230" spans="10:10">
      <c r="J230" s="12"/>
    </row>
    <row r="231" spans="10:10">
      <c r="J231" s="12"/>
    </row>
    <row r="232" spans="10:10">
      <c r="J232" s="12"/>
    </row>
    <row r="233" spans="10:10">
      <c r="J233" s="12"/>
    </row>
    <row r="234" spans="10:10">
      <c r="J234" s="12"/>
    </row>
    <row r="235" spans="10:10">
      <c r="J235" s="12"/>
    </row>
    <row r="236" spans="10:10">
      <c r="J236" s="12"/>
    </row>
    <row r="237" spans="10:10">
      <c r="J237" s="12"/>
    </row>
    <row r="238" spans="10:10">
      <c r="J238" s="12"/>
    </row>
    <row r="239" spans="10:10">
      <c r="J239" s="12"/>
    </row>
    <row r="240" spans="10:10">
      <c r="J240" s="12"/>
    </row>
    <row r="241" spans="10:10">
      <c r="J241" s="12"/>
    </row>
    <row r="242" spans="10:10">
      <c r="J242" s="12"/>
    </row>
    <row r="243" spans="10:10">
      <c r="J243" s="12"/>
    </row>
    <row r="244" spans="10:10">
      <c r="J244" s="12"/>
    </row>
    <row r="245" spans="10:10">
      <c r="J245" s="12"/>
    </row>
    <row r="246" spans="10:10">
      <c r="J246" s="12"/>
    </row>
    <row r="247" spans="10:10">
      <c r="J247" s="12"/>
    </row>
    <row r="248" spans="10:10">
      <c r="J248" s="12"/>
    </row>
    <row r="249" spans="10:10">
      <c r="J249" s="12"/>
    </row>
    <row r="250" spans="10:10">
      <c r="J250" s="12"/>
    </row>
    <row r="251" spans="10:10">
      <c r="J251" s="12"/>
    </row>
    <row r="252" spans="10:10">
      <c r="J252" s="12"/>
    </row>
    <row r="253" spans="10:10">
      <c r="J253" s="12"/>
    </row>
    <row r="254" spans="10:10">
      <c r="J254" s="12"/>
    </row>
    <row r="255" spans="10:10">
      <c r="J255" s="12"/>
    </row>
    <row r="256" spans="10:10">
      <c r="J256" s="12"/>
    </row>
    <row r="257" spans="10:10">
      <c r="J257" s="12"/>
    </row>
    <row r="258" spans="10:10">
      <c r="J258" s="12"/>
    </row>
    <row r="259" spans="10:10">
      <c r="J259" s="12"/>
    </row>
    <row r="260" spans="10:10">
      <c r="J260" s="12"/>
    </row>
    <row r="261" spans="10:10">
      <c r="J261" s="12"/>
    </row>
    <row r="262" spans="10:10">
      <c r="J262" s="12"/>
    </row>
    <row r="263" spans="10:10">
      <c r="J263" s="12"/>
    </row>
    <row r="264" spans="10:10">
      <c r="J264" s="12"/>
    </row>
    <row r="265" spans="10:10">
      <c r="J265" s="12"/>
    </row>
    <row r="266" spans="10:10">
      <c r="J266" s="12"/>
    </row>
    <row r="267" spans="10:10">
      <c r="J267" s="12"/>
    </row>
    <row r="268" spans="10:10">
      <c r="J268" s="12"/>
    </row>
    <row r="269" spans="10:10">
      <c r="J269" s="12"/>
    </row>
    <row r="270" spans="10:10">
      <c r="J270" s="12"/>
    </row>
    <row r="271" spans="10:10">
      <c r="J271" s="12"/>
    </row>
    <row r="272" spans="10:10">
      <c r="J272" s="12"/>
    </row>
    <row r="273" spans="10:10">
      <c r="J273" s="12"/>
    </row>
    <row r="274" spans="10:10">
      <c r="J274" s="12"/>
    </row>
    <row r="275" spans="10:10">
      <c r="J275" s="12"/>
    </row>
    <row r="276" spans="10:10">
      <c r="J276" s="12"/>
    </row>
    <row r="277" spans="10:10">
      <c r="J277" s="12"/>
    </row>
    <row r="278" spans="10:10">
      <c r="J278" s="12"/>
    </row>
    <row r="279" spans="10:10">
      <c r="J279" s="12"/>
    </row>
    <row r="280" spans="10:10">
      <c r="J280" s="12"/>
    </row>
    <row r="281" spans="10:10">
      <c r="J281" s="12"/>
    </row>
    <row r="282" spans="10:10">
      <c r="J282" s="12"/>
    </row>
    <row r="283" spans="10:10">
      <c r="J283" s="12"/>
    </row>
    <row r="284" spans="10:10">
      <c r="J284" s="12"/>
    </row>
    <row r="285" spans="10:10">
      <c r="J285" s="12"/>
    </row>
    <row r="286" spans="10:10">
      <c r="J286" s="12"/>
    </row>
    <row r="287" spans="10:10">
      <c r="J287" s="12"/>
    </row>
    <row r="288" spans="10:10">
      <c r="J288" s="12"/>
    </row>
    <row r="289" spans="10:10">
      <c r="J289" s="12"/>
    </row>
    <row r="290" spans="10:10">
      <c r="J290" s="12"/>
    </row>
    <row r="291" spans="10:10">
      <c r="J291" s="12"/>
    </row>
    <row r="292" spans="10:10">
      <c r="J292" s="12"/>
    </row>
    <row r="293" spans="10:10">
      <c r="J293" s="12"/>
    </row>
    <row r="294" spans="10:10">
      <c r="J294" s="12"/>
    </row>
    <row r="295" spans="10:10">
      <c r="J295" s="12"/>
    </row>
    <row r="296" spans="10:10">
      <c r="J296" s="12"/>
    </row>
    <row r="297" spans="10:10">
      <c r="J297" s="12"/>
    </row>
    <row r="298" spans="10:10">
      <c r="J298" s="12"/>
    </row>
    <row r="299" spans="10:10">
      <c r="J299" s="12"/>
    </row>
    <row r="300" spans="10:10">
      <c r="J300" s="12"/>
    </row>
    <row r="301" spans="10:10">
      <c r="J301" s="12"/>
    </row>
    <row r="302" spans="10:10">
      <c r="J302" s="12"/>
    </row>
    <row r="303" spans="10:10">
      <c r="J303" s="12"/>
    </row>
    <row r="304" spans="10:10">
      <c r="J304" s="12"/>
    </row>
    <row r="305" spans="10:10">
      <c r="J305" s="12"/>
    </row>
    <row r="306" spans="10:10">
      <c r="J306" s="12"/>
    </row>
    <row r="307" spans="10:10">
      <c r="J307" s="12"/>
    </row>
    <row r="308" spans="10:10">
      <c r="J308" s="12"/>
    </row>
    <row r="309" spans="10:10">
      <c r="J309" s="12"/>
    </row>
    <row r="310" spans="10:10">
      <c r="J310" s="12"/>
    </row>
    <row r="311" spans="10:10">
      <c r="J311" s="12"/>
    </row>
    <row r="312" spans="10:10">
      <c r="J312" s="12"/>
    </row>
    <row r="313" spans="10:10">
      <c r="J313" s="12"/>
    </row>
    <row r="314" spans="10:10">
      <c r="J314" s="12"/>
    </row>
    <row r="315" spans="10:10">
      <c r="J315" s="12"/>
    </row>
    <row r="316" spans="10:10">
      <c r="J316" s="12"/>
    </row>
    <row r="317" spans="10:10">
      <c r="J317" s="12"/>
    </row>
    <row r="318" spans="10:10">
      <c r="J318" s="12"/>
    </row>
    <row r="319" spans="10:10">
      <c r="J319" s="12"/>
    </row>
    <row r="320" spans="10:10">
      <c r="J320" s="12"/>
    </row>
    <row r="321" spans="10:10">
      <c r="J321" s="12"/>
    </row>
    <row r="322" spans="10:10">
      <c r="J322" s="12"/>
    </row>
    <row r="323" spans="10:10">
      <c r="J323" s="12"/>
    </row>
    <row r="324" spans="10:10">
      <c r="J324" s="12"/>
    </row>
    <row r="325" spans="10:10">
      <c r="J325" s="12"/>
    </row>
    <row r="326" spans="10:10">
      <c r="J326" s="12"/>
    </row>
    <row r="327" spans="10:10">
      <c r="J327" s="12"/>
    </row>
    <row r="328" spans="10:10">
      <c r="J328" s="12"/>
    </row>
    <row r="329" spans="10:10">
      <c r="J329" s="12"/>
    </row>
    <row r="330" spans="10:10">
      <c r="J330" s="12"/>
    </row>
    <row r="331" spans="10:10">
      <c r="J331" s="12"/>
    </row>
    <row r="332" spans="10:10">
      <c r="J332" s="12"/>
    </row>
    <row r="333" spans="10:10">
      <c r="J333" s="12"/>
    </row>
    <row r="334" spans="10:10">
      <c r="J334" s="12"/>
    </row>
    <row r="335" spans="10:10">
      <c r="J335" s="12"/>
    </row>
    <row r="336" spans="10:10">
      <c r="J336" s="12"/>
    </row>
    <row r="337" spans="10:10">
      <c r="J337" s="12"/>
    </row>
    <row r="338" spans="10:10">
      <c r="J338" s="12"/>
    </row>
    <row r="339" spans="10:10">
      <c r="J339" s="12"/>
    </row>
    <row r="340" spans="10:10">
      <c r="J340" s="12"/>
    </row>
    <row r="341" spans="10:10">
      <c r="J341" s="12"/>
    </row>
    <row r="342" spans="10:10">
      <c r="J342" s="12"/>
    </row>
    <row r="343" spans="10:10">
      <c r="J343" s="12"/>
    </row>
    <row r="344" spans="10:10">
      <c r="J344" s="12"/>
    </row>
    <row r="345" spans="10:10">
      <c r="J345" s="12"/>
    </row>
    <row r="346" spans="10:10">
      <c r="J346" s="12"/>
    </row>
    <row r="347" spans="10:10">
      <c r="J347" s="12"/>
    </row>
    <row r="348" spans="10:10">
      <c r="J348" s="12"/>
    </row>
    <row r="349" spans="10:10">
      <c r="J349" s="12"/>
    </row>
    <row r="350" spans="10:10">
      <c r="J350" s="12"/>
    </row>
    <row r="351" spans="10:10">
      <c r="J351" s="12"/>
    </row>
    <row r="352" spans="10:10">
      <c r="J352" s="12"/>
    </row>
    <row r="353" spans="10:10">
      <c r="J353" s="12"/>
    </row>
    <row r="354" spans="10:10">
      <c r="J354" s="12"/>
    </row>
    <row r="355" spans="10:10">
      <c r="J355" s="12"/>
    </row>
    <row r="356" spans="10:10">
      <c r="J356" s="12"/>
    </row>
    <row r="357" spans="10:10">
      <c r="J357" s="12"/>
    </row>
    <row r="358" spans="10:10">
      <c r="J358" s="12"/>
    </row>
    <row r="359" spans="10:10">
      <c r="J359" s="12"/>
    </row>
    <row r="360" spans="10:10">
      <c r="J360" s="12"/>
    </row>
    <row r="361" spans="10:10">
      <c r="J361" s="12"/>
    </row>
    <row r="362" spans="10:10">
      <c r="J362" s="12"/>
    </row>
    <row r="363" spans="10:10">
      <c r="J363" s="12"/>
    </row>
    <row r="364" spans="10:10">
      <c r="J364" s="12"/>
    </row>
    <row r="365" spans="10:10">
      <c r="J365" s="12"/>
    </row>
    <row r="366" spans="10:10">
      <c r="J366" s="12"/>
    </row>
    <row r="367" spans="10:10">
      <c r="J367" s="12"/>
    </row>
    <row r="368" spans="10:10">
      <c r="J368" s="12"/>
    </row>
    <row r="369" spans="10:10">
      <c r="J369" s="12"/>
    </row>
    <row r="370" spans="10:10">
      <c r="J370" s="12"/>
    </row>
    <row r="371" spans="10:10">
      <c r="J371" s="12"/>
    </row>
    <row r="372" spans="10:10">
      <c r="J372" s="12"/>
    </row>
    <row r="373" spans="10:10">
      <c r="J373" s="12"/>
    </row>
    <row r="374" spans="10:10">
      <c r="J374" s="12"/>
    </row>
    <row r="375" spans="10:10">
      <c r="J375" s="12"/>
    </row>
    <row r="376" spans="10:10">
      <c r="J376" s="12"/>
    </row>
    <row r="377" spans="10:10">
      <c r="J377" s="12"/>
    </row>
    <row r="378" spans="10:10">
      <c r="J378" s="12"/>
    </row>
    <row r="379" spans="10:10">
      <c r="J379" s="12"/>
    </row>
    <row r="380" spans="10:10">
      <c r="J380" s="12"/>
    </row>
    <row r="381" spans="10:10">
      <c r="J381" s="12"/>
    </row>
    <row r="382" spans="10:10">
      <c r="J382" s="12"/>
    </row>
    <row r="383" spans="10:10">
      <c r="J383" s="12"/>
    </row>
    <row r="384" spans="10:10">
      <c r="J384" s="12"/>
    </row>
    <row r="385" spans="10:10">
      <c r="J385" s="12"/>
    </row>
    <row r="386" spans="10:10">
      <c r="J386" s="12"/>
    </row>
    <row r="387" spans="10:10">
      <c r="J387" s="12"/>
    </row>
    <row r="388" spans="10:10">
      <c r="J388" s="12"/>
    </row>
    <row r="389" spans="10:10">
      <c r="J389" s="12"/>
    </row>
    <row r="390" spans="10:10">
      <c r="J390" s="12"/>
    </row>
    <row r="391" spans="10:10">
      <c r="J391" s="12"/>
    </row>
    <row r="392" spans="10:10">
      <c r="J392" s="12"/>
    </row>
    <row r="393" spans="10:10">
      <c r="J393" s="12"/>
    </row>
    <row r="394" spans="10:10">
      <c r="J394" s="12"/>
    </row>
    <row r="395" spans="10:10">
      <c r="J395" s="12"/>
    </row>
    <row r="396" spans="10:10">
      <c r="J396" s="12"/>
    </row>
    <row r="397" spans="10:10">
      <c r="J397" s="12"/>
    </row>
    <row r="398" spans="10:10">
      <c r="J398" s="12"/>
    </row>
    <row r="399" spans="10:10">
      <c r="J399" s="12"/>
    </row>
    <row r="400" spans="10:10">
      <c r="J400" s="12"/>
    </row>
    <row r="401" spans="10:10">
      <c r="J401" s="12"/>
    </row>
    <row r="402" spans="10:10">
      <c r="J402" s="12"/>
    </row>
    <row r="403" spans="10:10">
      <c r="J403" s="12"/>
    </row>
    <row r="404" spans="10:10">
      <c r="J404" s="12"/>
    </row>
    <row r="405" spans="10:10">
      <c r="J405" s="12"/>
    </row>
    <row r="406" spans="10:10">
      <c r="J406" s="12"/>
    </row>
    <row r="407" spans="10:10">
      <c r="J407" s="12"/>
    </row>
    <row r="408" spans="10:10">
      <c r="J408" s="12"/>
    </row>
    <row r="409" spans="10:10">
      <c r="J409" s="12"/>
    </row>
    <row r="410" spans="10:10">
      <c r="J410" s="12"/>
    </row>
    <row r="411" spans="10:10">
      <c r="J411" s="12"/>
    </row>
    <row r="412" spans="10:10">
      <c r="J412" s="12"/>
    </row>
    <row r="413" spans="10:10">
      <c r="J413" s="12"/>
    </row>
    <row r="414" spans="10:10">
      <c r="J414" s="12"/>
    </row>
    <row r="415" spans="10:10">
      <c r="J415" s="12"/>
    </row>
    <row r="416" spans="10:10">
      <c r="J416" s="12"/>
    </row>
    <row r="417" spans="10:10">
      <c r="J417" s="12"/>
    </row>
    <row r="418" spans="10:10">
      <c r="J418" s="12"/>
    </row>
    <row r="419" spans="10:10">
      <c r="J419" s="12"/>
    </row>
    <row r="420" spans="10:10">
      <c r="J420" s="12"/>
    </row>
    <row r="421" spans="10:10">
      <c r="J421" s="12"/>
    </row>
    <row r="422" spans="10:10">
      <c r="J422" s="12"/>
    </row>
    <row r="423" spans="10:10">
      <c r="J423" s="12"/>
    </row>
    <row r="424" spans="10:10">
      <c r="J424" s="12"/>
    </row>
    <row r="425" spans="10:10">
      <c r="J425" s="12"/>
    </row>
    <row r="426" spans="10:10">
      <c r="J426" s="12"/>
    </row>
    <row r="427" spans="10:10">
      <c r="J427" s="12"/>
    </row>
    <row r="428" spans="10:10">
      <c r="J428" s="12"/>
    </row>
    <row r="429" spans="10:10">
      <c r="J429" s="12"/>
    </row>
    <row r="430" spans="10:10">
      <c r="J430" s="12"/>
    </row>
    <row r="431" spans="10:10">
      <c r="J431" s="12"/>
    </row>
    <row r="432" spans="10:10">
      <c r="J432" s="12"/>
    </row>
    <row r="433" spans="10:10">
      <c r="J433" s="12"/>
    </row>
    <row r="434" spans="10:10">
      <c r="J434" s="12"/>
    </row>
    <row r="435" spans="10:10">
      <c r="J435" s="12"/>
    </row>
    <row r="436" spans="10:10">
      <c r="J436" s="12"/>
    </row>
    <row r="437" spans="10:10">
      <c r="J437" s="12"/>
    </row>
    <row r="438" spans="10:10">
      <c r="J438" s="12"/>
    </row>
    <row r="439" spans="10:10">
      <c r="J439" s="12"/>
    </row>
    <row r="440" spans="10:10">
      <c r="J440" s="12"/>
    </row>
    <row r="441" spans="10:10">
      <c r="J441" s="12"/>
    </row>
    <row r="442" spans="10:10">
      <c r="J442" s="12"/>
    </row>
    <row r="443" spans="10:10">
      <c r="J443" s="12"/>
    </row>
    <row r="444" spans="10:10">
      <c r="J444" s="12"/>
    </row>
    <row r="445" spans="10:10">
      <c r="J445" s="12"/>
    </row>
    <row r="446" spans="10:10">
      <c r="J446" s="12"/>
    </row>
    <row r="447" spans="10:10">
      <c r="J447" s="12"/>
    </row>
    <row r="448" spans="10:10">
      <c r="J448" s="12"/>
    </row>
    <row r="449" spans="10:10">
      <c r="J449" s="12"/>
    </row>
    <row r="450" spans="10:10">
      <c r="J450" s="12"/>
    </row>
    <row r="451" spans="10:10">
      <c r="J451" s="12"/>
    </row>
    <row r="452" spans="10:10">
      <c r="J452" s="12"/>
    </row>
    <row r="453" spans="10:10">
      <c r="J453" s="12"/>
    </row>
    <row r="454" spans="10:10">
      <c r="J454" s="12"/>
    </row>
    <row r="455" spans="10:10">
      <c r="J455" s="12"/>
    </row>
    <row r="456" spans="10:10">
      <c r="J456" s="12"/>
    </row>
    <row r="457" spans="10:10">
      <c r="J457" s="12"/>
    </row>
    <row r="458" spans="10:10">
      <c r="J458" s="12"/>
    </row>
    <row r="459" spans="10:10">
      <c r="J459" s="12"/>
    </row>
    <row r="460" spans="10:10">
      <c r="J460" s="12"/>
    </row>
    <row r="461" spans="10:10">
      <c r="J461" s="12"/>
    </row>
    <row r="462" spans="10:10">
      <c r="J462" s="12"/>
    </row>
    <row r="463" spans="10:10">
      <c r="J463" s="12"/>
    </row>
    <row r="464" spans="10:10">
      <c r="J464" s="12"/>
    </row>
    <row r="465" spans="10:10">
      <c r="J465" s="12"/>
    </row>
    <row r="466" spans="10:10">
      <c r="J466" s="12"/>
    </row>
    <row r="467" spans="10:10">
      <c r="J467" s="12"/>
    </row>
    <row r="468" spans="10:10">
      <c r="J468" s="12"/>
    </row>
    <row r="469" spans="10:10">
      <c r="J469" s="12"/>
    </row>
    <row r="470" spans="10:10">
      <c r="J470" s="12"/>
    </row>
    <row r="471" spans="10:10">
      <c r="J471" s="12"/>
    </row>
    <row r="472" spans="10:10">
      <c r="J472" s="12"/>
    </row>
    <row r="473" spans="10:10">
      <c r="J473" s="12"/>
    </row>
    <row r="474" spans="10:10">
      <c r="J474" s="12"/>
    </row>
    <row r="475" spans="10:10">
      <c r="J475" s="12"/>
    </row>
    <row r="476" spans="10:10">
      <c r="J476" s="12"/>
    </row>
    <row r="477" spans="10:10">
      <c r="J477" s="12"/>
    </row>
    <row r="478" spans="10:10">
      <c r="J478" s="12"/>
    </row>
    <row r="479" spans="10:10">
      <c r="J479" s="12"/>
    </row>
    <row r="480" spans="10:10">
      <c r="J480" s="12"/>
    </row>
    <row r="481" spans="10:10">
      <c r="J481" s="12"/>
    </row>
    <row r="482" spans="10:10">
      <c r="J482" s="12"/>
    </row>
    <row r="483" spans="10:10">
      <c r="J483" s="12"/>
    </row>
    <row r="484" spans="10:10">
      <c r="J484" s="12"/>
    </row>
    <row r="485" spans="10:10">
      <c r="J485" s="12"/>
    </row>
    <row r="486" spans="10:10">
      <c r="J486" s="12"/>
    </row>
    <row r="487" spans="10:10">
      <c r="J487" s="12"/>
    </row>
    <row r="488" spans="10:10">
      <c r="J488" s="12"/>
    </row>
    <row r="489" spans="10:10">
      <c r="J489" s="12"/>
    </row>
    <row r="490" spans="10:10">
      <c r="J490" s="12"/>
    </row>
    <row r="491" spans="10:10">
      <c r="J491" s="12"/>
    </row>
    <row r="492" spans="10:10">
      <c r="J492" s="12"/>
    </row>
    <row r="493" spans="10:10">
      <c r="J493" s="12"/>
    </row>
    <row r="494" spans="10:10">
      <c r="J494" s="12"/>
    </row>
    <row r="495" spans="10:10">
      <c r="J495" s="12"/>
    </row>
    <row r="496" spans="10:10">
      <c r="J496" s="12"/>
    </row>
    <row r="497" spans="10:10">
      <c r="J497" s="12"/>
    </row>
    <row r="498" spans="10:10">
      <c r="J498" s="12"/>
    </row>
    <row r="499" spans="10:10">
      <c r="J499" s="12"/>
    </row>
    <row r="500" spans="10:10">
      <c r="J500" s="12"/>
    </row>
    <row r="501" spans="10:10">
      <c r="J501" s="12"/>
    </row>
    <row r="502" spans="10:10">
      <c r="J502" s="12"/>
    </row>
    <row r="503" spans="10:10">
      <c r="J503" s="12"/>
    </row>
    <row r="504" spans="10:10">
      <c r="J504" s="12"/>
    </row>
    <row r="505" spans="10:10">
      <c r="J505" s="12"/>
    </row>
    <row r="506" spans="10:10">
      <c r="J506" s="12"/>
    </row>
    <row r="507" spans="10:10">
      <c r="J507" s="12"/>
    </row>
    <row r="508" spans="10:10">
      <c r="J508" s="12"/>
    </row>
    <row r="509" spans="10:10">
      <c r="J509" s="12"/>
    </row>
    <row r="510" spans="10:10">
      <c r="J510" s="12"/>
    </row>
    <row r="511" spans="10:10">
      <c r="J511" s="12"/>
    </row>
    <row r="512" spans="10:10">
      <c r="J512" s="12"/>
    </row>
    <row r="513" spans="10:10">
      <c r="J513" s="12"/>
    </row>
    <row r="514" spans="10:10">
      <c r="J514" s="12"/>
    </row>
    <row r="515" spans="10:10">
      <c r="J515" s="12"/>
    </row>
    <row r="516" spans="10:10">
      <c r="J516" s="12"/>
    </row>
    <row r="517" spans="10:10">
      <c r="J517" s="12"/>
    </row>
    <row r="518" spans="10:10">
      <c r="J518" s="12"/>
    </row>
    <row r="519" spans="10:10">
      <c r="J519" s="12"/>
    </row>
    <row r="520" spans="10:10">
      <c r="J520" s="12"/>
    </row>
    <row r="521" spans="10:10">
      <c r="J521" s="12"/>
    </row>
    <row r="522" spans="10:10">
      <c r="J522" s="12"/>
    </row>
    <row r="523" spans="10:10">
      <c r="J523" s="12"/>
    </row>
    <row r="524" spans="10:10">
      <c r="J524" s="12"/>
    </row>
    <row r="525" spans="10:10">
      <c r="J525" s="12"/>
    </row>
    <row r="526" spans="10:10">
      <c r="J526" s="12"/>
    </row>
    <row r="527" spans="10:10">
      <c r="J527" s="12"/>
    </row>
    <row r="528" spans="10:10">
      <c r="J528" s="12"/>
    </row>
    <row r="529" spans="10:10">
      <c r="J529" s="12"/>
    </row>
    <row r="530" spans="10:10">
      <c r="J530" s="12"/>
    </row>
    <row r="531" spans="10:10">
      <c r="J531" s="12"/>
    </row>
    <row r="532" spans="10:10">
      <c r="J532" s="12"/>
    </row>
    <row r="533" spans="10:10">
      <c r="J533" s="12"/>
    </row>
    <row r="534" spans="10:10">
      <c r="J534" s="12"/>
    </row>
    <row r="535" spans="10:10">
      <c r="J535" s="12"/>
    </row>
    <row r="536" spans="10:10">
      <c r="J536" s="12"/>
    </row>
    <row r="537" spans="10:10">
      <c r="J537" s="12"/>
    </row>
    <row r="538" spans="10:10">
      <c r="J538" s="12"/>
    </row>
    <row r="539" spans="10:10">
      <c r="J539" s="12"/>
    </row>
    <row r="540" spans="10:10">
      <c r="J540" s="12"/>
    </row>
    <row r="541" spans="10:10">
      <c r="J541" s="12"/>
    </row>
    <row r="542" spans="10:10">
      <c r="J542" s="12"/>
    </row>
    <row r="543" spans="10:10">
      <c r="J543" s="12"/>
    </row>
    <row r="544" spans="10:10">
      <c r="J544" s="12"/>
    </row>
    <row r="545" spans="10:10">
      <c r="J545" s="12"/>
    </row>
    <row r="546" spans="10:10">
      <c r="J546" s="12"/>
    </row>
    <row r="547" spans="10:10">
      <c r="J547" s="12"/>
    </row>
    <row r="548" spans="10:10">
      <c r="J548" s="12"/>
    </row>
    <row r="549" spans="10:10">
      <c r="J549" s="12"/>
    </row>
    <row r="550" spans="10:10">
      <c r="J550" s="12"/>
    </row>
    <row r="551" spans="10:10">
      <c r="J551" s="12"/>
    </row>
    <row r="552" spans="10:10">
      <c r="J552" s="12"/>
    </row>
    <row r="553" spans="10:10">
      <c r="J553" s="12"/>
    </row>
    <row r="554" spans="10:10">
      <c r="J554" s="12"/>
    </row>
    <row r="555" spans="10:10">
      <c r="J555" s="12"/>
    </row>
    <row r="556" spans="10:10">
      <c r="J556" s="12"/>
    </row>
    <row r="557" spans="10:10">
      <c r="J557" s="12"/>
    </row>
    <row r="558" spans="10:10">
      <c r="J558" s="12"/>
    </row>
    <row r="559" spans="10:10">
      <c r="J559" s="12"/>
    </row>
    <row r="560" spans="10:10">
      <c r="J560" s="12"/>
    </row>
    <row r="561" spans="10:10">
      <c r="J561" s="12"/>
    </row>
    <row r="562" spans="10:10">
      <c r="J562" s="12"/>
    </row>
    <row r="563" spans="10:10">
      <c r="J563" s="12"/>
    </row>
    <row r="564" spans="10:10">
      <c r="J564" s="12"/>
    </row>
    <row r="565" spans="10:10">
      <c r="J565" s="12"/>
    </row>
    <row r="566" spans="10:10">
      <c r="J566" s="12"/>
    </row>
    <row r="567" spans="10:10">
      <c r="J567" s="12"/>
    </row>
    <row r="568" spans="10:10">
      <c r="J568" s="12"/>
    </row>
    <row r="569" spans="10:10">
      <c r="J569" s="12"/>
    </row>
    <row r="570" spans="10:10">
      <c r="J570" s="12"/>
    </row>
    <row r="571" spans="10:10">
      <c r="J571" s="12"/>
    </row>
    <row r="572" spans="10:10">
      <c r="J572" s="12"/>
    </row>
    <row r="573" spans="10:10">
      <c r="J573" s="12"/>
    </row>
    <row r="574" spans="10:10">
      <c r="J574" s="12"/>
    </row>
    <row r="575" spans="10:10">
      <c r="J575" s="12"/>
    </row>
    <row r="576" spans="10:10">
      <c r="J576" s="12"/>
    </row>
    <row r="577" spans="10:10">
      <c r="J577" s="12"/>
    </row>
    <row r="578" spans="10:10">
      <c r="J578" s="12"/>
    </row>
    <row r="579" spans="10:10">
      <c r="J579" s="12"/>
    </row>
    <row r="580" spans="10:10">
      <c r="J580" s="12"/>
    </row>
    <row r="581" spans="10:10">
      <c r="J581" s="12"/>
    </row>
    <row r="582" spans="10:10">
      <c r="J582" s="12"/>
    </row>
    <row r="583" spans="10:10">
      <c r="J583" s="12"/>
    </row>
    <row r="584" spans="10:10">
      <c r="J584" s="12"/>
    </row>
    <row r="585" spans="10:10">
      <c r="J585" s="12"/>
    </row>
    <row r="586" spans="10:10">
      <c r="J586" s="12"/>
    </row>
    <row r="587" spans="10:10">
      <c r="J587" s="12"/>
    </row>
    <row r="588" spans="10:10">
      <c r="J588" s="12"/>
    </row>
    <row r="589" spans="10:10">
      <c r="J589" s="12"/>
    </row>
    <row r="590" spans="10:10">
      <c r="J590" s="12"/>
    </row>
    <row r="591" spans="10:10">
      <c r="J591" s="12"/>
    </row>
    <row r="592" spans="10:10">
      <c r="J592" s="12"/>
    </row>
    <row r="593" spans="10:10">
      <c r="J593" s="12"/>
    </row>
    <row r="594" spans="10:10">
      <c r="J594" s="12"/>
    </row>
    <row r="595" spans="10:10">
      <c r="J595" s="12"/>
    </row>
    <row r="596" spans="10:10">
      <c r="J596" s="12"/>
    </row>
    <row r="597" spans="10:10">
      <c r="J597" s="12"/>
    </row>
    <row r="598" spans="10:10">
      <c r="J598" s="12"/>
    </row>
    <row r="599" spans="10:10">
      <c r="J599" s="12"/>
    </row>
    <row r="600" spans="10:10">
      <c r="J600" s="12"/>
    </row>
    <row r="601" spans="10:10">
      <c r="J601" s="12"/>
    </row>
    <row r="602" spans="10:10">
      <c r="J602" s="12"/>
    </row>
    <row r="603" spans="10:10">
      <c r="J603" s="12"/>
    </row>
    <row r="604" spans="10:10">
      <c r="J604" s="12"/>
    </row>
    <row r="605" spans="10:10">
      <c r="J605" s="12"/>
    </row>
    <row r="606" spans="10:10">
      <c r="J606" s="12"/>
    </row>
    <row r="607" spans="10:10">
      <c r="J607" s="12"/>
    </row>
    <row r="608" spans="10:10">
      <c r="J608" s="12"/>
    </row>
    <row r="609" spans="10:10">
      <c r="J609" s="12"/>
    </row>
    <row r="610" spans="10:10">
      <c r="J610" s="12"/>
    </row>
    <row r="611" spans="10:10">
      <c r="J611" s="12"/>
    </row>
    <row r="612" spans="10:10">
      <c r="J612" s="12"/>
    </row>
    <row r="613" spans="10:10">
      <c r="J613" s="12"/>
    </row>
    <row r="614" spans="10:10">
      <c r="J614" s="12"/>
    </row>
    <row r="615" spans="10:10">
      <c r="J615" s="12"/>
    </row>
    <row r="616" spans="10:10">
      <c r="J616" s="12"/>
    </row>
  </sheetData>
  <pageMargins left="0.7" right="0.7" top="0.75" bottom="0.75" header="0.3" footer="0.3"/>
  <pageSetup paperSize="9" orientation="portrait" r:id="rId1"/>
  <ignoredErrors>
    <ignoredError sqref="M2 Q2" evalError="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2:P513"/>
  <sheetViews>
    <sheetView zoomScale="80" zoomScaleNormal="80" workbookViewId="0">
      <selection activeCell="B42" sqref="B42"/>
    </sheetView>
  </sheetViews>
  <sheetFormatPr defaultColWidth="8.625" defaultRowHeight="12.75"/>
  <cols>
    <col min="1" max="1" width="25.625" style="1" customWidth="1"/>
    <col min="2" max="2" width="30.625" style="1" customWidth="1"/>
    <col min="3" max="3" width="52.125" style="1" customWidth="1"/>
    <col min="4" max="4" width="47.625" style="1" customWidth="1"/>
    <col min="5" max="5" width="19.625" style="1" customWidth="1"/>
    <col min="6" max="6" width="31.625" style="1" customWidth="1"/>
    <col min="7" max="7" width="31.125" style="1" customWidth="1"/>
    <col min="8" max="8" width="21.875" style="1" customWidth="1"/>
    <col min="9" max="9" width="22.125" style="1" customWidth="1"/>
    <col min="10" max="10" width="26.125" style="1" customWidth="1"/>
    <col min="11" max="11" width="30.625" style="1" customWidth="1"/>
    <col min="12" max="12" width="29" style="1" bestFit="1" customWidth="1"/>
    <col min="13" max="13" width="28.125" style="1" bestFit="1" customWidth="1"/>
    <col min="14" max="14" width="20.125" style="1" bestFit="1" customWidth="1"/>
    <col min="15" max="15" width="15.125" style="1" customWidth="1"/>
    <col min="16" max="16" width="14.5" style="1" bestFit="1" customWidth="1"/>
    <col min="17" max="16384" width="8.625" style="1"/>
  </cols>
  <sheetData>
    <row r="2" spans="2:16">
      <c r="B2" s="2" t="s">
        <v>813</v>
      </c>
    </row>
    <row r="3" spans="2:16">
      <c r="B3" s="14" t="s">
        <v>814</v>
      </c>
      <c r="C3" s="14" t="s">
        <v>815</v>
      </c>
      <c r="D3" s="14" t="s">
        <v>816</v>
      </c>
      <c r="E3" s="14" t="s">
        <v>310</v>
      </c>
      <c r="F3" s="14" t="s">
        <v>817</v>
      </c>
      <c r="G3" s="14" t="s">
        <v>318</v>
      </c>
      <c r="H3" s="14" t="s">
        <v>818</v>
      </c>
      <c r="I3" s="14" t="s">
        <v>819</v>
      </c>
      <c r="J3" s="14"/>
      <c r="K3" s="14" t="s">
        <v>820</v>
      </c>
      <c r="L3" s="14"/>
      <c r="M3" s="14" t="s">
        <v>821</v>
      </c>
      <c r="N3" s="14" t="s">
        <v>822</v>
      </c>
      <c r="O3" s="14" t="s">
        <v>823</v>
      </c>
      <c r="P3" s="14" t="s">
        <v>824</v>
      </c>
    </row>
    <row r="4" spans="2:16" hidden="1">
      <c r="B4" s="14" t="s">
        <v>825</v>
      </c>
      <c r="C4" s="16" t="s">
        <v>826</v>
      </c>
      <c r="D4" s="15" t="s">
        <v>827</v>
      </c>
      <c r="E4" s="14" t="s">
        <v>312</v>
      </c>
      <c r="F4" s="14" t="str">
        <f t="array" ref="F4">IFERROR(INDEX($C$4:$C$24, MATCH(0, COUNTIF($F$3:F3, $C$4:$C$24&amp;"") + IF($C$4:$C$24="",1,0), 0)), "")</f>
        <v>--Select--</v>
      </c>
      <c r="G4" s="14" t="s">
        <v>321</v>
      </c>
      <c r="H4" s="14" t="str">
        <f t="array" ref="H4">IFERROR(INDEX($B$4:$B$24, MATCH(0, COUNTIF($H$3:H3, $B$4:$B$24&amp;"") + IF($B$4:$B$24="",1,0), 0)), "")</f>
        <v>[Impact Outcome Reference (Name)]</v>
      </c>
      <c r="I4" s="14" t="str">
        <f t="array" ref="I4">IFERROR(IF(INDEX($C$4:$C$24,MATCH(LEFT(H4,255),LEFT($B$4:$B$24,255),0))=0,"",INDEX($C$4:$C$24,MATCH(LEFT(H4,255),LEFT($B$4:$B$24,255),0))),"")</f>
        <v>--Select--</v>
      </c>
      <c r="J4" s="14"/>
      <c r="K4" s="15" t="s">
        <v>828</v>
      </c>
      <c r="L4" s="14"/>
      <c r="M4" s="14" t="s">
        <v>829</v>
      </c>
      <c r="N4" s="14" t="s">
        <v>830</v>
      </c>
      <c r="O4" s="14" t="s">
        <v>831</v>
      </c>
      <c r="P4" s="18" t="s">
        <v>832</v>
      </c>
    </row>
    <row r="5" spans="2:16">
      <c r="B5" s="14" t="s">
        <v>833</v>
      </c>
      <c r="C5" s="16" t="s">
        <v>794</v>
      </c>
      <c r="D5" s="15" t="s">
        <v>834</v>
      </c>
      <c r="E5" s="14" t="s">
        <v>313</v>
      </c>
      <c r="F5" s="14" t="str">
        <f t="array" ref="F5">IFERROR(INDEX($C$4:$C$24, MATCH(0, COUNTIF($F$3:F4, $C$4:$C$24&amp;"") + IF($C$4:$C$24="",1,0), 0)), "")</f>
        <v>HIV I-13 Percentage of people living with HIV</v>
      </c>
      <c r="G5" s="14" t="s">
        <v>835</v>
      </c>
      <c r="H5" s="14" t="str">
        <f t="array" ref="H5">IFERROR(INDEX($B$4:$B$24, MATCH(0, COUNTIF($H$3:H4, $B$4:$B$24&amp;"") + IF($B$4:$B$24="",1,0), 0)), "")</f>
        <v>IOR-00143</v>
      </c>
      <c r="I5" s="14" t="str">
        <f t="array" ref="I5">IFERROR(IF(INDEX($C$4:$C$24,MATCH(LEFT(H5,255),LEFT($B$4:$B$24,255),0))=0,"",INDEX($C$4:$C$24,MATCH(LEFT(H5,255),LEFT($B$4:$B$24,255),0))),"")</f>
        <v>HIV I-13 Percentage of people living with HIV</v>
      </c>
      <c r="J5" s="14"/>
      <c r="K5" s="15" t="s">
        <v>836</v>
      </c>
      <c r="L5" s="14"/>
      <c r="M5" s="14" t="s">
        <v>837</v>
      </c>
      <c r="N5" s="14" t="s">
        <v>669</v>
      </c>
      <c r="O5" s="14" t="b">
        <v>0</v>
      </c>
      <c r="P5" s="18">
        <v>10010</v>
      </c>
    </row>
    <row r="6" spans="2:16">
      <c r="B6" s="14" t="s">
        <v>838</v>
      </c>
      <c r="C6" s="16" t="s">
        <v>797</v>
      </c>
      <c r="D6" s="15" t="s">
        <v>834</v>
      </c>
      <c r="E6" s="14" t="s">
        <v>313</v>
      </c>
      <c r="F6" s="14" t="str">
        <f t="array" ref="F6">IFERROR(INDEX($C$4:$C$24, MATCH(0, COUNTIF($F$3:F5, $C$4:$C$24&amp;"") + IF($C$4:$C$24="",1,0), 0)), "")</f>
        <v>HIV I-14 Number of new HIV infections per 1000 uninfected population</v>
      </c>
      <c r="G6" s="14" t="s">
        <v>839</v>
      </c>
      <c r="H6" s="14" t="str">
        <f t="array" ref="H6">IFERROR(INDEX($B$4:$B$24, MATCH(0, COUNTIF($H$3:H5, $B$4:$B$24&amp;"") + IF($B$4:$B$24="",1,0), 0)), "")</f>
        <v>IOR-00144</v>
      </c>
      <c r="I6" s="14" t="str">
        <f t="array" ref="I6">IFERROR(IF(INDEX($C$4:$C$24,MATCH(LEFT(H6,255),LEFT($B$4:$B$24,255),0))=0,"",INDEX($C$4:$C$24,MATCH(LEFT(H6,255),LEFT($B$4:$B$24,255),0))),"")</f>
        <v>HIV I-14 Number of new HIV infections per 1000 uninfected population</v>
      </c>
      <c r="J6" s="14"/>
      <c r="K6" s="15" t="s">
        <v>840</v>
      </c>
      <c r="L6" s="14"/>
      <c r="M6" s="14" t="s">
        <v>837</v>
      </c>
      <c r="N6" s="14" t="s">
        <v>669</v>
      </c>
      <c r="O6" s="14" t="b">
        <v>1</v>
      </c>
      <c r="P6" s="18">
        <v>10020</v>
      </c>
    </row>
    <row r="7" spans="2:16">
      <c r="B7" s="14" t="s">
        <v>841</v>
      </c>
      <c r="C7" s="16" t="s">
        <v>799</v>
      </c>
      <c r="D7" s="15" t="s">
        <v>842</v>
      </c>
      <c r="E7" s="14" t="s">
        <v>313</v>
      </c>
      <c r="F7" s="14" t="str">
        <f t="array" ref="F7">IFERROR(INDEX($C$4:$C$24, MATCH(0, COUNTIF($F$3:F6, $C$4:$C$24&amp;"") + IF($C$4:$C$24="",1,0), 0)), "")</f>
        <v>HIV I-4 Number of AIDS-related deaths per 100,000 population</v>
      </c>
      <c r="G7" s="14" t="s">
        <v>843</v>
      </c>
      <c r="H7" s="14" t="str">
        <f t="array" ref="H7">IFERROR(INDEX($B$4:$B$24, MATCH(0, COUNTIF($H$3:H6, $B$4:$B$24&amp;"") + IF($B$4:$B$24="",1,0), 0)), "")</f>
        <v>IOR-00145</v>
      </c>
      <c r="I7" s="14" t="str">
        <f t="array" ref="I7">IFERROR(IF(INDEX($C$4:$C$24,MATCH(LEFT(H7,255),LEFT($B$4:$B$24,255),0))=0,"",INDEX($C$4:$C$24,MATCH(LEFT(H7,255),LEFT($B$4:$B$24,255),0))),"")</f>
        <v>HIV I-4 Number of AIDS-related deaths per 100,000 population</v>
      </c>
      <c r="J7" s="14"/>
      <c r="K7" s="15" t="s">
        <v>844</v>
      </c>
      <c r="L7" s="14"/>
      <c r="M7" s="14" t="s">
        <v>837</v>
      </c>
      <c r="N7" s="14" t="s">
        <v>669</v>
      </c>
      <c r="O7" s="14" t="b">
        <v>1</v>
      </c>
      <c r="P7" s="18">
        <v>10030</v>
      </c>
    </row>
    <row r="8" spans="2:16">
      <c r="B8" s="14" t="s">
        <v>845</v>
      </c>
      <c r="C8" s="16" t="s">
        <v>800</v>
      </c>
      <c r="D8" s="15"/>
      <c r="E8" s="14" t="s">
        <v>313</v>
      </c>
      <c r="F8" s="14" t="str">
        <f t="array" ref="F8">IFERROR(INDEX($C$4:$C$24, MATCH(0, COUNTIF($F$3:F7, $C$4:$C$24&amp;"") + IF($C$4:$C$24="",1,0), 0)), "")</f>
        <v>HIV I-6 Estimated percentage of children newly infected with HIV from mother-to-child transmission among women living with HIV delivering in the past 12 months</v>
      </c>
      <c r="G8" s="14" t="s">
        <v>846</v>
      </c>
      <c r="H8" s="14" t="str">
        <f t="array" ref="H8">IFERROR(INDEX($B$4:$B$24, MATCH(0, COUNTIF($H$3:H7, $B$4:$B$24&amp;"") + IF($B$4:$B$24="",1,0), 0)), "")</f>
        <v>IOR-00146</v>
      </c>
      <c r="I8" s="14" t="str">
        <f t="array" ref="I8">IFERROR(IF(INDEX($C$4:$C$24,MATCH(LEFT(H8,255),LEFT($B$4:$B$24,255),0))=0,"",INDEX($C$4:$C$24,MATCH(LEFT(H8,255),LEFT($B$4:$B$24,255),0))),"")</f>
        <v>HIV I-6 Estimated percentage of children newly infected with HIV from mother-to-child transmission among women living with HIV delivering in the past 12 months</v>
      </c>
      <c r="J8" s="14"/>
      <c r="K8" s="15" t="s">
        <v>847</v>
      </c>
      <c r="L8" s="14"/>
      <c r="M8" s="14" t="s">
        <v>837</v>
      </c>
      <c r="N8" s="14" t="s">
        <v>669</v>
      </c>
      <c r="O8" s="14" t="b">
        <v>0</v>
      </c>
      <c r="P8" s="18">
        <v>10040</v>
      </c>
    </row>
    <row r="9" spans="2:16">
      <c r="B9" s="14" t="s">
        <v>848</v>
      </c>
      <c r="C9" s="16" t="s">
        <v>787</v>
      </c>
      <c r="D9" s="15" t="s">
        <v>849</v>
      </c>
      <c r="E9" s="14" t="s">
        <v>313</v>
      </c>
      <c r="F9" s="14" t="str">
        <f t="array" ref="F9">IFERROR(INDEX($C$4:$C$24, MATCH(0, COUNTIF($F$3:F8, $C$4:$C$24&amp;"") + IF($C$4:$C$24="",1,0), 0)), "")</f>
        <v>HIV I-9a Percentage of men who have sex with men who are living with HIV</v>
      </c>
      <c r="G9" s="14" t="s">
        <v>850</v>
      </c>
      <c r="H9" s="14" t="str">
        <f t="array" ref="H9">IFERROR(INDEX($B$4:$B$24, MATCH(0, COUNTIF($H$3:H8, $B$4:$B$24&amp;"") + IF($B$4:$B$24="",1,0), 0)), "")</f>
        <v>IOR-00147</v>
      </c>
      <c r="I9" s="14" t="str">
        <f t="array" ref="I9">IFERROR(IF(INDEX($C$4:$C$24,MATCH(LEFT(H9,255),LEFT($B$4:$B$24,255),0))=0,"",INDEX($C$4:$C$24,MATCH(LEFT(H9,255),LEFT($B$4:$B$24,255),0))),"")</f>
        <v>HIV I-9a Percentage of men who have sex with men who are living with HIV</v>
      </c>
      <c r="J9" s="14"/>
      <c r="K9" s="15" t="s">
        <v>851</v>
      </c>
      <c r="L9" s="14"/>
      <c r="M9" s="14" t="s">
        <v>837</v>
      </c>
      <c r="N9" s="14" t="s">
        <v>669</v>
      </c>
      <c r="O9" s="14" t="b">
        <v>0</v>
      </c>
      <c r="P9" s="18">
        <v>10050</v>
      </c>
    </row>
    <row r="10" spans="2:16">
      <c r="B10" s="14" t="s">
        <v>852</v>
      </c>
      <c r="C10" s="16" t="s">
        <v>791</v>
      </c>
      <c r="D10" s="15" t="s">
        <v>849</v>
      </c>
      <c r="E10" s="14" t="s">
        <v>313</v>
      </c>
      <c r="F10" s="14" t="str">
        <f t="array" ref="F10">IFERROR(INDEX($C$4:$C$24, MATCH(0, COUNTIF($F$3:F9, $C$4:$C$24&amp;"") + IF($C$4:$C$24="",1,0), 0)), "")</f>
        <v>HIV I-9b Percentage of transgender people who are living with HIV</v>
      </c>
      <c r="G10" s="14" t="s">
        <v>853</v>
      </c>
      <c r="H10" s="14" t="str">
        <f t="array" ref="H10">IFERROR(INDEX($B$4:$B$24, MATCH(0, COUNTIF($H$3:H9, $B$4:$B$24&amp;"") + IF($B$4:$B$24="",1,0), 0)), "")</f>
        <v>IOR-00148</v>
      </c>
      <c r="I10" s="14" t="str">
        <f t="array" ref="I10">IFERROR(IF(INDEX($C$4:$C$24,MATCH(LEFT(H10,255),LEFT($B$4:$B$24,255),0))=0,"",INDEX($C$4:$C$24,MATCH(LEFT(H10,255),LEFT($B$4:$B$24,255),0))),"")</f>
        <v>HIV I-9b Percentage of transgender people who are living with HIV</v>
      </c>
      <c r="J10" s="14"/>
      <c r="K10" s="15" t="s">
        <v>854</v>
      </c>
      <c r="L10" s="14"/>
      <c r="M10" s="14" t="s">
        <v>837</v>
      </c>
      <c r="N10" s="14" t="s">
        <v>669</v>
      </c>
      <c r="O10" s="14" t="b">
        <v>0</v>
      </c>
      <c r="P10" s="18">
        <v>10060</v>
      </c>
    </row>
    <row r="11" spans="2:16">
      <c r="B11" s="14" t="s">
        <v>855</v>
      </c>
      <c r="C11" s="16" t="s">
        <v>790</v>
      </c>
      <c r="D11" s="15" t="s">
        <v>856</v>
      </c>
      <c r="E11" s="14" t="s">
        <v>313</v>
      </c>
      <c r="F11" s="14" t="str">
        <f t="array" ref="F11">IFERROR(INDEX($C$4:$C$24, MATCH(0, COUNTIF($F$3:F10, $C$4:$C$24&amp;"") + IF($C$4:$C$24="",1,0), 0)), "")</f>
        <v>HIV I-10 Percentage of sex workers who are living with HIV</v>
      </c>
      <c r="G11" s="14" t="s">
        <v>857</v>
      </c>
      <c r="H11" s="14" t="str">
        <f t="array" ref="H11">IFERROR(INDEX($B$4:$B$24, MATCH(0, COUNTIF($H$3:H10, $B$4:$B$24&amp;"") + IF($B$4:$B$24="",1,0), 0)), "")</f>
        <v>IOR-00149</v>
      </c>
      <c r="I11" s="14" t="str">
        <f t="array" ref="I11">IFERROR(IF(INDEX($C$4:$C$24,MATCH(LEFT(H11,255),LEFT($B$4:$B$24,255),0))=0,"",INDEX($C$4:$C$24,MATCH(LEFT(H11,255),LEFT($B$4:$B$24,255),0))),"")</f>
        <v>HIV I-10 Percentage of sex workers who are living with HIV</v>
      </c>
      <c r="J11" s="14"/>
      <c r="K11" s="15" t="s">
        <v>858</v>
      </c>
      <c r="L11" s="14"/>
      <c r="M11" s="14" t="s">
        <v>837</v>
      </c>
      <c r="N11" s="14" t="s">
        <v>669</v>
      </c>
      <c r="O11" s="14" t="b">
        <v>0</v>
      </c>
      <c r="P11" s="18">
        <v>10070</v>
      </c>
    </row>
    <row r="12" spans="2:16">
      <c r="B12" s="14" t="s">
        <v>859</v>
      </c>
      <c r="C12" s="16" t="s">
        <v>793</v>
      </c>
      <c r="D12" s="15" t="s">
        <v>856</v>
      </c>
      <c r="E12" s="14" t="s">
        <v>313</v>
      </c>
      <c r="F12" s="14" t="str">
        <f t="array" ref="F12">IFERROR(INDEX($C$4:$C$24, MATCH(0, COUNTIF($F$3:F11, $C$4:$C$24&amp;"") + IF($C$4:$C$24="",1,0), 0)), "")</f>
        <v>HIV I-11 Percentage of people who inject drugs who are living with HIV</v>
      </c>
      <c r="G12" s="14" t="s">
        <v>860</v>
      </c>
      <c r="H12" s="14" t="str">
        <f t="array" ref="H12">IFERROR(INDEX($B$4:$B$24, MATCH(0, COUNTIF($H$3:H11, $B$4:$B$24&amp;"") + IF($B$4:$B$24="",1,0), 0)), "")</f>
        <v>IOR-00150</v>
      </c>
      <c r="I12" s="14" t="str">
        <f t="array" ref="I12">IFERROR(IF(INDEX($C$4:$C$24,MATCH(LEFT(H12,255),LEFT($B$4:$B$24,255),0))=0,"",INDEX($C$4:$C$24,MATCH(LEFT(H12,255),LEFT($B$4:$B$24,255),0))),"")</f>
        <v>HIV I-11 Percentage of people who inject drugs who are living with HIV</v>
      </c>
      <c r="J12" s="14"/>
      <c r="K12" s="15" t="s">
        <v>861</v>
      </c>
      <c r="L12" s="14"/>
      <c r="M12" s="14" t="s">
        <v>837</v>
      </c>
      <c r="N12" s="14" t="s">
        <v>669</v>
      </c>
      <c r="O12" s="14" t="b">
        <v>0</v>
      </c>
      <c r="P12" s="18">
        <v>10080</v>
      </c>
    </row>
    <row r="13" spans="2:16">
      <c r="B13" s="14" t="s">
        <v>862</v>
      </c>
      <c r="C13" s="16" t="s">
        <v>863</v>
      </c>
      <c r="D13" s="15"/>
      <c r="E13" s="14" t="s">
        <v>313</v>
      </c>
      <c r="F13" s="14" t="str">
        <f t="array" ref="F13">IFERROR(INDEX($C$4:$C$24, MATCH(0, COUNTIF($F$3:F12, $C$4:$C$24&amp;"") + IF($C$4:$C$24="",1,0), 0)), "")</f>
        <v>HIV I-12 Percentage of other vulnerable populations (specify) who are living with HIV</v>
      </c>
      <c r="G13" s="14" t="s">
        <v>864</v>
      </c>
      <c r="H13" s="14" t="str">
        <f t="array" ref="H13">IFERROR(INDEX($B$4:$B$24, MATCH(0, COUNTIF($H$3:H12, $B$4:$B$24&amp;"") + IF($B$4:$B$24="",1,0), 0)), "")</f>
        <v>IOR-00151</v>
      </c>
      <c r="I13" s="14" t="str">
        <f t="array" ref="I13">IFERROR(IF(INDEX($C$4:$C$24,MATCH(LEFT(H13,255),LEFT($B$4:$B$24,255),0))=0,"",INDEX($C$4:$C$24,MATCH(LEFT(H13,255),LEFT($B$4:$B$24,255),0))),"")</f>
        <v>HIV I-12 Percentage of other vulnerable populations (specify) who are living with HIV</v>
      </c>
      <c r="J13" s="14"/>
      <c r="K13" s="15" t="s">
        <v>865</v>
      </c>
      <c r="L13" s="14"/>
      <c r="M13" s="14" t="s">
        <v>837</v>
      </c>
      <c r="N13" s="14" t="s">
        <v>669</v>
      </c>
      <c r="O13" s="14" t="b">
        <v>0</v>
      </c>
      <c r="P13" s="18">
        <v>10090</v>
      </c>
    </row>
    <row r="14" spans="2:16">
      <c r="B14" s="14" t="s">
        <v>866</v>
      </c>
      <c r="C14" s="16" t="s">
        <v>867</v>
      </c>
      <c r="D14" s="15"/>
      <c r="E14" s="14" t="s">
        <v>313</v>
      </c>
      <c r="F14" s="14" t="str">
        <f t="array" ref="F14">IFERROR(INDEX($C$4:$C$24, MATCH(0, COUNTIF($F$3:F13, $C$4:$C$24&amp;"") + IF($C$4:$C$24="",1,0), 0)), "")</f>
        <v>HIV I-15 Percentage of prisoners who are living with HIV</v>
      </c>
      <c r="G14" s="14" t="s">
        <v>868</v>
      </c>
      <c r="H14" s="14" t="str">
        <f t="array" ref="H14">IFERROR(INDEX($B$4:$B$24, MATCH(0, COUNTIF($H$3:H13, $B$4:$B$24&amp;"") + IF($B$4:$B$24="",1,0), 0)), "")</f>
        <v>IOR-00152</v>
      </c>
      <c r="I14" s="14" t="str">
        <f t="array" ref="I14">IFERROR(IF(INDEX($C$4:$C$24,MATCH(LEFT(H14,255),LEFT($B$4:$B$24,255),0))=0,"",INDEX($C$4:$C$24,MATCH(LEFT(H14,255),LEFT($B$4:$B$24,255),0))),"")</f>
        <v>HIV I-15 Percentage of prisoners who are living with HIV</v>
      </c>
      <c r="J14" s="14"/>
      <c r="K14" s="15" t="s">
        <v>869</v>
      </c>
      <c r="L14" s="14"/>
      <c r="M14" s="14" t="s">
        <v>837</v>
      </c>
      <c r="N14" s="14" t="s">
        <v>669</v>
      </c>
      <c r="O14" s="14" t="b">
        <v>0</v>
      </c>
      <c r="P14" s="18">
        <v>10100</v>
      </c>
    </row>
    <row r="15" spans="2:16">
      <c r="B15" s="14" t="s">
        <v>870</v>
      </c>
      <c r="C15" s="16" t="s">
        <v>871</v>
      </c>
      <c r="D15" s="15"/>
      <c r="E15" s="14" t="s">
        <v>313</v>
      </c>
      <c r="F15" s="14" t="str">
        <f t="array" ref="F15">IFERROR(INDEX($C$4:$C$24, MATCH(0, COUNTIF($F$3:F14, $C$4:$C$24&amp;"") + IF($C$4:$C$24="",1,0), 0)), "")</f>
        <v>HIV I-16 Prevalence of syphilis in specific key and vulnerable populations</v>
      </c>
      <c r="G15" s="14" t="s">
        <v>872</v>
      </c>
      <c r="H15" s="14" t="str">
        <f t="array" ref="H15">IFERROR(INDEX($B$4:$B$24, MATCH(0, COUNTIF($H$3:H14, $B$4:$B$24&amp;"") + IF($B$4:$B$24="",1,0), 0)), "")</f>
        <v>IOR-00153</v>
      </c>
      <c r="I15" s="14" t="str">
        <f t="array" ref="I15">IFERROR(IF(INDEX($C$4:$C$24,MATCH(LEFT(H15,255),LEFT($B$4:$B$24,255),0))=0,"",INDEX($C$4:$C$24,MATCH(LEFT(H15,255),LEFT($B$4:$B$24,255),0))),"")</f>
        <v>HIV I-16 Prevalence of syphilis in specific key and vulnerable populations</v>
      </c>
      <c r="J15" s="14"/>
      <c r="K15" s="15" t="s">
        <v>873</v>
      </c>
      <c r="L15" s="14"/>
      <c r="M15" s="14" t="s">
        <v>837</v>
      </c>
      <c r="N15" s="14" t="s">
        <v>669</v>
      </c>
      <c r="O15" s="14" t="b">
        <v>0</v>
      </c>
      <c r="P15" s="18">
        <v>10110</v>
      </c>
    </row>
    <row r="16" spans="2:16">
      <c r="B16" s="14" t="s">
        <v>874</v>
      </c>
      <c r="C16" s="16" t="s">
        <v>875</v>
      </c>
      <c r="D16" s="15"/>
      <c r="E16" s="14" t="s">
        <v>313</v>
      </c>
      <c r="F16" s="14" t="str">
        <f t="array" ref="F16">IFERROR(INDEX($C$4:$C$24, MATCH(0, COUNTIF($F$3:F15, $C$4:$C$24&amp;"") + IF($C$4:$C$24="",1,0), 0)), "")</f>
        <v>TB/HIV I-1 TB/HIV mortality rate per 100,000 population</v>
      </c>
      <c r="G16" s="14" t="s">
        <v>876</v>
      </c>
      <c r="H16" s="14" t="str">
        <f t="array" ref="H16">IFERROR(INDEX($B$4:$B$24, MATCH(0, COUNTIF($H$3:H15, $B$4:$B$24&amp;"") + IF($B$4:$B$24="",1,0), 0)), "")</f>
        <v>IOR-00157</v>
      </c>
      <c r="I16" s="14" t="str">
        <f t="array" ref="I16">IFERROR(IF(INDEX($C$4:$C$24,MATCH(LEFT(H16,255),LEFT($B$4:$B$24,255),0))=0,"",INDEX($C$4:$C$24,MATCH(LEFT(H16,255),LEFT($B$4:$B$24,255),0))),"")</f>
        <v>TB/HIV I-1 TB/HIV mortality rate per 100,000 population</v>
      </c>
      <c r="J16" s="14"/>
      <c r="K16" s="15" t="s">
        <v>877</v>
      </c>
      <c r="L16" s="14"/>
      <c r="M16" s="14" t="s">
        <v>837</v>
      </c>
      <c r="N16" s="14" t="s">
        <v>669</v>
      </c>
      <c r="O16" s="14" t="b">
        <v>1</v>
      </c>
      <c r="P16" s="18">
        <v>20040</v>
      </c>
    </row>
    <row r="17" spans="2:16">
      <c r="B17" s="14" t="s">
        <v>878</v>
      </c>
      <c r="C17" s="16" t="s">
        <v>783</v>
      </c>
      <c r="D17" s="15"/>
      <c r="E17" s="14" t="s">
        <v>314</v>
      </c>
      <c r="F17" s="14" t="str">
        <f t="array" ref="F17">IFERROR(INDEX($C$4:$C$24, MATCH(0, COUNTIF($F$3:F16, $C$4:$C$24&amp;"") + IF($C$4:$C$24="",1,0), 0)), "")</f>
        <v>TB I-2 TB incidence rate per 100,000 population</v>
      </c>
      <c r="G17" s="14" t="s">
        <v>879</v>
      </c>
      <c r="H17" s="14" t="str">
        <f t="array" ref="H17">IFERROR(INDEX($B$4:$B$24, MATCH(0, COUNTIF($H$3:H16, $B$4:$B$24&amp;"") + IF($B$4:$B$24="",1,0), 0)), "")</f>
        <v>IOR-00154</v>
      </c>
      <c r="I17" s="14" t="str">
        <f t="array" ref="I17">IFERROR(IF(INDEX($C$4:$C$24,MATCH(LEFT(H17,255),LEFT($B$4:$B$24,255),0))=0,"",INDEX($C$4:$C$24,MATCH(LEFT(H17,255),LEFT($B$4:$B$24,255),0))),"")</f>
        <v>TB I-2 TB incidence rate per 100,000 population</v>
      </c>
      <c r="J17" s="14"/>
      <c r="K17" s="15" t="s">
        <v>880</v>
      </c>
      <c r="L17" s="14"/>
      <c r="M17" s="14" t="s">
        <v>837</v>
      </c>
      <c r="N17" s="14" t="s">
        <v>669</v>
      </c>
      <c r="O17" s="14" t="b">
        <v>1</v>
      </c>
      <c r="P17" s="18">
        <v>20010</v>
      </c>
    </row>
    <row r="18" spans="2:16">
      <c r="B18" s="14" t="s">
        <v>881</v>
      </c>
      <c r="C18" s="16" t="s">
        <v>779</v>
      </c>
      <c r="D18" s="15"/>
      <c r="E18" s="14" t="s">
        <v>314</v>
      </c>
      <c r="F18" s="14" t="str">
        <f t="array" ref="F18">IFERROR(INDEX($C$4:$C$24, MATCH(0, COUNTIF($F$3:F17, $C$4:$C$24&amp;"") + IF($C$4:$C$24="",1,0), 0)), "")</f>
        <v>TB I-3 TB mortality rate per 100,000 population</v>
      </c>
      <c r="G18" s="14" t="s">
        <v>882</v>
      </c>
      <c r="H18" s="14" t="str">
        <f t="array" ref="H18">IFERROR(INDEX($B$4:$B$24, MATCH(0, COUNTIF($H$3:H17, $B$4:$B$24&amp;"") + IF($B$4:$B$24="",1,0), 0)), "")</f>
        <v>IOR-00155</v>
      </c>
      <c r="I18" s="14" t="str">
        <f t="array" ref="I18">IFERROR(IF(INDEX($C$4:$C$24,MATCH(LEFT(H18,255),LEFT($B$4:$B$24,255),0))=0,"",INDEX($C$4:$C$24,MATCH(LEFT(H18,255),LEFT($B$4:$B$24,255),0))),"")</f>
        <v>TB I-3 TB mortality rate per 100,000 population</v>
      </c>
      <c r="J18" s="14"/>
      <c r="K18" s="15" t="s">
        <v>883</v>
      </c>
      <c r="L18" s="14"/>
      <c r="M18" s="14" t="s">
        <v>837</v>
      </c>
      <c r="N18" s="14" t="s">
        <v>669</v>
      </c>
      <c r="O18" s="14" t="b">
        <v>1</v>
      </c>
      <c r="P18" s="18">
        <v>20020</v>
      </c>
    </row>
    <row r="19" spans="2:16">
      <c r="B19" s="14" t="s">
        <v>884</v>
      </c>
      <c r="C19" s="16" t="s">
        <v>785</v>
      </c>
      <c r="D19" s="15"/>
      <c r="E19" s="14" t="s">
        <v>314</v>
      </c>
      <c r="F19" s="14" t="str">
        <f t="array" ref="F19">IFERROR(INDEX($C$4:$C$24, MATCH(0, COUNTIF($F$3:F18, $C$4:$C$24&amp;"") + IF($C$4:$C$24="",1,0), 0)), "")</f>
        <v>TB I-4 RR-TB and/or MDR-TB prevalence among new TB patients: Proportion of new TB patients with RR-TB and/or MDR-TB</v>
      </c>
      <c r="G19" s="14" t="s">
        <v>885</v>
      </c>
      <c r="H19" s="14" t="str">
        <f t="array" ref="H19">IFERROR(INDEX($B$4:$B$24, MATCH(0, COUNTIF($H$3:H18, $B$4:$B$24&amp;"") + IF($B$4:$B$24="",1,0), 0)), "")</f>
        <v>IOR-00156</v>
      </c>
      <c r="I19" s="14" t="str">
        <f t="array" ref="I19">IFERROR(IF(INDEX($C$4:$C$24,MATCH(LEFT(H19,255),LEFT($B$4:$B$24,255),0))=0,"",INDEX($C$4:$C$24,MATCH(LEFT(H19,255),LEFT($B$4:$B$24,255),0))),"")</f>
        <v>TB I-4 RR-TB and/or MDR-TB prevalence among new TB patients: Proportion of new TB patients with RR-TB and/or MDR-TB</v>
      </c>
      <c r="J19" s="14"/>
      <c r="K19" s="15" t="s">
        <v>886</v>
      </c>
      <c r="L19" s="14"/>
      <c r="M19" s="14" t="s">
        <v>837</v>
      </c>
      <c r="N19" s="14" t="s">
        <v>669</v>
      </c>
      <c r="O19" s="14" t="b">
        <v>0</v>
      </c>
      <c r="P19" s="18">
        <v>20030</v>
      </c>
    </row>
    <row r="20" spans="2:16">
      <c r="B20" s="14" t="s">
        <v>874</v>
      </c>
      <c r="C20" s="16" t="s">
        <v>875</v>
      </c>
      <c r="D20" s="15"/>
      <c r="E20" s="14" t="s">
        <v>314</v>
      </c>
      <c r="F20" s="14" t="str">
        <f t="array" ref="F20">IFERROR(INDEX($C$4:$C$24, MATCH(0, COUNTIF($F$3:F19, $C$4:$C$24&amp;"") + IF($C$4:$C$24="",1,0), 0)), "")</f>
        <v/>
      </c>
      <c r="G20" s="14" t="s">
        <v>876</v>
      </c>
      <c r="H20" s="14" t="str">
        <f t="array" ref="H20">IFERROR(INDEX($B$4:$B$24, MATCH(0, COUNTIF($H$3:H19, $B$4:$B$24&amp;"") + IF($B$4:$B$24="",1,0), 0)), "")</f>
        <v/>
      </c>
      <c r="I20" s="14" t="str">
        <f t="array" ref="I20">IFERROR(IF(INDEX($C$4:$C$24,MATCH(LEFT(H20,255),LEFT($B$4:$B$24,255),0))=0,"",INDEX($C$4:$C$24,MATCH(LEFT(H20,255),LEFT($B$4:$B$24,255),0))),"")</f>
        <v/>
      </c>
      <c r="J20" s="14"/>
      <c r="K20" s="15" t="s">
        <v>887</v>
      </c>
      <c r="L20" s="14"/>
      <c r="M20" s="14" t="s">
        <v>837</v>
      </c>
      <c r="N20" s="14" t="s">
        <v>669</v>
      </c>
      <c r="O20" s="14" t="b">
        <v>1</v>
      </c>
      <c r="P20" s="18">
        <v>20040</v>
      </c>
    </row>
    <row r="21" spans="2:16">
      <c r="B21" s="14"/>
      <c r="C21" s="16"/>
      <c r="D21" s="15"/>
      <c r="E21" s="14"/>
      <c r="F21" s="14"/>
      <c r="G21" s="14"/>
      <c r="H21" s="14"/>
      <c r="I21" s="14"/>
      <c r="J21" s="14"/>
      <c r="K21" s="15"/>
    </row>
    <row r="22" spans="2:16">
      <c r="B22" s="14"/>
      <c r="C22" s="16"/>
      <c r="D22" s="15"/>
      <c r="E22" s="14"/>
      <c r="F22" s="14"/>
      <c r="G22" s="14"/>
      <c r="H22" s="14"/>
      <c r="I22" s="14"/>
      <c r="J22" s="14"/>
      <c r="K22" s="15"/>
    </row>
    <row r="23" spans="2:16">
      <c r="B23" s="14"/>
      <c r="C23" s="16"/>
      <c r="D23" s="15"/>
      <c r="E23" s="14"/>
      <c r="F23" s="14"/>
      <c r="G23" s="14"/>
      <c r="H23" s="14"/>
      <c r="I23" s="14"/>
      <c r="J23" s="14"/>
      <c r="K23" s="15"/>
    </row>
    <row r="25" spans="2:16">
      <c r="B25" s="2" t="s">
        <v>888</v>
      </c>
    </row>
    <row r="26" spans="2:16">
      <c r="B26" s="14" t="s">
        <v>814</v>
      </c>
      <c r="C26" s="14" t="s">
        <v>815</v>
      </c>
      <c r="D26" s="14" t="s">
        <v>816</v>
      </c>
      <c r="E26" s="14" t="s">
        <v>310</v>
      </c>
      <c r="F26" s="14" t="s">
        <v>817</v>
      </c>
      <c r="G26" s="14" t="s">
        <v>318</v>
      </c>
      <c r="H26" s="14" t="s">
        <v>818</v>
      </c>
      <c r="I26" s="14" t="s">
        <v>819</v>
      </c>
      <c r="J26" s="14"/>
      <c r="K26" s="14" t="s">
        <v>820</v>
      </c>
      <c r="L26" s="14" t="str">
        <f>B26</f>
        <v>Impact Outcome Reference (Name)</v>
      </c>
      <c r="M26" s="14" t="s">
        <v>821</v>
      </c>
      <c r="N26" s="14" t="s">
        <v>822</v>
      </c>
      <c r="O26" s="14" t="s">
        <v>823</v>
      </c>
      <c r="P26" s="14" t="s">
        <v>824</v>
      </c>
    </row>
    <row r="27" spans="2:16" hidden="1">
      <c r="B27" s="14" t="s">
        <v>825</v>
      </c>
      <c r="C27" s="16" t="s">
        <v>826</v>
      </c>
      <c r="D27" s="15" t="s">
        <v>827</v>
      </c>
      <c r="E27" s="14" t="s">
        <v>312</v>
      </c>
      <c r="F27" s="14" t="str">
        <f t="array" ref="F27">IFERROR(INDEX($C$27:$C$85, MATCH(0, COUNTIF($F$26:F26, $C$27:$C$85&amp;"") + IF($C$27:$C$85="",1,0), 0)), "")</f>
        <v>--Select--</v>
      </c>
      <c r="G27" s="14" t="s">
        <v>321</v>
      </c>
      <c r="H27" s="14" t="str">
        <f t="array" ref="H27">IFERROR(INDEX($B$27:$B$85, MATCH(0, COUNTIF($H$26:H26, $B$27:$B$85&amp;"") + IF($B$27:$B$85="",1,0), 0)), "")</f>
        <v>[Impact Outcome Reference (Name)]</v>
      </c>
      <c r="I27" s="14" t="str">
        <f t="array" ref="I27">IFERROR(IF(INDEX($C$27:$C$85,MATCH(LEFT(H27,255),LEFT($B$27:$B$85,255),0))=0,"",INDEX($C$27:$C$85,MATCH(LEFT(H27,255),LEFT($B$27:$B$85,255),0))),"")</f>
        <v>--Select--</v>
      </c>
      <c r="J27" s="14"/>
      <c r="K27" s="15" t="s">
        <v>828</v>
      </c>
      <c r="L27" s="14" t="str">
        <f>B27</f>
        <v>[Impact Outcome Reference (Name)]</v>
      </c>
      <c r="M27" s="14" t="s">
        <v>829</v>
      </c>
      <c r="N27" s="14" t="s">
        <v>830</v>
      </c>
      <c r="O27" s="14" t="s">
        <v>831</v>
      </c>
      <c r="P27" s="18" t="s">
        <v>832</v>
      </c>
    </row>
    <row r="28" spans="2:16">
      <c r="B28" s="14" t="s">
        <v>889</v>
      </c>
      <c r="C28" s="16" t="s">
        <v>890</v>
      </c>
      <c r="D28" s="15" t="s">
        <v>849</v>
      </c>
      <c r="E28" s="14" t="s">
        <v>313</v>
      </c>
      <c r="F28" s="14" t="str">
        <f t="array" ref="F28">IFERROR(INDEX($C$27:$C$85, MATCH(0, COUNTIF($F$26:F27, $C$27:$C$85&amp;"") + IF($C$27:$C$85="",1,0), 0)), "")</f>
        <v>HIV O-10 Percentage of high risk AGYW (15-24) who say they used a condom the last time they had sex with a non-regular partner, of those who have had sex with such a partner in the last 12 months</v>
      </c>
      <c r="G28" s="14" t="s">
        <v>891</v>
      </c>
      <c r="H28" s="14" t="str">
        <f t="array" ref="H28">IFERROR(INDEX($B$27:$B$85, MATCH(0, COUNTIF($H$26:H27, $B$27:$B$85&amp;"") + IF($B$27:$B$85="",1,0), 0)), "")</f>
        <v>IOR-00170</v>
      </c>
      <c r="I28" s="14" t="str">
        <f t="array" ref="I28">IFERROR(IF(INDEX($C$27:$C$85,MATCH(LEFT(H28,255),LEFT($B$27:$B$85,255),0))=0,"",INDEX($C$27:$C$85,MATCH(LEFT(H28,255),LEFT($B$27:$B$85,255),0))),"")</f>
        <v>HIV O-10 Percentage of high risk AGYW (15-24) who say they used a condom the last time they had sex with a non-regular partner, of those who have had sex with such a partner in the last 12 months</v>
      </c>
      <c r="J28" s="14"/>
      <c r="K28" s="15" t="s">
        <v>892</v>
      </c>
      <c r="L28" s="14" t="str">
        <f t="shared" ref="L28:L81" si="0">B28</f>
        <v>IOR-00170</v>
      </c>
      <c r="M28" s="14" t="s">
        <v>893</v>
      </c>
      <c r="N28" s="14" t="s">
        <v>669</v>
      </c>
      <c r="O28" s="14" t="b">
        <v>0</v>
      </c>
      <c r="P28" s="18">
        <v>11010</v>
      </c>
    </row>
    <row r="29" spans="2:16">
      <c r="B29" s="14" t="s">
        <v>894</v>
      </c>
      <c r="C29" s="16" t="s">
        <v>895</v>
      </c>
      <c r="D29" s="15"/>
      <c r="E29" s="14" t="s">
        <v>313</v>
      </c>
      <c r="F29" s="14" t="str">
        <f t="array" ref="F29">IFERROR(INDEX($C$27:$C$85, MATCH(0, COUNTIF($F$26:F28, $C$27:$C$85&amp;"") + IF($C$27:$C$85="",1,0), 0)), "")</f>
        <v>HIV O-4a Percentage of men reporting using a condom the last time they had anal sex with a male partner</v>
      </c>
      <c r="G29" s="14" t="s">
        <v>896</v>
      </c>
      <c r="H29" s="14" t="str">
        <f t="array" ref="H29">IFERROR(INDEX($B$27:$B$85, MATCH(0, COUNTIF($H$26:H28, $B$27:$B$85&amp;"") + IF($B$27:$B$85="",1,0), 0)), "")</f>
        <v>IOR-00171</v>
      </c>
      <c r="I29" s="14" t="str">
        <f t="array" ref="I29">IFERROR(IF(INDEX($C$27:$C$85,MATCH(LEFT(H29,255),LEFT($B$27:$B$85,255),0))=0,"",INDEX($C$27:$C$85,MATCH(LEFT(H29,255),LEFT($B$27:$B$85,255),0))),"")</f>
        <v>HIV O-4a Percentage of men reporting using a condom the last time they had anal sex with a male partner</v>
      </c>
      <c r="J29" s="14"/>
      <c r="K29" s="15" t="s">
        <v>897</v>
      </c>
      <c r="L29" s="14" t="str">
        <f t="shared" si="0"/>
        <v>IOR-00171</v>
      </c>
      <c r="M29" s="14" t="s">
        <v>893</v>
      </c>
      <c r="N29" s="14" t="s">
        <v>669</v>
      </c>
      <c r="O29" s="14" t="b">
        <v>0</v>
      </c>
      <c r="P29" s="18">
        <v>11020</v>
      </c>
    </row>
    <row r="30" spans="2:16">
      <c r="B30" s="14" t="s">
        <v>898</v>
      </c>
      <c r="C30" s="16" t="s">
        <v>899</v>
      </c>
      <c r="D30" s="15"/>
      <c r="E30" s="14" t="s">
        <v>313</v>
      </c>
      <c r="F30" s="14" t="str">
        <f t="array" ref="F30">IFERROR(INDEX($C$27:$C$85, MATCH(0, COUNTIF($F$26:F29, $C$27:$C$85&amp;"") + IF($C$27:$C$85="",1,0), 0)), "")</f>
        <v>HIV O-4.1b Percentage of transgender people reporting using a condom during their most recent sexual intercourse or anal sex</v>
      </c>
      <c r="G30" s="14" t="s">
        <v>900</v>
      </c>
      <c r="H30" s="14" t="str">
        <f t="array" ref="H30">IFERROR(INDEX($B$27:$B$85, MATCH(0, COUNTIF($H$26:H29, $B$27:$B$85&amp;"") + IF($B$27:$B$85="",1,0), 0)), "")</f>
        <v>IOR-00172</v>
      </c>
      <c r="I30" s="14" t="str">
        <f t="array" ref="I30">IFERROR(IF(INDEX($C$27:$C$85,MATCH(LEFT(H30,255),LEFT($B$27:$B$85,255),0))=0,"",INDEX($C$27:$C$85,MATCH(LEFT(H30,255),LEFT($B$27:$B$85,255),0))),"")</f>
        <v>HIV O-4.1b Percentage of transgender people reporting using a condom during their most recent sexual intercourse or anal sex</v>
      </c>
      <c r="J30" s="14"/>
      <c r="K30" s="15" t="s">
        <v>901</v>
      </c>
      <c r="L30" s="14" t="str">
        <f t="shared" si="0"/>
        <v>IOR-00172</v>
      </c>
      <c r="M30" s="14" t="s">
        <v>893</v>
      </c>
      <c r="N30" s="14" t="s">
        <v>669</v>
      </c>
      <c r="O30" s="14" t="b">
        <v>0</v>
      </c>
      <c r="P30" s="18">
        <v>11030</v>
      </c>
    </row>
    <row r="31" spans="2:16">
      <c r="B31" s="14" t="s">
        <v>902</v>
      </c>
      <c r="C31" s="16" t="s">
        <v>903</v>
      </c>
      <c r="D31" s="15"/>
      <c r="E31" s="14" t="s">
        <v>313</v>
      </c>
      <c r="F31" s="14" t="str">
        <f t="array" ref="F31">IFERROR(INDEX($C$27:$C$85, MATCH(0, COUNTIF($F$26:F30, $C$27:$C$85&amp;"") + IF($C$27:$C$85="",1,0), 0)), "")</f>
        <v>HIV O-5 Percentage of sex workers reporting using a condom with their most recent client</v>
      </c>
      <c r="G31" s="14" t="s">
        <v>904</v>
      </c>
      <c r="H31" s="14" t="str">
        <f t="array" ref="H31">IFERROR(INDEX($B$27:$B$85, MATCH(0, COUNTIF($H$26:H30, $B$27:$B$85&amp;"") + IF($B$27:$B$85="",1,0), 0)), "")</f>
        <v>IOR-00173</v>
      </c>
      <c r="I31" s="14" t="str">
        <f t="array" ref="I31">IFERROR(IF(INDEX($C$27:$C$85,MATCH(LEFT(H31,255),LEFT($B$27:$B$85,255),0))=0,"",INDEX($C$27:$C$85,MATCH(LEFT(H31,255),LEFT($B$27:$B$85,255),0))),"")</f>
        <v>HIV O-5 Percentage of sex workers reporting using a condom with their most recent client</v>
      </c>
      <c r="J31" s="14"/>
      <c r="K31" s="15" t="s">
        <v>905</v>
      </c>
      <c r="L31" s="14" t="str">
        <f t="shared" si="0"/>
        <v>IOR-00173</v>
      </c>
      <c r="M31" s="14" t="s">
        <v>893</v>
      </c>
      <c r="N31" s="14" t="s">
        <v>669</v>
      </c>
      <c r="O31" s="14" t="b">
        <v>0</v>
      </c>
      <c r="P31" s="18">
        <v>11040</v>
      </c>
    </row>
    <row r="32" spans="2:16">
      <c r="B32" s="14" t="s">
        <v>906</v>
      </c>
      <c r="C32" s="16" t="s">
        <v>907</v>
      </c>
      <c r="D32" s="15"/>
      <c r="E32" s="14" t="s">
        <v>313</v>
      </c>
      <c r="F32" s="14" t="str">
        <f t="array" ref="F32">IFERROR(INDEX($C$27:$C$85, MATCH(0, COUNTIF($F$26:F31, $C$27:$C$85&amp;"") + IF($C$27:$C$85="",1,0), 0)), "")</f>
        <v>HIV O-6 Percentage of people who inject drugs reporting using sterile injecting equipment the last time they injected</v>
      </c>
      <c r="G32" s="14" t="s">
        <v>908</v>
      </c>
      <c r="H32" s="14" t="str">
        <f t="array" ref="H32">IFERROR(INDEX($B$27:$B$85, MATCH(0, COUNTIF($H$26:H31, $B$27:$B$85&amp;"") + IF($B$27:$B$85="",1,0), 0)), "")</f>
        <v>IOR-00174</v>
      </c>
      <c r="I32" s="14" t="str">
        <f t="array" ref="I32">IFERROR(IF(INDEX($C$27:$C$85,MATCH(LEFT(H32,255),LEFT($B$27:$B$85,255),0))=0,"",INDEX($C$27:$C$85,MATCH(LEFT(H32,255),LEFT($B$27:$B$85,255),0))),"")</f>
        <v>HIV O-6 Percentage of people who inject drugs reporting using sterile injecting equipment the last time they injected</v>
      </c>
      <c r="J32" s="14"/>
      <c r="K32" s="15" t="s">
        <v>909</v>
      </c>
      <c r="L32" s="14" t="str">
        <f t="shared" si="0"/>
        <v>IOR-00174</v>
      </c>
      <c r="M32" s="14" t="s">
        <v>893</v>
      </c>
      <c r="N32" s="14" t="s">
        <v>669</v>
      </c>
      <c r="O32" s="14" t="b">
        <v>0</v>
      </c>
      <c r="P32" s="18">
        <v>11050</v>
      </c>
    </row>
    <row r="33" spans="2:16">
      <c r="B33" s="14" t="s">
        <v>910</v>
      </c>
      <c r="C33" s="16" t="s">
        <v>911</v>
      </c>
      <c r="D33" s="15"/>
      <c r="E33" s="14" t="s">
        <v>313</v>
      </c>
      <c r="F33" s="14" t="str">
        <f t="array" ref="F33">IFERROR(INDEX($C$27:$C$85, MATCH(0, COUNTIF($F$26:F32, $C$27:$C$85&amp;"") + IF($C$27:$C$85="",1,0), 0)), "")</f>
        <v>HIV O-9 Percentage of people who inject drugs reporting using a condom the last time they had sexual intercourse</v>
      </c>
      <c r="G33" s="14" t="s">
        <v>912</v>
      </c>
      <c r="H33" s="14" t="str">
        <f t="array" ref="H33">IFERROR(INDEX($B$27:$B$85, MATCH(0, COUNTIF($H$26:H32, $B$27:$B$85&amp;"") + IF($B$27:$B$85="",1,0), 0)), "")</f>
        <v>IOR-00175</v>
      </c>
      <c r="I33" s="14" t="str">
        <f t="array" ref="I33">IFERROR(IF(INDEX($C$27:$C$85,MATCH(LEFT(H33,255),LEFT($B$27:$B$85,255),0))=0,"",INDEX($C$27:$C$85,MATCH(LEFT(H33,255),LEFT($B$27:$B$85,255),0))),"")</f>
        <v>HIV O-9 Percentage of people who inject drugs reporting using a condom the last time they had sexual intercourse</v>
      </c>
      <c r="J33" s="14"/>
      <c r="K33" s="15" t="s">
        <v>913</v>
      </c>
      <c r="L33" s="14" t="str">
        <f t="shared" si="0"/>
        <v>IOR-00175</v>
      </c>
      <c r="M33" s="14" t="s">
        <v>893</v>
      </c>
      <c r="N33" s="14" t="s">
        <v>669</v>
      </c>
      <c r="O33" s="14" t="b">
        <v>0</v>
      </c>
      <c r="P33" s="18">
        <v>11060</v>
      </c>
    </row>
    <row r="34" spans="2:16">
      <c r="B34" s="14" t="s">
        <v>914</v>
      </c>
      <c r="C34" s="16" t="s">
        <v>915</v>
      </c>
      <c r="D34" s="15"/>
      <c r="E34" s="14" t="s">
        <v>313</v>
      </c>
      <c r="F34" s="14" t="str">
        <f t="array" ref="F34">IFERROR(INDEX($C$27:$C$85, MATCH(0, COUNTIF($F$26:F33, $C$27:$C$85&amp;"") + IF($C$27:$C$85="",1,0), 0)), "")</f>
        <v>HIV O-7 Percentage of other vulnerable populations who report the use of a condom at last sexual intercourse</v>
      </c>
      <c r="G34" s="14" t="s">
        <v>916</v>
      </c>
      <c r="H34" s="14" t="str">
        <f t="array" ref="H34">IFERROR(INDEX($B$27:$B$85, MATCH(0, COUNTIF($H$26:H33, $B$27:$B$85&amp;"") + IF($B$27:$B$85="",1,0), 0)), "")</f>
        <v>IOR-00176</v>
      </c>
      <c r="I34" s="14" t="str">
        <f t="array" ref="I34">IFERROR(IF(INDEX($C$27:$C$85,MATCH(LEFT(H34,255),LEFT($B$27:$B$85,255),0))=0,"",INDEX($C$27:$C$85,MATCH(LEFT(H34,255),LEFT($B$27:$B$85,255),0))),"")</f>
        <v>HIV O-7 Percentage of other vulnerable populations who report the use of a condom at last sexual intercourse</v>
      </c>
      <c r="J34" s="14"/>
      <c r="K34" s="15" t="s">
        <v>917</v>
      </c>
      <c r="L34" s="14" t="str">
        <f t="shared" si="0"/>
        <v>IOR-00176</v>
      </c>
      <c r="M34" s="14" t="s">
        <v>893</v>
      </c>
      <c r="N34" s="14" t="s">
        <v>669</v>
      </c>
      <c r="O34" s="14" t="b">
        <v>0</v>
      </c>
      <c r="P34" s="18">
        <v>11070</v>
      </c>
    </row>
    <row r="35" spans="2:16">
      <c r="B35" s="14" t="s">
        <v>918</v>
      </c>
      <c r="C35" s="16" t="s">
        <v>919</v>
      </c>
      <c r="D35" s="15" t="s">
        <v>920</v>
      </c>
      <c r="E35" s="14" t="s">
        <v>313</v>
      </c>
      <c r="F35" s="14" t="str">
        <f t="array" ref="F35">IFERROR(INDEX($C$27:$C$85, MATCH(0, COUNTIF($F$26:F34, $C$27:$C$85&amp;"") + IF($C$27:$C$85="",1,0), 0)), "")</f>
        <v>HIV O-11 Percentage of people living with HIV who know their HIV status at the end of the reporting period</v>
      </c>
      <c r="G35" s="14" t="s">
        <v>921</v>
      </c>
      <c r="H35" s="14" t="str">
        <f t="array" ref="H35">IFERROR(INDEX($B$27:$B$85, MATCH(0, COUNTIF($H$26:H34, $B$27:$B$85&amp;"") + IF($B$27:$B$85="",1,0), 0)), "")</f>
        <v>IOR-00177</v>
      </c>
      <c r="I35" s="14" t="str">
        <f t="array" ref="I35">IFERROR(IF(INDEX($C$27:$C$85,MATCH(LEFT(H35,255),LEFT($B$27:$B$85,255),0))=0,"",INDEX($C$27:$C$85,MATCH(LEFT(H35,255),LEFT($B$27:$B$85,255),0))),"")</f>
        <v>HIV O-11 Percentage of people living with HIV who know their HIV status at the end of the reporting period</v>
      </c>
      <c r="J35" s="14"/>
      <c r="K35" s="15" t="s">
        <v>922</v>
      </c>
      <c r="L35" s="14" t="str">
        <f t="shared" si="0"/>
        <v>IOR-00177</v>
      </c>
      <c r="M35" s="14" t="s">
        <v>893</v>
      </c>
      <c r="N35" s="14" t="s">
        <v>669</v>
      </c>
      <c r="O35" s="14" t="b">
        <v>0</v>
      </c>
      <c r="P35" s="18">
        <v>11080</v>
      </c>
    </row>
    <row r="36" spans="2:16">
      <c r="B36" s="14" t="s">
        <v>923</v>
      </c>
      <c r="C36" s="16" t="s">
        <v>924</v>
      </c>
      <c r="D36" s="15" t="s">
        <v>920</v>
      </c>
      <c r="E36" s="14" t="s">
        <v>313</v>
      </c>
      <c r="F36" s="14" t="str">
        <f t="array" ref="F36">IFERROR(INDEX($C$27:$C$85, MATCH(0, COUNTIF($F$26:F35, $C$27:$C$85&amp;"") + IF($C$27:$C$85="",1,0), 0)), "")</f>
        <v>HIV O-21 Percentage of people living with HIV reported on ART at the end of the last reporting period and newly initiating ART during the current reporting period who were not on ART at the end of current reporting period</v>
      </c>
      <c r="G36" s="14" t="s">
        <v>925</v>
      </c>
      <c r="H36" s="14" t="str">
        <f t="array" ref="H36">IFERROR(INDEX($B$27:$B$85, MATCH(0, COUNTIF($H$26:H35, $B$27:$B$85&amp;"") + IF($B$27:$B$85="",1,0), 0)), "")</f>
        <v>IOR-00178</v>
      </c>
      <c r="I36" s="14" t="str">
        <f t="array" ref="I36">IFERROR(IF(INDEX($C$27:$C$85,MATCH(LEFT(H36,255),LEFT($B$27:$B$85,255),0))=0,"",INDEX($C$27:$C$85,MATCH(LEFT(H36,255),LEFT($B$27:$B$85,255),0))),"")</f>
        <v>HIV O-21 Percentage of people living with HIV reported on ART at the end of the last reporting period and newly initiating ART during the current reporting period who were not on ART at the end of current reporting period</v>
      </c>
      <c r="J36" s="14"/>
      <c r="K36" s="15" t="s">
        <v>926</v>
      </c>
      <c r="L36" s="14" t="str">
        <f t="shared" si="0"/>
        <v>IOR-00178</v>
      </c>
      <c r="M36" s="14" t="s">
        <v>893</v>
      </c>
      <c r="N36" s="14" t="s">
        <v>669</v>
      </c>
      <c r="O36" s="14" t="b">
        <v>0</v>
      </c>
      <c r="P36" s="18">
        <v>11090</v>
      </c>
    </row>
    <row r="37" spans="2:16">
      <c r="B37" s="14" t="s">
        <v>927</v>
      </c>
      <c r="C37" s="16" t="s">
        <v>928</v>
      </c>
      <c r="D37" s="15" t="s">
        <v>920</v>
      </c>
      <c r="E37" s="14" t="s">
        <v>313</v>
      </c>
      <c r="F37" s="14" t="str">
        <f t="array" ref="F37">IFERROR(INDEX($C$27:$C$85, MATCH(0, COUNTIF($F$26:F36, $C$27:$C$85&amp;"") + IF($C$27:$C$85="",1,0), 0)), "")</f>
        <v>HIV O-12 Percentage of people living with HIV and on ART who are virologically suppressed</v>
      </c>
      <c r="G37" s="14" t="s">
        <v>929</v>
      </c>
      <c r="H37" s="14" t="str">
        <f t="array" ref="H37">IFERROR(INDEX($B$27:$B$85, MATCH(0, COUNTIF($H$26:H36, $B$27:$B$85&amp;"") + IF($B$27:$B$85="",1,0), 0)), "")</f>
        <v>IOR-00179</v>
      </c>
      <c r="I37" s="14" t="str">
        <f t="array" ref="I37">IFERROR(IF(INDEX($C$27:$C$85,MATCH(LEFT(H37,255),LEFT($B$27:$B$85,255),0))=0,"",INDEX($C$27:$C$85,MATCH(LEFT(H37,255),LEFT($B$27:$B$85,255),0))),"")</f>
        <v>HIV O-12 Percentage of people living with HIV and on ART who are virologically suppressed</v>
      </c>
      <c r="J37" s="14"/>
      <c r="K37" s="15" t="s">
        <v>930</v>
      </c>
      <c r="L37" s="14" t="str">
        <f t="shared" si="0"/>
        <v>IOR-00179</v>
      </c>
      <c r="M37" s="14" t="s">
        <v>893</v>
      </c>
      <c r="N37" s="14" t="s">
        <v>669</v>
      </c>
      <c r="O37" s="14" t="b">
        <v>0</v>
      </c>
      <c r="P37" s="18">
        <v>11100</v>
      </c>
    </row>
    <row r="38" spans="2:16">
      <c r="B38" s="14" t="s">
        <v>931</v>
      </c>
      <c r="C38" s="16" t="s">
        <v>932</v>
      </c>
      <c r="D38" s="15" t="s">
        <v>849</v>
      </c>
      <c r="E38" s="14" t="s">
        <v>313</v>
      </c>
      <c r="F38" s="14" t="str">
        <f t="array" ref="F38">IFERROR(INDEX($C$27:$C$85, MATCH(0, COUNTIF($F$26:F37, $C$27:$C$85&amp;"") + IF($C$27:$C$85="",1,0), 0)), "")</f>
        <v>HIV O-13 Percentage of ever-married or partnered women aged 15-49 who experienced physical or sexual violence from a male intimate partner in the past 12 months</v>
      </c>
      <c r="G38" s="14" t="s">
        <v>933</v>
      </c>
      <c r="H38" s="14" t="str">
        <f t="array" ref="H38">IFERROR(INDEX($B$27:$B$85, MATCH(0, COUNTIF($H$26:H37, $B$27:$B$85&amp;"") + IF($B$27:$B$85="",1,0), 0)), "")</f>
        <v>IOR-00180</v>
      </c>
      <c r="I38" s="14" t="str">
        <f t="array" ref="I38">IFERROR(IF(INDEX($C$27:$C$85,MATCH(LEFT(H38,255),LEFT($B$27:$B$85,255),0))=0,"",INDEX($C$27:$C$85,MATCH(LEFT(H38,255),LEFT($B$27:$B$85,255),0))),"")</f>
        <v>HIV O-13 Percentage of ever-married or partnered women aged 15-49 who experienced physical or sexual violence from a male intimate partner in the past 12 months</v>
      </c>
      <c r="J38" s="14"/>
      <c r="K38" s="15" t="s">
        <v>934</v>
      </c>
      <c r="L38" s="14" t="str">
        <f t="shared" si="0"/>
        <v>IOR-00180</v>
      </c>
      <c r="M38" s="14" t="s">
        <v>893</v>
      </c>
      <c r="N38" s="14" t="s">
        <v>669</v>
      </c>
      <c r="O38" s="14" t="b">
        <v>0</v>
      </c>
      <c r="P38" s="18">
        <v>11110</v>
      </c>
    </row>
    <row r="39" spans="2:16">
      <c r="B39" s="14" t="s">
        <v>935</v>
      </c>
      <c r="C39" s="16" t="s">
        <v>936</v>
      </c>
      <c r="D39" s="15" t="s">
        <v>937</v>
      </c>
      <c r="E39" s="14" t="s">
        <v>313</v>
      </c>
      <c r="F39" s="14" t="str">
        <f t="array" ref="F39">IFERROR(INDEX($C$27:$C$85, MATCH(0, COUNTIF($F$26:F38, $C$27:$C$85&amp;"") + IF($C$27:$C$85="",1,0), 0)), "")</f>
        <v>HIV O-17 Percentage of people living with HIV who have experienced rights abuses in the last 12 months and have sought redress</v>
      </c>
      <c r="G39" s="14" t="s">
        <v>938</v>
      </c>
      <c r="H39" s="14" t="str">
        <f t="array" ref="H39">IFERROR(INDEX($B$27:$B$85, MATCH(0, COUNTIF($H$26:H38, $B$27:$B$85&amp;"") + IF($B$27:$B$85="",1,0), 0)), "")</f>
        <v>IOR-00181</v>
      </c>
      <c r="I39" s="14" t="str">
        <f t="array" ref="I39">IFERROR(IF(INDEX($C$27:$C$85,MATCH(LEFT(H39,255),LEFT($B$27:$B$85,255),0))=0,"",INDEX($C$27:$C$85,MATCH(LEFT(H39,255),LEFT($B$27:$B$85,255),0))),"")</f>
        <v>HIV O-17 Percentage of people living with HIV who have experienced rights abuses in the last 12 months and have sought redress</v>
      </c>
      <c r="J39" s="14"/>
      <c r="K39" s="15" t="s">
        <v>939</v>
      </c>
      <c r="L39" s="14" t="str">
        <f t="shared" si="0"/>
        <v>IOR-00181</v>
      </c>
      <c r="M39" s="14" t="s">
        <v>893</v>
      </c>
      <c r="N39" s="14" t="s">
        <v>669</v>
      </c>
      <c r="O39" s="14" t="b">
        <v>0</v>
      </c>
      <c r="P39" s="18">
        <v>11120</v>
      </c>
    </row>
    <row r="40" spans="2:16">
      <c r="B40" s="14" t="s">
        <v>940</v>
      </c>
      <c r="C40" s="16" t="s">
        <v>941</v>
      </c>
      <c r="D40" s="15"/>
      <c r="E40" s="14" t="s">
        <v>313</v>
      </c>
      <c r="F40" s="14" t="str">
        <f t="array" ref="F40">IFERROR(INDEX($C$27:$C$85, MATCH(0, COUNTIF($F$26:F39, $C$27:$C$85&amp;"") + IF($C$27:$C$85="",1,0), 0)), "")</f>
        <v>HIV O-14 Percentage of women and men aged 15-49 who report discriminatory attitudes towards people living with HIV</v>
      </c>
      <c r="G40" s="14" t="s">
        <v>942</v>
      </c>
      <c r="H40" s="14" t="str">
        <f t="array" ref="H40">IFERROR(INDEX($B$27:$B$85, MATCH(0, COUNTIF($H$26:H39, $B$27:$B$85&amp;"") + IF($B$27:$B$85="",1,0), 0)), "")</f>
        <v>IOR-00182</v>
      </c>
      <c r="I40" s="14" t="str">
        <f t="array" ref="I40">IFERROR(IF(INDEX($C$27:$C$85,MATCH(LEFT(H40,255),LEFT($B$27:$B$85,255),0))=0,"",INDEX($C$27:$C$85,MATCH(LEFT(H40,255),LEFT($B$27:$B$85,255),0))),"")</f>
        <v>HIV O-14 Percentage of women and men aged 15-49 who report discriminatory attitudes towards people living with HIV</v>
      </c>
      <c r="J40" s="14"/>
      <c r="K40" s="15" t="s">
        <v>943</v>
      </c>
      <c r="L40" s="14" t="str">
        <f t="shared" si="0"/>
        <v>IOR-00182</v>
      </c>
      <c r="M40" s="14" t="s">
        <v>893</v>
      </c>
      <c r="N40" s="14" t="s">
        <v>669</v>
      </c>
      <c r="O40" s="14" t="b">
        <v>0</v>
      </c>
      <c r="P40" s="18">
        <v>11130</v>
      </c>
    </row>
    <row r="41" spans="2:16">
      <c r="B41" s="14" t="s">
        <v>944</v>
      </c>
      <c r="C41" s="16" t="s">
        <v>945</v>
      </c>
      <c r="D41" s="15"/>
      <c r="E41" s="14" t="s">
        <v>313</v>
      </c>
      <c r="F41" s="14" t="str">
        <f t="array" ref="F41">IFERROR(INDEX($C$27:$C$85, MATCH(0, COUNTIF($F$26:F40, $C$27:$C$85&amp;"") + IF($C$27:$C$85="",1,0), 0)), "")</f>
        <v>HIV O-15 Percentage of people living with HIV who report experiences of HIV-related discrimination in health-care settings</v>
      </c>
      <c r="G41" s="14" t="s">
        <v>946</v>
      </c>
      <c r="H41" s="14" t="str">
        <f t="array" ref="H41">IFERROR(INDEX($B$27:$B$85, MATCH(0, COUNTIF($H$26:H40, $B$27:$B$85&amp;"") + IF($B$27:$B$85="",1,0), 0)), "")</f>
        <v>IOR-00183</v>
      </c>
      <c r="I41" s="14" t="str">
        <f t="array" ref="I41">IFERROR(IF(INDEX($C$27:$C$85,MATCH(LEFT(H41,255),LEFT($B$27:$B$85,255),0))=0,"",INDEX($C$27:$C$85,MATCH(LEFT(H41,255),LEFT($B$27:$B$85,255),0))),"")</f>
        <v>HIV O-15 Percentage of people living with HIV who report experiences of HIV-related discrimination in health-care settings</v>
      </c>
      <c r="J41" s="14"/>
      <c r="K41" s="15" t="s">
        <v>947</v>
      </c>
      <c r="L41" s="14" t="str">
        <f t="shared" si="0"/>
        <v>IOR-00183</v>
      </c>
      <c r="M41" s="14" t="s">
        <v>893</v>
      </c>
      <c r="N41" s="14" t="s">
        <v>669</v>
      </c>
      <c r="O41" s="14" t="b">
        <v>0</v>
      </c>
      <c r="P41" s="18">
        <v>11140</v>
      </c>
    </row>
    <row r="42" spans="2:16">
      <c r="B42" s="14" t="s">
        <v>948</v>
      </c>
      <c r="C42" s="16" t="s">
        <v>949</v>
      </c>
      <c r="D42" s="15" t="s">
        <v>849</v>
      </c>
      <c r="E42" s="14" t="s">
        <v>313</v>
      </c>
      <c r="F42" s="14" t="str">
        <f t="array" ref="F42">IFERROR(INDEX($C$27:$C$85, MATCH(0, COUNTIF($F$26:F41, $C$27:$C$85&amp;"") + IF($C$27:$C$85="",1,0), 0)), "")</f>
        <v>HIV O-16a Percentage of men who have sex with men who avoid health care because of stigma and discrimination</v>
      </c>
      <c r="G42" s="14" t="s">
        <v>950</v>
      </c>
      <c r="H42" s="14" t="str">
        <f t="array" ref="H42">IFERROR(INDEX($B$27:$B$85, MATCH(0, COUNTIF($H$26:H41, $B$27:$B$85&amp;"") + IF($B$27:$B$85="",1,0), 0)), "")</f>
        <v>IOR-00184</v>
      </c>
      <c r="I42" s="14" t="str">
        <f t="array" ref="I42">IFERROR(IF(INDEX($C$27:$C$85,MATCH(LEFT(H42,255),LEFT($B$27:$B$85,255),0))=0,"",INDEX($C$27:$C$85,MATCH(LEFT(H42,255),LEFT($B$27:$B$85,255),0))),"")</f>
        <v>HIV O-16a Percentage of men who have sex with men who avoid health care because of stigma and discrimination</v>
      </c>
      <c r="J42" s="14"/>
      <c r="K42" s="15" t="s">
        <v>951</v>
      </c>
      <c r="L42" s="14" t="str">
        <f t="shared" si="0"/>
        <v>IOR-00184</v>
      </c>
      <c r="M42" s="14" t="s">
        <v>893</v>
      </c>
      <c r="N42" s="14" t="s">
        <v>669</v>
      </c>
      <c r="O42" s="14" t="b">
        <v>0</v>
      </c>
      <c r="P42" s="18">
        <v>11150</v>
      </c>
    </row>
    <row r="43" spans="2:16">
      <c r="B43" s="14" t="s">
        <v>952</v>
      </c>
      <c r="C43" s="16" t="s">
        <v>953</v>
      </c>
      <c r="D43" s="15" t="s">
        <v>849</v>
      </c>
      <c r="E43" s="14" t="s">
        <v>313</v>
      </c>
      <c r="F43" s="14" t="str">
        <f t="array" ref="F43">IFERROR(INDEX($C$27:$C$85, MATCH(0, COUNTIF($F$26:F42, $C$27:$C$85&amp;"") + IF($C$27:$C$85="",1,0), 0)), "")</f>
        <v>HIV O-16b Percentage of transgender people who avoid health care because of stigma and discrimination</v>
      </c>
      <c r="G43" s="14" t="s">
        <v>954</v>
      </c>
      <c r="H43" s="14" t="str">
        <f t="array" ref="H43">IFERROR(INDEX($B$27:$B$85, MATCH(0, COUNTIF($H$26:H42, $B$27:$B$85&amp;"") + IF($B$27:$B$85="",1,0), 0)), "")</f>
        <v>IOR-00185</v>
      </c>
      <c r="I43" s="14" t="str">
        <f t="array" ref="I43">IFERROR(IF(INDEX($C$27:$C$85,MATCH(LEFT(H43,255),LEFT($B$27:$B$85,255),0))=0,"",INDEX($C$27:$C$85,MATCH(LEFT(H43,255),LEFT($B$27:$B$85,255),0))),"")</f>
        <v>HIV O-16b Percentage of transgender people who avoid health care because of stigma and discrimination</v>
      </c>
      <c r="J43" s="14"/>
      <c r="K43" s="15" t="s">
        <v>955</v>
      </c>
      <c r="L43" s="14" t="str">
        <f t="shared" si="0"/>
        <v>IOR-00185</v>
      </c>
      <c r="M43" s="14" t="s">
        <v>893</v>
      </c>
      <c r="N43" s="14" t="s">
        <v>669</v>
      </c>
      <c r="O43" s="14" t="b">
        <v>0</v>
      </c>
      <c r="P43" s="18">
        <v>11160</v>
      </c>
    </row>
    <row r="44" spans="2:16">
      <c r="B44" s="14" t="s">
        <v>956</v>
      </c>
      <c r="C44" s="16" t="s">
        <v>957</v>
      </c>
      <c r="D44" s="15" t="s">
        <v>856</v>
      </c>
      <c r="E44" s="14" t="s">
        <v>313</v>
      </c>
      <c r="F44" s="14" t="str">
        <f t="array" ref="F44">IFERROR(INDEX($C$27:$C$85, MATCH(0, COUNTIF($F$26:F43, $C$27:$C$85&amp;"") + IF($C$27:$C$85="",1,0), 0)), "")</f>
        <v>HIV O-16c Percentage of sex workers who avoid health care because of stigma and discrimination</v>
      </c>
      <c r="G44" s="14" t="s">
        <v>958</v>
      </c>
      <c r="H44" s="14" t="str">
        <f t="array" ref="H44">IFERROR(INDEX($B$27:$B$85, MATCH(0, COUNTIF($H$26:H43, $B$27:$B$85&amp;"") + IF($B$27:$B$85="",1,0), 0)), "")</f>
        <v>IOR-00186</v>
      </c>
      <c r="I44" s="14" t="str">
        <f t="array" ref="I44">IFERROR(IF(INDEX($C$27:$C$85,MATCH(LEFT(H44,255),LEFT($B$27:$B$85,255),0))=0,"",INDEX($C$27:$C$85,MATCH(LEFT(H44,255),LEFT($B$27:$B$85,255),0))),"")</f>
        <v>HIV O-16c Percentage of sex workers who avoid health care because of stigma and discrimination</v>
      </c>
      <c r="J44" s="14"/>
      <c r="K44" s="15" t="s">
        <v>959</v>
      </c>
      <c r="L44" s="14" t="str">
        <f t="shared" si="0"/>
        <v>IOR-00186</v>
      </c>
      <c r="M44" s="14" t="s">
        <v>893</v>
      </c>
      <c r="N44" s="14" t="s">
        <v>669</v>
      </c>
      <c r="O44" s="14" t="b">
        <v>0</v>
      </c>
      <c r="P44" s="18">
        <v>11170</v>
      </c>
    </row>
    <row r="45" spans="2:16">
      <c r="B45" s="14" t="s">
        <v>960</v>
      </c>
      <c r="C45" s="16" t="s">
        <v>961</v>
      </c>
      <c r="D45" s="15" t="s">
        <v>856</v>
      </c>
      <c r="E45" s="14" t="s">
        <v>313</v>
      </c>
      <c r="F45" s="14" t="str">
        <f t="array" ref="F45">IFERROR(INDEX($C$27:$C$85, MATCH(0, COUNTIF($F$26:F44, $C$27:$C$85&amp;"") + IF($C$27:$C$85="",1,0), 0)), "")</f>
        <v>HIV O-16d Percentage of people who inject drugs who avoid health care because of stigma and discrimination</v>
      </c>
      <c r="G45" s="14" t="s">
        <v>962</v>
      </c>
      <c r="H45" s="14" t="str">
        <f t="array" ref="H45">IFERROR(INDEX($B$27:$B$85, MATCH(0, COUNTIF($H$26:H44, $B$27:$B$85&amp;"") + IF($B$27:$B$85="",1,0), 0)), "")</f>
        <v>IOR-00187</v>
      </c>
      <c r="I45" s="14" t="str">
        <f t="array" ref="I45">IFERROR(IF(INDEX($C$27:$C$85,MATCH(LEFT(H45,255),LEFT($B$27:$B$85,255),0))=0,"",INDEX($C$27:$C$85,MATCH(LEFT(H45,255),LEFT($B$27:$B$85,255),0))),"")</f>
        <v>HIV O-16d Percentage of people who inject drugs who avoid health care because of stigma and discrimination</v>
      </c>
      <c r="J45" s="14"/>
      <c r="K45" s="15" t="s">
        <v>963</v>
      </c>
      <c r="L45" s="14" t="str">
        <f t="shared" si="0"/>
        <v>IOR-00187</v>
      </c>
      <c r="M45" s="14" t="s">
        <v>893</v>
      </c>
      <c r="N45" s="14" t="s">
        <v>669</v>
      </c>
      <c r="O45" s="14" t="b">
        <v>0</v>
      </c>
      <c r="P45" s="18">
        <v>11180</v>
      </c>
    </row>
    <row r="46" spans="2:16">
      <c r="B46" s="14" t="s">
        <v>964</v>
      </c>
      <c r="C46" s="16" t="s">
        <v>965</v>
      </c>
      <c r="D46" s="15"/>
      <c r="E46" s="14" t="s">
        <v>313</v>
      </c>
      <c r="F46" s="14" t="str">
        <f t="array" ref="F46">IFERROR(INDEX($C$27:$C$85, MATCH(0, COUNTIF($F$26:F45, $C$27:$C$85&amp;"") + IF($C$27:$C$85="",1,0), 0)), "")</f>
        <v>HIV O-22 Percentage of adolescents avoiding HIV and SRH services due to stigma and discrimination</v>
      </c>
      <c r="G46" s="14" t="s">
        <v>966</v>
      </c>
      <c r="H46" s="14" t="str">
        <f t="array" ref="H46">IFERROR(INDEX($B$27:$B$85, MATCH(0, COUNTIF($H$26:H45, $B$27:$B$85&amp;"") + IF($B$27:$B$85="",1,0), 0)), "")</f>
        <v>IOR-00188</v>
      </c>
      <c r="I46" s="14" t="str">
        <f t="array" ref="I46">IFERROR(IF(INDEX($C$27:$C$85,MATCH(LEFT(H46,255),LEFT($B$27:$B$85,255),0))=0,"",INDEX($C$27:$C$85,MATCH(LEFT(H46,255),LEFT($B$27:$B$85,255),0))),"")</f>
        <v>HIV O-22 Percentage of adolescents avoiding HIV and SRH services due to stigma and discrimination</v>
      </c>
      <c r="J46" s="14"/>
      <c r="K46" s="15" t="s">
        <v>967</v>
      </c>
      <c r="L46" s="14" t="str">
        <f t="shared" si="0"/>
        <v>IOR-00188</v>
      </c>
      <c r="M46" s="14" t="s">
        <v>893</v>
      </c>
      <c r="N46" s="14" t="s">
        <v>669</v>
      </c>
      <c r="O46" s="14" t="b">
        <v>0</v>
      </c>
      <c r="P46" s="18">
        <v>11190</v>
      </c>
    </row>
    <row r="47" spans="2:16">
      <c r="B47" s="14" t="s">
        <v>968</v>
      </c>
      <c r="C47" s="16" t="s">
        <v>969</v>
      </c>
      <c r="D47" s="15"/>
      <c r="E47" s="14" t="s">
        <v>313</v>
      </c>
      <c r="F47" s="14" t="str">
        <f t="array" ref="F47">IFERROR(INDEX($C$27:$C$85, MATCH(0, COUNTIF($F$26:F46, $C$27:$C$85&amp;"") + IF($C$27:$C$85="",1,0), 0)), "")</f>
        <v>HIV O-26 Percentage of people living with HIV who report having experienced stigma and discrimination in the general community in the last 12 months</v>
      </c>
      <c r="G47" s="14" t="s">
        <v>970</v>
      </c>
      <c r="H47" s="14" t="str">
        <f t="array" ref="H47">IFERROR(INDEX($B$27:$B$85, MATCH(0, COUNTIF($H$26:H46, $B$27:$B$85&amp;"") + IF($B$27:$B$85="",1,0), 0)), "")</f>
        <v>IOR-00189</v>
      </c>
      <c r="I47" s="14" t="str">
        <f t="array" ref="I47">IFERROR(IF(INDEX($C$27:$C$85,MATCH(LEFT(H47,255),LEFT($B$27:$B$85,255),0))=0,"",INDEX($C$27:$C$85,MATCH(LEFT(H47,255),LEFT($B$27:$B$85,255),0))),"")</f>
        <v>HIV O-26 Percentage of people living with HIV who report having experienced stigma and discrimination in the general community in the last 12 months</v>
      </c>
      <c r="J47" s="14"/>
      <c r="K47" s="15" t="s">
        <v>971</v>
      </c>
      <c r="L47" s="14" t="str">
        <f t="shared" si="0"/>
        <v>IOR-00189</v>
      </c>
      <c r="M47" s="14" t="s">
        <v>893</v>
      </c>
      <c r="N47" s="14" t="s">
        <v>669</v>
      </c>
      <c r="O47" s="14" t="b">
        <v>0</v>
      </c>
      <c r="P47" s="18">
        <v>11200</v>
      </c>
    </row>
    <row r="48" spans="2:16">
      <c r="B48" s="14" t="s">
        <v>972</v>
      </c>
      <c r="C48" s="16" t="s">
        <v>973</v>
      </c>
      <c r="D48" s="15"/>
      <c r="E48" s="14" t="s">
        <v>313</v>
      </c>
      <c r="F48" s="14" t="str">
        <f t="array" ref="F48">IFERROR(INDEX($C$27:$C$85, MATCH(0, COUNTIF($F$26:F47, $C$27:$C$85&amp;"") + IF($C$27:$C$85="",1,0), 0)), "")</f>
        <v>HIV O-27 Percentage of people living with HIV who report internalized stigma</v>
      </c>
      <c r="G48" s="14" t="s">
        <v>974</v>
      </c>
      <c r="H48" s="14" t="str">
        <f t="array" ref="H48">IFERROR(INDEX($B$27:$B$85, MATCH(0, COUNTIF($H$26:H47, $B$27:$B$85&amp;"") + IF($B$27:$B$85="",1,0), 0)), "")</f>
        <v>IOR-00190</v>
      </c>
      <c r="I48" s="14" t="str">
        <f t="array" ref="I48">IFERROR(IF(INDEX($C$27:$C$85,MATCH(LEFT(H48,255),LEFT($B$27:$B$85,255),0))=0,"",INDEX($C$27:$C$85,MATCH(LEFT(H48,255),LEFT($B$27:$B$85,255),0))),"")</f>
        <v>HIV O-27 Percentage of people living with HIV who report internalized stigma</v>
      </c>
      <c r="J48" s="14"/>
      <c r="K48" s="15" t="s">
        <v>975</v>
      </c>
      <c r="L48" s="14" t="str">
        <f t="shared" si="0"/>
        <v>IOR-00190</v>
      </c>
      <c r="M48" s="14" t="s">
        <v>893</v>
      </c>
      <c r="N48" s="14" t="s">
        <v>669</v>
      </c>
      <c r="O48" s="14" t="b">
        <v>0</v>
      </c>
      <c r="P48" s="18">
        <v>11210</v>
      </c>
    </row>
    <row r="49" spans="2:16">
      <c r="B49" s="14" t="s">
        <v>976</v>
      </c>
      <c r="C49" s="16" t="s">
        <v>977</v>
      </c>
      <c r="D49" s="15"/>
      <c r="E49" s="14" t="s">
        <v>313</v>
      </c>
      <c r="F49" s="14" t="str">
        <f t="array" ref="F49">IFERROR(INDEX($C$27:$C$85, MATCH(0, COUNTIF($F$26:F48, $C$27:$C$85&amp;"") + IF($C$27:$C$85="",1,0), 0)), "")</f>
        <v>HIV O-28a Percentage of MSM who report having experienced stigma and discrimination in the last 6 months</v>
      </c>
      <c r="G49" s="14" t="s">
        <v>978</v>
      </c>
      <c r="H49" s="14" t="str">
        <f t="array" ref="H49">IFERROR(INDEX($B$27:$B$85, MATCH(0, COUNTIF($H$26:H48, $B$27:$B$85&amp;"") + IF($B$27:$B$85="",1,0), 0)), "")</f>
        <v>IOR-00191</v>
      </c>
      <c r="I49" s="14" t="str">
        <f t="array" ref="I49">IFERROR(IF(INDEX($C$27:$C$85,MATCH(LEFT(H49,255),LEFT($B$27:$B$85,255),0))=0,"",INDEX($C$27:$C$85,MATCH(LEFT(H49,255),LEFT($B$27:$B$85,255),0))),"")</f>
        <v>HIV O-28a Percentage of MSM who report having experienced stigma and discrimination in the last 6 months</v>
      </c>
      <c r="J49" s="14"/>
      <c r="K49" s="15" t="s">
        <v>979</v>
      </c>
      <c r="L49" s="14" t="str">
        <f t="shared" si="0"/>
        <v>IOR-00191</v>
      </c>
      <c r="M49" s="14" t="s">
        <v>893</v>
      </c>
      <c r="N49" s="14" t="s">
        <v>669</v>
      </c>
      <c r="O49" s="14" t="b">
        <v>0</v>
      </c>
      <c r="P49" s="18">
        <v>11220</v>
      </c>
    </row>
    <row r="50" spans="2:16">
      <c r="B50" s="14" t="s">
        <v>980</v>
      </c>
      <c r="C50" s="16" t="s">
        <v>981</v>
      </c>
      <c r="D50" s="15"/>
      <c r="E50" s="14" t="s">
        <v>313</v>
      </c>
      <c r="F50" s="14" t="str">
        <f t="array" ref="F50">IFERROR(INDEX($C$27:$C$85, MATCH(0, COUNTIF($F$26:F49, $C$27:$C$85&amp;"") + IF($C$27:$C$85="",1,0), 0)), "")</f>
        <v>HIV O-28b Percentage of transgender people who report having experienced stigma and discrimination in the last 6 months</v>
      </c>
      <c r="G50" s="14" t="s">
        <v>982</v>
      </c>
      <c r="H50" s="14" t="str">
        <f t="array" ref="H50">IFERROR(INDEX($B$27:$B$85, MATCH(0, COUNTIF($H$26:H49, $B$27:$B$85&amp;"") + IF($B$27:$B$85="",1,0), 0)), "")</f>
        <v>IOR-00192</v>
      </c>
      <c r="I50" s="14" t="str">
        <f t="array" ref="I50">IFERROR(IF(INDEX($C$27:$C$85,MATCH(LEFT(H50,255),LEFT($B$27:$B$85,255),0))=0,"",INDEX($C$27:$C$85,MATCH(LEFT(H50,255),LEFT($B$27:$B$85,255),0))),"")</f>
        <v>HIV O-28b Percentage of transgender people who report having experienced stigma and discrimination in the last 6 months</v>
      </c>
      <c r="J50" s="14"/>
      <c r="K50" s="15" t="s">
        <v>983</v>
      </c>
      <c r="L50" s="14" t="str">
        <f t="shared" si="0"/>
        <v>IOR-00192</v>
      </c>
      <c r="M50" s="14" t="s">
        <v>893</v>
      </c>
      <c r="N50" s="14" t="s">
        <v>669</v>
      </c>
      <c r="O50" s="14" t="b">
        <v>0</v>
      </c>
      <c r="P50" s="18">
        <v>11230</v>
      </c>
    </row>
    <row r="51" spans="2:16">
      <c r="B51" s="14" t="s">
        <v>984</v>
      </c>
      <c r="C51" s="16" t="s">
        <v>985</v>
      </c>
      <c r="D51" s="15"/>
      <c r="E51" s="14" t="s">
        <v>313</v>
      </c>
      <c r="F51" s="14" t="str">
        <f t="array" ref="F51">IFERROR(INDEX($C$27:$C$85, MATCH(0, COUNTIF($F$26:F50, $C$27:$C$85&amp;"") + IF($C$27:$C$85="",1,0), 0)), "")</f>
        <v>HIV O-28c Percentage of sex workers who report having experienced stigma and discrimination in the last 6 months</v>
      </c>
      <c r="G51" s="14" t="s">
        <v>986</v>
      </c>
      <c r="H51" s="14" t="str">
        <f t="array" ref="H51">IFERROR(INDEX($B$27:$B$85, MATCH(0, COUNTIF($H$26:H50, $B$27:$B$85&amp;"") + IF($B$27:$B$85="",1,0), 0)), "")</f>
        <v>IOR-00193</v>
      </c>
      <c r="I51" s="14" t="str">
        <f t="array" ref="I51">IFERROR(IF(INDEX($C$27:$C$85,MATCH(LEFT(H51,255),LEFT($B$27:$B$85,255),0))=0,"",INDEX($C$27:$C$85,MATCH(LEFT(H51,255),LEFT($B$27:$B$85,255),0))),"")</f>
        <v>HIV O-28c Percentage of sex workers who report having experienced stigma and discrimination in the last 6 months</v>
      </c>
      <c r="J51" s="14"/>
      <c r="K51" s="15" t="s">
        <v>987</v>
      </c>
      <c r="L51" s="14" t="str">
        <f t="shared" si="0"/>
        <v>IOR-00193</v>
      </c>
      <c r="M51" s="14" t="s">
        <v>893</v>
      </c>
      <c r="N51" s="14" t="s">
        <v>669</v>
      </c>
      <c r="O51" s="14" t="b">
        <v>0</v>
      </c>
      <c r="P51" s="18">
        <v>11240</v>
      </c>
    </row>
    <row r="52" spans="2:16">
      <c r="B52" s="14" t="s">
        <v>988</v>
      </c>
      <c r="C52" s="16" t="s">
        <v>989</v>
      </c>
      <c r="D52" s="15"/>
      <c r="E52" s="14" t="s">
        <v>313</v>
      </c>
      <c r="F52" s="14" t="str">
        <f t="array" ref="F52">IFERROR(INDEX($C$27:$C$85, MATCH(0, COUNTIF($F$26:F51, $C$27:$C$85&amp;"") + IF($C$27:$C$85="",1,0), 0)), "")</f>
        <v>HIV O-28d Percentage of people who inject drugs who report having experienced stigma and discrimination in the last 6 months</v>
      </c>
      <c r="G52" s="14" t="s">
        <v>990</v>
      </c>
      <c r="H52" s="14" t="str">
        <f t="array" ref="H52">IFERROR(INDEX($B$27:$B$85, MATCH(0, COUNTIF($H$26:H51, $B$27:$B$85&amp;"") + IF($B$27:$B$85="",1,0), 0)), "")</f>
        <v>IOR-00194</v>
      </c>
      <c r="I52" s="14" t="str">
        <f t="array" ref="I52">IFERROR(IF(INDEX($C$27:$C$85,MATCH(LEFT(H52,255),LEFT($B$27:$B$85,255),0))=0,"",INDEX($C$27:$C$85,MATCH(LEFT(H52,255),LEFT($B$27:$B$85,255),0))),"")</f>
        <v>HIV O-28d Percentage of people who inject drugs who report having experienced stigma and discrimination in the last 6 months</v>
      </c>
      <c r="J52" s="14"/>
      <c r="K52" s="15" t="s">
        <v>991</v>
      </c>
      <c r="L52" s="14" t="str">
        <f t="shared" si="0"/>
        <v>IOR-00194</v>
      </c>
      <c r="M52" s="14" t="s">
        <v>893</v>
      </c>
      <c r="N52" s="14" t="s">
        <v>669</v>
      </c>
      <c r="O52" s="14" t="b">
        <v>0</v>
      </c>
      <c r="P52" s="18">
        <v>11250</v>
      </c>
    </row>
    <row r="53" spans="2:16">
      <c r="B53" s="14" t="s">
        <v>992</v>
      </c>
      <c r="C53" s="16" t="s">
        <v>993</v>
      </c>
      <c r="D53" s="15"/>
      <c r="E53" s="14" t="s">
        <v>313</v>
      </c>
      <c r="F53" s="14" t="str">
        <f t="array" ref="F53">IFERROR(INDEX($C$27:$C$85, MATCH(0, COUNTIF($F$26:F52, $C$27:$C$85&amp;"") + IF($C$27:$C$85="",1,0), 0)), "")</f>
        <v>HIV O-23 Percentage of health workers who report negative attitudes towards key populations</v>
      </c>
      <c r="G53" s="14" t="s">
        <v>994</v>
      </c>
      <c r="H53" s="14" t="str">
        <f t="array" ref="H53">IFERROR(INDEX($B$27:$B$85, MATCH(0, COUNTIF($H$26:H52, $B$27:$B$85&amp;"") + IF($B$27:$B$85="",1,0), 0)), "")</f>
        <v>IOR-00195</v>
      </c>
      <c r="I53" s="14" t="str">
        <f t="array" ref="I53">IFERROR(IF(INDEX($C$27:$C$85,MATCH(LEFT(H53,255),LEFT($B$27:$B$85,255),0))=0,"",INDEX($C$27:$C$85,MATCH(LEFT(H53,255),LEFT($B$27:$B$85,255),0))),"")</f>
        <v>HIV O-23 Percentage of health workers who report negative attitudes towards key populations</v>
      </c>
      <c r="J53" s="14"/>
      <c r="K53" s="15" t="s">
        <v>995</v>
      </c>
      <c r="L53" s="14" t="str">
        <f t="shared" si="0"/>
        <v>IOR-00195</v>
      </c>
      <c r="M53" s="14" t="s">
        <v>893</v>
      </c>
      <c r="N53" s="14" t="s">
        <v>669</v>
      </c>
      <c r="O53" s="14" t="b">
        <v>0</v>
      </c>
      <c r="P53" s="18">
        <v>11260</v>
      </c>
    </row>
    <row r="54" spans="2:16">
      <c r="B54" s="14" t="s">
        <v>996</v>
      </c>
      <c r="C54" s="16" t="s">
        <v>997</v>
      </c>
      <c r="D54" s="15" t="s">
        <v>856</v>
      </c>
      <c r="E54" s="14" t="s">
        <v>313</v>
      </c>
      <c r="F54" s="14" t="str">
        <f t="array" ref="F54">IFERROR(INDEX($C$27:$C$85, MATCH(0, COUNTIF($F$26:F53, $C$27:$C$85&amp;"") + IF($C$27:$C$85="",1,0), 0)), "")</f>
        <v>HIV O-29 Percentage of HIV-positive results among the total HIV tests</v>
      </c>
      <c r="G54" s="14" t="s">
        <v>998</v>
      </c>
      <c r="H54" s="14" t="str">
        <f t="array" ref="H54">IFERROR(INDEX($B$27:$B$85, MATCH(0, COUNTIF($H$26:H53, $B$27:$B$85&amp;"") + IF($B$27:$B$85="",1,0), 0)), "")</f>
        <v>IOR-00223</v>
      </c>
      <c r="I54" s="14" t="str">
        <f t="array" ref="I54">IFERROR(IF(INDEX($C$27:$C$85,MATCH(LEFT(H54,255),LEFT($B$27:$B$85,255),0))=0,"",INDEX($C$27:$C$85,MATCH(LEFT(H54,255),LEFT($B$27:$B$85,255),0))),"")</f>
        <v>HIV O-29 Percentage of HIV-positive results among the total HIV tests</v>
      </c>
      <c r="J54" s="14"/>
      <c r="K54" s="15" t="s">
        <v>999</v>
      </c>
      <c r="L54" s="14" t="str">
        <f t="shared" si="0"/>
        <v>IOR-00223</v>
      </c>
      <c r="M54" s="14" t="s">
        <v>893</v>
      </c>
      <c r="N54" s="14" t="s">
        <v>669</v>
      </c>
      <c r="O54" s="14" t="b">
        <v>0</v>
      </c>
      <c r="P54" s="18">
        <v>11260</v>
      </c>
    </row>
    <row r="55" spans="2:16">
      <c r="B55" s="14" t="s">
        <v>1000</v>
      </c>
      <c r="C55" s="16" t="s">
        <v>1001</v>
      </c>
      <c r="D55" s="15"/>
      <c r="E55" s="14" t="s">
        <v>313</v>
      </c>
      <c r="F55" s="14" t="str">
        <f t="array" ref="F55">IFERROR(INDEX($C$27:$C$85, MATCH(0, COUNTIF($F$26:F54, $C$27:$C$85&amp;"") + IF($C$27:$C$85="",1,0), 0)), "")</f>
        <v>HIV O-24 Percentage of health workers who report negative attitudes towards people living with HIV</v>
      </c>
      <c r="G55" s="14" t="s">
        <v>1002</v>
      </c>
      <c r="H55" s="14" t="str">
        <f t="array" ref="H55">IFERROR(INDEX($B$27:$B$85, MATCH(0, COUNTIF($H$26:H54, $B$27:$B$85&amp;"") + IF($B$27:$B$85="",1,0), 0)), "")</f>
        <v>IOR-00196</v>
      </c>
      <c r="I55" s="14" t="str">
        <f t="array" ref="I55">IFERROR(IF(INDEX($C$27:$C$85,MATCH(LEFT(H55,255),LEFT($B$27:$B$85,255),0))=0,"",INDEX($C$27:$C$85,MATCH(LEFT(H55,255),LEFT($B$27:$B$85,255),0))),"")</f>
        <v>HIV O-24 Percentage of health workers who report negative attitudes towards people living with HIV</v>
      </c>
      <c r="J55" s="14"/>
      <c r="K55" s="15" t="s">
        <v>1003</v>
      </c>
      <c r="L55" s="14" t="str">
        <f t="shared" si="0"/>
        <v>IOR-00196</v>
      </c>
      <c r="M55" s="14" t="s">
        <v>893</v>
      </c>
      <c r="N55" s="14" t="s">
        <v>669</v>
      </c>
      <c r="O55" s="14" t="b">
        <v>0</v>
      </c>
      <c r="P55" s="18">
        <v>11270</v>
      </c>
    </row>
    <row r="56" spans="2:16">
      <c r="B56" s="14" t="s">
        <v>1004</v>
      </c>
      <c r="C56" s="16" t="s">
        <v>1005</v>
      </c>
      <c r="D56" s="15"/>
      <c r="E56" s="14" t="s">
        <v>313</v>
      </c>
      <c r="F56" s="14" t="str">
        <f t="array" ref="F56">IFERROR(INDEX($C$27:$C$85, MATCH(0, COUNTIF($F$26:F55, $C$27:$C$85&amp;"") + IF($C$27:$C$85="",1,0), 0)), "")</f>
        <v>HIV O-25 Percentage of law enforcement officers who report negative attitudes towards key populations</v>
      </c>
      <c r="G56" s="14" t="s">
        <v>1006</v>
      </c>
      <c r="H56" s="14" t="str">
        <f t="array" ref="H56">IFERROR(INDEX($B$27:$B$85, MATCH(0, COUNTIF($H$26:H55, $B$27:$B$85&amp;"") + IF($B$27:$B$85="",1,0), 0)), "")</f>
        <v>IOR-00197</v>
      </c>
      <c r="I56" s="14" t="str">
        <f t="array" ref="I56">IFERROR(IF(INDEX($C$27:$C$85,MATCH(LEFT(H56,255),LEFT($B$27:$B$85,255),0))=0,"",INDEX($C$27:$C$85,MATCH(LEFT(H56,255),LEFT($B$27:$B$85,255),0))),"")</f>
        <v>HIV O-25 Percentage of law enforcement officers who report negative attitudes towards key populations</v>
      </c>
      <c r="J56" s="14"/>
      <c r="K56" s="15" t="s">
        <v>1007</v>
      </c>
      <c r="L56" s="14" t="str">
        <f t="shared" si="0"/>
        <v>IOR-00197</v>
      </c>
      <c r="M56" s="14" t="s">
        <v>893</v>
      </c>
      <c r="N56" s="14" t="s">
        <v>669</v>
      </c>
      <c r="O56" s="14" t="b">
        <v>0</v>
      </c>
      <c r="P56" s="18">
        <v>11280</v>
      </c>
    </row>
    <row r="57" spans="2:16">
      <c r="B57" s="14" t="s">
        <v>1008</v>
      </c>
      <c r="C57" s="16" t="s">
        <v>1009</v>
      </c>
      <c r="D57" s="15"/>
      <c r="E57" s="14" t="s">
        <v>313</v>
      </c>
      <c r="F57" s="14" t="str">
        <f t="array" ref="F57">IFERROR(INDEX($C$27:$C$85, MATCH(0, COUNTIF($F$26:F56, $C$27:$C$85&amp;"") + IF($C$27:$C$85="",1,0), 0)), "")</f>
        <v>RSSH/PP O-1 Systems readiness index for CHWs</v>
      </c>
      <c r="G57" s="14" t="s">
        <v>1010</v>
      </c>
      <c r="H57" s="14" t="str">
        <f t="array" ref="H57">IFERROR(INDEX($B$27:$B$85, MATCH(0, COUNTIF($H$26:H56, $B$27:$B$85&amp;"") + IF($B$27:$B$85="",1,0), 0)), "")</f>
        <v>IOR-00217</v>
      </c>
      <c r="I57" s="14" t="str">
        <f t="array" ref="I57">IFERROR(IF(INDEX($C$27:$C$85,MATCH(LEFT(H57,255),LEFT($B$27:$B$85,255),0))=0,"",INDEX($C$27:$C$85,MATCH(LEFT(H57,255),LEFT($B$27:$B$85,255),0))),"")</f>
        <v>RSSH/PP O-1 Systems readiness index for CHWs</v>
      </c>
      <c r="J57" s="14"/>
      <c r="K57" s="15" t="s">
        <v>1011</v>
      </c>
      <c r="L57" s="14" t="str">
        <f t="shared" si="0"/>
        <v>IOR-00217</v>
      </c>
      <c r="M57" s="14" t="s">
        <v>893</v>
      </c>
      <c r="N57" s="14" t="s">
        <v>669</v>
      </c>
      <c r="O57" s="14" t="b">
        <v>0</v>
      </c>
      <c r="P57" s="18">
        <v>60010</v>
      </c>
    </row>
    <row r="58" spans="2:16">
      <c r="B58" s="14" t="s">
        <v>1012</v>
      </c>
      <c r="C58" s="16" t="s">
        <v>1013</v>
      </c>
      <c r="D58" s="15"/>
      <c r="E58" s="14" t="s">
        <v>313</v>
      </c>
      <c r="F58" s="14" t="str">
        <f t="array" ref="F58">IFERROR(INDEX($C$27:$C$85, MATCH(0, COUNTIF($F$26:F57, $C$27:$C$85&amp;"") + IF($C$27:$C$85="",1,0), 0)), "")</f>
        <v>RSSH/PP O-2 Digital HMIS maturity profile score</v>
      </c>
      <c r="G58" s="14" t="s">
        <v>1014</v>
      </c>
      <c r="H58" s="14" t="str">
        <f t="array" ref="H58">IFERROR(INDEX($B$27:$B$85, MATCH(0, COUNTIF($H$26:H57, $B$27:$B$85&amp;"") + IF($B$27:$B$85="",1,0), 0)), "")</f>
        <v>IOR-00218</v>
      </c>
      <c r="I58" s="14" t="str">
        <f t="array" ref="I58">IFERROR(IF(INDEX($C$27:$C$85,MATCH(LEFT(H58,255),LEFT($B$27:$B$85,255),0))=0,"",INDEX($C$27:$C$85,MATCH(LEFT(H58,255),LEFT($B$27:$B$85,255),0))),"")</f>
        <v>RSSH/PP O-2 Digital HMIS maturity profile score</v>
      </c>
      <c r="J58" s="14"/>
      <c r="K58" s="15" t="s">
        <v>1015</v>
      </c>
      <c r="L58" s="14" t="str">
        <f t="shared" si="0"/>
        <v>IOR-00218</v>
      </c>
      <c r="M58" s="14" t="s">
        <v>893</v>
      </c>
      <c r="N58" s="14" t="s">
        <v>669</v>
      </c>
      <c r="O58" s="14" t="b">
        <v>0</v>
      </c>
      <c r="P58" s="18">
        <v>60020</v>
      </c>
    </row>
    <row r="59" spans="2:16">
      <c r="B59" s="14" t="s">
        <v>1016</v>
      </c>
      <c r="C59" s="16" t="s">
        <v>1017</v>
      </c>
      <c r="D59" s="15" t="s">
        <v>1018</v>
      </c>
      <c r="E59" s="14" t="s">
        <v>313</v>
      </c>
      <c r="F59" s="14" t="str">
        <f t="array" ref="F59">IFERROR(INDEX($C$27:$C$85, MATCH(0, COUNTIF($F$26:F58, $C$27:$C$85&amp;"") + IF($C$27:$C$85="",1,0), 0)), "")</f>
        <v>RSSH O-1 Percentage of facilities providing HIV, TB and malaria integrated services to pregnant women</v>
      </c>
      <c r="G59" s="14" t="s">
        <v>1019</v>
      </c>
      <c r="H59" s="14" t="str">
        <f t="array" ref="H59">IFERROR(INDEX($B$27:$B$85, MATCH(0, COUNTIF($H$26:H58, $B$27:$B$85&amp;"") + IF($B$27:$B$85="",1,0), 0)), "")</f>
        <v>IOR-00219</v>
      </c>
      <c r="I59" s="14" t="str">
        <f t="array" ref="I59">IFERROR(IF(INDEX($C$27:$C$85,MATCH(LEFT(H59,255),LEFT($B$27:$B$85,255),0))=0,"",INDEX($C$27:$C$85,MATCH(LEFT(H59,255),LEFT($B$27:$B$85,255),0))),"")</f>
        <v>RSSH O-1 Percentage of facilities providing HIV, TB and malaria integrated services to pregnant women</v>
      </c>
      <c r="J59" s="14"/>
      <c r="K59" s="15" t="s">
        <v>1020</v>
      </c>
      <c r="L59" s="14" t="str">
        <f t="shared" si="0"/>
        <v>IOR-00219</v>
      </c>
      <c r="M59" s="14" t="s">
        <v>893</v>
      </c>
      <c r="N59" s="14" t="s">
        <v>669</v>
      </c>
      <c r="O59" s="14" t="b">
        <v>0</v>
      </c>
      <c r="P59" s="18">
        <v>60030</v>
      </c>
    </row>
    <row r="60" spans="2:16">
      <c r="B60" s="14" t="s">
        <v>1021</v>
      </c>
      <c r="C60" s="16" t="s">
        <v>1022</v>
      </c>
      <c r="D60" s="15" t="s">
        <v>1023</v>
      </c>
      <c r="E60" s="14" t="s">
        <v>313</v>
      </c>
      <c r="F60" s="14" t="str">
        <f t="array" ref="F60">IFERROR(INDEX($C$27:$C$85, MATCH(0, COUNTIF($F$26:F59, $C$27:$C$85&amp;"") + IF($C$27:$C$85="",1,0), 0)), "")</f>
        <v>RSSH O-2 Percentage of population with large household expenditure on health as a share of total household expenditure or income (catastrophic spending on health)</v>
      </c>
      <c r="G60" s="14" t="s">
        <v>1024</v>
      </c>
      <c r="H60" s="14" t="str">
        <f t="array" ref="H60">IFERROR(INDEX($B$27:$B$85, MATCH(0, COUNTIF($H$26:H59, $B$27:$B$85&amp;"") + IF($B$27:$B$85="",1,0), 0)), "")</f>
        <v>IOR-00220</v>
      </c>
      <c r="I60" s="14" t="str">
        <f t="array" ref="I60">IFERROR(IF(INDEX($C$27:$C$85,MATCH(LEFT(H60,255),LEFT($B$27:$B$85,255),0))=0,"",INDEX($C$27:$C$85,MATCH(LEFT(H60,255),LEFT($B$27:$B$85,255),0))),"")</f>
        <v>RSSH O-2 Percentage of population with large household expenditure on health as a share of total household expenditure or income (catastrophic spending on health)</v>
      </c>
      <c r="J60" s="14"/>
      <c r="K60" s="15" t="s">
        <v>1025</v>
      </c>
      <c r="L60" s="14" t="str">
        <f t="shared" si="0"/>
        <v>IOR-00220</v>
      </c>
      <c r="M60" s="14" t="s">
        <v>893</v>
      </c>
      <c r="N60" s="14" t="s">
        <v>669</v>
      </c>
      <c r="O60" s="14" t="b">
        <v>0</v>
      </c>
      <c r="P60" s="18">
        <v>60040</v>
      </c>
    </row>
    <row r="61" spans="2:16">
      <c r="B61" s="14" t="s">
        <v>1026</v>
      </c>
      <c r="C61" s="16" t="s">
        <v>1027</v>
      </c>
      <c r="D61" s="15" t="s">
        <v>1028</v>
      </c>
      <c r="E61" s="14" t="s">
        <v>313</v>
      </c>
      <c r="F61" s="14" t="str">
        <f t="array" ref="F61">IFERROR(INDEX($C$27:$C$85, MATCH(0, COUNTIF($F$26:F60, $C$27:$C$85&amp;"") + IF($C$27:$C$85="",1,0), 0)), "")</f>
        <v>RSSH O-3 On-shelf availability: Percentage of facilities with tracer health products for the three diseases - HIV, TB, malaria (as applicable) available on the day of the visit or day of reporting</v>
      </c>
      <c r="G61" s="14" t="s">
        <v>1029</v>
      </c>
      <c r="H61" s="14" t="str">
        <f t="array" ref="H61">IFERROR(INDEX($B$27:$B$85, MATCH(0, COUNTIF($H$26:H60, $B$27:$B$85&amp;"") + IF($B$27:$B$85="",1,0), 0)), "")</f>
        <v>IOR-00221</v>
      </c>
      <c r="I61" s="14" t="str">
        <f t="array" ref="I61">IFERROR(IF(INDEX($C$27:$C$85,MATCH(LEFT(H61,255),LEFT($B$27:$B$85,255),0))=0,"",INDEX($C$27:$C$85,MATCH(LEFT(H61,255),LEFT($B$27:$B$85,255),0))),"")</f>
        <v>RSSH O-3 On-shelf availability: Percentage of facilities with tracer health products for the three diseases - HIV, TB, malaria (as applicable) available on the day of the visit or day of reporting</v>
      </c>
      <c r="J61" s="14"/>
      <c r="K61" s="15" t="s">
        <v>1030</v>
      </c>
      <c r="L61" s="14" t="str">
        <f t="shared" si="0"/>
        <v>IOR-00221</v>
      </c>
      <c r="M61" s="14" t="s">
        <v>893</v>
      </c>
      <c r="N61" s="14" t="s">
        <v>669</v>
      </c>
      <c r="O61" s="14" t="b">
        <v>0</v>
      </c>
      <c r="P61" s="18">
        <v>60050</v>
      </c>
    </row>
    <row r="62" spans="2:16">
      <c r="B62" s="14" t="s">
        <v>1031</v>
      </c>
      <c r="C62" s="16" t="s">
        <v>1032</v>
      </c>
      <c r="D62" s="15" t="s">
        <v>1033</v>
      </c>
      <c r="E62" s="14" t="s">
        <v>313</v>
      </c>
      <c r="F62" s="14" t="str">
        <f t="array" ref="F62">IFERROR(INDEX($C$27:$C$85, MATCH(0, COUNTIF($F$26:F61, $C$27:$C$85&amp;"") + IF($C$27:$C$85="",1,0), 0)), "")</f>
        <v>RSSH O-4 Maturity level of the national medical products regulatory system</v>
      </c>
      <c r="G62" s="14" t="s">
        <v>1034</v>
      </c>
      <c r="H62" s="14" t="str">
        <f t="array" ref="H62">IFERROR(INDEX($B$27:$B$85, MATCH(0, COUNTIF($H$26:H61, $B$27:$B$85&amp;"") + IF($B$27:$B$85="",1,0), 0)), "")</f>
        <v>IOR-00222</v>
      </c>
      <c r="I62" s="14" t="str">
        <f t="array" ref="I62">IFERROR(IF(INDEX($C$27:$C$85,MATCH(LEFT(H62,255),LEFT($B$27:$B$85,255),0))=0,"",INDEX($C$27:$C$85,MATCH(LEFT(H62,255),LEFT($B$27:$B$85,255),0))),"")</f>
        <v>RSSH O-4 Maturity level of the national medical products regulatory system</v>
      </c>
      <c r="J62" s="14"/>
      <c r="K62" s="15" t="s">
        <v>1035</v>
      </c>
      <c r="L62" s="14" t="str">
        <f t="shared" si="0"/>
        <v>IOR-00222</v>
      </c>
      <c r="M62" s="14" t="s">
        <v>893</v>
      </c>
      <c r="N62" s="14" t="s">
        <v>669</v>
      </c>
      <c r="O62" s="14" t="b">
        <v>0</v>
      </c>
      <c r="P62" s="18">
        <v>60060</v>
      </c>
    </row>
    <row r="63" spans="2:16">
      <c r="B63" s="14" t="s">
        <v>1008</v>
      </c>
      <c r="C63" s="16" t="s">
        <v>1009</v>
      </c>
      <c r="D63" s="15"/>
      <c r="E63" s="14" t="s">
        <v>315</v>
      </c>
      <c r="F63" s="14" t="str">
        <f t="array" ref="F63">IFERROR(INDEX($C$27:$C$85, MATCH(0, COUNTIF($F$26:F62, $C$27:$C$85&amp;"") + IF($C$27:$C$85="",1,0), 0)), "")</f>
        <v>TB O-5 TB treatment coverage: Percentage of patients with new and relapse TB that were notified and treated among the estimated number of incident TB in the same year (all forms of TB - bacteriologically confirmed plus clinically diagnosed</v>
      </c>
      <c r="G63" s="14" t="s">
        <v>1010</v>
      </c>
      <c r="H63" s="14" t="str">
        <f t="array" ref="H63">IFERROR(INDEX($B$27:$B$85, MATCH(0, COUNTIF($H$26:H62, $B$27:$B$85&amp;"") + IF($B$27:$B$85="",1,0), 0)), "")</f>
        <v>IOR-00198</v>
      </c>
      <c r="I63" s="14" t="str">
        <f t="array" ref="I63">IFERROR(IF(INDEX($C$27:$C$85,MATCH(LEFT(H63,255),LEFT($B$27:$B$85,255),0))=0,"",INDEX($C$27:$C$85,MATCH(LEFT(H63,255),LEFT($B$27:$B$85,255),0))),"")</f>
        <v>TB O-5 TB treatment coverage: Percentage of patients with new and relapse TB that were notified and treated among the estimated number of incident TB in the same year (all forms of TB - bacteriologically confirmed plus clinically diagnosed</v>
      </c>
      <c r="J63" s="14"/>
      <c r="K63" s="15" t="s">
        <v>1036</v>
      </c>
      <c r="L63" s="14" t="str">
        <f t="shared" si="0"/>
        <v>IOR-00217</v>
      </c>
      <c r="M63" s="14" t="s">
        <v>893</v>
      </c>
      <c r="N63" s="14" t="s">
        <v>669</v>
      </c>
      <c r="O63" s="14" t="b">
        <v>0</v>
      </c>
      <c r="P63" s="18">
        <v>60010</v>
      </c>
    </row>
    <row r="64" spans="2:16">
      <c r="B64" s="14" t="s">
        <v>1012</v>
      </c>
      <c r="C64" s="16" t="s">
        <v>1013</v>
      </c>
      <c r="D64" s="15"/>
      <c r="E64" s="14" t="s">
        <v>315</v>
      </c>
      <c r="F64" s="14" t="str">
        <f t="array" ref="F64">IFERROR(INDEX($C$27:$C$85, MATCH(0, COUNTIF($F$26:F63, $C$27:$C$85&amp;"") + IF($C$27:$C$85="",1,0), 0)), "")</f>
        <v>TB O-2a Treatment success rate of all forms of TB - bacteriologically confirmed plus clinically diagnosed, new and relapse</v>
      </c>
      <c r="G64" s="14" t="s">
        <v>1014</v>
      </c>
      <c r="H64" s="14" t="str">
        <f t="array" ref="H64">IFERROR(INDEX($B$27:$B$85, MATCH(0, COUNTIF($H$26:H63, $B$27:$B$85&amp;"") + IF($B$27:$B$85="",1,0), 0)), "")</f>
        <v>IOR-00199</v>
      </c>
      <c r="I64" s="14" t="str">
        <f t="array" ref="I64">IFERROR(IF(INDEX($C$27:$C$85,MATCH(LEFT(H64,255),LEFT($B$27:$B$85,255),0))=0,"",INDEX($C$27:$C$85,MATCH(LEFT(H64,255),LEFT($B$27:$B$85,255),0))),"")</f>
        <v>TB O-2a Treatment success rate of all forms of TB - bacteriologically confirmed plus clinically diagnosed, new and relapse</v>
      </c>
      <c r="J64" s="14"/>
      <c r="K64" s="15" t="s">
        <v>1037</v>
      </c>
      <c r="L64" s="14" t="str">
        <f t="shared" si="0"/>
        <v>IOR-00218</v>
      </c>
      <c r="M64" s="14" t="s">
        <v>893</v>
      </c>
      <c r="N64" s="14" t="s">
        <v>669</v>
      </c>
      <c r="O64" s="14" t="b">
        <v>0</v>
      </c>
      <c r="P64" s="18">
        <v>60020</v>
      </c>
    </row>
    <row r="65" spans="2:16">
      <c r="B65" s="14" t="s">
        <v>1016</v>
      </c>
      <c r="C65" s="16" t="s">
        <v>1017</v>
      </c>
      <c r="D65" s="15" t="s">
        <v>1018</v>
      </c>
      <c r="E65" s="14" t="s">
        <v>315</v>
      </c>
      <c r="F65" s="14" t="str">
        <f t="array" ref="F65">IFERROR(INDEX($C$27:$C$85, MATCH(0, COUNTIF($F$26:F64, $C$27:$C$85&amp;"") + IF($C$27:$C$85="",1,0), 0)), "")</f>
        <v>TB O-6 Treatment coverage of RR-TB and/or MDR-TB: Percentage of notified people with bacteriologically confirmed, drug resistant RR-TB and/or MDR-TB as a proportion of all estimated people with RR-TB and/or MDR-TB</v>
      </c>
      <c r="G65" s="14" t="s">
        <v>1019</v>
      </c>
      <c r="H65" s="14" t="str">
        <f t="array" ref="H65">IFERROR(INDEX($B$27:$B$85, MATCH(0, COUNTIF($H$26:H64, $B$27:$B$85&amp;"") + IF($B$27:$B$85="",1,0), 0)), "")</f>
        <v>IOR-00200</v>
      </c>
      <c r="I65" s="14" t="str">
        <f t="array" ref="I65">IFERROR(IF(INDEX($C$27:$C$85,MATCH(LEFT(H65,255),LEFT($B$27:$B$85,255),0))=0,"",INDEX($C$27:$C$85,MATCH(LEFT(H65,255),LEFT($B$27:$B$85,255),0))),"")</f>
        <v>TB O-6 Treatment coverage of RR-TB and/or MDR-TB: Percentage of notified people with bacteriologically confirmed, drug resistant RR-TB and/or MDR-TB as a proportion of all estimated people with RR-TB and/or MDR-TB</v>
      </c>
      <c r="J65" s="14"/>
      <c r="K65" s="15" t="s">
        <v>1038</v>
      </c>
      <c r="L65" s="14" t="str">
        <f t="shared" si="0"/>
        <v>IOR-00219</v>
      </c>
      <c r="M65" s="14" t="s">
        <v>893</v>
      </c>
      <c r="N65" s="14" t="s">
        <v>669</v>
      </c>
      <c r="O65" s="14" t="b">
        <v>0</v>
      </c>
      <c r="P65" s="18">
        <v>60030</v>
      </c>
    </row>
    <row r="66" spans="2:16">
      <c r="B66" s="14" t="s">
        <v>1021</v>
      </c>
      <c r="C66" s="16" t="s">
        <v>1022</v>
      </c>
      <c r="D66" s="15" t="s">
        <v>1023</v>
      </c>
      <c r="E66" s="14" t="s">
        <v>315</v>
      </c>
      <c r="F66" s="14" t="str">
        <f t="array" ref="F66">IFERROR(INDEX($C$27:$C$85, MATCH(0, COUNTIF($F$26:F65, $C$27:$C$85&amp;"") + IF($C$27:$C$85="",1,0), 0)), "")</f>
        <v>TB O-4 Treatment success rate of RR-TB and/or MDR-TB: Percentage of patients with RR and/or MDR-TB successfully treated</v>
      </c>
      <c r="G66" s="14" t="s">
        <v>1024</v>
      </c>
      <c r="H66" s="14" t="str">
        <f t="array" ref="H66">IFERROR(INDEX($B$27:$B$85, MATCH(0, COUNTIF($H$26:H65, $B$27:$B$85&amp;"") + IF($B$27:$B$85="",1,0), 0)), "")</f>
        <v>IOR-00201</v>
      </c>
      <c r="I66" s="14" t="str">
        <f t="array" ref="I66">IFERROR(IF(INDEX($C$27:$C$85,MATCH(LEFT(H66,255),LEFT($B$27:$B$85,255),0))=0,"",INDEX($C$27:$C$85,MATCH(LEFT(H66,255),LEFT($B$27:$B$85,255),0))),"")</f>
        <v>TB O-4 Treatment success rate of RR-TB and/or MDR-TB: Percentage of patients with RR and/or MDR-TB successfully treated</v>
      </c>
      <c r="J66" s="14"/>
      <c r="K66" s="15" t="s">
        <v>1039</v>
      </c>
      <c r="L66" s="14" t="str">
        <f t="shared" si="0"/>
        <v>IOR-00220</v>
      </c>
      <c r="M66" s="14" t="s">
        <v>893</v>
      </c>
      <c r="N66" s="14" t="s">
        <v>669</v>
      </c>
      <c r="O66" s="14" t="b">
        <v>0</v>
      </c>
      <c r="P66" s="18">
        <v>60040</v>
      </c>
    </row>
    <row r="67" spans="2:16">
      <c r="B67" s="14" t="s">
        <v>1026</v>
      </c>
      <c r="C67" s="16" t="s">
        <v>1027</v>
      </c>
      <c r="D67" s="15" t="s">
        <v>1028</v>
      </c>
      <c r="E67" s="14" t="s">
        <v>315</v>
      </c>
      <c r="F67" s="14" t="str">
        <f t="array" ref="F67">IFERROR(INDEX($C$27:$C$85, MATCH(0, COUNTIF($F$26:F66, $C$27:$C$85&amp;"") + IF($C$27:$C$85="",1,0), 0)), "")</f>
        <v>TB O-7 Percentage of people diagnosed with TB who experienced self-stigma that inhibited them from seeking and accessing TB services</v>
      </c>
      <c r="G67" s="14" t="s">
        <v>1029</v>
      </c>
      <c r="H67" s="14" t="str">
        <f t="array" ref="H67">IFERROR(INDEX($B$27:$B$85, MATCH(0, COUNTIF($H$26:H66, $B$27:$B$85&amp;"") + IF($B$27:$B$85="",1,0), 0)), "")</f>
        <v>IOR-00202</v>
      </c>
      <c r="I67" s="14" t="str">
        <f t="array" ref="I67">IFERROR(IF(INDEX($C$27:$C$85,MATCH(LEFT(H67,255),LEFT($B$27:$B$85,255),0))=0,"",INDEX($C$27:$C$85,MATCH(LEFT(H67,255),LEFT($B$27:$B$85,255),0))),"")</f>
        <v>TB O-7 Percentage of people diagnosed with TB who experienced self-stigma that inhibited them from seeking and accessing TB services</v>
      </c>
      <c r="J67" s="14"/>
      <c r="K67" s="15" t="s">
        <v>1040</v>
      </c>
      <c r="L67" s="14" t="str">
        <f t="shared" si="0"/>
        <v>IOR-00221</v>
      </c>
      <c r="M67" s="14" t="s">
        <v>893</v>
      </c>
      <c r="N67" s="14" t="s">
        <v>669</v>
      </c>
      <c r="O67" s="14" t="b">
        <v>0</v>
      </c>
      <c r="P67" s="18">
        <v>60050</v>
      </c>
    </row>
    <row r="68" spans="2:16">
      <c r="B68" s="14" t="s">
        <v>1031</v>
      </c>
      <c r="C68" s="16" t="s">
        <v>1032</v>
      </c>
      <c r="D68" s="15" t="s">
        <v>1033</v>
      </c>
      <c r="E68" s="14" t="s">
        <v>315</v>
      </c>
      <c r="F68" s="14" t="str">
        <f t="array" ref="F68">IFERROR(INDEX($C$27:$C$85, MATCH(0, COUNTIF($F$26:F67, $C$27:$C$85&amp;"") + IF($C$27:$C$85="",1,0), 0)), "")</f>
        <v>TB O-8 Percentage of people diagnosed with TB who report stigma in health care settings that inhibited them from seeking and accessing TB services</v>
      </c>
      <c r="G68" s="14" t="s">
        <v>1034</v>
      </c>
      <c r="H68" s="14" t="str">
        <f t="array" ref="H68">IFERROR(INDEX($B$27:$B$85, MATCH(0, COUNTIF($H$26:H67, $B$27:$B$85&amp;"") + IF($B$27:$B$85="",1,0), 0)), "")</f>
        <v>IOR-00203</v>
      </c>
      <c r="I68" s="14" t="str">
        <f t="array" ref="I68">IFERROR(IF(INDEX($C$27:$C$85,MATCH(LEFT(H68,255),LEFT($B$27:$B$85,255),0))=0,"",INDEX($C$27:$C$85,MATCH(LEFT(H68,255),LEFT($B$27:$B$85,255),0))),"")</f>
        <v>TB O-8 Percentage of people diagnosed with TB who report stigma in health care settings that inhibited them from seeking and accessing TB services</v>
      </c>
      <c r="J68" s="14"/>
      <c r="K68" s="15" t="s">
        <v>1041</v>
      </c>
      <c r="L68" s="14" t="str">
        <f t="shared" si="0"/>
        <v>IOR-00222</v>
      </c>
      <c r="M68" s="14" t="s">
        <v>893</v>
      </c>
      <c r="N68" s="14" t="s">
        <v>669</v>
      </c>
      <c r="O68" s="14" t="b">
        <v>0</v>
      </c>
      <c r="P68" s="18">
        <v>60060</v>
      </c>
    </row>
    <row r="69" spans="2:16">
      <c r="B69" s="14" t="s">
        <v>1042</v>
      </c>
      <c r="C69" s="16" t="s">
        <v>1043</v>
      </c>
      <c r="D69" s="15" t="s">
        <v>856</v>
      </c>
      <c r="E69" s="14" t="s">
        <v>314</v>
      </c>
      <c r="F69" s="14" t="str">
        <f t="array" ref="F69">IFERROR(INDEX($C$27:$C$85, MATCH(0, COUNTIF($F$26:F68, $C$27:$C$85&amp;"") + IF($C$27:$C$85="",1,0), 0)), "")</f>
        <v>TB O-9 Percentage of people diagnosed with TB who report stigma in community settings that inhibited them from seeking and accessing TB services</v>
      </c>
      <c r="G69" s="14" t="s">
        <v>1044</v>
      </c>
      <c r="H69" s="14" t="str">
        <f t="array" ref="H69">IFERROR(INDEX($B$27:$B$85, MATCH(0, COUNTIF($H$26:H68, $B$27:$B$85&amp;"") + IF($B$27:$B$85="",1,0), 0)), "")</f>
        <v>IOR-00204</v>
      </c>
      <c r="I69" s="14" t="str">
        <f t="array" ref="I69">IFERROR(IF(INDEX($C$27:$C$85,MATCH(LEFT(H69,255),LEFT($B$27:$B$85,255),0))=0,"",INDEX($C$27:$C$85,MATCH(LEFT(H69,255),LEFT($B$27:$B$85,255),0))),"")</f>
        <v>TB O-9 Percentage of people diagnosed with TB who report stigma in community settings that inhibited them from seeking and accessing TB services</v>
      </c>
      <c r="J69" s="14"/>
      <c r="K69" s="15" t="s">
        <v>1045</v>
      </c>
      <c r="L69" s="14" t="str">
        <f t="shared" si="0"/>
        <v>IOR-00198</v>
      </c>
      <c r="M69" s="14" t="s">
        <v>893</v>
      </c>
      <c r="N69" s="14" t="s">
        <v>669</v>
      </c>
      <c r="O69" s="14" t="b">
        <v>0</v>
      </c>
      <c r="P69" s="18">
        <v>21010</v>
      </c>
    </row>
    <row r="70" spans="2:16">
      <c r="B70" s="14" t="s">
        <v>1046</v>
      </c>
      <c r="C70" s="16" t="s">
        <v>1047</v>
      </c>
      <c r="D70" s="15"/>
      <c r="E70" s="14" t="s">
        <v>314</v>
      </c>
      <c r="F70" s="14" t="str">
        <f t="array" ref="F70">IFERROR(INDEX($C$27:$C$85, MATCH(0, COUNTIF($F$26:F69, $C$27:$C$85&amp;"") + IF($C$27:$C$85="",1,0), 0)), "")</f>
        <v/>
      </c>
      <c r="G70" s="14" t="s">
        <v>1048</v>
      </c>
      <c r="H70" s="14" t="str">
        <f t="array" ref="H70">IFERROR(INDEX($B$27:$B$85, MATCH(0, COUNTIF($H$26:H69, $B$27:$B$85&amp;"") + IF($B$27:$B$85="",1,0), 0)), "")</f>
        <v/>
      </c>
      <c r="I70" s="14" t="str">
        <f t="array" ref="I70">IFERROR(IF(INDEX($C$27:$C$85,MATCH(LEFT(H70,255),LEFT($B$27:$B$85,255),0))=0,"",INDEX($C$27:$C$85,MATCH(LEFT(H70,255),LEFT($B$27:$B$85,255),0))),"")</f>
        <v/>
      </c>
      <c r="J70" s="14"/>
      <c r="K70" s="15" t="s">
        <v>1049</v>
      </c>
      <c r="L70" s="14" t="str">
        <f t="shared" si="0"/>
        <v>IOR-00199</v>
      </c>
      <c r="M70" s="14" t="s">
        <v>893</v>
      </c>
      <c r="N70" s="14" t="s">
        <v>669</v>
      </c>
      <c r="O70" s="14" t="b">
        <v>0</v>
      </c>
      <c r="P70" s="18">
        <v>21020</v>
      </c>
    </row>
    <row r="71" spans="2:16">
      <c r="B71" s="14" t="s">
        <v>1050</v>
      </c>
      <c r="C71" s="16" t="s">
        <v>1051</v>
      </c>
      <c r="D71" s="15"/>
      <c r="E71" s="14" t="s">
        <v>314</v>
      </c>
      <c r="F71" s="14" t="str">
        <f t="array" ref="F71">IFERROR(INDEX($C$27:$C$85, MATCH(0, COUNTIF($F$26:F70, $C$27:$C$85&amp;"") + IF($C$27:$C$85="",1,0), 0)), "")</f>
        <v/>
      </c>
      <c r="G71" s="14" t="s">
        <v>1052</v>
      </c>
      <c r="H71" s="14" t="str">
        <f t="array" ref="H71">IFERROR(INDEX($B$27:$B$85, MATCH(0, COUNTIF($H$26:H70, $B$27:$B$85&amp;"") + IF($B$27:$B$85="",1,0), 0)), "")</f>
        <v/>
      </c>
      <c r="I71" s="14" t="str">
        <f t="array" ref="I71">IFERROR(IF(INDEX($C$27:$C$85,MATCH(LEFT(H71,255),LEFT($B$27:$B$85,255),0))=0,"",INDEX($C$27:$C$85,MATCH(LEFT(H71,255),LEFT($B$27:$B$85,255),0))),"")</f>
        <v/>
      </c>
      <c r="J71" s="14"/>
      <c r="K71" s="15" t="s">
        <v>1053</v>
      </c>
      <c r="L71" s="14" t="str">
        <f t="shared" si="0"/>
        <v>IOR-00200</v>
      </c>
      <c r="M71" s="14" t="s">
        <v>893</v>
      </c>
      <c r="N71" s="14" t="s">
        <v>669</v>
      </c>
      <c r="O71" s="14" t="b">
        <v>0</v>
      </c>
      <c r="P71" s="18">
        <v>21030</v>
      </c>
    </row>
    <row r="72" spans="2:16">
      <c r="B72" s="14" t="s">
        <v>1054</v>
      </c>
      <c r="C72" s="16" t="s">
        <v>1055</v>
      </c>
      <c r="D72" s="15"/>
      <c r="E72" s="14" t="s">
        <v>314</v>
      </c>
      <c r="F72" s="14" t="str">
        <f t="array" ref="F72">IFERROR(INDEX($C$27:$C$85, MATCH(0, COUNTIF($F$26:F71, $C$27:$C$85&amp;"") + IF($C$27:$C$85="",1,0), 0)), "")</f>
        <v/>
      </c>
      <c r="G72" s="14" t="s">
        <v>1056</v>
      </c>
      <c r="H72" s="14" t="str">
        <f t="array" ref="H72">IFERROR(INDEX($B$27:$B$85, MATCH(0, COUNTIF($H$26:H71, $B$27:$B$85&amp;"") + IF($B$27:$B$85="",1,0), 0)), "")</f>
        <v/>
      </c>
      <c r="I72" s="14" t="str">
        <f t="array" ref="I72">IFERROR(IF(INDEX($C$27:$C$85,MATCH(LEFT(H72,255),LEFT($B$27:$B$85,255),0))=0,"",INDEX($C$27:$C$85,MATCH(LEFT(H72,255),LEFT($B$27:$B$85,255),0))),"")</f>
        <v/>
      </c>
      <c r="J72" s="14"/>
      <c r="K72" s="15" t="s">
        <v>1057</v>
      </c>
      <c r="L72" s="14" t="str">
        <f t="shared" si="0"/>
        <v>IOR-00201</v>
      </c>
      <c r="M72" s="14" t="s">
        <v>893</v>
      </c>
      <c r="N72" s="14" t="s">
        <v>669</v>
      </c>
      <c r="O72" s="14" t="b">
        <v>0</v>
      </c>
      <c r="P72" s="18">
        <v>21040</v>
      </c>
    </row>
    <row r="73" spans="2:16">
      <c r="B73" s="14" t="s">
        <v>1058</v>
      </c>
      <c r="C73" s="16" t="s">
        <v>1059</v>
      </c>
      <c r="D73" s="15"/>
      <c r="E73" s="14" t="s">
        <v>314</v>
      </c>
      <c r="F73" s="14" t="str">
        <f t="array" ref="F73">IFERROR(INDEX($C$27:$C$85, MATCH(0, COUNTIF($F$26:F72, $C$27:$C$85&amp;"") + IF($C$27:$C$85="",1,0), 0)), "")</f>
        <v/>
      </c>
      <c r="G73" s="14" t="s">
        <v>1060</v>
      </c>
      <c r="H73" s="14" t="str">
        <f t="array" ref="H73">IFERROR(INDEX($B$27:$B$85, MATCH(0, COUNTIF($H$26:H72, $B$27:$B$85&amp;"") + IF($B$27:$B$85="",1,0), 0)), "")</f>
        <v/>
      </c>
      <c r="I73" s="14" t="str">
        <f t="array" ref="I73">IFERROR(IF(INDEX($C$27:$C$85,MATCH(LEFT(H73,255),LEFT($B$27:$B$85,255),0))=0,"",INDEX($C$27:$C$85,MATCH(LEFT(H73,255),LEFT($B$27:$B$85,255),0))),"")</f>
        <v/>
      </c>
      <c r="J73" s="14"/>
      <c r="K73" s="15" t="s">
        <v>1061</v>
      </c>
      <c r="L73" s="14" t="str">
        <f t="shared" si="0"/>
        <v>IOR-00202</v>
      </c>
      <c r="M73" s="14" t="s">
        <v>893</v>
      </c>
      <c r="N73" s="14" t="s">
        <v>669</v>
      </c>
      <c r="O73" s="14" t="b">
        <v>0</v>
      </c>
      <c r="P73" s="18">
        <v>21050</v>
      </c>
    </row>
    <row r="74" spans="2:16">
      <c r="B74" s="14" t="s">
        <v>1062</v>
      </c>
      <c r="C74" s="16" t="s">
        <v>1063</v>
      </c>
      <c r="D74" s="15"/>
      <c r="E74" s="14" t="s">
        <v>314</v>
      </c>
      <c r="F74" s="14" t="str">
        <f t="array" ref="F74">IFERROR(INDEX($C$27:$C$85, MATCH(0, COUNTIF($F$26:F73, $C$27:$C$85&amp;"") + IF($C$27:$C$85="",1,0), 0)), "")</f>
        <v/>
      </c>
      <c r="G74" s="14" t="s">
        <v>1064</v>
      </c>
      <c r="H74" s="14" t="str">
        <f t="array" ref="H74">IFERROR(INDEX($B$27:$B$85, MATCH(0, COUNTIF($H$26:H73, $B$27:$B$85&amp;"") + IF($B$27:$B$85="",1,0), 0)), "")</f>
        <v/>
      </c>
      <c r="I74" s="14" t="str">
        <f t="array" ref="I74">IFERROR(IF(INDEX($C$27:$C$85,MATCH(LEFT(H74,255),LEFT($B$27:$B$85,255),0))=0,"",INDEX($C$27:$C$85,MATCH(LEFT(H74,255),LEFT($B$27:$B$85,255),0))),"")</f>
        <v/>
      </c>
      <c r="J74" s="14"/>
      <c r="K74" s="15" t="s">
        <v>1065</v>
      </c>
      <c r="L74" s="14" t="str">
        <f t="shared" si="0"/>
        <v>IOR-00203</v>
      </c>
      <c r="M74" s="14" t="s">
        <v>893</v>
      </c>
      <c r="N74" s="14" t="s">
        <v>669</v>
      </c>
      <c r="O74" s="14" t="b">
        <v>0</v>
      </c>
      <c r="P74" s="18">
        <v>21060</v>
      </c>
    </row>
    <row r="75" spans="2:16">
      <c r="B75" s="14" t="s">
        <v>1066</v>
      </c>
      <c r="C75" s="16" t="s">
        <v>1067</v>
      </c>
      <c r="D75" s="15"/>
      <c r="E75" s="14" t="s">
        <v>314</v>
      </c>
      <c r="F75" s="14" t="str">
        <f t="array" ref="F75">IFERROR(INDEX($C$27:$C$85, MATCH(0, COUNTIF($F$26:F74, $C$27:$C$85&amp;"") + IF($C$27:$C$85="",1,0), 0)), "")</f>
        <v/>
      </c>
      <c r="G75" s="14" t="s">
        <v>1068</v>
      </c>
      <c r="H75" s="14" t="str">
        <f t="array" ref="H75">IFERROR(INDEX($B$27:$B$85, MATCH(0, COUNTIF($H$26:H74, $B$27:$B$85&amp;"") + IF($B$27:$B$85="",1,0), 0)), "")</f>
        <v/>
      </c>
      <c r="I75" s="14" t="str">
        <f t="array" ref="I75">IFERROR(IF(INDEX($C$27:$C$85,MATCH(LEFT(H75,255),LEFT($B$27:$B$85,255),0))=0,"",INDEX($C$27:$C$85,MATCH(LEFT(H75,255),LEFT($B$27:$B$85,255),0))),"")</f>
        <v/>
      </c>
      <c r="J75" s="14"/>
      <c r="K75" s="15" t="s">
        <v>1069</v>
      </c>
      <c r="L75" s="14" t="str">
        <f t="shared" si="0"/>
        <v>IOR-00204</v>
      </c>
      <c r="M75" s="14" t="s">
        <v>893</v>
      </c>
      <c r="N75" s="14" t="s">
        <v>669</v>
      </c>
      <c r="O75" s="14" t="b">
        <v>0</v>
      </c>
      <c r="P75" s="18">
        <v>21070</v>
      </c>
    </row>
    <row r="76" spans="2:16">
      <c r="B76" s="14" t="s">
        <v>1008</v>
      </c>
      <c r="C76" s="16" t="s">
        <v>1009</v>
      </c>
      <c r="D76" s="15"/>
      <c r="E76" s="14" t="s">
        <v>314</v>
      </c>
      <c r="F76" s="14" t="str">
        <f t="array" ref="F76">IFERROR(INDEX($C$27:$C$85, MATCH(0, COUNTIF($F$26:F75, $C$27:$C$85&amp;"") + IF($C$27:$C$85="",1,0), 0)), "")</f>
        <v/>
      </c>
      <c r="G76" s="14" t="s">
        <v>1010</v>
      </c>
      <c r="H76" s="14" t="str">
        <f t="array" ref="H76">IFERROR(INDEX($B$27:$B$85, MATCH(0, COUNTIF($H$26:H75, $B$27:$B$85&amp;"") + IF($B$27:$B$85="",1,0), 0)), "")</f>
        <v/>
      </c>
      <c r="I76" s="14" t="str">
        <f t="array" ref="I76">IFERROR(IF(INDEX($C$27:$C$85,MATCH(LEFT(H76,255),LEFT($B$27:$B$85,255),0))=0,"",INDEX($C$27:$C$85,MATCH(LEFT(H76,255),LEFT($B$27:$B$85,255),0))),"")</f>
        <v/>
      </c>
      <c r="J76" s="14"/>
      <c r="K76" s="15" t="s">
        <v>1070</v>
      </c>
      <c r="L76" s="14" t="str">
        <f t="shared" si="0"/>
        <v>IOR-00217</v>
      </c>
      <c r="M76" s="14" t="s">
        <v>893</v>
      </c>
      <c r="N76" s="14" t="s">
        <v>669</v>
      </c>
      <c r="O76" s="14" t="b">
        <v>0</v>
      </c>
      <c r="P76" s="18">
        <v>60010</v>
      </c>
    </row>
    <row r="77" spans="2:16">
      <c r="B77" s="14" t="s">
        <v>1012</v>
      </c>
      <c r="C77" s="16" t="s">
        <v>1013</v>
      </c>
      <c r="D77" s="15"/>
      <c r="E77" s="14" t="s">
        <v>314</v>
      </c>
      <c r="F77" s="14" t="str">
        <f t="array" ref="F77">IFERROR(INDEX($C$27:$C$85, MATCH(0, COUNTIF($F$26:F76, $C$27:$C$85&amp;"") + IF($C$27:$C$85="",1,0), 0)), "")</f>
        <v/>
      </c>
      <c r="G77" s="14" t="s">
        <v>1014</v>
      </c>
      <c r="H77" s="14" t="str">
        <f t="array" ref="H77">IFERROR(INDEX($B$27:$B$85, MATCH(0, COUNTIF($H$26:H76, $B$27:$B$85&amp;"") + IF($B$27:$B$85="",1,0), 0)), "")</f>
        <v/>
      </c>
      <c r="I77" s="14" t="str">
        <f t="array" ref="I77">IFERROR(IF(INDEX($C$27:$C$85,MATCH(LEFT(H77,255),LEFT($B$27:$B$85,255),0))=0,"",INDEX($C$27:$C$85,MATCH(LEFT(H77,255),LEFT($B$27:$B$85,255),0))),"")</f>
        <v/>
      </c>
      <c r="J77" s="14"/>
      <c r="K77" s="15" t="s">
        <v>1071</v>
      </c>
      <c r="L77" s="14" t="str">
        <f t="shared" si="0"/>
        <v>IOR-00218</v>
      </c>
      <c r="M77" s="14" t="s">
        <v>893</v>
      </c>
      <c r="N77" s="14" t="s">
        <v>669</v>
      </c>
      <c r="O77" s="14" t="b">
        <v>0</v>
      </c>
      <c r="P77" s="18">
        <v>60020</v>
      </c>
    </row>
    <row r="78" spans="2:16">
      <c r="B78" s="14" t="s">
        <v>1016</v>
      </c>
      <c r="C78" s="16" t="s">
        <v>1017</v>
      </c>
      <c r="D78" s="15" t="s">
        <v>1018</v>
      </c>
      <c r="E78" s="14" t="s">
        <v>314</v>
      </c>
      <c r="F78" s="14" t="str">
        <f t="array" ref="F78">IFERROR(INDEX($C$27:$C$85, MATCH(0, COUNTIF($F$26:F77, $C$27:$C$85&amp;"") + IF($C$27:$C$85="",1,0), 0)), "")</f>
        <v/>
      </c>
      <c r="G78" s="14" t="s">
        <v>1019</v>
      </c>
      <c r="H78" s="14" t="str">
        <f t="array" ref="H78">IFERROR(INDEX($B$27:$B$85, MATCH(0, COUNTIF($H$26:H77, $B$27:$B$85&amp;"") + IF($B$27:$B$85="",1,0), 0)), "")</f>
        <v/>
      </c>
      <c r="I78" s="14" t="str">
        <f t="array" ref="I78">IFERROR(IF(INDEX($C$27:$C$85,MATCH(LEFT(H78,255),LEFT($B$27:$B$85,255),0))=0,"",INDEX($C$27:$C$85,MATCH(LEFT(H78,255),LEFT($B$27:$B$85,255),0))),"")</f>
        <v/>
      </c>
      <c r="J78" s="14"/>
      <c r="K78" s="15" t="s">
        <v>1072</v>
      </c>
      <c r="L78" s="14" t="str">
        <f t="shared" si="0"/>
        <v>IOR-00219</v>
      </c>
      <c r="M78" s="14" t="s">
        <v>893</v>
      </c>
      <c r="N78" s="14" t="s">
        <v>669</v>
      </c>
      <c r="O78" s="14" t="b">
        <v>0</v>
      </c>
      <c r="P78" s="18">
        <v>60030</v>
      </c>
    </row>
    <row r="79" spans="2:16">
      <c r="B79" s="14" t="s">
        <v>1021</v>
      </c>
      <c r="C79" s="16" t="s">
        <v>1022</v>
      </c>
      <c r="D79" s="15" t="s">
        <v>1023</v>
      </c>
      <c r="E79" s="14" t="s">
        <v>314</v>
      </c>
      <c r="F79" s="14" t="str">
        <f t="array" ref="F79">IFERROR(INDEX($C$27:$C$85, MATCH(0, COUNTIF($F$26:F78, $C$27:$C$85&amp;"") + IF($C$27:$C$85="",1,0), 0)), "")</f>
        <v/>
      </c>
      <c r="G79" s="14" t="s">
        <v>1024</v>
      </c>
      <c r="H79" s="14" t="str">
        <f t="array" ref="H79">IFERROR(INDEX($B$27:$B$85, MATCH(0, COUNTIF($H$26:H78, $B$27:$B$85&amp;"") + IF($B$27:$B$85="",1,0), 0)), "")</f>
        <v/>
      </c>
      <c r="I79" s="14" t="str">
        <f t="array" ref="I79">IFERROR(IF(INDEX($C$27:$C$85,MATCH(LEFT(H79,255),LEFT($B$27:$B$85,255),0))=0,"",INDEX($C$27:$C$85,MATCH(LEFT(H79,255),LEFT($B$27:$B$85,255),0))),"")</f>
        <v/>
      </c>
      <c r="J79" s="14"/>
      <c r="K79" s="15" t="s">
        <v>1073</v>
      </c>
      <c r="L79" s="14" t="str">
        <f t="shared" si="0"/>
        <v>IOR-00220</v>
      </c>
      <c r="M79" s="14" t="s">
        <v>893</v>
      </c>
      <c r="N79" s="14" t="s">
        <v>669</v>
      </c>
      <c r="O79" s="14" t="b">
        <v>0</v>
      </c>
      <c r="P79" s="18">
        <v>60040</v>
      </c>
    </row>
    <row r="80" spans="2:16">
      <c r="B80" s="14" t="s">
        <v>1026</v>
      </c>
      <c r="C80" s="16" t="s">
        <v>1027</v>
      </c>
      <c r="D80" s="15" t="s">
        <v>1028</v>
      </c>
      <c r="E80" s="14" t="s">
        <v>314</v>
      </c>
      <c r="F80" s="14" t="str">
        <f t="array" ref="F80">IFERROR(INDEX($C$27:$C$85, MATCH(0, COUNTIF($F$26:F79, $C$27:$C$85&amp;"") + IF($C$27:$C$85="",1,0), 0)), "")</f>
        <v/>
      </c>
      <c r="G80" s="14" t="s">
        <v>1029</v>
      </c>
      <c r="H80" s="14" t="str">
        <f t="array" ref="H80">IFERROR(INDEX($B$27:$B$85, MATCH(0, COUNTIF($H$26:H79, $B$27:$B$85&amp;"") + IF($B$27:$B$85="",1,0), 0)), "")</f>
        <v/>
      </c>
      <c r="I80" s="14" t="str">
        <f t="array" ref="I80">IFERROR(IF(INDEX($C$27:$C$85,MATCH(LEFT(H80,255),LEFT($B$27:$B$85,255),0))=0,"",INDEX($C$27:$C$85,MATCH(LEFT(H80,255),LEFT($B$27:$B$85,255),0))),"")</f>
        <v/>
      </c>
      <c r="J80" s="14"/>
      <c r="K80" s="15" t="s">
        <v>1074</v>
      </c>
      <c r="L80" s="14" t="str">
        <f t="shared" si="0"/>
        <v>IOR-00221</v>
      </c>
      <c r="M80" s="14" t="s">
        <v>893</v>
      </c>
      <c r="N80" s="14" t="s">
        <v>669</v>
      </c>
      <c r="O80" s="14" t="b">
        <v>0</v>
      </c>
      <c r="P80" s="18">
        <v>60050</v>
      </c>
    </row>
    <row r="81" spans="1:16">
      <c r="B81" s="14" t="s">
        <v>1031</v>
      </c>
      <c r="C81" s="16" t="s">
        <v>1032</v>
      </c>
      <c r="D81" s="15" t="s">
        <v>1033</v>
      </c>
      <c r="E81" s="14" t="s">
        <v>314</v>
      </c>
      <c r="F81" s="14" t="str">
        <f t="array" ref="F81">IFERROR(INDEX($C$27:$C$85, MATCH(0, COUNTIF($F$26:F80, $C$27:$C$85&amp;"") + IF($C$27:$C$85="",1,0), 0)), "")</f>
        <v/>
      </c>
      <c r="G81" s="14" t="s">
        <v>1034</v>
      </c>
      <c r="H81" s="14" t="str">
        <f t="array" ref="H81">IFERROR(INDEX($B$27:$B$85, MATCH(0, COUNTIF($H$26:H80, $B$27:$B$85&amp;"") + IF($B$27:$B$85="",1,0), 0)), "")</f>
        <v/>
      </c>
      <c r="I81" s="14" t="str">
        <f t="array" ref="I81">IFERROR(IF(INDEX($C$27:$C$85,MATCH(LEFT(H81,255),LEFT($B$27:$B$85,255),0))=0,"",INDEX($C$27:$C$85,MATCH(LEFT(H81,255),LEFT($B$27:$B$85,255),0))),"")</f>
        <v/>
      </c>
      <c r="J81" s="14"/>
      <c r="K81" s="15" t="s">
        <v>1075</v>
      </c>
      <c r="L81" s="14" t="str">
        <f t="shared" si="0"/>
        <v>IOR-00222</v>
      </c>
      <c r="M81" s="14" t="s">
        <v>893</v>
      </c>
      <c r="N81" s="14" t="s">
        <v>669</v>
      </c>
      <c r="O81" s="14" t="b">
        <v>0</v>
      </c>
      <c r="P81" s="18">
        <v>60060</v>
      </c>
    </row>
    <row r="82" spans="1:16">
      <c r="B82" s="14"/>
      <c r="C82" s="16"/>
      <c r="D82" s="15"/>
      <c r="E82" s="14"/>
      <c r="F82" s="14"/>
      <c r="G82" s="14"/>
      <c r="H82" s="14"/>
      <c r="I82" s="14"/>
      <c r="J82" s="14"/>
      <c r="K82" s="15"/>
    </row>
    <row r="83" spans="1:16">
      <c r="B83" s="14"/>
      <c r="C83" s="16"/>
      <c r="D83" s="15"/>
      <c r="E83" s="14"/>
      <c r="F83" s="14"/>
      <c r="G83" s="14"/>
      <c r="H83" s="14"/>
      <c r="I83" s="14"/>
      <c r="J83" s="14"/>
      <c r="K83" s="15"/>
    </row>
    <row r="84" spans="1:16">
      <c r="B84" s="14"/>
      <c r="C84" s="16"/>
      <c r="D84" s="15"/>
      <c r="E84" s="14"/>
      <c r="F84" s="14"/>
      <c r="G84" s="14"/>
      <c r="H84" s="14"/>
      <c r="I84" s="14"/>
      <c r="J84" s="14"/>
      <c r="K84" s="15"/>
    </row>
    <row r="86" spans="1:16">
      <c r="B86" s="2" t="s">
        <v>1076</v>
      </c>
    </row>
    <row r="87" spans="1:16">
      <c r="A87" s="369" t="s">
        <v>1077</v>
      </c>
      <c r="B87" s="367" t="s">
        <v>1078</v>
      </c>
      <c r="C87" s="367" t="s">
        <v>815</v>
      </c>
      <c r="D87" s="367" t="s">
        <v>816</v>
      </c>
      <c r="E87" s="367" t="s">
        <v>1079</v>
      </c>
      <c r="F87" s="367" t="s">
        <v>1080</v>
      </c>
      <c r="G87" s="367" t="s">
        <v>318</v>
      </c>
      <c r="H87" s="367" t="s">
        <v>1081</v>
      </c>
      <c r="I87" s="367" t="s">
        <v>822</v>
      </c>
      <c r="J87" s="367" t="s">
        <v>1082</v>
      </c>
      <c r="K87" s="367" t="s">
        <v>1083</v>
      </c>
      <c r="L87" s="14" t="s">
        <v>1084</v>
      </c>
      <c r="M87" s="14" t="s">
        <v>824</v>
      </c>
    </row>
    <row r="88" spans="1:16" hidden="1">
      <c r="A88" s="370" t="s">
        <v>1085</v>
      </c>
      <c r="B88" s="371" t="s">
        <v>1086</v>
      </c>
      <c r="C88" s="371" t="s">
        <v>826</v>
      </c>
      <c r="D88" s="371" t="s">
        <v>827</v>
      </c>
      <c r="E88" s="370"/>
      <c r="F88" s="371" t="str">
        <f t="shared" ref="F88:F151" si="1">B88</f>
        <v>[Name ID]</v>
      </c>
      <c r="G88" s="370" t="s">
        <v>321</v>
      </c>
      <c r="H88" s="371"/>
      <c r="I88" s="371" t="s">
        <v>830</v>
      </c>
      <c r="J88" s="371" t="s">
        <v>1087</v>
      </c>
      <c r="K88" s="371" t="s">
        <v>1088</v>
      </c>
      <c r="L88" s="14" t="s">
        <v>1089</v>
      </c>
      <c r="M88" s="18" t="s">
        <v>832</v>
      </c>
    </row>
    <row r="89" spans="1:16">
      <c r="A89" s="370" t="s">
        <v>440</v>
      </c>
      <c r="B89" s="371" t="s">
        <v>1090</v>
      </c>
      <c r="C89" s="371" t="s">
        <v>1091</v>
      </c>
      <c r="D89" s="371" t="s">
        <v>849</v>
      </c>
      <c r="E89" s="370"/>
      <c r="F89" s="371" t="str">
        <f t="shared" si="1"/>
        <v>MCI-01623</v>
      </c>
      <c r="G89" s="370" t="s">
        <v>1092</v>
      </c>
      <c r="H89" s="371"/>
      <c r="I89" s="371" t="s">
        <v>669</v>
      </c>
      <c r="J89" s="371" t="s">
        <v>1093</v>
      </c>
      <c r="K89" s="371" t="s">
        <v>1094</v>
      </c>
      <c r="L89" s="14" t="b">
        <v>0</v>
      </c>
      <c r="M89" s="18">
        <v>12010</v>
      </c>
    </row>
    <row r="90" spans="1:16">
      <c r="A90" s="370" t="s">
        <v>440</v>
      </c>
      <c r="B90" s="371" t="s">
        <v>1095</v>
      </c>
      <c r="C90" s="371" t="s">
        <v>1096</v>
      </c>
      <c r="D90" s="371" t="s">
        <v>1097</v>
      </c>
      <c r="E90" s="370"/>
      <c r="F90" s="371" t="str">
        <f t="shared" si="1"/>
        <v>MCI-01624</v>
      </c>
      <c r="G90" s="370" t="s">
        <v>1098</v>
      </c>
      <c r="H90" s="371"/>
      <c r="I90" s="371" t="s">
        <v>669</v>
      </c>
      <c r="J90" s="371" t="s">
        <v>1093</v>
      </c>
      <c r="K90" s="371" t="s">
        <v>650</v>
      </c>
      <c r="L90" s="14" t="b">
        <v>0</v>
      </c>
      <c r="M90" s="18">
        <v>12020</v>
      </c>
    </row>
    <row r="91" spans="1:16">
      <c r="A91" s="370" t="s">
        <v>440</v>
      </c>
      <c r="B91" s="371" t="s">
        <v>1099</v>
      </c>
      <c r="C91" s="371" t="s">
        <v>1100</v>
      </c>
      <c r="D91" s="371" t="s">
        <v>1101</v>
      </c>
      <c r="E91" s="370"/>
      <c r="F91" s="371" t="str">
        <f t="shared" si="1"/>
        <v>MCI-01625</v>
      </c>
      <c r="G91" s="370" t="s">
        <v>1102</v>
      </c>
      <c r="H91" s="371"/>
      <c r="I91" s="371" t="s">
        <v>669</v>
      </c>
      <c r="J91" s="371" t="s">
        <v>1093</v>
      </c>
      <c r="K91" s="371" t="s">
        <v>650</v>
      </c>
      <c r="L91" s="14" t="b">
        <v>0</v>
      </c>
      <c r="M91" s="18">
        <v>12030</v>
      </c>
    </row>
    <row r="92" spans="1:16">
      <c r="A92" s="370" t="s">
        <v>443</v>
      </c>
      <c r="B92" s="371" t="s">
        <v>1103</v>
      </c>
      <c r="C92" s="371" t="s">
        <v>1104</v>
      </c>
      <c r="D92" s="371" t="s">
        <v>1105</v>
      </c>
      <c r="E92" s="370"/>
      <c r="F92" s="371" t="str">
        <f t="shared" si="1"/>
        <v>MCI-01521</v>
      </c>
      <c r="G92" s="370" t="s">
        <v>1106</v>
      </c>
      <c r="H92" s="371"/>
      <c r="I92" s="371" t="s">
        <v>669</v>
      </c>
      <c r="J92" s="371" t="s">
        <v>1093</v>
      </c>
      <c r="K92" s="371" t="s">
        <v>1094</v>
      </c>
      <c r="L92" s="14" t="b">
        <v>0</v>
      </c>
      <c r="M92" s="18">
        <v>12070</v>
      </c>
    </row>
    <row r="93" spans="1:16">
      <c r="A93" s="370" t="s">
        <v>443</v>
      </c>
      <c r="B93" s="371" t="s">
        <v>1107</v>
      </c>
      <c r="C93" s="371" t="s">
        <v>1108</v>
      </c>
      <c r="D93" s="371" t="s">
        <v>1109</v>
      </c>
      <c r="E93" s="370"/>
      <c r="F93" s="371" t="str">
        <f t="shared" si="1"/>
        <v>MCI-01522</v>
      </c>
      <c r="G93" s="370" t="s">
        <v>1110</v>
      </c>
      <c r="H93" s="371"/>
      <c r="I93" s="371" t="s">
        <v>669</v>
      </c>
      <c r="J93" s="371" t="s">
        <v>1093</v>
      </c>
      <c r="K93" s="371" t="s">
        <v>650</v>
      </c>
      <c r="L93" s="14" t="b">
        <v>0</v>
      </c>
      <c r="M93" s="18">
        <v>12080</v>
      </c>
    </row>
    <row r="94" spans="1:16">
      <c r="A94" s="370" t="s">
        <v>443</v>
      </c>
      <c r="B94" s="371" t="s">
        <v>1111</v>
      </c>
      <c r="C94" s="371" t="s">
        <v>1112</v>
      </c>
      <c r="D94" s="371" t="s">
        <v>1113</v>
      </c>
      <c r="E94" s="370"/>
      <c r="F94" s="371" t="str">
        <f t="shared" si="1"/>
        <v>MCI-01523</v>
      </c>
      <c r="G94" s="370" t="s">
        <v>1114</v>
      </c>
      <c r="H94" s="371"/>
      <c r="I94" s="371" t="s">
        <v>669</v>
      </c>
      <c r="J94" s="371" t="s">
        <v>1093</v>
      </c>
      <c r="K94" s="371" t="s">
        <v>650</v>
      </c>
      <c r="L94" s="14" t="b">
        <v>0</v>
      </c>
      <c r="M94" s="18">
        <v>12090</v>
      </c>
    </row>
    <row r="95" spans="1:16">
      <c r="A95" s="370" t="s">
        <v>446</v>
      </c>
      <c r="B95" s="371" t="s">
        <v>1115</v>
      </c>
      <c r="C95" s="371" t="s">
        <v>1116</v>
      </c>
      <c r="D95" s="371" t="s">
        <v>1105</v>
      </c>
      <c r="E95" s="370"/>
      <c r="F95" s="371" t="str">
        <f t="shared" si="1"/>
        <v>MCI-01609</v>
      </c>
      <c r="G95" s="370" t="s">
        <v>1117</v>
      </c>
      <c r="H95" s="371"/>
      <c r="I95" s="371" t="s">
        <v>669</v>
      </c>
      <c r="J95" s="371" t="s">
        <v>1093</v>
      </c>
      <c r="K95" s="371" t="s">
        <v>1094</v>
      </c>
      <c r="L95" s="14" t="b">
        <v>0</v>
      </c>
      <c r="M95" s="18">
        <v>12040</v>
      </c>
    </row>
    <row r="96" spans="1:16">
      <c r="A96" s="370" t="s">
        <v>446</v>
      </c>
      <c r="B96" s="371" t="s">
        <v>1118</v>
      </c>
      <c r="C96" s="371" t="s">
        <v>1119</v>
      </c>
      <c r="D96" s="371" t="s">
        <v>1120</v>
      </c>
      <c r="E96" s="370"/>
      <c r="F96" s="371" t="str">
        <f t="shared" si="1"/>
        <v>MCI-01610</v>
      </c>
      <c r="G96" s="370" t="s">
        <v>1121</v>
      </c>
      <c r="H96" s="371"/>
      <c r="I96" s="371" t="s">
        <v>669</v>
      </c>
      <c r="J96" s="371" t="s">
        <v>1093</v>
      </c>
      <c r="K96" s="371" t="s">
        <v>650</v>
      </c>
      <c r="L96" s="14" t="b">
        <v>0</v>
      </c>
      <c r="M96" s="18">
        <v>12050</v>
      </c>
    </row>
    <row r="97" spans="1:13">
      <c r="A97" s="370" t="s">
        <v>446</v>
      </c>
      <c r="B97" s="371" t="s">
        <v>1122</v>
      </c>
      <c r="C97" s="371" t="s">
        <v>1123</v>
      </c>
      <c r="D97" s="371" t="s">
        <v>1124</v>
      </c>
      <c r="E97" s="370"/>
      <c r="F97" s="371" t="str">
        <f t="shared" si="1"/>
        <v>MCI-01611</v>
      </c>
      <c r="G97" s="370" t="s">
        <v>1125</v>
      </c>
      <c r="H97" s="371"/>
      <c r="I97" s="371" t="s">
        <v>669</v>
      </c>
      <c r="J97" s="371" t="s">
        <v>1093</v>
      </c>
      <c r="K97" s="371" t="s">
        <v>650</v>
      </c>
      <c r="L97" s="14" t="b">
        <v>0</v>
      </c>
      <c r="M97" s="18">
        <v>12060</v>
      </c>
    </row>
    <row r="98" spans="1:13">
      <c r="A98" s="370" t="s">
        <v>449</v>
      </c>
      <c r="B98" s="371" t="s">
        <v>1126</v>
      </c>
      <c r="C98" s="371" t="s">
        <v>1127</v>
      </c>
      <c r="D98" s="371" t="s">
        <v>856</v>
      </c>
      <c r="E98" s="370"/>
      <c r="F98" s="371" t="str">
        <f t="shared" si="1"/>
        <v>MCI-01524</v>
      </c>
      <c r="G98" s="370" t="s">
        <v>1128</v>
      </c>
      <c r="H98" s="371"/>
      <c r="I98" s="371" t="s">
        <v>669</v>
      </c>
      <c r="J98" s="371" t="s">
        <v>1093</v>
      </c>
      <c r="K98" s="371" t="s">
        <v>1094</v>
      </c>
      <c r="L98" s="14" t="b">
        <v>0</v>
      </c>
      <c r="M98" s="18">
        <v>12100</v>
      </c>
    </row>
    <row r="99" spans="1:13">
      <c r="A99" s="370" t="s">
        <v>449</v>
      </c>
      <c r="B99" s="371" t="s">
        <v>1129</v>
      </c>
      <c r="C99" s="371" t="s">
        <v>1130</v>
      </c>
      <c r="D99" s="371"/>
      <c r="E99" s="370"/>
      <c r="F99" s="371" t="str">
        <f t="shared" si="1"/>
        <v>MCI-01525</v>
      </c>
      <c r="G99" s="370" t="s">
        <v>1131</v>
      </c>
      <c r="H99" s="371"/>
      <c r="I99" s="371" t="s">
        <v>669</v>
      </c>
      <c r="J99" s="371" t="s">
        <v>1093</v>
      </c>
      <c r="K99" s="371" t="s">
        <v>650</v>
      </c>
      <c r="L99" s="14" t="b">
        <v>0</v>
      </c>
      <c r="M99" s="18">
        <v>12110</v>
      </c>
    </row>
    <row r="100" spans="1:13">
      <c r="A100" s="370" t="s">
        <v>449</v>
      </c>
      <c r="B100" s="371" t="s">
        <v>1132</v>
      </c>
      <c r="C100" s="371" t="s">
        <v>1133</v>
      </c>
      <c r="D100" s="371" t="s">
        <v>856</v>
      </c>
      <c r="E100" s="370"/>
      <c r="F100" s="371" t="str">
        <f t="shared" si="1"/>
        <v>MCI-01526</v>
      </c>
      <c r="G100" s="370" t="s">
        <v>1134</v>
      </c>
      <c r="H100" s="371"/>
      <c r="I100" s="371" t="s">
        <v>669</v>
      </c>
      <c r="J100" s="371" t="s">
        <v>1093</v>
      </c>
      <c r="K100" s="371" t="s">
        <v>650</v>
      </c>
      <c r="L100" s="14" t="b">
        <v>0</v>
      </c>
      <c r="M100" s="18">
        <v>12120</v>
      </c>
    </row>
    <row r="101" spans="1:13">
      <c r="A101" s="370" t="s">
        <v>449</v>
      </c>
      <c r="B101" s="371" t="s">
        <v>1135</v>
      </c>
      <c r="C101" s="371" t="s">
        <v>1136</v>
      </c>
      <c r="D101" s="371" t="s">
        <v>1137</v>
      </c>
      <c r="E101" s="370"/>
      <c r="F101" s="371" t="str">
        <f t="shared" si="1"/>
        <v>MCI-01527</v>
      </c>
      <c r="G101" s="370" t="s">
        <v>1138</v>
      </c>
      <c r="H101" s="371"/>
      <c r="I101" s="371" t="s">
        <v>669</v>
      </c>
      <c r="J101" s="371" t="s">
        <v>1093</v>
      </c>
      <c r="K101" s="371" t="s">
        <v>650</v>
      </c>
      <c r="L101" s="14" t="b">
        <v>0</v>
      </c>
      <c r="M101" s="18">
        <v>12130</v>
      </c>
    </row>
    <row r="102" spans="1:13">
      <c r="A102" s="370" t="s">
        <v>449</v>
      </c>
      <c r="B102" s="371" t="s">
        <v>1139</v>
      </c>
      <c r="C102" s="371" t="s">
        <v>1140</v>
      </c>
      <c r="D102" s="371" t="s">
        <v>856</v>
      </c>
      <c r="E102" s="370"/>
      <c r="F102" s="371" t="str">
        <f t="shared" si="1"/>
        <v>MCI-01528</v>
      </c>
      <c r="G102" s="370" t="s">
        <v>1141</v>
      </c>
      <c r="H102" s="371"/>
      <c r="I102" s="371" t="s">
        <v>669</v>
      </c>
      <c r="J102" s="371" t="s">
        <v>1093</v>
      </c>
      <c r="K102" s="371" t="s">
        <v>650</v>
      </c>
      <c r="L102" s="14" t="b">
        <v>0</v>
      </c>
      <c r="M102" s="18">
        <v>12140</v>
      </c>
    </row>
    <row r="103" spans="1:13">
      <c r="A103" s="370" t="s">
        <v>452</v>
      </c>
      <c r="B103" s="371" t="s">
        <v>1142</v>
      </c>
      <c r="C103" s="371" t="s">
        <v>1143</v>
      </c>
      <c r="D103" s="371"/>
      <c r="E103" s="370"/>
      <c r="F103" s="371" t="str">
        <f t="shared" si="1"/>
        <v>MCI-01612</v>
      </c>
      <c r="G103" s="370" t="s">
        <v>1144</v>
      </c>
      <c r="H103" s="371"/>
      <c r="I103" s="371" t="s">
        <v>669</v>
      </c>
      <c r="J103" s="371" t="s">
        <v>1093</v>
      </c>
      <c r="K103" s="371" t="s">
        <v>650</v>
      </c>
      <c r="L103" s="14" t="b">
        <v>0</v>
      </c>
      <c r="M103" s="18">
        <v>12150</v>
      </c>
    </row>
    <row r="104" spans="1:13">
      <c r="A104" s="370" t="s">
        <v>1145</v>
      </c>
      <c r="B104" s="371" t="s">
        <v>1146</v>
      </c>
      <c r="C104" s="371" t="s">
        <v>1147</v>
      </c>
      <c r="D104" s="371" t="s">
        <v>849</v>
      </c>
      <c r="E104" s="370"/>
      <c r="F104" s="371" t="str">
        <f t="shared" si="1"/>
        <v>MCI-01529</v>
      </c>
      <c r="G104" s="370" t="s">
        <v>1148</v>
      </c>
      <c r="H104" s="371"/>
      <c r="I104" s="371" t="s">
        <v>669</v>
      </c>
      <c r="J104" s="371" t="s">
        <v>1093</v>
      </c>
      <c r="K104" s="371" t="s">
        <v>1094</v>
      </c>
      <c r="L104" s="14" t="b">
        <v>0</v>
      </c>
      <c r="M104" s="18">
        <v>12160</v>
      </c>
    </row>
    <row r="105" spans="1:13">
      <c r="A105" s="370" t="s">
        <v>1149</v>
      </c>
      <c r="B105" s="371" t="s">
        <v>1150</v>
      </c>
      <c r="C105" s="371" t="s">
        <v>1151</v>
      </c>
      <c r="D105" s="371" t="s">
        <v>849</v>
      </c>
      <c r="E105" s="370"/>
      <c r="F105" s="371" t="str">
        <f t="shared" si="1"/>
        <v>MCI-01639</v>
      </c>
      <c r="G105" s="370" t="s">
        <v>1152</v>
      </c>
      <c r="H105" s="371"/>
      <c r="I105" s="371" t="s">
        <v>669</v>
      </c>
      <c r="J105" s="371" t="s">
        <v>1093</v>
      </c>
      <c r="K105" s="371" t="s">
        <v>1094</v>
      </c>
      <c r="L105" s="14" t="b">
        <v>0</v>
      </c>
      <c r="M105" s="18">
        <v>12170</v>
      </c>
    </row>
    <row r="106" spans="1:13">
      <c r="A106" s="370" t="s">
        <v>1149</v>
      </c>
      <c r="B106" s="371" t="s">
        <v>1153</v>
      </c>
      <c r="C106" s="371" t="s">
        <v>1154</v>
      </c>
      <c r="D106" s="371" t="s">
        <v>1097</v>
      </c>
      <c r="E106" s="370"/>
      <c r="F106" s="371" t="str">
        <f t="shared" si="1"/>
        <v>MCI-01640</v>
      </c>
      <c r="G106" s="370" t="s">
        <v>1155</v>
      </c>
      <c r="H106" s="371"/>
      <c r="I106" s="371" t="s">
        <v>669</v>
      </c>
      <c r="J106" s="371" t="s">
        <v>1093</v>
      </c>
      <c r="K106" s="371" t="s">
        <v>650</v>
      </c>
      <c r="L106" s="14" t="b">
        <v>0</v>
      </c>
      <c r="M106" s="18">
        <v>12180</v>
      </c>
    </row>
    <row r="107" spans="1:13">
      <c r="A107" s="370" t="s">
        <v>1149</v>
      </c>
      <c r="B107" s="371" t="s">
        <v>1156</v>
      </c>
      <c r="C107" s="371" t="s">
        <v>1157</v>
      </c>
      <c r="D107" s="371" t="s">
        <v>1101</v>
      </c>
      <c r="E107" s="370"/>
      <c r="F107" s="371" t="str">
        <f t="shared" si="1"/>
        <v>MCI-01641</v>
      </c>
      <c r="G107" s="370" t="s">
        <v>1158</v>
      </c>
      <c r="H107" s="371"/>
      <c r="I107" s="371" t="s">
        <v>669</v>
      </c>
      <c r="J107" s="371" t="s">
        <v>1093</v>
      </c>
      <c r="K107" s="371" t="s">
        <v>650</v>
      </c>
      <c r="L107" s="14" t="b">
        <v>0</v>
      </c>
      <c r="M107" s="18">
        <v>12190</v>
      </c>
    </row>
    <row r="108" spans="1:13">
      <c r="A108" s="370" t="s">
        <v>1149</v>
      </c>
      <c r="B108" s="371" t="s">
        <v>1159</v>
      </c>
      <c r="C108" s="371" t="s">
        <v>1160</v>
      </c>
      <c r="D108" s="371" t="s">
        <v>849</v>
      </c>
      <c r="E108" s="370"/>
      <c r="F108" s="371" t="str">
        <f t="shared" si="1"/>
        <v>MCI-01642</v>
      </c>
      <c r="G108" s="370" t="s">
        <v>1161</v>
      </c>
      <c r="H108" s="371"/>
      <c r="I108" s="371" t="s">
        <v>669</v>
      </c>
      <c r="J108" s="371" t="s">
        <v>1093</v>
      </c>
      <c r="K108" s="371" t="s">
        <v>650</v>
      </c>
      <c r="L108" s="14" t="b">
        <v>0</v>
      </c>
      <c r="M108" s="18">
        <v>12200</v>
      </c>
    </row>
    <row r="109" spans="1:13">
      <c r="A109" s="370" t="s">
        <v>455</v>
      </c>
      <c r="B109" s="371" t="s">
        <v>1162</v>
      </c>
      <c r="C109" s="371" t="s">
        <v>1163</v>
      </c>
      <c r="D109" s="371" t="s">
        <v>1164</v>
      </c>
      <c r="E109" s="370"/>
      <c r="F109" s="371" t="str">
        <f t="shared" si="1"/>
        <v>MCI-01530</v>
      </c>
      <c r="G109" s="370" t="s">
        <v>1165</v>
      </c>
      <c r="H109" s="371"/>
      <c r="I109" s="371" t="s">
        <v>669</v>
      </c>
      <c r="J109" s="371" t="s">
        <v>1093</v>
      </c>
      <c r="K109" s="371" t="s">
        <v>654</v>
      </c>
      <c r="L109" s="14" t="b">
        <v>0</v>
      </c>
      <c r="M109" s="18">
        <v>12210</v>
      </c>
    </row>
    <row r="110" spans="1:13">
      <c r="A110" s="370" t="s">
        <v>455</v>
      </c>
      <c r="B110" s="371" t="s">
        <v>1166</v>
      </c>
      <c r="C110" s="371" t="s">
        <v>1167</v>
      </c>
      <c r="D110" s="371" t="s">
        <v>1164</v>
      </c>
      <c r="E110" s="370"/>
      <c r="F110" s="371" t="str">
        <f t="shared" si="1"/>
        <v>MCI-01531</v>
      </c>
      <c r="G110" s="370" t="s">
        <v>1168</v>
      </c>
      <c r="H110" s="371"/>
      <c r="I110" s="371" t="s">
        <v>669</v>
      </c>
      <c r="J110" s="371" t="s">
        <v>1093</v>
      </c>
      <c r="K110" s="371" t="s">
        <v>654</v>
      </c>
      <c r="L110" s="14" t="b">
        <v>0</v>
      </c>
      <c r="M110" s="18">
        <v>12220</v>
      </c>
    </row>
    <row r="111" spans="1:13">
      <c r="A111" s="370" t="s">
        <v>455</v>
      </c>
      <c r="B111" s="371" t="s">
        <v>1169</v>
      </c>
      <c r="C111" s="371" t="s">
        <v>1170</v>
      </c>
      <c r="D111" s="371"/>
      <c r="E111" s="370"/>
      <c r="F111" s="371" t="str">
        <f t="shared" si="1"/>
        <v>MCI-01532</v>
      </c>
      <c r="G111" s="370" t="s">
        <v>1171</v>
      </c>
      <c r="H111" s="371"/>
      <c r="I111" s="371" t="s">
        <v>669</v>
      </c>
      <c r="J111" s="371" t="s">
        <v>1093</v>
      </c>
      <c r="K111" s="371" t="s">
        <v>650</v>
      </c>
      <c r="L111" s="14" t="b">
        <v>0</v>
      </c>
      <c r="M111" s="18">
        <v>12230</v>
      </c>
    </row>
    <row r="112" spans="1:13">
      <c r="A112" s="370" t="s">
        <v>458</v>
      </c>
      <c r="B112" s="371" t="s">
        <v>1172</v>
      </c>
      <c r="C112" s="371" t="s">
        <v>1173</v>
      </c>
      <c r="D112" s="371" t="s">
        <v>849</v>
      </c>
      <c r="E112" s="370"/>
      <c r="F112" s="371" t="str">
        <f t="shared" si="1"/>
        <v>MCI-01613</v>
      </c>
      <c r="G112" s="370" t="s">
        <v>1174</v>
      </c>
      <c r="H112" s="371"/>
      <c r="I112" s="371" t="s">
        <v>669</v>
      </c>
      <c r="J112" s="371" t="s">
        <v>1093</v>
      </c>
      <c r="K112" s="371" t="s">
        <v>1094</v>
      </c>
      <c r="L112" s="14" t="b">
        <v>0</v>
      </c>
      <c r="M112" s="18">
        <v>12240</v>
      </c>
    </row>
    <row r="113" spans="1:13">
      <c r="A113" s="370" t="s">
        <v>458</v>
      </c>
      <c r="B113" s="371" t="s">
        <v>1175</v>
      </c>
      <c r="C113" s="371" t="s">
        <v>1176</v>
      </c>
      <c r="D113" s="371" t="s">
        <v>849</v>
      </c>
      <c r="E113" s="370"/>
      <c r="F113" s="371" t="str">
        <f t="shared" si="1"/>
        <v>MCI-01614</v>
      </c>
      <c r="G113" s="370" t="s">
        <v>1177</v>
      </c>
      <c r="H113" s="371"/>
      <c r="I113" s="371" t="s">
        <v>669</v>
      </c>
      <c r="J113" s="371" t="s">
        <v>1093</v>
      </c>
      <c r="K113" s="371" t="s">
        <v>1094</v>
      </c>
      <c r="L113" s="14" t="b">
        <v>0</v>
      </c>
      <c r="M113" s="18">
        <v>12250</v>
      </c>
    </row>
    <row r="114" spans="1:13">
      <c r="A114" s="370" t="s">
        <v>458</v>
      </c>
      <c r="B114" s="371" t="s">
        <v>1178</v>
      </c>
      <c r="C114" s="371" t="s">
        <v>1179</v>
      </c>
      <c r="D114" s="371" t="s">
        <v>1105</v>
      </c>
      <c r="E114" s="370"/>
      <c r="F114" s="371" t="str">
        <f t="shared" si="1"/>
        <v>MCI-01615</v>
      </c>
      <c r="G114" s="370" t="s">
        <v>1180</v>
      </c>
      <c r="H114" s="371"/>
      <c r="I114" s="371" t="s">
        <v>669</v>
      </c>
      <c r="J114" s="371" t="s">
        <v>1093</v>
      </c>
      <c r="K114" s="371" t="s">
        <v>1094</v>
      </c>
      <c r="L114" s="14" t="b">
        <v>0</v>
      </c>
      <c r="M114" s="18">
        <v>12260</v>
      </c>
    </row>
    <row r="115" spans="1:13">
      <c r="A115" s="370" t="s">
        <v>458</v>
      </c>
      <c r="B115" s="371" t="s">
        <v>1181</v>
      </c>
      <c r="C115" s="371" t="s">
        <v>1182</v>
      </c>
      <c r="D115" s="371" t="s">
        <v>856</v>
      </c>
      <c r="E115" s="370"/>
      <c r="F115" s="371" t="str">
        <f t="shared" si="1"/>
        <v>MCI-01616</v>
      </c>
      <c r="G115" s="370" t="s">
        <v>1183</v>
      </c>
      <c r="H115" s="371"/>
      <c r="I115" s="371" t="s">
        <v>669</v>
      </c>
      <c r="J115" s="371" t="s">
        <v>1093</v>
      </c>
      <c r="K115" s="371" t="s">
        <v>1094</v>
      </c>
      <c r="L115" s="14" t="b">
        <v>0</v>
      </c>
      <c r="M115" s="18">
        <v>12270</v>
      </c>
    </row>
    <row r="116" spans="1:13">
      <c r="A116" s="370" t="s">
        <v>458</v>
      </c>
      <c r="B116" s="371" t="s">
        <v>1184</v>
      </c>
      <c r="C116" s="371" t="s">
        <v>1185</v>
      </c>
      <c r="D116" s="371" t="s">
        <v>856</v>
      </c>
      <c r="E116" s="370"/>
      <c r="F116" s="371" t="str">
        <f t="shared" si="1"/>
        <v>MCI-01617</v>
      </c>
      <c r="G116" s="370" t="s">
        <v>1186</v>
      </c>
      <c r="H116" s="371"/>
      <c r="I116" s="371" t="s">
        <v>669</v>
      </c>
      <c r="J116" s="371" t="s">
        <v>1093</v>
      </c>
      <c r="K116" s="371" t="s">
        <v>1094</v>
      </c>
      <c r="L116" s="14" t="b">
        <v>0</v>
      </c>
      <c r="M116" s="18">
        <v>12280</v>
      </c>
    </row>
    <row r="117" spans="1:13">
      <c r="A117" s="370" t="s">
        <v>458</v>
      </c>
      <c r="B117" s="371" t="s">
        <v>1187</v>
      </c>
      <c r="C117" s="371" t="s">
        <v>1188</v>
      </c>
      <c r="D117" s="371"/>
      <c r="E117" s="370"/>
      <c r="F117" s="371" t="str">
        <f t="shared" si="1"/>
        <v>MCI-01618</v>
      </c>
      <c r="G117" s="370" t="s">
        <v>1189</v>
      </c>
      <c r="H117" s="371"/>
      <c r="I117" s="371" t="s">
        <v>669</v>
      </c>
      <c r="J117" s="371" t="s">
        <v>1093</v>
      </c>
      <c r="K117" s="371" t="s">
        <v>1094</v>
      </c>
      <c r="L117" s="14" t="b">
        <v>0</v>
      </c>
      <c r="M117" s="18">
        <v>12290</v>
      </c>
    </row>
    <row r="118" spans="1:13">
      <c r="A118" s="370" t="s">
        <v>458</v>
      </c>
      <c r="B118" s="371" t="s">
        <v>1190</v>
      </c>
      <c r="C118" s="371" t="s">
        <v>1191</v>
      </c>
      <c r="D118" s="371" t="s">
        <v>1192</v>
      </c>
      <c r="E118" s="370"/>
      <c r="F118" s="371" t="str">
        <f t="shared" si="1"/>
        <v>MCI-01619</v>
      </c>
      <c r="G118" s="370" t="s">
        <v>1193</v>
      </c>
      <c r="H118" s="371"/>
      <c r="I118" s="371" t="s">
        <v>669</v>
      </c>
      <c r="J118" s="371" t="s">
        <v>1093</v>
      </c>
      <c r="K118" s="371" t="s">
        <v>650</v>
      </c>
      <c r="L118" s="14" t="b">
        <v>0</v>
      </c>
      <c r="M118" s="18">
        <v>12300</v>
      </c>
    </row>
    <row r="119" spans="1:13">
      <c r="A119" s="370" t="s">
        <v>458</v>
      </c>
      <c r="B119" s="371" t="s">
        <v>1194</v>
      </c>
      <c r="C119" s="371" t="s">
        <v>1195</v>
      </c>
      <c r="D119" s="371" t="s">
        <v>920</v>
      </c>
      <c r="E119" s="370"/>
      <c r="F119" s="371" t="str">
        <f t="shared" si="1"/>
        <v>MCI-01621</v>
      </c>
      <c r="G119" s="370" t="s">
        <v>1196</v>
      </c>
      <c r="H119" s="371"/>
      <c r="I119" s="371" t="s">
        <v>669</v>
      </c>
      <c r="J119" s="371" t="s">
        <v>1093</v>
      </c>
      <c r="K119" s="371" t="s">
        <v>650</v>
      </c>
      <c r="L119" s="14" t="b">
        <v>0</v>
      </c>
      <c r="M119" s="18">
        <v>12320</v>
      </c>
    </row>
    <row r="120" spans="1:13">
      <c r="A120" s="370" t="s">
        <v>458</v>
      </c>
      <c r="B120" s="371" t="s">
        <v>1197</v>
      </c>
      <c r="C120" s="371" t="s">
        <v>1198</v>
      </c>
      <c r="D120" s="371"/>
      <c r="E120" s="370"/>
      <c r="F120" s="371" t="str">
        <f t="shared" si="1"/>
        <v>MCI-01622</v>
      </c>
      <c r="G120" s="370" t="s">
        <v>1199</v>
      </c>
      <c r="H120" s="371"/>
      <c r="I120" s="371" t="s">
        <v>669</v>
      </c>
      <c r="J120" s="371" t="s">
        <v>1093</v>
      </c>
      <c r="K120" s="371" t="s">
        <v>650</v>
      </c>
      <c r="L120" s="14" t="b">
        <v>0</v>
      </c>
      <c r="M120" s="18">
        <v>12330</v>
      </c>
    </row>
    <row r="121" spans="1:13">
      <c r="A121" s="370" t="s">
        <v>461</v>
      </c>
      <c r="B121" s="371" t="s">
        <v>1200</v>
      </c>
      <c r="C121" s="371" t="s">
        <v>1201</v>
      </c>
      <c r="D121" s="371" t="s">
        <v>1192</v>
      </c>
      <c r="E121" s="370"/>
      <c r="F121" s="371" t="str">
        <f t="shared" si="1"/>
        <v>MCI-01533</v>
      </c>
      <c r="G121" s="370" t="s">
        <v>1202</v>
      </c>
      <c r="H121" s="371"/>
      <c r="I121" s="371" t="s">
        <v>669</v>
      </c>
      <c r="J121" s="371" t="s">
        <v>1093</v>
      </c>
      <c r="K121" s="371" t="s">
        <v>652</v>
      </c>
      <c r="L121" s="14" t="b">
        <v>0</v>
      </c>
      <c r="M121" s="18">
        <v>12340</v>
      </c>
    </row>
    <row r="122" spans="1:13">
      <c r="A122" s="370" t="s">
        <v>461</v>
      </c>
      <c r="B122" s="371" t="s">
        <v>1203</v>
      </c>
      <c r="C122" s="371" t="s">
        <v>1204</v>
      </c>
      <c r="D122" s="371" t="s">
        <v>1192</v>
      </c>
      <c r="E122" s="370"/>
      <c r="F122" s="371" t="str">
        <f t="shared" si="1"/>
        <v>MCI-01534</v>
      </c>
      <c r="G122" s="370" t="s">
        <v>1205</v>
      </c>
      <c r="H122" s="371"/>
      <c r="I122" s="371" t="s">
        <v>669</v>
      </c>
      <c r="J122" s="371" t="s">
        <v>1093</v>
      </c>
      <c r="K122" s="371" t="s">
        <v>652</v>
      </c>
      <c r="L122" s="14" t="b">
        <v>0</v>
      </c>
      <c r="M122" s="18">
        <v>12350</v>
      </c>
    </row>
    <row r="123" spans="1:13">
      <c r="A123" s="370" t="s">
        <v>461</v>
      </c>
      <c r="B123" s="371" t="s">
        <v>1206</v>
      </c>
      <c r="C123" s="371" t="s">
        <v>1207</v>
      </c>
      <c r="D123" s="371" t="s">
        <v>1192</v>
      </c>
      <c r="E123" s="370"/>
      <c r="F123" s="371" t="str">
        <f t="shared" si="1"/>
        <v>MCI-01535</v>
      </c>
      <c r="G123" s="370" t="s">
        <v>1208</v>
      </c>
      <c r="H123" s="371"/>
      <c r="I123" s="371" t="s">
        <v>669</v>
      </c>
      <c r="J123" s="371" t="s">
        <v>1093</v>
      </c>
      <c r="K123" s="371" t="s">
        <v>652</v>
      </c>
      <c r="L123" s="14" t="b">
        <v>0</v>
      </c>
      <c r="M123" s="18">
        <v>12360</v>
      </c>
    </row>
    <row r="124" spans="1:13">
      <c r="A124" s="370" t="s">
        <v>461</v>
      </c>
      <c r="B124" s="371" t="s">
        <v>1209</v>
      </c>
      <c r="C124" s="371" t="s">
        <v>1210</v>
      </c>
      <c r="D124" s="371" t="s">
        <v>920</v>
      </c>
      <c r="E124" s="370"/>
      <c r="F124" s="371" t="str">
        <f t="shared" si="1"/>
        <v>MCI-01536</v>
      </c>
      <c r="G124" s="370" t="s">
        <v>1211</v>
      </c>
      <c r="H124" s="371"/>
      <c r="I124" s="371" t="s">
        <v>669</v>
      </c>
      <c r="J124" s="371" t="s">
        <v>1093</v>
      </c>
      <c r="K124" s="371" t="s">
        <v>652</v>
      </c>
      <c r="L124" s="14" t="b">
        <v>0</v>
      </c>
      <c r="M124" s="18">
        <v>12370</v>
      </c>
    </row>
    <row r="125" spans="1:13">
      <c r="A125" s="370" t="s">
        <v>461</v>
      </c>
      <c r="B125" s="371" t="s">
        <v>1212</v>
      </c>
      <c r="C125" s="371" t="s">
        <v>1213</v>
      </c>
      <c r="D125" s="371" t="s">
        <v>920</v>
      </c>
      <c r="E125" s="370"/>
      <c r="F125" s="371" t="str">
        <f t="shared" si="1"/>
        <v>MCI-01537</v>
      </c>
      <c r="G125" s="370" t="s">
        <v>1214</v>
      </c>
      <c r="H125" s="371"/>
      <c r="I125" s="371" t="s">
        <v>669</v>
      </c>
      <c r="J125" s="371" t="s">
        <v>1093</v>
      </c>
      <c r="K125" s="371" t="s">
        <v>652</v>
      </c>
      <c r="L125" s="14" t="b">
        <v>0</v>
      </c>
      <c r="M125" s="18">
        <v>12380</v>
      </c>
    </row>
    <row r="126" spans="1:13">
      <c r="A126" s="370" t="s">
        <v>461</v>
      </c>
      <c r="B126" s="371" t="s">
        <v>1215</v>
      </c>
      <c r="C126" s="371" t="s">
        <v>1216</v>
      </c>
      <c r="D126" s="371"/>
      <c r="E126" s="370"/>
      <c r="F126" s="371" t="str">
        <f t="shared" si="1"/>
        <v>MCI-01538</v>
      </c>
      <c r="G126" s="370" t="s">
        <v>1217</v>
      </c>
      <c r="H126" s="371"/>
      <c r="I126" s="371" t="s">
        <v>669</v>
      </c>
      <c r="J126" s="371" t="s">
        <v>1093</v>
      </c>
      <c r="K126" s="371" t="s">
        <v>654</v>
      </c>
      <c r="L126" s="14" t="b">
        <v>0</v>
      </c>
      <c r="M126" s="18">
        <v>12390</v>
      </c>
    </row>
    <row r="127" spans="1:13">
      <c r="A127" s="370" t="s">
        <v>425</v>
      </c>
      <c r="B127" s="371" t="s">
        <v>1218</v>
      </c>
      <c r="C127" s="371" t="s">
        <v>1219</v>
      </c>
      <c r="D127" s="371" t="s">
        <v>1220</v>
      </c>
      <c r="E127" s="370"/>
      <c r="F127" s="371" t="str">
        <f t="shared" si="1"/>
        <v>MCI-01539</v>
      </c>
      <c r="G127" s="370" t="s">
        <v>1221</v>
      </c>
      <c r="H127" s="371"/>
      <c r="I127" s="371" t="s">
        <v>669</v>
      </c>
      <c r="J127" s="371" t="s">
        <v>1093</v>
      </c>
      <c r="K127" s="371" t="s">
        <v>650</v>
      </c>
      <c r="L127" s="14" t="b">
        <v>0</v>
      </c>
      <c r="M127" s="18">
        <v>22010</v>
      </c>
    </row>
    <row r="128" spans="1:13">
      <c r="A128" s="370" t="s">
        <v>425</v>
      </c>
      <c r="B128" s="371" t="s">
        <v>1222</v>
      </c>
      <c r="C128" s="371" t="s">
        <v>1223</v>
      </c>
      <c r="D128" s="371" t="s">
        <v>1224</v>
      </c>
      <c r="E128" s="370"/>
      <c r="F128" s="371" t="str">
        <f t="shared" si="1"/>
        <v>MCI-01540</v>
      </c>
      <c r="G128" s="370" t="s">
        <v>1225</v>
      </c>
      <c r="H128" s="371"/>
      <c r="I128" s="371" t="s">
        <v>669</v>
      </c>
      <c r="J128" s="371" t="s">
        <v>1093</v>
      </c>
      <c r="K128" s="371" t="s">
        <v>650</v>
      </c>
      <c r="L128" s="14" t="b">
        <v>0</v>
      </c>
      <c r="M128" s="18">
        <v>22020</v>
      </c>
    </row>
    <row r="129" spans="1:13">
      <c r="A129" s="370" t="s">
        <v>425</v>
      </c>
      <c r="B129" s="371" t="s">
        <v>1226</v>
      </c>
      <c r="C129" s="371" t="s">
        <v>1227</v>
      </c>
      <c r="D129" s="371"/>
      <c r="E129" s="370"/>
      <c r="F129" s="371" t="str">
        <f t="shared" si="1"/>
        <v>MCI-01541</v>
      </c>
      <c r="G129" s="370" t="s">
        <v>1228</v>
      </c>
      <c r="H129" s="371"/>
      <c r="I129" s="371" t="s">
        <v>669</v>
      </c>
      <c r="J129" s="371" t="s">
        <v>1093</v>
      </c>
      <c r="K129" s="371" t="s">
        <v>650</v>
      </c>
      <c r="L129" s="14" t="b">
        <v>0</v>
      </c>
      <c r="M129" s="18">
        <v>22030</v>
      </c>
    </row>
    <row r="130" spans="1:13">
      <c r="A130" s="370" t="s">
        <v>425</v>
      </c>
      <c r="B130" s="371" t="s">
        <v>1229</v>
      </c>
      <c r="C130" s="371" t="s">
        <v>1230</v>
      </c>
      <c r="D130" s="371"/>
      <c r="E130" s="370"/>
      <c r="F130" s="371" t="str">
        <f t="shared" si="1"/>
        <v>MCI-01542</v>
      </c>
      <c r="G130" s="370" t="s">
        <v>1231</v>
      </c>
      <c r="H130" s="371"/>
      <c r="I130" s="371" t="s">
        <v>669</v>
      </c>
      <c r="J130" s="371" t="s">
        <v>1093</v>
      </c>
      <c r="K130" s="371" t="s">
        <v>650</v>
      </c>
      <c r="L130" s="14" t="b">
        <v>0</v>
      </c>
      <c r="M130" s="18">
        <v>22040</v>
      </c>
    </row>
    <row r="131" spans="1:13">
      <c r="A131" s="370" t="s">
        <v>425</v>
      </c>
      <c r="B131" s="371" t="s">
        <v>1232</v>
      </c>
      <c r="C131" s="371" t="s">
        <v>1233</v>
      </c>
      <c r="D131" s="371" t="s">
        <v>1028</v>
      </c>
      <c r="E131" s="370"/>
      <c r="F131" s="371" t="str">
        <f t="shared" si="1"/>
        <v>MCI-01543</v>
      </c>
      <c r="G131" s="370" t="s">
        <v>1234</v>
      </c>
      <c r="H131" s="371"/>
      <c r="I131" s="371" t="s">
        <v>669</v>
      </c>
      <c r="J131" s="371" t="s">
        <v>1093</v>
      </c>
      <c r="K131" s="371" t="s">
        <v>650</v>
      </c>
      <c r="L131" s="14" t="b">
        <v>0</v>
      </c>
      <c r="M131" s="18">
        <v>22050</v>
      </c>
    </row>
    <row r="132" spans="1:13">
      <c r="A132" s="370" t="s">
        <v>425</v>
      </c>
      <c r="B132" s="371" t="s">
        <v>1235</v>
      </c>
      <c r="C132" s="371" t="s">
        <v>1236</v>
      </c>
      <c r="D132" s="371" t="s">
        <v>1237</v>
      </c>
      <c r="E132" s="370"/>
      <c r="F132" s="371" t="str">
        <f t="shared" si="1"/>
        <v>MCI-01544</v>
      </c>
      <c r="G132" s="370" t="s">
        <v>1238</v>
      </c>
      <c r="H132" s="371"/>
      <c r="I132" s="371" t="s">
        <v>669</v>
      </c>
      <c r="J132" s="371" t="s">
        <v>1093</v>
      </c>
      <c r="K132" s="371" t="s">
        <v>650</v>
      </c>
      <c r="L132" s="14" t="b">
        <v>0</v>
      </c>
      <c r="M132" s="18">
        <v>22060</v>
      </c>
    </row>
    <row r="133" spans="1:13">
      <c r="A133" s="370" t="s">
        <v>428</v>
      </c>
      <c r="B133" s="371" t="s">
        <v>1239</v>
      </c>
      <c r="C133" s="371" t="s">
        <v>1240</v>
      </c>
      <c r="D133" s="371" t="s">
        <v>1237</v>
      </c>
      <c r="E133" s="370"/>
      <c r="F133" s="371" t="str">
        <f t="shared" si="1"/>
        <v>MCI-01550</v>
      </c>
      <c r="G133" s="370" t="s">
        <v>1241</v>
      </c>
      <c r="H133" s="371"/>
      <c r="I133" s="371" t="s">
        <v>669</v>
      </c>
      <c r="J133" s="371" t="s">
        <v>1093</v>
      </c>
      <c r="K133" s="371" t="s">
        <v>650</v>
      </c>
      <c r="L133" s="14" t="b">
        <v>0</v>
      </c>
      <c r="M133" s="18">
        <v>22150</v>
      </c>
    </row>
    <row r="134" spans="1:13">
      <c r="A134" s="370" t="s">
        <v>428</v>
      </c>
      <c r="B134" s="371" t="s">
        <v>1242</v>
      </c>
      <c r="C134" s="371" t="s">
        <v>1243</v>
      </c>
      <c r="D134" s="371" t="s">
        <v>1244</v>
      </c>
      <c r="E134" s="370"/>
      <c r="F134" s="371" t="str">
        <f t="shared" si="1"/>
        <v>MCI-01551</v>
      </c>
      <c r="G134" s="370" t="s">
        <v>1245</v>
      </c>
      <c r="H134" s="371"/>
      <c r="I134" s="371" t="s">
        <v>669</v>
      </c>
      <c r="J134" s="371" t="s">
        <v>1093</v>
      </c>
      <c r="K134" s="371" t="s">
        <v>650</v>
      </c>
      <c r="L134" s="14" t="b">
        <v>0</v>
      </c>
      <c r="M134" s="18">
        <v>22160</v>
      </c>
    </row>
    <row r="135" spans="1:13">
      <c r="A135" s="370" t="s">
        <v>428</v>
      </c>
      <c r="B135" s="371" t="s">
        <v>1246</v>
      </c>
      <c r="C135" s="371" t="s">
        <v>1247</v>
      </c>
      <c r="D135" s="371"/>
      <c r="E135" s="370"/>
      <c r="F135" s="371" t="str">
        <f t="shared" si="1"/>
        <v>MCI-01552</v>
      </c>
      <c r="G135" s="370" t="s">
        <v>1248</v>
      </c>
      <c r="H135" s="371"/>
      <c r="I135" s="371" t="s">
        <v>669</v>
      </c>
      <c r="J135" s="371" t="s">
        <v>1093</v>
      </c>
      <c r="K135" s="371" t="s">
        <v>650</v>
      </c>
      <c r="L135" s="14" t="b">
        <v>1</v>
      </c>
      <c r="M135" s="18">
        <v>22170</v>
      </c>
    </row>
    <row r="136" spans="1:13">
      <c r="A136" s="370" t="s">
        <v>428</v>
      </c>
      <c r="B136" s="371" t="s">
        <v>1249</v>
      </c>
      <c r="C136" s="371" t="s">
        <v>1250</v>
      </c>
      <c r="D136" s="371"/>
      <c r="E136" s="370"/>
      <c r="F136" s="371" t="str">
        <f t="shared" si="1"/>
        <v>MCI-01553</v>
      </c>
      <c r="G136" s="370" t="s">
        <v>1251</v>
      </c>
      <c r="H136" s="371"/>
      <c r="I136" s="371" t="s">
        <v>669</v>
      </c>
      <c r="J136" s="371" t="s">
        <v>1093</v>
      </c>
      <c r="K136" s="371" t="s">
        <v>650</v>
      </c>
      <c r="L136" s="14" t="b">
        <v>0</v>
      </c>
      <c r="M136" s="18">
        <v>22180</v>
      </c>
    </row>
    <row r="137" spans="1:13">
      <c r="A137" s="370" t="s">
        <v>428</v>
      </c>
      <c r="B137" s="371" t="s">
        <v>1252</v>
      </c>
      <c r="C137" s="371" t="s">
        <v>1253</v>
      </c>
      <c r="D137" s="371"/>
      <c r="E137" s="370"/>
      <c r="F137" s="371" t="str">
        <f t="shared" si="1"/>
        <v>MCI-01554</v>
      </c>
      <c r="G137" s="370" t="s">
        <v>1254</v>
      </c>
      <c r="H137" s="371"/>
      <c r="I137" s="371" t="s">
        <v>669</v>
      </c>
      <c r="J137" s="371" t="s">
        <v>1093</v>
      </c>
      <c r="K137" s="371" t="s">
        <v>650</v>
      </c>
      <c r="L137" s="14" t="b">
        <v>0</v>
      </c>
      <c r="M137" s="18">
        <v>22190</v>
      </c>
    </row>
    <row r="138" spans="1:13">
      <c r="A138" s="370" t="s">
        <v>428</v>
      </c>
      <c r="B138" s="371" t="s">
        <v>1255</v>
      </c>
      <c r="C138" s="371" t="s">
        <v>1256</v>
      </c>
      <c r="D138" s="371"/>
      <c r="E138" s="370"/>
      <c r="F138" s="371" t="str">
        <f t="shared" si="1"/>
        <v>MCI-01555</v>
      </c>
      <c r="G138" s="370" t="s">
        <v>1257</v>
      </c>
      <c r="H138" s="371"/>
      <c r="I138" s="371" t="s">
        <v>669</v>
      </c>
      <c r="J138" s="371" t="s">
        <v>1093</v>
      </c>
      <c r="K138" s="371" t="s">
        <v>650</v>
      </c>
      <c r="L138" s="14" t="b">
        <v>0</v>
      </c>
      <c r="M138" s="18">
        <v>22200</v>
      </c>
    </row>
    <row r="139" spans="1:13">
      <c r="A139" s="370" t="s">
        <v>428</v>
      </c>
      <c r="B139" s="371" t="s">
        <v>1258</v>
      </c>
      <c r="C139" s="371" t="s">
        <v>1259</v>
      </c>
      <c r="D139" s="371"/>
      <c r="E139" s="370"/>
      <c r="F139" s="371" t="str">
        <f t="shared" si="1"/>
        <v>MCI-01556</v>
      </c>
      <c r="G139" s="370" t="s">
        <v>1260</v>
      </c>
      <c r="H139" s="371"/>
      <c r="I139" s="371" t="s">
        <v>669</v>
      </c>
      <c r="J139" s="371" t="s">
        <v>1093</v>
      </c>
      <c r="K139" s="371" t="s">
        <v>650</v>
      </c>
      <c r="L139" s="14" t="b">
        <v>0</v>
      </c>
      <c r="M139" s="18">
        <v>22210</v>
      </c>
    </row>
    <row r="140" spans="1:13">
      <c r="A140" s="370" t="s">
        <v>428</v>
      </c>
      <c r="B140" s="371" t="s">
        <v>1261</v>
      </c>
      <c r="C140" s="371" t="s">
        <v>1262</v>
      </c>
      <c r="D140" s="371"/>
      <c r="E140" s="370"/>
      <c r="F140" s="371" t="str">
        <f t="shared" si="1"/>
        <v>MCI-01557</v>
      </c>
      <c r="G140" s="370" t="s">
        <v>1263</v>
      </c>
      <c r="H140" s="371"/>
      <c r="I140" s="371" t="s">
        <v>669</v>
      </c>
      <c r="J140" s="371" t="s">
        <v>1093</v>
      </c>
      <c r="K140" s="371" t="s">
        <v>650</v>
      </c>
      <c r="L140" s="14" t="b">
        <v>0</v>
      </c>
      <c r="M140" s="18">
        <v>22220</v>
      </c>
    </row>
    <row r="141" spans="1:13">
      <c r="A141" s="370" t="s">
        <v>428</v>
      </c>
      <c r="B141" s="371" t="s">
        <v>1264</v>
      </c>
      <c r="C141" s="371" t="s">
        <v>1265</v>
      </c>
      <c r="D141" s="371"/>
      <c r="E141" s="370"/>
      <c r="F141" s="371" t="str">
        <f t="shared" si="1"/>
        <v>MCI-01558</v>
      </c>
      <c r="G141" s="370" t="s">
        <v>1266</v>
      </c>
      <c r="H141" s="371"/>
      <c r="I141" s="371" t="s">
        <v>669</v>
      </c>
      <c r="J141" s="371" t="s">
        <v>1093</v>
      </c>
      <c r="K141" s="371" t="s">
        <v>1267</v>
      </c>
      <c r="L141" s="14" t="b">
        <v>0</v>
      </c>
      <c r="M141" s="18">
        <v>22230</v>
      </c>
    </row>
    <row r="142" spans="1:13">
      <c r="A142" s="370" t="s">
        <v>428</v>
      </c>
      <c r="B142" s="371" t="s">
        <v>1268</v>
      </c>
      <c r="C142" s="371" t="s">
        <v>1269</v>
      </c>
      <c r="D142" s="371" t="s">
        <v>1270</v>
      </c>
      <c r="E142" s="370"/>
      <c r="F142" s="371" t="str">
        <f t="shared" si="1"/>
        <v>MCI-01559</v>
      </c>
      <c r="G142" s="370" t="s">
        <v>1271</v>
      </c>
      <c r="H142" s="371"/>
      <c r="I142" s="371" t="s">
        <v>669</v>
      </c>
      <c r="J142" s="371" t="s">
        <v>1093</v>
      </c>
      <c r="K142" s="371" t="s">
        <v>650</v>
      </c>
      <c r="L142" s="14" t="b">
        <v>0</v>
      </c>
      <c r="M142" s="18">
        <v>22240</v>
      </c>
    </row>
    <row r="143" spans="1:13">
      <c r="A143" s="370" t="s">
        <v>428</v>
      </c>
      <c r="B143" s="371" t="s">
        <v>1272</v>
      </c>
      <c r="C143" s="371" t="s">
        <v>1273</v>
      </c>
      <c r="D143" s="371" t="s">
        <v>1237</v>
      </c>
      <c r="E143" s="370"/>
      <c r="F143" s="371" t="str">
        <f t="shared" si="1"/>
        <v>MCI-01560</v>
      </c>
      <c r="G143" s="370" t="s">
        <v>1274</v>
      </c>
      <c r="H143" s="371"/>
      <c r="I143" s="371" t="s">
        <v>669</v>
      </c>
      <c r="J143" s="371" t="s">
        <v>1093</v>
      </c>
      <c r="K143" s="371" t="s">
        <v>650</v>
      </c>
      <c r="L143" s="14" t="b">
        <v>0</v>
      </c>
      <c r="M143" s="18">
        <v>22250</v>
      </c>
    </row>
    <row r="144" spans="1:13">
      <c r="A144" s="370" t="s">
        <v>431</v>
      </c>
      <c r="B144" s="371" t="s">
        <v>1275</v>
      </c>
      <c r="C144" s="371" t="s">
        <v>1276</v>
      </c>
      <c r="D144" s="371" t="s">
        <v>1277</v>
      </c>
      <c r="E144" s="370"/>
      <c r="F144" s="371" t="str">
        <f t="shared" si="1"/>
        <v>MCI-01636</v>
      </c>
      <c r="G144" s="370" t="s">
        <v>1278</v>
      </c>
      <c r="H144" s="371"/>
      <c r="I144" s="371" t="s">
        <v>669</v>
      </c>
      <c r="J144" s="371" t="s">
        <v>1093</v>
      </c>
      <c r="K144" s="371" t="s">
        <v>650</v>
      </c>
      <c r="L144" s="14" t="b">
        <v>0</v>
      </c>
      <c r="M144" s="18">
        <v>22070</v>
      </c>
    </row>
    <row r="145" spans="1:13">
      <c r="A145" s="370" t="s">
        <v>431</v>
      </c>
      <c r="B145" s="371" t="s">
        <v>1279</v>
      </c>
      <c r="C145" s="371" t="s">
        <v>1280</v>
      </c>
      <c r="D145" s="371"/>
      <c r="E145" s="370"/>
      <c r="F145" s="371" t="str">
        <f t="shared" si="1"/>
        <v>MCI-01637</v>
      </c>
      <c r="G145" s="370" t="s">
        <v>1281</v>
      </c>
      <c r="H145" s="371"/>
      <c r="I145" s="371" t="s">
        <v>669</v>
      </c>
      <c r="J145" s="371" t="s">
        <v>1093</v>
      </c>
      <c r="K145" s="371" t="s">
        <v>650</v>
      </c>
      <c r="L145" s="14" t="b">
        <v>0</v>
      </c>
      <c r="M145" s="18">
        <v>22080</v>
      </c>
    </row>
    <row r="146" spans="1:13">
      <c r="A146" s="370" t="s">
        <v>431</v>
      </c>
      <c r="B146" s="371" t="s">
        <v>1282</v>
      </c>
      <c r="C146" s="371" t="s">
        <v>1283</v>
      </c>
      <c r="D146" s="371"/>
      <c r="E146" s="370"/>
      <c r="F146" s="371" t="str">
        <f t="shared" si="1"/>
        <v>MCI-01638</v>
      </c>
      <c r="G146" s="370" t="s">
        <v>1284</v>
      </c>
      <c r="H146" s="371"/>
      <c r="I146" s="371" t="s">
        <v>669</v>
      </c>
      <c r="J146" s="371" t="s">
        <v>1093</v>
      </c>
      <c r="K146" s="371" t="s">
        <v>650</v>
      </c>
      <c r="L146" s="14" t="b">
        <v>0</v>
      </c>
      <c r="M146" s="18">
        <v>22090</v>
      </c>
    </row>
    <row r="147" spans="1:13">
      <c r="A147" s="370" t="s">
        <v>1285</v>
      </c>
      <c r="B147" s="371" t="s">
        <v>1286</v>
      </c>
      <c r="C147" s="371" t="s">
        <v>1287</v>
      </c>
      <c r="D147" s="371"/>
      <c r="E147" s="370"/>
      <c r="F147" s="371" t="str">
        <f t="shared" si="1"/>
        <v>MCI-01633</v>
      </c>
      <c r="G147" s="370" t="s">
        <v>1288</v>
      </c>
      <c r="H147" s="371"/>
      <c r="I147" s="371" t="s">
        <v>669</v>
      </c>
      <c r="J147" s="371" t="s">
        <v>1093</v>
      </c>
      <c r="K147" s="371" t="s">
        <v>650</v>
      </c>
      <c r="L147" s="14" t="b">
        <v>0</v>
      </c>
      <c r="M147" s="18">
        <v>22280</v>
      </c>
    </row>
    <row r="148" spans="1:13">
      <c r="A148" s="370" t="s">
        <v>434</v>
      </c>
      <c r="B148" s="371" t="s">
        <v>1289</v>
      </c>
      <c r="C148" s="371" t="s">
        <v>1290</v>
      </c>
      <c r="D148" s="371"/>
      <c r="E148" s="370"/>
      <c r="F148" s="371" t="str">
        <f t="shared" si="1"/>
        <v>MCI-01634</v>
      </c>
      <c r="G148" s="370" t="s">
        <v>1291</v>
      </c>
      <c r="H148" s="371"/>
      <c r="I148" s="371" t="s">
        <v>669</v>
      </c>
      <c r="J148" s="371" t="s">
        <v>1093</v>
      </c>
      <c r="K148" s="371" t="s">
        <v>650</v>
      </c>
      <c r="L148" s="14" t="b">
        <v>0</v>
      </c>
      <c r="M148" s="18">
        <v>22260</v>
      </c>
    </row>
    <row r="149" spans="1:13">
      <c r="A149" s="370" t="s">
        <v>434</v>
      </c>
      <c r="B149" s="371" t="s">
        <v>1292</v>
      </c>
      <c r="C149" s="371" t="s">
        <v>1293</v>
      </c>
      <c r="D149" s="371"/>
      <c r="E149" s="370"/>
      <c r="F149" s="371" t="str">
        <f t="shared" si="1"/>
        <v>MCI-01635</v>
      </c>
      <c r="G149" s="370" t="s">
        <v>1294</v>
      </c>
      <c r="H149" s="371"/>
      <c r="I149" s="371" t="s">
        <v>669</v>
      </c>
      <c r="J149" s="371" t="s">
        <v>1093</v>
      </c>
      <c r="K149" s="371" t="s">
        <v>650</v>
      </c>
      <c r="L149" s="14" t="b">
        <v>0</v>
      </c>
      <c r="M149" s="18">
        <v>22270</v>
      </c>
    </row>
    <row r="150" spans="1:13">
      <c r="A150" s="370" t="s">
        <v>437</v>
      </c>
      <c r="B150" s="371" t="s">
        <v>1295</v>
      </c>
      <c r="C150" s="371" t="s">
        <v>1296</v>
      </c>
      <c r="D150" s="371" t="s">
        <v>856</v>
      </c>
      <c r="E150" s="370"/>
      <c r="F150" s="371" t="str">
        <f t="shared" si="1"/>
        <v>MCI-01545</v>
      </c>
      <c r="G150" s="370" t="s">
        <v>1297</v>
      </c>
      <c r="H150" s="371"/>
      <c r="I150" s="371" t="s">
        <v>669</v>
      </c>
      <c r="J150" s="371" t="s">
        <v>1093</v>
      </c>
      <c r="K150" s="371" t="s">
        <v>650</v>
      </c>
      <c r="L150" s="14" t="b">
        <v>0</v>
      </c>
      <c r="M150" s="18">
        <v>22100</v>
      </c>
    </row>
    <row r="151" spans="1:13">
      <c r="A151" s="370" t="s">
        <v>437</v>
      </c>
      <c r="B151" s="371" t="s">
        <v>1298</v>
      </c>
      <c r="C151" s="371" t="s">
        <v>1299</v>
      </c>
      <c r="D151" s="371" t="s">
        <v>1300</v>
      </c>
      <c r="E151" s="370"/>
      <c r="F151" s="371" t="str">
        <f t="shared" si="1"/>
        <v>MCI-01546</v>
      </c>
      <c r="G151" s="370" t="s">
        <v>1301</v>
      </c>
      <c r="H151" s="371"/>
      <c r="I151" s="371" t="s">
        <v>669</v>
      </c>
      <c r="J151" s="371" t="s">
        <v>1093</v>
      </c>
      <c r="K151" s="371" t="s">
        <v>650</v>
      </c>
      <c r="L151" s="14" t="b">
        <v>0</v>
      </c>
      <c r="M151" s="18">
        <v>22110</v>
      </c>
    </row>
    <row r="152" spans="1:13">
      <c r="A152" s="370" t="s">
        <v>437</v>
      </c>
      <c r="B152" s="371" t="s">
        <v>1302</v>
      </c>
      <c r="C152" s="371" t="s">
        <v>1303</v>
      </c>
      <c r="D152" s="371" t="s">
        <v>856</v>
      </c>
      <c r="E152" s="370"/>
      <c r="F152" s="371" t="str">
        <f t="shared" ref="F152:F188" si="2">B152</f>
        <v>MCI-01547</v>
      </c>
      <c r="G152" s="370" t="s">
        <v>1304</v>
      </c>
      <c r="H152" s="371"/>
      <c r="I152" s="371" t="s">
        <v>669</v>
      </c>
      <c r="J152" s="371" t="s">
        <v>1093</v>
      </c>
      <c r="K152" s="371" t="s">
        <v>650</v>
      </c>
      <c r="L152" s="14" t="b">
        <v>0</v>
      </c>
      <c r="M152" s="18">
        <v>22120</v>
      </c>
    </row>
    <row r="153" spans="1:13">
      <c r="A153" s="370" t="s">
        <v>437</v>
      </c>
      <c r="B153" s="371" t="s">
        <v>1305</v>
      </c>
      <c r="C153" s="371" t="s">
        <v>1306</v>
      </c>
      <c r="D153" s="371" t="s">
        <v>1307</v>
      </c>
      <c r="E153" s="370"/>
      <c r="F153" s="371" t="str">
        <f t="shared" si="2"/>
        <v>MCI-01548</v>
      </c>
      <c r="G153" s="370" t="s">
        <v>1308</v>
      </c>
      <c r="H153" s="371"/>
      <c r="I153" s="371" t="s">
        <v>669</v>
      </c>
      <c r="J153" s="371" t="s">
        <v>1093</v>
      </c>
      <c r="K153" s="371" t="s">
        <v>650</v>
      </c>
      <c r="L153" s="14" t="b">
        <v>0</v>
      </c>
      <c r="M153" s="18">
        <v>22130</v>
      </c>
    </row>
    <row r="154" spans="1:13">
      <c r="A154" s="370" t="s">
        <v>437</v>
      </c>
      <c r="B154" s="371" t="s">
        <v>1309</v>
      </c>
      <c r="C154" s="371" t="s">
        <v>1310</v>
      </c>
      <c r="D154" s="371"/>
      <c r="E154" s="370"/>
      <c r="F154" s="371" t="str">
        <f t="shared" si="2"/>
        <v>MCI-01549</v>
      </c>
      <c r="G154" s="370" t="s">
        <v>1311</v>
      </c>
      <c r="H154" s="371"/>
      <c r="I154" s="371" t="s">
        <v>669</v>
      </c>
      <c r="J154" s="371" t="s">
        <v>1093</v>
      </c>
      <c r="K154" s="371" t="s">
        <v>650</v>
      </c>
      <c r="L154" s="14" t="b">
        <v>0</v>
      </c>
      <c r="M154" s="18">
        <v>22140</v>
      </c>
    </row>
    <row r="155" spans="1:13">
      <c r="A155" s="370" t="s">
        <v>1312</v>
      </c>
      <c r="B155" s="371" t="s">
        <v>1313</v>
      </c>
      <c r="C155" s="371" t="s">
        <v>1314</v>
      </c>
      <c r="D155" s="371"/>
      <c r="E155" s="370"/>
      <c r="F155" s="371" t="str">
        <f t="shared" si="2"/>
        <v>MCI-01626</v>
      </c>
      <c r="G155" s="370" t="s">
        <v>1315</v>
      </c>
      <c r="H155" s="371"/>
      <c r="I155" s="371" t="s">
        <v>669</v>
      </c>
      <c r="J155" s="371" t="s">
        <v>1093</v>
      </c>
      <c r="K155" s="371" t="s">
        <v>652</v>
      </c>
      <c r="L155" s="14" t="b">
        <v>0</v>
      </c>
      <c r="M155" s="18">
        <v>61010</v>
      </c>
    </row>
    <row r="156" spans="1:13">
      <c r="A156" s="370" t="s">
        <v>1316</v>
      </c>
      <c r="B156" s="371" t="s">
        <v>1317</v>
      </c>
      <c r="C156" s="371" t="s">
        <v>1318</v>
      </c>
      <c r="D156" s="371" t="s">
        <v>1319</v>
      </c>
      <c r="E156" s="370"/>
      <c r="F156" s="371" t="str">
        <f t="shared" si="2"/>
        <v>MCI-01598</v>
      </c>
      <c r="G156" s="370" t="s">
        <v>1320</v>
      </c>
      <c r="H156" s="371"/>
      <c r="I156" s="371" t="s">
        <v>669</v>
      </c>
      <c r="J156" s="371" t="s">
        <v>1093</v>
      </c>
      <c r="K156" s="371" t="s">
        <v>650</v>
      </c>
      <c r="L156" s="14" t="b">
        <v>0</v>
      </c>
      <c r="M156" s="18">
        <v>61020</v>
      </c>
    </row>
    <row r="157" spans="1:13">
      <c r="A157" s="370" t="s">
        <v>1316</v>
      </c>
      <c r="B157" s="371" t="s">
        <v>1321</v>
      </c>
      <c r="C157" s="371" t="s">
        <v>1322</v>
      </c>
      <c r="D157" s="371" t="s">
        <v>1323</v>
      </c>
      <c r="E157" s="370"/>
      <c r="F157" s="371" t="str">
        <f t="shared" si="2"/>
        <v>MCI-01599</v>
      </c>
      <c r="G157" s="370" t="s">
        <v>1324</v>
      </c>
      <c r="H157" s="371"/>
      <c r="I157" s="371" t="s">
        <v>669</v>
      </c>
      <c r="J157" s="371" t="s">
        <v>1093</v>
      </c>
      <c r="K157" s="371" t="s">
        <v>652</v>
      </c>
      <c r="L157" s="14" t="b">
        <v>0</v>
      </c>
      <c r="M157" s="18">
        <v>61030</v>
      </c>
    </row>
    <row r="158" spans="1:13">
      <c r="A158" s="370" t="s">
        <v>1325</v>
      </c>
      <c r="B158" s="371" t="s">
        <v>1326</v>
      </c>
      <c r="C158" s="371" t="s">
        <v>1327</v>
      </c>
      <c r="D158" s="371"/>
      <c r="E158" s="370"/>
      <c r="F158" s="371" t="str">
        <f t="shared" si="2"/>
        <v>MCI-01592</v>
      </c>
      <c r="G158" s="370" t="s">
        <v>1328</v>
      </c>
      <c r="H158" s="371"/>
      <c r="I158" s="371" t="s">
        <v>669</v>
      </c>
      <c r="J158" s="371" t="s">
        <v>1093</v>
      </c>
      <c r="K158" s="371" t="s">
        <v>652</v>
      </c>
      <c r="L158" s="14" t="b">
        <v>0</v>
      </c>
      <c r="M158" s="18">
        <v>61040</v>
      </c>
    </row>
    <row r="159" spans="1:13">
      <c r="A159" s="370" t="s">
        <v>1325</v>
      </c>
      <c r="B159" s="371" t="s">
        <v>1329</v>
      </c>
      <c r="C159" s="371" t="s">
        <v>1330</v>
      </c>
      <c r="D159" s="371" t="s">
        <v>1331</v>
      </c>
      <c r="E159" s="370"/>
      <c r="F159" s="371" t="str">
        <f t="shared" si="2"/>
        <v>MCI-01593</v>
      </c>
      <c r="G159" s="370" t="s">
        <v>1332</v>
      </c>
      <c r="H159" s="371"/>
      <c r="I159" s="371" t="s">
        <v>669</v>
      </c>
      <c r="J159" s="371" t="s">
        <v>1093</v>
      </c>
      <c r="K159" s="371" t="s">
        <v>652</v>
      </c>
      <c r="L159" s="14" t="b">
        <v>0</v>
      </c>
      <c r="M159" s="18">
        <v>61050</v>
      </c>
    </row>
    <row r="160" spans="1:13">
      <c r="A160" s="370" t="s">
        <v>1325</v>
      </c>
      <c r="B160" s="371" t="s">
        <v>1333</v>
      </c>
      <c r="C160" s="371" t="s">
        <v>1334</v>
      </c>
      <c r="D160" s="371" t="s">
        <v>1331</v>
      </c>
      <c r="E160" s="370"/>
      <c r="F160" s="371" t="str">
        <f t="shared" si="2"/>
        <v>MCI-01594</v>
      </c>
      <c r="G160" s="370" t="s">
        <v>1335</v>
      </c>
      <c r="H160" s="371"/>
      <c r="I160" s="371" t="s">
        <v>669</v>
      </c>
      <c r="J160" s="371" t="s">
        <v>1093</v>
      </c>
      <c r="K160" s="371" t="s">
        <v>652</v>
      </c>
      <c r="L160" s="14" t="b">
        <v>0</v>
      </c>
      <c r="M160" s="18">
        <v>61060</v>
      </c>
    </row>
    <row r="161" spans="1:13">
      <c r="A161" s="370" t="s">
        <v>1325</v>
      </c>
      <c r="B161" s="371" t="s">
        <v>1336</v>
      </c>
      <c r="C161" s="371" t="s">
        <v>1337</v>
      </c>
      <c r="D161" s="371" t="s">
        <v>1338</v>
      </c>
      <c r="E161" s="370"/>
      <c r="F161" s="371" t="str">
        <f t="shared" si="2"/>
        <v>MCI-01595</v>
      </c>
      <c r="G161" s="370" t="s">
        <v>1339</v>
      </c>
      <c r="H161" s="371"/>
      <c r="I161" s="371" t="s">
        <v>669</v>
      </c>
      <c r="J161" s="371" t="s">
        <v>1093</v>
      </c>
      <c r="K161" s="371" t="s">
        <v>652</v>
      </c>
      <c r="L161" s="14" t="b">
        <v>0</v>
      </c>
      <c r="M161" s="18">
        <v>61070</v>
      </c>
    </row>
    <row r="162" spans="1:13">
      <c r="A162" s="370" t="s">
        <v>1325</v>
      </c>
      <c r="B162" s="371" t="s">
        <v>1340</v>
      </c>
      <c r="C162" s="371" t="s">
        <v>1341</v>
      </c>
      <c r="D162" s="371" t="s">
        <v>1342</v>
      </c>
      <c r="E162" s="370"/>
      <c r="F162" s="371" t="str">
        <f t="shared" si="2"/>
        <v>MCI-01596</v>
      </c>
      <c r="G162" s="370" t="s">
        <v>1343</v>
      </c>
      <c r="H162" s="371"/>
      <c r="I162" s="371" t="s">
        <v>669</v>
      </c>
      <c r="J162" s="371" t="s">
        <v>1093</v>
      </c>
      <c r="K162" s="371" t="s">
        <v>652</v>
      </c>
      <c r="L162" s="14" t="b">
        <v>0</v>
      </c>
      <c r="M162" s="18">
        <v>61080</v>
      </c>
    </row>
    <row r="163" spans="1:13">
      <c r="A163" s="370" t="s">
        <v>1325</v>
      </c>
      <c r="B163" s="371" t="s">
        <v>1344</v>
      </c>
      <c r="C163" s="371" t="s">
        <v>1345</v>
      </c>
      <c r="D163" s="371" t="s">
        <v>1346</v>
      </c>
      <c r="E163" s="370"/>
      <c r="F163" s="371" t="str">
        <f t="shared" si="2"/>
        <v>MCI-01597</v>
      </c>
      <c r="G163" s="370" t="s">
        <v>1347</v>
      </c>
      <c r="H163" s="371"/>
      <c r="I163" s="371" t="s">
        <v>669</v>
      </c>
      <c r="J163" s="371" t="s">
        <v>1093</v>
      </c>
      <c r="K163" s="371" t="s">
        <v>652</v>
      </c>
      <c r="L163" s="14" t="b">
        <v>0</v>
      </c>
      <c r="M163" s="18">
        <v>61090</v>
      </c>
    </row>
    <row r="164" spans="1:13">
      <c r="A164" s="370" t="s">
        <v>464</v>
      </c>
      <c r="B164" s="371" t="s">
        <v>1348</v>
      </c>
      <c r="C164" s="371" t="s">
        <v>1349</v>
      </c>
      <c r="D164" s="371"/>
      <c r="E164" s="370"/>
      <c r="F164" s="371" t="str">
        <f t="shared" si="2"/>
        <v>MCI-01589</v>
      </c>
      <c r="G164" s="370" t="s">
        <v>1350</v>
      </c>
      <c r="H164" s="371"/>
      <c r="I164" s="371" t="s">
        <v>669</v>
      </c>
      <c r="J164" s="371" t="s">
        <v>1093</v>
      </c>
      <c r="K164" s="371" t="s">
        <v>652</v>
      </c>
      <c r="L164" s="14" t="b">
        <v>0</v>
      </c>
      <c r="M164" s="18">
        <v>61100</v>
      </c>
    </row>
    <row r="165" spans="1:13">
      <c r="A165" s="370" t="s">
        <v>464</v>
      </c>
      <c r="B165" s="371" t="s">
        <v>1351</v>
      </c>
      <c r="C165" s="371" t="s">
        <v>1352</v>
      </c>
      <c r="D165" s="371"/>
      <c r="E165" s="370"/>
      <c r="F165" s="371" t="str">
        <f t="shared" si="2"/>
        <v>MCI-01590</v>
      </c>
      <c r="G165" s="370" t="s">
        <v>1353</v>
      </c>
      <c r="H165" s="371"/>
      <c r="I165" s="371" t="s">
        <v>669</v>
      </c>
      <c r="J165" s="371" t="s">
        <v>1093</v>
      </c>
      <c r="K165" s="371" t="s">
        <v>650</v>
      </c>
      <c r="L165" s="14" t="b">
        <v>0</v>
      </c>
      <c r="M165" s="18">
        <v>61110</v>
      </c>
    </row>
    <row r="166" spans="1:13">
      <c r="A166" s="370" t="s">
        <v>464</v>
      </c>
      <c r="B166" s="371" t="s">
        <v>1354</v>
      </c>
      <c r="C166" s="371" t="s">
        <v>1355</v>
      </c>
      <c r="D166" s="371"/>
      <c r="E166" s="370"/>
      <c r="F166" s="371" t="str">
        <f t="shared" si="2"/>
        <v>MCI-01591</v>
      </c>
      <c r="G166" s="370" t="s">
        <v>1356</v>
      </c>
      <c r="H166" s="371"/>
      <c r="I166" s="371" t="s">
        <v>669</v>
      </c>
      <c r="J166" s="371" t="s">
        <v>1093</v>
      </c>
      <c r="K166" s="371" t="s">
        <v>650</v>
      </c>
      <c r="L166" s="14" t="b">
        <v>0</v>
      </c>
      <c r="M166" s="18">
        <v>61120</v>
      </c>
    </row>
    <row r="167" spans="1:13">
      <c r="A167" s="370" t="s">
        <v>1357</v>
      </c>
      <c r="B167" s="371" t="s">
        <v>1358</v>
      </c>
      <c r="C167" s="371" t="s">
        <v>1359</v>
      </c>
      <c r="D167" s="371" t="s">
        <v>1360</v>
      </c>
      <c r="E167" s="370"/>
      <c r="F167" s="371" t="str">
        <f t="shared" si="2"/>
        <v>MCI-01582</v>
      </c>
      <c r="G167" s="370" t="s">
        <v>1361</v>
      </c>
      <c r="H167" s="371"/>
      <c r="I167" s="371" t="s">
        <v>669</v>
      </c>
      <c r="J167" s="371" t="s">
        <v>1093</v>
      </c>
      <c r="K167" s="371" t="s">
        <v>652</v>
      </c>
      <c r="L167" s="14" t="b">
        <v>0</v>
      </c>
      <c r="M167" s="18">
        <v>61130</v>
      </c>
    </row>
    <row r="168" spans="1:13">
      <c r="A168" s="370" t="s">
        <v>1357</v>
      </c>
      <c r="B168" s="371" t="s">
        <v>1362</v>
      </c>
      <c r="C168" s="371" t="s">
        <v>1363</v>
      </c>
      <c r="D168" s="371" t="s">
        <v>1360</v>
      </c>
      <c r="E168" s="370"/>
      <c r="F168" s="371" t="str">
        <f t="shared" si="2"/>
        <v>MCI-01583</v>
      </c>
      <c r="G168" s="370" t="s">
        <v>1364</v>
      </c>
      <c r="H168" s="371"/>
      <c r="I168" s="371" t="s">
        <v>669</v>
      </c>
      <c r="J168" s="371" t="s">
        <v>1093</v>
      </c>
      <c r="K168" s="371" t="s">
        <v>652</v>
      </c>
      <c r="L168" s="14" t="b">
        <v>0</v>
      </c>
      <c r="M168" s="18">
        <v>61140</v>
      </c>
    </row>
    <row r="169" spans="1:13">
      <c r="A169" s="370" t="s">
        <v>1357</v>
      </c>
      <c r="B169" s="371" t="s">
        <v>1365</v>
      </c>
      <c r="C169" s="371" t="s">
        <v>1366</v>
      </c>
      <c r="D169" s="371" t="s">
        <v>1367</v>
      </c>
      <c r="E169" s="370"/>
      <c r="F169" s="371" t="str">
        <f t="shared" si="2"/>
        <v>MCI-01584</v>
      </c>
      <c r="G169" s="370" t="s">
        <v>1368</v>
      </c>
      <c r="H169" s="371"/>
      <c r="I169" s="371" t="s">
        <v>669</v>
      </c>
      <c r="J169" s="371" t="s">
        <v>1093</v>
      </c>
      <c r="K169" s="371" t="s">
        <v>650</v>
      </c>
      <c r="L169" s="14" t="b">
        <v>0</v>
      </c>
      <c r="M169" s="18">
        <v>61150</v>
      </c>
    </row>
    <row r="170" spans="1:13">
      <c r="A170" s="370" t="s">
        <v>1357</v>
      </c>
      <c r="B170" s="371" t="s">
        <v>1369</v>
      </c>
      <c r="C170" s="371" t="s">
        <v>1370</v>
      </c>
      <c r="D170" s="371"/>
      <c r="E170" s="370"/>
      <c r="F170" s="371" t="str">
        <f t="shared" si="2"/>
        <v>MCI-01585</v>
      </c>
      <c r="G170" s="370" t="s">
        <v>1371</v>
      </c>
      <c r="H170" s="371"/>
      <c r="I170" s="371" t="s">
        <v>669</v>
      </c>
      <c r="J170" s="371" t="s">
        <v>1093</v>
      </c>
      <c r="K170" s="371" t="s">
        <v>652</v>
      </c>
      <c r="L170" s="14" t="b">
        <v>0</v>
      </c>
      <c r="M170" s="18">
        <v>61160</v>
      </c>
    </row>
    <row r="171" spans="1:13">
      <c r="A171" s="370" t="s">
        <v>1357</v>
      </c>
      <c r="B171" s="371" t="s">
        <v>1372</v>
      </c>
      <c r="C171" s="371" t="s">
        <v>1373</v>
      </c>
      <c r="D171" s="371"/>
      <c r="E171" s="370"/>
      <c r="F171" s="371" t="str">
        <f t="shared" si="2"/>
        <v>MCI-01586</v>
      </c>
      <c r="G171" s="370" t="s">
        <v>1374</v>
      </c>
      <c r="H171" s="371"/>
      <c r="I171" s="371" t="s">
        <v>669</v>
      </c>
      <c r="J171" s="371" t="s">
        <v>1093</v>
      </c>
      <c r="K171" s="371" t="s">
        <v>652</v>
      </c>
      <c r="L171" s="14" t="b">
        <v>0</v>
      </c>
      <c r="M171" s="18">
        <v>61170</v>
      </c>
    </row>
    <row r="172" spans="1:13">
      <c r="A172" s="370" t="s">
        <v>1357</v>
      </c>
      <c r="B172" s="371" t="s">
        <v>1375</v>
      </c>
      <c r="C172" s="371" t="s">
        <v>1376</v>
      </c>
      <c r="D172" s="371"/>
      <c r="E172" s="370"/>
      <c r="F172" s="371" t="str">
        <f t="shared" si="2"/>
        <v>MCI-01587</v>
      </c>
      <c r="G172" s="370" t="s">
        <v>1377</v>
      </c>
      <c r="H172" s="371"/>
      <c r="I172" s="371" t="s">
        <v>669</v>
      </c>
      <c r="J172" s="371" t="s">
        <v>1093</v>
      </c>
      <c r="K172" s="371" t="s">
        <v>652</v>
      </c>
      <c r="L172" s="14" t="b">
        <v>0</v>
      </c>
      <c r="M172" s="18">
        <v>61180</v>
      </c>
    </row>
    <row r="173" spans="1:13">
      <c r="A173" s="370" t="s">
        <v>1357</v>
      </c>
      <c r="B173" s="371" t="s">
        <v>1378</v>
      </c>
      <c r="C173" s="371" t="s">
        <v>1379</v>
      </c>
      <c r="D173" s="371"/>
      <c r="E173" s="370"/>
      <c r="F173" s="371" t="str">
        <f t="shared" si="2"/>
        <v>MCI-01588</v>
      </c>
      <c r="G173" s="370" t="s">
        <v>1380</v>
      </c>
      <c r="H173" s="371"/>
      <c r="I173" s="371" t="s">
        <v>669</v>
      </c>
      <c r="J173" s="371" t="s">
        <v>1093</v>
      </c>
      <c r="K173" s="371" t="s">
        <v>652</v>
      </c>
      <c r="L173" s="14" t="b">
        <v>0</v>
      </c>
      <c r="M173" s="18">
        <v>61190</v>
      </c>
    </row>
    <row r="174" spans="1:13">
      <c r="A174" s="370" t="s">
        <v>1381</v>
      </c>
      <c r="B174" s="371" t="s">
        <v>1382</v>
      </c>
      <c r="C174" s="371" t="s">
        <v>1383</v>
      </c>
      <c r="D174" s="371" t="s">
        <v>1384</v>
      </c>
      <c r="E174" s="370"/>
      <c r="F174" s="371" t="str">
        <f t="shared" si="2"/>
        <v>MCI-01627</v>
      </c>
      <c r="G174" s="370" t="s">
        <v>1385</v>
      </c>
      <c r="H174" s="371"/>
      <c r="I174" s="371" t="s">
        <v>669</v>
      </c>
      <c r="J174" s="371" t="s">
        <v>1093</v>
      </c>
      <c r="K174" s="371" t="s">
        <v>652</v>
      </c>
      <c r="L174" s="14" t="b">
        <v>0</v>
      </c>
      <c r="M174" s="18">
        <v>61200</v>
      </c>
    </row>
    <row r="175" spans="1:13">
      <c r="A175" s="370" t="s">
        <v>1381</v>
      </c>
      <c r="B175" s="371" t="s">
        <v>1386</v>
      </c>
      <c r="C175" s="371" t="s">
        <v>1387</v>
      </c>
      <c r="D175" s="371"/>
      <c r="E175" s="370"/>
      <c r="F175" s="371" t="str">
        <f t="shared" si="2"/>
        <v>MCI-01628</v>
      </c>
      <c r="G175" s="370" t="s">
        <v>1388</v>
      </c>
      <c r="H175" s="371"/>
      <c r="I175" s="371" t="s">
        <v>669</v>
      </c>
      <c r="J175" s="371" t="s">
        <v>1093</v>
      </c>
      <c r="K175" s="371" t="s">
        <v>652</v>
      </c>
      <c r="L175" s="14" t="b">
        <v>0</v>
      </c>
      <c r="M175" s="18">
        <v>61210</v>
      </c>
    </row>
    <row r="176" spans="1:13">
      <c r="A176" s="370" t="s">
        <v>1381</v>
      </c>
      <c r="B176" s="371" t="s">
        <v>1389</v>
      </c>
      <c r="C176" s="371" t="s">
        <v>1390</v>
      </c>
      <c r="D176" s="371" t="s">
        <v>1391</v>
      </c>
      <c r="E176" s="370"/>
      <c r="F176" s="371" t="str">
        <f t="shared" si="2"/>
        <v>MCI-01629</v>
      </c>
      <c r="G176" s="370" t="s">
        <v>1392</v>
      </c>
      <c r="H176" s="371"/>
      <c r="I176" s="371" t="s">
        <v>669</v>
      </c>
      <c r="J176" s="371" t="s">
        <v>1093</v>
      </c>
      <c r="K176" s="371" t="s">
        <v>1267</v>
      </c>
      <c r="L176" s="14" t="b">
        <v>0</v>
      </c>
      <c r="M176" s="18">
        <v>61220</v>
      </c>
    </row>
    <row r="177" spans="1:16">
      <c r="A177" s="370" t="s">
        <v>1381</v>
      </c>
      <c r="B177" s="371" t="s">
        <v>1393</v>
      </c>
      <c r="C177" s="371" t="s">
        <v>1394</v>
      </c>
      <c r="D177" s="371"/>
      <c r="E177" s="370"/>
      <c r="F177" s="371" t="str">
        <f t="shared" si="2"/>
        <v>MCI-01630</v>
      </c>
      <c r="G177" s="370" t="s">
        <v>1395</v>
      </c>
      <c r="H177" s="371"/>
      <c r="I177" s="371" t="s">
        <v>669</v>
      </c>
      <c r="J177" s="371" t="s">
        <v>1093</v>
      </c>
      <c r="K177" s="371" t="s">
        <v>652</v>
      </c>
      <c r="L177" s="14" t="b">
        <v>0</v>
      </c>
      <c r="M177" s="18">
        <v>61230</v>
      </c>
    </row>
    <row r="178" spans="1:16">
      <c r="A178" s="370" t="s">
        <v>1381</v>
      </c>
      <c r="B178" s="371" t="s">
        <v>1396</v>
      </c>
      <c r="C178" s="371" t="s">
        <v>1397</v>
      </c>
      <c r="D178" s="371"/>
      <c r="E178" s="370"/>
      <c r="F178" s="371" t="str">
        <f t="shared" si="2"/>
        <v>MCI-01631</v>
      </c>
      <c r="G178" s="370" t="s">
        <v>1398</v>
      </c>
      <c r="H178" s="371"/>
      <c r="I178" s="371" t="s">
        <v>669</v>
      </c>
      <c r="J178" s="371" t="s">
        <v>1093</v>
      </c>
      <c r="K178" s="371" t="s">
        <v>652</v>
      </c>
      <c r="L178" s="14" t="b">
        <v>0</v>
      </c>
      <c r="M178" s="18">
        <v>61240</v>
      </c>
    </row>
    <row r="179" spans="1:16">
      <c r="A179" s="370" t="s">
        <v>1399</v>
      </c>
      <c r="B179" s="371" t="s">
        <v>1400</v>
      </c>
      <c r="C179" s="371" t="s">
        <v>1401</v>
      </c>
      <c r="D179" s="371" t="s">
        <v>1402</v>
      </c>
      <c r="E179" s="370"/>
      <c r="F179" s="371" t="str">
        <f t="shared" si="2"/>
        <v>MCI-01632</v>
      </c>
      <c r="G179" s="370" t="s">
        <v>1403</v>
      </c>
      <c r="H179" s="371"/>
      <c r="I179" s="371" t="s">
        <v>669</v>
      </c>
      <c r="J179" s="371" t="s">
        <v>1093</v>
      </c>
      <c r="K179" s="371" t="s">
        <v>652</v>
      </c>
      <c r="L179" s="14" t="b">
        <v>0</v>
      </c>
      <c r="M179" s="18">
        <v>61250</v>
      </c>
    </row>
    <row r="180" spans="1:16">
      <c r="A180" s="370" t="s">
        <v>467</v>
      </c>
      <c r="B180" s="371" t="s">
        <v>1404</v>
      </c>
      <c r="C180" s="371" t="s">
        <v>1405</v>
      </c>
      <c r="D180" s="371" t="s">
        <v>1406</v>
      </c>
      <c r="E180" s="370"/>
      <c r="F180" s="371" t="str">
        <f t="shared" si="2"/>
        <v>MCI-01600</v>
      </c>
      <c r="G180" s="370" t="s">
        <v>1407</v>
      </c>
      <c r="H180" s="371"/>
      <c r="I180" s="371" t="s">
        <v>669</v>
      </c>
      <c r="J180" s="371" t="s">
        <v>1093</v>
      </c>
      <c r="K180" s="371" t="s">
        <v>650</v>
      </c>
      <c r="L180" s="14" t="b">
        <v>0</v>
      </c>
      <c r="M180" s="18">
        <v>61270</v>
      </c>
    </row>
    <row r="181" spans="1:16">
      <c r="A181" s="370" t="s">
        <v>467</v>
      </c>
      <c r="B181" s="371" t="s">
        <v>1408</v>
      </c>
      <c r="C181" s="371" t="s">
        <v>1409</v>
      </c>
      <c r="D181" s="371" t="s">
        <v>1406</v>
      </c>
      <c r="E181" s="370"/>
      <c r="F181" s="371" t="str">
        <f t="shared" si="2"/>
        <v>MCI-01601</v>
      </c>
      <c r="G181" s="370" t="s">
        <v>1410</v>
      </c>
      <c r="H181" s="371"/>
      <c r="I181" s="371" t="s">
        <v>669</v>
      </c>
      <c r="J181" s="371" t="s">
        <v>1093</v>
      </c>
      <c r="K181" s="371" t="s">
        <v>650</v>
      </c>
      <c r="L181" s="14" t="b">
        <v>0</v>
      </c>
      <c r="M181" s="18">
        <v>61280</v>
      </c>
    </row>
    <row r="182" spans="1:16">
      <c r="A182" s="370" t="s">
        <v>467</v>
      </c>
      <c r="B182" s="371" t="s">
        <v>1411</v>
      </c>
      <c r="C182" s="371" t="s">
        <v>1412</v>
      </c>
      <c r="D182" s="371" t="s">
        <v>1413</v>
      </c>
      <c r="E182" s="370"/>
      <c r="F182" s="371" t="str">
        <f t="shared" si="2"/>
        <v>MCI-01602</v>
      </c>
      <c r="G182" s="370" t="s">
        <v>1414</v>
      </c>
      <c r="H182" s="371"/>
      <c r="I182" s="371" t="s">
        <v>669</v>
      </c>
      <c r="J182" s="371" t="s">
        <v>1093</v>
      </c>
      <c r="K182" s="371" t="s">
        <v>652</v>
      </c>
      <c r="L182" s="14" t="b">
        <v>0</v>
      </c>
      <c r="M182" s="18">
        <v>61290</v>
      </c>
    </row>
    <row r="183" spans="1:16">
      <c r="A183" s="370" t="s">
        <v>467</v>
      </c>
      <c r="B183" s="371" t="s">
        <v>1415</v>
      </c>
      <c r="C183" s="371" t="s">
        <v>1416</v>
      </c>
      <c r="D183" s="371"/>
      <c r="E183" s="370"/>
      <c r="F183" s="371" t="str">
        <f t="shared" si="2"/>
        <v>MCI-01603</v>
      </c>
      <c r="G183" s="370" t="s">
        <v>1417</v>
      </c>
      <c r="H183" s="371"/>
      <c r="I183" s="371" t="s">
        <v>669</v>
      </c>
      <c r="J183" s="371" t="s">
        <v>1093</v>
      </c>
      <c r="K183" s="371" t="s">
        <v>652</v>
      </c>
      <c r="L183" s="14" t="b">
        <v>0</v>
      </c>
      <c r="M183" s="18">
        <v>61300</v>
      </c>
    </row>
    <row r="184" spans="1:16">
      <c r="A184" s="370" t="s">
        <v>467</v>
      </c>
      <c r="B184" s="371" t="s">
        <v>1418</v>
      </c>
      <c r="C184" s="371" t="s">
        <v>1419</v>
      </c>
      <c r="D184" s="371"/>
      <c r="E184" s="370"/>
      <c r="F184" s="371" t="str">
        <f t="shared" si="2"/>
        <v>MCI-01604</v>
      </c>
      <c r="G184" s="370" t="s">
        <v>1420</v>
      </c>
      <c r="H184" s="371"/>
      <c r="I184" s="371" t="s">
        <v>669</v>
      </c>
      <c r="J184" s="371" t="s">
        <v>1093</v>
      </c>
      <c r="K184" s="371" t="s">
        <v>652</v>
      </c>
      <c r="L184" s="14" t="b">
        <v>0</v>
      </c>
      <c r="M184" s="18">
        <v>61310</v>
      </c>
    </row>
    <row r="185" spans="1:16">
      <c r="A185" s="370" t="s">
        <v>467</v>
      </c>
      <c r="B185" s="371" t="s">
        <v>1421</v>
      </c>
      <c r="C185" s="371" t="s">
        <v>1422</v>
      </c>
      <c r="D185" s="371" t="s">
        <v>1423</v>
      </c>
      <c r="E185" s="370"/>
      <c r="F185" s="371" t="str">
        <f t="shared" si="2"/>
        <v>MCI-01605</v>
      </c>
      <c r="G185" s="370" t="s">
        <v>1424</v>
      </c>
      <c r="H185" s="371"/>
      <c r="I185" s="371" t="s">
        <v>669</v>
      </c>
      <c r="J185" s="371" t="s">
        <v>1093</v>
      </c>
      <c r="K185" s="371" t="s">
        <v>652</v>
      </c>
      <c r="L185" s="14" t="b">
        <v>0</v>
      </c>
      <c r="M185" s="18">
        <v>61320</v>
      </c>
    </row>
    <row r="186" spans="1:16">
      <c r="A186" s="370" t="s">
        <v>467</v>
      </c>
      <c r="B186" s="371" t="s">
        <v>1425</v>
      </c>
      <c r="C186" s="371" t="s">
        <v>1426</v>
      </c>
      <c r="D186" s="371"/>
      <c r="E186" s="370"/>
      <c r="F186" s="371" t="str">
        <f t="shared" si="2"/>
        <v>MCI-01606</v>
      </c>
      <c r="G186" s="370" t="s">
        <v>1427</v>
      </c>
      <c r="H186" s="371"/>
      <c r="I186" s="371" t="s">
        <v>669</v>
      </c>
      <c r="J186" s="371" t="s">
        <v>1093</v>
      </c>
      <c r="K186" s="371" t="s">
        <v>650</v>
      </c>
      <c r="L186" s="14" t="b">
        <v>0</v>
      </c>
      <c r="M186" s="18">
        <v>61330</v>
      </c>
    </row>
    <row r="187" spans="1:16">
      <c r="A187" s="370" t="s">
        <v>467</v>
      </c>
      <c r="B187" s="371" t="s">
        <v>1428</v>
      </c>
      <c r="C187" s="371" t="s">
        <v>1429</v>
      </c>
      <c r="D187" s="371"/>
      <c r="E187" s="370"/>
      <c r="F187" s="371" t="str">
        <f t="shared" si="2"/>
        <v>MCI-01607</v>
      </c>
      <c r="G187" s="370" t="s">
        <v>1430</v>
      </c>
      <c r="H187" s="371"/>
      <c r="I187" s="371" t="s">
        <v>669</v>
      </c>
      <c r="J187" s="371" t="s">
        <v>1093</v>
      </c>
      <c r="K187" s="371" t="s">
        <v>652</v>
      </c>
      <c r="L187" s="14" t="b">
        <v>0</v>
      </c>
      <c r="M187" s="18">
        <v>61340</v>
      </c>
    </row>
    <row r="188" spans="1:16">
      <c r="A188" s="370" t="s">
        <v>467</v>
      </c>
      <c r="B188" s="371" t="s">
        <v>1431</v>
      </c>
      <c r="C188" s="371" t="s">
        <v>1432</v>
      </c>
      <c r="D188" s="371" t="s">
        <v>1423</v>
      </c>
      <c r="E188" s="370"/>
      <c r="F188" s="371" t="str">
        <f t="shared" si="2"/>
        <v>MCI-01608</v>
      </c>
      <c r="G188" s="370" t="s">
        <v>1433</v>
      </c>
      <c r="H188" s="371"/>
      <c r="I188" s="371" t="s">
        <v>669</v>
      </c>
      <c r="J188" s="371" t="s">
        <v>1093</v>
      </c>
      <c r="K188" s="371" t="s">
        <v>652</v>
      </c>
      <c r="L188" s="14" t="b">
        <v>0</v>
      </c>
      <c r="M188" s="18">
        <v>61350</v>
      </c>
    </row>
    <row r="190" spans="1:16">
      <c r="B190" s="2" t="s">
        <v>1434</v>
      </c>
    </row>
    <row r="191" spans="1:16">
      <c r="B191" s="23" t="s">
        <v>1435</v>
      </c>
      <c r="C191" s="367" t="s">
        <v>256</v>
      </c>
      <c r="D191" s="367" t="s">
        <v>1436</v>
      </c>
      <c r="E191" s="367" t="s">
        <v>310</v>
      </c>
      <c r="F191" s="367" t="s">
        <v>1437</v>
      </c>
      <c r="G191" s="367" t="s">
        <v>318</v>
      </c>
      <c r="H191" s="367" t="s">
        <v>1438</v>
      </c>
      <c r="I191" s="367" t="s">
        <v>1439</v>
      </c>
      <c r="J191" s="367" t="s">
        <v>819</v>
      </c>
      <c r="K191" s="14" t="s">
        <v>822</v>
      </c>
      <c r="L191" s="14" t="s">
        <v>1440</v>
      </c>
      <c r="M191" s="14" t="s">
        <v>820</v>
      </c>
      <c r="N191" s="14" t="s">
        <v>824</v>
      </c>
      <c r="O191" s="14"/>
      <c r="P191" s="14" t="s">
        <v>1083</v>
      </c>
    </row>
    <row r="192" spans="1:16" hidden="1">
      <c r="B192" s="24" t="str">
        <f t="array" ref="B192">IFERROR(INDEX($C$192:$C$250, MATCH(0, COUNTIF($B$191:B191, $C$192:$C$250&amp;"") + IF($C$192:$C$250="",1,0), 0)), "")</f>
        <v>--Select--</v>
      </c>
      <c r="C192" s="15" t="s">
        <v>826</v>
      </c>
      <c r="D192" s="14" t="s">
        <v>1441</v>
      </c>
      <c r="E192" s="14" t="s">
        <v>312</v>
      </c>
      <c r="F192" s="14" t="str">
        <f>C192</f>
        <v>--Select--</v>
      </c>
      <c r="G192" s="14" t="s">
        <v>321</v>
      </c>
      <c r="H192" s="368" t="s">
        <v>1442</v>
      </c>
      <c r="I192" s="14" t="str">
        <f t="array" ref="I192">IFERROR(INDEX($D$192:$D$250, MATCH(0, COUNTIF($I$191:I191, $D$192:$D$250&amp;"") + IF($D$192:$D$250="",1,0), 0)), "")</f>
        <v>[Module-Coverage-Intervention Reference (Name)]</v>
      </c>
      <c r="J192" s="14" t="str">
        <f t="array" ref="J192">IFERROR(IF(INDEX($C$192:$C$250,MATCH(LEFT(I192,255),LEFT($D$192:$D$250,255),0))=0,"",INDEX($C$192:$C$250,MATCH(LEFT(I192,255),LEFT($D$192:$D$250,255),0))),"")</f>
        <v>--Select--</v>
      </c>
      <c r="K192" s="14" t="s">
        <v>830</v>
      </c>
      <c r="L192" s="15" t="s">
        <v>1085</v>
      </c>
      <c r="M192" s="15" t="s">
        <v>828</v>
      </c>
      <c r="N192" s="18" t="s">
        <v>832</v>
      </c>
      <c r="O192" s="14"/>
      <c r="P192" s="15" t="s">
        <v>1088</v>
      </c>
    </row>
    <row r="193" spans="3:16">
      <c r="C193" s="15" t="s">
        <v>1443</v>
      </c>
      <c r="D193" s="14" t="s">
        <v>440</v>
      </c>
      <c r="E193" s="14" t="s">
        <v>313</v>
      </c>
      <c r="F193" s="14" t="str">
        <f t="shared" ref="F193:F242" si="3">C193</f>
        <v>Prevention package for men who have sex with men (MSM) and their sexual partners</v>
      </c>
      <c r="G193" s="14" t="s">
        <v>1444</v>
      </c>
      <c r="H193" s="368" t="s">
        <v>1445</v>
      </c>
      <c r="I193" s="14" t="str">
        <f t="array" ref="I193">IFERROR(INDEX($D$192:$D$250, MATCH(0, COUNTIF($I$191:I192, $D$192:$D$250&amp;"") + IF($D$192:$D$250="",1,0), 0)), "")</f>
        <v>MCI-01296</v>
      </c>
      <c r="J193" s="14" t="str">
        <f t="array" ref="J193">IFERROR(IF(INDEX($C$192:$C$250,MATCH(LEFT(I193,255),LEFT($D$192:$D$250,255),0))=0,"",INDEX($C$192:$C$250,MATCH(LEFT(I193,255),LEFT($D$192:$D$250,255),0))),"")</f>
        <v>Prevention package for men who have sex with men (MSM) and their sexual partners</v>
      </c>
      <c r="K193" s="14" t="s">
        <v>669</v>
      </c>
      <c r="L193" s="15"/>
      <c r="M193" s="15" t="s">
        <v>1446</v>
      </c>
      <c r="N193" s="18">
        <v>1010</v>
      </c>
      <c r="O193" s="14"/>
      <c r="P193" s="15"/>
    </row>
    <row r="194" spans="3:16">
      <c r="C194" s="15" t="s">
        <v>1447</v>
      </c>
      <c r="D194" s="14" t="s">
        <v>443</v>
      </c>
      <c r="E194" s="14" t="s">
        <v>313</v>
      </c>
      <c r="F194" s="14" t="str">
        <f t="shared" si="3"/>
        <v>Prevention package for sex workers, their clients and other sexual partners</v>
      </c>
      <c r="G194" s="14" t="s">
        <v>1448</v>
      </c>
      <c r="H194" s="368" t="s">
        <v>1449</v>
      </c>
      <c r="I194" s="14" t="str">
        <f t="array" ref="I194">IFERROR(INDEX($D$192:$D$250, MATCH(0, COUNTIF($I$191:I193, $D$192:$D$250&amp;"") + IF($D$192:$D$250="",1,0), 0)), "")</f>
        <v>MCI-01297</v>
      </c>
      <c r="J194" s="14" t="str">
        <f t="array" ref="J194">IFERROR(IF(INDEX($C$192:$C$250,MATCH(LEFT(I194,255),LEFT($D$192:$D$250,255),0))=0,"",INDEX($C$192:$C$250,MATCH(LEFT(I194,255),LEFT($D$192:$D$250,255),0))),"")</f>
        <v>Prevention package for sex workers, their clients and other sexual partners</v>
      </c>
      <c r="K194" s="14" t="s">
        <v>669</v>
      </c>
      <c r="L194" s="15"/>
      <c r="M194" s="15" t="s">
        <v>1450</v>
      </c>
      <c r="N194" s="18">
        <v>1020</v>
      </c>
      <c r="O194" s="14"/>
      <c r="P194" s="15"/>
    </row>
    <row r="195" spans="3:16">
      <c r="C195" s="15" t="s">
        <v>1451</v>
      </c>
      <c r="D195" s="14" t="s">
        <v>446</v>
      </c>
      <c r="E195" s="14" t="s">
        <v>313</v>
      </c>
      <c r="F195" s="14" t="str">
        <f t="shared" si="3"/>
        <v>Prevention package for transgender people and their sexual partners</v>
      </c>
      <c r="G195" s="14" t="s">
        <v>1452</v>
      </c>
      <c r="H195" s="368" t="s">
        <v>1453</v>
      </c>
      <c r="I195" s="14" t="str">
        <f t="array" ref="I195">IFERROR(INDEX($D$192:$D$250, MATCH(0, COUNTIF($I$191:I194, $D$192:$D$250&amp;"") + IF($D$192:$D$250="",1,0), 0)), "")</f>
        <v>MCI-01298</v>
      </c>
      <c r="J195" s="14" t="str">
        <f t="array" ref="J195">IFERROR(IF(INDEX($C$192:$C$250,MATCH(LEFT(I195,255),LEFT($D$192:$D$250,255),0))=0,"",INDEX($C$192:$C$250,MATCH(LEFT(I195,255),LEFT($D$192:$D$250,255),0))),"")</f>
        <v>Prevention package for transgender people and their sexual partners</v>
      </c>
      <c r="K195" s="14" t="s">
        <v>669</v>
      </c>
      <c r="L195" s="15"/>
      <c r="M195" s="15" t="s">
        <v>1454</v>
      </c>
      <c r="N195" s="18">
        <v>1030</v>
      </c>
      <c r="O195" s="14"/>
      <c r="P195" s="15"/>
    </row>
    <row r="196" spans="3:16">
      <c r="C196" s="15" t="s">
        <v>1455</v>
      </c>
      <c r="D196" s="14" t="s">
        <v>449</v>
      </c>
      <c r="E196" s="14" t="s">
        <v>313</v>
      </c>
      <c r="F196" s="14" t="str">
        <f t="shared" si="3"/>
        <v>Prevention package for people who use drugs (PUD) and their sexual partners</v>
      </c>
      <c r="G196" s="14" t="s">
        <v>1456</v>
      </c>
      <c r="H196" s="368" t="s">
        <v>1457</v>
      </c>
      <c r="I196" s="14" t="str">
        <f t="array" ref="I196">IFERROR(INDEX($D$192:$D$250, MATCH(0, COUNTIF($I$191:I195, $D$192:$D$250&amp;"") + IF($D$192:$D$250="",1,0), 0)), "")</f>
        <v>MCI-01299</v>
      </c>
      <c r="J196" s="14" t="str">
        <f t="array" ref="J196">IFERROR(IF(INDEX($C$192:$C$250,MATCH(LEFT(I196,255),LEFT($D$192:$D$250,255),0))=0,"",INDEX($C$192:$C$250,MATCH(LEFT(I196,255),LEFT($D$192:$D$250,255),0))),"")</f>
        <v>Prevention package for people who use drugs (PUD) and their sexual partners</v>
      </c>
      <c r="K196" s="14" t="s">
        <v>669</v>
      </c>
      <c r="L196" s="15"/>
      <c r="M196" s="15" t="s">
        <v>1458</v>
      </c>
      <c r="N196" s="18">
        <v>1040</v>
      </c>
      <c r="O196" s="14"/>
      <c r="P196" s="15"/>
    </row>
    <row r="197" spans="3:16">
      <c r="C197" s="15" t="s">
        <v>1459</v>
      </c>
      <c r="D197" s="14" t="s">
        <v>452</v>
      </c>
      <c r="E197" s="14" t="s">
        <v>313</v>
      </c>
      <c r="F197" s="14" t="str">
        <f t="shared" si="3"/>
        <v>Prevention package for people in prisons and other closed settings</v>
      </c>
      <c r="G197" s="14" t="s">
        <v>1460</v>
      </c>
      <c r="H197" s="368" t="s">
        <v>1461</v>
      </c>
      <c r="I197" s="14" t="str">
        <f t="array" ref="I197">IFERROR(INDEX($D$192:$D$250, MATCH(0, COUNTIF($I$191:I196, $D$192:$D$250&amp;"") + IF($D$192:$D$250="",1,0), 0)), "")</f>
        <v>MCI-01300</v>
      </c>
      <c r="J197" s="14" t="str">
        <f t="array" ref="J197">IFERROR(IF(INDEX($C$192:$C$250,MATCH(LEFT(I197,255),LEFT($D$192:$D$250,255),0))=0,"",INDEX($C$192:$C$250,MATCH(LEFT(I197,255),LEFT($D$192:$D$250,255),0))),"")</f>
        <v>Prevention package for people in prisons and other closed settings</v>
      </c>
      <c r="K197" s="14" t="s">
        <v>669</v>
      </c>
      <c r="L197" s="15"/>
      <c r="M197" s="15" t="s">
        <v>1462</v>
      </c>
      <c r="N197" s="18">
        <v>1050</v>
      </c>
      <c r="O197" s="14"/>
      <c r="P197" s="15"/>
    </row>
    <row r="198" spans="3:16">
      <c r="C198" s="15" t="s">
        <v>1463</v>
      </c>
      <c r="D198" s="14" t="s">
        <v>1145</v>
      </c>
      <c r="E198" s="14" t="s">
        <v>313</v>
      </c>
      <c r="F198" s="14" t="str">
        <f t="shared" si="3"/>
        <v>Prevention package for other vulnerable populations (OVP)</v>
      </c>
      <c r="G198" s="14" t="s">
        <v>1464</v>
      </c>
      <c r="H198" s="368" t="s">
        <v>1465</v>
      </c>
      <c r="I198" s="14" t="str">
        <f t="array" ref="I198">IFERROR(INDEX($D$192:$D$250, MATCH(0, COUNTIF($I$191:I197, $D$192:$D$250&amp;"") + IF($D$192:$D$250="",1,0), 0)), "")</f>
        <v>MCI-01301</v>
      </c>
      <c r="J198" s="14" t="str">
        <f t="array" ref="J198">IFERROR(IF(INDEX($C$192:$C$250,MATCH(LEFT(I198,255),LEFT($D$192:$D$250,255),0))=0,"",INDEX($C$192:$C$250,MATCH(LEFT(I198,255),LEFT($D$192:$D$250,255),0))),"")</f>
        <v>Prevention package for other vulnerable populations (OVP)</v>
      </c>
      <c r="K198" s="14" t="s">
        <v>669</v>
      </c>
      <c r="L198" s="15"/>
      <c r="M198" s="15" t="s">
        <v>1466</v>
      </c>
      <c r="N198" s="18">
        <v>1060</v>
      </c>
      <c r="O198" s="14"/>
      <c r="P198" s="15"/>
    </row>
    <row r="199" spans="3:16">
      <c r="C199" s="15" t="s">
        <v>1467</v>
      </c>
      <c r="D199" s="14" t="s">
        <v>1149</v>
      </c>
      <c r="E199" s="14" t="s">
        <v>313</v>
      </c>
      <c r="F199" s="14" t="str">
        <f t="shared" si="3"/>
        <v>Prevention package for adolescent girls and young women (AGYW) and male sexual partners in high HIV incidence settings</v>
      </c>
      <c r="G199" s="14" t="s">
        <v>1468</v>
      </c>
      <c r="H199" s="368" t="s">
        <v>1469</v>
      </c>
      <c r="I199" s="14" t="str">
        <f t="array" ref="I199">IFERROR(INDEX($D$192:$D$250, MATCH(0, COUNTIF($I$191:I198, $D$192:$D$250&amp;"") + IF($D$192:$D$250="",1,0), 0)), "")</f>
        <v>MCI-01302</v>
      </c>
      <c r="J199" s="14" t="str">
        <f t="array" ref="J199">IFERROR(IF(INDEX($C$192:$C$250,MATCH(LEFT(I199,255),LEFT($D$192:$D$250,255),0))=0,"",INDEX($C$192:$C$250,MATCH(LEFT(I199,255),LEFT($D$192:$D$250,255),0))),"")</f>
        <v>Prevention package for adolescent girls and young women (AGYW) and male sexual partners in high HIV incidence settings</v>
      </c>
      <c r="K199" s="14" t="s">
        <v>669</v>
      </c>
      <c r="L199" s="15"/>
      <c r="M199" s="15" t="s">
        <v>1470</v>
      </c>
      <c r="N199" s="18">
        <v>1070</v>
      </c>
      <c r="O199" s="14"/>
      <c r="P199" s="15"/>
    </row>
    <row r="200" spans="3:16">
      <c r="C200" s="15" t="s">
        <v>1471</v>
      </c>
      <c r="D200" s="14" t="s">
        <v>1472</v>
      </c>
      <c r="E200" s="14" t="s">
        <v>313</v>
      </c>
      <c r="F200" s="14" t="str">
        <f t="shared" si="3"/>
        <v>Prevention program stewardship</v>
      </c>
      <c r="G200" s="14" t="s">
        <v>1473</v>
      </c>
      <c r="H200" s="368" t="s">
        <v>1474</v>
      </c>
      <c r="I200" s="14" t="str">
        <f t="array" ref="I200">IFERROR(INDEX($D$192:$D$250, MATCH(0, COUNTIF($I$191:I199, $D$192:$D$250&amp;"") + IF($D$192:$D$250="",1,0), 0)), "")</f>
        <v>MCI-01303</v>
      </c>
      <c r="J200" s="14" t="str">
        <f t="array" ref="J200">IFERROR(IF(INDEX($C$192:$C$250,MATCH(LEFT(I200,255),LEFT($D$192:$D$250,255),0))=0,"",INDEX($C$192:$C$250,MATCH(LEFT(I200,255),LEFT($D$192:$D$250,255),0))),"")</f>
        <v>Prevention program stewardship</v>
      </c>
      <c r="K200" s="14" t="s">
        <v>669</v>
      </c>
      <c r="L200" s="15"/>
      <c r="M200" s="15" t="s">
        <v>1475</v>
      </c>
      <c r="N200" s="18">
        <v>1080</v>
      </c>
      <c r="O200" s="14"/>
      <c r="P200" s="15"/>
    </row>
    <row r="201" spans="3:16">
      <c r="C201" s="15" t="s">
        <v>1476</v>
      </c>
      <c r="D201" s="14" t="s">
        <v>455</v>
      </c>
      <c r="E201" s="14" t="s">
        <v>313</v>
      </c>
      <c r="F201" s="14" t="str">
        <f t="shared" si="3"/>
        <v>Elimination of vertical transmission of HIV, syphilis and hepatitis B</v>
      </c>
      <c r="G201" s="14" t="s">
        <v>1477</v>
      </c>
      <c r="H201" s="368" t="s">
        <v>1478</v>
      </c>
      <c r="I201" s="14" t="str">
        <f t="array" ref="I201">IFERROR(INDEX($D$192:$D$250, MATCH(0, COUNTIF($I$191:I200, $D$192:$D$250&amp;"") + IF($D$192:$D$250="",1,0), 0)), "")</f>
        <v>MCI-01304</v>
      </c>
      <c r="J201" s="14" t="str">
        <f t="array" ref="J201">IFERROR(IF(INDEX($C$192:$C$250,MATCH(LEFT(I201,255),LEFT($D$192:$D$250,255),0))=0,"",INDEX($C$192:$C$250,MATCH(LEFT(I201,255),LEFT($D$192:$D$250,255),0))),"")</f>
        <v>Elimination of vertical transmission of HIV, syphilis and hepatitis B</v>
      </c>
      <c r="K201" s="14" t="s">
        <v>669</v>
      </c>
      <c r="L201" s="15"/>
      <c r="M201" s="15" t="s">
        <v>1479</v>
      </c>
      <c r="N201" s="18">
        <v>1090</v>
      </c>
      <c r="O201" s="14"/>
      <c r="P201" s="15"/>
    </row>
    <row r="202" spans="3:16">
      <c r="C202" s="15" t="s">
        <v>1480</v>
      </c>
      <c r="D202" s="14" t="s">
        <v>458</v>
      </c>
      <c r="E202" s="14" t="s">
        <v>313</v>
      </c>
      <c r="F202" s="14" t="str">
        <f t="shared" si="3"/>
        <v>Differentiated HIV Testing Services</v>
      </c>
      <c r="G202" s="14" t="s">
        <v>1481</v>
      </c>
      <c r="H202" s="368" t="s">
        <v>1482</v>
      </c>
      <c r="I202" s="14" t="str">
        <f t="array" ref="I202">IFERROR(INDEX($D$192:$D$250, MATCH(0, COUNTIF($I$191:I201, $D$192:$D$250&amp;"") + IF($D$192:$D$250="",1,0), 0)), "")</f>
        <v>MCI-01305</v>
      </c>
      <c r="J202" s="14" t="str">
        <f t="array" ref="J202">IFERROR(IF(INDEX($C$192:$C$250,MATCH(LEFT(I202,255),LEFT($D$192:$D$250,255),0))=0,"",INDEX($C$192:$C$250,MATCH(LEFT(I202,255),LEFT($D$192:$D$250,255),0))),"")</f>
        <v>Differentiated HIV Testing Services</v>
      </c>
      <c r="K202" s="14" t="s">
        <v>669</v>
      </c>
      <c r="L202" s="15"/>
      <c r="M202" s="15" t="s">
        <v>1483</v>
      </c>
      <c r="N202" s="18">
        <v>1100</v>
      </c>
      <c r="O202" s="14"/>
      <c r="P202" s="15"/>
    </row>
    <row r="203" spans="3:16">
      <c r="C203" s="15" t="s">
        <v>1484</v>
      </c>
      <c r="D203" s="14" t="s">
        <v>461</v>
      </c>
      <c r="E203" s="14" t="s">
        <v>313</v>
      </c>
      <c r="F203" s="14" t="str">
        <f t="shared" si="3"/>
        <v>Treatment, care and support</v>
      </c>
      <c r="G203" s="14" t="s">
        <v>1485</v>
      </c>
      <c r="H203" s="368" t="s">
        <v>1486</v>
      </c>
      <c r="I203" s="14" t="str">
        <f t="array" ref="I203">IFERROR(INDEX($D$192:$D$250, MATCH(0, COUNTIF($I$191:I202, $D$192:$D$250&amp;"") + IF($D$192:$D$250="",1,0), 0)), "")</f>
        <v>MCI-01306</v>
      </c>
      <c r="J203" s="14" t="str">
        <f t="array" ref="J203">IFERROR(IF(INDEX($C$192:$C$250,MATCH(LEFT(I203,255),LEFT($D$192:$D$250,255),0))=0,"",INDEX($C$192:$C$250,MATCH(LEFT(I203,255),LEFT($D$192:$D$250,255),0))),"")</f>
        <v>Treatment, care and support</v>
      </c>
      <c r="K203" s="14" t="s">
        <v>669</v>
      </c>
      <c r="L203" s="15"/>
      <c r="M203" s="15" t="s">
        <v>1487</v>
      </c>
      <c r="N203" s="18">
        <v>1110</v>
      </c>
      <c r="O203" s="14"/>
      <c r="P203" s="15"/>
    </row>
    <row r="204" spans="3:16">
      <c r="C204" s="15" t="s">
        <v>1488</v>
      </c>
      <c r="D204" s="14" t="s">
        <v>1489</v>
      </c>
      <c r="E204" s="14" t="s">
        <v>313</v>
      </c>
      <c r="F204" s="14" t="str">
        <f t="shared" si="3"/>
        <v>Reducing human rights-related barriers to HIV/TB services</v>
      </c>
      <c r="G204" s="14" t="s">
        <v>1490</v>
      </c>
      <c r="H204" s="368" t="s">
        <v>1491</v>
      </c>
      <c r="I204" s="14" t="str">
        <f t="array" ref="I204">IFERROR(INDEX($D$192:$D$250, MATCH(0, COUNTIF($I$191:I203, $D$192:$D$250&amp;"") + IF($D$192:$D$250="",1,0), 0)), "")</f>
        <v>MCI-01307</v>
      </c>
      <c r="J204" s="14" t="str">
        <f t="array" ref="J204">IFERROR(IF(INDEX($C$192:$C$250,MATCH(LEFT(I204,255),LEFT($D$192:$D$250,255),0))=0,"",INDEX($C$192:$C$250,MATCH(LEFT(I204,255),LEFT($D$192:$D$250,255),0))),"")</f>
        <v>Reducing human rights-related barriers to HIV/TB services</v>
      </c>
      <c r="K204" s="14" t="s">
        <v>669</v>
      </c>
      <c r="L204" s="15"/>
      <c r="M204" s="15" t="s">
        <v>1492</v>
      </c>
      <c r="N204" s="18">
        <v>1130</v>
      </c>
      <c r="O204" s="14"/>
      <c r="P204" s="15"/>
    </row>
    <row r="205" spans="3:16">
      <c r="C205" s="15" t="s">
        <v>1493</v>
      </c>
      <c r="D205" s="14" t="s">
        <v>437</v>
      </c>
      <c r="E205" s="14" t="s">
        <v>313</v>
      </c>
      <c r="F205" s="14" t="str">
        <f t="shared" si="3"/>
        <v>TB/HIV</v>
      </c>
      <c r="G205" s="14" t="s">
        <v>1494</v>
      </c>
      <c r="H205" s="368" t="s">
        <v>1495</v>
      </c>
      <c r="I205" s="14" t="str">
        <f t="array" ref="I205">IFERROR(INDEX($D$192:$D$250, MATCH(0, COUNTIF($I$191:I204, $D$192:$D$250&amp;"") + IF($D$192:$D$250="",1,0), 0)), "")</f>
        <v>MCI-01313</v>
      </c>
      <c r="J205" s="14" t="str">
        <f t="array" ref="J205">IFERROR(IF(INDEX($C$192:$C$250,MATCH(LEFT(I205,255),LEFT($D$192:$D$250,255),0))=0,"",INDEX($C$192:$C$250,MATCH(LEFT(I205,255),LEFT($D$192:$D$250,255),0))),"")</f>
        <v>TB/HIV</v>
      </c>
      <c r="K205" s="14" t="s">
        <v>669</v>
      </c>
      <c r="L205" s="15"/>
      <c r="M205" s="15" t="s">
        <v>1496</v>
      </c>
      <c r="N205" s="18">
        <v>2510</v>
      </c>
      <c r="O205" s="14"/>
      <c r="P205" s="15"/>
    </row>
    <row r="206" spans="3:16">
      <c r="C206" s="15" t="s">
        <v>1497</v>
      </c>
      <c r="D206" s="14" t="s">
        <v>1312</v>
      </c>
      <c r="E206" s="14" t="s">
        <v>313</v>
      </c>
      <c r="F206" s="14" t="str">
        <f t="shared" si="3"/>
        <v>RSSH: Health sector planning and governance for integrated people-centered services</v>
      </c>
      <c r="G206" s="14" t="s">
        <v>1498</v>
      </c>
      <c r="H206" s="368" t="s">
        <v>1499</v>
      </c>
      <c r="I206" s="14" t="str">
        <f t="array" ref="I206">IFERROR(INDEX($D$192:$D$250, MATCH(0, COUNTIF($I$191:I205, $D$192:$D$250&amp;"") + IF($D$192:$D$250="",1,0), 0)), "")</f>
        <v>MCI-01320</v>
      </c>
      <c r="J206" s="14" t="str">
        <f t="array" ref="J206">IFERROR(IF(INDEX($C$192:$C$250,MATCH(LEFT(I206,255),LEFT($D$192:$D$250,255),0))=0,"",INDEX($C$192:$C$250,MATCH(LEFT(I206,255),LEFT($D$192:$D$250,255),0))),"")</f>
        <v>RSSH: Health sector planning and governance for integrated people-centered services</v>
      </c>
      <c r="K206" s="14" t="s">
        <v>669</v>
      </c>
      <c r="L206" s="15"/>
      <c r="M206" s="15" t="s">
        <v>1500</v>
      </c>
      <c r="N206" s="18">
        <v>6010</v>
      </c>
      <c r="O206" s="14"/>
      <c r="P206" s="15"/>
    </row>
    <row r="207" spans="3:16">
      <c r="C207" s="15" t="s">
        <v>1501</v>
      </c>
      <c r="D207" s="14" t="s">
        <v>1316</v>
      </c>
      <c r="E207" s="14" t="s">
        <v>313</v>
      </c>
      <c r="F207" s="14" t="str">
        <f t="shared" si="3"/>
        <v>RSSH: Community systems strengthening</v>
      </c>
      <c r="G207" s="14" t="s">
        <v>1502</v>
      </c>
      <c r="H207" s="368" t="s">
        <v>1503</v>
      </c>
      <c r="I207" s="14" t="str">
        <f t="array" ref="I207">IFERROR(INDEX($D$192:$D$250, MATCH(0, COUNTIF($I$191:I206, $D$192:$D$250&amp;"") + IF($D$192:$D$250="",1,0), 0)), "")</f>
        <v>MCI-01321</v>
      </c>
      <c r="J207" s="14" t="str">
        <f t="array" ref="J207">IFERROR(IF(INDEX($C$192:$C$250,MATCH(LEFT(I207,255),LEFT($D$192:$D$250,255),0))=0,"",INDEX($C$192:$C$250,MATCH(LEFT(I207,255),LEFT($D$192:$D$250,255),0))),"")</f>
        <v>RSSH: Community systems strengthening</v>
      </c>
      <c r="K207" s="14" t="s">
        <v>669</v>
      </c>
      <c r="L207" s="15"/>
      <c r="M207" s="15" t="s">
        <v>1504</v>
      </c>
      <c r="N207" s="18">
        <v>6020</v>
      </c>
      <c r="O207" s="14"/>
      <c r="P207" s="15"/>
    </row>
    <row r="208" spans="3:16">
      <c r="C208" s="15" t="s">
        <v>1505</v>
      </c>
      <c r="D208" s="14" t="s">
        <v>1325</v>
      </c>
      <c r="E208" s="14" t="s">
        <v>313</v>
      </c>
      <c r="F208" s="14" t="str">
        <f t="shared" si="3"/>
        <v>RSSH: Health financing systems</v>
      </c>
      <c r="G208" s="14" t="s">
        <v>1506</v>
      </c>
      <c r="H208" s="368" t="s">
        <v>1507</v>
      </c>
      <c r="I208" s="14" t="str">
        <f t="array" ref="I208">IFERROR(INDEX($D$192:$D$250, MATCH(0, COUNTIF($I$191:I207, $D$192:$D$250&amp;"") + IF($D$192:$D$250="",1,0), 0)), "")</f>
        <v>MCI-01322</v>
      </c>
      <c r="J208" s="14" t="str">
        <f t="array" ref="J208">IFERROR(IF(INDEX($C$192:$C$250,MATCH(LEFT(I208,255),LEFT($D$192:$D$250,255),0))=0,"",INDEX($C$192:$C$250,MATCH(LEFT(I208,255),LEFT($D$192:$D$250,255),0))),"")</f>
        <v>RSSH: Health financing systems</v>
      </c>
      <c r="K208" s="14" t="s">
        <v>669</v>
      </c>
      <c r="L208" s="15"/>
      <c r="M208" s="15" t="s">
        <v>1508</v>
      </c>
      <c r="N208" s="18">
        <v>6030</v>
      </c>
      <c r="O208" s="14"/>
      <c r="P208" s="15"/>
    </row>
    <row r="209" spans="3:16">
      <c r="C209" s="15" t="s">
        <v>1509</v>
      </c>
      <c r="D209" s="14" t="s">
        <v>464</v>
      </c>
      <c r="E209" s="14" t="s">
        <v>313</v>
      </c>
      <c r="F209" s="14" t="str">
        <f t="shared" si="3"/>
        <v>RSSH: Health products management systems</v>
      </c>
      <c r="G209" s="14" t="s">
        <v>1510</v>
      </c>
      <c r="H209" s="368" t="s">
        <v>1511</v>
      </c>
      <c r="I209" s="14" t="str">
        <f t="array" ref="I209">IFERROR(INDEX($D$192:$D$250, MATCH(0, COUNTIF($I$191:I208, $D$192:$D$250&amp;"") + IF($D$192:$D$250="",1,0), 0)), "")</f>
        <v>MCI-01323</v>
      </c>
      <c r="J209" s="14" t="str">
        <f t="array" ref="J209">IFERROR(IF(INDEX($C$192:$C$250,MATCH(LEFT(I209,255),LEFT($D$192:$D$250,255),0))=0,"",INDEX($C$192:$C$250,MATCH(LEFT(I209,255),LEFT($D$192:$D$250,255),0))),"")</f>
        <v>RSSH: Health products management systems</v>
      </c>
      <c r="K209" s="14" t="s">
        <v>669</v>
      </c>
      <c r="L209" s="15"/>
      <c r="M209" s="15" t="s">
        <v>1512</v>
      </c>
      <c r="N209" s="18">
        <v>6040</v>
      </c>
      <c r="O209" s="14"/>
      <c r="P209" s="15"/>
    </row>
    <row r="210" spans="3:16">
      <c r="C210" s="15" t="s">
        <v>1513</v>
      </c>
      <c r="D210" s="14" t="s">
        <v>1357</v>
      </c>
      <c r="E210" s="14" t="s">
        <v>313</v>
      </c>
      <c r="F210" s="14" t="str">
        <f t="shared" si="3"/>
        <v>RSSH/PP: Human resources for health (HRH) and quality of care</v>
      </c>
      <c r="G210" s="14" t="s">
        <v>1514</v>
      </c>
      <c r="H210" s="368" t="s">
        <v>1515</v>
      </c>
      <c r="I210" s="14" t="str">
        <f t="array" ref="I210">IFERROR(INDEX($D$192:$D$250, MATCH(0, COUNTIF($I$191:I209, $D$192:$D$250&amp;"") + IF($D$192:$D$250="",1,0), 0)), "")</f>
        <v>MCI-01324</v>
      </c>
      <c r="J210" s="14" t="str">
        <f t="array" ref="J210">IFERROR(IF(INDEX($C$192:$C$250,MATCH(LEFT(I210,255),LEFT($D$192:$D$250,255),0))=0,"",INDEX($C$192:$C$250,MATCH(LEFT(I210,255),LEFT($D$192:$D$250,255),0))),"")</f>
        <v>RSSH/PP: Human resources for health (HRH) and quality of care</v>
      </c>
      <c r="K210" s="14" t="s">
        <v>669</v>
      </c>
      <c r="L210" s="15"/>
      <c r="M210" s="15" t="s">
        <v>1516</v>
      </c>
      <c r="N210" s="18">
        <v>6050</v>
      </c>
      <c r="O210" s="14"/>
      <c r="P210" s="15"/>
    </row>
    <row r="211" spans="3:16">
      <c r="C211" s="15" t="s">
        <v>1517</v>
      </c>
      <c r="D211" s="14" t="s">
        <v>1381</v>
      </c>
      <c r="E211" s="14" t="s">
        <v>313</v>
      </c>
      <c r="F211" s="14" t="str">
        <f t="shared" si="3"/>
        <v>RSSH/PP: Laboratory systems (including national and peripheral)</v>
      </c>
      <c r="G211" s="14" t="s">
        <v>1518</v>
      </c>
      <c r="H211" s="368" t="s">
        <v>1519</v>
      </c>
      <c r="I211" s="14" t="str">
        <f t="array" ref="I211">IFERROR(INDEX($D$192:$D$250, MATCH(0, COUNTIF($I$191:I210, $D$192:$D$250&amp;"") + IF($D$192:$D$250="",1,0), 0)), "")</f>
        <v>MCI-01325</v>
      </c>
      <c r="J211" s="14" t="str">
        <f t="array" ref="J211">IFERROR(IF(INDEX($C$192:$C$250,MATCH(LEFT(I211,255),LEFT($D$192:$D$250,255),0))=0,"",INDEX($C$192:$C$250,MATCH(LEFT(I211,255),LEFT($D$192:$D$250,255),0))),"")</f>
        <v>RSSH/PP: Laboratory systems (including national and peripheral)</v>
      </c>
      <c r="K211" s="14" t="s">
        <v>669</v>
      </c>
      <c r="L211" s="15"/>
      <c r="M211" s="15" t="s">
        <v>1520</v>
      </c>
      <c r="N211" s="18">
        <v>6060</v>
      </c>
      <c r="O211" s="14"/>
      <c r="P211" s="15"/>
    </row>
    <row r="212" spans="3:16">
      <c r="C212" s="15" t="s">
        <v>1521</v>
      </c>
      <c r="D212" s="14" t="s">
        <v>1399</v>
      </c>
      <c r="E212" s="14" t="s">
        <v>313</v>
      </c>
      <c r="F212" s="14" t="str">
        <f t="shared" si="3"/>
        <v>RSSH/PP: Medical oxygen and respiratory care system</v>
      </c>
      <c r="G212" s="14" t="s">
        <v>1522</v>
      </c>
      <c r="H212" s="368" t="s">
        <v>1523</v>
      </c>
      <c r="I212" s="14" t="str">
        <f t="array" ref="I212">IFERROR(INDEX($D$192:$D$250, MATCH(0, COUNTIF($I$191:I211, $D$192:$D$250&amp;"") + IF($D$192:$D$250="",1,0), 0)), "")</f>
        <v>MCI-01326</v>
      </c>
      <c r="J212" s="14" t="str">
        <f t="array" ref="J212">IFERROR(IF(INDEX($C$192:$C$250,MATCH(LEFT(I212,255),LEFT($D$192:$D$250,255),0))=0,"",INDEX($C$192:$C$250,MATCH(LEFT(I212,255),LEFT($D$192:$D$250,255),0))),"")</f>
        <v>RSSH/PP: Medical oxygen and respiratory care system</v>
      </c>
      <c r="K212" s="14" t="s">
        <v>669</v>
      </c>
      <c r="L212" s="15"/>
      <c r="M212" s="15" t="s">
        <v>1524</v>
      </c>
      <c r="N212" s="18">
        <v>6070</v>
      </c>
      <c r="O212" s="14"/>
      <c r="P212" s="15"/>
    </row>
    <row r="213" spans="3:16">
      <c r="C213" s="15" t="s">
        <v>1525</v>
      </c>
      <c r="D213" s="14" t="s">
        <v>467</v>
      </c>
      <c r="E213" s="14" t="s">
        <v>313</v>
      </c>
      <c r="F213" s="14" t="str">
        <f t="shared" si="3"/>
        <v>RSSH: Monitoring and evaluation systems</v>
      </c>
      <c r="G213" s="14" t="s">
        <v>1526</v>
      </c>
      <c r="H213" s="368" t="s">
        <v>1527</v>
      </c>
      <c r="I213" s="14" t="str">
        <f t="array" ref="I213">IFERROR(INDEX($D$192:$D$250, MATCH(0, COUNTIF($I$191:I212, $D$192:$D$250&amp;"") + IF($D$192:$D$250="",1,0), 0)), "")</f>
        <v>MCI-01327</v>
      </c>
      <c r="J213" s="14" t="str">
        <f t="array" ref="J213">IFERROR(IF(INDEX($C$192:$C$250,MATCH(LEFT(I213,255),LEFT($D$192:$D$250,255),0))=0,"",INDEX($C$192:$C$250,MATCH(LEFT(I213,255),LEFT($D$192:$D$250,255),0))),"")</f>
        <v>RSSH: Monitoring and evaluation systems</v>
      </c>
      <c r="K213" s="14" t="s">
        <v>669</v>
      </c>
      <c r="L213" s="15"/>
      <c r="M213" s="15" t="s">
        <v>1528</v>
      </c>
      <c r="N213" s="18">
        <v>6080</v>
      </c>
      <c r="O213" s="14"/>
      <c r="P213" s="15"/>
    </row>
    <row r="214" spans="3:16">
      <c r="C214" s="15" t="s">
        <v>1529</v>
      </c>
      <c r="D214" s="14" t="s">
        <v>1530</v>
      </c>
      <c r="E214" s="14" t="s">
        <v>313</v>
      </c>
      <c r="F214" s="14" t="str">
        <f t="shared" si="3"/>
        <v>Program management</v>
      </c>
      <c r="G214" s="14" t="s">
        <v>1531</v>
      </c>
      <c r="H214" s="368" t="s">
        <v>1532</v>
      </c>
      <c r="I214" s="14" t="str">
        <f t="array" ref="I214">IFERROR(INDEX($D$192:$D$250, MATCH(0, COUNTIF($I$191:I213, $D$192:$D$250&amp;"") + IF($D$192:$D$250="",1,0), 0)), "")</f>
        <v>MCI-01318</v>
      </c>
      <c r="J214" s="14" t="str">
        <f t="array" ref="J214">IFERROR(IF(INDEX($C$192:$C$250,MATCH(LEFT(I214,255),LEFT($D$192:$D$250,255),0))=0,"",INDEX($C$192:$C$250,MATCH(LEFT(I214,255),LEFT($D$192:$D$250,255),0))),"")</f>
        <v>Program management</v>
      </c>
      <c r="K214" s="14" t="s">
        <v>669</v>
      </c>
      <c r="L214" s="15"/>
      <c r="M214" s="15" t="s">
        <v>1533</v>
      </c>
      <c r="N214" s="18">
        <v>9000</v>
      </c>
      <c r="O214" s="14"/>
      <c r="P214" s="15"/>
    </row>
    <row r="215" spans="3:16">
      <c r="C215" s="15" t="s">
        <v>1534</v>
      </c>
      <c r="D215" s="14" t="s">
        <v>1535</v>
      </c>
      <c r="E215" s="14" t="s">
        <v>313</v>
      </c>
      <c r="F215" s="14" t="str">
        <f t="shared" si="3"/>
        <v>Payment for results</v>
      </c>
      <c r="G215" s="14" t="s">
        <v>1536</v>
      </c>
      <c r="H215" s="368" t="s">
        <v>1537</v>
      </c>
      <c r="I215" s="14" t="str">
        <f t="array" ref="I215">IFERROR(INDEX($D$192:$D$250, MATCH(0, COUNTIF($I$191:I214, $D$192:$D$250&amp;"") + IF($D$192:$D$250="",1,0), 0)), "")</f>
        <v>MCI-01319</v>
      </c>
      <c r="J215" s="14" t="str">
        <f t="array" ref="J215">IFERROR(IF(INDEX($C$192:$C$250,MATCH(LEFT(I215,255),LEFT($D$192:$D$250,255),0))=0,"",INDEX($C$192:$C$250,MATCH(LEFT(I215,255),LEFT($D$192:$D$250,255),0))),"")</f>
        <v>Payment for results</v>
      </c>
      <c r="K215" s="14" t="s">
        <v>669</v>
      </c>
      <c r="L215" s="15"/>
      <c r="M215" s="15" t="s">
        <v>1538</v>
      </c>
      <c r="N215" s="18">
        <v>9500</v>
      </c>
      <c r="O215" s="14"/>
      <c r="P215" s="15"/>
    </row>
    <row r="216" spans="3:16">
      <c r="C216" s="15" t="s">
        <v>1497</v>
      </c>
      <c r="D216" s="14" t="s">
        <v>1312</v>
      </c>
      <c r="E216" s="14" t="s">
        <v>315</v>
      </c>
      <c r="F216" s="14" t="str">
        <f t="shared" si="3"/>
        <v>RSSH: Health sector planning and governance for integrated people-centered services</v>
      </c>
      <c r="G216" s="14" t="s">
        <v>1539</v>
      </c>
      <c r="H216" s="368" t="s">
        <v>1499</v>
      </c>
      <c r="I216" s="14" t="str">
        <f t="array" ref="I216">IFERROR(INDEX($D$192:$D$250, MATCH(0, COUNTIF($I$191:I215, $D$192:$D$250&amp;"") + IF($D$192:$D$250="",1,0), 0)), "")</f>
        <v>MCI-01308</v>
      </c>
      <c r="J216" s="14" t="str">
        <f t="array" ref="J216">IFERROR(IF(INDEX($C$192:$C$250,MATCH(LEFT(I216,255),LEFT($D$192:$D$250,255),0))=0,"",INDEX($C$192:$C$250,MATCH(LEFT(I216,255),LEFT($D$192:$D$250,255),0))),"")</f>
        <v>TB diagnosis, treatment and care</v>
      </c>
      <c r="K216" s="14" t="s">
        <v>669</v>
      </c>
      <c r="L216" s="15"/>
      <c r="M216" s="15" t="s">
        <v>1540</v>
      </c>
      <c r="N216" s="18">
        <v>6010</v>
      </c>
      <c r="O216" s="14"/>
      <c r="P216" s="15"/>
    </row>
    <row r="217" spans="3:16">
      <c r="C217" s="15" t="s">
        <v>1501</v>
      </c>
      <c r="D217" s="14" t="s">
        <v>1316</v>
      </c>
      <c r="E217" s="14" t="s">
        <v>315</v>
      </c>
      <c r="F217" s="14" t="str">
        <f t="shared" si="3"/>
        <v>RSSH: Community systems strengthening</v>
      </c>
      <c r="G217" s="14" t="s">
        <v>1541</v>
      </c>
      <c r="H217" s="368" t="s">
        <v>1503</v>
      </c>
      <c r="I217" s="14" t="str">
        <f t="array" ref="I217">IFERROR(INDEX($D$192:$D$250, MATCH(0, COUNTIF($I$191:I216, $D$192:$D$250&amp;"") + IF($D$192:$D$250="",1,0), 0)), "")</f>
        <v>MCI-01309</v>
      </c>
      <c r="J217" s="14" t="str">
        <f t="array" ref="J217">IFERROR(IF(INDEX($C$192:$C$250,MATCH(LEFT(I217,255),LEFT($D$192:$D$250,255),0))=0,"",INDEX($C$192:$C$250,MATCH(LEFT(I217,255),LEFT($D$192:$D$250,255),0))),"")</f>
        <v>Drug-resistant (DR)-TB diagnosis, treatment and care</v>
      </c>
      <c r="K217" s="14" t="s">
        <v>669</v>
      </c>
      <c r="L217" s="15"/>
      <c r="M217" s="15" t="s">
        <v>1542</v>
      </c>
      <c r="N217" s="18">
        <v>6020</v>
      </c>
      <c r="O217" s="14"/>
      <c r="P217" s="15"/>
    </row>
    <row r="218" spans="3:16">
      <c r="C218" s="15" t="s">
        <v>1505</v>
      </c>
      <c r="D218" s="14" t="s">
        <v>1325</v>
      </c>
      <c r="E218" s="14" t="s">
        <v>315</v>
      </c>
      <c r="F218" s="14" t="str">
        <f t="shared" si="3"/>
        <v>RSSH: Health financing systems</v>
      </c>
      <c r="G218" s="14" t="s">
        <v>1543</v>
      </c>
      <c r="H218" s="368" t="s">
        <v>1507</v>
      </c>
      <c r="I218" s="14" t="str">
        <f t="array" ref="I218">IFERROR(INDEX($D$192:$D$250, MATCH(0, COUNTIF($I$191:I217, $D$192:$D$250&amp;"") + IF($D$192:$D$250="",1,0), 0)), "")</f>
        <v>MCI-01310</v>
      </c>
      <c r="J218" s="14" t="str">
        <f t="array" ref="J218">IFERROR(IF(INDEX($C$192:$C$250,MATCH(LEFT(I218,255),LEFT($D$192:$D$250,255),0))=0,"",INDEX($C$192:$C$250,MATCH(LEFT(I218,255),LEFT($D$192:$D$250,255),0))),"")</f>
        <v>TB/DR-TB Prevention</v>
      </c>
      <c r="K218" s="14" t="s">
        <v>669</v>
      </c>
      <c r="L218" s="15"/>
      <c r="M218" s="15" t="s">
        <v>1544</v>
      </c>
      <c r="N218" s="18">
        <v>6030</v>
      </c>
      <c r="O218" s="14"/>
      <c r="P218" s="15"/>
    </row>
    <row r="219" spans="3:16">
      <c r="C219" s="15" t="s">
        <v>1509</v>
      </c>
      <c r="D219" s="14" t="s">
        <v>464</v>
      </c>
      <c r="E219" s="14" t="s">
        <v>315</v>
      </c>
      <c r="F219" s="14" t="str">
        <f t="shared" si="3"/>
        <v>RSSH: Health products management systems</v>
      </c>
      <c r="G219" s="14" t="s">
        <v>1545</v>
      </c>
      <c r="H219" s="368" t="s">
        <v>1511</v>
      </c>
      <c r="I219" s="14" t="str">
        <f t="array" ref="I219">IFERROR(INDEX($D$192:$D$250, MATCH(0, COUNTIF($I$191:I218, $D$192:$D$250&amp;"") + IF($D$192:$D$250="",1,0), 0)), "")</f>
        <v>MCI-01311</v>
      </c>
      <c r="J219" s="14" t="str">
        <f t="array" ref="J219">IFERROR(IF(INDEX($C$192:$C$250,MATCH(LEFT(I219,255),LEFT($D$192:$D$250,255),0))=0,"",INDEX($C$192:$C$250,MATCH(LEFT(I219,255),LEFT($D$192:$D$250,255),0))),"")</f>
        <v>Collaboration with other providers and sectors</v>
      </c>
      <c r="K219" s="14" t="s">
        <v>669</v>
      </c>
      <c r="L219" s="15"/>
      <c r="M219" s="15" t="s">
        <v>1546</v>
      </c>
      <c r="N219" s="18">
        <v>6040</v>
      </c>
      <c r="O219" s="14"/>
      <c r="P219" s="15"/>
    </row>
    <row r="220" spans="3:16">
      <c r="C220" s="15" t="s">
        <v>1513</v>
      </c>
      <c r="D220" s="14" t="s">
        <v>1357</v>
      </c>
      <c r="E220" s="14" t="s">
        <v>315</v>
      </c>
      <c r="F220" s="14" t="str">
        <f t="shared" si="3"/>
        <v>RSSH/PP: Human resources for health (HRH) and quality of care</v>
      </c>
      <c r="G220" s="14" t="s">
        <v>1547</v>
      </c>
      <c r="H220" s="368" t="s">
        <v>1515</v>
      </c>
      <c r="I220" s="14" t="str">
        <f t="array" ref="I220">IFERROR(INDEX($D$192:$D$250, MATCH(0, COUNTIF($I$191:I219, $D$192:$D$250&amp;"") + IF($D$192:$D$250="",1,0), 0)), "")</f>
        <v>MCI-01312</v>
      </c>
      <c r="J220" s="14" t="str">
        <f t="array" ref="J220">IFERROR(IF(INDEX($C$192:$C$250,MATCH(LEFT(I220,255),LEFT($D$192:$D$250,255),0))=0,"",INDEX($C$192:$C$250,MATCH(LEFT(I220,255),LEFT($D$192:$D$250,255),0))),"")</f>
        <v>Key and vulnerable populations (KVP) – TB/DR-TB</v>
      </c>
      <c r="K220" s="14" t="s">
        <v>669</v>
      </c>
      <c r="L220" s="15"/>
      <c r="M220" s="15" t="s">
        <v>1548</v>
      </c>
      <c r="N220" s="18">
        <v>6050</v>
      </c>
      <c r="O220" s="14"/>
      <c r="P220" s="15"/>
    </row>
    <row r="221" spans="3:16">
      <c r="C221" s="15" t="s">
        <v>1517</v>
      </c>
      <c r="D221" s="14" t="s">
        <v>1381</v>
      </c>
      <c r="E221" s="14" t="s">
        <v>315</v>
      </c>
      <c r="F221" s="14" t="str">
        <f t="shared" si="3"/>
        <v>RSSH/PP: Laboratory systems (including national and peripheral)</v>
      </c>
      <c r="G221" s="14" t="s">
        <v>1549</v>
      </c>
      <c r="H221" s="368" t="s">
        <v>1519</v>
      </c>
      <c r="I221" s="14" t="str">
        <f t="array" ref="I221">IFERROR(INDEX($D$192:$D$250, MATCH(0, COUNTIF($I$191:I220, $D$192:$D$250&amp;"") + IF($D$192:$D$250="",1,0), 0)), "")</f>
        <v>MCI-01314</v>
      </c>
      <c r="J221" s="14" t="str">
        <f t="array" ref="J221">IFERROR(IF(INDEX($C$192:$C$250,MATCH(LEFT(I221,255),LEFT($D$192:$D$250,255),0))=0,"",INDEX($C$192:$C$250,MATCH(LEFT(I221,255),LEFT($D$192:$D$250,255),0))),"")</f>
        <v>Removing human rights and gender related barriers to TB services</v>
      </c>
      <c r="K221" s="14" t="s">
        <v>669</v>
      </c>
      <c r="L221" s="15"/>
      <c r="M221" s="15" t="s">
        <v>1550</v>
      </c>
      <c r="N221" s="18">
        <v>6060</v>
      </c>
      <c r="O221" s="14"/>
      <c r="P221" s="15"/>
    </row>
    <row r="222" spans="3:16">
      <c r="C222" s="15" t="s">
        <v>1521</v>
      </c>
      <c r="D222" s="14" t="s">
        <v>1399</v>
      </c>
      <c r="E222" s="14" t="s">
        <v>315</v>
      </c>
      <c r="F222" s="14" t="str">
        <f t="shared" si="3"/>
        <v>RSSH/PP: Medical oxygen and respiratory care system</v>
      </c>
      <c r="G222" s="14" t="s">
        <v>1551</v>
      </c>
      <c r="H222" s="368" t="s">
        <v>1523</v>
      </c>
      <c r="I222" s="14" t="str">
        <f t="array" ref="I222">IFERROR(INDEX($D$192:$D$250, MATCH(0, COUNTIF($I$191:I221, $D$192:$D$250&amp;"") + IF($D$192:$D$250="",1,0), 0)), "")</f>
        <v/>
      </c>
      <c r="J222" s="14" t="str">
        <f t="array" ref="J222">IFERROR(IF(INDEX($C$192:$C$250,MATCH(LEFT(I222,255),LEFT($D$192:$D$250,255),0))=0,"",INDEX($C$192:$C$250,MATCH(LEFT(I222,255),LEFT($D$192:$D$250,255),0))),"")</f>
        <v/>
      </c>
      <c r="K222" s="14" t="s">
        <v>669</v>
      </c>
      <c r="L222" s="15"/>
      <c r="M222" s="15" t="s">
        <v>1552</v>
      </c>
      <c r="N222" s="18">
        <v>6070</v>
      </c>
      <c r="O222" s="14"/>
      <c r="P222" s="15"/>
    </row>
    <row r="223" spans="3:16">
      <c r="C223" s="15" t="s">
        <v>1525</v>
      </c>
      <c r="D223" s="14" t="s">
        <v>467</v>
      </c>
      <c r="E223" s="14" t="s">
        <v>315</v>
      </c>
      <c r="F223" s="14" t="str">
        <f t="shared" si="3"/>
        <v>RSSH: Monitoring and evaluation systems</v>
      </c>
      <c r="G223" s="14" t="s">
        <v>1553</v>
      </c>
      <c r="H223" s="368" t="s">
        <v>1527</v>
      </c>
      <c r="I223" s="14" t="str">
        <f t="array" ref="I223">IFERROR(INDEX($D$192:$D$250, MATCH(0, COUNTIF($I$191:I222, $D$192:$D$250&amp;"") + IF($D$192:$D$250="",1,0), 0)), "")</f>
        <v/>
      </c>
      <c r="J223" s="14" t="str">
        <f t="array" ref="J223">IFERROR(IF(INDEX($C$192:$C$250,MATCH(LEFT(I223,255),LEFT($D$192:$D$250,255),0))=0,"",INDEX($C$192:$C$250,MATCH(LEFT(I223,255),LEFT($D$192:$D$250,255),0))),"")</f>
        <v/>
      </c>
      <c r="K223" s="14" t="s">
        <v>669</v>
      </c>
      <c r="L223" s="15"/>
      <c r="M223" s="15" t="s">
        <v>1554</v>
      </c>
      <c r="N223" s="18">
        <v>6080</v>
      </c>
      <c r="O223" s="14"/>
      <c r="P223" s="15"/>
    </row>
    <row r="224" spans="3:16">
      <c r="C224" s="15" t="s">
        <v>1529</v>
      </c>
      <c r="D224" s="14" t="s">
        <v>1530</v>
      </c>
      <c r="E224" s="14" t="s">
        <v>315</v>
      </c>
      <c r="F224" s="14" t="str">
        <f t="shared" si="3"/>
        <v>Program management</v>
      </c>
      <c r="G224" s="14" t="s">
        <v>1555</v>
      </c>
      <c r="H224" s="368" t="s">
        <v>1532</v>
      </c>
      <c r="I224" s="14" t="str">
        <f t="array" ref="I224">IFERROR(INDEX($D$192:$D$250, MATCH(0, COUNTIF($I$191:I223, $D$192:$D$250&amp;"") + IF($D$192:$D$250="",1,0), 0)), "")</f>
        <v/>
      </c>
      <c r="J224" s="14" t="str">
        <f t="array" ref="J224">IFERROR(IF(INDEX($C$192:$C$250,MATCH(LEFT(I224,255),LEFT($D$192:$D$250,255),0))=0,"",INDEX($C$192:$C$250,MATCH(LEFT(I224,255),LEFT($D$192:$D$250,255),0))),"")</f>
        <v/>
      </c>
      <c r="K224" s="14" t="s">
        <v>669</v>
      </c>
      <c r="L224" s="15"/>
      <c r="M224" s="15" t="s">
        <v>1556</v>
      </c>
      <c r="N224" s="18">
        <v>9000</v>
      </c>
      <c r="O224" s="14"/>
      <c r="P224" s="15"/>
    </row>
    <row r="225" spans="3:16">
      <c r="C225" s="15" t="s">
        <v>1534</v>
      </c>
      <c r="D225" s="14" t="s">
        <v>1535</v>
      </c>
      <c r="E225" s="14" t="s">
        <v>315</v>
      </c>
      <c r="F225" s="14" t="str">
        <f t="shared" si="3"/>
        <v>Payment for results</v>
      </c>
      <c r="G225" s="14" t="s">
        <v>1557</v>
      </c>
      <c r="H225" s="368" t="s">
        <v>1537</v>
      </c>
      <c r="I225" s="14" t="str">
        <f t="array" ref="I225">IFERROR(INDEX($D$192:$D$250, MATCH(0, COUNTIF($I$191:I224, $D$192:$D$250&amp;"") + IF($D$192:$D$250="",1,0), 0)), "")</f>
        <v/>
      </c>
      <c r="J225" s="14" t="str">
        <f t="array" ref="J225">IFERROR(IF(INDEX($C$192:$C$250,MATCH(LEFT(I225,255),LEFT($D$192:$D$250,255),0))=0,"",INDEX($C$192:$C$250,MATCH(LEFT(I225,255),LEFT($D$192:$D$250,255),0))),"")</f>
        <v/>
      </c>
      <c r="K225" s="14" t="s">
        <v>669</v>
      </c>
      <c r="L225" s="15"/>
      <c r="M225" s="15" t="s">
        <v>1558</v>
      </c>
      <c r="N225" s="18">
        <v>9500</v>
      </c>
      <c r="O225" s="14"/>
      <c r="P225" s="15"/>
    </row>
    <row r="226" spans="3:16">
      <c r="C226" s="15" t="s">
        <v>1559</v>
      </c>
      <c r="D226" s="14" t="s">
        <v>425</v>
      </c>
      <c r="E226" s="14" t="s">
        <v>314</v>
      </c>
      <c r="F226" s="14" t="str">
        <f t="shared" si="3"/>
        <v>TB diagnosis, treatment and care</v>
      </c>
      <c r="G226" s="14" t="s">
        <v>1560</v>
      </c>
      <c r="H226" s="368" t="s">
        <v>1561</v>
      </c>
      <c r="I226" s="14" t="str">
        <f t="array" ref="I226">IFERROR(INDEX($D$192:$D$250, MATCH(0, COUNTIF($I$191:I225, $D$192:$D$250&amp;"") + IF($D$192:$D$250="",1,0), 0)), "")</f>
        <v/>
      </c>
      <c r="J226" s="14" t="str">
        <f t="array" ref="J226">IFERROR(IF(INDEX($C$192:$C$250,MATCH(LEFT(I226,255),LEFT($D$192:$D$250,255),0))=0,"",INDEX($C$192:$C$250,MATCH(LEFT(I226,255),LEFT($D$192:$D$250,255),0))),"")</f>
        <v/>
      </c>
      <c r="K226" s="14" t="s">
        <v>669</v>
      </c>
      <c r="L226" s="15"/>
      <c r="M226" s="15" t="s">
        <v>1562</v>
      </c>
      <c r="N226" s="18">
        <v>2010</v>
      </c>
      <c r="O226" s="14"/>
      <c r="P226" s="15"/>
    </row>
    <row r="227" spans="3:16">
      <c r="C227" s="15" t="s">
        <v>1563</v>
      </c>
      <c r="D227" s="14" t="s">
        <v>428</v>
      </c>
      <c r="E227" s="14" t="s">
        <v>314</v>
      </c>
      <c r="F227" s="14" t="str">
        <f t="shared" si="3"/>
        <v>Drug-resistant (DR)-TB diagnosis, treatment and care</v>
      </c>
      <c r="G227" s="14" t="s">
        <v>1564</v>
      </c>
      <c r="H227" s="368" t="s">
        <v>1565</v>
      </c>
      <c r="I227" s="14" t="str">
        <f t="array" ref="I227">IFERROR(INDEX($D$192:$D$250, MATCH(0, COUNTIF($I$191:I226, $D$192:$D$250&amp;"") + IF($D$192:$D$250="",1,0), 0)), "")</f>
        <v/>
      </c>
      <c r="J227" s="14" t="str">
        <f t="array" ref="J227">IFERROR(IF(INDEX($C$192:$C$250,MATCH(LEFT(I227,255),LEFT($D$192:$D$250,255),0))=0,"",INDEX($C$192:$C$250,MATCH(LEFT(I227,255),LEFT($D$192:$D$250,255),0))),"")</f>
        <v/>
      </c>
      <c r="K227" s="14" t="s">
        <v>669</v>
      </c>
      <c r="L227" s="15"/>
      <c r="M227" s="15" t="s">
        <v>1566</v>
      </c>
      <c r="N227" s="18">
        <v>2020</v>
      </c>
      <c r="O227" s="14"/>
      <c r="P227" s="15"/>
    </row>
    <row r="228" spans="3:16">
      <c r="C228" s="15" t="s">
        <v>1567</v>
      </c>
      <c r="D228" s="14" t="s">
        <v>431</v>
      </c>
      <c r="E228" s="14" t="s">
        <v>314</v>
      </c>
      <c r="F228" s="14" t="str">
        <f t="shared" si="3"/>
        <v>TB/DR-TB Prevention</v>
      </c>
      <c r="G228" s="14" t="s">
        <v>1568</v>
      </c>
      <c r="H228" s="368" t="s">
        <v>1569</v>
      </c>
      <c r="I228" s="14" t="str">
        <f t="array" ref="I228">IFERROR(INDEX($D$192:$D$250, MATCH(0, COUNTIF($I$191:I227, $D$192:$D$250&amp;"") + IF($D$192:$D$250="",1,0), 0)), "")</f>
        <v/>
      </c>
      <c r="J228" s="14" t="str">
        <f t="array" ref="J228">IFERROR(IF(INDEX($C$192:$C$250,MATCH(LEFT(I228,255),LEFT($D$192:$D$250,255),0))=0,"",INDEX($C$192:$C$250,MATCH(LEFT(I228,255),LEFT($D$192:$D$250,255),0))),"")</f>
        <v/>
      </c>
      <c r="K228" s="14" t="s">
        <v>669</v>
      </c>
      <c r="L228" s="15"/>
      <c r="M228" s="15" t="s">
        <v>1570</v>
      </c>
      <c r="N228" s="18">
        <v>2030</v>
      </c>
      <c r="O228" s="14"/>
      <c r="P228" s="15"/>
    </row>
    <row r="229" spans="3:16">
      <c r="C229" s="15" t="s">
        <v>1571</v>
      </c>
      <c r="D229" s="14" t="s">
        <v>1285</v>
      </c>
      <c r="E229" s="14" t="s">
        <v>314</v>
      </c>
      <c r="F229" s="14" t="str">
        <f t="shared" si="3"/>
        <v>Collaboration with other providers and sectors</v>
      </c>
      <c r="G229" s="14" t="s">
        <v>1572</v>
      </c>
      <c r="H229" s="368" t="s">
        <v>1573</v>
      </c>
      <c r="I229" s="14" t="str">
        <f t="array" ref="I229">IFERROR(INDEX($D$192:$D$250, MATCH(0, COUNTIF($I$191:I228, $D$192:$D$250&amp;"") + IF($D$192:$D$250="",1,0), 0)), "")</f>
        <v/>
      </c>
      <c r="J229" s="14" t="str">
        <f t="array" ref="J229">IFERROR(IF(INDEX($C$192:$C$250,MATCH(LEFT(I229,255),LEFT($D$192:$D$250,255),0))=0,"",INDEX($C$192:$C$250,MATCH(LEFT(I229,255),LEFT($D$192:$D$250,255),0))),"")</f>
        <v/>
      </c>
      <c r="K229" s="14" t="s">
        <v>669</v>
      </c>
      <c r="L229" s="15"/>
      <c r="M229" s="15" t="s">
        <v>1574</v>
      </c>
      <c r="N229" s="18">
        <v>2040</v>
      </c>
      <c r="O229" s="14"/>
      <c r="P229" s="15"/>
    </row>
    <row r="230" spans="3:16">
      <c r="C230" s="15" t="s">
        <v>1575</v>
      </c>
      <c r="D230" s="14" t="s">
        <v>434</v>
      </c>
      <c r="E230" s="14" t="s">
        <v>314</v>
      </c>
      <c r="F230" s="14" t="str">
        <f t="shared" si="3"/>
        <v>Key and vulnerable populations (KVP) – TB/DR-TB</v>
      </c>
      <c r="G230" s="14" t="s">
        <v>1576</v>
      </c>
      <c r="H230" s="368" t="s">
        <v>1577</v>
      </c>
      <c r="I230" s="14" t="str">
        <f t="array" ref="I230">IFERROR(INDEX($D$192:$D$250, MATCH(0, COUNTIF($I$191:I229, $D$192:$D$250&amp;"") + IF($D$192:$D$250="",1,0), 0)), "")</f>
        <v/>
      </c>
      <c r="J230" s="14" t="str">
        <f t="array" ref="J230">IFERROR(IF(INDEX($C$192:$C$250,MATCH(LEFT(I230,255),LEFT($D$192:$D$250,255),0))=0,"",INDEX($C$192:$C$250,MATCH(LEFT(I230,255),LEFT($D$192:$D$250,255),0))),"")</f>
        <v/>
      </c>
      <c r="K230" s="14" t="s">
        <v>669</v>
      </c>
      <c r="L230" s="15"/>
      <c r="M230" s="15" t="s">
        <v>1578</v>
      </c>
      <c r="N230" s="18">
        <v>2050</v>
      </c>
      <c r="O230" s="14"/>
      <c r="P230" s="15"/>
    </row>
    <row r="231" spans="3:16">
      <c r="C231" s="15" t="s">
        <v>1493</v>
      </c>
      <c r="D231" s="14" t="s">
        <v>437</v>
      </c>
      <c r="E231" s="14" t="s">
        <v>314</v>
      </c>
      <c r="F231" s="14" t="str">
        <f t="shared" si="3"/>
        <v>TB/HIV</v>
      </c>
      <c r="G231" s="14" t="s">
        <v>1579</v>
      </c>
      <c r="H231" s="368" t="s">
        <v>1495</v>
      </c>
      <c r="I231" s="14" t="str">
        <f t="array" ref="I231">IFERROR(INDEX($D$192:$D$250, MATCH(0, COUNTIF($I$191:I230, $D$192:$D$250&amp;"") + IF($D$192:$D$250="",1,0), 0)), "")</f>
        <v/>
      </c>
      <c r="J231" s="14" t="str">
        <f t="array" ref="J231">IFERROR(IF(INDEX($C$192:$C$250,MATCH(LEFT(I231,255),LEFT($D$192:$D$250,255),0))=0,"",INDEX($C$192:$C$250,MATCH(LEFT(I231,255),LEFT($D$192:$D$250,255),0))),"")</f>
        <v/>
      </c>
      <c r="K231" s="14" t="s">
        <v>669</v>
      </c>
      <c r="L231" s="15"/>
      <c r="M231" s="15" t="s">
        <v>1580</v>
      </c>
      <c r="N231" s="18">
        <v>2510</v>
      </c>
      <c r="O231" s="14"/>
      <c r="P231" s="15"/>
    </row>
    <row r="232" spans="3:16">
      <c r="C232" s="15" t="s">
        <v>1581</v>
      </c>
      <c r="D232" s="14" t="s">
        <v>1582</v>
      </c>
      <c r="E232" s="14" t="s">
        <v>314</v>
      </c>
      <c r="F232" s="14" t="str">
        <f t="shared" si="3"/>
        <v>Removing human rights and gender related barriers to TB services</v>
      </c>
      <c r="G232" s="14" t="s">
        <v>1583</v>
      </c>
      <c r="H232" s="368" t="s">
        <v>1584</v>
      </c>
      <c r="I232" s="14" t="str">
        <f t="array" ref="I232">IFERROR(INDEX($D$192:$D$250, MATCH(0, COUNTIF($I$191:I231, $D$192:$D$250&amp;"") + IF($D$192:$D$250="",1,0), 0)), "")</f>
        <v/>
      </c>
      <c r="J232" s="14" t="str">
        <f t="array" ref="J232">IFERROR(IF(INDEX($C$192:$C$250,MATCH(LEFT(I232,255),LEFT($D$192:$D$250,255),0))=0,"",INDEX($C$192:$C$250,MATCH(LEFT(I232,255),LEFT($D$192:$D$250,255),0))),"")</f>
        <v/>
      </c>
      <c r="K232" s="14" t="s">
        <v>669</v>
      </c>
      <c r="L232" s="15"/>
      <c r="M232" s="15" t="s">
        <v>1585</v>
      </c>
      <c r="N232" s="18">
        <v>2520</v>
      </c>
      <c r="O232" s="14"/>
      <c r="P232" s="15"/>
    </row>
    <row r="233" spans="3:16">
      <c r="C233" s="15" t="s">
        <v>1497</v>
      </c>
      <c r="D233" s="14" t="s">
        <v>1312</v>
      </c>
      <c r="E233" s="14" t="s">
        <v>314</v>
      </c>
      <c r="F233" s="14" t="str">
        <f t="shared" si="3"/>
        <v>RSSH: Health sector planning and governance for integrated people-centered services</v>
      </c>
      <c r="G233" s="14" t="s">
        <v>1586</v>
      </c>
      <c r="H233" s="368" t="s">
        <v>1499</v>
      </c>
      <c r="I233" s="14" t="str">
        <f t="array" ref="I233">IFERROR(INDEX($D$192:$D$250, MATCH(0, COUNTIF($I$191:I232, $D$192:$D$250&amp;"") + IF($D$192:$D$250="",1,0), 0)), "")</f>
        <v/>
      </c>
      <c r="J233" s="14" t="str">
        <f t="array" ref="J233">IFERROR(IF(INDEX($C$192:$C$250,MATCH(LEFT(I233,255),LEFT($D$192:$D$250,255),0))=0,"",INDEX($C$192:$C$250,MATCH(LEFT(I233,255),LEFT($D$192:$D$250,255),0))),"")</f>
        <v/>
      </c>
      <c r="K233" s="14" t="s">
        <v>669</v>
      </c>
      <c r="L233" s="15"/>
      <c r="M233" s="15" t="s">
        <v>1587</v>
      </c>
      <c r="N233" s="18">
        <v>6010</v>
      </c>
      <c r="O233" s="14"/>
      <c r="P233" s="15"/>
    </row>
    <row r="234" spans="3:16">
      <c r="C234" s="15" t="s">
        <v>1501</v>
      </c>
      <c r="D234" s="14" t="s">
        <v>1316</v>
      </c>
      <c r="E234" s="14" t="s">
        <v>314</v>
      </c>
      <c r="F234" s="14" t="str">
        <f t="shared" si="3"/>
        <v>RSSH: Community systems strengthening</v>
      </c>
      <c r="G234" s="14" t="s">
        <v>1588</v>
      </c>
      <c r="H234" s="368" t="s">
        <v>1503</v>
      </c>
      <c r="I234" s="14" t="str">
        <f t="array" ref="I234">IFERROR(INDEX($D$192:$D$250, MATCH(0, COUNTIF($I$191:I233, $D$192:$D$250&amp;"") + IF($D$192:$D$250="",1,0), 0)), "")</f>
        <v/>
      </c>
      <c r="J234" s="14" t="str">
        <f t="array" ref="J234">IFERROR(IF(INDEX($C$192:$C$250,MATCH(LEFT(I234,255),LEFT($D$192:$D$250,255),0))=0,"",INDEX($C$192:$C$250,MATCH(LEFT(I234,255),LEFT($D$192:$D$250,255),0))),"")</f>
        <v/>
      </c>
      <c r="K234" s="14" t="s">
        <v>669</v>
      </c>
      <c r="L234" s="15"/>
      <c r="M234" s="15" t="s">
        <v>1589</v>
      </c>
      <c r="N234" s="18">
        <v>6020</v>
      </c>
      <c r="O234" s="14"/>
      <c r="P234" s="15"/>
    </row>
    <row r="235" spans="3:16">
      <c r="C235" s="15" t="s">
        <v>1505</v>
      </c>
      <c r="D235" s="14" t="s">
        <v>1325</v>
      </c>
      <c r="E235" s="14" t="s">
        <v>314</v>
      </c>
      <c r="F235" s="14" t="str">
        <f t="shared" si="3"/>
        <v>RSSH: Health financing systems</v>
      </c>
      <c r="G235" s="14" t="s">
        <v>1590</v>
      </c>
      <c r="H235" s="368" t="s">
        <v>1507</v>
      </c>
      <c r="I235" s="14" t="str">
        <f t="array" ref="I235">IFERROR(INDEX($D$192:$D$250, MATCH(0, COUNTIF($I$191:I234, $D$192:$D$250&amp;"") + IF($D$192:$D$250="",1,0), 0)), "")</f>
        <v/>
      </c>
      <c r="J235" s="14" t="str">
        <f t="array" ref="J235">IFERROR(IF(INDEX($C$192:$C$250,MATCH(LEFT(I235,255),LEFT($D$192:$D$250,255),0))=0,"",INDEX($C$192:$C$250,MATCH(LEFT(I235,255),LEFT($D$192:$D$250,255),0))),"")</f>
        <v/>
      </c>
      <c r="K235" s="14" t="s">
        <v>669</v>
      </c>
      <c r="L235" s="15"/>
      <c r="M235" s="15" t="s">
        <v>1591</v>
      </c>
      <c r="N235" s="18">
        <v>6030</v>
      </c>
      <c r="O235" s="14"/>
      <c r="P235" s="15"/>
    </row>
    <row r="236" spans="3:16">
      <c r="C236" s="15" t="s">
        <v>1509</v>
      </c>
      <c r="D236" s="14" t="s">
        <v>464</v>
      </c>
      <c r="E236" s="14" t="s">
        <v>314</v>
      </c>
      <c r="F236" s="14" t="str">
        <f t="shared" si="3"/>
        <v>RSSH: Health products management systems</v>
      </c>
      <c r="G236" s="14" t="s">
        <v>1592</v>
      </c>
      <c r="H236" s="368" t="s">
        <v>1511</v>
      </c>
      <c r="I236" s="14" t="str">
        <f t="array" ref="I236">IFERROR(INDEX($D$192:$D$250, MATCH(0, COUNTIF($I$191:I235, $D$192:$D$250&amp;"") + IF($D$192:$D$250="",1,0), 0)), "")</f>
        <v/>
      </c>
      <c r="J236" s="14" t="str">
        <f t="array" ref="J236">IFERROR(IF(INDEX($C$192:$C$250,MATCH(LEFT(I236,255),LEFT($D$192:$D$250,255),0))=0,"",INDEX($C$192:$C$250,MATCH(LEFT(I236,255),LEFT($D$192:$D$250,255),0))),"")</f>
        <v/>
      </c>
      <c r="K236" s="14" t="s">
        <v>669</v>
      </c>
      <c r="L236" s="15"/>
      <c r="M236" s="15" t="s">
        <v>1593</v>
      </c>
      <c r="N236" s="18">
        <v>6040</v>
      </c>
      <c r="O236" s="14"/>
      <c r="P236" s="15"/>
    </row>
    <row r="237" spans="3:16">
      <c r="C237" s="15" t="s">
        <v>1513</v>
      </c>
      <c r="D237" s="14" t="s">
        <v>1357</v>
      </c>
      <c r="E237" s="14" t="s">
        <v>314</v>
      </c>
      <c r="F237" s="14" t="str">
        <f t="shared" si="3"/>
        <v>RSSH/PP: Human resources for health (HRH) and quality of care</v>
      </c>
      <c r="G237" s="14" t="s">
        <v>1594</v>
      </c>
      <c r="H237" s="368" t="s">
        <v>1515</v>
      </c>
      <c r="I237" s="14" t="str">
        <f t="array" ref="I237">IFERROR(INDEX($D$192:$D$250, MATCH(0, COUNTIF($I$191:I236, $D$192:$D$250&amp;"") + IF($D$192:$D$250="",1,0), 0)), "")</f>
        <v/>
      </c>
      <c r="J237" s="14" t="str">
        <f t="array" ref="J237">IFERROR(IF(INDEX($C$192:$C$250,MATCH(LEFT(I237,255),LEFT($D$192:$D$250,255),0))=0,"",INDEX($C$192:$C$250,MATCH(LEFT(I237,255),LEFT($D$192:$D$250,255),0))),"")</f>
        <v/>
      </c>
      <c r="K237" s="14" t="s">
        <v>669</v>
      </c>
      <c r="L237" s="15"/>
      <c r="M237" s="15" t="s">
        <v>1595</v>
      </c>
      <c r="N237" s="18">
        <v>6050</v>
      </c>
      <c r="O237" s="14"/>
      <c r="P237" s="15"/>
    </row>
    <row r="238" spans="3:16">
      <c r="C238" s="15" t="s">
        <v>1517</v>
      </c>
      <c r="D238" s="14" t="s">
        <v>1381</v>
      </c>
      <c r="E238" s="14" t="s">
        <v>314</v>
      </c>
      <c r="F238" s="14" t="str">
        <f t="shared" si="3"/>
        <v>RSSH/PP: Laboratory systems (including national and peripheral)</v>
      </c>
      <c r="G238" s="14" t="s">
        <v>1596</v>
      </c>
      <c r="H238" s="368" t="s">
        <v>1519</v>
      </c>
      <c r="I238" s="14" t="str">
        <f t="array" ref="I238">IFERROR(INDEX($D$192:$D$250, MATCH(0, COUNTIF($I$191:I237, $D$192:$D$250&amp;"") + IF($D$192:$D$250="",1,0), 0)), "")</f>
        <v/>
      </c>
      <c r="J238" s="14" t="str">
        <f t="array" ref="J238">IFERROR(IF(INDEX($C$192:$C$250,MATCH(LEFT(I238,255),LEFT($D$192:$D$250,255),0))=0,"",INDEX($C$192:$C$250,MATCH(LEFT(I238,255),LEFT($D$192:$D$250,255),0))),"")</f>
        <v/>
      </c>
      <c r="K238" s="14" t="s">
        <v>669</v>
      </c>
      <c r="L238" s="15"/>
      <c r="M238" s="15" t="s">
        <v>1597</v>
      </c>
      <c r="N238" s="18">
        <v>6060</v>
      </c>
      <c r="O238" s="14"/>
      <c r="P238" s="15"/>
    </row>
    <row r="239" spans="3:16">
      <c r="C239" s="15" t="s">
        <v>1521</v>
      </c>
      <c r="D239" s="14" t="s">
        <v>1399</v>
      </c>
      <c r="E239" s="14" t="s">
        <v>314</v>
      </c>
      <c r="F239" s="14" t="str">
        <f t="shared" si="3"/>
        <v>RSSH/PP: Medical oxygen and respiratory care system</v>
      </c>
      <c r="G239" s="14" t="s">
        <v>1598</v>
      </c>
      <c r="H239" s="368" t="s">
        <v>1523</v>
      </c>
      <c r="I239" s="14" t="str">
        <f t="array" ref="I239">IFERROR(INDEX($D$192:$D$250, MATCH(0, COUNTIF($I$191:I238, $D$192:$D$250&amp;"") + IF($D$192:$D$250="",1,0), 0)), "")</f>
        <v/>
      </c>
      <c r="J239" s="14" t="str">
        <f t="array" ref="J239">IFERROR(IF(INDEX($C$192:$C$250,MATCH(LEFT(I239,255),LEFT($D$192:$D$250,255),0))=0,"",INDEX($C$192:$C$250,MATCH(LEFT(I239,255),LEFT($D$192:$D$250,255),0))),"")</f>
        <v/>
      </c>
      <c r="K239" s="14" t="s">
        <v>669</v>
      </c>
      <c r="L239" s="15"/>
      <c r="M239" s="15" t="s">
        <v>1599</v>
      </c>
      <c r="N239" s="18">
        <v>6070</v>
      </c>
      <c r="O239" s="14"/>
      <c r="P239" s="15"/>
    </row>
    <row r="240" spans="3:16">
      <c r="C240" s="15" t="s">
        <v>1525</v>
      </c>
      <c r="D240" s="14" t="s">
        <v>467</v>
      </c>
      <c r="E240" s="14" t="s">
        <v>314</v>
      </c>
      <c r="F240" s="14" t="str">
        <f t="shared" si="3"/>
        <v>RSSH: Monitoring and evaluation systems</v>
      </c>
      <c r="G240" s="14" t="s">
        <v>1600</v>
      </c>
      <c r="H240" s="368" t="s">
        <v>1527</v>
      </c>
      <c r="I240" s="14" t="str">
        <f t="array" ref="I240">IFERROR(INDEX($D$192:$D$250, MATCH(0, COUNTIF($I$191:I239, $D$192:$D$250&amp;"") + IF($D$192:$D$250="",1,0), 0)), "")</f>
        <v/>
      </c>
      <c r="J240" s="14" t="str">
        <f t="array" ref="J240">IFERROR(IF(INDEX($C$192:$C$250,MATCH(LEFT(I240,255),LEFT($D$192:$D$250,255),0))=0,"",INDEX($C$192:$C$250,MATCH(LEFT(I240,255),LEFT($D$192:$D$250,255),0))),"")</f>
        <v/>
      </c>
      <c r="K240" s="14" t="s">
        <v>669</v>
      </c>
      <c r="L240" s="15"/>
      <c r="M240" s="15" t="s">
        <v>1601</v>
      </c>
      <c r="N240" s="18">
        <v>6080</v>
      </c>
      <c r="O240" s="14"/>
      <c r="P240" s="15"/>
    </row>
    <row r="241" spans="1:16">
      <c r="C241" s="15" t="s">
        <v>1529</v>
      </c>
      <c r="D241" s="14" t="s">
        <v>1530</v>
      </c>
      <c r="E241" s="14" t="s">
        <v>314</v>
      </c>
      <c r="F241" s="14" t="str">
        <f t="shared" si="3"/>
        <v>Program management</v>
      </c>
      <c r="G241" s="14" t="s">
        <v>1602</v>
      </c>
      <c r="H241" s="368" t="s">
        <v>1532</v>
      </c>
      <c r="I241" s="14" t="str">
        <f t="array" ref="I241">IFERROR(INDEX($D$192:$D$250, MATCH(0, COUNTIF($I$191:I240, $D$192:$D$250&amp;"") + IF($D$192:$D$250="",1,0), 0)), "")</f>
        <v/>
      </c>
      <c r="J241" s="14" t="str">
        <f t="array" ref="J241">IFERROR(IF(INDEX($C$192:$C$250,MATCH(LEFT(I241,255),LEFT($D$192:$D$250,255),0))=0,"",INDEX($C$192:$C$250,MATCH(LEFT(I241,255),LEFT($D$192:$D$250,255),0))),"")</f>
        <v/>
      </c>
      <c r="K241" s="14" t="s">
        <v>669</v>
      </c>
      <c r="L241" s="15"/>
      <c r="M241" s="15" t="s">
        <v>1603</v>
      </c>
      <c r="N241" s="18">
        <v>9000</v>
      </c>
      <c r="O241" s="14"/>
      <c r="P241" s="15"/>
    </row>
    <row r="242" spans="1:16">
      <c r="C242" s="15" t="s">
        <v>1534</v>
      </c>
      <c r="D242" s="14" t="s">
        <v>1535</v>
      </c>
      <c r="E242" s="14" t="s">
        <v>314</v>
      </c>
      <c r="F242" s="14" t="str">
        <f t="shared" si="3"/>
        <v>Payment for results</v>
      </c>
      <c r="G242" s="14" t="s">
        <v>1604</v>
      </c>
      <c r="H242" s="368" t="s">
        <v>1537</v>
      </c>
      <c r="I242" s="14" t="str">
        <f t="array" ref="I242">IFERROR(INDEX($D$192:$D$250, MATCH(0, COUNTIF($I$191:I241, $D$192:$D$250&amp;"") + IF($D$192:$D$250="",1,0), 0)), "")</f>
        <v/>
      </c>
      <c r="J242" s="14" t="str">
        <f t="array" ref="J242">IFERROR(IF(INDEX($C$192:$C$250,MATCH(LEFT(I242,255),LEFT($D$192:$D$250,255),0))=0,"",INDEX($C$192:$C$250,MATCH(LEFT(I242,255),LEFT($D$192:$D$250,255),0))),"")</f>
        <v/>
      </c>
      <c r="K242" s="14" t="s">
        <v>669</v>
      </c>
      <c r="L242" s="15"/>
      <c r="M242" s="15" t="s">
        <v>1605</v>
      </c>
      <c r="N242" s="18">
        <v>9500</v>
      </c>
      <c r="O242" s="14"/>
      <c r="P242" s="15"/>
    </row>
    <row r="243" spans="1:16">
      <c r="C243" s="16"/>
      <c r="D243" s="14"/>
      <c r="E243" s="14"/>
      <c r="F243" s="14"/>
      <c r="G243" s="14"/>
      <c r="H243" s="17"/>
      <c r="I243" s="14"/>
      <c r="J243" s="14"/>
      <c r="K243" s="14"/>
      <c r="L243" s="14"/>
      <c r="M243" s="15"/>
    </row>
    <row r="244" spans="1:16">
      <c r="C244" s="16"/>
      <c r="D244" s="14"/>
      <c r="E244" s="14"/>
      <c r="F244" s="14"/>
      <c r="G244" s="14"/>
      <c r="H244" s="17"/>
      <c r="I244" s="14"/>
      <c r="J244" s="14"/>
      <c r="K244" s="14"/>
      <c r="L244" s="14"/>
      <c r="M244" s="15"/>
    </row>
    <row r="245" spans="1:16">
      <c r="C245" s="16"/>
      <c r="D245" s="14"/>
      <c r="E245" s="14"/>
      <c r="F245" s="14"/>
      <c r="G245" s="14"/>
      <c r="H245" s="17"/>
      <c r="I245" s="14"/>
      <c r="J245" s="14"/>
      <c r="K245" s="14"/>
      <c r="L245" s="14"/>
      <c r="M245" s="15"/>
    </row>
    <row r="246" spans="1:16">
      <c r="C246" s="16"/>
      <c r="D246" s="14"/>
      <c r="E246" s="14"/>
      <c r="F246" s="14"/>
      <c r="G246" s="14"/>
      <c r="H246" s="17"/>
      <c r="I246" s="14"/>
      <c r="J246" s="14"/>
      <c r="K246" s="14"/>
      <c r="L246" s="14"/>
      <c r="M246" s="15"/>
    </row>
    <row r="247" spans="1:16">
      <c r="C247" s="16"/>
      <c r="D247" s="14"/>
      <c r="E247" s="14"/>
      <c r="F247" s="14"/>
      <c r="G247" s="14"/>
      <c r="H247" s="17"/>
      <c r="I247" s="14"/>
      <c r="J247" s="14"/>
      <c r="K247" s="14"/>
      <c r="L247" s="14"/>
      <c r="M247" s="15"/>
    </row>
    <row r="248" spans="1:16">
      <c r="C248" s="16"/>
      <c r="D248" s="14"/>
      <c r="E248" s="14"/>
      <c r="F248" s="14"/>
      <c r="G248" s="14"/>
      <c r="H248" s="17"/>
      <c r="I248" s="14"/>
      <c r="J248" s="14"/>
      <c r="K248" s="14"/>
      <c r="L248" s="14"/>
      <c r="M248" s="15"/>
    </row>
    <row r="249" spans="1:16">
      <c r="C249" s="16"/>
      <c r="D249" s="14"/>
      <c r="E249" s="14"/>
      <c r="F249" s="14"/>
      <c r="G249" s="14"/>
      <c r="H249" s="17"/>
      <c r="I249" s="14"/>
      <c r="J249" s="14"/>
      <c r="K249" s="14"/>
      <c r="L249" s="14"/>
      <c r="M249" s="15"/>
    </row>
    <row r="251" spans="1:16">
      <c r="A251" s="2" t="s">
        <v>1606</v>
      </c>
    </row>
    <row r="252" spans="1:16">
      <c r="A252" s="367" t="s">
        <v>1077</v>
      </c>
      <c r="B252" s="367" t="s">
        <v>1078</v>
      </c>
      <c r="C252" s="367" t="s">
        <v>258</v>
      </c>
      <c r="D252" s="367" t="s">
        <v>816</v>
      </c>
      <c r="E252" s="367" t="s">
        <v>318</v>
      </c>
      <c r="F252" s="367" t="s">
        <v>1079</v>
      </c>
      <c r="G252" s="367" t="s">
        <v>1080</v>
      </c>
      <c r="H252" s="14" t="s">
        <v>1607</v>
      </c>
      <c r="I252" s="367" t="s">
        <v>1608</v>
      </c>
      <c r="J252" s="367" t="s">
        <v>822</v>
      </c>
      <c r="K252" s="14" t="s">
        <v>824</v>
      </c>
    </row>
    <row r="253" spans="1:16" hidden="1">
      <c r="A253" s="14" t="s">
        <v>1085</v>
      </c>
      <c r="B253" s="15" t="s">
        <v>1086</v>
      </c>
      <c r="C253" s="15" t="s">
        <v>826</v>
      </c>
      <c r="D253" s="15" t="s">
        <v>827</v>
      </c>
      <c r="E253" s="14" t="s">
        <v>321</v>
      </c>
      <c r="F253" s="15" t="str">
        <f>B253</f>
        <v>[Name ID]</v>
      </c>
      <c r="G253" s="14" t="str">
        <f>A253&amp;C253</f>
        <v>[Module (Name)]--Select--</v>
      </c>
      <c r="H253" s="14" t="str">
        <f>A253&amp;C253</f>
        <v>[Module (Name)]--Select--</v>
      </c>
      <c r="I253" s="15" t="str">
        <f>F253</f>
        <v>[Name ID]</v>
      </c>
      <c r="J253" s="14" t="s">
        <v>830</v>
      </c>
      <c r="K253" s="18" t="s">
        <v>832</v>
      </c>
    </row>
    <row r="254" spans="1:16">
      <c r="A254" s="14" t="s">
        <v>440</v>
      </c>
      <c r="B254" s="15" t="s">
        <v>1609</v>
      </c>
      <c r="C254" s="15" t="s">
        <v>1610</v>
      </c>
      <c r="D254" s="15"/>
      <c r="E254" s="14" t="s">
        <v>1611</v>
      </c>
      <c r="F254" s="15" t="str">
        <f t="shared" ref="F254:F317" si="4">B254</f>
        <v>MCI-01459</v>
      </c>
      <c r="G254" s="14" t="str">
        <f t="shared" ref="G254:G317" si="5">A254&amp;C254</f>
        <v>MCI-01296Condom and lubricant programing for MSM</v>
      </c>
      <c r="H254" s="14" t="str">
        <f t="shared" ref="H254:H317" si="6">A254&amp;C254</f>
        <v>MCI-01296Condom and lubricant programing for MSM</v>
      </c>
      <c r="I254" s="15" t="str">
        <f t="shared" ref="I254:I317" si="7">F254</f>
        <v>MCI-01459</v>
      </c>
      <c r="J254" s="14" t="s">
        <v>669</v>
      </c>
      <c r="K254" s="18">
        <v>1010</v>
      </c>
    </row>
    <row r="255" spans="1:16">
      <c r="A255" s="14" t="s">
        <v>440</v>
      </c>
      <c r="B255" s="15" t="s">
        <v>1612</v>
      </c>
      <c r="C255" s="15" t="s">
        <v>1613</v>
      </c>
      <c r="D255" s="15"/>
      <c r="E255" s="14" t="s">
        <v>1614</v>
      </c>
      <c r="F255" s="15" t="str">
        <f t="shared" si="4"/>
        <v>MCI-01460</v>
      </c>
      <c r="G255" s="14" t="str">
        <f t="shared" si="5"/>
        <v>MCI-01296Pre-exposure prophylaxis (PrEP) programing for MSM</v>
      </c>
      <c r="H255" s="14" t="str">
        <f t="shared" si="6"/>
        <v>MCI-01296Pre-exposure prophylaxis (PrEP) programing for MSM</v>
      </c>
      <c r="I255" s="15" t="str">
        <f t="shared" si="7"/>
        <v>MCI-01460</v>
      </c>
      <c r="J255" s="14" t="s">
        <v>669</v>
      </c>
      <c r="K255" s="18">
        <v>1020</v>
      </c>
    </row>
    <row r="256" spans="1:16">
      <c r="A256" s="14" t="s">
        <v>440</v>
      </c>
      <c r="B256" s="15" t="s">
        <v>1615</v>
      </c>
      <c r="C256" s="15" t="s">
        <v>1616</v>
      </c>
      <c r="D256" s="15"/>
      <c r="E256" s="14" t="s">
        <v>1617</v>
      </c>
      <c r="F256" s="15" t="str">
        <f t="shared" si="4"/>
        <v>MCI-01461</v>
      </c>
      <c r="G256" s="14" t="str">
        <f t="shared" si="5"/>
        <v>MCI-01296HIV prevention communication, information and demand creation for MSM</v>
      </c>
      <c r="H256" s="14" t="str">
        <f t="shared" si="6"/>
        <v>MCI-01296HIV prevention communication, information and demand creation for MSM</v>
      </c>
      <c r="I256" s="15" t="str">
        <f t="shared" si="7"/>
        <v>MCI-01461</v>
      </c>
      <c r="J256" s="14" t="s">
        <v>669</v>
      </c>
      <c r="K256" s="18">
        <v>1030</v>
      </c>
    </row>
    <row r="257" spans="1:11">
      <c r="A257" s="14" t="s">
        <v>440</v>
      </c>
      <c r="B257" s="15" t="s">
        <v>1618</v>
      </c>
      <c r="C257" s="15" t="s">
        <v>1619</v>
      </c>
      <c r="D257" s="15"/>
      <c r="E257" s="14" t="s">
        <v>1620</v>
      </c>
      <c r="F257" s="15" t="str">
        <f t="shared" si="4"/>
        <v>MCI-01462</v>
      </c>
      <c r="G257" s="14" t="str">
        <f t="shared" si="5"/>
        <v>MCI-01296Community empowerment for MSM</v>
      </c>
      <c r="H257" s="14" t="str">
        <f t="shared" si="6"/>
        <v>MCI-01296Community empowerment for MSM</v>
      </c>
      <c r="I257" s="15" t="str">
        <f t="shared" si="7"/>
        <v>MCI-01462</v>
      </c>
      <c r="J257" s="14" t="s">
        <v>669</v>
      </c>
      <c r="K257" s="18">
        <v>1040</v>
      </c>
    </row>
    <row r="258" spans="1:11">
      <c r="A258" s="14" t="s">
        <v>440</v>
      </c>
      <c r="B258" s="15" t="s">
        <v>1621</v>
      </c>
      <c r="C258" s="15" t="s">
        <v>1622</v>
      </c>
      <c r="D258" s="15"/>
      <c r="E258" s="14" t="s">
        <v>1623</v>
      </c>
      <c r="F258" s="15" t="str">
        <f t="shared" si="4"/>
        <v>MCI-01463</v>
      </c>
      <c r="G258" s="14" t="str">
        <f t="shared" si="5"/>
        <v>MCI-01296Sexual and reproductive health services, including STIs, hepatitis, post-violence care for MSM</v>
      </c>
      <c r="H258" s="14" t="str">
        <f t="shared" si="6"/>
        <v>MCI-01296Sexual and reproductive health services, including STIs, hepatitis, post-violence care for MSM</v>
      </c>
      <c r="I258" s="15" t="str">
        <f t="shared" si="7"/>
        <v>MCI-01463</v>
      </c>
      <c r="J258" s="14" t="s">
        <v>669</v>
      </c>
      <c r="K258" s="18">
        <v>1050</v>
      </c>
    </row>
    <row r="259" spans="1:11">
      <c r="A259" s="14" t="s">
        <v>440</v>
      </c>
      <c r="B259" s="15" t="s">
        <v>1624</v>
      </c>
      <c r="C259" s="15" t="s">
        <v>1625</v>
      </c>
      <c r="D259" s="15"/>
      <c r="E259" s="14" t="s">
        <v>1626</v>
      </c>
      <c r="F259" s="15" t="str">
        <f t="shared" si="4"/>
        <v>MCI-01464</v>
      </c>
      <c r="G259" s="14" t="str">
        <f t="shared" si="5"/>
        <v>MCI-01296Removing human rights-related barriers to prevention for MSM</v>
      </c>
      <c r="H259" s="14" t="str">
        <f t="shared" si="6"/>
        <v>MCI-01296Removing human rights-related barriers to prevention for MSM</v>
      </c>
      <c r="I259" s="15" t="str">
        <f t="shared" si="7"/>
        <v>MCI-01464</v>
      </c>
      <c r="J259" s="14" t="s">
        <v>669</v>
      </c>
      <c r="K259" s="18">
        <v>1060</v>
      </c>
    </row>
    <row r="260" spans="1:11">
      <c r="A260" s="14" t="s">
        <v>443</v>
      </c>
      <c r="B260" s="15" t="s">
        <v>1627</v>
      </c>
      <c r="C260" s="15" t="s">
        <v>1628</v>
      </c>
      <c r="D260" s="15"/>
      <c r="E260" s="14" t="s">
        <v>1629</v>
      </c>
      <c r="F260" s="15" t="str">
        <f t="shared" si="4"/>
        <v>MCI-01328</v>
      </c>
      <c r="G260" s="14" t="str">
        <f t="shared" si="5"/>
        <v>MCI-01297Condom and lubricant programing for sex workers</v>
      </c>
      <c r="H260" s="14" t="str">
        <f t="shared" si="6"/>
        <v>MCI-01297Condom and lubricant programing for sex workers</v>
      </c>
      <c r="I260" s="15" t="str">
        <f t="shared" si="7"/>
        <v>MCI-01328</v>
      </c>
      <c r="J260" s="14" t="s">
        <v>669</v>
      </c>
      <c r="K260" s="18">
        <v>1070</v>
      </c>
    </row>
    <row r="261" spans="1:11">
      <c r="A261" s="14" t="s">
        <v>443</v>
      </c>
      <c r="B261" s="15" t="s">
        <v>1630</v>
      </c>
      <c r="C261" s="15" t="s">
        <v>1631</v>
      </c>
      <c r="D261" s="15"/>
      <c r="E261" s="14" t="s">
        <v>1632</v>
      </c>
      <c r="F261" s="15" t="str">
        <f t="shared" si="4"/>
        <v>MCI-01329</v>
      </c>
      <c r="G261" s="14" t="str">
        <f t="shared" si="5"/>
        <v>MCI-01297Pre-exposure prophylaxis (PrEP) programing for sex workers</v>
      </c>
      <c r="H261" s="14" t="str">
        <f t="shared" si="6"/>
        <v>MCI-01297Pre-exposure prophylaxis (PrEP) programing for sex workers</v>
      </c>
      <c r="I261" s="15" t="str">
        <f t="shared" si="7"/>
        <v>MCI-01329</v>
      </c>
      <c r="J261" s="14" t="s">
        <v>669</v>
      </c>
      <c r="K261" s="18">
        <v>1080</v>
      </c>
    </row>
    <row r="262" spans="1:11">
      <c r="A262" s="14" t="s">
        <v>443</v>
      </c>
      <c r="B262" s="15" t="s">
        <v>1633</v>
      </c>
      <c r="C262" s="15" t="s">
        <v>1634</v>
      </c>
      <c r="D262" s="15"/>
      <c r="E262" s="14" t="s">
        <v>1635</v>
      </c>
      <c r="F262" s="15" t="str">
        <f t="shared" si="4"/>
        <v>MCI-01330</v>
      </c>
      <c r="G262" s="14" t="str">
        <f t="shared" si="5"/>
        <v>MCI-01297HIV prevention communication, information and demand creation for sex workers</v>
      </c>
      <c r="H262" s="14" t="str">
        <f t="shared" si="6"/>
        <v>MCI-01297HIV prevention communication, information and demand creation for sex workers</v>
      </c>
      <c r="I262" s="15" t="str">
        <f t="shared" si="7"/>
        <v>MCI-01330</v>
      </c>
      <c r="J262" s="14" t="s">
        <v>669</v>
      </c>
      <c r="K262" s="18">
        <v>1090</v>
      </c>
    </row>
    <row r="263" spans="1:11">
      <c r="A263" s="14" t="s">
        <v>443</v>
      </c>
      <c r="B263" s="15" t="s">
        <v>1636</v>
      </c>
      <c r="C263" s="15" t="s">
        <v>1637</v>
      </c>
      <c r="D263" s="15"/>
      <c r="E263" s="14" t="s">
        <v>1638</v>
      </c>
      <c r="F263" s="15" t="str">
        <f t="shared" si="4"/>
        <v>MCI-01331</v>
      </c>
      <c r="G263" s="14" t="str">
        <f t="shared" si="5"/>
        <v>MCI-01297Community empowerment for sex workers</v>
      </c>
      <c r="H263" s="14" t="str">
        <f t="shared" si="6"/>
        <v>MCI-01297Community empowerment for sex workers</v>
      </c>
      <c r="I263" s="15" t="str">
        <f t="shared" si="7"/>
        <v>MCI-01331</v>
      </c>
      <c r="J263" s="14" t="s">
        <v>669</v>
      </c>
      <c r="K263" s="18">
        <v>1100</v>
      </c>
    </row>
    <row r="264" spans="1:11">
      <c r="A264" s="14" t="s">
        <v>443</v>
      </c>
      <c r="B264" s="15" t="s">
        <v>1639</v>
      </c>
      <c r="C264" s="15" t="s">
        <v>1640</v>
      </c>
      <c r="D264" s="15"/>
      <c r="E264" s="14" t="s">
        <v>1641</v>
      </c>
      <c r="F264" s="15" t="str">
        <f t="shared" si="4"/>
        <v>MCI-01332</v>
      </c>
      <c r="G264" s="14" t="str">
        <f t="shared" si="5"/>
        <v>MCI-01297Sexual and reproductive health services, including STIs, hepatitis, post-violence care for sex workers</v>
      </c>
      <c r="H264" s="14" t="str">
        <f t="shared" si="6"/>
        <v>MCI-01297Sexual and reproductive health services, including STIs, hepatitis, post-violence care for sex workers</v>
      </c>
      <c r="I264" s="15" t="str">
        <f t="shared" si="7"/>
        <v>MCI-01332</v>
      </c>
      <c r="J264" s="14" t="s">
        <v>669</v>
      </c>
      <c r="K264" s="18">
        <v>1110</v>
      </c>
    </row>
    <row r="265" spans="1:11">
      <c r="A265" s="14" t="s">
        <v>443</v>
      </c>
      <c r="B265" s="15" t="s">
        <v>1642</v>
      </c>
      <c r="C265" s="15" t="s">
        <v>1643</v>
      </c>
      <c r="D265" s="15"/>
      <c r="E265" s="14" t="s">
        <v>1644</v>
      </c>
      <c r="F265" s="15" t="str">
        <f t="shared" si="4"/>
        <v>MCI-01333</v>
      </c>
      <c r="G265" s="14" t="str">
        <f t="shared" si="5"/>
        <v>MCI-01297Removing human rights-related barriers to prevention for sex workers</v>
      </c>
      <c r="H265" s="14" t="str">
        <f t="shared" si="6"/>
        <v>MCI-01297Removing human rights-related barriers to prevention for sex workers</v>
      </c>
      <c r="I265" s="15" t="str">
        <f t="shared" si="7"/>
        <v>MCI-01333</v>
      </c>
      <c r="J265" s="14" t="s">
        <v>669</v>
      </c>
      <c r="K265" s="18">
        <v>1120</v>
      </c>
    </row>
    <row r="266" spans="1:11">
      <c r="A266" s="14" t="s">
        <v>446</v>
      </c>
      <c r="B266" s="15" t="s">
        <v>1645</v>
      </c>
      <c r="C266" s="15" t="s">
        <v>1646</v>
      </c>
      <c r="D266" s="15"/>
      <c r="E266" s="14" t="s">
        <v>1647</v>
      </c>
      <c r="F266" s="15" t="str">
        <f t="shared" si="4"/>
        <v>MCI-01438</v>
      </c>
      <c r="G266" s="14" t="str">
        <f t="shared" si="5"/>
        <v>MCI-01298Condom and lubricant programing for transgender people</v>
      </c>
      <c r="H266" s="14" t="str">
        <f t="shared" si="6"/>
        <v>MCI-01298Condom and lubricant programing for transgender people</v>
      </c>
      <c r="I266" s="15" t="str">
        <f t="shared" si="7"/>
        <v>MCI-01438</v>
      </c>
      <c r="J266" s="14" t="s">
        <v>669</v>
      </c>
      <c r="K266" s="18">
        <v>1130</v>
      </c>
    </row>
    <row r="267" spans="1:11">
      <c r="A267" s="14" t="s">
        <v>446</v>
      </c>
      <c r="B267" s="15" t="s">
        <v>1648</v>
      </c>
      <c r="C267" s="15" t="s">
        <v>1649</v>
      </c>
      <c r="D267" s="15"/>
      <c r="E267" s="14" t="s">
        <v>1650</v>
      </c>
      <c r="F267" s="15" t="str">
        <f t="shared" si="4"/>
        <v>MCI-01439</v>
      </c>
      <c r="G267" s="14" t="str">
        <f t="shared" si="5"/>
        <v>MCI-01298Pre-exposure prophylaxis (PrEP) programing for transgender people</v>
      </c>
      <c r="H267" s="14" t="str">
        <f t="shared" si="6"/>
        <v>MCI-01298Pre-exposure prophylaxis (PrEP) programing for transgender people</v>
      </c>
      <c r="I267" s="15" t="str">
        <f t="shared" si="7"/>
        <v>MCI-01439</v>
      </c>
      <c r="J267" s="14" t="s">
        <v>669</v>
      </c>
      <c r="K267" s="18">
        <v>1140</v>
      </c>
    </row>
    <row r="268" spans="1:11">
      <c r="A268" s="14" t="s">
        <v>446</v>
      </c>
      <c r="B268" s="15" t="s">
        <v>1651</v>
      </c>
      <c r="C268" s="15" t="s">
        <v>1652</v>
      </c>
      <c r="D268" s="15"/>
      <c r="E268" s="14" t="s">
        <v>1653</v>
      </c>
      <c r="F268" s="15" t="str">
        <f t="shared" si="4"/>
        <v>MCI-01440</v>
      </c>
      <c r="G268" s="14" t="str">
        <f t="shared" si="5"/>
        <v>MCI-01298HIV prevention communication, information and demand creation for transgender people</v>
      </c>
      <c r="H268" s="14" t="str">
        <f t="shared" si="6"/>
        <v>MCI-01298HIV prevention communication, information and demand creation for transgender people</v>
      </c>
      <c r="I268" s="15" t="str">
        <f t="shared" si="7"/>
        <v>MCI-01440</v>
      </c>
      <c r="J268" s="14" t="s">
        <v>669</v>
      </c>
      <c r="K268" s="18">
        <v>1150</v>
      </c>
    </row>
    <row r="269" spans="1:11">
      <c r="A269" s="14" t="s">
        <v>446</v>
      </c>
      <c r="B269" s="15" t="s">
        <v>1654</v>
      </c>
      <c r="C269" s="15" t="s">
        <v>1655</v>
      </c>
      <c r="D269" s="15"/>
      <c r="E269" s="14" t="s">
        <v>1656</v>
      </c>
      <c r="F269" s="15" t="str">
        <f t="shared" si="4"/>
        <v>MCI-01441</v>
      </c>
      <c r="G269" s="14" t="str">
        <f t="shared" si="5"/>
        <v>MCI-01298Community empowerment for transgender people</v>
      </c>
      <c r="H269" s="14" t="str">
        <f t="shared" si="6"/>
        <v>MCI-01298Community empowerment for transgender people</v>
      </c>
      <c r="I269" s="15" t="str">
        <f t="shared" si="7"/>
        <v>MCI-01441</v>
      </c>
      <c r="J269" s="14" t="s">
        <v>669</v>
      </c>
      <c r="K269" s="18">
        <v>1160</v>
      </c>
    </row>
    <row r="270" spans="1:11">
      <c r="A270" s="14" t="s">
        <v>446</v>
      </c>
      <c r="B270" s="15" t="s">
        <v>1657</v>
      </c>
      <c r="C270" s="15" t="s">
        <v>1658</v>
      </c>
      <c r="D270" s="15"/>
      <c r="E270" s="14" t="s">
        <v>1659</v>
      </c>
      <c r="F270" s="15" t="str">
        <f t="shared" si="4"/>
        <v>MCI-01442</v>
      </c>
      <c r="G270" s="14" t="str">
        <f t="shared" si="5"/>
        <v>MCI-01298Sexual and reproductive health services, including STIs, hepatitis, post-violence care for transgender people</v>
      </c>
      <c r="H270" s="14" t="str">
        <f t="shared" si="6"/>
        <v>MCI-01298Sexual and reproductive health services, including STIs, hepatitis, post-violence care for transgender people</v>
      </c>
      <c r="I270" s="15" t="str">
        <f t="shared" si="7"/>
        <v>MCI-01442</v>
      </c>
      <c r="J270" s="14" t="s">
        <v>669</v>
      </c>
      <c r="K270" s="18">
        <v>1170</v>
      </c>
    </row>
    <row r="271" spans="1:11">
      <c r="A271" s="14" t="s">
        <v>446</v>
      </c>
      <c r="B271" s="15" t="s">
        <v>1660</v>
      </c>
      <c r="C271" s="15" t="s">
        <v>1661</v>
      </c>
      <c r="D271" s="15"/>
      <c r="E271" s="14" t="s">
        <v>1662</v>
      </c>
      <c r="F271" s="15" t="str">
        <f t="shared" si="4"/>
        <v>MCI-01443</v>
      </c>
      <c r="G271" s="14" t="str">
        <f t="shared" si="5"/>
        <v>MCI-01298Removing human rights-related barriers to prevention for transgender people</v>
      </c>
      <c r="H271" s="14" t="str">
        <f t="shared" si="6"/>
        <v>MCI-01298Removing human rights-related barriers to prevention for transgender people</v>
      </c>
      <c r="I271" s="15" t="str">
        <f t="shared" si="7"/>
        <v>MCI-01443</v>
      </c>
      <c r="J271" s="14" t="s">
        <v>669</v>
      </c>
      <c r="K271" s="18">
        <v>1180</v>
      </c>
    </row>
    <row r="272" spans="1:11">
      <c r="A272" s="14" t="s">
        <v>449</v>
      </c>
      <c r="B272" s="15" t="s">
        <v>1663</v>
      </c>
      <c r="C272" s="15" t="s">
        <v>1664</v>
      </c>
      <c r="D272" s="15"/>
      <c r="E272" s="14" t="s">
        <v>1665</v>
      </c>
      <c r="F272" s="15" t="str">
        <f t="shared" si="4"/>
        <v>MCI-01334</v>
      </c>
      <c r="G272" s="14" t="str">
        <f t="shared" si="5"/>
        <v>MCI-01299Needle and syringe programs for PWID</v>
      </c>
      <c r="H272" s="14" t="str">
        <f t="shared" si="6"/>
        <v>MCI-01299Needle and syringe programs for PWID</v>
      </c>
      <c r="I272" s="15" t="str">
        <f t="shared" si="7"/>
        <v>MCI-01334</v>
      </c>
      <c r="J272" s="14" t="s">
        <v>669</v>
      </c>
      <c r="K272" s="18">
        <v>1190</v>
      </c>
    </row>
    <row r="273" spans="1:11">
      <c r="A273" s="14" t="s">
        <v>449</v>
      </c>
      <c r="B273" s="15" t="s">
        <v>1666</v>
      </c>
      <c r="C273" s="15" t="s">
        <v>1667</v>
      </c>
      <c r="D273" s="15"/>
      <c r="E273" s="14" t="s">
        <v>1668</v>
      </c>
      <c r="F273" s="15" t="str">
        <f t="shared" si="4"/>
        <v>MCI-01335</v>
      </c>
      <c r="G273" s="14" t="str">
        <f t="shared" si="5"/>
        <v>MCI-01299Opioid substitution therapy and other medically assisted drug dependence treatment for PWID</v>
      </c>
      <c r="H273" s="14" t="str">
        <f t="shared" si="6"/>
        <v>MCI-01299Opioid substitution therapy and other medically assisted drug dependence treatment for PWID</v>
      </c>
      <c r="I273" s="15" t="str">
        <f t="shared" si="7"/>
        <v>MCI-01335</v>
      </c>
      <c r="J273" s="14" t="s">
        <v>669</v>
      </c>
      <c r="K273" s="18">
        <v>1200</v>
      </c>
    </row>
    <row r="274" spans="1:11">
      <c r="A274" s="14" t="s">
        <v>449</v>
      </c>
      <c r="B274" s="15" t="s">
        <v>1669</v>
      </c>
      <c r="C274" s="15" t="s">
        <v>1670</v>
      </c>
      <c r="D274" s="15"/>
      <c r="E274" s="14" t="s">
        <v>1671</v>
      </c>
      <c r="F274" s="15" t="str">
        <f t="shared" si="4"/>
        <v>MCI-01336</v>
      </c>
      <c r="G274" s="14" t="str">
        <f t="shared" si="5"/>
        <v>MCI-01299Overdose prevention and management for PWID</v>
      </c>
      <c r="H274" s="14" t="str">
        <f t="shared" si="6"/>
        <v>MCI-01299Overdose prevention and management for PWID</v>
      </c>
      <c r="I274" s="15" t="str">
        <f t="shared" si="7"/>
        <v>MCI-01336</v>
      </c>
      <c r="J274" s="14" t="s">
        <v>669</v>
      </c>
      <c r="K274" s="18">
        <v>1210</v>
      </c>
    </row>
    <row r="275" spans="1:11">
      <c r="A275" s="14" t="s">
        <v>449</v>
      </c>
      <c r="B275" s="15" t="s">
        <v>1672</v>
      </c>
      <c r="C275" s="15" t="s">
        <v>1673</v>
      </c>
      <c r="D275" s="15"/>
      <c r="E275" s="14" t="s">
        <v>1674</v>
      </c>
      <c r="F275" s="15" t="str">
        <f t="shared" si="4"/>
        <v>MCI-01337</v>
      </c>
      <c r="G275" s="14" t="str">
        <f t="shared" si="5"/>
        <v>MCI-01299Condom and lubricant programing for PUD</v>
      </c>
      <c r="H275" s="14" t="str">
        <f t="shared" si="6"/>
        <v>MCI-01299Condom and lubricant programing for PUD</v>
      </c>
      <c r="I275" s="15" t="str">
        <f t="shared" si="7"/>
        <v>MCI-01337</v>
      </c>
      <c r="J275" s="14" t="s">
        <v>669</v>
      </c>
      <c r="K275" s="18">
        <v>1220</v>
      </c>
    </row>
    <row r="276" spans="1:11">
      <c r="A276" s="14" t="s">
        <v>449</v>
      </c>
      <c r="B276" s="15" t="s">
        <v>1675</v>
      </c>
      <c r="C276" s="15" t="s">
        <v>1676</v>
      </c>
      <c r="D276" s="15"/>
      <c r="E276" s="14" t="s">
        <v>1677</v>
      </c>
      <c r="F276" s="15" t="str">
        <f t="shared" si="4"/>
        <v>MCI-01338</v>
      </c>
      <c r="G276" s="14" t="str">
        <f t="shared" si="5"/>
        <v>MCI-01299Pre-exposure prophylaxis (PrEP) programing for PUD</v>
      </c>
      <c r="H276" s="14" t="str">
        <f t="shared" si="6"/>
        <v>MCI-01299Pre-exposure prophylaxis (PrEP) programing for PUD</v>
      </c>
      <c r="I276" s="15" t="str">
        <f t="shared" si="7"/>
        <v>MCI-01338</v>
      </c>
      <c r="J276" s="14" t="s">
        <v>669</v>
      </c>
      <c r="K276" s="18">
        <v>1230</v>
      </c>
    </row>
    <row r="277" spans="1:11">
      <c r="A277" s="14" t="s">
        <v>449</v>
      </c>
      <c r="B277" s="15" t="s">
        <v>1678</v>
      </c>
      <c r="C277" s="15" t="s">
        <v>1679</v>
      </c>
      <c r="D277" s="15"/>
      <c r="E277" s="14" t="s">
        <v>1680</v>
      </c>
      <c r="F277" s="15" t="str">
        <f t="shared" si="4"/>
        <v>MCI-01339</v>
      </c>
      <c r="G277" s="14" t="str">
        <f t="shared" si="5"/>
        <v>MCI-01299HIV prevention communication, information and demand creation for PUD</v>
      </c>
      <c r="H277" s="14" t="str">
        <f t="shared" si="6"/>
        <v>MCI-01299HIV prevention communication, information and demand creation for PUD</v>
      </c>
      <c r="I277" s="15" t="str">
        <f t="shared" si="7"/>
        <v>MCI-01339</v>
      </c>
      <c r="J277" s="14" t="s">
        <v>669</v>
      </c>
      <c r="K277" s="18">
        <v>1240</v>
      </c>
    </row>
    <row r="278" spans="1:11">
      <c r="A278" s="14" t="s">
        <v>449</v>
      </c>
      <c r="B278" s="15" t="s">
        <v>1681</v>
      </c>
      <c r="C278" s="15" t="s">
        <v>1682</v>
      </c>
      <c r="D278" s="15"/>
      <c r="E278" s="14" t="s">
        <v>1683</v>
      </c>
      <c r="F278" s="15" t="str">
        <f t="shared" si="4"/>
        <v>MCI-01340</v>
      </c>
      <c r="G278" s="14" t="str">
        <f t="shared" si="5"/>
        <v>MCI-01299Community empowerment for PUD</v>
      </c>
      <c r="H278" s="14" t="str">
        <f t="shared" si="6"/>
        <v>MCI-01299Community empowerment for PUD</v>
      </c>
      <c r="I278" s="15" t="str">
        <f t="shared" si="7"/>
        <v>MCI-01340</v>
      </c>
      <c r="J278" s="14" t="s">
        <v>669</v>
      </c>
      <c r="K278" s="18">
        <v>1250</v>
      </c>
    </row>
    <row r="279" spans="1:11">
      <c r="A279" s="14" t="s">
        <v>449</v>
      </c>
      <c r="B279" s="15" t="s">
        <v>1684</v>
      </c>
      <c r="C279" s="15" t="s">
        <v>1685</v>
      </c>
      <c r="D279" s="15"/>
      <c r="E279" s="14" t="s">
        <v>1686</v>
      </c>
      <c r="F279" s="15" t="str">
        <f t="shared" si="4"/>
        <v>MCI-01341</v>
      </c>
      <c r="G279" s="14" t="str">
        <f t="shared" si="5"/>
        <v>MCI-01299Sexual and reproductive health services, including STIs, hepatitis, post-violence care for PUD</v>
      </c>
      <c r="H279" s="14" t="str">
        <f t="shared" si="6"/>
        <v>MCI-01299Sexual and reproductive health services, including STIs, hepatitis, post-violence care for PUD</v>
      </c>
      <c r="I279" s="15" t="str">
        <f t="shared" si="7"/>
        <v>MCI-01341</v>
      </c>
      <c r="J279" s="14" t="s">
        <v>669</v>
      </c>
      <c r="K279" s="18">
        <v>1260</v>
      </c>
    </row>
    <row r="280" spans="1:11">
      <c r="A280" s="14" t="s">
        <v>449</v>
      </c>
      <c r="B280" s="15" t="s">
        <v>1687</v>
      </c>
      <c r="C280" s="15" t="s">
        <v>1688</v>
      </c>
      <c r="D280" s="15"/>
      <c r="E280" s="14" t="s">
        <v>1689</v>
      </c>
      <c r="F280" s="15" t="str">
        <f t="shared" si="4"/>
        <v>MCI-01342</v>
      </c>
      <c r="G280" s="14" t="str">
        <f t="shared" si="5"/>
        <v>MCI-01299Removing human rights-related barriers to prevention for PUD</v>
      </c>
      <c r="H280" s="14" t="str">
        <f t="shared" si="6"/>
        <v>MCI-01299Removing human rights-related barriers to prevention for PUD</v>
      </c>
      <c r="I280" s="15" t="str">
        <f t="shared" si="7"/>
        <v>MCI-01342</v>
      </c>
      <c r="J280" s="14" t="s">
        <v>669</v>
      </c>
      <c r="K280" s="18">
        <v>1270</v>
      </c>
    </row>
    <row r="281" spans="1:11">
      <c r="A281" s="14" t="s">
        <v>452</v>
      </c>
      <c r="B281" s="15" t="s">
        <v>1690</v>
      </c>
      <c r="C281" s="15" t="s">
        <v>1691</v>
      </c>
      <c r="D281" s="15"/>
      <c r="E281" s="14" t="s">
        <v>1692</v>
      </c>
      <c r="F281" s="15" t="str">
        <f t="shared" si="4"/>
        <v>MCI-01444</v>
      </c>
      <c r="G281" s="14" t="str">
        <f t="shared" si="5"/>
        <v>MCI-01300Condom and lubricant programing for prisoners</v>
      </c>
      <c r="H281" s="14" t="str">
        <f t="shared" si="6"/>
        <v>MCI-01300Condom and lubricant programing for prisoners</v>
      </c>
      <c r="I281" s="15" t="str">
        <f t="shared" si="7"/>
        <v>MCI-01444</v>
      </c>
      <c r="J281" s="14" t="s">
        <v>669</v>
      </c>
      <c r="K281" s="18">
        <v>1280</v>
      </c>
    </row>
    <row r="282" spans="1:11">
      <c r="A282" s="14" t="s">
        <v>452</v>
      </c>
      <c r="B282" s="15" t="s">
        <v>1693</v>
      </c>
      <c r="C282" s="15" t="s">
        <v>1694</v>
      </c>
      <c r="D282" s="15"/>
      <c r="E282" s="14" t="s">
        <v>1695</v>
      </c>
      <c r="F282" s="15" t="str">
        <f t="shared" si="4"/>
        <v>MCI-01445</v>
      </c>
      <c r="G282" s="14" t="str">
        <f t="shared" si="5"/>
        <v>MCI-01300Pre-exposure prophylaxis (PrEP) programing for prisoners</v>
      </c>
      <c r="H282" s="14" t="str">
        <f t="shared" si="6"/>
        <v>MCI-01300Pre-exposure prophylaxis (PrEP) programing for prisoners</v>
      </c>
      <c r="I282" s="15" t="str">
        <f t="shared" si="7"/>
        <v>MCI-01445</v>
      </c>
      <c r="J282" s="14" t="s">
        <v>669</v>
      </c>
      <c r="K282" s="18">
        <v>1290</v>
      </c>
    </row>
    <row r="283" spans="1:11">
      <c r="A283" s="14" t="s">
        <v>452</v>
      </c>
      <c r="B283" s="15" t="s">
        <v>1696</v>
      </c>
      <c r="C283" s="15" t="s">
        <v>1697</v>
      </c>
      <c r="D283" s="15"/>
      <c r="E283" s="14" t="s">
        <v>1698</v>
      </c>
      <c r="F283" s="15" t="str">
        <f t="shared" si="4"/>
        <v>MCI-01446</v>
      </c>
      <c r="G283" s="14" t="str">
        <f t="shared" si="5"/>
        <v>MCI-01300HIV prevention communication, information and demand creation for prisoners</v>
      </c>
      <c r="H283" s="14" t="str">
        <f t="shared" si="6"/>
        <v>MCI-01300HIV prevention communication, information and demand creation for prisoners</v>
      </c>
      <c r="I283" s="15" t="str">
        <f t="shared" si="7"/>
        <v>MCI-01446</v>
      </c>
      <c r="J283" s="14" t="s">
        <v>669</v>
      </c>
      <c r="K283" s="18">
        <v>1300</v>
      </c>
    </row>
    <row r="284" spans="1:11">
      <c r="A284" s="14" t="s">
        <v>452</v>
      </c>
      <c r="B284" s="15" t="s">
        <v>1699</v>
      </c>
      <c r="C284" s="15" t="s">
        <v>1700</v>
      </c>
      <c r="D284" s="15"/>
      <c r="E284" s="14" t="s">
        <v>1701</v>
      </c>
      <c r="F284" s="15" t="str">
        <f t="shared" si="4"/>
        <v>MCI-01447</v>
      </c>
      <c r="G284" s="14" t="str">
        <f t="shared" si="5"/>
        <v>MCI-01300Sexual and reproductive health services, including STIs, hepatitis, post-violence care for prisoners</v>
      </c>
      <c r="H284" s="14" t="str">
        <f t="shared" si="6"/>
        <v>MCI-01300Sexual and reproductive health services, including STIs, hepatitis, post-violence care for prisoners</v>
      </c>
      <c r="I284" s="15" t="str">
        <f t="shared" si="7"/>
        <v>MCI-01447</v>
      </c>
      <c r="J284" s="14" t="s">
        <v>669</v>
      </c>
      <c r="K284" s="18">
        <v>1310</v>
      </c>
    </row>
    <row r="285" spans="1:11">
      <c r="A285" s="14" t="s">
        <v>452</v>
      </c>
      <c r="B285" s="15" t="s">
        <v>1702</v>
      </c>
      <c r="C285" s="15" t="s">
        <v>1703</v>
      </c>
      <c r="D285" s="15"/>
      <c r="E285" s="14" t="s">
        <v>1704</v>
      </c>
      <c r="F285" s="15" t="str">
        <f t="shared" si="4"/>
        <v>MCI-01448</v>
      </c>
      <c r="G285" s="14" t="str">
        <f t="shared" si="5"/>
        <v>MCI-01300Harm reduction interventions for drug use for prisoners</v>
      </c>
      <c r="H285" s="14" t="str">
        <f t="shared" si="6"/>
        <v>MCI-01300Harm reduction interventions for drug use for prisoners</v>
      </c>
      <c r="I285" s="15" t="str">
        <f t="shared" si="7"/>
        <v>MCI-01448</v>
      </c>
      <c r="J285" s="14" t="s">
        <v>669</v>
      </c>
      <c r="K285" s="18">
        <v>1320</v>
      </c>
    </row>
    <row r="286" spans="1:11">
      <c r="A286" s="14" t="s">
        <v>452</v>
      </c>
      <c r="B286" s="15" t="s">
        <v>1705</v>
      </c>
      <c r="C286" s="15" t="s">
        <v>1706</v>
      </c>
      <c r="D286" s="15"/>
      <c r="E286" s="14" t="s">
        <v>1707</v>
      </c>
      <c r="F286" s="15" t="str">
        <f t="shared" si="4"/>
        <v>MCI-01449</v>
      </c>
      <c r="G286" s="14" t="str">
        <f t="shared" si="5"/>
        <v>MCI-01300Removing human rights-related barriers to prevention for prisoners</v>
      </c>
      <c r="H286" s="14" t="str">
        <f t="shared" si="6"/>
        <v>MCI-01300Removing human rights-related barriers to prevention for prisoners</v>
      </c>
      <c r="I286" s="15" t="str">
        <f t="shared" si="7"/>
        <v>MCI-01449</v>
      </c>
      <c r="J286" s="14" t="s">
        <v>669</v>
      </c>
      <c r="K286" s="18">
        <v>1330</v>
      </c>
    </row>
    <row r="287" spans="1:11">
      <c r="A287" s="14" t="s">
        <v>1145</v>
      </c>
      <c r="B287" s="15" t="s">
        <v>1708</v>
      </c>
      <c r="C287" s="15" t="s">
        <v>1709</v>
      </c>
      <c r="D287" s="15"/>
      <c r="E287" s="14" t="s">
        <v>1710</v>
      </c>
      <c r="F287" s="15" t="str">
        <f t="shared" si="4"/>
        <v>MCI-01343</v>
      </c>
      <c r="G287" s="14" t="str">
        <f t="shared" si="5"/>
        <v>MCI-01301Condom and lubricant programing for OVP</v>
      </c>
      <c r="H287" s="14" t="str">
        <f t="shared" si="6"/>
        <v>MCI-01301Condom and lubricant programing for OVP</v>
      </c>
      <c r="I287" s="15" t="str">
        <f t="shared" si="7"/>
        <v>MCI-01343</v>
      </c>
      <c r="J287" s="14" t="s">
        <v>669</v>
      </c>
      <c r="K287" s="18">
        <v>1340</v>
      </c>
    </row>
    <row r="288" spans="1:11">
      <c r="A288" s="14" t="s">
        <v>1145</v>
      </c>
      <c r="B288" s="15" t="s">
        <v>1711</v>
      </c>
      <c r="C288" s="15" t="s">
        <v>1712</v>
      </c>
      <c r="D288" s="15"/>
      <c r="E288" s="14" t="s">
        <v>1713</v>
      </c>
      <c r="F288" s="15" t="str">
        <f t="shared" si="4"/>
        <v>MCI-01344</v>
      </c>
      <c r="G288" s="14" t="str">
        <f t="shared" si="5"/>
        <v>MCI-01301Pre-exposure prophylaxis (PrEP) programing for OVP</v>
      </c>
      <c r="H288" s="14" t="str">
        <f t="shared" si="6"/>
        <v>MCI-01301Pre-exposure prophylaxis (PrEP) programing for OVP</v>
      </c>
      <c r="I288" s="15" t="str">
        <f t="shared" si="7"/>
        <v>MCI-01344</v>
      </c>
      <c r="J288" s="14" t="s">
        <v>669</v>
      </c>
      <c r="K288" s="18">
        <v>1350</v>
      </c>
    </row>
    <row r="289" spans="1:11">
      <c r="A289" s="14" t="s">
        <v>1145</v>
      </c>
      <c r="B289" s="15" t="s">
        <v>1714</v>
      </c>
      <c r="C289" s="15" t="s">
        <v>1715</v>
      </c>
      <c r="D289" s="15"/>
      <c r="E289" s="14" t="s">
        <v>1716</v>
      </c>
      <c r="F289" s="15" t="str">
        <f t="shared" si="4"/>
        <v>MCI-01345</v>
      </c>
      <c r="G289" s="14" t="str">
        <f t="shared" si="5"/>
        <v>MCI-01301HIV prevention communication, information and demand creation for OVP</v>
      </c>
      <c r="H289" s="14" t="str">
        <f t="shared" si="6"/>
        <v>MCI-01301HIV prevention communication, information and demand creation for OVP</v>
      </c>
      <c r="I289" s="15" t="str">
        <f t="shared" si="7"/>
        <v>MCI-01345</v>
      </c>
      <c r="J289" s="14" t="s">
        <v>669</v>
      </c>
      <c r="K289" s="18">
        <v>1360</v>
      </c>
    </row>
    <row r="290" spans="1:11">
      <c r="A290" s="14" t="s">
        <v>1145</v>
      </c>
      <c r="B290" s="15" t="s">
        <v>1717</v>
      </c>
      <c r="C290" s="15" t="s">
        <v>1718</v>
      </c>
      <c r="D290" s="15"/>
      <c r="E290" s="14" t="s">
        <v>1719</v>
      </c>
      <c r="F290" s="15" t="str">
        <f t="shared" si="4"/>
        <v>MCI-01346</v>
      </c>
      <c r="G290" s="14" t="str">
        <f t="shared" si="5"/>
        <v>MCI-01301Community empowerment for OVP</v>
      </c>
      <c r="H290" s="14" t="str">
        <f t="shared" si="6"/>
        <v>MCI-01301Community empowerment for OVP</v>
      </c>
      <c r="I290" s="15" t="str">
        <f t="shared" si="7"/>
        <v>MCI-01346</v>
      </c>
      <c r="J290" s="14" t="s">
        <v>669</v>
      </c>
      <c r="K290" s="18">
        <v>1370</v>
      </c>
    </row>
    <row r="291" spans="1:11">
      <c r="A291" s="14" t="s">
        <v>1145</v>
      </c>
      <c r="B291" s="15" t="s">
        <v>1720</v>
      </c>
      <c r="C291" s="15" t="s">
        <v>1721</v>
      </c>
      <c r="D291" s="15"/>
      <c r="E291" s="14" t="s">
        <v>1722</v>
      </c>
      <c r="F291" s="15" t="str">
        <f t="shared" si="4"/>
        <v>MCI-01347</v>
      </c>
      <c r="G291" s="14" t="str">
        <f t="shared" si="5"/>
        <v>MCI-01301Sexual and reproductive health services, including STIs, hepatitis, post-violence care for OVP</v>
      </c>
      <c r="H291" s="14" t="str">
        <f t="shared" si="6"/>
        <v>MCI-01301Sexual and reproductive health services, including STIs, hepatitis, post-violence care for OVP</v>
      </c>
      <c r="I291" s="15" t="str">
        <f t="shared" si="7"/>
        <v>MCI-01347</v>
      </c>
      <c r="J291" s="14" t="s">
        <v>669</v>
      </c>
      <c r="K291" s="18">
        <v>1380</v>
      </c>
    </row>
    <row r="292" spans="1:11">
      <c r="A292" s="14" t="s">
        <v>1145</v>
      </c>
      <c r="B292" s="15" t="s">
        <v>1723</v>
      </c>
      <c r="C292" s="15" t="s">
        <v>1724</v>
      </c>
      <c r="D292" s="15"/>
      <c r="E292" s="14" t="s">
        <v>1725</v>
      </c>
      <c r="F292" s="15" t="str">
        <f t="shared" si="4"/>
        <v>MCI-01348</v>
      </c>
      <c r="G292" s="14" t="str">
        <f t="shared" si="5"/>
        <v>MCI-01301Removing human rights-related barriers to prevention for OVP</v>
      </c>
      <c r="H292" s="14" t="str">
        <f t="shared" si="6"/>
        <v>MCI-01301Removing human rights-related barriers to prevention for OVP</v>
      </c>
      <c r="I292" s="15" t="str">
        <f t="shared" si="7"/>
        <v>MCI-01348</v>
      </c>
      <c r="J292" s="14" t="s">
        <v>669</v>
      </c>
      <c r="K292" s="18">
        <v>1390</v>
      </c>
    </row>
    <row r="293" spans="1:11">
      <c r="A293" s="14" t="s">
        <v>1149</v>
      </c>
      <c r="B293" s="15" t="s">
        <v>1726</v>
      </c>
      <c r="C293" s="15" t="s">
        <v>1727</v>
      </c>
      <c r="D293" s="15"/>
      <c r="E293" s="14" t="s">
        <v>1728</v>
      </c>
      <c r="F293" s="15" t="str">
        <f t="shared" si="4"/>
        <v>MCI-01510</v>
      </c>
      <c r="G293" s="14" t="str">
        <f t="shared" si="5"/>
        <v>MCI-01302Condom and lubricant programing for AGYW in high HIV incidence settings</v>
      </c>
      <c r="H293" s="14" t="str">
        <f t="shared" si="6"/>
        <v>MCI-01302Condom and lubricant programing for AGYW in high HIV incidence settings</v>
      </c>
      <c r="I293" s="15" t="str">
        <f t="shared" si="7"/>
        <v>MCI-01510</v>
      </c>
      <c r="J293" s="14" t="s">
        <v>669</v>
      </c>
      <c r="K293" s="18">
        <v>1400</v>
      </c>
    </row>
    <row r="294" spans="1:11">
      <c r="A294" s="14" t="s">
        <v>1149</v>
      </c>
      <c r="B294" s="15" t="s">
        <v>1729</v>
      </c>
      <c r="C294" s="15" t="s">
        <v>1730</v>
      </c>
      <c r="D294" s="15"/>
      <c r="E294" s="14" t="s">
        <v>1731</v>
      </c>
      <c r="F294" s="15" t="str">
        <f t="shared" si="4"/>
        <v>MCI-01511</v>
      </c>
      <c r="G294" s="14" t="str">
        <f t="shared" si="5"/>
        <v>MCI-01302Condom and lubricant programing for male sexual partners of AGYW in high HIV incidence settings</v>
      </c>
      <c r="H294" s="14" t="str">
        <f t="shared" si="6"/>
        <v>MCI-01302Condom and lubricant programing for male sexual partners of AGYW in high HIV incidence settings</v>
      </c>
      <c r="I294" s="15" t="str">
        <f t="shared" si="7"/>
        <v>MCI-01511</v>
      </c>
      <c r="J294" s="14" t="s">
        <v>669</v>
      </c>
      <c r="K294" s="18">
        <v>1410</v>
      </c>
    </row>
    <row r="295" spans="1:11">
      <c r="A295" s="14" t="s">
        <v>1149</v>
      </c>
      <c r="B295" s="15" t="s">
        <v>1732</v>
      </c>
      <c r="C295" s="15" t="s">
        <v>1733</v>
      </c>
      <c r="D295" s="15"/>
      <c r="E295" s="14" t="s">
        <v>1734</v>
      </c>
      <c r="F295" s="15" t="str">
        <f t="shared" si="4"/>
        <v>MCI-01512</v>
      </c>
      <c r="G295" s="14" t="str">
        <f t="shared" si="5"/>
        <v>MCI-01302HIV prevention communication, information and demand creation for AGYW in high HIV incidence settings</v>
      </c>
      <c r="H295" s="14" t="str">
        <f t="shared" si="6"/>
        <v>MCI-01302HIV prevention communication, information and demand creation for AGYW in high HIV incidence settings</v>
      </c>
      <c r="I295" s="15" t="str">
        <f t="shared" si="7"/>
        <v>MCI-01512</v>
      </c>
      <c r="J295" s="14" t="s">
        <v>669</v>
      </c>
      <c r="K295" s="18">
        <v>1420</v>
      </c>
    </row>
    <row r="296" spans="1:11">
      <c r="A296" s="14" t="s">
        <v>1149</v>
      </c>
      <c r="B296" s="15" t="s">
        <v>1735</v>
      </c>
      <c r="C296" s="15" t="s">
        <v>1736</v>
      </c>
      <c r="D296" s="15"/>
      <c r="E296" s="14" t="s">
        <v>1737</v>
      </c>
      <c r="F296" s="15" t="str">
        <f t="shared" si="4"/>
        <v>MCI-01513</v>
      </c>
      <c r="G296" s="14" t="str">
        <f t="shared" si="5"/>
        <v>MCI-01302HIV prevention communication, information and demand creation for male sexual partners of AGYW in high HIV incidence settings</v>
      </c>
      <c r="H296" s="14" t="str">
        <f t="shared" si="6"/>
        <v>MCI-01302HIV prevention communication, information and demand creation for male sexual partners of AGYW in high HIV incidence settings</v>
      </c>
      <c r="I296" s="15" t="str">
        <f t="shared" si="7"/>
        <v>MCI-01513</v>
      </c>
      <c r="J296" s="14" t="s">
        <v>669</v>
      </c>
      <c r="K296" s="18">
        <v>1430</v>
      </c>
    </row>
    <row r="297" spans="1:11">
      <c r="A297" s="14" t="s">
        <v>1149</v>
      </c>
      <c r="B297" s="15" t="s">
        <v>1738</v>
      </c>
      <c r="C297" s="15" t="s">
        <v>1739</v>
      </c>
      <c r="D297" s="15"/>
      <c r="E297" s="14" t="s">
        <v>1740</v>
      </c>
      <c r="F297" s="15" t="str">
        <f t="shared" si="4"/>
        <v>MCI-01514</v>
      </c>
      <c r="G297" s="14" t="str">
        <f t="shared" si="5"/>
        <v>MCI-01302Comprehensive sexuality education for adolescent girls and young women (AGYW) and adolescent boys and young men (ABYM)</v>
      </c>
      <c r="H297" s="14" t="str">
        <f t="shared" si="6"/>
        <v>MCI-01302Comprehensive sexuality education for adolescent girls and young women (AGYW) and adolescent boys and young men (ABYM)</v>
      </c>
      <c r="I297" s="15" t="str">
        <f t="shared" si="7"/>
        <v>MCI-01514</v>
      </c>
      <c r="J297" s="14" t="s">
        <v>669</v>
      </c>
      <c r="K297" s="18">
        <v>1440</v>
      </c>
    </row>
    <row r="298" spans="1:11">
      <c r="A298" s="14" t="s">
        <v>1149</v>
      </c>
      <c r="B298" s="15" t="s">
        <v>1741</v>
      </c>
      <c r="C298" s="15" t="s">
        <v>1742</v>
      </c>
      <c r="D298" s="15"/>
      <c r="E298" s="14" t="s">
        <v>1743</v>
      </c>
      <c r="F298" s="15" t="str">
        <f t="shared" si="4"/>
        <v>MCI-01515</v>
      </c>
      <c r="G298" s="14" t="str">
        <f t="shared" si="5"/>
        <v>MCI-01302Pre-exposure prophylaxis (PrEP) programing for AGYW in high HIV incidence settings</v>
      </c>
      <c r="H298" s="14" t="str">
        <f t="shared" si="6"/>
        <v>MCI-01302Pre-exposure prophylaxis (PrEP) programing for AGYW in high HIV incidence settings</v>
      </c>
      <c r="I298" s="15" t="str">
        <f t="shared" si="7"/>
        <v>MCI-01515</v>
      </c>
      <c r="J298" s="14" t="s">
        <v>669</v>
      </c>
      <c r="K298" s="18">
        <v>1450</v>
      </c>
    </row>
    <row r="299" spans="1:11">
      <c r="A299" s="14" t="s">
        <v>1149</v>
      </c>
      <c r="B299" s="15" t="s">
        <v>1744</v>
      </c>
      <c r="C299" s="15" t="s">
        <v>1745</v>
      </c>
      <c r="D299" s="15"/>
      <c r="E299" s="14" t="s">
        <v>1746</v>
      </c>
      <c r="F299" s="15" t="str">
        <f t="shared" si="4"/>
        <v>MCI-01516</v>
      </c>
      <c r="G299" s="14" t="str">
        <f t="shared" si="5"/>
        <v>MCI-01302Pre-exposure prophylaxis (PrEP) programing for male sexual partners of AGYW in high HIV incidence settings</v>
      </c>
      <c r="H299" s="14" t="str">
        <f t="shared" si="6"/>
        <v>MCI-01302Pre-exposure prophylaxis (PrEP) programing for male sexual partners of AGYW in high HIV incidence settings</v>
      </c>
      <c r="I299" s="15" t="str">
        <f t="shared" si="7"/>
        <v>MCI-01516</v>
      </c>
      <c r="J299" s="14" t="s">
        <v>669</v>
      </c>
      <c r="K299" s="18">
        <v>1460</v>
      </c>
    </row>
    <row r="300" spans="1:11">
      <c r="A300" s="14" t="s">
        <v>1149</v>
      </c>
      <c r="B300" s="15" t="s">
        <v>1747</v>
      </c>
      <c r="C300" s="15" t="s">
        <v>1748</v>
      </c>
      <c r="D300" s="15"/>
      <c r="E300" s="14" t="s">
        <v>1749</v>
      </c>
      <c r="F300" s="15" t="str">
        <f t="shared" si="4"/>
        <v>MCI-01517</v>
      </c>
      <c r="G300" s="14" t="str">
        <f t="shared" si="5"/>
        <v>MCI-01302Sexual and reproductive health services, including STIs, hepatitis, post-violence care for AGYW and male sexual partners in high HIV incidence settings</v>
      </c>
      <c r="H300" s="14" t="str">
        <f t="shared" si="6"/>
        <v>MCI-01302Sexual and reproductive health services, including STIs, hepatitis, post-violence care for AGYW and male sexual partners in high HIV incidence settings</v>
      </c>
      <c r="I300" s="15" t="str">
        <f t="shared" si="7"/>
        <v>MCI-01517</v>
      </c>
      <c r="J300" s="14" t="s">
        <v>669</v>
      </c>
      <c r="K300" s="18">
        <v>1470</v>
      </c>
    </row>
    <row r="301" spans="1:11">
      <c r="A301" s="14" t="s">
        <v>1149</v>
      </c>
      <c r="B301" s="15" t="s">
        <v>1750</v>
      </c>
      <c r="C301" s="15" t="s">
        <v>1751</v>
      </c>
      <c r="D301" s="15"/>
      <c r="E301" s="14" t="s">
        <v>1752</v>
      </c>
      <c r="F301" s="15" t="str">
        <f t="shared" si="4"/>
        <v>MCI-01518</v>
      </c>
      <c r="G301" s="14" t="str">
        <f t="shared" si="5"/>
        <v>MCI-01302Removing human rights-related barriers to prevention for AGYW in high HIV incidence settings</v>
      </c>
      <c r="H301" s="14" t="str">
        <f t="shared" si="6"/>
        <v>MCI-01302Removing human rights-related barriers to prevention for AGYW in high HIV incidence settings</v>
      </c>
      <c r="I301" s="15" t="str">
        <f t="shared" si="7"/>
        <v>MCI-01518</v>
      </c>
      <c r="J301" s="14" t="s">
        <v>669</v>
      </c>
      <c r="K301" s="18">
        <v>1480</v>
      </c>
    </row>
    <row r="302" spans="1:11">
      <c r="A302" s="14" t="s">
        <v>1149</v>
      </c>
      <c r="B302" s="15" t="s">
        <v>1753</v>
      </c>
      <c r="C302" s="15" t="s">
        <v>1754</v>
      </c>
      <c r="D302" s="15"/>
      <c r="E302" s="14" t="s">
        <v>1755</v>
      </c>
      <c r="F302" s="15" t="str">
        <f t="shared" si="4"/>
        <v>MCI-01519</v>
      </c>
      <c r="G302" s="14" t="str">
        <f t="shared" si="5"/>
        <v>MCI-01302Social protection interventions for AGYW in high HIV incidence settings</v>
      </c>
      <c r="H302" s="14" t="str">
        <f t="shared" si="6"/>
        <v>MCI-01302Social protection interventions for AGYW in high HIV incidence settings</v>
      </c>
      <c r="I302" s="15" t="str">
        <f t="shared" si="7"/>
        <v>MCI-01519</v>
      </c>
      <c r="J302" s="14" t="s">
        <v>669</v>
      </c>
      <c r="K302" s="18">
        <v>1490</v>
      </c>
    </row>
    <row r="303" spans="1:11">
      <c r="A303" s="14" t="s">
        <v>1149</v>
      </c>
      <c r="B303" s="15" t="s">
        <v>1756</v>
      </c>
      <c r="C303" s="15" t="s">
        <v>1757</v>
      </c>
      <c r="D303" s="15"/>
      <c r="E303" s="14" t="s">
        <v>1758</v>
      </c>
      <c r="F303" s="15" t="str">
        <f t="shared" si="4"/>
        <v>MCI-01520</v>
      </c>
      <c r="G303" s="14" t="str">
        <f t="shared" si="5"/>
        <v>MCI-01302Voluntary medical male circumcision</v>
      </c>
      <c r="H303" s="14" t="str">
        <f t="shared" si="6"/>
        <v>MCI-01302Voluntary medical male circumcision</v>
      </c>
      <c r="I303" s="15" t="str">
        <f t="shared" si="7"/>
        <v>MCI-01520</v>
      </c>
      <c r="J303" s="14" t="s">
        <v>669</v>
      </c>
      <c r="K303" s="18">
        <v>1500</v>
      </c>
    </row>
    <row r="304" spans="1:11">
      <c r="A304" s="14" t="s">
        <v>1472</v>
      </c>
      <c r="B304" s="15" t="s">
        <v>1759</v>
      </c>
      <c r="C304" s="15" t="s">
        <v>1471</v>
      </c>
      <c r="D304" s="15"/>
      <c r="E304" s="14" t="s">
        <v>1760</v>
      </c>
      <c r="F304" s="15" t="str">
        <f t="shared" si="4"/>
        <v>MCI-01493</v>
      </c>
      <c r="G304" s="14" t="str">
        <f t="shared" si="5"/>
        <v>MCI-01303Prevention program stewardship</v>
      </c>
      <c r="H304" s="14" t="str">
        <f t="shared" si="6"/>
        <v>MCI-01303Prevention program stewardship</v>
      </c>
      <c r="I304" s="15" t="str">
        <f t="shared" si="7"/>
        <v>MCI-01493</v>
      </c>
      <c r="J304" s="14" t="s">
        <v>669</v>
      </c>
      <c r="K304" s="18">
        <v>1510</v>
      </c>
    </row>
    <row r="305" spans="1:11">
      <c r="A305" s="14" t="s">
        <v>455</v>
      </c>
      <c r="B305" s="15" t="s">
        <v>1761</v>
      </c>
      <c r="C305" s="15" t="s">
        <v>1762</v>
      </c>
      <c r="D305" s="15"/>
      <c r="E305" s="14" t="s">
        <v>1763</v>
      </c>
      <c r="F305" s="15" t="str">
        <f t="shared" si="4"/>
        <v>MCI-01349</v>
      </c>
      <c r="G305" s="14" t="str">
        <f t="shared" si="5"/>
        <v>MCI-01304Integrated testing of pregnant women for HIV, syphilis and hepatitis B</v>
      </c>
      <c r="H305" s="14" t="str">
        <f t="shared" si="6"/>
        <v>MCI-01304Integrated testing of pregnant women for HIV, syphilis and hepatitis B</v>
      </c>
      <c r="I305" s="15" t="str">
        <f t="shared" si="7"/>
        <v>MCI-01349</v>
      </c>
      <c r="J305" s="14" t="s">
        <v>669</v>
      </c>
      <c r="K305" s="18">
        <v>1520</v>
      </c>
    </row>
    <row r="306" spans="1:11">
      <c r="A306" s="14" t="s">
        <v>455</v>
      </c>
      <c r="B306" s="15" t="s">
        <v>1764</v>
      </c>
      <c r="C306" s="15" t="s">
        <v>1765</v>
      </c>
      <c r="D306" s="15"/>
      <c r="E306" s="14" t="s">
        <v>1766</v>
      </c>
      <c r="F306" s="15" t="str">
        <f t="shared" si="4"/>
        <v>MCI-01350</v>
      </c>
      <c r="G306" s="14" t="str">
        <f t="shared" si="5"/>
        <v>MCI-01304Prevention of incident HIV among pregnant and breastfeeding women</v>
      </c>
      <c r="H306" s="14" t="str">
        <f t="shared" si="6"/>
        <v>MCI-01304Prevention of incident HIV among pregnant and breastfeeding women</v>
      </c>
      <c r="I306" s="15" t="str">
        <f t="shared" si="7"/>
        <v>MCI-01350</v>
      </c>
      <c r="J306" s="14" t="s">
        <v>669</v>
      </c>
      <c r="K306" s="18">
        <v>1530</v>
      </c>
    </row>
    <row r="307" spans="1:11">
      <c r="A307" s="14" t="s">
        <v>455</v>
      </c>
      <c r="B307" s="15" t="s">
        <v>1767</v>
      </c>
      <c r="C307" s="15" t="s">
        <v>1768</v>
      </c>
      <c r="D307" s="15"/>
      <c r="E307" s="14" t="s">
        <v>1769</v>
      </c>
      <c r="F307" s="15" t="str">
        <f t="shared" si="4"/>
        <v>MCI-01351</v>
      </c>
      <c r="G307" s="14" t="str">
        <f t="shared" si="5"/>
        <v>MCI-01304Post-natal infant prophylaxis</v>
      </c>
      <c r="H307" s="14" t="str">
        <f t="shared" si="6"/>
        <v>MCI-01304Post-natal infant prophylaxis</v>
      </c>
      <c r="I307" s="15" t="str">
        <f t="shared" si="7"/>
        <v>MCI-01351</v>
      </c>
      <c r="J307" s="14" t="s">
        <v>669</v>
      </c>
      <c r="K307" s="18">
        <v>1540</v>
      </c>
    </row>
    <row r="308" spans="1:11">
      <c r="A308" s="14" t="s">
        <v>455</v>
      </c>
      <c r="B308" s="15" t="s">
        <v>1770</v>
      </c>
      <c r="C308" s="15" t="s">
        <v>1771</v>
      </c>
      <c r="D308" s="15"/>
      <c r="E308" s="14" t="s">
        <v>1772</v>
      </c>
      <c r="F308" s="15" t="str">
        <f t="shared" si="4"/>
        <v>MCI-01352</v>
      </c>
      <c r="G308" s="14" t="str">
        <f t="shared" si="5"/>
        <v>MCI-01304Early infant diagnosis and follow-up HIV testing for exposed infants</v>
      </c>
      <c r="H308" s="14" t="str">
        <f t="shared" si="6"/>
        <v>MCI-01304Early infant diagnosis and follow-up HIV testing for exposed infants</v>
      </c>
      <c r="I308" s="15" t="str">
        <f t="shared" si="7"/>
        <v>MCI-01352</v>
      </c>
      <c r="J308" s="14" t="s">
        <v>669</v>
      </c>
      <c r="K308" s="18">
        <v>1550</v>
      </c>
    </row>
    <row r="309" spans="1:11">
      <c r="A309" s="14" t="s">
        <v>455</v>
      </c>
      <c r="B309" s="15" t="s">
        <v>1773</v>
      </c>
      <c r="C309" s="15" t="s">
        <v>1774</v>
      </c>
      <c r="D309" s="15"/>
      <c r="E309" s="14" t="s">
        <v>1775</v>
      </c>
      <c r="F309" s="15" t="str">
        <f t="shared" si="4"/>
        <v>MCI-01353</v>
      </c>
      <c r="G309" s="14" t="str">
        <f t="shared" si="5"/>
        <v>MCI-01304Retention support for pregnant and breastfeeding women (facility and community)</v>
      </c>
      <c r="H309" s="14" t="str">
        <f t="shared" si="6"/>
        <v>MCI-01304Retention support for pregnant and breastfeeding women (facility and community)</v>
      </c>
      <c r="I309" s="15" t="str">
        <f t="shared" si="7"/>
        <v>MCI-01353</v>
      </c>
      <c r="J309" s="14" t="s">
        <v>669</v>
      </c>
      <c r="K309" s="18">
        <v>1560</v>
      </c>
    </row>
    <row r="310" spans="1:11">
      <c r="A310" s="14" t="s">
        <v>458</v>
      </c>
      <c r="B310" s="15" t="s">
        <v>1776</v>
      </c>
      <c r="C310" s="15" t="s">
        <v>1777</v>
      </c>
      <c r="D310" s="15"/>
      <c r="E310" s="14" t="s">
        <v>1778</v>
      </c>
      <c r="F310" s="15" t="str">
        <f t="shared" si="4"/>
        <v>MCI-01450</v>
      </c>
      <c r="G310" s="14" t="str">
        <f t="shared" si="5"/>
        <v>MCI-01305Facility-based testing for key population (KP) programs</v>
      </c>
      <c r="H310" s="14" t="str">
        <f t="shared" si="6"/>
        <v>MCI-01305Facility-based testing for key population (KP) programs</v>
      </c>
      <c r="I310" s="15" t="str">
        <f t="shared" si="7"/>
        <v>MCI-01450</v>
      </c>
      <c r="J310" s="14" t="s">
        <v>669</v>
      </c>
      <c r="K310" s="18">
        <v>1570</v>
      </c>
    </row>
    <row r="311" spans="1:11">
      <c r="A311" s="14" t="s">
        <v>458</v>
      </c>
      <c r="B311" s="15" t="s">
        <v>1779</v>
      </c>
      <c r="C311" s="15" t="s">
        <v>1780</v>
      </c>
      <c r="D311" s="15"/>
      <c r="E311" s="14" t="s">
        <v>1781</v>
      </c>
      <c r="F311" s="15" t="str">
        <f t="shared" si="4"/>
        <v>MCI-01451</v>
      </c>
      <c r="G311" s="14" t="str">
        <f t="shared" si="5"/>
        <v>MCI-01305Facility-based testing for adolescent girls and young women (AGYW) and their male sexual partners programs</v>
      </c>
      <c r="H311" s="14" t="str">
        <f t="shared" si="6"/>
        <v>MCI-01305Facility-based testing for adolescent girls and young women (AGYW) and their male sexual partners programs</v>
      </c>
      <c r="I311" s="15" t="str">
        <f t="shared" si="7"/>
        <v>MCI-01451</v>
      </c>
      <c r="J311" s="14" t="s">
        <v>669</v>
      </c>
      <c r="K311" s="18">
        <v>1580</v>
      </c>
    </row>
    <row r="312" spans="1:11">
      <c r="A312" s="14" t="s">
        <v>458</v>
      </c>
      <c r="B312" s="15" t="s">
        <v>1782</v>
      </c>
      <c r="C312" s="15" t="s">
        <v>1783</v>
      </c>
      <c r="D312" s="15"/>
      <c r="E312" s="14" t="s">
        <v>1784</v>
      </c>
      <c r="F312" s="15" t="str">
        <f t="shared" si="4"/>
        <v>MCI-01452</v>
      </c>
      <c r="G312" s="14" t="str">
        <f t="shared" si="5"/>
        <v>MCI-01305Facility-based testing outside of key population (KP) and adolescent girls and young women (AGYW) programs</v>
      </c>
      <c r="H312" s="14" t="str">
        <f t="shared" si="6"/>
        <v>MCI-01305Facility-based testing outside of key population (KP) and adolescent girls and young women (AGYW) programs</v>
      </c>
      <c r="I312" s="15" t="str">
        <f t="shared" si="7"/>
        <v>MCI-01452</v>
      </c>
      <c r="J312" s="14" t="s">
        <v>669</v>
      </c>
      <c r="K312" s="18">
        <v>1590</v>
      </c>
    </row>
    <row r="313" spans="1:11">
      <c r="A313" s="14" t="s">
        <v>458</v>
      </c>
      <c r="B313" s="15" t="s">
        <v>1785</v>
      </c>
      <c r="C313" s="15" t="s">
        <v>1786</v>
      </c>
      <c r="D313" s="15"/>
      <c r="E313" s="14" t="s">
        <v>1787</v>
      </c>
      <c r="F313" s="15" t="str">
        <f t="shared" si="4"/>
        <v>MCI-01453</v>
      </c>
      <c r="G313" s="14" t="str">
        <f t="shared" si="5"/>
        <v>MCI-01305Community-based testing for KP programs</v>
      </c>
      <c r="H313" s="14" t="str">
        <f t="shared" si="6"/>
        <v>MCI-01305Community-based testing for KP programs</v>
      </c>
      <c r="I313" s="15" t="str">
        <f t="shared" si="7"/>
        <v>MCI-01453</v>
      </c>
      <c r="J313" s="14" t="s">
        <v>669</v>
      </c>
      <c r="K313" s="18">
        <v>1600</v>
      </c>
    </row>
    <row r="314" spans="1:11">
      <c r="A314" s="14" t="s">
        <v>458</v>
      </c>
      <c r="B314" s="15" t="s">
        <v>1788</v>
      </c>
      <c r="C314" s="15" t="s">
        <v>1789</v>
      </c>
      <c r="D314" s="15"/>
      <c r="E314" s="14" t="s">
        <v>1790</v>
      </c>
      <c r="F314" s="15" t="str">
        <f t="shared" si="4"/>
        <v>MCI-01454</v>
      </c>
      <c r="G314" s="14" t="str">
        <f t="shared" si="5"/>
        <v>MCI-01305Community-based testing for AGYW and their male sexual partners programs</v>
      </c>
      <c r="H314" s="14" t="str">
        <f t="shared" si="6"/>
        <v>MCI-01305Community-based testing for AGYW and their male sexual partners programs</v>
      </c>
      <c r="I314" s="15" t="str">
        <f t="shared" si="7"/>
        <v>MCI-01454</v>
      </c>
      <c r="J314" s="14" t="s">
        <v>669</v>
      </c>
      <c r="K314" s="18">
        <v>1610</v>
      </c>
    </row>
    <row r="315" spans="1:11">
      <c r="A315" s="14" t="s">
        <v>458</v>
      </c>
      <c r="B315" s="15" t="s">
        <v>1791</v>
      </c>
      <c r="C315" s="15" t="s">
        <v>1792</v>
      </c>
      <c r="D315" s="15"/>
      <c r="E315" s="14" t="s">
        <v>1793</v>
      </c>
      <c r="F315" s="15" t="str">
        <f t="shared" si="4"/>
        <v>MCI-01455</v>
      </c>
      <c r="G315" s="14" t="str">
        <f t="shared" si="5"/>
        <v>MCI-01305Community-based testing outside of KP and AGYW programs</v>
      </c>
      <c r="H315" s="14" t="str">
        <f t="shared" si="6"/>
        <v>MCI-01305Community-based testing outside of KP and AGYW programs</v>
      </c>
      <c r="I315" s="15" t="str">
        <f t="shared" si="7"/>
        <v>MCI-01455</v>
      </c>
      <c r="J315" s="14" t="s">
        <v>669</v>
      </c>
      <c r="K315" s="18">
        <v>1620</v>
      </c>
    </row>
    <row r="316" spans="1:11">
      <c r="A316" s="14" t="s">
        <v>458</v>
      </c>
      <c r="B316" s="15" t="s">
        <v>1794</v>
      </c>
      <c r="C316" s="15" t="s">
        <v>1795</v>
      </c>
      <c r="D316" s="15"/>
      <c r="E316" s="14" t="s">
        <v>1796</v>
      </c>
      <c r="F316" s="15" t="str">
        <f t="shared" si="4"/>
        <v>MCI-01456</v>
      </c>
      <c r="G316" s="14" t="str">
        <f t="shared" si="5"/>
        <v>MCI-01305Self-testing for KP programs</v>
      </c>
      <c r="H316" s="14" t="str">
        <f t="shared" si="6"/>
        <v>MCI-01305Self-testing for KP programs</v>
      </c>
      <c r="I316" s="15" t="str">
        <f t="shared" si="7"/>
        <v>MCI-01456</v>
      </c>
      <c r="J316" s="14" t="s">
        <v>669</v>
      </c>
      <c r="K316" s="18">
        <v>1630</v>
      </c>
    </row>
    <row r="317" spans="1:11">
      <c r="A317" s="14" t="s">
        <v>458</v>
      </c>
      <c r="B317" s="15" t="s">
        <v>1797</v>
      </c>
      <c r="C317" s="15" t="s">
        <v>1798</v>
      </c>
      <c r="D317" s="15"/>
      <c r="E317" s="14" t="s">
        <v>1799</v>
      </c>
      <c r="F317" s="15" t="str">
        <f t="shared" si="4"/>
        <v>MCI-01457</v>
      </c>
      <c r="G317" s="14" t="str">
        <f t="shared" si="5"/>
        <v>MCI-01305Self-testing for AGYW and their male sexual partners programs</v>
      </c>
      <c r="H317" s="14" t="str">
        <f t="shared" si="6"/>
        <v>MCI-01305Self-testing for AGYW and their male sexual partners programs</v>
      </c>
      <c r="I317" s="15" t="str">
        <f t="shared" si="7"/>
        <v>MCI-01457</v>
      </c>
      <c r="J317" s="14" t="s">
        <v>669</v>
      </c>
      <c r="K317" s="18">
        <v>1640</v>
      </c>
    </row>
    <row r="318" spans="1:11">
      <c r="A318" s="14" t="s">
        <v>458</v>
      </c>
      <c r="B318" s="15" t="s">
        <v>1800</v>
      </c>
      <c r="C318" s="15" t="s">
        <v>1801</v>
      </c>
      <c r="D318" s="15"/>
      <c r="E318" s="14" t="s">
        <v>1802</v>
      </c>
      <c r="F318" s="15" t="str">
        <f t="shared" ref="F318:F381" si="8">B318</f>
        <v>MCI-01458</v>
      </c>
      <c r="G318" s="14" t="str">
        <f t="shared" ref="G318:G381" si="9">A318&amp;C318</f>
        <v>MCI-01305Self-testing outside of KP and AGYW programs</v>
      </c>
      <c r="H318" s="14" t="str">
        <f t="shared" ref="H318:H381" si="10">A318&amp;C318</f>
        <v>MCI-01305Self-testing outside of KP and AGYW programs</v>
      </c>
      <c r="I318" s="15" t="str">
        <f t="shared" ref="I318:I381" si="11">F318</f>
        <v>MCI-01458</v>
      </c>
      <c r="J318" s="14" t="s">
        <v>669</v>
      </c>
      <c r="K318" s="18">
        <v>1650</v>
      </c>
    </row>
    <row r="319" spans="1:11">
      <c r="A319" s="14" t="s">
        <v>461</v>
      </c>
      <c r="B319" s="15" t="s">
        <v>1803</v>
      </c>
      <c r="C319" s="15" t="s">
        <v>1804</v>
      </c>
      <c r="D319" s="15"/>
      <c r="E319" s="14" t="s">
        <v>1805</v>
      </c>
      <c r="F319" s="15" t="str">
        <f t="shared" si="8"/>
        <v>MCI-01354</v>
      </c>
      <c r="G319" s="14" t="str">
        <f t="shared" si="9"/>
        <v>MCI-01306HIV treatment and differentiated service delivery - adults (15 and above)</v>
      </c>
      <c r="H319" s="14" t="str">
        <f t="shared" si="10"/>
        <v>MCI-01306HIV treatment and differentiated service delivery - adults (15 and above)</v>
      </c>
      <c r="I319" s="15" t="str">
        <f t="shared" si="11"/>
        <v>MCI-01354</v>
      </c>
      <c r="J319" s="14" t="s">
        <v>669</v>
      </c>
      <c r="K319" s="18">
        <v>1660</v>
      </c>
    </row>
    <row r="320" spans="1:11">
      <c r="A320" s="14" t="s">
        <v>461</v>
      </c>
      <c r="B320" s="15" t="s">
        <v>1806</v>
      </c>
      <c r="C320" s="15" t="s">
        <v>1807</v>
      </c>
      <c r="D320" s="15"/>
      <c r="E320" s="14" t="s">
        <v>1808</v>
      </c>
      <c r="F320" s="15" t="str">
        <f t="shared" si="8"/>
        <v>MCI-01355</v>
      </c>
      <c r="G320" s="14" t="str">
        <f t="shared" si="9"/>
        <v>MCI-01306HIV treatment and differentiated service delivery - children (under 15)</v>
      </c>
      <c r="H320" s="14" t="str">
        <f t="shared" si="10"/>
        <v>MCI-01306HIV treatment and differentiated service delivery - children (under 15)</v>
      </c>
      <c r="I320" s="15" t="str">
        <f t="shared" si="11"/>
        <v>MCI-01355</v>
      </c>
      <c r="J320" s="14" t="s">
        <v>669</v>
      </c>
      <c r="K320" s="18">
        <v>1670</v>
      </c>
    </row>
    <row r="321" spans="1:11">
      <c r="A321" s="14" t="s">
        <v>461</v>
      </c>
      <c r="B321" s="15" t="s">
        <v>1809</v>
      </c>
      <c r="C321" s="15" t="s">
        <v>1810</v>
      </c>
      <c r="D321" s="15"/>
      <c r="E321" s="14" t="s">
        <v>1811</v>
      </c>
      <c r="F321" s="15" t="str">
        <f t="shared" si="8"/>
        <v>MCI-01356</v>
      </c>
      <c r="G321" s="14" t="str">
        <f t="shared" si="9"/>
        <v>MCI-01306Treatment monitoring - Drug resistance</v>
      </c>
      <c r="H321" s="14" t="str">
        <f t="shared" si="10"/>
        <v>MCI-01306Treatment monitoring - Drug resistance</v>
      </c>
      <c r="I321" s="15" t="str">
        <f t="shared" si="11"/>
        <v>MCI-01356</v>
      </c>
      <c r="J321" s="14" t="s">
        <v>669</v>
      </c>
      <c r="K321" s="18">
        <v>1680</v>
      </c>
    </row>
    <row r="322" spans="1:11">
      <c r="A322" s="14" t="s">
        <v>461</v>
      </c>
      <c r="B322" s="15" t="s">
        <v>1812</v>
      </c>
      <c r="C322" s="15" t="s">
        <v>1813</v>
      </c>
      <c r="D322" s="15"/>
      <c r="E322" s="14" t="s">
        <v>1814</v>
      </c>
      <c r="F322" s="15" t="str">
        <f t="shared" si="8"/>
        <v>MCI-01357</v>
      </c>
      <c r="G322" s="14" t="str">
        <f t="shared" si="9"/>
        <v>MCI-01306Treatment monitoring - Viral load and antiretroviral (ARV) toxicity</v>
      </c>
      <c r="H322" s="14" t="str">
        <f t="shared" si="10"/>
        <v>MCI-01306Treatment monitoring - Viral load and antiretroviral (ARV) toxicity</v>
      </c>
      <c r="I322" s="15" t="str">
        <f t="shared" si="11"/>
        <v>MCI-01357</v>
      </c>
      <c r="J322" s="14" t="s">
        <v>669</v>
      </c>
      <c r="K322" s="18">
        <v>1690</v>
      </c>
    </row>
    <row r="323" spans="1:11">
      <c r="A323" s="14" t="s">
        <v>461</v>
      </c>
      <c r="B323" s="15" t="s">
        <v>1815</v>
      </c>
      <c r="C323" s="15" t="s">
        <v>1816</v>
      </c>
      <c r="D323" s="15"/>
      <c r="E323" s="14" t="s">
        <v>1817</v>
      </c>
      <c r="F323" s="15" t="str">
        <f t="shared" si="8"/>
        <v>MCI-01358</v>
      </c>
      <c r="G323" s="14" t="str">
        <f t="shared" si="9"/>
        <v>MCI-01306Integrated management of common co-infections and co-morbidities (adults and children)</v>
      </c>
      <c r="H323" s="14" t="str">
        <f t="shared" si="10"/>
        <v>MCI-01306Integrated management of common co-infections and co-morbidities (adults and children)</v>
      </c>
      <c r="I323" s="15" t="str">
        <f t="shared" si="11"/>
        <v>MCI-01358</v>
      </c>
      <c r="J323" s="14" t="s">
        <v>669</v>
      </c>
      <c r="K323" s="18">
        <v>1700</v>
      </c>
    </row>
    <row r="324" spans="1:11">
      <c r="A324" s="14" t="s">
        <v>461</v>
      </c>
      <c r="B324" s="15" t="s">
        <v>1818</v>
      </c>
      <c r="C324" s="15" t="s">
        <v>1819</v>
      </c>
      <c r="D324" s="15"/>
      <c r="E324" s="14" t="s">
        <v>1820</v>
      </c>
      <c r="F324" s="15" t="str">
        <f t="shared" si="8"/>
        <v>MCI-01359</v>
      </c>
      <c r="G324" s="14" t="str">
        <f t="shared" si="9"/>
        <v>MCI-01306Diagnosis and management of advanced disease (adults and children)</v>
      </c>
      <c r="H324" s="14" t="str">
        <f t="shared" si="10"/>
        <v>MCI-01306Diagnosis and management of advanced disease (adults and children)</v>
      </c>
      <c r="I324" s="15" t="str">
        <f t="shared" si="11"/>
        <v>MCI-01359</v>
      </c>
      <c r="J324" s="14" t="s">
        <v>669</v>
      </c>
      <c r="K324" s="18">
        <v>1710</v>
      </c>
    </row>
    <row r="325" spans="1:11">
      <c r="A325" s="14" t="s">
        <v>1489</v>
      </c>
      <c r="B325" s="15" t="s">
        <v>1821</v>
      </c>
      <c r="C325" s="15" t="s">
        <v>1822</v>
      </c>
      <c r="D325" s="15"/>
      <c r="E325" s="14" t="s">
        <v>1823</v>
      </c>
      <c r="F325" s="15" t="str">
        <f t="shared" si="8"/>
        <v>MCI-01465</v>
      </c>
      <c r="G325" s="14" t="str">
        <f t="shared" si="9"/>
        <v>MCI-01307Eliminating stigma and discrimination in all settings</v>
      </c>
      <c r="H325" s="14" t="str">
        <f t="shared" si="10"/>
        <v>MCI-01307Eliminating stigma and discrimination in all settings</v>
      </c>
      <c r="I325" s="15" t="str">
        <f t="shared" si="11"/>
        <v>MCI-01465</v>
      </c>
      <c r="J325" s="14" t="s">
        <v>669</v>
      </c>
      <c r="K325" s="18">
        <v>1780</v>
      </c>
    </row>
    <row r="326" spans="1:11">
      <c r="A326" s="14" t="s">
        <v>1489</v>
      </c>
      <c r="B326" s="15" t="s">
        <v>1824</v>
      </c>
      <c r="C326" s="15" t="s">
        <v>1825</v>
      </c>
      <c r="D326" s="15"/>
      <c r="E326" s="14" t="s">
        <v>1826</v>
      </c>
      <c r="F326" s="15" t="str">
        <f t="shared" si="8"/>
        <v>MCI-01466</v>
      </c>
      <c r="G326" s="14" t="str">
        <f t="shared" si="9"/>
        <v>MCI-01307Legal literacy (“Know Your Rights”) (HIV/TB)</v>
      </c>
      <c r="H326" s="14" t="str">
        <f t="shared" si="10"/>
        <v>MCI-01307Legal literacy (“Know Your Rights”) (HIV/TB)</v>
      </c>
      <c r="I326" s="15" t="str">
        <f t="shared" si="11"/>
        <v>MCI-01466</v>
      </c>
      <c r="J326" s="14" t="s">
        <v>669</v>
      </c>
      <c r="K326" s="18">
        <v>1790</v>
      </c>
    </row>
    <row r="327" spans="1:11">
      <c r="A327" s="14" t="s">
        <v>1489</v>
      </c>
      <c r="B327" s="15" t="s">
        <v>1827</v>
      </c>
      <c r="C327" s="15" t="s">
        <v>1828</v>
      </c>
      <c r="D327" s="15"/>
      <c r="E327" s="14" t="s">
        <v>1829</v>
      </c>
      <c r="F327" s="15" t="str">
        <f t="shared" si="8"/>
        <v>MCI-01467</v>
      </c>
      <c r="G327" s="14" t="str">
        <f t="shared" si="9"/>
        <v>MCI-01307Ensuring nondiscriminatory provision of health care</v>
      </c>
      <c r="H327" s="14" t="str">
        <f t="shared" si="10"/>
        <v>MCI-01307Ensuring nondiscriminatory provision of health care</v>
      </c>
      <c r="I327" s="15" t="str">
        <f t="shared" si="11"/>
        <v>MCI-01467</v>
      </c>
      <c r="J327" s="14" t="s">
        <v>669</v>
      </c>
      <c r="K327" s="18">
        <v>1800</v>
      </c>
    </row>
    <row r="328" spans="1:11">
      <c r="A328" s="14" t="s">
        <v>1489</v>
      </c>
      <c r="B328" s="15" t="s">
        <v>1830</v>
      </c>
      <c r="C328" s="15" t="s">
        <v>1831</v>
      </c>
      <c r="D328" s="15"/>
      <c r="E328" s="14" t="s">
        <v>1832</v>
      </c>
      <c r="F328" s="15" t="str">
        <f t="shared" si="8"/>
        <v>MCI-01468</v>
      </c>
      <c r="G328" s="14" t="str">
        <f t="shared" si="9"/>
        <v>MCI-01307Increasing access to justice (HIV/TB)</v>
      </c>
      <c r="H328" s="14" t="str">
        <f t="shared" si="10"/>
        <v>MCI-01307Increasing access to justice (HIV/TB)</v>
      </c>
      <c r="I328" s="15" t="str">
        <f t="shared" si="11"/>
        <v>MCI-01468</v>
      </c>
      <c r="J328" s="14" t="s">
        <v>669</v>
      </c>
      <c r="K328" s="18">
        <v>1810</v>
      </c>
    </row>
    <row r="329" spans="1:11">
      <c r="A329" s="14" t="s">
        <v>1489</v>
      </c>
      <c r="B329" s="15" t="s">
        <v>1833</v>
      </c>
      <c r="C329" s="15" t="s">
        <v>1834</v>
      </c>
      <c r="D329" s="15"/>
      <c r="E329" s="14" t="s">
        <v>1835</v>
      </c>
      <c r="F329" s="15" t="str">
        <f t="shared" si="8"/>
        <v>MCI-01469</v>
      </c>
      <c r="G329" s="14" t="str">
        <f t="shared" si="9"/>
        <v>MCI-01307Ensuring rights-based law enforcement practices</v>
      </c>
      <c r="H329" s="14" t="str">
        <f t="shared" si="10"/>
        <v>MCI-01307Ensuring rights-based law enforcement practices</v>
      </c>
      <c r="I329" s="15" t="str">
        <f t="shared" si="11"/>
        <v>MCI-01469</v>
      </c>
      <c r="J329" s="14" t="s">
        <v>669</v>
      </c>
      <c r="K329" s="18">
        <v>1820</v>
      </c>
    </row>
    <row r="330" spans="1:11">
      <c r="A330" s="14" t="s">
        <v>1489</v>
      </c>
      <c r="B330" s="15" t="s">
        <v>1836</v>
      </c>
      <c r="C330" s="15" t="s">
        <v>1837</v>
      </c>
      <c r="D330" s="15"/>
      <c r="E330" s="14" t="s">
        <v>1838</v>
      </c>
      <c r="F330" s="15" t="str">
        <f t="shared" si="8"/>
        <v>MCI-01470</v>
      </c>
      <c r="G330" s="14" t="str">
        <f t="shared" si="9"/>
        <v>MCI-01307Improving laws, regulations and polices relating to HIV and HIV/TB</v>
      </c>
      <c r="H330" s="14" t="str">
        <f t="shared" si="10"/>
        <v>MCI-01307Improving laws, regulations and polices relating to HIV and HIV/TB</v>
      </c>
      <c r="I330" s="15" t="str">
        <f t="shared" si="11"/>
        <v>MCI-01470</v>
      </c>
      <c r="J330" s="14" t="s">
        <v>669</v>
      </c>
      <c r="K330" s="18">
        <v>1830</v>
      </c>
    </row>
    <row r="331" spans="1:11">
      <c r="A331" s="14" t="s">
        <v>1489</v>
      </c>
      <c r="B331" s="15" t="s">
        <v>1839</v>
      </c>
      <c r="C331" s="15" t="s">
        <v>1840</v>
      </c>
      <c r="D331" s="15"/>
      <c r="E331" s="14" t="s">
        <v>1841</v>
      </c>
      <c r="F331" s="15" t="str">
        <f t="shared" si="8"/>
        <v>MCI-01471</v>
      </c>
      <c r="G331" s="14" t="str">
        <f t="shared" si="9"/>
        <v>MCI-01307Reducing HIV-related gender discrimination, harmful gender norms and violence against women and girls in all their diversity</v>
      </c>
      <c r="H331" s="14" t="str">
        <f t="shared" si="10"/>
        <v>MCI-01307Reducing HIV-related gender discrimination, harmful gender norms and violence against women and girls in all their diversity</v>
      </c>
      <c r="I331" s="15" t="str">
        <f t="shared" si="11"/>
        <v>MCI-01471</v>
      </c>
      <c r="J331" s="14" t="s">
        <v>669</v>
      </c>
      <c r="K331" s="18">
        <v>1840</v>
      </c>
    </row>
    <row r="332" spans="1:11">
      <c r="A332" s="14" t="s">
        <v>1489</v>
      </c>
      <c r="B332" s="15" t="s">
        <v>1842</v>
      </c>
      <c r="C332" s="15" t="s">
        <v>1843</v>
      </c>
      <c r="D332" s="15"/>
      <c r="E332" s="14" t="s">
        <v>1844</v>
      </c>
      <c r="F332" s="15" t="str">
        <f t="shared" si="8"/>
        <v>MCI-01472</v>
      </c>
      <c r="G332" s="14" t="str">
        <f t="shared" si="9"/>
        <v>MCI-01307Community mobilization and advocacy for human rights</v>
      </c>
      <c r="H332" s="14" t="str">
        <f t="shared" si="10"/>
        <v>MCI-01307Community mobilization and advocacy for human rights</v>
      </c>
      <c r="I332" s="15" t="str">
        <f t="shared" si="11"/>
        <v>MCI-01472</v>
      </c>
      <c r="J332" s="14" t="s">
        <v>669</v>
      </c>
      <c r="K332" s="18">
        <v>1850</v>
      </c>
    </row>
    <row r="333" spans="1:11">
      <c r="A333" s="14" t="s">
        <v>425</v>
      </c>
      <c r="B333" s="15" t="s">
        <v>1845</v>
      </c>
      <c r="C333" s="15" t="s">
        <v>1846</v>
      </c>
      <c r="D333" s="15"/>
      <c r="E333" s="14" t="s">
        <v>1847</v>
      </c>
      <c r="F333" s="15" t="str">
        <f t="shared" si="8"/>
        <v>MCI-01360</v>
      </c>
      <c r="G333" s="14" t="str">
        <f t="shared" si="9"/>
        <v>MCI-01308TB screening and diagnosis</v>
      </c>
      <c r="H333" s="14" t="str">
        <f t="shared" si="10"/>
        <v>MCI-01308TB screening and diagnosis</v>
      </c>
      <c r="I333" s="15" t="str">
        <f t="shared" si="11"/>
        <v>MCI-01360</v>
      </c>
      <c r="J333" s="14" t="s">
        <v>669</v>
      </c>
      <c r="K333" s="18">
        <v>2010</v>
      </c>
    </row>
    <row r="334" spans="1:11">
      <c r="A334" s="14" t="s">
        <v>425</v>
      </c>
      <c r="B334" s="15" t="s">
        <v>1848</v>
      </c>
      <c r="C334" s="15" t="s">
        <v>1849</v>
      </c>
      <c r="D334" s="15"/>
      <c r="E334" s="14" t="s">
        <v>1850</v>
      </c>
      <c r="F334" s="15" t="str">
        <f t="shared" si="8"/>
        <v>MCI-01361</v>
      </c>
      <c r="G334" s="14" t="str">
        <f t="shared" si="9"/>
        <v>MCI-01308TB treatment, care and support</v>
      </c>
      <c r="H334" s="14" t="str">
        <f t="shared" si="10"/>
        <v>MCI-01308TB treatment, care and support</v>
      </c>
      <c r="I334" s="15" t="str">
        <f t="shared" si="11"/>
        <v>MCI-01361</v>
      </c>
      <c r="J334" s="14" t="s">
        <v>669</v>
      </c>
      <c r="K334" s="18">
        <v>2020</v>
      </c>
    </row>
    <row r="335" spans="1:11">
      <c r="A335" s="14" t="s">
        <v>428</v>
      </c>
      <c r="B335" s="15" t="s">
        <v>1851</v>
      </c>
      <c r="C335" s="15" t="s">
        <v>1852</v>
      </c>
      <c r="D335" s="15"/>
      <c r="E335" s="14" t="s">
        <v>1853</v>
      </c>
      <c r="F335" s="15" t="str">
        <f t="shared" si="8"/>
        <v>MCI-01368</v>
      </c>
      <c r="G335" s="14" t="str">
        <f t="shared" si="9"/>
        <v>MCI-01309DR-TB diagnosis/drug susceptibility testing (DST)</v>
      </c>
      <c r="H335" s="14" t="str">
        <f t="shared" si="10"/>
        <v>MCI-01309DR-TB diagnosis/drug susceptibility testing (DST)</v>
      </c>
      <c r="I335" s="15" t="str">
        <f t="shared" si="11"/>
        <v>MCI-01368</v>
      </c>
      <c r="J335" s="14" t="s">
        <v>669</v>
      </c>
      <c r="K335" s="18">
        <v>2030</v>
      </c>
    </row>
    <row r="336" spans="1:11">
      <c r="A336" s="14" t="s">
        <v>428</v>
      </c>
      <c r="B336" s="15" t="s">
        <v>1854</v>
      </c>
      <c r="C336" s="15" t="s">
        <v>1855</v>
      </c>
      <c r="D336" s="15"/>
      <c r="E336" s="14" t="s">
        <v>1856</v>
      </c>
      <c r="F336" s="15" t="str">
        <f t="shared" si="8"/>
        <v>MCI-01369</v>
      </c>
      <c r="G336" s="14" t="str">
        <f t="shared" si="9"/>
        <v>MCI-01309DR-TB treatment, care and support</v>
      </c>
      <c r="H336" s="14" t="str">
        <f t="shared" si="10"/>
        <v>MCI-01309DR-TB treatment, care and support</v>
      </c>
      <c r="I336" s="15" t="str">
        <f t="shared" si="11"/>
        <v>MCI-01369</v>
      </c>
      <c r="J336" s="14" t="s">
        <v>669</v>
      </c>
      <c r="K336" s="18">
        <v>2040</v>
      </c>
    </row>
    <row r="337" spans="1:11">
      <c r="A337" s="14" t="s">
        <v>431</v>
      </c>
      <c r="B337" s="15" t="s">
        <v>1857</v>
      </c>
      <c r="C337" s="15" t="s">
        <v>1858</v>
      </c>
      <c r="D337" s="15"/>
      <c r="E337" s="14" t="s">
        <v>1859</v>
      </c>
      <c r="F337" s="15" t="str">
        <f t="shared" si="8"/>
        <v>MCI-01507</v>
      </c>
      <c r="G337" s="14" t="str">
        <f t="shared" si="9"/>
        <v>MCI-01310Screening/testing for TB infection</v>
      </c>
      <c r="H337" s="14" t="str">
        <f t="shared" si="10"/>
        <v>MCI-01310Screening/testing for TB infection</v>
      </c>
      <c r="I337" s="15" t="str">
        <f t="shared" si="11"/>
        <v>MCI-01507</v>
      </c>
      <c r="J337" s="14" t="s">
        <v>669</v>
      </c>
      <c r="K337" s="18">
        <v>2050</v>
      </c>
    </row>
    <row r="338" spans="1:11">
      <c r="A338" s="14" t="s">
        <v>431</v>
      </c>
      <c r="B338" s="15" t="s">
        <v>1860</v>
      </c>
      <c r="C338" s="15" t="s">
        <v>1861</v>
      </c>
      <c r="D338" s="15"/>
      <c r="E338" s="14" t="s">
        <v>1862</v>
      </c>
      <c r="F338" s="15" t="str">
        <f t="shared" si="8"/>
        <v>MCI-01508</v>
      </c>
      <c r="G338" s="14" t="str">
        <f t="shared" si="9"/>
        <v>MCI-01310Preventive treatment</v>
      </c>
      <c r="H338" s="14" t="str">
        <f t="shared" si="10"/>
        <v>MCI-01310Preventive treatment</v>
      </c>
      <c r="I338" s="15" t="str">
        <f t="shared" si="11"/>
        <v>MCI-01508</v>
      </c>
      <c r="J338" s="14" t="s">
        <v>669</v>
      </c>
      <c r="K338" s="18">
        <v>2060</v>
      </c>
    </row>
    <row r="339" spans="1:11">
      <c r="A339" s="14" t="s">
        <v>431</v>
      </c>
      <c r="B339" s="15" t="s">
        <v>1863</v>
      </c>
      <c r="C339" s="15" t="s">
        <v>1864</v>
      </c>
      <c r="D339" s="15"/>
      <c r="E339" s="14" t="s">
        <v>1865</v>
      </c>
      <c r="F339" s="15" t="str">
        <f t="shared" si="8"/>
        <v>MCI-01509</v>
      </c>
      <c r="G339" s="14" t="str">
        <f t="shared" si="9"/>
        <v>MCI-01310Infection prevention and control (IPC)</v>
      </c>
      <c r="H339" s="14" t="str">
        <f t="shared" si="10"/>
        <v>MCI-01310Infection prevention and control (IPC)</v>
      </c>
      <c r="I339" s="15" t="str">
        <f t="shared" si="11"/>
        <v>MCI-01509</v>
      </c>
      <c r="J339" s="14" t="s">
        <v>669</v>
      </c>
      <c r="K339" s="18">
        <v>2070</v>
      </c>
    </row>
    <row r="340" spans="1:11">
      <c r="A340" s="14" t="s">
        <v>1285</v>
      </c>
      <c r="B340" s="15" t="s">
        <v>1866</v>
      </c>
      <c r="C340" s="15" t="s">
        <v>1867</v>
      </c>
      <c r="D340" s="15"/>
      <c r="E340" s="14" t="s">
        <v>1868</v>
      </c>
      <c r="F340" s="15" t="str">
        <f t="shared" si="8"/>
        <v>MCI-01498</v>
      </c>
      <c r="G340" s="14" t="str">
        <f t="shared" si="9"/>
        <v>MCI-01311Private provider engagement in TB/DR-TB care</v>
      </c>
      <c r="H340" s="14" t="str">
        <f t="shared" si="10"/>
        <v>MCI-01311Private provider engagement in TB/DR-TB care</v>
      </c>
      <c r="I340" s="15" t="str">
        <f t="shared" si="11"/>
        <v>MCI-01498</v>
      </c>
      <c r="J340" s="14" t="s">
        <v>669</v>
      </c>
      <c r="K340" s="18">
        <v>2080</v>
      </c>
    </row>
    <row r="341" spans="1:11">
      <c r="A341" s="14" t="s">
        <v>1285</v>
      </c>
      <c r="B341" s="15" t="s">
        <v>1869</v>
      </c>
      <c r="C341" s="15" t="s">
        <v>1870</v>
      </c>
      <c r="D341" s="15"/>
      <c r="E341" s="14" t="s">
        <v>1871</v>
      </c>
      <c r="F341" s="15" t="str">
        <f t="shared" si="8"/>
        <v>MCI-01499</v>
      </c>
      <c r="G341" s="14" t="str">
        <f t="shared" si="9"/>
        <v>MCI-01311Community-based TB/DR-TB care</v>
      </c>
      <c r="H341" s="14" t="str">
        <f t="shared" si="10"/>
        <v>MCI-01311Community-based TB/DR-TB care</v>
      </c>
      <c r="I341" s="15" t="str">
        <f t="shared" si="11"/>
        <v>MCI-01499</v>
      </c>
      <c r="J341" s="14" t="s">
        <v>669</v>
      </c>
      <c r="K341" s="18">
        <v>2090</v>
      </c>
    </row>
    <row r="342" spans="1:11">
      <c r="A342" s="14" t="s">
        <v>1285</v>
      </c>
      <c r="B342" s="15" t="s">
        <v>1872</v>
      </c>
      <c r="C342" s="15" t="s">
        <v>1873</v>
      </c>
      <c r="D342" s="15"/>
      <c r="E342" s="14" t="s">
        <v>1874</v>
      </c>
      <c r="F342" s="15" t="str">
        <f t="shared" si="8"/>
        <v>MCI-01500</v>
      </c>
      <c r="G342" s="14" t="str">
        <f t="shared" si="9"/>
        <v>MCI-01311Collaboration with other programs/sectors</v>
      </c>
      <c r="H342" s="14" t="str">
        <f t="shared" si="10"/>
        <v>MCI-01311Collaboration with other programs/sectors</v>
      </c>
      <c r="I342" s="15" t="str">
        <f t="shared" si="11"/>
        <v>MCI-01500</v>
      </c>
      <c r="J342" s="14" t="s">
        <v>669</v>
      </c>
      <c r="K342" s="18">
        <v>2100</v>
      </c>
    </row>
    <row r="343" spans="1:11">
      <c r="A343" s="14" t="s">
        <v>434</v>
      </c>
      <c r="B343" s="15" t="s">
        <v>1875</v>
      </c>
      <c r="C343" s="15" t="s">
        <v>1876</v>
      </c>
      <c r="D343" s="15"/>
      <c r="E343" s="14" t="s">
        <v>1877</v>
      </c>
      <c r="F343" s="15" t="str">
        <f t="shared" si="8"/>
        <v>MCI-01501</v>
      </c>
      <c r="G343" s="14" t="str">
        <f t="shared" si="9"/>
        <v>MCI-01312KVP - Children and adolescents</v>
      </c>
      <c r="H343" s="14" t="str">
        <f t="shared" si="10"/>
        <v>MCI-01312KVP - Children and adolescents</v>
      </c>
      <c r="I343" s="15" t="str">
        <f t="shared" si="11"/>
        <v>MCI-01501</v>
      </c>
      <c r="J343" s="14" t="s">
        <v>669</v>
      </c>
      <c r="K343" s="18">
        <v>2110</v>
      </c>
    </row>
    <row r="344" spans="1:11">
      <c r="A344" s="14" t="s">
        <v>434</v>
      </c>
      <c r="B344" s="15" t="s">
        <v>1878</v>
      </c>
      <c r="C344" s="15" t="s">
        <v>1879</v>
      </c>
      <c r="D344" s="15"/>
      <c r="E344" s="14" t="s">
        <v>1880</v>
      </c>
      <c r="F344" s="15" t="str">
        <f t="shared" si="8"/>
        <v>MCI-01502</v>
      </c>
      <c r="G344" s="14" t="str">
        <f t="shared" si="9"/>
        <v>MCI-01312KVP - People in prisons/jails/detention centers</v>
      </c>
      <c r="H344" s="14" t="str">
        <f t="shared" si="10"/>
        <v>MCI-01312KVP - People in prisons/jails/detention centers</v>
      </c>
      <c r="I344" s="15" t="str">
        <f t="shared" si="11"/>
        <v>MCI-01502</v>
      </c>
      <c r="J344" s="14" t="s">
        <v>669</v>
      </c>
      <c r="K344" s="18">
        <v>2120</v>
      </c>
    </row>
    <row r="345" spans="1:11">
      <c r="A345" s="14" t="s">
        <v>434</v>
      </c>
      <c r="B345" s="15" t="s">
        <v>1881</v>
      </c>
      <c r="C345" s="15" t="s">
        <v>1882</v>
      </c>
      <c r="D345" s="15"/>
      <c r="E345" s="14" t="s">
        <v>1883</v>
      </c>
      <c r="F345" s="15" t="str">
        <f t="shared" si="8"/>
        <v>MCI-01503</v>
      </c>
      <c r="G345" s="14" t="str">
        <f t="shared" si="9"/>
        <v>MCI-01312KVP - Mobile population (migrants/refugees/IDPs)</v>
      </c>
      <c r="H345" s="14" t="str">
        <f t="shared" si="10"/>
        <v>MCI-01312KVP - Mobile population (migrants/refugees/IDPs)</v>
      </c>
      <c r="I345" s="15" t="str">
        <f t="shared" si="11"/>
        <v>MCI-01503</v>
      </c>
      <c r="J345" s="14" t="s">
        <v>669</v>
      </c>
      <c r="K345" s="18">
        <v>2130</v>
      </c>
    </row>
    <row r="346" spans="1:11">
      <c r="A346" s="14" t="s">
        <v>434</v>
      </c>
      <c r="B346" s="15" t="s">
        <v>1884</v>
      </c>
      <c r="C346" s="15" t="s">
        <v>1885</v>
      </c>
      <c r="D346" s="15"/>
      <c r="E346" s="14" t="s">
        <v>1886</v>
      </c>
      <c r="F346" s="15" t="str">
        <f t="shared" si="8"/>
        <v>MCI-01504</v>
      </c>
      <c r="G346" s="14" t="str">
        <f t="shared" si="9"/>
        <v>MCI-01312KVP - Miners and mining communities</v>
      </c>
      <c r="H346" s="14" t="str">
        <f t="shared" si="10"/>
        <v>MCI-01312KVP - Miners and mining communities</v>
      </c>
      <c r="I346" s="15" t="str">
        <f t="shared" si="11"/>
        <v>MCI-01504</v>
      </c>
      <c r="J346" s="14" t="s">
        <v>669</v>
      </c>
      <c r="K346" s="18">
        <v>2140</v>
      </c>
    </row>
    <row r="347" spans="1:11">
      <c r="A347" s="14" t="s">
        <v>434</v>
      </c>
      <c r="B347" s="15" t="s">
        <v>1887</v>
      </c>
      <c r="C347" s="15" t="s">
        <v>1888</v>
      </c>
      <c r="D347" s="15"/>
      <c r="E347" s="14" t="s">
        <v>1889</v>
      </c>
      <c r="F347" s="15" t="str">
        <f t="shared" si="8"/>
        <v>MCI-01505</v>
      </c>
      <c r="G347" s="14" t="str">
        <f t="shared" si="9"/>
        <v>MCI-01312KVP - Urban poor/slum dwellers</v>
      </c>
      <c r="H347" s="14" t="str">
        <f t="shared" si="10"/>
        <v>MCI-01312KVP - Urban poor/slum dwellers</v>
      </c>
      <c r="I347" s="15" t="str">
        <f t="shared" si="11"/>
        <v>MCI-01505</v>
      </c>
      <c r="J347" s="14" t="s">
        <v>669</v>
      </c>
      <c r="K347" s="18">
        <v>2150</v>
      </c>
    </row>
    <row r="348" spans="1:11">
      <c r="A348" s="14" t="s">
        <v>434</v>
      </c>
      <c r="B348" s="15" t="s">
        <v>1890</v>
      </c>
      <c r="C348" s="15" t="s">
        <v>1891</v>
      </c>
      <c r="D348" s="15"/>
      <c r="E348" s="14" t="s">
        <v>1892</v>
      </c>
      <c r="F348" s="15" t="str">
        <f t="shared" si="8"/>
        <v>MCI-01506</v>
      </c>
      <c r="G348" s="14" t="str">
        <f t="shared" si="9"/>
        <v>MCI-01312KVP - Others</v>
      </c>
      <c r="H348" s="14" t="str">
        <f t="shared" si="10"/>
        <v>MCI-01312KVP - Others</v>
      </c>
      <c r="I348" s="15" t="str">
        <f t="shared" si="11"/>
        <v>MCI-01506</v>
      </c>
      <c r="J348" s="14" t="s">
        <v>669</v>
      </c>
      <c r="K348" s="18">
        <v>2160</v>
      </c>
    </row>
    <row r="349" spans="1:11">
      <c r="A349" s="14" t="s">
        <v>437</v>
      </c>
      <c r="B349" s="15" t="s">
        <v>1893</v>
      </c>
      <c r="C349" s="15" t="s">
        <v>1894</v>
      </c>
      <c r="D349" s="15"/>
      <c r="E349" s="14" t="s">
        <v>1895</v>
      </c>
      <c r="F349" s="15" t="str">
        <f t="shared" si="8"/>
        <v>MCI-01362</v>
      </c>
      <c r="G349" s="14" t="str">
        <f t="shared" si="9"/>
        <v>MCI-01313TB/HIV - Collaborative interventions</v>
      </c>
      <c r="H349" s="14" t="str">
        <f t="shared" si="10"/>
        <v>MCI-01313TB/HIV - Collaborative interventions</v>
      </c>
      <c r="I349" s="15" t="str">
        <f t="shared" si="11"/>
        <v>MCI-01362</v>
      </c>
      <c r="J349" s="14" t="s">
        <v>669</v>
      </c>
      <c r="K349" s="18">
        <v>1720</v>
      </c>
    </row>
    <row r="350" spans="1:11">
      <c r="A350" s="14" t="s">
        <v>437</v>
      </c>
      <c r="B350" s="15" t="s">
        <v>1896</v>
      </c>
      <c r="C350" s="15" t="s">
        <v>1897</v>
      </c>
      <c r="D350" s="15"/>
      <c r="E350" s="14" t="s">
        <v>1898</v>
      </c>
      <c r="F350" s="15" t="str">
        <f t="shared" si="8"/>
        <v>MCI-01363</v>
      </c>
      <c r="G350" s="14" t="str">
        <f t="shared" si="9"/>
        <v>MCI-01313TB/HIV - Screening, testing and diagnosis</v>
      </c>
      <c r="H350" s="14" t="str">
        <f t="shared" si="10"/>
        <v>MCI-01313TB/HIV - Screening, testing and diagnosis</v>
      </c>
      <c r="I350" s="15" t="str">
        <f t="shared" si="11"/>
        <v>MCI-01363</v>
      </c>
      <c r="J350" s="14" t="s">
        <v>669</v>
      </c>
      <c r="K350" s="18">
        <v>1730</v>
      </c>
    </row>
    <row r="351" spans="1:11">
      <c r="A351" s="14" t="s">
        <v>437</v>
      </c>
      <c r="B351" s="15" t="s">
        <v>1899</v>
      </c>
      <c r="C351" s="15" t="s">
        <v>1900</v>
      </c>
      <c r="D351" s="15"/>
      <c r="E351" s="14" t="s">
        <v>1901</v>
      </c>
      <c r="F351" s="15" t="str">
        <f t="shared" si="8"/>
        <v>MCI-01364</v>
      </c>
      <c r="G351" s="14" t="str">
        <f t="shared" si="9"/>
        <v>MCI-01313TB/HIV - Treatment and care</v>
      </c>
      <c r="H351" s="14" t="str">
        <f t="shared" si="10"/>
        <v>MCI-01313TB/HIV - Treatment and care</v>
      </c>
      <c r="I351" s="15" t="str">
        <f t="shared" si="11"/>
        <v>MCI-01364</v>
      </c>
      <c r="J351" s="14" t="s">
        <v>669</v>
      </c>
      <c r="K351" s="18">
        <v>1740</v>
      </c>
    </row>
    <row r="352" spans="1:11">
      <c r="A352" s="14" t="s">
        <v>437</v>
      </c>
      <c r="B352" s="15" t="s">
        <v>1902</v>
      </c>
      <c r="C352" s="15" t="s">
        <v>1903</v>
      </c>
      <c r="D352" s="15"/>
      <c r="E352" s="14" t="s">
        <v>1904</v>
      </c>
      <c r="F352" s="15" t="str">
        <f t="shared" si="8"/>
        <v>MCI-01365</v>
      </c>
      <c r="G352" s="14" t="str">
        <f t="shared" si="9"/>
        <v>MCI-01313TB/HIV - Prevention</v>
      </c>
      <c r="H352" s="14" t="str">
        <f t="shared" si="10"/>
        <v>MCI-01313TB/HIV - Prevention</v>
      </c>
      <c r="I352" s="15" t="str">
        <f t="shared" si="11"/>
        <v>MCI-01365</v>
      </c>
      <c r="J352" s="14" t="s">
        <v>669</v>
      </c>
      <c r="K352" s="18">
        <v>1750</v>
      </c>
    </row>
    <row r="353" spans="1:11">
      <c r="A353" s="14" t="s">
        <v>437</v>
      </c>
      <c r="B353" s="15" t="s">
        <v>1905</v>
      </c>
      <c r="C353" s="15" t="s">
        <v>1906</v>
      </c>
      <c r="D353" s="15"/>
      <c r="E353" s="14" t="s">
        <v>1907</v>
      </c>
      <c r="F353" s="15" t="str">
        <f t="shared" si="8"/>
        <v>MCI-01366</v>
      </c>
      <c r="G353" s="14" t="str">
        <f t="shared" si="9"/>
        <v>MCI-01313TB/HIV - Community care delivery</v>
      </c>
      <c r="H353" s="14" t="str">
        <f t="shared" si="10"/>
        <v>MCI-01313TB/HIV - Community care delivery</v>
      </c>
      <c r="I353" s="15" t="str">
        <f t="shared" si="11"/>
        <v>MCI-01366</v>
      </c>
      <c r="J353" s="14" t="s">
        <v>669</v>
      </c>
      <c r="K353" s="18">
        <v>1760</v>
      </c>
    </row>
    <row r="354" spans="1:11">
      <c r="A354" s="14" t="s">
        <v>437</v>
      </c>
      <c r="B354" s="15" t="s">
        <v>1908</v>
      </c>
      <c r="C354" s="15" t="s">
        <v>1909</v>
      </c>
      <c r="D354" s="15"/>
      <c r="E354" s="14" t="s">
        <v>1910</v>
      </c>
      <c r="F354" s="15" t="str">
        <f t="shared" si="8"/>
        <v>MCI-01367</v>
      </c>
      <c r="G354" s="14" t="str">
        <f t="shared" si="9"/>
        <v>MCI-01313TB/HIV - Key populations</v>
      </c>
      <c r="H354" s="14" t="str">
        <f t="shared" si="10"/>
        <v>MCI-01313TB/HIV - Key populations</v>
      </c>
      <c r="I354" s="15" t="str">
        <f t="shared" si="11"/>
        <v>MCI-01367</v>
      </c>
      <c r="J354" s="14" t="s">
        <v>669</v>
      </c>
      <c r="K354" s="18">
        <v>1770</v>
      </c>
    </row>
    <row r="355" spans="1:11">
      <c r="A355" s="14" t="s">
        <v>1582</v>
      </c>
      <c r="B355" s="15" t="s">
        <v>1911</v>
      </c>
      <c r="C355" s="15" t="s">
        <v>1912</v>
      </c>
      <c r="D355" s="15"/>
      <c r="E355" s="14" t="s">
        <v>1913</v>
      </c>
      <c r="F355" s="15" t="str">
        <f t="shared" si="8"/>
        <v>MCI-01476</v>
      </c>
      <c r="G355" s="14" t="str">
        <f t="shared" si="9"/>
        <v>MCI-01314Eliminating TB-related stigma and discrimination</v>
      </c>
      <c r="H355" s="14" t="str">
        <f t="shared" si="10"/>
        <v>MCI-01314Eliminating TB-related stigma and discrimination</v>
      </c>
      <c r="I355" s="15" t="str">
        <f t="shared" si="11"/>
        <v>MCI-01476</v>
      </c>
      <c r="J355" s="14" t="s">
        <v>669</v>
      </c>
      <c r="K355" s="18">
        <v>2230</v>
      </c>
    </row>
    <row r="356" spans="1:11">
      <c r="A356" s="14" t="s">
        <v>1582</v>
      </c>
      <c r="B356" s="15" t="s">
        <v>1914</v>
      </c>
      <c r="C356" s="15" t="s">
        <v>1915</v>
      </c>
      <c r="D356" s="15"/>
      <c r="E356" s="14" t="s">
        <v>1916</v>
      </c>
      <c r="F356" s="15" t="str">
        <f t="shared" si="8"/>
        <v>MCI-01477</v>
      </c>
      <c r="G356" s="14" t="str">
        <f t="shared" si="9"/>
        <v>MCI-01314Ensuring people-centered and rights-based TB services at health facilities</v>
      </c>
      <c r="H356" s="14" t="str">
        <f t="shared" si="10"/>
        <v>MCI-01314Ensuring people-centered and rights-based TB services at health facilities</v>
      </c>
      <c r="I356" s="15" t="str">
        <f t="shared" si="11"/>
        <v>MCI-01477</v>
      </c>
      <c r="J356" s="14" t="s">
        <v>669</v>
      </c>
      <c r="K356" s="18">
        <v>2240</v>
      </c>
    </row>
    <row r="357" spans="1:11">
      <c r="A357" s="14" t="s">
        <v>1582</v>
      </c>
      <c r="B357" s="15" t="s">
        <v>1917</v>
      </c>
      <c r="C357" s="15" t="s">
        <v>1918</v>
      </c>
      <c r="D357" s="15"/>
      <c r="E357" s="14" t="s">
        <v>1919</v>
      </c>
      <c r="F357" s="15" t="str">
        <f t="shared" si="8"/>
        <v>MCI-01478</v>
      </c>
      <c r="G357" s="14" t="str">
        <f t="shared" si="9"/>
        <v>MCI-01314Ensuring people-centered and rights-based law enforcement practices</v>
      </c>
      <c r="H357" s="14" t="str">
        <f t="shared" si="10"/>
        <v>MCI-01314Ensuring people-centered and rights-based law enforcement practices</v>
      </c>
      <c r="I357" s="15" t="str">
        <f t="shared" si="11"/>
        <v>MCI-01478</v>
      </c>
      <c r="J357" s="14" t="s">
        <v>669</v>
      </c>
      <c r="K357" s="18">
        <v>2250</v>
      </c>
    </row>
    <row r="358" spans="1:11">
      <c r="A358" s="14" t="s">
        <v>1582</v>
      </c>
      <c r="B358" s="15" t="s">
        <v>1920</v>
      </c>
      <c r="C358" s="15" t="s">
        <v>1921</v>
      </c>
      <c r="D358" s="15"/>
      <c r="E358" s="14" t="s">
        <v>1922</v>
      </c>
      <c r="F358" s="15" t="str">
        <f t="shared" si="8"/>
        <v>MCI-01479</v>
      </c>
      <c r="G358" s="14" t="str">
        <f t="shared" si="9"/>
        <v>MCI-01314Legal literacy (“Know Your Rights”) (TB)</v>
      </c>
      <c r="H358" s="14" t="str">
        <f t="shared" si="10"/>
        <v>MCI-01314Legal literacy (“Know Your Rights”) (TB)</v>
      </c>
      <c r="I358" s="15" t="str">
        <f t="shared" si="11"/>
        <v>MCI-01479</v>
      </c>
      <c r="J358" s="14" t="s">
        <v>669</v>
      </c>
      <c r="K358" s="18">
        <v>2260</v>
      </c>
    </row>
    <row r="359" spans="1:11">
      <c r="A359" s="14" t="s">
        <v>1582</v>
      </c>
      <c r="B359" s="15" t="s">
        <v>1923</v>
      </c>
      <c r="C359" s="15" t="s">
        <v>1924</v>
      </c>
      <c r="D359" s="15"/>
      <c r="E359" s="14" t="s">
        <v>1925</v>
      </c>
      <c r="F359" s="15" t="str">
        <f t="shared" si="8"/>
        <v>MCI-01480</v>
      </c>
      <c r="G359" s="14" t="str">
        <f t="shared" si="9"/>
        <v>MCI-01314Increasing access to justice (TB)</v>
      </c>
      <c r="H359" s="14" t="str">
        <f t="shared" si="10"/>
        <v>MCI-01314Increasing access to justice (TB)</v>
      </c>
      <c r="I359" s="15" t="str">
        <f t="shared" si="11"/>
        <v>MCI-01480</v>
      </c>
      <c r="J359" s="14" t="s">
        <v>669</v>
      </c>
      <c r="K359" s="18">
        <v>2270</v>
      </c>
    </row>
    <row r="360" spans="1:11">
      <c r="A360" s="14" t="s">
        <v>1582</v>
      </c>
      <c r="B360" s="15" t="s">
        <v>1926</v>
      </c>
      <c r="C360" s="15" t="s">
        <v>1927</v>
      </c>
      <c r="D360" s="15"/>
      <c r="E360" s="14" t="s">
        <v>1928</v>
      </c>
      <c r="F360" s="15" t="str">
        <f t="shared" si="8"/>
        <v>MCI-01481</v>
      </c>
      <c r="G360" s="14" t="str">
        <f t="shared" si="9"/>
        <v>MCI-01314Monitoring and reforming policies, regulations and laws</v>
      </c>
      <c r="H360" s="14" t="str">
        <f t="shared" si="10"/>
        <v>MCI-01314Monitoring and reforming policies, regulations and laws</v>
      </c>
      <c r="I360" s="15" t="str">
        <f t="shared" si="11"/>
        <v>MCI-01481</v>
      </c>
      <c r="J360" s="14" t="s">
        <v>669</v>
      </c>
      <c r="K360" s="18">
        <v>2280</v>
      </c>
    </row>
    <row r="361" spans="1:11">
      <c r="A361" s="14" t="s">
        <v>1582</v>
      </c>
      <c r="B361" s="15" t="s">
        <v>1929</v>
      </c>
      <c r="C361" s="15" t="s">
        <v>1930</v>
      </c>
      <c r="D361" s="15"/>
      <c r="E361" s="14" t="s">
        <v>1931</v>
      </c>
      <c r="F361" s="15" t="str">
        <f t="shared" si="8"/>
        <v>MCI-01482</v>
      </c>
      <c r="G361" s="14" t="str">
        <f t="shared" si="9"/>
        <v>MCI-01314Addressing needs of people in prisons and other closed settings</v>
      </c>
      <c r="H361" s="14" t="str">
        <f t="shared" si="10"/>
        <v>MCI-01314Addressing needs of people in prisons and other closed settings</v>
      </c>
      <c r="I361" s="15" t="str">
        <f t="shared" si="11"/>
        <v>MCI-01482</v>
      </c>
      <c r="J361" s="14" t="s">
        <v>669</v>
      </c>
      <c r="K361" s="18">
        <v>2290</v>
      </c>
    </row>
    <row r="362" spans="1:11">
      <c r="A362" s="14" t="s">
        <v>1582</v>
      </c>
      <c r="B362" s="15" t="s">
        <v>1932</v>
      </c>
      <c r="C362" s="15" t="s">
        <v>1933</v>
      </c>
      <c r="D362" s="15"/>
      <c r="E362" s="14" t="s">
        <v>1934</v>
      </c>
      <c r="F362" s="15" t="str">
        <f t="shared" si="8"/>
        <v>MCI-01483</v>
      </c>
      <c r="G362" s="14" t="str">
        <f t="shared" si="9"/>
        <v>MCI-01314Reducing TB-related gender discrimination, harmful gender norms and violence</v>
      </c>
      <c r="H362" s="14" t="str">
        <f t="shared" si="10"/>
        <v>MCI-01314Reducing TB-related gender discrimination, harmful gender norms and violence</v>
      </c>
      <c r="I362" s="15" t="str">
        <f t="shared" si="11"/>
        <v>MCI-01483</v>
      </c>
      <c r="J362" s="14" t="s">
        <v>669</v>
      </c>
      <c r="K362" s="18">
        <v>2300</v>
      </c>
    </row>
    <row r="363" spans="1:11">
      <c r="A363" s="14" t="s">
        <v>1582</v>
      </c>
      <c r="B363" s="15" t="s">
        <v>1935</v>
      </c>
      <c r="C363" s="15" t="s">
        <v>1936</v>
      </c>
      <c r="D363" s="15"/>
      <c r="E363" s="14" t="s">
        <v>1937</v>
      </c>
      <c r="F363" s="15" t="str">
        <f t="shared" si="8"/>
        <v>MCI-01484</v>
      </c>
      <c r="G363" s="14" t="str">
        <f t="shared" si="9"/>
        <v>MCI-01314Community mobilization and advocacy, including support to TB survivor-led groups</v>
      </c>
      <c r="H363" s="14" t="str">
        <f t="shared" si="10"/>
        <v>MCI-01314Community mobilization and advocacy, including support to TB survivor-led groups</v>
      </c>
      <c r="I363" s="15" t="str">
        <f t="shared" si="11"/>
        <v>MCI-01484</v>
      </c>
      <c r="J363" s="14" t="s">
        <v>669</v>
      </c>
      <c r="K363" s="18">
        <v>2310</v>
      </c>
    </row>
    <row r="364" spans="1:11">
      <c r="A364" s="14" t="s">
        <v>1530</v>
      </c>
      <c r="B364" s="15" t="s">
        <v>1938</v>
      </c>
      <c r="C364" s="15" t="s">
        <v>1939</v>
      </c>
      <c r="D364" s="15"/>
      <c r="E364" s="14" t="s">
        <v>1940</v>
      </c>
      <c r="F364" s="15" t="str">
        <f t="shared" si="8"/>
        <v>MCI-01435</v>
      </c>
      <c r="G364" s="14" t="str">
        <f t="shared" si="9"/>
        <v>MCI-01318Coordination and management of national disease control programs</v>
      </c>
      <c r="H364" s="14" t="str">
        <f t="shared" si="10"/>
        <v>MCI-01318Coordination and management of national disease control programs</v>
      </c>
      <c r="I364" s="15" t="str">
        <f t="shared" si="11"/>
        <v>MCI-01435</v>
      </c>
      <c r="J364" s="14" t="s">
        <v>669</v>
      </c>
      <c r="K364" s="18">
        <v>9010</v>
      </c>
    </row>
    <row r="365" spans="1:11">
      <c r="A365" s="14" t="s">
        <v>1530</v>
      </c>
      <c r="B365" s="15" t="s">
        <v>1941</v>
      </c>
      <c r="C365" s="15" t="s">
        <v>1942</v>
      </c>
      <c r="D365" s="15"/>
      <c r="E365" s="14" t="s">
        <v>1943</v>
      </c>
      <c r="F365" s="15" t="str">
        <f t="shared" si="8"/>
        <v>MCI-01436</v>
      </c>
      <c r="G365" s="14" t="str">
        <f t="shared" si="9"/>
        <v>MCI-01318Grant management</v>
      </c>
      <c r="H365" s="14" t="str">
        <f t="shared" si="10"/>
        <v>MCI-01318Grant management</v>
      </c>
      <c r="I365" s="15" t="str">
        <f t="shared" si="11"/>
        <v>MCI-01436</v>
      </c>
      <c r="J365" s="14" t="s">
        <v>669</v>
      </c>
      <c r="K365" s="18">
        <v>9020</v>
      </c>
    </row>
    <row r="366" spans="1:11">
      <c r="A366" s="14" t="s">
        <v>1535</v>
      </c>
      <c r="B366" s="15" t="s">
        <v>1944</v>
      </c>
      <c r="C366" s="15" t="s">
        <v>1534</v>
      </c>
      <c r="D366" s="15"/>
      <c r="E366" s="14" t="s">
        <v>1945</v>
      </c>
      <c r="F366" s="15" t="str">
        <f t="shared" si="8"/>
        <v>MCI-01437</v>
      </c>
      <c r="G366" s="14" t="str">
        <f t="shared" si="9"/>
        <v>MCI-01319Payment for results</v>
      </c>
      <c r="H366" s="14" t="str">
        <f t="shared" si="10"/>
        <v>MCI-01319Payment for results</v>
      </c>
      <c r="I366" s="15" t="str">
        <f t="shared" si="11"/>
        <v>MCI-01437</v>
      </c>
      <c r="J366" s="14" t="s">
        <v>669</v>
      </c>
      <c r="K366" s="18">
        <v>9500</v>
      </c>
    </row>
    <row r="367" spans="1:11">
      <c r="A367" s="14" t="s">
        <v>1312</v>
      </c>
      <c r="B367" s="15" t="s">
        <v>1946</v>
      </c>
      <c r="C367" s="15" t="s">
        <v>1947</v>
      </c>
      <c r="D367" s="15"/>
      <c r="E367" s="14" t="s">
        <v>1948</v>
      </c>
      <c r="F367" s="15" t="str">
        <f t="shared" si="8"/>
        <v>MCI-01473</v>
      </c>
      <c r="G367" s="14" t="str">
        <f t="shared" si="9"/>
        <v>MCI-01320National health sector strategy, policy &amp; regulations</v>
      </c>
      <c r="H367" s="14" t="str">
        <f t="shared" si="10"/>
        <v>MCI-01320National health sector strategy, policy &amp; regulations</v>
      </c>
      <c r="I367" s="15" t="str">
        <f t="shared" si="11"/>
        <v>MCI-01473</v>
      </c>
      <c r="J367" s="14" t="s">
        <v>669</v>
      </c>
      <c r="K367" s="18">
        <v>6010</v>
      </c>
    </row>
    <row r="368" spans="1:11">
      <c r="A368" s="14" t="s">
        <v>1312</v>
      </c>
      <c r="B368" s="15" t="s">
        <v>1949</v>
      </c>
      <c r="C368" s="15" t="s">
        <v>1950</v>
      </c>
      <c r="D368" s="15"/>
      <c r="E368" s="14" t="s">
        <v>1951</v>
      </c>
      <c r="F368" s="15" t="str">
        <f t="shared" si="8"/>
        <v>MCI-01474</v>
      </c>
      <c r="G368" s="14" t="str">
        <f t="shared" si="9"/>
        <v>MCI-01320Integration/coordination across disease programs and at the service delivery level</v>
      </c>
      <c r="H368" s="14" t="str">
        <f t="shared" si="10"/>
        <v>MCI-01320Integration/coordination across disease programs and at the service delivery level</v>
      </c>
      <c r="I368" s="15" t="str">
        <f t="shared" si="11"/>
        <v>MCI-01474</v>
      </c>
      <c r="J368" s="14" t="s">
        <v>669</v>
      </c>
      <c r="K368" s="18">
        <v>6020</v>
      </c>
    </row>
    <row r="369" spans="1:11">
      <c r="A369" s="14" t="s">
        <v>1312</v>
      </c>
      <c r="B369" s="15" t="s">
        <v>1952</v>
      </c>
      <c r="C369" s="15" t="s">
        <v>1953</v>
      </c>
      <c r="D369" s="15"/>
      <c r="E369" s="14" t="s">
        <v>1954</v>
      </c>
      <c r="F369" s="15" t="str">
        <f t="shared" si="8"/>
        <v>MCI-01475</v>
      </c>
      <c r="G369" s="14" t="str">
        <f t="shared" si="9"/>
        <v>MCI-01320Supporting private sector engagement</v>
      </c>
      <c r="H369" s="14" t="str">
        <f t="shared" si="10"/>
        <v>MCI-01320Supporting private sector engagement</v>
      </c>
      <c r="I369" s="15" t="str">
        <f t="shared" si="11"/>
        <v>MCI-01475</v>
      </c>
      <c r="J369" s="14" t="s">
        <v>669</v>
      </c>
      <c r="K369" s="18">
        <v>6030</v>
      </c>
    </row>
    <row r="370" spans="1:11">
      <c r="A370" s="14" t="s">
        <v>1316</v>
      </c>
      <c r="B370" s="15" t="s">
        <v>1955</v>
      </c>
      <c r="C370" s="15" t="s">
        <v>1956</v>
      </c>
      <c r="D370" s="15"/>
      <c r="E370" s="14" t="s">
        <v>1957</v>
      </c>
      <c r="F370" s="15" t="str">
        <f t="shared" si="8"/>
        <v>MCI-01422</v>
      </c>
      <c r="G370" s="14" t="str">
        <f t="shared" si="9"/>
        <v>MCI-01321Community-led monitoring</v>
      </c>
      <c r="H370" s="14" t="str">
        <f t="shared" si="10"/>
        <v>MCI-01321Community-led monitoring</v>
      </c>
      <c r="I370" s="15" t="str">
        <f t="shared" si="11"/>
        <v>MCI-01422</v>
      </c>
      <c r="J370" s="14" t="s">
        <v>669</v>
      </c>
      <c r="K370" s="18">
        <v>6040</v>
      </c>
    </row>
    <row r="371" spans="1:11">
      <c r="A371" s="14" t="s">
        <v>1316</v>
      </c>
      <c r="B371" s="15" t="s">
        <v>1958</v>
      </c>
      <c r="C371" s="15" t="s">
        <v>1959</v>
      </c>
      <c r="D371" s="15"/>
      <c r="E371" s="14" t="s">
        <v>1960</v>
      </c>
      <c r="F371" s="15" t="str">
        <f t="shared" si="8"/>
        <v>MCI-01423</v>
      </c>
      <c r="G371" s="14" t="str">
        <f t="shared" si="9"/>
        <v>MCI-01321Community-led research and advocacy</v>
      </c>
      <c r="H371" s="14" t="str">
        <f t="shared" si="10"/>
        <v>MCI-01321Community-led research and advocacy</v>
      </c>
      <c r="I371" s="15" t="str">
        <f t="shared" si="11"/>
        <v>MCI-01423</v>
      </c>
      <c r="J371" s="14" t="s">
        <v>669</v>
      </c>
      <c r="K371" s="18">
        <v>6050</v>
      </c>
    </row>
    <row r="372" spans="1:11">
      <c r="A372" s="14" t="s">
        <v>1316</v>
      </c>
      <c r="B372" s="15" t="s">
        <v>1961</v>
      </c>
      <c r="C372" s="15" t="s">
        <v>1962</v>
      </c>
      <c r="D372" s="15"/>
      <c r="E372" s="14" t="s">
        <v>1963</v>
      </c>
      <c r="F372" s="15" t="str">
        <f t="shared" si="8"/>
        <v>MCI-01424</v>
      </c>
      <c r="G372" s="14" t="str">
        <f t="shared" si="9"/>
        <v>MCI-01321Community engagement, linkages and coordination</v>
      </c>
      <c r="H372" s="14" t="str">
        <f t="shared" si="10"/>
        <v>MCI-01321Community engagement, linkages and coordination</v>
      </c>
      <c r="I372" s="15" t="str">
        <f t="shared" si="11"/>
        <v>MCI-01424</v>
      </c>
      <c r="J372" s="14" t="s">
        <v>669</v>
      </c>
      <c r="K372" s="18">
        <v>6060</v>
      </c>
    </row>
    <row r="373" spans="1:11">
      <c r="A373" s="14" t="s">
        <v>1316</v>
      </c>
      <c r="B373" s="15" t="s">
        <v>1964</v>
      </c>
      <c r="C373" s="15" t="s">
        <v>1965</v>
      </c>
      <c r="D373" s="15"/>
      <c r="E373" s="14" t="s">
        <v>1966</v>
      </c>
      <c r="F373" s="15" t="str">
        <f t="shared" si="8"/>
        <v>MCI-01425</v>
      </c>
      <c r="G373" s="14" t="str">
        <f t="shared" si="9"/>
        <v>MCI-01321Capacity building and leadership development</v>
      </c>
      <c r="H373" s="14" t="str">
        <f t="shared" si="10"/>
        <v>MCI-01321Capacity building and leadership development</v>
      </c>
      <c r="I373" s="15" t="str">
        <f t="shared" si="11"/>
        <v>MCI-01425</v>
      </c>
      <c r="J373" s="14" t="s">
        <v>669</v>
      </c>
      <c r="K373" s="18">
        <v>6070</v>
      </c>
    </row>
    <row r="374" spans="1:11">
      <c r="A374" s="14" t="s">
        <v>1325</v>
      </c>
      <c r="B374" s="15" t="s">
        <v>1967</v>
      </c>
      <c r="C374" s="15" t="s">
        <v>1968</v>
      </c>
      <c r="D374" s="15"/>
      <c r="E374" s="14" t="s">
        <v>1969</v>
      </c>
      <c r="F374" s="15" t="str">
        <f t="shared" si="8"/>
        <v>MCI-01415</v>
      </c>
      <c r="G374" s="14" t="str">
        <f t="shared" si="9"/>
        <v>MCI-01322Health financing strategies and planning</v>
      </c>
      <c r="H374" s="14" t="str">
        <f t="shared" si="10"/>
        <v>MCI-01322Health financing strategies and planning</v>
      </c>
      <c r="I374" s="15" t="str">
        <f t="shared" si="11"/>
        <v>MCI-01415</v>
      </c>
      <c r="J374" s="14" t="s">
        <v>669</v>
      </c>
      <c r="K374" s="18">
        <v>6080</v>
      </c>
    </row>
    <row r="375" spans="1:11">
      <c r="A375" s="14" t="s">
        <v>1325</v>
      </c>
      <c r="B375" s="15" t="s">
        <v>1970</v>
      </c>
      <c r="C375" s="15" t="s">
        <v>1971</v>
      </c>
      <c r="D375" s="15"/>
      <c r="E375" s="14" t="s">
        <v>1972</v>
      </c>
      <c r="F375" s="15" t="str">
        <f t="shared" si="8"/>
        <v>MCI-01416</v>
      </c>
      <c r="G375" s="14" t="str">
        <f t="shared" si="9"/>
        <v>MCI-01322Public financial management (PFM) systems</v>
      </c>
      <c r="H375" s="14" t="str">
        <f t="shared" si="10"/>
        <v>MCI-01322Public financial management (PFM) systems</v>
      </c>
      <c r="I375" s="15" t="str">
        <f t="shared" si="11"/>
        <v>MCI-01416</v>
      </c>
      <c r="J375" s="14" t="s">
        <v>669</v>
      </c>
      <c r="K375" s="18">
        <v>6090</v>
      </c>
    </row>
    <row r="376" spans="1:11">
      <c r="A376" s="14" t="s">
        <v>1325</v>
      </c>
      <c r="B376" s="15" t="s">
        <v>1973</v>
      </c>
      <c r="C376" s="15" t="s">
        <v>1974</v>
      </c>
      <c r="D376" s="15"/>
      <c r="E376" s="14" t="s">
        <v>1975</v>
      </c>
      <c r="F376" s="15" t="str">
        <f t="shared" si="8"/>
        <v>MCI-01417</v>
      </c>
      <c r="G376" s="14" t="str">
        <f t="shared" si="9"/>
        <v>MCI-01322Routine financial management systems</v>
      </c>
      <c r="H376" s="14" t="str">
        <f t="shared" si="10"/>
        <v>MCI-01322Routine financial management systems</v>
      </c>
      <c r="I376" s="15" t="str">
        <f t="shared" si="11"/>
        <v>MCI-01417</v>
      </c>
      <c r="J376" s="14" t="s">
        <v>669</v>
      </c>
      <c r="K376" s="18">
        <v>6100</v>
      </c>
    </row>
    <row r="377" spans="1:11">
      <c r="A377" s="14" t="s">
        <v>1325</v>
      </c>
      <c r="B377" s="15" t="s">
        <v>1976</v>
      </c>
      <c r="C377" s="15" t="s">
        <v>1977</v>
      </c>
      <c r="D377" s="15"/>
      <c r="E377" s="14" t="s">
        <v>1978</v>
      </c>
      <c r="F377" s="15" t="str">
        <f t="shared" si="8"/>
        <v>MCI-01418</v>
      </c>
      <c r="G377" s="14" t="str">
        <f t="shared" si="9"/>
        <v>MCI-01322Community-led advocacy and monitoring of domestic resource mobilization</v>
      </c>
      <c r="H377" s="14" t="str">
        <f t="shared" si="10"/>
        <v>MCI-01322Community-led advocacy and monitoring of domestic resource mobilization</v>
      </c>
      <c r="I377" s="15" t="str">
        <f t="shared" si="11"/>
        <v>MCI-01418</v>
      </c>
      <c r="J377" s="14" t="s">
        <v>669</v>
      </c>
      <c r="K377" s="18">
        <v>6110</v>
      </c>
    </row>
    <row r="378" spans="1:11">
      <c r="A378" s="14" t="s">
        <v>1325</v>
      </c>
      <c r="B378" s="15" t="s">
        <v>1979</v>
      </c>
      <c r="C378" s="15" t="s">
        <v>1980</v>
      </c>
      <c r="D378" s="15"/>
      <c r="E378" s="14" t="s">
        <v>1981</v>
      </c>
      <c r="F378" s="15" t="str">
        <f t="shared" si="8"/>
        <v>MCI-01419</v>
      </c>
      <c r="G378" s="14" t="str">
        <f t="shared" si="9"/>
        <v>MCI-01322Social contracting</v>
      </c>
      <c r="H378" s="14" t="str">
        <f t="shared" si="10"/>
        <v>MCI-01322Social contracting</v>
      </c>
      <c r="I378" s="15" t="str">
        <f t="shared" si="11"/>
        <v>MCI-01419</v>
      </c>
      <c r="J378" s="14" t="s">
        <v>669</v>
      </c>
      <c r="K378" s="18">
        <v>6130</v>
      </c>
    </row>
    <row r="379" spans="1:11">
      <c r="A379" s="14" t="s">
        <v>1325</v>
      </c>
      <c r="B379" s="15" t="s">
        <v>1982</v>
      </c>
      <c r="C379" s="15" t="s">
        <v>1983</v>
      </c>
      <c r="D379" s="15"/>
      <c r="E379" s="14" t="s">
        <v>1984</v>
      </c>
      <c r="F379" s="15" t="str">
        <f t="shared" si="8"/>
        <v>MCI-01420</v>
      </c>
      <c r="G379" s="14" t="str">
        <f t="shared" si="9"/>
        <v>MCI-01322Health financing data and analytics</v>
      </c>
      <c r="H379" s="14" t="str">
        <f t="shared" si="10"/>
        <v>MCI-01322Health financing data and analytics</v>
      </c>
      <c r="I379" s="15" t="str">
        <f t="shared" si="11"/>
        <v>MCI-01420</v>
      </c>
      <c r="J379" s="14" t="s">
        <v>669</v>
      </c>
      <c r="K379" s="18">
        <v>6140</v>
      </c>
    </row>
    <row r="380" spans="1:11">
      <c r="A380" s="14" t="s">
        <v>1325</v>
      </c>
      <c r="B380" s="15" t="s">
        <v>1985</v>
      </c>
      <c r="C380" s="15" t="s">
        <v>1986</v>
      </c>
      <c r="D380" s="15"/>
      <c r="E380" s="14" t="s">
        <v>1987</v>
      </c>
      <c r="F380" s="15" t="str">
        <f t="shared" si="8"/>
        <v>MCI-01421</v>
      </c>
      <c r="G380" s="14" t="str">
        <f t="shared" si="9"/>
        <v>MCI-01322Blended financing arrangements</v>
      </c>
      <c r="H380" s="14" t="str">
        <f t="shared" si="10"/>
        <v>MCI-01322Blended financing arrangements</v>
      </c>
      <c r="I380" s="15" t="str">
        <f t="shared" si="11"/>
        <v>MCI-01421</v>
      </c>
      <c r="J380" s="14" t="s">
        <v>669</v>
      </c>
      <c r="K380" s="18">
        <v>6150</v>
      </c>
    </row>
    <row r="381" spans="1:11">
      <c r="A381" s="14" t="s">
        <v>464</v>
      </c>
      <c r="B381" s="15" t="s">
        <v>1988</v>
      </c>
      <c r="C381" s="15" t="s">
        <v>1989</v>
      </c>
      <c r="D381" s="15"/>
      <c r="E381" s="14" t="s">
        <v>1990</v>
      </c>
      <c r="F381" s="15" t="str">
        <f t="shared" si="8"/>
        <v>MCI-01408</v>
      </c>
      <c r="G381" s="14" t="str">
        <f t="shared" si="9"/>
        <v>MCI-01323Policy, strategy, governance</v>
      </c>
      <c r="H381" s="14" t="str">
        <f t="shared" si="10"/>
        <v>MCI-01323Policy, strategy, governance</v>
      </c>
      <c r="I381" s="15" t="str">
        <f t="shared" si="11"/>
        <v>MCI-01408</v>
      </c>
      <c r="J381" s="14" t="s">
        <v>669</v>
      </c>
      <c r="K381" s="18">
        <v>6160</v>
      </c>
    </row>
    <row r="382" spans="1:11">
      <c r="A382" s="14" t="s">
        <v>464</v>
      </c>
      <c r="B382" s="15" t="s">
        <v>1991</v>
      </c>
      <c r="C382" s="15" t="s">
        <v>1992</v>
      </c>
      <c r="D382" s="15"/>
      <c r="E382" s="14" t="s">
        <v>1993</v>
      </c>
      <c r="F382" s="15" t="str">
        <f t="shared" ref="F382:F418" si="12">B382</f>
        <v>MCI-01409</v>
      </c>
      <c r="G382" s="14" t="str">
        <f t="shared" ref="G382:G418" si="13">A382&amp;C382</f>
        <v>MCI-01323Storage and distribution capacity, design &amp; operations</v>
      </c>
      <c r="H382" s="14" t="str">
        <f t="shared" ref="H382:H418" si="14">A382&amp;C382</f>
        <v>MCI-01323Storage and distribution capacity, design &amp; operations</v>
      </c>
      <c r="I382" s="15" t="str">
        <f t="shared" ref="I382:I418" si="15">F382</f>
        <v>MCI-01409</v>
      </c>
      <c r="J382" s="14" t="s">
        <v>669</v>
      </c>
      <c r="K382" s="18">
        <v>6165</v>
      </c>
    </row>
    <row r="383" spans="1:11">
      <c r="A383" s="14" t="s">
        <v>464</v>
      </c>
      <c r="B383" s="15" t="s">
        <v>1994</v>
      </c>
      <c r="C383" s="15" t="s">
        <v>1995</v>
      </c>
      <c r="D383" s="15"/>
      <c r="E383" s="14" t="s">
        <v>1996</v>
      </c>
      <c r="F383" s="15" t="str">
        <f t="shared" si="12"/>
        <v>MCI-01410</v>
      </c>
      <c r="G383" s="14" t="str">
        <f t="shared" si="13"/>
        <v>MCI-01323Planning and procurement capacity</v>
      </c>
      <c r="H383" s="14" t="str">
        <f t="shared" si="14"/>
        <v>MCI-01323Planning and procurement capacity</v>
      </c>
      <c r="I383" s="15" t="str">
        <f t="shared" si="15"/>
        <v>MCI-01410</v>
      </c>
      <c r="J383" s="14" t="s">
        <v>669</v>
      </c>
      <c r="K383" s="18">
        <v>6170</v>
      </c>
    </row>
    <row r="384" spans="1:11">
      <c r="A384" s="14" t="s">
        <v>464</v>
      </c>
      <c r="B384" s="15" t="s">
        <v>1997</v>
      </c>
      <c r="C384" s="15" t="s">
        <v>1998</v>
      </c>
      <c r="D384" s="15"/>
      <c r="E384" s="14" t="s">
        <v>1999</v>
      </c>
      <c r="F384" s="15" t="str">
        <f t="shared" si="12"/>
        <v>MCI-01411</v>
      </c>
      <c r="G384" s="14" t="str">
        <f t="shared" si="13"/>
        <v>MCI-01323Regulatory/quality assurance support</v>
      </c>
      <c r="H384" s="14" t="str">
        <f t="shared" si="14"/>
        <v>MCI-01323Regulatory/quality assurance support</v>
      </c>
      <c r="I384" s="15" t="str">
        <f t="shared" si="15"/>
        <v>MCI-01411</v>
      </c>
      <c r="J384" s="14" t="s">
        <v>669</v>
      </c>
      <c r="K384" s="18">
        <v>6180</v>
      </c>
    </row>
    <row r="385" spans="1:11">
      <c r="A385" s="14" t="s">
        <v>464</v>
      </c>
      <c r="B385" s="15" t="s">
        <v>2000</v>
      </c>
      <c r="C385" s="15" t="s">
        <v>2001</v>
      </c>
      <c r="D385" s="15"/>
      <c r="E385" s="14" t="s">
        <v>2002</v>
      </c>
      <c r="F385" s="15" t="str">
        <f t="shared" si="12"/>
        <v>MCI-01412</v>
      </c>
      <c r="G385" s="14" t="str">
        <f t="shared" si="13"/>
        <v>MCI-01323Avoidance, reduction and management of health care waste</v>
      </c>
      <c r="H385" s="14" t="str">
        <f t="shared" si="14"/>
        <v>MCI-01323Avoidance, reduction and management of health care waste</v>
      </c>
      <c r="I385" s="15" t="str">
        <f t="shared" si="15"/>
        <v>MCI-01412</v>
      </c>
      <c r="J385" s="14" t="s">
        <v>669</v>
      </c>
      <c r="K385" s="18">
        <v>6200</v>
      </c>
    </row>
    <row r="386" spans="1:11">
      <c r="A386" s="14" t="s">
        <v>464</v>
      </c>
      <c r="B386" s="15" t="s">
        <v>2003</v>
      </c>
      <c r="C386" s="15" t="s">
        <v>2004</v>
      </c>
      <c r="D386" s="15"/>
      <c r="E386" s="14" t="s">
        <v>2005</v>
      </c>
      <c r="F386" s="15" t="str">
        <f t="shared" si="12"/>
        <v>MCI-01413</v>
      </c>
      <c r="G386" s="14" t="str">
        <f t="shared" si="13"/>
        <v>MCI-01323Supply chain information systems</v>
      </c>
      <c r="H386" s="14" t="str">
        <f t="shared" si="14"/>
        <v>MCI-01323Supply chain information systems</v>
      </c>
      <c r="I386" s="15" t="str">
        <f t="shared" si="15"/>
        <v>MCI-01413</v>
      </c>
      <c r="J386" s="14" t="s">
        <v>669</v>
      </c>
      <c r="K386" s="18">
        <v>6210</v>
      </c>
    </row>
    <row r="387" spans="1:11">
      <c r="A387" s="14" t="s">
        <v>464</v>
      </c>
      <c r="B387" s="15" t="s">
        <v>2006</v>
      </c>
      <c r="C387" s="15" t="s">
        <v>2007</v>
      </c>
      <c r="D387" s="15"/>
      <c r="E387" s="14" t="s">
        <v>2008</v>
      </c>
      <c r="F387" s="15" t="str">
        <f t="shared" si="12"/>
        <v>MCI-01414</v>
      </c>
      <c r="G387" s="14" t="str">
        <f t="shared" si="13"/>
        <v>MCI-01323Augmenting national supply chain system with outsourcing</v>
      </c>
      <c r="H387" s="14" t="str">
        <f t="shared" si="14"/>
        <v>MCI-01323Augmenting national supply chain system with outsourcing</v>
      </c>
      <c r="I387" s="15" t="str">
        <f t="shared" si="15"/>
        <v>MCI-01414</v>
      </c>
      <c r="J387" s="14" t="s">
        <v>669</v>
      </c>
      <c r="K387" s="18">
        <v>6220</v>
      </c>
    </row>
    <row r="388" spans="1:11">
      <c r="A388" s="14" t="s">
        <v>1357</v>
      </c>
      <c r="B388" s="15" t="s">
        <v>2009</v>
      </c>
      <c r="C388" s="15" t="s">
        <v>2010</v>
      </c>
      <c r="D388" s="15"/>
      <c r="E388" s="14" t="s">
        <v>2011</v>
      </c>
      <c r="F388" s="15" t="str">
        <f t="shared" si="12"/>
        <v>MCI-01398</v>
      </c>
      <c r="G388" s="14" t="str">
        <f t="shared" si="13"/>
        <v>MCI-01324RSSH/PP: HRH planning, management and governance including for community health workers (CHWs)</v>
      </c>
      <c r="H388" s="14" t="str">
        <f t="shared" si="14"/>
        <v>MCI-01324RSSH/PP: HRH planning, management and governance including for community health workers (CHWs)</v>
      </c>
      <c r="I388" s="15" t="str">
        <f t="shared" si="15"/>
        <v>MCI-01398</v>
      </c>
      <c r="J388" s="14" t="s">
        <v>669</v>
      </c>
      <c r="K388" s="18">
        <v>6300</v>
      </c>
    </row>
    <row r="389" spans="1:11">
      <c r="A389" s="14" t="s">
        <v>1357</v>
      </c>
      <c r="B389" s="15" t="s">
        <v>2012</v>
      </c>
      <c r="C389" s="15" t="s">
        <v>2013</v>
      </c>
      <c r="D389" s="15"/>
      <c r="E389" s="14" t="s">
        <v>2014</v>
      </c>
      <c r="F389" s="15" t="str">
        <f t="shared" si="12"/>
        <v>MCI-01399</v>
      </c>
      <c r="G389" s="14" t="str">
        <f t="shared" si="13"/>
        <v>MCI-01324RSSH/PP: Education and production of new health workers (excluding community health workers)</v>
      </c>
      <c r="H389" s="14" t="str">
        <f t="shared" si="14"/>
        <v>MCI-01324RSSH/PP: Education and production of new health workers (excluding community health workers)</v>
      </c>
      <c r="I389" s="15" t="str">
        <f t="shared" si="15"/>
        <v>MCI-01399</v>
      </c>
      <c r="J389" s="14" t="s">
        <v>669</v>
      </c>
      <c r="K389" s="18">
        <v>6305</v>
      </c>
    </row>
    <row r="390" spans="1:11">
      <c r="A390" s="14" t="s">
        <v>1357</v>
      </c>
      <c r="B390" s="15" t="s">
        <v>2015</v>
      </c>
      <c r="C390" s="15" t="s">
        <v>2016</v>
      </c>
      <c r="D390" s="15"/>
      <c r="E390" s="14" t="s">
        <v>2017</v>
      </c>
      <c r="F390" s="15" t="str">
        <f t="shared" si="12"/>
        <v>MCI-01400</v>
      </c>
      <c r="G390" s="14" t="str">
        <f t="shared" si="13"/>
        <v>MCI-01324RSSH/PP: Remuneration and deployment of existing/new staff (excluding community health workers)</v>
      </c>
      <c r="H390" s="14" t="str">
        <f t="shared" si="14"/>
        <v>MCI-01324RSSH/PP: Remuneration and deployment of existing/new staff (excluding community health workers)</v>
      </c>
      <c r="I390" s="15" t="str">
        <f t="shared" si="15"/>
        <v>MCI-01400</v>
      </c>
      <c r="J390" s="14" t="s">
        <v>669</v>
      </c>
      <c r="K390" s="18">
        <v>6310</v>
      </c>
    </row>
    <row r="391" spans="1:11">
      <c r="A391" s="14" t="s">
        <v>1357</v>
      </c>
      <c r="B391" s="15" t="s">
        <v>2018</v>
      </c>
      <c r="C391" s="15" t="s">
        <v>2019</v>
      </c>
      <c r="D391" s="15"/>
      <c r="E391" s="14" t="s">
        <v>2020</v>
      </c>
      <c r="F391" s="15" t="str">
        <f t="shared" si="12"/>
        <v>MCI-01401</v>
      </c>
      <c r="G391" s="14" t="str">
        <f t="shared" si="13"/>
        <v>MCI-01324RSSH/PP: In-service training (excluding community health workers)</v>
      </c>
      <c r="H391" s="14" t="str">
        <f t="shared" si="14"/>
        <v>MCI-01324RSSH/PP: In-service training (excluding community health workers)</v>
      </c>
      <c r="I391" s="15" t="str">
        <f t="shared" si="15"/>
        <v>MCI-01401</v>
      </c>
      <c r="J391" s="14" t="s">
        <v>669</v>
      </c>
      <c r="K391" s="18">
        <v>6320</v>
      </c>
    </row>
    <row r="392" spans="1:11">
      <c r="A392" s="14" t="s">
        <v>1357</v>
      </c>
      <c r="B392" s="15" t="s">
        <v>2021</v>
      </c>
      <c r="C392" s="15" t="s">
        <v>2022</v>
      </c>
      <c r="D392" s="15"/>
      <c r="E392" s="14" t="s">
        <v>2023</v>
      </c>
      <c r="F392" s="15" t="str">
        <f t="shared" si="12"/>
        <v>MCI-01402</v>
      </c>
      <c r="G392" s="14" t="str">
        <f t="shared" si="13"/>
        <v>MCI-01324RSSH/PP: Integrated supportive supervision for health workers (excluding CHWs)</v>
      </c>
      <c r="H392" s="14" t="str">
        <f t="shared" si="14"/>
        <v>MCI-01324RSSH/PP: Integrated supportive supervision for health workers (excluding CHWs)</v>
      </c>
      <c r="I392" s="15" t="str">
        <f t="shared" si="15"/>
        <v>MCI-01402</v>
      </c>
      <c r="J392" s="14" t="s">
        <v>669</v>
      </c>
      <c r="K392" s="18">
        <v>6330</v>
      </c>
    </row>
    <row r="393" spans="1:11">
      <c r="A393" s="14" t="s">
        <v>1357</v>
      </c>
      <c r="B393" s="15" t="s">
        <v>2024</v>
      </c>
      <c r="C393" s="15" t="s">
        <v>2025</v>
      </c>
      <c r="D393" s="15"/>
      <c r="E393" s="14" t="s">
        <v>2026</v>
      </c>
      <c r="F393" s="15" t="str">
        <f t="shared" si="12"/>
        <v>MCI-01403</v>
      </c>
      <c r="G393" s="14" t="str">
        <f t="shared" si="13"/>
        <v>MCI-01324RSSH/PP: Quality improvement and capacity building for quality of care</v>
      </c>
      <c r="H393" s="14" t="str">
        <f t="shared" si="14"/>
        <v>MCI-01324RSSH/PP: Quality improvement and capacity building for quality of care</v>
      </c>
      <c r="I393" s="15" t="str">
        <f t="shared" si="15"/>
        <v>MCI-01403</v>
      </c>
      <c r="J393" s="14" t="s">
        <v>669</v>
      </c>
      <c r="K393" s="18">
        <v>6340</v>
      </c>
    </row>
    <row r="394" spans="1:11">
      <c r="A394" s="14" t="s">
        <v>1357</v>
      </c>
      <c r="B394" s="15" t="s">
        <v>2027</v>
      </c>
      <c r="C394" s="15" t="s">
        <v>2028</v>
      </c>
      <c r="D394" s="15"/>
      <c r="E394" s="14" t="s">
        <v>2029</v>
      </c>
      <c r="F394" s="15" t="str">
        <f t="shared" si="12"/>
        <v>MCI-01404</v>
      </c>
      <c r="G394" s="14" t="str">
        <f t="shared" si="13"/>
        <v>MCI-01324RSSH/PP: Community health workers: selection, pre-service training and certification</v>
      </c>
      <c r="H394" s="14" t="str">
        <f t="shared" si="14"/>
        <v>MCI-01324RSSH/PP: Community health workers: selection, pre-service training and certification</v>
      </c>
      <c r="I394" s="15" t="str">
        <f t="shared" si="15"/>
        <v>MCI-01404</v>
      </c>
      <c r="J394" s="14" t="s">
        <v>669</v>
      </c>
      <c r="K394" s="18">
        <v>6350</v>
      </c>
    </row>
    <row r="395" spans="1:11">
      <c r="A395" s="14" t="s">
        <v>1357</v>
      </c>
      <c r="B395" s="15" t="s">
        <v>2030</v>
      </c>
      <c r="C395" s="15" t="s">
        <v>2031</v>
      </c>
      <c r="D395" s="15"/>
      <c r="E395" s="14" t="s">
        <v>2032</v>
      </c>
      <c r="F395" s="15" t="str">
        <f t="shared" si="12"/>
        <v>MCI-01405</v>
      </c>
      <c r="G395" s="14" t="str">
        <f t="shared" si="13"/>
        <v>MCI-01324RSSH/PP: Community health workers: contracting, remuneration and retention</v>
      </c>
      <c r="H395" s="14" t="str">
        <f t="shared" si="14"/>
        <v>MCI-01324RSSH/PP: Community health workers: contracting, remuneration and retention</v>
      </c>
      <c r="I395" s="15" t="str">
        <f t="shared" si="15"/>
        <v>MCI-01405</v>
      </c>
      <c r="J395" s="14" t="s">
        <v>669</v>
      </c>
      <c r="K395" s="18">
        <v>6360</v>
      </c>
    </row>
    <row r="396" spans="1:11">
      <c r="A396" s="14" t="s">
        <v>1357</v>
      </c>
      <c r="B396" s="15" t="s">
        <v>2033</v>
      </c>
      <c r="C396" s="15" t="s">
        <v>2034</v>
      </c>
      <c r="D396" s="15"/>
      <c r="E396" s="14" t="s">
        <v>2035</v>
      </c>
      <c r="F396" s="15" t="str">
        <f t="shared" si="12"/>
        <v>MCI-01406</v>
      </c>
      <c r="G396" s="14" t="str">
        <f t="shared" si="13"/>
        <v>MCI-01324RSSH/PP: Community health workers: In-service training</v>
      </c>
      <c r="H396" s="14" t="str">
        <f t="shared" si="14"/>
        <v>MCI-01324RSSH/PP: Community health workers: In-service training</v>
      </c>
      <c r="I396" s="15" t="str">
        <f t="shared" si="15"/>
        <v>MCI-01406</v>
      </c>
      <c r="J396" s="14" t="s">
        <v>669</v>
      </c>
      <c r="K396" s="18">
        <v>6370</v>
      </c>
    </row>
    <row r="397" spans="1:11">
      <c r="A397" s="14" t="s">
        <v>1357</v>
      </c>
      <c r="B397" s="15" t="s">
        <v>2036</v>
      </c>
      <c r="C397" s="15" t="s">
        <v>2037</v>
      </c>
      <c r="D397" s="15"/>
      <c r="E397" s="14" t="s">
        <v>2038</v>
      </c>
      <c r="F397" s="15" t="str">
        <f t="shared" si="12"/>
        <v>MCI-01407</v>
      </c>
      <c r="G397" s="14" t="str">
        <f t="shared" si="13"/>
        <v>MCI-01324RSSH/PP: Community health workers: Integrated supportive supervision</v>
      </c>
      <c r="H397" s="14" t="str">
        <f t="shared" si="14"/>
        <v>MCI-01324RSSH/PP: Community health workers: Integrated supportive supervision</v>
      </c>
      <c r="I397" s="15" t="str">
        <f t="shared" si="15"/>
        <v>MCI-01407</v>
      </c>
      <c r="J397" s="14" t="s">
        <v>669</v>
      </c>
      <c r="K397" s="18">
        <v>6380</v>
      </c>
    </row>
    <row r="398" spans="1:11">
      <c r="A398" s="14" t="s">
        <v>1381</v>
      </c>
      <c r="B398" s="15" t="s">
        <v>2039</v>
      </c>
      <c r="C398" s="15" t="s">
        <v>2040</v>
      </c>
      <c r="D398" s="15"/>
      <c r="E398" s="14" t="s">
        <v>2041</v>
      </c>
      <c r="F398" s="15" t="str">
        <f t="shared" si="12"/>
        <v>MCI-01485</v>
      </c>
      <c r="G398" s="14" t="str">
        <f t="shared" si="13"/>
        <v>MCI-01325RSSH/PP: National laboratory governance and management structures</v>
      </c>
      <c r="H398" s="14" t="str">
        <f t="shared" si="14"/>
        <v>MCI-01325RSSH/PP: National laboratory governance and management structures</v>
      </c>
      <c r="I398" s="15" t="str">
        <f t="shared" si="15"/>
        <v>MCI-01485</v>
      </c>
      <c r="J398" s="14" t="s">
        <v>669</v>
      </c>
      <c r="K398" s="18">
        <v>6390</v>
      </c>
    </row>
    <row r="399" spans="1:11">
      <c r="A399" s="14" t="s">
        <v>1381</v>
      </c>
      <c r="B399" s="15" t="s">
        <v>2042</v>
      </c>
      <c r="C399" s="15" t="s">
        <v>2043</v>
      </c>
      <c r="D399" s="15"/>
      <c r="E399" s="14" t="s">
        <v>2044</v>
      </c>
      <c r="F399" s="15" t="str">
        <f t="shared" si="12"/>
        <v>MCI-01486</v>
      </c>
      <c r="G399" s="14" t="str">
        <f t="shared" si="13"/>
        <v>MCI-01325RSSH/PP: Quality management systems and accreditation</v>
      </c>
      <c r="H399" s="14" t="str">
        <f t="shared" si="14"/>
        <v>MCI-01325RSSH/PP: Quality management systems and accreditation</v>
      </c>
      <c r="I399" s="15" t="str">
        <f t="shared" si="15"/>
        <v>MCI-01486</v>
      </c>
      <c r="J399" s="14" t="s">
        <v>669</v>
      </c>
      <c r="K399" s="18">
        <v>6400</v>
      </c>
    </row>
    <row r="400" spans="1:11">
      <c r="A400" s="14" t="s">
        <v>1381</v>
      </c>
      <c r="B400" s="15" t="s">
        <v>2045</v>
      </c>
      <c r="C400" s="15" t="s">
        <v>2046</v>
      </c>
      <c r="D400" s="15"/>
      <c r="E400" s="14" t="s">
        <v>2047</v>
      </c>
      <c r="F400" s="15" t="str">
        <f t="shared" si="12"/>
        <v>MCI-01487</v>
      </c>
      <c r="G400" s="14" t="str">
        <f t="shared" si="13"/>
        <v>MCI-01325RSSH/PP: Laboratory Information systems</v>
      </c>
      <c r="H400" s="14" t="str">
        <f t="shared" si="14"/>
        <v>MCI-01325RSSH/PP: Laboratory Information systems</v>
      </c>
      <c r="I400" s="15" t="str">
        <f t="shared" si="15"/>
        <v>MCI-01487</v>
      </c>
      <c r="J400" s="14" t="s">
        <v>669</v>
      </c>
      <c r="K400" s="18">
        <v>6410</v>
      </c>
    </row>
    <row r="401" spans="1:11">
      <c r="A401" s="14" t="s">
        <v>1381</v>
      </c>
      <c r="B401" s="15" t="s">
        <v>2048</v>
      </c>
      <c r="C401" s="15" t="s">
        <v>2049</v>
      </c>
      <c r="D401" s="15"/>
      <c r="E401" s="14" t="s">
        <v>2050</v>
      </c>
      <c r="F401" s="15" t="str">
        <f t="shared" si="12"/>
        <v>MCI-01488</v>
      </c>
      <c r="G401" s="14" t="str">
        <f t="shared" si="13"/>
        <v>MCI-01325RSSH/PP: Network optimization and geospatial analysis</v>
      </c>
      <c r="H401" s="14" t="str">
        <f t="shared" si="14"/>
        <v>MCI-01325RSSH/PP: Network optimization and geospatial analysis</v>
      </c>
      <c r="I401" s="15" t="str">
        <f t="shared" si="15"/>
        <v>MCI-01488</v>
      </c>
      <c r="J401" s="14" t="s">
        <v>669</v>
      </c>
      <c r="K401" s="18">
        <v>6420</v>
      </c>
    </row>
    <row r="402" spans="1:11">
      <c r="A402" s="14" t="s">
        <v>1381</v>
      </c>
      <c r="B402" s="15" t="s">
        <v>2051</v>
      </c>
      <c r="C402" s="15" t="s">
        <v>2052</v>
      </c>
      <c r="D402" s="15"/>
      <c r="E402" s="14" t="s">
        <v>2053</v>
      </c>
      <c r="F402" s="15" t="str">
        <f t="shared" si="12"/>
        <v>MCI-01489</v>
      </c>
      <c r="G402" s="14" t="str">
        <f t="shared" si="13"/>
        <v>MCI-01325RSSH/PP: Laboratory-based surveillance</v>
      </c>
      <c r="H402" s="14" t="str">
        <f t="shared" si="14"/>
        <v>MCI-01325RSSH/PP: Laboratory-based surveillance</v>
      </c>
      <c r="I402" s="15" t="str">
        <f t="shared" si="15"/>
        <v>MCI-01489</v>
      </c>
      <c r="J402" s="14" t="s">
        <v>669</v>
      </c>
      <c r="K402" s="18">
        <v>6425</v>
      </c>
    </row>
    <row r="403" spans="1:11">
      <c r="A403" s="14" t="s">
        <v>1381</v>
      </c>
      <c r="B403" s="15" t="s">
        <v>2054</v>
      </c>
      <c r="C403" s="15" t="s">
        <v>2055</v>
      </c>
      <c r="D403" s="15"/>
      <c r="E403" s="14" t="s">
        <v>2056</v>
      </c>
      <c r="F403" s="15" t="str">
        <f t="shared" si="12"/>
        <v>MCI-01490</v>
      </c>
      <c r="G403" s="14" t="str">
        <f t="shared" si="13"/>
        <v>MCI-01325RSSH/PP: Laboratory supply chain systems</v>
      </c>
      <c r="H403" s="14" t="str">
        <f t="shared" si="14"/>
        <v>MCI-01325RSSH/PP: Laboratory supply chain systems</v>
      </c>
      <c r="I403" s="15" t="str">
        <f t="shared" si="15"/>
        <v>MCI-01490</v>
      </c>
      <c r="J403" s="14" t="s">
        <v>669</v>
      </c>
      <c r="K403" s="18">
        <v>6430</v>
      </c>
    </row>
    <row r="404" spans="1:11">
      <c r="A404" s="14" t="s">
        <v>1381</v>
      </c>
      <c r="B404" s="15" t="s">
        <v>2057</v>
      </c>
      <c r="C404" s="15" t="s">
        <v>2058</v>
      </c>
      <c r="D404" s="15"/>
      <c r="E404" s="14" t="s">
        <v>2059</v>
      </c>
      <c r="F404" s="15" t="str">
        <f t="shared" si="12"/>
        <v>MCI-01491</v>
      </c>
      <c r="G404" s="14" t="str">
        <f t="shared" si="13"/>
        <v>MCI-01325RSSH/PP: Specimen referral and transport system</v>
      </c>
      <c r="H404" s="14" t="str">
        <f t="shared" si="14"/>
        <v>MCI-01325RSSH/PP: Specimen referral and transport system</v>
      </c>
      <c r="I404" s="15" t="str">
        <f t="shared" si="15"/>
        <v>MCI-01491</v>
      </c>
      <c r="J404" s="14" t="s">
        <v>669</v>
      </c>
      <c r="K404" s="18">
        <v>6440</v>
      </c>
    </row>
    <row r="405" spans="1:11">
      <c r="A405" s="14" t="s">
        <v>1381</v>
      </c>
      <c r="B405" s="15" t="s">
        <v>2060</v>
      </c>
      <c r="C405" s="15" t="s">
        <v>2061</v>
      </c>
      <c r="D405" s="15"/>
      <c r="E405" s="14" t="s">
        <v>2062</v>
      </c>
      <c r="F405" s="15" t="str">
        <f t="shared" si="12"/>
        <v>MCI-01492</v>
      </c>
      <c r="G405" s="14" t="str">
        <f t="shared" si="13"/>
        <v>MCI-01325RSSH/PP: Biosafety and biosecurity, infrastructure and equipment</v>
      </c>
      <c r="H405" s="14" t="str">
        <f t="shared" si="14"/>
        <v>MCI-01325RSSH/PP: Biosafety and biosecurity, infrastructure and equipment</v>
      </c>
      <c r="I405" s="15" t="str">
        <f t="shared" si="15"/>
        <v>MCI-01492</v>
      </c>
      <c r="J405" s="14" t="s">
        <v>669</v>
      </c>
      <c r="K405" s="18">
        <v>6450</v>
      </c>
    </row>
    <row r="406" spans="1:11">
      <c r="A406" s="14" t="s">
        <v>1399</v>
      </c>
      <c r="B406" s="15" t="s">
        <v>2063</v>
      </c>
      <c r="C406" s="15" t="s">
        <v>2064</v>
      </c>
      <c r="D406" s="15"/>
      <c r="E406" s="14" t="s">
        <v>2065</v>
      </c>
      <c r="F406" s="15" t="str">
        <f t="shared" si="12"/>
        <v>MCI-01494</v>
      </c>
      <c r="G406" s="14" t="str">
        <f t="shared" si="13"/>
        <v>MCI-01326RSSH/PP: Bulk Oxygen supply</v>
      </c>
      <c r="H406" s="14" t="str">
        <f t="shared" si="14"/>
        <v>MCI-01326RSSH/PP: Bulk Oxygen supply</v>
      </c>
      <c r="I406" s="15" t="str">
        <f t="shared" si="15"/>
        <v>MCI-01494</v>
      </c>
      <c r="J406" s="14" t="s">
        <v>669</v>
      </c>
      <c r="K406" s="18">
        <v>6460</v>
      </c>
    </row>
    <row r="407" spans="1:11">
      <c r="A407" s="14" t="s">
        <v>1399</v>
      </c>
      <c r="B407" s="15" t="s">
        <v>2066</v>
      </c>
      <c r="C407" s="15" t="s">
        <v>2067</v>
      </c>
      <c r="D407" s="15"/>
      <c r="E407" s="14" t="s">
        <v>2068</v>
      </c>
      <c r="F407" s="15" t="str">
        <f t="shared" si="12"/>
        <v>MCI-01495</v>
      </c>
      <c r="G407" s="14" t="str">
        <f t="shared" si="13"/>
        <v>MCI-01326RSSH/PP: Oxygen distribution and storage</v>
      </c>
      <c r="H407" s="14" t="str">
        <f t="shared" si="14"/>
        <v>MCI-01326RSSH/PP: Oxygen distribution and storage</v>
      </c>
      <c r="I407" s="15" t="str">
        <f t="shared" si="15"/>
        <v>MCI-01495</v>
      </c>
      <c r="J407" s="14" t="s">
        <v>669</v>
      </c>
      <c r="K407" s="18">
        <v>6470</v>
      </c>
    </row>
    <row r="408" spans="1:11">
      <c r="A408" s="14" t="s">
        <v>1399</v>
      </c>
      <c r="B408" s="15" t="s">
        <v>2069</v>
      </c>
      <c r="C408" s="15" t="s">
        <v>2070</v>
      </c>
      <c r="D408" s="15"/>
      <c r="E408" s="14" t="s">
        <v>2071</v>
      </c>
      <c r="F408" s="15" t="str">
        <f t="shared" si="12"/>
        <v>MCI-01496</v>
      </c>
      <c r="G408" s="14" t="str">
        <f t="shared" si="13"/>
        <v>MCI-01326RSSH/PP: Oxygen delivery and respiratory care</v>
      </c>
      <c r="H408" s="14" t="str">
        <f t="shared" si="14"/>
        <v>MCI-01326RSSH/PP: Oxygen delivery and respiratory care</v>
      </c>
      <c r="I408" s="15" t="str">
        <f t="shared" si="15"/>
        <v>MCI-01496</v>
      </c>
      <c r="J408" s="14" t="s">
        <v>669</v>
      </c>
      <c r="K408" s="18">
        <v>6480</v>
      </c>
    </row>
    <row r="409" spans="1:11">
      <c r="A409" s="14" t="s">
        <v>1399</v>
      </c>
      <c r="B409" s="15" t="s">
        <v>2072</v>
      </c>
      <c r="C409" s="15" t="s">
        <v>2073</v>
      </c>
      <c r="D409" s="15"/>
      <c r="E409" s="14" t="s">
        <v>2074</v>
      </c>
      <c r="F409" s="15" t="str">
        <f t="shared" si="12"/>
        <v>MCI-01497</v>
      </c>
      <c r="G409" s="14" t="str">
        <f t="shared" si="13"/>
        <v>MCI-01326RSSH/PP: Oxygen support systems</v>
      </c>
      <c r="H409" s="14" t="str">
        <f t="shared" si="14"/>
        <v>MCI-01326RSSH/PP: Oxygen support systems</v>
      </c>
      <c r="I409" s="15" t="str">
        <f t="shared" si="15"/>
        <v>MCI-01497</v>
      </c>
      <c r="J409" s="14" t="s">
        <v>669</v>
      </c>
      <c r="K409" s="18">
        <v>6490</v>
      </c>
    </row>
    <row r="410" spans="1:11">
      <c r="A410" s="14" t="s">
        <v>467</v>
      </c>
      <c r="B410" s="15" t="s">
        <v>2075</v>
      </c>
      <c r="C410" s="15" t="s">
        <v>2076</v>
      </c>
      <c r="D410" s="15"/>
      <c r="E410" s="14" t="s">
        <v>2077</v>
      </c>
      <c r="F410" s="15" t="str">
        <f t="shared" si="12"/>
        <v>MCI-01426</v>
      </c>
      <c r="G410" s="14" t="str">
        <f t="shared" si="13"/>
        <v>MCI-01327Routine reporting</v>
      </c>
      <c r="H410" s="14" t="str">
        <f t="shared" si="14"/>
        <v>MCI-01327Routine reporting</v>
      </c>
      <c r="I410" s="15" t="str">
        <f t="shared" si="15"/>
        <v>MCI-01426</v>
      </c>
      <c r="J410" s="14" t="s">
        <v>669</v>
      </c>
      <c r="K410" s="18">
        <v>6500</v>
      </c>
    </row>
    <row r="411" spans="1:11">
      <c r="A411" s="14" t="s">
        <v>467</v>
      </c>
      <c r="B411" s="15" t="s">
        <v>2078</v>
      </c>
      <c r="C411" s="15" t="s">
        <v>2079</v>
      </c>
      <c r="D411" s="15"/>
      <c r="E411" s="14" t="s">
        <v>2080</v>
      </c>
      <c r="F411" s="15" t="str">
        <f t="shared" si="12"/>
        <v>MCI-01427</v>
      </c>
      <c r="G411" s="14" t="str">
        <f t="shared" si="13"/>
        <v>MCI-01327Surveillance for HIV, tuberculosis and malaria</v>
      </c>
      <c r="H411" s="14" t="str">
        <f t="shared" si="14"/>
        <v>MCI-01327Surveillance for HIV, tuberculosis and malaria</v>
      </c>
      <c r="I411" s="15" t="str">
        <f t="shared" si="15"/>
        <v>MCI-01427</v>
      </c>
      <c r="J411" s="14" t="s">
        <v>669</v>
      </c>
      <c r="K411" s="18">
        <v>6510</v>
      </c>
    </row>
    <row r="412" spans="1:11">
      <c r="A412" s="14" t="s">
        <v>467</v>
      </c>
      <c r="B412" s="15" t="s">
        <v>2081</v>
      </c>
      <c r="C412" s="15" t="s">
        <v>2082</v>
      </c>
      <c r="D412" s="15"/>
      <c r="E412" s="14" t="s">
        <v>2083</v>
      </c>
      <c r="F412" s="15" t="str">
        <f t="shared" si="12"/>
        <v>MCI-01428</v>
      </c>
      <c r="G412" s="14" t="str">
        <f t="shared" si="13"/>
        <v>MCI-01327RSSH/PP: Surveillance for priority epidemic-prone diseases and events</v>
      </c>
      <c r="H412" s="14" t="str">
        <f t="shared" si="14"/>
        <v>MCI-01327RSSH/PP: Surveillance for priority epidemic-prone diseases and events</v>
      </c>
      <c r="I412" s="15" t="str">
        <f t="shared" si="15"/>
        <v>MCI-01428</v>
      </c>
      <c r="J412" s="14" t="s">
        <v>669</v>
      </c>
      <c r="K412" s="18">
        <v>6520</v>
      </c>
    </row>
    <row r="413" spans="1:11">
      <c r="A413" s="14" t="s">
        <v>467</v>
      </c>
      <c r="B413" s="15" t="s">
        <v>2084</v>
      </c>
      <c r="C413" s="15" t="s">
        <v>2085</v>
      </c>
      <c r="D413" s="15"/>
      <c r="E413" s="14" t="s">
        <v>2086</v>
      </c>
      <c r="F413" s="15" t="str">
        <f t="shared" si="12"/>
        <v>MCI-01429</v>
      </c>
      <c r="G413" s="14" t="str">
        <f t="shared" si="13"/>
        <v>MCI-01327Surveys</v>
      </c>
      <c r="H413" s="14" t="str">
        <f t="shared" si="14"/>
        <v>MCI-01327Surveys</v>
      </c>
      <c r="I413" s="15" t="str">
        <f t="shared" si="15"/>
        <v>MCI-01429</v>
      </c>
      <c r="J413" s="14" t="s">
        <v>669</v>
      </c>
      <c r="K413" s="18">
        <v>6530</v>
      </c>
    </row>
    <row r="414" spans="1:11">
      <c r="A414" s="14" t="s">
        <v>467</v>
      </c>
      <c r="B414" s="15" t="s">
        <v>2087</v>
      </c>
      <c r="C414" s="15" t="s">
        <v>2088</v>
      </c>
      <c r="D414" s="15"/>
      <c r="E414" s="14" t="s">
        <v>2089</v>
      </c>
      <c r="F414" s="15" t="str">
        <f t="shared" si="12"/>
        <v>MCI-01430</v>
      </c>
      <c r="G414" s="14" t="str">
        <f t="shared" si="13"/>
        <v>MCI-01327Data quality</v>
      </c>
      <c r="H414" s="14" t="str">
        <f t="shared" si="14"/>
        <v>MCI-01327Data quality</v>
      </c>
      <c r="I414" s="15" t="str">
        <f t="shared" si="15"/>
        <v>MCI-01430</v>
      </c>
      <c r="J414" s="14" t="s">
        <v>669</v>
      </c>
      <c r="K414" s="18">
        <v>6540</v>
      </c>
    </row>
    <row r="415" spans="1:11">
      <c r="A415" s="14" t="s">
        <v>467</v>
      </c>
      <c r="B415" s="15" t="s">
        <v>2090</v>
      </c>
      <c r="C415" s="15" t="s">
        <v>2091</v>
      </c>
      <c r="D415" s="15"/>
      <c r="E415" s="14" t="s">
        <v>2092</v>
      </c>
      <c r="F415" s="15" t="str">
        <f t="shared" si="12"/>
        <v>MCI-01431</v>
      </c>
      <c r="G415" s="14" t="str">
        <f t="shared" si="13"/>
        <v>MCI-01327Analyses, evaluations, reviews and data use</v>
      </c>
      <c r="H415" s="14" t="str">
        <f t="shared" si="14"/>
        <v>MCI-01327Analyses, evaluations, reviews and data use</v>
      </c>
      <c r="I415" s="15" t="str">
        <f t="shared" si="15"/>
        <v>MCI-01431</v>
      </c>
      <c r="J415" s="14" t="s">
        <v>669</v>
      </c>
      <c r="K415" s="18">
        <v>6550</v>
      </c>
    </row>
    <row r="416" spans="1:11">
      <c r="A416" s="14" t="s">
        <v>467</v>
      </c>
      <c r="B416" s="15" t="s">
        <v>2093</v>
      </c>
      <c r="C416" s="15" t="s">
        <v>2094</v>
      </c>
      <c r="D416" s="15"/>
      <c r="E416" s="14" t="s">
        <v>2095</v>
      </c>
      <c r="F416" s="15" t="str">
        <f t="shared" si="12"/>
        <v>MCI-01432</v>
      </c>
      <c r="G416" s="14" t="str">
        <f t="shared" si="13"/>
        <v>MCI-01327Administrative data sources</v>
      </c>
      <c r="H416" s="14" t="str">
        <f t="shared" si="14"/>
        <v>MCI-01327Administrative data sources</v>
      </c>
      <c r="I416" s="15" t="str">
        <f t="shared" si="15"/>
        <v>MCI-01432</v>
      </c>
      <c r="J416" s="14" t="s">
        <v>669</v>
      </c>
      <c r="K416" s="18">
        <v>6560</v>
      </c>
    </row>
    <row r="417" spans="1:11">
      <c r="A417" s="14" t="s">
        <v>467</v>
      </c>
      <c r="B417" s="15" t="s">
        <v>2096</v>
      </c>
      <c r="C417" s="15" t="s">
        <v>2097</v>
      </c>
      <c r="D417" s="15"/>
      <c r="E417" s="14" t="s">
        <v>2098</v>
      </c>
      <c r="F417" s="15" t="str">
        <f t="shared" si="12"/>
        <v>MCI-01433</v>
      </c>
      <c r="G417" s="14" t="str">
        <f t="shared" si="13"/>
        <v>MCI-01327Civil registration and vital statistics</v>
      </c>
      <c r="H417" s="14" t="str">
        <f t="shared" si="14"/>
        <v>MCI-01327Civil registration and vital statistics</v>
      </c>
      <c r="I417" s="15" t="str">
        <f t="shared" si="15"/>
        <v>MCI-01433</v>
      </c>
      <c r="J417" s="14" t="s">
        <v>669</v>
      </c>
      <c r="K417" s="18">
        <v>6570</v>
      </c>
    </row>
    <row r="418" spans="1:11">
      <c r="A418" s="14" t="s">
        <v>467</v>
      </c>
      <c r="B418" s="15" t="s">
        <v>2099</v>
      </c>
      <c r="C418" s="15" t="s">
        <v>2100</v>
      </c>
      <c r="D418" s="15"/>
      <c r="E418" s="14" t="s">
        <v>2101</v>
      </c>
      <c r="F418" s="15" t="str">
        <f t="shared" si="12"/>
        <v>MCI-01434</v>
      </c>
      <c r="G418" s="14" t="str">
        <f t="shared" si="13"/>
        <v>MCI-01327Operational Research</v>
      </c>
      <c r="H418" s="14" t="str">
        <f t="shared" si="14"/>
        <v>MCI-01327Operational Research</v>
      </c>
      <c r="I418" s="15" t="str">
        <f t="shared" si="15"/>
        <v>MCI-01434</v>
      </c>
      <c r="J418" s="14" t="s">
        <v>669</v>
      </c>
      <c r="K418" s="18">
        <v>6580</v>
      </c>
    </row>
    <row r="419" spans="1:11">
      <c r="B419" s="2"/>
    </row>
    <row r="420" spans="1:11" hidden="1">
      <c r="A420" s="2"/>
    </row>
    <row r="421" spans="1:11" hidden="1"/>
    <row r="422" spans="1:11" hidden="1"/>
    <row r="423" spans="1:11" hidden="1"/>
    <row r="424" spans="1:11" hidden="1"/>
    <row r="425" spans="1:11">
      <c r="A425" s="2" t="s">
        <v>291</v>
      </c>
    </row>
    <row r="426" spans="1:11">
      <c r="A426" s="3" t="s">
        <v>2102</v>
      </c>
      <c r="B426" s="21" t="s">
        <v>2103</v>
      </c>
    </row>
    <row r="427" spans="1:11">
      <c r="A427" s="1" t="s">
        <v>2104</v>
      </c>
      <c r="B427" s="21" t="s">
        <v>781</v>
      </c>
      <c r="C427" s="1" t="s">
        <v>2105</v>
      </c>
    </row>
    <row r="428" spans="1:11">
      <c r="A428" s="1" t="s">
        <v>2106</v>
      </c>
      <c r="B428" s="21"/>
    </row>
    <row r="429" spans="1:11">
      <c r="A429" s="1" t="s">
        <v>300</v>
      </c>
    </row>
    <row r="430" spans="1:11">
      <c r="A430" s="2" t="s">
        <v>2107</v>
      </c>
    </row>
    <row r="431" spans="1:11">
      <c r="A431" s="1" t="s">
        <v>2108</v>
      </c>
      <c r="B431" s="21" t="s">
        <v>2103</v>
      </c>
    </row>
    <row r="432" spans="1:11">
      <c r="A432" s="1" t="s">
        <v>2109</v>
      </c>
      <c r="B432" s="21" t="s">
        <v>781</v>
      </c>
      <c r="C432" s="1" t="s">
        <v>2105</v>
      </c>
    </row>
    <row r="434" spans="1:3" hidden="1"/>
    <row r="435" spans="1:3" hidden="1"/>
    <row r="436" spans="1:3" hidden="1"/>
    <row r="437" spans="1:3" hidden="1"/>
    <row r="438" spans="1:3">
      <c r="A438" s="2" t="s">
        <v>2110</v>
      </c>
    </row>
    <row r="439" spans="1:3">
      <c r="A439" s="14" t="s">
        <v>2109</v>
      </c>
      <c r="B439" s="14" t="s">
        <v>2111</v>
      </c>
      <c r="C439" s="14" t="s">
        <v>2112</v>
      </c>
    </row>
    <row r="440" spans="1:3" hidden="1">
      <c r="A440" s="14" t="s">
        <v>2113</v>
      </c>
      <c r="B440" s="14" t="s">
        <v>2114</v>
      </c>
      <c r="C440" s="14" t="s">
        <v>321</v>
      </c>
    </row>
    <row r="441" spans="1:3">
      <c r="A441" s="14"/>
      <c r="B441" s="14"/>
      <c r="C441" s="14"/>
    </row>
    <row r="442" spans="1:3">
      <c r="A442" s="14"/>
      <c r="B442" s="14"/>
      <c r="C442" s="14"/>
    </row>
    <row r="443" spans="1:3">
      <c r="A443" s="14" t="s">
        <v>2115</v>
      </c>
      <c r="B443" s="14"/>
      <c r="C443" s="14" t="s">
        <v>2116</v>
      </c>
    </row>
    <row r="444" spans="1:3">
      <c r="A444" s="14" t="s">
        <v>2117</v>
      </c>
      <c r="B444" s="14"/>
      <c r="C444" s="14" t="s">
        <v>2118</v>
      </c>
    </row>
    <row r="445" spans="1:3">
      <c r="A445" s="14" t="s">
        <v>2119</v>
      </c>
      <c r="B445" s="14"/>
      <c r="C445" s="14" t="s">
        <v>2120</v>
      </c>
    </row>
    <row r="446" spans="1:3">
      <c r="A446" s="14" t="s">
        <v>2121</v>
      </c>
      <c r="B446" s="14"/>
      <c r="C446" s="14" t="s">
        <v>2122</v>
      </c>
    </row>
    <row r="447" spans="1:3">
      <c r="A447" s="14" t="s">
        <v>2123</v>
      </c>
      <c r="B447" s="14"/>
      <c r="C447" s="14" t="s">
        <v>2124</v>
      </c>
    </row>
    <row r="448" spans="1:3">
      <c r="A448" s="14" t="s">
        <v>2125</v>
      </c>
      <c r="B448" s="14"/>
      <c r="C448" s="14" t="s">
        <v>2126</v>
      </c>
    </row>
    <row r="449" spans="1:3">
      <c r="A449" s="14" t="s">
        <v>2127</v>
      </c>
      <c r="B449" s="14"/>
      <c r="C449" s="14" t="s">
        <v>2128</v>
      </c>
    </row>
    <row r="450" spans="1:3">
      <c r="A450" s="14" t="s">
        <v>2129</v>
      </c>
      <c r="B450" s="14"/>
      <c r="C450" s="14" t="s">
        <v>2130</v>
      </c>
    </row>
    <row r="451" spans="1:3">
      <c r="A451" s="14" t="s">
        <v>2131</v>
      </c>
      <c r="B451" s="14"/>
      <c r="C451" s="14" t="s">
        <v>2132</v>
      </c>
    </row>
    <row r="452" spans="1:3">
      <c r="A452" s="14" t="s">
        <v>2133</v>
      </c>
      <c r="B452" s="14"/>
      <c r="C452" s="14" t="s">
        <v>2134</v>
      </c>
    </row>
    <row r="453" spans="1:3">
      <c r="A453" s="14" t="s">
        <v>2135</v>
      </c>
      <c r="B453" s="14"/>
      <c r="C453" s="14" t="s">
        <v>2136</v>
      </c>
    </row>
    <row r="454" spans="1:3">
      <c r="A454" s="14" t="s">
        <v>2137</v>
      </c>
      <c r="B454" s="14"/>
      <c r="C454" s="14" t="s">
        <v>2138</v>
      </c>
    </row>
    <row r="455" spans="1:3">
      <c r="A455" s="14" t="s">
        <v>2139</v>
      </c>
      <c r="B455" s="14"/>
      <c r="C455" s="14" t="s">
        <v>2140</v>
      </c>
    </row>
    <row r="456" spans="1:3">
      <c r="A456" s="14" t="s">
        <v>2141</v>
      </c>
      <c r="B456" s="14"/>
      <c r="C456" s="14" t="s">
        <v>2142</v>
      </c>
    </row>
    <row r="457" spans="1:3">
      <c r="A457" s="14" t="s">
        <v>2143</v>
      </c>
      <c r="B457" s="14"/>
      <c r="C457" s="14" t="s">
        <v>2144</v>
      </c>
    </row>
    <row r="458" spans="1:3">
      <c r="A458" s="14" t="s">
        <v>2145</v>
      </c>
      <c r="B458" s="14"/>
      <c r="C458" s="14" t="s">
        <v>2146</v>
      </c>
    </row>
    <row r="459" spans="1:3">
      <c r="A459" s="14" t="s">
        <v>2147</v>
      </c>
      <c r="B459" s="14"/>
      <c r="C459" s="14" t="s">
        <v>2148</v>
      </c>
    </row>
    <row r="460" spans="1:3">
      <c r="A460" s="14" t="s">
        <v>2149</v>
      </c>
      <c r="B460" s="14"/>
      <c r="C460" s="14" t="s">
        <v>2150</v>
      </c>
    </row>
    <row r="461" spans="1:3">
      <c r="A461" s="14" t="s">
        <v>2151</v>
      </c>
      <c r="B461" s="14"/>
      <c r="C461" s="14" t="s">
        <v>2152</v>
      </c>
    </row>
    <row r="462" spans="1:3">
      <c r="A462" s="14"/>
      <c r="B462" s="14"/>
      <c r="C462" s="14"/>
    </row>
    <row r="463" spans="1:3">
      <c r="A463" s="14"/>
      <c r="B463" s="14"/>
      <c r="C463" s="14"/>
    </row>
    <row r="464" spans="1:3">
      <c r="A464" s="14"/>
      <c r="B464" s="14"/>
      <c r="C464" s="14"/>
    </row>
    <row r="465" spans="1:3">
      <c r="A465" s="14"/>
      <c r="B465" s="14"/>
      <c r="C465" s="14"/>
    </row>
    <row r="466" spans="1:3">
      <c r="A466" s="14"/>
      <c r="B466" s="14"/>
      <c r="C466" s="14"/>
    </row>
    <row r="467" spans="1:3">
      <c r="A467" s="14"/>
      <c r="B467" s="14"/>
      <c r="C467" s="14"/>
    </row>
    <row r="468" spans="1:3">
      <c r="A468" s="14"/>
      <c r="B468" s="14"/>
      <c r="C468" s="14"/>
    </row>
    <row r="469" spans="1:3">
      <c r="A469" s="14" t="s">
        <v>2153</v>
      </c>
      <c r="B469" s="14"/>
      <c r="C469" s="14" t="s">
        <v>2154</v>
      </c>
    </row>
    <row r="470" spans="1:3">
      <c r="A470" s="14" t="s">
        <v>2155</v>
      </c>
      <c r="B470" s="14"/>
      <c r="C470" s="14" t="s">
        <v>2156</v>
      </c>
    </row>
    <row r="471" spans="1:3">
      <c r="A471" s="14" t="s">
        <v>2157</v>
      </c>
      <c r="B471" s="14"/>
      <c r="C471" s="14" t="s">
        <v>2158</v>
      </c>
    </row>
    <row r="472" spans="1:3">
      <c r="A472" s="14" t="s">
        <v>2159</v>
      </c>
      <c r="B472" s="14"/>
      <c r="C472" s="14" t="s">
        <v>2160</v>
      </c>
    </row>
    <row r="473" spans="1:3">
      <c r="A473" s="14" t="s">
        <v>2161</v>
      </c>
      <c r="B473" s="14"/>
      <c r="C473" s="14" t="s">
        <v>2162</v>
      </c>
    </row>
    <row r="474" spans="1:3">
      <c r="A474" s="14" t="s">
        <v>2163</v>
      </c>
      <c r="B474" s="14"/>
      <c r="C474" s="14" t="s">
        <v>2164</v>
      </c>
    </row>
    <row r="475" spans="1:3">
      <c r="A475" s="14"/>
      <c r="B475" s="14"/>
      <c r="C475" s="14"/>
    </row>
    <row r="476" spans="1:3">
      <c r="A476" s="14"/>
      <c r="B476" s="14"/>
      <c r="C476" s="14"/>
    </row>
    <row r="477" spans="1:3">
      <c r="A477" s="14" t="s">
        <v>2163</v>
      </c>
      <c r="B477" s="14"/>
      <c r="C477" s="14" t="s">
        <v>2164</v>
      </c>
    </row>
    <row r="478" spans="1:3">
      <c r="A478" s="14"/>
      <c r="B478" s="14"/>
      <c r="C478" s="14"/>
    </row>
    <row r="479" spans="1:3">
      <c r="A479" s="14"/>
      <c r="B479" s="14"/>
      <c r="C479" s="14"/>
    </row>
    <row r="480" spans="1:3">
      <c r="A480" s="14"/>
      <c r="B480" s="14"/>
      <c r="C480" s="14"/>
    </row>
    <row r="481" spans="1:3">
      <c r="A481" s="14"/>
      <c r="B481" s="14"/>
      <c r="C481" s="14"/>
    </row>
    <row r="482" spans="1:3">
      <c r="A482" s="14"/>
      <c r="B482" s="14"/>
      <c r="C482" s="14"/>
    </row>
    <row r="483" spans="1:3">
      <c r="A483" s="14"/>
      <c r="B483" s="14"/>
      <c r="C483" s="14"/>
    </row>
    <row r="484" spans="1:3">
      <c r="A484" s="14"/>
      <c r="B484" s="14"/>
      <c r="C484" s="14"/>
    </row>
    <row r="485" spans="1:3">
      <c r="A485" s="14"/>
      <c r="B485" s="14"/>
      <c r="C485" s="14"/>
    </row>
    <row r="486" spans="1:3">
      <c r="A486" s="14"/>
      <c r="B486" s="14"/>
      <c r="C486" s="14"/>
    </row>
    <row r="487" spans="1:3">
      <c r="A487" s="14"/>
      <c r="B487" s="14"/>
      <c r="C487" s="14"/>
    </row>
    <row r="488" spans="1:3">
      <c r="A488" s="14"/>
      <c r="B488" s="14"/>
      <c r="C488" s="14"/>
    </row>
    <row r="489" spans="1:3">
      <c r="A489" s="14"/>
      <c r="B489" s="14"/>
      <c r="C489" s="14"/>
    </row>
    <row r="490" spans="1:3">
      <c r="A490" s="14"/>
      <c r="B490" s="14"/>
      <c r="C490" s="14"/>
    </row>
    <row r="491" spans="1:3">
      <c r="A491" s="14"/>
      <c r="B491" s="14"/>
      <c r="C491" s="14"/>
    </row>
    <row r="492" spans="1:3">
      <c r="A492" s="14"/>
      <c r="B492" s="14"/>
      <c r="C492" s="14"/>
    </row>
    <row r="493" spans="1:3">
      <c r="A493" s="14"/>
      <c r="B493" s="14"/>
      <c r="C493" s="14"/>
    </row>
    <row r="494" spans="1:3">
      <c r="A494" s="14"/>
      <c r="B494" s="14"/>
      <c r="C494" s="14"/>
    </row>
    <row r="496" spans="1:3">
      <c r="A496" s="2" t="s">
        <v>2165</v>
      </c>
    </row>
    <row r="497" spans="1:10">
      <c r="A497" s="1" t="s">
        <v>2104</v>
      </c>
      <c r="B497" s="1" t="s">
        <v>2166</v>
      </c>
      <c r="C497" s="1" t="s">
        <v>2112</v>
      </c>
    </row>
    <row r="498" spans="1:10" hidden="1">
      <c r="A498" s="1" t="s">
        <v>2167</v>
      </c>
      <c r="B498" s="1" t="s">
        <v>2168</v>
      </c>
      <c r="C498" s="1" t="s">
        <v>321</v>
      </c>
    </row>
    <row r="500" spans="1:10">
      <c r="A500" s="2" t="s">
        <v>2169</v>
      </c>
    </row>
    <row r="501" spans="1:10">
      <c r="A501" s="1" t="s">
        <v>297</v>
      </c>
      <c r="B501" s="21"/>
    </row>
    <row r="503" spans="1:10">
      <c r="A503" s="2" t="s">
        <v>2170</v>
      </c>
    </row>
    <row r="504" spans="1:10">
      <c r="A504" s="1" t="s">
        <v>2171</v>
      </c>
      <c r="B504" s="1" t="b">
        <f>IFERROR(TRUE,FALSE)</f>
        <v>1</v>
      </c>
    </row>
    <row r="506" spans="1:10">
      <c r="A506" s="20" t="s">
        <v>2172</v>
      </c>
    </row>
    <row r="507" spans="1:10">
      <c r="B507" s="1" t="s">
        <v>318</v>
      </c>
      <c r="C507" s="1" t="s">
        <v>815</v>
      </c>
      <c r="D507" s="1" t="s">
        <v>822</v>
      </c>
      <c r="E507" s="1" t="s">
        <v>1440</v>
      </c>
      <c r="F507" s="1" t="s">
        <v>1078</v>
      </c>
      <c r="J507" s="1" t="s">
        <v>667</v>
      </c>
    </row>
    <row r="508" spans="1:10" hidden="1">
      <c r="B508" s="1" t="s">
        <v>321</v>
      </c>
      <c r="C508" s="1" t="s">
        <v>2173</v>
      </c>
      <c r="D508" s="1" t="s">
        <v>830</v>
      </c>
      <c r="E508" s="1" t="s">
        <v>1085</v>
      </c>
      <c r="F508" s="1" t="s">
        <v>1086</v>
      </c>
      <c r="G508" s="1" t="str">
        <f>E508&amp;"|"&amp;C508</f>
        <v>[Module (Name)]|No  Applicate</v>
      </c>
      <c r="H508" s="1" t="str">
        <f>E508&amp;"|"&amp;F508</f>
        <v>[Module (Name)]|[Name ID]</v>
      </c>
      <c r="I508" s="1" t="str">
        <f>B508</f>
        <v>[Record ID]</v>
      </c>
      <c r="J508" s="1" t="s">
        <v>2174</v>
      </c>
    </row>
    <row r="511" spans="1:10">
      <c r="A511" s="20" t="s">
        <v>2175</v>
      </c>
    </row>
    <row r="512" spans="1:10">
      <c r="A512" s="1" t="s">
        <v>667</v>
      </c>
      <c r="B512" s="1" t="s">
        <v>318</v>
      </c>
      <c r="C512" s="1" t="s">
        <v>815</v>
      </c>
      <c r="E512" s="1" t="s">
        <v>1078</v>
      </c>
      <c r="F512" s="1" t="s">
        <v>1440</v>
      </c>
      <c r="G512" s="1" t="str">
        <f>C512</f>
        <v>Name</v>
      </c>
      <c r="H512" s="1" t="s">
        <v>822</v>
      </c>
    </row>
    <row r="513" spans="1:8" hidden="1">
      <c r="A513" s="1" t="s">
        <v>2174</v>
      </c>
      <c r="B513" s="1" t="s">
        <v>321</v>
      </c>
      <c r="C513" s="1" t="s">
        <v>2176</v>
      </c>
      <c r="E513" s="1" t="s">
        <v>1086</v>
      </c>
      <c r="F513" s="1" t="s">
        <v>1085</v>
      </c>
      <c r="G513" s="1" t="str">
        <f>C513</f>
        <v>[Name]</v>
      </c>
      <c r="H513" s="1" t="s">
        <v>830</v>
      </c>
    </row>
  </sheetData>
  <dataValidations count="5">
    <dataValidation type="custom" allowBlank="1" showInputMessage="1" showErrorMessage="1" errorTitle="X-Author for Excel" error="Id and Lookup fields are not editable." promptTitle="X-Author for Excel" sqref="G4:G23 G27:G84 G192:H249 G88:G188 E253:E418 C440:C494 A429 C432 C427:C428" xr:uid="{00000000-0002-0000-0700-000000000000}">
      <formula1>""</formula1>
    </dataValidation>
    <dataValidation type="list" allowBlank="1" showInputMessage="1" showErrorMessage="1" errorTitle="X-Author for Excel" error="Please select a value from the drop-down." promptTitle="X-Author for Excel" sqref="B501" xr:uid="{63E41E46-F5CF-4413-B577-262867BBFAA8}">
      <formula1>IF(IFERROR(ROWS(INDIRECT(SUBSTITUTE("AIM_Grant_Revision__c.aim_revision_type__c"," ","_"))),-1) &lt; 0, XAE_Invalid_PLData,INDIRECT(SUBSTITUTE("AIM_Grant_Revision__c.aim_revision_type__c"," ","_")))</formula1>
    </dataValidation>
    <dataValidation type="list" allowBlank="1" showInputMessage="1" showErrorMessage="1" errorTitle="X-Author for Excel" error="Please select either TRUE or FALSE from the dropdown." promptTitle="X-Author for Excel" sqref="B504 L88:L188 J88:J188 O27:O81 O4:O20" xr:uid="{6A20DCEA-20A4-4092-87A1-2CB3FD22AED2}">
      <formula1>"TRUE,FALSE"</formula1>
    </dataValidation>
    <dataValidation type="decimal" allowBlank="1" showInputMessage="1" showErrorMessage="1" errorTitle="X-Author for Excel" error="Please enter a valid numeric value. Valid range for Sort Order is -999999 to 999999." promptTitle="X-Author for Excel" sqref="P4:P20 K253:K418 M88:M188 N192:N242 P27:P81" xr:uid="{EF0DA733-A2CA-4EBA-A7E4-ECD2AA77B0BC}">
      <formula1>-999999</formula1>
      <formula2>999999</formula2>
    </dataValidation>
    <dataValidation type="list" allowBlank="1" showInputMessage="1" showErrorMessage="1" errorTitle="X-Author for Excel" error="Please select a value from the drop-down." promptTitle="X-Author for Excel" sqref="P192:P242 K88:K188" xr:uid="{AF2DD7DD-D0C4-452C-A876-4A728AF62668}">
      <formula1>IF(IFERROR(ROWS(INDIRECT(SUBSTITUTE("AIM_Module_Coverage_Interventio_Comp_Ref__c.L1FR_Cumulation_Type__c"," ","_"))),-1) &lt; 0, XAE_Invalid_PLData,INDIRECT(SUBSTITUTE("AIM_Module_Coverage_Interventio_Comp_Ref__c.L1FR_Cumulation_Type__c"," ","_")))</formula1>
    </dataValidation>
  </dataValidations>
  <pageMargins left="0.75" right="0.75" top="1" bottom="1" header="0.5" footer="0.5"/>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9"/>
  <dimension ref="A1:BY100"/>
  <sheetViews>
    <sheetView showGridLines="0" zoomScale="60" zoomScaleNormal="60" workbookViewId="0">
      <selection activeCell="B9" sqref="B9:B10"/>
    </sheetView>
  </sheetViews>
  <sheetFormatPr defaultColWidth="8.625" defaultRowHeight="14.25"/>
  <cols>
    <col min="1" max="1" width="16" style="48" customWidth="1"/>
    <col min="2" max="3" width="30.625" style="48" customWidth="1"/>
    <col min="4" max="4" width="16.625" style="48" customWidth="1"/>
    <col min="5" max="5" width="13.375" style="48" customWidth="1"/>
    <col min="6" max="6" width="14.125" style="48" customWidth="1"/>
    <col min="7" max="7" width="15" style="48" customWidth="1"/>
    <col min="8" max="8" width="40.625" style="48" customWidth="1"/>
    <col min="9" max="9" width="30.625" style="48" customWidth="1"/>
    <col min="10" max="10" width="17.5" style="48" customWidth="1"/>
    <col min="11" max="11" width="13.5" style="48" customWidth="1"/>
    <col min="12" max="12" width="11.625" style="48" customWidth="1"/>
    <col min="13" max="13" width="18.625" style="48" customWidth="1"/>
    <col min="14" max="14" width="15.125" style="48" customWidth="1"/>
    <col min="15" max="15" width="13.5" style="48" customWidth="1"/>
    <col min="16" max="16" width="11.625" style="48" customWidth="1"/>
    <col min="17" max="17" width="18.625" style="48" customWidth="1"/>
    <col min="18" max="18" width="14.125" style="48" customWidth="1"/>
    <col min="19" max="19" width="13.5" style="48" customWidth="1"/>
    <col min="20" max="20" width="11.625" style="48" customWidth="1"/>
    <col min="21" max="21" width="18.625" style="48" customWidth="1"/>
    <col min="22" max="22" width="14.5" style="48" customWidth="1"/>
    <col min="23" max="23" width="13.5" style="48" customWidth="1"/>
    <col min="24" max="24" width="11.625" style="48" customWidth="1"/>
    <col min="25" max="25" width="18.625" style="48" customWidth="1"/>
    <col min="26" max="26" width="13.125" style="48" customWidth="1"/>
    <col min="27" max="27" width="50.625" style="48" customWidth="1"/>
    <col min="28" max="28" width="15.375" style="48" hidden="1" customWidth="1"/>
    <col min="29" max="29" width="12.375" style="48" hidden="1" customWidth="1"/>
    <col min="30" max="30" width="12.5" style="48" hidden="1" customWidth="1"/>
    <col min="31" max="31" width="15.5" style="48" hidden="1" customWidth="1"/>
    <col min="32" max="32" width="23.375" style="48" hidden="1" customWidth="1"/>
    <col min="33" max="52" width="8.625" style="48" hidden="1" customWidth="1"/>
    <col min="53" max="53" width="30.5" style="133" customWidth="1"/>
    <col min="54" max="54" width="21.5" style="134" hidden="1" customWidth="1"/>
    <col min="55" max="55" width="28.125" style="134" hidden="1" customWidth="1"/>
    <col min="56" max="60" width="5.125" style="134" hidden="1" customWidth="1"/>
    <col min="61" max="65" width="9.625" style="134" hidden="1" customWidth="1"/>
    <col min="66" max="66" width="11.375" style="134" hidden="1" customWidth="1"/>
    <col min="67" max="67" width="11" style="134" hidden="1" customWidth="1"/>
    <col min="68" max="68" width="18.625" style="155" hidden="1" customWidth="1"/>
    <col min="69" max="69" width="19.5" style="126" hidden="1" customWidth="1"/>
    <col min="70" max="70" width="19.625" style="126" hidden="1" customWidth="1"/>
    <col min="71" max="71" width="19.375" style="126" hidden="1" customWidth="1"/>
    <col min="72" max="72" width="16.625" style="126" hidden="1" customWidth="1"/>
    <col min="73" max="73" width="13.5" style="126" hidden="1" customWidth="1"/>
    <col min="74" max="74" width="14.5" style="126" hidden="1" customWidth="1"/>
    <col min="75" max="75" width="8.625" style="126" hidden="1" customWidth="1"/>
    <col min="76" max="76" width="34.625" style="48" hidden="1" customWidth="1"/>
    <col min="77" max="77" width="32.75" style="48" hidden="1" customWidth="1"/>
    <col min="78" max="78" width="8.625" style="48" customWidth="1"/>
    <col min="79" max="16384" width="8.625" style="48"/>
  </cols>
  <sheetData>
    <row r="1" spans="1:77" ht="15.6" customHeight="1">
      <c r="A1" s="509" t="s">
        <v>2177</v>
      </c>
      <c r="B1" s="509"/>
      <c r="C1" s="509"/>
      <c r="D1" s="509"/>
      <c r="E1" s="509"/>
      <c r="F1" s="509"/>
      <c r="G1" s="509"/>
      <c r="H1" s="154"/>
    </row>
    <row r="2" spans="1:77" ht="16.350000000000001" customHeight="1">
      <c r="A2" s="509"/>
      <c r="B2" s="509"/>
      <c r="C2" s="509"/>
      <c r="D2" s="509"/>
      <c r="E2" s="509"/>
      <c r="F2" s="509"/>
      <c r="G2" s="509"/>
      <c r="H2" s="154"/>
      <c r="N2" s="156"/>
    </row>
    <row r="3" spans="1:77" ht="15" thickBot="1"/>
    <row r="4" spans="1:77" ht="15.75" thickBot="1">
      <c r="A4" s="108" t="s">
        <v>89</v>
      </c>
      <c r="B4" s="109" t="s">
        <v>306</v>
      </c>
      <c r="C4" s="109" t="s">
        <v>762</v>
      </c>
    </row>
    <row r="5" spans="1:77" ht="15.75" thickBot="1">
      <c r="A5" s="108" t="s">
        <v>91</v>
      </c>
      <c r="B5" s="136">
        <f ca="1">MAX(A9:A38) - COUNTIF(BA9:BA38,"No Error")</f>
        <v>0</v>
      </c>
      <c r="K5" s="110">
        <v>2</v>
      </c>
      <c r="O5" s="110">
        <v>3</v>
      </c>
      <c r="S5" s="110">
        <v>4</v>
      </c>
      <c r="W5" s="110">
        <v>5</v>
      </c>
    </row>
    <row r="6" spans="1:77">
      <c r="BX6" s="506" t="s">
        <v>2178</v>
      </c>
      <c r="BY6" s="506"/>
    </row>
    <row r="7" spans="1:77">
      <c r="A7" s="111"/>
      <c r="B7" s="111"/>
      <c r="C7" s="111"/>
      <c r="D7" s="111"/>
      <c r="E7" s="111"/>
      <c r="F7" s="111"/>
      <c r="G7" s="111"/>
      <c r="H7" s="111"/>
      <c r="I7" s="111"/>
      <c r="J7" s="112"/>
      <c r="K7" s="488">
        <f ca="1">IFERROR(IF(YEAR(INDEX('Overview - Section A'!$A$47:$A$54,MATCH(K5,'Overview - Section A'!$B$47:$B$54,0)))&lt;=YEAR('Overview - Section A'!$E$8),YEAR(INDEX('Overview - Section A'!$A$47:$A$54,MATCH($K$5,'Overview - Section A'!$B$47:$B$54,0))),""),"")</f>
        <v>2024</v>
      </c>
      <c r="L7" s="488"/>
      <c r="M7" s="488"/>
      <c r="N7" s="491"/>
      <c r="O7" s="487">
        <f ca="1">IFERROR(IF(K7+1&lt;=YEAR('Overview - Section A'!$E$8),K7+1,""),"")</f>
        <v>2025</v>
      </c>
      <c r="P7" s="488"/>
      <c r="Q7" s="488"/>
      <c r="R7" s="491"/>
      <c r="S7" s="487">
        <f ca="1">IFERROR(IF(O7+1&lt;=YEAR('Overview - Section A'!$E$8),O7+1,""),"")</f>
        <v>2026</v>
      </c>
      <c r="T7" s="488"/>
      <c r="U7" s="488"/>
      <c r="V7" s="491"/>
      <c r="W7" s="487" t="str">
        <f ca="1">IFERROR(IF(S7+1&lt;=YEAR('Overview - Section A'!$E$8),S7+1,""),"")</f>
        <v/>
      </c>
      <c r="X7" s="488"/>
      <c r="Y7" s="488"/>
      <c r="Z7" s="491"/>
      <c r="AA7" s="111"/>
      <c r="AB7" s="111"/>
      <c r="AC7" s="111"/>
      <c r="AD7" s="111"/>
      <c r="AE7" s="111"/>
      <c r="AF7" s="111"/>
      <c r="AG7" s="111"/>
      <c r="AH7" s="111"/>
      <c r="AI7" s="111"/>
      <c r="AJ7" s="111"/>
      <c r="AK7" s="111"/>
      <c r="AL7" s="111"/>
      <c r="AM7" s="111"/>
      <c r="AN7" s="111"/>
      <c r="AO7" s="111"/>
      <c r="AP7" s="111"/>
      <c r="AQ7" s="111"/>
      <c r="AR7" s="111"/>
      <c r="AS7" s="111"/>
      <c r="AT7" s="111"/>
      <c r="AU7" s="111"/>
      <c r="AV7" s="111"/>
      <c r="AW7" s="111"/>
      <c r="AX7" s="111"/>
      <c r="AY7" s="111"/>
      <c r="AZ7" s="111"/>
      <c r="BA7" s="157"/>
      <c r="BX7" s="507"/>
      <c r="BY7" s="507"/>
    </row>
    <row r="8" spans="1:77" ht="60" customHeight="1">
      <c r="A8" s="114" t="s">
        <v>2179</v>
      </c>
      <c r="B8" s="114" t="s">
        <v>765</v>
      </c>
      <c r="C8" s="114" t="s">
        <v>766</v>
      </c>
      <c r="D8" s="116" t="s">
        <v>767</v>
      </c>
      <c r="E8" s="114" t="s">
        <v>105</v>
      </c>
      <c r="F8" s="114" t="s">
        <v>768</v>
      </c>
      <c r="G8" s="114" t="s">
        <v>199</v>
      </c>
      <c r="H8" s="114" t="s">
        <v>769</v>
      </c>
      <c r="I8" s="114" t="s">
        <v>120</v>
      </c>
      <c r="J8" s="114" t="s">
        <v>127</v>
      </c>
      <c r="K8" s="114" t="s">
        <v>770</v>
      </c>
      <c r="L8" s="114" t="s">
        <v>225</v>
      </c>
      <c r="M8" s="114" t="s">
        <v>771</v>
      </c>
      <c r="N8" s="114" t="s">
        <v>772</v>
      </c>
      <c r="O8" s="114" t="s">
        <v>770</v>
      </c>
      <c r="P8" s="114" t="s">
        <v>225</v>
      </c>
      <c r="Q8" s="114" t="s">
        <v>771</v>
      </c>
      <c r="R8" s="114" t="s">
        <v>772</v>
      </c>
      <c r="S8" s="114" t="s">
        <v>770</v>
      </c>
      <c r="T8" s="114" t="s">
        <v>225</v>
      </c>
      <c r="U8" s="114" t="s">
        <v>771</v>
      </c>
      <c r="V8" s="114" t="s">
        <v>772</v>
      </c>
      <c r="W8" s="114" t="s">
        <v>770</v>
      </c>
      <c r="X8" s="114" t="s">
        <v>225</v>
      </c>
      <c r="Y8" s="114" t="s">
        <v>771</v>
      </c>
      <c r="Z8" s="114" t="s">
        <v>772</v>
      </c>
      <c r="AA8" s="114" t="s">
        <v>176</v>
      </c>
      <c r="BA8" s="139" t="s">
        <v>157</v>
      </c>
      <c r="BP8" s="155" t="s">
        <v>2180</v>
      </c>
      <c r="BX8" s="311" t="s">
        <v>2181</v>
      </c>
      <c r="BY8" s="312" t="s">
        <v>2182</v>
      </c>
    </row>
    <row r="9" spans="1:77" ht="30" customHeight="1">
      <c r="A9" s="522">
        <v>1</v>
      </c>
      <c r="B9" s="512" t="s">
        <v>1043</v>
      </c>
      <c r="C9" s="512"/>
      <c r="D9" s="158"/>
      <c r="E9" s="510">
        <f ca="1">IF(OR(INDIRECT("'update Helper'!D"&amp;AE9)="",D9&lt;&gt;0,D10&lt;&gt;0),IF(IFERROR((D9/D10),"")="","",(D9/D10)),INDIRECT("'update Helper'!D"&amp;AE9)/100)</f>
        <v>0.7</v>
      </c>
      <c r="F9" s="512">
        <v>2021</v>
      </c>
      <c r="G9" s="512" t="s">
        <v>780</v>
      </c>
      <c r="H9" s="514" t="str">
        <f>AB9</f>
        <v>Gender,Age</v>
      </c>
      <c r="I9" s="520" t="s">
        <v>323</v>
      </c>
      <c r="J9" s="512" t="s">
        <v>781</v>
      </c>
      <c r="K9" s="158"/>
      <c r="L9" s="516">
        <f ca="1">IFERROR(IF(K$7="","",IF(OR(K9&lt;&gt;0,K10&lt;&gt;0),IFERROR(IF(K9/K10="","",(K9/K10)),""),IF(VLOOKUP(CONCATENATE(A9,K$7),'update Helper'!$G$266:$N$448,5,FALSE)="","",VLOOKUP(CONCATENATE(A9,K$7),'update Helper'!$G$266:$N$448,5,FALSE)/100))),"")</f>
        <v>0.8</v>
      </c>
      <c r="M9" s="518"/>
      <c r="N9" s="512"/>
      <c r="O9" s="158"/>
      <c r="P9" s="516">
        <f ca="1">IFERROR(IF(O$7="","",IF(OR(O9&lt;&gt;0,O10&lt;&gt;0),IFERROR(IF(O9/O10="","",(O9/O10)),""),IF(VLOOKUP(CONCATENATE(A9,O$7),'update Helper'!$G$266:$N$448,5,FALSE)="","",VLOOKUP(CONCATENATE(A9,O$7),'update Helper'!$G$266:$N$448,5,FALSE)/100))),"")</f>
        <v>0.86</v>
      </c>
      <c r="Q9" s="518"/>
      <c r="R9" s="512"/>
      <c r="S9" s="158"/>
      <c r="T9" s="516">
        <f ca="1">IFERROR(IF(S$7="","",IF(OR(S9&lt;&gt;0,S10&lt;&gt;0),IFERROR(IF(S9/S10="","",(S9/S10)),""),IF(VLOOKUP(CONCATENATE(A9,S$7),'update Helper'!$G$266:$N$448,5,FALSE)="","",VLOOKUP(CONCATENATE(A9,S$7),'update Helper'!$G$266:$N$448,5,FALSE)/100))),"")</f>
        <v>0.92</v>
      </c>
      <c r="U9" s="518"/>
      <c r="V9" s="512"/>
      <c r="W9" s="158"/>
      <c r="X9" s="516" t="str">
        <f ca="1">IFERROR(IF(W$7="","",IF(OR(W9&lt;&gt;0,W10&lt;&gt;0),IFERROR(IF(W9/W10="","",(W9/W10)),""),IF(VLOOKUP(CONCATENATE(A9,W$7),'update Helper'!$G$266:$N$448,5,FALSE)="","",VLOOKUP(CONCATENATE(A9,W$7),'update Helper'!$G$266:$N$448,5,FALSE)/100))),"")</f>
        <v/>
      </c>
      <c r="Y9" s="518"/>
      <c r="Z9" s="512"/>
      <c r="AA9" s="512" t="s">
        <v>2183</v>
      </c>
      <c r="AB9" s="48" t="str">
        <f t="array" ref="AB9">IFERROR(IF(INDEX('Reference Records'!$D$27:$D$85,MATCH(LEFT(B9,255),LEFT('Reference Records'!$C$27:$C$85,255),0))=0,"",INDEX('Reference Records'!$D$27:$D$85,MATCH(LEFT(B9,255),LEFT('Reference Records'!$C$27:$C$85,255),0))),"")</f>
        <v>Gender,Age</v>
      </c>
      <c r="AC9" s="48" t="str">
        <f>B9&amp;C9</f>
        <v>TB O-5 TB treatment coverage: Percentage of patients with new and relapse TB that were notified and treated among the estimated number of incident TB in the same year (all forms of TB - bacteriologically confirmed plus clinically diagnosed</v>
      </c>
      <c r="AD9" s="48">
        <f>ROW(Outcome_indicators_Targets__section_C)+3</f>
        <v>268</v>
      </c>
      <c r="AE9" s="48">
        <f>ROW(Outcome_indicators__section_C)+3</f>
        <v>228</v>
      </c>
      <c r="BA9" s="468" t="str">
        <f ca="1">IF(AND(BU9="Continue",BV9="Continue"),"No Error",IF(AND(BU9&lt;&gt;"Continue",BV9="Continue"),BU9,IF(AND(BV9&lt;&gt;"Continue",BU9="Continue"),BV9,CONCATENATE(BU9,CHAR(10),BV9))))</f>
        <v>No Error</v>
      </c>
      <c r="BB9" s="508" t="str" cm="1">
        <f t="array" ref="BB9">IF(ISBLANK(B9),"Continue",(IF(IFERROR(_xlfn.XMATCH(B9,LEFT('Reference Records'!$I$26:$I$82,32768),0),0)&lt;&gt;0,"Continue"," Invalid indicator entry. Select from dropdown list.")))</f>
        <v>Continue</v>
      </c>
      <c r="BC9" s="508" t="str">
        <f>IF(SUM(BD9:BH10)=0, "Continue", "Enter valid number only.")</f>
        <v>Continue</v>
      </c>
      <c r="BD9" s="146">
        <f>IF(NOT(ISBLANK(D9)),IF(D9&lt;&gt;"",(IF(NOT(ISNUMBER(D9)),1,0)),0),0)</f>
        <v>0</v>
      </c>
      <c r="BE9" s="146">
        <f>IF(NOT(ISBLANK(K9)),IF(K9&lt;&gt;"",(IF(NOT(ISNUMBER(K9)),1,0)),0),0)</f>
        <v>0</v>
      </c>
      <c r="BF9" s="146">
        <f>IF(NOT(ISBLANK(O9)),IF(O9&lt;&gt;"",(IF(NOT(ISNUMBER(O9)),1,0)),0),0)</f>
        <v>0</v>
      </c>
      <c r="BG9" s="146">
        <f>IF(NOT(ISBLANK(S9)),IF(S9&lt;&gt;"",(IF(NOT(ISNUMBER(S9)),1,0)),0),0)</f>
        <v>0</v>
      </c>
      <c r="BH9" s="146">
        <f>IF(NOT(ISBLANK(W9)),IF(W9&lt;&gt;"",(IF(NOT(ISNUMBER(W9)),1,0)),0),0)</f>
        <v>0</v>
      </c>
      <c r="BI9" s="467">
        <f ca="1">IF(NOT(ISBLANK(E9)),IF(E9&lt;&gt;"",(IF(NOT(ISNUMBER(E9)),1,0)),0),0)</f>
        <v>0</v>
      </c>
      <c r="BJ9" s="467">
        <f ca="1">IF(NOT(ISBLANK(L9)),IF(L9&lt;&gt;"",(IF(NOT(ISNUMBER(L9)),1,0)),0),0)</f>
        <v>0</v>
      </c>
      <c r="BK9" s="467">
        <f ca="1">IF(NOT(ISBLANK(P9)),IF(P9&lt;&gt;"",(IF(NOT(ISNUMBER(P9)),1,0)),0),0)</f>
        <v>0</v>
      </c>
      <c r="BL9" s="467">
        <f ca="1">IF(NOT(ISBLANK(T9)),IF(T9&lt;&gt;"",(IF(NOT(ISNUMBER(T9)),1,0)),0),0)</f>
        <v>0</v>
      </c>
      <c r="BM9" s="467">
        <f ca="1">IF(NOT(ISBLANK(X9)),IF(X9&lt;&gt;"",(IF(NOT(ISNUMBER(X9)),1,0)),0),0)</f>
        <v>0</v>
      </c>
      <c r="BN9" s="467" t="str">
        <f ca="1">IF(SUM(BI9:BM10)=0, "Continue", "Enter valid number only.")</f>
        <v>Continue</v>
      </c>
      <c r="BO9" s="467" t="str">
        <f ca="1">IF(AND(BC9="Continue",BN9="Continue"),"Continue",IF(AND(BC9&lt;&gt;"Continue",BN9="Continue"),BC9,IF(AND(BN9&lt;&gt;"Continue",BC9="Continue"),BN9,CONCATENATE(BC9,CHAR(10)))))</f>
        <v>Continue</v>
      </c>
      <c r="BP9" s="155" t="b">
        <f>IFERROR(INDEX('Reference Records'!$O$26:$O$82,MATCH($B9,'Reference Records'!I$26:I$82,0)),"")</f>
        <v>0</v>
      </c>
      <c r="BQ9" s="126" t="str">
        <f>IF(OR($BP9=FALSE,$BP9=""),"Continue",IF(AND($BP9=TRUE, AND($D10="",$K10="",$O10="",$S10="",$W10="")),"Continue","Denominator is not applicable for this indicator."))</f>
        <v>Continue</v>
      </c>
      <c r="BR9" s="126" t="str">
        <f ca="1">IF(OR($BP9=FALSE,$BP9=""),"Continue",IF(AND($BP9=TRUE,$E9="",$L9="",$P9="",$T9="",$X9=""),"Continue","Percentage is not applicable for this indicator."))</f>
        <v>Continue</v>
      </c>
      <c r="BS9" s="126" t="str">
        <f ca="1">IF(AND($BQ9="Continue",$BR9="Continue"),"Continue",
 IF(AND($BQ9="Continue",$BR9&lt;&gt;"Continue"),$BR9,
 IF(AND($BQ9&lt;&gt;"Continue",$BR9="Continue"),$BQ9,
 IF(AND($BQ9&lt;&gt;"Continue",$BR9&lt;&gt;"Continue"),CONCATENATE($BQ9,CHAR(10),$BR9)))))</f>
        <v>Continue</v>
      </c>
      <c r="BT9" s="508" t="str">
        <f ca="1">IF(AND(BB9="Continue",BO9="Continue"),"Continue",IF(AND(BB9&lt;&gt;"Continue",BO9="Continue"),BB9,IF(AND(BO9&lt;&gt;"Continue",BB9="Continue"),BO9,CONCATENATE(BB9,CHAR(10),BO9))))</f>
        <v>Continue</v>
      </c>
      <c r="BU9" s="508" t="str">
        <f>IF(AND(B9="",C9=""),"Continue",IF(AND(B9="",C9&lt;&gt;""),"Continue",IF(AND(B9&lt;&gt;"",C9=""),"Continue",IF(AND(B9&lt;&gt;"",C9&lt;&gt;""),"Cannot enter both standard and custom indicators on the same line."))))</f>
        <v>Continue</v>
      </c>
      <c r="BV9" s="508" t="str">
        <f ca="1">IF(AND(BS9="Continue",BT9="Continue"),"Continue",IF(AND(BS9&lt;&gt;"Continue",BT9="Continue"),BS9,IF(AND(BT9&lt;&gt;"Continue",BS9="Continue"),BT9,CONCATENATE(BS9,CHAR(10),BT9))))</f>
        <v>Continue</v>
      </c>
      <c r="BX9" s="310" t="str">
        <f>IFERROR(IF('Overview - Section A'!$AN$5="Funding Request",
IF(AND('Reference Records'!$B$427&lt;&gt;"",$J9 ='Reference Records'!$B$427),'Reference Records'!$C$427,""),
INDEX('Reference Records'!$A$498:$C$499,MATCH($J9,'Reference Records'!$A$498:$A$499,0),3)),"")</f>
        <v>a1A360000013M2uEAE</v>
      </c>
      <c r="BY9" s="310" t="str" cm="1">
        <f t="array" ref="BY9">IFERROR(IF($B9="", "", IF(INDEX('Reference Records'!$G$27:$G$83,MATCH(LEFT(B9,255),LEFT('Reference Records'!$C$27:$C$83,255),0))=0,"",
INDEX('Reference Records'!$G$27:$G$83,MATCH(LEFT(B9,255),LEFT('Reference Records'!$C$27:$C$83,255),0)))),"")</f>
        <v>a1JDm000000k9cVMAQ</v>
      </c>
    </row>
    <row r="10" spans="1:77" ht="30" customHeight="1">
      <c r="A10" s="523"/>
      <c r="B10" s="513"/>
      <c r="C10" s="513"/>
      <c r="D10" s="140"/>
      <c r="E10" s="511"/>
      <c r="F10" s="513"/>
      <c r="G10" s="513"/>
      <c r="H10" s="515"/>
      <c r="I10" s="521"/>
      <c r="J10" s="513"/>
      <c r="K10" s="140"/>
      <c r="L10" s="517"/>
      <c r="M10" s="519"/>
      <c r="N10" s="513"/>
      <c r="O10" s="140"/>
      <c r="P10" s="517"/>
      <c r="Q10" s="519"/>
      <c r="R10" s="513"/>
      <c r="S10" s="140"/>
      <c r="T10" s="517"/>
      <c r="U10" s="519"/>
      <c r="V10" s="513"/>
      <c r="W10" s="140"/>
      <c r="X10" s="517"/>
      <c r="Y10" s="519"/>
      <c r="Z10" s="513"/>
      <c r="AA10" s="513"/>
      <c r="BA10" s="468"/>
      <c r="BB10" s="508"/>
      <c r="BC10" s="508"/>
      <c r="BD10" s="146">
        <f t="shared" ref="BD10:BD38" si="0">IF(NOT(ISBLANK(D10)),IF(D10&lt;&gt;"",(IF(NOT(ISNUMBER(D10)),1,0)),0),0)</f>
        <v>0</v>
      </c>
      <c r="BE10" s="146">
        <f t="shared" ref="BE10:BE38" si="1">IF(NOT(ISBLANK(K10)),IF(K10&lt;&gt;"",(IF(NOT(ISNUMBER(K10)),1,0)),0),0)</f>
        <v>0</v>
      </c>
      <c r="BF10" s="146">
        <f t="shared" ref="BF10:BF38" si="2">IF(NOT(ISBLANK(O10)),IF(O10&lt;&gt;"",(IF(NOT(ISNUMBER(O10)),1,0)),0),0)</f>
        <v>0</v>
      </c>
      <c r="BG10" s="146">
        <f t="shared" ref="BG10:BG38" si="3">IF(NOT(ISBLANK(S10)),IF(S10&lt;&gt;"",(IF(NOT(ISNUMBER(S10)),1,0)),0),0)</f>
        <v>0</v>
      </c>
      <c r="BH10" s="146">
        <f t="shared" ref="BH10:BH38" si="4">IF(NOT(ISBLANK(W10)),IF(W10&lt;&gt;"",(IF(NOT(ISNUMBER(W10)),1,0)),0),0)</f>
        <v>0</v>
      </c>
      <c r="BI10" s="467"/>
      <c r="BJ10" s="467"/>
      <c r="BK10" s="467"/>
      <c r="BL10" s="467"/>
      <c r="BM10" s="467"/>
      <c r="BN10" s="467"/>
      <c r="BO10" s="467"/>
      <c r="BP10" s="155" t="str">
        <f>IFERROR(INDEX('Reference Records'!$O$26:$O$82,MATCH($B10,'Reference Records'!I$26:I$82,0)),"")</f>
        <v/>
      </c>
      <c r="BQ10" s="126" t="str">
        <f t="shared" ref="BQ10:BQ38" si="5">IF(OR($BP10=FALSE,$BP10=""),"Continue",IF(AND($BP10=TRUE, AND($D11="",$K11="",$O11="",$S11="",$W11="")),"Continue","Denominator is not applicable for this indicator."))</f>
        <v>Continue</v>
      </c>
      <c r="BR10" s="126" t="str">
        <f t="shared" ref="BR10:BR38" si="6">IF(OR($BP10=FALSE,$BP10=""),"Continue",IF(AND($BP10=TRUE,$E10="",$L10="",$P10="",$T10="",$X10=""),"Continue","Percentage is not applicable for this indicator."))</f>
        <v>Continue</v>
      </c>
      <c r="BS10" s="126" t="str">
        <f t="shared" ref="BS10:BS38" si="7">IF(AND($BQ10="Continue",$BR10="Continue"),"Continue",
 IF(AND($BQ10="Continue",$BR10&lt;&gt;"Continue"),$BR10,
 IF(AND($BQ10&lt;&gt;"Continue",$BR10="Continue"),$BQ10,
 IF(AND($BQ10&lt;&gt;"Continue",$BR10&lt;&gt;"Continue"),CONCATENATE($BQ10,CHAR(10),$BR10)))))</f>
        <v>Continue</v>
      </c>
      <c r="BT10" s="508"/>
      <c r="BU10" s="508"/>
      <c r="BV10" s="508"/>
      <c r="BX10" s="310" t="str">
        <f>IFERROR(IF('Overview - Section A'!$AN$5="Funding Request",
IF(AND('Reference Records'!$B$427&lt;&gt;"",$J10 ='Reference Records'!$B$427),'Reference Records'!$C$427,""),
INDEX('Reference Records'!$A$498:$C$499,MATCH($J10,'Reference Records'!$A$498:$A$499,0),3)),"")</f>
        <v/>
      </c>
      <c r="BY10" s="310" t="str" cm="1">
        <f t="array" ref="BY10">IFERROR(IF($B10="", "", IF(INDEX('Reference Records'!$G$27:$G$83,MATCH(LEFT(B10,255),LEFT('Reference Records'!$C$27:$C$83,255),0))=0,"",
INDEX('Reference Records'!$G$27:$G$83,MATCH(LEFT(B10,255),LEFT('Reference Records'!$C$27:$C$83,255),0)))),"")</f>
        <v/>
      </c>
    </row>
    <row r="11" spans="1:77" ht="30" customHeight="1">
      <c r="A11" s="530">
        <v>2</v>
      </c>
      <c r="B11" s="528" t="s">
        <v>1047</v>
      </c>
      <c r="C11" s="532"/>
      <c r="D11" s="159"/>
      <c r="E11" s="534">
        <f ca="1">IF(OR(INDIRECT("'update Helper'!D"&amp;AE11)="",D11&lt;&gt;0,D12&lt;&gt;0),IF(IFERROR((D11/D12),"")="","",(D11/D12)),INDIRECT("'update Helper'!D"&amp;AE11)/100)</f>
        <v>0.94</v>
      </c>
      <c r="F11" s="528">
        <v>2021</v>
      </c>
      <c r="G11" s="528" t="s">
        <v>780</v>
      </c>
      <c r="H11" s="514" t="str">
        <f>AB11</f>
        <v/>
      </c>
      <c r="I11" s="536" t="s">
        <v>323</v>
      </c>
      <c r="J11" s="528" t="s">
        <v>781</v>
      </c>
      <c r="K11" s="159"/>
      <c r="L11" s="524">
        <f ca="1">IFERROR(IF(K$7="","",IF(OR(K11&lt;&gt;0,K12&lt;&gt;0),IFERROR(IF(K11/K12="","",(K11/K12)),""),IF(VLOOKUP(CONCATENATE(A11,K$7),'update Helper'!$G$266:$N$448,5,FALSE)="","",VLOOKUP(CONCATENATE(A11,K$7),'update Helper'!$G$266:$N$448,5,FALSE)/100))),"")</f>
        <v>0.95</v>
      </c>
      <c r="M11" s="526"/>
      <c r="N11" s="528"/>
      <c r="O11" s="159"/>
      <c r="P11" s="524">
        <f ca="1">IFERROR(IF(O$7="","",IF(OR(O11&lt;&gt;0,O12&lt;&gt;0),IFERROR(IF(O11/O12="","",(O11/O12)),""),IF(VLOOKUP(CONCATENATE(A11,O$7),'update Helper'!$G$266:$N$448,5,FALSE)="","",VLOOKUP(CONCATENATE(A11,O$7),'update Helper'!$G$266:$N$448,5,FALSE)/100))),"")</f>
        <v>0.95</v>
      </c>
      <c r="Q11" s="526"/>
      <c r="R11" s="528"/>
      <c r="S11" s="159"/>
      <c r="T11" s="524">
        <f ca="1">IFERROR(IF(S$7="","",IF(OR(S11&lt;&gt;0,S12&lt;&gt;0),IFERROR(IF(S11/S12="","",(S11/S12)),""),IF(VLOOKUP(CONCATENATE(A11,S$7),'update Helper'!$G$266:$N$448,5,FALSE)="","",VLOOKUP(CONCATENATE(A11,S$7),'update Helper'!$G$266:$N$448,5,FALSE)/100))),"")</f>
        <v>0.95</v>
      </c>
      <c r="U11" s="526"/>
      <c r="V11" s="528"/>
      <c r="W11" s="159"/>
      <c r="X11" s="524" t="str">
        <f ca="1">IFERROR(IF(W$7="","",IF(OR(W11&lt;&gt;0,W12&lt;&gt;0),IFERROR(IF(W11/W12="","",(W11/W12)),""),IF(VLOOKUP(CONCATENATE(A11,W$7),'update Helper'!$G$266:$N$448,5,FALSE)="","",VLOOKUP(CONCATENATE(A11,W$7),'update Helper'!$G$266:$N$448,5,FALSE)/100))),"")</f>
        <v/>
      </c>
      <c r="Y11" s="526"/>
      <c r="Z11" s="528"/>
      <c r="AA11" s="528" t="s">
        <v>2184</v>
      </c>
      <c r="AB11" s="48" t="str">
        <f t="array" ref="AB11">IFERROR(IF(INDEX('Reference Records'!$D$27:$D$85,MATCH(LEFT(B11,255),LEFT('Reference Records'!$C$27:$C$85,255),0))=0,"",INDEX('Reference Records'!$D$27:$D$85,MATCH(LEFT(B11,255),LEFT('Reference Records'!$C$27:$C$85,255),0))),"")</f>
        <v/>
      </c>
      <c r="AC11" s="48" t="str">
        <f>B11&amp;C11</f>
        <v>TB O-2a Treatment success rate of all forms of TB - bacteriologically confirmed plus clinically diagnosed, new and relapse</v>
      </c>
      <c r="AD11" s="48">
        <f>AD9+'update Helper'!S$2</f>
        <v>274</v>
      </c>
      <c r="AE11" s="48">
        <f>AE9+1</f>
        <v>229</v>
      </c>
      <c r="BA11" s="468" t="str">
        <f t="shared" ref="BA11" ca="1" si="8">IF(AND(BU11="Continue",BV11="Continue"),"No Error",IF(AND(BU11&lt;&gt;"Continue",BV11="Continue"),BU11,IF(AND(BV11&lt;&gt;"Continue",BU11="Continue"),BV11,CONCATENATE(BU11,CHAR(10),BV11))))</f>
        <v>No Error</v>
      </c>
      <c r="BB11" s="508" t="str" cm="1">
        <f t="array" ref="BB11">IF(ISBLANK(B11),"Continue",(IF(IFERROR(_xlfn.XMATCH(B11,LEFT('Reference Records'!$I$26:$I$82,32768),0),0)&lt;&gt;0,"Continue"," Invalid indicator entry. Select from dropdown list.")))</f>
        <v>Continue</v>
      </c>
      <c r="BC11" s="508" t="str">
        <f t="shared" ref="BC11" si="9">IF(SUM(BD11:BH12)=0, "Continue", "Enter valid number only.")</f>
        <v>Continue</v>
      </c>
      <c r="BD11" s="146">
        <f t="shared" si="0"/>
        <v>0</v>
      </c>
      <c r="BE11" s="146">
        <f t="shared" si="1"/>
        <v>0</v>
      </c>
      <c r="BF11" s="146">
        <f t="shared" si="2"/>
        <v>0</v>
      </c>
      <c r="BG11" s="146">
        <f t="shared" si="3"/>
        <v>0</v>
      </c>
      <c r="BH11" s="146">
        <f t="shared" si="4"/>
        <v>0</v>
      </c>
      <c r="BI11" s="467">
        <f t="shared" ref="BI11" ca="1" si="10">IF(NOT(ISBLANK(E11)),IF(E11&lt;&gt;"",(IF(NOT(ISNUMBER(E11)),1,0)),0),0)</f>
        <v>0</v>
      </c>
      <c r="BJ11" s="467">
        <f t="shared" ref="BJ11" ca="1" si="11">IF(NOT(ISBLANK(L11)),IF(L11&lt;&gt;"",(IF(NOT(ISNUMBER(L11)),1,0)),0),0)</f>
        <v>0</v>
      </c>
      <c r="BK11" s="467">
        <f t="shared" ref="BK11" ca="1" si="12">IF(NOT(ISBLANK(P11)),IF(P11&lt;&gt;"",(IF(NOT(ISNUMBER(P11)),1,0)),0),0)</f>
        <v>0</v>
      </c>
      <c r="BL11" s="467">
        <f t="shared" ref="BL11" ca="1" si="13">IF(NOT(ISBLANK(T11)),IF(T11&lt;&gt;"",(IF(NOT(ISNUMBER(T11)),1,0)),0),0)</f>
        <v>0</v>
      </c>
      <c r="BM11" s="467">
        <f t="shared" ref="BM11" ca="1" si="14">IF(NOT(ISBLANK(X11)),IF(X11&lt;&gt;"",(IF(NOT(ISNUMBER(X11)),1,0)),0),0)</f>
        <v>0</v>
      </c>
      <c r="BN11" s="467" t="str">
        <f t="shared" ref="BN11" ca="1" si="15">IF(SUM(BI11:BM12)=0, "Continue", "Enter valid number only.")</f>
        <v>Continue</v>
      </c>
      <c r="BO11" s="467" t="str">
        <f t="shared" ref="BO11" ca="1" si="16">IF(AND(BC11="Continue",BN11="Continue"),"Continue",IF(AND(BC11&lt;&gt;"Continue",BN11="Continue"),BC11,IF(AND(BN11&lt;&gt;"Continue",BC11="Continue"),BN11,CONCATENATE(BC11,CHAR(10)))))</f>
        <v>Continue</v>
      </c>
      <c r="BP11" s="155" t="b">
        <f>IFERROR(INDEX('Reference Records'!$O$26:$O$82,MATCH($B11,'Reference Records'!I$26:I$82,0)),"")</f>
        <v>0</v>
      </c>
      <c r="BQ11" s="126" t="str">
        <f t="shared" si="5"/>
        <v>Continue</v>
      </c>
      <c r="BR11" s="126" t="str">
        <f t="shared" ca="1" si="6"/>
        <v>Continue</v>
      </c>
      <c r="BS11" s="126" t="str">
        <f t="shared" ca="1" si="7"/>
        <v>Continue</v>
      </c>
      <c r="BT11" s="508" t="str">
        <f>IF(AND(BB11="Continue",BC11="Continue"),"Continue",IF(AND(BB11&lt;&gt;"Continue",BC11="Continue"),BB11,IF(AND(BC11&lt;&gt;"Continue",BB11="Continue"),BC11,CONCATENATE(BB11,CHAR(10),BC11))))</f>
        <v>Continue</v>
      </c>
      <c r="BU11" s="508" t="str">
        <f t="shared" ref="BU11" si="17">IF(AND(B11="",C11=""),"Continue",IF(AND(B11="",C11&lt;&gt;""),"Continue",IF(AND(B11&lt;&gt;"",C11=""),"Continue",IF(AND(B11&lt;&gt;"",C11&lt;&gt;""),"Cannot enter both standard and custom indicators on the same line."))))</f>
        <v>Continue</v>
      </c>
      <c r="BV11" s="508" t="str">
        <f t="shared" ref="BV11" ca="1" si="18">IF(AND(BS11="Continue",BT11="Continue"),"Continue",IF(AND(BS11&lt;&gt;"Continue",BT11="Continue"),BS11,IF(AND(BT11&lt;&gt;"Continue",BS11="Continue"),BT11,CONCATENATE(BS11,CHAR(10),BT11))))</f>
        <v>Continue</v>
      </c>
      <c r="BX11" s="310" t="str">
        <f>IFERROR(IF('Overview - Section A'!$AN$5="Funding Request",
IF(AND('Reference Records'!$B$427&lt;&gt;"",$J11 ='Reference Records'!$B$427),'Reference Records'!$C$427,""),
INDEX('Reference Records'!$A$498:$C$499,MATCH($J11,'Reference Records'!$A$498:$A$499,0),3)),"")</f>
        <v>a1A360000013M2uEAE</v>
      </c>
      <c r="BY11" s="310" t="str" cm="1">
        <f t="array" ref="BY11">IFERROR(IF($B11="", "", IF(INDEX('Reference Records'!$G$27:$G$83,MATCH(LEFT(B11,255),LEFT('Reference Records'!$C$27:$C$83,255),0))=0,"",
INDEX('Reference Records'!$G$27:$G$83,MATCH(LEFT(B11,255),LEFT('Reference Records'!$C$27:$C$83,255),0)))),"")</f>
        <v>a1JDm000000k9cWMAQ</v>
      </c>
    </row>
    <row r="12" spans="1:77" ht="30" customHeight="1">
      <c r="A12" s="531"/>
      <c r="B12" s="529"/>
      <c r="C12" s="533"/>
      <c r="D12" s="148"/>
      <c r="E12" s="535"/>
      <c r="F12" s="529"/>
      <c r="G12" s="529"/>
      <c r="H12" s="515"/>
      <c r="I12" s="537"/>
      <c r="J12" s="529"/>
      <c r="K12" s="148"/>
      <c r="L12" s="525"/>
      <c r="M12" s="527"/>
      <c r="N12" s="529"/>
      <c r="O12" s="148"/>
      <c r="P12" s="525"/>
      <c r="Q12" s="527"/>
      <c r="R12" s="529"/>
      <c r="S12" s="148"/>
      <c r="T12" s="525"/>
      <c r="U12" s="527"/>
      <c r="V12" s="529"/>
      <c r="W12" s="148"/>
      <c r="X12" s="525"/>
      <c r="Y12" s="527"/>
      <c r="Z12" s="529"/>
      <c r="AA12" s="529"/>
      <c r="BA12" s="468"/>
      <c r="BB12" s="508"/>
      <c r="BC12" s="508"/>
      <c r="BD12" s="146">
        <f t="shared" si="0"/>
        <v>0</v>
      </c>
      <c r="BE12" s="146">
        <f t="shared" si="1"/>
        <v>0</v>
      </c>
      <c r="BF12" s="146">
        <f t="shared" si="2"/>
        <v>0</v>
      </c>
      <c r="BG12" s="146">
        <f t="shared" si="3"/>
        <v>0</v>
      </c>
      <c r="BH12" s="146">
        <f t="shared" si="4"/>
        <v>0</v>
      </c>
      <c r="BI12" s="467"/>
      <c r="BJ12" s="467"/>
      <c r="BK12" s="467"/>
      <c r="BL12" s="467"/>
      <c r="BM12" s="467"/>
      <c r="BN12" s="467"/>
      <c r="BO12" s="467"/>
      <c r="BP12" s="155" t="str">
        <f>IFERROR(INDEX('Reference Records'!$O$26:$O$82,MATCH($B12,'Reference Records'!I$26:I$82,0)),"")</f>
        <v/>
      </c>
      <c r="BQ12" s="126" t="str">
        <f t="shared" si="5"/>
        <v>Continue</v>
      </c>
      <c r="BR12" s="126" t="str">
        <f t="shared" si="6"/>
        <v>Continue</v>
      </c>
      <c r="BS12" s="126" t="str">
        <f t="shared" si="7"/>
        <v>Continue</v>
      </c>
      <c r="BT12" s="508"/>
      <c r="BU12" s="508"/>
      <c r="BV12" s="508"/>
      <c r="BX12" s="310" t="str">
        <f>IFERROR(IF('Overview - Section A'!$AN$5="Funding Request",
IF(AND('Reference Records'!$B$427&lt;&gt;"",$J12 ='Reference Records'!$B$427),'Reference Records'!$C$427,""),
INDEX('Reference Records'!$A$498:$C$499,MATCH($J12,'Reference Records'!$A$498:$A$499,0),3)),"")</f>
        <v/>
      </c>
      <c r="BY12" s="310" t="str" cm="1">
        <f t="array" ref="BY12">IFERROR(IF($B12="", "", IF(INDEX('Reference Records'!$G$27:$G$83,MATCH(LEFT(B12,255),LEFT('Reference Records'!$C$27:$C$83,255),0))=0,"",
INDEX('Reference Records'!$G$27:$G$83,MATCH(LEFT(B12,255),LEFT('Reference Records'!$C$27:$C$83,255),0)))),"")</f>
        <v/>
      </c>
    </row>
    <row r="13" spans="1:77" ht="30" customHeight="1">
      <c r="A13" s="530">
        <v>3</v>
      </c>
      <c r="B13" s="512" t="s">
        <v>1051</v>
      </c>
      <c r="C13" s="512"/>
      <c r="D13" s="158"/>
      <c r="E13" s="510">
        <f ca="1">IF(OR(INDIRECT("'update Helper'!D"&amp;AE13)="",D13&lt;&gt;0,D14&lt;&gt;0),IF(IFERROR((D13/D14),"")="","",(D13/D14)),INDIRECT("'update Helper'!D"&amp;AE13)/100)</f>
        <v>0.19</v>
      </c>
      <c r="F13" s="512">
        <v>2021</v>
      </c>
      <c r="G13" s="512" t="s">
        <v>780</v>
      </c>
      <c r="H13" s="514" t="str">
        <f>AB13</f>
        <v/>
      </c>
      <c r="I13" s="520" t="s">
        <v>323</v>
      </c>
      <c r="J13" s="512" t="s">
        <v>781</v>
      </c>
      <c r="K13" s="158"/>
      <c r="L13" s="516">
        <f ca="1">IFERROR(IF(K$7="","",IF(OR(K13&lt;&gt;0,K14&lt;&gt;0),IFERROR(IF(K13/K14="","",(K13/K14)),""),IF(VLOOKUP(CONCATENATE(A13,K$7),'update Helper'!$G$266:$N$448,5,FALSE)="","",VLOOKUP(CONCATENATE(A13,K$7),'update Helper'!$G$266:$N$448,5,FALSE)/100))),"")</f>
        <v>0.33</v>
      </c>
      <c r="M13" s="518"/>
      <c r="N13" s="512"/>
      <c r="O13" s="158"/>
      <c r="P13" s="516">
        <f ca="1">IFERROR(IF(O$7="","",IF(OR(O13&lt;&gt;0,O14&lt;&gt;0),IFERROR(IF(O13/O14="","",(O13/O14)),""),IF(VLOOKUP(CONCATENATE(A13,O$7),'update Helper'!$G$266:$N$448,5,FALSE)="","",VLOOKUP(CONCATENATE(A13,O$7),'update Helper'!$G$266:$N$448,5,FALSE)/100))),"")</f>
        <v>0.4</v>
      </c>
      <c r="Q13" s="518"/>
      <c r="R13" s="512"/>
      <c r="S13" s="158"/>
      <c r="T13" s="516">
        <f ca="1">IFERROR(IF(S$7="","",IF(OR(S13&lt;&gt;0,S14&lt;&gt;0),IFERROR(IF(S13/S14="","",(S13/S14)),""),IF(VLOOKUP(CONCATENATE(A13,S$7),'update Helper'!$G$266:$N$448,5,FALSE)="","",VLOOKUP(CONCATENATE(A13,S$7),'update Helper'!$G$266:$N$448,5,FALSE)/100))),"")</f>
        <v>0.5</v>
      </c>
      <c r="U13" s="518"/>
      <c r="V13" s="512"/>
      <c r="W13" s="158"/>
      <c r="X13" s="516" t="str">
        <f ca="1">IFERROR(IF(W$7="","",IF(OR(W13&lt;&gt;0,W14&lt;&gt;0),IFERROR(IF(W13/W14="","",(W13/W14)),""),IF(VLOOKUP(CONCATENATE(A13,W$7),'update Helper'!$G$266:$N$448,5,FALSE)="","",VLOOKUP(CONCATENATE(A13,W$7),'update Helper'!$G$266:$N$448,5,FALSE)/100))),"")</f>
        <v/>
      </c>
      <c r="Y13" s="518"/>
      <c r="Z13" s="512"/>
      <c r="AA13" s="512" t="s">
        <v>2185</v>
      </c>
      <c r="AB13" s="48" t="str">
        <f t="array" ref="AB13">IFERROR(IF(INDEX('Reference Records'!$D$27:$D$85,MATCH(LEFT(B13,255),LEFT('Reference Records'!$C$27:$C$85,255),0))=0,"",INDEX('Reference Records'!$D$27:$D$85,MATCH(LEFT(B13,255),LEFT('Reference Records'!$C$27:$C$85,255),0))),"")</f>
        <v/>
      </c>
      <c r="AC13" s="48" t="str">
        <f>B13&amp;C13</f>
        <v>TB O-6 Treatment coverage of RR-TB and/or MDR-TB: Percentage of notified people with bacteriologically confirmed, drug resistant RR-TB and/or MDR-TB as a proportion of all estimated people with RR-TB and/or MDR-TB</v>
      </c>
      <c r="AD13" s="48">
        <f>AD11+'update Helper'!S$2</f>
        <v>280</v>
      </c>
      <c r="AE13" s="48">
        <f t="shared" ref="AE13" si="19">AE11+1</f>
        <v>230</v>
      </c>
      <c r="BA13" s="468" t="str">
        <f t="shared" ref="BA13" ca="1" si="20">IF(AND(BU13="Continue",BV13="Continue"),"No Error",IF(AND(BU13&lt;&gt;"Continue",BV13="Continue"),BU13,IF(AND(BV13&lt;&gt;"Continue",BU13="Continue"),BV13,CONCATENATE(BU13,CHAR(10),BV13))))</f>
        <v>No Error</v>
      </c>
      <c r="BB13" s="508" t="str" cm="1">
        <f t="array" ref="BB13">IF(ISBLANK(B13),"Continue",(IF(IFERROR(_xlfn.XMATCH(B13,LEFT('Reference Records'!$I$26:$I$82,32768),0),0)&lt;&gt;0,"Continue"," Invalid indicator entry. Select from dropdown list.")))</f>
        <v>Continue</v>
      </c>
      <c r="BC13" s="508" t="str">
        <f t="shared" ref="BC13" si="21">IF(SUM(BD13:BH14)=0, "Continue", "Enter valid number only.")</f>
        <v>Continue</v>
      </c>
      <c r="BD13" s="146">
        <f t="shared" si="0"/>
        <v>0</v>
      </c>
      <c r="BE13" s="146">
        <f t="shared" si="1"/>
        <v>0</v>
      </c>
      <c r="BF13" s="146">
        <f t="shared" si="2"/>
        <v>0</v>
      </c>
      <c r="BG13" s="146">
        <f t="shared" si="3"/>
        <v>0</v>
      </c>
      <c r="BH13" s="146">
        <f t="shared" si="4"/>
        <v>0</v>
      </c>
      <c r="BI13" s="467">
        <f t="shared" ref="BI13" ca="1" si="22">IF(NOT(ISBLANK(E13)),IF(E13&lt;&gt;"",(IF(NOT(ISNUMBER(E13)),1,0)),0),0)</f>
        <v>0</v>
      </c>
      <c r="BJ13" s="467">
        <f t="shared" ref="BJ13" ca="1" si="23">IF(NOT(ISBLANK(L13)),IF(L13&lt;&gt;"",(IF(NOT(ISNUMBER(L13)),1,0)),0),0)</f>
        <v>0</v>
      </c>
      <c r="BK13" s="467">
        <f t="shared" ref="BK13" ca="1" si="24">IF(NOT(ISBLANK(P13)),IF(P13&lt;&gt;"",(IF(NOT(ISNUMBER(P13)),1,0)),0),0)</f>
        <v>0</v>
      </c>
      <c r="BL13" s="467">
        <f t="shared" ref="BL13" ca="1" si="25">IF(NOT(ISBLANK(T13)),IF(T13&lt;&gt;"",(IF(NOT(ISNUMBER(T13)),1,0)),0),0)</f>
        <v>0</v>
      </c>
      <c r="BM13" s="467">
        <f t="shared" ref="BM13" ca="1" si="26">IF(NOT(ISBLANK(X13)),IF(X13&lt;&gt;"",(IF(NOT(ISNUMBER(X13)),1,0)),0),0)</f>
        <v>0</v>
      </c>
      <c r="BN13" s="467" t="str">
        <f t="shared" ref="BN13" ca="1" si="27">IF(SUM(BI13:BM14)=0, "Continue", "Enter valid number only.")</f>
        <v>Continue</v>
      </c>
      <c r="BO13" s="467" t="str">
        <f t="shared" ref="BO13" ca="1" si="28">IF(AND(BC13="Continue",BN13="Continue"),"Continue",IF(AND(BC13&lt;&gt;"Continue",BN13="Continue"),BC13,IF(AND(BN13&lt;&gt;"Continue",BC13="Continue"),BN13,CONCATENATE(BC13,CHAR(10)))))</f>
        <v>Continue</v>
      </c>
      <c r="BP13" s="155" t="b">
        <f>IFERROR(INDEX('Reference Records'!$O$26:$O$82,MATCH($B13,'Reference Records'!I$26:I$82,0)),"")</f>
        <v>0</v>
      </c>
      <c r="BQ13" s="126" t="str">
        <f t="shared" si="5"/>
        <v>Continue</v>
      </c>
      <c r="BR13" s="126" t="str">
        <f t="shared" ca="1" si="6"/>
        <v>Continue</v>
      </c>
      <c r="BS13" s="126" t="str">
        <f t="shared" ca="1" si="7"/>
        <v>Continue</v>
      </c>
      <c r="BT13" s="508" t="str">
        <f>IF(AND(BB13="Continue",BC13="Continue"),"Continue",IF(AND(BB13&lt;&gt;"Continue",BC13="Continue"),BB13,IF(AND(BC13&lt;&gt;"Continue",BB13="Continue"),BC13,CONCATENATE(BB13,CHAR(10),BC13))))</f>
        <v>Continue</v>
      </c>
      <c r="BU13" s="508" t="str">
        <f t="shared" ref="BU13" si="29">IF(AND(B13="",C13=""),"Continue",IF(AND(B13="",C13&lt;&gt;""),"Continue",IF(AND(B13&lt;&gt;"",C13=""),"Continue",IF(AND(B13&lt;&gt;"",C13&lt;&gt;""),"Cannot enter both standard and custom indicators on the same line."))))</f>
        <v>Continue</v>
      </c>
      <c r="BV13" s="508" t="str">
        <f t="shared" ref="BV13" ca="1" si="30">IF(AND(BS13="Continue",BT13="Continue"),"Continue",IF(AND(BS13&lt;&gt;"Continue",BT13="Continue"),BS13,IF(AND(BT13&lt;&gt;"Continue",BS13="Continue"),BT13,CONCATENATE(BS13,CHAR(10),BT13))))</f>
        <v>Continue</v>
      </c>
      <c r="BX13" s="310" t="str">
        <f>IFERROR(IF('Overview - Section A'!$AN$5="Funding Request",
IF(AND('Reference Records'!$B$427&lt;&gt;"",$J13 ='Reference Records'!$B$427),'Reference Records'!$C$427,""),
INDEX('Reference Records'!$A$498:$C$499,MATCH($J13,'Reference Records'!$A$498:$A$499,0),3)),"")</f>
        <v>a1A360000013M2uEAE</v>
      </c>
      <c r="BY13" s="310" t="str" cm="1">
        <f t="array" ref="BY13">IFERROR(IF($B13="", "", IF(INDEX('Reference Records'!$G$27:$G$83,MATCH(LEFT(B13,255),LEFT('Reference Records'!$C$27:$C$83,255),0))=0,"",
INDEX('Reference Records'!$G$27:$G$83,MATCH(LEFT(B13,255),LEFT('Reference Records'!$C$27:$C$83,255),0)))),"")</f>
        <v>a1JDm000000k9cXMAQ</v>
      </c>
    </row>
    <row r="14" spans="1:77" ht="30" customHeight="1">
      <c r="A14" s="531"/>
      <c r="B14" s="513"/>
      <c r="C14" s="513"/>
      <c r="D14" s="140"/>
      <c r="E14" s="511"/>
      <c r="F14" s="513"/>
      <c r="G14" s="513"/>
      <c r="H14" s="515"/>
      <c r="I14" s="521"/>
      <c r="J14" s="513"/>
      <c r="K14" s="140"/>
      <c r="L14" s="517"/>
      <c r="M14" s="519"/>
      <c r="N14" s="513"/>
      <c r="O14" s="140"/>
      <c r="P14" s="517"/>
      <c r="Q14" s="519"/>
      <c r="R14" s="513"/>
      <c r="S14" s="140"/>
      <c r="T14" s="517"/>
      <c r="U14" s="519"/>
      <c r="V14" s="513"/>
      <c r="W14" s="140"/>
      <c r="X14" s="517"/>
      <c r="Y14" s="519"/>
      <c r="Z14" s="513"/>
      <c r="AA14" s="513"/>
      <c r="BA14" s="468"/>
      <c r="BB14" s="508"/>
      <c r="BC14" s="508"/>
      <c r="BD14" s="146">
        <f t="shared" si="0"/>
        <v>0</v>
      </c>
      <c r="BE14" s="146">
        <f t="shared" si="1"/>
        <v>0</v>
      </c>
      <c r="BF14" s="146">
        <f t="shared" si="2"/>
        <v>0</v>
      </c>
      <c r="BG14" s="146">
        <f t="shared" si="3"/>
        <v>0</v>
      </c>
      <c r="BH14" s="146">
        <f t="shared" si="4"/>
        <v>0</v>
      </c>
      <c r="BI14" s="467"/>
      <c r="BJ14" s="467"/>
      <c r="BK14" s="467"/>
      <c r="BL14" s="467"/>
      <c r="BM14" s="467"/>
      <c r="BN14" s="467"/>
      <c r="BO14" s="467"/>
      <c r="BP14" s="155" t="str">
        <f>IFERROR(INDEX('Reference Records'!$O$26:$O$82,MATCH($B14,'Reference Records'!I$26:I$82,0)),"")</f>
        <v/>
      </c>
      <c r="BQ14" s="126" t="str">
        <f t="shared" si="5"/>
        <v>Continue</v>
      </c>
      <c r="BR14" s="126" t="str">
        <f t="shared" si="6"/>
        <v>Continue</v>
      </c>
      <c r="BS14" s="126" t="str">
        <f t="shared" si="7"/>
        <v>Continue</v>
      </c>
      <c r="BT14" s="508"/>
      <c r="BU14" s="508"/>
      <c r="BV14" s="508"/>
      <c r="BX14" s="310" t="str">
        <f>IFERROR(IF('Overview - Section A'!$AN$5="Funding Request",
IF(AND('Reference Records'!$B$427&lt;&gt;"",$J14 ='Reference Records'!$B$427),'Reference Records'!$C$427,""),
INDEX('Reference Records'!$A$498:$C$499,MATCH($J14,'Reference Records'!$A$498:$A$499,0),3)),"")</f>
        <v/>
      </c>
      <c r="BY14" s="310" t="str" cm="1">
        <f t="array" ref="BY14">IFERROR(IF($B14="", "", IF(INDEX('Reference Records'!$G$27:$G$83,MATCH(LEFT(B14,255),LEFT('Reference Records'!$C$27:$C$83,255),0))=0,"",
INDEX('Reference Records'!$G$27:$G$83,MATCH(LEFT(B14,255),LEFT('Reference Records'!$C$27:$C$83,255),0)))),"")</f>
        <v/>
      </c>
    </row>
    <row r="15" spans="1:77" ht="30" customHeight="1">
      <c r="A15" s="530">
        <v>4</v>
      </c>
      <c r="B15" s="528" t="s">
        <v>1055</v>
      </c>
      <c r="C15" s="532"/>
      <c r="D15" s="159"/>
      <c r="E15" s="534">
        <f ca="1">IF(OR(INDIRECT("'update Helper'!D"&amp;AE15)="",D15&lt;&gt;0,D16&lt;&gt;0),IF(IFERROR((D15/D16),"")="","",(D15/D16)),INDIRECT("'update Helper'!D"&amp;AE15)/100)</f>
        <v>0.8</v>
      </c>
      <c r="F15" s="528">
        <v>2021</v>
      </c>
      <c r="G15" s="528" t="s">
        <v>780</v>
      </c>
      <c r="H15" s="514" t="str">
        <f>AB15</f>
        <v/>
      </c>
      <c r="I15" s="536" t="s">
        <v>323</v>
      </c>
      <c r="J15" s="528" t="s">
        <v>781</v>
      </c>
      <c r="K15" s="159"/>
      <c r="L15" s="524">
        <f ca="1">IFERROR(IF(K$7="","",IF(OR(K15&lt;&gt;0,K16&lt;&gt;0),IFERROR(IF(K15/K16="","",(K15/K16)),""),IF(VLOOKUP(CONCATENATE(A15,K$7),'update Helper'!$G$266:$N$448,5,FALSE)="","",VLOOKUP(CONCATENATE(A15,K$7),'update Helper'!$G$266:$N$448,5,FALSE)/100))),"")</f>
        <v>0.85</v>
      </c>
      <c r="M15" s="526"/>
      <c r="N15" s="528"/>
      <c r="O15" s="159"/>
      <c r="P15" s="524">
        <f ca="1">IFERROR(IF(O$7="","",IF(OR(O15&lt;&gt;0,O16&lt;&gt;0),IFERROR(IF(O15/O16="","",(O15/O16)),""),IF(VLOOKUP(CONCATENATE(A15,O$7),'update Helper'!$G$266:$N$448,5,FALSE)="","",VLOOKUP(CONCATENATE(A15,O$7),'update Helper'!$G$266:$N$448,5,FALSE)/100))),"")</f>
        <v>0.85</v>
      </c>
      <c r="Q15" s="526"/>
      <c r="R15" s="528"/>
      <c r="S15" s="159"/>
      <c r="T15" s="524">
        <f ca="1">IFERROR(IF(S$7="","",IF(OR(S15&lt;&gt;0,S16&lt;&gt;0),IFERROR(IF(S15/S16="","",(S15/S16)),""),IF(VLOOKUP(CONCATENATE(A15,S$7),'update Helper'!$G$266:$N$448,5,FALSE)="","",VLOOKUP(CONCATENATE(A15,S$7),'update Helper'!$G$266:$N$448,5,FALSE)/100))),"")</f>
        <v>0.85</v>
      </c>
      <c r="U15" s="526"/>
      <c r="V15" s="528"/>
      <c r="W15" s="159"/>
      <c r="X15" s="524" t="str">
        <f ca="1">IFERROR(IF(W$7="","",IF(OR(W15&lt;&gt;0,W16&lt;&gt;0),IFERROR(IF(W15/W16="","",(W15/W16)),""),IF(VLOOKUP(CONCATENATE(A15,W$7),'update Helper'!$G$266:$N$448,5,FALSE)="","",VLOOKUP(CONCATENATE(A15,W$7),'update Helper'!$G$266:$N$448,5,FALSE)/100))),"")</f>
        <v/>
      </c>
      <c r="Y15" s="526"/>
      <c r="Z15" s="528"/>
      <c r="AA15" s="528" t="s">
        <v>2186</v>
      </c>
      <c r="AB15" s="48" t="str">
        <f t="array" ref="AB15">IFERROR(IF(INDEX('Reference Records'!$D$27:$D$85,MATCH(LEFT(B15,255),LEFT('Reference Records'!$C$27:$C$85,255),0))=0,"",INDEX('Reference Records'!$D$27:$D$85,MATCH(LEFT(B15,255),LEFT('Reference Records'!$C$27:$C$85,255),0))),"")</f>
        <v/>
      </c>
      <c r="AC15" s="48" t="str">
        <f>B15&amp;C15</f>
        <v>TB O-4 Treatment success rate of RR-TB and/or MDR-TB: Percentage of patients with RR and/or MDR-TB successfully treated</v>
      </c>
      <c r="AD15" s="48">
        <f>AD13+'update Helper'!S$2</f>
        <v>286</v>
      </c>
      <c r="AE15" s="48">
        <f t="shared" ref="AE15" si="31">AE13+1</f>
        <v>231</v>
      </c>
      <c r="BA15" s="468" t="str">
        <f t="shared" ref="BA15" ca="1" si="32">IF(AND(BU15="Continue",BV15="Continue"),"No Error",IF(AND(BU15&lt;&gt;"Continue",BV15="Continue"),BU15,IF(AND(BV15&lt;&gt;"Continue",BU15="Continue"),BV15,CONCATENATE(BU15,CHAR(10),BV15))))</f>
        <v>No Error</v>
      </c>
      <c r="BB15" s="508" t="str" cm="1">
        <f t="array" ref="BB15">IF(ISBLANK(B15),"Continue",(IF(IFERROR(_xlfn.XMATCH(B15,LEFT('Reference Records'!$I$26:$I$82,32768),0),0)&lt;&gt;0,"Continue"," Invalid indicator entry. Select from dropdown list.")))</f>
        <v>Continue</v>
      </c>
      <c r="BC15" s="508" t="str">
        <f t="shared" ref="BC15" si="33">IF(SUM(BD15:BH16)=0, "Continue", "Enter valid number only.")</f>
        <v>Continue</v>
      </c>
      <c r="BD15" s="146">
        <f t="shared" si="0"/>
        <v>0</v>
      </c>
      <c r="BE15" s="146">
        <f t="shared" si="1"/>
        <v>0</v>
      </c>
      <c r="BF15" s="146">
        <f t="shared" si="2"/>
        <v>0</v>
      </c>
      <c r="BG15" s="146">
        <f t="shared" si="3"/>
        <v>0</v>
      </c>
      <c r="BH15" s="146">
        <f t="shared" si="4"/>
        <v>0</v>
      </c>
      <c r="BI15" s="467">
        <f t="shared" ref="BI15" ca="1" si="34">IF(NOT(ISBLANK(E15)),IF(E15&lt;&gt;"",(IF(NOT(ISNUMBER(E15)),1,0)),0),0)</f>
        <v>0</v>
      </c>
      <c r="BJ15" s="467">
        <f t="shared" ref="BJ15" ca="1" si="35">IF(NOT(ISBLANK(L15)),IF(L15&lt;&gt;"",(IF(NOT(ISNUMBER(L15)),1,0)),0),0)</f>
        <v>0</v>
      </c>
      <c r="BK15" s="467">
        <f t="shared" ref="BK15" ca="1" si="36">IF(NOT(ISBLANK(P15)),IF(P15&lt;&gt;"",(IF(NOT(ISNUMBER(P15)),1,0)),0),0)</f>
        <v>0</v>
      </c>
      <c r="BL15" s="467">
        <f t="shared" ref="BL15" ca="1" si="37">IF(NOT(ISBLANK(T15)),IF(T15&lt;&gt;"",(IF(NOT(ISNUMBER(T15)),1,0)),0),0)</f>
        <v>0</v>
      </c>
      <c r="BM15" s="467">
        <f t="shared" ref="BM15" ca="1" si="38">IF(NOT(ISBLANK(X15)),IF(X15&lt;&gt;"",(IF(NOT(ISNUMBER(X15)),1,0)),0),0)</f>
        <v>0</v>
      </c>
      <c r="BN15" s="467" t="str">
        <f t="shared" ref="BN15" ca="1" si="39">IF(SUM(BI15:BM16)=0, "Continue", "Enter valid number only.")</f>
        <v>Continue</v>
      </c>
      <c r="BO15" s="467" t="str">
        <f t="shared" ref="BO15" ca="1" si="40">IF(AND(BC15="Continue",BN15="Continue"),"Continue",IF(AND(BC15&lt;&gt;"Continue",BN15="Continue"),BC15,IF(AND(BN15&lt;&gt;"Continue",BC15="Continue"),BN15,CONCATENATE(BC15,CHAR(10)))))</f>
        <v>Continue</v>
      </c>
      <c r="BP15" s="155" t="b">
        <f>IFERROR(INDEX('Reference Records'!$O$26:$O$82,MATCH($B15,'Reference Records'!I$26:I$82,0)),"")</f>
        <v>0</v>
      </c>
      <c r="BQ15" s="126" t="str">
        <f t="shared" si="5"/>
        <v>Continue</v>
      </c>
      <c r="BR15" s="126" t="str">
        <f t="shared" ca="1" si="6"/>
        <v>Continue</v>
      </c>
      <c r="BS15" s="126" t="str">
        <f t="shared" ca="1" si="7"/>
        <v>Continue</v>
      </c>
      <c r="BT15" s="508" t="str">
        <f>IF(AND(BB15="Continue",BC15="Continue"),"Continue",IF(AND(BB15&lt;&gt;"Continue",BC15="Continue"),BB15,IF(AND(BC15&lt;&gt;"Continue",BB15="Continue"),BC15,CONCATENATE(BB15,CHAR(10),BC15))))</f>
        <v>Continue</v>
      </c>
      <c r="BU15" s="508" t="str">
        <f t="shared" ref="BU15" si="41">IF(AND(B15="",C15=""),"Continue",IF(AND(B15="",C15&lt;&gt;""),"Continue",IF(AND(B15&lt;&gt;"",C15=""),"Continue",IF(AND(B15&lt;&gt;"",C15&lt;&gt;""),"Cannot enter both standard and custom indicators on the same line."))))</f>
        <v>Continue</v>
      </c>
      <c r="BV15" s="508" t="str">
        <f t="shared" ref="BV15" ca="1" si="42">IF(AND(BS15="Continue",BT15="Continue"),"Continue",IF(AND(BS15&lt;&gt;"Continue",BT15="Continue"),BS15,IF(AND(BT15&lt;&gt;"Continue",BS15="Continue"),BT15,CONCATENATE(BS15,CHAR(10),BT15))))</f>
        <v>Continue</v>
      </c>
      <c r="BX15" s="310" t="str">
        <f>IFERROR(IF('Overview - Section A'!$AN$5="Funding Request",
IF(AND('Reference Records'!$B$427&lt;&gt;"",$J15 ='Reference Records'!$B$427),'Reference Records'!$C$427,""),
INDEX('Reference Records'!$A$498:$C$499,MATCH($J15,'Reference Records'!$A$498:$A$499,0),3)),"")</f>
        <v>a1A360000013M2uEAE</v>
      </c>
      <c r="BY15" s="310" t="str" cm="1">
        <f t="array" ref="BY15">IFERROR(IF($B15="", "", IF(INDEX('Reference Records'!$G$27:$G$83,MATCH(LEFT(B15,255),LEFT('Reference Records'!$C$27:$C$83,255),0))=0,"",
INDEX('Reference Records'!$G$27:$G$83,MATCH(LEFT(B15,255),LEFT('Reference Records'!$C$27:$C$83,255),0)))),"")</f>
        <v>a1JDm000000k9cYMAQ</v>
      </c>
    </row>
    <row r="16" spans="1:77" ht="30" customHeight="1">
      <c r="A16" s="531"/>
      <c r="B16" s="529"/>
      <c r="C16" s="533"/>
      <c r="D16" s="148"/>
      <c r="E16" s="535"/>
      <c r="F16" s="529"/>
      <c r="G16" s="529"/>
      <c r="H16" s="515"/>
      <c r="I16" s="537"/>
      <c r="J16" s="529"/>
      <c r="K16" s="148"/>
      <c r="L16" s="525"/>
      <c r="M16" s="527"/>
      <c r="N16" s="529"/>
      <c r="O16" s="148"/>
      <c r="P16" s="525"/>
      <c r="Q16" s="527"/>
      <c r="R16" s="529"/>
      <c r="S16" s="148"/>
      <c r="T16" s="525"/>
      <c r="U16" s="527"/>
      <c r="V16" s="529"/>
      <c r="W16" s="148"/>
      <c r="X16" s="525"/>
      <c r="Y16" s="527"/>
      <c r="Z16" s="529"/>
      <c r="AA16" s="529"/>
      <c r="BA16" s="468"/>
      <c r="BB16" s="508"/>
      <c r="BC16" s="508"/>
      <c r="BD16" s="146">
        <f t="shared" si="0"/>
        <v>0</v>
      </c>
      <c r="BE16" s="146">
        <f t="shared" si="1"/>
        <v>0</v>
      </c>
      <c r="BF16" s="146">
        <f t="shared" si="2"/>
        <v>0</v>
      </c>
      <c r="BG16" s="146">
        <f t="shared" si="3"/>
        <v>0</v>
      </c>
      <c r="BH16" s="146">
        <f t="shared" si="4"/>
        <v>0</v>
      </c>
      <c r="BI16" s="467"/>
      <c r="BJ16" s="467"/>
      <c r="BK16" s="467"/>
      <c r="BL16" s="467"/>
      <c r="BM16" s="467"/>
      <c r="BN16" s="467"/>
      <c r="BO16" s="467"/>
      <c r="BP16" s="155" t="str">
        <f>IFERROR(INDEX('Reference Records'!$O$26:$O$82,MATCH($B16,'Reference Records'!I$26:I$82,0)),"")</f>
        <v/>
      </c>
      <c r="BQ16" s="126" t="str">
        <f t="shared" si="5"/>
        <v>Continue</v>
      </c>
      <c r="BR16" s="126" t="str">
        <f t="shared" si="6"/>
        <v>Continue</v>
      </c>
      <c r="BS16" s="126" t="str">
        <f t="shared" si="7"/>
        <v>Continue</v>
      </c>
      <c r="BT16" s="508"/>
      <c r="BU16" s="508"/>
      <c r="BV16" s="508"/>
      <c r="BX16" s="310" t="str">
        <f>IFERROR(IF('Overview - Section A'!$AN$5="Funding Request",
IF(AND('Reference Records'!$B$427&lt;&gt;"",$J16 ='Reference Records'!$B$427),'Reference Records'!$C$427,""),
INDEX('Reference Records'!$A$498:$C$499,MATCH($J16,'Reference Records'!$A$498:$A$499,0),3)),"")</f>
        <v/>
      </c>
      <c r="BY16" s="310" t="str" cm="1">
        <f t="array" ref="BY16">IFERROR(IF($B16="", "", IF(INDEX('Reference Records'!$G$27:$G$83,MATCH(LEFT(B16,255),LEFT('Reference Records'!$C$27:$C$83,255),0))=0,"",
INDEX('Reference Records'!$G$27:$G$83,MATCH(LEFT(B16,255),LEFT('Reference Records'!$C$27:$C$83,255),0)))),"")</f>
        <v/>
      </c>
    </row>
    <row r="17" spans="1:77" ht="30" customHeight="1">
      <c r="A17" s="530">
        <v>5</v>
      </c>
      <c r="B17" s="512" t="s">
        <v>895</v>
      </c>
      <c r="C17" s="512"/>
      <c r="D17" s="158">
        <v>1288</v>
      </c>
      <c r="E17" s="510">
        <f ca="1">IF(OR(INDIRECT("'update Helper'!D"&amp;AE17)="",D17&lt;&gt;0,D18&lt;&gt;0),IF(IFERROR((D17/D18),"")="","",(D17/D18)),INDIRECT("'update Helper'!D"&amp;AE17)/100)</f>
        <v>0.62072289156626503</v>
      </c>
      <c r="F17" s="512">
        <v>2022</v>
      </c>
      <c r="G17" s="512" t="s">
        <v>2187</v>
      </c>
      <c r="H17" s="514" t="str">
        <f>AB17</f>
        <v/>
      </c>
      <c r="I17" s="520" t="s">
        <v>323</v>
      </c>
      <c r="J17" s="512" t="s">
        <v>781</v>
      </c>
      <c r="K17" s="158"/>
      <c r="L17" s="516" t="str">
        <f ca="1">IFERROR(IF(K$7="","",IF(OR(K17&lt;&gt;0,K18&lt;&gt;0),IFERROR(IF(K17/K18="","",(K17/K18)),""),IF(VLOOKUP(CONCATENATE(A17,K$7),'update Helper'!$G$266:$N$448,5,FALSE)="","",VLOOKUP(CONCATENATE(A17,K$7),'update Helper'!$G$266:$N$448,5,FALSE)/100))),"")</f>
        <v/>
      </c>
      <c r="M17" s="518"/>
      <c r="N17" s="512"/>
      <c r="O17" s="158"/>
      <c r="P17" s="516" t="str">
        <f ca="1">IFERROR(IF(O$7="","",IF(OR(O17&lt;&gt;0,O18&lt;&gt;0),IFERROR(IF(O17/O18="","",(O17/O18)),""),IF(VLOOKUP(CONCATENATE(A17,O$7),'update Helper'!$G$266:$N$448,5,FALSE)="","",VLOOKUP(CONCATENATE(A17,O$7),'update Helper'!$G$266:$N$448,5,FALSE)/100))),"")</f>
        <v/>
      </c>
      <c r="Q17" s="518"/>
      <c r="R17" s="512" t="s">
        <v>665</v>
      </c>
      <c r="S17" s="158"/>
      <c r="T17" s="516" t="str">
        <f ca="1">IFERROR(IF(S$7="","",IF(OR(S17&lt;&gt;0,S18&lt;&gt;0),IFERROR(IF(S17/S18="","",(S17/S18)),""),IF(VLOOKUP(CONCATENATE(A17,S$7),'update Helper'!$G$266:$N$448,5,FALSE)="","",VLOOKUP(CONCATENATE(A17,S$7),'update Helper'!$G$266:$N$448,5,FALSE)/100))),"")</f>
        <v/>
      </c>
      <c r="U17" s="518"/>
      <c r="V17" s="512"/>
      <c r="W17" s="158"/>
      <c r="X17" s="516" t="str">
        <f ca="1">IFERROR(IF(W$7="","",IF(OR(W17&lt;&gt;0,W18&lt;&gt;0),IFERROR(IF(W17/W18="","",(W17/W18)),""),IF(VLOOKUP(CONCATENATE(A17,W$7),'update Helper'!$G$266:$N$448,5,FALSE)="","",VLOOKUP(CONCATENATE(A17,W$7),'update Helper'!$G$266:$N$448,5,FALSE)/100))),"")</f>
        <v/>
      </c>
      <c r="Y17" s="518"/>
      <c r="Z17" s="512"/>
      <c r="AA17" s="512" t="s">
        <v>2188</v>
      </c>
      <c r="AB17" s="48" t="str">
        <f t="array" ref="AB17">IFERROR(IF(INDEX('Reference Records'!$D$27:$D$85,MATCH(LEFT(B17,255),LEFT('Reference Records'!$C$27:$C$85,255),0))=0,"",INDEX('Reference Records'!$D$27:$D$85,MATCH(LEFT(B17,255),LEFT('Reference Records'!$C$27:$C$85,255),0))),"")</f>
        <v/>
      </c>
      <c r="AC17" s="48" t="str">
        <f>B17&amp;C17</f>
        <v>HIV O-4a Percentage of men reporting using a condom the last time they had anal sex with a male partner</v>
      </c>
      <c r="AD17" s="48">
        <f>AD15+'update Helper'!S$2</f>
        <v>292</v>
      </c>
      <c r="AE17" s="48">
        <f t="shared" ref="AE17" si="43">AE15+1</f>
        <v>232</v>
      </c>
      <c r="BA17" s="468" t="str">
        <f t="shared" ref="BA17" ca="1" si="44">IF(AND(BU17="Continue",BV17="Continue"),"No Error",IF(AND(BU17&lt;&gt;"Continue",BV17="Continue"),BU17,IF(AND(BV17&lt;&gt;"Continue",BU17="Continue"),BV17,CONCATENATE(BU17,CHAR(10),BV17))))</f>
        <v>No Error</v>
      </c>
      <c r="BB17" s="508" t="str" cm="1">
        <f t="array" ref="BB17">IF(ISBLANK(B17),"Continue",(IF(IFERROR(_xlfn.XMATCH(B17,LEFT('Reference Records'!$I$26:$I$82,32768),0),0)&lt;&gt;0,"Continue"," Invalid indicator entry. Select from dropdown list.")))</f>
        <v>Continue</v>
      </c>
      <c r="BC17" s="508" t="str">
        <f t="shared" ref="BC17" si="45">IF(SUM(BD17:BH18)=0, "Continue", "Enter valid number only.")</f>
        <v>Continue</v>
      </c>
      <c r="BD17" s="146">
        <f t="shared" si="0"/>
        <v>0</v>
      </c>
      <c r="BE17" s="146">
        <f t="shared" si="1"/>
        <v>0</v>
      </c>
      <c r="BF17" s="146">
        <f t="shared" si="2"/>
        <v>0</v>
      </c>
      <c r="BG17" s="146">
        <f t="shared" si="3"/>
        <v>0</v>
      </c>
      <c r="BH17" s="146">
        <f t="shared" si="4"/>
        <v>0</v>
      </c>
      <c r="BI17" s="467">
        <f t="shared" ref="BI17" ca="1" si="46">IF(NOT(ISBLANK(E17)),IF(E17&lt;&gt;"",(IF(NOT(ISNUMBER(E17)),1,0)),0),0)</f>
        <v>0</v>
      </c>
      <c r="BJ17" s="467">
        <f t="shared" ref="BJ17" ca="1" si="47">IF(NOT(ISBLANK(L17)),IF(L17&lt;&gt;"",(IF(NOT(ISNUMBER(L17)),1,0)),0),0)</f>
        <v>0</v>
      </c>
      <c r="BK17" s="467">
        <f t="shared" ref="BK17" ca="1" si="48">IF(NOT(ISBLANK(P17)),IF(P17&lt;&gt;"",(IF(NOT(ISNUMBER(P17)),1,0)),0),0)</f>
        <v>0</v>
      </c>
      <c r="BL17" s="467">
        <f t="shared" ref="BL17" ca="1" si="49">IF(NOT(ISBLANK(T17)),IF(T17&lt;&gt;"",(IF(NOT(ISNUMBER(T17)),1,0)),0),0)</f>
        <v>0</v>
      </c>
      <c r="BM17" s="467">
        <f t="shared" ref="BM17" ca="1" si="50">IF(NOT(ISBLANK(X17)),IF(X17&lt;&gt;"",(IF(NOT(ISNUMBER(X17)),1,0)),0),0)</f>
        <v>0</v>
      </c>
      <c r="BN17" s="467" t="str">
        <f t="shared" ref="BN17" ca="1" si="51">IF(SUM(BI17:BM18)=0, "Continue", "Enter valid number only.")</f>
        <v>Continue</v>
      </c>
      <c r="BO17" s="467" t="str">
        <f t="shared" ref="BO17" ca="1" si="52">IF(AND(BC17="Continue",BN17="Continue"),"Continue",IF(AND(BC17&lt;&gt;"Continue",BN17="Continue"),BC17,IF(AND(BN17&lt;&gt;"Continue",BC17="Continue"),BN17,CONCATENATE(BC17,CHAR(10)))))</f>
        <v>Continue</v>
      </c>
      <c r="BP17" s="155" t="b">
        <f>IFERROR(INDEX('Reference Records'!$O$26:$O$82,MATCH($B17,'Reference Records'!I$26:I$82,0)),"")</f>
        <v>0</v>
      </c>
      <c r="BQ17" s="126" t="str">
        <f t="shared" si="5"/>
        <v>Continue</v>
      </c>
      <c r="BR17" s="126" t="str">
        <f t="shared" ca="1" si="6"/>
        <v>Continue</v>
      </c>
      <c r="BS17" s="126" t="str">
        <f t="shared" ca="1" si="7"/>
        <v>Continue</v>
      </c>
      <c r="BT17" s="508" t="str">
        <f>IF(AND(BB17="Continue",BC17="Continue"),"Continue",IF(AND(BB17&lt;&gt;"Continue",BC17="Continue"),BB17,IF(AND(BC17&lt;&gt;"Continue",BB17="Continue"),BC17,CONCATENATE(BB17,CHAR(10),BC17))))</f>
        <v>Continue</v>
      </c>
      <c r="BU17" s="508" t="str">
        <f t="shared" ref="BU17" si="53">IF(AND(B17="",C17=""),"Continue",IF(AND(B17="",C17&lt;&gt;""),"Continue",IF(AND(B17&lt;&gt;"",C17=""),"Continue",IF(AND(B17&lt;&gt;"",C17&lt;&gt;""),"Cannot enter both standard and custom indicators on the same line."))))</f>
        <v>Continue</v>
      </c>
      <c r="BV17" s="508" t="str">
        <f t="shared" ref="BV17" ca="1" si="54">IF(AND(BS17="Continue",BT17="Continue"),"Continue",IF(AND(BS17&lt;&gt;"Continue",BT17="Continue"),BS17,IF(AND(BT17&lt;&gt;"Continue",BS17="Continue"),BT17,CONCATENATE(BS17,CHAR(10),BT17))))</f>
        <v>Continue</v>
      </c>
      <c r="BX17" s="310" t="str">
        <f>IFERROR(IF('Overview - Section A'!$AN$5="Funding Request",
IF(AND('Reference Records'!$B$427&lt;&gt;"",$J17 ='Reference Records'!$B$427),'Reference Records'!$C$427,""),
INDEX('Reference Records'!$A$498:$C$499,MATCH($J17,'Reference Records'!$A$498:$A$499,0),3)),"")</f>
        <v>a1A360000013M2uEAE</v>
      </c>
      <c r="BY17" s="310" t="str" cm="1">
        <f t="array" ref="BY17">IFERROR(IF($B17="", "", IF(INDEX('Reference Records'!$G$27:$G$83,MATCH(LEFT(B17,255),LEFT('Reference Records'!$C$27:$C$83,255),0))=0,"",
INDEX('Reference Records'!$G$27:$G$83,MATCH(LEFT(B17,255),LEFT('Reference Records'!$C$27:$C$83,255),0)))),"")</f>
        <v>a1JDm000000k9c4MAA</v>
      </c>
    </row>
    <row r="18" spans="1:77" ht="30" customHeight="1">
      <c r="A18" s="531"/>
      <c r="B18" s="513"/>
      <c r="C18" s="513"/>
      <c r="D18" s="140">
        <v>2075</v>
      </c>
      <c r="E18" s="511"/>
      <c r="F18" s="513"/>
      <c r="G18" s="513"/>
      <c r="H18" s="515"/>
      <c r="I18" s="521"/>
      <c r="J18" s="513"/>
      <c r="K18" s="140"/>
      <c r="L18" s="517"/>
      <c r="M18" s="519"/>
      <c r="N18" s="513"/>
      <c r="O18" s="140"/>
      <c r="P18" s="517"/>
      <c r="Q18" s="519"/>
      <c r="R18" s="513"/>
      <c r="S18" s="140"/>
      <c r="T18" s="517"/>
      <c r="U18" s="519"/>
      <c r="V18" s="513"/>
      <c r="W18" s="140"/>
      <c r="X18" s="517"/>
      <c r="Y18" s="519"/>
      <c r="Z18" s="513"/>
      <c r="AA18" s="513"/>
      <c r="BA18" s="468"/>
      <c r="BB18" s="508"/>
      <c r="BC18" s="508"/>
      <c r="BD18" s="146">
        <f t="shared" si="0"/>
        <v>0</v>
      </c>
      <c r="BE18" s="146">
        <f t="shared" si="1"/>
        <v>0</v>
      </c>
      <c r="BF18" s="146">
        <f t="shared" si="2"/>
        <v>0</v>
      </c>
      <c r="BG18" s="146">
        <f t="shared" si="3"/>
        <v>0</v>
      </c>
      <c r="BH18" s="146">
        <f t="shared" si="4"/>
        <v>0</v>
      </c>
      <c r="BI18" s="467"/>
      <c r="BJ18" s="467"/>
      <c r="BK18" s="467"/>
      <c r="BL18" s="467"/>
      <c r="BM18" s="467"/>
      <c r="BN18" s="467"/>
      <c r="BO18" s="467"/>
      <c r="BP18" s="155" t="str">
        <f>IFERROR(INDEX('Reference Records'!$O$26:$O$82,MATCH($B18,'Reference Records'!I$26:I$82,0)),"")</f>
        <v/>
      </c>
      <c r="BQ18" s="126" t="str">
        <f t="shared" si="5"/>
        <v>Continue</v>
      </c>
      <c r="BR18" s="126" t="str">
        <f t="shared" si="6"/>
        <v>Continue</v>
      </c>
      <c r="BS18" s="126" t="str">
        <f t="shared" si="7"/>
        <v>Continue</v>
      </c>
      <c r="BT18" s="508"/>
      <c r="BU18" s="508"/>
      <c r="BV18" s="508"/>
      <c r="BX18" s="310" t="str">
        <f>IFERROR(IF('Overview - Section A'!$AN$5="Funding Request",
IF(AND('Reference Records'!$B$427&lt;&gt;"",$J18 ='Reference Records'!$B$427),'Reference Records'!$C$427,""),
INDEX('Reference Records'!$A$498:$C$499,MATCH($J18,'Reference Records'!$A$498:$A$499,0),3)),"")</f>
        <v/>
      </c>
      <c r="BY18" s="310" t="str" cm="1">
        <f t="array" ref="BY18">IFERROR(IF($B18="", "", IF(INDEX('Reference Records'!$G$27:$G$83,MATCH(LEFT(B18,255),LEFT('Reference Records'!$C$27:$C$83,255),0))=0,"",
INDEX('Reference Records'!$G$27:$G$83,MATCH(LEFT(B18,255),LEFT('Reference Records'!$C$27:$C$83,255),0)))),"")</f>
        <v/>
      </c>
    </row>
    <row r="19" spans="1:77" ht="30" customHeight="1">
      <c r="A19" s="530">
        <v>6</v>
      </c>
      <c r="B19" s="528" t="s">
        <v>899</v>
      </c>
      <c r="C19" s="532"/>
      <c r="D19" s="159">
        <v>388</v>
      </c>
      <c r="E19" s="534">
        <f ca="1">IF(OR(INDIRECT("'update Helper'!D"&amp;AE19)="",D19&lt;&gt;0,D20&lt;&gt;0),IF(IFERROR((D19/D20),"")="","",(D19/D20)),INDIRECT("'update Helper'!D"&amp;AE19)/100)</f>
        <v>0.59600614439324118</v>
      </c>
      <c r="F19" s="528">
        <v>2022</v>
      </c>
      <c r="G19" s="528" t="s">
        <v>2187</v>
      </c>
      <c r="H19" s="514" t="str">
        <f>AB19</f>
        <v/>
      </c>
      <c r="I19" s="536" t="s">
        <v>323</v>
      </c>
      <c r="J19" s="528" t="s">
        <v>781</v>
      </c>
      <c r="K19" s="159"/>
      <c r="L19" s="524" t="str">
        <f ca="1">IFERROR(IF(K$7="","",IF(OR(K19&lt;&gt;0,K20&lt;&gt;0),IFERROR(IF(K19/K20="","",(K19/K20)),""),IF(VLOOKUP(CONCATENATE(A19,K$7),'update Helper'!$G$266:$N$448,5,FALSE)="","",VLOOKUP(CONCATENATE(A19,K$7),'update Helper'!$G$266:$N$448,5,FALSE)/100))),"")</f>
        <v/>
      </c>
      <c r="M19" s="526"/>
      <c r="N19" s="528"/>
      <c r="O19" s="159"/>
      <c r="P19" s="524" t="str">
        <f ca="1">IFERROR(IF(O$7="","",IF(OR(O19&lt;&gt;0,O20&lt;&gt;0),IFERROR(IF(O19/O20="","",(O19/O20)),""),IF(VLOOKUP(CONCATENATE(A19,O$7),'update Helper'!$G$266:$N$448,5,FALSE)="","",VLOOKUP(CONCATENATE(A19,O$7),'update Helper'!$G$266:$N$448,5,FALSE)/100))),"")</f>
        <v/>
      </c>
      <c r="Q19" s="526"/>
      <c r="R19" s="528" t="s">
        <v>665</v>
      </c>
      <c r="S19" s="159"/>
      <c r="T19" s="524" t="str">
        <f ca="1">IFERROR(IF(S$7="","",IF(OR(S19&lt;&gt;0,S20&lt;&gt;0),IFERROR(IF(S19/S20="","",(S19/S20)),""),IF(VLOOKUP(CONCATENATE(A19,S$7),'update Helper'!$G$266:$N$448,5,FALSE)="","",VLOOKUP(CONCATENATE(A19,S$7),'update Helper'!$G$266:$N$448,5,FALSE)/100))),"")</f>
        <v/>
      </c>
      <c r="U19" s="526"/>
      <c r="V19" s="528"/>
      <c r="W19" s="159"/>
      <c r="X19" s="524" t="str">
        <f ca="1">IFERROR(IF(W$7="","",IF(OR(W19&lt;&gt;0,W20&lt;&gt;0),IFERROR(IF(W19/W20="","",(W19/W20)),""),IF(VLOOKUP(CONCATENATE(A19,W$7),'update Helper'!$G$266:$N$448,5,FALSE)="","",VLOOKUP(CONCATENATE(A19,W$7),'update Helper'!$G$266:$N$448,5,FALSE)/100))),"")</f>
        <v/>
      </c>
      <c r="Y19" s="526"/>
      <c r="Z19" s="528"/>
      <c r="AA19" s="528" t="s">
        <v>2189</v>
      </c>
      <c r="AB19" s="48" t="str">
        <f t="array" ref="AB19">IFERROR(IF(INDEX('Reference Records'!$D$27:$D$85,MATCH(LEFT(B19,255),LEFT('Reference Records'!$C$27:$C$85,255),0))=0,"",INDEX('Reference Records'!$D$27:$D$85,MATCH(LEFT(B19,255),LEFT('Reference Records'!$C$27:$C$85,255),0))),"")</f>
        <v/>
      </c>
      <c r="AC19" s="48" t="str">
        <f>B19&amp;C19</f>
        <v>HIV O-4.1b Percentage of transgender people reporting using a condom during their most recent sexual intercourse or anal sex</v>
      </c>
      <c r="AD19" s="48">
        <f>AD17+'update Helper'!S$2</f>
        <v>298</v>
      </c>
      <c r="AE19" s="48">
        <f t="shared" ref="AE19" si="55">AE17+1</f>
        <v>233</v>
      </c>
      <c r="BA19" s="468" t="str">
        <f t="shared" ref="BA19" ca="1" si="56">IF(AND(BU19="Continue",BV19="Continue"),"No Error",IF(AND(BU19&lt;&gt;"Continue",BV19="Continue"),BU19,IF(AND(BV19&lt;&gt;"Continue",BU19="Continue"),BV19,CONCATENATE(BU19,CHAR(10),BV19))))</f>
        <v>No Error</v>
      </c>
      <c r="BB19" s="508" t="str" cm="1">
        <f t="array" ref="BB19">IF(ISBLANK(B19),"Continue",(IF(IFERROR(_xlfn.XMATCH(B19,LEFT('Reference Records'!$I$26:$I$82,32768),0),0)&lt;&gt;0,"Continue"," Invalid indicator entry. Select from dropdown list.")))</f>
        <v>Continue</v>
      </c>
      <c r="BC19" s="508" t="str">
        <f t="shared" ref="BC19" si="57">IF(SUM(BD19:BH20)=0, "Continue", "Enter valid number only.")</f>
        <v>Continue</v>
      </c>
      <c r="BD19" s="146">
        <f t="shared" si="0"/>
        <v>0</v>
      </c>
      <c r="BE19" s="146">
        <f t="shared" si="1"/>
        <v>0</v>
      </c>
      <c r="BF19" s="146">
        <f t="shared" si="2"/>
        <v>0</v>
      </c>
      <c r="BG19" s="146">
        <f t="shared" si="3"/>
        <v>0</v>
      </c>
      <c r="BH19" s="146">
        <f t="shared" si="4"/>
        <v>0</v>
      </c>
      <c r="BI19" s="467">
        <f t="shared" ref="BI19" ca="1" si="58">IF(NOT(ISBLANK(E19)),IF(E19&lt;&gt;"",(IF(NOT(ISNUMBER(E19)),1,0)),0),0)</f>
        <v>0</v>
      </c>
      <c r="BJ19" s="467">
        <f t="shared" ref="BJ19" ca="1" si="59">IF(NOT(ISBLANK(L19)),IF(L19&lt;&gt;"",(IF(NOT(ISNUMBER(L19)),1,0)),0),0)</f>
        <v>0</v>
      </c>
      <c r="BK19" s="467">
        <f t="shared" ref="BK19" ca="1" si="60">IF(NOT(ISBLANK(P19)),IF(P19&lt;&gt;"",(IF(NOT(ISNUMBER(P19)),1,0)),0),0)</f>
        <v>0</v>
      </c>
      <c r="BL19" s="467">
        <f t="shared" ref="BL19" ca="1" si="61">IF(NOT(ISBLANK(T19)),IF(T19&lt;&gt;"",(IF(NOT(ISNUMBER(T19)),1,0)),0),0)</f>
        <v>0</v>
      </c>
      <c r="BM19" s="467">
        <f t="shared" ref="BM19" ca="1" si="62">IF(NOT(ISBLANK(X19)),IF(X19&lt;&gt;"",(IF(NOT(ISNUMBER(X19)),1,0)),0),0)</f>
        <v>0</v>
      </c>
      <c r="BN19" s="467" t="str">
        <f t="shared" ref="BN19" ca="1" si="63">IF(SUM(BI19:BM20)=0, "Continue", "Enter valid number only.")</f>
        <v>Continue</v>
      </c>
      <c r="BO19" s="467" t="str">
        <f t="shared" ref="BO19" ca="1" si="64">IF(AND(BC19="Continue",BN19="Continue"),"Continue",IF(AND(BC19&lt;&gt;"Continue",BN19="Continue"),BC19,IF(AND(BN19&lt;&gt;"Continue",BC19="Continue"),BN19,CONCATENATE(BC19,CHAR(10)))))</f>
        <v>Continue</v>
      </c>
      <c r="BP19" s="155" t="b">
        <f>IFERROR(INDEX('Reference Records'!$O$26:$O$82,MATCH($B19,'Reference Records'!I$26:I$82,0)),"")</f>
        <v>0</v>
      </c>
      <c r="BQ19" s="126" t="str">
        <f t="shared" si="5"/>
        <v>Continue</v>
      </c>
      <c r="BR19" s="126" t="str">
        <f t="shared" ca="1" si="6"/>
        <v>Continue</v>
      </c>
      <c r="BS19" s="126" t="str">
        <f t="shared" ca="1" si="7"/>
        <v>Continue</v>
      </c>
      <c r="BT19" s="508" t="str">
        <f>IF(AND(BB19="Continue",BC19="Continue"),"Continue",IF(AND(BB19&lt;&gt;"Continue",BC19="Continue"),BB19,IF(AND(BC19&lt;&gt;"Continue",BB19="Continue"),BC19,CONCATENATE(BB19,CHAR(10),BC19))))</f>
        <v>Continue</v>
      </c>
      <c r="BU19" s="508" t="str">
        <f t="shared" ref="BU19" si="65">IF(AND(B19="",C19=""),"Continue",IF(AND(B19="",C19&lt;&gt;""),"Continue",IF(AND(B19&lt;&gt;"",C19=""),"Continue",IF(AND(B19&lt;&gt;"",C19&lt;&gt;""),"Cannot enter both standard and custom indicators on the same line."))))</f>
        <v>Continue</v>
      </c>
      <c r="BV19" s="508" t="str">
        <f t="shared" ref="BV19" ca="1" si="66">IF(AND(BS19="Continue",BT19="Continue"),"Continue",IF(AND(BS19&lt;&gt;"Continue",BT19="Continue"),BS19,IF(AND(BT19&lt;&gt;"Continue",BS19="Continue"),BT19,CONCATENATE(BS19,CHAR(10),BT19))))</f>
        <v>Continue</v>
      </c>
      <c r="BX19" s="310" t="str">
        <f>IFERROR(IF('Overview - Section A'!$AN$5="Funding Request",
IF(AND('Reference Records'!$B$427&lt;&gt;"",$J19 ='Reference Records'!$B$427),'Reference Records'!$C$427,""),
INDEX('Reference Records'!$A$498:$C$499,MATCH($J19,'Reference Records'!$A$498:$A$499,0),3)),"")</f>
        <v>a1A360000013M2uEAE</v>
      </c>
      <c r="BY19" s="310" t="str" cm="1">
        <f t="array" ref="BY19">IFERROR(IF($B19="", "", IF(INDEX('Reference Records'!$G$27:$G$83,MATCH(LEFT(B19,255),LEFT('Reference Records'!$C$27:$C$83,255),0))=0,"",
INDEX('Reference Records'!$G$27:$G$83,MATCH(LEFT(B19,255),LEFT('Reference Records'!$C$27:$C$83,255),0)))),"")</f>
        <v>a1JDm000000k9c5MAA</v>
      </c>
    </row>
    <row r="20" spans="1:77" ht="30" customHeight="1">
      <c r="A20" s="531"/>
      <c r="B20" s="529"/>
      <c r="C20" s="533"/>
      <c r="D20" s="148">
        <v>651</v>
      </c>
      <c r="E20" s="535"/>
      <c r="F20" s="529"/>
      <c r="G20" s="529"/>
      <c r="H20" s="515"/>
      <c r="I20" s="537"/>
      <c r="J20" s="529"/>
      <c r="K20" s="148"/>
      <c r="L20" s="525"/>
      <c r="M20" s="527"/>
      <c r="N20" s="529"/>
      <c r="O20" s="148"/>
      <c r="P20" s="525"/>
      <c r="Q20" s="527"/>
      <c r="R20" s="529"/>
      <c r="S20" s="148"/>
      <c r="T20" s="525"/>
      <c r="U20" s="527"/>
      <c r="V20" s="529"/>
      <c r="W20" s="148"/>
      <c r="X20" s="525"/>
      <c r="Y20" s="527"/>
      <c r="Z20" s="529"/>
      <c r="AA20" s="529"/>
      <c r="BA20" s="468"/>
      <c r="BB20" s="508"/>
      <c r="BC20" s="508"/>
      <c r="BD20" s="146">
        <f t="shared" si="0"/>
        <v>0</v>
      </c>
      <c r="BE20" s="146">
        <f t="shared" si="1"/>
        <v>0</v>
      </c>
      <c r="BF20" s="146">
        <f t="shared" si="2"/>
        <v>0</v>
      </c>
      <c r="BG20" s="146">
        <f t="shared" si="3"/>
        <v>0</v>
      </c>
      <c r="BH20" s="146">
        <f t="shared" si="4"/>
        <v>0</v>
      </c>
      <c r="BI20" s="467"/>
      <c r="BJ20" s="467"/>
      <c r="BK20" s="467"/>
      <c r="BL20" s="467"/>
      <c r="BM20" s="467"/>
      <c r="BN20" s="467"/>
      <c r="BO20" s="467"/>
      <c r="BP20" s="155" t="str">
        <f>IFERROR(INDEX('Reference Records'!$O$26:$O$82,MATCH($B20,'Reference Records'!I$26:I$82,0)),"")</f>
        <v/>
      </c>
      <c r="BQ20" s="126" t="str">
        <f t="shared" si="5"/>
        <v>Continue</v>
      </c>
      <c r="BR20" s="126" t="str">
        <f t="shared" si="6"/>
        <v>Continue</v>
      </c>
      <c r="BS20" s="126" t="str">
        <f t="shared" si="7"/>
        <v>Continue</v>
      </c>
      <c r="BT20" s="508"/>
      <c r="BU20" s="508"/>
      <c r="BV20" s="508"/>
      <c r="BX20" s="310" t="str">
        <f>IFERROR(IF('Overview - Section A'!$AN$5="Funding Request",
IF(AND('Reference Records'!$B$427&lt;&gt;"",$J20 ='Reference Records'!$B$427),'Reference Records'!$C$427,""),
INDEX('Reference Records'!$A$498:$C$499,MATCH($J20,'Reference Records'!$A$498:$A$499,0),3)),"")</f>
        <v/>
      </c>
      <c r="BY20" s="310" t="str" cm="1">
        <f t="array" ref="BY20">IFERROR(IF($B20="", "", IF(INDEX('Reference Records'!$G$27:$G$83,MATCH(LEFT(B20,255),LEFT('Reference Records'!$C$27:$C$83,255),0))=0,"",
INDEX('Reference Records'!$G$27:$G$83,MATCH(LEFT(B20,255),LEFT('Reference Records'!$C$27:$C$83,255),0)))),"")</f>
        <v/>
      </c>
    </row>
    <row r="21" spans="1:77" ht="30" customHeight="1">
      <c r="A21" s="530">
        <v>7</v>
      </c>
      <c r="B21" s="512" t="s">
        <v>903</v>
      </c>
      <c r="C21" s="512"/>
      <c r="D21" s="158">
        <v>2853</v>
      </c>
      <c r="E21" s="510">
        <f ca="1">IF(OR(INDIRECT("'update Helper'!D"&amp;AE21)="",D21&lt;&gt;0,D22&lt;&gt;0),IF(IFERROR((D21/D22),"")="","",(D21/D22)),INDIRECT("'update Helper'!D"&amp;AE21)/100)</f>
        <v>0.70444444444444443</v>
      </c>
      <c r="F21" s="512">
        <v>2022</v>
      </c>
      <c r="G21" s="512" t="s">
        <v>2187</v>
      </c>
      <c r="H21" s="514" t="str">
        <f>AB21</f>
        <v/>
      </c>
      <c r="I21" s="520" t="s">
        <v>323</v>
      </c>
      <c r="J21" s="512" t="s">
        <v>781</v>
      </c>
      <c r="K21" s="158"/>
      <c r="L21" s="516" t="str">
        <f ca="1">IFERROR(IF(K$7="","",IF(OR(K21&lt;&gt;0,K22&lt;&gt;0),IFERROR(IF(K21/K22="","",(K21/K22)),""),IF(VLOOKUP(CONCATENATE(A21,K$7),'update Helper'!$G$266:$N$448,5,FALSE)="","",VLOOKUP(CONCATENATE(A21,K$7),'update Helper'!$G$266:$N$448,5,FALSE)/100))),"")</f>
        <v/>
      </c>
      <c r="M21" s="518"/>
      <c r="N21" s="512"/>
      <c r="O21" s="158"/>
      <c r="P21" s="516" t="str">
        <f ca="1">IFERROR(IF(O$7="","",IF(OR(O21&lt;&gt;0,O22&lt;&gt;0),IFERROR(IF(O21/O22="","",(O21/O22)),""),IF(VLOOKUP(CONCATENATE(A21,O$7),'update Helper'!$G$266:$N$448,5,FALSE)="","",VLOOKUP(CONCATENATE(A21,O$7),'update Helper'!$G$266:$N$448,5,FALSE)/100))),"")</f>
        <v/>
      </c>
      <c r="Q21" s="518"/>
      <c r="R21" s="512" t="s">
        <v>665</v>
      </c>
      <c r="S21" s="158"/>
      <c r="T21" s="516" t="str">
        <f ca="1">IFERROR(IF(S$7="","",IF(OR(S21&lt;&gt;0,S22&lt;&gt;0),IFERROR(IF(S21/S22="","",(S21/S22)),""),IF(VLOOKUP(CONCATENATE(A21,S$7),'update Helper'!$G$266:$N$448,5,FALSE)="","",VLOOKUP(CONCATENATE(A21,S$7),'update Helper'!$G$266:$N$448,5,FALSE)/100))),"")</f>
        <v/>
      </c>
      <c r="U21" s="518"/>
      <c r="V21" s="512"/>
      <c r="W21" s="158"/>
      <c r="X21" s="516" t="str">
        <f ca="1">IFERROR(IF(W$7="","",IF(OR(W21&lt;&gt;0,W22&lt;&gt;0),IFERROR(IF(W21/W22="","",(W21/W22)),""),IF(VLOOKUP(CONCATENATE(A21,W$7),'update Helper'!$G$266:$N$448,5,FALSE)="","",VLOOKUP(CONCATENATE(A21,W$7),'update Helper'!$G$266:$N$448,5,FALSE)/100))),"")</f>
        <v/>
      </c>
      <c r="Y21" s="518"/>
      <c r="Z21" s="512"/>
      <c r="AA21" s="512" t="s">
        <v>2190</v>
      </c>
      <c r="AB21" s="48" t="str">
        <f t="array" ref="AB21">IFERROR(IF(INDEX('Reference Records'!$D$27:$D$85,MATCH(LEFT(B21,255),LEFT('Reference Records'!$C$27:$C$85,255),0))=0,"",INDEX('Reference Records'!$D$27:$D$85,MATCH(LEFT(B21,255),LEFT('Reference Records'!$C$27:$C$85,255),0))),"")</f>
        <v/>
      </c>
      <c r="AC21" s="48" t="str">
        <f>B21&amp;C21</f>
        <v>HIV O-5 Percentage of sex workers reporting using a condom with their most recent client</v>
      </c>
      <c r="AD21" s="48">
        <f>AD19+'update Helper'!S$2</f>
        <v>304</v>
      </c>
      <c r="AE21" s="48">
        <f t="shared" ref="AE21" si="67">AE19+1</f>
        <v>234</v>
      </c>
      <c r="BA21" s="468" t="str">
        <f t="shared" ref="BA21" ca="1" si="68">IF(AND(BU21="Continue",BV21="Continue"),"No Error",IF(AND(BU21&lt;&gt;"Continue",BV21="Continue"),BU21,IF(AND(BV21&lt;&gt;"Continue",BU21="Continue"),BV21,CONCATENATE(BU21,CHAR(10),BV21))))</f>
        <v>No Error</v>
      </c>
      <c r="BB21" s="508" t="str" cm="1">
        <f t="array" ref="BB21">IF(ISBLANK(B21),"Continue",(IF(IFERROR(_xlfn.XMATCH(B21,LEFT('Reference Records'!$I$26:$I$82,32768),0),0)&lt;&gt;0,"Continue"," Invalid indicator entry. Select from dropdown list.")))</f>
        <v>Continue</v>
      </c>
      <c r="BC21" s="508" t="str">
        <f t="shared" ref="BC21" si="69">IF(SUM(BD21:BH22)=0, "Continue", "Enter valid number only.")</f>
        <v>Continue</v>
      </c>
      <c r="BD21" s="146">
        <f t="shared" si="0"/>
        <v>0</v>
      </c>
      <c r="BE21" s="146">
        <f t="shared" si="1"/>
        <v>0</v>
      </c>
      <c r="BF21" s="146">
        <f t="shared" si="2"/>
        <v>0</v>
      </c>
      <c r="BG21" s="146">
        <f t="shared" si="3"/>
        <v>0</v>
      </c>
      <c r="BH21" s="146">
        <f t="shared" si="4"/>
        <v>0</v>
      </c>
      <c r="BI21" s="467">
        <f t="shared" ref="BI21" ca="1" si="70">IF(NOT(ISBLANK(E21)),IF(E21&lt;&gt;"",(IF(NOT(ISNUMBER(E21)),1,0)),0),0)</f>
        <v>0</v>
      </c>
      <c r="BJ21" s="467">
        <f t="shared" ref="BJ21" ca="1" si="71">IF(NOT(ISBLANK(L21)),IF(L21&lt;&gt;"",(IF(NOT(ISNUMBER(L21)),1,0)),0),0)</f>
        <v>0</v>
      </c>
      <c r="BK21" s="467">
        <f t="shared" ref="BK21" ca="1" si="72">IF(NOT(ISBLANK(P21)),IF(P21&lt;&gt;"",(IF(NOT(ISNUMBER(P21)),1,0)),0),0)</f>
        <v>0</v>
      </c>
      <c r="BL21" s="467">
        <f t="shared" ref="BL21" ca="1" si="73">IF(NOT(ISBLANK(T21)),IF(T21&lt;&gt;"",(IF(NOT(ISNUMBER(T21)),1,0)),0),0)</f>
        <v>0</v>
      </c>
      <c r="BM21" s="467">
        <f t="shared" ref="BM21" ca="1" si="74">IF(NOT(ISBLANK(X21)),IF(X21&lt;&gt;"",(IF(NOT(ISNUMBER(X21)),1,0)),0),0)</f>
        <v>0</v>
      </c>
      <c r="BN21" s="467" t="str">
        <f t="shared" ref="BN21" ca="1" si="75">IF(SUM(BI21:BM22)=0, "Continue", "Enter valid number only.")</f>
        <v>Continue</v>
      </c>
      <c r="BO21" s="467" t="str">
        <f t="shared" ref="BO21" ca="1" si="76">IF(AND(BC21="Continue",BN21="Continue"),"Continue",IF(AND(BC21&lt;&gt;"Continue",BN21="Continue"),BC21,IF(AND(BN21&lt;&gt;"Continue",BC21="Continue"),BN21,CONCATENATE(BC21,CHAR(10)))))</f>
        <v>Continue</v>
      </c>
      <c r="BP21" s="155" t="b">
        <f>IFERROR(INDEX('Reference Records'!$O$26:$O$82,MATCH($B21,'Reference Records'!I$26:I$82,0)),"")</f>
        <v>0</v>
      </c>
      <c r="BQ21" s="126" t="str">
        <f t="shared" si="5"/>
        <v>Continue</v>
      </c>
      <c r="BR21" s="126" t="str">
        <f t="shared" ca="1" si="6"/>
        <v>Continue</v>
      </c>
      <c r="BS21" s="126" t="str">
        <f t="shared" ca="1" si="7"/>
        <v>Continue</v>
      </c>
      <c r="BT21" s="508" t="str">
        <f>IF(AND(BB21="Continue",BC21="Continue"),"Continue",IF(AND(BB21&lt;&gt;"Continue",BC21="Continue"),BB21,IF(AND(BC21&lt;&gt;"Continue",BB21="Continue"),BC21,CONCATENATE(BB21,CHAR(10),BC21))))</f>
        <v>Continue</v>
      </c>
      <c r="BU21" s="508" t="str">
        <f t="shared" ref="BU21" si="77">IF(AND(B21="",C21=""),"Continue",IF(AND(B21="",C21&lt;&gt;""),"Continue",IF(AND(B21&lt;&gt;"",C21=""),"Continue",IF(AND(B21&lt;&gt;"",C21&lt;&gt;""),"Cannot enter both standard and custom indicators on the same line."))))</f>
        <v>Continue</v>
      </c>
      <c r="BV21" s="508" t="str">
        <f t="shared" ref="BV21" ca="1" si="78">IF(AND(BS21="Continue",BT21="Continue"),"Continue",IF(AND(BS21&lt;&gt;"Continue",BT21="Continue"),BS21,IF(AND(BT21&lt;&gt;"Continue",BS21="Continue"),BT21,CONCATENATE(BS21,CHAR(10),BT21))))</f>
        <v>Continue</v>
      </c>
      <c r="BX21" s="310" t="str">
        <f>IFERROR(IF('Overview - Section A'!$AN$5="Funding Request",
IF(AND('Reference Records'!$B$427&lt;&gt;"",$J21 ='Reference Records'!$B$427),'Reference Records'!$C$427,""),
INDEX('Reference Records'!$A$498:$C$499,MATCH($J21,'Reference Records'!$A$498:$A$499,0),3)),"")</f>
        <v>a1A360000013M2uEAE</v>
      </c>
      <c r="BY21" s="310" t="str" cm="1">
        <f t="array" ref="BY21">IFERROR(IF($B21="", "", IF(INDEX('Reference Records'!$G$27:$G$83,MATCH(LEFT(B21,255),LEFT('Reference Records'!$C$27:$C$83,255),0))=0,"",
INDEX('Reference Records'!$G$27:$G$83,MATCH(LEFT(B21,255),LEFT('Reference Records'!$C$27:$C$83,255),0)))),"")</f>
        <v>a1JDm000000k9c6MAA</v>
      </c>
    </row>
    <row r="22" spans="1:77" ht="30" customHeight="1">
      <c r="A22" s="531"/>
      <c r="B22" s="513"/>
      <c r="C22" s="513"/>
      <c r="D22" s="140">
        <v>4050</v>
      </c>
      <c r="E22" s="511"/>
      <c r="F22" s="513"/>
      <c r="G22" s="513"/>
      <c r="H22" s="515"/>
      <c r="I22" s="521"/>
      <c r="J22" s="513"/>
      <c r="K22" s="140"/>
      <c r="L22" s="517"/>
      <c r="M22" s="519"/>
      <c r="N22" s="513"/>
      <c r="O22" s="140"/>
      <c r="P22" s="517"/>
      <c r="Q22" s="519"/>
      <c r="R22" s="513"/>
      <c r="S22" s="140"/>
      <c r="T22" s="517"/>
      <c r="U22" s="519"/>
      <c r="V22" s="513"/>
      <c r="W22" s="140"/>
      <c r="X22" s="517"/>
      <c r="Y22" s="519"/>
      <c r="Z22" s="513"/>
      <c r="AA22" s="513"/>
      <c r="BA22" s="468"/>
      <c r="BB22" s="508"/>
      <c r="BC22" s="508"/>
      <c r="BD22" s="146">
        <f t="shared" si="0"/>
        <v>0</v>
      </c>
      <c r="BE22" s="146">
        <f t="shared" si="1"/>
        <v>0</v>
      </c>
      <c r="BF22" s="146">
        <f t="shared" si="2"/>
        <v>0</v>
      </c>
      <c r="BG22" s="146">
        <f t="shared" si="3"/>
        <v>0</v>
      </c>
      <c r="BH22" s="146">
        <f t="shared" si="4"/>
        <v>0</v>
      </c>
      <c r="BI22" s="467"/>
      <c r="BJ22" s="467"/>
      <c r="BK22" s="467"/>
      <c r="BL22" s="467"/>
      <c r="BM22" s="467"/>
      <c r="BN22" s="467"/>
      <c r="BO22" s="467"/>
      <c r="BP22" s="155" t="str">
        <f>IFERROR(INDEX('Reference Records'!$O$26:$O$82,MATCH($B22,'Reference Records'!I$26:I$82,0)),"")</f>
        <v/>
      </c>
      <c r="BQ22" s="126" t="str">
        <f t="shared" si="5"/>
        <v>Continue</v>
      </c>
      <c r="BR22" s="126" t="str">
        <f t="shared" si="6"/>
        <v>Continue</v>
      </c>
      <c r="BS22" s="126" t="str">
        <f t="shared" si="7"/>
        <v>Continue</v>
      </c>
      <c r="BT22" s="508"/>
      <c r="BU22" s="508"/>
      <c r="BV22" s="508"/>
      <c r="BX22" s="310" t="str">
        <f>IFERROR(IF('Overview - Section A'!$AN$5="Funding Request",
IF(AND('Reference Records'!$B$427&lt;&gt;"",$J22 ='Reference Records'!$B$427),'Reference Records'!$C$427,""),
INDEX('Reference Records'!$A$498:$C$499,MATCH($J22,'Reference Records'!$A$498:$A$499,0),3)),"")</f>
        <v/>
      </c>
      <c r="BY22" s="310" t="str" cm="1">
        <f t="array" ref="BY22">IFERROR(IF($B22="", "", IF(INDEX('Reference Records'!$G$27:$G$83,MATCH(LEFT(B22,255),LEFT('Reference Records'!$C$27:$C$83,255),0))=0,"",
INDEX('Reference Records'!$G$27:$G$83,MATCH(LEFT(B22,255),LEFT('Reference Records'!$C$27:$C$83,255),0)))),"")</f>
        <v/>
      </c>
    </row>
    <row r="23" spans="1:77" ht="30" customHeight="1">
      <c r="A23" s="530">
        <v>8</v>
      </c>
      <c r="B23" s="528" t="s">
        <v>907</v>
      </c>
      <c r="C23" s="532"/>
      <c r="D23" s="159"/>
      <c r="E23" s="534">
        <f ca="1">IF(OR(INDIRECT("'update Helper'!D"&amp;AE23)="",D23&lt;&gt;0,D24&lt;&gt;0),IF(IFERROR((D23/D24),"")="","",(D23/D24)),INDIRECT("'update Helper'!D"&amp;AE23)/100)</f>
        <v>0.50600000000000001</v>
      </c>
      <c r="F23" s="528">
        <v>2022</v>
      </c>
      <c r="G23" s="528" t="s">
        <v>2187</v>
      </c>
      <c r="H23" s="514" t="str">
        <f>AB23</f>
        <v/>
      </c>
      <c r="I23" s="536" t="s">
        <v>323</v>
      </c>
      <c r="J23" s="528" t="s">
        <v>781</v>
      </c>
      <c r="K23" s="159">
        <v>434595</v>
      </c>
      <c r="L23" s="524">
        <f ca="1">IFERROR(IF(K$7="","",IF(OR(K23&lt;&gt;0,K24&lt;&gt;0),IFERROR(IF(K23/K24="","",(K23/K24)),""),IF(VLOOKUP(CONCATENATE(A23,K$7),'update Helper'!$G$266:$N$448,5,FALSE)="","",VLOOKUP(CONCATENATE(A23,K$7),'update Helper'!$G$266:$N$448,5,FALSE)/100))),"")</f>
        <v>0.84</v>
      </c>
      <c r="M23" s="526"/>
      <c r="N23" s="528"/>
      <c r="O23" s="159">
        <v>449887</v>
      </c>
      <c r="P23" s="524">
        <f ca="1">IFERROR(IF(O$7="","",IF(OR(O23&lt;&gt;0,O24&lt;&gt;0),IFERROR(IF(O23/O24="","",(O23/O24)),""),IF(VLOOKUP(CONCATENATE(A23,O$7),'update Helper'!$G$266:$N$448,5,FALSE)="","",VLOOKUP(CONCATENATE(A23,O$7),'update Helper'!$G$266:$N$448,5,FALSE)/100))),"")</f>
        <v>0.87000083154293761</v>
      </c>
      <c r="Q23" s="526"/>
      <c r="R23" s="528"/>
      <c r="S23" s="159">
        <v>468823</v>
      </c>
      <c r="T23" s="524">
        <f ca="1">IFERROR(IF(S$7="","",IF(OR(S23&lt;&gt;0,S24&lt;&gt;0),IFERROR(IF(S23/S24="","",(S23/S24)),""),IF(VLOOKUP(CONCATENATE(A23,S$7),'update Helper'!$G$266:$N$448,5,FALSE)="","",VLOOKUP(CONCATENATE(A23,S$7),'update Helper'!$G$266:$N$448,5,FALSE)/100))),"")</f>
        <v>0.91000019410314636</v>
      </c>
      <c r="U23" s="526"/>
      <c r="V23" s="528"/>
      <c r="W23" s="159"/>
      <c r="X23" s="524" t="str">
        <f ca="1">IFERROR(IF(W$7="","",IF(OR(W23&lt;&gt;0,W24&lt;&gt;0),IFERROR(IF(W23/W24="","",(W23/W24)),""),IF(VLOOKUP(CONCATENATE(A23,W$7),'update Helper'!$G$266:$N$448,5,FALSE)="","",VLOOKUP(CONCATENATE(A23,W$7),'update Helper'!$G$266:$N$448,5,FALSE)/100))),"")</f>
        <v/>
      </c>
      <c r="Y23" s="526"/>
      <c r="Z23" s="528"/>
      <c r="AA23" s="528" t="s">
        <v>2191</v>
      </c>
      <c r="AB23" s="48" t="str">
        <f t="array" ref="AB23">IFERROR(IF(INDEX('Reference Records'!$D$27:$D$85,MATCH(LEFT(B23,255),LEFT('Reference Records'!$C$27:$C$85,255),0))=0,"",INDEX('Reference Records'!$D$27:$D$85,MATCH(LEFT(B23,255),LEFT('Reference Records'!$C$27:$C$85,255),0))),"")</f>
        <v/>
      </c>
      <c r="AC23" s="48" t="str">
        <f>B23&amp;C23</f>
        <v>HIV O-6 Percentage of people who inject drugs reporting using sterile injecting equipment the last time they injected</v>
      </c>
      <c r="AD23" s="48">
        <f>AD21+'update Helper'!S$2</f>
        <v>310</v>
      </c>
      <c r="AE23" s="48">
        <f t="shared" ref="AE23" si="79">AE21+1</f>
        <v>235</v>
      </c>
      <c r="BA23" s="468" t="str">
        <f t="shared" ref="BA23" ca="1" si="80">IF(AND(BU23="Continue",BV23="Continue"),"No Error",IF(AND(BU23&lt;&gt;"Continue",BV23="Continue"),BU23,IF(AND(BV23&lt;&gt;"Continue",BU23="Continue"),BV23,CONCATENATE(BU23,CHAR(10),BV23))))</f>
        <v>No Error</v>
      </c>
      <c r="BB23" s="508" t="str" cm="1">
        <f t="array" ref="BB23">IF(ISBLANK(B23),"Continue",(IF(IFERROR(_xlfn.XMATCH(B23,LEFT('Reference Records'!$I$26:$I$82,32768),0),0)&lt;&gt;0,"Continue"," Invalid indicator entry. Select from dropdown list.")))</f>
        <v>Continue</v>
      </c>
      <c r="BC23" s="508" t="str">
        <f t="shared" ref="BC23" si="81">IF(SUM(BD23:BH24)=0, "Continue", "Enter valid number only.")</f>
        <v>Continue</v>
      </c>
      <c r="BD23" s="146">
        <f t="shared" si="0"/>
        <v>0</v>
      </c>
      <c r="BE23" s="146">
        <f t="shared" si="1"/>
        <v>0</v>
      </c>
      <c r="BF23" s="146">
        <f t="shared" si="2"/>
        <v>0</v>
      </c>
      <c r="BG23" s="146">
        <f t="shared" si="3"/>
        <v>0</v>
      </c>
      <c r="BH23" s="146">
        <f t="shared" si="4"/>
        <v>0</v>
      </c>
      <c r="BI23" s="467">
        <f t="shared" ref="BI23" ca="1" si="82">IF(NOT(ISBLANK(E23)),IF(E23&lt;&gt;"",(IF(NOT(ISNUMBER(E23)),1,0)),0),0)</f>
        <v>0</v>
      </c>
      <c r="BJ23" s="467">
        <f t="shared" ref="BJ23" ca="1" si="83">IF(NOT(ISBLANK(L23)),IF(L23&lt;&gt;"",(IF(NOT(ISNUMBER(L23)),1,0)),0),0)</f>
        <v>0</v>
      </c>
      <c r="BK23" s="467">
        <f t="shared" ref="BK23" ca="1" si="84">IF(NOT(ISBLANK(P23)),IF(P23&lt;&gt;"",(IF(NOT(ISNUMBER(P23)),1,0)),0),0)</f>
        <v>0</v>
      </c>
      <c r="BL23" s="467">
        <f t="shared" ref="BL23" ca="1" si="85">IF(NOT(ISBLANK(T23)),IF(T23&lt;&gt;"",(IF(NOT(ISNUMBER(T23)),1,0)),0),0)</f>
        <v>0</v>
      </c>
      <c r="BM23" s="467">
        <f t="shared" ref="BM23" ca="1" si="86">IF(NOT(ISBLANK(X23)),IF(X23&lt;&gt;"",(IF(NOT(ISNUMBER(X23)),1,0)),0),0)</f>
        <v>0</v>
      </c>
      <c r="BN23" s="467" t="str">
        <f t="shared" ref="BN23" ca="1" si="87">IF(SUM(BI23:BM24)=0, "Continue", "Enter valid number only.")</f>
        <v>Continue</v>
      </c>
      <c r="BO23" s="467" t="str">
        <f t="shared" ref="BO23" ca="1" si="88">IF(AND(BC23="Continue",BN23="Continue"),"Continue",IF(AND(BC23&lt;&gt;"Continue",BN23="Continue"),BC23,IF(AND(BN23&lt;&gt;"Continue",BC23="Continue"),BN23,CONCATENATE(BC23,CHAR(10)))))</f>
        <v>Continue</v>
      </c>
      <c r="BP23" s="155" t="b">
        <f>IFERROR(INDEX('Reference Records'!$O$26:$O$82,MATCH($B23,'Reference Records'!I$26:I$82,0)),"")</f>
        <v>0</v>
      </c>
      <c r="BQ23" s="126" t="str">
        <f t="shared" si="5"/>
        <v>Continue</v>
      </c>
      <c r="BR23" s="126" t="str">
        <f t="shared" ca="1" si="6"/>
        <v>Continue</v>
      </c>
      <c r="BS23" s="126" t="str">
        <f t="shared" ca="1" si="7"/>
        <v>Continue</v>
      </c>
      <c r="BT23" s="508" t="str">
        <f>IF(AND(BB23="Continue",BC23="Continue"),"Continue",IF(AND(BB23&lt;&gt;"Continue",BC23="Continue"),BB23,IF(AND(BC23&lt;&gt;"Continue",BB23="Continue"),BC23,CONCATENATE(BB23,CHAR(10),BC23))))</f>
        <v>Continue</v>
      </c>
      <c r="BU23" s="508" t="str">
        <f t="shared" ref="BU23" si="89">IF(AND(B23="",C23=""),"Continue",IF(AND(B23="",C23&lt;&gt;""),"Continue",IF(AND(B23&lt;&gt;"",C23=""),"Continue",IF(AND(B23&lt;&gt;"",C23&lt;&gt;""),"Cannot enter both standard and custom indicators on the same line."))))</f>
        <v>Continue</v>
      </c>
      <c r="BV23" s="508" t="str">
        <f t="shared" ref="BV23" ca="1" si="90">IF(AND(BS23="Continue",BT23="Continue"),"Continue",IF(AND(BS23&lt;&gt;"Continue",BT23="Continue"),BS23,IF(AND(BT23&lt;&gt;"Continue",BS23="Continue"),BT23,CONCATENATE(BS23,CHAR(10),BT23))))</f>
        <v>Continue</v>
      </c>
      <c r="BX23" s="310" t="str">
        <f>IFERROR(IF('Overview - Section A'!$AN$5="Funding Request",
IF(AND('Reference Records'!$B$427&lt;&gt;"",$J23 ='Reference Records'!$B$427),'Reference Records'!$C$427,""),
INDEX('Reference Records'!$A$498:$C$499,MATCH($J23,'Reference Records'!$A$498:$A$499,0),3)),"")</f>
        <v>a1A360000013M2uEAE</v>
      </c>
      <c r="BY23" s="310" t="str" cm="1">
        <f t="array" ref="BY23">IFERROR(IF($B23="", "", IF(INDEX('Reference Records'!$G$27:$G$83,MATCH(LEFT(B23,255),LEFT('Reference Records'!$C$27:$C$83,255),0))=0,"",
INDEX('Reference Records'!$G$27:$G$83,MATCH(LEFT(B23,255),LEFT('Reference Records'!$C$27:$C$83,255),0)))),"")</f>
        <v>a1JDm000000k9c7MAA</v>
      </c>
    </row>
    <row r="24" spans="1:77" ht="30" customHeight="1">
      <c r="A24" s="531"/>
      <c r="B24" s="529"/>
      <c r="C24" s="533"/>
      <c r="D24" s="148"/>
      <c r="E24" s="535"/>
      <c r="F24" s="529"/>
      <c r="G24" s="529"/>
      <c r="H24" s="515"/>
      <c r="I24" s="537"/>
      <c r="J24" s="529"/>
      <c r="K24" s="148">
        <v>517375</v>
      </c>
      <c r="L24" s="525"/>
      <c r="M24" s="527"/>
      <c r="N24" s="529"/>
      <c r="O24" s="148">
        <v>517111</v>
      </c>
      <c r="P24" s="525"/>
      <c r="Q24" s="527"/>
      <c r="R24" s="529"/>
      <c r="S24" s="148">
        <v>515190</v>
      </c>
      <c r="T24" s="525"/>
      <c r="U24" s="527"/>
      <c r="V24" s="529"/>
      <c r="W24" s="148"/>
      <c r="X24" s="525"/>
      <c r="Y24" s="527"/>
      <c r="Z24" s="529"/>
      <c r="AA24" s="529"/>
      <c r="BA24" s="468"/>
      <c r="BB24" s="508"/>
      <c r="BC24" s="508"/>
      <c r="BD24" s="146">
        <f t="shared" si="0"/>
        <v>0</v>
      </c>
      <c r="BE24" s="146">
        <f t="shared" si="1"/>
        <v>0</v>
      </c>
      <c r="BF24" s="146">
        <f t="shared" si="2"/>
        <v>0</v>
      </c>
      <c r="BG24" s="146">
        <f t="shared" si="3"/>
        <v>0</v>
      </c>
      <c r="BH24" s="146">
        <f t="shared" si="4"/>
        <v>0</v>
      </c>
      <c r="BI24" s="467"/>
      <c r="BJ24" s="467"/>
      <c r="BK24" s="467"/>
      <c r="BL24" s="467"/>
      <c r="BM24" s="467"/>
      <c r="BN24" s="467"/>
      <c r="BO24" s="467"/>
      <c r="BP24" s="155" t="str">
        <f>IFERROR(INDEX('Reference Records'!$O$26:$O$82,MATCH($B24,'Reference Records'!I$26:I$82,0)),"")</f>
        <v/>
      </c>
      <c r="BQ24" s="126" t="str">
        <f t="shared" si="5"/>
        <v>Continue</v>
      </c>
      <c r="BR24" s="126" t="str">
        <f t="shared" si="6"/>
        <v>Continue</v>
      </c>
      <c r="BS24" s="126" t="str">
        <f t="shared" si="7"/>
        <v>Continue</v>
      </c>
      <c r="BT24" s="508"/>
      <c r="BU24" s="508"/>
      <c r="BV24" s="508"/>
      <c r="BX24" s="310" t="str">
        <f>IFERROR(IF('Overview - Section A'!$AN$5="Funding Request",
IF(AND('Reference Records'!$B$427&lt;&gt;"",$J24 ='Reference Records'!$B$427),'Reference Records'!$C$427,""),
INDEX('Reference Records'!$A$498:$C$499,MATCH($J24,'Reference Records'!$A$498:$A$499,0),3)),"")</f>
        <v/>
      </c>
      <c r="BY24" s="310" t="str" cm="1">
        <f t="array" ref="BY24">IFERROR(IF($B24="", "", IF(INDEX('Reference Records'!$G$27:$G$83,MATCH(LEFT(B24,255),LEFT('Reference Records'!$C$27:$C$83,255),0))=0,"",
INDEX('Reference Records'!$G$27:$G$83,MATCH(LEFT(B24,255),LEFT('Reference Records'!$C$27:$C$83,255),0)))),"")</f>
        <v/>
      </c>
    </row>
    <row r="25" spans="1:77" ht="30" customHeight="1">
      <c r="A25" s="530">
        <v>9</v>
      </c>
      <c r="B25" s="512" t="s">
        <v>919</v>
      </c>
      <c r="C25" s="512"/>
      <c r="D25" s="158">
        <v>459868</v>
      </c>
      <c r="E25" s="510">
        <f ca="1">IF(OR(INDIRECT("'update Helper'!D"&amp;AE25)="",D25&lt;&gt;0,D26&lt;&gt;0),IF(IFERROR((D25/D26),"")="","",(D25/D26)),INDIRECT("'update Helper'!D"&amp;AE25)/100)</f>
        <v>0.84873271825612873</v>
      </c>
      <c r="F25" s="512">
        <v>2021</v>
      </c>
      <c r="G25" s="512" t="s">
        <v>2192</v>
      </c>
      <c r="H25" s="514" t="str">
        <f>AB25</f>
        <v>Gender | Age,Age</v>
      </c>
      <c r="I25" s="520" t="s">
        <v>323</v>
      </c>
      <c r="J25" s="512" t="s">
        <v>781</v>
      </c>
      <c r="K25" s="158">
        <v>391398.03666661598</v>
      </c>
      <c r="L25" s="516">
        <f ca="1">IFERROR(IF(K$7="","",IF(OR(K25&lt;&gt;0,K26&lt;&gt;0),IFERROR(IF(K25/K26="","",(K25/K26)),""),IF(VLOOKUP(CONCATENATE(A25,K$7),'update Helper'!$G$266:$N$448,5,FALSE)="","",VLOOKUP(CONCATENATE(A25,K$7),'update Helper'!$G$266:$N$448,5,FALSE)/100))),"")</f>
        <v>0.75650743980017587</v>
      </c>
      <c r="M25" s="518"/>
      <c r="N25" s="512"/>
      <c r="O25" s="158">
        <v>409604.66714365501</v>
      </c>
      <c r="P25" s="516">
        <f ca="1">IFERROR(IF(O$7="","",IF(OR(O25&lt;&gt;0,O26&lt;&gt;0),IFERROR(IF(O25/O26="","",(O25/O26)),""),IF(VLOOKUP(CONCATENATE(A25,O$7),'update Helper'!$G$266:$N$448,5,FALSE)="","",VLOOKUP(CONCATENATE(A25,O$7),'update Helper'!$G$266:$N$448,5,FALSE)/100))),"")</f>
        <v>0.79210201899332056</v>
      </c>
      <c r="Q25" s="518"/>
      <c r="R25" s="512"/>
      <c r="S25" s="158">
        <v>426422.27749992802</v>
      </c>
      <c r="T25" s="516">
        <f ca="1">IFERROR(IF(S$7="","",IF(OR(S25&lt;&gt;0,S26&lt;&gt;0),IFERROR(IF(S25/S26="","",(S25/S26)),""),IF(VLOOKUP(CONCATENATE(A25,S$7),'update Helper'!$G$266:$N$448,5,FALSE)="","",VLOOKUP(CONCATENATE(A25,S$7),'update Helper'!$G$266:$N$448,5,FALSE)/100))),"")</f>
        <v>0.82769905762908447</v>
      </c>
      <c r="U25" s="518"/>
      <c r="V25" s="512"/>
      <c r="W25" s="158"/>
      <c r="X25" s="516" t="str">
        <f ca="1">IFERROR(IF(W$7="","",IF(OR(W25&lt;&gt;0,W26&lt;&gt;0),IFERROR(IF(W25/W26="","",(W25/W26)),""),IF(VLOOKUP(CONCATENATE(A25,W$7),'update Helper'!$G$266:$N$448,5,FALSE)="","",VLOOKUP(CONCATENATE(A25,W$7),'update Helper'!$G$266:$N$448,5,FALSE)/100))),"")</f>
        <v/>
      </c>
      <c r="Y25" s="518"/>
      <c r="Z25" s="512"/>
      <c r="AA25" s="512" t="s">
        <v>2193</v>
      </c>
      <c r="AB25" s="48" t="str">
        <f t="array" ref="AB25">IFERROR(IF(INDEX('Reference Records'!$D$27:$D$85,MATCH(LEFT(B25,255),LEFT('Reference Records'!$C$27:$C$85,255),0))=0,"",INDEX('Reference Records'!$D$27:$D$85,MATCH(LEFT(B25,255),LEFT('Reference Records'!$C$27:$C$85,255),0))),"")</f>
        <v>Gender | Age,Age</v>
      </c>
      <c r="AC25" s="48" t="str">
        <f>B25&amp;C25</f>
        <v>HIV O-11 Percentage of people living with HIV who know their HIV status at the end of the reporting period</v>
      </c>
      <c r="AD25" s="48">
        <f>AD23+'update Helper'!S$2</f>
        <v>316</v>
      </c>
      <c r="AE25" s="48">
        <f t="shared" ref="AE25" si="91">AE23+1</f>
        <v>236</v>
      </c>
      <c r="BA25" s="468" t="str">
        <f t="shared" ref="BA25" ca="1" si="92">IF(AND(BU25="Continue",BV25="Continue"),"No Error",IF(AND(BU25&lt;&gt;"Continue",BV25="Continue"),BU25,IF(AND(BV25&lt;&gt;"Continue",BU25="Continue"),BV25,CONCATENATE(BU25,CHAR(10),BV25))))</f>
        <v>No Error</v>
      </c>
      <c r="BB25" s="508" t="str" cm="1">
        <f t="array" ref="BB25">IF(ISBLANK(B25),"Continue",(IF(IFERROR(_xlfn.XMATCH(B25,LEFT('Reference Records'!$I$26:$I$82,32768),0),0)&lt;&gt;0,"Continue"," Invalid indicator entry. Select from dropdown list.")))</f>
        <v>Continue</v>
      </c>
      <c r="BC25" s="508" t="str">
        <f t="shared" ref="BC25" si="93">IF(SUM(BD25:BH26)=0, "Continue", "Enter valid number only.")</f>
        <v>Continue</v>
      </c>
      <c r="BD25" s="146">
        <f t="shared" si="0"/>
        <v>0</v>
      </c>
      <c r="BE25" s="146">
        <f t="shared" si="1"/>
        <v>0</v>
      </c>
      <c r="BF25" s="146">
        <f t="shared" si="2"/>
        <v>0</v>
      </c>
      <c r="BG25" s="146">
        <f t="shared" si="3"/>
        <v>0</v>
      </c>
      <c r="BH25" s="146">
        <f t="shared" si="4"/>
        <v>0</v>
      </c>
      <c r="BI25" s="467">
        <f t="shared" ref="BI25" ca="1" si="94">IF(NOT(ISBLANK(E25)),IF(E25&lt;&gt;"",(IF(NOT(ISNUMBER(E25)),1,0)),0),0)</f>
        <v>0</v>
      </c>
      <c r="BJ25" s="467">
        <f t="shared" ref="BJ25" ca="1" si="95">IF(NOT(ISBLANK(L25)),IF(L25&lt;&gt;"",(IF(NOT(ISNUMBER(L25)),1,0)),0),0)</f>
        <v>0</v>
      </c>
      <c r="BK25" s="467">
        <f t="shared" ref="BK25" ca="1" si="96">IF(NOT(ISBLANK(P25)),IF(P25&lt;&gt;"",(IF(NOT(ISNUMBER(P25)),1,0)),0),0)</f>
        <v>0</v>
      </c>
      <c r="BL25" s="467">
        <f t="shared" ref="BL25" ca="1" si="97">IF(NOT(ISBLANK(T25)),IF(T25&lt;&gt;"",(IF(NOT(ISNUMBER(T25)),1,0)),0),0)</f>
        <v>0</v>
      </c>
      <c r="BM25" s="467">
        <f t="shared" ref="BM25" ca="1" si="98">IF(NOT(ISBLANK(X25)),IF(X25&lt;&gt;"",(IF(NOT(ISNUMBER(X25)),1,0)),0),0)</f>
        <v>0</v>
      </c>
      <c r="BN25" s="467" t="str">
        <f t="shared" ref="BN25" ca="1" si="99">IF(SUM(BI25:BM26)=0, "Continue", "Enter valid number only.")</f>
        <v>Continue</v>
      </c>
      <c r="BO25" s="467" t="str">
        <f t="shared" ref="BO25" ca="1" si="100">IF(AND(BC25="Continue",BN25="Continue"),"Continue",IF(AND(BC25&lt;&gt;"Continue",BN25="Continue"),BC25,IF(AND(BN25&lt;&gt;"Continue",BC25="Continue"),BN25,CONCATENATE(BC25,CHAR(10)))))</f>
        <v>Continue</v>
      </c>
      <c r="BP25" s="155" t="b">
        <f>IFERROR(INDEX('Reference Records'!$O$26:$O$82,MATCH($B25,'Reference Records'!I$26:I$82,0)),"")</f>
        <v>0</v>
      </c>
      <c r="BQ25" s="126" t="str">
        <f t="shared" si="5"/>
        <v>Continue</v>
      </c>
      <c r="BR25" s="126" t="str">
        <f t="shared" ca="1" si="6"/>
        <v>Continue</v>
      </c>
      <c r="BS25" s="126" t="str">
        <f t="shared" ca="1" si="7"/>
        <v>Continue</v>
      </c>
      <c r="BT25" s="508" t="str">
        <f>IF(AND(BB25="Continue",BC25="Continue"),"Continue",IF(AND(BB25&lt;&gt;"Continue",BC25="Continue"),BB25,IF(AND(BC25&lt;&gt;"Continue",BB25="Continue"),BC25,CONCATENATE(BB25,CHAR(10),BC25))))</f>
        <v>Continue</v>
      </c>
      <c r="BU25" s="508" t="str">
        <f t="shared" ref="BU25" si="101">IF(AND(B25="",C25=""),"Continue",IF(AND(B25="",C25&lt;&gt;""),"Continue",IF(AND(B25&lt;&gt;"",C25=""),"Continue",IF(AND(B25&lt;&gt;"",C25&lt;&gt;""),"Cannot enter both standard and custom indicators on the same line."))))</f>
        <v>Continue</v>
      </c>
      <c r="BV25" s="508" t="str">
        <f t="shared" ref="BV25" ca="1" si="102">IF(AND(BS25="Continue",BT25="Continue"),"Continue",IF(AND(BS25&lt;&gt;"Continue",BT25="Continue"),BS25,IF(AND(BT25&lt;&gt;"Continue",BS25="Continue"),BT25,CONCATENATE(BS25,CHAR(10),BT25))))</f>
        <v>Continue</v>
      </c>
      <c r="BX25" s="310" t="str">
        <f>IFERROR(IF('Overview - Section A'!$AN$5="Funding Request",
IF(AND('Reference Records'!$B$427&lt;&gt;"",$J25 ='Reference Records'!$B$427),'Reference Records'!$C$427,""),
INDEX('Reference Records'!$A$498:$C$499,MATCH($J25,'Reference Records'!$A$498:$A$499,0),3)),"")</f>
        <v>a1A360000013M2uEAE</v>
      </c>
      <c r="BY25" s="310" t="str" cm="1">
        <f t="array" ref="BY25">IFERROR(IF($B25="", "", IF(INDEX('Reference Records'!$G$27:$G$83,MATCH(LEFT(B25,255),LEFT('Reference Records'!$C$27:$C$83,255),0))=0,"",
INDEX('Reference Records'!$G$27:$G$83,MATCH(LEFT(B25,255),LEFT('Reference Records'!$C$27:$C$83,255),0)))),"")</f>
        <v>a1JDm000000k9cAMAQ</v>
      </c>
    </row>
    <row r="26" spans="1:77" ht="30" customHeight="1">
      <c r="A26" s="531"/>
      <c r="B26" s="513"/>
      <c r="C26" s="513"/>
      <c r="D26" s="140">
        <v>541829</v>
      </c>
      <c r="E26" s="511"/>
      <c r="F26" s="513"/>
      <c r="G26" s="513"/>
      <c r="H26" s="515"/>
      <c r="I26" s="521"/>
      <c r="J26" s="513"/>
      <c r="K26" s="140">
        <v>517375</v>
      </c>
      <c r="L26" s="517"/>
      <c r="M26" s="519"/>
      <c r="N26" s="513"/>
      <c r="O26" s="140">
        <v>517111</v>
      </c>
      <c r="P26" s="517"/>
      <c r="Q26" s="519"/>
      <c r="R26" s="513"/>
      <c r="S26" s="140">
        <v>515190</v>
      </c>
      <c r="T26" s="517"/>
      <c r="U26" s="519"/>
      <c r="V26" s="513"/>
      <c r="W26" s="140"/>
      <c r="X26" s="517"/>
      <c r="Y26" s="519"/>
      <c r="Z26" s="513"/>
      <c r="AA26" s="513"/>
      <c r="BA26" s="468"/>
      <c r="BB26" s="508"/>
      <c r="BC26" s="508"/>
      <c r="BD26" s="146">
        <f t="shared" si="0"/>
        <v>0</v>
      </c>
      <c r="BE26" s="146">
        <f t="shared" si="1"/>
        <v>0</v>
      </c>
      <c r="BF26" s="146">
        <f t="shared" si="2"/>
        <v>0</v>
      </c>
      <c r="BG26" s="146">
        <f t="shared" si="3"/>
        <v>0</v>
      </c>
      <c r="BH26" s="146">
        <f t="shared" si="4"/>
        <v>0</v>
      </c>
      <c r="BI26" s="467"/>
      <c r="BJ26" s="467"/>
      <c r="BK26" s="467"/>
      <c r="BL26" s="467"/>
      <c r="BM26" s="467"/>
      <c r="BN26" s="467"/>
      <c r="BO26" s="467"/>
      <c r="BP26" s="155" t="str">
        <f>IFERROR(INDEX('Reference Records'!$O$26:$O$82,MATCH($B26,'Reference Records'!I$26:I$82,0)),"")</f>
        <v/>
      </c>
      <c r="BQ26" s="126" t="str">
        <f t="shared" si="5"/>
        <v>Continue</v>
      </c>
      <c r="BR26" s="126" t="str">
        <f t="shared" si="6"/>
        <v>Continue</v>
      </c>
      <c r="BS26" s="126" t="str">
        <f t="shared" si="7"/>
        <v>Continue</v>
      </c>
      <c r="BT26" s="508"/>
      <c r="BU26" s="508"/>
      <c r="BV26" s="508"/>
      <c r="BX26" s="310" t="str">
        <f>IFERROR(IF('Overview - Section A'!$AN$5="Funding Request",
IF(AND('Reference Records'!$B$427&lt;&gt;"",$J26 ='Reference Records'!$B$427),'Reference Records'!$C$427,""),
INDEX('Reference Records'!$A$498:$C$499,MATCH($J26,'Reference Records'!$A$498:$A$499,0),3)),"")</f>
        <v/>
      </c>
      <c r="BY26" s="310" t="str" cm="1">
        <f t="array" ref="BY26">IFERROR(IF($B26="", "", IF(INDEX('Reference Records'!$G$27:$G$83,MATCH(LEFT(B26,255),LEFT('Reference Records'!$C$27:$C$83,255),0))=0,"",
INDEX('Reference Records'!$G$27:$G$83,MATCH(LEFT(B26,255),LEFT('Reference Records'!$C$27:$C$83,255),0)))),"")</f>
        <v/>
      </c>
    </row>
    <row r="27" spans="1:77" ht="30" customHeight="1">
      <c r="A27" s="530">
        <v>10</v>
      </c>
      <c r="B27" s="528" t="s">
        <v>928</v>
      </c>
      <c r="C27" s="532"/>
      <c r="D27" s="159">
        <v>395603.13970972702</v>
      </c>
      <c r="E27" s="534">
        <f ca="1">IF(OR(INDIRECT("'update Helper'!D"&amp;AE27)="",D27&lt;&gt;0,D28&lt;&gt;0),IF(IFERROR((D27/D28),"")="","",(D27/D28)),INDIRECT("'update Helper'!D"&amp;AE27)/100)</f>
        <v>0.73012544494614906</v>
      </c>
      <c r="F27" s="528">
        <v>2022</v>
      </c>
      <c r="G27" s="528" t="s">
        <v>2192</v>
      </c>
      <c r="H27" s="514" t="str">
        <f>AB27</f>
        <v>Gender | Age,Age</v>
      </c>
      <c r="I27" s="536" t="s">
        <v>323</v>
      </c>
      <c r="J27" s="528" t="s">
        <v>781</v>
      </c>
      <c r="K27" s="159"/>
      <c r="L27" s="524" t="str">
        <f ca="1">IFERROR(IF(K$7="","",IF(OR(K27&lt;&gt;0,K28&lt;&gt;0),IFERROR(IF(K27/K28="","",(K27/K28)),""),IF(VLOOKUP(CONCATENATE(A27,K$7),'update Helper'!$G$266:$N$448,5,FALSE)="","",VLOOKUP(CONCATENATE(A27,K$7),'update Helper'!$G$266:$N$448,5,FALSE)/100))),"")</f>
        <v/>
      </c>
      <c r="M27" s="526"/>
      <c r="N27" s="528"/>
      <c r="O27" s="159"/>
      <c r="P27" s="524" t="str">
        <f ca="1">IFERROR(IF(O$7="","",IF(OR(O27&lt;&gt;0,O28&lt;&gt;0),IFERROR(IF(O27/O28="","",(O27/O28)),""),IF(VLOOKUP(CONCATENATE(A27,O$7),'update Helper'!$G$266:$N$448,5,FALSE)="","",VLOOKUP(CONCATENATE(A27,O$7),'update Helper'!$G$266:$N$448,5,FALSE)/100))),"")</f>
        <v/>
      </c>
      <c r="Q27" s="526"/>
      <c r="R27" s="528" t="s">
        <v>665</v>
      </c>
      <c r="S27" s="159"/>
      <c r="T27" s="524" t="str">
        <f ca="1">IFERROR(IF(S$7="","",IF(OR(S27&lt;&gt;0,S28&lt;&gt;0),IFERROR(IF(S27/S28="","",(S27/S28)),""),IF(VLOOKUP(CONCATENATE(A27,S$7),'update Helper'!$G$266:$N$448,5,FALSE)="","",VLOOKUP(CONCATENATE(A27,S$7),'update Helper'!$G$266:$N$448,5,FALSE)/100))),"")</f>
        <v/>
      </c>
      <c r="U27" s="526"/>
      <c r="V27" s="528"/>
      <c r="W27" s="159"/>
      <c r="X27" s="524" t="str">
        <f ca="1">IFERROR(IF(W$7="","",IF(OR(W27&lt;&gt;0,W28&lt;&gt;0),IFERROR(IF(W27/W28="","",(W27/W28)),""),IF(VLOOKUP(CONCATENATE(A27,W$7),'update Helper'!$G$266:$N$448,5,FALSE)="","",VLOOKUP(CONCATENATE(A27,W$7),'update Helper'!$G$266:$N$448,5,FALSE)/100))),"")</f>
        <v/>
      </c>
      <c r="Y27" s="526"/>
      <c r="Z27" s="528"/>
      <c r="AA27" s="528" t="s">
        <v>2194</v>
      </c>
      <c r="AB27" s="48" t="str">
        <f t="array" ref="AB27">IFERROR(IF(INDEX('Reference Records'!$D$27:$D$85,MATCH(LEFT(B27,255),LEFT('Reference Records'!$C$27:$C$85,255),0))=0,"",INDEX('Reference Records'!$D$27:$D$85,MATCH(LEFT(B27,255),LEFT('Reference Records'!$C$27:$C$85,255),0))),"")</f>
        <v>Gender | Age,Age</v>
      </c>
      <c r="AC27" s="48" t="str">
        <f>B27&amp;C27</f>
        <v>HIV O-12 Percentage of people living with HIV and on ART who are virologically suppressed</v>
      </c>
      <c r="AD27" s="48">
        <f>AD25+'update Helper'!S$2</f>
        <v>322</v>
      </c>
      <c r="AE27" s="48">
        <f t="shared" ref="AE27" si="103">AE25+1</f>
        <v>237</v>
      </c>
      <c r="BA27" s="468" t="str">
        <f t="shared" ref="BA27" ca="1" si="104">IF(AND(BU27="Continue",BV27="Continue"),"No Error",IF(AND(BU27&lt;&gt;"Continue",BV27="Continue"),BU27,IF(AND(BV27&lt;&gt;"Continue",BU27="Continue"),BV27,CONCATENATE(BU27,CHAR(10),BV27))))</f>
        <v>No Error</v>
      </c>
      <c r="BB27" s="508" t="str" cm="1">
        <f t="array" ref="BB27">IF(ISBLANK(B27),"Continue",(IF(IFERROR(_xlfn.XMATCH(B27,LEFT('Reference Records'!$I$26:$I$82,32768),0),0)&lt;&gt;0,"Continue"," Invalid indicator entry. Select from dropdown list.")))</f>
        <v>Continue</v>
      </c>
      <c r="BC27" s="508" t="str">
        <f t="shared" ref="BC27" si="105">IF(SUM(BD27:BH28)=0, "Continue", "Enter valid number only.")</f>
        <v>Continue</v>
      </c>
      <c r="BD27" s="146">
        <f t="shared" si="0"/>
        <v>0</v>
      </c>
      <c r="BE27" s="146">
        <f t="shared" si="1"/>
        <v>0</v>
      </c>
      <c r="BF27" s="146">
        <f t="shared" si="2"/>
        <v>0</v>
      </c>
      <c r="BG27" s="146">
        <f t="shared" si="3"/>
        <v>0</v>
      </c>
      <c r="BH27" s="146">
        <f t="shared" si="4"/>
        <v>0</v>
      </c>
      <c r="BI27" s="467">
        <f t="shared" ref="BI27" ca="1" si="106">IF(NOT(ISBLANK(E27)),IF(E27&lt;&gt;"",(IF(NOT(ISNUMBER(E27)),1,0)),0),0)</f>
        <v>0</v>
      </c>
      <c r="BJ27" s="467">
        <f t="shared" ref="BJ27" ca="1" si="107">IF(NOT(ISBLANK(L27)),IF(L27&lt;&gt;"",(IF(NOT(ISNUMBER(L27)),1,0)),0),0)</f>
        <v>0</v>
      </c>
      <c r="BK27" s="467">
        <f t="shared" ref="BK27" ca="1" si="108">IF(NOT(ISBLANK(P27)),IF(P27&lt;&gt;"",(IF(NOT(ISNUMBER(P27)),1,0)),0),0)</f>
        <v>0</v>
      </c>
      <c r="BL27" s="467">
        <f t="shared" ref="BL27" ca="1" si="109">IF(NOT(ISBLANK(T27)),IF(T27&lt;&gt;"",(IF(NOT(ISNUMBER(T27)),1,0)),0),0)</f>
        <v>0</v>
      </c>
      <c r="BM27" s="467">
        <f t="shared" ref="BM27" ca="1" si="110">IF(NOT(ISBLANK(X27)),IF(X27&lt;&gt;"",(IF(NOT(ISNUMBER(X27)),1,0)),0),0)</f>
        <v>0</v>
      </c>
      <c r="BN27" s="467" t="str">
        <f t="shared" ref="BN27" ca="1" si="111">IF(SUM(BI27:BM28)=0, "Continue", "Enter valid number only.")</f>
        <v>Continue</v>
      </c>
      <c r="BO27" s="467" t="str">
        <f t="shared" ref="BO27" ca="1" si="112">IF(AND(BC27="Continue",BN27="Continue"),"Continue",IF(AND(BC27&lt;&gt;"Continue",BN27="Continue"),BC27,IF(AND(BN27&lt;&gt;"Continue",BC27="Continue"),BN27,CONCATENATE(BC27,CHAR(10)))))</f>
        <v>Continue</v>
      </c>
      <c r="BP27" s="155" t="b">
        <f>IFERROR(INDEX('Reference Records'!$O$26:$O$82,MATCH($B27,'Reference Records'!I$26:I$82,0)),"")</f>
        <v>0</v>
      </c>
      <c r="BQ27" s="126" t="str">
        <f t="shared" si="5"/>
        <v>Continue</v>
      </c>
      <c r="BR27" s="126" t="str">
        <f t="shared" ca="1" si="6"/>
        <v>Continue</v>
      </c>
      <c r="BS27" s="126" t="str">
        <f t="shared" ca="1" si="7"/>
        <v>Continue</v>
      </c>
      <c r="BT27" s="508" t="str">
        <f>IF(AND(BB27="Continue",BC27="Continue"),"Continue",IF(AND(BB27&lt;&gt;"Continue",BC27="Continue"),BB27,IF(AND(BC27&lt;&gt;"Continue",BB27="Continue"),BC27,CONCATENATE(BB27,CHAR(10),BC27))))</f>
        <v>Continue</v>
      </c>
      <c r="BU27" s="508" t="str">
        <f t="shared" ref="BU27" si="113">IF(AND(B27="",C27=""),"Continue",IF(AND(B27="",C27&lt;&gt;""),"Continue",IF(AND(B27&lt;&gt;"",C27=""),"Continue",IF(AND(B27&lt;&gt;"",C27&lt;&gt;""),"Cannot enter both standard and custom indicators on the same line."))))</f>
        <v>Continue</v>
      </c>
      <c r="BV27" s="508" t="str">
        <f t="shared" ref="BV27" ca="1" si="114">IF(AND(BS27="Continue",BT27="Continue"),"Continue",IF(AND(BS27&lt;&gt;"Continue",BT27="Continue"),BS27,IF(AND(BT27&lt;&gt;"Continue",BS27="Continue"),BT27,CONCATENATE(BS27,CHAR(10),BT27))))</f>
        <v>Continue</v>
      </c>
      <c r="BX27" s="310" t="str">
        <f>IFERROR(IF('Overview - Section A'!$AN$5="Funding Request",
IF(AND('Reference Records'!$B$427&lt;&gt;"",$J27 ='Reference Records'!$B$427),'Reference Records'!$C$427,""),
INDEX('Reference Records'!$A$498:$C$499,MATCH($J27,'Reference Records'!$A$498:$A$499,0),3)),"")</f>
        <v>a1A360000013M2uEAE</v>
      </c>
      <c r="BY27" s="310" t="str" cm="1">
        <f t="array" ref="BY27">IFERROR(IF($B27="", "", IF(INDEX('Reference Records'!$G$27:$G$83,MATCH(LEFT(B27,255),LEFT('Reference Records'!$C$27:$C$83,255),0))=0,"",
INDEX('Reference Records'!$G$27:$G$83,MATCH(LEFT(B27,255),LEFT('Reference Records'!$C$27:$C$83,255),0)))),"")</f>
        <v>a1JDm000000k9cCMAQ</v>
      </c>
    </row>
    <row r="28" spans="1:77" ht="30" customHeight="1">
      <c r="A28" s="531"/>
      <c r="B28" s="529"/>
      <c r="C28" s="533"/>
      <c r="D28" s="148">
        <v>541829</v>
      </c>
      <c r="E28" s="535"/>
      <c r="F28" s="529"/>
      <c r="G28" s="529"/>
      <c r="H28" s="515"/>
      <c r="I28" s="537"/>
      <c r="J28" s="529"/>
      <c r="K28" s="148"/>
      <c r="L28" s="525"/>
      <c r="M28" s="527"/>
      <c r="N28" s="529"/>
      <c r="O28" s="148"/>
      <c r="P28" s="525"/>
      <c r="Q28" s="527"/>
      <c r="R28" s="529"/>
      <c r="S28" s="148"/>
      <c r="T28" s="525"/>
      <c r="U28" s="527"/>
      <c r="V28" s="529"/>
      <c r="W28" s="148"/>
      <c r="X28" s="525"/>
      <c r="Y28" s="527"/>
      <c r="Z28" s="529"/>
      <c r="AA28" s="529"/>
      <c r="BA28" s="468"/>
      <c r="BB28" s="508"/>
      <c r="BC28" s="508"/>
      <c r="BD28" s="146">
        <f t="shared" si="0"/>
        <v>0</v>
      </c>
      <c r="BE28" s="146">
        <f t="shared" si="1"/>
        <v>0</v>
      </c>
      <c r="BF28" s="146">
        <f t="shared" si="2"/>
        <v>0</v>
      </c>
      <c r="BG28" s="146">
        <f t="shared" si="3"/>
        <v>0</v>
      </c>
      <c r="BH28" s="146">
        <f t="shared" si="4"/>
        <v>0</v>
      </c>
      <c r="BI28" s="467"/>
      <c r="BJ28" s="467"/>
      <c r="BK28" s="467"/>
      <c r="BL28" s="467"/>
      <c r="BM28" s="467"/>
      <c r="BN28" s="467"/>
      <c r="BO28" s="467"/>
      <c r="BP28" s="155" t="str">
        <f>IFERROR(INDEX('Reference Records'!$O$26:$O$82,MATCH($B28,'Reference Records'!I$26:I$82,0)),"")</f>
        <v/>
      </c>
      <c r="BQ28" s="126" t="str">
        <f t="shared" si="5"/>
        <v>Continue</v>
      </c>
      <c r="BR28" s="126" t="str">
        <f t="shared" si="6"/>
        <v>Continue</v>
      </c>
      <c r="BS28" s="126" t="str">
        <f t="shared" si="7"/>
        <v>Continue</v>
      </c>
      <c r="BT28" s="508"/>
      <c r="BU28" s="508"/>
      <c r="BV28" s="508"/>
      <c r="BX28" s="310" t="str">
        <f>IFERROR(IF('Overview - Section A'!$AN$5="Funding Request",
IF(AND('Reference Records'!$B$427&lt;&gt;"",$J28 ='Reference Records'!$B$427),'Reference Records'!$C$427,""),
INDEX('Reference Records'!$A$498:$C$499,MATCH($J28,'Reference Records'!$A$498:$A$499,0),3)),"")</f>
        <v/>
      </c>
      <c r="BY28" s="310" t="str" cm="1">
        <f t="array" ref="BY28">IFERROR(IF($B28="", "", IF(INDEX('Reference Records'!$G$27:$G$83,MATCH(LEFT(B28,255),LEFT('Reference Records'!$C$27:$C$83,255),0))=0,"",
INDEX('Reference Records'!$G$27:$G$83,MATCH(LEFT(B28,255),LEFT('Reference Records'!$C$27:$C$83,255),0)))),"")</f>
        <v/>
      </c>
    </row>
    <row r="29" spans="1:77" ht="30" customHeight="1">
      <c r="A29" s="530">
        <v>11</v>
      </c>
      <c r="B29" s="512" t="s">
        <v>949</v>
      </c>
      <c r="C29" s="512"/>
      <c r="D29" s="158"/>
      <c r="E29" s="510" t="str">
        <f ca="1">IF(OR(INDIRECT("'update Helper'!D"&amp;AE29)="",D29&lt;&gt;0,D30&lt;&gt;0),IF(IFERROR((D29/D30),"")="","",(D29/D30)),INDIRECT("'update Helper'!D"&amp;AE29)/100)</f>
        <v/>
      </c>
      <c r="F29" s="512"/>
      <c r="G29" s="512" t="s">
        <v>2195</v>
      </c>
      <c r="H29" s="514" t="str">
        <f>AB29</f>
        <v>Age</v>
      </c>
      <c r="I29" s="520" t="s">
        <v>323</v>
      </c>
      <c r="J29" s="512" t="s">
        <v>781</v>
      </c>
      <c r="K29" s="158"/>
      <c r="L29" s="516" t="str">
        <f ca="1">IFERROR(IF(K$7="","",IF(OR(K29&lt;&gt;0,K30&lt;&gt;0),IFERROR(IF(K29/K30="","",(K29/K30)),""),IF(VLOOKUP(CONCATENATE(A29,K$7),'update Helper'!$G$266:$N$448,5,FALSE)="","",VLOOKUP(CONCATENATE(A29,K$7),'update Helper'!$G$266:$N$448,5,FALSE)/100))),"")</f>
        <v/>
      </c>
      <c r="M29" s="518"/>
      <c r="N29" s="512"/>
      <c r="O29" s="158"/>
      <c r="P29" s="516" t="str">
        <f ca="1">IFERROR(IF(O$7="","",IF(OR(O29&lt;&gt;0,O30&lt;&gt;0),IFERROR(IF(O29/O30="","",(O29/O30)),""),IF(VLOOKUP(CONCATENATE(A29,O$7),'update Helper'!$G$266:$N$448,5,FALSE)="","",VLOOKUP(CONCATENATE(A29,O$7),'update Helper'!$G$266:$N$448,5,FALSE)/100))),"")</f>
        <v/>
      </c>
      <c r="Q29" s="518"/>
      <c r="R29" s="512" t="s">
        <v>665</v>
      </c>
      <c r="S29" s="158"/>
      <c r="T29" s="516" t="str">
        <f ca="1">IFERROR(IF(S$7="","",IF(OR(S29&lt;&gt;0,S30&lt;&gt;0),IFERROR(IF(S29/S30="","",(S29/S30)),""),IF(VLOOKUP(CONCATENATE(A29,S$7),'update Helper'!$G$266:$N$448,5,FALSE)="","",VLOOKUP(CONCATENATE(A29,S$7),'update Helper'!$G$266:$N$448,5,FALSE)/100))),"")</f>
        <v/>
      </c>
      <c r="U29" s="518"/>
      <c r="V29" s="512"/>
      <c r="W29" s="158"/>
      <c r="X29" s="516" t="str">
        <f ca="1">IFERROR(IF(W$7="","",IF(OR(W29&lt;&gt;0,W30&lt;&gt;0),IFERROR(IF(W29/W30="","",(W29/W30)),""),IF(VLOOKUP(CONCATENATE(A29,W$7),'update Helper'!$G$266:$N$448,5,FALSE)="","",VLOOKUP(CONCATENATE(A29,W$7),'update Helper'!$G$266:$N$448,5,FALSE)/100))),"")</f>
        <v/>
      </c>
      <c r="Y29" s="518"/>
      <c r="Z29" s="512"/>
      <c r="AA29" s="512" t="s">
        <v>2196</v>
      </c>
      <c r="AB29" s="48" t="str">
        <f t="array" ref="AB29">IFERROR(IF(INDEX('Reference Records'!$D$27:$D$85,MATCH(LEFT(B29,255),LEFT('Reference Records'!$C$27:$C$85,255),0))=0,"",INDEX('Reference Records'!$D$27:$D$85,MATCH(LEFT(B29,255),LEFT('Reference Records'!$C$27:$C$85,255),0))),"")</f>
        <v>Age</v>
      </c>
      <c r="AC29" s="48" t="str">
        <f>B29&amp;C29</f>
        <v>HIV O-16a Percentage of men who have sex with men who avoid health care because of stigma and discrimination</v>
      </c>
      <c r="AD29" s="48">
        <f>AD27+'update Helper'!S$2</f>
        <v>328</v>
      </c>
      <c r="AE29" s="48">
        <f t="shared" ref="AE29" si="115">AE27+1</f>
        <v>238</v>
      </c>
      <c r="BA29" s="468" t="str">
        <f t="shared" ref="BA29" ca="1" si="116">IF(AND(BU29="Continue",BV29="Continue"),"No Error",IF(AND(BU29&lt;&gt;"Continue",BV29="Continue"),BU29,IF(AND(BV29&lt;&gt;"Continue",BU29="Continue"),BV29,CONCATENATE(BU29,CHAR(10),BV29))))</f>
        <v>No Error</v>
      </c>
      <c r="BB29" s="508" t="str" cm="1">
        <f t="array" ref="BB29">IF(ISBLANK(B29),"Continue",(IF(IFERROR(_xlfn.XMATCH(B29,LEFT('Reference Records'!$I$26:$I$82,32768),0),0)&lt;&gt;0,"Continue"," Invalid indicator entry. Select from dropdown list.")))</f>
        <v>Continue</v>
      </c>
      <c r="BC29" s="508" t="str">
        <f t="shared" ref="BC29" si="117">IF(SUM(BD29:BH30)=0, "Continue", "Enter valid number only.")</f>
        <v>Continue</v>
      </c>
      <c r="BD29" s="146">
        <f t="shared" si="0"/>
        <v>0</v>
      </c>
      <c r="BE29" s="146">
        <f t="shared" si="1"/>
        <v>0</v>
      </c>
      <c r="BF29" s="146">
        <f t="shared" si="2"/>
        <v>0</v>
      </c>
      <c r="BG29" s="146">
        <f t="shared" si="3"/>
        <v>0</v>
      </c>
      <c r="BH29" s="146">
        <f t="shared" si="4"/>
        <v>0</v>
      </c>
      <c r="BI29" s="467">
        <f t="shared" ref="BI29" ca="1" si="118">IF(NOT(ISBLANK(E29)),IF(E29&lt;&gt;"",(IF(NOT(ISNUMBER(E29)),1,0)),0),0)</f>
        <v>0</v>
      </c>
      <c r="BJ29" s="467">
        <f t="shared" ref="BJ29" ca="1" si="119">IF(NOT(ISBLANK(L29)),IF(L29&lt;&gt;"",(IF(NOT(ISNUMBER(L29)),1,0)),0),0)</f>
        <v>0</v>
      </c>
      <c r="BK29" s="467">
        <f t="shared" ref="BK29" ca="1" si="120">IF(NOT(ISBLANK(P29)),IF(P29&lt;&gt;"",(IF(NOT(ISNUMBER(P29)),1,0)),0),0)</f>
        <v>0</v>
      </c>
      <c r="BL29" s="467">
        <f t="shared" ref="BL29" ca="1" si="121">IF(NOT(ISBLANK(T29)),IF(T29&lt;&gt;"",(IF(NOT(ISNUMBER(T29)),1,0)),0),0)</f>
        <v>0</v>
      </c>
      <c r="BM29" s="467">
        <f t="shared" ref="BM29" ca="1" si="122">IF(NOT(ISBLANK(X29)),IF(X29&lt;&gt;"",(IF(NOT(ISNUMBER(X29)),1,0)),0),0)</f>
        <v>0</v>
      </c>
      <c r="BN29" s="467" t="str">
        <f t="shared" ref="BN29" ca="1" si="123">IF(SUM(BI29:BM30)=0, "Continue", "Enter valid number only.")</f>
        <v>Continue</v>
      </c>
      <c r="BO29" s="467" t="str">
        <f t="shared" ref="BO29" ca="1" si="124">IF(AND(BC29="Continue",BN29="Continue"),"Continue",IF(AND(BC29&lt;&gt;"Continue",BN29="Continue"),BC29,IF(AND(BN29&lt;&gt;"Continue",BC29="Continue"),BN29,CONCATENATE(BC29,CHAR(10)))))</f>
        <v>Continue</v>
      </c>
      <c r="BP29" s="155" t="b">
        <f>IFERROR(INDEX('Reference Records'!$O$26:$O$82,MATCH($B29,'Reference Records'!I$26:I$82,0)),"")</f>
        <v>0</v>
      </c>
      <c r="BQ29" s="126" t="str">
        <f t="shared" si="5"/>
        <v>Continue</v>
      </c>
      <c r="BR29" s="126" t="str">
        <f t="shared" ca="1" si="6"/>
        <v>Continue</v>
      </c>
      <c r="BS29" s="126" t="str">
        <f t="shared" ca="1" si="7"/>
        <v>Continue</v>
      </c>
      <c r="BT29" s="508" t="str">
        <f>IF(AND(BB29="Continue",BC29="Continue"),"Continue",IF(AND(BB29&lt;&gt;"Continue",BC29="Continue"),BB29,IF(AND(BC29&lt;&gt;"Continue",BB29="Continue"),BC29,CONCATENATE(BB29,CHAR(10),BC29))))</f>
        <v>Continue</v>
      </c>
      <c r="BU29" s="508" t="str">
        <f t="shared" ref="BU29" si="125">IF(AND(B29="",C29=""),"Continue",IF(AND(B29="",C29&lt;&gt;""),"Continue",IF(AND(B29&lt;&gt;"",C29=""),"Continue",IF(AND(B29&lt;&gt;"",C29&lt;&gt;""),"Cannot enter both standard and custom indicators on the same line."))))</f>
        <v>Continue</v>
      </c>
      <c r="BV29" s="508" t="str">
        <f t="shared" ref="BV29" ca="1" si="126">IF(AND(BS29="Continue",BT29="Continue"),"Continue",IF(AND(BS29&lt;&gt;"Continue",BT29="Continue"),BS29,IF(AND(BT29&lt;&gt;"Continue",BS29="Continue"),BT29,CONCATENATE(BS29,CHAR(10),BT29))))</f>
        <v>Continue</v>
      </c>
      <c r="BX29" s="310" t="str">
        <f>IFERROR(IF('Overview - Section A'!$AN$5="Funding Request",
IF(AND('Reference Records'!$B$427&lt;&gt;"",$J29 ='Reference Records'!$B$427),'Reference Records'!$C$427,""),
INDEX('Reference Records'!$A$498:$C$499,MATCH($J29,'Reference Records'!$A$498:$A$499,0),3)),"")</f>
        <v>a1A360000013M2uEAE</v>
      </c>
      <c r="BY29" s="310" t="str" cm="1">
        <f t="array" ref="BY29">IFERROR(IF($B29="", "", IF(INDEX('Reference Records'!$G$27:$G$83,MATCH(LEFT(B29,255),LEFT('Reference Records'!$C$27:$C$83,255),0))=0,"",
INDEX('Reference Records'!$G$27:$G$83,MATCH(LEFT(B29,255),LEFT('Reference Records'!$C$27:$C$83,255),0)))),"")</f>
        <v>a1JDm000000k9cHMAQ</v>
      </c>
    </row>
    <row r="30" spans="1:77" ht="30" customHeight="1">
      <c r="A30" s="531"/>
      <c r="B30" s="513"/>
      <c r="C30" s="513"/>
      <c r="D30" s="140"/>
      <c r="E30" s="511"/>
      <c r="F30" s="513"/>
      <c r="G30" s="513"/>
      <c r="H30" s="515"/>
      <c r="I30" s="521"/>
      <c r="J30" s="513"/>
      <c r="K30" s="140"/>
      <c r="L30" s="517"/>
      <c r="M30" s="519"/>
      <c r="N30" s="513"/>
      <c r="O30" s="140"/>
      <c r="P30" s="517"/>
      <c r="Q30" s="519"/>
      <c r="R30" s="513"/>
      <c r="S30" s="140"/>
      <c r="T30" s="517"/>
      <c r="U30" s="519"/>
      <c r="V30" s="513"/>
      <c r="W30" s="140"/>
      <c r="X30" s="517"/>
      <c r="Y30" s="519"/>
      <c r="Z30" s="513"/>
      <c r="AA30" s="513"/>
      <c r="BA30" s="468"/>
      <c r="BB30" s="508"/>
      <c r="BC30" s="508"/>
      <c r="BD30" s="146">
        <f t="shared" si="0"/>
        <v>0</v>
      </c>
      <c r="BE30" s="146">
        <f t="shared" si="1"/>
        <v>0</v>
      </c>
      <c r="BF30" s="146">
        <f t="shared" si="2"/>
        <v>0</v>
      </c>
      <c r="BG30" s="146">
        <f t="shared" si="3"/>
        <v>0</v>
      </c>
      <c r="BH30" s="146">
        <f t="shared" si="4"/>
        <v>0</v>
      </c>
      <c r="BI30" s="467"/>
      <c r="BJ30" s="467"/>
      <c r="BK30" s="467"/>
      <c r="BL30" s="467"/>
      <c r="BM30" s="467"/>
      <c r="BN30" s="467"/>
      <c r="BO30" s="467"/>
      <c r="BP30" s="155" t="str">
        <f>IFERROR(INDEX('Reference Records'!$O$26:$O$82,MATCH($B30,'Reference Records'!I$26:I$82,0)),"")</f>
        <v/>
      </c>
      <c r="BQ30" s="126" t="str">
        <f t="shared" si="5"/>
        <v>Continue</v>
      </c>
      <c r="BR30" s="126" t="str">
        <f t="shared" si="6"/>
        <v>Continue</v>
      </c>
      <c r="BS30" s="126" t="str">
        <f t="shared" si="7"/>
        <v>Continue</v>
      </c>
      <c r="BT30" s="508"/>
      <c r="BU30" s="508"/>
      <c r="BV30" s="508"/>
      <c r="BX30" s="310" t="str">
        <f>IFERROR(IF('Overview - Section A'!$AN$5="Funding Request",
IF(AND('Reference Records'!$B$427&lt;&gt;"",$J30 ='Reference Records'!$B$427),'Reference Records'!$C$427,""),
INDEX('Reference Records'!$A$498:$C$499,MATCH($J30,'Reference Records'!$A$498:$A$499,0),3)),"")</f>
        <v/>
      </c>
      <c r="BY30" s="310" t="str" cm="1">
        <f t="array" ref="BY30">IFERROR(IF($B30="", "", IF(INDEX('Reference Records'!$G$27:$G$83,MATCH(LEFT(B30,255),LEFT('Reference Records'!$C$27:$C$83,255),0))=0,"",
INDEX('Reference Records'!$G$27:$G$83,MATCH(LEFT(B30,255),LEFT('Reference Records'!$C$27:$C$83,255),0)))),"")</f>
        <v/>
      </c>
    </row>
    <row r="31" spans="1:77" ht="30" customHeight="1">
      <c r="A31" s="530">
        <v>12</v>
      </c>
      <c r="B31" s="528" t="s">
        <v>953</v>
      </c>
      <c r="C31" s="532"/>
      <c r="D31" s="159"/>
      <c r="E31" s="534" t="str">
        <f ca="1">IF(OR(INDIRECT("'update Helper'!D"&amp;AE31)="",D31&lt;&gt;0,D32&lt;&gt;0),IF(IFERROR((D31/D32),"")="","",(D31/D32)),INDIRECT("'update Helper'!D"&amp;AE31)/100)</f>
        <v/>
      </c>
      <c r="F31" s="528"/>
      <c r="G31" s="528" t="s">
        <v>2195</v>
      </c>
      <c r="H31" s="514" t="str">
        <f>AB31</f>
        <v>Age</v>
      </c>
      <c r="I31" s="536" t="s">
        <v>323</v>
      </c>
      <c r="J31" s="528" t="s">
        <v>781</v>
      </c>
      <c r="K31" s="159"/>
      <c r="L31" s="524" t="str">
        <f ca="1">IFERROR(IF(K$7="","",IF(OR(K31&lt;&gt;0,K32&lt;&gt;0),IFERROR(IF(K31/K32="","",(K31/K32)),""),IF(VLOOKUP(CONCATENATE(A31,K$7),'update Helper'!$G$266:$N$448,5,FALSE)="","",VLOOKUP(CONCATENATE(A31,K$7),'update Helper'!$G$266:$N$448,5,FALSE)/100))),"")</f>
        <v/>
      </c>
      <c r="M31" s="526"/>
      <c r="N31" s="528"/>
      <c r="O31" s="159"/>
      <c r="P31" s="524" t="str">
        <f ca="1">IFERROR(IF(O$7="","",IF(OR(O31&lt;&gt;0,O32&lt;&gt;0),IFERROR(IF(O31/O32="","",(O31/O32)),""),IF(VLOOKUP(CONCATENATE(A31,O$7),'update Helper'!$G$266:$N$448,5,FALSE)="","",VLOOKUP(CONCATENATE(A31,O$7),'update Helper'!$G$266:$N$448,5,FALSE)/100))),"")</f>
        <v/>
      </c>
      <c r="Q31" s="526"/>
      <c r="R31" s="528" t="s">
        <v>665</v>
      </c>
      <c r="S31" s="159"/>
      <c r="T31" s="524" t="str">
        <f ca="1">IFERROR(IF(S$7="","",IF(OR(S31&lt;&gt;0,S32&lt;&gt;0),IFERROR(IF(S31/S32="","",(S31/S32)),""),IF(VLOOKUP(CONCATENATE(A31,S$7),'update Helper'!$G$266:$N$448,5,FALSE)="","",VLOOKUP(CONCATENATE(A31,S$7),'update Helper'!$G$266:$N$448,5,FALSE)/100))),"")</f>
        <v/>
      </c>
      <c r="U31" s="526"/>
      <c r="V31" s="528"/>
      <c r="W31" s="159"/>
      <c r="X31" s="524" t="str">
        <f ca="1">IFERROR(IF(W$7="","",IF(OR(W31&lt;&gt;0,W32&lt;&gt;0),IFERROR(IF(W31/W32="","",(W31/W32)),""),IF(VLOOKUP(CONCATENATE(A31,W$7),'update Helper'!$G$266:$N$448,5,FALSE)="","",VLOOKUP(CONCATENATE(A31,W$7),'update Helper'!$G$266:$N$448,5,FALSE)/100))),"")</f>
        <v/>
      </c>
      <c r="Y31" s="526"/>
      <c r="Z31" s="528"/>
      <c r="AA31" s="528" t="s">
        <v>2197</v>
      </c>
      <c r="AB31" s="48" t="str">
        <f t="array" ref="AB31">IFERROR(IF(INDEX('Reference Records'!$D$27:$D$85,MATCH(LEFT(B31,255),LEFT('Reference Records'!$C$27:$C$85,255),0))=0,"",INDEX('Reference Records'!$D$27:$D$85,MATCH(LEFT(B31,255),LEFT('Reference Records'!$C$27:$C$85,255),0))),"")</f>
        <v>Age</v>
      </c>
      <c r="AC31" s="48" t="str">
        <f>B31&amp;C31</f>
        <v>HIV O-16b Percentage of transgender people who avoid health care because of stigma and discrimination</v>
      </c>
      <c r="AD31" s="48">
        <f>AD29+'update Helper'!S$2</f>
        <v>334</v>
      </c>
      <c r="AE31" s="48">
        <f t="shared" ref="AE31" si="127">AE29+1</f>
        <v>239</v>
      </c>
      <c r="BA31" s="468" t="str">
        <f t="shared" ref="BA31" ca="1" si="128">IF(AND(BU31="Continue",BV31="Continue"),"No Error",IF(AND(BU31&lt;&gt;"Continue",BV31="Continue"),BU31,IF(AND(BV31&lt;&gt;"Continue",BU31="Continue"),BV31,CONCATENATE(BU31,CHAR(10),BV31))))</f>
        <v>No Error</v>
      </c>
      <c r="BB31" s="508" t="str" cm="1">
        <f t="array" ref="BB31">IF(ISBLANK(B31),"Continue",(IF(IFERROR(_xlfn.XMATCH(B31,LEFT('Reference Records'!$I$26:$I$82,32768),0),0)&lt;&gt;0,"Continue"," Invalid indicator entry. Select from dropdown list.")))</f>
        <v>Continue</v>
      </c>
      <c r="BC31" s="508" t="str">
        <f t="shared" ref="BC31" si="129">IF(SUM(BD31:BH32)=0, "Continue", "Enter valid number only.")</f>
        <v>Continue</v>
      </c>
      <c r="BD31" s="146">
        <f t="shared" si="0"/>
        <v>0</v>
      </c>
      <c r="BE31" s="146">
        <f t="shared" si="1"/>
        <v>0</v>
      </c>
      <c r="BF31" s="146">
        <f t="shared" si="2"/>
        <v>0</v>
      </c>
      <c r="BG31" s="146">
        <f t="shared" si="3"/>
        <v>0</v>
      </c>
      <c r="BH31" s="146">
        <f t="shared" si="4"/>
        <v>0</v>
      </c>
      <c r="BI31" s="467">
        <f t="shared" ref="BI31" ca="1" si="130">IF(NOT(ISBLANK(E31)),IF(E31&lt;&gt;"",(IF(NOT(ISNUMBER(E31)),1,0)),0),0)</f>
        <v>0</v>
      </c>
      <c r="BJ31" s="467">
        <f t="shared" ref="BJ31" ca="1" si="131">IF(NOT(ISBLANK(L31)),IF(L31&lt;&gt;"",(IF(NOT(ISNUMBER(L31)),1,0)),0),0)</f>
        <v>0</v>
      </c>
      <c r="BK31" s="467">
        <f t="shared" ref="BK31" ca="1" si="132">IF(NOT(ISBLANK(P31)),IF(P31&lt;&gt;"",(IF(NOT(ISNUMBER(P31)),1,0)),0),0)</f>
        <v>0</v>
      </c>
      <c r="BL31" s="467">
        <f t="shared" ref="BL31" ca="1" si="133">IF(NOT(ISBLANK(T31)),IF(T31&lt;&gt;"",(IF(NOT(ISNUMBER(T31)),1,0)),0),0)</f>
        <v>0</v>
      </c>
      <c r="BM31" s="467">
        <f t="shared" ref="BM31" ca="1" si="134">IF(NOT(ISBLANK(X31)),IF(X31&lt;&gt;"",(IF(NOT(ISNUMBER(X31)),1,0)),0),0)</f>
        <v>0</v>
      </c>
      <c r="BN31" s="467" t="str">
        <f t="shared" ref="BN31" ca="1" si="135">IF(SUM(BI31:BM32)=0, "Continue", "Enter valid number only.")</f>
        <v>Continue</v>
      </c>
      <c r="BO31" s="467" t="str">
        <f t="shared" ref="BO31" ca="1" si="136">IF(AND(BC31="Continue",BN31="Continue"),"Continue",IF(AND(BC31&lt;&gt;"Continue",BN31="Continue"),BC31,IF(AND(BN31&lt;&gt;"Continue",BC31="Continue"),BN31,CONCATENATE(BC31,CHAR(10)))))</f>
        <v>Continue</v>
      </c>
      <c r="BP31" s="155" t="b">
        <f>IFERROR(INDEX('Reference Records'!$O$26:$O$82,MATCH($B31,'Reference Records'!I$26:I$82,0)),"")</f>
        <v>0</v>
      </c>
      <c r="BQ31" s="126" t="str">
        <f t="shared" si="5"/>
        <v>Continue</v>
      </c>
      <c r="BR31" s="126" t="str">
        <f t="shared" ca="1" si="6"/>
        <v>Continue</v>
      </c>
      <c r="BS31" s="126" t="str">
        <f t="shared" ca="1" si="7"/>
        <v>Continue</v>
      </c>
      <c r="BT31" s="508" t="str">
        <f>IF(AND(BB31="Continue",BC31="Continue"),"Continue",IF(AND(BB31&lt;&gt;"Continue",BC31="Continue"),BB31,IF(AND(BC31&lt;&gt;"Continue",BB31="Continue"),BC31,CONCATENATE(BB31,CHAR(10),BC31))))</f>
        <v>Continue</v>
      </c>
      <c r="BU31" s="508" t="str">
        <f t="shared" ref="BU31" si="137">IF(AND(B31="",C31=""),"Continue",IF(AND(B31="",C31&lt;&gt;""),"Continue",IF(AND(B31&lt;&gt;"",C31=""),"Continue",IF(AND(B31&lt;&gt;"",C31&lt;&gt;""),"Cannot enter both standard and custom indicators on the same line."))))</f>
        <v>Continue</v>
      </c>
      <c r="BV31" s="508" t="str">
        <f t="shared" ref="BV31" ca="1" si="138">IF(AND(BS31="Continue",BT31="Continue"),"Continue",IF(AND(BS31&lt;&gt;"Continue",BT31="Continue"),BS31,IF(AND(BT31&lt;&gt;"Continue",BS31="Continue"),BT31,CONCATENATE(BS31,CHAR(10),BT31))))</f>
        <v>Continue</v>
      </c>
      <c r="BX31" s="310" t="str">
        <f>IFERROR(IF('Overview - Section A'!$AN$5="Funding Request",
IF(AND('Reference Records'!$B$427&lt;&gt;"",$J31 ='Reference Records'!$B$427),'Reference Records'!$C$427,""),
INDEX('Reference Records'!$A$498:$C$499,MATCH($J31,'Reference Records'!$A$498:$A$499,0),3)),"")</f>
        <v>a1A360000013M2uEAE</v>
      </c>
      <c r="BY31" s="310" t="str" cm="1">
        <f t="array" ref="BY31">IFERROR(IF($B31="", "", IF(INDEX('Reference Records'!$G$27:$G$83,MATCH(LEFT(B31,255),LEFT('Reference Records'!$C$27:$C$83,255),0))=0,"",
INDEX('Reference Records'!$G$27:$G$83,MATCH(LEFT(B31,255),LEFT('Reference Records'!$C$27:$C$83,255),0)))),"")</f>
        <v>a1JDm000000k9cIMAQ</v>
      </c>
    </row>
    <row r="32" spans="1:77" ht="30" customHeight="1">
      <c r="A32" s="531"/>
      <c r="B32" s="529"/>
      <c r="C32" s="533"/>
      <c r="D32" s="148"/>
      <c r="E32" s="535"/>
      <c r="F32" s="529"/>
      <c r="G32" s="529"/>
      <c r="H32" s="515"/>
      <c r="I32" s="537"/>
      <c r="J32" s="529"/>
      <c r="K32" s="148"/>
      <c r="L32" s="525"/>
      <c r="M32" s="527"/>
      <c r="N32" s="529"/>
      <c r="O32" s="148"/>
      <c r="P32" s="525"/>
      <c r="Q32" s="527"/>
      <c r="R32" s="529"/>
      <c r="S32" s="148"/>
      <c r="T32" s="525"/>
      <c r="U32" s="527"/>
      <c r="V32" s="529"/>
      <c r="W32" s="148"/>
      <c r="X32" s="525"/>
      <c r="Y32" s="527"/>
      <c r="Z32" s="529"/>
      <c r="AA32" s="529"/>
      <c r="BA32" s="468"/>
      <c r="BB32" s="508"/>
      <c r="BC32" s="508"/>
      <c r="BD32" s="146">
        <f t="shared" si="0"/>
        <v>0</v>
      </c>
      <c r="BE32" s="146">
        <f t="shared" si="1"/>
        <v>0</v>
      </c>
      <c r="BF32" s="146">
        <f t="shared" si="2"/>
        <v>0</v>
      </c>
      <c r="BG32" s="146">
        <f t="shared" si="3"/>
        <v>0</v>
      </c>
      <c r="BH32" s="146">
        <f t="shared" si="4"/>
        <v>0</v>
      </c>
      <c r="BI32" s="467"/>
      <c r="BJ32" s="467"/>
      <c r="BK32" s="467"/>
      <c r="BL32" s="467"/>
      <c r="BM32" s="467"/>
      <c r="BN32" s="467"/>
      <c r="BO32" s="467"/>
      <c r="BP32" s="155" t="str">
        <f>IFERROR(INDEX('Reference Records'!$O$26:$O$82,MATCH($B32,'Reference Records'!I$26:I$82,0)),"")</f>
        <v/>
      </c>
      <c r="BQ32" s="126" t="str">
        <f t="shared" si="5"/>
        <v>Continue</v>
      </c>
      <c r="BR32" s="126" t="str">
        <f t="shared" si="6"/>
        <v>Continue</v>
      </c>
      <c r="BS32" s="126" t="str">
        <f t="shared" si="7"/>
        <v>Continue</v>
      </c>
      <c r="BT32" s="508"/>
      <c r="BU32" s="508"/>
      <c r="BV32" s="508"/>
      <c r="BX32" s="310" t="str">
        <f>IFERROR(IF('Overview - Section A'!$AN$5="Funding Request",
IF(AND('Reference Records'!$B$427&lt;&gt;"",$J32 ='Reference Records'!$B$427),'Reference Records'!$C$427,""),
INDEX('Reference Records'!$A$498:$C$499,MATCH($J32,'Reference Records'!$A$498:$A$499,0),3)),"")</f>
        <v/>
      </c>
      <c r="BY32" s="310" t="str" cm="1">
        <f t="array" ref="BY32">IFERROR(IF($B32="", "", IF(INDEX('Reference Records'!$G$27:$G$83,MATCH(LEFT(B32,255),LEFT('Reference Records'!$C$27:$C$83,255),0))=0,"",
INDEX('Reference Records'!$G$27:$G$83,MATCH(LEFT(B32,255),LEFT('Reference Records'!$C$27:$C$83,255),0)))),"")</f>
        <v/>
      </c>
    </row>
    <row r="33" spans="1:77" ht="30" customHeight="1">
      <c r="A33" s="530">
        <v>13</v>
      </c>
      <c r="B33" s="512" t="s">
        <v>957</v>
      </c>
      <c r="C33" s="512"/>
      <c r="D33" s="158"/>
      <c r="E33" s="510" t="str">
        <f ca="1">IF(OR(INDIRECT("'update Helper'!D"&amp;AE33)="",D33&lt;&gt;0,D34&lt;&gt;0),IF(IFERROR((D33/D34),"")="","",(D33/D34)),INDIRECT("'update Helper'!D"&amp;AE33)/100)</f>
        <v/>
      </c>
      <c r="F33" s="512"/>
      <c r="G33" s="512" t="s">
        <v>2195</v>
      </c>
      <c r="H33" s="514" t="str">
        <f>AB33</f>
        <v>Gender,Age</v>
      </c>
      <c r="I33" s="520" t="s">
        <v>323</v>
      </c>
      <c r="J33" s="512" t="s">
        <v>781</v>
      </c>
      <c r="K33" s="158"/>
      <c r="L33" s="516" t="str">
        <f ca="1">IFERROR(IF(K$7="","",IF(OR(K33&lt;&gt;0,K34&lt;&gt;0),IFERROR(IF(K33/K34="","",(K33/K34)),""),IF(VLOOKUP(CONCATENATE(A33,K$7),'update Helper'!$G$266:$N$448,5,FALSE)="","",VLOOKUP(CONCATENATE(A33,K$7),'update Helper'!$G$266:$N$448,5,FALSE)/100))),"")</f>
        <v/>
      </c>
      <c r="M33" s="518"/>
      <c r="N33" s="512"/>
      <c r="O33" s="158"/>
      <c r="P33" s="516" t="str">
        <f ca="1">IFERROR(IF(O$7="","",IF(OR(O33&lt;&gt;0,O34&lt;&gt;0),IFERROR(IF(O33/O34="","",(O33/O34)),""),IF(VLOOKUP(CONCATENATE(A33,O$7),'update Helper'!$G$266:$N$448,5,FALSE)="","",VLOOKUP(CONCATENATE(A33,O$7),'update Helper'!$G$266:$N$448,5,FALSE)/100))),"")</f>
        <v/>
      </c>
      <c r="Q33" s="518"/>
      <c r="R33" s="512" t="s">
        <v>665</v>
      </c>
      <c r="S33" s="158"/>
      <c r="T33" s="516" t="str">
        <f ca="1">IFERROR(IF(S$7="","",IF(OR(S33&lt;&gt;0,S34&lt;&gt;0),IFERROR(IF(S33/S34="","",(S33/S34)),""),IF(VLOOKUP(CONCATENATE(A33,S$7),'update Helper'!$G$266:$N$448,5,FALSE)="","",VLOOKUP(CONCATENATE(A33,S$7),'update Helper'!$G$266:$N$448,5,FALSE)/100))),"")</f>
        <v/>
      </c>
      <c r="U33" s="518"/>
      <c r="V33" s="512"/>
      <c r="W33" s="158"/>
      <c r="X33" s="516" t="str">
        <f ca="1">IFERROR(IF(W$7="","",IF(OR(W33&lt;&gt;0,W34&lt;&gt;0),IFERROR(IF(W33/W34="","",(W33/W34)),""),IF(VLOOKUP(CONCATENATE(A33,W$7),'update Helper'!$G$266:$N$448,5,FALSE)="","",VLOOKUP(CONCATENATE(A33,W$7),'update Helper'!$G$266:$N$448,5,FALSE)/100))),"")</f>
        <v/>
      </c>
      <c r="Y33" s="518"/>
      <c r="Z33" s="512"/>
      <c r="AA33" s="512" t="s">
        <v>2197</v>
      </c>
      <c r="AB33" s="48" t="str">
        <f t="array" ref="AB33">IFERROR(IF(INDEX('Reference Records'!$D$27:$D$85,MATCH(LEFT(B33,255),LEFT('Reference Records'!$C$27:$C$85,255),0))=0,"",INDEX('Reference Records'!$D$27:$D$85,MATCH(LEFT(B33,255),LEFT('Reference Records'!$C$27:$C$85,255),0))),"")</f>
        <v>Gender,Age</v>
      </c>
      <c r="AC33" s="48" t="str">
        <f>B33&amp;C33</f>
        <v>HIV O-16c Percentage of sex workers who avoid health care because of stigma and discrimination</v>
      </c>
      <c r="AD33" s="48">
        <f>AD31+'update Helper'!S$2</f>
        <v>340</v>
      </c>
      <c r="AE33" s="48">
        <f t="shared" ref="AE33" si="139">AE31+1</f>
        <v>240</v>
      </c>
      <c r="BA33" s="468" t="str">
        <f t="shared" ref="BA33" ca="1" si="140">IF(AND(BU33="Continue",BV33="Continue"),"No Error",IF(AND(BU33&lt;&gt;"Continue",BV33="Continue"),BU33,IF(AND(BV33&lt;&gt;"Continue",BU33="Continue"),BV33,CONCATENATE(BU33,CHAR(10),BV33))))</f>
        <v>No Error</v>
      </c>
      <c r="BB33" s="508" t="str" cm="1">
        <f t="array" ref="BB33">IF(ISBLANK(B33),"Continue",(IF(IFERROR(_xlfn.XMATCH(B33,LEFT('Reference Records'!$I$26:$I$82,32768),0),0)&lt;&gt;0,"Continue"," Invalid indicator entry. Select from dropdown list.")))</f>
        <v>Continue</v>
      </c>
      <c r="BC33" s="508" t="str">
        <f t="shared" ref="BC33" si="141">IF(SUM(BD33:BH34)=0, "Continue", "Enter valid number only.")</f>
        <v>Continue</v>
      </c>
      <c r="BD33" s="146">
        <f t="shared" si="0"/>
        <v>0</v>
      </c>
      <c r="BE33" s="146">
        <f t="shared" si="1"/>
        <v>0</v>
      </c>
      <c r="BF33" s="146">
        <f t="shared" si="2"/>
        <v>0</v>
      </c>
      <c r="BG33" s="146">
        <f t="shared" si="3"/>
        <v>0</v>
      </c>
      <c r="BH33" s="146">
        <f t="shared" si="4"/>
        <v>0</v>
      </c>
      <c r="BI33" s="467">
        <f t="shared" ref="BI33" ca="1" si="142">IF(NOT(ISBLANK(E33)),IF(E33&lt;&gt;"",(IF(NOT(ISNUMBER(E33)),1,0)),0),0)</f>
        <v>0</v>
      </c>
      <c r="BJ33" s="467">
        <f t="shared" ref="BJ33" ca="1" si="143">IF(NOT(ISBLANK(L33)),IF(L33&lt;&gt;"",(IF(NOT(ISNUMBER(L33)),1,0)),0),0)</f>
        <v>0</v>
      </c>
      <c r="BK33" s="467">
        <f t="shared" ref="BK33" ca="1" si="144">IF(NOT(ISBLANK(P33)),IF(P33&lt;&gt;"",(IF(NOT(ISNUMBER(P33)),1,0)),0),0)</f>
        <v>0</v>
      </c>
      <c r="BL33" s="467">
        <f t="shared" ref="BL33" ca="1" si="145">IF(NOT(ISBLANK(T33)),IF(T33&lt;&gt;"",(IF(NOT(ISNUMBER(T33)),1,0)),0),0)</f>
        <v>0</v>
      </c>
      <c r="BM33" s="467">
        <f t="shared" ref="BM33" ca="1" si="146">IF(NOT(ISBLANK(X33)),IF(X33&lt;&gt;"",(IF(NOT(ISNUMBER(X33)),1,0)),0),0)</f>
        <v>0</v>
      </c>
      <c r="BN33" s="467" t="str">
        <f t="shared" ref="BN33" ca="1" si="147">IF(SUM(BI33:BM34)=0, "Continue", "Enter valid number only.")</f>
        <v>Continue</v>
      </c>
      <c r="BO33" s="467" t="str">
        <f t="shared" ref="BO33" ca="1" si="148">IF(AND(BC33="Continue",BN33="Continue"),"Continue",IF(AND(BC33&lt;&gt;"Continue",BN33="Continue"),BC33,IF(AND(BN33&lt;&gt;"Continue",BC33="Continue"),BN33,CONCATENATE(BC33,CHAR(10)))))</f>
        <v>Continue</v>
      </c>
      <c r="BP33" s="155" t="b">
        <f>IFERROR(INDEX('Reference Records'!$O$26:$O$82,MATCH($B33,'Reference Records'!I$26:I$82,0)),"")</f>
        <v>0</v>
      </c>
      <c r="BQ33" s="126" t="str">
        <f t="shared" si="5"/>
        <v>Continue</v>
      </c>
      <c r="BR33" s="126" t="str">
        <f t="shared" ca="1" si="6"/>
        <v>Continue</v>
      </c>
      <c r="BS33" s="126" t="str">
        <f t="shared" ca="1" si="7"/>
        <v>Continue</v>
      </c>
      <c r="BT33" s="508" t="str">
        <f>IF(AND(BB33="Continue",BC33="Continue"),"Continue",IF(AND(BB33&lt;&gt;"Continue",BC33="Continue"),BB33,IF(AND(BC33&lt;&gt;"Continue",BB33="Continue"),BC33,CONCATENATE(BB33,CHAR(10),BC33))))</f>
        <v>Continue</v>
      </c>
      <c r="BU33" s="508" t="str">
        <f t="shared" ref="BU33" si="149">IF(AND(B33="",C33=""),"Continue",IF(AND(B33="",C33&lt;&gt;""),"Continue",IF(AND(B33&lt;&gt;"",C33=""),"Continue",IF(AND(B33&lt;&gt;"",C33&lt;&gt;""),"Cannot enter both standard and custom indicators on the same line."))))</f>
        <v>Continue</v>
      </c>
      <c r="BV33" s="508" t="str">
        <f t="shared" ref="BV33" ca="1" si="150">IF(AND(BS33="Continue",BT33="Continue"),"Continue",IF(AND(BS33&lt;&gt;"Continue",BT33="Continue"),BS33,IF(AND(BT33&lt;&gt;"Continue",BS33="Continue"),BT33,CONCATENATE(BS33,CHAR(10),BT33))))</f>
        <v>Continue</v>
      </c>
      <c r="BX33" s="310" t="str">
        <f>IFERROR(IF('Overview - Section A'!$AN$5="Funding Request",
IF(AND('Reference Records'!$B$427&lt;&gt;"",$J33 ='Reference Records'!$B$427),'Reference Records'!$C$427,""),
INDEX('Reference Records'!$A$498:$C$499,MATCH($J33,'Reference Records'!$A$498:$A$499,0),3)),"")</f>
        <v>a1A360000013M2uEAE</v>
      </c>
      <c r="BY33" s="310" t="str" cm="1">
        <f t="array" ref="BY33">IFERROR(IF($B33="", "", IF(INDEX('Reference Records'!$G$27:$G$83,MATCH(LEFT(B33,255),LEFT('Reference Records'!$C$27:$C$83,255),0))=0,"",
INDEX('Reference Records'!$G$27:$G$83,MATCH(LEFT(B33,255),LEFT('Reference Records'!$C$27:$C$83,255),0)))),"")</f>
        <v>a1JDm000000k9cJMAQ</v>
      </c>
    </row>
    <row r="34" spans="1:77" ht="30" customHeight="1">
      <c r="A34" s="531"/>
      <c r="B34" s="513"/>
      <c r="C34" s="513"/>
      <c r="D34" s="140"/>
      <c r="E34" s="511"/>
      <c r="F34" s="513"/>
      <c r="G34" s="513"/>
      <c r="H34" s="515"/>
      <c r="I34" s="521"/>
      <c r="J34" s="513"/>
      <c r="K34" s="140"/>
      <c r="L34" s="517"/>
      <c r="M34" s="519"/>
      <c r="N34" s="513"/>
      <c r="O34" s="140"/>
      <c r="P34" s="517"/>
      <c r="Q34" s="519"/>
      <c r="R34" s="513"/>
      <c r="S34" s="140"/>
      <c r="T34" s="517"/>
      <c r="U34" s="519"/>
      <c r="V34" s="513"/>
      <c r="W34" s="140"/>
      <c r="X34" s="517"/>
      <c r="Y34" s="519"/>
      <c r="Z34" s="513"/>
      <c r="AA34" s="513"/>
      <c r="BA34" s="468"/>
      <c r="BB34" s="508"/>
      <c r="BC34" s="508"/>
      <c r="BD34" s="146">
        <f t="shared" si="0"/>
        <v>0</v>
      </c>
      <c r="BE34" s="146">
        <f t="shared" si="1"/>
        <v>0</v>
      </c>
      <c r="BF34" s="146">
        <f t="shared" si="2"/>
        <v>0</v>
      </c>
      <c r="BG34" s="146">
        <f t="shared" si="3"/>
        <v>0</v>
      </c>
      <c r="BH34" s="146">
        <f t="shared" si="4"/>
        <v>0</v>
      </c>
      <c r="BI34" s="467"/>
      <c r="BJ34" s="467"/>
      <c r="BK34" s="467"/>
      <c r="BL34" s="467"/>
      <c r="BM34" s="467"/>
      <c r="BN34" s="467"/>
      <c r="BO34" s="467"/>
      <c r="BP34" s="155" t="str">
        <f>IFERROR(INDEX('Reference Records'!$O$26:$O$82,MATCH($B34,'Reference Records'!I$26:I$82,0)),"")</f>
        <v/>
      </c>
      <c r="BQ34" s="126" t="str">
        <f t="shared" si="5"/>
        <v>Continue</v>
      </c>
      <c r="BR34" s="126" t="str">
        <f t="shared" si="6"/>
        <v>Continue</v>
      </c>
      <c r="BS34" s="126" t="str">
        <f t="shared" si="7"/>
        <v>Continue</v>
      </c>
      <c r="BT34" s="508"/>
      <c r="BU34" s="508"/>
      <c r="BV34" s="508"/>
      <c r="BX34" s="310" t="str">
        <f>IFERROR(IF('Overview - Section A'!$AN$5="Funding Request",
IF(AND('Reference Records'!$B$427&lt;&gt;"",$J34 ='Reference Records'!$B$427),'Reference Records'!$C$427,""),
INDEX('Reference Records'!$A$498:$C$499,MATCH($J34,'Reference Records'!$A$498:$A$499,0),3)),"")</f>
        <v/>
      </c>
      <c r="BY34" s="310" t="str" cm="1">
        <f t="array" ref="BY34">IFERROR(IF($B34="", "", IF(INDEX('Reference Records'!$G$27:$G$83,MATCH(LEFT(B34,255),LEFT('Reference Records'!$C$27:$C$83,255),0))=0,"",
INDEX('Reference Records'!$G$27:$G$83,MATCH(LEFT(B34,255),LEFT('Reference Records'!$C$27:$C$83,255),0)))),"")</f>
        <v/>
      </c>
    </row>
    <row r="35" spans="1:77" ht="30" customHeight="1">
      <c r="A35" s="530">
        <v>14</v>
      </c>
      <c r="B35" s="528" t="s">
        <v>961</v>
      </c>
      <c r="C35" s="532"/>
      <c r="D35" s="159"/>
      <c r="E35" s="534" t="str">
        <f ca="1">IF(OR(INDIRECT("'update Helper'!D"&amp;AE35)="",D35&lt;&gt;0,D36&lt;&gt;0),IF(IFERROR((D35/D36),"")="","",(D35/D36)),INDIRECT("'update Helper'!D"&amp;AE35)/100)</f>
        <v/>
      </c>
      <c r="F35" s="528"/>
      <c r="G35" s="528" t="s">
        <v>2195</v>
      </c>
      <c r="H35" s="514" t="str">
        <f>AB35</f>
        <v>Gender,Age</v>
      </c>
      <c r="I35" s="536" t="s">
        <v>323</v>
      </c>
      <c r="J35" s="528" t="s">
        <v>781</v>
      </c>
      <c r="K35" s="159"/>
      <c r="L35" s="524" t="str">
        <f ca="1">IFERROR(IF(K$7="","",IF(OR(K35&lt;&gt;0,K36&lt;&gt;0),IFERROR(IF(K35/K36="","",(K35/K36)),""),IF(VLOOKUP(CONCATENATE(A35,K$7),'update Helper'!$G$266:$N$448,5,FALSE)="","",VLOOKUP(CONCATENATE(A35,K$7),'update Helper'!$G$266:$N$448,5,FALSE)/100))),"")</f>
        <v/>
      </c>
      <c r="M35" s="526"/>
      <c r="N35" s="528"/>
      <c r="O35" s="159"/>
      <c r="P35" s="524" t="str">
        <f ca="1">IFERROR(IF(O$7="","",IF(OR(O35&lt;&gt;0,O36&lt;&gt;0),IFERROR(IF(O35/O36="","",(O35/O36)),""),IF(VLOOKUP(CONCATENATE(A35,O$7),'update Helper'!$G$266:$N$448,5,FALSE)="","",VLOOKUP(CONCATENATE(A35,O$7),'update Helper'!$G$266:$N$448,5,FALSE)/100))),"")</f>
        <v/>
      </c>
      <c r="Q35" s="526"/>
      <c r="R35" s="528" t="s">
        <v>665</v>
      </c>
      <c r="S35" s="159"/>
      <c r="T35" s="524" t="str">
        <f ca="1">IFERROR(IF(S$7="","",IF(OR(S35&lt;&gt;0,S36&lt;&gt;0),IFERROR(IF(S35/S36="","",(S35/S36)),""),IF(VLOOKUP(CONCATENATE(A35,S$7),'update Helper'!$G$266:$N$448,5,FALSE)="","",VLOOKUP(CONCATENATE(A35,S$7),'update Helper'!$G$266:$N$448,5,FALSE)/100))),"")</f>
        <v/>
      </c>
      <c r="U35" s="526"/>
      <c r="V35" s="528"/>
      <c r="W35" s="159"/>
      <c r="X35" s="524" t="str">
        <f ca="1">IFERROR(IF(W$7="","",IF(OR(W35&lt;&gt;0,W36&lt;&gt;0),IFERROR(IF(W35/W36="","",(W35/W36)),""),IF(VLOOKUP(CONCATENATE(A35,W$7),'update Helper'!$G$266:$N$448,5,FALSE)="","",VLOOKUP(CONCATENATE(A35,W$7),'update Helper'!$G$266:$N$448,5,FALSE)/100))),"")</f>
        <v/>
      </c>
      <c r="Y35" s="526"/>
      <c r="Z35" s="528"/>
      <c r="AA35" s="528" t="s">
        <v>2197</v>
      </c>
      <c r="AB35" s="48" t="str">
        <f t="array" ref="AB35">IFERROR(IF(INDEX('Reference Records'!$D$27:$D$85,MATCH(LEFT(B35,255),LEFT('Reference Records'!$C$27:$C$85,255),0))=0,"",INDEX('Reference Records'!$D$27:$D$85,MATCH(LEFT(B35,255),LEFT('Reference Records'!$C$27:$C$85,255),0))),"")</f>
        <v>Gender,Age</v>
      </c>
      <c r="AC35" s="48" t="str">
        <f>B35&amp;C35</f>
        <v>HIV O-16d Percentage of people who inject drugs who avoid health care because of stigma and discrimination</v>
      </c>
      <c r="AD35" s="48">
        <f>AD33+'update Helper'!S$2</f>
        <v>346</v>
      </c>
      <c r="AE35" s="48">
        <f t="shared" ref="AE35" si="151">AE33+1</f>
        <v>241</v>
      </c>
      <c r="BA35" s="468" t="str">
        <f t="shared" ref="BA35" ca="1" si="152">IF(AND(BU35="Continue",BV35="Continue"),"No Error",IF(AND(BU35&lt;&gt;"Continue",BV35="Continue"),BU35,IF(AND(BV35&lt;&gt;"Continue",BU35="Continue"),BV35,CONCATENATE(BU35,CHAR(10),BV35))))</f>
        <v>No Error</v>
      </c>
      <c r="BB35" s="508" t="str" cm="1">
        <f t="array" ref="BB35">IF(ISBLANK(B35),"Continue",(IF(IFERROR(_xlfn.XMATCH(B35,LEFT('Reference Records'!$I$26:$I$82,32768),0),0)&lt;&gt;0,"Continue"," Invalid indicator entry. Select from dropdown list.")))</f>
        <v>Continue</v>
      </c>
      <c r="BC35" s="508" t="str">
        <f t="shared" ref="BC35" si="153">IF(SUM(BD35:BH36)=0, "Continue", "Enter valid number only.")</f>
        <v>Continue</v>
      </c>
      <c r="BD35" s="146">
        <f t="shared" si="0"/>
        <v>0</v>
      </c>
      <c r="BE35" s="146">
        <f t="shared" si="1"/>
        <v>0</v>
      </c>
      <c r="BF35" s="146">
        <f t="shared" si="2"/>
        <v>0</v>
      </c>
      <c r="BG35" s="146">
        <f t="shared" si="3"/>
        <v>0</v>
      </c>
      <c r="BH35" s="146">
        <f t="shared" si="4"/>
        <v>0</v>
      </c>
      <c r="BI35" s="467">
        <f t="shared" ref="BI35" ca="1" si="154">IF(NOT(ISBLANK(E35)),IF(E35&lt;&gt;"",(IF(NOT(ISNUMBER(E35)),1,0)),0),0)</f>
        <v>0</v>
      </c>
      <c r="BJ35" s="467">
        <f t="shared" ref="BJ35" ca="1" si="155">IF(NOT(ISBLANK(L35)),IF(L35&lt;&gt;"",(IF(NOT(ISNUMBER(L35)),1,0)),0),0)</f>
        <v>0</v>
      </c>
      <c r="BK35" s="467">
        <f t="shared" ref="BK35" ca="1" si="156">IF(NOT(ISBLANK(P35)),IF(P35&lt;&gt;"",(IF(NOT(ISNUMBER(P35)),1,0)),0),0)</f>
        <v>0</v>
      </c>
      <c r="BL35" s="467">
        <f t="shared" ref="BL35" ca="1" si="157">IF(NOT(ISBLANK(T35)),IF(T35&lt;&gt;"",(IF(NOT(ISNUMBER(T35)),1,0)),0),0)</f>
        <v>0</v>
      </c>
      <c r="BM35" s="467">
        <f t="shared" ref="BM35" ca="1" si="158">IF(NOT(ISBLANK(X35)),IF(X35&lt;&gt;"",(IF(NOT(ISNUMBER(X35)),1,0)),0),0)</f>
        <v>0</v>
      </c>
      <c r="BN35" s="467" t="str">
        <f t="shared" ref="BN35" ca="1" si="159">IF(SUM(BI35:BM36)=0, "Continue", "Enter valid number only.")</f>
        <v>Continue</v>
      </c>
      <c r="BO35" s="467" t="str">
        <f t="shared" ref="BO35" ca="1" si="160">IF(AND(BC35="Continue",BN35="Continue"),"Continue",IF(AND(BC35&lt;&gt;"Continue",BN35="Continue"),BC35,IF(AND(BN35&lt;&gt;"Continue",BC35="Continue"),BN35,CONCATENATE(BC35,CHAR(10)))))</f>
        <v>Continue</v>
      </c>
      <c r="BP35" s="155" t="b">
        <f>IFERROR(INDEX('Reference Records'!$O$26:$O$82,MATCH($B35,'Reference Records'!I$26:I$82,0)),"")</f>
        <v>0</v>
      </c>
      <c r="BQ35" s="126" t="str">
        <f t="shared" si="5"/>
        <v>Continue</v>
      </c>
      <c r="BR35" s="126" t="str">
        <f t="shared" ca="1" si="6"/>
        <v>Continue</v>
      </c>
      <c r="BS35" s="126" t="str">
        <f t="shared" ca="1" si="7"/>
        <v>Continue</v>
      </c>
      <c r="BT35" s="508" t="str">
        <f>IF(AND(BB35="Continue",BC35="Continue"),"Continue",IF(AND(BB35&lt;&gt;"Continue",BC35="Continue"),BB35,IF(AND(BC35&lt;&gt;"Continue",BB35="Continue"),BC35,CONCATENATE(BB35,CHAR(10),BC35))))</f>
        <v>Continue</v>
      </c>
      <c r="BU35" s="508" t="str">
        <f t="shared" ref="BU35" si="161">IF(AND(B35="",C35=""),"Continue",IF(AND(B35="",C35&lt;&gt;""),"Continue",IF(AND(B35&lt;&gt;"",C35=""),"Continue",IF(AND(B35&lt;&gt;"",C35&lt;&gt;""),"Cannot enter both standard and custom indicators on the same line."))))</f>
        <v>Continue</v>
      </c>
      <c r="BV35" s="508" t="str">
        <f t="shared" ref="BV35" ca="1" si="162">IF(AND(BS35="Continue",BT35="Continue"),"Continue",IF(AND(BS35&lt;&gt;"Continue",BT35="Continue"),BS35,IF(AND(BT35&lt;&gt;"Continue",BS35="Continue"),BT35,CONCATENATE(BS35,CHAR(10),BT35))))</f>
        <v>Continue</v>
      </c>
      <c r="BX35" s="310" t="str">
        <f>IFERROR(IF('Overview - Section A'!$AN$5="Funding Request",
IF(AND('Reference Records'!$B$427&lt;&gt;"",$J35 ='Reference Records'!$B$427),'Reference Records'!$C$427,""),
INDEX('Reference Records'!$A$498:$C$499,MATCH($J35,'Reference Records'!$A$498:$A$499,0),3)),"")</f>
        <v>a1A360000013M2uEAE</v>
      </c>
      <c r="BY35" s="310" t="str" cm="1">
        <f t="array" ref="BY35">IFERROR(IF($B35="", "", IF(INDEX('Reference Records'!$G$27:$G$83,MATCH(LEFT(B35,255),LEFT('Reference Records'!$C$27:$C$83,255),0))=0,"",
INDEX('Reference Records'!$G$27:$G$83,MATCH(LEFT(B35,255),LEFT('Reference Records'!$C$27:$C$83,255),0)))),"")</f>
        <v>a1JDm000000k9cKMAQ</v>
      </c>
    </row>
    <row r="36" spans="1:77" ht="30" customHeight="1">
      <c r="A36" s="531"/>
      <c r="B36" s="529"/>
      <c r="C36" s="533"/>
      <c r="D36" s="148"/>
      <c r="E36" s="535"/>
      <c r="F36" s="529"/>
      <c r="G36" s="529"/>
      <c r="H36" s="515"/>
      <c r="I36" s="537"/>
      <c r="J36" s="529"/>
      <c r="K36" s="148"/>
      <c r="L36" s="525"/>
      <c r="M36" s="527"/>
      <c r="N36" s="529"/>
      <c r="O36" s="148"/>
      <c r="P36" s="525"/>
      <c r="Q36" s="527"/>
      <c r="R36" s="529"/>
      <c r="S36" s="148"/>
      <c r="T36" s="525"/>
      <c r="U36" s="527"/>
      <c r="V36" s="529"/>
      <c r="W36" s="148"/>
      <c r="X36" s="525"/>
      <c r="Y36" s="527"/>
      <c r="Z36" s="529"/>
      <c r="AA36" s="529"/>
      <c r="BA36" s="468"/>
      <c r="BB36" s="508"/>
      <c r="BC36" s="508"/>
      <c r="BD36" s="146">
        <f t="shared" si="0"/>
        <v>0</v>
      </c>
      <c r="BE36" s="146">
        <f t="shared" si="1"/>
        <v>0</v>
      </c>
      <c r="BF36" s="146">
        <f t="shared" si="2"/>
        <v>0</v>
      </c>
      <c r="BG36" s="146">
        <f t="shared" si="3"/>
        <v>0</v>
      </c>
      <c r="BH36" s="146">
        <f t="shared" si="4"/>
        <v>0</v>
      </c>
      <c r="BI36" s="467"/>
      <c r="BJ36" s="467"/>
      <c r="BK36" s="467"/>
      <c r="BL36" s="467"/>
      <c r="BM36" s="467"/>
      <c r="BN36" s="467"/>
      <c r="BO36" s="467"/>
      <c r="BP36" s="155" t="str">
        <f>IFERROR(INDEX('Reference Records'!$O$26:$O$82,MATCH($B36,'Reference Records'!I$26:I$82,0)),"")</f>
        <v/>
      </c>
      <c r="BQ36" s="126" t="str">
        <f t="shared" si="5"/>
        <v>Continue</v>
      </c>
      <c r="BR36" s="126" t="str">
        <f t="shared" si="6"/>
        <v>Continue</v>
      </c>
      <c r="BS36" s="126" t="str">
        <f t="shared" si="7"/>
        <v>Continue</v>
      </c>
      <c r="BT36" s="508"/>
      <c r="BU36" s="508"/>
      <c r="BV36" s="508"/>
      <c r="BX36" s="310" t="str">
        <f>IFERROR(IF('Overview - Section A'!$AN$5="Funding Request",
IF(AND('Reference Records'!$B$427&lt;&gt;"",$J36 ='Reference Records'!$B$427),'Reference Records'!$C$427,""),
INDEX('Reference Records'!$A$498:$C$499,MATCH($J36,'Reference Records'!$A$498:$A$499,0),3)),"")</f>
        <v/>
      </c>
      <c r="BY36" s="310" t="str" cm="1">
        <f t="array" ref="BY36">IFERROR(IF($B36="", "", IF(INDEX('Reference Records'!$G$27:$G$83,MATCH(LEFT(B36,255),LEFT('Reference Records'!$C$27:$C$83,255),0))=0,"",
INDEX('Reference Records'!$G$27:$G$83,MATCH(LEFT(B36,255),LEFT('Reference Records'!$C$27:$C$83,255),0)))),"")</f>
        <v/>
      </c>
    </row>
    <row r="37" spans="1:77" ht="30" customHeight="1">
      <c r="A37" s="530">
        <v>15</v>
      </c>
      <c r="B37" s="512"/>
      <c r="C37" s="512" t="s">
        <v>2198</v>
      </c>
      <c r="D37" s="158">
        <v>93041</v>
      </c>
      <c r="E37" s="510" t="str">
        <f ca="1">IF(OR(INDIRECT("'update Helper'!D"&amp;AE37)="",D37&lt;&gt;0,D38&lt;&gt;0),IF(IFERROR((D37/D38),"")="","",(D37/D38)),INDIRECT("'update Helper'!D"&amp;AE37)/100)</f>
        <v/>
      </c>
      <c r="F37" s="512">
        <v>2021</v>
      </c>
      <c r="G37" s="512" t="s">
        <v>2199</v>
      </c>
      <c r="H37" s="514" t="str">
        <f>AB37</f>
        <v/>
      </c>
      <c r="I37" s="520" t="s">
        <v>323</v>
      </c>
      <c r="J37" s="512" t="s">
        <v>781</v>
      </c>
      <c r="K37" s="158">
        <v>113800</v>
      </c>
      <c r="L37" s="516" t="str">
        <f ca="1">IFERROR(IF(K$7="","",IF(OR(K37&lt;&gt;0,K38&lt;&gt;0),IFERROR(IF(K37/K38="","",(K37/K38)),""),IF(VLOOKUP(CONCATENATE(A37,K$7),'update Helper'!$G$266:$N$448,5,FALSE)="","",VLOOKUP(CONCATENATE(A37,K$7),'update Helper'!$G$266:$N$448,5,FALSE)/100))),"")</f>
        <v/>
      </c>
      <c r="M37" s="518"/>
      <c r="N37" s="512"/>
      <c r="O37" s="158">
        <v>125205</v>
      </c>
      <c r="P37" s="516" t="str">
        <f ca="1">IFERROR(IF(O$7="","",IF(OR(O37&lt;&gt;0,O38&lt;&gt;0),IFERROR(IF(O37/O38="","",(O37/O38)),""),IF(VLOOKUP(CONCATENATE(A37,O$7),'update Helper'!$G$266:$N$448,5,FALSE)="","",VLOOKUP(CONCATENATE(A37,O$7),'update Helper'!$G$266:$N$448,5,FALSE)/100))),"")</f>
        <v/>
      </c>
      <c r="Q37" s="518"/>
      <c r="R37" s="512"/>
      <c r="S37" s="158">
        <v>137077</v>
      </c>
      <c r="T37" s="516" t="str">
        <f ca="1">IFERROR(IF(S$7="","",IF(OR(S37&lt;&gt;0,S38&lt;&gt;0),IFERROR(IF(S37/S38="","",(S37/S38)),""),IF(VLOOKUP(CONCATENATE(A37,S$7),'update Helper'!$G$266:$N$448,5,FALSE)="","",VLOOKUP(CONCATENATE(A37,S$7),'update Helper'!$G$266:$N$448,5,FALSE)/100))),"")</f>
        <v/>
      </c>
      <c r="U37" s="518"/>
      <c r="V37" s="512"/>
      <c r="W37" s="158"/>
      <c r="X37" s="516" t="str">
        <f ca="1">IFERROR(IF(W$7="","",IF(OR(W37&lt;&gt;0,W38&lt;&gt;0),IFERROR(IF(W37/W38="","",(W37/W38)),""),IF(VLOOKUP(CONCATENATE(A37,W$7),'update Helper'!$G$266:$N$448,5,FALSE)="","",VLOOKUP(CONCATENATE(A37,W$7),'update Helper'!$G$266:$N$448,5,FALSE)/100))),"")</f>
        <v/>
      </c>
      <c r="Y37" s="518"/>
      <c r="Z37" s="512"/>
      <c r="AA37" s="512" t="s">
        <v>2200</v>
      </c>
      <c r="AB37" s="48" t="str">
        <f t="array" ref="AB37">IFERROR(IF(INDEX('Reference Records'!$D$27:$D$85,MATCH(LEFT(B37,255),LEFT('Reference Records'!$C$27:$C$85,255),0))=0,"",INDEX('Reference Records'!$D$27:$D$85,MATCH(LEFT(B37,255),LEFT('Reference Records'!$C$27:$C$85,255),0))),"")</f>
        <v/>
      </c>
      <c r="AC37" s="48" t="str">
        <f>B37&amp;C37</f>
        <v>Number of female patients with all forms of TB notified (i.e., bacteriologically confirmed + clinically diagnosed); *includes only those with new and relapse TB.</v>
      </c>
      <c r="AD37" s="48">
        <f>AD35+'update Helper'!S$2</f>
        <v>352</v>
      </c>
      <c r="AE37" s="48">
        <f t="shared" ref="AE37" si="163">AE35+1</f>
        <v>242</v>
      </c>
      <c r="BA37" s="468" t="str">
        <f t="shared" ref="BA37" ca="1" si="164">IF(AND(BU37="Continue",BV37="Continue"),"No Error",IF(AND(BU37&lt;&gt;"Continue",BV37="Continue"),BU37,IF(AND(BV37&lt;&gt;"Continue",BU37="Continue"),BV37,CONCATENATE(BU37,CHAR(10),BV37))))</f>
        <v>No Error</v>
      </c>
      <c r="BB37" s="508" t="str" cm="1">
        <f t="array" ref="BB37">IF(ISBLANK(B37),"Continue",(IF(IFERROR(_xlfn.XMATCH(B37,LEFT('Reference Records'!$I$26:$I$82,32768),0),0)&lt;&gt;0,"Continue"," Invalid indicator entry. Select from dropdown list.")))</f>
        <v>Continue</v>
      </c>
      <c r="BC37" s="508" t="str">
        <f t="shared" ref="BC37" si="165">IF(SUM(BD37:BH38)=0, "Continue", "Enter valid number only.")</f>
        <v>Continue</v>
      </c>
      <c r="BD37" s="146">
        <f t="shared" si="0"/>
        <v>0</v>
      </c>
      <c r="BE37" s="146">
        <f t="shared" si="1"/>
        <v>0</v>
      </c>
      <c r="BF37" s="146">
        <f t="shared" si="2"/>
        <v>0</v>
      </c>
      <c r="BG37" s="146">
        <f t="shared" si="3"/>
        <v>0</v>
      </c>
      <c r="BH37" s="146">
        <f t="shared" si="4"/>
        <v>0</v>
      </c>
      <c r="BI37" s="467">
        <f t="shared" ref="BI37" ca="1" si="166">IF(NOT(ISBLANK(E37)),IF(E37&lt;&gt;"",(IF(NOT(ISNUMBER(E37)),1,0)),0),0)</f>
        <v>0</v>
      </c>
      <c r="BJ37" s="467">
        <f t="shared" ref="BJ37" ca="1" si="167">IF(NOT(ISBLANK(L37)),IF(L37&lt;&gt;"",(IF(NOT(ISNUMBER(L37)),1,0)),0),0)</f>
        <v>0</v>
      </c>
      <c r="BK37" s="467">
        <f t="shared" ref="BK37" ca="1" si="168">IF(NOT(ISBLANK(P37)),IF(P37&lt;&gt;"",(IF(NOT(ISNUMBER(P37)),1,0)),0),0)</f>
        <v>0</v>
      </c>
      <c r="BL37" s="467">
        <f t="shared" ref="BL37" ca="1" si="169">IF(NOT(ISBLANK(T37)),IF(T37&lt;&gt;"",(IF(NOT(ISNUMBER(T37)),1,0)),0),0)</f>
        <v>0</v>
      </c>
      <c r="BM37" s="467">
        <f t="shared" ref="BM37" ca="1" si="170">IF(NOT(ISBLANK(X37)),IF(X37&lt;&gt;"",(IF(NOT(ISNUMBER(X37)),1,0)),0),0)</f>
        <v>0</v>
      </c>
      <c r="BN37" s="467" t="str">
        <f t="shared" ref="BN37" ca="1" si="171">IF(SUM(BI37:BM38)=0, "Continue", "Enter valid number only.")</f>
        <v>Continue</v>
      </c>
      <c r="BO37" s="467" t="str">
        <f t="shared" ref="BO37" ca="1" si="172">IF(AND(BC37="Continue",BN37="Continue"),"Continue",IF(AND(BC37&lt;&gt;"Continue",BN37="Continue"),BC37,IF(AND(BN37&lt;&gt;"Continue",BC37="Continue"),BN37,CONCATENATE(BC37,CHAR(10)))))</f>
        <v>Continue</v>
      </c>
      <c r="BP37" s="155" t="str">
        <f>IFERROR(INDEX('Reference Records'!$O$26:$O$82,MATCH($B37,'Reference Records'!I$26:I$82,0)),"")</f>
        <v/>
      </c>
      <c r="BQ37" s="126" t="str">
        <f t="shared" si="5"/>
        <v>Continue</v>
      </c>
      <c r="BR37" s="126" t="str">
        <f t="shared" ca="1" si="6"/>
        <v>Continue</v>
      </c>
      <c r="BS37" s="126" t="str">
        <f t="shared" ca="1" si="7"/>
        <v>Continue</v>
      </c>
      <c r="BT37" s="508" t="str">
        <f>IF(AND(BB37="Continue",BC37="Continue"),"Continue",IF(AND(BB37&lt;&gt;"Continue",BC37="Continue"),BB37,IF(AND(BC37&lt;&gt;"Continue",BB37="Continue"),BC37,CONCATENATE(BB37,CHAR(10),BC37))))</f>
        <v>Continue</v>
      </c>
      <c r="BU37" s="508" t="str">
        <f t="shared" ref="BU37" si="173">IF(AND(B37="",C37=""),"Continue",IF(AND(B37="",C37&lt;&gt;""),"Continue",IF(AND(B37&lt;&gt;"",C37=""),"Continue",IF(AND(B37&lt;&gt;"",C37&lt;&gt;""),"Cannot enter both standard and custom indicators on the same line."))))</f>
        <v>Continue</v>
      </c>
      <c r="BV37" s="508" t="str">
        <f t="shared" ref="BV37" ca="1" si="174">IF(AND(BS37="Continue",BT37="Continue"),"Continue",IF(AND(BS37&lt;&gt;"Continue",BT37="Continue"),BS37,IF(AND(BT37&lt;&gt;"Continue",BS37="Continue"),BT37,CONCATENATE(BS37,CHAR(10),BT37))))</f>
        <v>Continue</v>
      </c>
      <c r="BX37" s="310" t="str">
        <f>IFERROR(IF('Overview - Section A'!$AN$5="Funding Request",
IF(AND('Reference Records'!$B$427&lt;&gt;"",$J37 ='Reference Records'!$B$427),'Reference Records'!$C$427,""),
INDEX('Reference Records'!$A$498:$C$499,MATCH($J37,'Reference Records'!$A$498:$A$499,0),3)),"")</f>
        <v>a1A360000013M2uEAE</v>
      </c>
      <c r="BY37" s="310" t="str" cm="1">
        <f t="array" ref="BY37">IFERROR(IF($B37="", "", IF(INDEX('Reference Records'!$G$27:$G$83,MATCH(LEFT(B37,255),LEFT('Reference Records'!$C$27:$C$83,255),0))=0,"",
INDEX('Reference Records'!$G$27:$G$83,MATCH(LEFT(B37,255),LEFT('Reference Records'!$C$27:$C$83,255),0)))),"")</f>
        <v/>
      </c>
    </row>
    <row r="38" spans="1:77" ht="30" customHeight="1">
      <c r="A38" s="531"/>
      <c r="B38" s="513"/>
      <c r="C38" s="513"/>
      <c r="D38" s="140"/>
      <c r="E38" s="511"/>
      <c r="F38" s="513"/>
      <c r="G38" s="513"/>
      <c r="H38" s="515"/>
      <c r="I38" s="521"/>
      <c r="J38" s="513"/>
      <c r="K38" s="140"/>
      <c r="L38" s="517"/>
      <c r="M38" s="519"/>
      <c r="N38" s="513"/>
      <c r="O38" s="140"/>
      <c r="P38" s="517"/>
      <c r="Q38" s="519"/>
      <c r="R38" s="513"/>
      <c r="S38" s="140"/>
      <c r="T38" s="517"/>
      <c r="U38" s="519"/>
      <c r="V38" s="513"/>
      <c r="W38" s="140"/>
      <c r="X38" s="517"/>
      <c r="Y38" s="519"/>
      <c r="Z38" s="513"/>
      <c r="AA38" s="513"/>
      <c r="BA38" s="468"/>
      <c r="BB38" s="508"/>
      <c r="BC38" s="508"/>
      <c r="BD38" s="146">
        <f t="shared" si="0"/>
        <v>0</v>
      </c>
      <c r="BE38" s="146">
        <f t="shared" si="1"/>
        <v>0</v>
      </c>
      <c r="BF38" s="146">
        <f t="shared" si="2"/>
        <v>0</v>
      </c>
      <c r="BG38" s="146">
        <f t="shared" si="3"/>
        <v>0</v>
      </c>
      <c r="BH38" s="146">
        <f t="shared" si="4"/>
        <v>0</v>
      </c>
      <c r="BI38" s="467"/>
      <c r="BJ38" s="467"/>
      <c r="BK38" s="467"/>
      <c r="BL38" s="467"/>
      <c r="BM38" s="467"/>
      <c r="BN38" s="467"/>
      <c r="BO38" s="467"/>
      <c r="BP38" s="155" t="str">
        <f>IFERROR(INDEX('Reference Records'!$O$26:$O$82,MATCH($B38,'Reference Records'!I$26:I$82,0)),"")</f>
        <v/>
      </c>
      <c r="BQ38" s="126" t="str">
        <f t="shared" si="5"/>
        <v>Continue</v>
      </c>
      <c r="BR38" s="126" t="str">
        <f t="shared" si="6"/>
        <v>Continue</v>
      </c>
      <c r="BS38" s="126" t="str">
        <f t="shared" si="7"/>
        <v>Continue</v>
      </c>
      <c r="BT38" s="508"/>
      <c r="BU38" s="508"/>
      <c r="BV38" s="508"/>
      <c r="BX38" s="310" t="str">
        <f>IFERROR(IF('Overview - Section A'!$AN$5="Funding Request",
IF(AND('Reference Records'!$B$427&lt;&gt;"",$J38 ='Reference Records'!$B$427),'Reference Records'!$C$427,""),
INDEX('Reference Records'!$A$498:$C$499,MATCH($J38,'Reference Records'!$A$498:$A$499,0),3)),"")</f>
        <v/>
      </c>
      <c r="BY38" s="310" t="str" cm="1">
        <f t="array" ref="BY38">IFERROR(IF($B38="", "", IF(INDEX('Reference Records'!$G$27:$G$83,MATCH(LEFT(B38,255),LEFT('Reference Records'!$C$27:$C$83,255),0))=0,"",
INDEX('Reference Records'!$G$27:$G$83,MATCH(LEFT(B38,255),LEFT('Reference Records'!$C$27:$C$83,255),0)))),"")</f>
        <v/>
      </c>
    </row>
    <row r="39" spans="1:77" ht="30" customHeight="1"/>
    <row r="40" spans="1:77" ht="30" customHeight="1"/>
    <row r="41" spans="1:77" ht="30" customHeight="1"/>
    <row r="42" spans="1:77" ht="30" customHeight="1"/>
    <row r="43" spans="1:77" ht="30" customHeight="1"/>
    <row r="44" spans="1:77" ht="30" customHeight="1"/>
    <row r="45" spans="1:77" ht="30" customHeight="1"/>
    <row r="46" spans="1:77" ht="30" customHeight="1"/>
    <row r="47" spans="1:77" ht="30" customHeight="1"/>
    <row r="48" spans="1:77" ht="30" customHeight="1"/>
    <row r="49" ht="30" customHeight="1"/>
    <row r="50" ht="30" customHeight="1"/>
    <row r="51" ht="30" customHeight="1"/>
    <row r="52" ht="30" customHeight="1"/>
    <row r="53" ht="30" customHeight="1"/>
    <row r="54" ht="30" customHeight="1"/>
    <row r="55" ht="30" customHeight="1"/>
    <row r="56" ht="30" customHeight="1"/>
    <row r="57" ht="30" customHeight="1"/>
    <row r="58" ht="30" customHeight="1"/>
    <row r="59" ht="30" customHeight="1"/>
    <row r="60" ht="30" customHeight="1"/>
    <row r="61" ht="30" customHeight="1"/>
    <row r="62" ht="30" customHeight="1"/>
    <row r="63" ht="30" customHeight="1"/>
    <row r="64" ht="30" customHeight="1"/>
    <row r="65" ht="30" customHeight="1"/>
    <row r="66" ht="30" customHeight="1"/>
    <row r="67" ht="30" customHeight="1"/>
    <row r="68" ht="30" customHeight="1"/>
    <row r="69" ht="30" customHeight="1"/>
    <row r="70" ht="30" customHeight="1"/>
    <row r="71" ht="30" customHeight="1"/>
    <row r="72" ht="30" customHeight="1"/>
    <row r="73" ht="30" customHeight="1"/>
    <row r="74" ht="30" customHeight="1"/>
    <row r="75" ht="30" customHeight="1"/>
    <row r="76" ht="30" customHeight="1"/>
    <row r="77" ht="30" customHeight="1"/>
    <row r="78" ht="30" customHeight="1"/>
    <row r="79" ht="30" customHeight="1"/>
    <row r="80" ht="30" customHeight="1"/>
    <row r="81" ht="30" customHeight="1"/>
    <row r="82" ht="30" customHeight="1"/>
    <row r="83" ht="30" customHeight="1"/>
    <row r="84" ht="30" customHeight="1"/>
    <row r="85" ht="30" customHeight="1"/>
    <row r="86" ht="30" customHeight="1"/>
    <row r="87" ht="30" customHeight="1"/>
    <row r="88" ht="30" customHeight="1"/>
    <row r="89" ht="30" customHeight="1"/>
    <row r="90" ht="30" customHeight="1"/>
    <row r="91" ht="30" customHeight="1"/>
    <row r="92" ht="30" customHeight="1"/>
    <row r="93" ht="30" customHeight="1"/>
    <row r="94" ht="30" customHeight="1"/>
    <row r="95" ht="30" customHeight="1"/>
    <row r="96" ht="30" customHeight="1"/>
    <row r="97" ht="30" customHeight="1"/>
    <row r="98" ht="30" customHeight="1"/>
    <row r="99" ht="30" customHeight="1"/>
    <row r="100" ht="30" customHeight="1"/>
  </sheetData>
  <sheetProtection algorithmName="SHA-512" hashValue="f1p3AcnayLSxbwU4wJNnNi1uoWqyu9CNkLFRD8OXnRvIbTCAc+ngQK5dn9ogQK7P8ggUsslU+MTALrdO1VRoeQ==" saltValue="KdR9W6nQjFyYWYu5806Ceg==" spinCount="100000" sheet="1" objects="1" scenarios="1" formatCells="0" formatColumns="0" formatRows="0"/>
  <mergeCells count="531">
    <mergeCell ref="BN37:BN38"/>
    <mergeCell ref="BO9:BO10"/>
    <mergeCell ref="BO11:BO12"/>
    <mergeCell ref="BO13:BO14"/>
    <mergeCell ref="BO15:BO16"/>
    <mergeCell ref="BO17:BO18"/>
    <mergeCell ref="BO19:BO20"/>
    <mergeCell ref="BO21:BO22"/>
    <mergeCell ref="BO23:BO24"/>
    <mergeCell ref="BO25:BO26"/>
    <mergeCell ref="BO27:BO28"/>
    <mergeCell ref="BO29:BO30"/>
    <mergeCell ref="BO31:BO32"/>
    <mergeCell ref="BO33:BO34"/>
    <mergeCell ref="BO35:BO36"/>
    <mergeCell ref="BO37:BO38"/>
    <mergeCell ref="BN9:BN10"/>
    <mergeCell ref="BN11:BN12"/>
    <mergeCell ref="BN13:BN14"/>
    <mergeCell ref="BN15:BN16"/>
    <mergeCell ref="BN17:BN18"/>
    <mergeCell ref="BN19:BN20"/>
    <mergeCell ref="BN21:BN22"/>
    <mergeCell ref="BN23:BN24"/>
    <mergeCell ref="BN25:BN26"/>
    <mergeCell ref="BL31:BL32"/>
    <mergeCell ref="BL33:BL34"/>
    <mergeCell ref="BL35:BL36"/>
    <mergeCell ref="BN27:BN28"/>
    <mergeCell ref="BN29:BN30"/>
    <mergeCell ref="BN31:BN32"/>
    <mergeCell ref="BN33:BN34"/>
    <mergeCell ref="BN35:BN36"/>
    <mergeCell ref="BL37:BL38"/>
    <mergeCell ref="BM11:BM12"/>
    <mergeCell ref="BM13:BM14"/>
    <mergeCell ref="BM15:BM16"/>
    <mergeCell ref="BM17:BM18"/>
    <mergeCell ref="BM19:BM20"/>
    <mergeCell ref="BM21:BM22"/>
    <mergeCell ref="BM23:BM24"/>
    <mergeCell ref="BM25:BM26"/>
    <mergeCell ref="BM27:BM28"/>
    <mergeCell ref="BM29:BM30"/>
    <mergeCell ref="BM31:BM32"/>
    <mergeCell ref="BM33:BM34"/>
    <mergeCell ref="BM35:BM36"/>
    <mergeCell ref="BM37:BM38"/>
    <mergeCell ref="BM9:BM10"/>
    <mergeCell ref="BJ11:BJ12"/>
    <mergeCell ref="BJ13:BJ14"/>
    <mergeCell ref="BJ15:BJ16"/>
    <mergeCell ref="BJ17:BJ18"/>
    <mergeCell ref="BJ19:BJ20"/>
    <mergeCell ref="BJ21:BJ22"/>
    <mergeCell ref="BJ23:BJ24"/>
    <mergeCell ref="BJ25:BJ26"/>
    <mergeCell ref="BK11:BK12"/>
    <mergeCell ref="BK13:BK14"/>
    <mergeCell ref="BK15:BK16"/>
    <mergeCell ref="BK17:BK18"/>
    <mergeCell ref="BK19:BK20"/>
    <mergeCell ref="BK21:BK22"/>
    <mergeCell ref="BK23:BK24"/>
    <mergeCell ref="BK25:BK26"/>
    <mergeCell ref="BL11:BL12"/>
    <mergeCell ref="BL13:BL14"/>
    <mergeCell ref="BL15:BL16"/>
    <mergeCell ref="BL17:BL18"/>
    <mergeCell ref="BL19:BL20"/>
    <mergeCell ref="BL21:BL22"/>
    <mergeCell ref="BL23:BL24"/>
    <mergeCell ref="BI27:BI28"/>
    <mergeCell ref="BI29:BI30"/>
    <mergeCell ref="BI31:BI32"/>
    <mergeCell ref="BI33:BI34"/>
    <mergeCell ref="BI35:BI36"/>
    <mergeCell ref="BI37:BI38"/>
    <mergeCell ref="BJ9:BJ10"/>
    <mergeCell ref="BK9:BK10"/>
    <mergeCell ref="BL9:BL10"/>
    <mergeCell ref="BJ27:BJ28"/>
    <mergeCell ref="BJ29:BJ30"/>
    <mergeCell ref="BJ31:BJ32"/>
    <mergeCell ref="BJ33:BJ34"/>
    <mergeCell ref="BJ35:BJ36"/>
    <mergeCell ref="BJ37:BJ38"/>
    <mergeCell ref="BK27:BK28"/>
    <mergeCell ref="BK29:BK30"/>
    <mergeCell ref="BK31:BK32"/>
    <mergeCell ref="BK33:BK34"/>
    <mergeCell ref="BK35:BK36"/>
    <mergeCell ref="BK37:BK38"/>
    <mergeCell ref="BL25:BL26"/>
    <mergeCell ref="BL27:BL28"/>
    <mergeCell ref="BL29:BL30"/>
    <mergeCell ref="BI9:BI10"/>
    <mergeCell ref="BI11:BI12"/>
    <mergeCell ref="BI13:BI14"/>
    <mergeCell ref="BI15:BI16"/>
    <mergeCell ref="BI17:BI18"/>
    <mergeCell ref="BI19:BI20"/>
    <mergeCell ref="BI21:BI22"/>
    <mergeCell ref="BI23:BI24"/>
    <mergeCell ref="BI25:BI26"/>
    <mergeCell ref="BU33:BU34"/>
    <mergeCell ref="BU35:BU36"/>
    <mergeCell ref="BU37:BU38"/>
    <mergeCell ref="BT23:BT24"/>
    <mergeCell ref="BT25:BT26"/>
    <mergeCell ref="BT27:BT28"/>
    <mergeCell ref="BT29:BT30"/>
    <mergeCell ref="BT31:BT32"/>
    <mergeCell ref="BT33:BT34"/>
    <mergeCell ref="BT35:BT36"/>
    <mergeCell ref="BT37:BT38"/>
    <mergeCell ref="BV23:BV24"/>
    <mergeCell ref="BV25:BV26"/>
    <mergeCell ref="BV27:BV28"/>
    <mergeCell ref="BU23:BU24"/>
    <mergeCell ref="BU25:BU26"/>
    <mergeCell ref="BU27:BU28"/>
    <mergeCell ref="BU29:BU30"/>
    <mergeCell ref="BV29:BV30"/>
    <mergeCell ref="BU31:BU32"/>
    <mergeCell ref="BV9:BV10"/>
    <mergeCell ref="BT11:BT12"/>
    <mergeCell ref="BT13:BT14"/>
    <mergeCell ref="BT15:BT16"/>
    <mergeCell ref="BT17:BT18"/>
    <mergeCell ref="BT19:BT20"/>
    <mergeCell ref="BT21:BT22"/>
    <mergeCell ref="BU15:BU16"/>
    <mergeCell ref="BU17:BU18"/>
    <mergeCell ref="BU19:BU20"/>
    <mergeCell ref="BU21:BU22"/>
    <mergeCell ref="BV11:BV12"/>
    <mergeCell ref="BV13:BV14"/>
    <mergeCell ref="BV15:BV16"/>
    <mergeCell ref="BV17:BV18"/>
    <mergeCell ref="BV19:BV20"/>
    <mergeCell ref="BV21:BV22"/>
    <mergeCell ref="AA37:AA38"/>
    <mergeCell ref="T37:T38"/>
    <mergeCell ref="U37:U38"/>
    <mergeCell ref="V37:V38"/>
    <mergeCell ref="X37:X38"/>
    <mergeCell ref="Y37:Y38"/>
    <mergeCell ref="Z37:Z38"/>
    <mergeCell ref="L37:L38"/>
    <mergeCell ref="M37:M38"/>
    <mergeCell ref="N37:N38"/>
    <mergeCell ref="P37:P38"/>
    <mergeCell ref="Q37:Q38"/>
    <mergeCell ref="R37:R38"/>
    <mergeCell ref="A35:A36"/>
    <mergeCell ref="B35:B36"/>
    <mergeCell ref="C35:C36"/>
    <mergeCell ref="E35:E36"/>
    <mergeCell ref="F35:F36"/>
    <mergeCell ref="G35:G36"/>
    <mergeCell ref="H35:H36"/>
    <mergeCell ref="I35:I36"/>
    <mergeCell ref="J35:J36"/>
    <mergeCell ref="A37:A38"/>
    <mergeCell ref="B37:B38"/>
    <mergeCell ref="C37:C38"/>
    <mergeCell ref="E37:E38"/>
    <mergeCell ref="F37:F38"/>
    <mergeCell ref="G37:G38"/>
    <mergeCell ref="H37:H38"/>
    <mergeCell ref="I37:I38"/>
    <mergeCell ref="J37:J38"/>
    <mergeCell ref="T35:T36"/>
    <mergeCell ref="U35:U36"/>
    <mergeCell ref="V35:V36"/>
    <mergeCell ref="L35:L36"/>
    <mergeCell ref="AA33:AA34"/>
    <mergeCell ref="R33:R34"/>
    <mergeCell ref="T33:T34"/>
    <mergeCell ref="U33:U34"/>
    <mergeCell ref="V33:V34"/>
    <mergeCell ref="X33:X34"/>
    <mergeCell ref="Y33:Y34"/>
    <mergeCell ref="Z33:Z34"/>
    <mergeCell ref="Y35:Y36"/>
    <mergeCell ref="Z35:Z36"/>
    <mergeCell ref="AA35:AA36"/>
    <mergeCell ref="X35:X36"/>
    <mergeCell ref="M35:M36"/>
    <mergeCell ref="N35:N36"/>
    <mergeCell ref="P35:P36"/>
    <mergeCell ref="Q35:Q36"/>
    <mergeCell ref="R35:R36"/>
    <mergeCell ref="T31:T32"/>
    <mergeCell ref="U31:U32"/>
    <mergeCell ref="V31:V32"/>
    <mergeCell ref="X31:X32"/>
    <mergeCell ref="A33:A34"/>
    <mergeCell ref="B33:B34"/>
    <mergeCell ref="C33:C34"/>
    <mergeCell ref="E33:E34"/>
    <mergeCell ref="F33:F34"/>
    <mergeCell ref="G33:G34"/>
    <mergeCell ref="H33:H34"/>
    <mergeCell ref="I33:I34"/>
    <mergeCell ref="J33:J34"/>
    <mergeCell ref="L33:L34"/>
    <mergeCell ref="M33:M34"/>
    <mergeCell ref="N33:N34"/>
    <mergeCell ref="P33:P34"/>
    <mergeCell ref="Q33:Q34"/>
    <mergeCell ref="Q29:Q30"/>
    <mergeCell ref="R29:R30"/>
    <mergeCell ref="Z31:Z32"/>
    <mergeCell ref="AA29:AA30"/>
    <mergeCell ref="A31:A32"/>
    <mergeCell ref="B31:B32"/>
    <mergeCell ref="C31:C32"/>
    <mergeCell ref="E31:E32"/>
    <mergeCell ref="F31:F32"/>
    <mergeCell ref="G31:G32"/>
    <mergeCell ref="H31:H32"/>
    <mergeCell ref="I31:I32"/>
    <mergeCell ref="J31:J32"/>
    <mergeCell ref="L31:L32"/>
    <mergeCell ref="M31:M32"/>
    <mergeCell ref="N31:N32"/>
    <mergeCell ref="P31:P32"/>
    <mergeCell ref="Q31:Q32"/>
    <mergeCell ref="R31:R32"/>
    <mergeCell ref="T29:T30"/>
    <mergeCell ref="U29:U30"/>
    <mergeCell ref="V29:V30"/>
    <mergeCell ref="AA31:AA32"/>
    <mergeCell ref="Y31:Y32"/>
    <mergeCell ref="AA27:AA28"/>
    <mergeCell ref="R27:R28"/>
    <mergeCell ref="T27:T28"/>
    <mergeCell ref="U27:U28"/>
    <mergeCell ref="V27:V28"/>
    <mergeCell ref="X27:X28"/>
    <mergeCell ref="Y27:Y28"/>
    <mergeCell ref="Z27:Z28"/>
    <mergeCell ref="A29:A30"/>
    <mergeCell ref="B29:B30"/>
    <mergeCell ref="C29:C30"/>
    <mergeCell ref="E29:E30"/>
    <mergeCell ref="F29:F30"/>
    <mergeCell ref="G29:G30"/>
    <mergeCell ref="H29:H30"/>
    <mergeCell ref="I29:I30"/>
    <mergeCell ref="J29:J30"/>
    <mergeCell ref="X29:X30"/>
    <mergeCell ref="Y29:Y30"/>
    <mergeCell ref="Z29:Z30"/>
    <mergeCell ref="L29:L30"/>
    <mergeCell ref="M29:M30"/>
    <mergeCell ref="N29:N30"/>
    <mergeCell ref="P29:P30"/>
    <mergeCell ref="L27:L28"/>
    <mergeCell ref="M27:M28"/>
    <mergeCell ref="N27:N28"/>
    <mergeCell ref="P27:P28"/>
    <mergeCell ref="Q27:Q28"/>
    <mergeCell ref="T25:T26"/>
    <mergeCell ref="U25:U26"/>
    <mergeCell ref="V25:V26"/>
    <mergeCell ref="X25:X26"/>
    <mergeCell ref="A27:A28"/>
    <mergeCell ref="B27:B28"/>
    <mergeCell ref="C27:C28"/>
    <mergeCell ref="E27:E28"/>
    <mergeCell ref="F27:F28"/>
    <mergeCell ref="G27:G28"/>
    <mergeCell ref="H27:H28"/>
    <mergeCell ref="I27:I28"/>
    <mergeCell ref="J27:J28"/>
    <mergeCell ref="Q23:Q24"/>
    <mergeCell ref="R23:R24"/>
    <mergeCell ref="Z25:Z26"/>
    <mergeCell ref="AA23:AA24"/>
    <mergeCell ref="A25:A26"/>
    <mergeCell ref="B25:B26"/>
    <mergeCell ref="C25:C26"/>
    <mergeCell ref="E25:E26"/>
    <mergeCell ref="F25:F26"/>
    <mergeCell ref="G25:G26"/>
    <mergeCell ref="H25:H26"/>
    <mergeCell ref="I25:I26"/>
    <mergeCell ref="J25:J26"/>
    <mergeCell ref="L25:L26"/>
    <mergeCell ref="M25:M26"/>
    <mergeCell ref="N25:N26"/>
    <mergeCell ref="P25:P26"/>
    <mergeCell ref="Q25:Q26"/>
    <mergeCell ref="R25:R26"/>
    <mergeCell ref="T23:T24"/>
    <mergeCell ref="U23:U24"/>
    <mergeCell ref="V23:V24"/>
    <mergeCell ref="AA25:AA26"/>
    <mergeCell ref="Y25:Y26"/>
    <mergeCell ref="AA21:AA22"/>
    <mergeCell ref="R21:R22"/>
    <mergeCell ref="T21:T22"/>
    <mergeCell ref="U21:U22"/>
    <mergeCell ref="V21:V22"/>
    <mergeCell ref="X21:X22"/>
    <mergeCell ref="Y21:Y22"/>
    <mergeCell ref="Z21:Z22"/>
    <mergeCell ref="A23:A24"/>
    <mergeCell ref="B23:B24"/>
    <mergeCell ref="C23:C24"/>
    <mergeCell ref="E23:E24"/>
    <mergeCell ref="F23:F24"/>
    <mergeCell ref="G23:G24"/>
    <mergeCell ref="H23:H24"/>
    <mergeCell ref="I23:I24"/>
    <mergeCell ref="J23:J24"/>
    <mergeCell ref="X23:X24"/>
    <mergeCell ref="Y23:Y24"/>
    <mergeCell ref="Z23:Z24"/>
    <mergeCell ref="L23:L24"/>
    <mergeCell ref="M23:M24"/>
    <mergeCell ref="N23:N24"/>
    <mergeCell ref="P23:P24"/>
    <mergeCell ref="L21:L22"/>
    <mergeCell ref="M21:M22"/>
    <mergeCell ref="N21:N22"/>
    <mergeCell ref="P21:P22"/>
    <mergeCell ref="Q21:Q22"/>
    <mergeCell ref="T19:T20"/>
    <mergeCell ref="U19:U20"/>
    <mergeCell ref="V19:V20"/>
    <mergeCell ref="X19:X20"/>
    <mergeCell ref="A21:A22"/>
    <mergeCell ref="B21:B22"/>
    <mergeCell ref="C21:C22"/>
    <mergeCell ref="E21:E22"/>
    <mergeCell ref="F21:F22"/>
    <mergeCell ref="G21:G22"/>
    <mergeCell ref="H21:H22"/>
    <mergeCell ref="I21:I22"/>
    <mergeCell ref="J21:J22"/>
    <mergeCell ref="Z19:Z20"/>
    <mergeCell ref="AA17:AA18"/>
    <mergeCell ref="A19:A20"/>
    <mergeCell ref="B19:B20"/>
    <mergeCell ref="C19:C20"/>
    <mergeCell ref="E19:E20"/>
    <mergeCell ref="F19:F20"/>
    <mergeCell ref="G19:G20"/>
    <mergeCell ref="H19:H20"/>
    <mergeCell ref="I19:I20"/>
    <mergeCell ref="J19:J20"/>
    <mergeCell ref="L19:L20"/>
    <mergeCell ref="M19:M20"/>
    <mergeCell ref="N19:N20"/>
    <mergeCell ref="P19:P20"/>
    <mergeCell ref="Q19:Q20"/>
    <mergeCell ref="R19:R20"/>
    <mergeCell ref="T17:T18"/>
    <mergeCell ref="U17:U18"/>
    <mergeCell ref="V17:V18"/>
    <mergeCell ref="AA19:AA20"/>
    <mergeCell ref="Y19:Y20"/>
    <mergeCell ref="V15:V16"/>
    <mergeCell ref="X15:X16"/>
    <mergeCell ref="Y15:Y16"/>
    <mergeCell ref="Z15:Z16"/>
    <mergeCell ref="A17:A18"/>
    <mergeCell ref="B17:B18"/>
    <mergeCell ref="C17:C18"/>
    <mergeCell ref="E17:E18"/>
    <mergeCell ref="F17:F18"/>
    <mergeCell ref="G17:G18"/>
    <mergeCell ref="H17:H18"/>
    <mergeCell ref="I17:I18"/>
    <mergeCell ref="J17:J18"/>
    <mergeCell ref="M17:M18"/>
    <mergeCell ref="N17:N18"/>
    <mergeCell ref="P17:P18"/>
    <mergeCell ref="Q17:Q18"/>
    <mergeCell ref="R17:R18"/>
    <mergeCell ref="AA13:AA14"/>
    <mergeCell ref="A15:A16"/>
    <mergeCell ref="B15:B16"/>
    <mergeCell ref="C15:C16"/>
    <mergeCell ref="E15:E16"/>
    <mergeCell ref="F15:F16"/>
    <mergeCell ref="G15:G16"/>
    <mergeCell ref="H15:H16"/>
    <mergeCell ref="I15:I16"/>
    <mergeCell ref="J15:J16"/>
    <mergeCell ref="L15:L16"/>
    <mergeCell ref="M15:M16"/>
    <mergeCell ref="N15:N16"/>
    <mergeCell ref="P15:P16"/>
    <mergeCell ref="Q15:Q16"/>
    <mergeCell ref="T13:T14"/>
    <mergeCell ref="U13:U14"/>
    <mergeCell ref="V13:V14"/>
    <mergeCell ref="X13:X14"/>
    <mergeCell ref="Y13:Y14"/>
    <mergeCell ref="AA15:AA16"/>
    <mergeCell ref="R15:R16"/>
    <mergeCell ref="T15:T16"/>
    <mergeCell ref="U15:U16"/>
    <mergeCell ref="L13:L14"/>
    <mergeCell ref="M13:M14"/>
    <mergeCell ref="N13:N14"/>
    <mergeCell ref="P13:P14"/>
    <mergeCell ref="Q13:Q14"/>
    <mergeCell ref="R13:R14"/>
    <mergeCell ref="T11:T12"/>
    <mergeCell ref="U11:U12"/>
    <mergeCell ref="V11:V12"/>
    <mergeCell ref="Z13:Z14"/>
    <mergeCell ref="AA11:AA12"/>
    <mergeCell ref="X17:X18"/>
    <mergeCell ref="Y17:Y18"/>
    <mergeCell ref="Z17:Z18"/>
    <mergeCell ref="L17:L18"/>
    <mergeCell ref="A11:A12"/>
    <mergeCell ref="B11:B12"/>
    <mergeCell ref="C11:C12"/>
    <mergeCell ref="E11:E12"/>
    <mergeCell ref="F11:F12"/>
    <mergeCell ref="G11:G12"/>
    <mergeCell ref="H11:H12"/>
    <mergeCell ref="I11:I12"/>
    <mergeCell ref="J11:J12"/>
    <mergeCell ref="A13:A14"/>
    <mergeCell ref="B13:B14"/>
    <mergeCell ref="C13:C14"/>
    <mergeCell ref="E13:E14"/>
    <mergeCell ref="F13:F14"/>
    <mergeCell ref="G13:G14"/>
    <mergeCell ref="H13:H14"/>
    <mergeCell ref="I13:I14"/>
    <mergeCell ref="J13:J14"/>
    <mergeCell ref="X11:X12"/>
    <mergeCell ref="Y11:Y12"/>
    <mergeCell ref="Z11:Z12"/>
    <mergeCell ref="L11:L12"/>
    <mergeCell ref="M11:M12"/>
    <mergeCell ref="N11:N12"/>
    <mergeCell ref="P11:P12"/>
    <mergeCell ref="Q11:Q12"/>
    <mergeCell ref="R11:R12"/>
    <mergeCell ref="G9:G10"/>
    <mergeCell ref="T9:T10"/>
    <mergeCell ref="U9:U10"/>
    <mergeCell ref="V9:V10"/>
    <mergeCell ref="AA9:AA10"/>
    <mergeCell ref="X9:X10"/>
    <mergeCell ref="Y9:Y10"/>
    <mergeCell ref="Z9:Z10"/>
    <mergeCell ref="J9:J10"/>
    <mergeCell ref="BA15:BA16"/>
    <mergeCell ref="BA17:BA18"/>
    <mergeCell ref="BA19:BA20"/>
    <mergeCell ref="BA21:BA22"/>
    <mergeCell ref="BA23:BA24"/>
    <mergeCell ref="BA25:BA26"/>
    <mergeCell ref="A1:G2"/>
    <mergeCell ref="K7:N7"/>
    <mergeCell ref="O7:R7"/>
    <mergeCell ref="S7:V7"/>
    <mergeCell ref="E9:E10"/>
    <mergeCell ref="C9:C10"/>
    <mergeCell ref="H9:H10"/>
    <mergeCell ref="B9:B10"/>
    <mergeCell ref="L9:L10"/>
    <mergeCell ref="R9:R10"/>
    <mergeCell ref="P9:P10"/>
    <mergeCell ref="Q9:Q10"/>
    <mergeCell ref="I9:I10"/>
    <mergeCell ref="F9:F10"/>
    <mergeCell ref="M9:M10"/>
    <mergeCell ref="N9:N10"/>
    <mergeCell ref="W7:Z7"/>
    <mergeCell ref="A9:A10"/>
    <mergeCell ref="BA27:BA28"/>
    <mergeCell ref="BA29:BA30"/>
    <mergeCell ref="BA31:BA32"/>
    <mergeCell ref="BA33:BA34"/>
    <mergeCell ref="BA35:BA36"/>
    <mergeCell ref="BA37:BA38"/>
    <mergeCell ref="BB9:BB10"/>
    <mergeCell ref="BB11:BB12"/>
    <mergeCell ref="BB13:BB14"/>
    <mergeCell ref="BB15:BB16"/>
    <mergeCell ref="BB17:BB18"/>
    <mergeCell ref="BB19:BB20"/>
    <mergeCell ref="BB21:BB22"/>
    <mergeCell ref="BB23:BB24"/>
    <mergeCell ref="BB25:BB26"/>
    <mergeCell ref="BB27:BB28"/>
    <mergeCell ref="BB29:BB30"/>
    <mergeCell ref="BB31:BB32"/>
    <mergeCell ref="BB33:BB34"/>
    <mergeCell ref="BB35:BB36"/>
    <mergeCell ref="BB37:BB38"/>
    <mergeCell ref="BA9:BA10"/>
    <mergeCell ref="BA11:BA12"/>
    <mergeCell ref="BA13:BA14"/>
    <mergeCell ref="BX6:BY7"/>
    <mergeCell ref="BC27:BC28"/>
    <mergeCell ref="BC29:BC30"/>
    <mergeCell ref="BC31:BC32"/>
    <mergeCell ref="BC33:BC34"/>
    <mergeCell ref="BC35:BC36"/>
    <mergeCell ref="BC37:BC38"/>
    <mergeCell ref="BC9:BC10"/>
    <mergeCell ref="BC11:BC12"/>
    <mergeCell ref="BC13:BC14"/>
    <mergeCell ref="BC15:BC16"/>
    <mergeCell ref="BC17:BC18"/>
    <mergeCell ref="BC19:BC20"/>
    <mergeCell ref="BC21:BC22"/>
    <mergeCell ref="BC23:BC24"/>
    <mergeCell ref="BC25:BC26"/>
    <mergeCell ref="BV31:BV32"/>
    <mergeCell ref="BV33:BV34"/>
    <mergeCell ref="BV35:BV36"/>
    <mergeCell ref="BV37:BV38"/>
    <mergeCell ref="BU11:BU12"/>
    <mergeCell ref="BU13:BU14"/>
    <mergeCell ref="BT9:BT10"/>
    <mergeCell ref="BU9:BU10"/>
  </mergeCells>
  <conditionalFormatting sqref="A5">
    <cfRule type="expression" dxfId="2363" priority="6">
      <formula>B5&gt;0</formula>
    </cfRule>
  </conditionalFormatting>
  <conditionalFormatting sqref="B5">
    <cfRule type="expression" dxfId="2362" priority="7">
      <formula>B5&gt;0</formula>
    </cfRule>
  </conditionalFormatting>
  <conditionalFormatting sqref="B9:C38">
    <cfRule type="expression" dxfId="2361" priority="1">
      <formula>AND($B9&lt;&gt;"",$C9&lt;&gt;"")</formula>
    </cfRule>
  </conditionalFormatting>
  <conditionalFormatting sqref="K10 K12 K14 K16 K18 K20 K22 K24 K26 K28 K30 K32 K34 K36 K38">
    <cfRule type="expression" dxfId="2360" priority="254">
      <formula>AND(OR($K9&lt;&gt;"",$K10&lt;&gt;"",$L9&lt;&gt;""),$N9="TBD")</formula>
    </cfRule>
  </conditionalFormatting>
  <conditionalFormatting sqref="K9:N38">
    <cfRule type="expression" dxfId="2359" priority="256">
      <formula>AND(OR($K9&lt;&gt;"",$K10&lt;&gt;"",$L9&lt;&gt;""),$N9="TBD")</formula>
    </cfRule>
  </conditionalFormatting>
  <conditionalFormatting sqref="O10 O12 O14 O16 O18 O20 O22 O24 O26 O28 O30 O32 O34 O36 O38">
    <cfRule type="expression" dxfId="2358" priority="224">
      <formula>AND(OR($O9&lt;&gt;"",$O10&lt;&gt;"",$P9&lt;&gt;""),$R9="TBD")</formula>
    </cfRule>
  </conditionalFormatting>
  <conditionalFormatting sqref="O9:R38">
    <cfRule type="expression" dxfId="2357" priority="225">
      <formula>AND(OR($O9&lt;&gt;"",$O10&lt;&gt;"",$P9&lt;&gt;""),$R9="TBD")</formula>
    </cfRule>
  </conditionalFormatting>
  <conditionalFormatting sqref="S10 S12 S14 S16 S18 S20 S22 S24 S26 S28 S30 S32 S34 S36 S38">
    <cfRule type="expression" dxfId="2356" priority="194">
      <formula>AND(OR($S9&lt;&gt;"",$S10&lt;&gt;"",$T9&lt;&gt;""),$V9="TBD")</formula>
    </cfRule>
  </conditionalFormatting>
  <conditionalFormatting sqref="S9:V38">
    <cfRule type="expression" dxfId="2355" priority="195">
      <formula>AND(OR($S9&lt;&gt;"",$S10&lt;&gt;"",$T9&lt;&gt;""),$V9="TBD")</formula>
    </cfRule>
  </conditionalFormatting>
  <conditionalFormatting sqref="W10 W12 W14 W16 W18 W20 W22 W24 W26 W28 W30 W32 W34 W36 W38">
    <cfRule type="expression" dxfId="2354" priority="164">
      <formula>AND(OR($W9&lt;&gt;"",$W10&lt;&gt;"",$X9&lt;&gt;""),$Z9="TBD")</formula>
    </cfRule>
  </conditionalFormatting>
  <conditionalFormatting sqref="W9:Z38">
    <cfRule type="expression" dxfId="2353" priority="165">
      <formula>AND(OR($W9&lt;&gt;"",$W10&lt;&gt;"",$X9&lt;&gt;""),$Z9="TBD")</formula>
    </cfRule>
  </conditionalFormatting>
  <conditionalFormatting sqref="BA9:BA38">
    <cfRule type="expression" dxfId="2352" priority="8">
      <formula>BA9&lt;&gt;"No Error"</formula>
    </cfRule>
  </conditionalFormatting>
  <dataValidations count="9">
    <dataValidation type="list" allowBlank="1" showInputMessage="1" showErrorMessage="1" error="Invalid entry. Select from dropdown list." sqref="F9:F38" xr:uid="{00000000-0002-0000-0800-000000000000}">
      <formula1>baseline_validation</formula1>
    </dataValidation>
    <dataValidation type="list" allowBlank="1" showInputMessage="1" showErrorMessage="1" error="Invalid entry. Select from dropdown list." sqref="B9:B38" xr:uid="{00000000-0002-0000-0800-000001000000}">
      <formula1>OutcomeIndicator</formula1>
    </dataValidation>
    <dataValidation type="list" allowBlank="1" showInputMessage="1" showErrorMessage="1" error="Invalid entry. Select from dropdown list." sqref="J9:J38" xr:uid="{00000000-0002-0000-0800-000002000000}">
      <formula1>Country</formula1>
    </dataValidation>
    <dataValidation type="decimal" operator="greaterThanOrEqual" allowBlank="1" showInputMessage="1" showErrorMessage="1" error="Enter valid number only." prompt="Do not enter more than 2 decimal places" sqref="E9:E38 L9:L38 P9:P38 T9:T38 X9:X38" xr:uid="{00000000-0002-0000-0800-000003000000}">
      <formula1>0</formula1>
    </dataValidation>
    <dataValidation type="list" allowBlank="1" showInputMessage="1" showErrorMessage="1" error="Invalid entry. Select from dropdown list." sqref="I9:I38" xr:uid="{00000000-0002-0000-0800-000004000000}">
      <formula1>MergedAndDistinctPR</formula1>
    </dataValidation>
    <dataValidation type="decimal" operator="greaterThanOrEqual" allowBlank="1" showInputMessage="1" showErrorMessage="1" errorTitle="Error" error="Enter valid number only." sqref="D12 D10 D16 D14 D18 D20 D24 D22 D26 D28 D38 D36 D34 D32 D30 K10 O10 S10 W10 K12 K14 K16 K18 K20 K22 K24 K26 K28 K30 K32 K34 K36 K38 O12 O14 O16 O18 O20 O22 O24 O26 O28 O30 O32 O34 O36 O38 S12 S14 S16 S18 S20 S22 S24 S26 S28 S30 S32 S34 S36 S38 W12 W14 W16 W18 W20 W22 W24 W26 W28 W30 W32 W34 W36 W38" xr:uid="{0B6A5E04-0CFA-4483-B3DB-97FC660AD82A}">
      <formula1>0</formula1>
    </dataValidation>
    <dataValidation type="decimal" operator="greaterThanOrEqual" allowBlank="1" showInputMessage="1" showErrorMessage="1" errorTitle="Error" error="Enter valid number only." prompt="Do not enter more than 4 decimal places" sqref="D37 D11 D13 D15 D17 D9 D33 D27 D29 D31 D19 D21 D23 D25 D35 K9 O9 S9 W9 K11 K13 K15 K17 K19 K21 K23 K25 K27 K29 K31 K33 K35 K37 O11 O13 O15 O17 O19 O21 O23 O25 O27 O29 O31 O33 O35 O37 S11 S13 S15 S17 S19 S21 S23 S25 S27 S29 S31 S33 S35 S37 W11 W13 W15 W17 W19 W21 W23 W25 W27 W29 W31 W33 W35 W37" xr:uid="{23A486A4-6464-44CD-99DD-38C1BF465C8C}">
      <formula1>0</formula1>
    </dataValidation>
    <dataValidation type="custom" allowBlank="1" showInputMessage="1" showErrorMessage="1" error="Cannot enter both standard and custom indicators on the same line." sqref="C9:C38" xr:uid="{EF48C3C1-590F-4328-BECC-15476A82CA16}">
      <formula1>B9=""</formula1>
    </dataValidation>
    <dataValidation type="date" operator="greaterThan" allowBlank="1" showInputMessage="1" showErrorMessage="1" sqref="M9:M38 Y9:Y38 U9:U38 Q9:Q38" xr:uid="{6EC63315-C9FC-427E-8783-995D235AD581}">
      <formula1>36526</formula1>
    </dataValidation>
  </dataValidations>
  <hyperlinks>
    <hyperlink ref="B4" location="Instructions!InstructionC" display="Instructions" xr:uid="{00000000-0004-0000-0800-000000000000}"/>
    <hyperlink ref="C4" location="'Print - Objectives &amp; Outcome'!A1" display="Print View" xr:uid="{F2A2201F-7910-4BD5-959C-DC99CD6BC660}"/>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showInputMessage="1" showErrorMessage="1" error="Invalid entry. Select from dropdown list." xr:uid="{F6B5A3DE-249C-44CE-B34B-5DC2839B5C71}">
          <x14:formula1>
            <xm:f>IF(OR($K9&lt;&gt;"",$K10&lt;&gt;"",$L9&lt;&gt;""),INDIRECT("FakeRange"),Setup!A$29)</xm:f>
          </x14:formula1>
          <xm:sqref>N9:N38</xm:sqref>
        </x14:dataValidation>
        <x14:dataValidation type="list" showInputMessage="1" showErrorMessage="1" error="Invalid entry. Select from dropdown list." xr:uid="{30F33646-E9A3-4B7B-9A3E-32962E893B29}">
          <x14:formula1>
            <xm:f>IF(OR($O9&lt;&gt;"",$O10&lt;&gt;"",$P9&lt;&gt;""),INDIRECT("FakeRange"),Setup!A$29)</xm:f>
          </x14:formula1>
          <xm:sqref>R9:R38</xm:sqref>
        </x14:dataValidation>
        <x14:dataValidation type="list" showInputMessage="1" showErrorMessage="1" error="Invalid entry. Select from dropdown list." xr:uid="{5DF0825B-2C32-4A9D-9195-D8E2F0B14291}">
          <x14:formula1>
            <xm:f>IF(OR($S9&lt;&gt;"",$S10&lt;&gt;"",$T9&lt;&gt;""),INDIRECT("FakeRange"),Setup!A$29)</xm:f>
          </x14:formula1>
          <xm:sqref>V9:V38</xm:sqref>
        </x14:dataValidation>
        <x14:dataValidation type="list" showInputMessage="1" showErrorMessage="1" error="Invalid entry. Select from dropdown list." xr:uid="{34A724E5-D64A-48E4-B747-D59BE2CCB8CD}">
          <x14:formula1>
            <xm:f>IF(OR($W9&lt;&gt;"",$W10&lt;&gt;"",$X9&lt;&gt;""),INDIRECT("FakeRange"),Setup!A$29)</xm:f>
          </x14:formula1>
          <xm:sqref>Z9:Z38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1"/>
  <dimension ref="A1:XEU126"/>
  <sheetViews>
    <sheetView showGridLines="0" topLeftCell="A65" zoomScale="50" zoomScaleNormal="50" workbookViewId="0">
      <selection activeCell="C31" sqref="C31:C32"/>
    </sheetView>
  </sheetViews>
  <sheetFormatPr defaultColWidth="8.625" defaultRowHeight="14.25"/>
  <cols>
    <col min="1" max="1" width="16.125" style="48" bestFit="1" customWidth="1"/>
    <col min="2" max="4" width="30.625" style="48" customWidth="1"/>
    <col min="5" max="5" width="14.875" style="48" customWidth="1"/>
    <col min="6" max="6" width="17.625" style="48" customWidth="1"/>
    <col min="7" max="7" width="18.5" style="48" customWidth="1"/>
    <col min="8" max="8" width="30.625" style="48" customWidth="1"/>
    <col min="9" max="9" width="40.625" style="48" customWidth="1"/>
    <col min="10" max="10" width="21" style="48" customWidth="1"/>
    <col min="11" max="11" width="30.625" style="48" customWidth="1"/>
    <col min="12" max="12" width="48.125" style="48" customWidth="1"/>
    <col min="13" max="13" width="34.875" style="48" customWidth="1"/>
    <col min="14" max="14" width="16.625" style="48" customWidth="1"/>
    <col min="15" max="15" width="14.125" style="48" customWidth="1"/>
    <col min="16" max="16" width="13.125" style="48" customWidth="1"/>
    <col min="17" max="17" width="11.625" style="48" customWidth="1"/>
    <col min="18" max="18" width="14.125" style="48" customWidth="1"/>
    <col min="19" max="19" width="15.625" style="48" customWidth="1"/>
    <col min="20" max="20" width="12.625" style="48" customWidth="1"/>
    <col min="21" max="21" width="16.125" style="48" customWidth="1"/>
    <col min="22" max="25" width="12.625" style="48" customWidth="1"/>
    <col min="26" max="26" width="14.125" style="48" customWidth="1"/>
    <col min="27" max="27" width="14.5" style="48" customWidth="1"/>
    <col min="28" max="28" width="13.125" style="48" customWidth="1"/>
    <col min="29" max="29" width="14.125" style="48" customWidth="1"/>
    <col min="30" max="30" width="15.625" style="48" customWidth="1"/>
    <col min="31" max="31" width="16.625" style="48" customWidth="1"/>
    <col min="32" max="32" width="14.125" style="48" customWidth="1"/>
    <col min="33" max="33" width="13.625" style="48" customWidth="1"/>
    <col min="34" max="34" width="16.625" style="48" customWidth="1"/>
    <col min="35" max="35" width="14.125" style="48" customWidth="1"/>
    <col min="36" max="36" width="17.5" style="48" customWidth="1"/>
    <col min="37" max="37" width="16.625" style="48" customWidth="1"/>
    <col min="38" max="38" width="50.875" style="48" customWidth="1"/>
    <col min="39" max="39" width="34.375" style="48" hidden="1" customWidth="1"/>
    <col min="40" max="40" width="14.875" style="48" hidden="1" customWidth="1"/>
    <col min="41" max="41" width="19.875" style="48" hidden="1" customWidth="1"/>
    <col min="42" max="42" width="17.625" style="48" hidden="1" customWidth="1"/>
    <col min="43" max="44" width="16.625" style="48" hidden="1" customWidth="1"/>
    <col min="45" max="45" width="13.375" style="48" hidden="1" customWidth="1"/>
    <col min="46" max="46" width="26.125" style="48" hidden="1" customWidth="1"/>
    <col min="47" max="51" width="10.375" style="48" hidden="1" customWidth="1"/>
    <col min="52" max="52" width="20.5" style="48" customWidth="1"/>
    <col min="53" max="53" width="22.625" style="48" customWidth="1"/>
    <col min="54" max="54" width="32.875" style="133" customWidth="1"/>
    <col min="55" max="55" width="29.375" style="134" hidden="1" customWidth="1"/>
    <col min="56" max="56" width="27.875" style="134" hidden="1" customWidth="1"/>
    <col min="57" max="65" width="4.625" style="134" hidden="1" customWidth="1"/>
    <col min="66" max="66" width="10.125" style="134" hidden="1" customWidth="1"/>
    <col min="67" max="67" width="12.875" style="134" hidden="1" customWidth="1"/>
    <col min="68" max="68" width="13.125" style="126" hidden="1" customWidth="1"/>
    <col min="69" max="69" width="12.875" style="126" hidden="1" customWidth="1"/>
    <col min="70" max="70" width="20.375" style="126" hidden="1" customWidth="1"/>
    <col min="71" max="71" width="17.625" style="126" hidden="1" customWidth="1"/>
    <col min="72" max="72" width="20.375" style="126" hidden="1" customWidth="1"/>
    <col min="73" max="73" width="19.625" style="126" hidden="1" customWidth="1"/>
    <col min="74" max="74" width="16.5" style="126" hidden="1" customWidth="1"/>
    <col min="75" max="83" width="8.875" style="126" hidden="1" customWidth="1"/>
    <col min="84" max="84" width="11.125" style="126" hidden="1" customWidth="1"/>
    <col min="85" max="85" width="11.875" style="126" hidden="1" customWidth="1"/>
    <col min="86" max="86" width="8.625" style="126" hidden="1" customWidth="1"/>
    <col min="87" max="87" width="23.5" style="126" hidden="1" customWidth="1"/>
    <col min="88" max="88" width="35.5" style="126" hidden="1" customWidth="1"/>
    <col min="89" max="89" width="34" style="48" hidden="1" customWidth="1"/>
    <col min="90" max="90" width="0" style="48" hidden="1" customWidth="1"/>
    <col min="91" max="16384" width="8.625" style="48"/>
  </cols>
  <sheetData>
    <row r="1" spans="1:89 16375:16375" ht="15.6" customHeight="1">
      <c r="A1" s="565" t="s">
        <v>2201</v>
      </c>
      <c r="B1" s="509"/>
      <c r="C1" s="509"/>
      <c r="D1" s="509"/>
      <c r="E1" s="509"/>
      <c r="F1" s="509"/>
      <c r="XEU1" s="48" t="s">
        <v>598</v>
      </c>
    </row>
    <row r="2" spans="1:89 16375:16375" ht="15.6" customHeight="1">
      <c r="A2" s="509"/>
      <c r="B2" s="509"/>
      <c r="C2" s="509"/>
      <c r="D2" s="509"/>
      <c r="E2" s="509"/>
      <c r="F2" s="509"/>
    </row>
    <row r="3" spans="1:89 16375:16375" ht="15" thickBot="1"/>
    <row r="4" spans="1:89 16375:16375" ht="15.75" thickBot="1">
      <c r="A4" s="108" t="s">
        <v>89</v>
      </c>
      <c r="B4" s="109" t="s">
        <v>306</v>
      </c>
      <c r="C4" s="109" t="s">
        <v>762</v>
      </c>
      <c r="F4" s="135" t="s">
        <v>665</v>
      </c>
      <c r="AK4" s="48" t="s">
        <v>293</v>
      </c>
    </row>
    <row r="5" spans="1:89 16375:16375" ht="15.75" thickBot="1">
      <c r="A5" s="108" t="s">
        <v>91</v>
      </c>
      <c r="B5" s="136">
        <f ca="1">MAX(A9:A92) - COUNTIF(BB9:BB92,"No Error")</f>
        <v>0</v>
      </c>
    </row>
    <row r="6" spans="1:89 16375:16375">
      <c r="N6" s="110">
        <v>2</v>
      </c>
      <c r="O6" s="110"/>
      <c r="P6" s="110"/>
      <c r="Q6" s="110">
        <v>3</v>
      </c>
      <c r="R6" s="110"/>
      <c r="S6" s="110"/>
      <c r="T6" s="110">
        <v>4</v>
      </c>
      <c r="U6" s="110"/>
      <c r="V6" s="110"/>
      <c r="W6" s="110">
        <v>5</v>
      </c>
      <c r="X6" s="110"/>
      <c r="Y6" s="110"/>
      <c r="Z6" s="110">
        <v>6</v>
      </c>
      <c r="AA6" s="110"/>
      <c r="AB6" s="110"/>
      <c r="AC6" s="110">
        <v>7</v>
      </c>
      <c r="AF6" s="134">
        <v>8</v>
      </c>
      <c r="CI6" s="560" t="s">
        <v>2202</v>
      </c>
      <c r="CJ6" s="561"/>
      <c r="CK6" s="562"/>
    </row>
    <row r="7" spans="1:89 16375:16375" ht="15">
      <c r="A7" s="111"/>
      <c r="B7" s="111"/>
      <c r="C7" s="111"/>
      <c r="D7" s="111"/>
      <c r="E7" s="111"/>
      <c r="F7" s="111"/>
      <c r="G7" s="111"/>
      <c r="H7" s="111"/>
      <c r="I7" s="111"/>
      <c r="J7" s="111"/>
      <c r="K7" s="111"/>
      <c r="L7" s="111"/>
      <c r="M7" s="112"/>
      <c r="N7" s="568" t="str">
        <f ca="1">IFERROR(IF(YEAR(INDEX('Overview - Section A'!$A$47:$A$54,MATCH(N6,'Overview - Section A'!$B$47:$B$54,0)))&lt;=YEAR('Overview - Section A'!$E$8),TEXT(IFERROR(INDEX('Overview - Section A'!$A$47:$A$54,MATCH(N6,'Overview - Section A'!$B$47:$B$54,0)),""),Setup!$A$33) &amp;" to " &amp; TEXT(IFERROR(INDEX('Overview - Section A'!$E$47:$E$54,MATCH(N6,'Overview - Section A'!$B$47:$B$54,0)),""),Setup!$A$33),""),"")</f>
        <v>1-Jan-24 to 30-Jun-24</v>
      </c>
      <c r="O7" s="566"/>
      <c r="P7" s="566"/>
      <c r="Q7" s="566" t="str">
        <f ca="1">IFERROR(IF(YEAR(INDEX('Overview - Section A'!$A$47:$A$54,MATCH(Q6,'Overview - Section A'!$B$47:$B$54,0)))&lt;=YEAR('Overview - Section A'!$E$8),TEXT(IFERROR(INDEX('Overview - Section A'!$A$47:$A$54,MATCH(Q6,'Overview - Section A'!$B$47:$B$54,0)),""),Setup!$A$33) &amp;" to " &amp; TEXT(IFERROR(INDEX('Overview - Section A'!$E$47:$E$54,MATCH(Q6,'Overview - Section A'!$B$47:$B$54,0)),""),Setup!$A$33),""),"")</f>
        <v>1-Jul-24 to 31-Dec-24</v>
      </c>
      <c r="R7" s="566"/>
      <c r="S7" s="566"/>
      <c r="T7" s="566" t="str">
        <f ca="1">IFERROR(IF(YEAR(INDEX('Overview - Section A'!$A$47:$A$54,MATCH(T6,'Overview - Section A'!$B$47:$B$54,0)))&lt;=YEAR('Overview - Section A'!$E$8),TEXT(IFERROR(INDEX('Overview - Section A'!$A$47:$A$54,MATCH(T6,'Overview - Section A'!$B$47:$B$54,0)),""),Setup!$A$33) &amp;" to " &amp; TEXT(IFERROR(INDEX('Overview - Section A'!$E$47:$E$54,MATCH(T6,'Overview - Section A'!$B$47:$B$54,0)),""),Setup!$A$33),""),"")</f>
        <v>1-Jan-25 to 30-Jun-25</v>
      </c>
      <c r="U7" s="566"/>
      <c r="V7" s="566"/>
      <c r="W7" s="567" t="str">
        <f ca="1">IFERROR(IF(YEAR(INDEX('Overview - Section A'!$A$47:$A$54,MATCH(W6,'Overview - Section A'!$B$47:$B$54,0)))&lt;=YEAR('Overview - Section A'!$E$8),TEXT(IFERROR(INDEX('Overview - Section A'!$A$47:$A$54,MATCH(W6,'Overview - Section A'!$B$47:$B$54,0)),""),Setup!$A$33) &amp;" to " &amp; TEXT(IFERROR(INDEX('Overview - Section A'!$E$47:$E$54,MATCH(W6,'Overview - Section A'!$B$47:$B$54,0)),""),Setup!$A$33),""),"")</f>
        <v>1-Jul-25 to 31-Dec-25</v>
      </c>
      <c r="X7" s="569"/>
      <c r="Y7" s="568"/>
      <c r="Z7" s="566" t="str">
        <f ca="1">IFERROR(IF(YEAR(INDEX('Overview - Section A'!$A$47:$A$54,MATCH(Z6,'Overview - Section A'!$B$47:$B$54,0)))&lt;=YEAR('Overview - Section A'!$E$8),TEXT(IFERROR(INDEX('Overview - Section A'!$A$47:$A$54,MATCH(Z6,'Overview - Section A'!$B$47:$B$54,0)),""),Setup!$A$33) &amp;" to " &amp; TEXT(IFERROR(INDEX('Overview - Section A'!$E$47:$E$54,MATCH(Z6,'Overview - Section A'!$B$47:$B$54,0)),""),Setup!$A$33),""),"")</f>
        <v>1-Jan-26 to 30-Jun-26</v>
      </c>
      <c r="AA7" s="566"/>
      <c r="AB7" s="566"/>
      <c r="AC7" s="566" t="str">
        <f ca="1">IFERROR(IF(YEAR(INDEX('Overview - Section A'!$A$47:$A$54,MATCH(AC6,'Overview - Section A'!$B$47:$B$54,0)))&lt;=YEAR('Overview - Section A'!$E$8),TEXT(IFERROR(INDEX('Overview - Section A'!$A$47:$A$54,MATCH(AC6,'Overview - Section A'!$B$47:$B$54,0)),""),Setup!$A$33) &amp;" to " &amp; TEXT(IFERROR(INDEX('Overview - Section A'!$E$47:$E$54,MATCH(AC6,'Overview - Section A'!$B$47:$B$54,0)),""),Setup!$A$33),""),"")</f>
        <v>1-Jul-26 to 31-Dec-26</v>
      </c>
      <c r="AD7" s="566"/>
      <c r="AE7" s="566"/>
      <c r="AF7" s="566" t="str">
        <f ca="1">IFERROR(IF(YEAR(INDEX('Overview - Section A'!$A$47:$A$54,MATCH(AF6,'Overview - Section A'!$B$47:$B$54,0)))&lt;=YEAR('Overview - Section A'!$E$8),TEXT(IFERROR(INDEX('Overview - Section A'!$A$47:$A$54,MATCH(AF6,'Overview - Section A'!$B$47:$B$54,0)),""),Setup!$A$33) &amp;" to " &amp; TEXT(IFERROR(INDEX('Overview - Section A'!$E$47:$E$54,MATCH(AF6,'Overview - Section A'!$B$47:$B$54,0)),""),Setup!$A$33),""),"")</f>
        <v/>
      </c>
      <c r="AG7" s="566"/>
      <c r="AH7" s="566"/>
      <c r="AI7" s="566" t="str">
        <f ca="1">IFERROR(IF(YEAR(INDEX('Overview - Section A'!$A$47:$A$54,MATCH(AI6,'Overview - Section A'!$B$47:$B$54,0)))&lt;=YEAR('Overview - Section A'!$E$8),TEXT(IFERROR(INDEX('Overview - Section A'!$A$47:$A$54,MATCH(AI6,'Overview - Section A'!$B$47:$B$54,0)),""),Setup!$A$33) &amp;" to " &amp; TEXT(IFERROR(INDEX('Overview - Section A'!$E$47:$E$54,MATCH(AI6,'Overview - Section A'!$B$47:$B$54,0)),""),Setup!$A$33),""),"")</f>
        <v/>
      </c>
      <c r="AJ7" s="566"/>
      <c r="AK7" s="567"/>
      <c r="AL7" s="137"/>
      <c r="BB7" s="48"/>
      <c r="CI7" s="563"/>
      <c r="CJ7" s="507"/>
      <c r="CK7" s="564"/>
    </row>
    <row r="8" spans="1:89 16375:16375" ht="45">
      <c r="A8" s="114" t="s">
        <v>2203</v>
      </c>
      <c r="B8" s="114" t="s">
        <v>256</v>
      </c>
      <c r="C8" s="114" t="s">
        <v>765</v>
      </c>
      <c r="D8" s="114" t="s">
        <v>766</v>
      </c>
      <c r="E8" s="114" t="s">
        <v>767</v>
      </c>
      <c r="F8" s="114" t="s">
        <v>105</v>
      </c>
      <c r="G8" s="114" t="s">
        <v>768</v>
      </c>
      <c r="H8" s="114" t="s">
        <v>199</v>
      </c>
      <c r="I8" s="114" t="s">
        <v>769</v>
      </c>
      <c r="J8" s="114" t="s">
        <v>2204</v>
      </c>
      <c r="K8" s="114" t="s">
        <v>120</v>
      </c>
      <c r="L8" s="114" t="s">
        <v>2205</v>
      </c>
      <c r="M8" s="114" t="s">
        <v>216</v>
      </c>
      <c r="N8" s="115" t="s">
        <v>770</v>
      </c>
      <c r="O8" s="115" t="s">
        <v>225</v>
      </c>
      <c r="P8" s="115" t="s">
        <v>772</v>
      </c>
      <c r="Q8" s="115" t="s">
        <v>770</v>
      </c>
      <c r="R8" s="115" t="s">
        <v>225</v>
      </c>
      <c r="S8" s="115" t="s">
        <v>772</v>
      </c>
      <c r="T8" s="115" t="s">
        <v>770</v>
      </c>
      <c r="U8" s="115" t="s">
        <v>225</v>
      </c>
      <c r="V8" s="115" t="s">
        <v>772</v>
      </c>
      <c r="W8" s="115" t="s">
        <v>770</v>
      </c>
      <c r="X8" s="115" t="s">
        <v>225</v>
      </c>
      <c r="Y8" s="115" t="s">
        <v>772</v>
      </c>
      <c r="Z8" s="115" t="s">
        <v>770</v>
      </c>
      <c r="AA8" s="115" t="s">
        <v>225</v>
      </c>
      <c r="AB8" s="115" t="s">
        <v>772</v>
      </c>
      <c r="AC8" s="115" t="s">
        <v>770</v>
      </c>
      <c r="AD8" s="115" t="s">
        <v>225</v>
      </c>
      <c r="AE8" s="115" t="s">
        <v>772</v>
      </c>
      <c r="AF8" s="115" t="s">
        <v>770</v>
      </c>
      <c r="AG8" s="115" t="s">
        <v>225</v>
      </c>
      <c r="AH8" s="115" t="s">
        <v>772</v>
      </c>
      <c r="AI8" s="115" t="s">
        <v>770</v>
      </c>
      <c r="AJ8" s="115" t="s">
        <v>225</v>
      </c>
      <c r="AK8" s="115" t="s">
        <v>772</v>
      </c>
      <c r="AL8" s="114" t="s">
        <v>176</v>
      </c>
      <c r="AM8" s="138"/>
      <c r="AN8" s="138"/>
      <c r="AO8" s="138"/>
      <c r="AP8" s="138"/>
      <c r="AQ8" s="138"/>
      <c r="AR8" s="138"/>
      <c r="AS8" s="138"/>
      <c r="AT8" s="138" t="s">
        <v>2206</v>
      </c>
      <c r="AU8" s="138" t="s">
        <v>2207</v>
      </c>
      <c r="AV8" s="138"/>
      <c r="AW8" s="138"/>
      <c r="AX8" s="138"/>
      <c r="AY8" s="138"/>
      <c r="AZ8" s="114" t="s">
        <v>2208</v>
      </c>
      <c r="BA8" s="114" t="s">
        <v>2209</v>
      </c>
      <c r="BB8" s="139" t="s">
        <v>157</v>
      </c>
      <c r="CI8" s="315" t="s">
        <v>777</v>
      </c>
      <c r="CJ8" s="315" t="s">
        <v>418</v>
      </c>
      <c r="CK8" s="312" t="s">
        <v>2210</v>
      </c>
    </row>
    <row r="9" spans="1:89 16375:16375" ht="30" customHeight="1">
      <c r="A9" s="522">
        <v>1</v>
      </c>
      <c r="B9" s="512" t="s">
        <v>1559</v>
      </c>
      <c r="C9" s="512" t="s">
        <v>1219</v>
      </c>
      <c r="D9" s="512"/>
      <c r="E9" s="140">
        <v>245490</v>
      </c>
      <c r="F9" s="516" t="str">
        <f ca="1">IF(OR(INDIRECT("'update Helper'!D"&amp;AT9)="",E9&lt;&gt;0,E10&lt;&gt;0),IF(IFERROR((E9/E10),"")="","",(E9/E10)),INDIRECT("'update Helper'!D"&amp;AT9)/100)</f>
        <v/>
      </c>
      <c r="G9" s="552">
        <v>2022</v>
      </c>
      <c r="H9" s="512" t="s">
        <v>2211</v>
      </c>
      <c r="I9" s="545" t="str">
        <f>AN9</f>
        <v>HIV status,Gender,TB case definition,Age</v>
      </c>
      <c r="J9" s="552" t="s">
        <v>2212</v>
      </c>
      <c r="K9" s="512" t="s">
        <v>323</v>
      </c>
      <c r="L9" s="141" t="s">
        <v>781</v>
      </c>
      <c r="M9" s="556" t="s">
        <v>650</v>
      </c>
      <c r="N9" s="140">
        <v>129319</v>
      </c>
      <c r="O9" s="516" t="s">
        <v>2213</v>
      </c>
      <c r="P9" s="552"/>
      <c r="Q9" s="142">
        <v>129319</v>
      </c>
      <c r="R9" s="516" t="s">
        <v>2213</v>
      </c>
      <c r="S9" s="552"/>
      <c r="T9" s="142">
        <v>142279</v>
      </c>
      <c r="U9" s="516" t="s">
        <v>2213</v>
      </c>
      <c r="V9" s="552"/>
      <c r="W9" s="142">
        <v>142279</v>
      </c>
      <c r="X9" s="516" t="s">
        <v>2213</v>
      </c>
      <c r="Y9" s="552"/>
      <c r="Z9" s="142">
        <v>155770</v>
      </c>
      <c r="AA9" s="516" t="s">
        <v>2213</v>
      </c>
      <c r="AB9" s="552"/>
      <c r="AC9" s="142">
        <v>155770</v>
      </c>
      <c r="AD9" s="516" t="s">
        <v>2213</v>
      </c>
      <c r="AE9" s="552"/>
      <c r="AF9" s="142"/>
      <c r="AG9" s="516"/>
      <c r="AH9" s="552"/>
      <c r="AI9" s="142"/>
      <c r="AJ9" s="516"/>
      <c r="AK9" s="552"/>
      <c r="AL9" s="512" t="s">
        <v>2214</v>
      </c>
      <c r="AM9" s="554" t="str">
        <f>IFERROR(IF(VLOOKUP(B9,'Reference Records'!$C$192:$D$250,2,FALSE)=0,"",VLOOKUP(B9,'Reference Records'!$C$192:$D$250,2,FALSE)),"")</f>
        <v>MCI-01308</v>
      </c>
      <c r="AN9" s="143" t="str">
        <f t="array" ref="AN9">IFERROR(IF(INDEX('Reference Records'!$D$88:$D$189,MATCH(LEFT(C9,255),LEFT('Reference Records'!$C$88:$C$189,255),0))=0,"",INDEX('Reference Records'!$D$88:$D$189,MATCH(LEFT(C9,255),LEFT('Reference Records'!$C$88:$C$189,255),0))),"")</f>
        <v>HIV status,Gender,TB case definition,Age</v>
      </c>
      <c r="AO9" s="143" t="str">
        <f>CONCATENATE(C9,D9)</f>
        <v>TBDT-1 Number of patients with of all forms of TB notified (i.e., bacteriologically confirmed + clinically diagnosed); *includes only those with new and relapse TB</v>
      </c>
      <c r="AP9" s="144" t="str">
        <f t="array" ref="AP9">VLOOKUP(LEFT(C9,255),LEFT('Reference Records'!C$87:G189,255),4,0)</f>
        <v>MCI-01539</v>
      </c>
      <c r="AQ9" s="144" t="e">
        <f>MATCH(AP9,'Reference Records'!$F$512:$F$514,0)+ROW(PopulationByCoverage)-1</f>
        <v>#N/A</v>
      </c>
      <c r="AR9" s="144">
        <f>MATCH(AP9,'Reference Records'!$F$512:$F$514,1)+ROW(PopulationByCoverage)-1</f>
        <v>513</v>
      </c>
      <c r="AS9" s="143" t="str">
        <f>C9&amp;D9</f>
        <v>TBDT-1 Number of patients with of all forms of TB notified (i.e., bacteriologically confirmed + clinically diagnosed); *includes only those with new and relapse TB</v>
      </c>
      <c r="AT9" s="143">
        <f>ROW(Coverage_indicators__secton_D)+3</f>
        <v>454</v>
      </c>
      <c r="AU9" s="143">
        <f>ROW(Coverage_Indicator_Targets__section_D)+3</f>
        <v>529</v>
      </c>
      <c r="AV9" s="143" t="str">
        <f>CLEAN(IFERROR(LEFT(AY9, SEARCH(";",AY9,1)-1),""))</f>
        <v>Non cumulative</v>
      </c>
      <c r="AW9" s="143" t="str">
        <f>SUBSTITUTE(IFERROR(MID(AY9, SEARCH(";",AY9) + 1, SEARCH(";",AY9,SEARCH(";",AY9)+1) - SEARCH(";",AY9) - 1),""),CHAR(10),"")</f>
        <v/>
      </c>
      <c r="AX9" s="145" t="str">
        <f>CLEAN(IFERROR(SUBSTITUTE(RIGHT(AY9,LEN(AY9) - SEARCH(";", AY9, SEARCH(";",AY9) + 1)),";",""),""))</f>
        <v/>
      </c>
      <c r="AY9" s="143" t="str">
        <f t="array" ref="AY9">IFERROR(IF(VLOOKUP(LEFT(C9,255),LEFT('Reference Records'!$C$1:$K$539,255),9,0)=0,"",CONCATENATE(VLOOKUP(LEFT(C9,255),LEFT('Reference Records'!$C$1:$K$539,255),9,0),";")),"")</f>
        <v>Non cumulative;</v>
      </c>
      <c r="AZ9" s="555" t="str">
        <f>IF($BV9="", "", IF($BV9=TRUE, "Yes", "No"))</f>
        <v>No</v>
      </c>
      <c r="BA9" s="558" t="str">
        <f ca="1">IF($D9="", "",IF(IF(INDIRECT("'update Helper'!W"&amp;AT9)=0,"",INDIRECT("'update Helper'!W"&amp;AT9))=TRUE, "Yes","No"))</f>
        <v/>
      </c>
      <c r="BB9" s="468" t="str">
        <f ca="1">IF(AND(BS9="Continue",BU9="Continue"),"No Error",IF(AND(BS9&lt;&gt;"Continue",BU9="Continue"),BS9,IF(AND(BU9&lt;&gt;"Continue",BS9="Continue"),BU9,CONCATENATE(BS9,CHAR(10),BU9))))</f>
        <v>No Error</v>
      </c>
      <c r="BC9" s="508" t="str" cm="1">
        <f t="array" ref="BC9">IF(ISBLANK(C9),"Continue",(IF(IFERROR(_xlfn.XMATCH(C9,LEFT('Reference Records'!$C$87:$C$189,32768),0),0)&lt;&gt;0,"Continue","Invalid indicator entry. Select from dropdown list.")))</f>
        <v>Continue</v>
      </c>
      <c r="BD9" s="508" t="str">
        <f>IF(SUM(BE9:BM10)=0, "Continue", "Enter valid number only.")</f>
        <v>Continue</v>
      </c>
      <c r="BE9" s="146">
        <f>IF(NOT(ISBLANK(E9)),IF(E9&lt;&gt;"",(IF(NOT(ISNUMBER(E9)),1,0)),0),0)</f>
        <v>0</v>
      </c>
      <c r="BF9" s="146">
        <f>IF(NOT(ISBLANK(N9)),IF(N9&lt;&gt;"",(IF(NOT(ISNUMBER(N9)),1,0)),0),0)</f>
        <v>0</v>
      </c>
      <c r="BG9" s="146">
        <f>IF(NOT(ISBLANK(Q9)),IF(Q9&lt;&gt;"",(IF(NOT(ISNUMBER(Q9)),1,0)),0),0)</f>
        <v>0</v>
      </c>
      <c r="BH9" s="146">
        <f>IF(NOT(ISBLANK(T9)),IF(T9&lt;&gt;"",(IF(NOT(ISNUMBER(T9)),1,0)),0),0)</f>
        <v>0</v>
      </c>
      <c r="BI9" s="146">
        <f>IF(NOT(ISBLANK(W9)),IF(W9&lt;&gt;"",(IF(NOT(ISNUMBER(W9)),1,0)),0),0)</f>
        <v>0</v>
      </c>
      <c r="BJ9" s="146">
        <f>IF(NOT(ISBLANK(Z9)),IF(Z9&lt;&gt;"",(IF(NOT(ISNUMBER(Z9)),1,0)),0),0)</f>
        <v>0</v>
      </c>
      <c r="BK9" s="146">
        <f>IF(NOT(ISBLANK(AC9)),IF(AC9&lt;&gt;"",(IF(NOT(ISNUMBER(AC9)),1,0)),0),0)</f>
        <v>0</v>
      </c>
      <c r="BL9" s="146">
        <f>IF(NOT(ISBLANK(AF9)),IF(AF9&lt;&gt;"",(IF(NOT(ISNUMBER(AF9)),1,0)),0),0)</f>
        <v>0</v>
      </c>
      <c r="BM9" s="146">
        <f>IF(NOT(ISBLANK(AI9)),IF(AI9&lt;&gt;"",(IF(NOT(ISNUMBER(AI9)),1,0)),0),0)</f>
        <v>0</v>
      </c>
      <c r="BN9" s="467" t="str">
        <f>IF(NOT(ISBLANK(C9)),IF(C9&lt;&gt;"",IF(_xlfn.XLOOKUP(C9,'Reference Records'!$C$87:$C$189,'Reference Records'!$A$87:$A$189,0,0,1)=AM9,"Continue","Select correct module name."),"Continue"),"Continue")</f>
        <v>Continue</v>
      </c>
      <c r="BO9" s="467" t="str">
        <f ca="1">IF(AND(BC9="Continue",CG9="Continue"),"Continue",IF(AND(BC9&lt;&gt;"Continue",CG9="Continue"),BC9,IF(AND(CG9&lt;&gt;"Continue",BC9="Continue"),CG9,CONCATENATE(BC9,CHAR(10),CG9))))</f>
        <v>Continue</v>
      </c>
      <c r="BP9" s="467" t="str">
        <f ca="1">IF(AND((AZ9&lt;&gt;""),(BA9&lt;&gt;"")),"Reversed custom indicator selection not applicable. Value pre-populated in standard indicator column.","Continue")</f>
        <v>Continue</v>
      </c>
      <c r="BQ9" s="467" t="str">
        <f ca="1">IF(AND(BN9="Continue",BO9="Continue"),"Continue",
IF(AND(BN9&lt;&gt;"Continue",BO9="Continue"),BN9,
IF(AND(BO9&lt;&gt;"Continue",BN9="Continue"),BO9,
CONCATENATE(BN9,CHAR(10),BO9))))</f>
        <v>Continue</v>
      </c>
      <c r="BR9" s="508" t="str" cm="1">
        <f t="array" ref="BR9">IF(ISBLANK(B9),"Continue",(IF(IFERROR(_xlfn.XMATCH(B9,LEFT('Reference Records'!$J$191:$J$250,32768),0),0)&lt;&gt;0,"Continue","Invalid module entry. Select from dropdown list.")))</f>
        <v>Continue</v>
      </c>
      <c r="BS9" s="508" t="str">
        <f ca="1">IF(AND(BP9="Continue",BQ9="Continue"),"Continue",IF(AND(BP9&lt;&gt;"Continue",BQ9="Continue"),BP9,IF(AND(BQ9&lt;&gt;"Continue",BP9="Continue"),BQ9,CONCATENATE(BP9,CHAR(10),BQ9))))</f>
        <v>Continue</v>
      </c>
      <c r="BT9" s="508" t="str">
        <f>IF(AND(C9="",D9=""),"Continue",IF(AND(C9="",D9&lt;&gt;""),"Continue",IF(AND(C9&lt;&gt;"",D9=""),"Continue",IF(AND(C9&lt;&gt;"",D9&lt;&gt;""),"Cannot enter both standard and custom indicators on the same line."))))</f>
        <v>Continue</v>
      </c>
      <c r="BU9" s="508" t="str">
        <f>IF(AND(BR9="Continue",BT9="Continue"),"Continue",IF(AND(BR9&lt;&gt;"Continue",BT9="Continue"),BR9,IF(AND(BT9&lt;&gt;"Continue",BR9="Continue"),BT9,CONCATENATE(BR9,CHAR(10),BT9))))</f>
        <v>Continue</v>
      </c>
      <c r="BV9" s="538" t="b">
        <f>IFERROR(INDEX('Reference Records'!$L$87:$L$189,MATCH($C9,'Reference Records'!$C$87:$C$189,0)),"")</f>
        <v>0</v>
      </c>
      <c r="BW9" s="538">
        <f ca="1">IF(NOT(ISBLANK(F9)),IF(F9&lt;&gt;"",(IF(NOT(ISNUMBER(F9)),1,0)),0),0)</f>
        <v>0</v>
      </c>
      <c r="BX9" s="538">
        <f>IF(NOT(ISBLANK(O9)),IF(O9&lt;&gt;"",(IF(NOT(ISNUMBER(O9)),1,0)),0),0)</f>
        <v>0</v>
      </c>
      <c r="BY9" s="538">
        <f>IF(NOT(ISBLANK(R9)),IF(R9&lt;&gt;"",(IF(NOT(ISNUMBER(R9)),1,0)),0),0)</f>
        <v>0</v>
      </c>
      <c r="BZ9" s="538">
        <f>IF(NOT(ISBLANK(U9)),IF(U9&lt;&gt;"",(IF(NOT(ISNUMBER(U9)),1,0)),0),0)</f>
        <v>0</v>
      </c>
      <c r="CA9" s="538">
        <f>IF(NOT(ISBLANK(X9)),IF(X9&lt;&gt;"",(IF(NOT(ISNUMBER(X9)),1,0)),0),0)</f>
        <v>0</v>
      </c>
      <c r="CB9" s="538">
        <f>IF(NOT(ISBLANK(AA9)),IF(AA9&lt;&gt;"",(IF(NOT(ISNUMBER(AA9)),1,0)),0),0)</f>
        <v>0</v>
      </c>
      <c r="CC9" s="538">
        <f>IF(NOT(ISBLANK(AD9)),IF(AD9&lt;&gt;"",(IF(NOT(ISNUMBER(AD9)),1,0)),0),0)</f>
        <v>0</v>
      </c>
      <c r="CD9" s="538">
        <f>IF(NOT(ISBLANK(AG9)),IF(AG9&lt;&gt;"",(IF(NOT(ISNUMBER(AG9)),1,0)),0),0)</f>
        <v>0</v>
      </c>
      <c r="CE9" s="538">
        <f>IF(NOT(ISBLANK(AJ9)),IF(AJ9&lt;&gt;"",(IF(NOT(ISNUMBER(AJ9)),1,0)),0),0)</f>
        <v>0</v>
      </c>
      <c r="CF9" s="538" t="str">
        <f ca="1">IF(SUM(BW9:CE10)=0, "Continue", "Enter valid number only.")</f>
        <v>Continue</v>
      </c>
      <c r="CG9" s="538" t="str">
        <f ca="1">IF(AND(CF9="Continue",BD9="Continue"),"Continue",IF(AND(CF9&lt;&gt;"Continue",BD9="Continue"),CF9,IF(AND(BD9&lt;&gt;"Continue",CF9="Continue"),BD9,CONCATENATE(CF9,CHAR(10)))))</f>
        <v>Continue</v>
      </c>
      <c r="CI9" s="314" t="str">
        <f>IFERROR(IF('Overview - Section A'!$AN$5="Funding Request",
IF(AND('Reference Records'!$B$427&lt;&gt;"",$L9 ='Reference Records'!$B$427),'Reference Records'!$C$427,""),
INDEX('Reference Records'!$A$498:$C$499,MATCH($L9,'Reference Records'!$A$498:$A$499,0),3)),"")</f>
        <v>a1A360000013M2uEAE</v>
      </c>
      <c r="CJ9" s="314" t="str">
        <f>IFERROR(INDEX('Overview - Section A'!$H$102:$H$118,MATCH(IF($B9="", "--select--", $B9),'Overview - Section A'!$C$102:$C$118,0)),"")</f>
        <v>a1PDm000000LrD4MAK</v>
      </c>
      <c r="CK9" s="310" t="str" cm="1">
        <f t="array" ref="CK9">IFERROR(IF($C9="", "", VLOOKUP(LEFT($C9,255),LEFT('Reference Records'!$C$88:$G$189,255),5,0)),"")</f>
        <v>a1ODm000000GnyEMAS</v>
      </c>
    </row>
    <row r="10" spans="1:89 16375:16375" ht="30" customHeight="1">
      <c r="A10" s="523"/>
      <c r="B10" s="513"/>
      <c r="C10" s="513"/>
      <c r="D10" s="513"/>
      <c r="E10" s="140"/>
      <c r="F10" s="517"/>
      <c r="G10" s="553"/>
      <c r="H10" s="513"/>
      <c r="I10" s="546"/>
      <c r="J10" s="553"/>
      <c r="K10" s="513"/>
      <c r="L10" s="147" t="s">
        <v>651</v>
      </c>
      <c r="M10" s="557"/>
      <c r="N10" s="140"/>
      <c r="O10" s="517"/>
      <c r="P10" s="553"/>
      <c r="Q10" s="142"/>
      <c r="R10" s="517"/>
      <c r="S10" s="553"/>
      <c r="T10" s="142"/>
      <c r="U10" s="517"/>
      <c r="V10" s="553"/>
      <c r="W10" s="142"/>
      <c r="X10" s="517"/>
      <c r="Y10" s="553"/>
      <c r="Z10" s="142"/>
      <c r="AA10" s="517"/>
      <c r="AB10" s="553"/>
      <c r="AC10" s="142"/>
      <c r="AD10" s="517"/>
      <c r="AE10" s="553"/>
      <c r="AF10" s="142"/>
      <c r="AG10" s="517"/>
      <c r="AH10" s="553"/>
      <c r="AI10" s="142"/>
      <c r="AJ10" s="517"/>
      <c r="AK10" s="553"/>
      <c r="AL10" s="513"/>
      <c r="AM10" s="554"/>
      <c r="AN10" s="143"/>
      <c r="AO10" s="143"/>
      <c r="AP10" s="143"/>
      <c r="AQ10" s="143"/>
      <c r="AR10" s="143"/>
      <c r="AS10" s="143"/>
      <c r="AT10" s="143"/>
      <c r="AU10" s="143"/>
      <c r="AV10" s="143"/>
      <c r="AW10" s="143"/>
      <c r="AX10" s="145"/>
      <c r="AY10" s="143"/>
      <c r="AZ10" s="555"/>
      <c r="BA10" s="558"/>
      <c r="BB10" s="468"/>
      <c r="BC10" s="508"/>
      <c r="BD10" s="508"/>
      <c r="BE10" s="146">
        <f t="shared" ref="BE10:BE92" si="0">IF(NOT(ISBLANK(E10)),IF(E10&lt;&gt;"",(IF(NOT(ISNUMBER(E10)),1,0)),0),0)</f>
        <v>0</v>
      </c>
      <c r="BF10" s="146">
        <f t="shared" ref="BF10:BF92" si="1">IF(NOT(ISBLANK(N10)),IF(N10&lt;&gt;"",(IF(NOT(ISNUMBER(N10)),1,0)),0),0)</f>
        <v>0</v>
      </c>
      <c r="BG10" s="146">
        <f t="shared" ref="BG10:BG92" si="2">IF(NOT(ISBLANK(Q10)),IF(Q10&lt;&gt;"",(IF(NOT(ISNUMBER(Q10)),1,0)),0),0)</f>
        <v>0</v>
      </c>
      <c r="BH10" s="146">
        <f t="shared" ref="BH10:BH92" si="3">IF(NOT(ISBLANK(T10)),IF(T10&lt;&gt;"",(IF(NOT(ISNUMBER(T10)),1,0)),0),0)</f>
        <v>0</v>
      </c>
      <c r="BI10" s="146">
        <f t="shared" ref="BI10:BI92" si="4">IF(NOT(ISBLANK(W10)),IF(W10&lt;&gt;"",(IF(NOT(ISNUMBER(W10)),1,0)),0),0)</f>
        <v>0</v>
      </c>
      <c r="BJ10" s="146">
        <f t="shared" ref="BJ10:BJ92" si="5">IF(NOT(ISBLANK(Z10)),IF(Z10&lt;&gt;"",(IF(NOT(ISNUMBER(Z10)),1,0)),0),0)</f>
        <v>0</v>
      </c>
      <c r="BK10" s="146">
        <f t="shared" ref="BK10:BK92" si="6">IF(NOT(ISBLANK(AC10)),IF(AC10&lt;&gt;"",(IF(NOT(ISNUMBER(AC10)),1,0)),0),0)</f>
        <v>0</v>
      </c>
      <c r="BL10" s="146">
        <f t="shared" ref="BL10:BL92" si="7">IF(NOT(ISBLANK(AF10)),IF(AF10&lt;&gt;"",(IF(NOT(ISNUMBER(AF10)),1,0)),0),0)</f>
        <v>0</v>
      </c>
      <c r="BM10" s="146">
        <f t="shared" ref="BM10:BM92" si="8">IF(NOT(ISBLANK(AI10)),IF(AI10&lt;&gt;"",(IF(NOT(ISNUMBER(AI10)),1,0)),0),0)</f>
        <v>0</v>
      </c>
      <c r="BN10" s="467"/>
      <c r="BO10" s="467"/>
      <c r="BP10" s="467"/>
      <c r="BQ10" s="467"/>
      <c r="BR10" s="508"/>
      <c r="BS10" s="508"/>
      <c r="BT10" s="508"/>
      <c r="BU10" s="508"/>
      <c r="BV10" s="538"/>
      <c r="BW10" s="538"/>
      <c r="BX10" s="538"/>
      <c r="BY10" s="538"/>
      <c r="BZ10" s="538"/>
      <c r="CA10" s="538"/>
      <c r="CB10" s="538"/>
      <c r="CC10" s="538"/>
      <c r="CD10" s="538"/>
      <c r="CE10" s="538"/>
      <c r="CF10" s="538"/>
      <c r="CG10" s="538"/>
      <c r="CI10" s="314" t="str">
        <f>IFERROR(IF('Overview - Section A'!$AN$5="Funding Request",
IF(AND('Reference Records'!$B$427&lt;&gt;"",$L10 ='Reference Records'!$B$427),'Reference Records'!$C$427,""),
INDEX('Reference Records'!$A$498:$C$499,MATCH($L10,'Reference Records'!$A$498:$A$499,0),3)),"")</f>
        <v/>
      </c>
      <c r="CJ10" s="314" t="str">
        <f>IFERROR(INDEX('Overview - Section A'!$H$102:$H$118,MATCH(IF($B10="", "--select--", $B10),'Overview - Section A'!$C$102:$C$118,0)),"")</f>
        <v/>
      </c>
      <c r="CK10" s="310" t="str" cm="1">
        <f t="array" ref="CK10">IFERROR(IF($C10="", "", VLOOKUP(LEFT($C10,255),LEFT('Reference Records'!$C$88:$G$189,255),5,0)),"")</f>
        <v/>
      </c>
    </row>
    <row r="11" spans="1:89 16375:16375" ht="30" customHeight="1">
      <c r="A11" s="522">
        <v>2</v>
      </c>
      <c r="B11" s="528" t="s">
        <v>1559</v>
      </c>
      <c r="C11" s="528" t="s">
        <v>1236</v>
      </c>
      <c r="D11" s="528"/>
      <c r="E11" s="148"/>
      <c r="F11" s="524">
        <f ca="1">IF(OR(INDIRECT("'update Helper'!D"&amp;AT11)="",E11&lt;&gt;0,E12&lt;&gt;0),IF(IFERROR((E11/E12),"")="","",(E11/E12)),INDIRECT("'update Helper'!D"&amp;AT11)/100)</f>
        <v>0.94</v>
      </c>
      <c r="G11" s="543">
        <v>2021</v>
      </c>
      <c r="H11" s="528" t="s">
        <v>780</v>
      </c>
      <c r="I11" s="545" t="str">
        <f>AN11</f>
        <v>HIV status,Gender,Age</v>
      </c>
      <c r="J11" s="543" t="s">
        <v>2212</v>
      </c>
      <c r="K11" s="528" t="s">
        <v>323</v>
      </c>
      <c r="L11" s="149" t="s">
        <v>781</v>
      </c>
      <c r="M11" s="547" t="s">
        <v>650</v>
      </c>
      <c r="N11" s="148"/>
      <c r="O11" s="524">
        <v>0.95</v>
      </c>
      <c r="P11" s="543"/>
      <c r="Q11" s="150"/>
      <c r="R11" s="524">
        <v>0.95</v>
      </c>
      <c r="S11" s="543"/>
      <c r="T11" s="150"/>
      <c r="U11" s="524">
        <v>0.95</v>
      </c>
      <c r="V11" s="543"/>
      <c r="W11" s="150"/>
      <c r="X11" s="524">
        <v>0.95</v>
      </c>
      <c r="Y11" s="543"/>
      <c r="Z11" s="150"/>
      <c r="AA11" s="524">
        <v>0.95</v>
      </c>
      <c r="AB11" s="543"/>
      <c r="AC11" s="150"/>
      <c r="AD11" s="524">
        <v>0.95</v>
      </c>
      <c r="AE11" s="543"/>
      <c r="AF11" s="150"/>
      <c r="AG11" s="549"/>
      <c r="AH11" s="543"/>
      <c r="AI11" s="150"/>
      <c r="AJ11" s="549"/>
      <c r="AK11" s="543"/>
      <c r="AL11" s="528" t="s">
        <v>2215</v>
      </c>
      <c r="AM11" s="476" t="str">
        <f>IFERROR(IF(VLOOKUP(B11,'Reference Records'!$C$192:$D$250,2,FALSE)=0,"",VLOOKUP(B11,'Reference Records'!$C$192:$D$250,2,FALSE)),"")</f>
        <v>MCI-01308</v>
      </c>
      <c r="AN11" s="48" t="str">
        <f t="array" ref="AN11">IFERROR(IF(INDEX('Reference Records'!$D$88:$D$189,MATCH(LEFT(C11,255),LEFT('Reference Records'!$C$88:$C$189,255),0))=0,"",INDEX('Reference Records'!$D$88:$D$189,MATCH(LEFT(C11,255),LEFT('Reference Records'!$C$88:$C$189,255),0))),"")</f>
        <v>HIV status,Gender,Age</v>
      </c>
      <c r="AO11" s="48" t="str">
        <f>CONCATENATE(C11,D11)</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AP11" s="151" t="str">
        <f t="array" ref="AP11">VLOOKUP(LEFT(C11,255),LEFT('Reference Records'!C$87:G191,255),4,0)</f>
        <v>MCI-01544</v>
      </c>
      <c r="AQ11" s="151" t="e">
        <f>MATCH(AP11,'Reference Records'!$F$512:$F$514,0)+ROW(PopulationByCoverage)-1</f>
        <v>#N/A</v>
      </c>
      <c r="AR11" s="151">
        <f>MATCH(AP11,'Reference Records'!$F$512:$F$514,1)+ROW(PopulationByCoverage)-1</f>
        <v>513</v>
      </c>
      <c r="AS11" s="48" t="str">
        <f>C11&amp;D11</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AT11" s="48">
        <f>AT9+1</f>
        <v>455</v>
      </c>
      <c r="AU11" s="48">
        <f ca="1">AU9+'update Helper'!$T$2</f>
        <v>535.78260869565213</v>
      </c>
      <c r="AV11" s="48" t="str">
        <f t="shared" ref="AV11" si="9">CLEAN(IFERROR(LEFT(AY11, SEARCH(";",AY11,1)-1),""))</f>
        <v>Non cumulative</v>
      </c>
      <c r="AW11" s="48" t="str">
        <f t="shared" ref="AW11" si="10">SUBSTITUTE(IFERROR(MID(AY11, SEARCH(";",AY11) + 1, SEARCH(";",AY11,SEARCH(";",AY11)+1) - SEARCH(";",AY11) - 1),""),CHAR(10),"")</f>
        <v/>
      </c>
      <c r="AX11" s="152" t="str">
        <f t="shared" ref="AX11" si="11">CLEAN(IFERROR(SUBSTITUTE(RIGHT(AY11,LEN(AY11) - SEARCH(";", AY11, SEARCH(";",AY11) + 1)),";",""),""))</f>
        <v/>
      </c>
      <c r="AY11" s="48" t="str">
        <f t="array" ref="AY11">IFERROR(IF(VLOOKUP(LEFT(C11,255),LEFT('Reference Records'!$C$1:$K$539,255),9,0)=0,"",CONCATENATE(VLOOKUP(LEFT(C11,255),LEFT('Reference Records'!$C$1:$K$539,255),9,0),";")),"")</f>
        <v>Non cumulative;</v>
      </c>
      <c r="AZ11" s="551" t="str">
        <f>IF($BV11="", "", IF($BV11=TRUE, "Yes", "No"))</f>
        <v/>
      </c>
      <c r="BA11" s="559" t="str">
        <f t="shared" ref="BA11" ca="1" si="12">IF($D11="", "",IF(IF(INDIRECT("'update Helper'!W"&amp;AT11)=0,"",INDIRECT("'update Helper'!W"&amp;AT11))=TRUE, "Yes","No"))</f>
        <v/>
      </c>
      <c r="BB11" s="468" t="str">
        <f t="shared" ref="BB11" ca="1" si="13">IF(AND(BS11="Continue",BU11="Continue"),"No Error",IF(AND(BS11&lt;&gt;"Continue",BU11="Continue"),BS11,IF(AND(BU11&lt;&gt;"Continue",BS11="Continue"),BU11,CONCATENATE(BS11,CHAR(10),BU11))))</f>
        <v>No Error</v>
      </c>
      <c r="BC11" s="508" t="str" cm="1">
        <f t="array" ref="BC11">IF(ISBLANK(C11),"Continue",(IF(IFERROR(_xlfn.XMATCH(C11,LEFT('Reference Records'!$C$87:$C$189,32768),0),0)&lt;&gt;0,"Continue","Invalid indicator entry. Select from dropdown list.")))</f>
        <v>Continue</v>
      </c>
      <c r="BD11" s="508" t="str">
        <f t="shared" ref="BD11" si="14">IF(SUM(BE11:BM12)=0, "Continue", "Enter valid number only.")</f>
        <v>Continue</v>
      </c>
      <c r="BE11" s="146">
        <f t="shared" si="0"/>
        <v>0</v>
      </c>
      <c r="BF11" s="146">
        <f t="shared" si="1"/>
        <v>0</v>
      </c>
      <c r="BG11" s="146">
        <f t="shared" si="2"/>
        <v>0</v>
      </c>
      <c r="BH11" s="146">
        <f t="shared" si="3"/>
        <v>0</v>
      </c>
      <c r="BI11" s="146">
        <f t="shared" si="4"/>
        <v>0</v>
      </c>
      <c r="BJ11" s="146">
        <f t="shared" si="5"/>
        <v>0</v>
      </c>
      <c r="BK11" s="146">
        <f t="shared" si="6"/>
        <v>0</v>
      </c>
      <c r="BL11" s="146">
        <f t="shared" si="7"/>
        <v>0</v>
      </c>
      <c r="BM11" s="146">
        <f t="shared" si="8"/>
        <v>0</v>
      </c>
      <c r="BN11" s="467" t="str">
        <f>IF(NOT(ISBLANK(C11)),IF(C11&lt;&gt;"",IF(_xlfn.XLOOKUP(C11,'Reference Records'!$C$87:$C$189,'Reference Records'!$A$87:$A$189,0,0,1)=AM11,"Continue","Select correct module name."),"Continue"),"Continue")</f>
        <v>Continue</v>
      </c>
      <c r="BO11" s="467" t="str">
        <f t="shared" ref="BO11" ca="1" si="15">IF(AND(BC11="Continue",CG11="Continue"),"Continue",IF(AND(BC11&lt;&gt;"Continue",CG11="Continue"),BC11,IF(AND(CG11&lt;&gt;"Continue",BC11="Continue"),CG11,CONCATENATE(BC11,CHAR(10),CG11))))</f>
        <v>Continue</v>
      </c>
      <c r="BP11" s="467" t="str">
        <f t="shared" ref="BP11" ca="1" si="16">IF(AND((AZ11&lt;&gt;""),(BA11&lt;&gt;"")),"Reversed custom indicator selection not applicable. Value pre-populated in standard indicator column.","Continue")</f>
        <v>Continue</v>
      </c>
      <c r="BQ11" s="467" t="str">
        <f t="shared" ref="BQ11" ca="1" si="17">IF(AND(BN11="Continue",BO11="Continue"),"Continue",
IF(AND(BN11&lt;&gt;"Continue",BO11="Continue"),BN11,
IF(AND(BO11&lt;&gt;"Continue",BN11="Continue"),BO11,
CONCATENATE(BN11,CHAR(10),BO11))))</f>
        <v>Continue</v>
      </c>
      <c r="BR11" s="508" t="str" cm="1">
        <f t="array" ref="BR11">IF(ISBLANK(B11),"Continue",(IF(IFERROR(_xlfn.XMATCH(B11,LEFT('Reference Records'!$J$191:$J$250,32768),0),0)&lt;&gt;0,"Continue","Invalid module entry. Select from dropdown list.")))</f>
        <v>Continue</v>
      </c>
      <c r="BS11" s="508" t="str">
        <f t="shared" ref="BS11" ca="1" si="18">IF(AND(BP11="Continue",BQ11="Continue"),"Continue",IF(AND(BP11&lt;&gt;"Continue",BQ11="Continue"),BP11,IF(AND(BQ11&lt;&gt;"Continue",BP11="Continue"),BQ11,CONCATENATE(BP11,CHAR(10),BQ11))))</f>
        <v>Continue</v>
      </c>
      <c r="BT11" s="508" t="str">
        <f t="shared" ref="BT11" si="19">IF(AND(C11="",D11=""),"Continue",IF(AND(C11="",D11&lt;&gt;""),"Continue",IF(AND(C11&lt;&gt;"",D11=""),"Continue",IF(AND(C11&lt;&gt;"",D11&lt;&gt;""),"Cannot enter both standard and custom indicators on the same line."))))</f>
        <v>Continue</v>
      </c>
      <c r="BU11" s="508" t="str">
        <f t="shared" ref="BU11" si="20">IF(AND(BR11="Continue",BT11="Continue"),"Continue",IF(AND(BR11&lt;&gt;"Continue",BT11="Continue"),BR11,IF(AND(BT11&lt;&gt;"Continue",BR11="Continue"),BT11,CONCATENATE(BR11,CHAR(10),BT11))))</f>
        <v>Continue</v>
      </c>
      <c r="BV11" s="538" t="str">
        <f>IFERROR(INDEX('Reference Records'!$L$87:$L$189,MATCH($C11,'Reference Records'!$C$87:$C$189,0)),"")</f>
        <v/>
      </c>
      <c r="BW11" s="538">
        <f t="shared" ref="BW11" ca="1" si="21">IF(NOT(ISBLANK(F11)),IF(F11&lt;&gt;"",(IF(NOT(ISNUMBER(F11)),1,0)),0),0)</f>
        <v>0</v>
      </c>
      <c r="BX11" s="538">
        <f t="shared" ref="BX11" si="22">IF(NOT(ISBLANK(O11)),IF(O11&lt;&gt;"",(IF(NOT(ISNUMBER(O11)),1,0)),0),0)</f>
        <v>0</v>
      </c>
      <c r="BY11" s="538">
        <f t="shared" ref="BY11" si="23">IF(NOT(ISBLANK(R11)),IF(R11&lt;&gt;"",(IF(NOT(ISNUMBER(R11)),1,0)),0),0)</f>
        <v>0</v>
      </c>
      <c r="BZ11" s="538">
        <f t="shared" ref="BZ11" si="24">IF(NOT(ISBLANK(U11)),IF(U11&lt;&gt;"",(IF(NOT(ISNUMBER(U11)),1,0)),0),0)</f>
        <v>0</v>
      </c>
      <c r="CA11" s="538">
        <f t="shared" ref="CA11" si="25">IF(NOT(ISBLANK(X11)),IF(X11&lt;&gt;"",(IF(NOT(ISNUMBER(X11)),1,0)),0),0)</f>
        <v>0</v>
      </c>
      <c r="CB11" s="538">
        <f t="shared" ref="CB11" si="26">IF(NOT(ISBLANK(AA11)),IF(AA11&lt;&gt;"",(IF(NOT(ISNUMBER(AA11)),1,0)),0),0)</f>
        <v>0</v>
      </c>
      <c r="CC11" s="538">
        <f t="shared" ref="CC11" si="27">IF(NOT(ISBLANK(AD11)),IF(AD11&lt;&gt;"",(IF(NOT(ISNUMBER(AD11)),1,0)),0),0)</f>
        <v>0</v>
      </c>
      <c r="CD11" s="538">
        <f t="shared" ref="CD11" si="28">IF(NOT(ISBLANK(AG11)),IF(AG11&lt;&gt;"",(IF(NOT(ISNUMBER(AG11)),1,0)),0),0)</f>
        <v>0</v>
      </c>
      <c r="CE11" s="538">
        <f t="shared" ref="CE11" si="29">IF(NOT(ISBLANK(AJ11)),IF(AJ11&lt;&gt;"",(IF(NOT(ISNUMBER(AJ11)),1,0)),0),0)</f>
        <v>0</v>
      </c>
      <c r="CF11" s="538" t="str">
        <f t="shared" ref="CF11" ca="1" si="30">IF(SUM(BW11:CE12)=0, "Continue", "Enter valid number only.")</f>
        <v>Continue</v>
      </c>
      <c r="CG11" s="538" t="str">
        <f t="shared" ref="CG11" ca="1" si="31">IF(AND(CF11="Continue",BD11="Continue"),"Continue",IF(AND(CF11&lt;&gt;"Continue",BD11="Continue"),CF11,IF(AND(BD11&lt;&gt;"Continue",CF11="Continue"),BD11,CONCATENATE(CF11,CHAR(10)))))</f>
        <v>Continue</v>
      </c>
      <c r="CI11" s="314" t="str">
        <f>IFERROR(IF('Overview - Section A'!$AN$5="Funding Request",
IF(AND('Reference Records'!$B$427&lt;&gt;"",$L11 ='Reference Records'!$B$427),'Reference Records'!$C$427,""),
INDEX('Reference Records'!$A$498:$C$499,MATCH($L11,'Reference Records'!$A$498:$A$499,0),3)),"")</f>
        <v>a1A360000013M2uEAE</v>
      </c>
      <c r="CJ11" s="314" t="str">
        <f>IFERROR(INDEX('Overview - Section A'!$H$102:$H$118,MATCH(IF($B11="", "--select--", $B11),'Overview - Section A'!$C$102:$C$118,0)),"")</f>
        <v>a1PDm000000LrD4MAK</v>
      </c>
      <c r="CK11" s="310" t="str" cm="1">
        <f t="array" ref="CK11">IFERROR(IF($C11="", "", VLOOKUP(LEFT($C11,255),LEFT('Reference Records'!$C$88:$G$189,255),5,0)),"")</f>
        <v>a1ODm000000GnyJMAS</v>
      </c>
    </row>
    <row r="12" spans="1:89 16375:16375" ht="30" customHeight="1">
      <c r="A12" s="523"/>
      <c r="B12" s="529"/>
      <c r="C12" s="529"/>
      <c r="D12" s="529"/>
      <c r="E12" s="148"/>
      <c r="F12" s="525"/>
      <c r="G12" s="544"/>
      <c r="H12" s="529"/>
      <c r="I12" s="546"/>
      <c r="J12" s="544"/>
      <c r="K12" s="529"/>
      <c r="L12" s="153" t="s">
        <v>651</v>
      </c>
      <c r="M12" s="548"/>
      <c r="N12" s="148"/>
      <c r="O12" s="525"/>
      <c r="P12" s="544"/>
      <c r="Q12" s="150"/>
      <c r="R12" s="525"/>
      <c r="S12" s="544"/>
      <c r="T12" s="150"/>
      <c r="U12" s="525"/>
      <c r="V12" s="544"/>
      <c r="W12" s="150"/>
      <c r="X12" s="525"/>
      <c r="Y12" s="544"/>
      <c r="Z12" s="150"/>
      <c r="AA12" s="525"/>
      <c r="AB12" s="544"/>
      <c r="AC12" s="150"/>
      <c r="AD12" s="525"/>
      <c r="AE12" s="544"/>
      <c r="AF12" s="150"/>
      <c r="AG12" s="550"/>
      <c r="AH12" s="544"/>
      <c r="AI12" s="150"/>
      <c r="AJ12" s="550"/>
      <c r="AK12" s="544"/>
      <c r="AL12" s="529"/>
      <c r="AM12" s="476"/>
      <c r="AX12" s="152"/>
      <c r="AZ12" s="551"/>
      <c r="BA12" s="559"/>
      <c r="BB12" s="468"/>
      <c r="BC12" s="508"/>
      <c r="BD12" s="508"/>
      <c r="BE12" s="146">
        <f t="shared" si="0"/>
        <v>0</v>
      </c>
      <c r="BF12" s="146">
        <f t="shared" si="1"/>
        <v>0</v>
      </c>
      <c r="BG12" s="146">
        <f t="shared" si="2"/>
        <v>0</v>
      </c>
      <c r="BH12" s="146">
        <f t="shared" si="3"/>
        <v>0</v>
      </c>
      <c r="BI12" s="146">
        <f t="shared" si="4"/>
        <v>0</v>
      </c>
      <c r="BJ12" s="146">
        <f t="shared" si="5"/>
        <v>0</v>
      </c>
      <c r="BK12" s="146">
        <f t="shared" si="6"/>
        <v>0</v>
      </c>
      <c r="BL12" s="146">
        <f t="shared" si="7"/>
        <v>0</v>
      </c>
      <c r="BM12" s="146">
        <f t="shared" si="8"/>
        <v>0</v>
      </c>
      <c r="BN12" s="467"/>
      <c r="BO12" s="467"/>
      <c r="BP12" s="467"/>
      <c r="BQ12" s="467"/>
      <c r="BR12" s="508"/>
      <c r="BS12" s="508"/>
      <c r="BT12" s="508"/>
      <c r="BU12" s="508"/>
      <c r="BV12" s="538"/>
      <c r="BW12" s="538"/>
      <c r="BX12" s="538"/>
      <c r="BY12" s="538"/>
      <c r="BZ12" s="538"/>
      <c r="CA12" s="538"/>
      <c r="CB12" s="538"/>
      <c r="CC12" s="538"/>
      <c r="CD12" s="538"/>
      <c r="CE12" s="538"/>
      <c r="CF12" s="538"/>
      <c r="CG12" s="538"/>
      <c r="CI12" s="314" t="str">
        <f>IFERROR(IF('Overview - Section A'!$AN$5="Funding Request",
IF(AND('Reference Records'!$B$427&lt;&gt;"",$L12 ='Reference Records'!$B$427),'Reference Records'!$C$427,""),
INDEX('Reference Records'!$A$498:$C$499,MATCH($L12,'Reference Records'!$A$498:$A$499,0),3)),"")</f>
        <v/>
      </c>
      <c r="CJ12" s="314" t="str">
        <f>IFERROR(INDEX('Overview - Section A'!$H$102:$H$118,MATCH(IF($B12="", "--select--", $B12),'Overview - Section A'!$C$102:$C$118,0)),"")</f>
        <v/>
      </c>
      <c r="CK12" s="310" t="str" cm="1">
        <f t="array" ref="CK12">IFERROR(IF($C12="", "", VLOOKUP(LEFT($C12,255),LEFT('Reference Records'!$C$88:$G$189,255),5,0)),"")</f>
        <v/>
      </c>
    </row>
    <row r="13" spans="1:89 16375:16375" ht="30" customHeight="1">
      <c r="A13" s="522">
        <v>3</v>
      </c>
      <c r="B13" s="512" t="s">
        <v>1559</v>
      </c>
      <c r="C13" s="512" t="s">
        <v>1233</v>
      </c>
      <c r="D13" s="512"/>
      <c r="E13" s="140">
        <v>20155</v>
      </c>
      <c r="F13" s="516">
        <f ca="1">IF(OR(INDIRECT("'update Helper'!D"&amp;AT13)="",E13&lt;&gt;0,E14&lt;&gt;0),IF(IFERROR((E13/E14),"")="","",(E13/E14)),INDIRECT("'update Helper'!D"&amp;AT13)/100)</f>
        <v>9.4003022275288242E-2</v>
      </c>
      <c r="G13" s="552">
        <v>2021</v>
      </c>
      <c r="H13" s="512" t="s">
        <v>780</v>
      </c>
      <c r="I13" s="545" t="str">
        <f>AN13</f>
        <v>Provider type</v>
      </c>
      <c r="J13" s="552" t="s">
        <v>2212</v>
      </c>
      <c r="K13" s="512" t="s">
        <v>323</v>
      </c>
      <c r="L13" s="141" t="s">
        <v>781</v>
      </c>
      <c r="M13" s="556" t="s">
        <v>650</v>
      </c>
      <c r="N13" s="140"/>
      <c r="O13" s="516">
        <v>0.2</v>
      </c>
      <c r="P13" s="552"/>
      <c r="Q13" s="142"/>
      <c r="R13" s="516">
        <v>0.2</v>
      </c>
      <c r="S13" s="552"/>
      <c r="T13" s="142"/>
      <c r="U13" s="516">
        <v>0.3</v>
      </c>
      <c r="V13" s="552"/>
      <c r="W13" s="142"/>
      <c r="X13" s="516">
        <v>0.3</v>
      </c>
      <c r="Y13" s="552"/>
      <c r="Z13" s="142"/>
      <c r="AA13" s="516">
        <v>0.45</v>
      </c>
      <c r="AB13" s="552"/>
      <c r="AC13" s="142"/>
      <c r="AD13" s="516">
        <v>0.45</v>
      </c>
      <c r="AE13" s="552"/>
      <c r="AF13" s="142"/>
      <c r="AG13" s="516"/>
      <c r="AH13" s="552"/>
      <c r="AI13" s="142"/>
      <c r="AJ13" s="516"/>
      <c r="AK13" s="552"/>
      <c r="AL13" s="512" t="s">
        <v>2216</v>
      </c>
      <c r="AM13" s="554" t="str">
        <f>IFERROR(IF(VLOOKUP(B13,'Reference Records'!$C$192:$D$250,2,FALSE)=0,"",VLOOKUP(B13,'Reference Records'!$C$192:$D$250,2,FALSE)),"")</f>
        <v>MCI-01308</v>
      </c>
      <c r="AN13" s="143" t="str">
        <f t="array" ref="AN13">IFERROR(IF(INDEX('Reference Records'!$D$88:$D$189,MATCH(LEFT(C13,255),LEFT('Reference Records'!$C$88:$C$189,255),0))=0,"",INDEX('Reference Records'!$D$88:$D$189,MATCH(LEFT(C13,255),LEFT('Reference Records'!$C$88:$C$189,255),0))),"")</f>
        <v>Provider type</v>
      </c>
      <c r="AO13" s="143" t="str">
        <f>CONCATENATE(C13,D13)</f>
        <v>TBDT-4 Percentage of new and relapse TB patients tested using WHO recommended rapid diagnostic tests at the time of diagnosis</v>
      </c>
      <c r="AP13" s="144" t="str">
        <f t="array" ref="AP13">VLOOKUP(LEFT(C13,255),LEFT('Reference Records'!C$87:G243,255),4,0)</f>
        <v>MCI-01543</v>
      </c>
      <c r="AQ13" s="144" t="e">
        <f>MATCH(AP13,'Reference Records'!$F$512:$F$514,0)+ROW(PopulationByCoverage)-1</f>
        <v>#N/A</v>
      </c>
      <c r="AR13" s="144">
        <f>MATCH(AP13,'Reference Records'!$F$512:$F$514,1)+ROW(PopulationByCoverage)-1</f>
        <v>513</v>
      </c>
      <c r="AS13" s="143" t="str">
        <f>C13&amp;D13</f>
        <v>TBDT-4 Percentage of new and relapse TB patients tested using WHO recommended rapid diagnostic tests at the time of diagnosis</v>
      </c>
      <c r="AT13" s="143">
        <f t="shared" ref="AT13" si="32">AT11+1</f>
        <v>456</v>
      </c>
      <c r="AU13" s="143">
        <f ca="1">AU11+'update Helper'!$T$2</f>
        <v>542.56521739130426</v>
      </c>
      <c r="AV13" s="143" t="str">
        <f t="shared" ref="AV13" si="33">CLEAN(IFERROR(LEFT(AY13, SEARCH(";",AY13,1)-1),""))</f>
        <v>Non cumulative</v>
      </c>
      <c r="AW13" s="143" t="str">
        <f t="shared" ref="AW13" si="34">SUBSTITUTE(IFERROR(MID(AY13, SEARCH(";",AY13) + 1, SEARCH(";",AY13,SEARCH(";",AY13)+1) - SEARCH(";",AY13) - 1),""),CHAR(10),"")</f>
        <v/>
      </c>
      <c r="AX13" s="145" t="str">
        <f t="shared" ref="AX13" si="35">CLEAN(IFERROR(SUBSTITUTE(RIGHT(AY13,LEN(AY13) - SEARCH(";", AY13, SEARCH(";",AY13) + 1)),";",""),""))</f>
        <v/>
      </c>
      <c r="AY13" s="143" t="str">
        <f t="array" ref="AY13">IFERROR(IF(VLOOKUP(LEFT(C13,255),LEFT('Reference Records'!$C$1:$K$539,255),9,0)=0,"",CONCATENATE(VLOOKUP(LEFT(C13,255),LEFT('Reference Records'!$C$1:$K$539,255),9,0),";")),"")</f>
        <v>Non cumulative;</v>
      </c>
      <c r="AZ13" s="555" t="str">
        <f>IF($BV13="", "", IF($BV13=TRUE, "Yes", "No"))</f>
        <v>No</v>
      </c>
      <c r="BA13" s="558" t="str">
        <f t="shared" ref="BA13" ca="1" si="36">IF($D13="", "",IF(IF(INDIRECT("'update Helper'!W"&amp;AT13)=0,"",INDIRECT("'update Helper'!W"&amp;AT13))=TRUE, "Yes","No"))</f>
        <v/>
      </c>
      <c r="BB13" s="468" t="str">
        <f t="shared" ref="BB13" ca="1" si="37">IF(AND(BS13="Continue",BU13="Continue"),"No Error",IF(AND(BS13&lt;&gt;"Continue",BU13="Continue"),BS13,IF(AND(BU13&lt;&gt;"Continue",BS13="Continue"),BU13,CONCATENATE(BS13,CHAR(10),BU13))))</f>
        <v>No Error</v>
      </c>
      <c r="BC13" s="508" t="str" cm="1">
        <f t="array" ref="BC13">IF(ISBLANK(C13),"Continue",(IF(IFERROR(_xlfn.XMATCH(C13,LEFT('Reference Records'!$C$87:$C$189,32768),0),0)&lt;&gt;0,"Continue","Invalid indicator entry. Select from dropdown list.")))</f>
        <v>Continue</v>
      </c>
      <c r="BD13" s="508" t="str">
        <f t="shared" ref="BD13" si="38">IF(SUM(BE13:BM14)=0, "Continue", "Enter valid number only.")</f>
        <v>Continue</v>
      </c>
      <c r="BE13" s="146">
        <f t="shared" si="0"/>
        <v>0</v>
      </c>
      <c r="BF13" s="146">
        <f t="shared" si="1"/>
        <v>0</v>
      </c>
      <c r="BG13" s="146">
        <f t="shared" si="2"/>
        <v>0</v>
      </c>
      <c r="BH13" s="146">
        <f t="shared" si="3"/>
        <v>0</v>
      </c>
      <c r="BI13" s="146">
        <f t="shared" si="4"/>
        <v>0</v>
      </c>
      <c r="BJ13" s="146">
        <f t="shared" si="5"/>
        <v>0</v>
      </c>
      <c r="BK13" s="146">
        <f t="shared" si="6"/>
        <v>0</v>
      </c>
      <c r="BL13" s="146">
        <f t="shared" si="7"/>
        <v>0</v>
      </c>
      <c r="BM13" s="146">
        <f t="shared" si="8"/>
        <v>0</v>
      </c>
      <c r="BN13" s="467" t="str">
        <f>IF(NOT(ISBLANK(C13)),IF(C13&lt;&gt;"",IF(_xlfn.XLOOKUP(C13,'Reference Records'!$C$87:$C$189,'Reference Records'!$A$87:$A$189,0,0,1)=AM13,"Continue","Select correct module name."),"Continue"),"Continue")</f>
        <v>Continue</v>
      </c>
      <c r="BO13" s="467" t="str">
        <f t="shared" ref="BO13" ca="1" si="39">IF(AND(BC13="Continue",CG13="Continue"),"Continue",IF(AND(BC13&lt;&gt;"Continue",CG13="Continue"),BC13,IF(AND(CG13&lt;&gt;"Continue",BC13="Continue"),CG13,CONCATENATE(BC13,CHAR(10),CG13))))</f>
        <v>Continue</v>
      </c>
      <c r="BP13" s="467" t="str">
        <f t="shared" ref="BP13" ca="1" si="40">IF(AND((AZ13&lt;&gt;""),(BA13&lt;&gt;"")),"Reversed custom indicator selection not applicable. Value pre-populated in standard indicator column.","Continue")</f>
        <v>Continue</v>
      </c>
      <c r="BQ13" s="467" t="str">
        <f t="shared" ref="BQ13" ca="1" si="41">IF(AND(BN13="Continue",BO13="Continue"),"Continue",
IF(AND(BN13&lt;&gt;"Continue",BO13="Continue"),BN13,
IF(AND(BO13&lt;&gt;"Continue",BN13="Continue"),BO13,
CONCATENATE(BN13,CHAR(10),BO13))))</f>
        <v>Continue</v>
      </c>
      <c r="BR13" s="508" t="str" cm="1">
        <f t="array" ref="BR13">IF(ISBLANK(B13),"Continue",(IF(IFERROR(_xlfn.XMATCH(B13,LEFT('Reference Records'!$J$191:$J$250,32768),0),0)&lt;&gt;0,"Continue","Invalid module entry. Select from dropdown list.")))</f>
        <v>Continue</v>
      </c>
      <c r="BS13" s="508" t="str">
        <f t="shared" ref="BS13" ca="1" si="42">IF(AND(BP13="Continue",BQ13="Continue"),"Continue",IF(AND(BP13&lt;&gt;"Continue",BQ13="Continue"),BP13,IF(AND(BQ13&lt;&gt;"Continue",BP13="Continue"),BQ13,CONCATENATE(BP13,CHAR(10),BQ13))))</f>
        <v>Continue</v>
      </c>
      <c r="BT13" s="508" t="str">
        <f t="shared" ref="BT13" si="43">IF(AND(C13="",D13=""),"Continue",IF(AND(C13="",D13&lt;&gt;""),"Continue",IF(AND(C13&lt;&gt;"",D13=""),"Continue",IF(AND(C13&lt;&gt;"",D13&lt;&gt;""),"Cannot enter both standard and custom indicators on the same line."))))</f>
        <v>Continue</v>
      </c>
      <c r="BU13" s="508" t="str">
        <f t="shared" ref="BU13" si="44">IF(AND(BR13="Continue",BT13="Continue"),"Continue",IF(AND(BR13&lt;&gt;"Continue",BT13="Continue"),BR13,IF(AND(BT13&lt;&gt;"Continue",BR13="Continue"),BT13,CONCATENATE(BR13,CHAR(10),BT13))))</f>
        <v>Continue</v>
      </c>
      <c r="BV13" s="538" t="b">
        <f>IFERROR(INDEX('Reference Records'!$L$87:$L$189,MATCH($C13,'Reference Records'!$C$87:$C$189,0)),"")</f>
        <v>0</v>
      </c>
      <c r="BW13" s="538">
        <f t="shared" ref="BW13" ca="1" si="45">IF(NOT(ISBLANK(F13)),IF(F13&lt;&gt;"",(IF(NOT(ISNUMBER(F13)),1,0)),0),0)</f>
        <v>0</v>
      </c>
      <c r="BX13" s="538">
        <f t="shared" ref="BX13" si="46">IF(NOT(ISBLANK(O13)),IF(O13&lt;&gt;"",(IF(NOT(ISNUMBER(O13)),1,0)),0),0)</f>
        <v>0</v>
      </c>
      <c r="BY13" s="538">
        <f t="shared" ref="BY13" si="47">IF(NOT(ISBLANK(R13)),IF(R13&lt;&gt;"",(IF(NOT(ISNUMBER(R13)),1,0)),0),0)</f>
        <v>0</v>
      </c>
      <c r="BZ13" s="538">
        <f t="shared" ref="BZ13" si="48">IF(NOT(ISBLANK(U13)),IF(U13&lt;&gt;"",(IF(NOT(ISNUMBER(U13)),1,0)),0),0)</f>
        <v>0</v>
      </c>
      <c r="CA13" s="538">
        <f t="shared" ref="CA13" si="49">IF(NOT(ISBLANK(X13)),IF(X13&lt;&gt;"",(IF(NOT(ISNUMBER(X13)),1,0)),0),0)</f>
        <v>0</v>
      </c>
      <c r="CB13" s="538">
        <f t="shared" ref="CB13" si="50">IF(NOT(ISBLANK(AA13)),IF(AA13&lt;&gt;"",(IF(NOT(ISNUMBER(AA13)),1,0)),0),0)</f>
        <v>0</v>
      </c>
      <c r="CC13" s="538">
        <f t="shared" ref="CC13" si="51">IF(NOT(ISBLANK(AD13)),IF(AD13&lt;&gt;"",(IF(NOT(ISNUMBER(AD13)),1,0)),0),0)</f>
        <v>0</v>
      </c>
      <c r="CD13" s="538">
        <f t="shared" ref="CD13" si="52">IF(NOT(ISBLANK(AG13)),IF(AG13&lt;&gt;"",(IF(NOT(ISNUMBER(AG13)),1,0)),0),0)</f>
        <v>0</v>
      </c>
      <c r="CE13" s="538">
        <f t="shared" ref="CE13" si="53">IF(NOT(ISBLANK(AJ13)),IF(AJ13&lt;&gt;"",(IF(NOT(ISNUMBER(AJ13)),1,0)),0),0)</f>
        <v>0</v>
      </c>
      <c r="CF13" s="538" t="str">
        <f t="shared" ref="CF13" ca="1" si="54">IF(SUM(BW13:CE14)=0, "Continue", "Enter valid number only.")</f>
        <v>Continue</v>
      </c>
      <c r="CG13" s="538" t="str">
        <f t="shared" ref="CG13" ca="1" si="55">IF(AND(CF13="Continue",BD13="Continue"),"Continue",IF(AND(CF13&lt;&gt;"Continue",BD13="Continue"),CF13,IF(AND(BD13&lt;&gt;"Continue",CF13="Continue"),BD13,CONCATENATE(CF13,CHAR(10)))))</f>
        <v>Continue</v>
      </c>
      <c r="CI13" s="314" t="str">
        <f>IFERROR(IF('Overview - Section A'!$AN$5="Funding Request",
IF(AND('Reference Records'!$B$427&lt;&gt;"",$L13 ='Reference Records'!$B$427),'Reference Records'!$C$427,""),
INDEX('Reference Records'!$A$498:$C$499,MATCH($L13,'Reference Records'!$A$498:$A$499,0),3)),"")</f>
        <v>a1A360000013M2uEAE</v>
      </c>
      <c r="CJ13" s="314" t="str">
        <f>IFERROR(INDEX('Overview - Section A'!$H$102:$H$118,MATCH(IF($B13="", "--select--", $B13),'Overview - Section A'!$C$102:$C$118,0)),"")</f>
        <v>a1PDm000000LrD4MAK</v>
      </c>
      <c r="CK13" s="310" t="str" cm="1">
        <f t="array" ref="CK13">IFERROR(IF($C13="", "", VLOOKUP(LEFT($C13,255),LEFT('Reference Records'!$C$88:$G$189,255),5,0)),"")</f>
        <v>a1ODm000000GnyIMAS</v>
      </c>
    </row>
    <row r="14" spans="1:89 16375:16375" ht="30" customHeight="1">
      <c r="A14" s="523"/>
      <c r="B14" s="513"/>
      <c r="C14" s="513"/>
      <c r="D14" s="513"/>
      <c r="E14" s="140">
        <v>214408</v>
      </c>
      <c r="F14" s="517"/>
      <c r="G14" s="553"/>
      <c r="H14" s="513"/>
      <c r="I14" s="546"/>
      <c r="J14" s="553"/>
      <c r="K14" s="513"/>
      <c r="L14" s="147" t="s">
        <v>651</v>
      </c>
      <c r="M14" s="557"/>
      <c r="N14" s="140"/>
      <c r="O14" s="517"/>
      <c r="P14" s="553"/>
      <c r="Q14" s="142"/>
      <c r="R14" s="517"/>
      <c r="S14" s="553"/>
      <c r="T14" s="142"/>
      <c r="U14" s="517"/>
      <c r="V14" s="553"/>
      <c r="W14" s="142"/>
      <c r="X14" s="517"/>
      <c r="Y14" s="553"/>
      <c r="Z14" s="142"/>
      <c r="AA14" s="517"/>
      <c r="AB14" s="553"/>
      <c r="AC14" s="142"/>
      <c r="AD14" s="517"/>
      <c r="AE14" s="553"/>
      <c r="AF14" s="142"/>
      <c r="AG14" s="517"/>
      <c r="AH14" s="553"/>
      <c r="AI14" s="142"/>
      <c r="AJ14" s="517"/>
      <c r="AK14" s="553"/>
      <c r="AL14" s="513"/>
      <c r="AM14" s="554"/>
      <c r="AN14" s="143"/>
      <c r="AO14" s="143"/>
      <c r="AP14" s="143"/>
      <c r="AQ14" s="143"/>
      <c r="AR14" s="143"/>
      <c r="AS14" s="143"/>
      <c r="AT14" s="143"/>
      <c r="AU14" s="143"/>
      <c r="AV14" s="143"/>
      <c r="AW14" s="143"/>
      <c r="AX14" s="145"/>
      <c r="AY14" s="143"/>
      <c r="AZ14" s="555"/>
      <c r="BA14" s="558"/>
      <c r="BB14" s="468"/>
      <c r="BC14" s="508"/>
      <c r="BD14" s="508"/>
      <c r="BE14" s="146">
        <f t="shared" si="0"/>
        <v>0</v>
      </c>
      <c r="BF14" s="146">
        <f t="shared" si="1"/>
        <v>0</v>
      </c>
      <c r="BG14" s="146">
        <f t="shared" si="2"/>
        <v>0</v>
      </c>
      <c r="BH14" s="146">
        <f t="shared" si="3"/>
        <v>0</v>
      </c>
      <c r="BI14" s="146">
        <f t="shared" si="4"/>
        <v>0</v>
      </c>
      <c r="BJ14" s="146">
        <f t="shared" si="5"/>
        <v>0</v>
      </c>
      <c r="BK14" s="146">
        <f t="shared" si="6"/>
        <v>0</v>
      </c>
      <c r="BL14" s="146">
        <f t="shared" si="7"/>
        <v>0</v>
      </c>
      <c r="BM14" s="146">
        <f t="shared" si="8"/>
        <v>0</v>
      </c>
      <c r="BN14" s="467"/>
      <c r="BO14" s="467"/>
      <c r="BP14" s="467"/>
      <c r="BQ14" s="467"/>
      <c r="BR14" s="508"/>
      <c r="BS14" s="508"/>
      <c r="BT14" s="508"/>
      <c r="BU14" s="508"/>
      <c r="BV14" s="538"/>
      <c r="BW14" s="538"/>
      <c r="BX14" s="538"/>
      <c r="BY14" s="538"/>
      <c r="BZ14" s="538"/>
      <c r="CA14" s="538"/>
      <c r="CB14" s="538"/>
      <c r="CC14" s="538"/>
      <c r="CD14" s="538"/>
      <c r="CE14" s="538"/>
      <c r="CF14" s="538"/>
      <c r="CG14" s="538"/>
      <c r="CI14" s="314" t="str">
        <f>IFERROR(IF('Overview - Section A'!$AN$5="Funding Request",
IF(AND('Reference Records'!$B$427&lt;&gt;"",$L14 ='Reference Records'!$B$427),'Reference Records'!$C$427,""),
INDEX('Reference Records'!$A$498:$C$499,MATCH($L14,'Reference Records'!$A$498:$A$499,0),3)),"")</f>
        <v/>
      </c>
      <c r="CJ14" s="314" t="str">
        <f>IFERROR(INDEX('Overview - Section A'!$H$102:$H$118,MATCH(IF($B14="", "--select--", $B14),'Overview - Section A'!$C$102:$C$118,0)),"")</f>
        <v/>
      </c>
      <c r="CK14" s="310" t="str" cm="1">
        <f t="array" ref="CK14">IFERROR(IF($C14="", "", VLOOKUP(LEFT($C14,255),LEFT('Reference Records'!$C$88:$G$189,255),5,0)),"")</f>
        <v/>
      </c>
    </row>
    <row r="15" spans="1:89 16375:16375" ht="30" customHeight="1">
      <c r="A15" s="522">
        <v>4</v>
      </c>
      <c r="B15" s="528" t="s">
        <v>1563</v>
      </c>
      <c r="C15" s="528" t="s">
        <v>1240</v>
      </c>
      <c r="D15" s="528"/>
      <c r="E15" s="148">
        <v>1614</v>
      </c>
      <c r="F15" s="524" t="str">
        <f ca="1">IF(OR(INDIRECT("'update Helper'!D"&amp;AT15)="",E15&lt;&gt;0,E16&lt;&gt;0),IF(IFERROR((E15/E16),"")="","",(E15/E16)),INDIRECT("'update Helper'!D"&amp;AT15)/100)</f>
        <v/>
      </c>
      <c r="G15" s="543">
        <v>2022</v>
      </c>
      <c r="H15" s="528" t="s">
        <v>2199</v>
      </c>
      <c r="I15" s="545" t="str">
        <f>AN15</f>
        <v>HIV status,Gender,Age</v>
      </c>
      <c r="J15" s="543" t="s">
        <v>2212</v>
      </c>
      <c r="K15" s="528" t="s">
        <v>323</v>
      </c>
      <c r="L15" s="149" t="s">
        <v>781</v>
      </c>
      <c r="M15" s="547" t="s">
        <v>650</v>
      </c>
      <c r="N15" s="148">
        <v>1241.5</v>
      </c>
      <c r="O15" s="524" t="s">
        <v>2213</v>
      </c>
      <c r="P15" s="543"/>
      <c r="Q15" s="150">
        <v>1241.5</v>
      </c>
      <c r="R15" s="524" t="s">
        <v>2213</v>
      </c>
      <c r="S15" s="543"/>
      <c r="T15" s="150">
        <v>1592.5</v>
      </c>
      <c r="U15" s="524" t="s">
        <v>2213</v>
      </c>
      <c r="V15" s="543"/>
      <c r="W15" s="150">
        <v>1592.5</v>
      </c>
      <c r="X15" s="524" t="s">
        <v>2213</v>
      </c>
      <c r="Y15" s="543"/>
      <c r="Z15" s="150">
        <v>2031.5</v>
      </c>
      <c r="AA15" s="524" t="s">
        <v>2213</v>
      </c>
      <c r="AB15" s="543"/>
      <c r="AC15" s="150">
        <v>2031.5</v>
      </c>
      <c r="AD15" s="524" t="s">
        <v>2213</v>
      </c>
      <c r="AE15" s="543"/>
      <c r="AF15" s="150"/>
      <c r="AG15" s="549"/>
      <c r="AH15" s="543"/>
      <c r="AI15" s="150"/>
      <c r="AJ15" s="549"/>
      <c r="AK15" s="543"/>
      <c r="AL15" s="528" t="s">
        <v>2217</v>
      </c>
      <c r="AM15" s="476" t="str">
        <f>IFERROR(IF(VLOOKUP(B15,'Reference Records'!$C$192:$D$250,2,FALSE)=0,"",VLOOKUP(B15,'Reference Records'!$C$192:$D$250,2,FALSE)),"")</f>
        <v>MCI-01309</v>
      </c>
      <c r="AN15" s="48" t="str">
        <f t="array" ref="AN15">IFERROR(IF(INDEX('Reference Records'!$D$88:$D$189,MATCH(LEFT(C15,255),LEFT('Reference Records'!$C$88:$C$189,255),0))=0,"",INDEX('Reference Records'!$D$88:$D$189,MATCH(LEFT(C15,255),LEFT('Reference Records'!$C$88:$C$189,255),0))),"")</f>
        <v>HIV status,Gender,Age</v>
      </c>
      <c r="AO15" s="48" t="str">
        <f>CONCATENATE(C15,D15)</f>
        <v>DRTB-2 Number of people with confirmed RR-TB and/or MDR-TB notified</v>
      </c>
      <c r="AP15" s="151" t="str">
        <f t="array" ref="AP15">VLOOKUP(LEFT(C15,255),LEFT('Reference Records'!C$87:G245,255),4,0)</f>
        <v>MCI-01550</v>
      </c>
      <c r="AQ15" s="151" t="e">
        <f>MATCH(AP15,'Reference Records'!$F$512:$F$514,0)+ROW(PopulationByCoverage)-1</f>
        <v>#N/A</v>
      </c>
      <c r="AR15" s="151">
        <f>MATCH(AP15,'Reference Records'!$F$512:$F$514,1)+ROW(PopulationByCoverage)-1</f>
        <v>513</v>
      </c>
      <c r="AS15" s="48" t="str">
        <f>C15&amp;D15</f>
        <v>DRTB-2 Number of people with confirmed RR-TB and/or MDR-TB notified</v>
      </c>
      <c r="AT15" s="48">
        <f t="shared" ref="AT15" si="56">AT13+1</f>
        <v>457</v>
      </c>
      <c r="AU15" s="48">
        <f ca="1">AU13+'update Helper'!$T$2</f>
        <v>549.34782608695639</v>
      </c>
      <c r="AV15" s="48" t="str">
        <f t="shared" ref="AV15" si="57">CLEAN(IFERROR(LEFT(AY15, SEARCH(";",AY15,1)-1),""))</f>
        <v>Non cumulative</v>
      </c>
      <c r="AW15" s="48" t="str">
        <f t="shared" ref="AW15" si="58">SUBSTITUTE(IFERROR(MID(AY15, SEARCH(";",AY15) + 1, SEARCH(";",AY15,SEARCH(";",AY15)+1) - SEARCH(";",AY15) - 1),""),CHAR(10),"")</f>
        <v/>
      </c>
      <c r="AX15" s="152" t="str">
        <f t="shared" ref="AX15" si="59">CLEAN(IFERROR(SUBSTITUTE(RIGHT(AY15,LEN(AY15) - SEARCH(";", AY15, SEARCH(";",AY15) + 1)),";",""),""))</f>
        <v/>
      </c>
      <c r="AY15" s="48" t="str">
        <f t="array" ref="AY15">IFERROR(IF(VLOOKUP(LEFT(C15,255),LEFT('Reference Records'!$C$1:$K$539,255),9,0)=0,"",CONCATENATE(VLOOKUP(LEFT(C15,255),LEFT('Reference Records'!$C$1:$K$539,255),9,0),";")),"")</f>
        <v>Non cumulative;</v>
      </c>
      <c r="AZ15" s="551" t="str">
        <f>IF($BV15="", "", IF($BV15=TRUE, "Yes", "No"))</f>
        <v>No</v>
      </c>
      <c r="BA15" s="559" t="str">
        <f t="shared" ref="BA15" ca="1" si="60">IF($D15="", "",IF(IF(INDIRECT("'update Helper'!W"&amp;AT15)=0,"",INDIRECT("'update Helper'!W"&amp;AT15))=TRUE, "Yes","No"))</f>
        <v/>
      </c>
      <c r="BB15" s="468" t="str">
        <f t="shared" ref="BB15" ca="1" si="61">IF(AND(BS15="Continue",BU15="Continue"),"No Error",IF(AND(BS15&lt;&gt;"Continue",BU15="Continue"),BS15,IF(AND(BU15&lt;&gt;"Continue",BS15="Continue"),BU15,CONCATENATE(BS15,CHAR(10),BU15))))</f>
        <v>No Error</v>
      </c>
      <c r="BC15" s="508" t="str" cm="1">
        <f t="array" ref="BC15">IF(ISBLANK(C15),"Continue",(IF(IFERROR(_xlfn.XMATCH(C15,LEFT('Reference Records'!$C$87:$C$189,32768),0),0)&lt;&gt;0,"Continue","Invalid indicator entry. Select from dropdown list.")))</f>
        <v>Continue</v>
      </c>
      <c r="BD15" s="508" t="str">
        <f t="shared" ref="BD15" si="62">IF(SUM(BE15:BM16)=0, "Continue", "Enter valid number only.")</f>
        <v>Continue</v>
      </c>
      <c r="BE15" s="146">
        <f t="shared" si="0"/>
        <v>0</v>
      </c>
      <c r="BF15" s="146">
        <f t="shared" si="1"/>
        <v>0</v>
      </c>
      <c r="BG15" s="146">
        <f t="shared" si="2"/>
        <v>0</v>
      </c>
      <c r="BH15" s="146">
        <f t="shared" si="3"/>
        <v>0</v>
      </c>
      <c r="BI15" s="146">
        <f t="shared" si="4"/>
        <v>0</v>
      </c>
      <c r="BJ15" s="146">
        <f t="shared" si="5"/>
        <v>0</v>
      </c>
      <c r="BK15" s="146">
        <f t="shared" si="6"/>
        <v>0</v>
      </c>
      <c r="BL15" s="146">
        <f t="shared" si="7"/>
        <v>0</v>
      </c>
      <c r="BM15" s="146">
        <f t="shared" si="8"/>
        <v>0</v>
      </c>
      <c r="BN15" s="467" t="str">
        <f>IF(NOT(ISBLANK(C15)),IF(C15&lt;&gt;"",IF(_xlfn.XLOOKUP(C15,'Reference Records'!$C$87:$C$189,'Reference Records'!$A$87:$A$189,0,0,1)=AM15,"Continue","Select correct module name."),"Continue"),"Continue")</f>
        <v>Continue</v>
      </c>
      <c r="BO15" s="467" t="str">
        <f t="shared" ref="BO15" ca="1" si="63">IF(AND(BC15="Continue",CG15="Continue"),"Continue",IF(AND(BC15&lt;&gt;"Continue",CG15="Continue"),BC15,IF(AND(CG15&lt;&gt;"Continue",BC15="Continue"),CG15,CONCATENATE(BC15,CHAR(10),CG15))))</f>
        <v>Continue</v>
      </c>
      <c r="BP15" s="467" t="str">
        <f t="shared" ref="BP15" ca="1" si="64">IF(AND((AZ15&lt;&gt;""),(BA15&lt;&gt;"")),"Reversed custom indicator selection not applicable. Value pre-populated in standard indicator column.","Continue")</f>
        <v>Continue</v>
      </c>
      <c r="BQ15" s="467" t="str">
        <f t="shared" ref="BQ15" ca="1" si="65">IF(AND(BN15="Continue",BO15="Continue"),"Continue",
IF(AND(BN15&lt;&gt;"Continue",BO15="Continue"),BN15,
IF(AND(BO15&lt;&gt;"Continue",BN15="Continue"),BO15,
CONCATENATE(BN15,CHAR(10),BO15))))</f>
        <v>Continue</v>
      </c>
      <c r="BR15" s="508" t="str" cm="1">
        <f t="array" ref="BR15">IF(ISBLANK(B15),"Continue",(IF(IFERROR(_xlfn.XMATCH(B15,LEFT('Reference Records'!$J$191:$J$250,32768),0),0)&lt;&gt;0,"Continue","Invalid module entry. Select from dropdown list.")))</f>
        <v>Continue</v>
      </c>
      <c r="BS15" s="508" t="str">
        <f t="shared" ref="BS15" ca="1" si="66">IF(AND(BP15="Continue",BQ15="Continue"),"Continue",IF(AND(BP15&lt;&gt;"Continue",BQ15="Continue"),BP15,IF(AND(BQ15&lt;&gt;"Continue",BP15="Continue"),BQ15,CONCATENATE(BP15,CHAR(10),BQ15))))</f>
        <v>Continue</v>
      </c>
      <c r="BT15" s="508" t="str">
        <f t="shared" ref="BT15" si="67">IF(AND(C15="",D15=""),"Continue",IF(AND(C15="",D15&lt;&gt;""),"Continue",IF(AND(C15&lt;&gt;"",D15=""),"Continue",IF(AND(C15&lt;&gt;"",D15&lt;&gt;""),"Cannot enter both standard and custom indicators on the same line."))))</f>
        <v>Continue</v>
      </c>
      <c r="BU15" s="508" t="str">
        <f t="shared" ref="BU15" si="68">IF(AND(BR15="Continue",BT15="Continue"),"Continue",IF(AND(BR15&lt;&gt;"Continue",BT15="Continue"),BR15,IF(AND(BT15&lt;&gt;"Continue",BR15="Continue"),BT15,CONCATENATE(BR15,CHAR(10),BT15))))</f>
        <v>Continue</v>
      </c>
      <c r="BV15" s="538" t="b">
        <f>IFERROR(INDEX('Reference Records'!$L$87:$L$189,MATCH($C15,'Reference Records'!$C$87:$C$189,0)),"")</f>
        <v>0</v>
      </c>
      <c r="BW15" s="538">
        <f t="shared" ref="BW15" ca="1" si="69">IF(NOT(ISBLANK(F15)),IF(F15&lt;&gt;"",(IF(NOT(ISNUMBER(F15)),1,0)),0),0)</f>
        <v>0</v>
      </c>
      <c r="BX15" s="538">
        <f t="shared" ref="BX15" si="70">IF(NOT(ISBLANK(O15)),IF(O15&lt;&gt;"",(IF(NOT(ISNUMBER(O15)),1,0)),0),0)</f>
        <v>0</v>
      </c>
      <c r="BY15" s="538">
        <f t="shared" ref="BY15" si="71">IF(NOT(ISBLANK(R15)),IF(R15&lt;&gt;"",(IF(NOT(ISNUMBER(R15)),1,0)),0),0)</f>
        <v>0</v>
      </c>
      <c r="BZ15" s="538">
        <f t="shared" ref="BZ15" si="72">IF(NOT(ISBLANK(U15)),IF(U15&lt;&gt;"",(IF(NOT(ISNUMBER(U15)),1,0)),0),0)</f>
        <v>0</v>
      </c>
      <c r="CA15" s="538">
        <f t="shared" ref="CA15" si="73">IF(NOT(ISBLANK(X15)),IF(X15&lt;&gt;"",(IF(NOT(ISNUMBER(X15)),1,0)),0),0)</f>
        <v>0</v>
      </c>
      <c r="CB15" s="538">
        <f t="shared" ref="CB15" si="74">IF(NOT(ISBLANK(AA15)),IF(AA15&lt;&gt;"",(IF(NOT(ISNUMBER(AA15)),1,0)),0),0)</f>
        <v>0</v>
      </c>
      <c r="CC15" s="538">
        <f t="shared" ref="CC15" si="75">IF(NOT(ISBLANK(AD15)),IF(AD15&lt;&gt;"",(IF(NOT(ISNUMBER(AD15)),1,0)),0),0)</f>
        <v>0</v>
      </c>
      <c r="CD15" s="538">
        <f t="shared" ref="CD15" si="76">IF(NOT(ISBLANK(AG15)),IF(AG15&lt;&gt;"",(IF(NOT(ISNUMBER(AG15)),1,0)),0),0)</f>
        <v>0</v>
      </c>
      <c r="CE15" s="538">
        <f t="shared" ref="CE15" si="77">IF(NOT(ISBLANK(AJ15)),IF(AJ15&lt;&gt;"",(IF(NOT(ISNUMBER(AJ15)),1,0)),0),0)</f>
        <v>0</v>
      </c>
      <c r="CF15" s="538" t="str">
        <f t="shared" ref="CF15" ca="1" si="78">IF(SUM(BW15:CE16)=0, "Continue", "Enter valid number only.")</f>
        <v>Continue</v>
      </c>
      <c r="CG15" s="538" t="str">
        <f t="shared" ref="CG15" ca="1" si="79">IF(AND(CF15="Continue",BD15="Continue"),"Continue",IF(AND(CF15&lt;&gt;"Continue",BD15="Continue"),CF15,IF(AND(BD15&lt;&gt;"Continue",CF15="Continue"),BD15,CONCATENATE(CF15,CHAR(10)))))</f>
        <v>Continue</v>
      </c>
      <c r="CI15" s="314" t="str">
        <f>IFERROR(IF('Overview - Section A'!$AN$5="Funding Request",
IF(AND('Reference Records'!$B$427&lt;&gt;"",$L15 ='Reference Records'!$B$427),'Reference Records'!$C$427,""),
INDEX('Reference Records'!$A$498:$C$499,MATCH($L15,'Reference Records'!$A$498:$A$499,0),3)),"")</f>
        <v>a1A360000013M2uEAE</v>
      </c>
      <c r="CJ15" s="314" t="str">
        <f>IFERROR(INDEX('Overview - Section A'!$H$102:$H$118,MATCH(IF($B15="", "--select--", $B15),'Overview - Section A'!$C$102:$C$118,0)),"")</f>
        <v>a1PDm000000LrD5MAK</v>
      </c>
      <c r="CK15" s="310" t="str" cm="1">
        <f t="array" ref="CK15">IFERROR(IF($C15="", "", VLOOKUP(LEFT($C15,255),LEFT('Reference Records'!$C$88:$G$189,255),5,0)),"")</f>
        <v>a1ODm000000GnyPMAS</v>
      </c>
    </row>
    <row r="16" spans="1:89 16375:16375" ht="30" customHeight="1">
      <c r="A16" s="523"/>
      <c r="B16" s="529"/>
      <c r="C16" s="529"/>
      <c r="D16" s="529"/>
      <c r="E16" s="148"/>
      <c r="F16" s="525"/>
      <c r="G16" s="544"/>
      <c r="H16" s="529"/>
      <c r="I16" s="546"/>
      <c r="J16" s="544"/>
      <c r="K16" s="529"/>
      <c r="L16" s="153" t="s">
        <v>651</v>
      </c>
      <c r="M16" s="548"/>
      <c r="N16" s="148"/>
      <c r="O16" s="525"/>
      <c r="P16" s="544"/>
      <c r="Q16" s="150"/>
      <c r="R16" s="525"/>
      <c r="S16" s="544"/>
      <c r="T16" s="150"/>
      <c r="U16" s="525"/>
      <c r="V16" s="544"/>
      <c r="W16" s="150"/>
      <c r="X16" s="525"/>
      <c r="Y16" s="544"/>
      <c r="Z16" s="150"/>
      <c r="AA16" s="525"/>
      <c r="AB16" s="544"/>
      <c r="AC16" s="150"/>
      <c r="AD16" s="525"/>
      <c r="AE16" s="544"/>
      <c r="AF16" s="150"/>
      <c r="AG16" s="550"/>
      <c r="AH16" s="544"/>
      <c r="AI16" s="150"/>
      <c r="AJ16" s="550"/>
      <c r="AK16" s="544"/>
      <c r="AL16" s="529"/>
      <c r="AM16" s="476"/>
      <c r="AX16" s="152"/>
      <c r="AZ16" s="551"/>
      <c r="BA16" s="559"/>
      <c r="BB16" s="468"/>
      <c r="BC16" s="508"/>
      <c r="BD16" s="508"/>
      <c r="BE16" s="146">
        <f t="shared" si="0"/>
        <v>0</v>
      </c>
      <c r="BF16" s="146">
        <f t="shared" si="1"/>
        <v>0</v>
      </c>
      <c r="BG16" s="146">
        <f t="shared" si="2"/>
        <v>0</v>
      </c>
      <c r="BH16" s="146">
        <f t="shared" si="3"/>
        <v>0</v>
      </c>
      <c r="BI16" s="146">
        <f t="shared" si="4"/>
        <v>0</v>
      </c>
      <c r="BJ16" s="146">
        <f t="shared" si="5"/>
        <v>0</v>
      </c>
      <c r="BK16" s="146">
        <f t="shared" si="6"/>
        <v>0</v>
      </c>
      <c r="BL16" s="146">
        <f t="shared" si="7"/>
        <v>0</v>
      </c>
      <c r="BM16" s="146">
        <f t="shared" si="8"/>
        <v>0</v>
      </c>
      <c r="BN16" s="467"/>
      <c r="BO16" s="467"/>
      <c r="BP16" s="467"/>
      <c r="BQ16" s="467"/>
      <c r="BR16" s="508"/>
      <c r="BS16" s="508"/>
      <c r="BT16" s="508"/>
      <c r="BU16" s="508"/>
      <c r="BV16" s="538"/>
      <c r="BW16" s="538"/>
      <c r="BX16" s="538"/>
      <c r="BY16" s="538"/>
      <c r="BZ16" s="538"/>
      <c r="CA16" s="538"/>
      <c r="CB16" s="538"/>
      <c r="CC16" s="538"/>
      <c r="CD16" s="538"/>
      <c r="CE16" s="538"/>
      <c r="CF16" s="538"/>
      <c r="CG16" s="538"/>
      <c r="CI16" s="314" t="str">
        <f>IFERROR(IF('Overview - Section A'!$AN$5="Funding Request",
IF(AND('Reference Records'!$B$427&lt;&gt;"",$L16 ='Reference Records'!$B$427),'Reference Records'!$C$427,""),
INDEX('Reference Records'!$A$498:$C$499,MATCH($L16,'Reference Records'!$A$498:$A$499,0),3)),"")</f>
        <v/>
      </c>
      <c r="CJ16" s="314" t="str">
        <f>IFERROR(INDEX('Overview - Section A'!$H$102:$H$118,MATCH(IF($B16="", "--select--", $B16),'Overview - Section A'!$C$102:$C$118,0)),"")</f>
        <v/>
      </c>
      <c r="CK16" s="310" t="str" cm="1">
        <f t="array" ref="CK16">IFERROR(IF($C16="", "", VLOOKUP(LEFT($C16,255),LEFT('Reference Records'!$C$88:$G$189,255),5,0)),"")</f>
        <v/>
      </c>
    </row>
    <row r="17" spans="1:89" ht="30" customHeight="1">
      <c r="A17" s="522">
        <v>5</v>
      </c>
      <c r="B17" s="512" t="s">
        <v>1563</v>
      </c>
      <c r="C17" s="512" t="s">
        <v>1243</v>
      </c>
      <c r="D17" s="512"/>
      <c r="E17" s="140">
        <v>1125</v>
      </c>
      <c r="F17" s="516">
        <f ca="1">IF(OR(INDIRECT("'update Helper'!D"&amp;AT17)="",E17&lt;&gt;0,E18&lt;&gt;0),IF(IFERROR((E17/E18),"")="","",(E17/E18)),INDIRECT("'update Helper'!D"&amp;AT17)/100)</f>
        <v>0.91019417475728159</v>
      </c>
      <c r="G17" s="552">
        <v>2021</v>
      </c>
      <c r="H17" s="512" t="s">
        <v>780</v>
      </c>
      <c r="I17" s="545" t="str">
        <f>AN17</f>
        <v>Treatment regimen,Gender,Age</v>
      </c>
      <c r="J17" s="552" t="s">
        <v>2212</v>
      </c>
      <c r="K17" s="512" t="s">
        <v>323</v>
      </c>
      <c r="L17" s="141" t="s">
        <v>781</v>
      </c>
      <c r="M17" s="556" t="s">
        <v>650</v>
      </c>
      <c r="N17" s="140"/>
      <c r="O17" s="516">
        <v>1</v>
      </c>
      <c r="P17" s="552"/>
      <c r="Q17" s="142"/>
      <c r="R17" s="516">
        <v>1</v>
      </c>
      <c r="S17" s="552"/>
      <c r="T17" s="142"/>
      <c r="U17" s="516">
        <v>1</v>
      </c>
      <c r="V17" s="552"/>
      <c r="W17" s="142"/>
      <c r="X17" s="516">
        <v>1</v>
      </c>
      <c r="Y17" s="552"/>
      <c r="Z17" s="142"/>
      <c r="AA17" s="516">
        <v>1</v>
      </c>
      <c r="AB17" s="552"/>
      <c r="AC17" s="142"/>
      <c r="AD17" s="516">
        <v>1</v>
      </c>
      <c r="AE17" s="552"/>
      <c r="AF17" s="142"/>
      <c r="AG17" s="516"/>
      <c r="AH17" s="552"/>
      <c r="AI17" s="142"/>
      <c r="AJ17" s="516"/>
      <c r="AK17" s="552"/>
      <c r="AL17" s="512" t="s">
        <v>2218</v>
      </c>
      <c r="AM17" s="554" t="str">
        <f>IFERROR(IF(VLOOKUP(B17,'Reference Records'!$C$192:$D$250,2,FALSE)=0,"",VLOOKUP(B17,'Reference Records'!$C$192:$D$250,2,FALSE)),"")</f>
        <v>MCI-01309</v>
      </c>
      <c r="AN17" s="143" t="str">
        <f t="array" ref="AN17">IFERROR(IF(INDEX('Reference Records'!$D$88:$D$189,MATCH(LEFT(C17,255),LEFT('Reference Records'!$C$88:$C$189,255),0))=0,"",INDEX('Reference Records'!$D$88:$D$189,MATCH(LEFT(C17,255),LEFT('Reference Records'!$C$88:$C$189,255),0))),"")</f>
        <v>Treatment regimen,Gender,Age</v>
      </c>
      <c r="AO17" s="143" t="str">
        <f>CONCATENATE(C17,D17)</f>
        <v>DRTB-3 Percentage of people with confirmed RR-TB and/or MDR-TB that began second-line treatment</v>
      </c>
      <c r="AP17" s="144" t="str">
        <f t="array" ref="AP17">VLOOKUP(LEFT(C17,255),LEFT('Reference Records'!C$87:G247,255),4,0)</f>
        <v>MCI-01551</v>
      </c>
      <c r="AQ17" s="144" t="e">
        <f>MATCH(AP17,'Reference Records'!$F$512:$F$514,0)+ROW(PopulationByCoverage)-1</f>
        <v>#N/A</v>
      </c>
      <c r="AR17" s="144">
        <f>MATCH(AP17,'Reference Records'!$F$512:$F$514,1)+ROW(PopulationByCoverage)-1</f>
        <v>513</v>
      </c>
      <c r="AS17" s="143" t="str">
        <f>C17&amp;D17</f>
        <v>DRTB-3 Percentage of people with confirmed RR-TB and/or MDR-TB that began second-line treatment</v>
      </c>
      <c r="AT17" s="143">
        <f t="shared" ref="AT17" si="80">AT15+1</f>
        <v>458</v>
      </c>
      <c r="AU17" s="143">
        <f ca="1">AU15+'update Helper'!$T$2</f>
        <v>556.13043478260852</v>
      </c>
      <c r="AV17" s="143" t="str">
        <f t="shared" ref="AV17" si="81">CLEAN(IFERROR(LEFT(AY17, SEARCH(";",AY17,1)-1),""))</f>
        <v>Non cumulative</v>
      </c>
      <c r="AW17" s="143" t="str">
        <f t="shared" ref="AW17" si="82">SUBSTITUTE(IFERROR(MID(AY17, SEARCH(";",AY17) + 1, SEARCH(";",AY17,SEARCH(";",AY17)+1) - SEARCH(";",AY17) - 1),""),CHAR(10),"")</f>
        <v/>
      </c>
      <c r="AX17" s="145" t="str">
        <f t="shared" ref="AX17" si="83">CLEAN(IFERROR(SUBSTITUTE(RIGHT(AY17,LEN(AY17) - SEARCH(";", AY17, SEARCH(";",AY17) + 1)),";",""),""))</f>
        <v/>
      </c>
      <c r="AY17" s="143" t="str">
        <f t="array" ref="AY17">IFERROR(IF(VLOOKUP(LEFT(C17,255),LEFT('Reference Records'!$C$1:$K$539,255),9,0)=0,"",CONCATENATE(VLOOKUP(LEFT(C17,255),LEFT('Reference Records'!$C$1:$K$539,255),9,0),";")),"")</f>
        <v>Non cumulative;</v>
      </c>
      <c r="AZ17" s="555" t="str">
        <f>IF($BV17="", "", IF($BV17=TRUE, "Yes", "No"))</f>
        <v>No</v>
      </c>
      <c r="BA17" s="558" t="str">
        <f t="shared" ref="BA17" ca="1" si="84">IF($D17="", "",IF(IF(INDIRECT("'update Helper'!W"&amp;AT17)=0,"",INDIRECT("'update Helper'!W"&amp;AT17))=TRUE, "Yes","No"))</f>
        <v/>
      </c>
      <c r="BB17" s="468" t="str">
        <f t="shared" ref="BB17" ca="1" si="85">IF(AND(BS17="Continue",BU17="Continue"),"No Error",IF(AND(BS17&lt;&gt;"Continue",BU17="Continue"),BS17,IF(AND(BU17&lt;&gt;"Continue",BS17="Continue"),BU17,CONCATENATE(BS17,CHAR(10),BU17))))</f>
        <v>No Error</v>
      </c>
      <c r="BC17" s="508" t="str" cm="1">
        <f t="array" ref="BC17">IF(ISBLANK(C17),"Continue",(IF(IFERROR(_xlfn.XMATCH(C17,LEFT('Reference Records'!$C$87:$C$189,32768),0),0)&lt;&gt;0,"Continue","Invalid indicator entry. Select from dropdown list.")))</f>
        <v>Continue</v>
      </c>
      <c r="BD17" s="508" t="str">
        <f t="shared" ref="BD17" si="86">IF(SUM(BE17:BM18)=0, "Continue", "Enter valid number only.")</f>
        <v>Continue</v>
      </c>
      <c r="BE17" s="146">
        <f t="shared" si="0"/>
        <v>0</v>
      </c>
      <c r="BF17" s="146">
        <f t="shared" si="1"/>
        <v>0</v>
      </c>
      <c r="BG17" s="146">
        <f t="shared" si="2"/>
        <v>0</v>
      </c>
      <c r="BH17" s="146">
        <f t="shared" si="3"/>
        <v>0</v>
      </c>
      <c r="BI17" s="146">
        <f t="shared" si="4"/>
        <v>0</v>
      </c>
      <c r="BJ17" s="146">
        <f t="shared" si="5"/>
        <v>0</v>
      </c>
      <c r="BK17" s="146">
        <f t="shared" si="6"/>
        <v>0</v>
      </c>
      <c r="BL17" s="146">
        <f t="shared" si="7"/>
        <v>0</v>
      </c>
      <c r="BM17" s="146">
        <f t="shared" si="8"/>
        <v>0</v>
      </c>
      <c r="BN17" s="467" t="str">
        <f>IF(NOT(ISBLANK(C17)),IF(C17&lt;&gt;"",IF(_xlfn.XLOOKUP(C17,'Reference Records'!$C$87:$C$189,'Reference Records'!$A$87:$A$189,0,0,1)=AM17,"Continue","Select correct module name."),"Continue"),"Continue")</f>
        <v>Continue</v>
      </c>
      <c r="BO17" s="467" t="str">
        <f t="shared" ref="BO17" ca="1" si="87">IF(AND(BC17="Continue",CG17="Continue"),"Continue",IF(AND(BC17&lt;&gt;"Continue",CG17="Continue"),BC17,IF(AND(CG17&lt;&gt;"Continue",BC17="Continue"),CG17,CONCATENATE(BC17,CHAR(10),CG17))))</f>
        <v>Continue</v>
      </c>
      <c r="BP17" s="467" t="str">
        <f t="shared" ref="BP17" ca="1" si="88">IF(AND((AZ17&lt;&gt;""),(BA17&lt;&gt;"")),"Reversed custom indicator selection not applicable. Value pre-populated in standard indicator column.","Continue")</f>
        <v>Continue</v>
      </c>
      <c r="BQ17" s="467" t="str">
        <f t="shared" ref="BQ17" ca="1" si="89">IF(AND(BN17="Continue",BO17="Continue"),"Continue",
IF(AND(BN17&lt;&gt;"Continue",BO17="Continue"),BN17,
IF(AND(BO17&lt;&gt;"Continue",BN17="Continue"),BO17,
CONCATENATE(BN17,CHAR(10),BO17))))</f>
        <v>Continue</v>
      </c>
      <c r="BR17" s="508" t="str" cm="1">
        <f t="array" ref="BR17">IF(ISBLANK(B17),"Continue",(IF(IFERROR(_xlfn.XMATCH(B17,LEFT('Reference Records'!$J$191:$J$250,32768),0),0)&lt;&gt;0,"Continue","Invalid module entry. Select from dropdown list.")))</f>
        <v>Continue</v>
      </c>
      <c r="BS17" s="508" t="str">
        <f t="shared" ref="BS17" ca="1" si="90">IF(AND(BP17="Continue",BQ17="Continue"),"Continue",IF(AND(BP17&lt;&gt;"Continue",BQ17="Continue"),BP17,IF(AND(BQ17&lt;&gt;"Continue",BP17="Continue"),BQ17,CONCATENATE(BP17,CHAR(10),BQ17))))</f>
        <v>Continue</v>
      </c>
      <c r="BT17" s="508" t="str">
        <f t="shared" ref="BT17" si="91">IF(AND(C17="",D17=""),"Continue",IF(AND(C17="",D17&lt;&gt;""),"Continue",IF(AND(C17&lt;&gt;"",D17=""),"Continue",IF(AND(C17&lt;&gt;"",D17&lt;&gt;""),"Cannot enter both standard and custom indicators on the same line."))))</f>
        <v>Continue</v>
      </c>
      <c r="BU17" s="508" t="str">
        <f t="shared" ref="BU17" si="92">IF(AND(BR17="Continue",BT17="Continue"),"Continue",IF(AND(BR17&lt;&gt;"Continue",BT17="Continue"),BR17,IF(AND(BT17&lt;&gt;"Continue",BR17="Continue"),BT17,CONCATENATE(BR17,CHAR(10),BT17))))</f>
        <v>Continue</v>
      </c>
      <c r="BV17" s="538" t="b">
        <f>IFERROR(INDEX('Reference Records'!$L$87:$L$189,MATCH($C17,'Reference Records'!$C$87:$C$189,0)),"")</f>
        <v>0</v>
      </c>
      <c r="BW17" s="538">
        <f t="shared" ref="BW17" ca="1" si="93">IF(NOT(ISBLANK(F17)),IF(F17&lt;&gt;"",(IF(NOT(ISNUMBER(F17)),1,0)),0),0)</f>
        <v>0</v>
      </c>
      <c r="BX17" s="538">
        <f t="shared" ref="BX17" si="94">IF(NOT(ISBLANK(O17)),IF(O17&lt;&gt;"",(IF(NOT(ISNUMBER(O17)),1,0)),0),0)</f>
        <v>0</v>
      </c>
      <c r="BY17" s="538">
        <f t="shared" ref="BY17" si="95">IF(NOT(ISBLANK(R17)),IF(R17&lt;&gt;"",(IF(NOT(ISNUMBER(R17)),1,0)),0),0)</f>
        <v>0</v>
      </c>
      <c r="BZ17" s="538">
        <f t="shared" ref="BZ17" si="96">IF(NOT(ISBLANK(U17)),IF(U17&lt;&gt;"",(IF(NOT(ISNUMBER(U17)),1,0)),0),0)</f>
        <v>0</v>
      </c>
      <c r="CA17" s="538">
        <f t="shared" ref="CA17" si="97">IF(NOT(ISBLANK(X17)),IF(X17&lt;&gt;"",(IF(NOT(ISNUMBER(X17)),1,0)),0),0)</f>
        <v>0</v>
      </c>
      <c r="CB17" s="538">
        <f t="shared" ref="CB17" si="98">IF(NOT(ISBLANK(AA17)),IF(AA17&lt;&gt;"",(IF(NOT(ISNUMBER(AA17)),1,0)),0),0)</f>
        <v>0</v>
      </c>
      <c r="CC17" s="538">
        <f t="shared" ref="CC17" si="99">IF(NOT(ISBLANK(AD17)),IF(AD17&lt;&gt;"",(IF(NOT(ISNUMBER(AD17)),1,0)),0),0)</f>
        <v>0</v>
      </c>
      <c r="CD17" s="538">
        <f t="shared" ref="CD17" si="100">IF(NOT(ISBLANK(AG17)),IF(AG17&lt;&gt;"",(IF(NOT(ISNUMBER(AG17)),1,0)),0),0)</f>
        <v>0</v>
      </c>
      <c r="CE17" s="538">
        <f t="shared" ref="CE17" si="101">IF(NOT(ISBLANK(AJ17)),IF(AJ17&lt;&gt;"",(IF(NOT(ISNUMBER(AJ17)),1,0)),0),0)</f>
        <v>0</v>
      </c>
      <c r="CF17" s="538" t="str">
        <f t="shared" ref="CF17" ca="1" si="102">IF(SUM(BW17:CE18)=0, "Continue", "Enter valid number only.")</f>
        <v>Continue</v>
      </c>
      <c r="CG17" s="538" t="str">
        <f t="shared" ref="CG17" ca="1" si="103">IF(AND(CF17="Continue",BD17="Continue"),"Continue",IF(AND(CF17&lt;&gt;"Continue",BD17="Continue"),CF17,IF(AND(BD17&lt;&gt;"Continue",CF17="Continue"),BD17,CONCATENATE(CF17,CHAR(10)))))</f>
        <v>Continue</v>
      </c>
      <c r="CI17" s="314" t="str">
        <f>IFERROR(IF('Overview - Section A'!$AN$5="Funding Request",
IF(AND('Reference Records'!$B$427&lt;&gt;"",$L17 ='Reference Records'!$B$427),'Reference Records'!$C$427,""),
INDEX('Reference Records'!$A$498:$C$499,MATCH($L17,'Reference Records'!$A$498:$A$499,0),3)),"")</f>
        <v>a1A360000013M2uEAE</v>
      </c>
      <c r="CJ17" s="314" t="str">
        <f>IFERROR(INDEX('Overview - Section A'!$H$102:$H$118,MATCH(IF($B17="", "--select--", $B17),'Overview - Section A'!$C$102:$C$118,0)),"")</f>
        <v>a1PDm000000LrD5MAK</v>
      </c>
      <c r="CK17" s="310" t="str" cm="1">
        <f t="array" ref="CK17">IFERROR(IF($C17="", "", VLOOKUP(LEFT($C17,255),LEFT('Reference Records'!$C$88:$G$189,255),5,0)),"")</f>
        <v>a1ODm000000GnyQMAS</v>
      </c>
    </row>
    <row r="18" spans="1:89" ht="30" customHeight="1">
      <c r="A18" s="523"/>
      <c r="B18" s="513"/>
      <c r="C18" s="513"/>
      <c r="D18" s="513"/>
      <c r="E18" s="140">
        <v>1236</v>
      </c>
      <c r="F18" s="517"/>
      <c r="G18" s="553"/>
      <c r="H18" s="513"/>
      <c r="I18" s="546"/>
      <c r="J18" s="553"/>
      <c r="K18" s="513"/>
      <c r="L18" s="147" t="s">
        <v>651</v>
      </c>
      <c r="M18" s="557"/>
      <c r="N18" s="140"/>
      <c r="O18" s="517"/>
      <c r="P18" s="553"/>
      <c r="Q18" s="142"/>
      <c r="R18" s="517"/>
      <c r="S18" s="553"/>
      <c r="T18" s="142"/>
      <c r="U18" s="517"/>
      <c r="V18" s="553"/>
      <c r="W18" s="142"/>
      <c r="X18" s="517"/>
      <c r="Y18" s="553"/>
      <c r="Z18" s="142"/>
      <c r="AA18" s="517"/>
      <c r="AB18" s="553"/>
      <c r="AC18" s="142"/>
      <c r="AD18" s="517"/>
      <c r="AE18" s="553"/>
      <c r="AF18" s="142"/>
      <c r="AG18" s="517"/>
      <c r="AH18" s="553"/>
      <c r="AI18" s="142"/>
      <c r="AJ18" s="517"/>
      <c r="AK18" s="553"/>
      <c r="AL18" s="513"/>
      <c r="AM18" s="554"/>
      <c r="AN18" s="143"/>
      <c r="AO18" s="143"/>
      <c r="AP18" s="143"/>
      <c r="AQ18" s="143"/>
      <c r="AR18" s="143"/>
      <c r="AS18" s="143"/>
      <c r="AT18" s="143"/>
      <c r="AU18" s="143"/>
      <c r="AV18" s="143"/>
      <c r="AW18" s="143"/>
      <c r="AX18" s="145"/>
      <c r="AY18" s="143"/>
      <c r="AZ18" s="555"/>
      <c r="BA18" s="558"/>
      <c r="BB18" s="468"/>
      <c r="BC18" s="508"/>
      <c r="BD18" s="508"/>
      <c r="BE18" s="146">
        <f t="shared" si="0"/>
        <v>0</v>
      </c>
      <c r="BF18" s="146">
        <f t="shared" si="1"/>
        <v>0</v>
      </c>
      <c r="BG18" s="146">
        <f t="shared" si="2"/>
        <v>0</v>
      </c>
      <c r="BH18" s="146">
        <f t="shared" si="3"/>
        <v>0</v>
      </c>
      <c r="BI18" s="146">
        <f t="shared" si="4"/>
        <v>0</v>
      </c>
      <c r="BJ18" s="146">
        <f t="shared" si="5"/>
        <v>0</v>
      </c>
      <c r="BK18" s="146">
        <f t="shared" si="6"/>
        <v>0</v>
      </c>
      <c r="BL18" s="146">
        <f t="shared" si="7"/>
        <v>0</v>
      </c>
      <c r="BM18" s="146">
        <f t="shared" si="8"/>
        <v>0</v>
      </c>
      <c r="BN18" s="467"/>
      <c r="BO18" s="467"/>
      <c r="BP18" s="467"/>
      <c r="BQ18" s="467"/>
      <c r="BR18" s="508"/>
      <c r="BS18" s="508"/>
      <c r="BT18" s="508"/>
      <c r="BU18" s="508"/>
      <c r="BV18" s="538"/>
      <c r="BW18" s="538"/>
      <c r="BX18" s="538"/>
      <c r="BY18" s="538"/>
      <c r="BZ18" s="538"/>
      <c r="CA18" s="538"/>
      <c r="CB18" s="538"/>
      <c r="CC18" s="538"/>
      <c r="CD18" s="538"/>
      <c r="CE18" s="538"/>
      <c r="CF18" s="538"/>
      <c r="CG18" s="538"/>
      <c r="CI18" s="314" t="str">
        <f>IFERROR(IF('Overview - Section A'!$AN$5="Funding Request",
IF(AND('Reference Records'!$B$427&lt;&gt;"",$L18 ='Reference Records'!$B$427),'Reference Records'!$C$427,""),
INDEX('Reference Records'!$A$498:$C$499,MATCH($L18,'Reference Records'!$A$498:$A$499,0),3)),"")</f>
        <v/>
      </c>
      <c r="CJ18" s="314" t="str">
        <f>IFERROR(INDEX('Overview - Section A'!$H$102:$H$118,MATCH(IF($B18="", "--select--", $B18),'Overview - Section A'!$C$102:$C$118,0)),"")</f>
        <v/>
      </c>
      <c r="CK18" s="310" t="str" cm="1">
        <f t="array" ref="CK18">IFERROR(IF($C18="", "", VLOOKUP(LEFT($C18,255),LEFT('Reference Records'!$C$88:$G$189,255),5,0)),"")</f>
        <v/>
      </c>
    </row>
    <row r="19" spans="1:89" ht="30" customHeight="1">
      <c r="A19" s="522">
        <v>6</v>
      </c>
      <c r="B19" s="528" t="s">
        <v>1567</v>
      </c>
      <c r="C19" s="528" t="s">
        <v>1276</v>
      </c>
      <c r="D19" s="528"/>
      <c r="E19" s="148">
        <v>59006</v>
      </c>
      <c r="F19" s="524" t="str">
        <f ca="1">IF(OR(INDIRECT("'update Helper'!D"&amp;AT19)="",E19&lt;&gt;0,E20&lt;&gt;0),IF(IFERROR((E19/E20),"")="","",(E19/E20)),INDIRECT("'update Helper'!D"&amp;AT19)/100)</f>
        <v/>
      </c>
      <c r="G19" s="543">
        <v>2021</v>
      </c>
      <c r="H19" s="528" t="s">
        <v>780</v>
      </c>
      <c r="I19" s="545" t="str">
        <f>AN19</f>
        <v>HIV status,Provider type,Age,TPT regimen</v>
      </c>
      <c r="J19" s="543" t="s">
        <v>2212</v>
      </c>
      <c r="K19" s="528" t="s">
        <v>323</v>
      </c>
      <c r="L19" s="149" t="s">
        <v>781</v>
      </c>
      <c r="M19" s="547" t="s">
        <v>650</v>
      </c>
      <c r="N19" s="148">
        <v>37290.5</v>
      </c>
      <c r="O19" s="524" t="s">
        <v>2213</v>
      </c>
      <c r="P19" s="543"/>
      <c r="Q19" s="150">
        <v>37290.5</v>
      </c>
      <c r="R19" s="524" t="s">
        <v>2213</v>
      </c>
      <c r="S19" s="543"/>
      <c r="T19" s="150">
        <v>48975</v>
      </c>
      <c r="U19" s="524" t="s">
        <v>2213</v>
      </c>
      <c r="V19" s="543"/>
      <c r="W19" s="150">
        <v>48975</v>
      </c>
      <c r="X19" s="524" t="s">
        <v>2213</v>
      </c>
      <c r="Y19" s="543"/>
      <c r="Z19" s="150">
        <v>59005.5</v>
      </c>
      <c r="AA19" s="524" t="s">
        <v>2213</v>
      </c>
      <c r="AB19" s="543"/>
      <c r="AC19" s="150">
        <v>59005.5</v>
      </c>
      <c r="AD19" s="524" t="s">
        <v>2213</v>
      </c>
      <c r="AE19" s="543"/>
      <c r="AF19" s="150"/>
      <c r="AG19" s="549"/>
      <c r="AH19" s="543"/>
      <c r="AI19" s="150"/>
      <c r="AJ19" s="549"/>
      <c r="AK19" s="543"/>
      <c r="AL19" s="528" t="s">
        <v>2219</v>
      </c>
      <c r="AM19" s="476" t="str">
        <f>IFERROR(IF(VLOOKUP(B19,'Reference Records'!$C$192:$D$250,2,FALSE)=0,"",VLOOKUP(B19,'Reference Records'!$C$192:$D$250,2,FALSE)),"")</f>
        <v>MCI-01310</v>
      </c>
      <c r="AN19" s="48" t="str">
        <f t="array" ref="AN19">IFERROR(IF(INDEX('Reference Records'!$D$88:$D$189,MATCH(LEFT(C19,255),LEFT('Reference Records'!$C$88:$C$189,255),0))=0,"",INDEX('Reference Records'!$D$88:$D$189,MATCH(LEFT(C19,255),LEFT('Reference Records'!$C$88:$C$189,255),0))),"")</f>
        <v>HIV status,Provider type,Age,TPT regimen</v>
      </c>
      <c r="AO19" s="48" t="str">
        <f>CONCATENATE(C19,D19)</f>
        <v>TBP-1 Number of people in contact with TB patients who began preventive therapy</v>
      </c>
      <c r="AP19" s="151" t="str">
        <f t="array" ref="AP19">VLOOKUP(LEFT(C19,255),LEFT('Reference Records'!C$87:G249,255),4,0)</f>
        <v>MCI-01636</v>
      </c>
      <c r="AQ19" s="151" t="e">
        <f>MATCH(AP19,'Reference Records'!$F$512:$F$514,0)+ROW(PopulationByCoverage)-1</f>
        <v>#N/A</v>
      </c>
      <c r="AR19" s="151">
        <f>MATCH(AP19,'Reference Records'!$F$512:$F$514,1)+ROW(PopulationByCoverage)-1</f>
        <v>513</v>
      </c>
      <c r="AS19" s="48" t="str">
        <f>C19&amp;D19</f>
        <v>TBP-1 Number of people in contact with TB patients who began preventive therapy</v>
      </c>
      <c r="AT19" s="48">
        <f t="shared" ref="AT19" si="104">AT17+1</f>
        <v>459</v>
      </c>
      <c r="AU19" s="48">
        <f ca="1">AU17+'update Helper'!$T$2</f>
        <v>562.91304347826065</v>
      </c>
      <c r="AV19" s="48" t="str">
        <f t="shared" ref="AV19" si="105">CLEAN(IFERROR(LEFT(AY19, SEARCH(";",AY19,1)-1),""))</f>
        <v>Non cumulative</v>
      </c>
      <c r="AW19" s="48" t="str">
        <f t="shared" ref="AW19" si="106">SUBSTITUTE(IFERROR(MID(AY19, SEARCH(";",AY19) + 1, SEARCH(";",AY19,SEARCH(";",AY19)+1) - SEARCH(";",AY19) - 1),""),CHAR(10),"")</f>
        <v/>
      </c>
      <c r="AX19" s="152" t="str">
        <f t="shared" ref="AX19" si="107">CLEAN(IFERROR(SUBSTITUTE(RIGHT(AY19,LEN(AY19) - SEARCH(";", AY19, SEARCH(";",AY19) + 1)),";",""),""))</f>
        <v/>
      </c>
      <c r="AY19" s="48" t="str">
        <f t="array" ref="AY19">IFERROR(IF(VLOOKUP(LEFT(C19,255),LEFT('Reference Records'!$C$1:$K$539,255),9,0)=0,"",CONCATENATE(VLOOKUP(LEFT(C19,255),LEFT('Reference Records'!$C$1:$K$539,255),9,0),";")),"")</f>
        <v>Non cumulative;</v>
      </c>
      <c r="AZ19" s="551" t="str">
        <f>IF($BV19="", "", IF($BV19=TRUE, "Yes", "No"))</f>
        <v>No</v>
      </c>
      <c r="BA19" s="559" t="str">
        <f t="shared" ref="BA19" ca="1" si="108">IF($D19="", "",IF(IF(INDIRECT("'update Helper'!W"&amp;AT19)=0,"",INDIRECT("'update Helper'!W"&amp;AT19))=TRUE, "Yes","No"))</f>
        <v/>
      </c>
      <c r="BB19" s="468" t="str">
        <f t="shared" ref="BB19" ca="1" si="109">IF(AND(BS19="Continue",BU19="Continue"),"No Error",IF(AND(BS19&lt;&gt;"Continue",BU19="Continue"),BS19,IF(AND(BU19&lt;&gt;"Continue",BS19="Continue"),BU19,CONCATENATE(BS19,CHAR(10),BU19))))</f>
        <v>No Error</v>
      </c>
      <c r="BC19" s="508" t="str" cm="1">
        <f t="array" ref="BC19">IF(ISBLANK(C19),"Continue",(IF(IFERROR(_xlfn.XMATCH(C19,LEFT('Reference Records'!$C$87:$C$189,32768),0),0)&lt;&gt;0,"Continue","Invalid indicator entry. Select from dropdown list.")))</f>
        <v>Continue</v>
      </c>
      <c r="BD19" s="508" t="str">
        <f t="shared" ref="BD19" si="110">IF(SUM(BE19:BM20)=0, "Continue", "Enter valid number only.")</f>
        <v>Continue</v>
      </c>
      <c r="BE19" s="146">
        <f t="shared" si="0"/>
        <v>0</v>
      </c>
      <c r="BF19" s="146">
        <f t="shared" si="1"/>
        <v>0</v>
      </c>
      <c r="BG19" s="146">
        <f t="shared" si="2"/>
        <v>0</v>
      </c>
      <c r="BH19" s="146">
        <f t="shared" si="3"/>
        <v>0</v>
      </c>
      <c r="BI19" s="146">
        <f t="shared" si="4"/>
        <v>0</v>
      </c>
      <c r="BJ19" s="146">
        <f t="shared" si="5"/>
        <v>0</v>
      </c>
      <c r="BK19" s="146">
        <f t="shared" si="6"/>
        <v>0</v>
      </c>
      <c r="BL19" s="146">
        <f t="shared" si="7"/>
        <v>0</v>
      </c>
      <c r="BM19" s="146">
        <f t="shared" si="8"/>
        <v>0</v>
      </c>
      <c r="BN19" s="467" t="str">
        <f>IF(NOT(ISBLANK(C19)),IF(C19&lt;&gt;"",IF(_xlfn.XLOOKUP(C19,'Reference Records'!$C$87:$C$189,'Reference Records'!$A$87:$A$189,0,0,1)=AM19,"Continue","Select correct module name."),"Continue"),"Continue")</f>
        <v>Continue</v>
      </c>
      <c r="BO19" s="467" t="str">
        <f t="shared" ref="BO19" ca="1" si="111">IF(AND(BC19="Continue",CG19="Continue"),"Continue",IF(AND(BC19&lt;&gt;"Continue",CG19="Continue"),BC19,IF(AND(CG19&lt;&gt;"Continue",BC19="Continue"),CG19,CONCATENATE(BC19,CHAR(10),CG19))))</f>
        <v>Continue</v>
      </c>
      <c r="BP19" s="467" t="str">
        <f t="shared" ref="BP19" ca="1" si="112">IF(AND((AZ19&lt;&gt;""),(BA19&lt;&gt;"")),"Reversed custom indicator selection not applicable. Value pre-populated in standard indicator column.","Continue")</f>
        <v>Continue</v>
      </c>
      <c r="BQ19" s="467" t="str">
        <f t="shared" ref="BQ19" ca="1" si="113">IF(AND(BN19="Continue",BO19="Continue"),"Continue",
IF(AND(BN19&lt;&gt;"Continue",BO19="Continue"),BN19,
IF(AND(BO19&lt;&gt;"Continue",BN19="Continue"),BO19,
CONCATENATE(BN19,CHAR(10),BO19))))</f>
        <v>Continue</v>
      </c>
      <c r="BR19" s="508" t="str" cm="1">
        <f t="array" ref="BR19">IF(ISBLANK(B19),"Continue",(IF(IFERROR(_xlfn.XMATCH(B19,LEFT('Reference Records'!$J$191:$J$250,32768),0),0)&lt;&gt;0,"Continue","Invalid module entry. Select from dropdown list.")))</f>
        <v>Continue</v>
      </c>
      <c r="BS19" s="508" t="str">
        <f t="shared" ref="BS19" ca="1" si="114">IF(AND(BP19="Continue",BQ19="Continue"),"Continue",IF(AND(BP19&lt;&gt;"Continue",BQ19="Continue"),BP19,IF(AND(BQ19&lt;&gt;"Continue",BP19="Continue"),BQ19,CONCATENATE(BP19,CHAR(10),BQ19))))</f>
        <v>Continue</v>
      </c>
      <c r="BT19" s="508" t="str">
        <f t="shared" ref="BT19" si="115">IF(AND(C19="",D19=""),"Continue",IF(AND(C19="",D19&lt;&gt;""),"Continue",IF(AND(C19&lt;&gt;"",D19=""),"Continue",IF(AND(C19&lt;&gt;"",D19&lt;&gt;""),"Cannot enter both standard and custom indicators on the same line."))))</f>
        <v>Continue</v>
      </c>
      <c r="BU19" s="508" t="str">
        <f t="shared" ref="BU19" si="116">IF(AND(BR19="Continue",BT19="Continue"),"Continue",IF(AND(BR19&lt;&gt;"Continue",BT19="Continue"),BR19,IF(AND(BT19&lt;&gt;"Continue",BR19="Continue"),BT19,CONCATENATE(BR19,CHAR(10),BT19))))</f>
        <v>Continue</v>
      </c>
      <c r="BV19" s="538" t="b">
        <f>IFERROR(INDEX('Reference Records'!$L$87:$L$189,MATCH($C19,'Reference Records'!$C$87:$C$189,0)),"")</f>
        <v>0</v>
      </c>
      <c r="BW19" s="538">
        <f t="shared" ref="BW19" ca="1" si="117">IF(NOT(ISBLANK(F19)),IF(F19&lt;&gt;"",(IF(NOT(ISNUMBER(F19)),1,0)),0),0)</f>
        <v>0</v>
      </c>
      <c r="BX19" s="538">
        <f t="shared" ref="BX19" si="118">IF(NOT(ISBLANK(O19)),IF(O19&lt;&gt;"",(IF(NOT(ISNUMBER(O19)),1,0)),0),0)</f>
        <v>0</v>
      </c>
      <c r="BY19" s="538">
        <f t="shared" ref="BY19" si="119">IF(NOT(ISBLANK(R19)),IF(R19&lt;&gt;"",(IF(NOT(ISNUMBER(R19)),1,0)),0),0)</f>
        <v>0</v>
      </c>
      <c r="BZ19" s="538">
        <f t="shared" ref="BZ19" si="120">IF(NOT(ISBLANK(U19)),IF(U19&lt;&gt;"",(IF(NOT(ISNUMBER(U19)),1,0)),0),0)</f>
        <v>0</v>
      </c>
      <c r="CA19" s="538">
        <f t="shared" ref="CA19" si="121">IF(NOT(ISBLANK(X19)),IF(X19&lt;&gt;"",(IF(NOT(ISNUMBER(X19)),1,0)),0),0)</f>
        <v>0</v>
      </c>
      <c r="CB19" s="538">
        <f t="shared" ref="CB19" si="122">IF(NOT(ISBLANK(AA19)),IF(AA19&lt;&gt;"",(IF(NOT(ISNUMBER(AA19)),1,0)),0),0)</f>
        <v>0</v>
      </c>
      <c r="CC19" s="538">
        <f t="shared" ref="CC19" si="123">IF(NOT(ISBLANK(AD19)),IF(AD19&lt;&gt;"",(IF(NOT(ISNUMBER(AD19)),1,0)),0),0)</f>
        <v>0</v>
      </c>
      <c r="CD19" s="538">
        <f t="shared" ref="CD19" si="124">IF(NOT(ISBLANK(AG19)),IF(AG19&lt;&gt;"",(IF(NOT(ISNUMBER(AG19)),1,0)),0),0)</f>
        <v>0</v>
      </c>
      <c r="CE19" s="538">
        <f t="shared" ref="CE19" si="125">IF(NOT(ISBLANK(AJ19)),IF(AJ19&lt;&gt;"",(IF(NOT(ISNUMBER(AJ19)),1,0)),0),0)</f>
        <v>0</v>
      </c>
      <c r="CF19" s="538" t="str">
        <f t="shared" ref="CF19" ca="1" si="126">IF(SUM(BW19:CE20)=0, "Continue", "Enter valid number only.")</f>
        <v>Continue</v>
      </c>
      <c r="CG19" s="538" t="str">
        <f t="shared" ref="CG19" ca="1" si="127">IF(AND(CF19="Continue",BD19="Continue"),"Continue",IF(AND(CF19&lt;&gt;"Continue",BD19="Continue"),CF19,IF(AND(BD19&lt;&gt;"Continue",CF19="Continue"),BD19,CONCATENATE(CF19,CHAR(10)))))</f>
        <v>Continue</v>
      </c>
      <c r="CI19" s="314" t="str">
        <f>IFERROR(IF('Overview - Section A'!$AN$5="Funding Request",
IF(AND('Reference Records'!$B$427&lt;&gt;"",$L19 ='Reference Records'!$B$427),'Reference Records'!$C$427,""),
INDEX('Reference Records'!$A$498:$C$499,MATCH($L19,'Reference Records'!$A$498:$A$499,0),3)),"")</f>
        <v>a1A360000013M2uEAE</v>
      </c>
      <c r="CJ19" s="314" t="str">
        <f>IFERROR(INDEX('Overview - Section A'!$H$102:$H$118,MATCH(IF($B19="", "--select--", $B19),'Overview - Section A'!$C$102:$C$118,0)),"")</f>
        <v>a1PDm000000LrD6MAK</v>
      </c>
      <c r="CK19" s="310" t="str" cm="1">
        <f t="array" ref="CK19">IFERROR(IF($C19="", "", VLOOKUP(LEFT($C19,255),LEFT('Reference Records'!$C$88:$G$189,255),5,0)),"")</f>
        <v>a1ODm000000GnznMAC</v>
      </c>
    </row>
    <row r="20" spans="1:89" ht="30" customHeight="1">
      <c r="A20" s="523"/>
      <c r="B20" s="529"/>
      <c r="C20" s="529"/>
      <c r="D20" s="529"/>
      <c r="E20" s="148"/>
      <c r="F20" s="525"/>
      <c r="G20" s="544"/>
      <c r="H20" s="529"/>
      <c r="I20" s="546"/>
      <c r="J20" s="544"/>
      <c r="K20" s="529"/>
      <c r="L20" s="153" t="s">
        <v>651</v>
      </c>
      <c r="M20" s="548"/>
      <c r="N20" s="148"/>
      <c r="O20" s="525"/>
      <c r="P20" s="544"/>
      <c r="Q20" s="150"/>
      <c r="R20" s="525"/>
      <c r="S20" s="544"/>
      <c r="T20" s="150"/>
      <c r="U20" s="525"/>
      <c r="V20" s="544"/>
      <c r="W20" s="150"/>
      <c r="X20" s="525"/>
      <c r="Y20" s="544"/>
      <c r="Z20" s="150"/>
      <c r="AA20" s="525"/>
      <c r="AB20" s="544"/>
      <c r="AC20" s="150"/>
      <c r="AD20" s="525"/>
      <c r="AE20" s="544"/>
      <c r="AF20" s="150"/>
      <c r="AG20" s="550"/>
      <c r="AH20" s="544"/>
      <c r="AI20" s="150"/>
      <c r="AJ20" s="550"/>
      <c r="AK20" s="544"/>
      <c r="AL20" s="529"/>
      <c r="AM20" s="476"/>
      <c r="AX20" s="152"/>
      <c r="AZ20" s="551"/>
      <c r="BA20" s="559"/>
      <c r="BB20" s="468"/>
      <c r="BC20" s="508"/>
      <c r="BD20" s="508"/>
      <c r="BE20" s="146">
        <f t="shared" si="0"/>
        <v>0</v>
      </c>
      <c r="BF20" s="146">
        <f t="shared" si="1"/>
        <v>0</v>
      </c>
      <c r="BG20" s="146">
        <f t="shared" si="2"/>
        <v>0</v>
      </c>
      <c r="BH20" s="146">
        <f t="shared" si="3"/>
        <v>0</v>
      </c>
      <c r="BI20" s="146">
        <f t="shared" si="4"/>
        <v>0</v>
      </c>
      <c r="BJ20" s="146">
        <f t="shared" si="5"/>
        <v>0</v>
      </c>
      <c r="BK20" s="146">
        <f t="shared" si="6"/>
        <v>0</v>
      </c>
      <c r="BL20" s="146">
        <f t="shared" si="7"/>
        <v>0</v>
      </c>
      <c r="BM20" s="146">
        <f t="shared" si="8"/>
        <v>0</v>
      </c>
      <c r="BN20" s="467"/>
      <c r="BO20" s="467"/>
      <c r="BP20" s="467"/>
      <c r="BQ20" s="467"/>
      <c r="BR20" s="508"/>
      <c r="BS20" s="508"/>
      <c r="BT20" s="508"/>
      <c r="BU20" s="508"/>
      <c r="BV20" s="538"/>
      <c r="BW20" s="538"/>
      <c r="BX20" s="538"/>
      <c r="BY20" s="538"/>
      <c r="BZ20" s="538"/>
      <c r="CA20" s="538"/>
      <c r="CB20" s="538"/>
      <c r="CC20" s="538"/>
      <c r="CD20" s="538"/>
      <c r="CE20" s="538"/>
      <c r="CF20" s="538"/>
      <c r="CG20" s="538"/>
      <c r="CI20" s="314" t="str">
        <f>IFERROR(IF('Overview - Section A'!$AN$5="Funding Request",
IF(AND('Reference Records'!$B$427&lt;&gt;"",$L20 ='Reference Records'!$B$427),'Reference Records'!$C$427,""),
INDEX('Reference Records'!$A$498:$C$499,MATCH($L20,'Reference Records'!$A$498:$A$499,0),3)),"")</f>
        <v/>
      </c>
      <c r="CJ20" s="314" t="str">
        <f>IFERROR(INDEX('Overview - Section A'!$H$102:$H$118,MATCH(IF($B20="", "--select--", $B20),'Overview - Section A'!$C$102:$C$118,0)),"")</f>
        <v/>
      </c>
      <c r="CK20" s="310" t="str" cm="1">
        <f t="array" ref="CK20">IFERROR(IF($C20="", "", VLOOKUP(LEFT($C20,255),LEFT('Reference Records'!$C$88:$G$189,255),5,0)),"")</f>
        <v/>
      </c>
    </row>
    <row r="21" spans="1:89" ht="30" customHeight="1">
      <c r="A21" s="522">
        <v>7</v>
      </c>
      <c r="B21" s="512" t="s">
        <v>1575</v>
      </c>
      <c r="C21" s="512" t="s">
        <v>1290</v>
      </c>
      <c r="D21" s="512"/>
      <c r="E21" s="140">
        <v>1939</v>
      </c>
      <c r="F21" s="516" t="str">
        <f ca="1">IF(OR(INDIRECT("'update Helper'!D"&amp;AT21)="",E21&lt;&gt;0,E22&lt;&gt;0),IF(IFERROR((E21/E22),"")="","",(E21/E22)),INDIRECT("'update Helper'!D"&amp;AT21)/100)</f>
        <v/>
      </c>
      <c r="G21" s="552">
        <v>2021</v>
      </c>
      <c r="H21" s="512" t="s">
        <v>2211</v>
      </c>
      <c r="I21" s="545" t="str">
        <f>AN21</f>
        <v/>
      </c>
      <c r="J21" s="552" t="s">
        <v>2212</v>
      </c>
      <c r="K21" s="512" t="s">
        <v>323</v>
      </c>
      <c r="L21" s="141" t="s">
        <v>781</v>
      </c>
      <c r="M21" s="556" t="s">
        <v>650</v>
      </c>
      <c r="N21" s="140">
        <v>1220</v>
      </c>
      <c r="O21" s="516" t="s">
        <v>2213</v>
      </c>
      <c r="P21" s="552"/>
      <c r="Q21" s="142">
        <v>1220</v>
      </c>
      <c r="R21" s="516" t="s">
        <v>2213</v>
      </c>
      <c r="S21" s="552"/>
      <c r="T21" s="142">
        <v>1269</v>
      </c>
      <c r="U21" s="516" t="s">
        <v>2213</v>
      </c>
      <c r="V21" s="552"/>
      <c r="W21" s="142">
        <v>1269</v>
      </c>
      <c r="X21" s="516" t="s">
        <v>2213</v>
      </c>
      <c r="Y21" s="552"/>
      <c r="Z21" s="142">
        <v>1319.5</v>
      </c>
      <c r="AA21" s="516" t="s">
        <v>2213</v>
      </c>
      <c r="AB21" s="552"/>
      <c r="AC21" s="142">
        <v>1319.5</v>
      </c>
      <c r="AD21" s="516" t="s">
        <v>2213</v>
      </c>
      <c r="AE21" s="552"/>
      <c r="AF21" s="142"/>
      <c r="AG21" s="516"/>
      <c r="AH21" s="552"/>
      <c r="AI21" s="142"/>
      <c r="AJ21" s="516"/>
      <c r="AK21" s="552"/>
      <c r="AL21" s="512" t="s">
        <v>2220</v>
      </c>
      <c r="AM21" s="554" t="str">
        <f>IFERROR(IF(VLOOKUP(B21,'Reference Records'!$C$192:$D$250,2,FALSE)=0,"",VLOOKUP(B21,'Reference Records'!$C$192:$D$250,2,FALSE)),"")</f>
        <v>MCI-01312</v>
      </c>
      <c r="AN21" s="143" t="str">
        <f t="array" ref="AN21">IFERROR(IF(INDEX('Reference Records'!$D$88:$D$189,MATCH(LEFT(C21,255),LEFT('Reference Records'!$C$88:$C$189,255),0))=0,"",INDEX('Reference Records'!$D$88:$D$189,MATCH(LEFT(C21,255),LEFT('Reference Records'!$C$88:$C$189,255),0))),"")</f>
        <v/>
      </c>
      <c r="AO21" s="143" t="str">
        <f>CONCATENATE(C21,D21)</f>
        <v>KVP-1 Number of people with TB (all forms) notified among prisoners; *includes only those with new and relapse TB</v>
      </c>
      <c r="AP21" s="144" t="str">
        <f t="array" ref="AP21">VLOOKUP(LEFT(C21,255),LEFT('Reference Records'!C$87:G251,255),4,0)</f>
        <v>MCI-01634</v>
      </c>
      <c r="AQ21" s="144" t="e">
        <f>MATCH(AP21,'Reference Records'!$F$512:$F$514,0)+ROW(PopulationByCoverage)-1</f>
        <v>#N/A</v>
      </c>
      <c r="AR21" s="144">
        <f>MATCH(AP21,'Reference Records'!$F$512:$F$514,1)+ROW(PopulationByCoverage)-1</f>
        <v>513</v>
      </c>
      <c r="AS21" s="143" t="str">
        <f>C21&amp;D21</f>
        <v>KVP-1 Number of people with TB (all forms) notified among prisoners; *includes only those with new and relapse TB</v>
      </c>
      <c r="AT21" s="143">
        <f t="shared" ref="AT21" si="128">AT19+1</f>
        <v>460</v>
      </c>
      <c r="AU21" s="143">
        <f ca="1">AU19+'update Helper'!$T$2</f>
        <v>569.69565217391278</v>
      </c>
      <c r="AV21" s="143" t="str">
        <f t="shared" ref="AV21" si="129">CLEAN(IFERROR(LEFT(AY21, SEARCH(";",AY21,1)-1),""))</f>
        <v>Non cumulative</v>
      </c>
      <c r="AW21" s="143" t="str">
        <f t="shared" ref="AW21" si="130">SUBSTITUTE(IFERROR(MID(AY21, SEARCH(";",AY21) + 1, SEARCH(";",AY21,SEARCH(";",AY21)+1) - SEARCH(";",AY21) - 1),""),CHAR(10),"")</f>
        <v/>
      </c>
      <c r="AX21" s="145" t="str">
        <f t="shared" ref="AX21" si="131">CLEAN(IFERROR(SUBSTITUTE(RIGHT(AY21,LEN(AY21) - SEARCH(";", AY21, SEARCH(";",AY21) + 1)),";",""),""))</f>
        <v/>
      </c>
      <c r="AY21" s="143" t="str">
        <f t="array" ref="AY21">IFERROR(IF(VLOOKUP(LEFT(C21,255),LEFT('Reference Records'!$C$1:$K$539,255),9,0)=0,"",CONCATENATE(VLOOKUP(LEFT(C21,255),LEFT('Reference Records'!$C$1:$K$539,255),9,0),";")),"")</f>
        <v>Non cumulative;</v>
      </c>
      <c r="AZ21" s="555" t="str">
        <f>IF($BV21="", "", IF($BV21=TRUE, "Yes", "No"))</f>
        <v>No</v>
      </c>
      <c r="BA21" s="558" t="str">
        <f t="shared" ref="BA21" ca="1" si="132">IF($D21="", "",IF(IF(INDIRECT("'update Helper'!W"&amp;AT21)=0,"",INDIRECT("'update Helper'!W"&amp;AT21))=TRUE, "Yes","No"))</f>
        <v/>
      </c>
      <c r="BB21" s="468" t="str">
        <f t="shared" ref="BB21" ca="1" si="133">IF(AND(BS21="Continue",BU21="Continue"),"No Error",IF(AND(BS21&lt;&gt;"Continue",BU21="Continue"),BS21,IF(AND(BU21&lt;&gt;"Continue",BS21="Continue"),BU21,CONCATENATE(BS21,CHAR(10),BU21))))</f>
        <v>No Error</v>
      </c>
      <c r="BC21" s="508" t="str" cm="1">
        <f t="array" ref="BC21">IF(ISBLANK(C21),"Continue",(IF(IFERROR(_xlfn.XMATCH(C21,LEFT('Reference Records'!$C$87:$C$189,32768),0),0)&lt;&gt;0,"Continue","Invalid indicator entry. Select from dropdown list.")))</f>
        <v>Continue</v>
      </c>
      <c r="BD21" s="508" t="str">
        <f t="shared" ref="BD21" si="134">IF(SUM(BE21:BM22)=0, "Continue", "Enter valid number only.")</f>
        <v>Continue</v>
      </c>
      <c r="BE21" s="146">
        <f t="shared" si="0"/>
        <v>0</v>
      </c>
      <c r="BF21" s="146">
        <f t="shared" si="1"/>
        <v>0</v>
      </c>
      <c r="BG21" s="146">
        <f t="shared" si="2"/>
        <v>0</v>
      </c>
      <c r="BH21" s="146">
        <f t="shared" si="3"/>
        <v>0</v>
      </c>
      <c r="BI21" s="146">
        <f t="shared" si="4"/>
        <v>0</v>
      </c>
      <c r="BJ21" s="146">
        <f t="shared" si="5"/>
        <v>0</v>
      </c>
      <c r="BK21" s="146">
        <f t="shared" si="6"/>
        <v>0</v>
      </c>
      <c r="BL21" s="146">
        <f t="shared" si="7"/>
        <v>0</v>
      </c>
      <c r="BM21" s="146">
        <f t="shared" si="8"/>
        <v>0</v>
      </c>
      <c r="BN21" s="467" t="str">
        <f>IF(NOT(ISBLANK(C21)),IF(C21&lt;&gt;"",IF(_xlfn.XLOOKUP(C21,'Reference Records'!$C$87:$C$189,'Reference Records'!$A$87:$A$189,0,0,1)=AM21,"Continue","Select correct module name."),"Continue"),"Continue")</f>
        <v>Continue</v>
      </c>
      <c r="BO21" s="467" t="str">
        <f t="shared" ref="BO21" ca="1" si="135">IF(AND(BC21="Continue",CG21="Continue"),"Continue",IF(AND(BC21&lt;&gt;"Continue",CG21="Continue"),BC21,IF(AND(CG21&lt;&gt;"Continue",BC21="Continue"),CG21,CONCATENATE(BC21,CHAR(10),CG21))))</f>
        <v>Continue</v>
      </c>
      <c r="BP21" s="467" t="str">
        <f t="shared" ref="BP21" ca="1" si="136">IF(AND((AZ21&lt;&gt;""),(BA21&lt;&gt;"")),"Reversed custom indicator selection not applicable. Value pre-populated in standard indicator column.","Continue")</f>
        <v>Continue</v>
      </c>
      <c r="BQ21" s="467" t="str">
        <f t="shared" ref="BQ21" ca="1" si="137">IF(AND(BN21="Continue",BO21="Continue"),"Continue",
IF(AND(BN21&lt;&gt;"Continue",BO21="Continue"),BN21,
IF(AND(BO21&lt;&gt;"Continue",BN21="Continue"),BO21,
CONCATENATE(BN21,CHAR(10),BO21))))</f>
        <v>Continue</v>
      </c>
      <c r="BR21" s="508" t="str" cm="1">
        <f t="array" ref="BR21">IF(ISBLANK(B21),"Continue",(IF(IFERROR(_xlfn.XMATCH(B21,LEFT('Reference Records'!$J$191:$J$250,32768),0),0)&lt;&gt;0,"Continue","Invalid module entry. Select from dropdown list.")))</f>
        <v>Continue</v>
      </c>
      <c r="BS21" s="508" t="str">
        <f t="shared" ref="BS21" ca="1" si="138">IF(AND(BP21="Continue",BQ21="Continue"),"Continue",IF(AND(BP21&lt;&gt;"Continue",BQ21="Continue"),BP21,IF(AND(BQ21&lt;&gt;"Continue",BP21="Continue"),BQ21,CONCATENATE(BP21,CHAR(10),BQ21))))</f>
        <v>Continue</v>
      </c>
      <c r="BT21" s="508" t="str">
        <f t="shared" ref="BT21" si="139">IF(AND(C21="",D21=""),"Continue",IF(AND(C21="",D21&lt;&gt;""),"Continue",IF(AND(C21&lt;&gt;"",D21=""),"Continue",IF(AND(C21&lt;&gt;"",D21&lt;&gt;""),"Cannot enter both standard and custom indicators on the same line."))))</f>
        <v>Continue</v>
      </c>
      <c r="BU21" s="508" t="str">
        <f t="shared" ref="BU21" si="140">IF(AND(BR21="Continue",BT21="Continue"),"Continue",IF(AND(BR21&lt;&gt;"Continue",BT21="Continue"),BR21,IF(AND(BT21&lt;&gt;"Continue",BR21="Continue"),BT21,CONCATENATE(BR21,CHAR(10),BT21))))</f>
        <v>Continue</v>
      </c>
      <c r="BV21" s="538" t="b">
        <f>IFERROR(INDEX('Reference Records'!$L$87:$L$189,MATCH($C21,'Reference Records'!$C$87:$C$189,0)),"")</f>
        <v>0</v>
      </c>
      <c r="BW21" s="538">
        <f t="shared" ref="BW21" ca="1" si="141">IF(NOT(ISBLANK(F21)),IF(F21&lt;&gt;"",(IF(NOT(ISNUMBER(F21)),1,0)),0),0)</f>
        <v>0</v>
      </c>
      <c r="BX21" s="538">
        <f t="shared" ref="BX21" si="142">IF(NOT(ISBLANK(O21)),IF(O21&lt;&gt;"",(IF(NOT(ISNUMBER(O21)),1,0)),0),0)</f>
        <v>0</v>
      </c>
      <c r="BY21" s="538">
        <f t="shared" ref="BY21" si="143">IF(NOT(ISBLANK(R21)),IF(R21&lt;&gt;"",(IF(NOT(ISNUMBER(R21)),1,0)),0),0)</f>
        <v>0</v>
      </c>
      <c r="BZ21" s="538">
        <f t="shared" ref="BZ21" si="144">IF(NOT(ISBLANK(U21)),IF(U21&lt;&gt;"",(IF(NOT(ISNUMBER(U21)),1,0)),0),0)</f>
        <v>0</v>
      </c>
      <c r="CA21" s="538">
        <f t="shared" ref="CA21" si="145">IF(NOT(ISBLANK(X21)),IF(X21&lt;&gt;"",(IF(NOT(ISNUMBER(X21)),1,0)),0),0)</f>
        <v>0</v>
      </c>
      <c r="CB21" s="538">
        <f t="shared" ref="CB21" si="146">IF(NOT(ISBLANK(AA21)),IF(AA21&lt;&gt;"",(IF(NOT(ISNUMBER(AA21)),1,0)),0),0)</f>
        <v>0</v>
      </c>
      <c r="CC21" s="538">
        <f t="shared" ref="CC21" si="147">IF(NOT(ISBLANK(AD21)),IF(AD21&lt;&gt;"",(IF(NOT(ISNUMBER(AD21)),1,0)),0),0)</f>
        <v>0</v>
      </c>
      <c r="CD21" s="538">
        <f t="shared" ref="CD21" si="148">IF(NOT(ISBLANK(AG21)),IF(AG21&lt;&gt;"",(IF(NOT(ISNUMBER(AG21)),1,0)),0),0)</f>
        <v>0</v>
      </c>
      <c r="CE21" s="538">
        <f t="shared" ref="CE21" si="149">IF(NOT(ISBLANK(AJ21)),IF(AJ21&lt;&gt;"",(IF(NOT(ISNUMBER(AJ21)),1,0)),0),0)</f>
        <v>0</v>
      </c>
      <c r="CF21" s="538" t="str">
        <f t="shared" ref="CF21" ca="1" si="150">IF(SUM(BW21:CE22)=0, "Continue", "Enter valid number only.")</f>
        <v>Continue</v>
      </c>
      <c r="CG21" s="538" t="str">
        <f t="shared" ref="CG21" ca="1" si="151">IF(AND(CF21="Continue",BD21="Continue"),"Continue",IF(AND(CF21&lt;&gt;"Continue",BD21="Continue"),CF21,IF(AND(BD21&lt;&gt;"Continue",CF21="Continue"),BD21,CONCATENATE(CF21,CHAR(10)))))</f>
        <v>Continue</v>
      </c>
      <c r="CI21" s="314" t="str">
        <f>IFERROR(IF('Overview - Section A'!$AN$5="Funding Request",
IF(AND('Reference Records'!$B$427&lt;&gt;"",$L21 ='Reference Records'!$B$427),'Reference Records'!$C$427,""),
INDEX('Reference Records'!$A$498:$C$499,MATCH($L21,'Reference Records'!$A$498:$A$499,0),3)),"")</f>
        <v>a1A360000013M2uEAE</v>
      </c>
      <c r="CJ21" s="314" t="str">
        <f>IFERROR(INDEX('Overview - Section A'!$H$102:$H$118,MATCH(IF($B21="", "--select--", $B21),'Overview - Section A'!$C$102:$C$118,0)),"")</f>
        <v>a1PDm000000LrD7MAK</v>
      </c>
      <c r="CK21" s="310" t="str" cm="1">
        <f t="array" ref="CK21">IFERROR(IF($C21="", "", VLOOKUP(LEFT($C21,255),LEFT('Reference Records'!$C$88:$G$189,255),5,0)),"")</f>
        <v>a1ODm000000GnzlMAC</v>
      </c>
    </row>
    <row r="22" spans="1:89" ht="30" customHeight="1">
      <c r="A22" s="523"/>
      <c r="B22" s="513"/>
      <c r="C22" s="513"/>
      <c r="D22" s="513"/>
      <c r="E22" s="140"/>
      <c r="F22" s="517"/>
      <c r="G22" s="553"/>
      <c r="H22" s="513"/>
      <c r="I22" s="546"/>
      <c r="J22" s="553"/>
      <c r="K22" s="513"/>
      <c r="L22" s="147" t="s">
        <v>651</v>
      </c>
      <c r="M22" s="557"/>
      <c r="N22" s="140"/>
      <c r="O22" s="517"/>
      <c r="P22" s="553"/>
      <c r="Q22" s="142"/>
      <c r="R22" s="517"/>
      <c r="S22" s="553"/>
      <c r="T22" s="142"/>
      <c r="U22" s="517"/>
      <c r="V22" s="553"/>
      <c r="W22" s="142"/>
      <c r="X22" s="517"/>
      <c r="Y22" s="553"/>
      <c r="Z22" s="142"/>
      <c r="AA22" s="517"/>
      <c r="AB22" s="553"/>
      <c r="AC22" s="142"/>
      <c r="AD22" s="517"/>
      <c r="AE22" s="553"/>
      <c r="AF22" s="142"/>
      <c r="AG22" s="517"/>
      <c r="AH22" s="553"/>
      <c r="AI22" s="142"/>
      <c r="AJ22" s="517"/>
      <c r="AK22" s="553"/>
      <c r="AL22" s="513"/>
      <c r="AM22" s="554"/>
      <c r="AN22" s="143"/>
      <c r="AO22" s="143"/>
      <c r="AP22" s="143"/>
      <c r="AQ22" s="143"/>
      <c r="AR22" s="143"/>
      <c r="AS22" s="143"/>
      <c r="AT22" s="143"/>
      <c r="AU22" s="143"/>
      <c r="AV22" s="143"/>
      <c r="AW22" s="143"/>
      <c r="AX22" s="145"/>
      <c r="AY22" s="143"/>
      <c r="AZ22" s="555"/>
      <c r="BA22" s="558"/>
      <c r="BB22" s="468"/>
      <c r="BC22" s="508"/>
      <c r="BD22" s="508"/>
      <c r="BE22" s="146">
        <f t="shared" si="0"/>
        <v>0</v>
      </c>
      <c r="BF22" s="146">
        <f t="shared" si="1"/>
        <v>0</v>
      </c>
      <c r="BG22" s="146">
        <f t="shared" si="2"/>
        <v>0</v>
      </c>
      <c r="BH22" s="146">
        <f t="shared" si="3"/>
        <v>0</v>
      </c>
      <c r="BI22" s="146">
        <f t="shared" si="4"/>
        <v>0</v>
      </c>
      <c r="BJ22" s="146">
        <f t="shared" si="5"/>
        <v>0</v>
      </c>
      <c r="BK22" s="146">
        <f t="shared" si="6"/>
        <v>0</v>
      </c>
      <c r="BL22" s="146">
        <f t="shared" si="7"/>
        <v>0</v>
      </c>
      <c r="BM22" s="146">
        <f t="shared" si="8"/>
        <v>0</v>
      </c>
      <c r="BN22" s="467"/>
      <c r="BO22" s="467"/>
      <c r="BP22" s="467"/>
      <c r="BQ22" s="467"/>
      <c r="BR22" s="508"/>
      <c r="BS22" s="508"/>
      <c r="BT22" s="508"/>
      <c r="BU22" s="508"/>
      <c r="BV22" s="538"/>
      <c r="BW22" s="538"/>
      <c r="BX22" s="538"/>
      <c r="BY22" s="538"/>
      <c r="BZ22" s="538"/>
      <c r="CA22" s="538"/>
      <c r="CB22" s="538"/>
      <c r="CC22" s="538"/>
      <c r="CD22" s="538"/>
      <c r="CE22" s="538"/>
      <c r="CF22" s="538"/>
      <c r="CG22" s="538"/>
      <c r="CI22" s="314" t="str">
        <f>IFERROR(IF('Overview - Section A'!$AN$5="Funding Request",
IF(AND('Reference Records'!$B$427&lt;&gt;"",$L22 ='Reference Records'!$B$427),'Reference Records'!$C$427,""),
INDEX('Reference Records'!$A$498:$C$499,MATCH($L22,'Reference Records'!$A$498:$A$499,0),3)),"")</f>
        <v/>
      </c>
      <c r="CJ22" s="314" t="str">
        <f>IFERROR(INDEX('Overview - Section A'!$H$102:$H$118,MATCH(IF($B22="", "--select--", $B22),'Overview - Section A'!$C$102:$C$118,0)),"")</f>
        <v/>
      </c>
      <c r="CK22" s="310" t="str" cm="1">
        <f t="array" ref="CK22">IFERROR(IF($C22="", "", VLOOKUP(LEFT($C22,255),LEFT('Reference Records'!$C$88:$G$189,255),5,0)),"")</f>
        <v/>
      </c>
    </row>
    <row r="23" spans="1:89" ht="30" customHeight="1">
      <c r="A23" s="522">
        <v>8</v>
      </c>
      <c r="B23" s="528" t="s">
        <v>1575</v>
      </c>
      <c r="C23" s="528" t="s">
        <v>1293</v>
      </c>
      <c r="D23" s="528"/>
      <c r="E23" s="148">
        <v>8132</v>
      </c>
      <c r="F23" s="524" t="str">
        <f ca="1">IF(OR(INDIRECT("'update Helper'!D"&amp;AT23)="",E23&lt;&gt;0,E24&lt;&gt;0),IF(IFERROR((E23/E24),"")="","",(E23/E24)),INDIRECT("'update Helper'!D"&amp;AT23)/100)</f>
        <v/>
      </c>
      <c r="G23" s="543">
        <v>2021</v>
      </c>
      <c r="H23" s="528" t="s">
        <v>2211</v>
      </c>
      <c r="I23" s="545" t="str">
        <f>AN23</f>
        <v/>
      </c>
      <c r="J23" s="543" t="s">
        <v>2212</v>
      </c>
      <c r="K23" s="528" t="s">
        <v>323</v>
      </c>
      <c r="L23" s="149" t="s">
        <v>781</v>
      </c>
      <c r="M23" s="547" t="s">
        <v>650</v>
      </c>
      <c r="N23" s="148">
        <v>6211</v>
      </c>
      <c r="O23" s="524"/>
      <c r="P23" s="543"/>
      <c r="Q23" s="150">
        <v>6211</v>
      </c>
      <c r="R23" s="524"/>
      <c r="S23" s="543"/>
      <c r="T23" s="150">
        <v>7143</v>
      </c>
      <c r="U23" s="524"/>
      <c r="V23" s="543"/>
      <c r="W23" s="150">
        <v>7143</v>
      </c>
      <c r="X23" s="524"/>
      <c r="Y23" s="543"/>
      <c r="Z23" s="150">
        <v>8214</v>
      </c>
      <c r="AA23" s="524"/>
      <c r="AB23" s="543"/>
      <c r="AC23" s="150">
        <v>8214</v>
      </c>
      <c r="AD23" s="524"/>
      <c r="AE23" s="543"/>
      <c r="AF23" s="150"/>
      <c r="AG23" s="549"/>
      <c r="AH23" s="543"/>
      <c r="AI23" s="150"/>
      <c r="AJ23" s="549"/>
      <c r="AK23" s="543"/>
      <c r="AL23" s="528" t="s">
        <v>2221</v>
      </c>
      <c r="AM23" s="476" t="str">
        <f>IFERROR(IF(VLOOKUP(B23,'Reference Records'!$C$192:$D$250,2,FALSE)=0,"",VLOOKUP(B23,'Reference Records'!$C$192:$D$250,2,FALSE)),"")</f>
        <v>MCI-01312</v>
      </c>
      <c r="AN23" s="48" t="str">
        <f t="array" ref="AN23">IFERROR(IF(INDEX('Reference Records'!$D$88:$D$189,MATCH(LEFT(C23,255),LEFT('Reference Records'!$C$88:$C$189,255),0))=0,"",INDEX('Reference Records'!$D$88:$D$189,MATCH(LEFT(C23,255),LEFT('Reference Records'!$C$88:$C$189,255),0))),"")</f>
        <v/>
      </c>
      <c r="AO23" s="48" t="str">
        <f>CONCATENATE(C23,D23)</f>
        <v>KVP-2 Number of people with TB (all forms) notified among key affected populations/high risk groups (other than prisoners); *includes only those with new and relapse</v>
      </c>
      <c r="AP23" s="151" t="str">
        <f t="array" ref="AP23">VLOOKUP(LEFT(C23,255),LEFT('Reference Records'!C$87:G253,255),4,0)</f>
        <v>MCI-01635</v>
      </c>
      <c r="AQ23" s="151" t="e">
        <f>MATCH(AP23,'Reference Records'!$F$512:$F$514,0)+ROW(PopulationByCoverage)-1</f>
        <v>#N/A</v>
      </c>
      <c r="AR23" s="151">
        <f>MATCH(AP23,'Reference Records'!$F$512:$F$514,1)+ROW(PopulationByCoverage)-1</f>
        <v>513</v>
      </c>
      <c r="AS23" s="48" t="str">
        <f>C23&amp;D23</f>
        <v>KVP-2 Number of people with TB (all forms) notified among key affected populations/high risk groups (other than prisoners); *includes only those with new and relapse</v>
      </c>
      <c r="AT23" s="48">
        <f t="shared" ref="AT23" si="152">AT21+1</f>
        <v>461</v>
      </c>
      <c r="AU23" s="48">
        <f ca="1">AU21+'update Helper'!$T$2</f>
        <v>576.47826086956491</v>
      </c>
      <c r="AV23" s="48" t="str">
        <f t="shared" ref="AV23" si="153">CLEAN(IFERROR(LEFT(AY23, SEARCH(";",AY23,1)-1),""))</f>
        <v>Non cumulative</v>
      </c>
      <c r="AW23" s="48" t="str">
        <f t="shared" ref="AW23" si="154">SUBSTITUTE(IFERROR(MID(AY23, SEARCH(";",AY23) + 1, SEARCH(";",AY23,SEARCH(";",AY23)+1) - SEARCH(";",AY23) - 1),""),CHAR(10),"")</f>
        <v/>
      </c>
      <c r="AX23" s="152" t="str">
        <f t="shared" ref="AX23" si="155">CLEAN(IFERROR(SUBSTITUTE(RIGHT(AY23,LEN(AY23) - SEARCH(";", AY23, SEARCH(";",AY23) + 1)),";",""),""))</f>
        <v/>
      </c>
      <c r="AY23" s="48" t="str">
        <f t="array" ref="AY23">IFERROR(IF(VLOOKUP(LEFT(C23,255),LEFT('Reference Records'!$C$1:$K$539,255),9,0)=0,"",CONCATENATE(VLOOKUP(LEFT(C23,255),LEFT('Reference Records'!$C$1:$K$539,255),9,0),";")),"")</f>
        <v>Non cumulative;</v>
      </c>
      <c r="AZ23" s="551" t="str">
        <f>IF($BV23="", "", IF($BV23=TRUE, "Yes", "No"))</f>
        <v>No</v>
      </c>
      <c r="BA23" s="559" t="str">
        <f t="shared" ref="BA23" ca="1" si="156">IF($D23="", "",IF(IF(INDIRECT("'update Helper'!W"&amp;AT23)=0,"",INDIRECT("'update Helper'!W"&amp;AT23))=TRUE, "Yes","No"))</f>
        <v/>
      </c>
      <c r="BB23" s="468" t="str">
        <f t="shared" ref="BB23" ca="1" si="157">IF(AND(BS23="Continue",BU23="Continue"),"No Error",IF(AND(BS23&lt;&gt;"Continue",BU23="Continue"),BS23,IF(AND(BU23&lt;&gt;"Continue",BS23="Continue"),BU23,CONCATENATE(BS23,CHAR(10),BU23))))</f>
        <v>No Error</v>
      </c>
      <c r="BC23" s="508" t="str" cm="1">
        <f t="array" ref="BC23">IF(ISBLANK(C23),"Continue",(IF(IFERROR(_xlfn.XMATCH(C23,LEFT('Reference Records'!$C$87:$C$189,32768),0),0)&lt;&gt;0,"Continue","Invalid indicator entry. Select from dropdown list.")))</f>
        <v>Continue</v>
      </c>
      <c r="BD23" s="508" t="str">
        <f t="shared" ref="BD23" si="158">IF(SUM(BE23:BM24)=0, "Continue", "Enter valid number only.")</f>
        <v>Continue</v>
      </c>
      <c r="BE23" s="146">
        <f t="shared" si="0"/>
        <v>0</v>
      </c>
      <c r="BF23" s="146">
        <f t="shared" si="1"/>
        <v>0</v>
      </c>
      <c r="BG23" s="146">
        <f t="shared" si="2"/>
        <v>0</v>
      </c>
      <c r="BH23" s="146">
        <f t="shared" si="3"/>
        <v>0</v>
      </c>
      <c r="BI23" s="146">
        <f t="shared" si="4"/>
        <v>0</v>
      </c>
      <c r="BJ23" s="146">
        <f t="shared" si="5"/>
        <v>0</v>
      </c>
      <c r="BK23" s="146">
        <f t="shared" si="6"/>
        <v>0</v>
      </c>
      <c r="BL23" s="146">
        <f t="shared" si="7"/>
        <v>0</v>
      </c>
      <c r="BM23" s="146">
        <f t="shared" si="8"/>
        <v>0</v>
      </c>
      <c r="BN23" s="467" t="str">
        <f>IF(NOT(ISBLANK(C23)),IF(C23&lt;&gt;"",IF(_xlfn.XLOOKUP(C23,'Reference Records'!$C$87:$C$189,'Reference Records'!$A$87:$A$189,0,0,1)=AM23,"Continue","Select correct module name."),"Continue"),"Continue")</f>
        <v>Continue</v>
      </c>
      <c r="BO23" s="467" t="str">
        <f t="shared" ref="BO23" ca="1" si="159">IF(AND(BC23="Continue",CG23="Continue"),"Continue",IF(AND(BC23&lt;&gt;"Continue",CG23="Continue"),BC23,IF(AND(CG23&lt;&gt;"Continue",BC23="Continue"),CG23,CONCATENATE(BC23,CHAR(10),CG23))))</f>
        <v>Continue</v>
      </c>
      <c r="BP23" s="467" t="str">
        <f t="shared" ref="BP23" ca="1" si="160">IF(AND((AZ23&lt;&gt;""),(BA23&lt;&gt;"")),"Reversed custom indicator selection not applicable. Value pre-populated in standard indicator column.","Continue")</f>
        <v>Continue</v>
      </c>
      <c r="BQ23" s="467" t="str">
        <f t="shared" ref="BQ23" ca="1" si="161">IF(AND(BN23="Continue",BO23="Continue"),"Continue",
IF(AND(BN23&lt;&gt;"Continue",BO23="Continue"),BN23,
IF(AND(BO23&lt;&gt;"Continue",BN23="Continue"),BO23,
CONCATENATE(BN23,CHAR(10),BO23))))</f>
        <v>Continue</v>
      </c>
      <c r="BR23" s="508" t="str" cm="1">
        <f t="array" ref="BR23">IF(ISBLANK(B23),"Continue",(IF(IFERROR(_xlfn.XMATCH(B23,LEFT('Reference Records'!$J$191:$J$250,32768),0),0)&lt;&gt;0,"Continue","Invalid module entry. Select from dropdown list.")))</f>
        <v>Continue</v>
      </c>
      <c r="BS23" s="508" t="str">
        <f t="shared" ref="BS23" ca="1" si="162">IF(AND(BP23="Continue",BQ23="Continue"),"Continue",IF(AND(BP23&lt;&gt;"Continue",BQ23="Continue"),BP23,IF(AND(BQ23&lt;&gt;"Continue",BP23="Continue"),BQ23,CONCATENATE(BP23,CHAR(10),BQ23))))</f>
        <v>Continue</v>
      </c>
      <c r="BT23" s="508" t="str">
        <f t="shared" ref="BT23" si="163">IF(AND(C23="",D23=""),"Continue",IF(AND(C23="",D23&lt;&gt;""),"Continue",IF(AND(C23&lt;&gt;"",D23=""),"Continue",IF(AND(C23&lt;&gt;"",D23&lt;&gt;""),"Cannot enter both standard and custom indicators on the same line."))))</f>
        <v>Continue</v>
      </c>
      <c r="BU23" s="508" t="str">
        <f t="shared" ref="BU23" si="164">IF(AND(BR23="Continue",BT23="Continue"),"Continue",IF(AND(BR23&lt;&gt;"Continue",BT23="Continue"),BR23,IF(AND(BT23&lt;&gt;"Continue",BR23="Continue"),BT23,CONCATENATE(BR23,CHAR(10),BT23))))</f>
        <v>Continue</v>
      </c>
      <c r="BV23" s="538" t="b">
        <f>IFERROR(INDEX('Reference Records'!$L$87:$L$189,MATCH($C23,'Reference Records'!$C$87:$C$189,0)),"")</f>
        <v>0</v>
      </c>
      <c r="BW23" s="538">
        <f t="shared" ref="BW23" ca="1" si="165">IF(NOT(ISBLANK(F23)),IF(F23&lt;&gt;"",(IF(NOT(ISNUMBER(F23)),1,0)),0),0)</f>
        <v>0</v>
      </c>
      <c r="BX23" s="538">
        <f t="shared" ref="BX23" si="166">IF(NOT(ISBLANK(O23)),IF(O23&lt;&gt;"",(IF(NOT(ISNUMBER(O23)),1,0)),0),0)</f>
        <v>0</v>
      </c>
      <c r="BY23" s="538">
        <f t="shared" ref="BY23" si="167">IF(NOT(ISBLANK(R23)),IF(R23&lt;&gt;"",(IF(NOT(ISNUMBER(R23)),1,0)),0),0)</f>
        <v>0</v>
      </c>
      <c r="BZ23" s="538">
        <f t="shared" ref="BZ23" si="168">IF(NOT(ISBLANK(U23)),IF(U23&lt;&gt;"",(IF(NOT(ISNUMBER(U23)),1,0)),0),0)</f>
        <v>0</v>
      </c>
      <c r="CA23" s="538">
        <f t="shared" ref="CA23" si="169">IF(NOT(ISBLANK(X23)),IF(X23&lt;&gt;"",(IF(NOT(ISNUMBER(X23)),1,0)),0),0)</f>
        <v>0</v>
      </c>
      <c r="CB23" s="538">
        <f t="shared" ref="CB23" si="170">IF(NOT(ISBLANK(AA23)),IF(AA23&lt;&gt;"",(IF(NOT(ISNUMBER(AA23)),1,0)),0),0)</f>
        <v>0</v>
      </c>
      <c r="CC23" s="538">
        <f t="shared" ref="CC23" si="171">IF(NOT(ISBLANK(AD23)),IF(AD23&lt;&gt;"",(IF(NOT(ISNUMBER(AD23)),1,0)),0),0)</f>
        <v>0</v>
      </c>
      <c r="CD23" s="538">
        <f t="shared" ref="CD23" si="172">IF(NOT(ISBLANK(AG23)),IF(AG23&lt;&gt;"",(IF(NOT(ISNUMBER(AG23)),1,0)),0),0)</f>
        <v>0</v>
      </c>
      <c r="CE23" s="538">
        <f t="shared" ref="CE23" si="173">IF(NOT(ISBLANK(AJ23)),IF(AJ23&lt;&gt;"",(IF(NOT(ISNUMBER(AJ23)),1,0)),0),0)</f>
        <v>0</v>
      </c>
      <c r="CF23" s="538" t="str">
        <f t="shared" ref="CF23" ca="1" si="174">IF(SUM(BW23:CE24)=0, "Continue", "Enter valid number only.")</f>
        <v>Continue</v>
      </c>
      <c r="CG23" s="538" t="str">
        <f t="shared" ref="CG23" ca="1" si="175">IF(AND(CF23="Continue",BD23="Continue"),"Continue",IF(AND(CF23&lt;&gt;"Continue",BD23="Continue"),CF23,IF(AND(BD23&lt;&gt;"Continue",CF23="Continue"),BD23,CONCATENATE(CF23,CHAR(10)))))</f>
        <v>Continue</v>
      </c>
      <c r="CI23" s="314" t="str">
        <f>IFERROR(IF('Overview - Section A'!$AN$5="Funding Request",
IF(AND('Reference Records'!$B$427&lt;&gt;"",$L23 ='Reference Records'!$B$427),'Reference Records'!$C$427,""),
INDEX('Reference Records'!$A$498:$C$499,MATCH($L23,'Reference Records'!$A$498:$A$499,0),3)),"")</f>
        <v>a1A360000013M2uEAE</v>
      </c>
      <c r="CJ23" s="314" t="str">
        <f>IFERROR(INDEX('Overview - Section A'!$H$102:$H$118,MATCH(IF($B23="", "--select--", $B23),'Overview - Section A'!$C$102:$C$118,0)),"")</f>
        <v>a1PDm000000LrD7MAK</v>
      </c>
      <c r="CK23" s="310" t="str" cm="1">
        <f t="array" ref="CK23">IFERROR(IF($C23="", "", VLOOKUP(LEFT($C23,255),LEFT('Reference Records'!$C$88:$G$189,255),5,0)),"")</f>
        <v>a1ODm000000GnzmMAC</v>
      </c>
    </row>
    <row r="24" spans="1:89" ht="30" customHeight="1">
      <c r="A24" s="523"/>
      <c r="B24" s="529"/>
      <c r="C24" s="529"/>
      <c r="D24" s="529"/>
      <c r="E24" s="148"/>
      <c r="F24" s="525"/>
      <c r="G24" s="544"/>
      <c r="H24" s="529"/>
      <c r="I24" s="546"/>
      <c r="J24" s="544"/>
      <c r="K24" s="529"/>
      <c r="L24" s="153" t="s">
        <v>651</v>
      </c>
      <c r="M24" s="548"/>
      <c r="N24" s="148"/>
      <c r="O24" s="525"/>
      <c r="P24" s="544"/>
      <c r="Q24" s="150"/>
      <c r="R24" s="525"/>
      <c r="S24" s="544"/>
      <c r="T24" s="150"/>
      <c r="U24" s="525"/>
      <c r="V24" s="544"/>
      <c r="W24" s="150"/>
      <c r="X24" s="525"/>
      <c r="Y24" s="544"/>
      <c r="Z24" s="150"/>
      <c r="AA24" s="525"/>
      <c r="AB24" s="544"/>
      <c r="AC24" s="150"/>
      <c r="AD24" s="525"/>
      <c r="AE24" s="544"/>
      <c r="AF24" s="150"/>
      <c r="AG24" s="550"/>
      <c r="AH24" s="544"/>
      <c r="AI24" s="150"/>
      <c r="AJ24" s="550"/>
      <c r="AK24" s="544"/>
      <c r="AL24" s="529"/>
      <c r="AM24" s="476"/>
      <c r="AX24" s="152"/>
      <c r="AZ24" s="551"/>
      <c r="BA24" s="559"/>
      <c r="BB24" s="468"/>
      <c r="BC24" s="508"/>
      <c r="BD24" s="508"/>
      <c r="BE24" s="146">
        <f t="shared" si="0"/>
        <v>0</v>
      </c>
      <c r="BF24" s="146">
        <f t="shared" si="1"/>
        <v>0</v>
      </c>
      <c r="BG24" s="146">
        <f t="shared" si="2"/>
        <v>0</v>
      </c>
      <c r="BH24" s="146">
        <f t="shared" si="3"/>
        <v>0</v>
      </c>
      <c r="BI24" s="146">
        <f t="shared" si="4"/>
        <v>0</v>
      </c>
      <c r="BJ24" s="146">
        <f t="shared" si="5"/>
        <v>0</v>
      </c>
      <c r="BK24" s="146">
        <f t="shared" si="6"/>
        <v>0</v>
      </c>
      <c r="BL24" s="146">
        <f t="shared" si="7"/>
        <v>0</v>
      </c>
      <c r="BM24" s="146">
        <f t="shared" si="8"/>
        <v>0</v>
      </c>
      <c r="BN24" s="467"/>
      <c r="BO24" s="467"/>
      <c r="BP24" s="467"/>
      <c r="BQ24" s="467"/>
      <c r="BR24" s="508"/>
      <c r="BS24" s="508"/>
      <c r="BT24" s="508"/>
      <c r="BU24" s="508"/>
      <c r="BV24" s="538"/>
      <c r="BW24" s="538"/>
      <c r="BX24" s="538"/>
      <c r="BY24" s="538"/>
      <c r="BZ24" s="538"/>
      <c r="CA24" s="538"/>
      <c r="CB24" s="538"/>
      <c r="CC24" s="538"/>
      <c r="CD24" s="538"/>
      <c r="CE24" s="538"/>
      <c r="CF24" s="538"/>
      <c r="CG24" s="538"/>
      <c r="CI24" s="314" t="str">
        <f>IFERROR(IF('Overview - Section A'!$AN$5="Funding Request",
IF(AND('Reference Records'!$B$427&lt;&gt;"",$L24 ='Reference Records'!$B$427),'Reference Records'!$C$427,""),
INDEX('Reference Records'!$A$498:$C$499,MATCH($L24,'Reference Records'!$A$498:$A$499,0),3)),"")</f>
        <v/>
      </c>
      <c r="CJ24" s="314" t="str">
        <f>IFERROR(INDEX('Overview - Section A'!$H$102:$H$118,MATCH(IF($B24="", "--select--", $B24),'Overview - Section A'!$C$102:$C$118,0)),"")</f>
        <v/>
      </c>
      <c r="CK24" s="310" t="str" cm="1">
        <f t="array" ref="CK24">IFERROR(IF($C24="", "", VLOOKUP(LEFT($C24,255),LEFT('Reference Records'!$C$88:$G$189,255),5,0)),"")</f>
        <v/>
      </c>
    </row>
    <row r="25" spans="1:89" ht="30" customHeight="1">
      <c r="A25" s="522">
        <v>9</v>
      </c>
      <c r="B25" s="512" t="s">
        <v>1493</v>
      </c>
      <c r="C25" s="512" t="s">
        <v>1299</v>
      </c>
      <c r="D25" s="512"/>
      <c r="E25" s="140"/>
      <c r="F25" s="516">
        <f ca="1">IF(OR(INDIRECT("'update Helper'!D"&amp;AT25)="",E25&lt;&gt;0,E26&lt;&gt;0),IF(IFERROR((E25/E26),"")="","",(E25/E26)),INDIRECT("'update Helper'!D"&amp;AT25)/100)</f>
        <v>0.75</v>
      </c>
      <c r="G25" s="552">
        <v>2022</v>
      </c>
      <c r="H25" s="512" t="s">
        <v>780</v>
      </c>
      <c r="I25" s="545" t="str">
        <f>AN25</f>
        <v>Gender,HIV status,Age</v>
      </c>
      <c r="J25" s="552" t="s">
        <v>2212</v>
      </c>
      <c r="K25" s="512" t="s">
        <v>323</v>
      </c>
      <c r="L25" s="141" t="s">
        <v>781</v>
      </c>
      <c r="M25" s="556" t="s">
        <v>650</v>
      </c>
      <c r="N25" s="140"/>
      <c r="O25" s="516">
        <v>0.8</v>
      </c>
      <c r="P25" s="552"/>
      <c r="Q25" s="142"/>
      <c r="R25" s="516">
        <v>0.8</v>
      </c>
      <c r="S25" s="552"/>
      <c r="T25" s="142"/>
      <c r="U25" s="516">
        <v>0.85</v>
      </c>
      <c r="V25" s="552"/>
      <c r="W25" s="142"/>
      <c r="X25" s="516">
        <v>0.85</v>
      </c>
      <c r="Y25" s="552"/>
      <c r="Z25" s="142"/>
      <c r="AA25" s="516">
        <v>0.9</v>
      </c>
      <c r="AB25" s="552"/>
      <c r="AC25" s="142"/>
      <c r="AD25" s="516">
        <v>0.9</v>
      </c>
      <c r="AE25" s="552"/>
      <c r="AF25" s="142"/>
      <c r="AG25" s="516"/>
      <c r="AH25" s="552"/>
      <c r="AI25" s="142"/>
      <c r="AJ25" s="516"/>
      <c r="AK25" s="552"/>
      <c r="AL25" s="512" t="s">
        <v>2222</v>
      </c>
      <c r="AM25" s="554" t="str">
        <f>IFERROR(IF(VLOOKUP(B25,'Reference Records'!$C$192:$D$250,2,FALSE)=0,"",VLOOKUP(B25,'Reference Records'!$C$192:$D$250,2,FALSE)),"")</f>
        <v>MCI-01313</v>
      </c>
      <c r="AN25" s="143" t="str">
        <f t="array" ref="AN25">IFERROR(IF(INDEX('Reference Records'!$D$88:$D$189,MATCH(LEFT(C25,255),LEFT('Reference Records'!$C$88:$C$189,255),0))=0,"",INDEX('Reference Records'!$D$88:$D$189,MATCH(LEFT(C25,255),LEFT('Reference Records'!$C$88:$C$189,255),0))),"")</f>
        <v>Gender,HIV status,Age</v>
      </c>
      <c r="AO25" s="143" t="str">
        <f>CONCATENATE(C25,D25)</f>
        <v>TB/HIV-5 Percentage of registered new and relapse TB patients with documented HIV status</v>
      </c>
      <c r="AP25" s="144" t="str">
        <f t="array" ref="AP25">VLOOKUP(LEFT(C25,255),LEFT('Reference Records'!C$87:G420,255),4,0)</f>
        <v>MCI-01546</v>
      </c>
      <c r="AQ25" s="144" t="e">
        <f>MATCH(AP25,'Reference Records'!$F$512:$F$514,0)+ROW(PopulationByCoverage)-1</f>
        <v>#N/A</v>
      </c>
      <c r="AR25" s="144">
        <f>MATCH(AP25,'Reference Records'!$F$512:$F$514,1)+ROW(PopulationByCoverage)-1</f>
        <v>513</v>
      </c>
      <c r="AS25" s="143" t="str">
        <f>C25&amp;D25</f>
        <v>TB/HIV-5 Percentage of registered new and relapse TB patients with documented HIV status</v>
      </c>
      <c r="AT25" s="143">
        <f t="shared" ref="AT25" si="176">AT23+1</f>
        <v>462</v>
      </c>
      <c r="AU25" s="143">
        <f ca="1">AU23+'update Helper'!$T$2</f>
        <v>583.26086956521704</v>
      </c>
      <c r="AV25" s="143" t="str">
        <f t="shared" ref="AV25" si="177">CLEAN(IFERROR(LEFT(AY25, SEARCH(";",AY25,1)-1),""))</f>
        <v>Non cumulative</v>
      </c>
      <c r="AW25" s="143" t="str">
        <f t="shared" ref="AW25" si="178">SUBSTITUTE(IFERROR(MID(AY25, SEARCH(";",AY25) + 1, SEARCH(";",AY25,SEARCH(";",AY25)+1) - SEARCH(";",AY25) - 1),""),CHAR(10),"")</f>
        <v/>
      </c>
      <c r="AX25" s="145" t="str">
        <f t="shared" ref="AX25" si="179">CLEAN(IFERROR(SUBSTITUTE(RIGHT(AY25,LEN(AY25) - SEARCH(";", AY25, SEARCH(";",AY25) + 1)),";",""),""))</f>
        <v/>
      </c>
      <c r="AY25" s="143" t="str">
        <f t="array" ref="AY25">IFERROR(IF(VLOOKUP(LEFT(C25,255),LEFT('Reference Records'!$C$1:$K$539,255),9,0)=0,"",CONCATENATE(VLOOKUP(LEFT(C25,255),LEFT('Reference Records'!$C$1:$K$539,255),9,0),";")),"")</f>
        <v>Non cumulative;</v>
      </c>
      <c r="AZ25" s="555" t="str">
        <f>IF($BV25="", "", IF($BV25=TRUE, "Yes", "No"))</f>
        <v>No</v>
      </c>
      <c r="BA25" s="558" t="str">
        <f t="shared" ref="BA25" ca="1" si="180">IF($D25="", "",IF(IF(INDIRECT("'update Helper'!W"&amp;AT25)=0,"",INDIRECT("'update Helper'!W"&amp;AT25))=TRUE, "Yes","No"))</f>
        <v/>
      </c>
      <c r="BB25" s="468" t="str">
        <f t="shared" ref="BB25" ca="1" si="181">IF(AND(BS25="Continue",BU25="Continue"),"No Error",IF(AND(BS25&lt;&gt;"Continue",BU25="Continue"),BS25,IF(AND(BU25&lt;&gt;"Continue",BS25="Continue"),BU25,CONCATENATE(BS25,CHAR(10),BU25))))</f>
        <v>No Error</v>
      </c>
      <c r="BC25" s="508" t="str" cm="1">
        <f t="array" ref="BC25">IF(ISBLANK(C25),"Continue",(IF(IFERROR(_xlfn.XMATCH(C25,LEFT('Reference Records'!$C$87:$C$189,32768),0),0)&lt;&gt;0,"Continue","Invalid indicator entry. Select from dropdown list.")))</f>
        <v>Continue</v>
      </c>
      <c r="BD25" s="508" t="str">
        <f t="shared" ref="BD25" si="182">IF(SUM(BE25:BM26)=0, "Continue", "Enter valid number only.")</f>
        <v>Continue</v>
      </c>
      <c r="BE25" s="146">
        <f t="shared" si="0"/>
        <v>0</v>
      </c>
      <c r="BF25" s="146">
        <f t="shared" si="1"/>
        <v>0</v>
      </c>
      <c r="BG25" s="146">
        <f t="shared" si="2"/>
        <v>0</v>
      </c>
      <c r="BH25" s="146">
        <f t="shared" si="3"/>
        <v>0</v>
      </c>
      <c r="BI25" s="146">
        <f t="shared" si="4"/>
        <v>0</v>
      </c>
      <c r="BJ25" s="146">
        <f t="shared" si="5"/>
        <v>0</v>
      </c>
      <c r="BK25" s="146">
        <f t="shared" si="6"/>
        <v>0</v>
      </c>
      <c r="BL25" s="146">
        <f t="shared" si="7"/>
        <v>0</v>
      </c>
      <c r="BM25" s="146">
        <f t="shared" si="8"/>
        <v>0</v>
      </c>
      <c r="BN25" s="467" t="str">
        <f>IF(NOT(ISBLANK(C25)),IF(C25&lt;&gt;"",IF(_xlfn.XLOOKUP(C25,'Reference Records'!$C$87:$C$189,'Reference Records'!$A$87:$A$189,0,0,1)=AM25,"Continue","Select correct module name."),"Continue"),"Continue")</f>
        <v>Continue</v>
      </c>
      <c r="BO25" s="467" t="str">
        <f t="shared" ref="BO25" ca="1" si="183">IF(AND(BC25="Continue",CG25="Continue"),"Continue",IF(AND(BC25&lt;&gt;"Continue",CG25="Continue"),BC25,IF(AND(CG25&lt;&gt;"Continue",BC25="Continue"),CG25,CONCATENATE(BC25,CHAR(10),CG25))))</f>
        <v>Continue</v>
      </c>
      <c r="BP25" s="467" t="str">
        <f t="shared" ref="BP25" ca="1" si="184">IF(AND((AZ25&lt;&gt;""),(BA25&lt;&gt;"")),"Reversed custom indicator selection not applicable. Value pre-populated in standard indicator column.","Continue")</f>
        <v>Continue</v>
      </c>
      <c r="BQ25" s="467" t="str">
        <f t="shared" ref="BQ25" ca="1" si="185">IF(AND(BN25="Continue",BO25="Continue"),"Continue",
IF(AND(BN25&lt;&gt;"Continue",BO25="Continue"),BN25,
IF(AND(BO25&lt;&gt;"Continue",BN25="Continue"),BO25,
CONCATENATE(BN25,CHAR(10),BO25))))</f>
        <v>Continue</v>
      </c>
      <c r="BR25" s="508" t="str" cm="1">
        <f t="array" ref="BR25">IF(ISBLANK(B25),"Continue",(IF(IFERROR(_xlfn.XMATCH(B25,LEFT('Reference Records'!$J$191:$J$250,32768),0),0)&lt;&gt;0,"Continue","Invalid module entry. Select from dropdown list.")))</f>
        <v>Continue</v>
      </c>
      <c r="BS25" s="508" t="str">
        <f t="shared" ref="BS25" ca="1" si="186">IF(AND(BP25="Continue",BQ25="Continue"),"Continue",IF(AND(BP25&lt;&gt;"Continue",BQ25="Continue"),BP25,IF(AND(BQ25&lt;&gt;"Continue",BP25="Continue"),BQ25,CONCATENATE(BP25,CHAR(10),BQ25))))</f>
        <v>Continue</v>
      </c>
      <c r="BT25" s="508" t="str">
        <f t="shared" ref="BT25" si="187">IF(AND(C25="",D25=""),"Continue",IF(AND(C25="",D25&lt;&gt;""),"Continue",IF(AND(C25&lt;&gt;"",D25=""),"Continue",IF(AND(C25&lt;&gt;"",D25&lt;&gt;""),"Cannot enter both standard and custom indicators on the same line."))))</f>
        <v>Continue</v>
      </c>
      <c r="BU25" s="508" t="str">
        <f t="shared" ref="BU25" si="188">IF(AND(BR25="Continue",BT25="Continue"),"Continue",IF(AND(BR25&lt;&gt;"Continue",BT25="Continue"),BR25,IF(AND(BT25&lt;&gt;"Continue",BR25="Continue"),BT25,CONCATENATE(BR25,CHAR(10),BT25))))</f>
        <v>Continue</v>
      </c>
      <c r="BV25" s="538" t="b">
        <f>IFERROR(INDEX('Reference Records'!$L$87:$L$189,MATCH($C25,'Reference Records'!$C$87:$C$189,0)),"")</f>
        <v>0</v>
      </c>
      <c r="BW25" s="538">
        <f t="shared" ref="BW25" ca="1" si="189">IF(NOT(ISBLANK(F25)),IF(F25&lt;&gt;"",(IF(NOT(ISNUMBER(F25)),1,0)),0),0)</f>
        <v>0</v>
      </c>
      <c r="BX25" s="538">
        <f t="shared" ref="BX25" si="190">IF(NOT(ISBLANK(O25)),IF(O25&lt;&gt;"",(IF(NOT(ISNUMBER(O25)),1,0)),0),0)</f>
        <v>0</v>
      </c>
      <c r="BY25" s="538">
        <f t="shared" ref="BY25" si="191">IF(NOT(ISBLANK(R25)),IF(R25&lt;&gt;"",(IF(NOT(ISNUMBER(R25)),1,0)),0),0)</f>
        <v>0</v>
      </c>
      <c r="BZ25" s="538">
        <f t="shared" ref="BZ25" si="192">IF(NOT(ISBLANK(U25)),IF(U25&lt;&gt;"",(IF(NOT(ISNUMBER(U25)),1,0)),0),0)</f>
        <v>0</v>
      </c>
      <c r="CA25" s="538">
        <f t="shared" ref="CA25" si="193">IF(NOT(ISBLANK(X25)),IF(X25&lt;&gt;"",(IF(NOT(ISNUMBER(X25)),1,0)),0),0)</f>
        <v>0</v>
      </c>
      <c r="CB25" s="538">
        <f t="shared" ref="CB25" si="194">IF(NOT(ISBLANK(AA25)),IF(AA25&lt;&gt;"",(IF(NOT(ISNUMBER(AA25)),1,0)),0),0)</f>
        <v>0</v>
      </c>
      <c r="CC25" s="538">
        <f t="shared" ref="CC25" si="195">IF(NOT(ISBLANK(AD25)),IF(AD25&lt;&gt;"",(IF(NOT(ISNUMBER(AD25)),1,0)),0),0)</f>
        <v>0</v>
      </c>
      <c r="CD25" s="538">
        <f t="shared" ref="CD25" si="196">IF(NOT(ISBLANK(AG25)),IF(AG25&lt;&gt;"",(IF(NOT(ISNUMBER(AG25)),1,0)),0),0)</f>
        <v>0</v>
      </c>
      <c r="CE25" s="538">
        <f t="shared" ref="CE25" si="197">IF(NOT(ISBLANK(AJ25)),IF(AJ25&lt;&gt;"",(IF(NOT(ISNUMBER(AJ25)),1,0)),0),0)</f>
        <v>0</v>
      </c>
      <c r="CF25" s="538" t="str">
        <f t="shared" ref="CF25" ca="1" si="198">IF(SUM(BW25:CE26)=0, "Continue", "Enter valid number only.")</f>
        <v>Continue</v>
      </c>
      <c r="CG25" s="538" t="str">
        <f t="shared" ref="CG25" ca="1" si="199">IF(AND(CF25="Continue",BD25="Continue"),"Continue",IF(AND(CF25&lt;&gt;"Continue",BD25="Continue"),CF25,IF(AND(BD25&lt;&gt;"Continue",CF25="Continue"),BD25,CONCATENATE(CF25,CHAR(10)))))</f>
        <v>Continue</v>
      </c>
      <c r="CI25" s="314" t="str">
        <f>IFERROR(IF('Overview - Section A'!$AN$5="Funding Request",
IF(AND('Reference Records'!$B$427&lt;&gt;"",$L25 ='Reference Records'!$B$427),'Reference Records'!$C$427,""),
INDEX('Reference Records'!$A$498:$C$499,MATCH($L25,'Reference Records'!$A$498:$A$499,0),3)),"")</f>
        <v>a1A360000013M2uEAE</v>
      </c>
      <c r="CJ25" s="314" t="str">
        <f>IFERROR(INDEX('Overview - Section A'!$H$102:$H$118,MATCH(IF($B25="", "--select--", $B25),'Overview - Section A'!$C$102:$C$118,0)),"")</f>
        <v>a1PDm000000LrD8MAK</v>
      </c>
      <c r="CK25" s="310" t="str" cm="1">
        <f t="array" ref="CK25">IFERROR(IF($C25="", "", VLOOKUP(LEFT($C25,255),LEFT('Reference Records'!$C$88:$G$189,255),5,0)),"")</f>
        <v>a1ODm000000GnyLMAS</v>
      </c>
    </row>
    <row r="26" spans="1:89" ht="30" customHeight="1">
      <c r="A26" s="523"/>
      <c r="B26" s="513"/>
      <c r="C26" s="513"/>
      <c r="D26" s="513"/>
      <c r="E26" s="140"/>
      <c r="F26" s="517"/>
      <c r="G26" s="553"/>
      <c r="H26" s="513"/>
      <c r="I26" s="546"/>
      <c r="J26" s="553"/>
      <c r="K26" s="513"/>
      <c r="L26" s="147" t="s">
        <v>651</v>
      </c>
      <c r="M26" s="557"/>
      <c r="N26" s="140"/>
      <c r="O26" s="517"/>
      <c r="P26" s="553"/>
      <c r="Q26" s="142"/>
      <c r="R26" s="517"/>
      <c r="S26" s="553"/>
      <c r="T26" s="142"/>
      <c r="U26" s="517"/>
      <c r="V26" s="553"/>
      <c r="W26" s="142"/>
      <c r="X26" s="517"/>
      <c r="Y26" s="553"/>
      <c r="Z26" s="142"/>
      <c r="AA26" s="517"/>
      <c r="AB26" s="553"/>
      <c r="AC26" s="142"/>
      <c r="AD26" s="517"/>
      <c r="AE26" s="553"/>
      <c r="AF26" s="142"/>
      <c r="AG26" s="517"/>
      <c r="AH26" s="553"/>
      <c r="AI26" s="142"/>
      <c r="AJ26" s="517"/>
      <c r="AK26" s="553"/>
      <c r="AL26" s="513"/>
      <c r="AM26" s="554"/>
      <c r="AN26" s="143"/>
      <c r="AO26" s="143"/>
      <c r="AP26" s="143"/>
      <c r="AQ26" s="143"/>
      <c r="AR26" s="143"/>
      <c r="AS26" s="143"/>
      <c r="AT26" s="143"/>
      <c r="AU26" s="143"/>
      <c r="AV26" s="143"/>
      <c r="AW26" s="143"/>
      <c r="AX26" s="145"/>
      <c r="AY26" s="143"/>
      <c r="AZ26" s="555"/>
      <c r="BA26" s="558"/>
      <c r="BB26" s="468"/>
      <c r="BC26" s="508"/>
      <c r="BD26" s="508"/>
      <c r="BE26" s="146">
        <f t="shared" si="0"/>
        <v>0</v>
      </c>
      <c r="BF26" s="146">
        <f t="shared" si="1"/>
        <v>0</v>
      </c>
      <c r="BG26" s="146">
        <f t="shared" si="2"/>
        <v>0</v>
      </c>
      <c r="BH26" s="146">
        <f t="shared" si="3"/>
        <v>0</v>
      </c>
      <c r="BI26" s="146">
        <f t="shared" si="4"/>
        <v>0</v>
      </c>
      <c r="BJ26" s="146">
        <f t="shared" si="5"/>
        <v>0</v>
      </c>
      <c r="BK26" s="146">
        <f t="shared" si="6"/>
        <v>0</v>
      </c>
      <c r="BL26" s="146">
        <f t="shared" si="7"/>
        <v>0</v>
      </c>
      <c r="BM26" s="146">
        <f t="shared" si="8"/>
        <v>0</v>
      </c>
      <c r="BN26" s="467"/>
      <c r="BO26" s="467"/>
      <c r="BP26" s="467"/>
      <c r="BQ26" s="467"/>
      <c r="BR26" s="508"/>
      <c r="BS26" s="508"/>
      <c r="BT26" s="508"/>
      <c r="BU26" s="508"/>
      <c r="BV26" s="538"/>
      <c r="BW26" s="538"/>
      <c r="BX26" s="538"/>
      <c r="BY26" s="538"/>
      <c r="BZ26" s="538"/>
      <c r="CA26" s="538"/>
      <c r="CB26" s="538"/>
      <c r="CC26" s="538"/>
      <c r="CD26" s="538"/>
      <c r="CE26" s="538"/>
      <c r="CF26" s="538"/>
      <c r="CG26" s="538"/>
      <c r="CI26" s="314" t="str">
        <f>IFERROR(IF('Overview - Section A'!$AN$5="Funding Request",
IF(AND('Reference Records'!$B$427&lt;&gt;"",$L26 ='Reference Records'!$B$427),'Reference Records'!$C$427,""),
INDEX('Reference Records'!$A$498:$C$499,MATCH($L26,'Reference Records'!$A$498:$A$499,0),3)),"")</f>
        <v/>
      </c>
      <c r="CJ26" s="314" t="str">
        <f>IFERROR(INDEX('Overview - Section A'!$H$102:$H$118,MATCH(IF($B26="", "--select--", $B26),'Overview - Section A'!$C$102:$C$118,0)),"")</f>
        <v/>
      </c>
      <c r="CK26" s="310" t="str" cm="1">
        <f t="array" ref="CK26">IFERROR(IF($C26="", "", VLOOKUP(LEFT($C26,255),LEFT('Reference Records'!$C$88:$G$189,255),5,0)),"")</f>
        <v/>
      </c>
    </row>
    <row r="27" spans="1:89" ht="30" customHeight="1">
      <c r="A27" s="522">
        <v>10</v>
      </c>
      <c r="B27" s="528" t="s">
        <v>1493</v>
      </c>
      <c r="C27" s="528" t="s">
        <v>1303</v>
      </c>
      <c r="D27" s="528"/>
      <c r="E27" s="148"/>
      <c r="F27" s="524">
        <f ca="1">IF(OR(INDIRECT("'update Helper'!D"&amp;AT27)="",E27&lt;&gt;0,E28&lt;&gt;0),IF(IFERROR((E27/E28),"")="","",(E27/E28)),INDIRECT("'update Helper'!D"&amp;AT27)/100)</f>
        <v>0.86</v>
      </c>
      <c r="G27" s="543">
        <v>2021</v>
      </c>
      <c r="H27" s="528" t="s">
        <v>780</v>
      </c>
      <c r="I27" s="545" t="str">
        <f>AN27</f>
        <v>Gender,Age</v>
      </c>
      <c r="J27" s="543" t="s">
        <v>2212</v>
      </c>
      <c r="K27" s="528" t="s">
        <v>323</v>
      </c>
      <c r="L27" s="149" t="s">
        <v>781</v>
      </c>
      <c r="M27" s="547" t="s">
        <v>650</v>
      </c>
      <c r="N27" s="148"/>
      <c r="O27" s="524">
        <v>0.9</v>
      </c>
      <c r="P27" s="543"/>
      <c r="Q27" s="150"/>
      <c r="R27" s="524">
        <v>0.9</v>
      </c>
      <c r="S27" s="543"/>
      <c r="T27" s="150"/>
      <c r="U27" s="524">
        <v>0.92</v>
      </c>
      <c r="V27" s="543"/>
      <c r="W27" s="150"/>
      <c r="X27" s="524">
        <v>0.92</v>
      </c>
      <c r="Y27" s="543"/>
      <c r="Z27" s="150"/>
      <c r="AA27" s="524">
        <v>0.95</v>
      </c>
      <c r="AB27" s="543"/>
      <c r="AC27" s="150"/>
      <c r="AD27" s="524">
        <v>0.95</v>
      </c>
      <c r="AE27" s="543"/>
      <c r="AF27" s="150"/>
      <c r="AG27" s="549"/>
      <c r="AH27" s="543"/>
      <c r="AI27" s="150"/>
      <c r="AJ27" s="549"/>
      <c r="AK27" s="543"/>
      <c r="AL27" s="528" t="s">
        <v>2223</v>
      </c>
      <c r="AM27" s="476" t="str">
        <f>IFERROR(IF(VLOOKUP(B27,'Reference Records'!$C$192:$D$250,2,FALSE)=0,"",VLOOKUP(B27,'Reference Records'!$C$192:$D$250,2,FALSE)),"")</f>
        <v>MCI-01313</v>
      </c>
      <c r="AN27" s="48" t="str">
        <f t="array" ref="AN27">IFERROR(IF(INDEX('Reference Records'!$D$88:$D$189,MATCH(LEFT(C27,255),LEFT('Reference Records'!$C$88:$C$189,255),0))=0,"",INDEX('Reference Records'!$D$88:$D$189,MATCH(LEFT(C27,255),LEFT('Reference Records'!$C$88:$C$189,255),0))),"")</f>
        <v>Gender,Age</v>
      </c>
      <c r="AO27" s="48" t="str">
        <f>CONCATENATE(C27,D27)</f>
        <v>TB/HIV-6 Percentage of HIV-positive new and relapse TB patients on ART during TB treatment</v>
      </c>
      <c r="AP27" s="151" t="str">
        <f t="array" ref="AP27">VLOOKUP(LEFT(C27,255),LEFT('Reference Records'!C$87:G422,255),4,0)</f>
        <v>MCI-01547</v>
      </c>
      <c r="AQ27" s="151" t="e">
        <f>MATCH(AP27,'Reference Records'!$F$512:$F$514,0)+ROW(PopulationByCoverage)-1</f>
        <v>#N/A</v>
      </c>
      <c r="AR27" s="151">
        <f>MATCH(AP27,'Reference Records'!$F$512:$F$514,1)+ROW(PopulationByCoverage)-1</f>
        <v>513</v>
      </c>
      <c r="AS27" s="48" t="str">
        <f>C27&amp;D27</f>
        <v>TB/HIV-6 Percentage of HIV-positive new and relapse TB patients on ART during TB treatment</v>
      </c>
      <c r="AT27" s="48">
        <f t="shared" ref="AT27" si="200">AT25+1</f>
        <v>463</v>
      </c>
      <c r="AU27" s="48">
        <f ca="1">AU25+'update Helper'!$T$2</f>
        <v>590.04347826086916</v>
      </c>
      <c r="AV27" s="48" t="str">
        <f t="shared" ref="AV27" si="201">CLEAN(IFERROR(LEFT(AY27, SEARCH(";",AY27,1)-1),""))</f>
        <v>Non cumulative</v>
      </c>
      <c r="AW27" s="48" t="str">
        <f t="shared" ref="AW27" si="202">SUBSTITUTE(IFERROR(MID(AY27, SEARCH(";",AY27) + 1, SEARCH(";",AY27,SEARCH(";",AY27)+1) - SEARCH(";",AY27) - 1),""),CHAR(10),"")</f>
        <v/>
      </c>
      <c r="AX27" s="152" t="str">
        <f t="shared" ref="AX27" si="203">CLEAN(IFERROR(SUBSTITUTE(RIGHT(AY27,LEN(AY27) - SEARCH(";", AY27, SEARCH(";",AY27) + 1)),";",""),""))</f>
        <v/>
      </c>
      <c r="AY27" s="48" t="str">
        <f t="array" ref="AY27">IFERROR(IF(VLOOKUP(LEFT(C27,255),LEFT('Reference Records'!$C$1:$K$539,255),9,0)=0,"",CONCATENATE(VLOOKUP(LEFT(C27,255),LEFT('Reference Records'!$C$1:$K$539,255),9,0),";")),"")</f>
        <v>Non cumulative;</v>
      </c>
      <c r="AZ27" s="551" t="str">
        <f>IF($BV27="", "", IF($BV27=TRUE, "Yes", "No"))</f>
        <v>No</v>
      </c>
      <c r="BA27" s="559" t="str">
        <f t="shared" ref="BA27" ca="1" si="204">IF($D27="", "",IF(IF(INDIRECT("'update Helper'!W"&amp;AT27)=0,"",INDIRECT("'update Helper'!W"&amp;AT27))=TRUE, "Yes","No"))</f>
        <v/>
      </c>
      <c r="BB27" s="468" t="str">
        <f t="shared" ref="BB27" ca="1" si="205">IF(AND(BS27="Continue",BU27="Continue"),"No Error",IF(AND(BS27&lt;&gt;"Continue",BU27="Continue"),BS27,IF(AND(BU27&lt;&gt;"Continue",BS27="Continue"),BU27,CONCATENATE(BS27,CHAR(10),BU27))))</f>
        <v>No Error</v>
      </c>
      <c r="BC27" s="508" t="str" cm="1">
        <f t="array" ref="BC27">IF(ISBLANK(C27),"Continue",(IF(IFERROR(_xlfn.XMATCH(C27,LEFT('Reference Records'!$C$87:$C$189,32768),0),0)&lt;&gt;0,"Continue","Invalid indicator entry. Select from dropdown list.")))</f>
        <v>Continue</v>
      </c>
      <c r="BD27" s="508" t="str">
        <f t="shared" ref="BD27" si="206">IF(SUM(BE27:BM28)=0, "Continue", "Enter valid number only.")</f>
        <v>Continue</v>
      </c>
      <c r="BE27" s="146">
        <f t="shared" si="0"/>
        <v>0</v>
      </c>
      <c r="BF27" s="146">
        <f t="shared" si="1"/>
        <v>0</v>
      </c>
      <c r="BG27" s="146">
        <f t="shared" si="2"/>
        <v>0</v>
      </c>
      <c r="BH27" s="146">
        <f t="shared" si="3"/>
        <v>0</v>
      </c>
      <c r="BI27" s="146">
        <f t="shared" si="4"/>
        <v>0</v>
      </c>
      <c r="BJ27" s="146">
        <f t="shared" si="5"/>
        <v>0</v>
      </c>
      <c r="BK27" s="146">
        <f t="shared" si="6"/>
        <v>0</v>
      </c>
      <c r="BL27" s="146">
        <f t="shared" si="7"/>
        <v>0</v>
      </c>
      <c r="BM27" s="146">
        <f t="shared" si="8"/>
        <v>0</v>
      </c>
      <c r="BN27" s="467" t="str">
        <f>IF(NOT(ISBLANK(C27)),IF(C27&lt;&gt;"",IF(_xlfn.XLOOKUP(C27,'Reference Records'!$C$87:$C$189,'Reference Records'!$A$87:$A$189,0,0,1)=AM27,"Continue","Select correct module name."),"Continue"),"Continue")</f>
        <v>Continue</v>
      </c>
      <c r="BO27" s="467" t="str">
        <f t="shared" ref="BO27" ca="1" si="207">IF(AND(BC27="Continue",CG27="Continue"),"Continue",IF(AND(BC27&lt;&gt;"Continue",CG27="Continue"),BC27,IF(AND(CG27&lt;&gt;"Continue",BC27="Continue"),CG27,CONCATENATE(BC27,CHAR(10),CG27))))</f>
        <v>Continue</v>
      </c>
      <c r="BP27" s="467" t="str">
        <f t="shared" ref="BP27" ca="1" si="208">IF(AND((AZ27&lt;&gt;""),(BA27&lt;&gt;"")),"Reversed custom indicator selection not applicable. Value pre-populated in standard indicator column.","Continue")</f>
        <v>Continue</v>
      </c>
      <c r="BQ27" s="467" t="str">
        <f t="shared" ref="BQ27" ca="1" si="209">IF(AND(BN27="Continue",BO27="Continue"),"Continue",
IF(AND(BN27&lt;&gt;"Continue",BO27="Continue"),BN27,
IF(AND(BO27&lt;&gt;"Continue",BN27="Continue"),BO27,
CONCATENATE(BN27,CHAR(10),BO27))))</f>
        <v>Continue</v>
      </c>
      <c r="BR27" s="508" t="str" cm="1">
        <f t="array" ref="BR27">IF(ISBLANK(B27),"Continue",(IF(IFERROR(_xlfn.XMATCH(B27,LEFT('Reference Records'!$J$191:$J$250,32768),0),0)&lt;&gt;0,"Continue","Invalid module entry. Select from dropdown list.")))</f>
        <v>Continue</v>
      </c>
      <c r="BS27" s="508" t="str">
        <f t="shared" ref="BS27" ca="1" si="210">IF(AND(BP27="Continue",BQ27="Continue"),"Continue",IF(AND(BP27&lt;&gt;"Continue",BQ27="Continue"),BP27,IF(AND(BQ27&lt;&gt;"Continue",BP27="Continue"),BQ27,CONCATENATE(BP27,CHAR(10),BQ27))))</f>
        <v>Continue</v>
      </c>
      <c r="BT27" s="508" t="str">
        <f t="shared" ref="BT27" si="211">IF(AND(C27="",D27=""),"Continue",IF(AND(C27="",D27&lt;&gt;""),"Continue",IF(AND(C27&lt;&gt;"",D27=""),"Continue",IF(AND(C27&lt;&gt;"",D27&lt;&gt;""),"Cannot enter both standard and custom indicators on the same line."))))</f>
        <v>Continue</v>
      </c>
      <c r="BU27" s="508" t="str">
        <f t="shared" ref="BU27" si="212">IF(AND(BR27="Continue",BT27="Continue"),"Continue",IF(AND(BR27&lt;&gt;"Continue",BT27="Continue"),BR27,IF(AND(BT27&lt;&gt;"Continue",BR27="Continue"),BT27,CONCATENATE(BR27,CHAR(10),BT27))))</f>
        <v>Continue</v>
      </c>
      <c r="BV27" s="538" t="b">
        <f>IFERROR(INDEX('Reference Records'!$L$87:$L$189,MATCH($C27,'Reference Records'!$C$87:$C$189,0)),"")</f>
        <v>0</v>
      </c>
      <c r="BW27" s="538">
        <f t="shared" ref="BW27" ca="1" si="213">IF(NOT(ISBLANK(F27)),IF(F27&lt;&gt;"",(IF(NOT(ISNUMBER(F27)),1,0)),0),0)</f>
        <v>0</v>
      </c>
      <c r="BX27" s="538">
        <f t="shared" ref="BX27" si="214">IF(NOT(ISBLANK(O27)),IF(O27&lt;&gt;"",(IF(NOT(ISNUMBER(O27)),1,0)),0),0)</f>
        <v>0</v>
      </c>
      <c r="BY27" s="538">
        <f t="shared" ref="BY27" si="215">IF(NOT(ISBLANK(R27)),IF(R27&lt;&gt;"",(IF(NOT(ISNUMBER(R27)),1,0)),0),0)</f>
        <v>0</v>
      </c>
      <c r="BZ27" s="538">
        <f t="shared" ref="BZ27" si="216">IF(NOT(ISBLANK(U27)),IF(U27&lt;&gt;"",(IF(NOT(ISNUMBER(U27)),1,0)),0),0)</f>
        <v>0</v>
      </c>
      <c r="CA27" s="538">
        <f t="shared" ref="CA27" si="217">IF(NOT(ISBLANK(X27)),IF(X27&lt;&gt;"",(IF(NOT(ISNUMBER(X27)),1,0)),0),0)</f>
        <v>0</v>
      </c>
      <c r="CB27" s="538">
        <f t="shared" ref="CB27" si="218">IF(NOT(ISBLANK(AA27)),IF(AA27&lt;&gt;"",(IF(NOT(ISNUMBER(AA27)),1,0)),0),0)</f>
        <v>0</v>
      </c>
      <c r="CC27" s="538">
        <f t="shared" ref="CC27" si="219">IF(NOT(ISBLANK(AD27)),IF(AD27&lt;&gt;"",(IF(NOT(ISNUMBER(AD27)),1,0)),0),0)</f>
        <v>0</v>
      </c>
      <c r="CD27" s="538">
        <f t="shared" ref="CD27" si="220">IF(NOT(ISBLANK(AG27)),IF(AG27&lt;&gt;"",(IF(NOT(ISNUMBER(AG27)),1,0)),0),0)</f>
        <v>0</v>
      </c>
      <c r="CE27" s="538">
        <f t="shared" ref="CE27" si="221">IF(NOT(ISBLANK(AJ27)),IF(AJ27&lt;&gt;"",(IF(NOT(ISNUMBER(AJ27)),1,0)),0),0)</f>
        <v>0</v>
      </c>
      <c r="CF27" s="538" t="str">
        <f t="shared" ref="CF27" ca="1" si="222">IF(SUM(BW27:CE28)=0, "Continue", "Enter valid number only.")</f>
        <v>Continue</v>
      </c>
      <c r="CG27" s="538" t="str">
        <f t="shared" ref="CG27" ca="1" si="223">IF(AND(CF27="Continue",BD27="Continue"),"Continue",IF(AND(CF27&lt;&gt;"Continue",BD27="Continue"),CF27,IF(AND(BD27&lt;&gt;"Continue",CF27="Continue"),BD27,CONCATENATE(CF27,CHAR(10)))))</f>
        <v>Continue</v>
      </c>
      <c r="CI27" s="314" t="str">
        <f>IFERROR(IF('Overview - Section A'!$AN$5="Funding Request",
IF(AND('Reference Records'!$B$427&lt;&gt;"",$L27 ='Reference Records'!$B$427),'Reference Records'!$C$427,""),
INDEX('Reference Records'!$A$498:$C$499,MATCH($L27,'Reference Records'!$A$498:$A$499,0),3)),"")</f>
        <v>a1A360000013M2uEAE</v>
      </c>
      <c r="CJ27" s="314" t="str">
        <f>IFERROR(INDEX('Overview - Section A'!$H$102:$H$118,MATCH(IF($B27="", "--select--", $B27),'Overview - Section A'!$C$102:$C$118,0)),"")</f>
        <v>a1PDm000000LrD8MAK</v>
      </c>
      <c r="CK27" s="310" t="str" cm="1">
        <f t="array" ref="CK27">IFERROR(IF($C27="", "", VLOOKUP(LEFT($C27,255),LEFT('Reference Records'!$C$88:$G$189,255),5,0)),"")</f>
        <v>a1ODm000000GnyMMAS</v>
      </c>
    </row>
    <row r="28" spans="1:89" ht="30" customHeight="1">
      <c r="A28" s="523"/>
      <c r="B28" s="529"/>
      <c r="C28" s="529"/>
      <c r="D28" s="529"/>
      <c r="E28" s="148"/>
      <c r="F28" s="525"/>
      <c r="G28" s="544"/>
      <c r="H28" s="529"/>
      <c r="I28" s="546"/>
      <c r="J28" s="544"/>
      <c r="K28" s="529"/>
      <c r="L28" s="153" t="s">
        <v>651</v>
      </c>
      <c r="M28" s="548"/>
      <c r="N28" s="148"/>
      <c r="O28" s="525"/>
      <c r="P28" s="544"/>
      <c r="Q28" s="150"/>
      <c r="R28" s="525"/>
      <c r="S28" s="544"/>
      <c r="T28" s="150"/>
      <c r="U28" s="525"/>
      <c r="V28" s="544"/>
      <c r="W28" s="150"/>
      <c r="X28" s="525"/>
      <c r="Y28" s="544"/>
      <c r="Z28" s="150"/>
      <c r="AA28" s="525"/>
      <c r="AB28" s="544"/>
      <c r="AC28" s="150"/>
      <c r="AD28" s="525"/>
      <c r="AE28" s="544"/>
      <c r="AF28" s="150"/>
      <c r="AG28" s="550"/>
      <c r="AH28" s="544"/>
      <c r="AI28" s="150"/>
      <c r="AJ28" s="550"/>
      <c r="AK28" s="544"/>
      <c r="AL28" s="529"/>
      <c r="AM28" s="476"/>
      <c r="AX28" s="152"/>
      <c r="AZ28" s="551"/>
      <c r="BA28" s="559"/>
      <c r="BB28" s="468"/>
      <c r="BC28" s="508"/>
      <c r="BD28" s="508"/>
      <c r="BE28" s="146">
        <f t="shared" si="0"/>
        <v>0</v>
      </c>
      <c r="BF28" s="146">
        <f t="shared" si="1"/>
        <v>0</v>
      </c>
      <c r="BG28" s="146">
        <f t="shared" si="2"/>
        <v>0</v>
      </c>
      <c r="BH28" s="146">
        <f t="shared" si="3"/>
        <v>0</v>
      </c>
      <c r="BI28" s="146">
        <f t="shared" si="4"/>
        <v>0</v>
      </c>
      <c r="BJ28" s="146">
        <f t="shared" si="5"/>
        <v>0</v>
      </c>
      <c r="BK28" s="146">
        <f t="shared" si="6"/>
        <v>0</v>
      </c>
      <c r="BL28" s="146">
        <f t="shared" si="7"/>
        <v>0</v>
      </c>
      <c r="BM28" s="146">
        <f t="shared" si="8"/>
        <v>0</v>
      </c>
      <c r="BN28" s="467"/>
      <c r="BO28" s="467"/>
      <c r="BP28" s="467"/>
      <c r="BQ28" s="467"/>
      <c r="BR28" s="508"/>
      <c r="BS28" s="508"/>
      <c r="BT28" s="508"/>
      <c r="BU28" s="508"/>
      <c r="BV28" s="538"/>
      <c r="BW28" s="538"/>
      <c r="BX28" s="538"/>
      <c r="BY28" s="538"/>
      <c r="BZ28" s="538"/>
      <c r="CA28" s="538"/>
      <c r="CB28" s="538"/>
      <c r="CC28" s="538"/>
      <c r="CD28" s="538"/>
      <c r="CE28" s="538"/>
      <c r="CF28" s="538"/>
      <c r="CG28" s="538"/>
      <c r="CI28" s="314" t="str">
        <f>IFERROR(IF('Overview - Section A'!$AN$5="Funding Request",
IF(AND('Reference Records'!$B$427&lt;&gt;"",$L28 ='Reference Records'!$B$427),'Reference Records'!$C$427,""),
INDEX('Reference Records'!$A$498:$C$499,MATCH($L28,'Reference Records'!$A$498:$A$499,0),3)),"")</f>
        <v/>
      </c>
      <c r="CJ28" s="314" t="str">
        <f>IFERROR(INDEX('Overview - Section A'!$H$102:$H$118,MATCH(IF($B28="", "--select--", $B28),'Overview - Section A'!$C$102:$C$118,0)),"")</f>
        <v/>
      </c>
      <c r="CK28" s="310" t="str" cm="1">
        <f t="array" ref="CK28">IFERROR(IF($C28="", "", VLOOKUP(LEFT($C28,255),LEFT('Reference Records'!$C$88:$G$189,255),5,0)),"")</f>
        <v/>
      </c>
    </row>
    <row r="29" spans="1:89" ht="30" customHeight="1">
      <c r="A29" s="522">
        <v>11</v>
      </c>
      <c r="B29" s="512" t="s">
        <v>1563</v>
      </c>
      <c r="C29" s="512" t="s">
        <v>1269</v>
      </c>
      <c r="D29" s="512"/>
      <c r="E29" s="140"/>
      <c r="F29" s="516">
        <f ca="1">IF(OR(INDIRECT("'update Helper'!D"&amp;AT29)="",E29&lt;&gt;0,E30&lt;&gt;0),IF(IFERROR((E29/E30),"")="","",(E29/E30)),INDIRECT("'update Helper'!D"&amp;AT29)/100)</f>
        <v>0.8</v>
      </c>
      <c r="G29" s="552">
        <v>2021</v>
      </c>
      <c r="H29" s="512" t="s">
        <v>2199</v>
      </c>
      <c r="I29" s="545" t="str">
        <f>AN29</f>
        <v>HIV status,Treatment regimen,Gender,Provider type,Age</v>
      </c>
      <c r="J29" s="552" t="s">
        <v>2212</v>
      </c>
      <c r="K29" s="512" t="s">
        <v>323</v>
      </c>
      <c r="L29" s="141" t="s">
        <v>781</v>
      </c>
      <c r="M29" s="556" t="s">
        <v>650</v>
      </c>
      <c r="N29" s="140"/>
      <c r="O29" s="516">
        <v>0.85</v>
      </c>
      <c r="P29" s="552"/>
      <c r="Q29" s="142"/>
      <c r="R29" s="516">
        <v>0.85</v>
      </c>
      <c r="S29" s="552"/>
      <c r="T29" s="142"/>
      <c r="U29" s="516">
        <v>0.85</v>
      </c>
      <c r="V29" s="552"/>
      <c r="W29" s="142"/>
      <c r="X29" s="516">
        <v>0.85</v>
      </c>
      <c r="Y29" s="552"/>
      <c r="Z29" s="142"/>
      <c r="AA29" s="516">
        <v>0.85</v>
      </c>
      <c r="AB29" s="552"/>
      <c r="AC29" s="142"/>
      <c r="AD29" s="516">
        <v>0.85</v>
      </c>
      <c r="AE29" s="552"/>
      <c r="AF29" s="142"/>
      <c r="AG29" s="516"/>
      <c r="AH29" s="552"/>
      <c r="AI29" s="142"/>
      <c r="AJ29" s="516"/>
      <c r="AK29" s="552"/>
      <c r="AL29" s="512" t="s">
        <v>2186</v>
      </c>
      <c r="AM29" s="554" t="str">
        <f>IFERROR(IF(VLOOKUP(B29,'Reference Records'!$C$192:$D$250,2,FALSE)=0,"",VLOOKUP(B29,'Reference Records'!$C$192:$D$250,2,FALSE)),"")</f>
        <v>MCI-01309</v>
      </c>
      <c r="AN29" s="143" t="str">
        <f t="array" ref="AN29">IFERROR(IF(INDEX('Reference Records'!$D$88:$D$189,MATCH(LEFT(C29,255),LEFT('Reference Records'!$C$88:$C$189,255),0))=0,"",INDEX('Reference Records'!$D$88:$D$189,MATCH(LEFT(C29,255),LEFT('Reference Records'!$C$88:$C$189,255),0))),"")</f>
        <v>HIV status,Treatment regimen,Gender,Provider type,Age</v>
      </c>
      <c r="AO29" s="143" t="str">
        <f>CONCATENATE(C29,D29)</f>
        <v>DRTB-9 Treatment success rate of RR-TB and/or MDR-TB: Percentage of patients with RR and/or MDR-TB successfully treated</v>
      </c>
      <c r="AP29" s="144" t="str">
        <f t="array" ref="AP29">VLOOKUP(LEFT(C29,255),LEFT('Reference Records'!C$87:G424,255),4,0)</f>
        <v>MCI-01559</v>
      </c>
      <c r="AQ29" s="144" t="e">
        <f>MATCH(AP29,'Reference Records'!$F$512:$F$514,0)+ROW(PopulationByCoverage)-1</f>
        <v>#N/A</v>
      </c>
      <c r="AR29" s="144">
        <f>MATCH(AP29,'Reference Records'!$F$512:$F$514,1)+ROW(PopulationByCoverage)-1</f>
        <v>513</v>
      </c>
      <c r="AS29" s="143" t="str">
        <f>C29&amp;D29</f>
        <v>DRTB-9 Treatment success rate of RR-TB and/or MDR-TB: Percentage of patients with RR and/or MDR-TB successfully treated</v>
      </c>
      <c r="AT29" s="143">
        <f t="shared" ref="AT29" si="224">AT27+1</f>
        <v>464</v>
      </c>
      <c r="AU29" s="143">
        <f ca="1">AU27+'update Helper'!$T$2</f>
        <v>596.82608695652129</v>
      </c>
      <c r="AV29" s="143" t="str">
        <f t="shared" ref="AV29" si="225">CLEAN(IFERROR(LEFT(AY29, SEARCH(";",AY29,1)-1),""))</f>
        <v>Non cumulative</v>
      </c>
      <c r="AW29" s="143" t="str">
        <f t="shared" ref="AW29" si="226">SUBSTITUTE(IFERROR(MID(AY29, SEARCH(";",AY29) + 1, SEARCH(";",AY29,SEARCH(";",AY29)+1) - SEARCH(";",AY29) - 1),""),CHAR(10),"")</f>
        <v/>
      </c>
      <c r="AX29" s="145" t="str">
        <f t="shared" ref="AX29" si="227">CLEAN(IFERROR(SUBSTITUTE(RIGHT(AY29,LEN(AY29) - SEARCH(";", AY29, SEARCH(";",AY29) + 1)),";",""),""))</f>
        <v/>
      </c>
      <c r="AY29" s="143" t="str">
        <f t="array" ref="AY29">IFERROR(IF(VLOOKUP(LEFT(C29,255),LEFT('Reference Records'!$C$1:$K$539,255),9,0)=0,"",CONCATENATE(VLOOKUP(LEFT(C29,255),LEFT('Reference Records'!$C$1:$K$539,255),9,0),";")),"")</f>
        <v>Non cumulative;</v>
      </c>
      <c r="AZ29" s="555" t="str">
        <f>IF($BV29="", "", IF($BV29=TRUE, "Yes", "No"))</f>
        <v>No</v>
      </c>
      <c r="BA29" s="558" t="str">
        <f t="shared" ref="BA29" ca="1" si="228">IF($D29="", "",IF(IF(INDIRECT("'update Helper'!W"&amp;AT29)=0,"",INDIRECT("'update Helper'!W"&amp;AT29))=TRUE, "Yes","No"))</f>
        <v/>
      </c>
      <c r="BB29" s="468" t="str">
        <f t="shared" ref="BB29" ca="1" si="229">IF(AND(BS29="Continue",BU29="Continue"),"No Error",IF(AND(BS29&lt;&gt;"Continue",BU29="Continue"),BS29,IF(AND(BU29&lt;&gt;"Continue",BS29="Continue"),BU29,CONCATENATE(BS29,CHAR(10),BU29))))</f>
        <v>No Error</v>
      </c>
      <c r="BC29" s="508" t="str" cm="1">
        <f t="array" ref="BC29">IF(ISBLANK(C29),"Continue",(IF(IFERROR(_xlfn.XMATCH(C29,LEFT('Reference Records'!$C$87:$C$189,32768),0),0)&lt;&gt;0,"Continue","Invalid indicator entry. Select from dropdown list.")))</f>
        <v>Continue</v>
      </c>
      <c r="BD29" s="508" t="str">
        <f t="shared" ref="BD29" si="230">IF(SUM(BE29:BM30)=0, "Continue", "Enter valid number only.")</f>
        <v>Continue</v>
      </c>
      <c r="BE29" s="146">
        <f t="shared" si="0"/>
        <v>0</v>
      </c>
      <c r="BF29" s="146">
        <f t="shared" si="1"/>
        <v>0</v>
      </c>
      <c r="BG29" s="146">
        <f t="shared" si="2"/>
        <v>0</v>
      </c>
      <c r="BH29" s="146">
        <f t="shared" si="3"/>
        <v>0</v>
      </c>
      <c r="BI29" s="146">
        <f t="shared" si="4"/>
        <v>0</v>
      </c>
      <c r="BJ29" s="146">
        <f t="shared" si="5"/>
        <v>0</v>
      </c>
      <c r="BK29" s="146">
        <f t="shared" si="6"/>
        <v>0</v>
      </c>
      <c r="BL29" s="146">
        <f t="shared" si="7"/>
        <v>0</v>
      </c>
      <c r="BM29" s="146">
        <f t="shared" si="8"/>
        <v>0</v>
      </c>
      <c r="BN29" s="467" t="str">
        <f>IF(NOT(ISBLANK(C29)),IF(C29&lt;&gt;"",IF(_xlfn.XLOOKUP(C29,'Reference Records'!$C$87:$C$189,'Reference Records'!$A$87:$A$189,0,0,1)=AM29,"Continue","Select correct module name."),"Continue"),"Continue")</f>
        <v>Continue</v>
      </c>
      <c r="BO29" s="467" t="str">
        <f t="shared" ref="BO29" ca="1" si="231">IF(AND(BC29="Continue",CG29="Continue"),"Continue",IF(AND(BC29&lt;&gt;"Continue",CG29="Continue"),BC29,IF(AND(CG29&lt;&gt;"Continue",BC29="Continue"),CG29,CONCATENATE(BC29,CHAR(10),CG29))))</f>
        <v>Continue</v>
      </c>
      <c r="BP29" s="467" t="str">
        <f t="shared" ref="BP29" ca="1" si="232">IF(AND((AZ29&lt;&gt;""),(BA29&lt;&gt;"")),"Reversed custom indicator selection not applicable. Value pre-populated in standard indicator column.","Continue")</f>
        <v>Continue</v>
      </c>
      <c r="BQ29" s="467" t="str">
        <f t="shared" ref="BQ29" ca="1" si="233">IF(AND(BN29="Continue",BO29="Continue"),"Continue",
IF(AND(BN29&lt;&gt;"Continue",BO29="Continue"),BN29,
IF(AND(BO29&lt;&gt;"Continue",BN29="Continue"),BO29,
CONCATENATE(BN29,CHAR(10),BO29))))</f>
        <v>Continue</v>
      </c>
      <c r="BR29" s="508" t="str" cm="1">
        <f t="array" ref="BR29">IF(ISBLANK(B29),"Continue",(IF(IFERROR(_xlfn.XMATCH(B29,LEFT('Reference Records'!$J$191:$J$250,32768),0),0)&lt;&gt;0,"Continue","Invalid module entry. Select from dropdown list.")))</f>
        <v>Continue</v>
      </c>
      <c r="BS29" s="508" t="str">
        <f t="shared" ref="BS29" ca="1" si="234">IF(AND(BP29="Continue",BQ29="Continue"),"Continue",IF(AND(BP29&lt;&gt;"Continue",BQ29="Continue"),BP29,IF(AND(BQ29&lt;&gt;"Continue",BP29="Continue"),BQ29,CONCATENATE(BP29,CHAR(10),BQ29))))</f>
        <v>Continue</v>
      </c>
      <c r="BT29" s="508" t="str">
        <f t="shared" ref="BT29" si="235">IF(AND(C29="",D29=""),"Continue",IF(AND(C29="",D29&lt;&gt;""),"Continue",IF(AND(C29&lt;&gt;"",D29=""),"Continue",IF(AND(C29&lt;&gt;"",D29&lt;&gt;""),"Cannot enter both standard and custom indicators on the same line."))))</f>
        <v>Continue</v>
      </c>
      <c r="BU29" s="508" t="str">
        <f t="shared" ref="BU29" si="236">IF(AND(BR29="Continue",BT29="Continue"),"Continue",IF(AND(BR29&lt;&gt;"Continue",BT29="Continue"),BR29,IF(AND(BT29&lt;&gt;"Continue",BR29="Continue"),BT29,CONCATENATE(BR29,CHAR(10),BT29))))</f>
        <v>Continue</v>
      </c>
      <c r="BV29" s="538" t="b">
        <f>IFERROR(INDEX('Reference Records'!$L$87:$L$189,MATCH($C29,'Reference Records'!$C$87:$C$189,0)),"")</f>
        <v>0</v>
      </c>
      <c r="BW29" s="538">
        <f t="shared" ref="BW29" ca="1" si="237">IF(NOT(ISBLANK(F29)),IF(F29&lt;&gt;"",(IF(NOT(ISNUMBER(F29)),1,0)),0),0)</f>
        <v>0</v>
      </c>
      <c r="BX29" s="538">
        <f t="shared" ref="BX29" si="238">IF(NOT(ISBLANK(O29)),IF(O29&lt;&gt;"",(IF(NOT(ISNUMBER(O29)),1,0)),0),0)</f>
        <v>0</v>
      </c>
      <c r="BY29" s="538">
        <f t="shared" ref="BY29" si="239">IF(NOT(ISBLANK(R29)),IF(R29&lt;&gt;"",(IF(NOT(ISNUMBER(R29)),1,0)),0),0)</f>
        <v>0</v>
      </c>
      <c r="BZ29" s="538">
        <f t="shared" ref="BZ29" si="240">IF(NOT(ISBLANK(U29)),IF(U29&lt;&gt;"",(IF(NOT(ISNUMBER(U29)),1,0)),0),0)</f>
        <v>0</v>
      </c>
      <c r="CA29" s="538">
        <f t="shared" ref="CA29" si="241">IF(NOT(ISBLANK(X29)),IF(X29&lt;&gt;"",(IF(NOT(ISNUMBER(X29)),1,0)),0),0)</f>
        <v>0</v>
      </c>
      <c r="CB29" s="538">
        <f t="shared" ref="CB29" si="242">IF(NOT(ISBLANK(AA29)),IF(AA29&lt;&gt;"",(IF(NOT(ISNUMBER(AA29)),1,0)),0),0)</f>
        <v>0</v>
      </c>
      <c r="CC29" s="538">
        <f t="shared" ref="CC29" si="243">IF(NOT(ISBLANK(AD29)),IF(AD29&lt;&gt;"",(IF(NOT(ISNUMBER(AD29)),1,0)),0),0)</f>
        <v>0</v>
      </c>
      <c r="CD29" s="538">
        <f t="shared" ref="CD29" si="244">IF(NOT(ISBLANK(AG29)),IF(AG29&lt;&gt;"",(IF(NOT(ISNUMBER(AG29)),1,0)),0),0)</f>
        <v>0</v>
      </c>
      <c r="CE29" s="538">
        <f t="shared" ref="CE29" si="245">IF(NOT(ISBLANK(AJ29)),IF(AJ29&lt;&gt;"",(IF(NOT(ISNUMBER(AJ29)),1,0)),0),0)</f>
        <v>0</v>
      </c>
      <c r="CF29" s="538" t="str">
        <f t="shared" ref="CF29" ca="1" si="246">IF(SUM(BW29:CE30)=0, "Continue", "Enter valid number only.")</f>
        <v>Continue</v>
      </c>
      <c r="CG29" s="538" t="str">
        <f t="shared" ref="CG29" ca="1" si="247">IF(AND(CF29="Continue",BD29="Continue"),"Continue",IF(AND(CF29&lt;&gt;"Continue",BD29="Continue"),CF29,IF(AND(BD29&lt;&gt;"Continue",CF29="Continue"),BD29,CONCATENATE(CF29,CHAR(10)))))</f>
        <v>Continue</v>
      </c>
      <c r="CI29" s="314" t="str">
        <f>IFERROR(IF('Overview - Section A'!$AN$5="Funding Request",
IF(AND('Reference Records'!$B$427&lt;&gt;"",$L29 ='Reference Records'!$B$427),'Reference Records'!$C$427,""),
INDEX('Reference Records'!$A$498:$C$499,MATCH($L29,'Reference Records'!$A$498:$A$499,0),3)),"")</f>
        <v>a1A360000013M2uEAE</v>
      </c>
      <c r="CJ29" s="314" t="str">
        <f>IFERROR(INDEX('Overview - Section A'!$H$102:$H$118,MATCH(IF($B29="", "--select--", $B29),'Overview - Section A'!$C$102:$C$118,0)),"")</f>
        <v>a1PDm000000LrD5MAK</v>
      </c>
      <c r="CK29" s="310" t="str" cm="1">
        <f t="array" ref="CK29">IFERROR(IF($C29="", "", VLOOKUP(LEFT($C29,255),LEFT('Reference Records'!$C$88:$G$189,255),5,0)),"")</f>
        <v>a1ODm000000GnyYMAS</v>
      </c>
    </row>
    <row r="30" spans="1:89" ht="30" customHeight="1">
      <c r="A30" s="523"/>
      <c r="B30" s="513"/>
      <c r="C30" s="513"/>
      <c r="D30" s="513"/>
      <c r="E30" s="140"/>
      <c r="F30" s="517"/>
      <c r="G30" s="553"/>
      <c r="H30" s="513"/>
      <c r="I30" s="546"/>
      <c r="J30" s="553"/>
      <c r="K30" s="513"/>
      <c r="L30" s="147" t="s">
        <v>651</v>
      </c>
      <c r="M30" s="557"/>
      <c r="N30" s="140"/>
      <c r="O30" s="517"/>
      <c r="P30" s="553"/>
      <c r="Q30" s="142"/>
      <c r="R30" s="517"/>
      <c r="S30" s="553"/>
      <c r="T30" s="142"/>
      <c r="U30" s="517"/>
      <c r="V30" s="553"/>
      <c r="W30" s="142"/>
      <c r="X30" s="517"/>
      <c r="Y30" s="553"/>
      <c r="Z30" s="142"/>
      <c r="AA30" s="517"/>
      <c r="AB30" s="553"/>
      <c r="AC30" s="142"/>
      <c r="AD30" s="517"/>
      <c r="AE30" s="553"/>
      <c r="AF30" s="142"/>
      <c r="AG30" s="517"/>
      <c r="AH30" s="553"/>
      <c r="AI30" s="142"/>
      <c r="AJ30" s="517"/>
      <c r="AK30" s="553"/>
      <c r="AL30" s="513"/>
      <c r="AM30" s="554"/>
      <c r="AN30" s="143"/>
      <c r="AO30" s="143"/>
      <c r="AP30" s="143"/>
      <c r="AQ30" s="143"/>
      <c r="AR30" s="143"/>
      <c r="AS30" s="143"/>
      <c r="AT30" s="143"/>
      <c r="AU30" s="143"/>
      <c r="AV30" s="143"/>
      <c r="AW30" s="143"/>
      <c r="AX30" s="145"/>
      <c r="AY30" s="143"/>
      <c r="AZ30" s="555"/>
      <c r="BA30" s="558"/>
      <c r="BB30" s="468"/>
      <c r="BC30" s="508"/>
      <c r="BD30" s="508"/>
      <c r="BE30" s="146">
        <f t="shared" si="0"/>
        <v>0</v>
      </c>
      <c r="BF30" s="146">
        <f t="shared" si="1"/>
        <v>0</v>
      </c>
      <c r="BG30" s="146">
        <f t="shared" si="2"/>
        <v>0</v>
      </c>
      <c r="BH30" s="146">
        <f t="shared" si="3"/>
        <v>0</v>
      </c>
      <c r="BI30" s="146">
        <f t="shared" si="4"/>
        <v>0</v>
      </c>
      <c r="BJ30" s="146">
        <f t="shared" si="5"/>
        <v>0</v>
      </c>
      <c r="BK30" s="146">
        <f t="shared" si="6"/>
        <v>0</v>
      </c>
      <c r="BL30" s="146">
        <f t="shared" si="7"/>
        <v>0</v>
      </c>
      <c r="BM30" s="146">
        <f t="shared" si="8"/>
        <v>0</v>
      </c>
      <c r="BN30" s="467"/>
      <c r="BO30" s="467"/>
      <c r="BP30" s="467"/>
      <c r="BQ30" s="467"/>
      <c r="BR30" s="508"/>
      <c r="BS30" s="508"/>
      <c r="BT30" s="508"/>
      <c r="BU30" s="508"/>
      <c r="BV30" s="538"/>
      <c r="BW30" s="538"/>
      <c r="BX30" s="538"/>
      <c r="BY30" s="538"/>
      <c r="BZ30" s="538"/>
      <c r="CA30" s="538"/>
      <c r="CB30" s="538"/>
      <c r="CC30" s="538"/>
      <c r="CD30" s="538"/>
      <c r="CE30" s="538"/>
      <c r="CF30" s="538"/>
      <c r="CG30" s="538"/>
      <c r="CI30" s="314" t="str">
        <f>IFERROR(IF('Overview - Section A'!$AN$5="Funding Request",
IF(AND('Reference Records'!$B$427&lt;&gt;"",$L30 ='Reference Records'!$B$427),'Reference Records'!$C$427,""),
INDEX('Reference Records'!$A$498:$C$499,MATCH($L30,'Reference Records'!$A$498:$A$499,0),3)),"")</f>
        <v/>
      </c>
      <c r="CJ30" s="314" t="str">
        <f>IFERROR(INDEX('Overview - Section A'!$H$102:$H$118,MATCH(IF($B30="", "--select--", $B30),'Overview - Section A'!$C$102:$C$118,0)),"")</f>
        <v/>
      </c>
      <c r="CK30" s="310" t="str" cm="1">
        <f t="array" ref="CK30">IFERROR(IF($C30="", "", VLOOKUP(LEFT($C30,255),LEFT('Reference Records'!$C$88:$G$189,255),5,0)),"")</f>
        <v/>
      </c>
    </row>
    <row r="31" spans="1:89" ht="30" customHeight="1">
      <c r="A31" s="522">
        <v>12</v>
      </c>
      <c r="B31" s="528"/>
      <c r="C31" s="528"/>
      <c r="D31" s="528"/>
      <c r="E31" s="148"/>
      <c r="F31" s="524" t="str">
        <f ca="1">IF(OR(INDIRECT("'update Helper'!D"&amp;AT31)="",E31&lt;&gt;0,E32&lt;&gt;0),IF(IFERROR((E31/E32),"")="","",(E31/E32)),INDIRECT("'update Helper'!D"&amp;AT31)/100)</f>
        <v/>
      </c>
      <c r="G31" s="543"/>
      <c r="H31" s="528"/>
      <c r="I31" s="545" t="str">
        <f>AN31</f>
        <v/>
      </c>
      <c r="J31" s="543"/>
      <c r="K31" s="528"/>
      <c r="L31" s="149"/>
      <c r="M31" s="547"/>
      <c r="N31" s="148"/>
      <c r="O31" s="524"/>
      <c r="P31" s="543"/>
      <c r="Q31" s="150"/>
      <c r="R31" s="524"/>
      <c r="S31" s="543"/>
      <c r="T31" s="150"/>
      <c r="U31" s="524"/>
      <c r="V31" s="543"/>
      <c r="W31" s="150"/>
      <c r="X31" s="524"/>
      <c r="Y31" s="543"/>
      <c r="Z31" s="150"/>
      <c r="AA31" s="524"/>
      <c r="AB31" s="543"/>
      <c r="AC31" s="150"/>
      <c r="AD31" s="524"/>
      <c r="AE31" s="543"/>
      <c r="AF31" s="150"/>
      <c r="AG31" s="549"/>
      <c r="AH31" s="543"/>
      <c r="AI31" s="150"/>
      <c r="AJ31" s="549"/>
      <c r="AK31" s="543"/>
      <c r="AL31" s="528"/>
      <c r="AM31" s="476" t="str">
        <f>IFERROR(IF(VLOOKUP(B31,'Reference Records'!$C$192:$D$250,2,FALSE)=0,"",VLOOKUP(B31,'Reference Records'!$C$192:$D$250,2,FALSE)),"")</f>
        <v/>
      </c>
      <c r="AN31" s="48" t="str">
        <f t="array" ref="AN31">IFERROR(IF(INDEX('Reference Records'!$D$88:$D$189,MATCH(LEFT(C31,255),LEFT('Reference Records'!$C$88:$C$189,255),0))=0,"",INDEX('Reference Records'!$D$88:$D$189,MATCH(LEFT(C31,255),LEFT('Reference Records'!$C$88:$C$189,255),0))),"")</f>
        <v/>
      </c>
      <c r="AO31" s="48" t="str">
        <f>CONCATENATE(C31,D31)</f>
        <v/>
      </c>
      <c r="AP31" s="151" t="str">
        <f t="array" ref="AP31">VLOOKUP(LEFT(C31,255),LEFT('Reference Records'!C$87:G426,255),4,0)</f>
        <v/>
      </c>
      <c r="AQ31" s="151" t="e">
        <f>MATCH(AP31,'Reference Records'!$F$512:$F$514,0)+ROW(PopulationByCoverage)-1</f>
        <v>#N/A</v>
      </c>
      <c r="AR31" s="151" t="e">
        <f>MATCH(AP31,'Reference Records'!$F$512:$F$514,1)+ROW(PopulationByCoverage)-1</f>
        <v>#N/A</v>
      </c>
      <c r="AS31" s="48" t="str">
        <f>C31&amp;D31</f>
        <v/>
      </c>
      <c r="AT31" s="48">
        <f t="shared" ref="AT31" si="248">AT29+1</f>
        <v>465</v>
      </c>
      <c r="AU31" s="48">
        <f ca="1">AU29+'update Helper'!$T$2</f>
        <v>603.60869565217342</v>
      </c>
      <c r="AV31" s="48" t="str">
        <f t="shared" ref="AV31" si="249">CLEAN(IFERROR(LEFT(AY31, SEARCH(";",AY31,1)-1),""))</f>
        <v/>
      </c>
      <c r="AW31" s="48" t="str">
        <f t="shared" ref="AW31" si="250">SUBSTITUTE(IFERROR(MID(AY31, SEARCH(";",AY31) + 1, SEARCH(";",AY31,SEARCH(";",AY31)+1) - SEARCH(";",AY31) - 1),""),CHAR(10),"")</f>
        <v/>
      </c>
      <c r="AX31" s="152" t="str">
        <f t="shared" ref="AX31" si="251">CLEAN(IFERROR(SUBSTITUTE(RIGHT(AY31,LEN(AY31) - SEARCH(";", AY31, SEARCH(";",AY31) + 1)),";",""),""))</f>
        <v/>
      </c>
      <c r="AY31" s="48" t="str">
        <f t="array" ref="AY31">IFERROR(IF(VLOOKUP(LEFT(C31,255),LEFT('Reference Records'!$C$1:$K$539,255),9,0)=0,"",CONCATENATE(VLOOKUP(LEFT(C31,255),LEFT('Reference Records'!$C$1:$K$539,255),9,0),";")),"")</f>
        <v>;</v>
      </c>
      <c r="AZ31" s="551" t="str">
        <f>IF($BV31="", "", IF($BV31=TRUE, "Yes", "No"))</f>
        <v/>
      </c>
      <c r="BA31" s="559" t="str">
        <f t="shared" ref="BA31" ca="1" si="252">IF($D31="", "",IF(IF(INDIRECT("'update Helper'!W"&amp;AT31)=0,"",INDIRECT("'update Helper'!W"&amp;AT31))=TRUE, "Yes","No"))</f>
        <v/>
      </c>
      <c r="BB31" s="468" t="str">
        <f t="shared" ref="BB31" ca="1" si="253">IF(AND(BS31="Continue",BU31="Continue"),"No Error",IF(AND(BS31&lt;&gt;"Continue",BU31="Continue"),BS31,IF(AND(BU31&lt;&gt;"Continue",BS31="Continue"),BU31,CONCATENATE(BS31,CHAR(10),BU31))))</f>
        <v>No Error</v>
      </c>
      <c r="BC31" s="508" t="str" cm="1">
        <f t="array" ref="BC31">IF(ISBLANK(C31),"Continue",(IF(IFERROR(_xlfn.XMATCH(C31,LEFT('Reference Records'!$C$87:$C$189,32768),0),0)&lt;&gt;0,"Continue","Invalid indicator entry. Select from dropdown list.")))</f>
        <v>Continue</v>
      </c>
      <c r="BD31" s="508" t="str">
        <f t="shared" ref="BD31" si="254">IF(SUM(BE31:BM32)=0, "Continue", "Enter valid number only.")</f>
        <v>Continue</v>
      </c>
      <c r="BE31" s="146">
        <f t="shared" si="0"/>
        <v>0</v>
      </c>
      <c r="BF31" s="146">
        <f t="shared" si="1"/>
        <v>0</v>
      </c>
      <c r="BG31" s="146">
        <f t="shared" si="2"/>
        <v>0</v>
      </c>
      <c r="BH31" s="146">
        <f t="shared" si="3"/>
        <v>0</v>
      </c>
      <c r="BI31" s="146">
        <f t="shared" si="4"/>
        <v>0</v>
      </c>
      <c r="BJ31" s="146">
        <f t="shared" si="5"/>
        <v>0</v>
      </c>
      <c r="BK31" s="146">
        <f t="shared" si="6"/>
        <v>0</v>
      </c>
      <c r="BL31" s="146">
        <f t="shared" si="7"/>
        <v>0</v>
      </c>
      <c r="BM31" s="146">
        <f t="shared" si="8"/>
        <v>0</v>
      </c>
      <c r="BN31" s="467" t="str">
        <f>IF(NOT(ISBLANK(C31)),IF(C31&lt;&gt;"",IF(_xlfn.XLOOKUP(C31,'Reference Records'!$C$87:$C$189,'Reference Records'!$A$87:$A$189,0,0,1)=AM31,"Continue","Select correct module name."),"Continue"),"Continue")</f>
        <v>Continue</v>
      </c>
      <c r="BO31" s="467" t="str">
        <f t="shared" ref="BO31" ca="1" si="255">IF(AND(BC31="Continue",CG31="Continue"),"Continue",IF(AND(BC31&lt;&gt;"Continue",CG31="Continue"),BC31,IF(AND(CG31&lt;&gt;"Continue",BC31="Continue"),CG31,CONCATENATE(BC31,CHAR(10),CG31))))</f>
        <v>Continue</v>
      </c>
      <c r="BP31" s="467" t="str">
        <f t="shared" ref="BP31" ca="1" si="256">IF(AND((AZ31&lt;&gt;""),(BA31&lt;&gt;"")),"Reversed custom indicator selection not applicable. Value pre-populated in standard indicator column.","Continue")</f>
        <v>Continue</v>
      </c>
      <c r="BQ31" s="467" t="str">
        <f t="shared" ref="BQ31" ca="1" si="257">IF(AND(BN31="Continue",BO31="Continue"),"Continue",
IF(AND(BN31&lt;&gt;"Continue",BO31="Continue"),BN31,
IF(AND(BO31&lt;&gt;"Continue",BN31="Continue"),BO31,
CONCATENATE(BN31,CHAR(10),BO31))))</f>
        <v>Continue</v>
      </c>
      <c r="BR31" s="508" t="str" cm="1">
        <f t="array" ref="BR31">IF(ISBLANK(B31),"Continue",(IF(IFERROR(_xlfn.XMATCH(B31,LEFT('Reference Records'!$J$191:$J$250,32768),0),0)&lt;&gt;0,"Continue","Invalid module entry. Select from dropdown list.")))</f>
        <v>Continue</v>
      </c>
      <c r="BS31" s="508" t="str">
        <f t="shared" ref="BS31" ca="1" si="258">IF(AND(BP31="Continue",BQ31="Continue"),"Continue",IF(AND(BP31&lt;&gt;"Continue",BQ31="Continue"),BP31,IF(AND(BQ31&lt;&gt;"Continue",BP31="Continue"),BQ31,CONCATENATE(BP31,CHAR(10),BQ31))))</f>
        <v>Continue</v>
      </c>
      <c r="BT31" s="508" t="str">
        <f t="shared" ref="BT31" si="259">IF(AND(C31="",D31=""),"Continue",IF(AND(C31="",D31&lt;&gt;""),"Continue",IF(AND(C31&lt;&gt;"",D31=""),"Continue",IF(AND(C31&lt;&gt;"",D31&lt;&gt;""),"Cannot enter both standard and custom indicators on the same line."))))</f>
        <v>Continue</v>
      </c>
      <c r="BU31" s="508" t="str">
        <f t="shared" ref="BU31" si="260">IF(AND(BR31="Continue",BT31="Continue"),"Continue",IF(AND(BR31&lt;&gt;"Continue",BT31="Continue"),BR31,IF(AND(BT31&lt;&gt;"Continue",BR31="Continue"),BT31,CONCATENATE(BR31,CHAR(10),BT31))))</f>
        <v>Continue</v>
      </c>
      <c r="BV31" s="538" t="str">
        <f>IFERROR(INDEX('Reference Records'!$L$87:$L$189,MATCH($C31,'Reference Records'!$C$87:$C$189,0)),"")</f>
        <v/>
      </c>
      <c r="BW31" s="538">
        <f t="shared" ref="BW31" ca="1" si="261">IF(NOT(ISBLANK(F31)),IF(F31&lt;&gt;"",(IF(NOT(ISNUMBER(F31)),1,0)),0),0)</f>
        <v>0</v>
      </c>
      <c r="BX31" s="538">
        <f t="shared" ref="BX31" si="262">IF(NOT(ISBLANK(O31)),IF(O31&lt;&gt;"",(IF(NOT(ISNUMBER(O31)),1,0)),0),0)</f>
        <v>0</v>
      </c>
      <c r="BY31" s="538">
        <f t="shared" ref="BY31" si="263">IF(NOT(ISBLANK(R31)),IF(R31&lt;&gt;"",(IF(NOT(ISNUMBER(R31)),1,0)),0),0)</f>
        <v>0</v>
      </c>
      <c r="BZ31" s="538">
        <f t="shared" ref="BZ31" si="264">IF(NOT(ISBLANK(U31)),IF(U31&lt;&gt;"",(IF(NOT(ISNUMBER(U31)),1,0)),0),0)</f>
        <v>0</v>
      </c>
      <c r="CA31" s="538">
        <f t="shared" ref="CA31" si="265">IF(NOT(ISBLANK(X31)),IF(X31&lt;&gt;"",(IF(NOT(ISNUMBER(X31)),1,0)),0),0)</f>
        <v>0</v>
      </c>
      <c r="CB31" s="538">
        <f t="shared" ref="CB31" si="266">IF(NOT(ISBLANK(AA31)),IF(AA31&lt;&gt;"",(IF(NOT(ISNUMBER(AA31)),1,0)),0),0)</f>
        <v>0</v>
      </c>
      <c r="CC31" s="538">
        <f t="shared" ref="CC31" si="267">IF(NOT(ISBLANK(AD31)),IF(AD31&lt;&gt;"",(IF(NOT(ISNUMBER(AD31)),1,0)),0),0)</f>
        <v>0</v>
      </c>
      <c r="CD31" s="538">
        <f t="shared" ref="CD31" si="268">IF(NOT(ISBLANK(AG31)),IF(AG31&lt;&gt;"",(IF(NOT(ISNUMBER(AG31)),1,0)),0),0)</f>
        <v>0</v>
      </c>
      <c r="CE31" s="538">
        <f t="shared" ref="CE31" si="269">IF(NOT(ISBLANK(AJ31)),IF(AJ31&lt;&gt;"",(IF(NOT(ISNUMBER(AJ31)),1,0)),0),0)</f>
        <v>0</v>
      </c>
      <c r="CF31" s="538" t="str">
        <f t="shared" ref="CF31" ca="1" si="270">IF(SUM(BW31:CE32)=0, "Continue", "Enter valid number only.")</f>
        <v>Continue</v>
      </c>
      <c r="CG31" s="538" t="str">
        <f t="shared" ref="CG31" ca="1" si="271">IF(AND(CF31="Continue",BD31="Continue"),"Continue",IF(AND(CF31&lt;&gt;"Continue",BD31="Continue"),CF31,IF(AND(BD31&lt;&gt;"Continue",CF31="Continue"),BD31,CONCATENATE(CF31,CHAR(10)))))</f>
        <v>Continue</v>
      </c>
      <c r="CI31" s="314" t="str">
        <f>IFERROR(IF('Overview - Section A'!$AN$5="Funding Request",
IF(AND('Reference Records'!$B$427&lt;&gt;"",$L31 ='Reference Records'!$B$427),'Reference Records'!$C$427,""),
INDEX('Reference Records'!$A$498:$C$499,MATCH($L31,'Reference Records'!$A$498:$A$499,0),3)),"")</f>
        <v/>
      </c>
      <c r="CJ31" s="314" t="str">
        <f>IFERROR(INDEX('Overview - Section A'!$H$102:$H$118,MATCH(IF($B31="", "--select--", $B31),'Overview - Section A'!$C$102:$C$118,0)),"")</f>
        <v/>
      </c>
      <c r="CK31" s="310" t="str" cm="1">
        <f t="array" ref="CK31">IFERROR(IF($C31="", "", VLOOKUP(LEFT($C31,255),LEFT('Reference Records'!$C$88:$G$189,255),5,0)),"")</f>
        <v/>
      </c>
    </row>
    <row r="32" spans="1:89" ht="30" customHeight="1">
      <c r="A32" s="523"/>
      <c r="B32" s="529"/>
      <c r="C32" s="529"/>
      <c r="D32" s="529"/>
      <c r="E32" s="148"/>
      <c r="F32" s="525"/>
      <c r="G32" s="544"/>
      <c r="H32" s="529"/>
      <c r="I32" s="546"/>
      <c r="J32" s="544"/>
      <c r="K32" s="529"/>
      <c r="L32" s="153"/>
      <c r="M32" s="548"/>
      <c r="N32" s="148"/>
      <c r="O32" s="525"/>
      <c r="P32" s="544"/>
      <c r="Q32" s="150"/>
      <c r="R32" s="525"/>
      <c r="S32" s="544"/>
      <c r="T32" s="150"/>
      <c r="U32" s="525"/>
      <c r="V32" s="544"/>
      <c r="W32" s="150"/>
      <c r="X32" s="525"/>
      <c r="Y32" s="544"/>
      <c r="Z32" s="150"/>
      <c r="AA32" s="525"/>
      <c r="AB32" s="544"/>
      <c r="AC32" s="150"/>
      <c r="AD32" s="525"/>
      <c r="AE32" s="544"/>
      <c r="AF32" s="150"/>
      <c r="AG32" s="550"/>
      <c r="AH32" s="544"/>
      <c r="AI32" s="150"/>
      <c r="AJ32" s="550"/>
      <c r="AK32" s="544"/>
      <c r="AL32" s="529"/>
      <c r="AM32" s="476"/>
      <c r="AX32" s="152"/>
      <c r="AZ32" s="551"/>
      <c r="BA32" s="559"/>
      <c r="BB32" s="468"/>
      <c r="BC32" s="508"/>
      <c r="BD32" s="508"/>
      <c r="BE32" s="146">
        <f t="shared" si="0"/>
        <v>0</v>
      </c>
      <c r="BF32" s="146">
        <f t="shared" si="1"/>
        <v>0</v>
      </c>
      <c r="BG32" s="146">
        <f t="shared" si="2"/>
        <v>0</v>
      </c>
      <c r="BH32" s="146">
        <f t="shared" si="3"/>
        <v>0</v>
      </c>
      <c r="BI32" s="146">
        <f t="shared" si="4"/>
        <v>0</v>
      </c>
      <c r="BJ32" s="146">
        <f t="shared" si="5"/>
        <v>0</v>
      </c>
      <c r="BK32" s="146">
        <f t="shared" si="6"/>
        <v>0</v>
      </c>
      <c r="BL32" s="146">
        <f t="shared" si="7"/>
        <v>0</v>
      </c>
      <c r="BM32" s="146">
        <f t="shared" si="8"/>
        <v>0</v>
      </c>
      <c r="BN32" s="467"/>
      <c r="BO32" s="467"/>
      <c r="BP32" s="467"/>
      <c r="BQ32" s="467"/>
      <c r="BR32" s="508"/>
      <c r="BS32" s="508"/>
      <c r="BT32" s="508"/>
      <c r="BU32" s="508"/>
      <c r="BV32" s="538"/>
      <c r="BW32" s="538"/>
      <c r="BX32" s="538"/>
      <c r="BY32" s="538"/>
      <c r="BZ32" s="538"/>
      <c r="CA32" s="538"/>
      <c r="CB32" s="538"/>
      <c r="CC32" s="538"/>
      <c r="CD32" s="538"/>
      <c r="CE32" s="538"/>
      <c r="CF32" s="538"/>
      <c r="CG32" s="538"/>
      <c r="CI32" s="314" t="str">
        <f>IFERROR(IF('Overview - Section A'!$AN$5="Funding Request",
IF(AND('Reference Records'!$B$427&lt;&gt;"",$L32 ='Reference Records'!$B$427),'Reference Records'!$C$427,""),
INDEX('Reference Records'!$A$498:$C$499,MATCH($L32,'Reference Records'!$A$498:$A$499,0),3)),"")</f>
        <v/>
      </c>
      <c r="CJ32" s="314" t="str">
        <f>IFERROR(INDEX('Overview - Section A'!$H$102:$H$118,MATCH(IF($B32="", "--select--", $B32),'Overview - Section A'!$C$102:$C$118,0)),"")</f>
        <v/>
      </c>
      <c r="CK32" s="310" t="str" cm="1">
        <f t="array" ref="CK32">IFERROR(IF($C32="", "", VLOOKUP(LEFT($C32,255),LEFT('Reference Records'!$C$88:$G$189,255),5,0)),"")</f>
        <v/>
      </c>
    </row>
    <row r="33" spans="1:89" ht="30" customHeight="1">
      <c r="A33" s="522">
        <v>13</v>
      </c>
      <c r="B33" s="512" t="s">
        <v>1443</v>
      </c>
      <c r="C33" s="512" t="s">
        <v>1091</v>
      </c>
      <c r="D33" s="512"/>
      <c r="E33" s="140">
        <v>18243</v>
      </c>
      <c r="F33" s="516">
        <f ca="1">IF(OR(INDIRECT("'update Helper'!D"&amp;AT33)="",E33&lt;&gt;0,E34&lt;&gt;0),IF(IFERROR((E33/E34),"")="","",(E33/E34)),INDIRECT("'update Helper'!D"&amp;AT33)/100)</f>
        <v>0.15132279751396624</v>
      </c>
      <c r="G33" s="552">
        <v>2021</v>
      </c>
      <c r="H33" s="512" t="s">
        <v>2192</v>
      </c>
      <c r="I33" s="545" t="str">
        <f>AN33</f>
        <v>Age</v>
      </c>
      <c r="J33" s="552" t="s">
        <v>2212</v>
      </c>
      <c r="K33" s="512" t="s">
        <v>340</v>
      </c>
      <c r="L33" s="141"/>
      <c r="M33" s="556" t="s">
        <v>650</v>
      </c>
      <c r="N33" s="140">
        <v>44331.5</v>
      </c>
      <c r="O33" s="516">
        <v>0.355264760659185</v>
      </c>
      <c r="P33" s="552"/>
      <c r="Q33" s="142">
        <v>44331.5</v>
      </c>
      <c r="R33" s="516">
        <v>0.355264760659185</v>
      </c>
      <c r="S33" s="552"/>
      <c r="T33" s="142">
        <v>53422.5</v>
      </c>
      <c r="U33" s="516">
        <v>0.41605044706586014</v>
      </c>
      <c r="V33" s="552"/>
      <c r="W33" s="142">
        <v>53422.5</v>
      </c>
      <c r="X33" s="516">
        <v>0.41605044706586014</v>
      </c>
      <c r="Y33" s="552"/>
      <c r="Z33" s="142">
        <v>62760.5</v>
      </c>
      <c r="AA33" s="516">
        <v>0.47500150423513149</v>
      </c>
      <c r="AB33" s="552"/>
      <c r="AC33" s="142">
        <v>62760.5</v>
      </c>
      <c r="AD33" s="516">
        <v>0.47500150423513149</v>
      </c>
      <c r="AE33" s="552"/>
      <c r="AF33" s="142"/>
      <c r="AG33" s="516"/>
      <c r="AH33" s="552"/>
      <c r="AI33" s="142"/>
      <c r="AJ33" s="516"/>
      <c r="AK33" s="552"/>
      <c r="AL33" s="512" t="s">
        <v>2224</v>
      </c>
      <c r="AM33" s="554" t="str">
        <f>IFERROR(IF(VLOOKUP(B33,'Reference Records'!$C$192:$D$250,2,FALSE)=0,"",VLOOKUP(B33,'Reference Records'!$C$192:$D$250,2,FALSE)),"")</f>
        <v>MCI-01296</v>
      </c>
      <c r="AN33" s="143" t="str">
        <f t="array" ref="AN33">IFERROR(IF(INDEX('Reference Records'!$D$88:$D$189,MATCH(LEFT(C33,255),LEFT('Reference Records'!$C$88:$C$189,255),0))=0,"",INDEX('Reference Records'!$D$88:$D$189,MATCH(LEFT(C33,255),LEFT('Reference Records'!$C$88:$C$189,255),0))),"")</f>
        <v>Age</v>
      </c>
      <c r="AO33" s="143" t="str">
        <f>CONCATENATE(C33,D33)</f>
        <v>KP-1a Percentage of men who have sex with men reached with HIV prevention programs - defined package of services</v>
      </c>
      <c r="AP33" s="144" t="str">
        <f t="array" ref="AP33">VLOOKUP(LEFT(C33,255),LEFT('Reference Records'!C$87:G428,255),4,0)</f>
        <v>MCI-01623</v>
      </c>
      <c r="AQ33" s="144" t="e">
        <f>MATCH(AP33,'Reference Records'!$F$512:$F$514,0)+ROW(PopulationByCoverage)-1</f>
        <v>#N/A</v>
      </c>
      <c r="AR33" s="144">
        <f>MATCH(AP33,'Reference Records'!$F$512:$F$514,1)+ROW(PopulationByCoverage)-1</f>
        <v>513</v>
      </c>
      <c r="AS33" s="143" t="str">
        <f>C33&amp;D33</f>
        <v>KP-1a Percentage of men who have sex with men reached with HIV prevention programs - defined package of services</v>
      </c>
      <c r="AT33" s="143">
        <f t="shared" ref="AT33" si="272">AT31+1</f>
        <v>466</v>
      </c>
      <c r="AU33" s="143">
        <f ca="1">AU31+'update Helper'!$T$2</f>
        <v>610.39130434782555</v>
      </c>
      <c r="AV33" s="143" t="str">
        <f t="shared" ref="AV33" si="273">CLEAN(IFERROR(LEFT(AY33, SEARCH(";",AY33,1)-1),""))</f>
        <v>Non cumulative</v>
      </c>
      <c r="AW33" s="143" t="str">
        <f t="shared" ref="AW33" si="274">SUBSTITUTE(IFERROR(MID(AY33, SEARCH(";",AY33) + 1, SEARCH(";",AY33,SEARCH(";",AY33)+1) - SEARCH(";",AY33) - 1),""),CHAR(10),"")</f>
        <v>Non cumulative – other</v>
      </c>
      <c r="AX33" s="145" t="str">
        <f t="shared" ref="AX33" si="275">CLEAN(IFERROR(SUBSTITUTE(RIGHT(AY33,LEN(AY33) - SEARCH(";", AY33, SEARCH(";",AY33) + 1)),";",""),""))</f>
        <v>Non cumulative - special</v>
      </c>
      <c r="AY33" s="143" t="str">
        <f t="array" ref="AY33">IFERROR(IF(VLOOKUP(LEFT(C33,255),LEFT('Reference Records'!$C$1:$K$539,255),9,0)=0,"",CONCATENATE(VLOOKUP(LEFT(C33,255),LEFT('Reference Records'!$C$1:$K$539,255),9,0),";")),"")</f>
        <v>Non cumulative;Non cumulative – other;Non cumulative - special;</v>
      </c>
      <c r="AZ33" s="555" t="str">
        <f>IF($BV33="", "", IF($BV33=TRUE, "Yes", "No"))</f>
        <v>No</v>
      </c>
      <c r="BA33" s="558" t="str">
        <f t="shared" ref="BA33" ca="1" si="276">IF($D33="", "",IF(IF(INDIRECT("'update Helper'!W"&amp;AT33)=0,"",INDIRECT("'update Helper'!W"&amp;AT33))=TRUE, "Yes","No"))</f>
        <v/>
      </c>
      <c r="BB33" s="468" t="str">
        <f t="shared" ref="BB33" ca="1" si="277">IF(AND(BS33="Continue",BU33="Continue"),"No Error",IF(AND(BS33&lt;&gt;"Continue",BU33="Continue"),BS33,IF(AND(BU33&lt;&gt;"Continue",BS33="Continue"),BU33,CONCATENATE(BS33,CHAR(10),BU33))))</f>
        <v>No Error</v>
      </c>
      <c r="BC33" s="508" t="str" cm="1">
        <f t="array" ref="BC33">IF(ISBLANK(C33),"Continue",(IF(IFERROR(_xlfn.XMATCH(C33,LEFT('Reference Records'!$C$87:$C$189,32768),0),0)&lt;&gt;0,"Continue","Invalid indicator entry. Select from dropdown list.")))</f>
        <v>Continue</v>
      </c>
      <c r="BD33" s="508" t="str">
        <f t="shared" ref="BD33" si="278">IF(SUM(BE33:BM34)=0, "Continue", "Enter valid number only.")</f>
        <v>Continue</v>
      </c>
      <c r="BE33" s="146">
        <f t="shared" si="0"/>
        <v>0</v>
      </c>
      <c r="BF33" s="146">
        <f t="shared" si="1"/>
        <v>0</v>
      </c>
      <c r="BG33" s="146">
        <f t="shared" si="2"/>
        <v>0</v>
      </c>
      <c r="BH33" s="146">
        <f t="shared" si="3"/>
        <v>0</v>
      </c>
      <c r="BI33" s="146">
        <f t="shared" si="4"/>
        <v>0</v>
      </c>
      <c r="BJ33" s="146">
        <f t="shared" si="5"/>
        <v>0</v>
      </c>
      <c r="BK33" s="146">
        <f t="shared" si="6"/>
        <v>0</v>
      </c>
      <c r="BL33" s="146">
        <f t="shared" si="7"/>
        <v>0</v>
      </c>
      <c r="BM33" s="146">
        <f t="shared" si="8"/>
        <v>0</v>
      </c>
      <c r="BN33" s="467" t="str">
        <f>IF(NOT(ISBLANK(C33)),IF(C33&lt;&gt;"",IF(_xlfn.XLOOKUP(C33,'Reference Records'!$C$87:$C$189,'Reference Records'!$A$87:$A$189,0,0,1)=AM33,"Continue","Select correct module name."),"Continue"),"Continue")</f>
        <v>Continue</v>
      </c>
      <c r="BO33" s="467" t="str">
        <f t="shared" ref="BO33" ca="1" si="279">IF(AND(BC33="Continue",CG33="Continue"),"Continue",IF(AND(BC33&lt;&gt;"Continue",CG33="Continue"),BC33,IF(AND(CG33&lt;&gt;"Continue",BC33="Continue"),CG33,CONCATENATE(BC33,CHAR(10),CG33))))</f>
        <v>Continue</v>
      </c>
      <c r="BP33" s="467" t="str">
        <f t="shared" ref="BP33" ca="1" si="280">IF(AND((AZ33&lt;&gt;""),(BA33&lt;&gt;"")),"Reversed custom indicator selection not applicable. Value pre-populated in standard indicator column.","Continue")</f>
        <v>Continue</v>
      </c>
      <c r="BQ33" s="467" t="str">
        <f t="shared" ref="BQ33" ca="1" si="281">IF(AND(BN33="Continue",BO33="Continue"),"Continue",
IF(AND(BN33&lt;&gt;"Continue",BO33="Continue"),BN33,
IF(AND(BO33&lt;&gt;"Continue",BN33="Continue"),BO33,
CONCATENATE(BN33,CHAR(10),BO33))))</f>
        <v>Continue</v>
      </c>
      <c r="BR33" s="508" t="str" cm="1">
        <f t="array" ref="BR33">IF(ISBLANK(B33),"Continue",(IF(IFERROR(_xlfn.XMATCH(B33,LEFT('Reference Records'!$J$191:$J$250,32768),0),0)&lt;&gt;0,"Continue","Invalid module entry. Select from dropdown list.")))</f>
        <v>Continue</v>
      </c>
      <c r="BS33" s="508" t="str">
        <f t="shared" ref="BS33" ca="1" si="282">IF(AND(BP33="Continue",BQ33="Continue"),"Continue",IF(AND(BP33&lt;&gt;"Continue",BQ33="Continue"),BP33,IF(AND(BQ33&lt;&gt;"Continue",BP33="Continue"),BQ33,CONCATENATE(BP33,CHAR(10),BQ33))))</f>
        <v>Continue</v>
      </c>
      <c r="BT33" s="508" t="str">
        <f t="shared" ref="BT33" si="283">IF(AND(C33="",D33=""),"Continue",IF(AND(C33="",D33&lt;&gt;""),"Continue",IF(AND(C33&lt;&gt;"",D33=""),"Continue",IF(AND(C33&lt;&gt;"",D33&lt;&gt;""),"Cannot enter both standard and custom indicators on the same line."))))</f>
        <v>Continue</v>
      </c>
      <c r="BU33" s="508" t="str">
        <f t="shared" ref="BU33" si="284">IF(AND(BR33="Continue",BT33="Continue"),"Continue",IF(AND(BR33&lt;&gt;"Continue",BT33="Continue"),BR33,IF(AND(BT33&lt;&gt;"Continue",BR33="Continue"),BT33,CONCATENATE(BR33,CHAR(10),BT33))))</f>
        <v>Continue</v>
      </c>
      <c r="BV33" s="538" t="b">
        <f>IFERROR(INDEX('Reference Records'!$L$87:$L$189,MATCH($C33,'Reference Records'!$C$87:$C$189,0)),"")</f>
        <v>0</v>
      </c>
      <c r="BW33" s="538">
        <f t="shared" ref="BW33" ca="1" si="285">IF(NOT(ISBLANK(F33)),IF(F33&lt;&gt;"",(IF(NOT(ISNUMBER(F33)),1,0)),0),0)</f>
        <v>0</v>
      </c>
      <c r="BX33" s="538">
        <f t="shared" ref="BX33" si="286">IF(NOT(ISBLANK(O33)),IF(O33&lt;&gt;"",(IF(NOT(ISNUMBER(O33)),1,0)),0),0)</f>
        <v>0</v>
      </c>
      <c r="BY33" s="538">
        <f t="shared" ref="BY33" si="287">IF(NOT(ISBLANK(R33)),IF(R33&lt;&gt;"",(IF(NOT(ISNUMBER(R33)),1,0)),0),0)</f>
        <v>0</v>
      </c>
      <c r="BZ33" s="538">
        <f t="shared" ref="BZ33" si="288">IF(NOT(ISBLANK(U33)),IF(U33&lt;&gt;"",(IF(NOT(ISNUMBER(U33)),1,0)),0),0)</f>
        <v>0</v>
      </c>
      <c r="CA33" s="538">
        <f t="shared" ref="CA33" si="289">IF(NOT(ISBLANK(X33)),IF(X33&lt;&gt;"",(IF(NOT(ISNUMBER(X33)),1,0)),0),0)</f>
        <v>0</v>
      </c>
      <c r="CB33" s="538">
        <f t="shared" ref="CB33" si="290">IF(NOT(ISBLANK(AA33)),IF(AA33&lt;&gt;"",(IF(NOT(ISNUMBER(AA33)),1,0)),0),0)</f>
        <v>0</v>
      </c>
      <c r="CC33" s="538">
        <f t="shared" ref="CC33" si="291">IF(NOT(ISBLANK(AD33)),IF(AD33&lt;&gt;"",(IF(NOT(ISNUMBER(AD33)),1,0)),0),0)</f>
        <v>0</v>
      </c>
      <c r="CD33" s="538">
        <f t="shared" ref="CD33" si="292">IF(NOT(ISBLANK(AG33)),IF(AG33&lt;&gt;"",(IF(NOT(ISNUMBER(AG33)),1,0)),0),0)</f>
        <v>0</v>
      </c>
      <c r="CE33" s="538">
        <f t="shared" ref="CE33" si="293">IF(NOT(ISBLANK(AJ33)),IF(AJ33&lt;&gt;"",(IF(NOT(ISNUMBER(AJ33)),1,0)),0),0)</f>
        <v>0</v>
      </c>
      <c r="CF33" s="538" t="str">
        <f t="shared" ref="CF33" ca="1" si="294">IF(SUM(BW33:CE34)=0, "Continue", "Enter valid number only.")</f>
        <v>Continue</v>
      </c>
      <c r="CG33" s="538" t="str">
        <f t="shared" ref="CG33" ca="1" si="295">IF(AND(CF33="Continue",BD33="Continue"),"Continue",IF(AND(CF33&lt;&gt;"Continue",BD33="Continue"),CF33,IF(AND(BD33&lt;&gt;"Continue",CF33="Continue"),BD33,CONCATENATE(CF33,CHAR(10)))))</f>
        <v>Continue</v>
      </c>
      <c r="CI33" s="314" t="str">
        <f>IFERROR(IF('Overview - Section A'!$AN$5="Funding Request",
IF(AND('Reference Records'!$B$427&lt;&gt;"",$L33 ='Reference Records'!$B$427),'Reference Records'!$C$427,""),
INDEX('Reference Records'!$A$498:$C$499,MATCH($L33,'Reference Records'!$A$498:$A$499,0),3)),"")</f>
        <v/>
      </c>
      <c r="CJ33" s="314" t="str">
        <f>IFERROR(INDEX('Overview - Section A'!$H$102:$H$118,MATCH(IF($B33="", "--select--", $B33),'Overview - Section A'!$C$102:$C$118,0)),"")</f>
        <v>a1PDm000000LrD9MAK</v>
      </c>
      <c r="CK33" s="310" t="str" cm="1">
        <f t="array" ref="CK33">IFERROR(IF($C33="", "", VLOOKUP(LEFT($C33,255),LEFT('Reference Records'!$C$88:$G$189,255),5,0)),"")</f>
        <v>a1ODm000000GnzaMAC</v>
      </c>
    </row>
    <row r="34" spans="1:89" ht="30" customHeight="1">
      <c r="A34" s="523"/>
      <c r="B34" s="513"/>
      <c r="C34" s="513"/>
      <c r="D34" s="513"/>
      <c r="E34" s="140">
        <v>120556.851311953</v>
      </c>
      <c r="F34" s="517"/>
      <c r="G34" s="553"/>
      <c r="H34" s="513"/>
      <c r="I34" s="546"/>
      <c r="J34" s="553"/>
      <c r="K34" s="513"/>
      <c r="L34" s="147" t="s">
        <v>651</v>
      </c>
      <c r="M34" s="557"/>
      <c r="N34" s="140">
        <v>124784.4</v>
      </c>
      <c r="O34" s="517"/>
      <c r="P34" s="553"/>
      <c r="Q34" s="142">
        <v>124784.4</v>
      </c>
      <c r="R34" s="517"/>
      <c r="S34" s="553"/>
      <c r="T34" s="142">
        <v>128403.9</v>
      </c>
      <c r="U34" s="517"/>
      <c r="V34" s="553"/>
      <c r="W34" s="142">
        <v>128403.9</v>
      </c>
      <c r="X34" s="517"/>
      <c r="Y34" s="553"/>
      <c r="Z34" s="142">
        <v>132126.94999999998</v>
      </c>
      <c r="AA34" s="517"/>
      <c r="AB34" s="553"/>
      <c r="AC34" s="142">
        <v>132126.94999999998</v>
      </c>
      <c r="AD34" s="517"/>
      <c r="AE34" s="553"/>
      <c r="AF34" s="142"/>
      <c r="AG34" s="517"/>
      <c r="AH34" s="553"/>
      <c r="AI34" s="142"/>
      <c r="AJ34" s="517"/>
      <c r="AK34" s="553"/>
      <c r="AL34" s="513"/>
      <c r="AM34" s="554"/>
      <c r="AN34" s="143"/>
      <c r="AO34" s="143"/>
      <c r="AP34" s="143"/>
      <c r="AQ34" s="143"/>
      <c r="AR34" s="143"/>
      <c r="AS34" s="143"/>
      <c r="AT34" s="143"/>
      <c r="AU34" s="143"/>
      <c r="AV34" s="143"/>
      <c r="AW34" s="143"/>
      <c r="AX34" s="145"/>
      <c r="AY34" s="143"/>
      <c r="AZ34" s="555"/>
      <c r="BA34" s="558"/>
      <c r="BB34" s="468"/>
      <c r="BC34" s="508"/>
      <c r="BD34" s="508"/>
      <c r="BE34" s="146">
        <f t="shared" si="0"/>
        <v>0</v>
      </c>
      <c r="BF34" s="146">
        <f t="shared" si="1"/>
        <v>0</v>
      </c>
      <c r="BG34" s="146">
        <f t="shared" si="2"/>
        <v>0</v>
      </c>
      <c r="BH34" s="146">
        <f t="shared" si="3"/>
        <v>0</v>
      </c>
      <c r="BI34" s="146">
        <f t="shared" si="4"/>
        <v>0</v>
      </c>
      <c r="BJ34" s="146">
        <f t="shared" si="5"/>
        <v>0</v>
      </c>
      <c r="BK34" s="146">
        <f t="shared" si="6"/>
        <v>0</v>
      </c>
      <c r="BL34" s="146">
        <f t="shared" si="7"/>
        <v>0</v>
      </c>
      <c r="BM34" s="146">
        <f t="shared" si="8"/>
        <v>0</v>
      </c>
      <c r="BN34" s="467"/>
      <c r="BO34" s="467"/>
      <c r="BP34" s="467"/>
      <c r="BQ34" s="467"/>
      <c r="BR34" s="508"/>
      <c r="BS34" s="508"/>
      <c r="BT34" s="508"/>
      <c r="BU34" s="508"/>
      <c r="BV34" s="538"/>
      <c r="BW34" s="538"/>
      <c r="BX34" s="538"/>
      <c r="BY34" s="538"/>
      <c r="BZ34" s="538"/>
      <c r="CA34" s="538"/>
      <c r="CB34" s="538"/>
      <c r="CC34" s="538"/>
      <c r="CD34" s="538"/>
      <c r="CE34" s="538"/>
      <c r="CF34" s="538"/>
      <c r="CG34" s="538"/>
      <c r="CI34" s="314" t="str">
        <f>IFERROR(IF('Overview - Section A'!$AN$5="Funding Request",
IF(AND('Reference Records'!$B$427&lt;&gt;"",$L34 ='Reference Records'!$B$427),'Reference Records'!$C$427,""),
INDEX('Reference Records'!$A$498:$C$499,MATCH($L34,'Reference Records'!$A$498:$A$499,0),3)),"")</f>
        <v/>
      </c>
      <c r="CJ34" s="314" t="str">
        <f>IFERROR(INDEX('Overview - Section A'!$H$102:$H$118,MATCH(IF($B34="", "--select--", $B34),'Overview - Section A'!$C$102:$C$118,0)),"")</f>
        <v/>
      </c>
      <c r="CK34" s="310" t="str" cm="1">
        <f t="array" ref="CK34">IFERROR(IF($C34="", "", VLOOKUP(LEFT($C34,255),LEFT('Reference Records'!$C$88:$G$189,255),5,0)),"")</f>
        <v/>
      </c>
    </row>
    <row r="35" spans="1:89" ht="30" customHeight="1">
      <c r="A35" s="522">
        <v>14</v>
      </c>
      <c r="B35" s="528" t="s">
        <v>1443</v>
      </c>
      <c r="C35" s="528" t="s">
        <v>1096</v>
      </c>
      <c r="D35" s="528"/>
      <c r="E35" s="148"/>
      <c r="F35" s="524" t="str">
        <f ca="1">IF(OR(INDIRECT("'update Helper'!D"&amp;AT35)="",E35&lt;&gt;0,E36&lt;&gt;0),IF(IFERROR((E35/E36),"")="","",(E35/E36)),INDIRECT("'update Helper'!D"&amp;AT35)/100)</f>
        <v/>
      </c>
      <c r="G35" s="543"/>
      <c r="H35" s="528" t="s">
        <v>2195</v>
      </c>
      <c r="I35" s="545" t="str">
        <f>AN35</f>
        <v>PrEP product,Age</v>
      </c>
      <c r="J35" s="543" t="s">
        <v>2212</v>
      </c>
      <c r="K35" s="528" t="s">
        <v>340</v>
      </c>
      <c r="L35" s="149"/>
      <c r="M35" s="547" t="s">
        <v>650</v>
      </c>
      <c r="N35" s="148">
        <v>6128</v>
      </c>
      <c r="O35" s="524">
        <v>0.42997474038731404</v>
      </c>
      <c r="P35" s="543"/>
      <c r="Q35" s="150">
        <v>6556</v>
      </c>
      <c r="R35" s="524">
        <v>0.46000561324726352</v>
      </c>
      <c r="S35" s="543"/>
      <c r="T35" s="150">
        <v>8184</v>
      </c>
      <c r="U35" s="524">
        <v>0.51003365324691508</v>
      </c>
      <c r="V35" s="543"/>
      <c r="W35" s="150">
        <v>8986</v>
      </c>
      <c r="X35" s="524">
        <v>0.56001495699862891</v>
      </c>
      <c r="Y35" s="543"/>
      <c r="Z35" s="150">
        <v>10860</v>
      </c>
      <c r="AA35" s="524">
        <v>0.61000954895242376</v>
      </c>
      <c r="AB35" s="543"/>
      <c r="AC35" s="150">
        <v>11750</v>
      </c>
      <c r="AD35" s="524">
        <v>0.66000112340616746</v>
      </c>
      <c r="AE35" s="543"/>
      <c r="AF35" s="150"/>
      <c r="AG35" s="549"/>
      <c r="AH35" s="543"/>
      <c r="AI35" s="150"/>
      <c r="AJ35" s="549"/>
      <c r="AK35" s="543"/>
      <c r="AL35" s="528" t="s">
        <v>2225</v>
      </c>
      <c r="AM35" s="476" t="str">
        <f>IFERROR(IF(VLOOKUP(B35,'Reference Records'!$C$192:$D$250,2,FALSE)=0,"",VLOOKUP(B35,'Reference Records'!$C$192:$D$250,2,FALSE)),"")</f>
        <v>MCI-01296</v>
      </c>
      <c r="AN35" s="48" t="str">
        <f t="array" ref="AN35">IFERROR(IF(INDEX('Reference Records'!$D$88:$D$189,MATCH(LEFT(C35,255),LEFT('Reference Records'!$C$88:$C$189,255),0))=0,"",INDEX('Reference Records'!$D$88:$D$189,MATCH(LEFT(C35,255),LEFT('Reference Records'!$C$88:$C$189,255),0))),"")</f>
        <v>PrEP product,Age</v>
      </c>
      <c r="AO35" s="48" t="str">
        <f>CONCATENATE(C35,D35)</f>
        <v>KP-6a Number of MSM who received any PrEP product at least once during the reporting period</v>
      </c>
      <c r="AP35" s="151" t="str">
        <f t="array" ref="AP35">VLOOKUP(LEFT(C35,255),LEFT('Reference Records'!C$87:G430,255),4,0)</f>
        <v>MCI-01624</v>
      </c>
      <c r="AQ35" s="151" t="e">
        <f>MATCH(AP35,'Reference Records'!$F$512:$F$514,0)+ROW(PopulationByCoverage)-1</f>
        <v>#N/A</v>
      </c>
      <c r="AR35" s="151">
        <f>MATCH(AP35,'Reference Records'!$F$512:$F$514,1)+ROW(PopulationByCoverage)-1</f>
        <v>513</v>
      </c>
      <c r="AS35" s="48" t="str">
        <f>C35&amp;D35</f>
        <v>KP-6a Number of MSM who received any PrEP product at least once during the reporting period</v>
      </c>
      <c r="AT35" s="48">
        <f t="shared" ref="AT35" si="296">AT33+1</f>
        <v>467</v>
      </c>
      <c r="AU35" s="48">
        <f ca="1">AU33+'update Helper'!$T$2</f>
        <v>617.17391304347768</v>
      </c>
      <c r="AV35" s="48" t="str">
        <f t="shared" ref="AV35" si="297">CLEAN(IFERROR(LEFT(AY35, SEARCH(";",AY35,1)-1),""))</f>
        <v>Non cumulative</v>
      </c>
      <c r="AW35" s="48" t="str">
        <f t="shared" ref="AW35" si="298">SUBSTITUTE(IFERROR(MID(AY35, SEARCH(";",AY35) + 1, SEARCH(";",AY35,SEARCH(";",AY35)+1) - SEARCH(";",AY35) - 1),""),CHAR(10),"")</f>
        <v/>
      </c>
      <c r="AX35" s="152" t="str">
        <f t="shared" ref="AX35" si="299">CLEAN(IFERROR(SUBSTITUTE(RIGHT(AY35,LEN(AY35) - SEARCH(";", AY35, SEARCH(";",AY35) + 1)),";",""),""))</f>
        <v/>
      </c>
      <c r="AY35" s="48" t="str">
        <f t="array" ref="AY35">IFERROR(IF(VLOOKUP(LEFT(C35,255),LEFT('Reference Records'!$C$1:$K$539,255),9,0)=0,"",CONCATENATE(VLOOKUP(LEFT(C35,255),LEFT('Reference Records'!$C$1:$K$539,255),9,0),";")),"")</f>
        <v>Non cumulative;</v>
      </c>
      <c r="AZ35" s="551" t="str">
        <f>IF($BV35="", "", IF($BV35=TRUE, "Yes", "No"))</f>
        <v>No</v>
      </c>
      <c r="BA35" s="559" t="str">
        <f t="shared" ref="BA35" ca="1" si="300">IF($D35="", "",IF(IF(INDIRECT("'update Helper'!W"&amp;AT35)=0,"",INDIRECT("'update Helper'!W"&amp;AT35))=TRUE, "Yes","No"))</f>
        <v/>
      </c>
      <c r="BB35" s="468" t="str">
        <f t="shared" ref="BB35" ca="1" si="301">IF(AND(BS35="Continue",BU35="Continue"),"No Error",IF(AND(BS35&lt;&gt;"Continue",BU35="Continue"),BS35,IF(AND(BU35&lt;&gt;"Continue",BS35="Continue"),BU35,CONCATENATE(BS35,CHAR(10),BU35))))</f>
        <v>No Error</v>
      </c>
      <c r="BC35" s="508" t="str" cm="1">
        <f t="array" ref="BC35">IF(ISBLANK(C35),"Continue",(IF(IFERROR(_xlfn.XMATCH(C35,LEFT('Reference Records'!$C$87:$C$189,32768),0),0)&lt;&gt;0,"Continue","Invalid indicator entry. Select from dropdown list.")))</f>
        <v>Continue</v>
      </c>
      <c r="BD35" s="508" t="str">
        <f t="shared" ref="BD35" si="302">IF(SUM(BE35:BM36)=0, "Continue", "Enter valid number only.")</f>
        <v>Continue</v>
      </c>
      <c r="BE35" s="146">
        <f t="shared" si="0"/>
        <v>0</v>
      </c>
      <c r="BF35" s="146">
        <f t="shared" si="1"/>
        <v>0</v>
      </c>
      <c r="BG35" s="146">
        <f t="shared" si="2"/>
        <v>0</v>
      </c>
      <c r="BH35" s="146">
        <f t="shared" si="3"/>
        <v>0</v>
      </c>
      <c r="BI35" s="146">
        <f t="shared" si="4"/>
        <v>0</v>
      </c>
      <c r="BJ35" s="146">
        <f t="shared" si="5"/>
        <v>0</v>
      </c>
      <c r="BK35" s="146">
        <f t="shared" si="6"/>
        <v>0</v>
      </c>
      <c r="BL35" s="146">
        <f t="shared" si="7"/>
        <v>0</v>
      </c>
      <c r="BM35" s="146">
        <f t="shared" si="8"/>
        <v>0</v>
      </c>
      <c r="BN35" s="467" t="str">
        <f>IF(NOT(ISBLANK(C35)),IF(C35&lt;&gt;"",IF(_xlfn.XLOOKUP(C35,'Reference Records'!$C$87:$C$189,'Reference Records'!$A$87:$A$189,0,0,1)=AM35,"Continue","Select correct module name."),"Continue"),"Continue")</f>
        <v>Continue</v>
      </c>
      <c r="BO35" s="467" t="str">
        <f t="shared" ref="BO35" ca="1" si="303">IF(AND(BC35="Continue",CG35="Continue"),"Continue",IF(AND(BC35&lt;&gt;"Continue",CG35="Continue"),BC35,IF(AND(CG35&lt;&gt;"Continue",BC35="Continue"),CG35,CONCATENATE(BC35,CHAR(10),CG35))))</f>
        <v>Continue</v>
      </c>
      <c r="BP35" s="467" t="str">
        <f t="shared" ref="BP35" ca="1" si="304">IF(AND((AZ35&lt;&gt;""),(BA35&lt;&gt;"")),"Reversed custom indicator selection not applicable. Value pre-populated in standard indicator column.","Continue")</f>
        <v>Continue</v>
      </c>
      <c r="BQ35" s="467" t="str">
        <f t="shared" ref="BQ35" ca="1" si="305">IF(AND(BN35="Continue",BO35="Continue"),"Continue",
IF(AND(BN35&lt;&gt;"Continue",BO35="Continue"),BN35,
IF(AND(BO35&lt;&gt;"Continue",BN35="Continue"),BO35,
CONCATENATE(BN35,CHAR(10),BO35))))</f>
        <v>Continue</v>
      </c>
      <c r="BR35" s="508" t="str" cm="1">
        <f t="array" ref="BR35">IF(ISBLANK(B35),"Continue",(IF(IFERROR(_xlfn.XMATCH(B35,LEFT('Reference Records'!$J$191:$J$250,32768),0),0)&lt;&gt;0,"Continue","Invalid module entry. Select from dropdown list.")))</f>
        <v>Continue</v>
      </c>
      <c r="BS35" s="508" t="str">
        <f t="shared" ref="BS35" ca="1" si="306">IF(AND(BP35="Continue",BQ35="Continue"),"Continue",IF(AND(BP35&lt;&gt;"Continue",BQ35="Continue"),BP35,IF(AND(BQ35&lt;&gt;"Continue",BP35="Continue"),BQ35,CONCATENATE(BP35,CHAR(10),BQ35))))</f>
        <v>Continue</v>
      </c>
      <c r="BT35" s="508" t="str">
        <f t="shared" ref="BT35" si="307">IF(AND(C35="",D35=""),"Continue",IF(AND(C35="",D35&lt;&gt;""),"Continue",IF(AND(C35&lt;&gt;"",D35=""),"Continue",IF(AND(C35&lt;&gt;"",D35&lt;&gt;""),"Cannot enter both standard and custom indicators on the same line."))))</f>
        <v>Continue</v>
      </c>
      <c r="BU35" s="508" t="str">
        <f t="shared" ref="BU35" si="308">IF(AND(BR35="Continue",BT35="Continue"),"Continue",IF(AND(BR35&lt;&gt;"Continue",BT35="Continue"),BR35,IF(AND(BT35&lt;&gt;"Continue",BR35="Continue"),BT35,CONCATENATE(BR35,CHAR(10),BT35))))</f>
        <v>Continue</v>
      </c>
      <c r="BV35" s="538" t="b">
        <f>IFERROR(INDEX('Reference Records'!$L$87:$L$189,MATCH($C35,'Reference Records'!$C$87:$C$189,0)),"")</f>
        <v>0</v>
      </c>
      <c r="BW35" s="538">
        <f t="shared" ref="BW35" ca="1" si="309">IF(NOT(ISBLANK(F35)),IF(F35&lt;&gt;"",(IF(NOT(ISNUMBER(F35)),1,0)),0),0)</f>
        <v>0</v>
      </c>
      <c r="BX35" s="538">
        <f t="shared" ref="BX35" si="310">IF(NOT(ISBLANK(O35)),IF(O35&lt;&gt;"",(IF(NOT(ISNUMBER(O35)),1,0)),0),0)</f>
        <v>0</v>
      </c>
      <c r="BY35" s="538">
        <f t="shared" ref="BY35" si="311">IF(NOT(ISBLANK(R35)),IF(R35&lt;&gt;"",(IF(NOT(ISNUMBER(R35)),1,0)),0),0)</f>
        <v>0</v>
      </c>
      <c r="BZ35" s="538">
        <f t="shared" ref="BZ35" si="312">IF(NOT(ISBLANK(U35)),IF(U35&lt;&gt;"",(IF(NOT(ISNUMBER(U35)),1,0)),0),0)</f>
        <v>0</v>
      </c>
      <c r="CA35" s="538">
        <f t="shared" ref="CA35" si="313">IF(NOT(ISBLANK(X35)),IF(X35&lt;&gt;"",(IF(NOT(ISNUMBER(X35)),1,0)),0),0)</f>
        <v>0</v>
      </c>
      <c r="CB35" s="538">
        <f t="shared" ref="CB35" si="314">IF(NOT(ISBLANK(AA35)),IF(AA35&lt;&gt;"",(IF(NOT(ISNUMBER(AA35)),1,0)),0),0)</f>
        <v>0</v>
      </c>
      <c r="CC35" s="538">
        <f t="shared" ref="CC35" si="315">IF(NOT(ISBLANK(AD35)),IF(AD35&lt;&gt;"",(IF(NOT(ISNUMBER(AD35)),1,0)),0),0)</f>
        <v>0</v>
      </c>
      <c r="CD35" s="538">
        <f t="shared" ref="CD35" si="316">IF(NOT(ISBLANK(AG35)),IF(AG35&lt;&gt;"",(IF(NOT(ISNUMBER(AG35)),1,0)),0),0)</f>
        <v>0</v>
      </c>
      <c r="CE35" s="538">
        <f t="shared" ref="CE35" si="317">IF(NOT(ISBLANK(AJ35)),IF(AJ35&lt;&gt;"",(IF(NOT(ISNUMBER(AJ35)),1,0)),0),0)</f>
        <v>0</v>
      </c>
      <c r="CF35" s="538" t="str">
        <f t="shared" ref="CF35" ca="1" si="318">IF(SUM(BW35:CE36)=0, "Continue", "Enter valid number only.")</f>
        <v>Continue</v>
      </c>
      <c r="CG35" s="538" t="str">
        <f t="shared" ref="CG35" ca="1" si="319">IF(AND(CF35="Continue",BD35="Continue"),"Continue",IF(AND(CF35&lt;&gt;"Continue",BD35="Continue"),CF35,IF(AND(BD35&lt;&gt;"Continue",CF35="Continue"),BD35,CONCATENATE(CF35,CHAR(10)))))</f>
        <v>Continue</v>
      </c>
      <c r="CI35" s="314" t="str">
        <f>IFERROR(IF('Overview - Section A'!$AN$5="Funding Request",
IF(AND('Reference Records'!$B$427&lt;&gt;"",$L35 ='Reference Records'!$B$427),'Reference Records'!$C$427,""),
INDEX('Reference Records'!$A$498:$C$499,MATCH($L35,'Reference Records'!$A$498:$A$499,0),3)),"")</f>
        <v/>
      </c>
      <c r="CJ35" s="314" t="str">
        <f>IFERROR(INDEX('Overview - Section A'!$H$102:$H$118,MATCH(IF($B35="", "--select--", $B35),'Overview - Section A'!$C$102:$C$118,0)),"")</f>
        <v>a1PDm000000LrD9MAK</v>
      </c>
      <c r="CK35" s="310" t="str" cm="1">
        <f t="array" ref="CK35">IFERROR(IF($C35="", "", VLOOKUP(LEFT($C35,255),LEFT('Reference Records'!$C$88:$G$189,255),5,0)),"")</f>
        <v>a1ODm000000GnzbMAC</v>
      </c>
    </row>
    <row r="36" spans="1:89" ht="30" customHeight="1">
      <c r="A36" s="523"/>
      <c r="B36" s="529"/>
      <c r="C36" s="529"/>
      <c r="D36" s="529"/>
      <c r="E36" s="148"/>
      <c r="F36" s="525"/>
      <c r="G36" s="544"/>
      <c r="H36" s="529"/>
      <c r="I36" s="546"/>
      <c r="J36" s="544"/>
      <c r="K36" s="529"/>
      <c r="L36" s="153" t="s">
        <v>651</v>
      </c>
      <c r="M36" s="548"/>
      <c r="N36" s="148">
        <v>14252</v>
      </c>
      <c r="O36" s="525"/>
      <c r="P36" s="544"/>
      <c r="Q36" s="150">
        <v>14252</v>
      </c>
      <c r="R36" s="525"/>
      <c r="S36" s="544"/>
      <c r="T36" s="150">
        <v>16046</v>
      </c>
      <c r="U36" s="525"/>
      <c r="V36" s="544"/>
      <c r="W36" s="150">
        <v>16046</v>
      </c>
      <c r="X36" s="525"/>
      <c r="Y36" s="544"/>
      <c r="Z36" s="150">
        <v>17803</v>
      </c>
      <c r="AA36" s="525"/>
      <c r="AB36" s="544"/>
      <c r="AC36" s="150">
        <v>17803</v>
      </c>
      <c r="AD36" s="525"/>
      <c r="AE36" s="544"/>
      <c r="AF36" s="150"/>
      <c r="AG36" s="550"/>
      <c r="AH36" s="544"/>
      <c r="AI36" s="150"/>
      <c r="AJ36" s="550"/>
      <c r="AK36" s="544"/>
      <c r="AL36" s="529"/>
      <c r="AM36" s="476"/>
      <c r="AX36" s="152"/>
      <c r="AZ36" s="551"/>
      <c r="BA36" s="559"/>
      <c r="BB36" s="468"/>
      <c r="BC36" s="508"/>
      <c r="BD36" s="508"/>
      <c r="BE36" s="146">
        <f t="shared" si="0"/>
        <v>0</v>
      </c>
      <c r="BF36" s="146">
        <f t="shared" si="1"/>
        <v>0</v>
      </c>
      <c r="BG36" s="146">
        <f t="shared" si="2"/>
        <v>0</v>
      </c>
      <c r="BH36" s="146">
        <f t="shared" si="3"/>
        <v>0</v>
      </c>
      <c r="BI36" s="146">
        <f t="shared" si="4"/>
        <v>0</v>
      </c>
      <c r="BJ36" s="146">
        <f t="shared" si="5"/>
        <v>0</v>
      </c>
      <c r="BK36" s="146">
        <f t="shared" si="6"/>
        <v>0</v>
      </c>
      <c r="BL36" s="146">
        <f t="shared" si="7"/>
        <v>0</v>
      </c>
      <c r="BM36" s="146">
        <f t="shared" si="8"/>
        <v>0</v>
      </c>
      <c r="BN36" s="467"/>
      <c r="BO36" s="467"/>
      <c r="BP36" s="467"/>
      <c r="BQ36" s="467"/>
      <c r="BR36" s="508"/>
      <c r="BS36" s="508"/>
      <c r="BT36" s="508"/>
      <c r="BU36" s="508"/>
      <c r="BV36" s="538"/>
      <c r="BW36" s="538"/>
      <c r="BX36" s="538"/>
      <c r="BY36" s="538"/>
      <c r="BZ36" s="538"/>
      <c r="CA36" s="538"/>
      <c r="CB36" s="538"/>
      <c r="CC36" s="538"/>
      <c r="CD36" s="538"/>
      <c r="CE36" s="538"/>
      <c r="CF36" s="538"/>
      <c r="CG36" s="538"/>
      <c r="CI36" s="314" t="str">
        <f>IFERROR(IF('Overview - Section A'!$AN$5="Funding Request",
IF(AND('Reference Records'!$B$427&lt;&gt;"",$L36 ='Reference Records'!$B$427),'Reference Records'!$C$427,""),
INDEX('Reference Records'!$A$498:$C$499,MATCH($L36,'Reference Records'!$A$498:$A$499,0),3)),"")</f>
        <v/>
      </c>
      <c r="CJ36" s="314" t="str">
        <f>IFERROR(INDEX('Overview - Section A'!$H$102:$H$118,MATCH(IF($B36="", "--select--", $B36),'Overview - Section A'!$C$102:$C$118,0)),"")</f>
        <v/>
      </c>
      <c r="CK36" s="310" t="str" cm="1">
        <f t="array" ref="CK36">IFERROR(IF($C36="", "", VLOOKUP(LEFT($C36,255),LEFT('Reference Records'!$C$88:$G$189,255),5,0)),"")</f>
        <v/>
      </c>
    </row>
    <row r="37" spans="1:89" ht="30" customHeight="1">
      <c r="A37" s="522">
        <v>15</v>
      </c>
      <c r="B37" s="512" t="s">
        <v>1447</v>
      </c>
      <c r="C37" s="512" t="s">
        <v>1104</v>
      </c>
      <c r="D37" s="512"/>
      <c r="E37" s="140">
        <v>104477</v>
      </c>
      <c r="F37" s="516">
        <f ca="1">IF(OR(INDIRECT("'update Helper'!D"&amp;AT37)="",E37&lt;&gt;0,E38&lt;&gt;0),IF(IFERROR((E37/E38),"")="","",(E37/E38)),INDIRECT("'update Helper'!D"&amp;AT37)/100)</f>
        <v>0.34114749328061494</v>
      </c>
      <c r="G37" s="552">
        <v>2021</v>
      </c>
      <c r="H37" s="512" t="s">
        <v>2192</v>
      </c>
      <c r="I37" s="545" t="str">
        <f>AN37</f>
        <v>Age,Gender</v>
      </c>
      <c r="J37" s="552" t="s">
        <v>2212</v>
      </c>
      <c r="K37" s="512" t="s">
        <v>340</v>
      </c>
      <c r="L37" s="141" t="s">
        <v>781</v>
      </c>
      <c r="M37" s="556" t="s">
        <v>650</v>
      </c>
      <c r="N37" s="140">
        <v>90092.5</v>
      </c>
      <c r="O37" s="516">
        <v>0.28420961146952234</v>
      </c>
      <c r="P37" s="552"/>
      <c r="Q37" s="142">
        <v>90092.5</v>
      </c>
      <c r="R37" s="516">
        <v>0.28420961146952234</v>
      </c>
      <c r="S37" s="552"/>
      <c r="T37" s="142">
        <v>111761</v>
      </c>
      <c r="U37" s="516">
        <v>0.34263134595032751</v>
      </c>
      <c r="V37" s="552"/>
      <c r="W37" s="142">
        <v>111761</v>
      </c>
      <c r="X37" s="516">
        <v>0.34263134595032751</v>
      </c>
      <c r="Y37" s="552"/>
      <c r="Z37" s="142">
        <v>134257.5</v>
      </c>
      <c r="AA37" s="516">
        <v>0.39999910619718182</v>
      </c>
      <c r="AB37" s="552"/>
      <c r="AC37" s="142">
        <v>134257.5</v>
      </c>
      <c r="AD37" s="516">
        <v>0.39999910619718182</v>
      </c>
      <c r="AE37" s="552"/>
      <c r="AF37" s="142"/>
      <c r="AG37" s="516"/>
      <c r="AH37" s="552"/>
      <c r="AI37" s="142"/>
      <c r="AJ37" s="516"/>
      <c r="AK37" s="552"/>
      <c r="AL37" s="512" t="s">
        <v>2226</v>
      </c>
      <c r="AM37" s="554" t="str">
        <f>IFERROR(IF(VLOOKUP(B37,'Reference Records'!$C$192:$D$250,2,FALSE)=0,"",VLOOKUP(B37,'Reference Records'!$C$192:$D$250,2,FALSE)),"")</f>
        <v>MCI-01297</v>
      </c>
      <c r="AN37" s="143" t="str">
        <f t="array" ref="AN37">IFERROR(IF(INDEX('Reference Records'!$D$88:$D$189,MATCH(LEFT(C37,255),LEFT('Reference Records'!$C$88:$C$189,255),0))=0,"",INDEX('Reference Records'!$D$88:$D$189,MATCH(LEFT(C37,255),LEFT('Reference Records'!$C$88:$C$189,255),0))),"")</f>
        <v>Age,Gender</v>
      </c>
      <c r="AO37" s="143" t="str">
        <f>CONCATENATE(C37,D37)</f>
        <v>KP-1c Percentage of sex workers reached with HIV prevention programs - defined package of services</v>
      </c>
      <c r="AP37" s="144" t="str">
        <f t="array" ref="AP37">VLOOKUP(LEFT(C37,255),LEFT('Reference Records'!C$87:G432,255),4,0)</f>
        <v>MCI-01521</v>
      </c>
      <c r="AQ37" s="144" t="e">
        <f>MATCH(AP37,'Reference Records'!$F$512:$F$514,0)+ROW(PopulationByCoverage)-1</f>
        <v>#N/A</v>
      </c>
      <c r="AR37" s="144">
        <f>MATCH(AP37,'Reference Records'!$F$512:$F$514,1)+ROW(PopulationByCoverage)-1</f>
        <v>513</v>
      </c>
      <c r="AS37" s="143" t="str">
        <f>C37&amp;D37</f>
        <v>KP-1c Percentage of sex workers reached with HIV prevention programs - defined package of services</v>
      </c>
      <c r="AT37" s="143">
        <f t="shared" ref="AT37:AT65" si="320">AT35+1</f>
        <v>468</v>
      </c>
      <c r="AU37" s="143">
        <f ca="1">AU35+'update Helper'!$T$2</f>
        <v>623.95652173912981</v>
      </c>
      <c r="AV37" s="143" t="str">
        <f t="shared" ref="AV37" si="321">CLEAN(IFERROR(LEFT(AY37, SEARCH(";",AY37,1)-1),""))</f>
        <v>Non cumulative</v>
      </c>
      <c r="AW37" s="143" t="str">
        <f t="shared" ref="AW37" si="322">SUBSTITUTE(IFERROR(MID(AY37, SEARCH(";",AY37) + 1, SEARCH(";",AY37,SEARCH(";",AY37)+1) - SEARCH(";",AY37) - 1),""),CHAR(10),"")</f>
        <v>Non cumulative – other</v>
      </c>
      <c r="AX37" s="145" t="str">
        <f t="shared" ref="AX37" si="323">CLEAN(IFERROR(SUBSTITUTE(RIGHT(AY37,LEN(AY37) - SEARCH(";", AY37, SEARCH(";",AY37) + 1)),";",""),""))</f>
        <v>Non cumulative - special</v>
      </c>
      <c r="AY37" s="143" t="str">
        <f t="array" ref="AY37">IFERROR(IF(VLOOKUP(LEFT(C37,255),LEFT('Reference Records'!$C$1:$K$539,255),9,0)=0,"",CONCATENATE(VLOOKUP(LEFT(C37,255),LEFT('Reference Records'!$C$1:$K$539,255),9,0),";")),"")</f>
        <v>Non cumulative;Non cumulative – other;Non cumulative - special;</v>
      </c>
      <c r="AZ37" s="555" t="str">
        <f>IF($BV37="", "", IF($BV37=TRUE, "Yes", "No"))</f>
        <v>No</v>
      </c>
      <c r="BA37" s="558" t="str">
        <f t="shared" ref="BA37" ca="1" si="324">IF($D37="", "",IF(IF(INDIRECT("'update Helper'!W"&amp;AT37)=0,"",INDIRECT("'update Helper'!W"&amp;AT37))=TRUE, "Yes","No"))</f>
        <v/>
      </c>
      <c r="BB37" s="468" t="str">
        <f t="shared" ref="BB37" ca="1" si="325">IF(AND(BS37="Continue",BU37="Continue"),"No Error",IF(AND(BS37&lt;&gt;"Continue",BU37="Continue"),BS37,IF(AND(BU37&lt;&gt;"Continue",BS37="Continue"),BU37,CONCATENATE(BS37,CHAR(10),BU37))))</f>
        <v>No Error</v>
      </c>
      <c r="BC37" s="508" t="str" cm="1">
        <f t="array" ref="BC37">IF(ISBLANK(C37),"Continue",(IF(IFERROR(_xlfn.XMATCH(C37,LEFT('Reference Records'!$C$87:$C$189,32768),0),0)&lt;&gt;0,"Continue","Invalid indicator entry. Select from dropdown list.")))</f>
        <v>Continue</v>
      </c>
      <c r="BD37" s="508" t="str">
        <f t="shared" ref="BD37" si="326">IF(SUM(BE37:BM38)=0, "Continue", "Enter valid number only.")</f>
        <v>Continue</v>
      </c>
      <c r="BE37" s="146">
        <f t="shared" si="0"/>
        <v>0</v>
      </c>
      <c r="BF37" s="146">
        <f t="shared" si="1"/>
        <v>0</v>
      </c>
      <c r="BG37" s="146">
        <f t="shared" si="2"/>
        <v>0</v>
      </c>
      <c r="BH37" s="146">
        <f t="shared" si="3"/>
        <v>0</v>
      </c>
      <c r="BI37" s="146">
        <f t="shared" si="4"/>
        <v>0</v>
      </c>
      <c r="BJ37" s="146">
        <f t="shared" si="5"/>
        <v>0</v>
      </c>
      <c r="BK37" s="146">
        <f t="shared" si="6"/>
        <v>0</v>
      </c>
      <c r="BL37" s="146">
        <f t="shared" si="7"/>
        <v>0</v>
      </c>
      <c r="BM37" s="146">
        <f t="shared" si="8"/>
        <v>0</v>
      </c>
      <c r="BN37" s="467" t="str">
        <f>IF(NOT(ISBLANK(C37)),IF(C37&lt;&gt;"",IF(_xlfn.XLOOKUP(C37,'Reference Records'!$C$87:$C$189,'Reference Records'!$A$87:$A$189,0,0,1)=AM37,"Continue","Select correct module name."),"Continue"),"Continue")</f>
        <v>Continue</v>
      </c>
      <c r="BO37" s="467" t="str">
        <f t="shared" ref="BO37" ca="1" si="327">IF(AND(BC37="Continue",CG37="Continue"),"Continue",IF(AND(BC37&lt;&gt;"Continue",CG37="Continue"),BC37,IF(AND(CG37&lt;&gt;"Continue",BC37="Continue"),CG37,CONCATENATE(BC37,CHAR(10),CG37))))</f>
        <v>Continue</v>
      </c>
      <c r="BP37" s="467" t="str">
        <f t="shared" ref="BP37" ca="1" si="328">IF(AND((AZ37&lt;&gt;""),(BA37&lt;&gt;"")),"Reversed custom indicator selection not applicable. Value pre-populated in standard indicator column.","Continue")</f>
        <v>Continue</v>
      </c>
      <c r="BQ37" s="467" t="str">
        <f t="shared" ref="BQ37" ca="1" si="329">IF(AND(BN37="Continue",BO37="Continue"),"Continue",
IF(AND(BN37&lt;&gt;"Continue",BO37="Continue"),BN37,
IF(AND(BO37&lt;&gt;"Continue",BN37="Continue"),BO37,
CONCATENATE(BN37,CHAR(10),BO37))))</f>
        <v>Continue</v>
      </c>
      <c r="BR37" s="508" t="str" cm="1">
        <f t="array" ref="BR37">IF(ISBLANK(B37),"Continue",(IF(IFERROR(_xlfn.XMATCH(B37,LEFT('Reference Records'!$J$191:$J$250,32768),0),0)&lt;&gt;0,"Continue","Invalid module entry. Select from dropdown list.")))</f>
        <v>Continue</v>
      </c>
      <c r="BS37" s="508" t="str">
        <f t="shared" ref="BS37" ca="1" si="330">IF(AND(BP37="Continue",BQ37="Continue"),"Continue",IF(AND(BP37&lt;&gt;"Continue",BQ37="Continue"),BP37,IF(AND(BQ37&lt;&gt;"Continue",BP37="Continue"),BQ37,CONCATENATE(BP37,CHAR(10),BQ37))))</f>
        <v>Continue</v>
      </c>
      <c r="BT37" s="508" t="str">
        <f t="shared" ref="BT37" si="331">IF(AND(C37="",D37=""),"Continue",IF(AND(C37="",D37&lt;&gt;""),"Continue",IF(AND(C37&lt;&gt;"",D37=""),"Continue",IF(AND(C37&lt;&gt;"",D37&lt;&gt;""),"Cannot enter both standard and custom indicators on the same line."))))</f>
        <v>Continue</v>
      </c>
      <c r="BU37" s="508" t="str">
        <f t="shared" ref="BU37" si="332">IF(AND(BR37="Continue",BT37="Continue"),"Continue",IF(AND(BR37&lt;&gt;"Continue",BT37="Continue"),BR37,IF(AND(BT37&lt;&gt;"Continue",BR37="Continue"),BT37,CONCATENATE(BR37,CHAR(10),BT37))))</f>
        <v>Continue</v>
      </c>
      <c r="BV37" s="538" t="b">
        <f>IFERROR(INDEX('Reference Records'!$L$87:$L$189,MATCH($C37,'Reference Records'!$C$87:$C$189,0)),"")</f>
        <v>0</v>
      </c>
      <c r="BW37" s="538">
        <f t="shared" ref="BW37" ca="1" si="333">IF(NOT(ISBLANK(F37)),IF(F37&lt;&gt;"",(IF(NOT(ISNUMBER(F37)),1,0)),0),0)</f>
        <v>0</v>
      </c>
      <c r="BX37" s="538">
        <f t="shared" ref="BX37" si="334">IF(NOT(ISBLANK(O37)),IF(O37&lt;&gt;"",(IF(NOT(ISNUMBER(O37)),1,0)),0),0)</f>
        <v>0</v>
      </c>
      <c r="BY37" s="538">
        <f t="shared" ref="BY37" si="335">IF(NOT(ISBLANK(R37)),IF(R37&lt;&gt;"",(IF(NOT(ISNUMBER(R37)),1,0)),0),0)</f>
        <v>0</v>
      </c>
      <c r="BZ37" s="538">
        <f t="shared" ref="BZ37" si="336">IF(NOT(ISBLANK(U37)),IF(U37&lt;&gt;"",(IF(NOT(ISNUMBER(U37)),1,0)),0),0)</f>
        <v>0</v>
      </c>
      <c r="CA37" s="538">
        <f t="shared" ref="CA37" si="337">IF(NOT(ISBLANK(X37)),IF(X37&lt;&gt;"",(IF(NOT(ISNUMBER(X37)),1,0)),0),0)</f>
        <v>0</v>
      </c>
      <c r="CB37" s="538">
        <f t="shared" ref="CB37" si="338">IF(NOT(ISBLANK(AA37)),IF(AA37&lt;&gt;"",(IF(NOT(ISNUMBER(AA37)),1,0)),0),0)</f>
        <v>0</v>
      </c>
      <c r="CC37" s="538">
        <f t="shared" ref="CC37" si="339">IF(NOT(ISBLANK(AD37)),IF(AD37&lt;&gt;"",(IF(NOT(ISNUMBER(AD37)),1,0)),0),0)</f>
        <v>0</v>
      </c>
      <c r="CD37" s="538">
        <f t="shared" ref="CD37" si="340">IF(NOT(ISBLANK(AG37)),IF(AG37&lt;&gt;"",(IF(NOT(ISNUMBER(AG37)),1,0)),0),0)</f>
        <v>0</v>
      </c>
      <c r="CE37" s="538">
        <f t="shared" ref="CE37" si="341">IF(NOT(ISBLANK(AJ37)),IF(AJ37&lt;&gt;"",(IF(NOT(ISNUMBER(AJ37)),1,0)),0),0)</f>
        <v>0</v>
      </c>
      <c r="CF37" s="538" t="str">
        <f t="shared" ref="CF37" ca="1" si="342">IF(SUM(BW37:CE38)=0, "Continue", "Enter valid number only.")</f>
        <v>Continue</v>
      </c>
      <c r="CG37" s="538" t="str">
        <f t="shared" ref="CG37" ca="1" si="343">IF(AND(CF37="Continue",BD37="Continue"),"Continue",IF(AND(CF37&lt;&gt;"Continue",BD37="Continue"),CF37,IF(AND(BD37&lt;&gt;"Continue",CF37="Continue"),BD37,CONCATENATE(CF37,CHAR(10)))))</f>
        <v>Continue</v>
      </c>
      <c r="CI37" s="314" t="str">
        <f>IFERROR(IF('Overview - Section A'!$AN$5="Funding Request",
IF(AND('Reference Records'!$B$427&lt;&gt;"",$L37 ='Reference Records'!$B$427),'Reference Records'!$C$427,""),
INDEX('Reference Records'!$A$498:$C$499,MATCH($L37,'Reference Records'!$A$498:$A$499,0),3)),"")</f>
        <v>a1A360000013M2uEAE</v>
      </c>
      <c r="CJ37" s="314" t="str">
        <f>IFERROR(INDEX('Overview - Section A'!$H$102:$H$118,MATCH(IF($B37="", "--select--", $B37),'Overview - Section A'!$C$102:$C$118,0)),"")</f>
        <v>a1PDm000000LrDAMA0</v>
      </c>
      <c r="CK37" s="310" t="str" cm="1">
        <f t="array" ref="CK37">IFERROR(IF($C37="", "", VLOOKUP(LEFT($C37,255),LEFT('Reference Records'!$C$88:$G$189,255),5,0)),"")</f>
        <v>a1ODm000000GnxwMAC</v>
      </c>
    </row>
    <row r="38" spans="1:89" ht="30" customHeight="1">
      <c r="A38" s="523"/>
      <c r="B38" s="513"/>
      <c r="C38" s="513"/>
      <c r="D38" s="513"/>
      <c r="E38" s="140">
        <v>306251.70068027201</v>
      </c>
      <c r="F38" s="517"/>
      <c r="G38" s="553"/>
      <c r="H38" s="513"/>
      <c r="I38" s="546"/>
      <c r="J38" s="553"/>
      <c r="K38" s="513"/>
      <c r="L38" s="147" t="s">
        <v>651</v>
      </c>
      <c r="M38" s="557"/>
      <c r="N38" s="140">
        <v>316993.14999999997</v>
      </c>
      <c r="O38" s="517"/>
      <c r="P38" s="553"/>
      <c r="Q38" s="142">
        <v>316993.14999999997</v>
      </c>
      <c r="R38" s="517"/>
      <c r="S38" s="553"/>
      <c r="T38" s="142">
        <v>326184.39999999997</v>
      </c>
      <c r="U38" s="517"/>
      <c r="V38" s="553"/>
      <c r="W38" s="142">
        <v>326184.39999999997</v>
      </c>
      <c r="X38" s="517"/>
      <c r="Y38" s="553"/>
      <c r="Z38" s="142">
        <v>335644.5</v>
      </c>
      <c r="AA38" s="517"/>
      <c r="AB38" s="553"/>
      <c r="AC38" s="142">
        <v>335644.5</v>
      </c>
      <c r="AD38" s="517"/>
      <c r="AE38" s="553"/>
      <c r="AF38" s="142"/>
      <c r="AG38" s="517"/>
      <c r="AH38" s="553"/>
      <c r="AI38" s="142"/>
      <c r="AJ38" s="517"/>
      <c r="AK38" s="553"/>
      <c r="AL38" s="513"/>
      <c r="AM38" s="554"/>
      <c r="AN38" s="143"/>
      <c r="AO38" s="143"/>
      <c r="AP38" s="143"/>
      <c r="AQ38" s="143"/>
      <c r="AR38" s="143"/>
      <c r="AS38" s="143"/>
      <c r="AT38" s="143"/>
      <c r="AU38" s="143"/>
      <c r="AV38" s="143"/>
      <c r="AW38" s="143"/>
      <c r="AX38" s="145"/>
      <c r="AY38" s="143"/>
      <c r="AZ38" s="555"/>
      <c r="BA38" s="558"/>
      <c r="BB38" s="468"/>
      <c r="BC38" s="508"/>
      <c r="BD38" s="508"/>
      <c r="BE38" s="146">
        <f t="shared" si="0"/>
        <v>0</v>
      </c>
      <c r="BF38" s="146">
        <f t="shared" si="1"/>
        <v>0</v>
      </c>
      <c r="BG38" s="146">
        <f t="shared" si="2"/>
        <v>0</v>
      </c>
      <c r="BH38" s="146">
        <f t="shared" si="3"/>
        <v>0</v>
      </c>
      <c r="BI38" s="146">
        <f t="shared" si="4"/>
        <v>0</v>
      </c>
      <c r="BJ38" s="146">
        <f t="shared" si="5"/>
        <v>0</v>
      </c>
      <c r="BK38" s="146">
        <f t="shared" si="6"/>
        <v>0</v>
      </c>
      <c r="BL38" s="146">
        <f t="shared" si="7"/>
        <v>0</v>
      </c>
      <c r="BM38" s="146">
        <f t="shared" si="8"/>
        <v>0</v>
      </c>
      <c r="BN38" s="467"/>
      <c r="BO38" s="467"/>
      <c r="BP38" s="467"/>
      <c r="BQ38" s="467"/>
      <c r="BR38" s="508"/>
      <c r="BS38" s="508"/>
      <c r="BT38" s="508"/>
      <c r="BU38" s="508"/>
      <c r="BV38" s="538"/>
      <c r="BW38" s="538"/>
      <c r="BX38" s="538"/>
      <c r="BY38" s="538"/>
      <c r="BZ38" s="538"/>
      <c r="CA38" s="538"/>
      <c r="CB38" s="538"/>
      <c r="CC38" s="538"/>
      <c r="CD38" s="538"/>
      <c r="CE38" s="538"/>
      <c r="CF38" s="538"/>
      <c r="CG38" s="538"/>
      <c r="CI38" s="314" t="str">
        <f>IFERROR(IF('Overview - Section A'!$AN$5="Funding Request",
IF(AND('Reference Records'!$B$427&lt;&gt;"",$L38 ='Reference Records'!$B$427),'Reference Records'!$C$427,""),
INDEX('Reference Records'!$A$498:$C$499,MATCH($L38,'Reference Records'!$A$498:$A$499,0),3)),"")</f>
        <v/>
      </c>
      <c r="CJ38" s="314" t="str">
        <f>IFERROR(INDEX('Overview - Section A'!$H$102:$H$118,MATCH(IF($B38="", "--select--", $B38),'Overview - Section A'!$C$102:$C$118,0)),"")</f>
        <v/>
      </c>
      <c r="CK38" s="310" t="str" cm="1">
        <f t="array" ref="CK38">IFERROR(IF($C38="", "", VLOOKUP(LEFT($C38,255),LEFT('Reference Records'!$C$88:$G$189,255),5,0)),"")</f>
        <v/>
      </c>
    </row>
    <row r="39" spans="1:89" ht="30" customHeight="1">
      <c r="A39" s="522">
        <v>16</v>
      </c>
      <c r="B39" s="528" t="s">
        <v>1447</v>
      </c>
      <c r="C39" s="528" t="s">
        <v>1108</v>
      </c>
      <c r="D39" s="528"/>
      <c r="E39" s="148"/>
      <c r="F39" s="524" t="str">
        <f ca="1">IF(OR(INDIRECT("'update Helper'!D"&amp;AT39)="",E39&lt;&gt;0,E40&lt;&gt;0),IF(IFERROR((E39/E40),"")="","",(E39/E40)),INDIRECT("'update Helper'!D"&amp;AT39)/100)</f>
        <v/>
      </c>
      <c r="G39" s="543"/>
      <c r="H39" s="528" t="s">
        <v>2195</v>
      </c>
      <c r="I39" s="545" t="str">
        <f>AN39</f>
        <v>Gender,PrEP product,Age</v>
      </c>
      <c r="J39" s="543" t="s">
        <v>2212</v>
      </c>
      <c r="K39" s="528" t="s">
        <v>340</v>
      </c>
      <c r="L39" s="149" t="s">
        <v>781</v>
      </c>
      <c r="M39" s="547" t="s">
        <v>650</v>
      </c>
      <c r="N39" s="148">
        <v>12600</v>
      </c>
      <c r="O39" s="524">
        <v>0.72996929494235563</v>
      </c>
      <c r="P39" s="543"/>
      <c r="Q39" s="150">
        <v>13118</v>
      </c>
      <c r="R39" s="524">
        <v>0.75997914373443021</v>
      </c>
      <c r="S39" s="543"/>
      <c r="T39" s="150">
        <v>15546</v>
      </c>
      <c r="U39" s="524">
        <v>0.79997941645654302</v>
      </c>
      <c r="V39" s="543"/>
      <c r="W39" s="150">
        <v>16324</v>
      </c>
      <c r="X39" s="524">
        <v>0.84001440848041986</v>
      </c>
      <c r="Y39" s="543"/>
      <c r="Z39" s="150">
        <v>19513</v>
      </c>
      <c r="AA39" s="524">
        <v>0.9049717094889157</v>
      </c>
      <c r="AB39" s="543"/>
      <c r="AC39" s="150">
        <v>20915</v>
      </c>
      <c r="AD39" s="524">
        <v>0.96999350709581666</v>
      </c>
      <c r="AE39" s="543"/>
      <c r="AF39" s="150"/>
      <c r="AG39" s="549"/>
      <c r="AH39" s="543"/>
      <c r="AI39" s="150"/>
      <c r="AJ39" s="549"/>
      <c r="AK39" s="543"/>
      <c r="AL39" s="528" t="s">
        <v>2227</v>
      </c>
      <c r="AM39" s="476" t="str">
        <f>IFERROR(IF(VLOOKUP(B39,'Reference Records'!$C$192:$D$250,2,FALSE)=0,"",VLOOKUP(B39,'Reference Records'!$C$192:$D$250,2,FALSE)),"")</f>
        <v>MCI-01297</v>
      </c>
      <c r="AN39" s="48" t="str">
        <f t="array" ref="AN39">IFERROR(IF(INDEX('Reference Records'!$D$88:$D$189,MATCH(LEFT(C39,255),LEFT('Reference Records'!$C$88:$C$189,255),0))=0,"",INDEX('Reference Records'!$D$88:$D$189,MATCH(LEFT(C39,255),LEFT('Reference Records'!$C$88:$C$189,255),0))),"")</f>
        <v>Gender,PrEP product,Age</v>
      </c>
      <c r="AO39" s="48" t="str">
        <f>CONCATENATE(C39,D39)</f>
        <v>KP-6c Number of sex workers who received any PrEP product at least once during the reporting period</v>
      </c>
      <c r="AP39" s="151" t="str">
        <f t="array" ref="AP39">VLOOKUP(LEFT(C39,255),LEFT('Reference Records'!C$87:G434,255),4,0)</f>
        <v>MCI-01522</v>
      </c>
      <c r="AQ39" s="151" t="e">
        <f>MATCH(AP39,'Reference Records'!$F$512:$F$514,0)+ROW(PopulationByCoverage)-1</f>
        <v>#N/A</v>
      </c>
      <c r="AR39" s="151">
        <f>MATCH(AP39,'Reference Records'!$F$512:$F$514,1)+ROW(PopulationByCoverage)-1</f>
        <v>513</v>
      </c>
      <c r="AS39" s="48" t="str">
        <f>C39&amp;D39</f>
        <v>KP-6c Number of sex workers who received any PrEP product at least once during the reporting period</v>
      </c>
      <c r="AT39" s="48">
        <f t="shared" si="320"/>
        <v>469</v>
      </c>
      <c r="AU39" s="48">
        <f ca="1">AU37+'update Helper'!$T$2</f>
        <v>630.73913043478194</v>
      </c>
      <c r="AV39" s="48" t="str">
        <f t="shared" ref="AV39" si="344">CLEAN(IFERROR(LEFT(AY39, SEARCH(";",AY39,1)-1),""))</f>
        <v>Non cumulative</v>
      </c>
      <c r="AW39" s="48" t="str">
        <f t="shared" ref="AW39" si="345">SUBSTITUTE(IFERROR(MID(AY39, SEARCH(";",AY39) + 1, SEARCH(";",AY39,SEARCH(";",AY39)+1) - SEARCH(";",AY39) - 1),""),CHAR(10),"")</f>
        <v/>
      </c>
      <c r="AX39" s="152" t="str">
        <f t="shared" ref="AX39" si="346">CLEAN(IFERROR(SUBSTITUTE(RIGHT(AY39,LEN(AY39) - SEARCH(";", AY39, SEARCH(";",AY39) + 1)),";",""),""))</f>
        <v/>
      </c>
      <c r="AY39" s="48" t="str">
        <f t="array" ref="AY39">IFERROR(IF(VLOOKUP(LEFT(C39,255),LEFT('Reference Records'!$C$1:$K$539,255),9,0)=0,"",CONCATENATE(VLOOKUP(LEFT(C39,255),LEFT('Reference Records'!$C$1:$K$539,255),9,0),";")),"")</f>
        <v>Non cumulative;</v>
      </c>
      <c r="AZ39" s="551" t="str">
        <f>IF($BV39="", "", IF($BV39=TRUE, "Yes", "No"))</f>
        <v>No</v>
      </c>
      <c r="BA39" s="559" t="str">
        <f t="shared" ref="BA39" ca="1" si="347">IF($D39="", "",IF(IF(INDIRECT("'update Helper'!W"&amp;AT39)=0,"",INDIRECT("'update Helper'!W"&amp;AT39))=TRUE, "Yes","No"))</f>
        <v/>
      </c>
      <c r="BB39" s="468" t="str">
        <f t="shared" ref="BB39" ca="1" si="348">IF(AND(BS39="Continue",BU39="Continue"),"No Error",IF(AND(BS39&lt;&gt;"Continue",BU39="Continue"),BS39,IF(AND(BU39&lt;&gt;"Continue",BS39="Continue"),BU39,CONCATENATE(BS39,CHAR(10),BU39))))</f>
        <v>No Error</v>
      </c>
      <c r="BC39" s="508" t="str" cm="1">
        <f t="array" ref="BC39">IF(ISBLANK(C39),"Continue",(IF(IFERROR(_xlfn.XMATCH(C39,LEFT('Reference Records'!$C$87:$C$189,32768),0),0)&lt;&gt;0,"Continue","Invalid indicator entry. Select from dropdown list.")))</f>
        <v>Continue</v>
      </c>
      <c r="BD39" s="508" t="str">
        <f t="shared" ref="BD39" si="349">IF(SUM(BE39:BM40)=0, "Continue", "Enter valid number only.")</f>
        <v>Continue</v>
      </c>
      <c r="BE39" s="146">
        <f t="shared" si="0"/>
        <v>0</v>
      </c>
      <c r="BF39" s="146">
        <f t="shared" si="1"/>
        <v>0</v>
      </c>
      <c r="BG39" s="146">
        <f t="shared" si="2"/>
        <v>0</v>
      </c>
      <c r="BH39" s="146">
        <f t="shared" si="3"/>
        <v>0</v>
      </c>
      <c r="BI39" s="146">
        <f t="shared" si="4"/>
        <v>0</v>
      </c>
      <c r="BJ39" s="146">
        <f t="shared" si="5"/>
        <v>0</v>
      </c>
      <c r="BK39" s="146">
        <f t="shared" si="6"/>
        <v>0</v>
      </c>
      <c r="BL39" s="146">
        <f t="shared" si="7"/>
        <v>0</v>
      </c>
      <c r="BM39" s="146">
        <f t="shared" si="8"/>
        <v>0</v>
      </c>
      <c r="BN39" s="467" t="str">
        <f>IF(NOT(ISBLANK(C39)),IF(C39&lt;&gt;"",IF(_xlfn.XLOOKUP(C39,'Reference Records'!$C$87:$C$189,'Reference Records'!$A$87:$A$189,0,0,1)=AM39,"Continue","Select correct module name."),"Continue"),"Continue")</f>
        <v>Continue</v>
      </c>
      <c r="BO39" s="467" t="str">
        <f t="shared" ref="BO39" ca="1" si="350">IF(AND(BC39="Continue",CG39="Continue"),"Continue",IF(AND(BC39&lt;&gt;"Continue",CG39="Continue"),BC39,IF(AND(CG39&lt;&gt;"Continue",BC39="Continue"),CG39,CONCATENATE(BC39,CHAR(10),CG39))))</f>
        <v>Continue</v>
      </c>
      <c r="BP39" s="467" t="str">
        <f t="shared" ref="BP39" ca="1" si="351">IF(AND((AZ39&lt;&gt;""),(BA39&lt;&gt;"")),"Reversed custom indicator selection not applicable. Value pre-populated in standard indicator column.","Continue")</f>
        <v>Continue</v>
      </c>
      <c r="BQ39" s="467" t="str">
        <f t="shared" ref="BQ39" ca="1" si="352">IF(AND(BN39="Continue",BO39="Continue"),"Continue",
IF(AND(BN39&lt;&gt;"Continue",BO39="Continue"),BN39,
IF(AND(BO39&lt;&gt;"Continue",BN39="Continue"),BO39,
CONCATENATE(BN39,CHAR(10),BO39))))</f>
        <v>Continue</v>
      </c>
      <c r="BR39" s="508" t="str" cm="1">
        <f t="array" ref="BR39">IF(ISBLANK(B39),"Continue",(IF(IFERROR(_xlfn.XMATCH(B39,LEFT('Reference Records'!$J$191:$J$250,32768),0),0)&lt;&gt;0,"Continue","Invalid module entry. Select from dropdown list.")))</f>
        <v>Continue</v>
      </c>
      <c r="BS39" s="508" t="str">
        <f t="shared" ref="BS39" ca="1" si="353">IF(AND(BP39="Continue",BQ39="Continue"),"Continue",IF(AND(BP39&lt;&gt;"Continue",BQ39="Continue"),BP39,IF(AND(BQ39&lt;&gt;"Continue",BP39="Continue"),BQ39,CONCATENATE(BP39,CHAR(10),BQ39))))</f>
        <v>Continue</v>
      </c>
      <c r="BT39" s="508" t="str">
        <f t="shared" ref="BT39" si="354">IF(AND(C39="",D39=""),"Continue",IF(AND(C39="",D39&lt;&gt;""),"Continue",IF(AND(C39&lt;&gt;"",D39=""),"Continue",IF(AND(C39&lt;&gt;"",D39&lt;&gt;""),"Cannot enter both standard and custom indicators on the same line."))))</f>
        <v>Continue</v>
      </c>
      <c r="BU39" s="508" t="str">
        <f t="shared" ref="BU39" si="355">IF(AND(BR39="Continue",BT39="Continue"),"Continue",IF(AND(BR39&lt;&gt;"Continue",BT39="Continue"),BR39,IF(AND(BT39&lt;&gt;"Continue",BR39="Continue"),BT39,CONCATENATE(BR39,CHAR(10),BT39))))</f>
        <v>Continue</v>
      </c>
      <c r="BV39" s="538" t="b">
        <f>IFERROR(INDEX('Reference Records'!$L$87:$L$189,MATCH($C39,'Reference Records'!$C$87:$C$189,0)),"")</f>
        <v>0</v>
      </c>
      <c r="BW39" s="538">
        <f t="shared" ref="BW39" ca="1" si="356">IF(NOT(ISBLANK(F39)),IF(F39&lt;&gt;"",(IF(NOT(ISNUMBER(F39)),1,0)),0),0)</f>
        <v>0</v>
      </c>
      <c r="BX39" s="538">
        <f t="shared" ref="BX39" si="357">IF(NOT(ISBLANK(O39)),IF(O39&lt;&gt;"",(IF(NOT(ISNUMBER(O39)),1,0)),0),0)</f>
        <v>0</v>
      </c>
      <c r="BY39" s="538">
        <f t="shared" ref="BY39" si="358">IF(NOT(ISBLANK(R39)),IF(R39&lt;&gt;"",(IF(NOT(ISNUMBER(R39)),1,0)),0),0)</f>
        <v>0</v>
      </c>
      <c r="BZ39" s="538">
        <f t="shared" ref="BZ39" si="359">IF(NOT(ISBLANK(U39)),IF(U39&lt;&gt;"",(IF(NOT(ISNUMBER(U39)),1,0)),0),0)</f>
        <v>0</v>
      </c>
      <c r="CA39" s="538">
        <f t="shared" ref="CA39" si="360">IF(NOT(ISBLANK(X39)),IF(X39&lt;&gt;"",(IF(NOT(ISNUMBER(X39)),1,0)),0),0)</f>
        <v>0</v>
      </c>
      <c r="CB39" s="538">
        <f t="shared" ref="CB39" si="361">IF(NOT(ISBLANK(AA39)),IF(AA39&lt;&gt;"",(IF(NOT(ISNUMBER(AA39)),1,0)),0),0)</f>
        <v>0</v>
      </c>
      <c r="CC39" s="538">
        <f t="shared" ref="CC39" si="362">IF(NOT(ISBLANK(AD39)),IF(AD39&lt;&gt;"",(IF(NOT(ISNUMBER(AD39)),1,0)),0),0)</f>
        <v>0</v>
      </c>
      <c r="CD39" s="538">
        <f t="shared" ref="CD39" si="363">IF(NOT(ISBLANK(AG39)),IF(AG39&lt;&gt;"",(IF(NOT(ISNUMBER(AG39)),1,0)),0),0)</f>
        <v>0</v>
      </c>
      <c r="CE39" s="538">
        <f t="shared" ref="CE39" si="364">IF(NOT(ISBLANK(AJ39)),IF(AJ39&lt;&gt;"",(IF(NOT(ISNUMBER(AJ39)),1,0)),0),0)</f>
        <v>0</v>
      </c>
      <c r="CF39" s="538" t="str">
        <f t="shared" ref="CF39" ca="1" si="365">IF(SUM(BW39:CE40)=0, "Continue", "Enter valid number only.")</f>
        <v>Continue</v>
      </c>
      <c r="CG39" s="538" t="str">
        <f t="shared" ref="CG39" ca="1" si="366">IF(AND(CF39="Continue",BD39="Continue"),"Continue",IF(AND(CF39&lt;&gt;"Continue",BD39="Continue"),CF39,IF(AND(BD39&lt;&gt;"Continue",CF39="Continue"),BD39,CONCATENATE(CF39,CHAR(10)))))</f>
        <v>Continue</v>
      </c>
      <c r="CI39" s="314" t="str">
        <f>IFERROR(IF('Overview - Section A'!$AN$5="Funding Request",
IF(AND('Reference Records'!$B$427&lt;&gt;"",$L39 ='Reference Records'!$B$427),'Reference Records'!$C$427,""),
INDEX('Reference Records'!$A$498:$C$499,MATCH($L39,'Reference Records'!$A$498:$A$499,0),3)),"")</f>
        <v>a1A360000013M2uEAE</v>
      </c>
      <c r="CJ39" s="314" t="str">
        <f>IFERROR(INDEX('Overview - Section A'!$H$102:$H$118,MATCH(IF($B39="", "--select--", $B39),'Overview - Section A'!$C$102:$C$118,0)),"")</f>
        <v>a1PDm000000LrDAMA0</v>
      </c>
      <c r="CK39" s="310" t="str" cm="1">
        <f t="array" ref="CK39">IFERROR(IF($C39="", "", VLOOKUP(LEFT($C39,255),LEFT('Reference Records'!$C$88:$G$189,255),5,0)),"")</f>
        <v>a1ODm000000GnxxMAC</v>
      </c>
    </row>
    <row r="40" spans="1:89" ht="30" customHeight="1">
      <c r="A40" s="523"/>
      <c r="B40" s="529"/>
      <c r="C40" s="529"/>
      <c r="D40" s="529"/>
      <c r="E40" s="148"/>
      <c r="F40" s="525"/>
      <c r="G40" s="544"/>
      <c r="H40" s="529"/>
      <c r="I40" s="546"/>
      <c r="J40" s="544"/>
      <c r="K40" s="529"/>
      <c r="L40" s="153" t="s">
        <v>651</v>
      </c>
      <c r="M40" s="548"/>
      <c r="N40" s="148">
        <v>17261</v>
      </c>
      <c r="O40" s="525"/>
      <c r="P40" s="544"/>
      <c r="Q40" s="150">
        <v>17261</v>
      </c>
      <c r="R40" s="525"/>
      <c r="S40" s="544"/>
      <c r="T40" s="150">
        <v>19433</v>
      </c>
      <c r="U40" s="525"/>
      <c r="V40" s="544"/>
      <c r="W40" s="150">
        <v>19433</v>
      </c>
      <c r="X40" s="525"/>
      <c r="Y40" s="544"/>
      <c r="Z40" s="150">
        <v>21562</v>
      </c>
      <c r="AA40" s="525"/>
      <c r="AB40" s="544"/>
      <c r="AC40" s="150">
        <v>21562</v>
      </c>
      <c r="AD40" s="525"/>
      <c r="AE40" s="544"/>
      <c r="AF40" s="150"/>
      <c r="AG40" s="550"/>
      <c r="AH40" s="544"/>
      <c r="AI40" s="150"/>
      <c r="AJ40" s="550"/>
      <c r="AK40" s="544"/>
      <c r="AL40" s="529"/>
      <c r="AM40" s="476"/>
      <c r="AX40" s="152"/>
      <c r="AZ40" s="551"/>
      <c r="BA40" s="559"/>
      <c r="BB40" s="468"/>
      <c r="BC40" s="508"/>
      <c r="BD40" s="508"/>
      <c r="BE40" s="146">
        <f t="shared" si="0"/>
        <v>0</v>
      </c>
      <c r="BF40" s="146">
        <f t="shared" si="1"/>
        <v>0</v>
      </c>
      <c r="BG40" s="146">
        <f t="shared" si="2"/>
        <v>0</v>
      </c>
      <c r="BH40" s="146">
        <f t="shared" si="3"/>
        <v>0</v>
      </c>
      <c r="BI40" s="146">
        <f t="shared" si="4"/>
        <v>0</v>
      </c>
      <c r="BJ40" s="146">
        <f t="shared" si="5"/>
        <v>0</v>
      </c>
      <c r="BK40" s="146">
        <f t="shared" si="6"/>
        <v>0</v>
      </c>
      <c r="BL40" s="146">
        <f t="shared" si="7"/>
        <v>0</v>
      </c>
      <c r="BM40" s="146">
        <f t="shared" si="8"/>
        <v>0</v>
      </c>
      <c r="BN40" s="467"/>
      <c r="BO40" s="467"/>
      <c r="BP40" s="467"/>
      <c r="BQ40" s="467"/>
      <c r="BR40" s="508"/>
      <c r="BS40" s="508"/>
      <c r="BT40" s="508"/>
      <c r="BU40" s="508"/>
      <c r="BV40" s="538"/>
      <c r="BW40" s="538"/>
      <c r="BX40" s="538"/>
      <c r="BY40" s="538"/>
      <c r="BZ40" s="538"/>
      <c r="CA40" s="538"/>
      <c r="CB40" s="538"/>
      <c r="CC40" s="538"/>
      <c r="CD40" s="538"/>
      <c r="CE40" s="538"/>
      <c r="CF40" s="538"/>
      <c r="CG40" s="538"/>
      <c r="CI40" s="314" t="str">
        <f>IFERROR(IF('Overview - Section A'!$AN$5="Funding Request",
IF(AND('Reference Records'!$B$427&lt;&gt;"",$L40 ='Reference Records'!$B$427),'Reference Records'!$C$427,""),
INDEX('Reference Records'!$A$498:$C$499,MATCH($L40,'Reference Records'!$A$498:$A$499,0),3)),"")</f>
        <v/>
      </c>
      <c r="CJ40" s="314" t="str">
        <f>IFERROR(INDEX('Overview - Section A'!$H$102:$H$118,MATCH(IF($B40="", "--select--", $B40),'Overview - Section A'!$C$102:$C$118,0)),"")</f>
        <v/>
      </c>
      <c r="CK40" s="310" t="str" cm="1">
        <f t="array" ref="CK40">IFERROR(IF($C40="", "", VLOOKUP(LEFT($C40,255),LEFT('Reference Records'!$C$88:$G$189,255),5,0)),"")</f>
        <v/>
      </c>
    </row>
    <row r="41" spans="1:89" ht="30" customHeight="1">
      <c r="A41" s="522">
        <v>17</v>
      </c>
      <c r="B41" s="512" t="s">
        <v>1451</v>
      </c>
      <c r="C41" s="512" t="s">
        <v>1116</v>
      </c>
      <c r="D41" s="512"/>
      <c r="E41" s="140">
        <v>23226</v>
      </c>
      <c r="F41" s="516">
        <f ca="1">IF(OR(INDIRECT("'update Helper'!D"&amp;AT41)="",E41&lt;&gt;0,E42&lt;&gt;0),IF(IFERROR((E41/E42),"")="","",(E41/E42)),INDIRECT("'update Helper'!D"&amp;AT41)/100)</f>
        <v>0.42277647266937896</v>
      </c>
      <c r="G41" s="552">
        <v>2021</v>
      </c>
      <c r="H41" s="512" t="s">
        <v>2192</v>
      </c>
      <c r="I41" s="545" t="str">
        <f>AN41</f>
        <v>Age,Gender</v>
      </c>
      <c r="J41" s="552" t="s">
        <v>2212</v>
      </c>
      <c r="K41" s="512" t="s">
        <v>340</v>
      </c>
      <c r="L41" s="141" t="s">
        <v>781</v>
      </c>
      <c r="M41" s="556" t="s">
        <v>650</v>
      </c>
      <c r="N41" s="140">
        <v>8080.5980335499999</v>
      </c>
      <c r="O41" s="516">
        <v>0.14210593201842317</v>
      </c>
      <c r="P41" s="552"/>
      <c r="Q41" s="142">
        <v>8080.5980335499999</v>
      </c>
      <c r="R41" s="516">
        <v>0.14210593201842317</v>
      </c>
      <c r="S41" s="552"/>
      <c r="T41" s="142">
        <v>11456.133185431599</v>
      </c>
      <c r="U41" s="516">
        <v>0.19578983575159453</v>
      </c>
      <c r="V41" s="552"/>
      <c r="W41" s="142">
        <v>11456.133185431599</v>
      </c>
      <c r="X41" s="516">
        <v>0.19578983575159453</v>
      </c>
      <c r="Y41" s="552"/>
      <c r="Z41" s="142">
        <v>15052.3427357778</v>
      </c>
      <c r="AA41" s="516">
        <v>0.25000112500897376</v>
      </c>
      <c r="AB41" s="552"/>
      <c r="AC41" s="142">
        <v>15052.3427357778</v>
      </c>
      <c r="AD41" s="516">
        <v>0.25000112500897376</v>
      </c>
      <c r="AE41" s="552"/>
      <c r="AF41" s="142"/>
      <c r="AG41" s="516"/>
      <c r="AH41" s="552"/>
      <c r="AI41" s="142"/>
      <c r="AJ41" s="516"/>
      <c r="AK41" s="552"/>
      <c r="AL41" s="512" t="s">
        <v>2228</v>
      </c>
      <c r="AM41" s="554" t="str">
        <f>IFERROR(IF(VLOOKUP(B41,'Reference Records'!$C$192:$D$250,2,FALSE)=0,"",VLOOKUP(B41,'Reference Records'!$C$192:$D$250,2,FALSE)),"")</f>
        <v>MCI-01298</v>
      </c>
      <c r="AN41" s="143" t="str">
        <f t="array" ref="AN41">IFERROR(IF(INDEX('Reference Records'!$D$88:$D$189,MATCH(LEFT(C41,255),LEFT('Reference Records'!$C$88:$C$189,255),0))=0,"",INDEX('Reference Records'!$D$88:$D$189,MATCH(LEFT(C41,255),LEFT('Reference Records'!$C$88:$C$189,255),0))),"")</f>
        <v>Age,Gender</v>
      </c>
      <c r="AO41" s="143" t="str">
        <f>CONCATENATE(C41,D41)</f>
        <v>KP-1b Percentage of transgender people reached with HIV prevention programs - defined package of services</v>
      </c>
      <c r="AP41" s="144" t="str">
        <f t="array" ref="AP41">VLOOKUP(LEFT(C41,255),LEFT('Reference Records'!C$87:G436,255),4,0)</f>
        <v>MCI-01609</v>
      </c>
      <c r="AQ41" s="144" t="e">
        <f>MATCH(AP41,'Reference Records'!$F$512:$F$514,0)+ROW(PopulationByCoverage)-1</f>
        <v>#N/A</v>
      </c>
      <c r="AR41" s="144">
        <f>MATCH(AP41,'Reference Records'!$F$512:$F$514,1)+ROW(PopulationByCoverage)-1</f>
        <v>513</v>
      </c>
      <c r="AS41" s="143" t="str">
        <f>C41&amp;D41</f>
        <v>KP-1b Percentage of transgender people reached with HIV prevention programs - defined package of services</v>
      </c>
      <c r="AT41" s="143">
        <f t="shared" si="320"/>
        <v>470</v>
      </c>
      <c r="AU41" s="143">
        <f ca="1">AU39+'update Helper'!$T$2</f>
        <v>637.52173913043407</v>
      </c>
      <c r="AV41" s="143" t="str">
        <f t="shared" ref="AV41" si="367">CLEAN(IFERROR(LEFT(AY41, SEARCH(";",AY41,1)-1),""))</f>
        <v>Non cumulative</v>
      </c>
      <c r="AW41" s="143" t="str">
        <f t="shared" ref="AW41" si="368">SUBSTITUTE(IFERROR(MID(AY41, SEARCH(";",AY41) + 1, SEARCH(";",AY41,SEARCH(";",AY41)+1) - SEARCH(";",AY41) - 1),""),CHAR(10),"")</f>
        <v>Non cumulative – other</v>
      </c>
      <c r="AX41" s="145" t="str">
        <f t="shared" ref="AX41" si="369">CLEAN(IFERROR(SUBSTITUTE(RIGHT(AY41,LEN(AY41) - SEARCH(";", AY41, SEARCH(";",AY41) + 1)),";",""),""))</f>
        <v>Non cumulative - special</v>
      </c>
      <c r="AY41" s="143" t="str">
        <f t="array" ref="AY41">IFERROR(IF(VLOOKUP(LEFT(C41,255),LEFT('Reference Records'!$C$1:$K$539,255),9,0)=0,"",CONCATENATE(VLOOKUP(LEFT(C41,255),LEFT('Reference Records'!$C$1:$K$539,255),9,0),";")),"")</f>
        <v>Non cumulative;Non cumulative – other;Non cumulative - special;</v>
      </c>
      <c r="AZ41" s="555" t="str">
        <f>IF($BV41="", "", IF($BV41=TRUE, "Yes", "No"))</f>
        <v>No</v>
      </c>
      <c r="BA41" s="558" t="str">
        <f t="shared" ref="BA41" ca="1" si="370">IF($D41="", "",IF(IF(INDIRECT("'update Helper'!W"&amp;AT41)=0,"",INDIRECT("'update Helper'!W"&amp;AT41))=TRUE, "Yes","No"))</f>
        <v/>
      </c>
      <c r="BB41" s="468" t="str">
        <f t="shared" ref="BB41" ca="1" si="371">IF(AND(BS41="Continue",BU41="Continue"),"No Error",IF(AND(BS41&lt;&gt;"Continue",BU41="Continue"),BS41,IF(AND(BU41&lt;&gt;"Continue",BS41="Continue"),BU41,CONCATENATE(BS41,CHAR(10),BU41))))</f>
        <v>No Error</v>
      </c>
      <c r="BC41" s="508" t="str" cm="1">
        <f t="array" ref="BC41">IF(ISBLANK(C41),"Continue",(IF(IFERROR(_xlfn.XMATCH(C41,LEFT('Reference Records'!$C$87:$C$189,32768),0),0)&lt;&gt;0,"Continue","Invalid indicator entry. Select from dropdown list.")))</f>
        <v>Continue</v>
      </c>
      <c r="BD41" s="508" t="str">
        <f t="shared" ref="BD41" si="372">IF(SUM(BE41:BM42)=0, "Continue", "Enter valid number only.")</f>
        <v>Continue</v>
      </c>
      <c r="BE41" s="146">
        <f t="shared" si="0"/>
        <v>0</v>
      </c>
      <c r="BF41" s="146">
        <f t="shared" si="1"/>
        <v>0</v>
      </c>
      <c r="BG41" s="146">
        <f t="shared" si="2"/>
        <v>0</v>
      </c>
      <c r="BH41" s="146">
        <f t="shared" si="3"/>
        <v>0</v>
      </c>
      <c r="BI41" s="146">
        <f t="shared" si="4"/>
        <v>0</v>
      </c>
      <c r="BJ41" s="146">
        <f t="shared" si="5"/>
        <v>0</v>
      </c>
      <c r="BK41" s="146">
        <f t="shared" si="6"/>
        <v>0</v>
      </c>
      <c r="BL41" s="146">
        <f t="shared" si="7"/>
        <v>0</v>
      </c>
      <c r="BM41" s="146">
        <f t="shared" si="8"/>
        <v>0</v>
      </c>
      <c r="BN41" s="467" t="str">
        <f>IF(NOT(ISBLANK(C41)),IF(C41&lt;&gt;"",IF(_xlfn.XLOOKUP(C41,'Reference Records'!$C$87:$C$189,'Reference Records'!$A$87:$A$189,0,0,1)=AM41,"Continue","Select correct module name."),"Continue"),"Continue")</f>
        <v>Continue</v>
      </c>
      <c r="BO41" s="467" t="str">
        <f t="shared" ref="BO41" ca="1" si="373">IF(AND(BC41="Continue",CG41="Continue"),"Continue",IF(AND(BC41&lt;&gt;"Continue",CG41="Continue"),BC41,IF(AND(CG41&lt;&gt;"Continue",BC41="Continue"),CG41,CONCATENATE(BC41,CHAR(10),CG41))))</f>
        <v>Continue</v>
      </c>
      <c r="BP41" s="467" t="str">
        <f t="shared" ref="BP41" ca="1" si="374">IF(AND((AZ41&lt;&gt;""),(BA41&lt;&gt;"")),"Reversed custom indicator selection not applicable. Value pre-populated in standard indicator column.","Continue")</f>
        <v>Continue</v>
      </c>
      <c r="BQ41" s="467" t="str">
        <f t="shared" ref="BQ41" ca="1" si="375">IF(AND(BN41="Continue",BO41="Continue"),"Continue",
IF(AND(BN41&lt;&gt;"Continue",BO41="Continue"),BN41,
IF(AND(BO41&lt;&gt;"Continue",BN41="Continue"),BO41,
CONCATENATE(BN41,CHAR(10),BO41))))</f>
        <v>Continue</v>
      </c>
      <c r="BR41" s="508" t="str" cm="1">
        <f t="array" ref="BR41">IF(ISBLANK(B41),"Continue",(IF(IFERROR(_xlfn.XMATCH(B41,LEFT('Reference Records'!$J$191:$J$250,32768),0),0)&lt;&gt;0,"Continue","Invalid module entry. Select from dropdown list.")))</f>
        <v>Continue</v>
      </c>
      <c r="BS41" s="508" t="str">
        <f t="shared" ref="BS41" ca="1" si="376">IF(AND(BP41="Continue",BQ41="Continue"),"Continue",IF(AND(BP41&lt;&gt;"Continue",BQ41="Continue"),BP41,IF(AND(BQ41&lt;&gt;"Continue",BP41="Continue"),BQ41,CONCATENATE(BP41,CHAR(10),BQ41))))</f>
        <v>Continue</v>
      </c>
      <c r="BT41" s="508" t="str">
        <f t="shared" ref="BT41" si="377">IF(AND(C41="",D41=""),"Continue",IF(AND(C41="",D41&lt;&gt;""),"Continue",IF(AND(C41&lt;&gt;"",D41=""),"Continue",IF(AND(C41&lt;&gt;"",D41&lt;&gt;""),"Cannot enter both standard and custom indicators on the same line."))))</f>
        <v>Continue</v>
      </c>
      <c r="BU41" s="508" t="str">
        <f t="shared" ref="BU41" si="378">IF(AND(BR41="Continue",BT41="Continue"),"Continue",IF(AND(BR41&lt;&gt;"Continue",BT41="Continue"),BR41,IF(AND(BT41&lt;&gt;"Continue",BR41="Continue"),BT41,CONCATENATE(BR41,CHAR(10),BT41))))</f>
        <v>Continue</v>
      </c>
      <c r="BV41" s="538" t="b">
        <f>IFERROR(INDEX('Reference Records'!$L$87:$L$189,MATCH($C41,'Reference Records'!$C$87:$C$189,0)),"")</f>
        <v>0</v>
      </c>
      <c r="BW41" s="538">
        <f t="shared" ref="BW41" ca="1" si="379">IF(NOT(ISBLANK(F41)),IF(F41&lt;&gt;"",(IF(NOT(ISNUMBER(F41)),1,0)),0),0)</f>
        <v>0</v>
      </c>
      <c r="BX41" s="538">
        <f t="shared" ref="BX41" si="380">IF(NOT(ISBLANK(O41)),IF(O41&lt;&gt;"",(IF(NOT(ISNUMBER(O41)),1,0)),0),0)</f>
        <v>0</v>
      </c>
      <c r="BY41" s="538">
        <f t="shared" ref="BY41" si="381">IF(NOT(ISBLANK(R41)),IF(R41&lt;&gt;"",(IF(NOT(ISNUMBER(R41)),1,0)),0),0)</f>
        <v>0</v>
      </c>
      <c r="BZ41" s="538">
        <f t="shared" ref="BZ41" si="382">IF(NOT(ISBLANK(U41)),IF(U41&lt;&gt;"",(IF(NOT(ISNUMBER(U41)),1,0)),0),0)</f>
        <v>0</v>
      </c>
      <c r="CA41" s="538">
        <f t="shared" ref="CA41" si="383">IF(NOT(ISBLANK(X41)),IF(X41&lt;&gt;"",(IF(NOT(ISNUMBER(X41)),1,0)),0),0)</f>
        <v>0</v>
      </c>
      <c r="CB41" s="538">
        <f t="shared" ref="CB41" si="384">IF(NOT(ISBLANK(AA41)),IF(AA41&lt;&gt;"",(IF(NOT(ISNUMBER(AA41)),1,0)),0),0)</f>
        <v>0</v>
      </c>
      <c r="CC41" s="538">
        <f t="shared" ref="CC41" si="385">IF(NOT(ISBLANK(AD41)),IF(AD41&lt;&gt;"",(IF(NOT(ISNUMBER(AD41)),1,0)),0),0)</f>
        <v>0</v>
      </c>
      <c r="CD41" s="538">
        <f t="shared" ref="CD41" si="386">IF(NOT(ISBLANK(AG41)),IF(AG41&lt;&gt;"",(IF(NOT(ISNUMBER(AG41)),1,0)),0),0)</f>
        <v>0</v>
      </c>
      <c r="CE41" s="538">
        <f t="shared" ref="CE41" si="387">IF(NOT(ISBLANK(AJ41)),IF(AJ41&lt;&gt;"",(IF(NOT(ISNUMBER(AJ41)),1,0)),0),0)</f>
        <v>0</v>
      </c>
      <c r="CF41" s="538" t="str">
        <f t="shared" ref="CF41" ca="1" si="388">IF(SUM(BW41:CE42)=0, "Continue", "Enter valid number only.")</f>
        <v>Continue</v>
      </c>
      <c r="CG41" s="538" t="str">
        <f t="shared" ref="CG41" ca="1" si="389">IF(AND(CF41="Continue",BD41="Continue"),"Continue",IF(AND(CF41&lt;&gt;"Continue",BD41="Continue"),CF41,IF(AND(BD41&lt;&gt;"Continue",CF41="Continue"),BD41,CONCATENATE(CF41,CHAR(10)))))</f>
        <v>Continue</v>
      </c>
      <c r="CI41" s="314" t="str">
        <f>IFERROR(IF('Overview - Section A'!$AN$5="Funding Request",
IF(AND('Reference Records'!$B$427&lt;&gt;"",$L41 ='Reference Records'!$B$427),'Reference Records'!$C$427,""),
INDEX('Reference Records'!$A$498:$C$499,MATCH($L41,'Reference Records'!$A$498:$A$499,0),3)),"")</f>
        <v>a1A360000013M2uEAE</v>
      </c>
      <c r="CJ41" s="314" t="str">
        <f>IFERROR(INDEX('Overview - Section A'!$H$102:$H$118,MATCH(IF($B41="", "--select--", $B41),'Overview - Section A'!$C$102:$C$118,0)),"")</f>
        <v>a1PDm000000LrDBMA0</v>
      </c>
      <c r="CK41" s="310" t="str" cm="1">
        <f t="array" ref="CK41">IFERROR(IF($C41="", "", VLOOKUP(LEFT($C41,255),LEFT('Reference Records'!$C$88:$G$189,255),5,0)),"")</f>
        <v>a1ODm000000GnzMMAS</v>
      </c>
    </row>
    <row r="42" spans="1:89" ht="30" customHeight="1">
      <c r="A42" s="523"/>
      <c r="B42" s="513"/>
      <c r="C42" s="513"/>
      <c r="D42" s="513"/>
      <c r="E42" s="140">
        <v>54936.8318756074</v>
      </c>
      <c r="F42" s="517"/>
      <c r="G42" s="553"/>
      <c r="H42" s="513"/>
      <c r="I42" s="546"/>
      <c r="J42" s="553"/>
      <c r="K42" s="513"/>
      <c r="L42" s="147" t="s">
        <v>651</v>
      </c>
      <c r="M42" s="557"/>
      <c r="N42" s="140">
        <v>56863.199999999997</v>
      </c>
      <c r="O42" s="517"/>
      <c r="P42" s="553"/>
      <c r="Q42" s="142">
        <v>56863.199999999997</v>
      </c>
      <c r="R42" s="517"/>
      <c r="S42" s="553"/>
      <c r="T42" s="142">
        <v>58512.399999999994</v>
      </c>
      <c r="U42" s="517"/>
      <c r="V42" s="553"/>
      <c r="W42" s="142">
        <v>58512.399999999994</v>
      </c>
      <c r="X42" s="517"/>
      <c r="Y42" s="553"/>
      <c r="Z42" s="142">
        <v>60209.1</v>
      </c>
      <c r="AA42" s="517"/>
      <c r="AB42" s="553"/>
      <c r="AC42" s="142">
        <v>60209.1</v>
      </c>
      <c r="AD42" s="517"/>
      <c r="AE42" s="553"/>
      <c r="AF42" s="142"/>
      <c r="AG42" s="517"/>
      <c r="AH42" s="553"/>
      <c r="AI42" s="142"/>
      <c r="AJ42" s="517"/>
      <c r="AK42" s="553"/>
      <c r="AL42" s="513"/>
      <c r="AM42" s="554"/>
      <c r="AN42" s="143"/>
      <c r="AO42" s="143"/>
      <c r="AP42" s="143"/>
      <c r="AQ42" s="143"/>
      <c r="AR42" s="143"/>
      <c r="AS42" s="143"/>
      <c r="AT42" s="143"/>
      <c r="AU42" s="143"/>
      <c r="AV42" s="143"/>
      <c r="AW42" s="143"/>
      <c r="AX42" s="145"/>
      <c r="AY42" s="143"/>
      <c r="AZ42" s="555"/>
      <c r="BA42" s="558"/>
      <c r="BB42" s="468"/>
      <c r="BC42" s="508"/>
      <c r="BD42" s="508"/>
      <c r="BE42" s="146">
        <f t="shared" si="0"/>
        <v>0</v>
      </c>
      <c r="BF42" s="146">
        <f t="shared" si="1"/>
        <v>0</v>
      </c>
      <c r="BG42" s="146">
        <f t="shared" si="2"/>
        <v>0</v>
      </c>
      <c r="BH42" s="146">
        <f t="shared" si="3"/>
        <v>0</v>
      </c>
      <c r="BI42" s="146">
        <f t="shared" si="4"/>
        <v>0</v>
      </c>
      <c r="BJ42" s="146">
        <f t="shared" si="5"/>
        <v>0</v>
      </c>
      <c r="BK42" s="146">
        <f t="shared" si="6"/>
        <v>0</v>
      </c>
      <c r="BL42" s="146">
        <f t="shared" si="7"/>
        <v>0</v>
      </c>
      <c r="BM42" s="146">
        <f t="shared" si="8"/>
        <v>0</v>
      </c>
      <c r="BN42" s="467"/>
      <c r="BO42" s="467"/>
      <c r="BP42" s="467"/>
      <c r="BQ42" s="467"/>
      <c r="BR42" s="508"/>
      <c r="BS42" s="508"/>
      <c r="BT42" s="508"/>
      <c r="BU42" s="508"/>
      <c r="BV42" s="538"/>
      <c r="BW42" s="538"/>
      <c r="BX42" s="538"/>
      <c r="BY42" s="538"/>
      <c r="BZ42" s="538"/>
      <c r="CA42" s="538"/>
      <c r="CB42" s="538"/>
      <c r="CC42" s="538"/>
      <c r="CD42" s="538"/>
      <c r="CE42" s="538"/>
      <c r="CF42" s="538"/>
      <c r="CG42" s="538"/>
      <c r="CI42" s="314" t="str">
        <f>IFERROR(IF('Overview - Section A'!$AN$5="Funding Request",
IF(AND('Reference Records'!$B$427&lt;&gt;"",$L42 ='Reference Records'!$B$427),'Reference Records'!$C$427,""),
INDEX('Reference Records'!$A$498:$C$499,MATCH($L42,'Reference Records'!$A$498:$A$499,0),3)),"")</f>
        <v/>
      </c>
      <c r="CJ42" s="314" t="str">
        <f>IFERROR(INDEX('Overview - Section A'!$H$102:$H$118,MATCH(IF($B42="", "--select--", $B42),'Overview - Section A'!$C$102:$C$118,0)),"")</f>
        <v/>
      </c>
      <c r="CK42" s="310" t="str" cm="1">
        <f t="array" ref="CK42">IFERROR(IF($C42="", "", VLOOKUP(LEFT($C42,255),LEFT('Reference Records'!$C$88:$G$189,255),5,0)),"")</f>
        <v/>
      </c>
    </row>
    <row r="43" spans="1:89" ht="30" customHeight="1">
      <c r="A43" s="522">
        <v>18</v>
      </c>
      <c r="B43" s="528" t="s">
        <v>1451</v>
      </c>
      <c r="C43" s="528" t="s">
        <v>1119</v>
      </c>
      <c r="D43" s="528"/>
      <c r="E43" s="148"/>
      <c r="F43" s="524" t="str">
        <f ca="1">IF(OR(INDIRECT("'update Helper'!D"&amp;AT43)="",E43&lt;&gt;0,E44&lt;&gt;0),IF(IFERROR((E43/E44),"")="","",(E43/E44)),INDIRECT("'update Helper'!D"&amp;AT43)/100)</f>
        <v/>
      </c>
      <c r="G43" s="543"/>
      <c r="H43" s="528" t="s">
        <v>2195</v>
      </c>
      <c r="I43" s="545" t="str">
        <f>AN43</f>
        <v>Gender,Age,PrEP product</v>
      </c>
      <c r="J43" s="543" t="s">
        <v>2212</v>
      </c>
      <c r="K43" s="528" t="s">
        <v>340</v>
      </c>
      <c r="L43" s="149" t="s">
        <v>781</v>
      </c>
      <c r="M43" s="547" t="s">
        <v>650</v>
      </c>
      <c r="N43" s="148">
        <v>2146</v>
      </c>
      <c r="O43" s="524">
        <v>0.3782164258019034</v>
      </c>
      <c r="P43" s="543"/>
      <c r="Q43" s="150">
        <v>2316</v>
      </c>
      <c r="R43" s="524">
        <v>0.40817765244977089</v>
      </c>
      <c r="S43" s="543"/>
      <c r="T43" s="150">
        <v>2837</v>
      </c>
      <c r="U43" s="524">
        <v>0.44411396368190359</v>
      </c>
      <c r="V43" s="543"/>
      <c r="W43" s="150">
        <v>3066</v>
      </c>
      <c r="X43" s="524">
        <v>0.4799624295554164</v>
      </c>
      <c r="Y43" s="543"/>
      <c r="Z43" s="150">
        <v>3638</v>
      </c>
      <c r="AA43" s="524">
        <v>0.51326185101580135</v>
      </c>
      <c r="AB43" s="543"/>
      <c r="AC43" s="150">
        <v>3875</v>
      </c>
      <c r="AD43" s="524">
        <v>0.54669864559819414</v>
      </c>
      <c r="AE43" s="543"/>
      <c r="AF43" s="150"/>
      <c r="AG43" s="549"/>
      <c r="AH43" s="543"/>
      <c r="AI43" s="150"/>
      <c r="AJ43" s="549"/>
      <c r="AK43" s="543"/>
      <c r="AL43" s="528" t="s">
        <v>2229</v>
      </c>
      <c r="AM43" s="476" t="str">
        <f>IFERROR(IF(VLOOKUP(B43,'Reference Records'!$C$192:$D$250,2,FALSE)=0,"",VLOOKUP(B43,'Reference Records'!$C$192:$D$250,2,FALSE)),"")</f>
        <v>MCI-01298</v>
      </c>
      <c r="AN43" s="48" t="str">
        <f t="array" ref="AN43">IFERROR(IF(INDEX('Reference Records'!$D$88:$D$189,MATCH(LEFT(C43,255),LEFT('Reference Records'!$C$88:$C$189,255),0))=0,"",INDEX('Reference Records'!$D$88:$D$189,MATCH(LEFT(C43,255),LEFT('Reference Records'!$C$88:$C$189,255),0))),"")</f>
        <v>Gender,Age,PrEP product</v>
      </c>
      <c r="AO43" s="48" t="str">
        <f>CONCATENATE(C43,D43)</f>
        <v>KP-6b Number of transgender people who received any PrEP product at least once during the reporting period</v>
      </c>
      <c r="AP43" s="151" t="str">
        <f t="array" ref="AP43">VLOOKUP(LEFT(C43,255),LEFT('Reference Records'!C$87:G438,255),4,0)</f>
        <v>MCI-01610</v>
      </c>
      <c r="AQ43" s="151" t="e">
        <f>MATCH(AP43,'Reference Records'!$F$512:$F$514,0)+ROW(PopulationByCoverage)-1</f>
        <v>#N/A</v>
      </c>
      <c r="AR43" s="151">
        <f>MATCH(AP43,'Reference Records'!$F$512:$F$514,1)+ROW(PopulationByCoverage)-1</f>
        <v>513</v>
      </c>
      <c r="AS43" s="48" t="str">
        <f>C43&amp;D43</f>
        <v>KP-6b Number of transgender people who received any PrEP product at least once during the reporting period</v>
      </c>
      <c r="AT43" s="48">
        <f t="shared" si="320"/>
        <v>471</v>
      </c>
      <c r="AU43" s="48">
        <f ca="1">AU41+'update Helper'!$T$2</f>
        <v>644.3043478260862</v>
      </c>
      <c r="AV43" s="48" t="str">
        <f t="shared" ref="AV43" si="390">CLEAN(IFERROR(LEFT(AY43, SEARCH(";",AY43,1)-1),""))</f>
        <v>Non cumulative</v>
      </c>
      <c r="AW43" s="48" t="str">
        <f t="shared" ref="AW43" si="391">SUBSTITUTE(IFERROR(MID(AY43, SEARCH(";",AY43) + 1, SEARCH(";",AY43,SEARCH(";",AY43)+1) - SEARCH(";",AY43) - 1),""),CHAR(10),"")</f>
        <v/>
      </c>
      <c r="AX43" s="152" t="str">
        <f t="shared" ref="AX43" si="392">CLEAN(IFERROR(SUBSTITUTE(RIGHT(AY43,LEN(AY43) - SEARCH(";", AY43, SEARCH(";",AY43) + 1)),";",""),""))</f>
        <v/>
      </c>
      <c r="AY43" s="48" t="str">
        <f t="array" ref="AY43">IFERROR(IF(VLOOKUP(LEFT(C43,255),LEFT('Reference Records'!$C$1:$K$539,255),9,0)=0,"",CONCATENATE(VLOOKUP(LEFT(C43,255),LEFT('Reference Records'!$C$1:$K$539,255),9,0),";")),"")</f>
        <v>Non cumulative;</v>
      </c>
      <c r="AZ43" s="551" t="str">
        <f>IF($BV43="", "", IF($BV43=TRUE, "Yes", "No"))</f>
        <v>No</v>
      </c>
      <c r="BA43" s="559" t="str">
        <f t="shared" ref="BA43" ca="1" si="393">IF($D43="", "",IF(IF(INDIRECT("'update Helper'!W"&amp;AT43)=0,"",INDIRECT("'update Helper'!W"&amp;AT43))=TRUE, "Yes","No"))</f>
        <v/>
      </c>
      <c r="BB43" s="468" t="str">
        <f t="shared" ref="BB43" ca="1" si="394">IF(AND(BS43="Continue",BU43="Continue"),"No Error",IF(AND(BS43&lt;&gt;"Continue",BU43="Continue"),BS43,IF(AND(BU43&lt;&gt;"Continue",BS43="Continue"),BU43,CONCATENATE(BS43,CHAR(10),BU43))))</f>
        <v>No Error</v>
      </c>
      <c r="BC43" s="508" t="str" cm="1">
        <f t="array" ref="BC43">IF(ISBLANK(C43),"Continue",(IF(IFERROR(_xlfn.XMATCH(C43,LEFT('Reference Records'!$C$87:$C$189,32768),0),0)&lt;&gt;0,"Continue","Invalid indicator entry. Select from dropdown list.")))</f>
        <v>Continue</v>
      </c>
      <c r="BD43" s="508" t="str">
        <f t="shared" ref="BD43" si="395">IF(SUM(BE43:BM44)=0, "Continue", "Enter valid number only.")</f>
        <v>Continue</v>
      </c>
      <c r="BE43" s="146">
        <f t="shared" si="0"/>
        <v>0</v>
      </c>
      <c r="BF43" s="146">
        <f t="shared" si="1"/>
        <v>0</v>
      </c>
      <c r="BG43" s="146">
        <f t="shared" si="2"/>
        <v>0</v>
      </c>
      <c r="BH43" s="146">
        <f t="shared" si="3"/>
        <v>0</v>
      </c>
      <c r="BI43" s="146">
        <f t="shared" si="4"/>
        <v>0</v>
      </c>
      <c r="BJ43" s="146">
        <f t="shared" si="5"/>
        <v>0</v>
      </c>
      <c r="BK43" s="146">
        <f t="shared" si="6"/>
        <v>0</v>
      </c>
      <c r="BL43" s="146">
        <f t="shared" si="7"/>
        <v>0</v>
      </c>
      <c r="BM43" s="146">
        <f t="shared" si="8"/>
        <v>0</v>
      </c>
      <c r="BN43" s="467" t="str">
        <f>IF(NOT(ISBLANK(C43)),IF(C43&lt;&gt;"",IF(_xlfn.XLOOKUP(C43,'Reference Records'!$C$87:$C$189,'Reference Records'!$A$87:$A$189,0,0,1)=AM43,"Continue","Select correct module name."),"Continue"),"Continue")</f>
        <v>Continue</v>
      </c>
      <c r="BO43" s="467" t="str">
        <f t="shared" ref="BO43" ca="1" si="396">IF(AND(BC43="Continue",CG43="Continue"),"Continue",IF(AND(BC43&lt;&gt;"Continue",CG43="Continue"),BC43,IF(AND(CG43&lt;&gt;"Continue",BC43="Continue"),CG43,CONCATENATE(BC43,CHAR(10),CG43))))</f>
        <v>Continue</v>
      </c>
      <c r="BP43" s="467" t="str">
        <f t="shared" ref="BP43" ca="1" si="397">IF(AND((AZ43&lt;&gt;""),(BA43&lt;&gt;"")),"Reversed custom indicator selection not applicable. Value pre-populated in standard indicator column.","Continue")</f>
        <v>Continue</v>
      </c>
      <c r="BQ43" s="467" t="str">
        <f t="shared" ref="BQ43" ca="1" si="398">IF(AND(BN43="Continue",BO43="Continue"),"Continue",
IF(AND(BN43&lt;&gt;"Continue",BO43="Continue"),BN43,
IF(AND(BO43&lt;&gt;"Continue",BN43="Continue"),BO43,
CONCATENATE(BN43,CHAR(10),BO43))))</f>
        <v>Continue</v>
      </c>
      <c r="BR43" s="508" t="str" cm="1">
        <f t="array" ref="BR43">IF(ISBLANK(B43),"Continue",(IF(IFERROR(_xlfn.XMATCH(B43,LEFT('Reference Records'!$J$191:$J$250,32768),0),0)&lt;&gt;0,"Continue","Invalid module entry. Select from dropdown list.")))</f>
        <v>Continue</v>
      </c>
      <c r="BS43" s="508" t="str">
        <f t="shared" ref="BS43" ca="1" si="399">IF(AND(BP43="Continue",BQ43="Continue"),"Continue",IF(AND(BP43&lt;&gt;"Continue",BQ43="Continue"),BP43,IF(AND(BQ43&lt;&gt;"Continue",BP43="Continue"),BQ43,CONCATENATE(BP43,CHAR(10),BQ43))))</f>
        <v>Continue</v>
      </c>
      <c r="BT43" s="508" t="str">
        <f t="shared" ref="BT43" si="400">IF(AND(C43="",D43=""),"Continue",IF(AND(C43="",D43&lt;&gt;""),"Continue",IF(AND(C43&lt;&gt;"",D43=""),"Continue",IF(AND(C43&lt;&gt;"",D43&lt;&gt;""),"Cannot enter both standard and custom indicators on the same line."))))</f>
        <v>Continue</v>
      </c>
      <c r="BU43" s="508" t="str">
        <f t="shared" ref="BU43" si="401">IF(AND(BR43="Continue",BT43="Continue"),"Continue",IF(AND(BR43&lt;&gt;"Continue",BT43="Continue"),BR43,IF(AND(BT43&lt;&gt;"Continue",BR43="Continue"),BT43,CONCATENATE(BR43,CHAR(10),BT43))))</f>
        <v>Continue</v>
      </c>
      <c r="BV43" s="538" t="b">
        <f>IFERROR(INDEX('Reference Records'!$L$87:$L$189,MATCH($C43,'Reference Records'!$C$87:$C$189,0)),"")</f>
        <v>0</v>
      </c>
      <c r="BW43" s="538">
        <f t="shared" ref="BW43" ca="1" si="402">IF(NOT(ISBLANK(F43)),IF(F43&lt;&gt;"",(IF(NOT(ISNUMBER(F43)),1,0)),0),0)</f>
        <v>0</v>
      </c>
      <c r="BX43" s="538">
        <f t="shared" ref="BX43" si="403">IF(NOT(ISBLANK(O43)),IF(O43&lt;&gt;"",(IF(NOT(ISNUMBER(O43)),1,0)),0),0)</f>
        <v>0</v>
      </c>
      <c r="BY43" s="538">
        <f t="shared" ref="BY43" si="404">IF(NOT(ISBLANK(R43)),IF(R43&lt;&gt;"",(IF(NOT(ISNUMBER(R43)),1,0)),0),0)</f>
        <v>0</v>
      </c>
      <c r="BZ43" s="538">
        <f t="shared" ref="BZ43" si="405">IF(NOT(ISBLANK(U43)),IF(U43&lt;&gt;"",(IF(NOT(ISNUMBER(U43)),1,0)),0),0)</f>
        <v>0</v>
      </c>
      <c r="CA43" s="538">
        <f t="shared" ref="CA43" si="406">IF(NOT(ISBLANK(X43)),IF(X43&lt;&gt;"",(IF(NOT(ISNUMBER(X43)),1,0)),0),0)</f>
        <v>0</v>
      </c>
      <c r="CB43" s="538">
        <f t="shared" ref="CB43" si="407">IF(NOT(ISBLANK(AA43)),IF(AA43&lt;&gt;"",(IF(NOT(ISNUMBER(AA43)),1,0)),0),0)</f>
        <v>0</v>
      </c>
      <c r="CC43" s="538">
        <f t="shared" ref="CC43" si="408">IF(NOT(ISBLANK(AD43)),IF(AD43&lt;&gt;"",(IF(NOT(ISNUMBER(AD43)),1,0)),0),0)</f>
        <v>0</v>
      </c>
      <c r="CD43" s="538">
        <f t="shared" ref="CD43" si="409">IF(NOT(ISBLANK(AG43)),IF(AG43&lt;&gt;"",(IF(NOT(ISNUMBER(AG43)),1,0)),0),0)</f>
        <v>0</v>
      </c>
      <c r="CE43" s="538">
        <f t="shared" ref="CE43" si="410">IF(NOT(ISBLANK(AJ43)),IF(AJ43&lt;&gt;"",(IF(NOT(ISNUMBER(AJ43)),1,0)),0),0)</f>
        <v>0</v>
      </c>
      <c r="CF43" s="538" t="str">
        <f t="shared" ref="CF43" ca="1" si="411">IF(SUM(BW43:CE44)=0, "Continue", "Enter valid number only.")</f>
        <v>Continue</v>
      </c>
      <c r="CG43" s="538" t="str">
        <f t="shared" ref="CG43" ca="1" si="412">IF(AND(CF43="Continue",BD43="Continue"),"Continue",IF(AND(CF43&lt;&gt;"Continue",BD43="Continue"),CF43,IF(AND(BD43&lt;&gt;"Continue",CF43="Continue"),BD43,CONCATENATE(CF43,CHAR(10)))))</f>
        <v>Continue</v>
      </c>
      <c r="CI43" s="314" t="str">
        <f>IFERROR(IF('Overview - Section A'!$AN$5="Funding Request",
IF(AND('Reference Records'!$B$427&lt;&gt;"",$L43 ='Reference Records'!$B$427),'Reference Records'!$C$427,""),
INDEX('Reference Records'!$A$498:$C$499,MATCH($L43,'Reference Records'!$A$498:$A$499,0),3)),"")</f>
        <v>a1A360000013M2uEAE</v>
      </c>
      <c r="CJ43" s="314" t="str">
        <f>IFERROR(INDEX('Overview - Section A'!$H$102:$H$118,MATCH(IF($B43="", "--select--", $B43),'Overview - Section A'!$C$102:$C$118,0)),"")</f>
        <v>a1PDm000000LrDBMA0</v>
      </c>
      <c r="CK43" s="310" t="str" cm="1">
        <f t="array" ref="CK43">IFERROR(IF($C43="", "", VLOOKUP(LEFT($C43,255),LEFT('Reference Records'!$C$88:$G$189,255),5,0)),"")</f>
        <v>a1ODm000000GnzNMAS</v>
      </c>
    </row>
    <row r="44" spans="1:89" ht="30" customHeight="1">
      <c r="A44" s="523"/>
      <c r="B44" s="529"/>
      <c r="C44" s="529"/>
      <c r="D44" s="529"/>
      <c r="E44" s="148"/>
      <c r="F44" s="525"/>
      <c r="G44" s="544"/>
      <c r="H44" s="529"/>
      <c r="I44" s="546"/>
      <c r="J44" s="544"/>
      <c r="K44" s="529"/>
      <c r="L44" s="153" t="s">
        <v>655</v>
      </c>
      <c r="M44" s="548"/>
      <c r="N44" s="148">
        <v>5674</v>
      </c>
      <c r="O44" s="525"/>
      <c r="P44" s="544"/>
      <c r="Q44" s="150">
        <v>5674</v>
      </c>
      <c r="R44" s="525"/>
      <c r="S44" s="544"/>
      <c r="T44" s="150">
        <v>6388</v>
      </c>
      <c r="U44" s="525"/>
      <c r="V44" s="544"/>
      <c r="W44" s="150">
        <v>6388</v>
      </c>
      <c r="X44" s="525"/>
      <c r="Y44" s="544"/>
      <c r="Z44" s="150">
        <v>7088</v>
      </c>
      <c r="AA44" s="525"/>
      <c r="AB44" s="544"/>
      <c r="AC44" s="150">
        <v>7088</v>
      </c>
      <c r="AD44" s="525"/>
      <c r="AE44" s="544"/>
      <c r="AF44" s="150"/>
      <c r="AG44" s="550"/>
      <c r="AH44" s="544"/>
      <c r="AI44" s="150"/>
      <c r="AJ44" s="550"/>
      <c r="AK44" s="544"/>
      <c r="AL44" s="529"/>
      <c r="AM44" s="476"/>
      <c r="AX44" s="152"/>
      <c r="AZ44" s="551"/>
      <c r="BA44" s="559"/>
      <c r="BB44" s="468"/>
      <c r="BC44" s="508"/>
      <c r="BD44" s="508"/>
      <c r="BE44" s="146">
        <f t="shared" si="0"/>
        <v>0</v>
      </c>
      <c r="BF44" s="146">
        <f t="shared" si="1"/>
        <v>0</v>
      </c>
      <c r="BG44" s="146">
        <f t="shared" si="2"/>
        <v>0</v>
      </c>
      <c r="BH44" s="146">
        <f t="shared" si="3"/>
        <v>0</v>
      </c>
      <c r="BI44" s="146">
        <f t="shared" si="4"/>
        <v>0</v>
      </c>
      <c r="BJ44" s="146">
        <f t="shared" si="5"/>
        <v>0</v>
      </c>
      <c r="BK44" s="146">
        <f t="shared" si="6"/>
        <v>0</v>
      </c>
      <c r="BL44" s="146">
        <f t="shared" si="7"/>
        <v>0</v>
      </c>
      <c r="BM44" s="146">
        <f t="shared" si="8"/>
        <v>0</v>
      </c>
      <c r="BN44" s="467"/>
      <c r="BO44" s="467"/>
      <c r="BP44" s="467"/>
      <c r="BQ44" s="467"/>
      <c r="BR44" s="508"/>
      <c r="BS44" s="508"/>
      <c r="BT44" s="508"/>
      <c r="BU44" s="508"/>
      <c r="BV44" s="538"/>
      <c r="BW44" s="538"/>
      <c r="BX44" s="538"/>
      <c r="BY44" s="538"/>
      <c r="BZ44" s="538"/>
      <c r="CA44" s="538"/>
      <c r="CB44" s="538"/>
      <c r="CC44" s="538"/>
      <c r="CD44" s="538"/>
      <c r="CE44" s="538"/>
      <c r="CF44" s="538"/>
      <c r="CG44" s="538"/>
      <c r="CI44" s="314" t="str">
        <f>IFERROR(IF('Overview - Section A'!$AN$5="Funding Request",
IF(AND('Reference Records'!$B$427&lt;&gt;"",$L44 ='Reference Records'!$B$427),'Reference Records'!$C$427,""),
INDEX('Reference Records'!$A$498:$C$499,MATCH($L44,'Reference Records'!$A$498:$A$499,0),3)),"")</f>
        <v/>
      </c>
      <c r="CJ44" s="314" t="str">
        <f>IFERROR(INDEX('Overview - Section A'!$H$102:$H$118,MATCH(IF($B44="", "--select--", $B44),'Overview - Section A'!$C$102:$C$118,0)),"")</f>
        <v/>
      </c>
      <c r="CK44" s="310" t="str" cm="1">
        <f t="array" ref="CK44">IFERROR(IF($C44="", "", VLOOKUP(LEFT($C44,255),LEFT('Reference Records'!$C$88:$G$189,255),5,0)),"")</f>
        <v/>
      </c>
    </row>
    <row r="45" spans="1:89" ht="30" customHeight="1">
      <c r="A45" s="522">
        <v>19</v>
      </c>
      <c r="B45" s="512" t="s">
        <v>1455</v>
      </c>
      <c r="C45" s="512" t="s">
        <v>1127</v>
      </c>
      <c r="D45" s="512"/>
      <c r="E45" s="140">
        <v>7550</v>
      </c>
      <c r="F45" s="516">
        <f ca="1">IF(OR(INDIRECT("'update Helper'!D"&amp;AT45)="",E45&lt;&gt;0,E46&lt;&gt;0),IF(IFERROR((E45/E46),"")="","",(E45/E46)),INDIRECT("'update Helper'!D"&amp;AT45)/100)</f>
        <v>7.0537684199057246E-2</v>
      </c>
      <c r="G45" s="552">
        <v>2021</v>
      </c>
      <c r="H45" s="512" t="s">
        <v>2192</v>
      </c>
      <c r="I45" s="545" t="str">
        <f>AN45</f>
        <v>Gender,Age</v>
      </c>
      <c r="J45" s="552" t="s">
        <v>2212</v>
      </c>
      <c r="K45" s="512" t="s">
        <v>340</v>
      </c>
      <c r="L45" s="141" t="s">
        <v>781</v>
      </c>
      <c r="M45" s="556" t="s">
        <v>650</v>
      </c>
      <c r="N45" s="140">
        <v>13120</v>
      </c>
      <c r="O45" s="516">
        <v>0.11842330917329338</v>
      </c>
      <c r="P45" s="552"/>
      <c r="Q45" s="142">
        <v>13120</v>
      </c>
      <c r="R45" s="516">
        <v>0.11842330917329338</v>
      </c>
      <c r="S45" s="552"/>
      <c r="T45" s="142">
        <v>19530</v>
      </c>
      <c r="U45" s="516">
        <v>0.17131293425811325</v>
      </c>
      <c r="V45" s="552"/>
      <c r="W45" s="142">
        <v>19530</v>
      </c>
      <c r="X45" s="516">
        <v>0.17131293425811325</v>
      </c>
      <c r="Y45" s="552"/>
      <c r="Z45" s="142">
        <v>26394.5</v>
      </c>
      <c r="AA45" s="516">
        <v>0.22500189671795337</v>
      </c>
      <c r="AB45" s="552"/>
      <c r="AC45" s="142">
        <v>26394.5</v>
      </c>
      <c r="AD45" s="516">
        <v>0.22500189671795337</v>
      </c>
      <c r="AE45" s="552"/>
      <c r="AF45" s="142"/>
      <c r="AG45" s="516"/>
      <c r="AH45" s="552"/>
      <c r="AI45" s="142"/>
      <c r="AJ45" s="516"/>
      <c r="AK45" s="552"/>
      <c r="AL45" s="512" t="s">
        <v>2230</v>
      </c>
      <c r="AM45" s="554" t="str">
        <f>IFERROR(IF(VLOOKUP(B45,'Reference Records'!$C$192:$D$250,2,FALSE)=0,"",VLOOKUP(B45,'Reference Records'!$C$192:$D$250,2,FALSE)),"")</f>
        <v>MCI-01299</v>
      </c>
      <c r="AN45" s="143" t="str">
        <f t="array" ref="AN45">IFERROR(IF(INDEX('Reference Records'!$D$88:$D$189,MATCH(LEFT(C45,255),LEFT('Reference Records'!$C$88:$C$189,255),0))=0,"",INDEX('Reference Records'!$D$88:$D$189,MATCH(LEFT(C45,255),LEFT('Reference Records'!$C$88:$C$189,255),0))),"")</f>
        <v>Gender,Age</v>
      </c>
      <c r="AO45" s="143" t="str">
        <f>CONCATENATE(C45,D45)</f>
        <v>KP-1d Percentage of people who inject drugs reached with HIV prevention programs - defined package of services</v>
      </c>
      <c r="AP45" s="144" t="str">
        <f t="array" ref="AP45">VLOOKUP(LEFT(C45,255),LEFT('Reference Records'!C$87:G440,255),4,0)</f>
        <v>MCI-01524</v>
      </c>
      <c r="AQ45" s="144" t="e">
        <f>MATCH(AP45,'Reference Records'!$F$512:$F$514,0)+ROW(PopulationByCoverage)-1</f>
        <v>#N/A</v>
      </c>
      <c r="AR45" s="144">
        <f>MATCH(AP45,'Reference Records'!$F$512:$F$514,1)+ROW(PopulationByCoverage)-1</f>
        <v>513</v>
      </c>
      <c r="AS45" s="143" t="str">
        <f>C45&amp;D45</f>
        <v>KP-1d Percentage of people who inject drugs reached with HIV prevention programs - defined package of services</v>
      </c>
      <c r="AT45" s="143">
        <f t="shared" si="320"/>
        <v>472</v>
      </c>
      <c r="AU45" s="143">
        <f ca="1">AU43+'update Helper'!$T$2</f>
        <v>651.08695652173833</v>
      </c>
      <c r="AV45" s="143" t="str">
        <f t="shared" ref="AV45" si="413">CLEAN(IFERROR(LEFT(AY45, SEARCH(";",AY45,1)-1),""))</f>
        <v>Non cumulative</v>
      </c>
      <c r="AW45" s="143" t="str">
        <f t="shared" ref="AW45" si="414">SUBSTITUTE(IFERROR(MID(AY45, SEARCH(";",AY45) + 1, SEARCH(";",AY45,SEARCH(";",AY45)+1) - SEARCH(";",AY45) - 1),""),CHAR(10),"")</f>
        <v>Non cumulative – other</v>
      </c>
      <c r="AX45" s="145" t="str">
        <f t="shared" ref="AX45" si="415">CLEAN(IFERROR(SUBSTITUTE(RIGHT(AY45,LEN(AY45) - SEARCH(";", AY45, SEARCH(";",AY45) + 1)),";",""),""))</f>
        <v>Non cumulative - special</v>
      </c>
      <c r="AY45" s="143" t="str">
        <f t="array" ref="AY45">IFERROR(IF(VLOOKUP(LEFT(C45,255),LEFT('Reference Records'!$C$1:$K$539,255),9,0)=0,"",CONCATENATE(VLOOKUP(LEFT(C45,255),LEFT('Reference Records'!$C$1:$K$539,255),9,0),";")),"")</f>
        <v>Non cumulative;Non cumulative – other;Non cumulative - special;</v>
      </c>
      <c r="AZ45" s="555" t="str">
        <f>IF($BV45="", "", IF($BV45=TRUE, "Yes", "No"))</f>
        <v>No</v>
      </c>
      <c r="BA45" s="558" t="str">
        <f t="shared" ref="BA45" ca="1" si="416">IF($D45="", "",IF(IF(INDIRECT("'update Helper'!W"&amp;AT45)=0,"",INDIRECT("'update Helper'!W"&amp;AT45))=TRUE, "Yes","No"))</f>
        <v/>
      </c>
      <c r="BB45" s="468" t="str">
        <f t="shared" ref="BB45" ca="1" si="417">IF(AND(BS45="Continue",BU45="Continue"),"No Error",IF(AND(BS45&lt;&gt;"Continue",BU45="Continue"),BS45,IF(AND(BU45&lt;&gt;"Continue",BS45="Continue"),BU45,CONCATENATE(BS45,CHAR(10),BU45))))</f>
        <v>No Error</v>
      </c>
      <c r="BC45" s="508" t="str" cm="1">
        <f t="array" ref="BC45">IF(ISBLANK(C45),"Continue",(IF(IFERROR(_xlfn.XMATCH(C45,LEFT('Reference Records'!$C$87:$C$189,32768),0),0)&lt;&gt;0,"Continue","Invalid indicator entry. Select from dropdown list.")))</f>
        <v>Continue</v>
      </c>
      <c r="BD45" s="508" t="str">
        <f t="shared" ref="BD45" si="418">IF(SUM(BE45:BM46)=0, "Continue", "Enter valid number only.")</f>
        <v>Continue</v>
      </c>
      <c r="BE45" s="146">
        <f t="shared" si="0"/>
        <v>0</v>
      </c>
      <c r="BF45" s="146">
        <f t="shared" si="1"/>
        <v>0</v>
      </c>
      <c r="BG45" s="146">
        <f t="shared" si="2"/>
        <v>0</v>
      </c>
      <c r="BH45" s="146">
        <f t="shared" si="3"/>
        <v>0</v>
      </c>
      <c r="BI45" s="146">
        <f t="shared" si="4"/>
        <v>0</v>
      </c>
      <c r="BJ45" s="146">
        <f t="shared" si="5"/>
        <v>0</v>
      </c>
      <c r="BK45" s="146">
        <f t="shared" si="6"/>
        <v>0</v>
      </c>
      <c r="BL45" s="146">
        <f t="shared" si="7"/>
        <v>0</v>
      </c>
      <c r="BM45" s="146">
        <f t="shared" si="8"/>
        <v>0</v>
      </c>
      <c r="BN45" s="467" t="str">
        <f>IF(NOT(ISBLANK(C45)),IF(C45&lt;&gt;"",IF(_xlfn.XLOOKUP(C45,'Reference Records'!$C$87:$C$189,'Reference Records'!$A$87:$A$189,0,0,1)=AM45,"Continue","Select correct module name."),"Continue"),"Continue")</f>
        <v>Continue</v>
      </c>
      <c r="BO45" s="467" t="str">
        <f t="shared" ref="BO45" ca="1" si="419">IF(AND(BC45="Continue",CG45="Continue"),"Continue",IF(AND(BC45&lt;&gt;"Continue",CG45="Continue"),BC45,IF(AND(CG45&lt;&gt;"Continue",BC45="Continue"),CG45,CONCATENATE(BC45,CHAR(10),CG45))))</f>
        <v>Continue</v>
      </c>
      <c r="BP45" s="467" t="str">
        <f t="shared" ref="BP45" ca="1" si="420">IF(AND((AZ45&lt;&gt;""),(BA45&lt;&gt;"")),"Reversed custom indicator selection not applicable. Value pre-populated in standard indicator column.","Continue")</f>
        <v>Continue</v>
      </c>
      <c r="BQ45" s="467" t="str">
        <f t="shared" ref="BQ45" ca="1" si="421">IF(AND(BN45="Continue",BO45="Continue"),"Continue",
IF(AND(BN45&lt;&gt;"Continue",BO45="Continue"),BN45,
IF(AND(BO45&lt;&gt;"Continue",BN45="Continue"),BO45,
CONCATENATE(BN45,CHAR(10),BO45))))</f>
        <v>Continue</v>
      </c>
      <c r="BR45" s="508" t="str" cm="1">
        <f t="array" ref="BR45">IF(ISBLANK(B45),"Continue",(IF(IFERROR(_xlfn.XMATCH(B45,LEFT('Reference Records'!$J$191:$J$250,32768),0),0)&lt;&gt;0,"Continue","Invalid module entry. Select from dropdown list.")))</f>
        <v>Continue</v>
      </c>
      <c r="BS45" s="508" t="str">
        <f t="shared" ref="BS45" ca="1" si="422">IF(AND(BP45="Continue",BQ45="Continue"),"Continue",IF(AND(BP45&lt;&gt;"Continue",BQ45="Continue"),BP45,IF(AND(BQ45&lt;&gt;"Continue",BP45="Continue"),BQ45,CONCATENATE(BP45,CHAR(10),BQ45))))</f>
        <v>Continue</v>
      </c>
      <c r="BT45" s="508" t="str">
        <f t="shared" ref="BT45" si="423">IF(AND(C45="",D45=""),"Continue",IF(AND(C45="",D45&lt;&gt;""),"Continue",IF(AND(C45&lt;&gt;"",D45=""),"Continue",IF(AND(C45&lt;&gt;"",D45&lt;&gt;""),"Cannot enter both standard and custom indicators on the same line."))))</f>
        <v>Continue</v>
      </c>
      <c r="BU45" s="508" t="str">
        <f t="shared" ref="BU45" si="424">IF(AND(BR45="Continue",BT45="Continue"),"Continue",IF(AND(BR45&lt;&gt;"Continue",BT45="Continue"),BR45,IF(AND(BT45&lt;&gt;"Continue",BR45="Continue"),BT45,CONCATENATE(BR45,CHAR(10),BT45))))</f>
        <v>Continue</v>
      </c>
      <c r="BV45" s="538" t="b">
        <f>IFERROR(INDEX('Reference Records'!$L$87:$L$189,MATCH($C45,'Reference Records'!$C$87:$C$189,0)),"")</f>
        <v>0</v>
      </c>
      <c r="BW45" s="538">
        <f t="shared" ref="BW45" ca="1" si="425">IF(NOT(ISBLANK(F45)),IF(F45&lt;&gt;"",(IF(NOT(ISNUMBER(F45)),1,0)),0),0)</f>
        <v>0</v>
      </c>
      <c r="BX45" s="538">
        <f t="shared" ref="BX45" si="426">IF(NOT(ISBLANK(O45)),IF(O45&lt;&gt;"",(IF(NOT(ISNUMBER(O45)),1,0)),0),0)</f>
        <v>0</v>
      </c>
      <c r="BY45" s="538">
        <f t="shared" ref="BY45" si="427">IF(NOT(ISBLANK(R45)),IF(R45&lt;&gt;"",(IF(NOT(ISNUMBER(R45)),1,0)),0),0)</f>
        <v>0</v>
      </c>
      <c r="BZ45" s="538">
        <f t="shared" ref="BZ45" si="428">IF(NOT(ISBLANK(U45)),IF(U45&lt;&gt;"",(IF(NOT(ISNUMBER(U45)),1,0)),0),0)</f>
        <v>0</v>
      </c>
      <c r="CA45" s="538">
        <f t="shared" ref="CA45" si="429">IF(NOT(ISBLANK(X45)),IF(X45&lt;&gt;"",(IF(NOT(ISNUMBER(X45)),1,0)),0),0)</f>
        <v>0</v>
      </c>
      <c r="CB45" s="538">
        <f t="shared" ref="CB45" si="430">IF(NOT(ISBLANK(AA45)),IF(AA45&lt;&gt;"",(IF(NOT(ISNUMBER(AA45)),1,0)),0),0)</f>
        <v>0</v>
      </c>
      <c r="CC45" s="538">
        <f t="shared" ref="CC45" si="431">IF(NOT(ISBLANK(AD45)),IF(AD45&lt;&gt;"",(IF(NOT(ISNUMBER(AD45)),1,0)),0),0)</f>
        <v>0</v>
      </c>
      <c r="CD45" s="538">
        <f t="shared" ref="CD45" si="432">IF(NOT(ISBLANK(AG45)),IF(AG45&lt;&gt;"",(IF(NOT(ISNUMBER(AG45)),1,0)),0),0)</f>
        <v>0</v>
      </c>
      <c r="CE45" s="538">
        <f t="shared" ref="CE45" si="433">IF(NOT(ISBLANK(AJ45)),IF(AJ45&lt;&gt;"",(IF(NOT(ISNUMBER(AJ45)),1,0)),0),0)</f>
        <v>0</v>
      </c>
      <c r="CF45" s="538" t="str">
        <f t="shared" ref="CF45" ca="1" si="434">IF(SUM(BW45:CE46)=0, "Continue", "Enter valid number only.")</f>
        <v>Continue</v>
      </c>
      <c r="CG45" s="538" t="str">
        <f t="shared" ref="CG45" ca="1" si="435">IF(AND(CF45="Continue",BD45="Continue"),"Continue",IF(AND(CF45&lt;&gt;"Continue",BD45="Continue"),CF45,IF(AND(BD45&lt;&gt;"Continue",CF45="Continue"),BD45,CONCATENATE(CF45,CHAR(10)))))</f>
        <v>Continue</v>
      </c>
      <c r="CI45" s="314" t="str">
        <f>IFERROR(IF('Overview - Section A'!$AN$5="Funding Request",
IF(AND('Reference Records'!$B$427&lt;&gt;"",$L45 ='Reference Records'!$B$427),'Reference Records'!$C$427,""),
INDEX('Reference Records'!$A$498:$C$499,MATCH($L45,'Reference Records'!$A$498:$A$499,0),3)),"")</f>
        <v>a1A360000013M2uEAE</v>
      </c>
      <c r="CJ45" s="314" t="str">
        <f>IFERROR(INDEX('Overview - Section A'!$H$102:$H$118,MATCH(IF($B45="", "--select--", $B45),'Overview - Section A'!$C$102:$C$118,0)),"")</f>
        <v>a1PDm000000LrDCMA0</v>
      </c>
      <c r="CK45" s="310" t="str" cm="1">
        <f t="array" ref="CK45">IFERROR(IF($C45="", "", VLOOKUP(LEFT($C45,255),LEFT('Reference Records'!$C$88:$G$189,255),5,0)),"")</f>
        <v>a1ODm000000GnxzMAC</v>
      </c>
    </row>
    <row r="46" spans="1:89" ht="30" customHeight="1">
      <c r="A46" s="523"/>
      <c r="B46" s="513"/>
      <c r="C46" s="513"/>
      <c r="D46" s="513"/>
      <c r="E46" s="140">
        <v>107034.985422741</v>
      </c>
      <c r="F46" s="517"/>
      <c r="G46" s="553"/>
      <c r="H46" s="513"/>
      <c r="I46" s="546"/>
      <c r="J46" s="553"/>
      <c r="K46" s="513"/>
      <c r="L46" s="147" t="s">
        <v>651</v>
      </c>
      <c r="M46" s="557"/>
      <c r="N46" s="140">
        <v>110789</v>
      </c>
      <c r="O46" s="517"/>
      <c r="P46" s="553"/>
      <c r="Q46" s="142">
        <v>110789</v>
      </c>
      <c r="R46" s="517"/>
      <c r="S46" s="553"/>
      <c r="T46" s="142">
        <v>114001.9</v>
      </c>
      <c r="U46" s="517"/>
      <c r="V46" s="553"/>
      <c r="W46" s="142">
        <v>114001.9</v>
      </c>
      <c r="X46" s="517"/>
      <c r="Y46" s="553"/>
      <c r="Z46" s="142">
        <v>117307.9</v>
      </c>
      <c r="AA46" s="517"/>
      <c r="AB46" s="553"/>
      <c r="AC46" s="142">
        <v>117307.9</v>
      </c>
      <c r="AD46" s="517"/>
      <c r="AE46" s="553"/>
      <c r="AF46" s="142"/>
      <c r="AG46" s="517"/>
      <c r="AH46" s="553"/>
      <c r="AI46" s="142"/>
      <c r="AJ46" s="517"/>
      <c r="AK46" s="553"/>
      <c r="AL46" s="513"/>
      <c r="AM46" s="554"/>
      <c r="AN46" s="143"/>
      <c r="AO46" s="143"/>
      <c r="AP46" s="143"/>
      <c r="AQ46" s="143"/>
      <c r="AR46" s="143"/>
      <c r="AS46" s="143"/>
      <c r="AT46" s="143"/>
      <c r="AU46" s="143"/>
      <c r="AV46" s="143"/>
      <c r="AW46" s="143"/>
      <c r="AX46" s="145"/>
      <c r="AY46" s="143"/>
      <c r="AZ46" s="555"/>
      <c r="BA46" s="558"/>
      <c r="BB46" s="468"/>
      <c r="BC46" s="508"/>
      <c r="BD46" s="508"/>
      <c r="BE46" s="146">
        <f t="shared" si="0"/>
        <v>0</v>
      </c>
      <c r="BF46" s="146">
        <f t="shared" si="1"/>
        <v>0</v>
      </c>
      <c r="BG46" s="146">
        <f t="shared" si="2"/>
        <v>0</v>
      </c>
      <c r="BH46" s="146">
        <f t="shared" si="3"/>
        <v>0</v>
      </c>
      <c r="BI46" s="146">
        <f t="shared" si="4"/>
        <v>0</v>
      </c>
      <c r="BJ46" s="146">
        <f t="shared" si="5"/>
        <v>0</v>
      </c>
      <c r="BK46" s="146">
        <f t="shared" si="6"/>
        <v>0</v>
      </c>
      <c r="BL46" s="146">
        <f t="shared" si="7"/>
        <v>0</v>
      </c>
      <c r="BM46" s="146">
        <f t="shared" si="8"/>
        <v>0</v>
      </c>
      <c r="BN46" s="467"/>
      <c r="BO46" s="467"/>
      <c r="BP46" s="467"/>
      <c r="BQ46" s="467"/>
      <c r="BR46" s="508"/>
      <c r="BS46" s="508"/>
      <c r="BT46" s="508"/>
      <c r="BU46" s="508"/>
      <c r="BV46" s="538"/>
      <c r="BW46" s="538"/>
      <c r="BX46" s="538"/>
      <c r="BY46" s="538"/>
      <c r="BZ46" s="538"/>
      <c r="CA46" s="538"/>
      <c r="CB46" s="538"/>
      <c r="CC46" s="538"/>
      <c r="CD46" s="538"/>
      <c r="CE46" s="538"/>
      <c r="CF46" s="538"/>
      <c r="CG46" s="538"/>
      <c r="CI46" s="314" t="str">
        <f>IFERROR(IF('Overview - Section A'!$AN$5="Funding Request",
IF(AND('Reference Records'!$B$427&lt;&gt;"",$L46 ='Reference Records'!$B$427),'Reference Records'!$C$427,""),
INDEX('Reference Records'!$A$498:$C$499,MATCH($L46,'Reference Records'!$A$498:$A$499,0),3)),"")</f>
        <v/>
      </c>
      <c r="CJ46" s="314" t="str">
        <f>IFERROR(INDEX('Overview - Section A'!$H$102:$H$118,MATCH(IF($B46="", "--select--", $B46),'Overview - Section A'!$C$102:$C$118,0)),"")</f>
        <v/>
      </c>
      <c r="CK46" s="310" t="str" cm="1">
        <f t="array" ref="CK46">IFERROR(IF($C46="", "", VLOOKUP(LEFT($C46,255),LEFT('Reference Records'!$C$88:$G$189,255),5,0)),"")</f>
        <v/>
      </c>
    </row>
    <row r="47" spans="1:89" ht="30" customHeight="1">
      <c r="A47" s="522">
        <v>20</v>
      </c>
      <c r="B47" s="528" t="s">
        <v>1455</v>
      </c>
      <c r="C47" s="528" t="s">
        <v>1136</v>
      </c>
      <c r="D47" s="528"/>
      <c r="E47" s="148"/>
      <c r="F47" s="524" t="str">
        <f ca="1">IF(OR(INDIRECT("'update Helper'!D"&amp;AT47)="",E47&lt;&gt;0,E48&lt;&gt;0),IF(IFERROR((E47/E48),"")="","",(E47/E48)),INDIRECT("'update Helper'!D"&amp;AT47)/100)</f>
        <v/>
      </c>
      <c r="G47" s="543"/>
      <c r="H47" s="528" t="s">
        <v>2195</v>
      </c>
      <c r="I47" s="545" t="str">
        <f>AN47</f>
        <v>PrEP product,Gender,Age</v>
      </c>
      <c r="J47" s="543" t="s">
        <v>2212</v>
      </c>
      <c r="K47" s="528" t="s">
        <v>340</v>
      </c>
      <c r="L47" s="149" t="s">
        <v>781</v>
      </c>
      <c r="M47" s="547" t="s">
        <v>650</v>
      </c>
      <c r="N47" s="148">
        <v>2912</v>
      </c>
      <c r="O47" s="524">
        <v>0.32744855504329246</v>
      </c>
      <c r="P47" s="543"/>
      <c r="Q47" s="150">
        <v>3156.5</v>
      </c>
      <c r="R47" s="524">
        <v>0.3549420892837063</v>
      </c>
      <c r="S47" s="543"/>
      <c r="T47" s="150">
        <v>3805</v>
      </c>
      <c r="U47" s="524">
        <v>0.38000599221012682</v>
      </c>
      <c r="V47" s="543"/>
      <c r="W47" s="150">
        <v>4055</v>
      </c>
      <c r="X47" s="524">
        <v>0.40497353440527317</v>
      </c>
      <c r="Y47" s="543"/>
      <c r="Z47" s="150">
        <v>4777</v>
      </c>
      <c r="AA47" s="524">
        <v>0.43001170222342244</v>
      </c>
      <c r="AB47" s="543"/>
      <c r="AC47" s="150">
        <v>5054.5</v>
      </c>
      <c r="AD47" s="524">
        <v>0.45499144837519129</v>
      </c>
      <c r="AE47" s="543"/>
      <c r="AF47" s="150"/>
      <c r="AG47" s="549"/>
      <c r="AH47" s="543"/>
      <c r="AI47" s="150"/>
      <c r="AJ47" s="549"/>
      <c r="AK47" s="543"/>
      <c r="AL47" s="528" t="s">
        <v>2231</v>
      </c>
      <c r="AM47" s="476" t="str">
        <f>IFERROR(IF(VLOOKUP(B47,'Reference Records'!$C$192:$D$250,2,FALSE)=0,"",VLOOKUP(B47,'Reference Records'!$C$192:$D$250,2,FALSE)),"")</f>
        <v>MCI-01299</v>
      </c>
      <c r="AN47" s="48" t="str">
        <f t="array" ref="AN47">IFERROR(IF(INDEX('Reference Records'!$D$88:$D$189,MATCH(LEFT(C47,255),LEFT('Reference Records'!$C$88:$C$189,255),0))=0,"",INDEX('Reference Records'!$D$88:$D$189,MATCH(LEFT(C47,255),LEFT('Reference Records'!$C$88:$C$189,255),0))),"")</f>
        <v>PrEP product,Gender,Age</v>
      </c>
      <c r="AO47" s="48" t="str">
        <f>CONCATENATE(C47,D47)</f>
        <v>KP-6d Number of PWID who received any PrEP product at least once during the reporting period</v>
      </c>
      <c r="AP47" s="151" t="str">
        <f t="array" ref="AP47">VLOOKUP(LEFT(C47,255),LEFT('Reference Records'!C$87:G496,255),4,0)</f>
        <v>MCI-01527</v>
      </c>
      <c r="AQ47" s="151" t="e">
        <f>MATCH(AP47,'Reference Records'!$F$512:$F$514,0)+ROW(PopulationByCoverage)-1</f>
        <v>#N/A</v>
      </c>
      <c r="AR47" s="151">
        <f>MATCH(AP47,'Reference Records'!$F$512:$F$514,1)+ROW(PopulationByCoverage)-1</f>
        <v>513</v>
      </c>
      <c r="AS47" s="48" t="str">
        <f>C47&amp;D47</f>
        <v>KP-6d Number of PWID who received any PrEP product at least once during the reporting period</v>
      </c>
      <c r="AT47" s="48">
        <f t="shared" si="320"/>
        <v>473</v>
      </c>
      <c r="AU47" s="48">
        <f ca="1">AU45+'update Helper'!$T$2</f>
        <v>657.86956521739046</v>
      </c>
      <c r="AV47" s="48" t="str">
        <f t="shared" ref="AV47" si="436">CLEAN(IFERROR(LEFT(AY47, SEARCH(";",AY47,1)-1),""))</f>
        <v>Non cumulative</v>
      </c>
      <c r="AW47" s="48" t="str">
        <f t="shared" ref="AW47" si="437">SUBSTITUTE(IFERROR(MID(AY47, SEARCH(";",AY47) + 1, SEARCH(";",AY47,SEARCH(";",AY47)+1) - SEARCH(";",AY47) - 1),""),CHAR(10),"")</f>
        <v/>
      </c>
      <c r="AX47" s="152" t="str">
        <f t="shared" ref="AX47" si="438">CLEAN(IFERROR(SUBSTITUTE(RIGHT(AY47,LEN(AY47) - SEARCH(";", AY47, SEARCH(";",AY47) + 1)),";",""),""))</f>
        <v/>
      </c>
      <c r="AY47" s="48" t="str">
        <f t="array" ref="AY47">IFERROR(IF(VLOOKUP(LEFT(C47,255),LEFT('Reference Records'!$C$1:$K$539,255),9,0)=0,"",CONCATENATE(VLOOKUP(LEFT(C47,255),LEFT('Reference Records'!$C$1:$K$539,255),9,0),";")),"")</f>
        <v>Non cumulative;</v>
      </c>
      <c r="AZ47" s="551" t="str">
        <f>IF($BV47="", "", IF($BV47=TRUE, "Yes", "No"))</f>
        <v>No</v>
      </c>
      <c r="BA47" s="559" t="str">
        <f t="shared" ref="BA47" ca="1" si="439">IF($D47="", "",IF(IF(INDIRECT("'update Helper'!W"&amp;AT47)=0,"",INDIRECT("'update Helper'!W"&amp;AT47))=TRUE, "Yes","No"))</f>
        <v/>
      </c>
      <c r="BB47" s="468" t="str">
        <f t="shared" ref="BB47" ca="1" si="440">IF(AND(BS47="Continue",BU47="Continue"),"No Error",IF(AND(BS47&lt;&gt;"Continue",BU47="Continue"),BS47,IF(AND(BU47&lt;&gt;"Continue",BS47="Continue"),BU47,CONCATENATE(BS47,CHAR(10),BU47))))</f>
        <v>No Error</v>
      </c>
      <c r="BC47" s="508" t="str" cm="1">
        <f t="array" ref="BC47">IF(ISBLANK(C47),"Continue",(IF(IFERROR(_xlfn.XMATCH(C47,LEFT('Reference Records'!$C$87:$C$189,32768),0),0)&lt;&gt;0,"Continue","Invalid indicator entry. Select from dropdown list.")))</f>
        <v>Continue</v>
      </c>
      <c r="BD47" s="508" t="str">
        <f t="shared" ref="BD47" si="441">IF(SUM(BE47:BM48)=0, "Continue", "Enter valid number only.")</f>
        <v>Continue</v>
      </c>
      <c r="BE47" s="146">
        <f t="shared" si="0"/>
        <v>0</v>
      </c>
      <c r="BF47" s="146">
        <f t="shared" si="1"/>
        <v>0</v>
      </c>
      <c r="BG47" s="146">
        <f t="shared" si="2"/>
        <v>0</v>
      </c>
      <c r="BH47" s="146">
        <f t="shared" si="3"/>
        <v>0</v>
      </c>
      <c r="BI47" s="146">
        <f t="shared" si="4"/>
        <v>0</v>
      </c>
      <c r="BJ47" s="146">
        <f t="shared" si="5"/>
        <v>0</v>
      </c>
      <c r="BK47" s="146">
        <f t="shared" si="6"/>
        <v>0</v>
      </c>
      <c r="BL47" s="146">
        <f t="shared" si="7"/>
        <v>0</v>
      </c>
      <c r="BM47" s="146">
        <f t="shared" si="8"/>
        <v>0</v>
      </c>
      <c r="BN47" s="467" t="str">
        <f>IF(NOT(ISBLANK(C47)),IF(C47&lt;&gt;"",IF(_xlfn.XLOOKUP(C47,'Reference Records'!$C$87:$C$189,'Reference Records'!$A$87:$A$189,0,0,1)=AM47,"Continue","Select correct module name."),"Continue"),"Continue")</f>
        <v>Continue</v>
      </c>
      <c r="BO47" s="467" t="str">
        <f t="shared" ref="BO47" ca="1" si="442">IF(AND(BC47="Continue",CG47="Continue"),"Continue",IF(AND(BC47&lt;&gt;"Continue",CG47="Continue"),BC47,IF(AND(CG47&lt;&gt;"Continue",BC47="Continue"),CG47,CONCATENATE(BC47,CHAR(10),CG47))))</f>
        <v>Continue</v>
      </c>
      <c r="BP47" s="467" t="str">
        <f t="shared" ref="BP47" ca="1" si="443">IF(AND((AZ47&lt;&gt;""),(BA47&lt;&gt;"")),"Reversed custom indicator selection not applicable. Value pre-populated in standard indicator column.","Continue")</f>
        <v>Continue</v>
      </c>
      <c r="BQ47" s="467" t="str">
        <f t="shared" ref="BQ47" ca="1" si="444">IF(AND(BN47="Continue",BO47="Continue"),"Continue",
IF(AND(BN47&lt;&gt;"Continue",BO47="Continue"),BN47,
IF(AND(BO47&lt;&gt;"Continue",BN47="Continue"),BO47,
CONCATENATE(BN47,CHAR(10),BO47))))</f>
        <v>Continue</v>
      </c>
      <c r="BR47" s="508" t="str" cm="1">
        <f t="array" ref="BR47">IF(ISBLANK(B47),"Continue",(IF(IFERROR(_xlfn.XMATCH(B47,LEFT('Reference Records'!$J$191:$J$250,32768),0),0)&lt;&gt;0,"Continue","Invalid module entry. Select from dropdown list.")))</f>
        <v>Continue</v>
      </c>
      <c r="BS47" s="508" t="str">
        <f t="shared" ref="BS47" ca="1" si="445">IF(AND(BP47="Continue",BQ47="Continue"),"Continue",IF(AND(BP47&lt;&gt;"Continue",BQ47="Continue"),BP47,IF(AND(BQ47&lt;&gt;"Continue",BP47="Continue"),BQ47,CONCATENATE(BP47,CHAR(10),BQ47))))</f>
        <v>Continue</v>
      </c>
      <c r="BT47" s="508" t="str">
        <f t="shared" ref="BT47" si="446">IF(AND(C47="",D47=""),"Continue",IF(AND(C47="",D47&lt;&gt;""),"Continue",IF(AND(C47&lt;&gt;"",D47=""),"Continue",IF(AND(C47&lt;&gt;"",D47&lt;&gt;""),"Cannot enter both standard and custom indicators on the same line."))))</f>
        <v>Continue</v>
      </c>
      <c r="BU47" s="508" t="str">
        <f t="shared" ref="BU47" si="447">IF(AND(BR47="Continue",BT47="Continue"),"Continue",IF(AND(BR47&lt;&gt;"Continue",BT47="Continue"),BR47,IF(AND(BT47&lt;&gt;"Continue",BR47="Continue"),BT47,CONCATENATE(BR47,CHAR(10),BT47))))</f>
        <v>Continue</v>
      </c>
      <c r="BV47" s="538" t="b">
        <f>IFERROR(INDEX('Reference Records'!$L$87:$L$189,MATCH($C47,'Reference Records'!$C$87:$C$189,0)),"")</f>
        <v>0</v>
      </c>
      <c r="BW47" s="538">
        <f t="shared" ref="BW47" ca="1" si="448">IF(NOT(ISBLANK(F47)),IF(F47&lt;&gt;"",(IF(NOT(ISNUMBER(F47)),1,0)),0),0)</f>
        <v>0</v>
      </c>
      <c r="BX47" s="538">
        <f t="shared" ref="BX47" si="449">IF(NOT(ISBLANK(O47)),IF(O47&lt;&gt;"",(IF(NOT(ISNUMBER(O47)),1,0)),0),0)</f>
        <v>0</v>
      </c>
      <c r="BY47" s="538">
        <f t="shared" ref="BY47" si="450">IF(NOT(ISBLANK(R47)),IF(R47&lt;&gt;"",(IF(NOT(ISNUMBER(R47)),1,0)),0),0)</f>
        <v>0</v>
      </c>
      <c r="BZ47" s="538">
        <f t="shared" ref="BZ47" si="451">IF(NOT(ISBLANK(U47)),IF(U47&lt;&gt;"",(IF(NOT(ISNUMBER(U47)),1,0)),0),0)</f>
        <v>0</v>
      </c>
      <c r="CA47" s="538">
        <f t="shared" ref="CA47" si="452">IF(NOT(ISBLANK(X47)),IF(X47&lt;&gt;"",(IF(NOT(ISNUMBER(X47)),1,0)),0),0)</f>
        <v>0</v>
      </c>
      <c r="CB47" s="538">
        <f t="shared" ref="CB47" si="453">IF(NOT(ISBLANK(AA47)),IF(AA47&lt;&gt;"",(IF(NOT(ISNUMBER(AA47)),1,0)),0),0)</f>
        <v>0</v>
      </c>
      <c r="CC47" s="538">
        <f t="shared" ref="CC47" si="454">IF(NOT(ISBLANK(AD47)),IF(AD47&lt;&gt;"",(IF(NOT(ISNUMBER(AD47)),1,0)),0),0)</f>
        <v>0</v>
      </c>
      <c r="CD47" s="538">
        <f t="shared" ref="CD47" si="455">IF(NOT(ISBLANK(AG47)),IF(AG47&lt;&gt;"",(IF(NOT(ISNUMBER(AG47)),1,0)),0),0)</f>
        <v>0</v>
      </c>
      <c r="CE47" s="538">
        <f t="shared" ref="CE47" si="456">IF(NOT(ISBLANK(AJ47)),IF(AJ47&lt;&gt;"",(IF(NOT(ISNUMBER(AJ47)),1,0)),0),0)</f>
        <v>0</v>
      </c>
      <c r="CF47" s="538" t="str">
        <f t="shared" ref="CF47" ca="1" si="457">IF(SUM(BW47:CE48)=0, "Continue", "Enter valid number only.")</f>
        <v>Continue</v>
      </c>
      <c r="CG47" s="538" t="str">
        <f t="shared" ref="CG47" ca="1" si="458">IF(AND(CF47="Continue",BD47="Continue"),"Continue",IF(AND(CF47&lt;&gt;"Continue",BD47="Continue"),CF47,IF(AND(BD47&lt;&gt;"Continue",CF47="Continue"),BD47,CONCATENATE(CF47,CHAR(10)))))</f>
        <v>Continue</v>
      </c>
      <c r="CI47" s="314" t="str">
        <f>IFERROR(IF('Overview - Section A'!$AN$5="Funding Request",
IF(AND('Reference Records'!$B$427&lt;&gt;"",$L47 ='Reference Records'!$B$427),'Reference Records'!$C$427,""),
INDEX('Reference Records'!$A$498:$C$499,MATCH($L47,'Reference Records'!$A$498:$A$499,0),3)),"")</f>
        <v>a1A360000013M2uEAE</v>
      </c>
      <c r="CJ47" s="314" t="str">
        <f>IFERROR(INDEX('Overview - Section A'!$H$102:$H$118,MATCH(IF($B47="", "--select--", $B47),'Overview - Section A'!$C$102:$C$118,0)),"")</f>
        <v>a1PDm000000LrDCMA0</v>
      </c>
      <c r="CK47" s="310" t="str" cm="1">
        <f t="array" ref="CK47">IFERROR(IF($C47="", "", VLOOKUP(LEFT($C47,255),LEFT('Reference Records'!$C$88:$G$189,255),5,0)),"")</f>
        <v>a1ODm000000Gny2MAC</v>
      </c>
    </row>
    <row r="48" spans="1:89" ht="30" customHeight="1">
      <c r="A48" s="523"/>
      <c r="B48" s="529"/>
      <c r="C48" s="529"/>
      <c r="D48" s="529"/>
      <c r="E48" s="148"/>
      <c r="F48" s="525"/>
      <c r="G48" s="544"/>
      <c r="H48" s="529"/>
      <c r="I48" s="546"/>
      <c r="J48" s="544"/>
      <c r="K48" s="529"/>
      <c r="L48" s="153" t="s">
        <v>651</v>
      </c>
      <c r="M48" s="548"/>
      <c r="N48" s="148">
        <v>8893</v>
      </c>
      <c r="O48" s="525"/>
      <c r="P48" s="544"/>
      <c r="Q48" s="150">
        <v>8893</v>
      </c>
      <c r="R48" s="525"/>
      <c r="S48" s="544"/>
      <c r="T48" s="150">
        <v>10013</v>
      </c>
      <c r="U48" s="525"/>
      <c r="V48" s="544"/>
      <c r="W48" s="150">
        <v>10013</v>
      </c>
      <c r="X48" s="525"/>
      <c r="Y48" s="544"/>
      <c r="Z48" s="150">
        <v>11109</v>
      </c>
      <c r="AA48" s="525"/>
      <c r="AB48" s="544"/>
      <c r="AC48" s="150">
        <v>11109</v>
      </c>
      <c r="AD48" s="525"/>
      <c r="AE48" s="544"/>
      <c r="AF48" s="150"/>
      <c r="AG48" s="550"/>
      <c r="AH48" s="544"/>
      <c r="AI48" s="150"/>
      <c r="AJ48" s="550"/>
      <c r="AK48" s="544"/>
      <c r="AL48" s="529"/>
      <c r="AM48" s="476"/>
      <c r="AX48" s="152"/>
      <c r="AZ48" s="551"/>
      <c r="BA48" s="559"/>
      <c r="BB48" s="468"/>
      <c r="BC48" s="508"/>
      <c r="BD48" s="508"/>
      <c r="BE48" s="146">
        <f t="shared" si="0"/>
        <v>0</v>
      </c>
      <c r="BF48" s="146">
        <f t="shared" si="1"/>
        <v>0</v>
      </c>
      <c r="BG48" s="146">
        <f t="shared" si="2"/>
        <v>0</v>
      </c>
      <c r="BH48" s="146">
        <f t="shared" si="3"/>
        <v>0</v>
      </c>
      <c r="BI48" s="146">
        <f t="shared" si="4"/>
        <v>0</v>
      </c>
      <c r="BJ48" s="146">
        <f t="shared" si="5"/>
        <v>0</v>
      </c>
      <c r="BK48" s="146">
        <f t="shared" si="6"/>
        <v>0</v>
      </c>
      <c r="BL48" s="146">
        <f t="shared" si="7"/>
        <v>0</v>
      </c>
      <c r="BM48" s="146">
        <f t="shared" si="8"/>
        <v>0</v>
      </c>
      <c r="BN48" s="467"/>
      <c r="BO48" s="467"/>
      <c r="BP48" s="467"/>
      <c r="BQ48" s="467"/>
      <c r="BR48" s="508"/>
      <c r="BS48" s="508"/>
      <c r="BT48" s="508"/>
      <c r="BU48" s="508"/>
      <c r="BV48" s="538"/>
      <c r="BW48" s="538"/>
      <c r="BX48" s="538"/>
      <c r="BY48" s="538"/>
      <c r="BZ48" s="538"/>
      <c r="CA48" s="538"/>
      <c r="CB48" s="538"/>
      <c r="CC48" s="538"/>
      <c r="CD48" s="538"/>
      <c r="CE48" s="538"/>
      <c r="CF48" s="538"/>
      <c r="CG48" s="538"/>
      <c r="CI48" s="314" t="str">
        <f>IFERROR(IF('Overview - Section A'!$AN$5="Funding Request",
IF(AND('Reference Records'!$B$427&lt;&gt;"",$L48 ='Reference Records'!$B$427),'Reference Records'!$C$427,""),
INDEX('Reference Records'!$A$498:$C$499,MATCH($L48,'Reference Records'!$A$498:$A$499,0),3)),"")</f>
        <v/>
      </c>
      <c r="CJ48" s="314" t="str">
        <f>IFERROR(INDEX('Overview - Section A'!$H$102:$H$118,MATCH(IF($B48="", "--select--", $B48),'Overview - Section A'!$C$102:$C$118,0)),"")</f>
        <v/>
      </c>
      <c r="CK48" s="310" t="str" cm="1">
        <f t="array" ref="CK48">IFERROR(IF($C48="", "", VLOOKUP(LEFT($C48,255),LEFT('Reference Records'!$C$88:$G$189,255),5,0)),"")</f>
        <v/>
      </c>
    </row>
    <row r="49" spans="1:89" ht="30" customHeight="1">
      <c r="A49" s="522">
        <v>21</v>
      </c>
      <c r="B49" s="512" t="s">
        <v>1459</v>
      </c>
      <c r="C49" s="512" t="s">
        <v>1143</v>
      </c>
      <c r="D49" s="512"/>
      <c r="E49" s="140">
        <v>5031</v>
      </c>
      <c r="F49" s="516">
        <f ca="1">IF(OR(INDIRECT("'update Helper'!D"&amp;AT49)="",E49&lt;&gt;0,E50&lt;&gt;0),IF(IFERROR((E49/E50),"")="","",(E49/E50)),INDIRECT("'update Helper'!D"&amp;AT49)/100)</f>
        <v>0.17685922064273826</v>
      </c>
      <c r="G49" s="552">
        <v>2021</v>
      </c>
      <c r="H49" s="512" t="s">
        <v>2232</v>
      </c>
      <c r="I49" s="545" t="str">
        <f>AN49</f>
        <v/>
      </c>
      <c r="J49" s="552" t="s">
        <v>2212</v>
      </c>
      <c r="K49" s="512" t="s">
        <v>340</v>
      </c>
      <c r="L49" s="141" t="s">
        <v>781</v>
      </c>
      <c r="M49" s="556" t="s">
        <v>650</v>
      </c>
      <c r="N49" s="140">
        <v>9762.9999818699507</v>
      </c>
      <c r="O49" s="516">
        <v>0.33157521088529701</v>
      </c>
      <c r="P49" s="552"/>
      <c r="Q49" s="142">
        <v>9762.9999818699507</v>
      </c>
      <c r="R49" s="516">
        <v>0.33157521088529701</v>
      </c>
      <c r="S49" s="552"/>
      <c r="T49" s="142">
        <v>11863.99757796835</v>
      </c>
      <c r="U49" s="516">
        <v>0.39158467650585038</v>
      </c>
      <c r="V49" s="552"/>
      <c r="W49" s="142">
        <v>11863.99757796835</v>
      </c>
      <c r="X49" s="516">
        <v>0.39158467650585038</v>
      </c>
      <c r="Y49" s="552"/>
      <c r="Z49" s="142">
        <v>14029.4163294471</v>
      </c>
      <c r="AA49" s="516">
        <v>0.45000477382380766</v>
      </c>
      <c r="AB49" s="552"/>
      <c r="AC49" s="142">
        <v>14029.4163294471</v>
      </c>
      <c r="AD49" s="516">
        <v>0.45000477382380766</v>
      </c>
      <c r="AE49" s="552"/>
      <c r="AF49" s="142"/>
      <c r="AG49" s="516"/>
      <c r="AH49" s="552"/>
      <c r="AI49" s="142"/>
      <c r="AJ49" s="516"/>
      <c r="AK49" s="552"/>
      <c r="AL49" s="512" t="s">
        <v>2233</v>
      </c>
      <c r="AM49" s="554" t="str">
        <f>IFERROR(IF(VLOOKUP(B49,'Reference Records'!$C$192:$D$250,2,FALSE)=0,"",VLOOKUP(B49,'Reference Records'!$C$192:$D$250,2,FALSE)),"")</f>
        <v>MCI-01300</v>
      </c>
      <c r="AN49" s="143" t="str">
        <f t="array" ref="AN49">IFERROR(IF(INDEX('Reference Records'!$D$88:$D$189,MATCH(LEFT(C49,255),LEFT('Reference Records'!$C$88:$C$189,255),0))=0,"",INDEX('Reference Records'!$D$88:$D$189,MATCH(LEFT(C49,255),LEFT('Reference Records'!$C$88:$C$189,255),0))),"")</f>
        <v/>
      </c>
      <c r="AO49" s="143" t="str">
        <f>CONCATENATE(C49,D49)</f>
        <v>KP-1f Number of people in prisons and other closed settings reached with HIV prevention programs - defined package of services</v>
      </c>
      <c r="AP49" s="144" t="str">
        <f t="array" ref="AP49">VLOOKUP(LEFT(C49,255),LEFT('Reference Records'!C$87:G498,255),4,0)</f>
        <v>MCI-01612</v>
      </c>
      <c r="AQ49" s="144" t="e">
        <f>MATCH(AP49,'Reference Records'!$F$512:$F$514,0)+ROW(PopulationByCoverage)-1</f>
        <v>#N/A</v>
      </c>
      <c r="AR49" s="144">
        <f>MATCH(AP49,'Reference Records'!$F$512:$F$514,1)+ROW(PopulationByCoverage)-1</f>
        <v>513</v>
      </c>
      <c r="AS49" s="143" t="str">
        <f>C49&amp;D49</f>
        <v>KP-1f Number of people in prisons and other closed settings reached with HIV prevention programs - defined package of services</v>
      </c>
      <c r="AT49" s="143">
        <f t="shared" si="320"/>
        <v>474</v>
      </c>
      <c r="AU49" s="143">
        <f ca="1">AU47+'update Helper'!$T$2</f>
        <v>664.65217391304259</v>
      </c>
      <c r="AV49" s="143" t="str">
        <f t="shared" ref="AV49" si="459">CLEAN(IFERROR(LEFT(AY49, SEARCH(";",AY49,1)-1),""))</f>
        <v>Non cumulative</v>
      </c>
      <c r="AW49" s="143" t="str">
        <f t="shared" ref="AW49" si="460">SUBSTITUTE(IFERROR(MID(AY49, SEARCH(";",AY49) + 1, SEARCH(";",AY49,SEARCH(";",AY49)+1) - SEARCH(";",AY49) - 1),""),CHAR(10),"")</f>
        <v/>
      </c>
      <c r="AX49" s="145" t="str">
        <f t="shared" ref="AX49" si="461">CLEAN(IFERROR(SUBSTITUTE(RIGHT(AY49,LEN(AY49) - SEARCH(";", AY49, SEARCH(";",AY49) + 1)),";",""),""))</f>
        <v/>
      </c>
      <c r="AY49" s="143" t="str">
        <f t="array" ref="AY49">IFERROR(IF(VLOOKUP(LEFT(C49,255),LEFT('Reference Records'!$C$1:$K$539,255),9,0)=0,"",CONCATENATE(VLOOKUP(LEFT(C49,255),LEFT('Reference Records'!$C$1:$K$539,255),9,0),";")),"")</f>
        <v>Non cumulative;</v>
      </c>
      <c r="AZ49" s="555" t="str">
        <f>IF($BV49="", "", IF($BV49=TRUE, "Yes", "No"))</f>
        <v>No</v>
      </c>
      <c r="BA49" s="558" t="str">
        <f t="shared" ref="BA49" ca="1" si="462">IF($D49="", "",IF(IF(INDIRECT("'update Helper'!W"&amp;AT49)=0,"",INDIRECT("'update Helper'!W"&amp;AT49))=TRUE, "Yes","No"))</f>
        <v/>
      </c>
      <c r="BB49" s="468" t="str">
        <f t="shared" ref="BB49" ca="1" si="463">IF(AND(BS49="Continue",BU49="Continue"),"No Error",IF(AND(BS49&lt;&gt;"Continue",BU49="Continue"),BS49,IF(AND(BU49&lt;&gt;"Continue",BS49="Continue"),BU49,CONCATENATE(BS49,CHAR(10),BU49))))</f>
        <v>No Error</v>
      </c>
      <c r="BC49" s="508" t="str" cm="1">
        <f t="array" ref="BC49">IF(ISBLANK(C49),"Continue",(IF(IFERROR(_xlfn.XMATCH(C49,LEFT('Reference Records'!$C$87:$C$189,32768),0),0)&lt;&gt;0,"Continue","Invalid indicator entry. Select from dropdown list.")))</f>
        <v>Continue</v>
      </c>
      <c r="BD49" s="508" t="str">
        <f t="shared" ref="BD49" si="464">IF(SUM(BE49:BM50)=0, "Continue", "Enter valid number only.")</f>
        <v>Continue</v>
      </c>
      <c r="BE49" s="146">
        <f t="shared" si="0"/>
        <v>0</v>
      </c>
      <c r="BF49" s="146">
        <f t="shared" si="1"/>
        <v>0</v>
      </c>
      <c r="BG49" s="146">
        <f t="shared" si="2"/>
        <v>0</v>
      </c>
      <c r="BH49" s="146">
        <f t="shared" si="3"/>
        <v>0</v>
      </c>
      <c r="BI49" s="146">
        <f t="shared" si="4"/>
        <v>0</v>
      </c>
      <c r="BJ49" s="146">
        <f t="shared" si="5"/>
        <v>0</v>
      </c>
      <c r="BK49" s="146">
        <f t="shared" si="6"/>
        <v>0</v>
      </c>
      <c r="BL49" s="146">
        <f t="shared" si="7"/>
        <v>0</v>
      </c>
      <c r="BM49" s="146">
        <f t="shared" si="8"/>
        <v>0</v>
      </c>
      <c r="BN49" s="467" t="str">
        <f>IF(NOT(ISBLANK(C49)),IF(C49&lt;&gt;"",IF(_xlfn.XLOOKUP(C49,'Reference Records'!$C$87:$C$189,'Reference Records'!$A$87:$A$189,0,0,1)=AM49,"Continue","Select correct module name."),"Continue"),"Continue")</f>
        <v>Continue</v>
      </c>
      <c r="BO49" s="467" t="str">
        <f t="shared" ref="BO49" ca="1" si="465">IF(AND(BC49="Continue",CG49="Continue"),"Continue",IF(AND(BC49&lt;&gt;"Continue",CG49="Continue"),BC49,IF(AND(CG49&lt;&gt;"Continue",BC49="Continue"),CG49,CONCATENATE(BC49,CHAR(10),CG49))))</f>
        <v>Continue</v>
      </c>
      <c r="BP49" s="467" t="str">
        <f t="shared" ref="BP49" ca="1" si="466">IF(AND((AZ49&lt;&gt;""),(BA49&lt;&gt;"")),"Reversed custom indicator selection not applicable. Value pre-populated in standard indicator column.","Continue")</f>
        <v>Continue</v>
      </c>
      <c r="BQ49" s="467" t="str">
        <f t="shared" ref="BQ49" ca="1" si="467">IF(AND(BN49="Continue",BO49="Continue"),"Continue",
IF(AND(BN49&lt;&gt;"Continue",BO49="Continue"),BN49,
IF(AND(BO49&lt;&gt;"Continue",BN49="Continue"),BO49,
CONCATENATE(BN49,CHAR(10),BO49))))</f>
        <v>Continue</v>
      </c>
      <c r="BR49" s="508" t="str" cm="1">
        <f t="array" ref="BR49">IF(ISBLANK(B49),"Continue",(IF(IFERROR(_xlfn.XMATCH(B49,LEFT('Reference Records'!$J$191:$J$250,32768),0),0)&lt;&gt;0,"Continue","Invalid module entry. Select from dropdown list.")))</f>
        <v>Continue</v>
      </c>
      <c r="BS49" s="508" t="str">
        <f t="shared" ref="BS49" ca="1" si="468">IF(AND(BP49="Continue",BQ49="Continue"),"Continue",IF(AND(BP49&lt;&gt;"Continue",BQ49="Continue"),BP49,IF(AND(BQ49&lt;&gt;"Continue",BP49="Continue"),BQ49,CONCATENATE(BP49,CHAR(10),BQ49))))</f>
        <v>Continue</v>
      </c>
      <c r="BT49" s="508" t="str">
        <f t="shared" ref="BT49" si="469">IF(AND(C49="",D49=""),"Continue",IF(AND(C49="",D49&lt;&gt;""),"Continue",IF(AND(C49&lt;&gt;"",D49=""),"Continue",IF(AND(C49&lt;&gt;"",D49&lt;&gt;""),"Cannot enter both standard and custom indicators on the same line."))))</f>
        <v>Continue</v>
      </c>
      <c r="BU49" s="508" t="str">
        <f t="shared" ref="BU49" si="470">IF(AND(BR49="Continue",BT49="Continue"),"Continue",IF(AND(BR49&lt;&gt;"Continue",BT49="Continue"),BR49,IF(AND(BT49&lt;&gt;"Continue",BR49="Continue"),BT49,CONCATENATE(BR49,CHAR(10),BT49))))</f>
        <v>Continue</v>
      </c>
      <c r="BV49" s="538" t="b">
        <f>IFERROR(INDEX('Reference Records'!$L$87:$L$189,MATCH($C49,'Reference Records'!$C$87:$C$189,0)),"")</f>
        <v>0</v>
      </c>
      <c r="BW49" s="538">
        <f t="shared" ref="BW49" ca="1" si="471">IF(NOT(ISBLANK(F49)),IF(F49&lt;&gt;"",(IF(NOT(ISNUMBER(F49)),1,0)),0),0)</f>
        <v>0</v>
      </c>
      <c r="BX49" s="538">
        <f t="shared" ref="BX49" si="472">IF(NOT(ISBLANK(O49)),IF(O49&lt;&gt;"",(IF(NOT(ISNUMBER(O49)),1,0)),0),0)</f>
        <v>0</v>
      </c>
      <c r="BY49" s="538">
        <f t="shared" ref="BY49" si="473">IF(NOT(ISBLANK(R49)),IF(R49&lt;&gt;"",(IF(NOT(ISNUMBER(R49)),1,0)),0),0)</f>
        <v>0</v>
      </c>
      <c r="BZ49" s="538">
        <f t="shared" ref="BZ49" si="474">IF(NOT(ISBLANK(U49)),IF(U49&lt;&gt;"",(IF(NOT(ISNUMBER(U49)),1,0)),0),0)</f>
        <v>0</v>
      </c>
      <c r="CA49" s="538">
        <f t="shared" ref="CA49" si="475">IF(NOT(ISBLANK(X49)),IF(X49&lt;&gt;"",(IF(NOT(ISNUMBER(X49)),1,0)),0),0)</f>
        <v>0</v>
      </c>
      <c r="CB49" s="538">
        <f t="shared" ref="CB49" si="476">IF(NOT(ISBLANK(AA49)),IF(AA49&lt;&gt;"",(IF(NOT(ISNUMBER(AA49)),1,0)),0),0)</f>
        <v>0</v>
      </c>
      <c r="CC49" s="538">
        <f t="shared" ref="CC49" si="477">IF(NOT(ISBLANK(AD49)),IF(AD49&lt;&gt;"",(IF(NOT(ISNUMBER(AD49)),1,0)),0),0)</f>
        <v>0</v>
      </c>
      <c r="CD49" s="538">
        <f t="shared" ref="CD49" si="478">IF(NOT(ISBLANK(AG49)),IF(AG49&lt;&gt;"",(IF(NOT(ISNUMBER(AG49)),1,0)),0),0)</f>
        <v>0</v>
      </c>
      <c r="CE49" s="538">
        <f t="shared" ref="CE49" si="479">IF(NOT(ISBLANK(AJ49)),IF(AJ49&lt;&gt;"",(IF(NOT(ISNUMBER(AJ49)),1,0)),0),0)</f>
        <v>0</v>
      </c>
      <c r="CF49" s="538" t="str">
        <f t="shared" ref="CF49" ca="1" si="480">IF(SUM(BW49:CE50)=0, "Continue", "Enter valid number only.")</f>
        <v>Continue</v>
      </c>
      <c r="CG49" s="538" t="str">
        <f t="shared" ref="CG49" ca="1" si="481">IF(AND(CF49="Continue",BD49="Continue"),"Continue",IF(AND(CF49&lt;&gt;"Continue",BD49="Continue"),CF49,IF(AND(BD49&lt;&gt;"Continue",CF49="Continue"),BD49,CONCATENATE(CF49,CHAR(10)))))</f>
        <v>Continue</v>
      </c>
      <c r="CI49" s="314" t="str">
        <f>IFERROR(IF('Overview - Section A'!$AN$5="Funding Request",
IF(AND('Reference Records'!$B$427&lt;&gt;"",$L49 ='Reference Records'!$B$427),'Reference Records'!$C$427,""),
INDEX('Reference Records'!$A$498:$C$499,MATCH($L49,'Reference Records'!$A$498:$A$499,0),3)),"")</f>
        <v>a1A360000013M2uEAE</v>
      </c>
      <c r="CJ49" s="314" t="str">
        <f>IFERROR(INDEX('Overview - Section A'!$H$102:$H$118,MATCH(IF($B49="", "--select--", $B49),'Overview - Section A'!$C$102:$C$118,0)),"")</f>
        <v>a1PDm000000LrDDMA0</v>
      </c>
      <c r="CK49" s="310" t="str" cm="1">
        <f t="array" ref="CK49">IFERROR(IF($C49="", "", VLOOKUP(LEFT($C49,255),LEFT('Reference Records'!$C$88:$G$189,255),5,0)),"")</f>
        <v>a1ODm000000GnzPMAS</v>
      </c>
    </row>
    <row r="50" spans="1:89" ht="30" customHeight="1">
      <c r="A50" s="523"/>
      <c r="B50" s="513"/>
      <c r="C50" s="513"/>
      <c r="D50" s="513"/>
      <c r="E50" s="140">
        <v>28446.354008099999</v>
      </c>
      <c r="F50" s="517"/>
      <c r="G50" s="553"/>
      <c r="H50" s="513"/>
      <c r="I50" s="546"/>
      <c r="J50" s="553"/>
      <c r="K50" s="513"/>
      <c r="L50" s="147" t="s">
        <v>651</v>
      </c>
      <c r="M50" s="557"/>
      <c r="N50" s="140">
        <v>29444.3</v>
      </c>
      <c r="O50" s="517"/>
      <c r="P50" s="553"/>
      <c r="Q50" s="142">
        <v>29444.3</v>
      </c>
      <c r="R50" s="517"/>
      <c r="S50" s="553"/>
      <c r="T50" s="142">
        <v>30297.399999999998</v>
      </c>
      <c r="U50" s="517"/>
      <c r="V50" s="553"/>
      <c r="W50" s="142">
        <v>30297.399999999998</v>
      </c>
      <c r="X50" s="517"/>
      <c r="Y50" s="553"/>
      <c r="Z50" s="142">
        <v>31176.149999999998</v>
      </c>
      <c r="AA50" s="517"/>
      <c r="AB50" s="553"/>
      <c r="AC50" s="142">
        <v>31176.149999999998</v>
      </c>
      <c r="AD50" s="517"/>
      <c r="AE50" s="553"/>
      <c r="AF50" s="142"/>
      <c r="AG50" s="517"/>
      <c r="AH50" s="553"/>
      <c r="AI50" s="142"/>
      <c r="AJ50" s="517"/>
      <c r="AK50" s="553"/>
      <c r="AL50" s="513"/>
      <c r="AM50" s="554"/>
      <c r="AN50" s="143"/>
      <c r="AO50" s="143"/>
      <c r="AP50" s="143"/>
      <c r="AQ50" s="143"/>
      <c r="AR50" s="143"/>
      <c r="AS50" s="143"/>
      <c r="AT50" s="143"/>
      <c r="AU50" s="143"/>
      <c r="AV50" s="143"/>
      <c r="AW50" s="143"/>
      <c r="AX50" s="145"/>
      <c r="AY50" s="143"/>
      <c r="AZ50" s="555"/>
      <c r="BA50" s="558"/>
      <c r="BB50" s="468"/>
      <c r="BC50" s="508"/>
      <c r="BD50" s="508"/>
      <c r="BE50" s="146">
        <f t="shared" si="0"/>
        <v>0</v>
      </c>
      <c r="BF50" s="146">
        <f t="shared" si="1"/>
        <v>0</v>
      </c>
      <c r="BG50" s="146">
        <f t="shared" si="2"/>
        <v>0</v>
      </c>
      <c r="BH50" s="146">
        <f t="shared" si="3"/>
        <v>0</v>
      </c>
      <c r="BI50" s="146">
        <f t="shared" si="4"/>
        <v>0</v>
      </c>
      <c r="BJ50" s="146">
        <f t="shared" si="5"/>
        <v>0</v>
      </c>
      <c r="BK50" s="146">
        <f t="shared" si="6"/>
        <v>0</v>
      </c>
      <c r="BL50" s="146">
        <f t="shared" si="7"/>
        <v>0</v>
      </c>
      <c r="BM50" s="146">
        <f t="shared" si="8"/>
        <v>0</v>
      </c>
      <c r="BN50" s="467"/>
      <c r="BO50" s="467"/>
      <c r="BP50" s="467"/>
      <c r="BQ50" s="467"/>
      <c r="BR50" s="508"/>
      <c r="BS50" s="508"/>
      <c r="BT50" s="508"/>
      <c r="BU50" s="508"/>
      <c r="BV50" s="538"/>
      <c r="BW50" s="538"/>
      <c r="BX50" s="538"/>
      <c r="BY50" s="538"/>
      <c r="BZ50" s="538"/>
      <c r="CA50" s="538"/>
      <c r="CB50" s="538"/>
      <c r="CC50" s="538"/>
      <c r="CD50" s="538"/>
      <c r="CE50" s="538"/>
      <c r="CF50" s="538"/>
      <c r="CG50" s="538"/>
      <c r="CI50" s="314" t="str">
        <f>IFERROR(IF('Overview - Section A'!$AN$5="Funding Request",
IF(AND('Reference Records'!$B$427&lt;&gt;"",$L50 ='Reference Records'!$B$427),'Reference Records'!$C$427,""),
INDEX('Reference Records'!$A$498:$C$499,MATCH($L50,'Reference Records'!$A$498:$A$499,0),3)),"")</f>
        <v/>
      </c>
      <c r="CJ50" s="314" t="str">
        <f>IFERROR(INDEX('Overview - Section A'!$H$102:$H$118,MATCH(IF($B50="", "--select--", $B50),'Overview - Section A'!$C$102:$C$118,0)),"")</f>
        <v/>
      </c>
      <c r="CK50" s="310" t="str" cm="1">
        <f t="array" ref="CK50">IFERROR(IF($C50="", "", VLOOKUP(LEFT($C50,255),LEFT('Reference Records'!$C$88:$G$189,255),5,0)),"")</f>
        <v/>
      </c>
    </row>
    <row r="51" spans="1:89" ht="30" customHeight="1">
      <c r="A51" s="522">
        <v>22</v>
      </c>
      <c r="B51" s="528" t="s">
        <v>1480</v>
      </c>
      <c r="C51" s="528" t="s">
        <v>1176</v>
      </c>
      <c r="D51" s="528"/>
      <c r="E51" s="148">
        <v>32538</v>
      </c>
      <c r="F51" s="524">
        <f ca="1">IF(OR(INDIRECT("'update Helper'!D"&amp;AT51)="",E51&lt;&gt;0,E52&lt;&gt;0),IF(IFERROR((E51/E52),"")="","",(E51/E52)),INDIRECT("'update Helper'!D"&amp;AT51)/100)</f>
        <v>0.26989755991390857</v>
      </c>
      <c r="G51" s="543">
        <v>2021</v>
      </c>
      <c r="H51" s="528" t="s">
        <v>2192</v>
      </c>
      <c r="I51" s="545" t="str">
        <f>AN51</f>
        <v>Age</v>
      </c>
      <c r="J51" s="543" t="s">
        <v>2212</v>
      </c>
      <c r="K51" s="528" t="s">
        <v>323</v>
      </c>
      <c r="L51" s="149" t="s">
        <v>781</v>
      </c>
      <c r="M51" s="547" t="s">
        <v>650</v>
      </c>
      <c r="N51" s="148">
        <v>46302</v>
      </c>
      <c r="O51" s="524">
        <v>0.35250319751507397</v>
      </c>
      <c r="P51" s="543"/>
      <c r="Q51" s="150">
        <v>46302</v>
      </c>
      <c r="R51" s="524">
        <v>0.35250319751507397</v>
      </c>
      <c r="S51" s="543"/>
      <c r="T51" s="150">
        <v>56125.5</v>
      </c>
      <c r="U51" s="524">
        <v>0.41524922129904335</v>
      </c>
      <c r="V51" s="543"/>
      <c r="W51" s="150">
        <v>56125.5</v>
      </c>
      <c r="X51" s="524">
        <v>0.41524922129904335</v>
      </c>
      <c r="Y51" s="543"/>
      <c r="Z51" s="150">
        <v>66062.467267679996</v>
      </c>
      <c r="AA51" s="524">
        <v>0.4749927543494798</v>
      </c>
      <c r="AB51" s="543"/>
      <c r="AC51" s="150">
        <v>66062.467267679996</v>
      </c>
      <c r="AD51" s="524">
        <v>0.4749927543494798</v>
      </c>
      <c r="AE51" s="543"/>
      <c r="AF51" s="150"/>
      <c r="AG51" s="549"/>
      <c r="AH51" s="543"/>
      <c r="AI51" s="150"/>
      <c r="AJ51" s="549"/>
      <c r="AK51" s="543"/>
      <c r="AL51" s="528" t="s">
        <v>2234</v>
      </c>
      <c r="AM51" s="476" t="str">
        <f>IFERROR(IF(VLOOKUP(B51,'Reference Records'!$C$192:$D$250,2,FALSE)=0,"",VLOOKUP(B51,'Reference Records'!$C$192:$D$250,2,FALSE)),"")</f>
        <v>MCI-01305</v>
      </c>
      <c r="AN51" s="48" t="str">
        <f t="array" ref="AN51">IFERROR(IF(INDEX('Reference Records'!$D$88:$D$189,MATCH(LEFT(C51,255),LEFT('Reference Records'!$C$88:$C$189,255),0))=0,"",INDEX('Reference Records'!$D$88:$D$189,MATCH(LEFT(C51,255),LEFT('Reference Records'!$C$88:$C$189,255),0))),"")</f>
        <v>Age</v>
      </c>
      <c r="AO51" s="48" t="str">
        <f>CONCATENATE(C51,D51)</f>
        <v>HTS-3a Percentage of MSM that have received an HIV test during the reporting period in KP-specific programs and know their results</v>
      </c>
      <c r="AP51" s="151" t="str">
        <f t="array" ref="AP51">VLOOKUP(LEFT(C51,255),LEFT('Reference Records'!C$87:G500,255),4,0)</f>
        <v>MCI-01614</v>
      </c>
      <c r="AQ51" s="151" t="e">
        <f>MATCH(AP51,'Reference Records'!$F$512:$F$514,0)+ROW(PopulationByCoverage)-1</f>
        <v>#N/A</v>
      </c>
      <c r="AR51" s="151">
        <f>MATCH(AP51,'Reference Records'!$F$512:$F$514,1)+ROW(PopulationByCoverage)-1</f>
        <v>513</v>
      </c>
      <c r="AS51" s="48" t="str">
        <f>C51&amp;D51</f>
        <v>HTS-3a Percentage of MSM that have received an HIV test during the reporting period in KP-specific programs and know their results</v>
      </c>
      <c r="AT51" s="48">
        <f t="shared" si="320"/>
        <v>475</v>
      </c>
      <c r="AU51" s="48">
        <f ca="1">AU49+'update Helper'!$T$2</f>
        <v>671.43478260869472</v>
      </c>
      <c r="AV51" s="48" t="str">
        <f t="shared" ref="AV51" si="482">CLEAN(IFERROR(LEFT(AY51, SEARCH(";",AY51,1)-1),""))</f>
        <v>Non cumulative</v>
      </c>
      <c r="AW51" s="48" t="str">
        <f t="shared" ref="AW51" si="483">SUBSTITUTE(IFERROR(MID(AY51, SEARCH(";",AY51) + 1, SEARCH(";",AY51,SEARCH(";",AY51)+1) - SEARCH(";",AY51) - 1),""),CHAR(10),"")</f>
        <v>Non cumulative – other</v>
      </c>
      <c r="AX51" s="152" t="str">
        <f t="shared" ref="AX51" si="484">CLEAN(IFERROR(SUBSTITUTE(RIGHT(AY51,LEN(AY51) - SEARCH(";", AY51, SEARCH(";",AY51) + 1)),";",""),""))</f>
        <v>Non cumulative - special</v>
      </c>
      <c r="AY51" s="48" t="str">
        <f t="array" ref="AY51">IFERROR(IF(VLOOKUP(LEFT(C51,255),LEFT('Reference Records'!$C$1:$K$539,255),9,0)=0,"",CONCATENATE(VLOOKUP(LEFT(C51,255),LEFT('Reference Records'!$C$1:$K$539,255),9,0),";")),"")</f>
        <v>Non cumulative;Non cumulative – other;Non cumulative - special;</v>
      </c>
      <c r="AZ51" s="551" t="str">
        <f>IF($BV51="", "", IF($BV51=TRUE, "Yes", "No"))</f>
        <v>No</v>
      </c>
      <c r="BA51" s="559" t="str">
        <f t="shared" ref="BA51" ca="1" si="485">IF($D51="", "",IF(IF(INDIRECT("'update Helper'!W"&amp;AT51)=0,"",INDIRECT("'update Helper'!W"&amp;AT51))=TRUE, "Yes","No"))</f>
        <v/>
      </c>
      <c r="BB51" s="468" t="str">
        <f t="shared" ref="BB51" ca="1" si="486">IF(AND(BS51="Continue",BU51="Continue"),"No Error",IF(AND(BS51&lt;&gt;"Continue",BU51="Continue"),BS51,IF(AND(BU51&lt;&gt;"Continue",BS51="Continue"),BU51,CONCATENATE(BS51,CHAR(10),BU51))))</f>
        <v>No Error</v>
      </c>
      <c r="BC51" s="508" t="str" cm="1">
        <f t="array" ref="BC51">IF(ISBLANK(C51),"Continue",(IF(IFERROR(_xlfn.XMATCH(C51,LEFT('Reference Records'!$C$87:$C$189,32768),0),0)&lt;&gt;0,"Continue","Invalid indicator entry. Select from dropdown list.")))</f>
        <v>Continue</v>
      </c>
      <c r="BD51" s="508" t="str">
        <f t="shared" ref="BD51" si="487">IF(SUM(BE51:BM52)=0, "Continue", "Enter valid number only.")</f>
        <v>Continue</v>
      </c>
      <c r="BE51" s="146">
        <f t="shared" si="0"/>
        <v>0</v>
      </c>
      <c r="BF51" s="146">
        <f t="shared" si="1"/>
        <v>0</v>
      </c>
      <c r="BG51" s="146">
        <f t="shared" si="2"/>
        <v>0</v>
      </c>
      <c r="BH51" s="146">
        <f t="shared" si="3"/>
        <v>0</v>
      </c>
      <c r="BI51" s="146">
        <f t="shared" si="4"/>
        <v>0</v>
      </c>
      <c r="BJ51" s="146">
        <f t="shared" si="5"/>
        <v>0</v>
      </c>
      <c r="BK51" s="146">
        <f t="shared" si="6"/>
        <v>0</v>
      </c>
      <c r="BL51" s="146">
        <f t="shared" si="7"/>
        <v>0</v>
      </c>
      <c r="BM51" s="146">
        <f t="shared" si="8"/>
        <v>0</v>
      </c>
      <c r="BN51" s="467" t="str">
        <f>IF(NOT(ISBLANK(C51)),IF(C51&lt;&gt;"",IF(_xlfn.XLOOKUP(C51,'Reference Records'!$C$87:$C$189,'Reference Records'!$A$87:$A$189,0,0,1)=AM51,"Continue","Select correct module name."),"Continue"),"Continue")</f>
        <v>Continue</v>
      </c>
      <c r="BO51" s="467" t="str">
        <f t="shared" ref="BO51" ca="1" si="488">IF(AND(BC51="Continue",CG51="Continue"),"Continue",IF(AND(BC51&lt;&gt;"Continue",CG51="Continue"),BC51,IF(AND(CG51&lt;&gt;"Continue",BC51="Continue"),CG51,CONCATENATE(BC51,CHAR(10),CG51))))</f>
        <v>Continue</v>
      </c>
      <c r="BP51" s="467" t="str">
        <f t="shared" ref="BP51" ca="1" si="489">IF(AND((AZ51&lt;&gt;""),(BA51&lt;&gt;"")),"Reversed custom indicator selection not applicable. Value pre-populated in standard indicator column.","Continue")</f>
        <v>Continue</v>
      </c>
      <c r="BQ51" s="467" t="str">
        <f t="shared" ref="BQ51" ca="1" si="490">IF(AND(BN51="Continue",BO51="Continue"),"Continue",
IF(AND(BN51&lt;&gt;"Continue",BO51="Continue"),BN51,
IF(AND(BO51&lt;&gt;"Continue",BN51="Continue"),BO51,
CONCATENATE(BN51,CHAR(10),BO51))))</f>
        <v>Continue</v>
      </c>
      <c r="BR51" s="508" t="str" cm="1">
        <f t="array" ref="BR51">IF(ISBLANK(B51),"Continue",(IF(IFERROR(_xlfn.XMATCH(B51,LEFT('Reference Records'!$J$191:$J$250,32768),0),0)&lt;&gt;0,"Continue","Invalid module entry. Select from dropdown list.")))</f>
        <v>Continue</v>
      </c>
      <c r="BS51" s="508" t="str">
        <f t="shared" ref="BS51" ca="1" si="491">IF(AND(BP51="Continue",BQ51="Continue"),"Continue",IF(AND(BP51&lt;&gt;"Continue",BQ51="Continue"),BP51,IF(AND(BQ51&lt;&gt;"Continue",BP51="Continue"),BQ51,CONCATENATE(BP51,CHAR(10),BQ51))))</f>
        <v>Continue</v>
      </c>
      <c r="BT51" s="508" t="str">
        <f t="shared" ref="BT51" si="492">IF(AND(C51="",D51=""),"Continue",IF(AND(C51="",D51&lt;&gt;""),"Continue",IF(AND(C51&lt;&gt;"",D51=""),"Continue",IF(AND(C51&lt;&gt;"",D51&lt;&gt;""),"Cannot enter both standard and custom indicators on the same line."))))</f>
        <v>Continue</v>
      </c>
      <c r="BU51" s="508" t="str">
        <f t="shared" ref="BU51" si="493">IF(AND(BR51="Continue",BT51="Continue"),"Continue",IF(AND(BR51&lt;&gt;"Continue",BT51="Continue"),BR51,IF(AND(BT51&lt;&gt;"Continue",BR51="Continue"),BT51,CONCATENATE(BR51,CHAR(10),BT51))))</f>
        <v>Continue</v>
      </c>
      <c r="BV51" s="538" t="b">
        <f>IFERROR(INDEX('Reference Records'!$L$87:$L$189,MATCH($C51,'Reference Records'!$C$87:$C$189,0)),"")</f>
        <v>0</v>
      </c>
      <c r="BW51" s="538">
        <f t="shared" ref="BW51" ca="1" si="494">IF(NOT(ISBLANK(F51)),IF(F51&lt;&gt;"",(IF(NOT(ISNUMBER(F51)),1,0)),0),0)</f>
        <v>0</v>
      </c>
      <c r="BX51" s="538">
        <f t="shared" ref="BX51" si="495">IF(NOT(ISBLANK(O51)),IF(O51&lt;&gt;"",(IF(NOT(ISNUMBER(O51)),1,0)),0),0)</f>
        <v>0</v>
      </c>
      <c r="BY51" s="538">
        <f t="shared" ref="BY51" si="496">IF(NOT(ISBLANK(R51)),IF(R51&lt;&gt;"",(IF(NOT(ISNUMBER(R51)),1,0)),0),0)</f>
        <v>0</v>
      </c>
      <c r="BZ51" s="538">
        <f t="shared" ref="BZ51" si="497">IF(NOT(ISBLANK(U51)),IF(U51&lt;&gt;"",(IF(NOT(ISNUMBER(U51)),1,0)),0),0)</f>
        <v>0</v>
      </c>
      <c r="CA51" s="538">
        <f t="shared" ref="CA51" si="498">IF(NOT(ISBLANK(X51)),IF(X51&lt;&gt;"",(IF(NOT(ISNUMBER(X51)),1,0)),0),0)</f>
        <v>0</v>
      </c>
      <c r="CB51" s="538">
        <f t="shared" ref="CB51" si="499">IF(NOT(ISBLANK(AA51)),IF(AA51&lt;&gt;"",(IF(NOT(ISNUMBER(AA51)),1,0)),0),0)</f>
        <v>0</v>
      </c>
      <c r="CC51" s="538">
        <f t="shared" ref="CC51" si="500">IF(NOT(ISBLANK(AD51)),IF(AD51&lt;&gt;"",(IF(NOT(ISNUMBER(AD51)),1,0)),0),0)</f>
        <v>0</v>
      </c>
      <c r="CD51" s="538">
        <f t="shared" ref="CD51" si="501">IF(NOT(ISBLANK(AG51)),IF(AG51&lt;&gt;"",(IF(NOT(ISNUMBER(AG51)),1,0)),0),0)</f>
        <v>0</v>
      </c>
      <c r="CE51" s="538">
        <f t="shared" ref="CE51" si="502">IF(NOT(ISBLANK(AJ51)),IF(AJ51&lt;&gt;"",(IF(NOT(ISNUMBER(AJ51)),1,0)),0),0)</f>
        <v>0</v>
      </c>
      <c r="CF51" s="538" t="str">
        <f t="shared" ref="CF51" ca="1" si="503">IF(SUM(BW51:CE52)=0, "Continue", "Enter valid number only.")</f>
        <v>Continue</v>
      </c>
      <c r="CG51" s="538" t="str">
        <f t="shared" ref="CG51" ca="1" si="504">IF(AND(CF51="Continue",BD51="Continue"),"Continue",IF(AND(CF51&lt;&gt;"Continue",BD51="Continue"),CF51,IF(AND(BD51&lt;&gt;"Continue",CF51="Continue"),BD51,CONCATENATE(CF51,CHAR(10)))))</f>
        <v>Continue</v>
      </c>
      <c r="CI51" s="314" t="str">
        <f>IFERROR(IF('Overview - Section A'!$AN$5="Funding Request",
IF(AND('Reference Records'!$B$427&lt;&gt;"",$L51 ='Reference Records'!$B$427),'Reference Records'!$C$427,""),
INDEX('Reference Records'!$A$498:$C$499,MATCH($L51,'Reference Records'!$A$498:$A$499,0),3)),"")</f>
        <v>a1A360000013M2uEAE</v>
      </c>
      <c r="CJ51" s="314" t="str">
        <f>IFERROR(INDEX('Overview - Section A'!$H$102:$H$118,MATCH(IF($B51="", "--select--", $B51),'Overview - Section A'!$C$102:$C$118,0)),"")</f>
        <v>a1PDm000000LrDFMA0</v>
      </c>
      <c r="CK51" s="310" t="str" cm="1">
        <f t="array" ref="CK51">IFERROR(IF($C51="", "", VLOOKUP(LEFT($C51,255),LEFT('Reference Records'!$C$88:$G$189,255),5,0)),"")</f>
        <v>a1ODm000000GnzRMAS</v>
      </c>
    </row>
    <row r="52" spans="1:89" ht="30" customHeight="1">
      <c r="A52" s="523"/>
      <c r="B52" s="529"/>
      <c r="C52" s="529"/>
      <c r="D52" s="529"/>
      <c r="E52" s="148">
        <v>120556.851311953</v>
      </c>
      <c r="F52" s="525"/>
      <c r="G52" s="544"/>
      <c r="H52" s="529"/>
      <c r="I52" s="546"/>
      <c r="J52" s="544"/>
      <c r="K52" s="529"/>
      <c r="L52" s="153" t="s">
        <v>651</v>
      </c>
      <c r="M52" s="548"/>
      <c r="N52" s="148">
        <v>131352</v>
      </c>
      <c r="O52" s="525"/>
      <c r="P52" s="544"/>
      <c r="Q52" s="150">
        <v>131352</v>
      </c>
      <c r="R52" s="525"/>
      <c r="S52" s="544"/>
      <c r="T52" s="150">
        <v>135161</v>
      </c>
      <c r="U52" s="525"/>
      <c r="V52" s="544"/>
      <c r="W52" s="150">
        <v>135161</v>
      </c>
      <c r="X52" s="525"/>
      <c r="Y52" s="544"/>
      <c r="Z52" s="150">
        <v>139081</v>
      </c>
      <c r="AA52" s="525"/>
      <c r="AB52" s="544"/>
      <c r="AC52" s="150">
        <v>139081</v>
      </c>
      <c r="AD52" s="525"/>
      <c r="AE52" s="544"/>
      <c r="AF52" s="150"/>
      <c r="AG52" s="550"/>
      <c r="AH52" s="544"/>
      <c r="AI52" s="150"/>
      <c r="AJ52" s="550"/>
      <c r="AK52" s="544"/>
      <c r="AL52" s="529"/>
      <c r="AM52" s="476"/>
      <c r="AX52" s="152"/>
      <c r="AZ52" s="551"/>
      <c r="BA52" s="559"/>
      <c r="BB52" s="468"/>
      <c r="BC52" s="508"/>
      <c r="BD52" s="508"/>
      <c r="BE52" s="146">
        <f t="shared" si="0"/>
        <v>0</v>
      </c>
      <c r="BF52" s="146">
        <f t="shared" si="1"/>
        <v>0</v>
      </c>
      <c r="BG52" s="146">
        <f t="shared" si="2"/>
        <v>0</v>
      </c>
      <c r="BH52" s="146">
        <f t="shared" si="3"/>
        <v>0</v>
      </c>
      <c r="BI52" s="146">
        <f t="shared" si="4"/>
        <v>0</v>
      </c>
      <c r="BJ52" s="146">
        <f t="shared" si="5"/>
        <v>0</v>
      </c>
      <c r="BK52" s="146">
        <f t="shared" si="6"/>
        <v>0</v>
      </c>
      <c r="BL52" s="146">
        <f t="shared" si="7"/>
        <v>0</v>
      </c>
      <c r="BM52" s="146">
        <f t="shared" si="8"/>
        <v>0</v>
      </c>
      <c r="BN52" s="467"/>
      <c r="BO52" s="467"/>
      <c r="BP52" s="467"/>
      <c r="BQ52" s="467"/>
      <c r="BR52" s="508"/>
      <c r="BS52" s="508"/>
      <c r="BT52" s="508"/>
      <c r="BU52" s="508"/>
      <c r="BV52" s="538"/>
      <c r="BW52" s="538"/>
      <c r="BX52" s="538"/>
      <c r="BY52" s="538"/>
      <c r="BZ52" s="538"/>
      <c r="CA52" s="538"/>
      <c r="CB52" s="538"/>
      <c r="CC52" s="538"/>
      <c r="CD52" s="538"/>
      <c r="CE52" s="538"/>
      <c r="CF52" s="538"/>
      <c r="CG52" s="538"/>
      <c r="CI52" s="314" t="str">
        <f>IFERROR(IF('Overview - Section A'!$AN$5="Funding Request",
IF(AND('Reference Records'!$B$427&lt;&gt;"",$L52 ='Reference Records'!$B$427),'Reference Records'!$C$427,""),
INDEX('Reference Records'!$A$498:$C$499,MATCH($L52,'Reference Records'!$A$498:$A$499,0),3)),"")</f>
        <v/>
      </c>
      <c r="CJ52" s="314" t="str">
        <f>IFERROR(INDEX('Overview - Section A'!$H$102:$H$118,MATCH(IF($B52="", "--select--", $B52),'Overview - Section A'!$C$102:$C$118,0)),"")</f>
        <v/>
      </c>
      <c r="CK52" s="310" t="str" cm="1">
        <f t="array" ref="CK52">IFERROR(IF($C52="", "", VLOOKUP(LEFT($C52,255),LEFT('Reference Records'!$C$88:$G$189,255),5,0)),"")</f>
        <v/>
      </c>
    </row>
    <row r="53" spans="1:89" ht="30" customHeight="1">
      <c r="A53" s="522">
        <v>23</v>
      </c>
      <c r="B53" s="512" t="s">
        <v>1480</v>
      </c>
      <c r="C53" s="512" t="s">
        <v>1179</v>
      </c>
      <c r="D53" s="512"/>
      <c r="E53" s="140">
        <v>4082</v>
      </c>
      <c r="F53" s="516">
        <f ca="1">IF(OR(INDIRECT("'update Helper'!D"&amp;AT53)="",E53&lt;&gt;0,E54&lt;&gt;0),IF(IFERROR((E53/E54),"")="","",(E53/E54)),INDIRECT("'update Helper'!D"&amp;AT53)/100)</f>
        <v>7.4303520254731983E-2</v>
      </c>
      <c r="G53" s="552">
        <v>2021</v>
      </c>
      <c r="H53" s="512" t="s">
        <v>2192</v>
      </c>
      <c r="I53" s="545" t="str">
        <f>AN53</f>
        <v>Age,Gender</v>
      </c>
      <c r="J53" s="552" t="s">
        <v>2212</v>
      </c>
      <c r="K53" s="512" t="s">
        <v>323</v>
      </c>
      <c r="L53" s="141" t="s">
        <v>781</v>
      </c>
      <c r="M53" s="556" t="s">
        <v>650</v>
      </c>
      <c r="N53" s="140">
        <v>8978.4422594999996</v>
      </c>
      <c r="O53" s="516">
        <v>0.15000000000000002</v>
      </c>
      <c r="P53" s="552"/>
      <c r="Q53" s="142">
        <v>8978.4422594999996</v>
      </c>
      <c r="R53" s="516">
        <v>0.15000000000000002</v>
      </c>
      <c r="S53" s="552"/>
      <c r="T53" s="142">
        <v>12687.975463434999</v>
      </c>
      <c r="U53" s="516">
        <v>0.20599999999999971</v>
      </c>
      <c r="V53" s="552"/>
      <c r="W53" s="142">
        <v>12687.975463434999</v>
      </c>
      <c r="X53" s="516">
        <v>0.20599999999999971</v>
      </c>
      <c r="Y53" s="552"/>
      <c r="Z53" s="142">
        <v>16636.799865859652</v>
      </c>
      <c r="AA53" s="516">
        <v>0.26249999999999984</v>
      </c>
      <c r="AB53" s="552"/>
      <c r="AC53" s="142">
        <v>16636.799865859652</v>
      </c>
      <c r="AD53" s="516">
        <v>0.26249999999999984</v>
      </c>
      <c r="AE53" s="552"/>
      <c r="AF53" s="142"/>
      <c r="AG53" s="516"/>
      <c r="AH53" s="552"/>
      <c r="AI53" s="142"/>
      <c r="AJ53" s="516"/>
      <c r="AK53" s="552"/>
      <c r="AL53" s="512" t="s">
        <v>2235</v>
      </c>
      <c r="AM53" s="554" t="str">
        <f>IFERROR(IF(VLOOKUP(B53,'Reference Records'!$C$192:$D$250,2,FALSE)=0,"",VLOOKUP(B53,'Reference Records'!$C$192:$D$250,2,FALSE)),"")</f>
        <v>MCI-01305</v>
      </c>
      <c r="AN53" s="143" t="str">
        <f t="array" ref="AN53">IFERROR(IF(INDEX('Reference Records'!$D$88:$D$189,MATCH(LEFT(C53,255),LEFT('Reference Records'!$C$88:$C$189,255),0))=0,"",INDEX('Reference Records'!$D$88:$D$189,MATCH(LEFT(C53,255),LEFT('Reference Records'!$C$88:$C$189,255),0))),"")</f>
        <v>Age,Gender</v>
      </c>
      <c r="AO53" s="143" t="str">
        <f>CONCATENATE(C53,D53)</f>
        <v>HTS-3b Percentage of TG that have received an HIV test during the reporting period in KP-specific programs and know their results</v>
      </c>
      <c r="AP53" s="144" t="str">
        <f t="array" ref="AP53">VLOOKUP(LEFT(C53,255),LEFT('Reference Records'!C$87:G502,255),4,0)</f>
        <v>MCI-01615</v>
      </c>
      <c r="AQ53" s="144" t="e">
        <f>MATCH(AP53,'Reference Records'!$F$512:$F$514,0)+ROW(PopulationByCoverage)-1</f>
        <v>#N/A</v>
      </c>
      <c r="AR53" s="144">
        <f>MATCH(AP53,'Reference Records'!$F$512:$F$514,1)+ROW(PopulationByCoverage)-1</f>
        <v>513</v>
      </c>
      <c r="AS53" s="143" t="str">
        <f>C53&amp;D53</f>
        <v>HTS-3b Percentage of TG that have received an HIV test during the reporting period in KP-specific programs and know their results</v>
      </c>
      <c r="AT53" s="143">
        <f t="shared" si="320"/>
        <v>476</v>
      </c>
      <c r="AU53" s="143">
        <f ca="1">AU51+'update Helper'!$T$2</f>
        <v>678.21739130434685</v>
      </c>
      <c r="AV53" s="143" t="str">
        <f t="shared" ref="AV53" si="505">CLEAN(IFERROR(LEFT(AY53, SEARCH(";",AY53,1)-1),""))</f>
        <v>Non cumulative</v>
      </c>
      <c r="AW53" s="143" t="str">
        <f t="shared" ref="AW53" si="506">SUBSTITUTE(IFERROR(MID(AY53, SEARCH(";",AY53) + 1, SEARCH(";",AY53,SEARCH(";",AY53)+1) - SEARCH(";",AY53) - 1),""),CHAR(10),"")</f>
        <v>Non cumulative – other</v>
      </c>
      <c r="AX53" s="145" t="str">
        <f t="shared" ref="AX53" si="507">CLEAN(IFERROR(SUBSTITUTE(RIGHT(AY53,LEN(AY53) - SEARCH(";", AY53, SEARCH(";",AY53) + 1)),";",""),""))</f>
        <v>Non cumulative - special</v>
      </c>
      <c r="AY53" s="143" t="str">
        <f t="array" ref="AY53">IFERROR(IF(VLOOKUP(LEFT(C53,255),LEFT('Reference Records'!$C$1:$K$539,255),9,0)=0,"",CONCATENATE(VLOOKUP(LEFT(C53,255),LEFT('Reference Records'!$C$1:$K$539,255),9,0),";")),"")</f>
        <v>Non cumulative;Non cumulative – other;Non cumulative - special;</v>
      </c>
      <c r="AZ53" s="555" t="str">
        <f>IF($BV53="", "", IF($BV53=TRUE, "Yes", "No"))</f>
        <v>No</v>
      </c>
      <c r="BA53" s="558" t="str">
        <f t="shared" ref="BA53" ca="1" si="508">IF($D53="", "",IF(IF(INDIRECT("'update Helper'!W"&amp;AT53)=0,"",INDIRECT("'update Helper'!W"&amp;AT53))=TRUE, "Yes","No"))</f>
        <v/>
      </c>
      <c r="BB53" s="468" t="str">
        <f t="shared" ref="BB53" ca="1" si="509">IF(AND(BS53="Continue",BU53="Continue"),"No Error",IF(AND(BS53&lt;&gt;"Continue",BU53="Continue"),BS53,IF(AND(BU53&lt;&gt;"Continue",BS53="Continue"),BU53,CONCATENATE(BS53,CHAR(10),BU53))))</f>
        <v>No Error</v>
      </c>
      <c r="BC53" s="508" t="str" cm="1">
        <f t="array" ref="BC53">IF(ISBLANK(C53),"Continue",(IF(IFERROR(_xlfn.XMATCH(C53,LEFT('Reference Records'!$C$87:$C$189,32768),0),0)&lt;&gt;0,"Continue","Invalid indicator entry. Select from dropdown list.")))</f>
        <v>Continue</v>
      </c>
      <c r="BD53" s="508" t="str">
        <f t="shared" ref="BD53" si="510">IF(SUM(BE53:BM54)=0, "Continue", "Enter valid number only.")</f>
        <v>Continue</v>
      </c>
      <c r="BE53" s="146">
        <f t="shared" si="0"/>
        <v>0</v>
      </c>
      <c r="BF53" s="146">
        <f t="shared" si="1"/>
        <v>0</v>
      </c>
      <c r="BG53" s="146">
        <f t="shared" si="2"/>
        <v>0</v>
      </c>
      <c r="BH53" s="146">
        <f t="shared" si="3"/>
        <v>0</v>
      </c>
      <c r="BI53" s="146">
        <f t="shared" si="4"/>
        <v>0</v>
      </c>
      <c r="BJ53" s="146">
        <f t="shared" si="5"/>
        <v>0</v>
      </c>
      <c r="BK53" s="146">
        <f t="shared" si="6"/>
        <v>0</v>
      </c>
      <c r="BL53" s="146">
        <f t="shared" si="7"/>
        <v>0</v>
      </c>
      <c r="BM53" s="146">
        <f t="shared" si="8"/>
        <v>0</v>
      </c>
      <c r="BN53" s="467" t="str">
        <f>IF(NOT(ISBLANK(C53)),IF(C53&lt;&gt;"",IF(_xlfn.XLOOKUP(C53,'Reference Records'!$C$87:$C$189,'Reference Records'!$A$87:$A$189,0,0,1)=AM53,"Continue","Select correct module name."),"Continue"),"Continue")</f>
        <v>Continue</v>
      </c>
      <c r="BO53" s="467" t="str">
        <f t="shared" ref="BO53" ca="1" si="511">IF(AND(BC53="Continue",CG53="Continue"),"Continue",IF(AND(BC53&lt;&gt;"Continue",CG53="Continue"),BC53,IF(AND(CG53&lt;&gt;"Continue",BC53="Continue"),CG53,CONCATENATE(BC53,CHAR(10),CG53))))</f>
        <v>Continue</v>
      </c>
      <c r="BP53" s="467" t="str">
        <f t="shared" ref="BP53" ca="1" si="512">IF(AND((AZ53&lt;&gt;""),(BA53&lt;&gt;"")),"Reversed custom indicator selection not applicable. Value pre-populated in standard indicator column.","Continue")</f>
        <v>Continue</v>
      </c>
      <c r="BQ53" s="467" t="str">
        <f t="shared" ref="BQ53" ca="1" si="513">IF(AND(BN53="Continue",BO53="Continue"),"Continue",
IF(AND(BN53&lt;&gt;"Continue",BO53="Continue"),BN53,
IF(AND(BO53&lt;&gt;"Continue",BN53="Continue"),BO53,
CONCATENATE(BN53,CHAR(10),BO53))))</f>
        <v>Continue</v>
      </c>
      <c r="BR53" s="508" t="str" cm="1">
        <f t="array" ref="BR53">IF(ISBLANK(B53),"Continue",(IF(IFERROR(_xlfn.XMATCH(B53,LEFT('Reference Records'!$J$191:$J$250,32768),0),0)&lt;&gt;0,"Continue","Invalid module entry. Select from dropdown list.")))</f>
        <v>Continue</v>
      </c>
      <c r="BS53" s="508" t="str">
        <f t="shared" ref="BS53" ca="1" si="514">IF(AND(BP53="Continue",BQ53="Continue"),"Continue",IF(AND(BP53&lt;&gt;"Continue",BQ53="Continue"),BP53,IF(AND(BQ53&lt;&gt;"Continue",BP53="Continue"),BQ53,CONCATENATE(BP53,CHAR(10),BQ53))))</f>
        <v>Continue</v>
      </c>
      <c r="BT53" s="508" t="str">
        <f t="shared" ref="BT53" si="515">IF(AND(C53="",D53=""),"Continue",IF(AND(C53="",D53&lt;&gt;""),"Continue",IF(AND(C53&lt;&gt;"",D53=""),"Continue",IF(AND(C53&lt;&gt;"",D53&lt;&gt;""),"Cannot enter both standard and custom indicators on the same line."))))</f>
        <v>Continue</v>
      </c>
      <c r="BU53" s="508" t="str">
        <f t="shared" ref="BU53" si="516">IF(AND(BR53="Continue",BT53="Continue"),"Continue",IF(AND(BR53&lt;&gt;"Continue",BT53="Continue"),BR53,IF(AND(BT53&lt;&gt;"Continue",BR53="Continue"),BT53,CONCATENATE(BR53,CHAR(10),BT53))))</f>
        <v>Continue</v>
      </c>
      <c r="BV53" s="538" t="b">
        <f>IFERROR(INDEX('Reference Records'!$L$87:$L$189,MATCH($C53,'Reference Records'!$C$87:$C$189,0)),"")</f>
        <v>0</v>
      </c>
      <c r="BW53" s="538">
        <f t="shared" ref="BW53" ca="1" si="517">IF(NOT(ISBLANK(F53)),IF(F53&lt;&gt;"",(IF(NOT(ISNUMBER(F53)),1,0)),0),0)</f>
        <v>0</v>
      </c>
      <c r="BX53" s="538">
        <f t="shared" ref="BX53" si="518">IF(NOT(ISBLANK(O53)),IF(O53&lt;&gt;"",(IF(NOT(ISNUMBER(O53)),1,0)),0),0)</f>
        <v>0</v>
      </c>
      <c r="BY53" s="538">
        <f t="shared" ref="BY53" si="519">IF(NOT(ISBLANK(R53)),IF(R53&lt;&gt;"",(IF(NOT(ISNUMBER(R53)),1,0)),0),0)</f>
        <v>0</v>
      </c>
      <c r="BZ53" s="538">
        <f t="shared" ref="BZ53" si="520">IF(NOT(ISBLANK(U53)),IF(U53&lt;&gt;"",(IF(NOT(ISNUMBER(U53)),1,0)),0),0)</f>
        <v>0</v>
      </c>
      <c r="CA53" s="538">
        <f t="shared" ref="CA53" si="521">IF(NOT(ISBLANK(X53)),IF(X53&lt;&gt;"",(IF(NOT(ISNUMBER(X53)),1,0)),0),0)</f>
        <v>0</v>
      </c>
      <c r="CB53" s="538">
        <f t="shared" ref="CB53" si="522">IF(NOT(ISBLANK(AA53)),IF(AA53&lt;&gt;"",(IF(NOT(ISNUMBER(AA53)),1,0)),0),0)</f>
        <v>0</v>
      </c>
      <c r="CC53" s="538">
        <f t="shared" ref="CC53" si="523">IF(NOT(ISBLANK(AD53)),IF(AD53&lt;&gt;"",(IF(NOT(ISNUMBER(AD53)),1,0)),0),0)</f>
        <v>0</v>
      </c>
      <c r="CD53" s="538">
        <f t="shared" ref="CD53" si="524">IF(NOT(ISBLANK(AG53)),IF(AG53&lt;&gt;"",(IF(NOT(ISNUMBER(AG53)),1,0)),0),0)</f>
        <v>0</v>
      </c>
      <c r="CE53" s="538">
        <f t="shared" ref="CE53" si="525">IF(NOT(ISBLANK(AJ53)),IF(AJ53&lt;&gt;"",(IF(NOT(ISNUMBER(AJ53)),1,0)),0),0)</f>
        <v>0</v>
      </c>
      <c r="CF53" s="538" t="str">
        <f t="shared" ref="CF53" ca="1" si="526">IF(SUM(BW53:CE54)=0, "Continue", "Enter valid number only.")</f>
        <v>Continue</v>
      </c>
      <c r="CG53" s="538" t="str">
        <f t="shared" ref="CG53" ca="1" si="527">IF(AND(CF53="Continue",BD53="Continue"),"Continue",IF(AND(CF53&lt;&gt;"Continue",BD53="Continue"),CF53,IF(AND(BD53&lt;&gt;"Continue",CF53="Continue"),BD53,CONCATENATE(CF53,CHAR(10)))))</f>
        <v>Continue</v>
      </c>
      <c r="CI53" s="314" t="str">
        <f>IFERROR(IF('Overview - Section A'!$AN$5="Funding Request",
IF(AND('Reference Records'!$B$427&lt;&gt;"",$L53 ='Reference Records'!$B$427),'Reference Records'!$C$427,""),
INDEX('Reference Records'!$A$498:$C$499,MATCH($L53,'Reference Records'!$A$498:$A$499,0),3)),"")</f>
        <v>a1A360000013M2uEAE</v>
      </c>
      <c r="CJ53" s="314" t="str">
        <f>IFERROR(INDEX('Overview - Section A'!$H$102:$H$118,MATCH(IF($B53="", "--select--", $B53),'Overview - Section A'!$C$102:$C$118,0)),"")</f>
        <v>a1PDm000000LrDFMA0</v>
      </c>
      <c r="CK53" s="310" t="str" cm="1">
        <f t="array" ref="CK53">IFERROR(IF($C53="", "", VLOOKUP(LEFT($C53,255),LEFT('Reference Records'!$C$88:$G$189,255),5,0)),"")</f>
        <v>a1ODm000000GnzSMAS</v>
      </c>
    </row>
    <row r="54" spans="1:89" ht="30" customHeight="1">
      <c r="A54" s="523"/>
      <c r="B54" s="513"/>
      <c r="C54" s="513"/>
      <c r="D54" s="513"/>
      <c r="E54" s="140">
        <v>54936.8318756074</v>
      </c>
      <c r="F54" s="517"/>
      <c r="G54" s="553"/>
      <c r="H54" s="513"/>
      <c r="I54" s="546"/>
      <c r="J54" s="553"/>
      <c r="K54" s="513"/>
      <c r="L54" s="147" t="s">
        <v>651</v>
      </c>
      <c r="M54" s="557"/>
      <c r="N54" s="140">
        <v>59856.281729999988</v>
      </c>
      <c r="O54" s="517"/>
      <c r="P54" s="553"/>
      <c r="Q54" s="142">
        <v>59856.281729999988</v>
      </c>
      <c r="R54" s="517"/>
      <c r="S54" s="553"/>
      <c r="T54" s="142">
        <v>61592.113900169985</v>
      </c>
      <c r="U54" s="517"/>
      <c r="V54" s="553"/>
      <c r="W54" s="142">
        <v>61592.113900169985</v>
      </c>
      <c r="X54" s="517"/>
      <c r="Y54" s="553"/>
      <c r="Z54" s="142">
        <v>63378.285203274907</v>
      </c>
      <c r="AA54" s="517"/>
      <c r="AB54" s="553"/>
      <c r="AC54" s="142">
        <v>63378.285203274907</v>
      </c>
      <c r="AD54" s="517"/>
      <c r="AE54" s="553"/>
      <c r="AF54" s="142"/>
      <c r="AG54" s="517"/>
      <c r="AH54" s="553"/>
      <c r="AI54" s="142"/>
      <c r="AJ54" s="517"/>
      <c r="AK54" s="553"/>
      <c r="AL54" s="513"/>
      <c r="AM54" s="554"/>
      <c r="AN54" s="143"/>
      <c r="AO54" s="143"/>
      <c r="AP54" s="143"/>
      <c r="AQ54" s="143"/>
      <c r="AR54" s="143"/>
      <c r="AS54" s="143"/>
      <c r="AT54" s="143"/>
      <c r="AU54" s="143"/>
      <c r="AV54" s="143"/>
      <c r="AW54" s="143"/>
      <c r="AX54" s="145"/>
      <c r="AY54" s="143"/>
      <c r="AZ54" s="555"/>
      <c r="BA54" s="558"/>
      <c r="BB54" s="468"/>
      <c r="BC54" s="508"/>
      <c r="BD54" s="508"/>
      <c r="BE54" s="146">
        <f t="shared" si="0"/>
        <v>0</v>
      </c>
      <c r="BF54" s="146">
        <f t="shared" si="1"/>
        <v>0</v>
      </c>
      <c r="BG54" s="146">
        <f t="shared" si="2"/>
        <v>0</v>
      </c>
      <c r="BH54" s="146">
        <f t="shared" si="3"/>
        <v>0</v>
      </c>
      <c r="BI54" s="146">
        <f t="shared" si="4"/>
        <v>0</v>
      </c>
      <c r="BJ54" s="146">
        <f t="shared" si="5"/>
        <v>0</v>
      </c>
      <c r="BK54" s="146">
        <f t="shared" si="6"/>
        <v>0</v>
      </c>
      <c r="BL54" s="146">
        <f t="shared" si="7"/>
        <v>0</v>
      </c>
      <c r="BM54" s="146">
        <f t="shared" si="8"/>
        <v>0</v>
      </c>
      <c r="BN54" s="467"/>
      <c r="BO54" s="467"/>
      <c r="BP54" s="467"/>
      <c r="BQ54" s="467"/>
      <c r="BR54" s="508"/>
      <c r="BS54" s="508"/>
      <c r="BT54" s="508"/>
      <c r="BU54" s="508"/>
      <c r="BV54" s="538"/>
      <c r="BW54" s="538"/>
      <c r="BX54" s="538"/>
      <c r="BY54" s="538"/>
      <c r="BZ54" s="538"/>
      <c r="CA54" s="538"/>
      <c r="CB54" s="538"/>
      <c r="CC54" s="538"/>
      <c r="CD54" s="538"/>
      <c r="CE54" s="538"/>
      <c r="CF54" s="538"/>
      <c r="CG54" s="538"/>
      <c r="CI54" s="314" t="str">
        <f>IFERROR(IF('Overview - Section A'!$AN$5="Funding Request",
IF(AND('Reference Records'!$B$427&lt;&gt;"",$L54 ='Reference Records'!$B$427),'Reference Records'!$C$427,""),
INDEX('Reference Records'!$A$498:$C$499,MATCH($L54,'Reference Records'!$A$498:$A$499,0),3)),"")</f>
        <v/>
      </c>
      <c r="CJ54" s="314" t="str">
        <f>IFERROR(INDEX('Overview - Section A'!$H$102:$H$118,MATCH(IF($B54="", "--select--", $B54),'Overview - Section A'!$C$102:$C$118,0)),"")</f>
        <v/>
      </c>
      <c r="CK54" s="310" t="str" cm="1">
        <f t="array" ref="CK54">IFERROR(IF($C54="", "", VLOOKUP(LEFT($C54,255),LEFT('Reference Records'!$C$88:$G$189,255),5,0)),"")</f>
        <v/>
      </c>
    </row>
    <row r="55" spans="1:89" ht="30" customHeight="1">
      <c r="A55" s="522">
        <v>24</v>
      </c>
      <c r="B55" s="528" t="s">
        <v>1480</v>
      </c>
      <c r="C55" s="528" t="s">
        <v>1182</v>
      </c>
      <c r="D55" s="528"/>
      <c r="E55" s="148">
        <v>65961</v>
      </c>
      <c r="F55" s="524">
        <f ca="1">IF(OR(INDIRECT("'update Helper'!D"&amp;AT55)="",E55&lt;&gt;0,E56&lt;&gt;0),IF(IFERROR((E55/E56),"")="","",(E55/E56)),INDIRECT("'update Helper'!D"&amp;AT55)/100)</f>
        <v>0.21538166107643447</v>
      </c>
      <c r="G55" s="543">
        <v>2021</v>
      </c>
      <c r="H55" s="528" t="s">
        <v>2192</v>
      </c>
      <c r="I55" s="545" t="str">
        <f>AN55</f>
        <v>Gender,Age</v>
      </c>
      <c r="J55" s="543" t="s">
        <v>2212</v>
      </c>
      <c r="K55" s="528" t="s">
        <v>323</v>
      </c>
      <c r="L55" s="149" t="s">
        <v>781</v>
      </c>
      <c r="M55" s="547" t="s">
        <v>650</v>
      </c>
      <c r="N55" s="148">
        <v>93429.5</v>
      </c>
      <c r="O55" s="524">
        <v>0.28000065932221674</v>
      </c>
      <c r="P55" s="543"/>
      <c r="Q55" s="150">
        <v>93429.5</v>
      </c>
      <c r="R55" s="524">
        <v>0.28000065932221674</v>
      </c>
      <c r="S55" s="543"/>
      <c r="T55" s="150">
        <v>116911.5</v>
      </c>
      <c r="U55" s="524">
        <v>0.34050041939467368</v>
      </c>
      <c r="V55" s="543"/>
      <c r="W55" s="150">
        <v>116911.5</v>
      </c>
      <c r="X55" s="524">
        <v>0.34050041939467368</v>
      </c>
      <c r="Y55" s="543"/>
      <c r="Z55" s="150">
        <v>143090</v>
      </c>
      <c r="AA55" s="524">
        <v>0.40499844329342505</v>
      </c>
      <c r="AB55" s="543"/>
      <c r="AC55" s="150">
        <v>143090</v>
      </c>
      <c r="AD55" s="524">
        <v>0.40499844329342505</v>
      </c>
      <c r="AE55" s="543"/>
      <c r="AF55" s="150"/>
      <c r="AG55" s="549"/>
      <c r="AH55" s="543"/>
      <c r="AI55" s="150"/>
      <c r="AJ55" s="549"/>
      <c r="AK55" s="543"/>
      <c r="AL55" s="528" t="s">
        <v>2236</v>
      </c>
      <c r="AM55" s="476" t="str">
        <f>IFERROR(IF(VLOOKUP(B55,'Reference Records'!$C$192:$D$250,2,FALSE)=0,"",VLOOKUP(B55,'Reference Records'!$C$192:$D$250,2,FALSE)),"")</f>
        <v>MCI-01305</v>
      </c>
      <c r="AN55" s="48" t="str">
        <f t="array" ref="AN55">IFERROR(IF(INDEX('Reference Records'!$D$88:$D$189,MATCH(LEFT(C55,255),LEFT('Reference Records'!$C$88:$C$189,255),0))=0,"",INDEX('Reference Records'!$D$88:$D$189,MATCH(LEFT(C55,255),LEFT('Reference Records'!$C$88:$C$189,255),0))),"")</f>
        <v>Gender,Age</v>
      </c>
      <c r="AO55" s="48" t="str">
        <f>CONCATENATE(C55,D55)</f>
        <v>HTS-3c Percentage of sex workers that have received an HIV test during the reporting period in KP-specific programs and know their results</v>
      </c>
      <c r="AP55" s="151" t="str">
        <f t="array" ref="AP55">VLOOKUP(LEFT(C55,255),LEFT('Reference Records'!C$87:G504,255),4,0)</f>
        <v>MCI-01616</v>
      </c>
      <c r="AQ55" s="151" t="e">
        <f>MATCH(AP55,'Reference Records'!$F$512:$F$514,0)+ROW(PopulationByCoverage)-1</f>
        <v>#N/A</v>
      </c>
      <c r="AR55" s="151">
        <f>MATCH(AP55,'Reference Records'!$F$512:$F$514,1)+ROW(PopulationByCoverage)-1</f>
        <v>513</v>
      </c>
      <c r="AS55" s="48" t="str">
        <f>C55&amp;D55</f>
        <v>HTS-3c Percentage of sex workers that have received an HIV test during the reporting period in KP-specific programs and know their results</v>
      </c>
      <c r="AT55" s="48">
        <f t="shared" si="320"/>
        <v>477</v>
      </c>
      <c r="AU55" s="48">
        <f ca="1">AU53+'update Helper'!$T$2</f>
        <v>684.99999999999898</v>
      </c>
      <c r="AV55" s="48" t="str">
        <f t="shared" ref="AV55" si="528">CLEAN(IFERROR(LEFT(AY55, SEARCH(";",AY55,1)-1),""))</f>
        <v>Non cumulative</v>
      </c>
      <c r="AW55" s="48" t="str">
        <f t="shared" ref="AW55" si="529">SUBSTITUTE(IFERROR(MID(AY55, SEARCH(";",AY55) + 1, SEARCH(";",AY55,SEARCH(";",AY55)+1) - SEARCH(";",AY55) - 1),""),CHAR(10),"")</f>
        <v>Non cumulative – other</v>
      </c>
      <c r="AX55" s="152" t="str">
        <f t="shared" ref="AX55" si="530">CLEAN(IFERROR(SUBSTITUTE(RIGHT(AY55,LEN(AY55) - SEARCH(";", AY55, SEARCH(";",AY55) + 1)),";",""),""))</f>
        <v>Non cumulative - special</v>
      </c>
      <c r="AY55" s="48" t="str">
        <f t="array" ref="AY55">IFERROR(IF(VLOOKUP(LEFT(C55,255),LEFT('Reference Records'!$C$1:$K$539,255),9,0)=0,"",CONCATENATE(VLOOKUP(LEFT(C55,255),LEFT('Reference Records'!$C$1:$K$539,255),9,0),";")),"")</f>
        <v>Non cumulative;Non cumulative – other;Non cumulative - special;</v>
      </c>
      <c r="AZ55" s="551" t="str">
        <f>IF($BV55="", "", IF($BV55=TRUE, "Yes", "No"))</f>
        <v>No</v>
      </c>
      <c r="BA55" s="559" t="str">
        <f t="shared" ref="BA55" ca="1" si="531">IF($D55="", "",IF(IF(INDIRECT("'update Helper'!W"&amp;AT55)=0,"",INDIRECT("'update Helper'!W"&amp;AT55))=TRUE, "Yes","No"))</f>
        <v/>
      </c>
      <c r="BB55" s="468" t="str">
        <f t="shared" ref="BB55" ca="1" si="532">IF(AND(BS55="Continue",BU55="Continue"),"No Error",IF(AND(BS55&lt;&gt;"Continue",BU55="Continue"),BS55,IF(AND(BU55&lt;&gt;"Continue",BS55="Continue"),BU55,CONCATENATE(BS55,CHAR(10),BU55))))</f>
        <v>No Error</v>
      </c>
      <c r="BC55" s="508" t="str" cm="1">
        <f t="array" ref="BC55">IF(ISBLANK(C55),"Continue",(IF(IFERROR(_xlfn.XMATCH(C55,LEFT('Reference Records'!$C$87:$C$189,32768),0),0)&lt;&gt;0,"Continue","Invalid indicator entry. Select from dropdown list.")))</f>
        <v>Continue</v>
      </c>
      <c r="BD55" s="508" t="str">
        <f t="shared" ref="BD55" si="533">IF(SUM(BE55:BM56)=0, "Continue", "Enter valid number only.")</f>
        <v>Continue</v>
      </c>
      <c r="BE55" s="146">
        <f t="shared" si="0"/>
        <v>0</v>
      </c>
      <c r="BF55" s="146">
        <f t="shared" si="1"/>
        <v>0</v>
      </c>
      <c r="BG55" s="146">
        <f t="shared" si="2"/>
        <v>0</v>
      </c>
      <c r="BH55" s="146">
        <f t="shared" si="3"/>
        <v>0</v>
      </c>
      <c r="BI55" s="146">
        <f t="shared" si="4"/>
        <v>0</v>
      </c>
      <c r="BJ55" s="146">
        <f t="shared" si="5"/>
        <v>0</v>
      </c>
      <c r="BK55" s="146">
        <f t="shared" si="6"/>
        <v>0</v>
      </c>
      <c r="BL55" s="146">
        <f t="shared" si="7"/>
        <v>0</v>
      </c>
      <c r="BM55" s="146">
        <f t="shared" si="8"/>
        <v>0</v>
      </c>
      <c r="BN55" s="467" t="str">
        <f>IF(NOT(ISBLANK(C55)),IF(C55&lt;&gt;"",IF(_xlfn.XLOOKUP(C55,'Reference Records'!$C$87:$C$189,'Reference Records'!$A$87:$A$189,0,0,1)=AM55,"Continue","Select correct module name."),"Continue"),"Continue")</f>
        <v>Continue</v>
      </c>
      <c r="BO55" s="467" t="str">
        <f t="shared" ref="BO55" ca="1" si="534">IF(AND(BC55="Continue",CG55="Continue"),"Continue",IF(AND(BC55&lt;&gt;"Continue",CG55="Continue"),BC55,IF(AND(CG55&lt;&gt;"Continue",BC55="Continue"),CG55,CONCATENATE(BC55,CHAR(10),CG55))))</f>
        <v>Continue</v>
      </c>
      <c r="BP55" s="467" t="str">
        <f t="shared" ref="BP55" ca="1" si="535">IF(AND((AZ55&lt;&gt;""),(BA55&lt;&gt;"")),"Reversed custom indicator selection not applicable. Value pre-populated in standard indicator column.","Continue")</f>
        <v>Continue</v>
      </c>
      <c r="BQ55" s="467" t="str">
        <f t="shared" ref="BQ55" ca="1" si="536">IF(AND(BN55="Continue",BO55="Continue"),"Continue",
IF(AND(BN55&lt;&gt;"Continue",BO55="Continue"),BN55,
IF(AND(BO55&lt;&gt;"Continue",BN55="Continue"),BO55,
CONCATENATE(BN55,CHAR(10),BO55))))</f>
        <v>Continue</v>
      </c>
      <c r="BR55" s="508" t="str" cm="1">
        <f t="array" ref="BR55">IF(ISBLANK(B55),"Continue",(IF(IFERROR(_xlfn.XMATCH(B55,LEFT('Reference Records'!$J$191:$J$250,32768),0),0)&lt;&gt;0,"Continue","Invalid module entry. Select from dropdown list.")))</f>
        <v>Continue</v>
      </c>
      <c r="BS55" s="508" t="str">
        <f t="shared" ref="BS55" ca="1" si="537">IF(AND(BP55="Continue",BQ55="Continue"),"Continue",IF(AND(BP55&lt;&gt;"Continue",BQ55="Continue"),BP55,IF(AND(BQ55&lt;&gt;"Continue",BP55="Continue"),BQ55,CONCATENATE(BP55,CHAR(10),BQ55))))</f>
        <v>Continue</v>
      </c>
      <c r="BT55" s="508" t="str">
        <f t="shared" ref="BT55" si="538">IF(AND(C55="",D55=""),"Continue",IF(AND(C55="",D55&lt;&gt;""),"Continue",IF(AND(C55&lt;&gt;"",D55=""),"Continue",IF(AND(C55&lt;&gt;"",D55&lt;&gt;""),"Cannot enter both standard and custom indicators on the same line."))))</f>
        <v>Continue</v>
      </c>
      <c r="BU55" s="508" t="str">
        <f t="shared" ref="BU55" si="539">IF(AND(BR55="Continue",BT55="Continue"),"Continue",IF(AND(BR55&lt;&gt;"Continue",BT55="Continue"),BR55,IF(AND(BT55&lt;&gt;"Continue",BR55="Continue"),BT55,CONCATENATE(BR55,CHAR(10),BT55))))</f>
        <v>Continue</v>
      </c>
      <c r="BV55" s="538" t="b">
        <f>IFERROR(INDEX('Reference Records'!$L$87:$L$189,MATCH($C55,'Reference Records'!$C$87:$C$189,0)),"")</f>
        <v>0</v>
      </c>
      <c r="BW55" s="538">
        <f t="shared" ref="BW55" ca="1" si="540">IF(NOT(ISBLANK(F55)),IF(F55&lt;&gt;"",(IF(NOT(ISNUMBER(F55)),1,0)),0),0)</f>
        <v>0</v>
      </c>
      <c r="BX55" s="538">
        <f t="shared" ref="BX55" si="541">IF(NOT(ISBLANK(O55)),IF(O55&lt;&gt;"",(IF(NOT(ISNUMBER(O55)),1,0)),0),0)</f>
        <v>0</v>
      </c>
      <c r="BY55" s="538">
        <f t="shared" ref="BY55" si="542">IF(NOT(ISBLANK(R55)),IF(R55&lt;&gt;"",(IF(NOT(ISNUMBER(R55)),1,0)),0),0)</f>
        <v>0</v>
      </c>
      <c r="BZ55" s="538">
        <f t="shared" ref="BZ55" si="543">IF(NOT(ISBLANK(U55)),IF(U55&lt;&gt;"",(IF(NOT(ISNUMBER(U55)),1,0)),0),0)</f>
        <v>0</v>
      </c>
      <c r="CA55" s="538">
        <f t="shared" ref="CA55" si="544">IF(NOT(ISBLANK(X55)),IF(X55&lt;&gt;"",(IF(NOT(ISNUMBER(X55)),1,0)),0),0)</f>
        <v>0</v>
      </c>
      <c r="CB55" s="538">
        <f t="shared" ref="CB55" si="545">IF(NOT(ISBLANK(AA55)),IF(AA55&lt;&gt;"",(IF(NOT(ISNUMBER(AA55)),1,0)),0),0)</f>
        <v>0</v>
      </c>
      <c r="CC55" s="538">
        <f t="shared" ref="CC55" si="546">IF(NOT(ISBLANK(AD55)),IF(AD55&lt;&gt;"",(IF(NOT(ISNUMBER(AD55)),1,0)),0),0)</f>
        <v>0</v>
      </c>
      <c r="CD55" s="538">
        <f t="shared" ref="CD55" si="547">IF(NOT(ISBLANK(AG55)),IF(AG55&lt;&gt;"",(IF(NOT(ISNUMBER(AG55)),1,0)),0),0)</f>
        <v>0</v>
      </c>
      <c r="CE55" s="538">
        <f t="shared" ref="CE55" si="548">IF(NOT(ISBLANK(AJ55)),IF(AJ55&lt;&gt;"",(IF(NOT(ISNUMBER(AJ55)),1,0)),0),0)</f>
        <v>0</v>
      </c>
      <c r="CF55" s="538" t="str">
        <f t="shared" ref="CF55" ca="1" si="549">IF(SUM(BW55:CE56)=0, "Continue", "Enter valid number only.")</f>
        <v>Continue</v>
      </c>
      <c r="CG55" s="538" t="str">
        <f t="shared" ref="CG55" ca="1" si="550">IF(AND(CF55="Continue",BD55="Continue"),"Continue",IF(AND(CF55&lt;&gt;"Continue",BD55="Continue"),CF55,IF(AND(BD55&lt;&gt;"Continue",CF55="Continue"),BD55,CONCATENATE(CF55,CHAR(10)))))</f>
        <v>Continue</v>
      </c>
      <c r="CI55" s="314" t="str">
        <f>IFERROR(IF('Overview - Section A'!$AN$5="Funding Request",
IF(AND('Reference Records'!$B$427&lt;&gt;"",$L55 ='Reference Records'!$B$427),'Reference Records'!$C$427,""),
INDEX('Reference Records'!$A$498:$C$499,MATCH($L55,'Reference Records'!$A$498:$A$499,0),3)),"")</f>
        <v>a1A360000013M2uEAE</v>
      </c>
      <c r="CJ55" s="314" t="str">
        <f>IFERROR(INDEX('Overview - Section A'!$H$102:$H$118,MATCH(IF($B55="", "--select--", $B55),'Overview - Section A'!$C$102:$C$118,0)),"")</f>
        <v>a1PDm000000LrDFMA0</v>
      </c>
      <c r="CK55" s="310" t="str" cm="1">
        <f t="array" ref="CK55">IFERROR(IF($C55="", "", VLOOKUP(LEFT($C55,255),LEFT('Reference Records'!$C$88:$G$189,255),5,0)),"")</f>
        <v>a1ODm000000GnzTMAS</v>
      </c>
    </row>
    <row r="56" spans="1:89" ht="30" customHeight="1">
      <c r="A56" s="523"/>
      <c r="B56" s="529"/>
      <c r="C56" s="529"/>
      <c r="D56" s="529"/>
      <c r="E56" s="148">
        <v>306251.70068027201</v>
      </c>
      <c r="F56" s="525"/>
      <c r="G56" s="544"/>
      <c r="H56" s="529"/>
      <c r="I56" s="546"/>
      <c r="J56" s="544"/>
      <c r="K56" s="529"/>
      <c r="L56" s="153" t="s">
        <v>651</v>
      </c>
      <c r="M56" s="548"/>
      <c r="N56" s="148">
        <v>333676</v>
      </c>
      <c r="O56" s="525"/>
      <c r="P56" s="544"/>
      <c r="Q56" s="150">
        <v>333676</v>
      </c>
      <c r="R56" s="525"/>
      <c r="S56" s="544"/>
      <c r="T56" s="150">
        <v>343352</v>
      </c>
      <c r="U56" s="525"/>
      <c r="V56" s="544"/>
      <c r="W56" s="150">
        <v>343352</v>
      </c>
      <c r="X56" s="525"/>
      <c r="Y56" s="544"/>
      <c r="Z56" s="150">
        <v>353310</v>
      </c>
      <c r="AA56" s="525"/>
      <c r="AB56" s="544"/>
      <c r="AC56" s="150">
        <v>353310</v>
      </c>
      <c r="AD56" s="525"/>
      <c r="AE56" s="544"/>
      <c r="AF56" s="150"/>
      <c r="AG56" s="550"/>
      <c r="AH56" s="544"/>
      <c r="AI56" s="150"/>
      <c r="AJ56" s="550"/>
      <c r="AK56" s="544"/>
      <c r="AL56" s="529"/>
      <c r="AM56" s="476"/>
      <c r="AX56" s="152"/>
      <c r="AZ56" s="551"/>
      <c r="BA56" s="559"/>
      <c r="BB56" s="468"/>
      <c r="BC56" s="508"/>
      <c r="BD56" s="508"/>
      <c r="BE56" s="146">
        <f t="shared" si="0"/>
        <v>0</v>
      </c>
      <c r="BF56" s="146">
        <f t="shared" si="1"/>
        <v>0</v>
      </c>
      <c r="BG56" s="146">
        <f t="shared" si="2"/>
        <v>0</v>
      </c>
      <c r="BH56" s="146">
        <f t="shared" si="3"/>
        <v>0</v>
      </c>
      <c r="BI56" s="146">
        <f t="shared" si="4"/>
        <v>0</v>
      </c>
      <c r="BJ56" s="146">
        <f t="shared" si="5"/>
        <v>0</v>
      </c>
      <c r="BK56" s="146">
        <f t="shared" si="6"/>
        <v>0</v>
      </c>
      <c r="BL56" s="146">
        <f t="shared" si="7"/>
        <v>0</v>
      </c>
      <c r="BM56" s="146">
        <f t="shared" si="8"/>
        <v>0</v>
      </c>
      <c r="BN56" s="467"/>
      <c r="BO56" s="467"/>
      <c r="BP56" s="467"/>
      <c r="BQ56" s="467"/>
      <c r="BR56" s="508"/>
      <c r="BS56" s="508"/>
      <c r="BT56" s="508"/>
      <c r="BU56" s="508"/>
      <c r="BV56" s="538"/>
      <c r="BW56" s="538"/>
      <c r="BX56" s="538"/>
      <c r="BY56" s="538"/>
      <c r="BZ56" s="538"/>
      <c r="CA56" s="538"/>
      <c r="CB56" s="538"/>
      <c r="CC56" s="538"/>
      <c r="CD56" s="538"/>
      <c r="CE56" s="538"/>
      <c r="CF56" s="538"/>
      <c r="CG56" s="538"/>
      <c r="CI56" s="314" t="str">
        <f>IFERROR(IF('Overview - Section A'!$AN$5="Funding Request",
IF(AND('Reference Records'!$B$427&lt;&gt;"",$L56 ='Reference Records'!$B$427),'Reference Records'!$C$427,""),
INDEX('Reference Records'!$A$498:$C$499,MATCH($L56,'Reference Records'!$A$498:$A$499,0),3)),"")</f>
        <v/>
      </c>
      <c r="CJ56" s="314" t="str">
        <f>IFERROR(INDEX('Overview - Section A'!$H$102:$H$118,MATCH(IF($B56="", "--select--", $B56),'Overview - Section A'!$C$102:$C$118,0)),"")</f>
        <v/>
      </c>
      <c r="CK56" s="310" t="str" cm="1">
        <f t="array" ref="CK56">IFERROR(IF($C56="", "", VLOOKUP(LEFT($C56,255),LEFT('Reference Records'!$C$88:$G$189,255),5,0)),"")</f>
        <v/>
      </c>
    </row>
    <row r="57" spans="1:89" ht="30" customHeight="1">
      <c r="A57" s="522">
        <v>25</v>
      </c>
      <c r="B57" s="512" t="s">
        <v>1480</v>
      </c>
      <c r="C57" s="512" t="s">
        <v>1185</v>
      </c>
      <c r="D57" s="512"/>
      <c r="E57" s="140">
        <v>9536</v>
      </c>
      <c r="F57" s="516">
        <f ca="1">IF(OR(INDIRECT("'update Helper'!D"&amp;AT57)="",E57&lt;&gt;0,E58&lt;&gt;0),IF(IFERROR((E57/E58),"")="","",(E57/E58)),INDIRECT("'update Helper'!D"&amp;AT57)/100)</f>
        <v>8.9092365102279455E-2</v>
      </c>
      <c r="G57" s="552">
        <v>2021</v>
      </c>
      <c r="H57" s="512" t="s">
        <v>2192</v>
      </c>
      <c r="I57" s="545" t="str">
        <f>AN57</f>
        <v>Gender,Age</v>
      </c>
      <c r="J57" s="552" t="s">
        <v>2212</v>
      </c>
      <c r="K57" s="512" t="s">
        <v>323</v>
      </c>
      <c r="L57" s="141" t="s">
        <v>781</v>
      </c>
      <c r="M57" s="556" t="s">
        <v>650</v>
      </c>
      <c r="N57" s="140">
        <v>14869.010334622501</v>
      </c>
      <c r="O57" s="516">
        <v>0.127499659875</v>
      </c>
      <c r="P57" s="552"/>
      <c r="Q57" s="142">
        <v>14869.010334622501</v>
      </c>
      <c r="R57" s="516">
        <v>0.127499659875</v>
      </c>
      <c r="S57" s="552"/>
      <c r="T57" s="142">
        <v>21930.303342534698</v>
      </c>
      <c r="U57" s="516">
        <v>0.18274948202975533</v>
      </c>
      <c r="V57" s="552"/>
      <c r="W57" s="142">
        <v>21930.303342534698</v>
      </c>
      <c r="X57" s="516">
        <v>0.18274948202975533</v>
      </c>
      <c r="Y57" s="552"/>
      <c r="Z57" s="142">
        <v>29481.25778822455</v>
      </c>
      <c r="AA57" s="516">
        <v>0.23874943544989999</v>
      </c>
      <c r="AB57" s="552"/>
      <c r="AC57" s="142">
        <v>29481.25778822455</v>
      </c>
      <c r="AD57" s="516">
        <v>0.23874943544989999</v>
      </c>
      <c r="AE57" s="552"/>
      <c r="AF57" s="142"/>
      <c r="AG57" s="516"/>
      <c r="AH57" s="552"/>
      <c r="AI57" s="142"/>
      <c r="AJ57" s="516"/>
      <c r="AK57" s="552"/>
      <c r="AL57" s="512" t="s">
        <v>2237</v>
      </c>
      <c r="AM57" s="554" t="str">
        <f>IFERROR(IF(VLOOKUP(B57,'Reference Records'!$C$192:$D$250,2,FALSE)=0,"",VLOOKUP(B57,'Reference Records'!$C$192:$D$250,2,FALSE)),"")</f>
        <v>MCI-01305</v>
      </c>
      <c r="AN57" s="143" t="str">
        <f t="array" ref="AN57">IFERROR(IF(INDEX('Reference Records'!$D$88:$D$189,MATCH(LEFT(C57,255),LEFT('Reference Records'!$C$88:$C$189,255),0))=0,"",INDEX('Reference Records'!$D$88:$D$189,MATCH(LEFT(C57,255),LEFT('Reference Records'!$C$88:$C$189,255),0))),"")</f>
        <v>Gender,Age</v>
      </c>
      <c r="AO57" s="143" t="str">
        <f>CONCATENATE(C57,D57)</f>
        <v>HTS-3d Percentage of people who inject drugs that have received an HIV test during the reporting period in KP-specific programs and know their results</v>
      </c>
      <c r="AP57" s="144" t="str">
        <f t="array" ref="AP57">VLOOKUP(LEFT(C57,255),LEFT('Reference Records'!C$87:G506,255),4,0)</f>
        <v>MCI-01617</v>
      </c>
      <c r="AQ57" s="144" t="e">
        <f>MATCH(AP57,'Reference Records'!$F$512:$F$514,0)+ROW(PopulationByCoverage)-1</f>
        <v>#N/A</v>
      </c>
      <c r="AR57" s="144">
        <f>MATCH(AP57,'Reference Records'!$F$512:$F$514,1)+ROW(PopulationByCoverage)-1</f>
        <v>513</v>
      </c>
      <c r="AS57" s="143" t="str">
        <f>C57&amp;D57</f>
        <v>HTS-3d Percentage of people who inject drugs that have received an HIV test during the reporting period in KP-specific programs and know their results</v>
      </c>
      <c r="AT57" s="143">
        <f t="shared" si="320"/>
        <v>478</v>
      </c>
      <c r="AU57" s="143">
        <f ca="1">AU55+'update Helper'!$T$2</f>
        <v>691.78260869565111</v>
      </c>
      <c r="AV57" s="143" t="str">
        <f t="shared" ref="AV57" si="551">CLEAN(IFERROR(LEFT(AY57, SEARCH(";",AY57,1)-1),""))</f>
        <v>Non cumulative</v>
      </c>
      <c r="AW57" s="143" t="str">
        <f t="shared" ref="AW57" si="552">SUBSTITUTE(IFERROR(MID(AY57, SEARCH(";",AY57) + 1, SEARCH(";",AY57,SEARCH(";",AY57)+1) - SEARCH(";",AY57) - 1),""),CHAR(10),"")</f>
        <v>Non cumulative – other</v>
      </c>
      <c r="AX57" s="145" t="str">
        <f t="shared" ref="AX57" si="553">CLEAN(IFERROR(SUBSTITUTE(RIGHT(AY57,LEN(AY57) - SEARCH(";", AY57, SEARCH(";",AY57) + 1)),";",""),""))</f>
        <v>Non cumulative - special</v>
      </c>
      <c r="AY57" s="143" t="str">
        <f t="array" ref="AY57">IFERROR(IF(VLOOKUP(LEFT(C57,255),LEFT('Reference Records'!$C$1:$K$539,255),9,0)=0,"",CONCATENATE(VLOOKUP(LEFT(C57,255),LEFT('Reference Records'!$C$1:$K$539,255),9,0),";")),"")</f>
        <v>Non cumulative;Non cumulative – other;Non cumulative - special;</v>
      </c>
      <c r="AZ57" s="555" t="str">
        <f>IF($BV57="", "", IF($BV57=TRUE, "Yes", "No"))</f>
        <v>No</v>
      </c>
      <c r="BA57" s="558" t="str">
        <f t="shared" ref="BA57" ca="1" si="554">IF($D57="", "",IF(IF(INDIRECT("'update Helper'!W"&amp;AT57)=0,"",INDIRECT("'update Helper'!W"&amp;AT57))=TRUE, "Yes","No"))</f>
        <v/>
      </c>
      <c r="BB57" s="468" t="str">
        <f t="shared" ref="BB57" ca="1" si="555">IF(AND(BS57="Continue",BU57="Continue"),"No Error",IF(AND(BS57&lt;&gt;"Continue",BU57="Continue"),BS57,IF(AND(BU57&lt;&gt;"Continue",BS57="Continue"),BU57,CONCATENATE(BS57,CHAR(10),BU57))))</f>
        <v>No Error</v>
      </c>
      <c r="BC57" s="508" t="str" cm="1">
        <f t="array" ref="BC57">IF(ISBLANK(C57),"Continue",(IF(IFERROR(_xlfn.XMATCH(C57,LEFT('Reference Records'!$C$87:$C$189,32768),0),0)&lt;&gt;0,"Continue","Invalid indicator entry. Select from dropdown list.")))</f>
        <v>Continue</v>
      </c>
      <c r="BD57" s="508" t="str">
        <f t="shared" ref="BD57" si="556">IF(SUM(BE57:BM58)=0, "Continue", "Enter valid number only.")</f>
        <v>Continue</v>
      </c>
      <c r="BE57" s="146">
        <f t="shared" si="0"/>
        <v>0</v>
      </c>
      <c r="BF57" s="146">
        <f t="shared" si="1"/>
        <v>0</v>
      </c>
      <c r="BG57" s="146">
        <f t="shared" si="2"/>
        <v>0</v>
      </c>
      <c r="BH57" s="146">
        <f t="shared" si="3"/>
        <v>0</v>
      </c>
      <c r="BI57" s="146">
        <f t="shared" si="4"/>
        <v>0</v>
      </c>
      <c r="BJ57" s="146">
        <f t="shared" si="5"/>
        <v>0</v>
      </c>
      <c r="BK57" s="146">
        <f t="shared" si="6"/>
        <v>0</v>
      </c>
      <c r="BL57" s="146">
        <f t="shared" si="7"/>
        <v>0</v>
      </c>
      <c r="BM57" s="146">
        <f t="shared" si="8"/>
        <v>0</v>
      </c>
      <c r="BN57" s="467" t="str">
        <f>IF(NOT(ISBLANK(C57)),IF(C57&lt;&gt;"",IF(_xlfn.XLOOKUP(C57,'Reference Records'!$C$87:$C$189,'Reference Records'!$A$87:$A$189,0,0,1)=AM57,"Continue","Select correct module name."),"Continue"),"Continue")</f>
        <v>Continue</v>
      </c>
      <c r="BO57" s="467" t="str">
        <f t="shared" ref="BO57" ca="1" si="557">IF(AND(BC57="Continue",CG57="Continue"),"Continue",IF(AND(BC57&lt;&gt;"Continue",CG57="Continue"),BC57,IF(AND(CG57&lt;&gt;"Continue",BC57="Continue"),CG57,CONCATENATE(BC57,CHAR(10),CG57))))</f>
        <v>Continue</v>
      </c>
      <c r="BP57" s="467" t="str">
        <f t="shared" ref="BP57" ca="1" si="558">IF(AND((AZ57&lt;&gt;""),(BA57&lt;&gt;"")),"Reversed custom indicator selection not applicable. Value pre-populated in standard indicator column.","Continue")</f>
        <v>Continue</v>
      </c>
      <c r="BQ57" s="467" t="str">
        <f t="shared" ref="BQ57" ca="1" si="559">IF(AND(BN57="Continue",BO57="Continue"),"Continue",
IF(AND(BN57&lt;&gt;"Continue",BO57="Continue"),BN57,
IF(AND(BO57&lt;&gt;"Continue",BN57="Continue"),BO57,
CONCATENATE(BN57,CHAR(10),BO57))))</f>
        <v>Continue</v>
      </c>
      <c r="BR57" s="508" t="str" cm="1">
        <f t="array" ref="BR57">IF(ISBLANK(B57),"Continue",(IF(IFERROR(_xlfn.XMATCH(B57,LEFT('Reference Records'!$J$191:$J$250,32768),0),0)&lt;&gt;0,"Continue","Invalid module entry. Select from dropdown list.")))</f>
        <v>Continue</v>
      </c>
      <c r="BS57" s="508" t="str">
        <f t="shared" ref="BS57" ca="1" si="560">IF(AND(BP57="Continue",BQ57="Continue"),"Continue",IF(AND(BP57&lt;&gt;"Continue",BQ57="Continue"),BP57,IF(AND(BQ57&lt;&gt;"Continue",BP57="Continue"),BQ57,CONCATENATE(BP57,CHAR(10),BQ57))))</f>
        <v>Continue</v>
      </c>
      <c r="BT57" s="508" t="str">
        <f t="shared" ref="BT57" si="561">IF(AND(C57="",D57=""),"Continue",IF(AND(C57="",D57&lt;&gt;""),"Continue",IF(AND(C57&lt;&gt;"",D57=""),"Continue",IF(AND(C57&lt;&gt;"",D57&lt;&gt;""),"Cannot enter both standard and custom indicators on the same line."))))</f>
        <v>Continue</v>
      </c>
      <c r="BU57" s="508" t="str">
        <f t="shared" ref="BU57" si="562">IF(AND(BR57="Continue",BT57="Continue"),"Continue",IF(AND(BR57&lt;&gt;"Continue",BT57="Continue"),BR57,IF(AND(BT57&lt;&gt;"Continue",BR57="Continue"),BT57,CONCATENATE(BR57,CHAR(10),BT57))))</f>
        <v>Continue</v>
      </c>
      <c r="BV57" s="538" t="b">
        <f>IFERROR(INDEX('Reference Records'!$L$87:$L$189,MATCH($C57,'Reference Records'!$C$87:$C$189,0)),"")</f>
        <v>0</v>
      </c>
      <c r="BW57" s="538">
        <f t="shared" ref="BW57" ca="1" si="563">IF(NOT(ISBLANK(F57)),IF(F57&lt;&gt;"",(IF(NOT(ISNUMBER(F57)),1,0)),0),0)</f>
        <v>0</v>
      </c>
      <c r="BX57" s="538">
        <f t="shared" ref="BX57" si="564">IF(NOT(ISBLANK(O57)),IF(O57&lt;&gt;"",(IF(NOT(ISNUMBER(O57)),1,0)),0),0)</f>
        <v>0</v>
      </c>
      <c r="BY57" s="538">
        <f t="shared" ref="BY57" si="565">IF(NOT(ISBLANK(R57)),IF(R57&lt;&gt;"",(IF(NOT(ISNUMBER(R57)),1,0)),0),0)</f>
        <v>0</v>
      </c>
      <c r="BZ57" s="538">
        <f t="shared" ref="BZ57" si="566">IF(NOT(ISBLANK(U57)),IF(U57&lt;&gt;"",(IF(NOT(ISNUMBER(U57)),1,0)),0),0)</f>
        <v>0</v>
      </c>
      <c r="CA57" s="538">
        <f t="shared" ref="CA57" si="567">IF(NOT(ISBLANK(X57)),IF(X57&lt;&gt;"",(IF(NOT(ISNUMBER(X57)),1,0)),0),0)</f>
        <v>0</v>
      </c>
      <c r="CB57" s="538">
        <f t="shared" ref="CB57" si="568">IF(NOT(ISBLANK(AA57)),IF(AA57&lt;&gt;"",(IF(NOT(ISNUMBER(AA57)),1,0)),0),0)</f>
        <v>0</v>
      </c>
      <c r="CC57" s="538">
        <f t="shared" ref="CC57" si="569">IF(NOT(ISBLANK(AD57)),IF(AD57&lt;&gt;"",(IF(NOT(ISNUMBER(AD57)),1,0)),0),0)</f>
        <v>0</v>
      </c>
      <c r="CD57" s="538">
        <f t="shared" ref="CD57" si="570">IF(NOT(ISBLANK(AG57)),IF(AG57&lt;&gt;"",(IF(NOT(ISNUMBER(AG57)),1,0)),0),0)</f>
        <v>0</v>
      </c>
      <c r="CE57" s="538">
        <f t="shared" ref="CE57" si="571">IF(NOT(ISBLANK(AJ57)),IF(AJ57&lt;&gt;"",(IF(NOT(ISNUMBER(AJ57)),1,0)),0),0)</f>
        <v>0</v>
      </c>
      <c r="CF57" s="538" t="str">
        <f t="shared" ref="CF57" ca="1" si="572">IF(SUM(BW57:CE58)=0, "Continue", "Enter valid number only.")</f>
        <v>Continue</v>
      </c>
      <c r="CG57" s="538" t="str">
        <f t="shared" ref="CG57" ca="1" si="573">IF(AND(CF57="Continue",BD57="Continue"),"Continue",IF(AND(CF57&lt;&gt;"Continue",BD57="Continue"),CF57,IF(AND(BD57&lt;&gt;"Continue",CF57="Continue"),BD57,CONCATENATE(CF57,CHAR(10)))))</f>
        <v>Continue</v>
      </c>
      <c r="CI57" s="314" t="str">
        <f>IFERROR(IF('Overview - Section A'!$AN$5="Funding Request",
IF(AND('Reference Records'!$B$427&lt;&gt;"",$L57 ='Reference Records'!$B$427),'Reference Records'!$C$427,""),
INDEX('Reference Records'!$A$498:$C$499,MATCH($L57,'Reference Records'!$A$498:$A$499,0),3)),"")</f>
        <v>a1A360000013M2uEAE</v>
      </c>
      <c r="CJ57" s="314" t="str">
        <f>IFERROR(INDEX('Overview - Section A'!$H$102:$H$118,MATCH(IF($B57="", "--select--", $B57),'Overview - Section A'!$C$102:$C$118,0)),"")</f>
        <v>a1PDm000000LrDFMA0</v>
      </c>
      <c r="CK57" s="310" t="str" cm="1">
        <f t="array" ref="CK57">IFERROR(IF($C57="", "", VLOOKUP(LEFT($C57,255),LEFT('Reference Records'!$C$88:$G$189,255),5,0)),"")</f>
        <v>a1ODm000000GnzUMAS</v>
      </c>
    </row>
    <row r="58" spans="1:89" ht="30" customHeight="1">
      <c r="A58" s="523"/>
      <c r="B58" s="513"/>
      <c r="C58" s="513"/>
      <c r="D58" s="513"/>
      <c r="E58" s="140">
        <v>107034.985422741</v>
      </c>
      <c r="F58" s="517"/>
      <c r="G58" s="553"/>
      <c r="H58" s="513"/>
      <c r="I58" s="546"/>
      <c r="J58" s="553"/>
      <c r="K58" s="513"/>
      <c r="L58" s="147" t="s">
        <v>651</v>
      </c>
      <c r="M58" s="557"/>
      <c r="N58" s="140">
        <v>116620</v>
      </c>
      <c r="O58" s="517"/>
      <c r="P58" s="553"/>
      <c r="Q58" s="142">
        <v>116620</v>
      </c>
      <c r="R58" s="517"/>
      <c r="S58" s="553"/>
      <c r="T58" s="142">
        <v>120002</v>
      </c>
      <c r="U58" s="517"/>
      <c r="V58" s="553"/>
      <c r="W58" s="142">
        <v>120002</v>
      </c>
      <c r="X58" s="517"/>
      <c r="Y58" s="553"/>
      <c r="Z58" s="142">
        <v>123482</v>
      </c>
      <c r="AA58" s="517"/>
      <c r="AB58" s="553"/>
      <c r="AC58" s="142">
        <v>123482</v>
      </c>
      <c r="AD58" s="517"/>
      <c r="AE58" s="553"/>
      <c r="AF58" s="142"/>
      <c r="AG58" s="517"/>
      <c r="AH58" s="553"/>
      <c r="AI58" s="142"/>
      <c r="AJ58" s="517"/>
      <c r="AK58" s="553"/>
      <c r="AL58" s="513"/>
      <c r="AM58" s="554"/>
      <c r="AN58" s="143"/>
      <c r="AO58" s="143"/>
      <c r="AP58" s="143"/>
      <c r="AQ58" s="143"/>
      <c r="AR58" s="143"/>
      <c r="AS58" s="143"/>
      <c r="AT58" s="143"/>
      <c r="AU58" s="143"/>
      <c r="AV58" s="143"/>
      <c r="AW58" s="143"/>
      <c r="AX58" s="145"/>
      <c r="AY58" s="143"/>
      <c r="AZ58" s="555"/>
      <c r="BA58" s="558"/>
      <c r="BB58" s="468"/>
      <c r="BC58" s="508"/>
      <c r="BD58" s="508"/>
      <c r="BE58" s="146">
        <f t="shared" si="0"/>
        <v>0</v>
      </c>
      <c r="BF58" s="146">
        <f t="shared" si="1"/>
        <v>0</v>
      </c>
      <c r="BG58" s="146">
        <f t="shared" si="2"/>
        <v>0</v>
      </c>
      <c r="BH58" s="146">
        <f t="shared" si="3"/>
        <v>0</v>
      </c>
      <c r="BI58" s="146">
        <f t="shared" si="4"/>
        <v>0</v>
      </c>
      <c r="BJ58" s="146">
        <f t="shared" si="5"/>
        <v>0</v>
      </c>
      <c r="BK58" s="146">
        <f t="shared" si="6"/>
        <v>0</v>
      </c>
      <c r="BL58" s="146">
        <f t="shared" si="7"/>
        <v>0</v>
      </c>
      <c r="BM58" s="146">
        <f t="shared" si="8"/>
        <v>0</v>
      </c>
      <c r="BN58" s="467"/>
      <c r="BO58" s="467"/>
      <c r="BP58" s="467"/>
      <c r="BQ58" s="467"/>
      <c r="BR58" s="508"/>
      <c r="BS58" s="508"/>
      <c r="BT58" s="508"/>
      <c r="BU58" s="508"/>
      <c r="BV58" s="538"/>
      <c r="BW58" s="538"/>
      <c r="BX58" s="538"/>
      <c r="BY58" s="538"/>
      <c r="BZ58" s="538"/>
      <c r="CA58" s="538"/>
      <c r="CB58" s="538"/>
      <c r="CC58" s="538"/>
      <c r="CD58" s="538"/>
      <c r="CE58" s="538"/>
      <c r="CF58" s="538"/>
      <c r="CG58" s="538"/>
      <c r="CI58" s="314" t="str">
        <f>IFERROR(IF('Overview - Section A'!$AN$5="Funding Request",
IF(AND('Reference Records'!$B$427&lt;&gt;"",$L58 ='Reference Records'!$B$427),'Reference Records'!$C$427,""),
INDEX('Reference Records'!$A$498:$C$499,MATCH($L58,'Reference Records'!$A$498:$A$499,0),3)),"")</f>
        <v/>
      </c>
      <c r="CJ58" s="314" t="str">
        <f>IFERROR(INDEX('Overview - Section A'!$H$102:$H$118,MATCH(IF($B58="", "--select--", $B58),'Overview - Section A'!$C$102:$C$118,0)),"")</f>
        <v/>
      </c>
      <c r="CK58" s="310" t="str" cm="1">
        <f t="array" ref="CK58">IFERROR(IF($C58="", "", VLOOKUP(LEFT($C58,255),LEFT('Reference Records'!$C$88:$G$189,255),5,0)),"")</f>
        <v/>
      </c>
    </row>
    <row r="59" spans="1:89" ht="30" customHeight="1">
      <c r="A59" s="522">
        <v>26</v>
      </c>
      <c r="B59" s="528" t="s">
        <v>1480</v>
      </c>
      <c r="C59" s="528" t="s">
        <v>1191</v>
      </c>
      <c r="D59" s="528"/>
      <c r="E59" s="148">
        <v>4676</v>
      </c>
      <c r="F59" s="524">
        <f ca="1">IF(OR(INDIRECT("'update Helper'!D"&amp;AT59)="",E59&lt;&gt;0,E60&lt;&gt;0),IF(IFERROR((E59/E60),"")="","",(E59/E60)),INDIRECT("'update Helper'!D"&amp;AT59)/100)</f>
        <v>0.16437958968901692</v>
      </c>
      <c r="G59" s="543">
        <v>2021</v>
      </c>
      <c r="H59" s="528" t="s">
        <v>2232</v>
      </c>
      <c r="I59" s="545" t="str">
        <f>AN59</f>
        <v>Gender</v>
      </c>
      <c r="J59" s="543" t="s">
        <v>2212</v>
      </c>
      <c r="K59" s="528" t="s">
        <v>323</v>
      </c>
      <c r="L59" s="149" t="s">
        <v>781</v>
      </c>
      <c r="M59" s="547" t="s">
        <v>650</v>
      </c>
      <c r="N59" s="148">
        <v>10538</v>
      </c>
      <c r="O59" s="524">
        <v>0.34000512200802169</v>
      </c>
      <c r="P59" s="543"/>
      <c r="Q59" s="150">
        <v>10538</v>
      </c>
      <c r="R59" s="524">
        <v>0.34000512200802169</v>
      </c>
      <c r="S59" s="543"/>
      <c r="T59" s="150">
        <v>12661.5</v>
      </c>
      <c r="U59" s="524">
        <v>0.39700598125093173</v>
      </c>
      <c r="V59" s="543"/>
      <c r="W59" s="150">
        <v>12661.5</v>
      </c>
      <c r="X59" s="524">
        <v>0.39700598125093173</v>
      </c>
      <c r="Y59" s="543"/>
      <c r="Z59" s="150">
        <v>14850</v>
      </c>
      <c r="AA59" s="524">
        <v>0.45250456974999337</v>
      </c>
      <c r="AB59" s="543"/>
      <c r="AC59" s="150">
        <v>14850</v>
      </c>
      <c r="AD59" s="524">
        <v>0.45250456974999337</v>
      </c>
      <c r="AE59" s="543"/>
      <c r="AF59" s="150"/>
      <c r="AG59" s="549"/>
      <c r="AH59" s="543"/>
      <c r="AI59" s="150"/>
      <c r="AJ59" s="549"/>
      <c r="AK59" s="539"/>
      <c r="AL59" s="528" t="s">
        <v>2238</v>
      </c>
      <c r="AM59" s="476" t="str">
        <f>IFERROR(IF(VLOOKUP(B59,'Reference Records'!$C$192:$D$250,2,FALSE)=0,"",VLOOKUP(B59,'Reference Records'!$C$192:$D$250,2,FALSE)),"")</f>
        <v>MCI-01305</v>
      </c>
      <c r="AN59" s="48" t="str">
        <f t="array" ref="AN59">IFERROR(IF(INDEX('Reference Records'!$D$88:$D$189,MATCH(LEFT(C59,255),LEFT('Reference Records'!$C$88:$C$189,255),0))=0,"",INDEX('Reference Records'!$D$88:$D$189,MATCH(LEFT(C59,255),LEFT('Reference Records'!$C$88:$C$189,255),0))),"")</f>
        <v>Gender</v>
      </c>
      <c r="AO59" s="48" t="str">
        <f>CONCATENATE(C59,D59)</f>
        <v>HTS-3f Number of people in prisons and other closed settings that have received an HIV test during the reporting period and know their results</v>
      </c>
      <c r="AP59" s="151" t="str">
        <f t="array" ref="AP59">VLOOKUP(LEFT(C59,255),LEFT('Reference Records'!C$87:G508,255),4,0)</f>
        <v>MCI-01619</v>
      </c>
      <c r="AQ59" s="151" t="e">
        <f>MATCH(AP59,'Reference Records'!$F$512:$F$514,0)+ROW(PopulationByCoverage)-1</f>
        <v>#N/A</v>
      </c>
      <c r="AR59" s="151">
        <f>MATCH(AP59,'Reference Records'!$F$512:$F$514,1)+ROW(PopulationByCoverage)-1</f>
        <v>513</v>
      </c>
      <c r="AS59" s="48" t="str">
        <f>C59&amp;D59</f>
        <v>HTS-3f Number of people in prisons and other closed settings that have received an HIV test during the reporting period and know their results</v>
      </c>
      <c r="AT59" s="48">
        <f t="shared" si="320"/>
        <v>479</v>
      </c>
      <c r="AU59" s="48">
        <f ca="1">AU57+'update Helper'!$T$2</f>
        <v>698.56521739130324</v>
      </c>
      <c r="AV59" s="48" t="str">
        <f t="shared" ref="AV59" si="574">CLEAN(IFERROR(LEFT(AY59, SEARCH(";",AY59,1)-1),""))</f>
        <v>Non cumulative</v>
      </c>
      <c r="AW59" s="48" t="str">
        <f t="shared" ref="AW59" si="575">SUBSTITUTE(IFERROR(MID(AY59, SEARCH(";",AY59) + 1, SEARCH(";",AY59,SEARCH(";",AY59)+1) - SEARCH(";",AY59) - 1),""),CHAR(10),"")</f>
        <v/>
      </c>
      <c r="AX59" s="152" t="str">
        <f t="shared" ref="AX59" si="576">CLEAN(IFERROR(SUBSTITUTE(RIGHT(AY59,LEN(AY59) - SEARCH(";", AY59, SEARCH(";",AY59) + 1)),";",""),""))</f>
        <v/>
      </c>
      <c r="AY59" s="48" t="str">
        <f t="array" ref="AY59">IFERROR(IF(VLOOKUP(LEFT(C59,255),LEFT('Reference Records'!$C$1:$K$539,255),9,0)=0,"",CONCATENATE(VLOOKUP(LEFT(C59,255),LEFT('Reference Records'!$C$1:$K$539,255),9,0),";")),"")</f>
        <v>Non cumulative;</v>
      </c>
      <c r="AZ59" s="551" t="str">
        <f>IF($BV59="", "", IF($BV59=TRUE, "Yes", "No"))</f>
        <v>No</v>
      </c>
      <c r="BA59" s="559" t="str">
        <f t="shared" ref="BA59" ca="1" si="577">IF($D59="", "",IF(IF(INDIRECT("'update Helper'!W"&amp;AT59)=0,"",INDIRECT("'update Helper'!W"&amp;AT59))=TRUE, "Yes","No"))</f>
        <v/>
      </c>
      <c r="BB59" s="468" t="str">
        <f t="shared" ref="BB59" ca="1" si="578">IF(AND(BS59="Continue",BU59="Continue"),"No Error",IF(AND(BS59&lt;&gt;"Continue",BU59="Continue"),BS59,IF(AND(BU59&lt;&gt;"Continue",BS59="Continue"),BU59,CONCATENATE(BS59,CHAR(10),BU59))))</f>
        <v>No Error</v>
      </c>
      <c r="BC59" s="508" t="str" cm="1">
        <f t="array" ref="BC59">IF(ISBLANK(C59),"Continue",(IF(IFERROR(_xlfn.XMATCH(C59,LEFT('Reference Records'!$C$87:$C$189,32768),0),0)&lt;&gt;0,"Continue","Invalid indicator entry. Select from dropdown list.")))</f>
        <v>Continue</v>
      </c>
      <c r="BD59" s="508" t="str">
        <f t="shared" ref="BD59" si="579">IF(SUM(BE59:BM60)=0, "Continue", "Enter valid number only.")</f>
        <v>Continue</v>
      </c>
      <c r="BE59" s="146">
        <f t="shared" si="0"/>
        <v>0</v>
      </c>
      <c r="BF59" s="146">
        <f t="shared" si="1"/>
        <v>0</v>
      </c>
      <c r="BG59" s="146">
        <f t="shared" si="2"/>
        <v>0</v>
      </c>
      <c r="BH59" s="146">
        <f t="shared" si="3"/>
        <v>0</v>
      </c>
      <c r="BI59" s="146">
        <f t="shared" si="4"/>
        <v>0</v>
      </c>
      <c r="BJ59" s="146">
        <f t="shared" si="5"/>
        <v>0</v>
      </c>
      <c r="BK59" s="146">
        <f t="shared" si="6"/>
        <v>0</v>
      </c>
      <c r="BL59" s="146">
        <f t="shared" si="7"/>
        <v>0</v>
      </c>
      <c r="BM59" s="146">
        <f t="shared" si="8"/>
        <v>0</v>
      </c>
      <c r="BN59" s="467" t="str">
        <f>IF(NOT(ISBLANK(C59)),IF(C59&lt;&gt;"",IF(_xlfn.XLOOKUP(C59,'Reference Records'!$C$87:$C$189,'Reference Records'!$A$87:$A$189,0,0,1)=AM59,"Continue","Select correct module name."),"Continue"),"Continue")</f>
        <v>Continue</v>
      </c>
      <c r="BO59" s="467" t="str">
        <f t="shared" ref="BO59" ca="1" si="580">IF(AND(BC59="Continue",CG59="Continue"),"Continue",IF(AND(BC59&lt;&gt;"Continue",CG59="Continue"),BC59,IF(AND(CG59&lt;&gt;"Continue",BC59="Continue"),CG59,CONCATENATE(BC59,CHAR(10),CG59))))</f>
        <v>Continue</v>
      </c>
      <c r="BP59" s="467" t="str">
        <f t="shared" ref="BP59" ca="1" si="581">IF(AND((AZ59&lt;&gt;""),(BA59&lt;&gt;"")),"Reversed custom indicator selection not applicable. Value pre-populated in standard indicator column.","Continue")</f>
        <v>Continue</v>
      </c>
      <c r="BQ59" s="467" t="str">
        <f t="shared" ref="BQ59" ca="1" si="582">IF(AND(BN59="Continue",BO59="Continue"),"Continue",
IF(AND(BN59&lt;&gt;"Continue",BO59="Continue"),BN59,
IF(AND(BO59&lt;&gt;"Continue",BN59="Continue"),BO59,
CONCATENATE(BN59,CHAR(10),BO59))))</f>
        <v>Continue</v>
      </c>
      <c r="BR59" s="508" t="str" cm="1">
        <f t="array" ref="BR59">IF(ISBLANK(B59),"Continue",(IF(IFERROR(_xlfn.XMATCH(B59,LEFT('Reference Records'!$J$191:$J$250,32768),0),0)&lt;&gt;0,"Continue","Invalid module entry. Select from dropdown list.")))</f>
        <v>Continue</v>
      </c>
      <c r="BS59" s="508" t="str">
        <f t="shared" ref="BS59" ca="1" si="583">IF(AND(BP59="Continue",BQ59="Continue"),"Continue",IF(AND(BP59&lt;&gt;"Continue",BQ59="Continue"),BP59,IF(AND(BQ59&lt;&gt;"Continue",BP59="Continue"),BQ59,CONCATENATE(BP59,CHAR(10),BQ59))))</f>
        <v>Continue</v>
      </c>
      <c r="BT59" s="508" t="str">
        <f t="shared" ref="BT59" si="584">IF(AND(C59="",D59=""),"Continue",IF(AND(C59="",D59&lt;&gt;""),"Continue",IF(AND(C59&lt;&gt;"",D59=""),"Continue",IF(AND(C59&lt;&gt;"",D59&lt;&gt;""),"Cannot enter both standard and custom indicators on the same line."))))</f>
        <v>Continue</v>
      </c>
      <c r="BU59" s="508" t="str">
        <f t="shared" ref="BU59" si="585">IF(AND(BR59="Continue",BT59="Continue"),"Continue",IF(AND(BR59&lt;&gt;"Continue",BT59="Continue"),BR59,IF(AND(BT59&lt;&gt;"Continue",BR59="Continue"),BT59,CONCATENATE(BR59,CHAR(10),BT59))))</f>
        <v>Continue</v>
      </c>
      <c r="BV59" s="538" t="b">
        <f>IFERROR(INDEX('Reference Records'!$L$87:$L$189,MATCH($C59,'Reference Records'!$C$87:$C$189,0)),"")</f>
        <v>0</v>
      </c>
      <c r="BW59" s="538">
        <f t="shared" ref="BW59" ca="1" si="586">IF(NOT(ISBLANK(F59)),IF(F59&lt;&gt;"",(IF(NOT(ISNUMBER(F59)),1,0)),0),0)</f>
        <v>0</v>
      </c>
      <c r="BX59" s="538">
        <f t="shared" ref="BX59" si="587">IF(NOT(ISBLANK(O59)),IF(O59&lt;&gt;"",(IF(NOT(ISNUMBER(O59)),1,0)),0),0)</f>
        <v>0</v>
      </c>
      <c r="BY59" s="538">
        <f t="shared" ref="BY59" si="588">IF(NOT(ISBLANK(R59)),IF(R59&lt;&gt;"",(IF(NOT(ISNUMBER(R59)),1,0)),0),0)</f>
        <v>0</v>
      </c>
      <c r="BZ59" s="538">
        <f t="shared" ref="BZ59" si="589">IF(NOT(ISBLANK(U59)),IF(U59&lt;&gt;"",(IF(NOT(ISNUMBER(U59)),1,0)),0),0)</f>
        <v>0</v>
      </c>
      <c r="CA59" s="538">
        <f t="shared" ref="CA59" si="590">IF(NOT(ISBLANK(X59)),IF(X59&lt;&gt;"",(IF(NOT(ISNUMBER(X59)),1,0)),0),0)</f>
        <v>0</v>
      </c>
      <c r="CB59" s="538">
        <f t="shared" ref="CB59" si="591">IF(NOT(ISBLANK(AA59)),IF(AA59&lt;&gt;"",(IF(NOT(ISNUMBER(AA59)),1,0)),0),0)</f>
        <v>0</v>
      </c>
      <c r="CC59" s="538">
        <f t="shared" ref="CC59" si="592">IF(NOT(ISBLANK(AD59)),IF(AD59&lt;&gt;"",(IF(NOT(ISNUMBER(AD59)),1,0)),0),0)</f>
        <v>0</v>
      </c>
      <c r="CD59" s="538">
        <f t="shared" ref="CD59" si="593">IF(NOT(ISBLANK(AG59)),IF(AG59&lt;&gt;"",(IF(NOT(ISNUMBER(AG59)),1,0)),0),0)</f>
        <v>0</v>
      </c>
      <c r="CE59" s="538">
        <f t="shared" ref="CE59" si="594">IF(NOT(ISBLANK(AJ59)),IF(AJ59&lt;&gt;"",(IF(NOT(ISNUMBER(AJ59)),1,0)),0),0)</f>
        <v>0</v>
      </c>
      <c r="CF59" s="538" t="str">
        <f t="shared" ref="CF59" ca="1" si="595">IF(SUM(BW59:CE60)=0, "Continue", "Enter valid number only.")</f>
        <v>Continue</v>
      </c>
      <c r="CG59" s="538" t="str">
        <f t="shared" ref="CG59" ca="1" si="596">IF(AND(CF59="Continue",BD59="Continue"),"Continue",IF(AND(CF59&lt;&gt;"Continue",BD59="Continue"),CF59,IF(AND(BD59&lt;&gt;"Continue",CF59="Continue"),BD59,CONCATENATE(CF59,CHAR(10)))))</f>
        <v>Continue</v>
      </c>
      <c r="CI59" s="314" t="str">
        <f>IFERROR(IF('Overview - Section A'!$AN$5="Funding Request",
IF(AND('Reference Records'!$B$427&lt;&gt;"",$L59 ='Reference Records'!$B$427),'Reference Records'!$C$427,""),
INDEX('Reference Records'!$A$498:$C$499,MATCH($L59,'Reference Records'!$A$498:$A$499,0),3)),"")</f>
        <v>a1A360000013M2uEAE</v>
      </c>
      <c r="CJ59" s="314" t="str">
        <f>IFERROR(INDEX('Overview - Section A'!$H$102:$H$118,MATCH(IF($B59="", "--select--", $B59),'Overview - Section A'!$C$102:$C$118,0)),"")</f>
        <v>a1PDm000000LrDFMA0</v>
      </c>
      <c r="CK59" s="310" t="str" cm="1">
        <f t="array" ref="CK59">IFERROR(IF($C59="", "", VLOOKUP(LEFT($C59,255),LEFT('Reference Records'!$C$88:$G$189,255),5,0)),"")</f>
        <v>a1ODm000000GnzWMAS</v>
      </c>
    </row>
    <row r="60" spans="1:89" ht="30" customHeight="1">
      <c r="A60" s="523"/>
      <c r="B60" s="529"/>
      <c r="C60" s="529"/>
      <c r="D60" s="529"/>
      <c r="E60" s="148">
        <v>28446.354008099999</v>
      </c>
      <c r="F60" s="525"/>
      <c r="G60" s="544"/>
      <c r="H60" s="529"/>
      <c r="I60" s="546"/>
      <c r="J60" s="544"/>
      <c r="K60" s="529"/>
      <c r="L60" s="153" t="s">
        <v>651</v>
      </c>
      <c r="M60" s="548"/>
      <c r="N60" s="148">
        <v>30993.650736095024</v>
      </c>
      <c r="O60" s="525"/>
      <c r="P60" s="544"/>
      <c r="Q60" s="150">
        <v>30993.650736095024</v>
      </c>
      <c r="R60" s="525"/>
      <c r="S60" s="544"/>
      <c r="T60" s="150">
        <v>31892.466607441787</v>
      </c>
      <c r="U60" s="525"/>
      <c r="V60" s="544"/>
      <c r="W60" s="150">
        <v>31892.466607441787</v>
      </c>
      <c r="X60" s="525"/>
      <c r="Y60" s="544"/>
      <c r="Z60" s="150">
        <v>32817.348139057591</v>
      </c>
      <c r="AA60" s="525"/>
      <c r="AB60" s="544"/>
      <c r="AC60" s="150">
        <v>32817.348139057591</v>
      </c>
      <c r="AD60" s="525"/>
      <c r="AE60" s="544"/>
      <c r="AF60" s="150"/>
      <c r="AG60" s="550"/>
      <c r="AH60" s="544"/>
      <c r="AI60" s="150"/>
      <c r="AJ60" s="550"/>
      <c r="AK60" s="540"/>
      <c r="AL60" s="529"/>
      <c r="AM60" s="476"/>
      <c r="AX60" s="152"/>
      <c r="AZ60" s="551"/>
      <c r="BA60" s="559"/>
      <c r="BB60" s="468"/>
      <c r="BC60" s="508"/>
      <c r="BD60" s="508"/>
      <c r="BE60" s="146">
        <f t="shared" si="0"/>
        <v>0</v>
      </c>
      <c r="BF60" s="146">
        <f t="shared" si="1"/>
        <v>0</v>
      </c>
      <c r="BG60" s="146">
        <f t="shared" si="2"/>
        <v>0</v>
      </c>
      <c r="BH60" s="146">
        <f t="shared" si="3"/>
        <v>0</v>
      </c>
      <c r="BI60" s="146">
        <f t="shared" si="4"/>
        <v>0</v>
      </c>
      <c r="BJ60" s="146">
        <f t="shared" si="5"/>
        <v>0</v>
      </c>
      <c r="BK60" s="146">
        <f t="shared" si="6"/>
        <v>0</v>
      </c>
      <c r="BL60" s="146">
        <f t="shared" si="7"/>
        <v>0</v>
      </c>
      <c r="BM60" s="146">
        <f t="shared" si="8"/>
        <v>0</v>
      </c>
      <c r="BN60" s="467"/>
      <c r="BO60" s="467"/>
      <c r="BP60" s="467"/>
      <c r="BQ60" s="467"/>
      <c r="BR60" s="508"/>
      <c r="BS60" s="508"/>
      <c r="BT60" s="508"/>
      <c r="BU60" s="508"/>
      <c r="BV60" s="538"/>
      <c r="BW60" s="538"/>
      <c r="BX60" s="538"/>
      <c r="BY60" s="538"/>
      <c r="BZ60" s="538"/>
      <c r="CA60" s="538"/>
      <c r="CB60" s="538"/>
      <c r="CC60" s="538"/>
      <c r="CD60" s="538"/>
      <c r="CE60" s="538"/>
      <c r="CF60" s="538"/>
      <c r="CG60" s="538"/>
      <c r="CI60" s="314" t="str">
        <f>IFERROR(IF('Overview - Section A'!$AN$5="Funding Request",
IF(AND('Reference Records'!$B$427&lt;&gt;"",$L60 ='Reference Records'!$B$427),'Reference Records'!$C$427,""),
INDEX('Reference Records'!$A$498:$C$499,MATCH($L60,'Reference Records'!$A$498:$A$499,0),3)),"")</f>
        <v/>
      </c>
      <c r="CJ60" s="314" t="str">
        <f>IFERROR(INDEX('Overview - Section A'!$H$102:$H$118,MATCH(IF($B60="", "--select--", $B60),'Overview - Section A'!$C$102:$C$118,0)),"")</f>
        <v/>
      </c>
      <c r="CK60" s="310" t="str" cm="1">
        <f t="array" ref="CK60">IFERROR(IF($C60="", "", VLOOKUP(LEFT($C60,255),LEFT('Reference Records'!$C$88:$G$189,255),5,0)),"")</f>
        <v/>
      </c>
    </row>
    <row r="61" spans="1:89" ht="30" customHeight="1">
      <c r="A61" s="522">
        <v>27</v>
      </c>
      <c r="B61" s="512" t="s">
        <v>1480</v>
      </c>
      <c r="C61" s="512" t="s">
        <v>1198</v>
      </c>
      <c r="D61" s="512"/>
      <c r="E61" s="140"/>
      <c r="F61" s="516" t="str">
        <f ca="1">IF(OR(INDIRECT("'update Helper'!D"&amp;AT61)="",E61&lt;&gt;0,E62&lt;&gt;0),IF(IFERROR((E61/E62),"")="","",(E61/E62)),INDIRECT("'update Helper'!D"&amp;AT61)/100)</f>
        <v/>
      </c>
      <c r="G61" s="552"/>
      <c r="H61" s="512" t="s">
        <v>2195</v>
      </c>
      <c r="I61" s="545" t="str">
        <f>AN61</f>
        <v/>
      </c>
      <c r="J61" s="552" t="s">
        <v>2212</v>
      </c>
      <c r="K61" s="512" t="s">
        <v>323</v>
      </c>
      <c r="L61" s="141" t="s">
        <v>781</v>
      </c>
      <c r="M61" s="556" t="s">
        <v>650</v>
      </c>
      <c r="N61" s="140">
        <v>24537</v>
      </c>
      <c r="O61" s="516" t="s">
        <v>2213</v>
      </c>
      <c r="P61" s="552"/>
      <c r="Q61" s="142">
        <v>24537</v>
      </c>
      <c r="R61" s="516" t="s">
        <v>2213</v>
      </c>
      <c r="S61" s="552"/>
      <c r="T61" s="142">
        <v>30677</v>
      </c>
      <c r="U61" s="516" t="s">
        <v>2213</v>
      </c>
      <c r="V61" s="552"/>
      <c r="W61" s="142">
        <v>30677</v>
      </c>
      <c r="X61" s="516" t="s">
        <v>2213</v>
      </c>
      <c r="Y61" s="552"/>
      <c r="Z61" s="142">
        <v>37326</v>
      </c>
      <c r="AA61" s="516" t="s">
        <v>2213</v>
      </c>
      <c r="AB61" s="552"/>
      <c r="AC61" s="142">
        <v>37326</v>
      </c>
      <c r="AD61" s="516" t="s">
        <v>2213</v>
      </c>
      <c r="AE61" s="552"/>
      <c r="AF61" s="142"/>
      <c r="AG61" s="516"/>
      <c r="AH61" s="552"/>
      <c r="AI61" s="142"/>
      <c r="AJ61" s="516"/>
      <c r="AK61" s="552"/>
      <c r="AL61" s="512" t="s">
        <v>2239</v>
      </c>
      <c r="AM61" s="554" t="str">
        <f>IFERROR(IF(VLOOKUP(B61,'Reference Records'!$C$192:$D$250,2,FALSE)=0,"",VLOOKUP(B61,'Reference Records'!$C$192:$D$250,2,FALSE)),"")</f>
        <v>MCI-01305</v>
      </c>
      <c r="AN61" s="143" t="str">
        <f t="array" ref="AN61">IFERROR(IF(INDEX('Reference Records'!$D$88:$D$189,MATCH(LEFT(C61,255),LEFT('Reference Records'!$C$88:$C$189,255),0))=0,"",INDEX('Reference Records'!$D$88:$D$189,MATCH(LEFT(C61,255),LEFT('Reference Records'!$C$88:$C$189,255),0))),"")</f>
        <v/>
      </c>
      <c r="AO61" s="143" t="str">
        <f>CONCATENATE(C61,D61)</f>
        <v>HTS-6 Number of individual HIV self-test kits distributed</v>
      </c>
      <c r="AP61" s="144" t="str">
        <f t="array" ref="AP61">VLOOKUP(LEFT(C61,255),LEFT('Reference Records'!C$87:G510,255),4,0)</f>
        <v>MCI-01622</v>
      </c>
      <c r="AQ61" s="144" t="e">
        <f>MATCH(AP61,'Reference Records'!$F$512:$F$514,0)+ROW(PopulationByCoverage)-1</f>
        <v>#N/A</v>
      </c>
      <c r="AR61" s="144">
        <f>MATCH(AP61,'Reference Records'!$F$512:$F$514,1)+ROW(PopulationByCoverage)-1</f>
        <v>513</v>
      </c>
      <c r="AS61" s="143" t="str">
        <f>C61&amp;D61</f>
        <v>HTS-6 Number of individual HIV self-test kits distributed</v>
      </c>
      <c r="AT61" s="143">
        <f t="shared" si="320"/>
        <v>480</v>
      </c>
      <c r="AU61" s="143">
        <f ca="1">AU59+'update Helper'!$T$2</f>
        <v>705.34782608695537</v>
      </c>
      <c r="AV61" s="143" t="str">
        <f t="shared" ref="AV61" si="597">CLEAN(IFERROR(LEFT(AY61, SEARCH(";",AY61,1)-1),""))</f>
        <v>Non cumulative</v>
      </c>
      <c r="AW61" s="143" t="str">
        <f t="shared" ref="AW61" si="598">SUBSTITUTE(IFERROR(MID(AY61, SEARCH(";",AY61) + 1, SEARCH(";",AY61,SEARCH(";",AY61)+1) - SEARCH(";",AY61) - 1),""),CHAR(10),"")</f>
        <v/>
      </c>
      <c r="AX61" s="145" t="str">
        <f t="shared" ref="AX61" si="599">CLEAN(IFERROR(SUBSTITUTE(RIGHT(AY61,LEN(AY61) - SEARCH(";", AY61, SEARCH(";",AY61) + 1)),";",""),""))</f>
        <v/>
      </c>
      <c r="AY61" s="143" t="str">
        <f t="array" ref="AY61">IFERROR(IF(VLOOKUP(LEFT(C61,255),LEFT('Reference Records'!$C$1:$K$539,255),9,0)=0,"",CONCATENATE(VLOOKUP(LEFT(C61,255),LEFT('Reference Records'!$C$1:$K$539,255),9,0),";")),"")</f>
        <v>Non cumulative;</v>
      </c>
      <c r="AZ61" s="555" t="str">
        <f>IF($BV61="", "", IF($BV61=TRUE, "Yes", "No"))</f>
        <v>No</v>
      </c>
      <c r="BA61" s="558" t="str">
        <f t="shared" ref="BA61" ca="1" si="600">IF($D61="", "",IF(IF(INDIRECT("'update Helper'!W"&amp;AT61)=0,"",INDIRECT("'update Helper'!W"&amp;AT61))=TRUE, "Yes","No"))</f>
        <v/>
      </c>
      <c r="BB61" s="468" t="str">
        <f t="shared" ref="BB61" ca="1" si="601">IF(AND(BS61="Continue",BU61="Continue"),"No Error",IF(AND(BS61&lt;&gt;"Continue",BU61="Continue"),BS61,IF(AND(BU61&lt;&gt;"Continue",BS61="Continue"),BU61,CONCATENATE(BS61,CHAR(10),BU61))))</f>
        <v>No Error</v>
      </c>
      <c r="BC61" s="508" t="str" cm="1">
        <f t="array" ref="BC61">IF(ISBLANK(C61),"Continue",(IF(IFERROR(_xlfn.XMATCH(C61,LEFT('Reference Records'!$C$87:$C$189,32768),0),0)&lt;&gt;0,"Continue","Invalid indicator entry. Select from dropdown list.")))</f>
        <v>Continue</v>
      </c>
      <c r="BD61" s="508" t="str">
        <f t="shared" ref="BD61" si="602">IF(SUM(BE61:BM62)=0, "Continue", "Enter valid number only.")</f>
        <v>Continue</v>
      </c>
      <c r="BE61" s="146">
        <f t="shared" si="0"/>
        <v>0</v>
      </c>
      <c r="BF61" s="146">
        <f t="shared" si="1"/>
        <v>0</v>
      </c>
      <c r="BG61" s="146">
        <f t="shared" si="2"/>
        <v>0</v>
      </c>
      <c r="BH61" s="146">
        <f t="shared" si="3"/>
        <v>0</v>
      </c>
      <c r="BI61" s="146">
        <f t="shared" si="4"/>
        <v>0</v>
      </c>
      <c r="BJ61" s="146">
        <f t="shared" si="5"/>
        <v>0</v>
      </c>
      <c r="BK61" s="146">
        <f t="shared" si="6"/>
        <v>0</v>
      </c>
      <c r="BL61" s="146">
        <f t="shared" si="7"/>
        <v>0</v>
      </c>
      <c r="BM61" s="146">
        <f t="shared" si="8"/>
        <v>0</v>
      </c>
      <c r="BN61" s="467" t="str">
        <f>IF(NOT(ISBLANK(C61)),IF(C61&lt;&gt;"",IF(_xlfn.XLOOKUP(C61,'Reference Records'!$C$87:$C$189,'Reference Records'!$A$87:$A$189,0,0,1)=AM61,"Continue","Select correct module name."),"Continue"),"Continue")</f>
        <v>Continue</v>
      </c>
      <c r="BO61" s="467" t="str">
        <f t="shared" ref="BO61" ca="1" si="603">IF(AND(BC61="Continue",CG61="Continue"),"Continue",IF(AND(BC61&lt;&gt;"Continue",CG61="Continue"),BC61,IF(AND(CG61&lt;&gt;"Continue",BC61="Continue"),CG61,CONCATENATE(BC61,CHAR(10),CG61))))</f>
        <v>Continue</v>
      </c>
      <c r="BP61" s="467" t="str">
        <f t="shared" ref="BP61" ca="1" si="604">IF(AND((AZ61&lt;&gt;""),(BA61&lt;&gt;"")),"Reversed custom indicator selection not applicable. Value pre-populated in standard indicator column.","Continue")</f>
        <v>Continue</v>
      </c>
      <c r="BQ61" s="467" t="str">
        <f t="shared" ref="BQ61" ca="1" si="605">IF(AND(BN61="Continue",BO61="Continue"),"Continue",
IF(AND(BN61&lt;&gt;"Continue",BO61="Continue"),BN61,
IF(AND(BO61&lt;&gt;"Continue",BN61="Continue"),BO61,
CONCATENATE(BN61,CHAR(10),BO61))))</f>
        <v>Continue</v>
      </c>
      <c r="BR61" s="508" t="str" cm="1">
        <f t="array" ref="BR61">IF(ISBLANK(B61),"Continue",(IF(IFERROR(_xlfn.XMATCH(B61,LEFT('Reference Records'!$J$191:$J$250,32768),0),0)&lt;&gt;0,"Continue","Invalid module entry. Select from dropdown list.")))</f>
        <v>Continue</v>
      </c>
      <c r="BS61" s="508" t="str">
        <f t="shared" ref="BS61" ca="1" si="606">IF(AND(BP61="Continue",BQ61="Continue"),"Continue",IF(AND(BP61&lt;&gt;"Continue",BQ61="Continue"),BP61,IF(AND(BQ61&lt;&gt;"Continue",BP61="Continue"),BQ61,CONCATENATE(BP61,CHAR(10),BQ61))))</f>
        <v>Continue</v>
      </c>
      <c r="BT61" s="508" t="str">
        <f t="shared" ref="BT61" si="607">IF(AND(C61="",D61=""),"Continue",IF(AND(C61="",D61&lt;&gt;""),"Continue",IF(AND(C61&lt;&gt;"",D61=""),"Continue",IF(AND(C61&lt;&gt;"",D61&lt;&gt;""),"Cannot enter both standard and custom indicators on the same line."))))</f>
        <v>Continue</v>
      </c>
      <c r="BU61" s="508" t="str">
        <f t="shared" ref="BU61" si="608">IF(AND(BR61="Continue",BT61="Continue"),"Continue",IF(AND(BR61&lt;&gt;"Continue",BT61="Continue"),BR61,IF(AND(BT61&lt;&gt;"Continue",BR61="Continue"),BT61,CONCATENATE(BR61,CHAR(10),BT61))))</f>
        <v>Continue</v>
      </c>
      <c r="BV61" s="538" t="b">
        <f>IFERROR(INDEX('Reference Records'!$L$87:$L$189,MATCH($C61,'Reference Records'!$C$87:$C$189,0)),"")</f>
        <v>0</v>
      </c>
      <c r="BW61" s="538">
        <f t="shared" ref="BW61" ca="1" si="609">IF(NOT(ISBLANK(F61)),IF(F61&lt;&gt;"",(IF(NOT(ISNUMBER(F61)),1,0)),0),0)</f>
        <v>0</v>
      </c>
      <c r="BX61" s="538">
        <f t="shared" ref="BX61" si="610">IF(NOT(ISBLANK(O61)),IF(O61&lt;&gt;"",(IF(NOT(ISNUMBER(O61)),1,0)),0),0)</f>
        <v>0</v>
      </c>
      <c r="BY61" s="538">
        <f t="shared" ref="BY61" si="611">IF(NOT(ISBLANK(R61)),IF(R61&lt;&gt;"",(IF(NOT(ISNUMBER(R61)),1,0)),0),0)</f>
        <v>0</v>
      </c>
      <c r="BZ61" s="538">
        <f t="shared" ref="BZ61" si="612">IF(NOT(ISBLANK(U61)),IF(U61&lt;&gt;"",(IF(NOT(ISNUMBER(U61)),1,0)),0),0)</f>
        <v>0</v>
      </c>
      <c r="CA61" s="538">
        <f t="shared" ref="CA61" si="613">IF(NOT(ISBLANK(X61)),IF(X61&lt;&gt;"",(IF(NOT(ISNUMBER(X61)),1,0)),0),0)</f>
        <v>0</v>
      </c>
      <c r="CB61" s="538">
        <f t="shared" ref="CB61" si="614">IF(NOT(ISBLANK(AA61)),IF(AA61&lt;&gt;"",(IF(NOT(ISNUMBER(AA61)),1,0)),0),0)</f>
        <v>0</v>
      </c>
      <c r="CC61" s="538">
        <f t="shared" ref="CC61" si="615">IF(NOT(ISBLANK(AD61)),IF(AD61&lt;&gt;"",(IF(NOT(ISNUMBER(AD61)),1,0)),0),0)</f>
        <v>0</v>
      </c>
      <c r="CD61" s="538">
        <f t="shared" ref="CD61" si="616">IF(NOT(ISBLANK(AG61)),IF(AG61&lt;&gt;"",(IF(NOT(ISNUMBER(AG61)),1,0)),0),0)</f>
        <v>0</v>
      </c>
      <c r="CE61" s="538">
        <f t="shared" ref="CE61" si="617">IF(NOT(ISBLANK(AJ61)),IF(AJ61&lt;&gt;"",(IF(NOT(ISNUMBER(AJ61)),1,0)),0),0)</f>
        <v>0</v>
      </c>
      <c r="CF61" s="538" t="str">
        <f t="shared" ref="CF61" ca="1" si="618">IF(SUM(BW61:CE62)=0, "Continue", "Enter valid number only.")</f>
        <v>Continue</v>
      </c>
      <c r="CG61" s="538" t="str">
        <f t="shared" ref="CG61" ca="1" si="619">IF(AND(CF61="Continue",BD61="Continue"),"Continue",IF(AND(CF61&lt;&gt;"Continue",BD61="Continue"),CF61,IF(AND(BD61&lt;&gt;"Continue",CF61="Continue"),BD61,CONCATENATE(CF61,CHAR(10)))))</f>
        <v>Continue</v>
      </c>
      <c r="CI61" s="314" t="str">
        <f>IFERROR(IF('Overview - Section A'!$AN$5="Funding Request",
IF(AND('Reference Records'!$B$427&lt;&gt;"",$L61 ='Reference Records'!$B$427),'Reference Records'!$C$427,""),
INDEX('Reference Records'!$A$498:$C$499,MATCH($L61,'Reference Records'!$A$498:$A$499,0),3)),"")</f>
        <v>a1A360000013M2uEAE</v>
      </c>
      <c r="CJ61" s="314" t="str">
        <f>IFERROR(INDEX('Overview - Section A'!$H$102:$H$118,MATCH(IF($B61="", "--select--", $B61),'Overview - Section A'!$C$102:$C$118,0)),"")</f>
        <v>a1PDm000000LrDFMA0</v>
      </c>
      <c r="CK61" s="310" t="str" cm="1">
        <f t="array" ref="CK61">IFERROR(IF($C61="", "", VLOOKUP(LEFT($C61,255),LEFT('Reference Records'!$C$88:$G$189,255),5,0)),"")</f>
        <v>a1ODm000000GnzZMAS</v>
      </c>
    </row>
    <row r="62" spans="1:89" ht="30" customHeight="1">
      <c r="A62" s="523"/>
      <c r="B62" s="513"/>
      <c r="C62" s="513"/>
      <c r="D62" s="513"/>
      <c r="E62" s="140"/>
      <c r="F62" s="517"/>
      <c r="G62" s="553"/>
      <c r="H62" s="513"/>
      <c r="I62" s="546"/>
      <c r="J62" s="553"/>
      <c r="K62" s="513"/>
      <c r="L62" s="147" t="s">
        <v>651</v>
      </c>
      <c r="M62" s="557"/>
      <c r="N62" s="140"/>
      <c r="O62" s="517"/>
      <c r="P62" s="553"/>
      <c r="Q62" s="142"/>
      <c r="R62" s="517"/>
      <c r="S62" s="553"/>
      <c r="T62" s="142"/>
      <c r="U62" s="517"/>
      <c r="V62" s="553"/>
      <c r="W62" s="142"/>
      <c r="X62" s="517"/>
      <c r="Y62" s="553"/>
      <c r="Z62" s="142"/>
      <c r="AA62" s="517"/>
      <c r="AB62" s="553"/>
      <c r="AC62" s="142"/>
      <c r="AD62" s="517"/>
      <c r="AE62" s="553"/>
      <c r="AF62" s="142"/>
      <c r="AG62" s="517"/>
      <c r="AH62" s="553"/>
      <c r="AI62" s="142"/>
      <c r="AJ62" s="517"/>
      <c r="AK62" s="553"/>
      <c r="AL62" s="513"/>
      <c r="AM62" s="554"/>
      <c r="AN62" s="143"/>
      <c r="AO62" s="143"/>
      <c r="AP62" s="143"/>
      <c r="AQ62" s="143"/>
      <c r="AR62" s="143"/>
      <c r="AS62" s="143"/>
      <c r="AT62" s="143"/>
      <c r="AU62" s="143"/>
      <c r="AV62" s="143"/>
      <c r="AW62" s="143"/>
      <c r="AX62" s="145"/>
      <c r="AY62" s="143"/>
      <c r="AZ62" s="555"/>
      <c r="BA62" s="558"/>
      <c r="BB62" s="468"/>
      <c r="BC62" s="508"/>
      <c r="BD62" s="508"/>
      <c r="BE62" s="146">
        <f t="shared" si="0"/>
        <v>0</v>
      </c>
      <c r="BF62" s="146">
        <f t="shared" si="1"/>
        <v>0</v>
      </c>
      <c r="BG62" s="146">
        <f t="shared" si="2"/>
        <v>0</v>
      </c>
      <c r="BH62" s="146">
        <f t="shared" si="3"/>
        <v>0</v>
      </c>
      <c r="BI62" s="146">
        <f t="shared" si="4"/>
        <v>0</v>
      </c>
      <c r="BJ62" s="146">
        <f t="shared" si="5"/>
        <v>0</v>
      </c>
      <c r="BK62" s="146">
        <f t="shared" si="6"/>
        <v>0</v>
      </c>
      <c r="BL62" s="146">
        <f t="shared" si="7"/>
        <v>0</v>
      </c>
      <c r="BM62" s="146">
        <f t="shared" si="8"/>
        <v>0</v>
      </c>
      <c r="BN62" s="467"/>
      <c r="BO62" s="467"/>
      <c r="BP62" s="467"/>
      <c r="BQ62" s="467"/>
      <c r="BR62" s="508"/>
      <c r="BS62" s="508"/>
      <c r="BT62" s="508"/>
      <c r="BU62" s="508"/>
      <c r="BV62" s="538"/>
      <c r="BW62" s="538"/>
      <c r="BX62" s="538"/>
      <c r="BY62" s="538"/>
      <c r="BZ62" s="538"/>
      <c r="CA62" s="538"/>
      <c r="CB62" s="538"/>
      <c r="CC62" s="538"/>
      <c r="CD62" s="538"/>
      <c r="CE62" s="538"/>
      <c r="CF62" s="538"/>
      <c r="CG62" s="538"/>
      <c r="CI62" s="314" t="str">
        <f>IFERROR(IF('Overview - Section A'!$AN$5="Funding Request",
IF(AND('Reference Records'!$B$427&lt;&gt;"",$L62 ='Reference Records'!$B$427),'Reference Records'!$C$427,""),
INDEX('Reference Records'!$A$498:$C$499,MATCH($L62,'Reference Records'!$A$498:$A$499,0),3)),"")</f>
        <v/>
      </c>
      <c r="CJ62" s="314" t="str">
        <f>IFERROR(INDEX('Overview - Section A'!$H$102:$H$118,MATCH(IF($B62="", "--select--", $B62),'Overview - Section A'!$C$102:$C$118,0)),"")</f>
        <v/>
      </c>
      <c r="CK62" s="310" t="str" cm="1">
        <f t="array" ref="CK62">IFERROR(IF($C62="", "", VLOOKUP(LEFT($C62,255),LEFT('Reference Records'!$C$88:$G$189,255),5,0)),"")</f>
        <v/>
      </c>
    </row>
    <row r="63" spans="1:89" ht="30" customHeight="1">
      <c r="A63" s="522">
        <v>28</v>
      </c>
      <c r="B63" s="528" t="s">
        <v>1476</v>
      </c>
      <c r="C63" s="528" t="s">
        <v>1163</v>
      </c>
      <c r="D63" s="528"/>
      <c r="E63" s="148">
        <v>1189334</v>
      </c>
      <c r="F63" s="524">
        <f ca="1">IF(OR(INDIRECT("'update Helper'!D"&amp;AT63)="",E63&lt;&gt;0,E64&lt;&gt;0),IF(IFERROR((E63/E64),"")="","",(E63/E64)),INDIRECT("'update Helper'!D"&amp;AT63)/100)</f>
        <v>0.3164985978445819</v>
      </c>
      <c r="G63" s="543">
        <v>2021</v>
      </c>
      <c r="H63" s="528" t="s">
        <v>2192</v>
      </c>
      <c r="I63" s="545" t="str">
        <f>AN63</f>
        <v>HIV status</v>
      </c>
      <c r="J63" s="543" t="s">
        <v>2212</v>
      </c>
      <c r="K63" s="528" t="s">
        <v>323</v>
      </c>
      <c r="L63" s="149" t="s">
        <v>781</v>
      </c>
      <c r="M63" s="547" t="s">
        <v>654</v>
      </c>
      <c r="N63" s="148">
        <v>1221620</v>
      </c>
      <c r="O63" s="524">
        <v>0.33618824472210157</v>
      </c>
      <c r="P63" s="543"/>
      <c r="Q63" s="150">
        <v>1221620</v>
      </c>
      <c r="R63" s="524">
        <v>0.33618824472210157</v>
      </c>
      <c r="S63" s="543"/>
      <c r="T63" s="150">
        <v>1378388</v>
      </c>
      <c r="U63" s="524">
        <v>0.3686399756947964</v>
      </c>
      <c r="V63" s="543"/>
      <c r="W63" s="150">
        <v>1378388</v>
      </c>
      <c r="X63" s="524">
        <v>0.3686399756947964</v>
      </c>
      <c r="Y63" s="543"/>
      <c r="Z63" s="150">
        <v>1549051.5</v>
      </c>
      <c r="AA63" s="524">
        <v>0.40260713893071204</v>
      </c>
      <c r="AB63" s="543"/>
      <c r="AC63" s="150">
        <v>1549051.5</v>
      </c>
      <c r="AD63" s="524">
        <v>0.40260713893071204</v>
      </c>
      <c r="AE63" s="543"/>
      <c r="AF63" s="150"/>
      <c r="AG63" s="549"/>
      <c r="AH63" s="543"/>
      <c r="AI63" s="150"/>
      <c r="AJ63" s="549"/>
      <c r="AK63" s="543"/>
      <c r="AL63" s="528" t="s">
        <v>2240</v>
      </c>
      <c r="AM63" s="476" t="str">
        <f>IFERROR(IF(VLOOKUP(B63,'Reference Records'!$C$192:$D$250,2,FALSE)=0,"",VLOOKUP(B63,'Reference Records'!$C$192:$D$250,2,FALSE)),"")</f>
        <v>MCI-01304</v>
      </c>
      <c r="AN63" s="48" t="str">
        <f t="array" ref="AN63">IFERROR(IF(INDEX('Reference Records'!$D$88:$D$189,MATCH(LEFT(C63,255),LEFT('Reference Records'!$C$88:$C$189,255),0))=0,"",INDEX('Reference Records'!$D$88:$D$189,MATCH(LEFT(C63,255),LEFT('Reference Records'!$C$88:$C$189,255),0))),"")</f>
        <v>HIV status</v>
      </c>
      <c r="AO63" s="48" t="str">
        <f>CONCATENATE(C63,D63)</f>
        <v>VT-1 Percentage of pregnant women who know their HIV status</v>
      </c>
      <c r="AP63" s="151" t="str">
        <f t="array" ref="AP63">VLOOKUP(LEFT(C63,255),LEFT('Reference Records'!C$87:G512,255),4,0)</f>
        <v>MCI-01530</v>
      </c>
      <c r="AQ63" s="151" t="e">
        <f>MATCH(AP63,'Reference Records'!$F$512:$F$514,0)+ROW(PopulationByCoverage)-1</f>
        <v>#N/A</v>
      </c>
      <c r="AR63" s="151">
        <f>MATCH(AP63,'Reference Records'!$F$512:$F$514,1)+ROW(PopulationByCoverage)-1</f>
        <v>513</v>
      </c>
      <c r="AS63" s="48" t="str">
        <f>C63&amp;D63</f>
        <v>VT-1 Percentage of pregnant women who know their HIV status</v>
      </c>
      <c r="AT63" s="48">
        <f t="shared" si="320"/>
        <v>481</v>
      </c>
      <c r="AU63" s="48">
        <f ca="1">AU61+'update Helper'!$T$2</f>
        <v>712.13043478260749</v>
      </c>
      <c r="AV63" s="48" t="str">
        <f t="shared" ref="AV63" si="620">CLEAN(IFERROR(LEFT(AY63, SEARCH(";",AY63,1)-1),""))</f>
        <v>Non cumulative - special</v>
      </c>
      <c r="AW63" s="48" t="str">
        <f t="shared" ref="AW63" si="621">SUBSTITUTE(IFERROR(MID(AY63, SEARCH(";",AY63) + 1, SEARCH(";",AY63,SEARCH(";",AY63)+1) - SEARCH(";",AY63) - 1),""),CHAR(10),"")</f>
        <v/>
      </c>
      <c r="AX63" s="152" t="str">
        <f t="shared" ref="AX63" si="622">CLEAN(IFERROR(SUBSTITUTE(RIGHT(AY63,LEN(AY63) - SEARCH(";", AY63, SEARCH(";",AY63) + 1)),";",""),""))</f>
        <v/>
      </c>
      <c r="AY63" s="48" t="str">
        <f t="array" ref="AY63">IFERROR(IF(VLOOKUP(LEFT(C63,255),LEFT('Reference Records'!$C$1:$K$539,255),9,0)=0,"",CONCATENATE(VLOOKUP(LEFT(C63,255),LEFT('Reference Records'!$C$1:$K$539,255),9,0),";")),"")</f>
        <v>Non cumulative - special;</v>
      </c>
      <c r="AZ63" s="551" t="str">
        <f>IF($BV63="", "", IF($BV63=TRUE, "Yes", "No"))</f>
        <v>No</v>
      </c>
      <c r="BA63" s="559" t="str">
        <f t="shared" ref="BA63" ca="1" si="623">IF($D63="", "",IF(IF(INDIRECT("'update Helper'!W"&amp;AT63)=0,"",INDIRECT("'update Helper'!W"&amp;AT63))=TRUE, "Yes","No"))</f>
        <v/>
      </c>
      <c r="BB63" s="468" t="str">
        <f t="shared" ref="BB63" ca="1" si="624">IF(AND(BS63="Continue",BU63="Continue"),"No Error",IF(AND(BS63&lt;&gt;"Continue",BU63="Continue"),BS63,IF(AND(BU63&lt;&gt;"Continue",BS63="Continue"),BU63,CONCATENATE(BS63,CHAR(10),BU63))))</f>
        <v>No Error</v>
      </c>
      <c r="BC63" s="508" t="str" cm="1">
        <f t="array" ref="BC63">IF(ISBLANK(C63),"Continue",(IF(IFERROR(_xlfn.XMATCH(C63,LEFT('Reference Records'!$C$87:$C$189,32768),0),0)&lt;&gt;0,"Continue","Invalid indicator entry. Select from dropdown list.")))</f>
        <v>Continue</v>
      </c>
      <c r="BD63" s="508" t="str">
        <f t="shared" ref="BD63" si="625">IF(SUM(BE63:BM64)=0, "Continue", "Enter valid number only.")</f>
        <v>Continue</v>
      </c>
      <c r="BE63" s="146">
        <f t="shared" si="0"/>
        <v>0</v>
      </c>
      <c r="BF63" s="146">
        <f t="shared" si="1"/>
        <v>0</v>
      </c>
      <c r="BG63" s="146">
        <f t="shared" si="2"/>
        <v>0</v>
      </c>
      <c r="BH63" s="146">
        <f t="shared" si="3"/>
        <v>0</v>
      </c>
      <c r="BI63" s="146">
        <f t="shared" si="4"/>
        <v>0</v>
      </c>
      <c r="BJ63" s="146">
        <f t="shared" si="5"/>
        <v>0</v>
      </c>
      <c r="BK63" s="146">
        <f t="shared" si="6"/>
        <v>0</v>
      </c>
      <c r="BL63" s="146">
        <f t="shared" si="7"/>
        <v>0</v>
      </c>
      <c r="BM63" s="146">
        <f t="shared" si="8"/>
        <v>0</v>
      </c>
      <c r="BN63" s="467" t="str">
        <f>IF(NOT(ISBLANK(C63)),IF(C63&lt;&gt;"",IF(_xlfn.XLOOKUP(C63,'Reference Records'!$C$87:$C$189,'Reference Records'!$A$87:$A$189,0,0,1)=AM63,"Continue","Select correct module name."),"Continue"),"Continue")</f>
        <v>Continue</v>
      </c>
      <c r="BO63" s="467" t="str">
        <f t="shared" ref="BO63" ca="1" si="626">IF(AND(BC63="Continue",CG63="Continue"),"Continue",IF(AND(BC63&lt;&gt;"Continue",CG63="Continue"),BC63,IF(AND(CG63&lt;&gt;"Continue",BC63="Continue"),CG63,CONCATENATE(BC63,CHAR(10),CG63))))</f>
        <v>Continue</v>
      </c>
      <c r="BP63" s="467" t="str">
        <f t="shared" ref="BP63" ca="1" si="627">IF(AND((AZ63&lt;&gt;""),(BA63&lt;&gt;"")),"Reversed custom indicator selection not applicable. Value pre-populated in standard indicator column.","Continue")</f>
        <v>Continue</v>
      </c>
      <c r="BQ63" s="467" t="str">
        <f t="shared" ref="BQ63" ca="1" si="628">IF(AND(BN63="Continue",BO63="Continue"),"Continue",
IF(AND(BN63&lt;&gt;"Continue",BO63="Continue"),BN63,
IF(AND(BO63&lt;&gt;"Continue",BN63="Continue"),BO63,
CONCATENATE(BN63,CHAR(10),BO63))))</f>
        <v>Continue</v>
      </c>
      <c r="BR63" s="508" t="str" cm="1">
        <f t="array" ref="BR63">IF(ISBLANK(B63),"Continue",(IF(IFERROR(_xlfn.XMATCH(B63,LEFT('Reference Records'!$J$191:$J$250,32768),0),0)&lt;&gt;0,"Continue","Invalid module entry. Select from dropdown list.")))</f>
        <v>Continue</v>
      </c>
      <c r="BS63" s="508" t="str">
        <f t="shared" ref="BS63" ca="1" si="629">IF(AND(BP63="Continue",BQ63="Continue"),"Continue",IF(AND(BP63&lt;&gt;"Continue",BQ63="Continue"),BP63,IF(AND(BQ63&lt;&gt;"Continue",BP63="Continue"),BQ63,CONCATENATE(BP63,CHAR(10),BQ63))))</f>
        <v>Continue</v>
      </c>
      <c r="BT63" s="508" t="str">
        <f t="shared" ref="BT63" si="630">IF(AND(C63="",D63=""),"Continue",IF(AND(C63="",D63&lt;&gt;""),"Continue",IF(AND(C63&lt;&gt;"",D63=""),"Continue",IF(AND(C63&lt;&gt;"",D63&lt;&gt;""),"Cannot enter both standard and custom indicators on the same line."))))</f>
        <v>Continue</v>
      </c>
      <c r="BU63" s="508" t="str">
        <f t="shared" ref="BU63" si="631">IF(AND(BR63="Continue",BT63="Continue"),"Continue",IF(AND(BR63&lt;&gt;"Continue",BT63="Continue"),BR63,IF(AND(BT63&lt;&gt;"Continue",BR63="Continue"),BT63,CONCATENATE(BR63,CHAR(10),BT63))))</f>
        <v>Continue</v>
      </c>
      <c r="BV63" s="538" t="b">
        <f>IFERROR(INDEX('Reference Records'!$L$87:$L$189,MATCH($C63,'Reference Records'!$C$87:$C$189,0)),"")</f>
        <v>0</v>
      </c>
      <c r="BW63" s="538">
        <f t="shared" ref="BW63" ca="1" si="632">IF(NOT(ISBLANK(F63)),IF(F63&lt;&gt;"",(IF(NOT(ISNUMBER(F63)),1,0)),0),0)</f>
        <v>0</v>
      </c>
      <c r="BX63" s="538">
        <f t="shared" ref="BX63" si="633">IF(NOT(ISBLANK(O63)),IF(O63&lt;&gt;"",(IF(NOT(ISNUMBER(O63)),1,0)),0),0)</f>
        <v>0</v>
      </c>
      <c r="BY63" s="538">
        <f t="shared" ref="BY63" si="634">IF(NOT(ISBLANK(R63)),IF(R63&lt;&gt;"",(IF(NOT(ISNUMBER(R63)),1,0)),0),0)</f>
        <v>0</v>
      </c>
      <c r="BZ63" s="538">
        <f t="shared" ref="BZ63" si="635">IF(NOT(ISBLANK(U63)),IF(U63&lt;&gt;"",(IF(NOT(ISNUMBER(U63)),1,0)),0),0)</f>
        <v>0</v>
      </c>
      <c r="CA63" s="538">
        <f t="shared" ref="CA63" si="636">IF(NOT(ISBLANK(X63)),IF(X63&lt;&gt;"",(IF(NOT(ISNUMBER(X63)),1,0)),0),0)</f>
        <v>0</v>
      </c>
      <c r="CB63" s="538">
        <f t="shared" ref="CB63" si="637">IF(NOT(ISBLANK(AA63)),IF(AA63&lt;&gt;"",(IF(NOT(ISNUMBER(AA63)),1,0)),0),0)</f>
        <v>0</v>
      </c>
      <c r="CC63" s="538">
        <f t="shared" ref="CC63" si="638">IF(NOT(ISBLANK(AD63)),IF(AD63&lt;&gt;"",(IF(NOT(ISNUMBER(AD63)),1,0)),0),0)</f>
        <v>0</v>
      </c>
      <c r="CD63" s="538">
        <f t="shared" ref="CD63" si="639">IF(NOT(ISBLANK(AG63)),IF(AG63&lt;&gt;"",(IF(NOT(ISNUMBER(AG63)),1,0)),0),0)</f>
        <v>0</v>
      </c>
      <c r="CE63" s="538">
        <f t="shared" ref="CE63" si="640">IF(NOT(ISBLANK(AJ63)),IF(AJ63&lt;&gt;"",(IF(NOT(ISNUMBER(AJ63)),1,0)),0),0)</f>
        <v>0</v>
      </c>
      <c r="CF63" s="538" t="str">
        <f t="shared" ref="CF63" ca="1" si="641">IF(SUM(BW63:CE64)=0, "Continue", "Enter valid number only.")</f>
        <v>Continue</v>
      </c>
      <c r="CG63" s="538" t="str">
        <f t="shared" ref="CG63" ca="1" si="642">IF(AND(CF63="Continue",BD63="Continue"),"Continue",IF(AND(CF63&lt;&gt;"Continue",BD63="Continue"),CF63,IF(AND(BD63&lt;&gt;"Continue",CF63="Continue"),BD63,CONCATENATE(CF63,CHAR(10)))))</f>
        <v>Continue</v>
      </c>
      <c r="CI63" s="314" t="str">
        <f>IFERROR(IF('Overview - Section A'!$AN$5="Funding Request",
IF(AND('Reference Records'!$B$427&lt;&gt;"",$L63 ='Reference Records'!$B$427),'Reference Records'!$C$427,""),
INDEX('Reference Records'!$A$498:$C$499,MATCH($L63,'Reference Records'!$A$498:$A$499,0),3)),"")</f>
        <v>a1A360000013M2uEAE</v>
      </c>
      <c r="CJ63" s="314" t="str">
        <f>IFERROR(INDEX('Overview - Section A'!$H$102:$H$118,MATCH(IF($B63="", "--select--", $B63),'Overview - Section A'!$C$102:$C$118,0)),"")</f>
        <v>a1PDm000000LrDEMA0</v>
      </c>
      <c r="CK63" s="310" t="str" cm="1">
        <f t="array" ref="CK63">IFERROR(IF($C63="", "", VLOOKUP(LEFT($C63,255),LEFT('Reference Records'!$C$88:$G$189,255),5,0)),"")</f>
        <v>a1ODm000000Gny5MAC</v>
      </c>
    </row>
    <row r="64" spans="1:89" ht="30" customHeight="1">
      <c r="A64" s="523"/>
      <c r="B64" s="529"/>
      <c r="C64" s="529"/>
      <c r="D64" s="529"/>
      <c r="E64" s="148">
        <v>3757786</v>
      </c>
      <c r="F64" s="525"/>
      <c r="G64" s="544"/>
      <c r="H64" s="529"/>
      <c r="I64" s="546"/>
      <c r="J64" s="544"/>
      <c r="K64" s="529"/>
      <c r="L64" s="153" t="s">
        <v>651</v>
      </c>
      <c r="M64" s="548"/>
      <c r="N64" s="148">
        <v>3633738</v>
      </c>
      <c r="O64" s="525"/>
      <c r="P64" s="544"/>
      <c r="Q64" s="150">
        <v>3633738</v>
      </c>
      <c r="R64" s="525"/>
      <c r="S64" s="544"/>
      <c r="T64" s="150">
        <v>3739117</v>
      </c>
      <c r="U64" s="525"/>
      <c r="V64" s="544"/>
      <c r="W64" s="150">
        <v>3739117</v>
      </c>
      <c r="X64" s="525"/>
      <c r="Y64" s="544"/>
      <c r="Z64" s="150">
        <v>3847551</v>
      </c>
      <c r="AA64" s="525"/>
      <c r="AB64" s="544"/>
      <c r="AC64" s="150">
        <v>3847551</v>
      </c>
      <c r="AD64" s="525"/>
      <c r="AE64" s="544"/>
      <c r="AF64" s="150"/>
      <c r="AG64" s="550"/>
      <c r="AH64" s="544"/>
      <c r="AI64" s="150"/>
      <c r="AJ64" s="550"/>
      <c r="AK64" s="544"/>
      <c r="AL64" s="529"/>
      <c r="AM64" s="476"/>
      <c r="AX64" s="152"/>
      <c r="AZ64" s="551"/>
      <c r="BA64" s="559"/>
      <c r="BB64" s="468"/>
      <c r="BC64" s="508"/>
      <c r="BD64" s="508"/>
      <c r="BE64" s="146">
        <f t="shared" si="0"/>
        <v>0</v>
      </c>
      <c r="BF64" s="146">
        <f t="shared" si="1"/>
        <v>0</v>
      </c>
      <c r="BG64" s="146">
        <f t="shared" si="2"/>
        <v>0</v>
      </c>
      <c r="BH64" s="146">
        <f t="shared" si="3"/>
        <v>0</v>
      </c>
      <c r="BI64" s="146">
        <f t="shared" si="4"/>
        <v>0</v>
      </c>
      <c r="BJ64" s="146">
        <f t="shared" si="5"/>
        <v>0</v>
      </c>
      <c r="BK64" s="146">
        <f t="shared" si="6"/>
        <v>0</v>
      </c>
      <c r="BL64" s="146">
        <f t="shared" si="7"/>
        <v>0</v>
      </c>
      <c r="BM64" s="146">
        <f t="shared" si="8"/>
        <v>0</v>
      </c>
      <c r="BN64" s="467"/>
      <c r="BO64" s="467"/>
      <c r="BP64" s="467"/>
      <c r="BQ64" s="467"/>
      <c r="BR64" s="508"/>
      <c r="BS64" s="508"/>
      <c r="BT64" s="508"/>
      <c r="BU64" s="508"/>
      <c r="BV64" s="538"/>
      <c r="BW64" s="538"/>
      <c r="BX64" s="538"/>
      <c r="BY64" s="538"/>
      <c r="BZ64" s="538"/>
      <c r="CA64" s="538"/>
      <c r="CB64" s="538"/>
      <c r="CC64" s="538"/>
      <c r="CD64" s="538"/>
      <c r="CE64" s="538"/>
      <c r="CF64" s="538"/>
      <c r="CG64" s="538"/>
      <c r="CI64" s="314" t="str">
        <f>IFERROR(IF('Overview - Section A'!$AN$5="Funding Request",
IF(AND('Reference Records'!$B$427&lt;&gt;"",$L64 ='Reference Records'!$B$427),'Reference Records'!$C$427,""),
INDEX('Reference Records'!$A$498:$C$499,MATCH($L64,'Reference Records'!$A$498:$A$499,0),3)),"")</f>
        <v/>
      </c>
      <c r="CJ64" s="314" t="str">
        <f>IFERROR(INDEX('Overview - Section A'!$H$102:$H$118,MATCH(IF($B64="", "--select--", $B64),'Overview - Section A'!$C$102:$C$118,0)),"")</f>
        <v/>
      </c>
      <c r="CK64" s="310" t="str" cm="1">
        <f t="array" ref="CK64">IFERROR(IF($C64="", "", VLOOKUP(LEFT($C64,255),LEFT('Reference Records'!$C$88:$G$189,255),5,0)),"")</f>
        <v/>
      </c>
    </row>
    <row r="65" spans="1:89" ht="30" customHeight="1">
      <c r="A65" s="522">
        <v>29</v>
      </c>
      <c r="B65" s="512" t="s">
        <v>1476</v>
      </c>
      <c r="C65" s="512" t="s">
        <v>1167</v>
      </c>
      <c r="D65" s="512"/>
      <c r="E65" s="140">
        <v>2692</v>
      </c>
      <c r="F65" s="516">
        <f ca="1">IF(OR(INDIRECT("'update Helper'!D"&amp;AT65)="",E65&lt;&gt;0,E66&lt;&gt;0),IF(IFERROR((E65/E66),"")="","",(E65/E66)),INDIRECT("'update Helper'!D"&amp;AT65)/100)</f>
        <v>9.2843593723055701E-2</v>
      </c>
      <c r="G65" s="552">
        <v>2021</v>
      </c>
      <c r="H65" s="512" t="s">
        <v>2192</v>
      </c>
      <c r="I65" s="545" t="str">
        <f>AN65</f>
        <v>HIV status</v>
      </c>
      <c r="J65" s="552" t="s">
        <v>2212</v>
      </c>
      <c r="K65" s="512" t="s">
        <v>323</v>
      </c>
      <c r="L65" s="141" t="s">
        <v>781</v>
      </c>
      <c r="M65" s="556" t="s">
        <v>654</v>
      </c>
      <c r="N65" s="140">
        <v>5400.5</v>
      </c>
      <c r="O65" s="516">
        <v>0.1402508699942866</v>
      </c>
      <c r="P65" s="552"/>
      <c r="Q65" s="142">
        <v>5400.5</v>
      </c>
      <c r="R65" s="516">
        <v>0.1402508699942866</v>
      </c>
      <c r="S65" s="552"/>
      <c r="T65" s="142">
        <v>7166.5</v>
      </c>
      <c r="U65" s="516">
        <v>0.19337038935808532</v>
      </c>
      <c r="V65" s="552"/>
      <c r="W65" s="142">
        <v>7166.5</v>
      </c>
      <c r="X65" s="516">
        <v>0.19337038935808532</v>
      </c>
      <c r="Y65" s="552"/>
      <c r="Z65" s="142">
        <v>9164.5</v>
      </c>
      <c r="AA65" s="516">
        <v>0.25500153037090628</v>
      </c>
      <c r="AB65" s="552"/>
      <c r="AC65" s="142">
        <v>9164.5</v>
      </c>
      <c r="AD65" s="516">
        <v>0.25500153037090628</v>
      </c>
      <c r="AE65" s="552"/>
      <c r="AF65" s="142"/>
      <c r="AG65" s="516"/>
      <c r="AH65" s="552"/>
      <c r="AI65" s="142"/>
      <c r="AJ65" s="516"/>
      <c r="AK65" s="552"/>
      <c r="AL65" s="512" t="s">
        <v>2241</v>
      </c>
      <c r="AM65" s="554" t="str">
        <f>IFERROR(IF(VLOOKUP(B65,'Reference Records'!$C$192:$D$250,2,FALSE)=0,"",VLOOKUP(B65,'Reference Records'!$C$192:$D$250,2,FALSE)),"")</f>
        <v>MCI-01304</v>
      </c>
      <c r="AN65" s="143" t="str">
        <f t="array" ref="AN65">IFERROR(IF(INDEX('Reference Records'!$D$88:$D$189,MATCH(LEFT(C65,255),LEFT('Reference Records'!$C$88:$C$189,255),0))=0,"",INDEX('Reference Records'!$D$88:$D$189,MATCH(LEFT(C65,255),LEFT('Reference Records'!$C$88:$C$189,255),0))),"")</f>
        <v>HIV status</v>
      </c>
      <c r="AO65" s="143" t="str">
        <f>CONCATENATE(C65,D65)</f>
        <v>VT-2 Percentage of HIV-exposed infants receiving a virological test for HIV within 2 months of birth</v>
      </c>
      <c r="AP65" s="144" t="str">
        <f t="array" ref="AP65">VLOOKUP(LEFT(C65,255),LEFT('Reference Records'!C$87:G514,255),4,0)</f>
        <v>MCI-01531</v>
      </c>
      <c r="AQ65" s="144" t="e">
        <f>MATCH(AP65,'Reference Records'!$F$512:$F$514,0)+ROW(PopulationByCoverage)-1</f>
        <v>#N/A</v>
      </c>
      <c r="AR65" s="144">
        <f>MATCH(AP65,'Reference Records'!$F$512:$F$514,1)+ROW(PopulationByCoverage)-1</f>
        <v>513</v>
      </c>
      <c r="AS65" s="143" t="str">
        <f>C65&amp;D65</f>
        <v>VT-2 Percentage of HIV-exposed infants receiving a virological test for HIV within 2 months of birth</v>
      </c>
      <c r="AT65" s="143">
        <f t="shared" si="320"/>
        <v>482</v>
      </c>
      <c r="AU65" s="143">
        <f ca="1">AU63+'update Helper'!$T$2</f>
        <v>718.91304347825962</v>
      </c>
      <c r="AV65" s="143" t="str">
        <f t="shared" ref="AV65" si="643">CLEAN(IFERROR(LEFT(AY65, SEARCH(";",AY65,1)-1),""))</f>
        <v>Non cumulative - special</v>
      </c>
      <c r="AW65" s="143" t="str">
        <f t="shared" ref="AW65" si="644">SUBSTITUTE(IFERROR(MID(AY65, SEARCH(";",AY65) + 1, SEARCH(";",AY65,SEARCH(";",AY65)+1) - SEARCH(";",AY65) - 1),""),CHAR(10),"")</f>
        <v/>
      </c>
      <c r="AX65" s="145" t="str">
        <f t="shared" ref="AX65" si="645">CLEAN(IFERROR(SUBSTITUTE(RIGHT(AY65,LEN(AY65) - SEARCH(";", AY65, SEARCH(";",AY65) + 1)),";",""),""))</f>
        <v/>
      </c>
      <c r="AY65" s="143" t="str">
        <f t="array" ref="AY65">IFERROR(IF(VLOOKUP(LEFT(C65,255),LEFT('Reference Records'!$C$1:$K$539,255),9,0)=0,"",CONCATENATE(VLOOKUP(LEFT(C65,255),LEFT('Reference Records'!$C$1:$K$539,255),9,0),";")),"")</f>
        <v>Non cumulative - special;</v>
      </c>
      <c r="AZ65" s="555" t="str">
        <f>IF($BV65="", "", IF($BV65=TRUE, "Yes", "No"))</f>
        <v>No</v>
      </c>
      <c r="BA65" s="558" t="str">
        <f t="shared" ref="BA65" ca="1" si="646">IF($D65="", "",IF(IF(INDIRECT("'update Helper'!W"&amp;AT65)=0,"",INDIRECT("'update Helper'!W"&amp;AT65))=TRUE, "Yes","No"))</f>
        <v/>
      </c>
      <c r="BB65" s="468" t="str">
        <f t="shared" ref="BB65" ca="1" si="647">IF(AND(BS65="Continue",BU65="Continue"),"No Error",IF(AND(BS65&lt;&gt;"Continue",BU65="Continue"),BS65,IF(AND(BU65&lt;&gt;"Continue",BS65="Continue"),BU65,CONCATENATE(BS65,CHAR(10),BU65))))</f>
        <v>No Error</v>
      </c>
      <c r="BC65" s="508" t="str" cm="1">
        <f t="array" ref="BC65">IF(ISBLANK(C65),"Continue",(IF(IFERROR(_xlfn.XMATCH(C65,LEFT('Reference Records'!$C$87:$C$189,32768),0),0)&lt;&gt;0,"Continue","Invalid indicator entry. Select from dropdown list.")))</f>
        <v>Continue</v>
      </c>
      <c r="BD65" s="508" t="str">
        <f t="shared" ref="BD65" si="648">IF(SUM(BE65:BM66)=0, "Continue", "Enter valid number only.")</f>
        <v>Continue</v>
      </c>
      <c r="BE65" s="146">
        <f t="shared" si="0"/>
        <v>0</v>
      </c>
      <c r="BF65" s="146">
        <f t="shared" si="1"/>
        <v>0</v>
      </c>
      <c r="BG65" s="146">
        <f t="shared" si="2"/>
        <v>0</v>
      </c>
      <c r="BH65" s="146">
        <f t="shared" si="3"/>
        <v>0</v>
      </c>
      <c r="BI65" s="146">
        <f t="shared" si="4"/>
        <v>0</v>
      </c>
      <c r="BJ65" s="146">
        <f t="shared" si="5"/>
        <v>0</v>
      </c>
      <c r="BK65" s="146">
        <f t="shared" si="6"/>
        <v>0</v>
      </c>
      <c r="BL65" s="146">
        <f t="shared" si="7"/>
        <v>0</v>
      </c>
      <c r="BM65" s="146">
        <f t="shared" si="8"/>
        <v>0</v>
      </c>
      <c r="BN65" s="467" t="str">
        <f>IF(NOT(ISBLANK(C65)),IF(C65&lt;&gt;"",IF(_xlfn.XLOOKUP(C65,'Reference Records'!$C$87:$C$189,'Reference Records'!$A$87:$A$189,0,0,1)=AM65,"Continue","Select correct module name."),"Continue"),"Continue")</f>
        <v>Continue</v>
      </c>
      <c r="BO65" s="467" t="str">
        <f t="shared" ref="BO65" ca="1" si="649">IF(AND(BC65="Continue",CG65="Continue"),"Continue",IF(AND(BC65&lt;&gt;"Continue",CG65="Continue"),BC65,IF(AND(CG65&lt;&gt;"Continue",BC65="Continue"),CG65,CONCATENATE(BC65,CHAR(10),CG65))))</f>
        <v>Continue</v>
      </c>
      <c r="BP65" s="467" t="str">
        <f t="shared" ref="BP65" ca="1" si="650">IF(AND((AZ65&lt;&gt;""),(BA65&lt;&gt;"")),"Reversed custom indicator selection not applicable. Value pre-populated in standard indicator column.","Continue")</f>
        <v>Continue</v>
      </c>
      <c r="BQ65" s="467" t="str">
        <f t="shared" ref="BQ65" ca="1" si="651">IF(AND(BN65="Continue",BO65="Continue"),"Continue",
IF(AND(BN65&lt;&gt;"Continue",BO65="Continue"),BN65,
IF(AND(BO65&lt;&gt;"Continue",BN65="Continue"),BO65,
CONCATENATE(BN65,CHAR(10),BO65))))</f>
        <v>Continue</v>
      </c>
      <c r="BR65" s="508" t="str" cm="1">
        <f t="array" ref="BR65">IF(ISBLANK(B65),"Continue",(IF(IFERROR(_xlfn.XMATCH(B65,LEFT('Reference Records'!$J$191:$J$250,32768),0),0)&lt;&gt;0,"Continue","Invalid module entry. Select from dropdown list.")))</f>
        <v>Continue</v>
      </c>
      <c r="BS65" s="508" t="str">
        <f t="shared" ref="BS65" ca="1" si="652">IF(AND(BP65="Continue",BQ65="Continue"),"Continue",IF(AND(BP65&lt;&gt;"Continue",BQ65="Continue"),BP65,IF(AND(BQ65&lt;&gt;"Continue",BP65="Continue"),BQ65,CONCATENATE(BP65,CHAR(10),BQ65))))</f>
        <v>Continue</v>
      </c>
      <c r="BT65" s="508" t="str">
        <f t="shared" ref="BT65" si="653">IF(AND(C65="",D65=""),"Continue",IF(AND(C65="",D65&lt;&gt;""),"Continue",IF(AND(C65&lt;&gt;"",D65=""),"Continue",IF(AND(C65&lt;&gt;"",D65&lt;&gt;""),"Cannot enter both standard and custom indicators on the same line."))))</f>
        <v>Continue</v>
      </c>
      <c r="BU65" s="508" t="str">
        <f t="shared" ref="BU65" si="654">IF(AND(BR65="Continue",BT65="Continue"),"Continue",IF(AND(BR65&lt;&gt;"Continue",BT65="Continue"),BR65,IF(AND(BT65&lt;&gt;"Continue",BR65="Continue"),BT65,CONCATENATE(BR65,CHAR(10),BT65))))</f>
        <v>Continue</v>
      </c>
      <c r="BV65" s="538" t="b">
        <f>IFERROR(INDEX('Reference Records'!$L$87:$L$189,MATCH($C65,'Reference Records'!$C$87:$C$189,0)),"")</f>
        <v>0</v>
      </c>
      <c r="BW65" s="538">
        <f t="shared" ref="BW65" ca="1" si="655">IF(NOT(ISBLANK(F65)),IF(F65&lt;&gt;"",(IF(NOT(ISNUMBER(F65)),1,0)),0),0)</f>
        <v>0</v>
      </c>
      <c r="BX65" s="538">
        <f t="shared" ref="BX65" si="656">IF(NOT(ISBLANK(O65)),IF(O65&lt;&gt;"",(IF(NOT(ISNUMBER(O65)),1,0)),0),0)</f>
        <v>0</v>
      </c>
      <c r="BY65" s="538">
        <f t="shared" ref="BY65" si="657">IF(NOT(ISBLANK(R65)),IF(R65&lt;&gt;"",(IF(NOT(ISNUMBER(R65)),1,0)),0),0)</f>
        <v>0</v>
      </c>
      <c r="BZ65" s="538">
        <f t="shared" ref="BZ65" si="658">IF(NOT(ISBLANK(U65)),IF(U65&lt;&gt;"",(IF(NOT(ISNUMBER(U65)),1,0)),0),0)</f>
        <v>0</v>
      </c>
      <c r="CA65" s="538">
        <f t="shared" ref="CA65" si="659">IF(NOT(ISBLANK(X65)),IF(X65&lt;&gt;"",(IF(NOT(ISNUMBER(X65)),1,0)),0),0)</f>
        <v>0</v>
      </c>
      <c r="CB65" s="538">
        <f t="shared" ref="CB65" si="660">IF(NOT(ISBLANK(AA65)),IF(AA65&lt;&gt;"",(IF(NOT(ISNUMBER(AA65)),1,0)),0),0)</f>
        <v>0</v>
      </c>
      <c r="CC65" s="538">
        <f t="shared" ref="CC65" si="661">IF(NOT(ISBLANK(AD65)),IF(AD65&lt;&gt;"",(IF(NOT(ISNUMBER(AD65)),1,0)),0),0)</f>
        <v>0</v>
      </c>
      <c r="CD65" s="538">
        <f t="shared" ref="CD65" si="662">IF(NOT(ISBLANK(AG65)),IF(AG65&lt;&gt;"",(IF(NOT(ISNUMBER(AG65)),1,0)),0),0)</f>
        <v>0</v>
      </c>
      <c r="CE65" s="538">
        <f t="shared" ref="CE65" si="663">IF(NOT(ISBLANK(AJ65)),IF(AJ65&lt;&gt;"",(IF(NOT(ISNUMBER(AJ65)),1,0)),0),0)</f>
        <v>0</v>
      </c>
      <c r="CF65" s="538" t="str">
        <f t="shared" ref="CF65" ca="1" si="664">IF(SUM(BW65:CE66)=0, "Continue", "Enter valid number only.")</f>
        <v>Continue</v>
      </c>
      <c r="CG65" s="538" t="str">
        <f t="shared" ref="CG65" ca="1" si="665">IF(AND(CF65="Continue",BD65="Continue"),"Continue",IF(AND(CF65&lt;&gt;"Continue",BD65="Continue"),CF65,IF(AND(BD65&lt;&gt;"Continue",CF65="Continue"),BD65,CONCATENATE(CF65,CHAR(10)))))</f>
        <v>Continue</v>
      </c>
      <c r="CI65" s="314" t="str">
        <f>IFERROR(IF('Overview - Section A'!$AN$5="Funding Request",
IF(AND('Reference Records'!$B$427&lt;&gt;"",$L65 ='Reference Records'!$B$427),'Reference Records'!$C$427,""),
INDEX('Reference Records'!$A$498:$C$499,MATCH($L65,'Reference Records'!$A$498:$A$499,0),3)),"")</f>
        <v>a1A360000013M2uEAE</v>
      </c>
      <c r="CJ65" s="314" t="str">
        <f>IFERROR(INDEX('Overview - Section A'!$H$102:$H$118,MATCH(IF($B65="", "--select--", $B65),'Overview - Section A'!$C$102:$C$118,0)),"")</f>
        <v>a1PDm000000LrDEMA0</v>
      </c>
      <c r="CK65" s="310" t="str" cm="1">
        <f t="array" ref="CK65">IFERROR(IF($C65="", "", VLOOKUP(LEFT($C65,255),LEFT('Reference Records'!$C$88:$G$189,255),5,0)),"")</f>
        <v>a1ODm000000Gny6MAC</v>
      </c>
    </row>
    <row r="66" spans="1:89" ht="30" customHeight="1">
      <c r="A66" s="523"/>
      <c r="B66" s="513"/>
      <c r="C66" s="513"/>
      <c r="D66" s="513"/>
      <c r="E66" s="140">
        <v>28995</v>
      </c>
      <c r="F66" s="517"/>
      <c r="G66" s="553"/>
      <c r="H66" s="513"/>
      <c r="I66" s="546"/>
      <c r="J66" s="553"/>
      <c r="K66" s="513"/>
      <c r="L66" s="147" t="s">
        <v>651</v>
      </c>
      <c r="M66" s="557"/>
      <c r="N66" s="140">
        <v>38506</v>
      </c>
      <c r="O66" s="517"/>
      <c r="P66" s="553"/>
      <c r="Q66" s="142">
        <v>38506</v>
      </c>
      <c r="R66" s="517"/>
      <c r="S66" s="553"/>
      <c r="T66" s="142">
        <v>37061</v>
      </c>
      <c r="U66" s="517"/>
      <c r="V66" s="553"/>
      <c r="W66" s="142">
        <v>37061</v>
      </c>
      <c r="X66" s="517"/>
      <c r="Y66" s="553"/>
      <c r="Z66" s="142">
        <v>35939</v>
      </c>
      <c r="AA66" s="517"/>
      <c r="AB66" s="553"/>
      <c r="AC66" s="142">
        <v>35939</v>
      </c>
      <c r="AD66" s="517"/>
      <c r="AE66" s="553"/>
      <c r="AF66" s="142"/>
      <c r="AG66" s="517"/>
      <c r="AH66" s="553"/>
      <c r="AI66" s="142"/>
      <c r="AJ66" s="517"/>
      <c r="AK66" s="553"/>
      <c r="AL66" s="513"/>
      <c r="AM66" s="554"/>
      <c r="AN66" s="143"/>
      <c r="AO66" s="143"/>
      <c r="AP66" s="143"/>
      <c r="AQ66" s="143"/>
      <c r="AR66" s="143"/>
      <c r="AS66" s="143"/>
      <c r="AT66" s="143"/>
      <c r="AU66" s="143"/>
      <c r="AV66" s="143"/>
      <c r="AW66" s="143"/>
      <c r="AX66" s="145"/>
      <c r="AY66" s="143"/>
      <c r="AZ66" s="555"/>
      <c r="BA66" s="558"/>
      <c r="BB66" s="468"/>
      <c r="BC66" s="508"/>
      <c r="BD66" s="508"/>
      <c r="BE66" s="146">
        <f t="shared" si="0"/>
        <v>0</v>
      </c>
      <c r="BF66" s="146">
        <f t="shared" si="1"/>
        <v>0</v>
      </c>
      <c r="BG66" s="146">
        <f t="shared" si="2"/>
        <v>0</v>
      </c>
      <c r="BH66" s="146">
        <f t="shared" si="3"/>
        <v>0</v>
      </c>
      <c r="BI66" s="146">
        <f t="shared" si="4"/>
        <v>0</v>
      </c>
      <c r="BJ66" s="146">
        <f t="shared" si="5"/>
        <v>0</v>
      </c>
      <c r="BK66" s="146">
        <f t="shared" si="6"/>
        <v>0</v>
      </c>
      <c r="BL66" s="146">
        <f t="shared" si="7"/>
        <v>0</v>
      </c>
      <c r="BM66" s="146">
        <f t="shared" si="8"/>
        <v>0</v>
      </c>
      <c r="BN66" s="467"/>
      <c r="BO66" s="467"/>
      <c r="BP66" s="467"/>
      <c r="BQ66" s="467"/>
      <c r="BR66" s="508"/>
      <c r="BS66" s="508"/>
      <c r="BT66" s="508"/>
      <c r="BU66" s="508"/>
      <c r="BV66" s="538"/>
      <c r="BW66" s="538"/>
      <c r="BX66" s="538"/>
      <c r="BY66" s="538"/>
      <c r="BZ66" s="538"/>
      <c r="CA66" s="538"/>
      <c r="CB66" s="538"/>
      <c r="CC66" s="538"/>
      <c r="CD66" s="538"/>
      <c r="CE66" s="538"/>
      <c r="CF66" s="538"/>
      <c r="CG66" s="538"/>
      <c r="CI66" s="314" t="str">
        <f>IFERROR(IF('Overview - Section A'!$AN$5="Funding Request",
IF(AND('Reference Records'!$B$427&lt;&gt;"",$L66 ='Reference Records'!$B$427),'Reference Records'!$C$427,""),
INDEX('Reference Records'!$A$498:$C$499,MATCH($L66,'Reference Records'!$A$498:$A$499,0),3)),"")</f>
        <v/>
      </c>
      <c r="CJ66" s="314" t="str">
        <f>IFERROR(INDEX('Overview - Section A'!$H$102:$H$118,MATCH(IF($B66="", "--select--", $B66),'Overview - Section A'!$C$102:$C$118,0)),"")</f>
        <v/>
      </c>
      <c r="CK66" s="310" t="str" cm="1">
        <f t="array" ref="CK66">IFERROR(IF($C66="", "", VLOOKUP(LEFT($C66,255),LEFT('Reference Records'!$C$88:$G$189,255),5,0)),"")</f>
        <v/>
      </c>
    </row>
    <row r="67" spans="1:89" ht="30" customHeight="1">
      <c r="A67" s="522">
        <v>30</v>
      </c>
      <c r="B67" s="512" t="s">
        <v>1476</v>
      </c>
      <c r="C67" s="512" t="s">
        <v>1170</v>
      </c>
      <c r="D67" s="512"/>
      <c r="E67" s="140">
        <v>440439</v>
      </c>
      <c r="F67" s="516">
        <f ca="1">IF(OR(INDIRECT("'update Helper'!D"&amp;AT67)="",E67&lt;&gt;0,E68&lt;&gt;0),IF(IFERROR((E67/E68),"")="","",(E67/E68)),INDIRECT("'update Helper'!D"&amp;AT67)/100)</f>
        <v>0.10306852092452046</v>
      </c>
      <c r="G67" s="552">
        <v>2021</v>
      </c>
      <c r="H67" s="512" t="s">
        <v>2192</v>
      </c>
      <c r="I67" s="545" t="str">
        <f>AN67</f>
        <v/>
      </c>
      <c r="J67" s="552" t="s">
        <v>2212</v>
      </c>
      <c r="K67" s="512" t="s">
        <v>323</v>
      </c>
      <c r="L67" s="141" t="s">
        <v>781</v>
      </c>
      <c r="M67" s="556" t="s">
        <v>650</v>
      </c>
      <c r="N67" s="140">
        <v>1624495</v>
      </c>
      <c r="O67" s="516">
        <v>0.40000004924607946</v>
      </c>
      <c r="P67" s="552"/>
      <c r="Q67" s="142">
        <v>1624495</v>
      </c>
      <c r="R67" s="516">
        <v>0.40000004924607946</v>
      </c>
      <c r="S67" s="552"/>
      <c r="T67" s="142">
        <v>1794776</v>
      </c>
      <c r="U67" s="516">
        <v>0.42500003551975585</v>
      </c>
      <c r="V67" s="552"/>
      <c r="W67" s="142">
        <v>1794776</v>
      </c>
      <c r="X67" s="516">
        <v>0.42500003551975585</v>
      </c>
      <c r="Y67" s="552"/>
      <c r="Z67" s="142">
        <v>1975830.5</v>
      </c>
      <c r="AA67" s="516">
        <v>0.4499999430619247</v>
      </c>
      <c r="AB67" s="552"/>
      <c r="AC67" s="142">
        <v>1975830.5</v>
      </c>
      <c r="AD67" s="516">
        <v>0.4499999430619247</v>
      </c>
      <c r="AE67" s="552"/>
      <c r="AF67" s="142"/>
      <c r="AG67" s="516"/>
      <c r="AH67" s="552"/>
      <c r="AI67" s="142"/>
      <c r="AJ67" s="516"/>
      <c r="AK67" s="552"/>
      <c r="AL67" s="512" t="s">
        <v>2214</v>
      </c>
      <c r="AM67" s="554" t="str">
        <f>IFERROR(IF(VLOOKUP(B67,'Reference Records'!$C$192:$D$250,2,FALSE)=0,"",VLOOKUP(B67,'Reference Records'!$C$192:$D$250,2,FALSE)),"")</f>
        <v>MCI-01304</v>
      </c>
      <c r="AN67" s="143" t="str">
        <f t="array" ref="AN67">IFERROR(IF(INDEX('Reference Records'!$D$88:$D$189,MATCH(LEFT(C67,255),LEFT('Reference Records'!$C$88:$C$189,255),0))=0,"",INDEX('Reference Records'!$D$88:$D$189,MATCH(LEFT(C67,255),LEFT('Reference Records'!$C$88:$C$189,255),0))),"")</f>
        <v/>
      </c>
      <c r="AO67" s="143" t="str">
        <f>CONCATENATE(C67,D67)</f>
        <v>VT-3 Percentage of women accessing antenatal care services who were tested for syphilis</v>
      </c>
      <c r="AP67" s="144" t="str">
        <f t="array" ref="AP67">VLOOKUP(LEFT(C67,255),LEFT('Reference Records'!C$87:G247,255),4,0)</f>
        <v>MCI-01532</v>
      </c>
      <c r="AQ67" s="144" t="e">
        <f>MATCH(AP67,'Reference Records'!$F$512:$F$514,0)+ROW(PopulationByCoverage)-1</f>
        <v>#N/A</v>
      </c>
      <c r="AR67" s="144">
        <f>MATCH(AP67,'Reference Records'!$F$512:$F$514,1)+ROW(PopulationByCoverage)-1</f>
        <v>513</v>
      </c>
      <c r="AS67" s="143" t="str">
        <f>C67&amp;D67</f>
        <v>VT-3 Percentage of women accessing antenatal care services who were tested for syphilis</v>
      </c>
      <c r="AT67" s="143">
        <f>ROW(Coverage_indicators__secton_D)+3</f>
        <v>454</v>
      </c>
      <c r="AU67" s="143">
        <f>ROW(Coverage_Indicator_Targets__section_D)+3</f>
        <v>529</v>
      </c>
      <c r="AV67" s="143" t="str">
        <f>CLEAN(IFERROR(LEFT(AY67, SEARCH(";",AY67,1)-1),""))</f>
        <v>Non cumulative</v>
      </c>
      <c r="AW67" s="143" t="str">
        <f>SUBSTITUTE(IFERROR(MID(AY67, SEARCH(";",AY67) + 1, SEARCH(";",AY67,SEARCH(";",AY67)+1) - SEARCH(";",AY67) - 1),""),CHAR(10),"")</f>
        <v/>
      </c>
      <c r="AX67" s="145" t="str">
        <f>CLEAN(IFERROR(SUBSTITUTE(RIGHT(AY67,LEN(AY67) - SEARCH(";", AY67, SEARCH(";",AY67) + 1)),";",""),""))</f>
        <v/>
      </c>
      <c r="AY67" s="143" t="str">
        <f t="array" ref="AY67">IFERROR(IF(VLOOKUP(LEFT(C67,255),LEFT('Reference Records'!$C$1:$K$539,255),9,0)=0,"",CONCATENATE(VLOOKUP(LEFT(C67,255),LEFT('Reference Records'!$C$1:$K$539,255),9,0),";")),"")</f>
        <v>Non cumulative;</v>
      </c>
      <c r="AZ67" s="555" t="str">
        <f>IF($BV67="", "", IF($BV67=TRUE, "Yes", "No"))</f>
        <v>No</v>
      </c>
      <c r="BA67" s="558" t="str">
        <f ca="1">IF($D67="", "",IF(IF(INDIRECT("'update Helper'!W"&amp;AT67)=0,"",INDIRECT("'update Helper'!W"&amp;AT67))=TRUE, "Yes","No"))</f>
        <v/>
      </c>
      <c r="BB67" s="468" t="str">
        <f ca="1">IF(AND(BS67="Continue",BU67="Continue"),"No Error",IF(AND(BS67&lt;&gt;"Continue",BU67="Continue"),BS67,IF(AND(BU67&lt;&gt;"Continue",BS67="Continue"),BU67,CONCATENATE(BS67,CHAR(10),BU67))))</f>
        <v>No Error</v>
      </c>
      <c r="BC67" s="508" t="str" cm="1">
        <f t="array" ref="BC67">IF(ISBLANK(C67),"Continue",(IF(IFERROR(_xlfn.XMATCH(C67,LEFT('Reference Records'!$C$87:$C$189,32768),0),0)&lt;&gt;0,"Continue","Invalid indicator entry. Select from dropdown list.")))</f>
        <v>Continue</v>
      </c>
      <c r="BD67" s="508" t="str">
        <f>IF(SUM(BE67:BM68)=0, "Continue", "Enter valid number only.")</f>
        <v>Continue</v>
      </c>
      <c r="BE67" s="146">
        <f>IF(NOT(ISBLANK(E67)),IF(E67&lt;&gt;"",(IF(NOT(ISNUMBER(E67)),1,0)),0),0)</f>
        <v>0</v>
      </c>
      <c r="BF67" s="146">
        <f>IF(NOT(ISBLANK(N67)),IF(N67&lt;&gt;"",(IF(NOT(ISNUMBER(N67)),1,0)),0),0)</f>
        <v>0</v>
      </c>
      <c r="BG67" s="146">
        <f>IF(NOT(ISBLANK(Q67)),IF(Q67&lt;&gt;"",(IF(NOT(ISNUMBER(Q67)),1,0)),0),0)</f>
        <v>0</v>
      </c>
      <c r="BH67" s="146">
        <f>IF(NOT(ISBLANK(T67)),IF(T67&lt;&gt;"",(IF(NOT(ISNUMBER(T67)),1,0)),0),0)</f>
        <v>0</v>
      </c>
      <c r="BI67" s="146">
        <f>IF(NOT(ISBLANK(W67)),IF(W67&lt;&gt;"",(IF(NOT(ISNUMBER(W67)),1,0)),0),0)</f>
        <v>0</v>
      </c>
      <c r="BJ67" s="146">
        <f>IF(NOT(ISBLANK(Z67)),IF(Z67&lt;&gt;"",(IF(NOT(ISNUMBER(Z67)),1,0)),0),0)</f>
        <v>0</v>
      </c>
      <c r="BK67" s="146">
        <f>IF(NOT(ISBLANK(AC67)),IF(AC67&lt;&gt;"",(IF(NOT(ISNUMBER(AC67)),1,0)),0),0)</f>
        <v>0</v>
      </c>
      <c r="BL67" s="146">
        <f>IF(NOT(ISBLANK(AF67)),IF(AF67&lt;&gt;"",(IF(NOT(ISNUMBER(AF67)),1,0)),0),0)</f>
        <v>0</v>
      </c>
      <c r="BM67" s="146">
        <f>IF(NOT(ISBLANK(AI67)),IF(AI67&lt;&gt;"",(IF(NOT(ISNUMBER(AI67)),1,0)),0),0)</f>
        <v>0</v>
      </c>
      <c r="BN67" s="467" t="str">
        <f>IF(NOT(ISBLANK(C67)),IF(C67&lt;&gt;"",IF(_xlfn.XLOOKUP(C67,'Reference Records'!$C$87:$C$189,'Reference Records'!$A$87:$A$189,0,0,1)=AM67,"Continue","Select correct module name."),"Continue"),"Continue")</f>
        <v>Continue</v>
      </c>
      <c r="BO67" s="467" t="str">
        <f ca="1">IF(AND(BC67="Continue",CG67="Continue"),"Continue",IF(AND(BC67&lt;&gt;"Continue",CG67="Continue"),BC67,IF(AND(CG67&lt;&gt;"Continue",BC67="Continue"),CG67,CONCATENATE(BC67,CHAR(10),CG67))))</f>
        <v>Continue</v>
      </c>
      <c r="BP67" s="467" t="str">
        <f ca="1">IF(AND((AZ67&lt;&gt;""),(BA67&lt;&gt;"")),"Reversed custom indicator selection not applicable. Value pre-populated in standard indicator column.","Continue")</f>
        <v>Continue</v>
      </c>
      <c r="BQ67" s="467" t="str">
        <f ca="1">IF(AND(BN67="Continue",BO67="Continue"),"Continue",
IF(AND(BN67&lt;&gt;"Continue",BO67="Continue"),BN67,
IF(AND(BO67&lt;&gt;"Continue",BN67="Continue"),BO67,
CONCATENATE(BN67,CHAR(10),BO67))))</f>
        <v>Continue</v>
      </c>
      <c r="BR67" s="508" t="str" cm="1">
        <f t="array" ref="BR67">IF(ISBLANK(B67),"Continue",(IF(IFERROR(_xlfn.XMATCH(B67,LEFT('Reference Records'!$J$191:$J$250,32768),0),0)&lt;&gt;0,"Continue","Invalid module entry. Select from dropdown list.")))</f>
        <v>Continue</v>
      </c>
      <c r="BS67" s="508" t="str">
        <f ca="1">IF(AND(BP67="Continue",BQ67="Continue"),"Continue",IF(AND(BP67&lt;&gt;"Continue",BQ67="Continue"),BP67,IF(AND(BQ67&lt;&gt;"Continue",BP67="Continue"),BQ67,CONCATENATE(BP67,CHAR(10),BQ67))))</f>
        <v>Continue</v>
      </c>
      <c r="BT67" s="508" t="str">
        <f>IF(AND(C67="",D67=""),"Continue",IF(AND(C67="",D67&lt;&gt;""),"Continue",IF(AND(C67&lt;&gt;"",D67=""),"Continue",IF(AND(C67&lt;&gt;"",D67&lt;&gt;""),"Cannot enter both standard and custom indicators on the same line."))))</f>
        <v>Continue</v>
      </c>
      <c r="BU67" s="508" t="str">
        <f>IF(AND(BR67="Continue",BT67="Continue"),"Continue",IF(AND(BR67&lt;&gt;"Continue",BT67="Continue"),BR67,IF(AND(BT67&lt;&gt;"Continue",BR67="Continue"),BT67,CONCATENATE(BR67,CHAR(10),BT67))))</f>
        <v>Continue</v>
      </c>
      <c r="BV67" s="538" t="b">
        <f>IFERROR(INDEX('Reference Records'!$L$87:$L$189,MATCH($C67,'Reference Records'!$C$87:$C$189,0)),"")</f>
        <v>0</v>
      </c>
      <c r="BW67" s="538">
        <f ca="1">IF(NOT(ISBLANK(F67)),IF(F67&lt;&gt;"",(IF(NOT(ISNUMBER(F67)),1,0)),0),0)</f>
        <v>0</v>
      </c>
      <c r="BX67" s="538">
        <f>IF(NOT(ISBLANK(O67)),IF(O67&lt;&gt;"",(IF(NOT(ISNUMBER(O67)),1,0)),0),0)</f>
        <v>0</v>
      </c>
      <c r="BY67" s="538">
        <f>IF(NOT(ISBLANK(R67)),IF(R67&lt;&gt;"",(IF(NOT(ISNUMBER(R67)),1,0)),0),0)</f>
        <v>0</v>
      </c>
      <c r="BZ67" s="538">
        <f>IF(NOT(ISBLANK(U67)),IF(U67&lt;&gt;"",(IF(NOT(ISNUMBER(U67)),1,0)),0),0)</f>
        <v>0</v>
      </c>
      <c r="CA67" s="538">
        <f>IF(NOT(ISBLANK(X67)),IF(X67&lt;&gt;"",(IF(NOT(ISNUMBER(X67)),1,0)),0),0)</f>
        <v>0</v>
      </c>
      <c r="CB67" s="538">
        <f>IF(NOT(ISBLANK(AA67)),IF(AA67&lt;&gt;"",(IF(NOT(ISNUMBER(AA67)),1,0)),0),0)</f>
        <v>0</v>
      </c>
      <c r="CC67" s="538">
        <f>IF(NOT(ISBLANK(AD67)),IF(AD67&lt;&gt;"",(IF(NOT(ISNUMBER(AD67)),1,0)),0),0)</f>
        <v>0</v>
      </c>
      <c r="CD67" s="538">
        <f>IF(NOT(ISBLANK(AG67)),IF(AG67&lt;&gt;"",(IF(NOT(ISNUMBER(AG67)),1,0)),0),0)</f>
        <v>0</v>
      </c>
      <c r="CE67" s="538">
        <f>IF(NOT(ISBLANK(AJ67)),IF(AJ67&lt;&gt;"",(IF(NOT(ISNUMBER(AJ67)),1,0)),0),0)</f>
        <v>0</v>
      </c>
      <c r="CF67" s="538" t="str">
        <f ca="1">IF(SUM(BW67:CE68)=0, "Continue", "Enter valid number only.")</f>
        <v>Continue</v>
      </c>
      <c r="CG67" s="538" t="str">
        <f ca="1">IF(AND(CF67="Continue",BD67="Continue"),"Continue",IF(AND(CF67&lt;&gt;"Continue",BD67="Continue"),CF67,IF(AND(BD67&lt;&gt;"Continue",CF67="Continue"),BD67,CONCATENATE(CF67,CHAR(10)))))</f>
        <v>Continue</v>
      </c>
      <c r="CI67" s="314" t="str">
        <f>IFERROR(IF('Overview - Section A'!$AN$5="Funding Request",
IF(AND('Reference Records'!$B$427&lt;&gt;"",$L67 ='Reference Records'!$B$427),'Reference Records'!$C$427,""),
INDEX('Reference Records'!$A$498:$C$499,MATCH($L67,'Reference Records'!$A$498:$A$499,0),3)),"")</f>
        <v>a1A360000013M2uEAE</v>
      </c>
      <c r="CJ67" s="314" t="str">
        <f>IFERROR(INDEX('Overview - Section A'!$H$102:$H$118,MATCH(IF($B67="", "--select--", $B67),'Overview - Section A'!$C$102:$C$118,0)),"")</f>
        <v>a1PDm000000LrDEMA0</v>
      </c>
      <c r="CK67" s="310" t="str" cm="1">
        <f t="array" ref="CK67">IFERROR(IF($C67="", "", VLOOKUP(LEFT($C67,255),LEFT('Reference Records'!$C$88:$G$189,255),5,0)),"")</f>
        <v>a1ODm000000Gny7MAC</v>
      </c>
    </row>
    <row r="68" spans="1:89" ht="30" customHeight="1">
      <c r="A68" s="523"/>
      <c r="B68" s="513"/>
      <c r="C68" s="513"/>
      <c r="D68" s="513"/>
      <c r="E68" s="140">
        <v>4273264</v>
      </c>
      <c r="F68" s="517"/>
      <c r="G68" s="553"/>
      <c r="H68" s="513"/>
      <c r="I68" s="546"/>
      <c r="J68" s="553"/>
      <c r="K68" s="513"/>
      <c r="L68" s="147" t="s">
        <v>651</v>
      </c>
      <c r="M68" s="557"/>
      <c r="N68" s="140">
        <v>4061237</v>
      </c>
      <c r="O68" s="517"/>
      <c r="P68" s="553"/>
      <c r="Q68" s="142">
        <v>4061237</v>
      </c>
      <c r="R68" s="517"/>
      <c r="S68" s="553"/>
      <c r="T68" s="142">
        <v>4223002</v>
      </c>
      <c r="U68" s="517"/>
      <c r="V68" s="553"/>
      <c r="W68" s="142">
        <v>4223002</v>
      </c>
      <c r="X68" s="517"/>
      <c r="Y68" s="553"/>
      <c r="Z68" s="142">
        <v>4390735</v>
      </c>
      <c r="AA68" s="517"/>
      <c r="AB68" s="553"/>
      <c r="AC68" s="142">
        <v>4390735</v>
      </c>
      <c r="AD68" s="517"/>
      <c r="AE68" s="553"/>
      <c r="AF68" s="142"/>
      <c r="AG68" s="517"/>
      <c r="AH68" s="553"/>
      <c r="AI68" s="142"/>
      <c r="AJ68" s="517"/>
      <c r="AK68" s="553"/>
      <c r="AL68" s="513"/>
      <c r="AM68" s="554"/>
      <c r="AN68" s="143"/>
      <c r="AO68" s="143"/>
      <c r="AP68" s="143"/>
      <c r="AQ68" s="143"/>
      <c r="AR68" s="143"/>
      <c r="AS68" s="143"/>
      <c r="AT68" s="143"/>
      <c r="AU68" s="143"/>
      <c r="AV68" s="143"/>
      <c r="AW68" s="143"/>
      <c r="AX68" s="145"/>
      <c r="AY68" s="143"/>
      <c r="AZ68" s="555"/>
      <c r="BA68" s="558"/>
      <c r="BB68" s="468"/>
      <c r="BC68" s="508"/>
      <c r="BD68" s="508"/>
      <c r="BE68" s="146">
        <f t="shared" ref="BE68:BE86" si="666">IF(NOT(ISBLANK(E68)),IF(E68&lt;&gt;"",(IF(NOT(ISNUMBER(E68)),1,0)),0),0)</f>
        <v>0</v>
      </c>
      <c r="BF68" s="146">
        <f t="shared" ref="BF68:BF86" si="667">IF(NOT(ISBLANK(N68)),IF(N68&lt;&gt;"",(IF(NOT(ISNUMBER(N68)),1,0)),0),0)</f>
        <v>0</v>
      </c>
      <c r="BG68" s="146">
        <f t="shared" ref="BG68:BG86" si="668">IF(NOT(ISBLANK(Q68)),IF(Q68&lt;&gt;"",(IF(NOT(ISNUMBER(Q68)),1,0)),0),0)</f>
        <v>0</v>
      </c>
      <c r="BH68" s="146">
        <f t="shared" ref="BH68:BH86" si="669">IF(NOT(ISBLANK(T68)),IF(T68&lt;&gt;"",(IF(NOT(ISNUMBER(T68)),1,0)),0),0)</f>
        <v>0</v>
      </c>
      <c r="BI68" s="146">
        <f t="shared" ref="BI68:BI86" si="670">IF(NOT(ISBLANK(W68)),IF(W68&lt;&gt;"",(IF(NOT(ISNUMBER(W68)),1,0)),0),0)</f>
        <v>0</v>
      </c>
      <c r="BJ68" s="146">
        <f t="shared" ref="BJ68:BJ86" si="671">IF(NOT(ISBLANK(Z68)),IF(Z68&lt;&gt;"",(IF(NOT(ISNUMBER(Z68)),1,0)),0),0)</f>
        <v>0</v>
      </c>
      <c r="BK68" s="146">
        <f t="shared" ref="BK68:BK86" si="672">IF(NOT(ISBLANK(AC68)),IF(AC68&lt;&gt;"",(IF(NOT(ISNUMBER(AC68)),1,0)),0),0)</f>
        <v>0</v>
      </c>
      <c r="BL68" s="146">
        <f t="shared" ref="BL68:BL86" si="673">IF(NOT(ISBLANK(AF68)),IF(AF68&lt;&gt;"",(IF(NOT(ISNUMBER(AF68)),1,0)),0),0)</f>
        <v>0</v>
      </c>
      <c r="BM68" s="146">
        <f t="shared" ref="BM68:BM86" si="674">IF(NOT(ISBLANK(AI68)),IF(AI68&lt;&gt;"",(IF(NOT(ISNUMBER(AI68)),1,0)),0),0)</f>
        <v>0</v>
      </c>
      <c r="BN68" s="467"/>
      <c r="BO68" s="467"/>
      <c r="BP68" s="467"/>
      <c r="BQ68" s="467"/>
      <c r="BR68" s="508"/>
      <c r="BS68" s="508"/>
      <c r="BT68" s="508"/>
      <c r="BU68" s="508"/>
      <c r="BV68" s="538"/>
      <c r="BW68" s="538"/>
      <c r="BX68" s="538"/>
      <c r="BY68" s="538"/>
      <c r="BZ68" s="538"/>
      <c r="CA68" s="538"/>
      <c r="CB68" s="538"/>
      <c r="CC68" s="538"/>
      <c r="CD68" s="538"/>
      <c r="CE68" s="538"/>
      <c r="CF68" s="538"/>
      <c r="CG68" s="538"/>
      <c r="CI68" s="314" t="str">
        <f>IFERROR(IF('Overview - Section A'!$AN$5="Funding Request",
IF(AND('Reference Records'!$B$427&lt;&gt;"",$L68 ='Reference Records'!$B$427),'Reference Records'!$C$427,""),
INDEX('Reference Records'!$A$498:$C$499,MATCH($L68,'Reference Records'!$A$498:$A$499,0),3)),"")</f>
        <v/>
      </c>
      <c r="CJ68" s="314" t="str">
        <f>IFERROR(INDEX('Overview - Section A'!$H$102:$H$118,MATCH(IF($B68="", "--select--", $B68),'Overview - Section A'!$C$102:$C$118,0)),"")</f>
        <v/>
      </c>
      <c r="CK68" s="310" t="str" cm="1">
        <f t="array" ref="CK68">IFERROR(IF($C68="", "", VLOOKUP(LEFT($C68,255),LEFT('Reference Records'!$C$88:$G$189,255),5,0)),"")</f>
        <v/>
      </c>
    </row>
    <row r="69" spans="1:89" ht="30" customHeight="1">
      <c r="A69" s="522">
        <v>31</v>
      </c>
      <c r="B69" s="528" t="s">
        <v>1484</v>
      </c>
      <c r="C69" s="528" t="s">
        <v>1201</v>
      </c>
      <c r="D69" s="528"/>
      <c r="E69" s="148">
        <v>444499</v>
      </c>
      <c r="F69" s="516">
        <f t="shared" ref="F69" ca="1" si="675">IF(OR(INDIRECT("'update Helper'!D"&amp;AT69)="",E69&lt;&gt;0,E70&lt;&gt;0),IF(IFERROR((E69/E70),"")="","",(E69/E70)),INDIRECT("'update Helper'!D"&amp;AT69)/100)</f>
        <v>0.86354492692441032</v>
      </c>
      <c r="G69" s="543">
        <v>2021</v>
      </c>
      <c r="H69" s="528" t="s">
        <v>2242</v>
      </c>
      <c r="I69" s="545" t="str">
        <f>AN69</f>
        <v>Gender</v>
      </c>
      <c r="J69" s="543" t="s">
        <v>2212</v>
      </c>
      <c r="K69" s="528" t="s">
        <v>323</v>
      </c>
      <c r="L69" s="149" t="s">
        <v>781</v>
      </c>
      <c r="M69" s="547" t="s">
        <v>652</v>
      </c>
      <c r="N69" s="148">
        <v>412741</v>
      </c>
      <c r="O69" s="524">
        <v>0.83974720565608285</v>
      </c>
      <c r="P69" s="543"/>
      <c r="Q69" s="150">
        <v>431891</v>
      </c>
      <c r="R69" s="524">
        <v>0.87870907033226953</v>
      </c>
      <c r="S69" s="543"/>
      <c r="T69" s="150">
        <v>444950</v>
      </c>
      <c r="U69" s="524">
        <v>0.90574058771256383</v>
      </c>
      <c r="V69" s="543"/>
      <c r="W69" s="150">
        <v>458009</v>
      </c>
      <c r="X69" s="524">
        <v>0.93232349890469401</v>
      </c>
      <c r="Y69" s="543"/>
      <c r="Z69" s="150">
        <v>466218</v>
      </c>
      <c r="AA69" s="524">
        <v>0.95257242856748825</v>
      </c>
      <c r="AB69" s="543"/>
      <c r="AC69" s="150">
        <v>474427</v>
      </c>
      <c r="AD69" s="524">
        <v>0.96934498360850019</v>
      </c>
      <c r="AE69" s="543"/>
      <c r="AF69" s="150"/>
      <c r="AG69" s="549"/>
      <c r="AH69" s="543"/>
      <c r="AI69" s="150"/>
      <c r="AJ69" s="549"/>
      <c r="AK69" s="543"/>
      <c r="AL69" s="528" t="s">
        <v>2215</v>
      </c>
      <c r="AM69" s="476" t="str">
        <f>IFERROR(IF(VLOOKUP(B69,'Reference Records'!$C$192:$D$250,2,FALSE)=0,"",VLOOKUP(B69,'Reference Records'!$C$192:$D$250,2,FALSE)),"")</f>
        <v>MCI-01306</v>
      </c>
      <c r="AN69" s="48" t="str">
        <f t="array" ref="AN69">IFERROR(IF(INDEX('Reference Records'!$D$88:$D$189,MATCH(LEFT(C69,255),LEFT('Reference Records'!$C$88:$C$189,255),0))=0,"",INDEX('Reference Records'!$D$88:$D$189,MATCH(LEFT(C69,255),LEFT('Reference Records'!$C$88:$C$189,255),0))),"")</f>
        <v>Gender</v>
      </c>
      <c r="AO69" s="48" t="str">
        <f>CONCATENATE(C69,D69)</f>
        <v>TCS-1.1 Percentage of people on ART among all people living with HIV at the end of the reporting period</v>
      </c>
      <c r="AP69" s="151" t="str">
        <f t="array" ref="AP69">VLOOKUP(LEFT(C69,255),LEFT('Reference Records'!C$87:G249,255),4,0)</f>
        <v>MCI-01533</v>
      </c>
      <c r="AQ69" s="151" t="e">
        <f>MATCH(AP69,'Reference Records'!$F$512:$F$514,0)+ROW(PopulationByCoverage)-1</f>
        <v>#N/A</v>
      </c>
      <c r="AR69" s="151">
        <f>MATCH(AP69,'Reference Records'!$F$512:$F$514,1)+ROW(PopulationByCoverage)-1</f>
        <v>513</v>
      </c>
      <c r="AS69" s="48" t="str">
        <f>C69&amp;D69</f>
        <v>TCS-1.1 Percentage of people on ART among all people living with HIV at the end of the reporting period</v>
      </c>
      <c r="AT69" s="48">
        <f>AT67+1</f>
        <v>455</v>
      </c>
      <c r="AU69" s="48">
        <f ca="1">AU67+'update Helper'!$T$2</f>
        <v>535.78260869565213</v>
      </c>
      <c r="AV69" s="48" t="str">
        <f t="shared" ref="AV69" si="676">CLEAN(IFERROR(LEFT(AY69, SEARCH(";",AY69,1)-1),""))</f>
        <v>Non cumulative – other</v>
      </c>
      <c r="AW69" s="48" t="str">
        <f t="shared" ref="AW69" si="677">SUBSTITUTE(IFERROR(MID(AY69, SEARCH(";",AY69) + 1, SEARCH(";",AY69,SEARCH(";",AY69)+1) - SEARCH(";",AY69) - 1),""),CHAR(10),"")</f>
        <v/>
      </c>
      <c r="AX69" s="152" t="str">
        <f t="shared" ref="AX69" si="678">CLEAN(IFERROR(SUBSTITUTE(RIGHT(AY69,LEN(AY69) - SEARCH(";", AY69, SEARCH(";",AY69) + 1)),";",""),""))</f>
        <v/>
      </c>
      <c r="AY69" s="48" t="str">
        <f t="array" ref="AY69">IFERROR(IF(VLOOKUP(LEFT(C69,255),LEFT('Reference Records'!$C$1:$K$539,255),9,0)=0,"",CONCATENATE(VLOOKUP(LEFT(C69,255),LEFT('Reference Records'!$C$1:$K$539,255),9,0),";")),"")</f>
        <v>Non cumulative – other;</v>
      </c>
      <c r="AZ69" s="551" t="str">
        <f>IF($BV69="", "", IF($BV69=TRUE, "Yes", "No"))</f>
        <v>No</v>
      </c>
      <c r="BA69" s="559" t="str">
        <f t="shared" ref="BA69" ca="1" si="679">IF($D69="", "",IF(IF(INDIRECT("'update Helper'!W"&amp;AT69)=0,"",INDIRECT("'update Helper'!W"&amp;AT69))=TRUE, "Yes","No"))</f>
        <v/>
      </c>
      <c r="BB69" s="541" t="str">
        <f t="shared" ref="BB69" ca="1" si="680">IF(AND(BS69="Continue",BU69="Continue"),"No Error",IF(AND(BS69&lt;&gt;"Continue",BU69="Continue"),BS69,IF(AND(BU69&lt;&gt;"Continue",BS69="Continue"),BU69,CONCATENATE(BS69,CHAR(10),BU69))))</f>
        <v>No Error</v>
      </c>
      <c r="BC69" s="508" t="str" cm="1">
        <f t="array" ref="BC69">IF(ISBLANK(C69),"Continue",(IF(IFERROR(_xlfn.XMATCH(C69,LEFT('Reference Records'!$C$87:$C$189,32768),0),0)&lt;&gt;0,"Continue","Invalid indicator entry. Select from dropdown list.")))</f>
        <v>Continue</v>
      </c>
      <c r="BD69" s="508" t="str">
        <f t="shared" ref="BD69" si="681">IF(SUM(BE69:BM70)=0, "Continue", "Enter valid number only.")</f>
        <v>Continue</v>
      </c>
      <c r="BE69" s="146">
        <f t="shared" si="666"/>
        <v>0</v>
      </c>
      <c r="BF69" s="146">
        <f t="shared" si="667"/>
        <v>0</v>
      </c>
      <c r="BG69" s="146">
        <f t="shared" si="668"/>
        <v>0</v>
      </c>
      <c r="BH69" s="146">
        <f t="shared" si="669"/>
        <v>0</v>
      </c>
      <c r="BI69" s="146">
        <f t="shared" si="670"/>
        <v>0</v>
      </c>
      <c r="BJ69" s="146">
        <f t="shared" si="671"/>
        <v>0</v>
      </c>
      <c r="BK69" s="146">
        <f t="shared" si="672"/>
        <v>0</v>
      </c>
      <c r="BL69" s="146">
        <f t="shared" si="673"/>
        <v>0</v>
      </c>
      <c r="BM69" s="146">
        <f t="shared" si="674"/>
        <v>0</v>
      </c>
      <c r="BN69" s="467" t="str">
        <f>IF(NOT(ISBLANK(C69)),IF(C69&lt;&gt;"",IF(_xlfn.XLOOKUP(C69,'Reference Records'!$C$87:$C$189,'Reference Records'!$A$87:$A$189,0,0,1)=AM69,"Continue","Select correct module name."),"Continue"),"Continue")</f>
        <v>Continue</v>
      </c>
      <c r="BO69" s="467" t="str">
        <f t="shared" ref="BO69" ca="1" si="682">IF(AND(BC69="Continue",CG69="Continue"),"Continue",IF(AND(BC69&lt;&gt;"Continue",CG69="Continue"),BC69,IF(AND(CG69&lt;&gt;"Continue",BC69="Continue"),CG69,CONCATENATE(BC69,CHAR(10),CG69))))</f>
        <v>Continue</v>
      </c>
      <c r="BP69" s="467" t="str">
        <f t="shared" ref="BP69" ca="1" si="683">IF(AND((AZ69&lt;&gt;""),(BA69&lt;&gt;"")),"Reversed custom indicator selection not applicable. Value pre-populated in standard indicator column.","Continue")</f>
        <v>Continue</v>
      </c>
      <c r="BQ69" s="467" t="str">
        <f t="shared" ref="BQ69" ca="1" si="684">IF(AND(BN69="Continue",BO69="Continue"),"Continue",
IF(AND(BN69&lt;&gt;"Continue",BO69="Continue"),BN69,
IF(AND(BO69&lt;&gt;"Continue",BN69="Continue"),BO69,
CONCATENATE(BN69,CHAR(10),BO69))))</f>
        <v>Continue</v>
      </c>
      <c r="BR69" s="508" t="str" cm="1">
        <f t="array" ref="BR69">IF(ISBLANK(B69),"Continue",(IF(IFERROR(_xlfn.XMATCH(B69,LEFT('Reference Records'!$J$191:$J$250,32768),0),0)&lt;&gt;0,"Continue","Invalid module entry. Select from dropdown list.")))</f>
        <v>Continue</v>
      </c>
      <c r="BS69" s="508" t="str">
        <f t="shared" ref="BS69" ca="1" si="685">IF(AND(BP69="Continue",BQ69="Continue"),"Continue",IF(AND(BP69&lt;&gt;"Continue",BQ69="Continue"),BP69,IF(AND(BQ69&lt;&gt;"Continue",BP69="Continue"),BQ69,CONCATENATE(BP69,CHAR(10),BQ69))))</f>
        <v>Continue</v>
      </c>
      <c r="BT69" s="508" t="str">
        <f t="shared" ref="BT69" si="686">IF(AND(C69="",D69=""),"Continue",IF(AND(C69="",D69&lt;&gt;""),"Continue",IF(AND(C69&lt;&gt;"",D69=""),"Continue",IF(AND(C69&lt;&gt;"",D69&lt;&gt;""),"Cannot enter both standard and custom indicators on the same line."))))</f>
        <v>Continue</v>
      </c>
      <c r="BU69" s="508" t="str">
        <f t="shared" ref="BU69" si="687">IF(AND(BR69="Continue",BT69="Continue"),"Continue",IF(AND(BR69&lt;&gt;"Continue",BT69="Continue"),BR69,IF(AND(BT69&lt;&gt;"Continue",BR69="Continue"),BT69,CONCATENATE(BR69,CHAR(10),BT69))))</f>
        <v>Continue</v>
      </c>
      <c r="BV69" s="538" t="b">
        <f>IFERROR(INDEX('Reference Records'!$L$87:$L$189,MATCH($C69,'Reference Records'!$C$87:$C$189,0)),"")</f>
        <v>0</v>
      </c>
      <c r="BW69" s="538">
        <f t="shared" ref="BW69" ca="1" si="688">IF(NOT(ISBLANK(F69)),IF(F69&lt;&gt;"",(IF(NOT(ISNUMBER(F69)),1,0)),0),0)</f>
        <v>0</v>
      </c>
      <c r="BX69" s="538">
        <f t="shared" ref="BX69" si="689">IF(NOT(ISBLANK(O69)),IF(O69&lt;&gt;"",(IF(NOT(ISNUMBER(O69)),1,0)),0),0)</f>
        <v>0</v>
      </c>
      <c r="BY69" s="538">
        <f t="shared" ref="BY69" si="690">IF(NOT(ISBLANK(R69)),IF(R69&lt;&gt;"",(IF(NOT(ISNUMBER(R69)),1,0)),0),0)</f>
        <v>0</v>
      </c>
      <c r="BZ69" s="538">
        <f t="shared" ref="BZ69" si="691">IF(NOT(ISBLANK(U69)),IF(U69&lt;&gt;"",(IF(NOT(ISNUMBER(U69)),1,0)),0),0)</f>
        <v>0</v>
      </c>
      <c r="CA69" s="538">
        <f t="shared" ref="CA69" si="692">IF(NOT(ISBLANK(X69)),IF(X69&lt;&gt;"",(IF(NOT(ISNUMBER(X69)),1,0)),0),0)</f>
        <v>0</v>
      </c>
      <c r="CB69" s="538">
        <f t="shared" ref="CB69" si="693">IF(NOT(ISBLANK(AA69)),IF(AA69&lt;&gt;"",(IF(NOT(ISNUMBER(AA69)),1,0)),0),0)</f>
        <v>0</v>
      </c>
      <c r="CC69" s="538">
        <f t="shared" ref="CC69" si="694">IF(NOT(ISBLANK(AD69)),IF(AD69&lt;&gt;"",(IF(NOT(ISNUMBER(AD69)),1,0)),0),0)</f>
        <v>0</v>
      </c>
      <c r="CD69" s="538">
        <f t="shared" ref="CD69" si="695">IF(NOT(ISBLANK(AG69)),IF(AG69&lt;&gt;"",(IF(NOT(ISNUMBER(AG69)),1,0)),0),0)</f>
        <v>0</v>
      </c>
      <c r="CE69" s="538">
        <f t="shared" ref="CE69" si="696">IF(NOT(ISBLANK(AJ69)),IF(AJ69&lt;&gt;"",(IF(NOT(ISNUMBER(AJ69)),1,0)),0),0)</f>
        <v>0</v>
      </c>
      <c r="CF69" s="538" t="str">
        <f t="shared" ref="CF69" ca="1" si="697">IF(SUM(BW69:CE70)=0, "Continue", "Enter valid number only.")</f>
        <v>Continue</v>
      </c>
      <c r="CG69" s="538" t="str">
        <f t="shared" ref="CG69" ca="1" si="698">IF(AND(CF69="Continue",BD69="Continue"),"Continue",IF(AND(CF69&lt;&gt;"Continue",BD69="Continue"),CF69,IF(AND(BD69&lt;&gt;"Continue",CF69="Continue"),BD69,CONCATENATE(CF69,CHAR(10)))))</f>
        <v>Continue</v>
      </c>
      <c r="CI69" s="314" t="str">
        <f>IFERROR(IF('Overview - Section A'!$AN$5="Funding Request",
IF(AND('Reference Records'!$B$427&lt;&gt;"",$L69 ='Reference Records'!$B$427),'Reference Records'!$C$427,""),
INDEX('Reference Records'!$A$498:$C$499,MATCH($L69,'Reference Records'!$A$498:$A$499,0),3)),"")</f>
        <v>a1A360000013M2uEAE</v>
      </c>
      <c r="CJ69" s="314" t="str">
        <f>IFERROR(INDEX('Overview - Section A'!$H$102:$H$118,MATCH(IF($B69="", "--select--", $B69),'Overview - Section A'!$C$102:$C$118,0)),"")</f>
        <v>a1PDm000000LrDGMA0</v>
      </c>
      <c r="CK69" s="310" t="str" cm="1">
        <f t="array" ref="CK69">IFERROR(IF($C69="", "", VLOOKUP(LEFT($C69,255),LEFT('Reference Records'!$C$88:$G$189,255),5,0)),"")</f>
        <v>a1ODm000000Gny8MAC</v>
      </c>
    </row>
    <row r="70" spans="1:89" ht="30" customHeight="1">
      <c r="A70" s="523"/>
      <c r="B70" s="529"/>
      <c r="C70" s="529"/>
      <c r="D70" s="529"/>
      <c r="E70" s="148">
        <v>514737.55</v>
      </c>
      <c r="F70" s="517"/>
      <c r="G70" s="544"/>
      <c r="H70" s="529"/>
      <c r="I70" s="546"/>
      <c r="J70" s="544"/>
      <c r="K70" s="529"/>
      <c r="L70" s="153" t="s">
        <v>651</v>
      </c>
      <c r="M70" s="548"/>
      <c r="N70" s="148">
        <v>491506.24999999994</v>
      </c>
      <c r="O70" s="525"/>
      <c r="P70" s="544"/>
      <c r="Q70" s="150">
        <v>491506.24999999994</v>
      </c>
      <c r="R70" s="525"/>
      <c r="S70" s="544"/>
      <c r="T70" s="150">
        <v>491255.45</v>
      </c>
      <c r="U70" s="525"/>
      <c r="V70" s="544"/>
      <c r="W70" s="150">
        <v>491255.45</v>
      </c>
      <c r="X70" s="525"/>
      <c r="Y70" s="544"/>
      <c r="Z70" s="150">
        <v>489430.49999999994</v>
      </c>
      <c r="AA70" s="525"/>
      <c r="AB70" s="544"/>
      <c r="AC70" s="150">
        <v>489430.49999999994</v>
      </c>
      <c r="AD70" s="525"/>
      <c r="AE70" s="544"/>
      <c r="AF70" s="150"/>
      <c r="AG70" s="550"/>
      <c r="AH70" s="544"/>
      <c r="AI70" s="150"/>
      <c r="AJ70" s="550"/>
      <c r="AK70" s="544"/>
      <c r="AL70" s="529"/>
      <c r="AM70" s="476"/>
      <c r="AX70" s="152"/>
      <c r="AZ70" s="551"/>
      <c r="BA70" s="559"/>
      <c r="BB70" s="542"/>
      <c r="BC70" s="508"/>
      <c r="BD70" s="508"/>
      <c r="BE70" s="146">
        <f t="shared" si="666"/>
        <v>0</v>
      </c>
      <c r="BF70" s="146">
        <f t="shared" si="667"/>
        <v>0</v>
      </c>
      <c r="BG70" s="146">
        <f t="shared" si="668"/>
        <v>0</v>
      </c>
      <c r="BH70" s="146">
        <f t="shared" si="669"/>
        <v>0</v>
      </c>
      <c r="BI70" s="146">
        <f t="shared" si="670"/>
        <v>0</v>
      </c>
      <c r="BJ70" s="146">
        <f t="shared" si="671"/>
        <v>0</v>
      </c>
      <c r="BK70" s="146">
        <f t="shared" si="672"/>
        <v>0</v>
      </c>
      <c r="BL70" s="146">
        <f t="shared" si="673"/>
        <v>0</v>
      </c>
      <c r="BM70" s="146">
        <f t="shared" si="674"/>
        <v>0</v>
      </c>
      <c r="BN70" s="467"/>
      <c r="BO70" s="467"/>
      <c r="BP70" s="467"/>
      <c r="BQ70" s="467"/>
      <c r="BR70" s="508"/>
      <c r="BS70" s="508"/>
      <c r="BT70" s="508"/>
      <c r="BU70" s="508"/>
      <c r="BV70" s="538"/>
      <c r="BW70" s="538"/>
      <c r="BX70" s="538"/>
      <c r="BY70" s="538"/>
      <c r="BZ70" s="538"/>
      <c r="CA70" s="538"/>
      <c r="CB70" s="538"/>
      <c r="CC70" s="538"/>
      <c r="CD70" s="538"/>
      <c r="CE70" s="538"/>
      <c r="CF70" s="538"/>
      <c r="CG70" s="538"/>
      <c r="CI70" s="314" t="str">
        <f>IFERROR(IF('Overview - Section A'!$AN$5="Funding Request",
IF(AND('Reference Records'!$B$427&lt;&gt;"",$L70 ='Reference Records'!$B$427),'Reference Records'!$C$427,""),
INDEX('Reference Records'!$A$498:$C$499,MATCH($L70,'Reference Records'!$A$498:$A$499,0),3)),"")</f>
        <v/>
      </c>
      <c r="CJ70" s="314" t="str">
        <f>IFERROR(INDEX('Overview - Section A'!$H$102:$H$118,MATCH(IF($B70="", "--select--", $B70),'Overview - Section A'!$C$102:$C$118,0)),"")</f>
        <v/>
      </c>
      <c r="CK70" s="310" t="str" cm="1">
        <f t="array" ref="CK70">IFERROR(IF($C70="", "", VLOOKUP(LEFT($C70,255),LEFT('Reference Records'!$C$88:$G$189,255),5,0)),"")</f>
        <v/>
      </c>
    </row>
    <row r="71" spans="1:89" ht="30" customHeight="1">
      <c r="A71" s="522">
        <v>32</v>
      </c>
      <c r="B71" s="512" t="s">
        <v>1484</v>
      </c>
      <c r="C71" s="512" t="s">
        <v>1204</v>
      </c>
      <c r="D71" s="512"/>
      <c r="E71" s="140">
        <v>420364</v>
      </c>
      <c r="F71" s="516">
        <f t="shared" ref="F71" ca="1" si="699">IF(OR(INDIRECT("'update Helper'!D"&amp;AT71)="",E71&lt;&gt;0,E72&lt;&gt;0),IF(IFERROR((E71/E72),"")="","",(E71/E72)),INDIRECT("'update Helper'!D"&amp;AT71)/100)</f>
        <v>0.9239393651329183</v>
      </c>
      <c r="G71" s="552">
        <v>2021</v>
      </c>
      <c r="H71" s="512" t="s">
        <v>2242</v>
      </c>
      <c r="I71" s="545" t="str">
        <f>AN71</f>
        <v>Gender</v>
      </c>
      <c r="J71" s="552" t="s">
        <v>2212</v>
      </c>
      <c r="K71" s="512" t="s">
        <v>323</v>
      </c>
      <c r="L71" s="141" t="s">
        <v>781</v>
      </c>
      <c r="M71" s="556" t="s">
        <v>652</v>
      </c>
      <c r="N71" s="140">
        <v>378133</v>
      </c>
      <c r="O71" s="516">
        <v>0.92651112145106285</v>
      </c>
      <c r="P71" s="552"/>
      <c r="Q71" s="142">
        <v>385493</v>
      </c>
      <c r="R71" s="516">
        <v>0.94454478117893592</v>
      </c>
      <c r="S71" s="552"/>
      <c r="T71" s="142">
        <v>394183.5</v>
      </c>
      <c r="U71" s="516">
        <v>0.96059729135316585</v>
      </c>
      <c r="V71" s="552"/>
      <c r="W71" s="142">
        <v>402874</v>
      </c>
      <c r="X71" s="516">
        <v>0.98177542478722557</v>
      </c>
      <c r="Y71" s="552"/>
      <c r="Z71" s="142">
        <v>407404.5</v>
      </c>
      <c r="AA71" s="516">
        <v>0.9889763370483462</v>
      </c>
      <c r="AB71" s="552"/>
      <c r="AC71" s="142">
        <v>411935</v>
      </c>
      <c r="AD71" s="516">
        <v>0.99997414707498433</v>
      </c>
      <c r="AE71" s="552"/>
      <c r="AF71" s="142"/>
      <c r="AG71" s="516"/>
      <c r="AH71" s="552"/>
      <c r="AI71" s="142"/>
      <c r="AJ71" s="516"/>
      <c r="AK71" s="552"/>
      <c r="AL71" s="512" t="s">
        <v>2216</v>
      </c>
      <c r="AM71" s="554" t="str">
        <f>IFERROR(IF(VLOOKUP(B71,'Reference Records'!$C$192:$D$250,2,FALSE)=0,"",VLOOKUP(B71,'Reference Records'!$C$192:$D$250,2,FALSE)),"")</f>
        <v>MCI-01306</v>
      </c>
      <c r="AN71" s="143" t="str">
        <f t="array" ref="AN71">IFERROR(IF(INDEX('Reference Records'!$D$88:$D$189,MATCH(LEFT(C71,255),LEFT('Reference Records'!$C$88:$C$189,255),0))=0,"",INDEX('Reference Records'!$D$88:$D$189,MATCH(LEFT(C71,255),LEFT('Reference Records'!$C$88:$C$189,255),0))),"")</f>
        <v>Gender</v>
      </c>
      <c r="AO71" s="143" t="str">
        <f>CONCATENATE(C71,D71)</f>
        <v>TCS-1b Percentage of adults (15 and above) on ART among all adults living with HIV at the end of the reporting period</v>
      </c>
      <c r="AP71" s="144" t="str">
        <f t="array" ref="AP71">VLOOKUP(LEFT(C71,255),LEFT('Reference Records'!C$87:G301,255),4,0)</f>
        <v>MCI-01534</v>
      </c>
      <c r="AQ71" s="144" t="e">
        <f>MATCH(AP71,'Reference Records'!$F$512:$F$514,0)+ROW(PopulationByCoverage)-1</f>
        <v>#N/A</v>
      </c>
      <c r="AR71" s="144">
        <f>MATCH(AP71,'Reference Records'!$F$512:$F$514,1)+ROW(PopulationByCoverage)-1</f>
        <v>513</v>
      </c>
      <c r="AS71" s="143" t="str">
        <f>C71&amp;D71</f>
        <v>TCS-1b Percentage of adults (15 and above) on ART among all adults living with HIV at the end of the reporting period</v>
      </c>
      <c r="AT71" s="143">
        <f t="shared" ref="AT71" si="700">AT69+1</f>
        <v>456</v>
      </c>
      <c r="AU71" s="143">
        <f ca="1">AU69+'update Helper'!$T$2</f>
        <v>542.56521739130426</v>
      </c>
      <c r="AV71" s="143" t="str">
        <f t="shared" ref="AV71" si="701">CLEAN(IFERROR(LEFT(AY71, SEARCH(";",AY71,1)-1),""))</f>
        <v>Non cumulative – other</v>
      </c>
      <c r="AW71" s="143" t="str">
        <f t="shared" ref="AW71" si="702">SUBSTITUTE(IFERROR(MID(AY71, SEARCH(";",AY71) + 1, SEARCH(";",AY71,SEARCH(";",AY71)+1) - SEARCH(";",AY71) - 1),""),CHAR(10),"")</f>
        <v/>
      </c>
      <c r="AX71" s="145" t="str">
        <f t="shared" ref="AX71" si="703">CLEAN(IFERROR(SUBSTITUTE(RIGHT(AY71,LEN(AY71) - SEARCH(";", AY71, SEARCH(";",AY71) + 1)),";",""),""))</f>
        <v/>
      </c>
      <c r="AY71" s="143" t="str">
        <f t="array" ref="AY71">IFERROR(IF(VLOOKUP(LEFT(C71,255),LEFT('Reference Records'!$C$1:$K$539,255),9,0)=0,"",CONCATENATE(VLOOKUP(LEFT(C71,255),LEFT('Reference Records'!$C$1:$K$539,255),9,0),";")),"")</f>
        <v>Non cumulative – other;</v>
      </c>
      <c r="AZ71" s="555" t="str">
        <f>IF($BV71="", "", IF($BV71=TRUE, "Yes", "No"))</f>
        <v>No</v>
      </c>
      <c r="BA71" s="558" t="str">
        <f t="shared" ref="BA71" ca="1" si="704">IF($D71="", "",IF(IF(INDIRECT("'update Helper'!W"&amp;AT71)=0,"",INDIRECT("'update Helper'!W"&amp;AT71))=TRUE, "Yes","No"))</f>
        <v/>
      </c>
      <c r="BB71" s="541" t="str">
        <f t="shared" ref="BB71" ca="1" si="705">IF(AND(BS71="Continue",BU71="Continue"),"No Error",IF(AND(BS71&lt;&gt;"Continue",BU71="Continue"),BS71,IF(AND(BU71&lt;&gt;"Continue",BS71="Continue"),BU71,CONCATENATE(BS71,CHAR(10),BU71))))</f>
        <v>No Error</v>
      </c>
      <c r="BC71" s="508" t="str" cm="1">
        <f t="array" ref="BC71">IF(ISBLANK(C71),"Continue",(IF(IFERROR(_xlfn.XMATCH(C71,LEFT('Reference Records'!$C$87:$C$189,32768),0),0)&lt;&gt;0,"Continue","Invalid indicator entry. Select from dropdown list.")))</f>
        <v>Continue</v>
      </c>
      <c r="BD71" s="508" t="str">
        <f t="shared" ref="BD71" si="706">IF(SUM(BE71:BM72)=0, "Continue", "Enter valid number only.")</f>
        <v>Continue</v>
      </c>
      <c r="BE71" s="146">
        <f t="shared" si="666"/>
        <v>0</v>
      </c>
      <c r="BF71" s="146">
        <f t="shared" si="667"/>
        <v>0</v>
      </c>
      <c r="BG71" s="146">
        <f t="shared" si="668"/>
        <v>0</v>
      </c>
      <c r="BH71" s="146">
        <f t="shared" si="669"/>
        <v>0</v>
      </c>
      <c r="BI71" s="146">
        <f t="shared" si="670"/>
        <v>0</v>
      </c>
      <c r="BJ71" s="146">
        <f t="shared" si="671"/>
        <v>0</v>
      </c>
      <c r="BK71" s="146">
        <f t="shared" si="672"/>
        <v>0</v>
      </c>
      <c r="BL71" s="146">
        <f t="shared" si="673"/>
        <v>0</v>
      </c>
      <c r="BM71" s="146">
        <f t="shared" si="674"/>
        <v>0</v>
      </c>
      <c r="BN71" s="467" t="str">
        <f>IF(NOT(ISBLANK(C71)),IF(C71&lt;&gt;"",IF(_xlfn.XLOOKUP(C71,'Reference Records'!$C$87:$C$189,'Reference Records'!$A$87:$A$189,0,0,1)=AM71,"Continue","Select correct module name."),"Continue"),"Continue")</f>
        <v>Continue</v>
      </c>
      <c r="BO71" s="467" t="str">
        <f t="shared" ref="BO71" ca="1" si="707">IF(AND(BC71="Continue",CG71="Continue"),"Continue",IF(AND(BC71&lt;&gt;"Continue",CG71="Continue"),BC71,IF(AND(CG71&lt;&gt;"Continue",BC71="Continue"),CG71,CONCATENATE(BC71,CHAR(10),CG71))))</f>
        <v>Continue</v>
      </c>
      <c r="BP71" s="467" t="str">
        <f t="shared" ref="BP71" ca="1" si="708">IF(AND((AZ71&lt;&gt;""),(BA71&lt;&gt;"")),"Reversed custom indicator selection not applicable. Value pre-populated in standard indicator column.","Continue")</f>
        <v>Continue</v>
      </c>
      <c r="BQ71" s="467" t="str">
        <f t="shared" ref="BQ71" ca="1" si="709">IF(AND(BN71="Continue",BO71="Continue"),"Continue",
IF(AND(BN71&lt;&gt;"Continue",BO71="Continue"),BN71,
IF(AND(BO71&lt;&gt;"Continue",BN71="Continue"),BO71,
CONCATENATE(BN71,CHAR(10),BO71))))</f>
        <v>Continue</v>
      </c>
      <c r="BR71" s="508" t="str" cm="1">
        <f t="array" ref="BR71">IF(ISBLANK(B71),"Continue",(IF(IFERROR(_xlfn.XMATCH(B71,LEFT('Reference Records'!$J$191:$J$250,32768),0),0)&lt;&gt;0,"Continue","Invalid module entry. Select from dropdown list.")))</f>
        <v>Continue</v>
      </c>
      <c r="BS71" s="508" t="str">
        <f t="shared" ref="BS71" ca="1" si="710">IF(AND(BP71="Continue",BQ71="Continue"),"Continue",IF(AND(BP71&lt;&gt;"Continue",BQ71="Continue"),BP71,IF(AND(BQ71&lt;&gt;"Continue",BP71="Continue"),BQ71,CONCATENATE(BP71,CHAR(10),BQ71))))</f>
        <v>Continue</v>
      </c>
      <c r="BT71" s="508" t="str">
        <f t="shared" ref="BT71" si="711">IF(AND(C71="",D71=""),"Continue",IF(AND(C71="",D71&lt;&gt;""),"Continue",IF(AND(C71&lt;&gt;"",D71=""),"Continue",IF(AND(C71&lt;&gt;"",D71&lt;&gt;""),"Cannot enter both standard and custom indicators on the same line."))))</f>
        <v>Continue</v>
      </c>
      <c r="BU71" s="508" t="str">
        <f t="shared" ref="BU71" si="712">IF(AND(BR71="Continue",BT71="Continue"),"Continue",IF(AND(BR71&lt;&gt;"Continue",BT71="Continue"),BR71,IF(AND(BT71&lt;&gt;"Continue",BR71="Continue"),BT71,CONCATENATE(BR71,CHAR(10),BT71))))</f>
        <v>Continue</v>
      </c>
      <c r="BV71" s="538" t="b">
        <f>IFERROR(INDEX('Reference Records'!$L$87:$L$189,MATCH($C71,'Reference Records'!$C$87:$C$189,0)),"")</f>
        <v>0</v>
      </c>
      <c r="BW71" s="538">
        <f t="shared" ref="BW71" ca="1" si="713">IF(NOT(ISBLANK(F71)),IF(F71&lt;&gt;"",(IF(NOT(ISNUMBER(F71)),1,0)),0),0)</f>
        <v>0</v>
      </c>
      <c r="BX71" s="538">
        <f t="shared" ref="BX71" si="714">IF(NOT(ISBLANK(O71)),IF(O71&lt;&gt;"",(IF(NOT(ISNUMBER(O71)),1,0)),0),0)</f>
        <v>0</v>
      </c>
      <c r="BY71" s="538">
        <f t="shared" ref="BY71" si="715">IF(NOT(ISBLANK(R71)),IF(R71&lt;&gt;"",(IF(NOT(ISNUMBER(R71)),1,0)),0),0)</f>
        <v>0</v>
      </c>
      <c r="BZ71" s="538">
        <f t="shared" ref="BZ71" si="716">IF(NOT(ISBLANK(U71)),IF(U71&lt;&gt;"",(IF(NOT(ISNUMBER(U71)),1,0)),0),0)</f>
        <v>0</v>
      </c>
      <c r="CA71" s="538">
        <f t="shared" ref="CA71" si="717">IF(NOT(ISBLANK(X71)),IF(X71&lt;&gt;"",(IF(NOT(ISNUMBER(X71)),1,0)),0),0)</f>
        <v>0</v>
      </c>
      <c r="CB71" s="538">
        <f t="shared" ref="CB71" si="718">IF(NOT(ISBLANK(AA71)),IF(AA71&lt;&gt;"",(IF(NOT(ISNUMBER(AA71)),1,0)),0),0)</f>
        <v>0</v>
      </c>
      <c r="CC71" s="538">
        <f t="shared" ref="CC71" si="719">IF(NOT(ISBLANK(AD71)),IF(AD71&lt;&gt;"",(IF(NOT(ISNUMBER(AD71)),1,0)),0),0)</f>
        <v>0</v>
      </c>
      <c r="CD71" s="538">
        <f t="shared" ref="CD71" si="720">IF(NOT(ISBLANK(AG71)),IF(AG71&lt;&gt;"",(IF(NOT(ISNUMBER(AG71)),1,0)),0),0)</f>
        <v>0</v>
      </c>
      <c r="CE71" s="538">
        <f t="shared" ref="CE71" si="721">IF(NOT(ISBLANK(AJ71)),IF(AJ71&lt;&gt;"",(IF(NOT(ISNUMBER(AJ71)),1,0)),0),0)</f>
        <v>0</v>
      </c>
      <c r="CF71" s="538" t="str">
        <f t="shared" ref="CF71" ca="1" si="722">IF(SUM(BW71:CE72)=0, "Continue", "Enter valid number only.")</f>
        <v>Continue</v>
      </c>
      <c r="CG71" s="538" t="str">
        <f t="shared" ref="CG71" ca="1" si="723">IF(AND(CF71="Continue",BD71="Continue"),"Continue",IF(AND(CF71&lt;&gt;"Continue",BD71="Continue"),CF71,IF(AND(BD71&lt;&gt;"Continue",CF71="Continue"),BD71,CONCATENATE(CF71,CHAR(10)))))</f>
        <v>Continue</v>
      </c>
      <c r="CI71" s="314" t="str">
        <f>IFERROR(IF('Overview - Section A'!$AN$5="Funding Request",
IF(AND('Reference Records'!$B$427&lt;&gt;"",$L71 ='Reference Records'!$B$427),'Reference Records'!$C$427,""),
INDEX('Reference Records'!$A$498:$C$499,MATCH($L71,'Reference Records'!$A$498:$A$499,0),3)),"")</f>
        <v>a1A360000013M2uEAE</v>
      </c>
      <c r="CJ71" s="314" t="str">
        <f>IFERROR(INDEX('Overview - Section A'!$H$102:$H$118,MATCH(IF($B71="", "--select--", $B71),'Overview - Section A'!$C$102:$C$118,0)),"")</f>
        <v>a1PDm000000LrDGMA0</v>
      </c>
      <c r="CK71" s="310" t="str" cm="1">
        <f t="array" ref="CK71">IFERROR(IF($C71="", "", VLOOKUP(LEFT($C71,255),LEFT('Reference Records'!$C$88:$G$189,255),5,0)),"")</f>
        <v>a1ODm000000Gny9MAC</v>
      </c>
    </row>
    <row r="72" spans="1:89" ht="30" customHeight="1">
      <c r="A72" s="523"/>
      <c r="B72" s="513"/>
      <c r="C72" s="513"/>
      <c r="D72" s="513"/>
      <c r="E72" s="140">
        <v>454969.25</v>
      </c>
      <c r="F72" s="517"/>
      <c r="G72" s="553"/>
      <c r="H72" s="513"/>
      <c r="I72" s="546"/>
      <c r="J72" s="553"/>
      <c r="K72" s="513"/>
      <c r="L72" s="147" t="s">
        <v>651</v>
      </c>
      <c r="M72" s="557"/>
      <c r="N72" s="140">
        <v>408125.69999999995</v>
      </c>
      <c r="O72" s="517"/>
      <c r="P72" s="553"/>
      <c r="Q72" s="142">
        <v>408125.69999999995</v>
      </c>
      <c r="R72" s="517"/>
      <c r="S72" s="553"/>
      <c r="T72" s="142">
        <v>410352.5</v>
      </c>
      <c r="U72" s="517"/>
      <c r="V72" s="553"/>
      <c r="W72" s="142">
        <v>410352.5</v>
      </c>
      <c r="X72" s="517"/>
      <c r="Y72" s="553"/>
      <c r="Z72" s="142">
        <v>411945.64999999997</v>
      </c>
      <c r="AA72" s="517"/>
      <c r="AB72" s="553"/>
      <c r="AC72" s="142">
        <v>411945.64999999997</v>
      </c>
      <c r="AD72" s="517"/>
      <c r="AE72" s="553"/>
      <c r="AF72" s="142"/>
      <c r="AG72" s="517"/>
      <c r="AH72" s="553"/>
      <c r="AI72" s="142"/>
      <c r="AJ72" s="517"/>
      <c r="AK72" s="553"/>
      <c r="AL72" s="513"/>
      <c r="AM72" s="554"/>
      <c r="AN72" s="143"/>
      <c r="AO72" s="143"/>
      <c r="AP72" s="143"/>
      <c r="AQ72" s="143"/>
      <c r="AR72" s="143"/>
      <c r="AS72" s="143"/>
      <c r="AT72" s="143"/>
      <c r="AU72" s="143"/>
      <c r="AV72" s="143"/>
      <c r="AW72" s="143"/>
      <c r="AX72" s="145"/>
      <c r="AY72" s="143"/>
      <c r="AZ72" s="555"/>
      <c r="BA72" s="558"/>
      <c r="BB72" s="542"/>
      <c r="BC72" s="508"/>
      <c r="BD72" s="508"/>
      <c r="BE72" s="146">
        <f t="shared" si="666"/>
        <v>0</v>
      </c>
      <c r="BF72" s="146">
        <f t="shared" si="667"/>
        <v>0</v>
      </c>
      <c r="BG72" s="146">
        <f t="shared" si="668"/>
        <v>0</v>
      </c>
      <c r="BH72" s="146">
        <f t="shared" si="669"/>
        <v>0</v>
      </c>
      <c r="BI72" s="146">
        <f t="shared" si="670"/>
        <v>0</v>
      </c>
      <c r="BJ72" s="146">
        <f t="shared" si="671"/>
        <v>0</v>
      </c>
      <c r="BK72" s="146">
        <f t="shared" si="672"/>
        <v>0</v>
      </c>
      <c r="BL72" s="146">
        <f t="shared" si="673"/>
        <v>0</v>
      </c>
      <c r="BM72" s="146">
        <f t="shared" si="674"/>
        <v>0</v>
      </c>
      <c r="BN72" s="467"/>
      <c r="BO72" s="467"/>
      <c r="BP72" s="467"/>
      <c r="BQ72" s="467"/>
      <c r="BR72" s="508"/>
      <c r="BS72" s="508"/>
      <c r="BT72" s="508"/>
      <c r="BU72" s="508"/>
      <c r="BV72" s="538"/>
      <c r="BW72" s="538"/>
      <c r="BX72" s="538"/>
      <c r="BY72" s="538"/>
      <c r="BZ72" s="538"/>
      <c r="CA72" s="538"/>
      <c r="CB72" s="538"/>
      <c r="CC72" s="538"/>
      <c r="CD72" s="538"/>
      <c r="CE72" s="538"/>
      <c r="CF72" s="538"/>
      <c r="CG72" s="538"/>
      <c r="CI72" s="314" t="str">
        <f>IFERROR(IF('Overview - Section A'!$AN$5="Funding Request",
IF(AND('Reference Records'!$B$427&lt;&gt;"",$L72 ='Reference Records'!$B$427),'Reference Records'!$C$427,""),
INDEX('Reference Records'!$A$498:$C$499,MATCH($L72,'Reference Records'!$A$498:$A$499,0),3)),"")</f>
        <v/>
      </c>
      <c r="CJ72" s="314" t="str">
        <f>IFERROR(INDEX('Overview - Section A'!$H$102:$H$118,MATCH(IF($B72="", "--select--", $B72),'Overview - Section A'!$C$102:$C$118,0)),"")</f>
        <v/>
      </c>
      <c r="CK72" s="310" t="str" cm="1">
        <f t="array" ref="CK72">IFERROR(IF($C72="", "", VLOOKUP(LEFT($C72,255),LEFT('Reference Records'!$C$88:$G$189,255),5,0)),"")</f>
        <v/>
      </c>
    </row>
    <row r="73" spans="1:89" ht="30" customHeight="1">
      <c r="A73" s="522">
        <v>33</v>
      </c>
      <c r="B73" s="528" t="s">
        <v>1484</v>
      </c>
      <c r="C73" s="528" t="s">
        <v>1207</v>
      </c>
      <c r="D73" s="528"/>
      <c r="E73" s="148">
        <v>24135</v>
      </c>
      <c r="F73" s="516">
        <f t="shared" ref="F73" ca="1" si="724">IF(OR(INDIRECT("'update Helper'!D"&amp;AT73)="",E73&lt;&gt;0,E74&lt;&gt;0),IF(IFERROR((E73/E74),"")="","",(E73/E74)),INDIRECT("'update Helper'!D"&amp;AT73)/100)</f>
        <v>0.40380937721166577</v>
      </c>
      <c r="G73" s="543">
        <v>2021</v>
      </c>
      <c r="H73" s="528" t="s">
        <v>2242</v>
      </c>
      <c r="I73" s="545" t="str">
        <f>AN73</f>
        <v>Gender</v>
      </c>
      <c r="J73" s="543" t="s">
        <v>2212</v>
      </c>
      <c r="K73" s="528" t="s">
        <v>323</v>
      </c>
      <c r="L73" s="149" t="s">
        <v>781</v>
      </c>
      <c r="M73" s="547" t="s">
        <v>652</v>
      </c>
      <c r="N73" s="148">
        <v>34608</v>
      </c>
      <c r="O73" s="524">
        <v>0.41506082653568488</v>
      </c>
      <c r="P73" s="543"/>
      <c r="Q73" s="150">
        <v>46398</v>
      </c>
      <c r="R73" s="524">
        <v>0.55646070936207548</v>
      </c>
      <c r="S73" s="543"/>
      <c r="T73" s="150">
        <v>50766.5</v>
      </c>
      <c r="U73" s="524">
        <v>0.62749875004557931</v>
      </c>
      <c r="V73" s="543"/>
      <c r="W73" s="150">
        <v>55135</v>
      </c>
      <c r="X73" s="524">
        <v>0.68149554497085707</v>
      </c>
      <c r="Y73" s="543"/>
      <c r="Z73" s="150">
        <v>58813.5</v>
      </c>
      <c r="AA73" s="524">
        <v>0.75903224953006954</v>
      </c>
      <c r="AB73" s="543"/>
      <c r="AC73" s="150">
        <v>62492</v>
      </c>
      <c r="AD73" s="524">
        <v>0.80650604602060927</v>
      </c>
      <c r="AE73" s="543"/>
      <c r="AF73" s="150"/>
      <c r="AG73" s="549"/>
      <c r="AH73" s="543"/>
      <c r="AI73" s="150"/>
      <c r="AJ73" s="549"/>
      <c r="AK73" s="543"/>
      <c r="AL73" s="528" t="s">
        <v>2217</v>
      </c>
      <c r="AM73" s="476" t="str">
        <f>IFERROR(IF(VLOOKUP(B73,'Reference Records'!$C$192:$D$250,2,FALSE)=0,"",VLOOKUP(B73,'Reference Records'!$C$192:$D$250,2,FALSE)),"")</f>
        <v>MCI-01306</v>
      </c>
      <c r="AN73" s="48" t="str">
        <f t="array" ref="AN73">IFERROR(IF(INDEX('Reference Records'!$D$88:$D$189,MATCH(LEFT(C73,255),LEFT('Reference Records'!$C$88:$C$189,255),0))=0,"",INDEX('Reference Records'!$D$88:$D$189,MATCH(LEFT(C73,255),LEFT('Reference Records'!$C$88:$C$189,255),0))),"")</f>
        <v>Gender</v>
      </c>
      <c r="AO73" s="48" t="str">
        <f>CONCATENATE(C73,D73)</f>
        <v>TCS-1c Percentage of children (under 15) on ART among all children living with HIV at the end of the reporting period</v>
      </c>
      <c r="AP73" s="151" t="str">
        <f t="array" ref="AP73">VLOOKUP(LEFT(C73,255),LEFT('Reference Records'!C$87:G303,255),4,0)</f>
        <v>MCI-01535</v>
      </c>
      <c r="AQ73" s="151" t="e">
        <f>MATCH(AP73,'Reference Records'!$F$512:$F$514,0)+ROW(PopulationByCoverage)-1</f>
        <v>#N/A</v>
      </c>
      <c r="AR73" s="151">
        <f>MATCH(AP73,'Reference Records'!$F$512:$F$514,1)+ROW(PopulationByCoverage)-1</f>
        <v>513</v>
      </c>
      <c r="AS73" s="48" t="str">
        <f>C73&amp;D73</f>
        <v>TCS-1c Percentage of children (under 15) on ART among all children living with HIV at the end of the reporting period</v>
      </c>
      <c r="AT73" s="48">
        <f t="shared" ref="AT73" si="725">AT71+1</f>
        <v>457</v>
      </c>
      <c r="AU73" s="48">
        <f ca="1">AU71+'update Helper'!$T$2</f>
        <v>549.34782608695639</v>
      </c>
      <c r="AV73" s="48" t="str">
        <f t="shared" ref="AV73" si="726">CLEAN(IFERROR(LEFT(AY73, SEARCH(";",AY73,1)-1),""))</f>
        <v>Non cumulative – other</v>
      </c>
      <c r="AW73" s="48" t="str">
        <f t="shared" ref="AW73" si="727">SUBSTITUTE(IFERROR(MID(AY73, SEARCH(";",AY73) + 1, SEARCH(";",AY73,SEARCH(";",AY73)+1) - SEARCH(";",AY73) - 1),""),CHAR(10),"")</f>
        <v/>
      </c>
      <c r="AX73" s="152" t="str">
        <f t="shared" ref="AX73" si="728">CLEAN(IFERROR(SUBSTITUTE(RIGHT(AY73,LEN(AY73) - SEARCH(";", AY73, SEARCH(";",AY73) + 1)),";",""),""))</f>
        <v/>
      </c>
      <c r="AY73" s="48" t="str">
        <f t="array" ref="AY73">IFERROR(IF(VLOOKUP(LEFT(C73,255),LEFT('Reference Records'!$C$1:$K$539,255),9,0)=0,"",CONCATENATE(VLOOKUP(LEFT(C73,255),LEFT('Reference Records'!$C$1:$K$539,255),9,0),";")),"")</f>
        <v>Non cumulative – other;</v>
      </c>
      <c r="AZ73" s="551" t="str">
        <f>IF($BV73="", "", IF($BV73=TRUE, "Yes", "No"))</f>
        <v>No</v>
      </c>
      <c r="BA73" s="559" t="str">
        <f t="shared" ref="BA73" ca="1" si="729">IF($D73="", "",IF(IF(INDIRECT("'update Helper'!W"&amp;AT73)=0,"",INDIRECT("'update Helper'!W"&amp;AT73))=TRUE, "Yes","No"))</f>
        <v/>
      </c>
      <c r="BB73" s="541" t="str">
        <f t="shared" ref="BB73" ca="1" si="730">IF(AND(BS73="Continue",BU73="Continue"),"No Error",IF(AND(BS73&lt;&gt;"Continue",BU73="Continue"),BS73,IF(AND(BU73&lt;&gt;"Continue",BS73="Continue"),BU73,CONCATENATE(BS73,CHAR(10),BU73))))</f>
        <v>No Error</v>
      </c>
      <c r="BC73" s="508" t="str" cm="1">
        <f t="array" ref="BC73">IF(ISBLANK(C73),"Continue",(IF(IFERROR(_xlfn.XMATCH(C73,LEFT('Reference Records'!$C$87:$C$189,32768),0),0)&lt;&gt;0,"Continue","Invalid indicator entry. Select from dropdown list.")))</f>
        <v>Continue</v>
      </c>
      <c r="BD73" s="508" t="str">
        <f t="shared" ref="BD73" si="731">IF(SUM(BE73:BM74)=0, "Continue", "Enter valid number only.")</f>
        <v>Continue</v>
      </c>
      <c r="BE73" s="146">
        <f t="shared" si="666"/>
        <v>0</v>
      </c>
      <c r="BF73" s="146">
        <f t="shared" si="667"/>
        <v>0</v>
      </c>
      <c r="BG73" s="146">
        <f t="shared" si="668"/>
        <v>0</v>
      </c>
      <c r="BH73" s="146">
        <f t="shared" si="669"/>
        <v>0</v>
      </c>
      <c r="BI73" s="146">
        <f t="shared" si="670"/>
        <v>0</v>
      </c>
      <c r="BJ73" s="146">
        <f t="shared" si="671"/>
        <v>0</v>
      </c>
      <c r="BK73" s="146">
        <f t="shared" si="672"/>
        <v>0</v>
      </c>
      <c r="BL73" s="146">
        <f t="shared" si="673"/>
        <v>0</v>
      </c>
      <c r="BM73" s="146">
        <f t="shared" si="674"/>
        <v>0</v>
      </c>
      <c r="BN73" s="467" t="str">
        <f>IF(NOT(ISBLANK(C73)),IF(C73&lt;&gt;"",IF(_xlfn.XLOOKUP(C73,'Reference Records'!$C$87:$C$189,'Reference Records'!$A$87:$A$189,0,0,1)=AM73,"Continue","Select correct module name."),"Continue"),"Continue")</f>
        <v>Continue</v>
      </c>
      <c r="BO73" s="467" t="str">
        <f t="shared" ref="BO73" ca="1" si="732">IF(AND(BC73="Continue",CG73="Continue"),"Continue",IF(AND(BC73&lt;&gt;"Continue",CG73="Continue"),BC73,IF(AND(CG73&lt;&gt;"Continue",BC73="Continue"),CG73,CONCATENATE(BC73,CHAR(10),CG73))))</f>
        <v>Continue</v>
      </c>
      <c r="BP73" s="467" t="str">
        <f t="shared" ref="BP73" ca="1" si="733">IF(AND((AZ73&lt;&gt;""),(BA73&lt;&gt;"")),"Reversed custom indicator selection not applicable. Value pre-populated in standard indicator column.","Continue")</f>
        <v>Continue</v>
      </c>
      <c r="BQ73" s="467" t="str">
        <f t="shared" ref="BQ73" ca="1" si="734">IF(AND(BN73="Continue",BO73="Continue"),"Continue",
IF(AND(BN73&lt;&gt;"Continue",BO73="Continue"),BN73,
IF(AND(BO73&lt;&gt;"Continue",BN73="Continue"),BO73,
CONCATENATE(BN73,CHAR(10),BO73))))</f>
        <v>Continue</v>
      </c>
      <c r="BR73" s="508" t="str" cm="1">
        <f t="array" ref="BR73">IF(ISBLANK(B73),"Continue",(IF(IFERROR(_xlfn.XMATCH(B73,LEFT('Reference Records'!$J$191:$J$250,32768),0),0)&lt;&gt;0,"Continue","Invalid module entry. Select from dropdown list.")))</f>
        <v>Continue</v>
      </c>
      <c r="BS73" s="508" t="str">
        <f t="shared" ref="BS73" ca="1" si="735">IF(AND(BP73="Continue",BQ73="Continue"),"Continue",IF(AND(BP73&lt;&gt;"Continue",BQ73="Continue"),BP73,IF(AND(BQ73&lt;&gt;"Continue",BP73="Continue"),BQ73,CONCATENATE(BP73,CHAR(10),BQ73))))</f>
        <v>Continue</v>
      </c>
      <c r="BT73" s="508" t="str">
        <f t="shared" ref="BT73" si="736">IF(AND(C73="",D73=""),"Continue",IF(AND(C73="",D73&lt;&gt;""),"Continue",IF(AND(C73&lt;&gt;"",D73=""),"Continue",IF(AND(C73&lt;&gt;"",D73&lt;&gt;""),"Cannot enter both standard and custom indicators on the same line."))))</f>
        <v>Continue</v>
      </c>
      <c r="BU73" s="508" t="str">
        <f t="shared" ref="BU73" si="737">IF(AND(BR73="Continue",BT73="Continue"),"Continue",IF(AND(BR73&lt;&gt;"Continue",BT73="Continue"),BR73,IF(AND(BT73&lt;&gt;"Continue",BR73="Continue"),BT73,CONCATENATE(BR73,CHAR(10),BT73))))</f>
        <v>Continue</v>
      </c>
      <c r="BV73" s="538" t="b">
        <f>IFERROR(INDEX('Reference Records'!$L$87:$L$189,MATCH($C73,'Reference Records'!$C$87:$C$189,0)),"")</f>
        <v>0</v>
      </c>
      <c r="BW73" s="538">
        <f t="shared" ref="BW73" ca="1" si="738">IF(NOT(ISBLANK(F73)),IF(F73&lt;&gt;"",(IF(NOT(ISNUMBER(F73)),1,0)),0),0)</f>
        <v>0</v>
      </c>
      <c r="BX73" s="538">
        <f t="shared" ref="BX73" si="739">IF(NOT(ISBLANK(O73)),IF(O73&lt;&gt;"",(IF(NOT(ISNUMBER(O73)),1,0)),0),0)</f>
        <v>0</v>
      </c>
      <c r="BY73" s="538">
        <f t="shared" ref="BY73" si="740">IF(NOT(ISBLANK(R73)),IF(R73&lt;&gt;"",(IF(NOT(ISNUMBER(R73)),1,0)),0),0)</f>
        <v>0</v>
      </c>
      <c r="BZ73" s="538">
        <f t="shared" ref="BZ73" si="741">IF(NOT(ISBLANK(U73)),IF(U73&lt;&gt;"",(IF(NOT(ISNUMBER(U73)),1,0)),0),0)</f>
        <v>0</v>
      </c>
      <c r="CA73" s="538">
        <f t="shared" ref="CA73" si="742">IF(NOT(ISBLANK(X73)),IF(X73&lt;&gt;"",(IF(NOT(ISNUMBER(X73)),1,0)),0),0)</f>
        <v>0</v>
      </c>
      <c r="CB73" s="538">
        <f t="shared" ref="CB73" si="743">IF(NOT(ISBLANK(AA73)),IF(AA73&lt;&gt;"",(IF(NOT(ISNUMBER(AA73)),1,0)),0),0)</f>
        <v>0</v>
      </c>
      <c r="CC73" s="538">
        <f t="shared" ref="CC73" si="744">IF(NOT(ISBLANK(AD73)),IF(AD73&lt;&gt;"",(IF(NOT(ISNUMBER(AD73)),1,0)),0),0)</f>
        <v>0</v>
      </c>
      <c r="CD73" s="538">
        <f t="shared" ref="CD73" si="745">IF(NOT(ISBLANK(AG73)),IF(AG73&lt;&gt;"",(IF(NOT(ISNUMBER(AG73)),1,0)),0),0)</f>
        <v>0</v>
      </c>
      <c r="CE73" s="538">
        <f t="shared" ref="CE73" si="746">IF(NOT(ISBLANK(AJ73)),IF(AJ73&lt;&gt;"",(IF(NOT(ISNUMBER(AJ73)),1,0)),0),0)</f>
        <v>0</v>
      </c>
      <c r="CF73" s="538" t="str">
        <f t="shared" ref="CF73" ca="1" si="747">IF(SUM(BW73:CE74)=0, "Continue", "Enter valid number only.")</f>
        <v>Continue</v>
      </c>
      <c r="CG73" s="538" t="str">
        <f t="shared" ref="CG73" ca="1" si="748">IF(AND(CF73="Continue",BD73="Continue"),"Continue",IF(AND(CF73&lt;&gt;"Continue",BD73="Continue"),CF73,IF(AND(BD73&lt;&gt;"Continue",CF73="Continue"),BD73,CONCATENATE(CF73,CHAR(10)))))</f>
        <v>Continue</v>
      </c>
      <c r="CI73" s="314" t="str">
        <f>IFERROR(IF('Overview - Section A'!$AN$5="Funding Request",
IF(AND('Reference Records'!$B$427&lt;&gt;"",$L73 ='Reference Records'!$B$427),'Reference Records'!$C$427,""),
INDEX('Reference Records'!$A$498:$C$499,MATCH($L73,'Reference Records'!$A$498:$A$499,0),3)),"")</f>
        <v>a1A360000013M2uEAE</v>
      </c>
      <c r="CJ73" s="314" t="str">
        <f>IFERROR(INDEX('Overview - Section A'!$H$102:$H$118,MATCH(IF($B73="", "--select--", $B73),'Overview - Section A'!$C$102:$C$118,0)),"")</f>
        <v>a1PDm000000LrDGMA0</v>
      </c>
      <c r="CK73" s="310" t="str" cm="1">
        <f t="array" ref="CK73">IFERROR(IF($C73="", "", VLOOKUP(LEFT($C73,255),LEFT('Reference Records'!$C$88:$G$189,255),5,0)),"")</f>
        <v>a1ODm000000GnyAMAS</v>
      </c>
    </row>
    <row r="74" spans="1:89" ht="30" customHeight="1">
      <c r="A74" s="523"/>
      <c r="B74" s="529"/>
      <c r="C74" s="529"/>
      <c r="D74" s="529"/>
      <c r="E74" s="148">
        <v>59768.299999999996</v>
      </c>
      <c r="F74" s="517"/>
      <c r="G74" s="544"/>
      <c r="H74" s="529"/>
      <c r="I74" s="546"/>
      <c r="J74" s="544"/>
      <c r="K74" s="529"/>
      <c r="L74" s="153" t="s">
        <v>651</v>
      </c>
      <c r="M74" s="548"/>
      <c r="N74" s="148">
        <v>83380.55</v>
      </c>
      <c r="O74" s="525"/>
      <c r="P74" s="544"/>
      <c r="Q74" s="150">
        <v>83380.55</v>
      </c>
      <c r="R74" s="525"/>
      <c r="S74" s="544"/>
      <c r="T74" s="150">
        <v>80902.95</v>
      </c>
      <c r="U74" s="525"/>
      <c r="V74" s="544"/>
      <c r="W74" s="150">
        <v>80902.95</v>
      </c>
      <c r="X74" s="525"/>
      <c r="Y74" s="544"/>
      <c r="Z74" s="150">
        <v>77484.849999999991</v>
      </c>
      <c r="AA74" s="525"/>
      <c r="AB74" s="544"/>
      <c r="AC74" s="150">
        <v>77484.849999999991</v>
      </c>
      <c r="AD74" s="525"/>
      <c r="AE74" s="544"/>
      <c r="AF74" s="150"/>
      <c r="AG74" s="550"/>
      <c r="AH74" s="544"/>
      <c r="AI74" s="150"/>
      <c r="AJ74" s="550"/>
      <c r="AK74" s="544"/>
      <c r="AL74" s="529"/>
      <c r="AM74" s="476"/>
      <c r="AX74" s="152"/>
      <c r="AZ74" s="551"/>
      <c r="BA74" s="559"/>
      <c r="BB74" s="542"/>
      <c r="BC74" s="508"/>
      <c r="BD74" s="508"/>
      <c r="BE74" s="146">
        <f t="shared" si="666"/>
        <v>0</v>
      </c>
      <c r="BF74" s="146">
        <f t="shared" si="667"/>
        <v>0</v>
      </c>
      <c r="BG74" s="146">
        <f t="shared" si="668"/>
        <v>0</v>
      </c>
      <c r="BH74" s="146">
        <f t="shared" si="669"/>
        <v>0</v>
      </c>
      <c r="BI74" s="146">
        <f t="shared" si="670"/>
        <v>0</v>
      </c>
      <c r="BJ74" s="146">
        <f t="shared" si="671"/>
        <v>0</v>
      </c>
      <c r="BK74" s="146">
        <f t="shared" si="672"/>
        <v>0</v>
      </c>
      <c r="BL74" s="146">
        <f t="shared" si="673"/>
        <v>0</v>
      </c>
      <c r="BM74" s="146">
        <f t="shared" si="674"/>
        <v>0</v>
      </c>
      <c r="BN74" s="467"/>
      <c r="BO74" s="467"/>
      <c r="BP74" s="467"/>
      <c r="BQ74" s="467"/>
      <c r="BR74" s="508"/>
      <c r="BS74" s="508"/>
      <c r="BT74" s="508"/>
      <c r="BU74" s="508"/>
      <c r="BV74" s="538"/>
      <c r="BW74" s="538"/>
      <c r="BX74" s="538"/>
      <c r="BY74" s="538"/>
      <c r="BZ74" s="538"/>
      <c r="CA74" s="538"/>
      <c r="CB74" s="538"/>
      <c r="CC74" s="538"/>
      <c r="CD74" s="538"/>
      <c r="CE74" s="538"/>
      <c r="CF74" s="538"/>
      <c r="CG74" s="538"/>
      <c r="CI74" s="314" t="str">
        <f>IFERROR(IF('Overview - Section A'!$AN$5="Funding Request",
IF(AND('Reference Records'!$B$427&lt;&gt;"",$L74 ='Reference Records'!$B$427),'Reference Records'!$C$427,""),
INDEX('Reference Records'!$A$498:$C$499,MATCH($L74,'Reference Records'!$A$498:$A$499,0),3)),"")</f>
        <v/>
      </c>
      <c r="CJ74" s="314" t="str">
        <f>IFERROR(INDEX('Overview - Section A'!$H$102:$H$118,MATCH(IF($B74="", "--select--", $B74),'Overview - Section A'!$C$102:$C$118,0)),"")</f>
        <v/>
      </c>
      <c r="CK74" s="310" t="str" cm="1">
        <f t="array" ref="CK74">IFERROR(IF($C74="", "", VLOOKUP(LEFT($C74,255),LEFT('Reference Records'!$C$88:$G$189,255),5,0)),"")</f>
        <v/>
      </c>
    </row>
    <row r="75" spans="1:89" ht="30" customHeight="1">
      <c r="A75" s="522">
        <v>34</v>
      </c>
      <c r="B75" s="512" t="s">
        <v>1484</v>
      </c>
      <c r="C75" s="512" t="s">
        <v>1216</v>
      </c>
      <c r="D75" s="512"/>
      <c r="E75" s="140">
        <v>11331</v>
      </c>
      <c r="F75" s="516">
        <f t="shared" ref="F75" ca="1" si="749">IF(OR(INDIRECT("'update Helper'!D"&amp;AT75)="",E75&lt;&gt;0,E76&lt;&gt;0),IF(IFERROR((E75/E76),"")="","",(E75/E76)),INDIRECT("'update Helper'!D"&amp;AT75)/100)</f>
        <v>0.39079151577858251</v>
      </c>
      <c r="G75" s="552">
        <v>2021</v>
      </c>
      <c r="H75" s="512" t="s">
        <v>2243</v>
      </c>
      <c r="I75" s="545" t="str">
        <f>AN75</f>
        <v/>
      </c>
      <c r="J75" s="552" t="s">
        <v>2212</v>
      </c>
      <c r="K75" s="512" t="s">
        <v>323</v>
      </c>
      <c r="L75" s="141" t="s">
        <v>781</v>
      </c>
      <c r="M75" s="556" t="s">
        <v>654</v>
      </c>
      <c r="N75" s="140">
        <v>8212.5</v>
      </c>
      <c r="O75" s="516">
        <v>0.2245036316964957</v>
      </c>
      <c r="P75" s="552"/>
      <c r="Q75" s="142">
        <v>8212.5</v>
      </c>
      <c r="R75" s="516">
        <v>0.2245036316964957</v>
      </c>
      <c r="S75" s="552"/>
      <c r="T75" s="142">
        <v>10700.5</v>
      </c>
      <c r="U75" s="516">
        <v>0.30392283560957117</v>
      </c>
      <c r="V75" s="552"/>
      <c r="W75" s="142">
        <v>10700.5</v>
      </c>
      <c r="X75" s="516">
        <v>0.30392283560957117</v>
      </c>
      <c r="Y75" s="552"/>
      <c r="Z75" s="142">
        <v>14051</v>
      </c>
      <c r="AA75" s="516">
        <v>0.41154529385318112</v>
      </c>
      <c r="AB75" s="552"/>
      <c r="AC75" s="142">
        <v>14051</v>
      </c>
      <c r="AD75" s="516">
        <v>0.41154529385318112</v>
      </c>
      <c r="AE75" s="552"/>
      <c r="AF75" s="142"/>
      <c r="AG75" s="516"/>
      <c r="AH75" s="552"/>
      <c r="AI75" s="142"/>
      <c r="AJ75" s="516"/>
      <c r="AK75" s="552"/>
      <c r="AL75" s="512" t="s">
        <v>2218</v>
      </c>
      <c r="AM75" s="554" t="str">
        <f>IFERROR(IF(VLOOKUP(B75,'Reference Records'!$C$192:$D$250,2,FALSE)=0,"",VLOOKUP(B75,'Reference Records'!$C$192:$D$250,2,FALSE)),"")</f>
        <v>MCI-01306</v>
      </c>
      <c r="AN75" s="143" t="str">
        <f t="array" ref="AN75">IFERROR(IF(INDEX('Reference Records'!$D$88:$D$189,MATCH(LEFT(C75,255),LEFT('Reference Records'!$C$88:$C$189,255),0))=0,"",INDEX('Reference Records'!$D$88:$D$189,MATCH(LEFT(C75,255),LEFT('Reference Records'!$C$88:$C$189,255),0))),"")</f>
        <v/>
      </c>
      <c r="AO75" s="143" t="str">
        <f>CONCATENATE(C75,D75)</f>
        <v>TCS-10 Percentage of pregnant women living with HIV who received antiretroviral medicine to reduce the risk of vertical transmission of HIV</v>
      </c>
      <c r="AP75" s="144" t="str">
        <f t="array" ref="AP75">VLOOKUP(LEFT(C75,255),LEFT('Reference Records'!C$87:G305,255),4,0)</f>
        <v>MCI-01538</v>
      </c>
      <c r="AQ75" s="144" t="e">
        <f>MATCH(AP75,'Reference Records'!$F$512:$F$514,0)+ROW(PopulationByCoverage)-1</f>
        <v>#N/A</v>
      </c>
      <c r="AR75" s="144">
        <f>MATCH(AP75,'Reference Records'!$F$512:$F$514,1)+ROW(PopulationByCoverage)-1</f>
        <v>513</v>
      </c>
      <c r="AS75" s="143" t="str">
        <f>C75&amp;D75</f>
        <v>TCS-10 Percentage of pregnant women living with HIV who received antiretroviral medicine to reduce the risk of vertical transmission of HIV</v>
      </c>
      <c r="AT75" s="143">
        <f t="shared" ref="AT75" si="750">AT73+1</f>
        <v>458</v>
      </c>
      <c r="AU75" s="143">
        <f ca="1">AU73+'update Helper'!$T$2</f>
        <v>556.13043478260852</v>
      </c>
      <c r="AV75" s="143" t="str">
        <f t="shared" ref="AV75" si="751">CLEAN(IFERROR(LEFT(AY75, SEARCH(";",AY75,1)-1),""))</f>
        <v>Non cumulative - special</v>
      </c>
      <c r="AW75" s="143" t="str">
        <f t="shared" ref="AW75" si="752">SUBSTITUTE(IFERROR(MID(AY75, SEARCH(";",AY75) + 1, SEARCH(";",AY75,SEARCH(";",AY75)+1) - SEARCH(";",AY75) - 1),""),CHAR(10),"")</f>
        <v/>
      </c>
      <c r="AX75" s="145" t="str">
        <f t="shared" ref="AX75" si="753">CLEAN(IFERROR(SUBSTITUTE(RIGHT(AY75,LEN(AY75) - SEARCH(";", AY75, SEARCH(";",AY75) + 1)),";",""),""))</f>
        <v/>
      </c>
      <c r="AY75" s="143" t="str">
        <f t="array" ref="AY75">IFERROR(IF(VLOOKUP(LEFT(C75,255),LEFT('Reference Records'!$C$1:$K$539,255),9,0)=0,"",CONCATENATE(VLOOKUP(LEFT(C75,255),LEFT('Reference Records'!$C$1:$K$539,255),9,0),";")),"")</f>
        <v>Non cumulative - special;</v>
      </c>
      <c r="AZ75" s="555" t="str">
        <f>IF($BV75="", "", IF($BV75=TRUE, "Yes", "No"))</f>
        <v>No</v>
      </c>
      <c r="BA75" s="558" t="str">
        <f t="shared" ref="BA75" ca="1" si="754">IF($D75="", "",IF(IF(INDIRECT("'update Helper'!W"&amp;AT75)=0,"",INDIRECT("'update Helper'!W"&amp;AT75))=TRUE, "Yes","No"))</f>
        <v/>
      </c>
      <c r="BB75" s="541" t="str">
        <f t="shared" ref="BB75" ca="1" si="755">IF(AND(BS75="Continue",BU75="Continue"),"No Error",IF(AND(BS75&lt;&gt;"Continue",BU75="Continue"),BS75,IF(AND(BU75&lt;&gt;"Continue",BS75="Continue"),BU75,CONCATENATE(BS75,CHAR(10),BU75))))</f>
        <v>No Error</v>
      </c>
      <c r="BC75" s="508" t="str" cm="1">
        <f t="array" ref="BC75">IF(ISBLANK(C75),"Continue",(IF(IFERROR(_xlfn.XMATCH(C75,LEFT('Reference Records'!$C$87:$C$189,32768),0),0)&lt;&gt;0,"Continue","Invalid indicator entry. Select from dropdown list.")))</f>
        <v>Continue</v>
      </c>
      <c r="BD75" s="508" t="str">
        <f t="shared" ref="BD75" si="756">IF(SUM(BE75:BM76)=0, "Continue", "Enter valid number only.")</f>
        <v>Continue</v>
      </c>
      <c r="BE75" s="146">
        <f t="shared" si="666"/>
        <v>0</v>
      </c>
      <c r="BF75" s="146">
        <f t="shared" si="667"/>
        <v>0</v>
      </c>
      <c r="BG75" s="146">
        <f t="shared" si="668"/>
        <v>0</v>
      </c>
      <c r="BH75" s="146">
        <f t="shared" si="669"/>
        <v>0</v>
      </c>
      <c r="BI75" s="146">
        <f t="shared" si="670"/>
        <v>0</v>
      </c>
      <c r="BJ75" s="146">
        <f t="shared" si="671"/>
        <v>0</v>
      </c>
      <c r="BK75" s="146">
        <f t="shared" si="672"/>
        <v>0</v>
      </c>
      <c r="BL75" s="146">
        <f t="shared" si="673"/>
        <v>0</v>
      </c>
      <c r="BM75" s="146">
        <f t="shared" si="674"/>
        <v>0</v>
      </c>
      <c r="BN75" s="467" t="str">
        <f>IF(NOT(ISBLANK(C75)),IF(C75&lt;&gt;"",IF(_xlfn.XLOOKUP(C75,'Reference Records'!$C$87:$C$189,'Reference Records'!$A$87:$A$189,0,0,1)=AM75,"Continue","Select correct module name."),"Continue"),"Continue")</f>
        <v>Continue</v>
      </c>
      <c r="BO75" s="467" t="str">
        <f t="shared" ref="BO75" ca="1" si="757">IF(AND(BC75="Continue",CG75="Continue"),"Continue",IF(AND(BC75&lt;&gt;"Continue",CG75="Continue"),BC75,IF(AND(CG75&lt;&gt;"Continue",BC75="Continue"),CG75,CONCATENATE(BC75,CHAR(10),CG75))))</f>
        <v>Continue</v>
      </c>
      <c r="BP75" s="467" t="str">
        <f t="shared" ref="BP75" ca="1" si="758">IF(AND((AZ75&lt;&gt;""),(BA75&lt;&gt;"")),"Reversed custom indicator selection not applicable. Value pre-populated in standard indicator column.","Continue")</f>
        <v>Continue</v>
      </c>
      <c r="BQ75" s="467" t="str">
        <f t="shared" ref="BQ75" ca="1" si="759">IF(AND(BN75="Continue",BO75="Continue"),"Continue",
IF(AND(BN75&lt;&gt;"Continue",BO75="Continue"),BN75,
IF(AND(BO75&lt;&gt;"Continue",BN75="Continue"),BO75,
CONCATENATE(BN75,CHAR(10),BO75))))</f>
        <v>Continue</v>
      </c>
      <c r="BR75" s="508" t="str" cm="1">
        <f t="array" ref="BR75">IF(ISBLANK(B75),"Continue",(IF(IFERROR(_xlfn.XMATCH(B75,LEFT('Reference Records'!$J$191:$J$250,32768),0),0)&lt;&gt;0,"Continue","Invalid module entry. Select from dropdown list.")))</f>
        <v>Continue</v>
      </c>
      <c r="BS75" s="508" t="str">
        <f t="shared" ref="BS75" ca="1" si="760">IF(AND(BP75="Continue",BQ75="Continue"),"Continue",IF(AND(BP75&lt;&gt;"Continue",BQ75="Continue"),BP75,IF(AND(BQ75&lt;&gt;"Continue",BP75="Continue"),BQ75,CONCATENATE(BP75,CHAR(10),BQ75))))</f>
        <v>Continue</v>
      </c>
      <c r="BT75" s="508" t="str">
        <f t="shared" ref="BT75" si="761">IF(AND(C75="",D75=""),"Continue",IF(AND(C75="",D75&lt;&gt;""),"Continue",IF(AND(C75&lt;&gt;"",D75=""),"Continue",IF(AND(C75&lt;&gt;"",D75&lt;&gt;""),"Cannot enter both standard and custom indicators on the same line."))))</f>
        <v>Continue</v>
      </c>
      <c r="BU75" s="508" t="str">
        <f t="shared" ref="BU75" si="762">IF(AND(BR75="Continue",BT75="Continue"),"Continue",IF(AND(BR75&lt;&gt;"Continue",BT75="Continue"),BR75,IF(AND(BT75&lt;&gt;"Continue",BR75="Continue"),BT75,CONCATENATE(BR75,CHAR(10),BT75))))</f>
        <v>Continue</v>
      </c>
      <c r="BV75" s="538" t="b">
        <f>IFERROR(INDEX('Reference Records'!$L$87:$L$189,MATCH($C75,'Reference Records'!$C$87:$C$189,0)),"")</f>
        <v>0</v>
      </c>
      <c r="BW75" s="538">
        <f t="shared" ref="BW75" ca="1" si="763">IF(NOT(ISBLANK(F75)),IF(F75&lt;&gt;"",(IF(NOT(ISNUMBER(F75)),1,0)),0),0)</f>
        <v>0</v>
      </c>
      <c r="BX75" s="538">
        <f t="shared" ref="BX75" si="764">IF(NOT(ISBLANK(O75)),IF(O75&lt;&gt;"",(IF(NOT(ISNUMBER(O75)),1,0)),0),0)</f>
        <v>0</v>
      </c>
      <c r="BY75" s="538">
        <f t="shared" ref="BY75" si="765">IF(NOT(ISBLANK(R75)),IF(R75&lt;&gt;"",(IF(NOT(ISNUMBER(R75)),1,0)),0),0)</f>
        <v>0</v>
      </c>
      <c r="BZ75" s="538">
        <f t="shared" ref="BZ75" si="766">IF(NOT(ISBLANK(U75)),IF(U75&lt;&gt;"",(IF(NOT(ISNUMBER(U75)),1,0)),0),0)</f>
        <v>0</v>
      </c>
      <c r="CA75" s="538">
        <f t="shared" ref="CA75" si="767">IF(NOT(ISBLANK(X75)),IF(X75&lt;&gt;"",(IF(NOT(ISNUMBER(X75)),1,0)),0),0)</f>
        <v>0</v>
      </c>
      <c r="CB75" s="538">
        <f t="shared" ref="CB75" si="768">IF(NOT(ISBLANK(AA75)),IF(AA75&lt;&gt;"",(IF(NOT(ISNUMBER(AA75)),1,0)),0),0)</f>
        <v>0</v>
      </c>
      <c r="CC75" s="538">
        <f t="shared" ref="CC75" si="769">IF(NOT(ISBLANK(AD75)),IF(AD75&lt;&gt;"",(IF(NOT(ISNUMBER(AD75)),1,0)),0),0)</f>
        <v>0</v>
      </c>
      <c r="CD75" s="538">
        <f t="shared" ref="CD75" si="770">IF(NOT(ISBLANK(AG75)),IF(AG75&lt;&gt;"",(IF(NOT(ISNUMBER(AG75)),1,0)),0),0)</f>
        <v>0</v>
      </c>
      <c r="CE75" s="538">
        <f t="shared" ref="CE75" si="771">IF(NOT(ISBLANK(AJ75)),IF(AJ75&lt;&gt;"",(IF(NOT(ISNUMBER(AJ75)),1,0)),0),0)</f>
        <v>0</v>
      </c>
      <c r="CF75" s="538" t="str">
        <f t="shared" ref="CF75" ca="1" si="772">IF(SUM(BW75:CE76)=0, "Continue", "Enter valid number only.")</f>
        <v>Continue</v>
      </c>
      <c r="CG75" s="538" t="str">
        <f t="shared" ref="CG75" ca="1" si="773">IF(AND(CF75="Continue",BD75="Continue"),"Continue",IF(AND(CF75&lt;&gt;"Continue",BD75="Continue"),CF75,IF(AND(BD75&lt;&gt;"Continue",CF75="Continue"),BD75,CONCATENATE(CF75,CHAR(10)))))</f>
        <v>Continue</v>
      </c>
      <c r="CI75" s="314" t="str">
        <f>IFERROR(IF('Overview - Section A'!$AN$5="Funding Request",
IF(AND('Reference Records'!$B$427&lt;&gt;"",$L75 ='Reference Records'!$B$427),'Reference Records'!$C$427,""),
INDEX('Reference Records'!$A$498:$C$499,MATCH($L75,'Reference Records'!$A$498:$A$499,0),3)),"")</f>
        <v>a1A360000013M2uEAE</v>
      </c>
      <c r="CJ75" s="314" t="str">
        <f>IFERROR(INDEX('Overview - Section A'!$H$102:$H$118,MATCH(IF($B75="", "--select--", $B75),'Overview - Section A'!$C$102:$C$118,0)),"")</f>
        <v>a1PDm000000LrDGMA0</v>
      </c>
      <c r="CK75" s="310" t="str" cm="1">
        <f t="array" ref="CK75">IFERROR(IF($C75="", "", VLOOKUP(LEFT($C75,255),LEFT('Reference Records'!$C$88:$G$189,255),5,0)),"")</f>
        <v>a1ODm000000GnyDMAS</v>
      </c>
    </row>
    <row r="76" spans="1:89" ht="30" customHeight="1">
      <c r="A76" s="523"/>
      <c r="B76" s="513"/>
      <c r="C76" s="513"/>
      <c r="D76" s="513"/>
      <c r="E76" s="140">
        <v>28995</v>
      </c>
      <c r="F76" s="517"/>
      <c r="G76" s="553"/>
      <c r="H76" s="513"/>
      <c r="I76" s="546"/>
      <c r="J76" s="553"/>
      <c r="K76" s="513"/>
      <c r="L76" s="147" t="s">
        <v>651</v>
      </c>
      <c r="M76" s="557"/>
      <c r="N76" s="140">
        <v>36580.699999999997</v>
      </c>
      <c r="O76" s="517"/>
      <c r="P76" s="553"/>
      <c r="Q76" s="142">
        <v>36580.699999999997</v>
      </c>
      <c r="R76" s="517"/>
      <c r="S76" s="553"/>
      <c r="T76" s="142">
        <v>35207.949999999997</v>
      </c>
      <c r="U76" s="517"/>
      <c r="V76" s="553"/>
      <c r="W76" s="142">
        <v>35207.949999999997</v>
      </c>
      <c r="X76" s="517"/>
      <c r="Y76" s="553"/>
      <c r="Z76" s="142">
        <v>34142.049999999996</v>
      </c>
      <c r="AA76" s="517"/>
      <c r="AB76" s="553"/>
      <c r="AC76" s="142">
        <v>34142.049999999996</v>
      </c>
      <c r="AD76" s="517"/>
      <c r="AE76" s="553"/>
      <c r="AF76" s="142"/>
      <c r="AG76" s="517"/>
      <c r="AH76" s="553"/>
      <c r="AI76" s="142"/>
      <c r="AJ76" s="517"/>
      <c r="AK76" s="553"/>
      <c r="AL76" s="513"/>
      <c r="AM76" s="554"/>
      <c r="AN76" s="143"/>
      <c r="AO76" s="143"/>
      <c r="AP76" s="143"/>
      <c r="AQ76" s="143"/>
      <c r="AR76" s="143"/>
      <c r="AS76" s="143"/>
      <c r="AT76" s="143"/>
      <c r="AU76" s="143"/>
      <c r="AV76" s="143"/>
      <c r="AW76" s="143"/>
      <c r="AX76" s="145"/>
      <c r="AY76" s="143"/>
      <c r="AZ76" s="555"/>
      <c r="BA76" s="558"/>
      <c r="BB76" s="542"/>
      <c r="BC76" s="508"/>
      <c r="BD76" s="508"/>
      <c r="BE76" s="146">
        <f t="shared" si="666"/>
        <v>0</v>
      </c>
      <c r="BF76" s="146">
        <f t="shared" si="667"/>
        <v>0</v>
      </c>
      <c r="BG76" s="146">
        <f t="shared" si="668"/>
        <v>0</v>
      </c>
      <c r="BH76" s="146">
        <f t="shared" si="669"/>
        <v>0</v>
      </c>
      <c r="BI76" s="146">
        <f t="shared" si="670"/>
        <v>0</v>
      </c>
      <c r="BJ76" s="146">
        <f t="shared" si="671"/>
        <v>0</v>
      </c>
      <c r="BK76" s="146">
        <f t="shared" si="672"/>
        <v>0</v>
      </c>
      <c r="BL76" s="146">
        <f t="shared" si="673"/>
        <v>0</v>
      </c>
      <c r="BM76" s="146">
        <f t="shared" si="674"/>
        <v>0</v>
      </c>
      <c r="BN76" s="467"/>
      <c r="BO76" s="467"/>
      <c r="BP76" s="467"/>
      <c r="BQ76" s="467"/>
      <c r="BR76" s="508"/>
      <c r="BS76" s="508"/>
      <c r="BT76" s="508"/>
      <c r="BU76" s="508"/>
      <c r="BV76" s="538"/>
      <c r="BW76" s="538"/>
      <c r="BX76" s="538"/>
      <c r="BY76" s="538"/>
      <c r="BZ76" s="538"/>
      <c r="CA76" s="538"/>
      <c r="CB76" s="538"/>
      <c r="CC76" s="538"/>
      <c r="CD76" s="538"/>
      <c r="CE76" s="538"/>
      <c r="CF76" s="538"/>
      <c r="CG76" s="538"/>
      <c r="CI76" s="314" t="str">
        <f>IFERROR(IF('Overview - Section A'!$AN$5="Funding Request",
IF(AND('Reference Records'!$B$427&lt;&gt;"",$L76 ='Reference Records'!$B$427),'Reference Records'!$C$427,""),
INDEX('Reference Records'!$A$498:$C$499,MATCH($L76,'Reference Records'!$A$498:$A$499,0),3)),"")</f>
        <v/>
      </c>
      <c r="CJ76" s="314" t="str">
        <f>IFERROR(INDEX('Overview - Section A'!$H$102:$H$118,MATCH(IF($B76="", "--select--", $B76),'Overview - Section A'!$C$102:$C$118,0)),"")</f>
        <v/>
      </c>
      <c r="CK76" s="310" t="str" cm="1">
        <f t="array" ref="CK76">IFERROR(IF($C76="", "", VLOOKUP(LEFT($C76,255),LEFT('Reference Records'!$C$88:$G$189,255),5,0)),"")</f>
        <v/>
      </c>
    </row>
    <row r="77" spans="1:89" ht="30" customHeight="1">
      <c r="A77" s="522">
        <v>35</v>
      </c>
      <c r="B77" s="528" t="s">
        <v>1484</v>
      </c>
      <c r="C77" s="528" t="s">
        <v>1210</v>
      </c>
      <c r="D77" s="528"/>
      <c r="E77" s="148">
        <v>196987</v>
      </c>
      <c r="F77" s="516">
        <f t="shared" ref="F77:F85" ca="1" si="774">IF(OR(INDIRECT("'update Helper'!D"&amp;AT77)="",E77&lt;&gt;0,E78&lt;&gt;0),IF(IFERROR((E77/E78),"")="","",(E77/E78)),INDIRECT("'update Helper'!D"&amp;AT77)/100)</f>
        <v>0.38269405447494553</v>
      </c>
      <c r="G77" s="543">
        <v>2021</v>
      </c>
      <c r="H77" s="528" t="s">
        <v>2244</v>
      </c>
      <c r="I77" s="545" t="str">
        <f>AN77</f>
        <v>Gender | Age,Age</v>
      </c>
      <c r="J77" s="543" t="s">
        <v>2212</v>
      </c>
      <c r="K77" s="528" t="s">
        <v>323</v>
      </c>
      <c r="L77" s="149" t="s">
        <v>781</v>
      </c>
      <c r="M77" s="547" t="s">
        <v>652</v>
      </c>
      <c r="N77" s="148">
        <v>128776</v>
      </c>
      <c r="O77" s="524">
        <v>0.31200195764414002</v>
      </c>
      <c r="P77" s="543"/>
      <c r="Q77" s="150">
        <v>134751</v>
      </c>
      <c r="R77" s="524">
        <v>0.31200233392221649</v>
      </c>
      <c r="S77" s="543"/>
      <c r="T77" s="150">
        <v>158541</v>
      </c>
      <c r="U77" s="524">
        <v>0.3563119451623778</v>
      </c>
      <c r="V77" s="543"/>
      <c r="W77" s="150">
        <v>163195</v>
      </c>
      <c r="X77" s="524">
        <v>0.3563139588960042</v>
      </c>
      <c r="Y77" s="543"/>
      <c r="Z77" s="150">
        <v>189536</v>
      </c>
      <c r="AA77" s="524">
        <v>0.40653943005203574</v>
      </c>
      <c r="AB77" s="543"/>
      <c r="AC77" s="150">
        <v>192874</v>
      </c>
      <c r="AD77" s="524">
        <v>0.40654094307448774</v>
      </c>
      <c r="AE77" s="543"/>
      <c r="AF77" s="150"/>
      <c r="AG77" s="549"/>
      <c r="AH77" s="543"/>
      <c r="AI77" s="150"/>
      <c r="AJ77" s="549"/>
      <c r="AK77" s="543"/>
      <c r="AL77" s="528" t="s">
        <v>2219</v>
      </c>
      <c r="AM77" s="476" t="str">
        <f>IFERROR(IF(VLOOKUP(B77,'Reference Records'!$C$192:$D$250,2,FALSE)=0,"",VLOOKUP(B77,'Reference Records'!$C$192:$D$250,2,FALSE)),"")</f>
        <v>MCI-01306</v>
      </c>
      <c r="AN77" s="48" t="str">
        <f t="array" ref="AN77">IFERROR(IF(INDEX('Reference Records'!$D$88:$D$189,MATCH(LEFT(C77,255),LEFT('Reference Records'!$C$88:$C$189,255),0))=0,"",INDEX('Reference Records'!$D$88:$D$189,MATCH(LEFT(C77,255),LEFT('Reference Records'!$C$88:$C$189,255),0))),"")</f>
        <v>Gender | Age,Age</v>
      </c>
      <c r="AO77" s="48" t="str">
        <f>CONCATENATE(C77,D77)</f>
        <v>TCS-8 Percentage of people living with HIV and on ART with viral load test result</v>
      </c>
      <c r="AP77" s="151" t="str">
        <f t="array" ref="AP77">VLOOKUP(LEFT(C77,255),LEFT('Reference Records'!C$87:G307,255),4,0)</f>
        <v>MCI-01536</v>
      </c>
      <c r="AQ77" s="151" t="e">
        <f>MATCH(AP77,'Reference Records'!$F$512:$F$514,0)+ROW(PopulationByCoverage)-1</f>
        <v>#N/A</v>
      </c>
      <c r="AR77" s="151">
        <f>MATCH(AP77,'Reference Records'!$F$512:$F$514,1)+ROW(PopulationByCoverage)-1</f>
        <v>513</v>
      </c>
      <c r="AS77" s="48" t="str">
        <f>C77&amp;D77</f>
        <v>TCS-8 Percentage of people living with HIV and on ART with viral load test result</v>
      </c>
      <c r="AT77" s="48">
        <f t="shared" ref="AT77" si="775">AT75+1</f>
        <v>459</v>
      </c>
      <c r="AU77" s="48">
        <f ca="1">AU75+'update Helper'!$T$2</f>
        <v>562.91304347826065</v>
      </c>
      <c r="AV77" s="48" t="str">
        <f t="shared" ref="AV77" si="776">CLEAN(IFERROR(LEFT(AY77, SEARCH(";",AY77,1)-1),""))</f>
        <v>Non cumulative – other</v>
      </c>
      <c r="AW77" s="48" t="str">
        <f t="shared" ref="AW77" si="777">SUBSTITUTE(IFERROR(MID(AY77, SEARCH(";",AY77) + 1, SEARCH(";",AY77,SEARCH(";",AY77)+1) - SEARCH(";",AY77) - 1),""),CHAR(10),"")</f>
        <v/>
      </c>
      <c r="AX77" s="152" t="str">
        <f t="shared" ref="AX77" si="778">CLEAN(IFERROR(SUBSTITUTE(RIGHT(AY77,LEN(AY77) - SEARCH(";", AY77, SEARCH(";",AY77) + 1)),";",""),""))</f>
        <v/>
      </c>
      <c r="AY77" s="48" t="str">
        <f t="array" ref="AY77">IFERROR(IF(VLOOKUP(LEFT(C77,255),LEFT('Reference Records'!$C$1:$K$539,255),9,0)=0,"",CONCATENATE(VLOOKUP(LEFT(C77,255),LEFT('Reference Records'!$C$1:$K$539,255),9,0),";")),"")</f>
        <v>Non cumulative – other;</v>
      </c>
      <c r="AZ77" s="551" t="str">
        <f>IF($BV77="", "", IF($BV77=TRUE, "Yes", "No"))</f>
        <v>No</v>
      </c>
      <c r="BA77" s="559" t="str">
        <f t="shared" ref="BA77" ca="1" si="779">IF($D77="", "",IF(IF(INDIRECT("'update Helper'!W"&amp;AT77)=0,"",INDIRECT("'update Helper'!W"&amp;AT77))=TRUE, "Yes","No"))</f>
        <v/>
      </c>
      <c r="BB77" s="541" t="str">
        <f t="shared" ref="BB77" ca="1" si="780">IF(AND(BS77="Continue",BU77="Continue"),"No Error",IF(AND(BS77&lt;&gt;"Continue",BU77="Continue"),BS77,IF(AND(BU77&lt;&gt;"Continue",BS77="Continue"),BU77,CONCATENATE(BS77,CHAR(10),BU77))))</f>
        <v>No Error</v>
      </c>
      <c r="BC77" s="508" t="str" cm="1">
        <f t="array" ref="BC77">IF(ISBLANK(C77),"Continue",(IF(IFERROR(_xlfn.XMATCH(C77,LEFT('Reference Records'!$C$87:$C$189,32768),0),0)&lt;&gt;0,"Continue","Invalid indicator entry. Select from dropdown list.")))</f>
        <v>Continue</v>
      </c>
      <c r="BD77" s="508" t="str">
        <f t="shared" ref="BD77" si="781">IF(SUM(BE77:BM78)=0, "Continue", "Enter valid number only.")</f>
        <v>Continue</v>
      </c>
      <c r="BE77" s="146">
        <f t="shared" si="666"/>
        <v>0</v>
      </c>
      <c r="BF77" s="146">
        <f t="shared" si="667"/>
        <v>0</v>
      </c>
      <c r="BG77" s="146">
        <f t="shared" si="668"/>
        <v>0</v>
      </c>
      <c r="BH77" s="146">
        <f t="shared" si="669"/>
        <v>0</v>
      </c>
      <c r="BI77" s="146">
        <f t="shared" si="670"/>
        <v>0</v>
      </c>
      <c r="BJ77" s="146">
        <f t="shared" si="671"/>
        <v>0</v>
      </c>
      <c r="BK77" s="146">
        <f t="shared" si="672"/>
        <v>0</v>
      </c>
      <c r="BL77" s="146">
        <f t="shared" si="673"/>
        <v>0</v>
      </c>
      <c r="BM77" s="146">
        <f t="shared" si="674"/>
        <v>0</v>
      </c>
      <c r="BN77" s="467" t="str">
        <f>IF(NOT(ISBLANK(C77)),IF(C77&lt;&gt;"",IF(_xlfn.XLOOKUP(C77,'Reference Records'!$C$87:$C$189,'Reference Records'!$A$87:$A$189,0,0,1)=AM77,"Continue","Select correct module name."),"Continue"),"Continue")</f>
        <v>Continue</v>
      </c>
      <c r="BO77" s="467" t="str">
        <f t="shared" ref="BO77" ca="1" si="782">IF(AND(BC77="Continue",CG77="Continue"),"Continue",IF(AND(BC77&lt;&gt;"Continue",CG77="Continue"),BC77,IF(AND(CG77&lt;&gt;"Continue",BC77="Continue"),CG77,CONCATENATE(BC77,CHAR(10),CG77))))</f>
        <v>Continue</v>
      </c>
      <c r="BP77" s="467" t="str">
        <f t="shared" ref="BP77" ca="1" si="783">IF(AND((AZ77&lt;&gt;""),(BA77&lt;&gt;"")),"Reversed custom indicator selection not applicable. Value pre-populated in standard indicator column.","Continue")</f>
        <v>Continue</v>
      </c>
      <c r="BQ77" s="467" t="str">
        <f t="shared" ref="BQ77" ca="1" si="784">IF(AND(BN77="Continue",BO77="Continue"),"Continue",
IF(AND(BN77&lt;&gt;"Continue",BO77="Continue"),BN77,
IF(AND(BO77&lt;&gt;"Continue",BN77="Continue"),BO77,
CONCATENATE(BN77,CHAR(10),BO77))))</f>
        <v>Continue</v>
      </c>
      <c r="BR77" s="508" t="str" cm="1">
        <f t="array" ref="BR77">IF(ISBLANK(B77),"Continue",(IF(IFERROR(_xlfn.XMATCH(B77,LEFT('Reference Records'!$J$191:$J$250,32768),0),0)&lt;&gt;0,"Continue","Invalid module entry. Select from dropdown list.")))</f>
        <v>Continue</v>
      </c>
      <c r="BS77" s="508" t="str">
        <f t="shared" ref="BS77" ca="1" si="785">IF(AND(BP77="Continue",BQ77="Continue"),"Continue",IF(AND(BP77&lt;&gt;"Continue",BQ77="Continue"),BP77,IF(AND(BQ77&lt;&gt;"Continue",BP77="Continue"),BQ77,CONCATENATE(BP77,CHAR(10),BQ77))))</f>
        <v>Continue</v>
      </c>
      <c r="BT77" s="508" t="str">
        <f t="shared" ref="BT77" si="786">IF(AND(C77="",D77=""),"Continue",IF(AND(C77="",D77&lt;&gt;""),"Continue",IF(AND(C77&lt;&gt;"",D77=""),"Continue",IF(AND(C77&lt;&gt;"",D77&lt;&gt;""),"Cannot enter both standard and custom indicators on the same line."))))</f>
        <v>Continue</v>
      </c>
      <c r="BU77" s="508" t="str">
        <f t="shared" ref="BU77" si="787">IF(AND(BR77="Continue",BT77="Continue"),"Continue",IF(AND(BR77&lt;&gt;"Continue",BT77="Continue"),BR77,IF(AND(BT77&lt;&gt;"Continue",BR77="Continue"),BT77,CONCATENATE(BR77,CHAR(10),BT77))))</f>
        <v>Continue</v>
      </c>
      <c r="BV77" s="538" t="b">
        <f>IFERROR(INDEX('Reference Records'!$L$87:$L$189,MATCH($C77,'Reference Records'!$C$87:$C$189,0)),"")</f>
        <v>0</v>
      </c>
      <c r="BW77" s="538">
        <f t="shared" ref="BW77" ca="1" si="788">IF(NOT(ISBLANK(F77)),IF(F77&lt;&gt;"",(IF(NOT(ISNUMBER(F77)),1,0)),0),0)</f>
        <v>0</v>
      </c>
      <c r="BX77" s="538">
        <f t="shared" ref="BX77" si="789">IF(NOT(ISBLANK(O77)),IF(O77&lt;&gt;"",(IF(NOT(ISNUMBER(O77)),1,0)),0),0)</f>
        <v>0</v>
      </c>
      <c r="BY77" s="538">
        <f t="shared" ref="BY77" si="790">IF(NOT(ISBLANK(R77)),IF(R77&lt;&gt;"",(IF(NOT(ISNUMBER(R77)),1,0)),0),0)</f>
        <v>0</v>
      </c>
      <c r="BZ77" s="538">
        <f t="shared" ref="BZ77" si="791">IF(NOT(ISBLANK(U77)),IF(U77&lt;&gt;"",(IF(NOT(ISNUMBER(U77)),1,0)),0),0)</f>
        <v>0</v>
      </c>
      <c r="CA77" s="538">
        <f t="shared" ref="CA77" si="792">IF(NOT(ISBLANK(X77)),IF(X77&lt;&gt;"",(IF(NOT(ISNUMBER(X77)),1,0)),0),0)</f>
        <v>0</v>
      </c>
      <c r="CB77" s="538">
        <f t="shared" ref="CB77" si="793">IF(NOT(ISBLANK(AA77)),IF(AA77&lt;&gt;"",(IF(NOT(ISNUMBER(AA77)),1,0)),0),0)</f>
        <v>0</v>
      </c>
      <c r="CC77" s="538">
        <f t="shared" ref="CC77" si="794">IF(NOT(ISBLANK(AD77)),IF(AD77&lt;&gt;"",(IF(NOT(ISNUMBER(AD77)),1,0)),0),0)</f>
        <v>0</v>
      </c>
      <c r="CD77" s="538">
        <f t="shared" ref="CD77" si="795">IF(NOT(ISBLANK(AG77)),IF(AG77&lt;&gt;"",(IF(NOT(ISNUMBER(AG77)),1,0)),0),0)</f>
        <v>0</v>
      </c>
      <c r="CE77" s="538">
        <f t="shared" ref="CE77" si="796">IF(NOT(ISBLANK(AJ77)),IF(AJ77&lt;&gt;"",(IF(NOT(ISNUMBER(AJ77)),1,0)),0),0)</f>
        <v>0</v>
      </c>
      <c r="CF77" s="538" t="str">
        <f t="shared" ref="CF77" ca="1" si="797">IF(SUM(BW77:CE78)=0, "Continue", "Enter valid number only.")</f>
        <v>Continue</v>
      </c>
      <c r="CG77" s="538" t="str">
        <f t="shared" ref="CG77" ca="1" si="798">IF(AND(CF77="Continue",BD77="Continue"),"Continue",IF(AND(CF77&lt;&gt;"Continue",BD77="Continue"),CF77,IF(AND(BD77&lt;&gt;"Continue",CF77="Continue"),BD77,CONCATENATE(CF77,CHAR(10)))))</f>
        <v>Continue</v>
      </c>
      <c r="CI77" s="314" t="str">
        <f>IFERROR(IF('Overview - Section A'!$AN$5="Funding Request",
IF(AND('Reference Records'!$B$427&lt;&gt;"",$L77 ='Reference Records'!$B$427),'Reference Records'!$C$427,""),
INDEX('Reference Records'!$A$498:$C$499,MATCH($L77,'Reference Records'!$A$498:$A$499,0),3)),"")</f>
        <v>a1A360000013M2uEAE</v>
      </c>
      <c r="CJ77" s="314" t="str">
        <f>IFERROR(INDEX('Overview - Section A'!$H$102:$H$118,MATCH(IF($B77="", "--select--", $B77),'Overview - Section A'!$C$102:$C$118,0)),"")</f>
        <v>a1PDm000000LrDGMA0</v>
      </c>
      <c r="CK77" s="310" t="str" cm="1">
        <f t="array" ref="CK77">IFERROR(IF($C77="", "", VLOOKUP(LEFT($C77,255),LEFT('Reference Records'!$C$88:$G$189,255),5,0)),"")</f>
        <v>a1ODm000000GnyBMAS</v>
      </c>
    </row>
    <row r="78" spans="1:89" ht="30" customHeight="1">
      <c r="A78" s="523"/>
      <c r="B78" s="529"/>
      <c r="C78" s="529"/>
      <c r="D78" s="529"/>
      <c r="E78" s="148">
        <v>514737.55</v>
      </c>
      <c r="F78" s="517"/>
      <c r="G78" s="544"/>
      <c r="H78" s="529"/>
      <c r="I78" s="546"/>
      <c r="J78" s="544"/>
      <c r="K78" s="529"/>
      <c r="L78" s="153" t="s">
        <v>651</v>
      </c>
      <c r="M78" s="548"/>
      <c r="N78" s="148">
        <v>412741</v>
      </c>
      <c r="O78" s="525"/>
      <c r="P78" s="544"/>
      <c r="Q78" s="150">
        <v>431891</v>
      </c>
      <c r="R78" s="525"/>
      <c r="S78" s="544"/>
      <c r="T78" s="150">
        <v>444950</v>
      </c>
      <c r="U78" s="525"/>
      <c r="V78" s="544"/>
      <c r="W78" s="150">
        <v>458009</v>
      </c>
      <c r="X78" s="525"/>
      <c r="Y78" s="544"/>
      <c r="Z78" s="150">
        <v>466218</v>
      </c>
      <c r="AA78" s="525"/>
      <c r="AB78" s="544"/>
      <c r="AC78" s="150">
        <v>474427</v>
      </c>
      <c r="AD78" s="525"/>
      <c r="AE78" s="544"/>
      <c r="AF78" s="150"/>
      <c r="AG78" s="550"/>
      <c r="AH78" s="544"/>
      <c r="AI78" s="150"/>
      <c r="AJ78" s="550"/>
      <c r="AK78" s="544"/>
      <c r="AL78" s="529"/>
      <c r="AM78" s="476"/>
      <c r="AX78" s="152"/>
      <c r="AZ78" s="551"/>
      <c r="BA78" s="559"/>
      <c r="BB78" s="542"/>
      <c r="BC78" s="508"/>
      <c r="BD78" s="508"/>
      <c r="BE78" s="146">
        <f t="shared" si="666"/>
        <v>0</v>
      </c>
      <c r="BF78" s="146">
        <f t="shared" si="667"/>
        <v>0</v>
      </c>
      <c r="BG78" s="146">
        <f t="shared" si="668"/>
        <v>0</v>
      </c>
      <c r="BH78" s="146">
        <f t="shared" si="669"/>
        <v>0</v>
      </c>
      <c r="BI78" s="146">
        <f t="shared" si="670"/>
        <v>0</v>
      </c>
      <c r="BJ78" s="146">
        <f t="shared" si="671"/>
        <v>0</v>
      </c>
      <c r="BK78" s="146">
        <f t="shared" si="672"/>
        <v>0</v>
      </c>
      <c r="BL78" s="146">
        <f t="shared" si="673"/>
        <v>0</v>
      </c>
      <c r="BM78" s="146">
        <f t="shared" si="674"/>
        <v>0</v>
      </c>
      <c r="BN78" s="467"/>
      <c r="BO78" s="467"/>
      <c r="BP78" s="467"/>
      <c r="BQ78" s="467"/>
      <c r="BR78" s="508"/>
      <c r="BS78" s="508"/>
      <c r="BT78" s="508"/>
      <c r="BU78" s="508"/>
      <c r="BV78" s="538"/>
      <c r="BW78" s="538"/>
      <c r="BX78" s="538"/>
      <c r="BY78" s="538"/>
      <c r="BZ78" s="538"/>
      <c r="CA78" s="538"/>
      <c r="CB78" s="538"/>
      <c r="CC78" s="538"/>
      <c r="CD78" s="538"/>
      <c r="CE78" s="538"/>
      <c r="CF78" s="538"/>
      <c r="CG78" s="538"/>
      <c r="CI78" s="314" t="str">
        <f>IFERROR(IF('Overview - Section A'!$AN$5="Funding Request",
IF(AND('Reference Records'!$B$427&lt;&gt;"",$L78 ='Reference Records'!$B$427),'Reference Records'!$C$427,""),
INDEX('Reference Records'!$A$498:$C$499,MATCH($L78,'Reference Records'!$A$498:$A$499,0),3)),"")</f>
        <v/>
      </c>
      <c r="CJ78" s="314" t="str">
        <f>IFERROR(INDEX('Overview - Section A'!$H$102:$H$118,MATCH(IF($B78="", "--select--", $B78),'Overview - Section A'!$C$102:$C$118,0)),"")</f>
        <v/>
      </c>
      <c r="CK78" s="310" t="str" cm="1">
        <f t="array" ref="CK78">IFERROR(IF($C78="", "", VLOOKUP(LEFT($C78,255),LEFT('Reference Records'!$C$88:$G$189,255),5,0)),"")</f>
        <v/>
      </c>
    </row>
    <row r="79" spans="1:89" ht="30" customHeight="1">
      <c r="A79" s="522">
        <v>36</v>
      </c>
      <c r="B79" s="512" t="s">
        <v>1493</v>
      </c>
      <c r="C79" s="512" t="s">
        <v>1296</v>
      </c>
      <c r="D79" s="512"/>
      <c r="E79" s="140">
        <v>78473</v>
      </c>
      <c r="F79" s="516">
        <f t="shared" ref="F79:F87" ca="1" si="799">IF(OR(INDIRECT("'update Helper'!D"&amp;AT79)="",E79&lt;&gt;0,E80&lt;&gt;0),IF(IFERROR((E79/E80),"")="","",(E79/E80)),INDIRECT("'update Helper'!D"&amp;AT79)/100)</f>
        <v>0.78082587064676612</v>
      </c>
      <c r="G79" s="552">
        <v>2021</v>
      </c>
      <c r="H79" s="512" t="s">
        <v>2242</v>
      </c>
      <c r="I79" s="545" t="str">
        <f>AN79</f>
        <v>Gender,Age</v>
      </c>
      <c r="J79" s="552" t="s">
        <v>2212</v>
      </c>
      <c r="K79" s="512" t="s">
        <v>323</v>
      </c>
      <c r="L79" s="141" t="s">
        <v>781</v>
      </c>
      <c r="M79" s="556" t="s">
        <v>650</v>
      </c>
      <c r="N79" s="140">
        <v>27685</v>
      </c>
      <c r="O79" s="516">
        <v>0.5</v>
      </c>
      <c r="P79" s="552"/>
      <c r="Q79" s="142">
        <v>27685</v>
      </c>
      <c r="R79" s="516">
        <v>0.5</v>
      </c>
      <c r="S79" s="552"/>
      <c r="T79" s="142">
        <v>26828</v>
      </c>
      <c r="U79" s="516">
        <v>0.5</v>
      </c>
      <c r="V79" s="552"/>
      <c r="W79" s="142">
        <v>26828</v>
      </c>
      <c r="X79" s="516">
        <v>0.5</v>
      </c>
      <c r="Y79" s="552"/>
      <c r="Z79" s="142">
        <v>25832</v>
      </c>
      <c r="AA79" s="516">
        <v>0.5</v>
      </c>
      <c r="AB79" s="552"/>
      <c r="AC79" s="142">
        <v>25832</v>
      </c>
      <c r="AD79" s="516">
        <v>0.5</v>
      </c>
      <c r="AE79" s="552"/>
      <c r="AF79" s="142"/>
      <c r="AG79" s="516"/>
      <c r="AH79" s="552"/>
      <c r="AI79" s="142"/>
      <c r="AJ79" s="516"/>
      <c r="AK79" s="552"/>
      <c r="AL79" s="512" t="s">
        <v>2220</v>
      </c>
      <c r="AM79" s="554" t="str">
        <f>IFERROR(IF(VLOOKUP(B79,'Reference Records'!$C$192:$D$250,2,FALSE)=0,"",VLOOKUP(B79,'Reference Records'!$C$192:$D$250,2,FALSE)),"")</f>
        <v>MCI-01313</v>
      </c>
      <c r="AN79" s="143" t="str">
        <f t="array" ref="AN79">IFERROR(IF(INDEX('Reference Records'!$D$88:$D$189,MATCH(LEFT(C79,255),LEFT('Reference Records'!$C$88:$C$189,255),0))=0,"",INDEX('Reference Records'!$D$88:$D$189,MATCH(LEFT(C79,255),LEFT('Reference Records'!$C$88:$C$189,255),0))),"")</f>
        <v>Gender,Age</v>
      </c>
      <c r="AO79" s="143" t="str">
        <f>CONCATENATE(C79,D79)</f>
        <v>TB/HIV-3.1a Percentage of people living with HIV newly initiated on ART who were screened for TB</v>
      </c>
      <c r="AP79" s="144" t="str">
        <f t="array" ref="AP79">VLOOKUP(LEFT(C79,255),LEFT('Reference Records'!C$87:G309,255),4,0)</f>
        <v>MCI-01545</v>
      </c>
      <c r="AQ79" s="144" t="e">
        <f>MATCH(AP79,'Reference Records'!$F$512:$F$514,0)+ROW(PopulationByCoverage)-1</f>
        <v>#N/A</v>
      </c>
      <c r="AR79" s="144">
        <f>MATCH(AP79,'Reference Records'!$F$512:$F$514,1)+ROW(PopulationByCoverage)-1</f>
        <v>513</v>
      </c>
      <c r="AS79" s="143" t="str">
        <f>C79&amp;D79</f>
        <v>TB/HIV-3.1a Percentage of people living with HIV newly initiated on ART who were screened for TB</v>
      </c>
      <c r="AT79" s="143">
        <f t="shared" ref="AT79" si="800">AT77+1</f>
        <v>460</v>
      </c>
      <c r="AU79" s="143">
        <f ca="1">AU77+'update Helper'!$T$2</f>
        <v>569.69565217391278</v>
      </c>
      <c r="AV79" s="143" t="str">
        <f t="shared" ref="AV79" si="801">CLEAN(IFERROR(LEFT(AY79, SEARCH(";",AY79,1)-1),""))</f>
        <v>Non cumulative</v>
      </c>
      <c r="AW79" s="143" t="str">
        <f t="shared" ref="AW79" si="802">SUBSTITUTE(IFERROR(MID(AY79, SEARCH(";",AY79) + 1, SEARCH(";",AY79,SEARCH(";",AY79)+1) - SEARCH(";",AY79) - 1),""),CHAR(10),"")</f>
        <v/>
      </c>
      <c r="AX79" s="145" t="str">
        <f t="shared" ref="AX79" si="803">CLEAN(IFERROR(SUBSTITUTE(RIGHT(AY79,LEN(AY79) - SEARCH(";", AY79, SEARCH(";",AY79) + 1)),";",""),""))</f>
        <v/>
      </c>
      <c r="AY79" s="143" t="str">
        <f t="array" ref="AY79">IFERROR(IF(VLOOKUP(LEFT(C79,255),LEFT('Reference Records'!$C$1:$K$539,255),9,0)=0,"",CONCATENATE(VLOOKUP(LEFT(C79,255),LEFT('Reference Records'!$C$1:$K$539,255),9,0),";")),"")</f>
        <v>Non cumulative;</v>
      </c>
      <c r="AZ79" s="555" t="str">
        <f>IF($BV79="", "", IF($BV79=TRUE, "Yes", "No"))</f>
        <v>No</v>
      </c>
      <c r="BA79" s="558" t="str">
        <f t="shared" ref="BA79" ca="1" si="804">IF($D79="", "",IF(IF(INDIRECT("'update Helper'!W"&amp;AT79)=0,"",INDIRECT("'update Helper'!W"&amp;AT79))=TRUE, "Yes","No"))</f>
        <v/>
      </c>
      <c r="BB79" s="541" t="str">
        <f t="shared" ref="BB79" ca="1" si="805">IF(AND(BS79="Continue",BU79="Continue"),"No Error",IF(AND(BS79&lt;&gt;"Continue",BU79="Continue"),BS79,IF(AND(BU79&lt;&gt;"Continue",BS79="Continue"),BU79,CONCATENATE(BS79,CHAR(10),BU79))))</f>
        <v>No Error</v>
      </c>
      <c r="BC79" s="508" t="str" cm="1">
        <f t="array" ref="BC79">IF(ISBLANK(C79),"Continue",(IF(IFERROR(_xlfn.XMATCH(C79,LEFT('Reference Records'!$C$87:$C$189,32768),0),0)&lt;&gt;0,"Continue","Invalid indicator entry. Select from dropdown list.")))</f>
        <v>Continue</v>
      </c>
      <c r="BD79" s="508" t="str">
        <f t="shared" ref="BD79" si="806">IF(SUM(BE79:BM80)=0, "Continue", "Enter valid number only.")</f>
        <v>Continue</v>
      </c>
      <c r="BE79" s="146">
        <f t="shared" si="666"/>
        <v>0</v>
      </c>
      <c r="BF79" s="146">
        <f t="shared" si="667"/>
        <v>0</v>
      </c>
      <c r="BG79" s="146">
        <f t="shared" si="668"/>
        <v>0</v>
      </c>
      <c r="BH79" s="146">
        <f t="shared" si="669"/>
        <v>0</v>
      </c>
      <c r="BI79" s="146">
        <f t="shared" si="670"/>
        <v>0</v>
      </c>
      <c r="BJ79" s="146">
        <f t="shared" si="671"/>
        <v>0</v>
      </c>
      <c r="BK79" s="146">
        <f t="shared" si="672"/>
        <v>0</v>
      </c>
      <c r="BL79" s="146">
        <f t="shared" si="673"/>
        <v>0</v>
      </c>
      <c r="BM79" s="146">
        <f t="shared" si="674"/>
        <v>0</v>
      </c>
      <c r="BN79" s="467" t="str">
        <f>IF(NOT(ISBLANK(C79)),IF(C79&lt;&gt;"",IF(_xlfn.XLOOKUP(C79,'Reference Records'!$C$87:$C$189,'Reference Records'!$A$87:$A$189,0,0,1)=AM79,"Continue","Select correct module name."),"Continue"),"Continue")</f>
        <v>Continue</v>
      </c>
      <c r="BO79" s="467" t="str">
        <f t="shared" ref="BO79" ca="1" si="807">IF(AND(BC79="Continue",CG79="Continue"),"Continue",IF(AND(BC79&lt;&gt;"Continue",CG79="Continue"),BC79,IF(AND(CG79&lt;&gt;"Continue",BC79="Continue"),CG79,CONCATENATE(BC79,CHAR(10),CG79))))</f>
        <v>Continue</v>
      </c>
      <c r="BP79" s="467" t="str">
        <f t="shared" ref="BP79" ca="1" si="808">IF(AND((AZ79&lt;&gt;""),(BA79&lt;&gt;"")),"Reversed custom indicator selection not applicable. Value pre-populated in standard indicator column.","Continue")</f>
        <v>Continue</v>
      </c>
      <c r="BQ79" s="467" t="str">
        <f t="shared" ref="BQ79" ca="1" si="809">IF(AND(BN79="Continue",BO79="Continue"),"Continue",
IF(AND(BN79&lt;&gt;"Continue",BO79="Continue"),BN79,
IF(AND(BO79&lt;&gt;"Continue",BN79="Continue"),BO79,
CONCATENATE(BN79,CHAR(10),BO79))))</f>
        <v>Continue</v>
      </c>
      <c r="BR79" s="508" t="str" cm="1">
        <f t="array" ref="BR79">IF(ISBLANK(B79),"Continue",(IF(IFERROR(_xlfn.XMATCH(B79,LEFT('Reference Records'!$J$191:$J$250,32768),0),0)&lt;&gt;0,"Continue","Invalid module entry. Select from dropdown list.")))</f>
        <v>Continue</v>
      </c>
      <c r="BS79" s="508" t="str">
        <f t="shared" ref="BS79" ca="1" si="810">IF(AND(BP79="Continue",BQ79="Continue"),"Continue",IF(AND(BP79&lt;&gt;"Continue",BQ79="Continue"),BP79,IF(AND(BQ79&lt;&gt;"Continue",BP79="Continue"),BQ79,CONCATENATE(BP79,CHAR(10),BQ79))))</f>
        <v>Continue</v>
      </c>
      <c r="BT79" s="508" t="str">
        <f t="shared" ref="BT79" si="811">IF(AND(C79="",D79=""),"Continue",IF(AND(C79="",D79&lt;&gt;""),"Continue",IF(AND(C79&lt;&gt;"",D79=""),"Continue",IF(AND(C79&lt;&gt;"",D79&lt;&gt;""),"Cannot enter both standard and custom indicators on the same line."))))</f>
        <v>Continue</v>
      </c>
      <c r="BU79" s="508" t="str">
        <f t="shared" ref="BU79" si="812">IF(AND(BR79="Continue",BT79="Continue"),"Continue",IF(AND(BR79&lt;&gt;"Continue",BT79="Continue"),BR79,IF(AND(BT79&lt;&gt;"Continue",BR79="Continue"),BT79,CONCATENATE(BR79,CHAR(10),BT79))))</f>
        <v>Continue</v>
      </c>
      <c r="BV79" s="538" t="b">
        <f>IFERROR(INDEX('Reference Records'!$L$87:$L$189,MATCH($C79,'Reference Records'!$C$87:$C$189,0)),"")</f>
        <v>0</v>
      </c>
      <c r="BW79" s="538">
        <f t="shared" ref="BW79" ca="1" si="813">IF(NOT(ISBLANK(F79)),IF(F79&lt;&gt;"",(IF(NOT(ISNUMBER(F79)),1,0)),0),0)</f>
        <v>0</v>
      </c>
      <c r="BX79" s="538">
        <f t="shared" ref="BX79" si="814">IF(NOT(ISBLANK(O79)),IF(O79&lt;&gt;"",(IF(NOT(ISNUMBER(O79)),1,0)),0),0)</f>
        <v>0</v>
      </c>
      <c r="BY79" s="538">
        <f t="shared" ref="BY79" si="815">IF(NOT(ISBLANK(R79)),IF(R79&lt;&gt;"",(IF(NOT(ISNUMBER(R79)),1,0)),0),0)</f>
        <v>0</v>
      </c>
      <c r="BZ79" s="538">
        <f t="shared" ref="BZ79" si="816">IF(NOT(ISBLANK(U79)),IF(U79&lt;&gt;"",(IF(NOT(ISNUMBER(U79)),1,0)),0),0)</f>
        <v>0</v>
      </c>
      <c r="CA79" s="538">
        <f t="shared" ref="CA79" si="817">IF(NOT(ISBLANK(X79)),IF(X79&lt;&gt;"",(IF(NOT(ISNUMBER(X79)),1,0)),0),0)</f>
        <v>0</v>
      </c>
      <c r="CB79" s="538">
        <f t="shared" ref="CB79" si="818">IF(NOT(ISBLANK(AA79)),IF(AA79&lt;&gt;"",(IF(NOT(ISNUMBER(AA79)),1,0)),0),0)</f>
        <v>0</v>
      </c>
      <c r="CC79" s="538">
        <f t="shared" ref="CC79" si="819">IF(NOT(ISBLANK(AD79)),IF(AD79&lt;&gt;"",(IF(NOT(ISNUMBER(AD79)),1,0)),0),0)</f>
        <v>0</v>
      </c>
      <c r="CD79" s="538">
        <f t="shared" ref="CD79" si="820">IF(NOT(ISBLANK(AG79)),IF(AG79&lt;&gt;"",(IF(NOT(ISNUMBER(AG79)),1,0)),0),0)</f>
        <v>0</v>
      </c>
      <c r="CE79" s="538">
        <f t="shared" ref="CE79" si="821">IF(NOT(ISBLANK(AJ79)),IF(AJ79&lt;&gt;"",(IF(NOT(ISNUMBER(AJ79)),1,0)),0),0)</f>
        <v>0</v>
      </c>
      <c r="CF79" s="538" t="str">
        <f t="shared" ref="CF79" ca="1" si="822">IF(SUM(BW79:CE80)=0, "Continue", "Enter valid number only.")</f>
        <v>Continue</v>
      </c>
      <c r="CG79" s="538" t="str">
        <f t="shared" ref="CG79" ca="1" si="823">IF(AND(CF79="Continue",BD79="Continue"),"Continue",IF(AND(CF79&lt;&gt;"Continue",BD79="Continue"),CF79,IF(AND(BD79&lt;&gt;"Continue",CF79="Continue"),BD79,CONCATENATE(CF79,CHAR(10)))))</f>
        <v>Continue</v>
      </c>
      <c r="CI79" s="314" t="str">
        <f>IFERROR(IF('Overview - Section A'!$AN$5="Funding Request",
IF(AND('Reference Records'!$B$427&lt;&gt;"",$L79 ='Reference Records'!$B$427),'Reference Records'!$C$427,""),
INDEX('Reference Records'!$A$498:$C$499,MATCH($L79,'Reference Records'!$A$498:$A$499,0),3)),"")</f>
        <v>a1A360000013M2uEAE</v>
      </c>
      <c r="CJ79" s="314" t="str">
        <f>IFERROR(INDEX('Overview - Section A'!$H$102:$H$118,MATCH(IF($B79="", "--select--", $B79),'Overview - Section A'!$C$102:$C$118,0)),"")</f>
        <v>a1PDm000000LrD8MAK</v>
      </c>
      <c r="CK79" s="310" t="str" cm="1">
        <f t="array" ref="CK79">IFERROR(IF($C79="", "", VLOOKUP(LEFT($C79,255),LEFT('Reference Records'!$C$88:$G$189,255),5,0)),"")</f>
        <v>a1ODm000000GnyKMAS</v>
      </c>
    </row>
    <row r="80" spans="1:89" ht="30" customHeight="1">
      <c r="A80" s="523"/>
      <c r="B80" s="513"/>
      <c r="C80" s="513"/>
      <c r="D80" s="513"/>
      <c r="E80" s="140">
        <v>100500</v>
      </c>
      <c r="F80" s="517"/>
      <c r="G80" s="553"/>
      <c r="H80" s="513"/>
      <c r="I80" s="546"/>
      <c r="J80" s="553"/>
      <c r="K80" s="513"/>
      <c r="L80" s="147" t="s">
        <v>651</v>
      </c>
      <c r="M80" s="557"/>
      <c r="N80" s="140">
        <v>55370</v>
      </c>
      <c r="O80" s="517"/>
      <c r="P80" s="553"/>
      <c r="Q80" s="142">
        <v>55370</v>
      </c>
      <c r="R80" s="517"/>
      <c r="S80" s="553"/>
      <c r="T80" s="142">
        <v>53656</v>
      </c>
      <c r="U80" s="517"/>
      <c r="V80" s="553"/>
      <c r="W80" s="142">
        <v>53656</v>
      </c>
      <c r="X80" s="517"/>
      <c r="Y80" s="553"/>
      <c r="Z80" s="142">
        <v>51664</v>
      </c>
      <c r="AA80" s="517"/>
      <c r="AB80" s="553"/>
      <c r="AC80" s="142">
        <v>51664</v>
      </c>
      <c r="AD80" s="517"/>
      <c r="AE80" s="553"/>
      <c r="AF80" s="142"/>
      <c r="AG80" s="517"/>
      <c r="AH80" s="553"/>
      <c r="AI80" s="142"/>
      <c r="AJ80" s="517"/>
      <c r="AK80" s="553"/>
      <c r="AL80" s="513"/>
      <c r="AM80" s="554"/>
      <c r="AN80" s="143"/>
      <c r="AO80" s="143"/>
      <c r="AP80" s="143"/>
      <c r="AQ80" s="143"/>
      <c r="AR80" s="143"/>
      <c r="AS80" s="143"/>
      <c r="AT80" s="143"/>
      <c r="AU80" s="143"/>
      <c r="AV80" s="143"/>
      <c r="AW80" s="143"/>
      <c r="AX80" s="145"/>
      <c r="AY80" s="143"/>
      <c r="AZ80" s="555"/>
      <c r="BA80" s="558"/>
      <c r="BB80" s="542"/>
      <c r="BC80" s="508"/>
      <c r="BD80" s="508"/>
      <c r="BE80" s="146">
        <f t="shared" si="666"/>
        <v>0</v>
      </c>
      <c r="BF80" s="146">
        <f t="shared" si="667"/>
        <v>0</v>
      </c>
      <c r="BG80" s="146">
        <f t="shared" si="668"/>
        <v>0</v>
      </c>
      <c r="BH80" s="146">
        <f t="shared" si="669"/>
        <v>0</v>
      </c>
      <c r="BI80" s="146">
        <f t="shared" si="670"/>
        <v>0</v>
      </c>
      <c r="BJ80" s="146">
        <f t="shared" si="671"/>
        <v>0</v>
      </c>
      <c r="BK80" s="146">
        <f t="shared" si="672"/>
        <v>0</v>
      </c>
      <c r="BL80" s="146">
        <f t="shared" si="673"/>
        <v>0</v>
      </c>
      <c r="BM80" s="146">
        <f t="shared" si="674"/>
        <v>0</v>
      </c>
      <c r="BN80" s="467"/>
      <c r="BO80" s="467"/>
      <c r="BP80" s="467"/>
      <c r="BQ80" s="467"/>
      <c r="BR80" s="508"/>
      <c r="BS80" s="508"/>
      <c r="BT80" s="508"/>
      <c r="BU80" s="508"/>
      <c r="BV80" s="538"/>
      <c r="BW80" s="538"/>
      <c r="BX80" s="538"/>
      <c r="BY80" s="538"/>
      <c r="BZ80" s="538"/>
      <c r="CA80" s="538"/>
      <c r="CB80" s="538"/>
      <c r="CC80" s="538"/>
      <c r="CD80" s="538"/>
      <c r="CE80" s="538"/>
      <c r="CF80" s="538"/>
      <c r="CG80" s="538"/>
      <c r="CI80" s="314" t="str">
        <f>IFERROR(IF('Overview - Section A'!$AN$5="Funding Request",
IF(AND('Reference Records'!$B$427&lt;&gt;"",$L80 ='Reference Records'!$B$427),'Reference Records'!$C$427,""),
INDEX('Reference Records'!$A$498:$C$499,MATCH($L80,'Reference Records'!$A$498:$A$499,0),3)),"")</f>
        <v/>
      </c>
      <c r="CJ80" s="314" t="str">
        <f>IFERROR(INDEX('Overview - Section A'!$H$102:$H$118,MATCH(IF($B80="", "--select--", $B80),'Overview - Section A'!$C$102:$C$118,0)),"")</f>
        <v/>
      </c>
      <c r="CK80" s="310" t="str" cm="1">
        <f t="array" ref="CK80">IFERROR(IF($C80="", "", VLOOKUP(LEFT($C80,255),LEFT('Reference Records'!$C$88:$G$189,255),5,0)),"")</f>
        <v/>
      </c>
    </row>
    <row r="81" spans="1:89" ht="30" customHeight="1">
      <c r="A81" s="522">
        <v>37</v>
      </c>
      <c r="B81" s="528" t="s">
        <v>1493</v>
      </c>
      <c r="C81" s="528" t="s">
        <v>1306</v>
      </c>
      <c r="D81" s="528"/>
      <c r="E81" s="148">
        <v>55640</v>
      </c>
      <c r="F81" s="516">
        <f t="shared" ref="F81:F89" ca="1" si="824">IF(OR(INDIRECT("'update Helper'!D"&amp;AT81)="",E81&lt;&gt;0,E82&lt;&gt;0),IF(IFERROR((E81/E82),"")="","",(E81/E82)),INDIRECT("'update Helper'!D"&amp;AT81)/100)</f>
        <v>0.77897713749702491</v>
      </c>
      <c r="G81" s="543">
        <v>2021</v>
      </c>
      <c r="H81" s="528" t="s">
        <v>2242</v>
      </c>
      <c r="I81" s="545" t="str">
        <f>AN81</f>
        <v>Gender,TPT regimen,Age</v>
      </c>
      <c r="J81" s="543" t="s">
        <v>2212</v>
      </c>
      <c r="K81" s="528" t="s">
        <v>323</v>
      </c>
      <c r="L81" s="149" t="s">
        <v>781</v>
      </c>
      <c r="M81" s="547" t="s">
        <v>650</v>
      </c>
      <c r="N81" s="148">
        <v>17769</v>
      </c>
      <c r="O81" s="524">
        <v>0.5</v>
      </c>
      <c r="P81" s="543"/>
      <c r="Q81" s="150">
        <v>17769</v>
      </c>
      <c r="R81" s="524">
        <v>0.5</v>
      </c>
      <c r="S81" s="543"/>
      <c r="T81" s="150">
        <v>18125.5</v>
      </c>
      <c r="U81" s="524">
        <v>0.5</v>
      </c>
      <c r="V81" s="543"/>
      <c r="W81" s="150">
        <v>18125.5</v>
      </c>
      <c r="X81" s="524">
        <v>0.5</v>
      </c>
      <c r="Y81" s="543"/>
      <c r="Z81" s="150">
        <v>17452.5</v>
      </c>
      <c r="AA81" s="524">
        <v>0.5</v>
      </c>
      <c r="AB81" s="543"/>
      <c r="AC81" s="150">
        <v>17452.5</v>
      </c>
      <c r="AD81" s="524">
        <v>0.5</v>
      </c>
      <c r="AE81" s="543"/>
      <c r="AF81" s="150"/>
      <c r="AG81" s="549"/>
      <c r="AH81" s="543"/>
      <c r="AI81" s="150"/>
      <c r="AJ81" s="549"/>
      <c r="AK81" s="543"/>
      <c r="AL81" s="528" t="s">
        <v>2221</v>
      </c>
      <c r="AM81" s="476" t="str">
        <f>IFERROR(IF(VLOOKUP(B81,'Reference Records'!$C$192:$D$250,2,FALSE)=0,"",VLOOKUP(B81,'Reference Records'!$C$192:$D$250,2,FALSE)),"")</f>
        <v>MCI-01313</v>
      </c>
      <c r="AN81" s="48" t="str">
        <f t="array" ref="AN81">IFERROR(IF(INDEX('Reference Records'!$D$88:$D$189,MATCH(LEFT(C81,255),LEFT('Reference Records'!$C$88:$C$189,255),0))=0,"",INDEX('Reference Records'!$D$88:$D$189,MATCH(LEFT(C81,255),LEFT('Reference Records'!$C$88:$C$189,255),0))),"")</f>
        <v>Gender,TPT regimen,Age</v>
      </c>
      <c r="AO81" s="48" t="str">
        <f>CONCATENATE(C81,D81)</f>
        <v>TB/HIV-7.1 Percentage of people living with HIV currently enrolled on antiretroviral therapy who started TB preventive treatment (TPT) during the reporting period</v>
      </c>
      <c r="AP81" s="151" t="str">
        <f t="array" ref="AP81">VLOOKUP(LEFT(C81,255),LEFT('Reference Records'!C$87:G311,255),4,0)</f>
        <v>MCI-01548</v>
      </c>
      <c r="AQ81" s="151" t="e">
        <f>MATCH(AP81,'Reference Records'!$F$512:$F$514,0)+ROW(PopulationByCoverage)-1</f>
        <v>#N/A</v>
      </c>
      <c r="AR81" s="151">
        <f>MATCH(AP81,'Reference Records'!$F$512:$F$514,1)+ROW(PopulationByCoverage)-1</f>
        <v>513</v>
      </c>
      <c r="AS81" s="48" t="str">
        <f>C81&amp;D81</f>
        <v>TB/HIV-7.1 Percentage of people living with HIV currently enrolled on antiretroviral therapy who started TB preventive treatment (TPT) during the reporting period</v>
      </c>
      <c r="AT81" s="48">
        <f t="shared" ref="AT81" si="825">AT79+1</f>
        <v>461</v>
      </c>
      <c r="AU81" s="48">
        <f ca="1">AU79+'update Helper'!$T$2</f>
        <v>576.47826086956491</v>
      </c>
      <c r="AV81" s="48" t="str">
        <f t="shared" ref="AV81" si="826">CLEAN(IFERROR(LEFT(AY81, SEARCH(";",AY81,1)-1),""))</f>
        <v>Non cumulative</v>
      </c>
      <c r="AW81" s="48" t="str">
        <f t="shared" ref="AW81" si="827">SUBSTITUTE(IFERROR(MID(AY81, SEARCH(";",AY81) + 1, SEARCH(";",AY81,SEARCH(";",AY81)+1) - SEARCH(";",AY81) - 1),""),CHAR(10),"")</f>
        <v/>
      </c>
      <c r="AX81" s="152" t="str">
        <f t="shared" ref="AX81" si="828">CLEAN(IFERROR(SUBSTITUTE(RIGHT(AY81,LEN(AY81) - SEARCH(";", AY81, SEARCH(";",AY81) + 1)),";",""),""))</f>
        <v/>
      </c>
      <c r="AY81" s="48" t="str">
        <f t="array" ref="AY81">IFERROR(IF(VLOOKUP(LEFT(C81,255),LEFT('Reference Records'!$C$1:$K$539,255),9,0)=0,"",CONCATENATE(VLOOKUP(LEFT(C81,255),LEFT('Reference Records'!$C$1:$K$539,255),9,0),";")),"")</f>
        <v>Non cumulative;</v>
      </c>
      <c r="AZ81" s="551" t="str">
        <f>IF($BV81="", "", IF($BV81=TRUE, "Yes", "No"))</f>
        <v>No</v>
      </c>
      <c r="BA81" s="559" t="str">
        <f t="shared" ref="BA81" ca="1" si="829">IF($D81="", "",IF(IF(INDIRECT("'update Helper'!W"&amp;AT81)=0,"",INDIRECT("'update Helper'!W"&amp;AT81))=TRUE, "Yes","No"))</f>
        <v/>
      </c>
      <c r="BB81" s="541" t="str">
        <f t="shared" ref="BB81" ca="1" si="830">IF(AND(BS81="Continue",BU81="Continue"),"No Error",IF(AND(BS81&lt;&gt;"Continue",BU81="Continue"),BS81,IF(AND(BU81&lt;&gt;"Continue",BS81="Continue"),BU81,CONCATENATE(BS81,CHAR(10),BU81))))</f>
        <v>No Error</v>
      </c>
      <c r="BC81" s="508" t="str" cm="1">
        <f t="array" ref="BC81">IF(ISBLANK(C81),"Continue",(IF(IFERROR(_xlfn.XMATCH(C81,LEFT('Reference Records'!$C$87:$C$189,32768),0),0)&lt;&gt;0,"Continue","Invalid indicator entry. Select from dropdown list.")))</f>
        <v>Continue</v>
      </c>
      <c r="BD81" s="508" t="str">
        <f t="shared" ref="BD81" si="831">IF(SUM(BE81:BM82)=0, "Continue", "Enter valid number only.")</f>
        <v>Continue</v>
      </c>
      <c r="BE81" s="146">
        <f t="shared" si="666"/>
        <v>0</v>
      </c>
      <c r="BF81" s="146">
        <f t="shared" si="667"/>
        <v>0</v>
      </c>
      <c r="BG81" s="146">
        <f t="shared" si="668"/>
        <v>0</v>
      </c>
      <c r="BH81" s="146">
        <f t="shared" si="669"/>
        <v>0</v>
      </c>
      <c r="BI81" s="146">
        <f t="shared" si="670"/>
        <v>0</v>
      </c>
      <c r="BJ81" s="146">
        <f t="shared" si="671"/>
        <v>0</v>
      </c>
      <c r="BK81" s="146">
        <f t="shared" si="672"/>
        <v>0</v>
      </c>
      <c r="BL81" s="146">
        <f t="shared" si="673"/>
        <v>0</v>
      </c>
      <c r="BM81" s="146">
        <f t="shared" si="674"/>
        <v>0</v>
      </c>
      <c r="BN81" s="467" t="str">
        <f>IF(NOT(ISBLANK(C81)),IF(C81&lt;&gt;"",IF(_xlfn.XLOOKUP(C81,'Reference Records'!$C$87:$C$189,'Reference Records'!$A$87:$A$189,0,0,1)=AM81,"Continue","Select correct module name."),"Continue"),"Continue")</f>
        <v>Continue</v>
      </c>
      <c r="BO81" s="467" t="str">
        <f t="shared" ref="BO81" ca="1" si="832">IF(AND(BC81="Continue",CG81="Continue"),"Continue",IF(AND(BC81&lt;&gt;"Continue",CG81="Continue"),BC81,IF(AND(CG81&lt;&gt;"Continue",BC81="Continue"),CG81,CONCATENATE(BC81,CHAR(10),CG81))))</f>
        <v>Continue</v>
      </c>
      <c r="BP81" s="467" t="str">
        <f t="shared" ref="BP81" ca="1" si="833">IF(AND((AZ81&lt;&gt;""),(BA81&lt;&gt;"")),"Reversed custom indicator selection not applicable. Value pre-populated in standard indicator column.","Continue")</f>
        <v>Continue</v>
      </c>
      <c r="BQ81" s="467" t="str">
        <f t="shared" ref="BQ81" ca="1" si="834">IF(AND(BN81="Continue",BO81="Continue"),"Continue",
IF(AND(BN81&lt;&gt;"Continue",BO81="Continue"),BN81,
IF(AND(BO81&lt;&gt;"Continue",BN81="Continue"),BO81,
CONCATENATE(BN81,CHAR(10),BO81))))</f>
        <v>Continue</v>
      </c>
      <c r="BR81" s="508" t="str" cm="1">
        <f t="array" ref="BR81">IF(ISBLANK(B81),"Continue",(IF(IFERROR(_xlfn.XMATCH(B81,LEFT('Reference Records'!$J$191:$J$250,32768),0),0)&lt;&gt;0,"Continue","Invalid module entry. Select from dropdown list.")))</f>
        <v>Continue</v>
      </c>
      <c r="BS81" s="508" t="str">
        <f t="shared" ref="BS81" ca="1" si="835">IF(AND(BP81="Continue",BQ81="Continue"),"Continue",IF(AND(BP81&lt;&gt;"Continue",BQ81="Continue"),BP81,IF(AND(BQ81&lt;&gt;"Continue",BP81="Continue"),BQ81,CONCATENATE(BP81,CHAR(10),BQ81))))</f>
        <v>Continue</v>
      </c>
      <c r="BT81" s="508" t="str">
        <f t="shared" ref="BT81" si="836">IF(AND(C81="",D81=""),"Continue",IF(AND(C81="",D81&lt;&gt;""),"Continue",IF(AND(C81&lt;&gt;"",D81=""),"Continue",IF(AND(C81&lt;&gt;"",D81&lt;&gt;""),"Cannot enter both standard and custom indicators on the same line."))))</f>
        <v>Continue</v>
      </c>
      <c r="BU81" s="508" t="str">
        <f t="shared" ref="BU81" si="837">IF(AND(BR81="Continue",BT81="Continue"),"Continue",IF(AND(BR81&lt;&gt;"Continue",BT81="Continue"),BR81,IF(AND(BT81&lt;&gt;"Continue",BR81="Continue"),BT81,CONCATENATE(BR81,CHAR(10),BT81))))</f>
        <v>Continue</v>
      </c>
      <c r="BV81" s="538" t="b">
        <f>IFERROR(INDEX('Reference Records'!$L$87:$L$189,MATCH($C81,'Reference Records'!$C$87:$C$189,0)),"")</f>
        <v>0</v>
      </c>
      <c r="BW81" s="538">
        <f t="shared" ref="BW81" ca="1" si="838">IF(NOT(ISBLANK(F81)),IF(F81&lt;&gt;"",(IF(NOT(ISNUMBER(F81)),1,0)),0),0)</f>
        <v>0</v>
      </c>
      <c r="BX81" s="538">
        <f t="shared" ref="BX81" si="839">IF(NOT(ISBLANK(O81)),IF(O81&lt;&gt;"",(IF(NOT(ISNUMBER(O81)),1,0)),0),0)</f>
        <v>0</v>
      </c>
      <c r="BY81" s="538">
        <f t="shared" ref="BY81" si="840">IF(NOT(ISBLANK(R81)),IF(R81&lt;&gt;"",(IF(NOT(ISNUMBER(R81)),1,0)),0),0)</f>
        <v>0</v>
      </c>
      <c r="BZ81" s="538">
        <f t="shared" ref="BZ81" si="841">IF(NOT(ISBLANK(U81)),IF(U81&lt;&gt;"",(IF(NOT(ISNUMBER(U81)),1,0)),0),0)</f>
        <v>0</v>
      </c>
      <c r="CA81" s="538">
        <f t="shared" ref="CA81" si="842">IF(NOT(ISBLANK(X81)),IF(X81&lt;&gt;"",(IF(NOT(ISNUMBER(X81)),1,0)),0),0)</f>
        <v>0</v>
      </c>
      <c r="CB81" s="538">
        <f t="shared" ref="CB81" si="843">IF(NOT(ISBLANK(AA81)),IF(AA81&lt;&gt;"",(IF(NOT(ISNUMBER(AA81)),1,0)),0),0)</f>
        <v>0</v>
      </c>
      <c r="CC81" s="538">
        <f t="shared" ref="CC81" si="844">IF(NOT(ISBLANK(AD81)),IF(AD81&lt;&gt;"",(IF(NOT(ISNUMBER(AD81)),1,0)),0),0)</f>
        <v>0</v>
      </c>
      <c r="CD81" s="538">
        <f t="shared" ref="CD81" si="845">IF(NOT(ISBLANK(AG81)),IF(AG81&lt;&gt;"",(IF(NOT(ISNUMBER(AG81)),1,0)),0),0)</f>
        <v>0</v>
      </c>
      <c r="CE81" s="538">
        <f t="shared" ref="CE81" si="846">IF(NOT(ISBLANK(AJ81)),IF(AJ81&lt;&gt;"",(IF(NOT(ISNUMBER(AJ81)),1,0)),0),0)</f>
        <v>0</v>
      </c>
      <c r="CF81" s="538" t="str">
        <f t="shared" ref="CF81" ca="1" si="847">IF(SUM(BW81:CE82)=0, "Continue", "Enter valid number only.")</f>
        <v>Continue</v>
      </c>
      <c r="CG81" s="538" t="str">
        <f t="shared" ref="CG81" ca="1" si="848">IF(AND(CF81="Continue",BD81="Continue"),"Continue",IF(AND(CF81&lt;&gt;"Continue",BD81="Continue"),CF81,IF(AND(BD81&lt;&gt;"Continue",CF81="Continue"),BD81,CONCATENATE(CF81,CHAR(10)))))</f>
        <v>Continue</v>
      </c>
      <c r="CI81" s="314" t="str">
        <f>IFERROR(IF('Overview - Section A'!$AN$5="Funding Request",
IF(AND('Reference Records'!$B$427&lt;&gt;"",$L81 ='Reference Records'!$B$427),'Reference Records'!$C$427,""),
INDEX('Reference Records'!$A$498:$C$499,MATCH($L81,'Reference Records'!$A$498:$A$499,0),3)),"")</f>
        <v>a1A360000013M2uEAE</v>
      </c>
      <c r="CJ81" s="314" t="str">
        <f>IFERROR(INDEX('Overview - Section A'!$H$102:$H$118,MATCH(IF($B81="", "--select--", $B81),'Overview - Section A'!$C$102:$C$118,0)),"")</f>
        <v>a1PDm000000LrD8MAK</v>
      </c>
      <c r="CK81" s="310" t="str" cm="1">
        <f t="array" ref="CK81">IFERROR(IF($C81="", "", VLOOKUP(LEFT($C81,255),LEFT('Reference Records'!$C$88:$G$189,255),5,0)),"")</f>
        <v>a1ODm000000GnyNMAS</v>
      </c>
    </row>
    <row r="82" spans="1:89" ht="30" customHeight="1">
      <c r="A82" s="523"/>
      <c r="B82" s="529"/>
      <c r="C82" s="529"/>
      <c r="D82" s="529"/>
      <c r="E82" s="148">
        <v>71427</v>
      </c>
      <c r="F82" s="517"/>
      <c r="G82" s="544"/>
      <c r="H82" s="529"/>
      <c r="I82" s="546"/>
      <c r="J82" s="544"/>
      <c r="K82" s="529"/>
      <c r="L82" s="153" t="s">
        <v>651</v>
      </c>
      <c r="M82" s="548"/>
      <c r="N82" s="148">
        <v>35538</v>
      </c>
      <c r="O82" s="525"/>
      <c r="P82" s="544"/>
      <c r="Q82" s="150">
        <v>35538</v>
      </c>
      <c r="R82" s="525"/>
      <c r="S82" s="544"/>
      <c r="T82" s="150">
        <v>36251</v>
      </c>
      <c r="U82" s="525"/>
      <c r="V82" s="544"/>
      <c r="W82" s="150">
        <v>36251</v>
      </c>
      <c r="X82" s="525"/>
      <c r="Y82" s="544"/>
      <c r="Z82" s="150">
        <v>34905</v>
      </c>
      <c r="AA82" s="525"/>
      <c r="AB82" s="544"/>
      <c r="AC82" s="150">
        <v>34905</v>
      </c>
      <c r="AD82" s="525"/>
      <c r="AE82" s="544"/>
      <c r="AF82" s="150"/>
      <c r="AG82" s="550"/>
      <c r="AH82" s="544"/>
      <c r="AI82" s="150"/>
      <c r="AJ82" s="550"/>
      <c r="AK82" s="544"/>
      <c r="AL82" s="529"/>
      <c r="AM82" s="476"/>
      <c r="AX82" s="152"/>
      <c r="AZ82" s="551"/>
      <c r="BA82" s="559"/>
      <c r="BB82" s="542"/>
      <c r="BC82" s="508"/>
      <c r="BD82" s="508"/>
      <c r="BE82" s="146">
        <f t="shared" si="666"/>
        <v>0</v>
      </c>
      <c r="BF82" s="146">
        <f t="shared" si="667"/>
        <v>0</v>
      </c>
      <c r="BG82" s="146">
        <f t="shared" si="668"/>
        <v>0</v>
      </c>
      <c r="BH82" s="146">
        <f t="shared" si="669"/>
        <v>0</v>
      </c>
      <c r="BI82" s="146">
        <f t="shared" si="670"/>
        <v>0</v>
      </c>
      <c r="BJ82" s="146">
        <f t="shared" si="671"/>
        <v>0</v>
      </c>
      <c r="BK82" s="146">
        <f t="shared" si="672"/>
        <v>0</v>
      </c>
      <c r="BL82" s="146">
        <f t="shared" si="673"/>
        <v>0</v>
      </c>
      <c r="BM82" s="146">
        <f t="shared" si="674"/>
        <v>0</v>
      </c>
      <c r="BN82" s="467"/>
      <c r="BO82" s="467"/>
      <c r="BP82" s="467"/>
      <c r="BQ82" s="467"/>
      <c r="BR82" s="508"/>
      <c r="BS82" s="508"/>
      <c r="BT82" s="508"/>
      <c r="BU82" s="508"/>
      <c r="BV82" s="538"/>
      <c r="BW82" s="538"/>
      <c r="BX82" s="538"/>
      <c r="BY82" s="538"/>
      <c r="BZ82" s="538"/>
      <c r="CA82" s="538"/>
      <c r="CB82" s="538"/>
      <c r="CC82" s="538"/>
      <c r="CD82" s="538"/>
      <c r="CE82" s="538"/>
      <c r="CF82" s="538"/>
      <c r="CG82" s="538"/>
      <c r="CI82" s="314" t="str">
        <f>IFERROR(IF('Overview - Section A'!$AN$5="Funding Request",
IF(AND('Reference Records'!$B$427&lt;&gt;"",$L82 ='Reference Records'!$B$427),'Reference Records'!$C$427,""),
INDEX('Reference Records'!$A$498:$C$499,MATCH($L82,'Reference Records'!$A$498:$A$499,0),3)),"")</f>
        <v/>
      </c>
      <c r="CJ82" s="314" t="str">
        <f>IFERROR(INDEX('Overview - Section A'!$H$102:$H$118,MATCH(IF($B82="", "--select--", $B82),'Overview - Section A'!$C$102:$C$118,0)),"")</f>
        <v/>
      </c>
      <c r="CK82" s="310" t="str" cm="1">
        <f t="array" ref="CK82">IFERROR(IF($C82="", "", VLOOKUP(LEFT($C82,255),LEFT('Reference Records'!$C$88:$G$189,255),5,0)),"")</f>
        <v/>
      </c>
    </row>
    <row r="83" spans="1:89" ht="30" customHeight="1">
      <c r="A83" s="522">
        <v>38</v>
      </c>
      <c r="B83" s="512" t="s">
        <v>1525</v>
      </c>
      <c r="C83" s="512" t="s">
        <v>1405</v>
      </c>
      <c r="D83" s="512"/>
      <c r="E83" s="140">
        <v>4830</v>
      </c>
      <c r="F83" s="516">
        <f t="shared" ref="F83" ca="1" si="849">IF(OR(INDIRECT("'update Helper'!D"&amp;AT83)="",E83&lt;&gt;0,E84&lt;&gt;0),IF(IFERROR((E83/E84),"")="","",(E83/E84)),INDIRECT("'update Helper'!D"&amp;AT83)/100)</f>
        <v>0.96368715083798884</v>
      </c>
      <c r="G83" s="552">
        <v>2021</v>
      </c>
      <c r="H83" s="512" t="s">
        <v>2242</v>
      </c>
      <c r="I83" s="545" t="str">
        <f>AN83</f>
        <v>Provider type,Report type</v>
      </c>
      <c r="J83" s="552" t="s">
        <v>2212</v>
      </c>
      <c r="K83" s="512" t="s">
        <v>323</v>
      </c>
      <c r="L83" s="141" t="s">
        <v>781</v>
      </c>
      <c r="M83" s="556" t="s">
        <v>650</v>
      </c>
      <c r="N83" s="140">
        <v>5198</v>
      </c>
      <c r="O83" s="516">
        <v>0.9850293727496684</v>
      </c>
      <c r="P83" s="552"/>
      <c r="Q83" s="142">
        <v>5198</v>
      </c>
      <c r="R83" s="516">
        <v>0.9850293727496684</v>
      </c>
      <c r="S83" s="552"/>
      <c r="T83" s="142">
        <v>5203</v>
      </c>
      <c r="U83" s="516">
        <v>0.98597688080348678</v>
      </c>
      <c r="V83" s="552"/>
      <c r="W83" s="142">
        <v>5203</v>
      </c>
      <c r="X83" s="516">
        <v>0.98597688080348678</v>
      </c>
      <c r="Y83" s="552"/>
      <c r="Z83" s="142">
        <v>5209</v>
      </c>
      <c r="AA83" s="516">
        <v>0.98711389046806897</v>
      </c>
      <c r="AB83" s="552"/>
      <c r="AC83" s="142">
        <v>5209</v>
      </c>
      <c r="AD83" s="516">
        <v>0.98711389046806897</v>
      </c>
      <c r="AE83" s="552"/>
      <c r="AF83" s="142"/>
      <c r="AG83" s="516"/>
      <c r="AH83" s="552"/>
      <c r="AI83" s="142"/>
      <c r="AJ83" s="516"/>
      <c r="AK83" s="552"/>
      <c r="AL83" s="512" t="s">
        <v>2222</v>
      </c>
      <c r="AM83" s="554" t="str">
        <f>IFERROR(IF(VLOOKUP(B83,'Reference Records'!$C$192:$D$250,2,FALSE)=0,"",VLOOKUP(B83,'Reference Records'!$C$192:$D$250,2,FALSE)),"")</f>
        <v>MCI-01327</v>
      </c>
      <c r="AN83" s="143" t="str">
        <f t="array" ref="AN83">IFERROR(IF(INDEX('Reference Records'!$D$88:$D$189,MATCH(LEFT(C83,255),LEFT('Reference Records'!$C$88:$C$189,255),0))=0,"",INDEX('Reference Records'!$D$88:$D$189,MATCH(LEFT(C83,255),LEFT('Reference Records'!$C$88:$C$189,255),0))),"")</f>
        <v>Provider type,Report type</v>
      </c>
      <c r="AO83" s="143" t="str">
        <f>CONCATENATE(C83,D83)</f>
        <v>RSSH/PP M&amp;E-1 Completeness of reporting: Percentage of expected monthly reports (for the reporting period) that are actually received</v>
      </c>
      <c r="AP83" s="144" t="str">
        <f t="array" ref="AP83">VLOOKUP(LEFT(C83,255),LEFT('Reference Records'!C$87:G478,255),4,0)</f>
        <v>MCI-01600</v>
      </c>
      <c r="AQ83" s="144" t="e">
        <f>MATCH(AP83,'Reference Records'!$F$512:$F$514,0)+ROW(PopulationByCoverage)-1</f>
        <v>#N/A</v>
      </c>
      <c r="AR83" s="144">
        <f>MATCH(AP83,'Reference Records'!$F$512:$F$514,1)+ROW(PopulationByCoverage)-1</f>
        <v>513</v>
      </c>
      <c r="AS83" s="143" t="str">
        <f>C83&amp;D83</f>
        <v>RSSH/PP M&amp;E-1 Completeness of reporting: Percentage of expected monthly reports (for the reporting period) that are actually received</v>
      </c>
      <c r="AT83" s="143">
        <f t="shared" ref="AT83" si="850">AT81+1</f>
        <v>462</v>
      </c>
      <c r="AU83" s="143">
        <f ca="1">AU81+'update Helper'!$T$2</f>
        <v>583.26086956521704</v>
      </c>
      <c r="AV83" s="143" t="str">
        <f t="shared" ref="AV83" si="851">CLEAN(IFERROR(LEFT(AY83, SEARCH(";",AY83,1)-1),""))</f>
        <v>Non cumulative</v>
      </c>
      <c r="AW83" s="143" t="str">
        <f t="shared" ref="AW83" si="852">SUBSTITUTE(IFERROR(MID(AY83, SEARCH(";",AY83) + 1, SEARCH(";",AY83,SEARCH(";",AY83)+1) - SEARCH(";",AY83) - 1),""),CHAR(10),"")</f>
        <v/>
      </c>
      <c r="AX83" s="145" t="str">
        <f t="shared" ref="AX83" si="853">CLEAN(IFERROR(SUBSTITUTE(RIGHT(AY83,LEN(AY83) - SEARCH(";", AY83, SEARCH(";",AY83) + 1)),";",""),""))</f>
        <v/>
      </c>
      <c r="AY83" s="143" t="str">
        <f t="array" ref="AY83">IFERROR(IF(VLOOKUP(LEFT(C83,255),LEFT('Reference Records'!$C$1:$K$539,255),9,0)=0,"",CONCATENATE(VLOOKUP(LEFT(C83,255),LEFT('Reference Records'!$C$1:$K$539,255),9,0),";")),"")</f>
        <v>Non cumulative;</v>
      </c>
      <c r="AZ83" s="555" t="str">
        <f>IF($BV83="", "", IF($BV83=TRUE, "Yes", "No"))</f>
        <v>No</v>
      </c>
      <c r="BA83" s="558" t="str">
        <f t="shared" ref="BA83:BA91" ca="1" si="854">IF($D83="", "",IF(IF(INDIRECT("'update Helper'!W"&amp;AT83)=0,"",INDIRECT("'update Helper'!W"&amp;AT83))=TRUE, "Yes","No"))</f>
        <v/>
      </c>
      <c r="BB83" s="541" t="str">
        <f t="shared" ref="BB83" ca="1" si="855">IF(AND(BS83="Continue",BU83="Continue"),"No Error",IF(AND(BS83&lt;&gt;"Continue",BU83="Continue"),BS83,IF(AND(BU83&lt;&gt;"Continue",BS83="Continue"),BU83,CONCATENATE(BS83,CHAR(10),BU83))))</f>
        <v>No Error</v>
      </c>
      <c r="BC83" s="508" t="str" cm="1">
        <f t="array" ref="BC83">IF(ISBLANK(C83),"Continue",(IF(IFERROR(_xlfn.XMATCH(C83,LEFT('Reference Records'!$C$87:$C$189,32768),0),0)&lt;&gt;0,"Continue","Invalid indicator entry. Select from dropdown list.")))</f>
        <v>Continue</v>
      </c>
      <c r="BD83" s="508" t="str">
        <f t="shared" ref="BD83" si="856">IF(SUM(BE83:BM84)=0, "Continue", "Enter valid number only.")</f>
        <v>Continue</v>
      </c>
      <c r="BE83" s="146">
        <f t="shared" si="666"/>
        <v>0</v>
      </c>
      <c r="BF83" s="146">
        <f t="shared" si="667"/>
        <v>0</v>
      </c>
      <c r="BG83" s="146">
        <f t="shared" si="668"/>
        <v>0</v>
      </c>
      <c r="BH83" s="146">
        <f t="shared" si="669"/>
        <v>0</v>
      </c>
      <c r="BI83" s="146">
        <f t="shared" si="670"/>
        <v>0</v>
      </c>
      <c r="BJ83" s="146">
        <f t="shared" si="671"/>
        <v>0</v>
      </c>
      <c r="BK83" s="146">
        <f t="shared" si="672"/>
        <v>0</v>
      </c>
      <c r="BL83" s="146">
        <f t="shared" si="673"/>
        <v>0</v>
      </c>
      <c r="BM83" s="146">
        <f t="shared" si="674"/>
        <v>0</v>
      </c>
      <c r="BN83" s="467" t="str">
        <f>IF(NOT(ISBLANK(C83)),IF(C83&lt;&gt;"",IF(_xlfn.XLOOKUP(C83,'Reference Records'!$C$87:$C$189,'Reference Records'!$A$87:$A$189,0,0,1)=AM83,"Continue","Select correct module name."),"Continue"),"Continue")</f>
        <v>Continue</v>
      </c>
      <c r="BO83" s="467" t="str">
        <f t="shared" ref="BO83" ca="1" si="857">IF(AND(BC83="Continue",CG83="Continue"),"Continue",IF(AND(BC83&lt;&gt;"Continue",CG83="Continue"),BC83,IF(AND(CG83&lt;&gt;"Continue",BC83="Continue"),CG83,CONCATENATE(BC83,CHAR(10),CG83))))</f>
        <v>Continue</v>
      </c>
      <c r="BP83" s="467" t="str">
        <f t="shared" ref="BP83" ca="1" si="858">IF(AND((AZ83&lt;&gt;""),(BA83&lt;&gt;"")),"Reversed custom indicator selection not applicable. Value pre-populated in standard indicator column.","Continue")</f>
        <v>Continue</v>
      </c>
      <c r="BQ83" s="467" t="str">
        <f t="shared" ref="BQ83" ca="1" si="859">IF(AND(BN83="Continue",BO83="Continue"),"Continue",
IF(AND(BN83&lt;&gt;"Continue",BO83="Continue"),BN83,
IF(AND(BO83&lt;&gt;"Continue",BN83="Continue"),BO83,
CONCATENATE(BN83,CHAR(10),BO83))))</f>
        <v>Continue</v>
      </c>
      <c r="BR83" s="508" t="str" cm="1">
        <f t="array" ref="BR83">IF(ISBLANK(B83),"Continue",(IF(IFERROR(_xlfn.XMATCH(B83,LEFT('Reference Records'!$J$191:$J$250,32768),0),0)&lt;&gt;0,"Continue","Invalid module entry. Select from dropdown list.")))</f>
        <v>Continue</v>
      </c>
      <c r="BS83" s="508" t="str">
        <f t="shared" ref="BS83" ca="1" si="860">IF(AND(BP83="Continue",BQ83="Continue"),"Continue",IF(AND(BP83&lt;&gt;"Continue",BQ83="Continue"),BP83,IF(AND(BQ83&lt;&gt;"Continue",BP83="Continue"),BQ83,CONCATENATE(BP83,CHAR(10),BQ83))))</f>
        <v>Continue</v>
      </c>
      <c r="BT83" s="508" t="str">
        <f t="shared" ref="BT83" si="861">IF(AND(C83="",D83=""),"Continue",IF(AND(C83="",D83&lt;&gt;""),"Continue",IF(AND(C83&lt;&gt;"",D83=""),"Continue",IF(AND(C83&lt;&gt;"",D83&lt;&gt;""),"Cannot enter both standard and custom indicators on the same line."))))</f>
        <v>Continue</v>
      </c>
      <c r="BU83" s="508" t="str">
        <f t="shared" ref="BU83" si="862">IF(AND(BR83="Continue",BT83="Continue"),"Continue",IF(AND(BR83&lt;&gt;"Continue",BT83="Continue"),BR83,IF(AND(BT83&lt;&gt;"Continue",BR83="Continue"),BT83,CONCATENATE(BR83,CHAR(10),BT83))))</f>
        <v>Continue</v>
      </c>
      <c r="BV83" s="538" t="b">
        <f>IFERROR(INDEX('Reference Records'!$L$87:$L$189,MATCH($C83,'Reference Records'!$C$87:$C$189,0)),"")</f>
        <v>0</v>
      </c>
      <c r="BW83" s="538">
        <f t="shared" ref="BW83" ca="1" si="863">IF(NOT(ISBLANK(F83)),IF(F83&lt;&gt;"",(IF(NOT(ISNUMBER(F83)),1,0)),0),0)</f>
        <v>0</v>
      </c>
      <c r="BX83" s="538">
        <f t="shared" ref="BX83" si="864">IF(NOT(ISBLANK(O83)),IF(O83&lt;&gt;"",(IF(NOT(ISNUMBER(O83)),1,0)),0),0)</f>
        <v>0</v>
      </c>
      <c r="BY83" s="538">
        <f t="shared" ref="BY83" si="865">IF(NOT(ISBLANK(R83)),IF(R83&lt;&gt;"",(IF(NOT(ISNUMBER(R83)),1,0)),0),0)</f>
        <v>0</v>
      </c>
      <c r="BZ83" s="538">
        <f t="shared" ref="BZ83" si="866">IF(NOT(ISBLANK(U83)),IF(U83&lt;&gt;"",(IF(NOT(ISNUMBER(U83)),1,0)),0),0)</f>
        <v>0</v>
      </c>
      <c r="CA83" s="538">
        <f t="shared" ref="CA83" si="867">IF(NOT(ISBLANK(X83)),IF(X83&lt;&gt;"",(IF(NOT(ISNUMBER(X83)),1,0)),0),0)</f>
        <v>0</v>
      </c>
      <c r="CB83" s="538">
        <f t="shared" ref="CB83" si="868">IF(NOT(ISBLANK(AA83)),IF(AA83&lt;&gt;"",(IF(NOT(ISNUMBER(AA83)),1,0)),0),0)</f>
        <v>0</v>
      </c>
      <c r="CC83" s="538">
        <f t="shared" ref="CC83" si="869">IF(NOT(ISBLANK(AD83)),IF(AD83&lt;&gt;"",(IF(NOT(ISNUMBER(AD83)),1,0)),0),0)</f>
        <v>0</v>
      </c>
      <c r="CD83" s="538">
        <f t="shared" ref="CD83" si="870">IF(NOT(ISBLANK(AG83)),IF(AG83&lt;&gt;"",(IF(NOT(ISNUMBER(AG83)),1,0)),0),0)</f>
        <v>0</v>
      </c>
      <c r="CE83" s="538">
        <f t="shared" ref="CE83" si="871">IF(NOT(ISBLANK(AJ83)),IF(AJ83&lt;&gt;"",(IF(NOT(ISNUMBER(AJ83)),1,0)),0),0)</f>
        <v>0</v>
      </c>
      <c r="CF83" s="538" t="str">
        <f t="shared" ref="CF83" ca="1" si="872">IF(SUM(BW83:CE84)=0, "Continue", "Enter valid number only.")</f>
        <v>Continue</v>
      </c>
      <c r="CG83" s="538" t="str">
        <f t="shared" ref="CG83" ca="1" si="873">IF(AND(CF83="Continue",BD83="Continue"),"Continue",IF(AND(CF83&lt;&gt;"Continue",BD83="Continue"),CF83,IF(AND(BD83&lt;&gt;"Continue",CF83="Continue"),BD83,CONCATENATE(CF83,CHAR(10)))))</f>
        <v>Continue</v>
      </c>
      <c r="CI83" s="314" t="str">
        <f>IFERROR(IF('Overview - Section A'!$AN$5="Funding Request",
IF(AND('Reference Records'!$B$427&lt;&gt;"",$L83 ='Reference Records'!$B$427),'Reference Records'!$C$427,""),
INDEX('Reference Records'!$A$498:$C$499,MATCH($L83,'Reference Records'!$A$498:$A$499,0),3)),"")</f>
        <v>a1A360000013M2uEAE</v>
      </c>
      <c r="CJ83" s="314" t="str">
        <f>IFERROR(INDEX('Overview - Section A'!$H$102:$H$118,MATCH(IF($B83="", "--select--", $B83),'Overview - Section A'!$C$102:$C$118,0)),"")</f>
        <v>a1PDm000000LrDIMA0</v>
      </c>
      <c r="CK83" s="310" t="str" cm="1">
        <f t="array" ref="CK83">IFERROR(IF($C83="", "", VLOOKUP(LEFT($C83,255),LEFT('Reference Records'!$C$88:$G$189,255),5,0)),"")</f>
        <v>a1ODm000000GnzDMAS</v>
      </c>
    </row>
    <row r="84" spans="1:89" ht="30" customHeight="1">
      <c r="A84" s="523"/>
      <c r="B84" s="513"/>
      <c r="C84" s="513"/>
      <c r="D84" s="513"/>
      <c r="E84" s="140">
        <v>5012</v>
      </c>
      <c r="F84" s="517"/>
      <c r="G84" s="553"/>
      <c r="H84" s="513"/>
      <c r="I84" s="546"/>
      <c r="J84" s="553"/>
      <c r="K84" s="513"/>
      <c r="L84" s="147" t="s">
        <v>651</v>
      </c>
      <c r="M84" s="557"/>
      <c r="N84" s="140">
        <v>5277</v>
      </c>
      <c r="O84" s="517"/>
      <c r="P84" s="553"/>
      <c r="Q84" s="142">
        <v>5277</v>
      </c>
      <c r="R84" s="517"/>
      <c r="S84" s="553"/>
      <c r="T84" s="142">
        <v>5277</v>
      </c>
      <c r="U84" s="517"/>
      <c r="V84" s="553"/>
      <c r="W84" s="142">
        <v>5277</v>
      </c>
      <c r="X84" s="517"/>
      <c r="Y84" s="553"/>
      <c r="Z84" s="142">
        <v>5277</v>
      </c>
      <c r="AA84" s="517"/>
      <c r="AB84" s="553"/>
      <c r="AC84" s="142">
        <v>5277</v>
      </c>
      <c r="AD84" s="517"/>
      <c r="AE84" s="553"/>
      <c r="AF84" s="142"/>
      <c r="AG84" s="517"/>
      <c r="AH84" s="553"/>
      <c r="AI84" s="142"/>
      <c r="AJ84" s="517"/>
      <c r="AK84" s="553"/>
      <c r="AL84" s="513"/>
      <c r="AM84" s="554"/>
      <c r="AN84" s="143"/>
      <c r="AO84" s="143"/>
      <c r="AP84" s="143"/>
      <c r="AQ84" s="143"/>
      <c r="AR84" s="143"/>
      <c r="AS84" s="143"/>
      <c r="AT84" s="143"/>
      <c r="AU84" s="143"/>
      <c r="AV84" s="143"/>
      <c r="AW84" s="143"/>
      <c r="AX84" s="145"/>
      <c r="AY84" s="143"/>
      <c r="AZ84" s="555"/>
      <c r="BA84" s="558"/>
      <c r="BB84" s="542"/>
      <c r="BC84" s="508"/>
      <c r="BD84" s="508"/>
      <c r="BE84" s="146">
        <f t="shared" si="666"/>
        <v>0</v>
      </c>
      <c r="BF84" s="146">
        <f t="shared" si="667"/>
        <v>0</v>
      </c>
      <c r="BG84" s="146">
        <f t="shared" si="668"/>
        <v>0</v>
      </c>
      <c r="BH84" s="146">
        <f t="shared" si="669"/>
        <v>0</v>
      </c>
      <c r="BI84" s="146">
        <f t="shared" si="670"/>
        <v>0</v>
      </c>
      <c r="BJ84" s="146">
        <f t="shared" si="671"/>
        <v>0</v>
      </c>
      <c r="BK84" s="146">
        <f t="shared" si="672"/>
        <v>0</v>
      </c>
      <c r="BL84" s="146">
        <f t="shared" si="673"/>
        <v>0</v>
      </c>
      <c r="BM84" s="146">
        <f t="shared" si="674"/>
        <v>0</v>
      </c>
      <c r="BN84" s="467"/>
      <c r="BO84" s="467"/>
      <c r="BP84" s="467"/>
      <c r="BQ84" s="467"/>
      <c r="BR84" s="508"/>
      <c r="BS84" s="508"/>
      <c r="BT84" s="508"/>
      <c r="BU84" s="508"/>
      <c r="BV84" s="538"/>
      <c r="BW84" s="538"/>
      <c r="BX84" s="538"/>
      <c r="BY84" s="538"/>
      <c r="BZ84" s="538"/>
      <c r="CA84" s="538"/>
      <c r="CB84" s="538"/>
      <c r="CC84" s="538"/>
      <c r="CD84" s="538"/>
      <c r="CE84" s="538"/>
      <c r="CF84" s="538"/>
      <c r="CG84" s="538"/>
      <c r="CI84" s="314" t="str">
        <f>IFERROR(IF('Overview - Section A'!$AN$5="Funding Request",
IF(AND('Reference Records'!$B$427&lt;&gt;"",$L84 ='Reference Records'!$B$427),'Reference Records'!$C$427,""),
INDEX('Reference Records'!$A$498:$C$499,MATCH($L84,'Reference Records'!$A$498:$A$499,0),3)),"")</f>
        <v/>
      </c>
      <c r="CJ84" s="314" t="str">
        <f>IFERROR(INDEX('Overview - Section A'!$H$102:$H$118,MATCH(IF($B84="", "--select--", $B84),'Overview - Section A'!$C$102:$C$118,0)),"")</f>
        <v/>
      </c>
      <c r="CK84" s="310" t="str" cm="1">
        <f t="array" ref="CK84">IFERROR(IF($C84="", "", VLOOKUP(LEFT($C84,255),LEFT('Reference Records'!$C$88:$G$189,255),5,0)),"")</f>
        <v/>
      </c>
    </row>
    <row r="85" spans="1:89" ht="30" customHeight="1">
      <c r="A85" s="522">
        <v>39</v>
      </c>
      <c r="B85" s="528" t="s">
        <v>1525</v>
      </c>
      <c r="C85" s="528" t="s">
        <v>1409</v>
      </c>
      <c r="D85" s="528"/>
      <c r="E85" s="148">
        <v>2909</v>
      </c>
      <c r="F85" s="516">
        <f t="shared" ca="1" si="774"/>
        <v>0.58040702314445336</v>
      </c>
      <c r="G85" s="543">
        <v>2021</v>
      </c>
      <c r="H85" s="528" t="s">
        <v>2242</v>
      </c>
      <c r="I85" s="545" t="str">
        <f>AN85</f>
        <v>Provider type,Report type</v>
      </c>
      <c r="J85" s="543" t="s">
        <v>2212</v>
      </c>
      <c r="K85" s="528" t="s">
        <v>323</v>
      </c>
      <c r="L85" s="149" t="s">
        <v>781</v>
      </c>
      <c r="M85" s="547" t="s">
        <v>650</v>
      </c>
      <c r="N85" s="148">
        <v>4802</v>
      </c>
      <c r="O85" s="524">
        <v>0.90998673488724657</v>
      </c>
      <c r="P85" s="543"/>
      <c r="Q85" s="150">
        <v>4802</v>
      </c>
      <c r="R85" s="524">
        <v>0.90998673488724657</v>
      </c>
      <c r="S85" s="543"/>
      <c r="T85" s="150">
        <v>4828</v>
      </c>
      <c r="U85" s="524">
        <v>0.9149137767671025</v>
      </c>
      <c r="V85" s="543"/>
      <c r="W85" s="150">
        <v>4828</v>
      </c>
      <c r="X85" s="524">
        <v>0.9149137767671025</v>
      </c>
      <c r="Y85" s="543"/>
      <c r="Z85" s="150">
        <v>4851</v>
      </c>
      <c r="AA85" s="524">
        <v>0.91927231381466745</v>
      </c>
      <c r="AB85" s="543"/>
      <c r="AC85" s="150">
        <v>4851</v>
      </c>
      <c r="AD85" s="524">
        <v>0.91927231381466745</v>
      </c>
      <c r="AE85" s="543"/>
      <c r="AF85" s="150"/>
      <c r="AG85" s="549"/>
      <c r="AH85" s="543"/>
      <c r="AI85" s="150"/>
      <c r="AJ85" s="549"/>
      <c r="AK85" s="543"/>
      <c r="AL85" s="528" t="s">
        <v>2223</v>
      </c>
      <c r="AM85" s="476" t="str">
        <f>IFERROR(IF(VLOOKUP(B85,'Reference Records'!$C$192:$D$250,2,FALSE)=0,"",VLOOKUP(B85,'Reference Records'!$C$192:$D$250,2,FALSE)),"")</f>
        <v>MCI-01327</v>
      </c>
      <c r="AN85" s="48" t="str">
        <f t="array" ref="AN85">IFERROR(IF(INDEX('Reference Records'!$D$88:$D$189,MATCH(LEFT(C85,255),LEFT('Reference Records'!$C$88:$C$189,255),0))=0,"",INDEX('Reference Records'!$D$88:$D$189,MATCH(LEFT(C85,255),LEFT('Reference Records'!$C$88:$C$189,255),0))),"")</f>
        <v>Provider type,Report type</v>
      </c>
      <c r="AO85" s="48" t="str">
        <f>CONCATENATE(C85,D85)</f>
        <v>RSSH/PP M&amp;E-2 Timeliness of reporting: Percentage of submitted monthly reports (for the reporting period) that are received on time per the national guidelines</v>
      </c>
      <c r="AP85" s="151" t="str">
        <f t="array" ref="AP85">VLOOKUP(LEFT(C85,255),LEFT('Reference Records'!C$87:G480,255),4,0)</f>
        <v>MCI-01601</v>
      </c>
      <c r="AQ85" s="151" t="e">
        <f>MATCH(AP85,'Reference Records'!$F$512:$F$514,0)+ROW(PopulationByCoverage)-1</f>
        <v>#N/A</v>
      </c>
      <c r="AR85" s="151">
        <f>MATCH(AP85,'Reference Records'!$F$512:$F$514,1)+ROW(PopulationByCoverage)-1</f>
        <v>513</v>
      </c>
      <c r="AS85" s="48" t="str">
        <f>C85&amp;D85</f>
        <v>RSSH/PP M&amp;E-2 Timeliness of reporting: Percentage of submitted monthly reports (for the reporting period) that are received on time per the national guidelines</v>
      </c>
      <c r="AT85" s="48">
        <f t="shared" ref="AT85" si="874">AT83+1</f>
        <v>463</v>
      </c>
      <c r="AU85" s="48">
        <f ca="1">AU83+'update Helper'!$T$2</f>
        <v>590.04347826086916</v>
      </c>
      <c r="AV85" s="48" t="str">
        <f t="shared" ref="AV85" si="875">CLEAN(IFERROR(LEFT(AY85, SEARCH(";",AY85,1)-1),""))</f>
        <v>Non cumulative</v>
      </c>
      <c r="AW85" s="48" t="str">
        <f t="shared" ref="AW85" si="876">SUBSTITUTE(IFERROR(MID(AY85, SEARCH(";",AY85) + 1, SEARCH(";",AY85,SEARCH(";",AY85)+1) - SEARCH(";",AY85) - 1),""),CHAR(10),"")</f>
        <v/>
      </c>
      <c r="AX85" s="152" t="str">
        <f t="shared" ref="AX85" si="877">CLEAN(IFERROR(SUBSTITUTE(RIGHT(AY85,LEN(AY85) - SEARCH(";", AY85, SEARCH(";",AY85) + 1)),";",""),""))</f>
        <v/>
      </c>
      <c r="AY85" s="48" t="str">
        <f t="array" ref="AY85">IFERROR(IF(VLOOKUP(LEFT(C85,255),LEFT('Reference Records'!$C$1:$K$539,255),9,0)=0,"",CONCATENATE(VLOOKUP(LEFT(C85,255),LEFT('Reference Records'!$C$1:$K$539,255),9,0),";")),"")</f>
        <v>Non cumulative;</v>
      </c>
      <c r="AZ85" s="551" t="str">
        <f>IF($BV85="", "", IF($BV85=TRUE, "Yes", "No"))</f>
        <v>No</v>
      </c>
      <c r="BA85" s="539" t="str">
        <f t="shared" ref="BA85:BA91" ca="1" si="878">IF($D85="", "",IF(IF(INDIRECT("'update Helper'!W"&amp;AT85)=0,"",INDIRECT("'update Helper'!W"&amp;AT85))=TRUE, "Yes","No"))</f>
        <v/>
      </c>
      <c r="BB85" s="541" t="str">
        <f t="shared" ref="BB85" ca="1" si="879">IF(AND(BS85="Continue",BU85="Continue"),"No Error",IF(AND(BS85&lt;&gt;"Continue",BU85="Continue"),BS85,IF(AND(BU85&lt;&gt;"Continue",BS85="Continue"),BU85,CONCATENATE(BS85,CHAR(10),BU85))))</f>
        <v>No Error</v>
      </c>
      <c r="BC85" s="508" t="str" cm="1">
        <f t="array" ref="BC85">IF(ISBLANK(C85),"Continue",(IF(IFERROR(_xlfn.XMATCH(C85,LEFT('Reference Records'!$C$87:$C$189,32768),0),0)&lt;&gt;0,"Continue","Invalid indicator entry. Select from dropdown list.")))</f>
        <v>Continue</v>
      </c>
      <c r="BD85" s="508" t="str">
        <f t="shared" ref="BD85" si="880">IF(SUM(BE85:BM86)=0, "Continue", "Enter valid number only.")</f>
        <v>Continue</v>
      </c>
      <c r="BE85" s="146">
        <f t="shared" si="666"/>
        <v>0</v>
      </c>
      <c r="BF85" s="146">
        <f t="shared" si="667"/>
        <v>0</v>
      </c>
      <c r="BG85" s="146">
        <f t="shared" si="668"/>
        <v>0</v>
      </c>
      <c r="BH85" s="146">
        <f t="shared" si="669"/>
        <v>0</v>
      </c>
      <c r="BI85" s="146">
        <f t="shared" si="670"/>
        <v>0</v>
      </c>
      <c r="BJ85" s="146">
        <f t="shared" si="671"/>
        <v>0</v>
      </c>
      <c r="BK85" s="146">
        <f t="shared" si="672"/>
        <v>0</v>
      </c>
      <c r="BL85" s="146">
        <f t="shared" si="673"/>
        <v>0</v>
      </c>
      <c r="BM85" s="146">
        <f t="shared" si="674"/>
        <v>0</v>
      </c>
      <c r="BN85" s="467" t="str">
        <f>IF(NOT(ISBLANK(C85)),IF(C85&lt;&gt;"",IF(_xlfn.XLOOKUP(C85,'Reference Records'!$C$87:$C$189,'Reference Records'!$A$87:$A$189,0,0,1)=AM85,"Continue","Select correct module name."),"Continue"),"Continue")</f>
        <v>Continue</v>
      </c>
      <c r="BO85" s="467" t="str">
        <f t="shared" ref="BO85" ca="1" si="881">IF(AND(BC85="Continue",CG85="Continue"),"Continue",IF(AND(BC85&lt;&gt;"Continue",CG85="Continue"),BC85,IF(AND(CG85&lt;&gt;"Continue",BC85="Continue"),CG85,CONCATENATE(BC85,CHAR(10),CG85))))</f>
        <v>Continue</v>
      </c>
      <c r="BP85" s="467" t="str">
        <f t="shared" ref="BP85" ca="1" si="882">IF(AND((AZ85&lt;&gt;""),(BA85&lt;&gt;"")),"Reversed custom indicator selection not applicable. Value pre-populated in standard indicator column.","Continue")</f>
        <v>Continue</v>
      </c>
      <c r="BQ85" s="467" t="str">
        <f t="shared" ref="BQ85" ca="1" si="883">IF(AND(BN85="Continue",BO85="Continue"),"Continue",
IF(AND(BN85&lt;&gt;"Continue",BO85="Continue"),BN85,
IF(AND(BO85&lt;&gt;"Continue",BN85="Continue"),BO85,
CONCATENATE(BN85,CHAR(10),BO85))))</f>
        <v>Continue</v>
      </c>
      <c r="BR85" s="508" t="str" cm="1">
        <f t="array" ref="BR85">IF(ISBLANK(B85),"Continue",(IF(IFERROR(_xlfn.XMATCH(B85,LEFT('Reference Records'!$J$191:$J$250,32768),0),0)&lt;&gt;0,"Continue","Invalid module entry. Select from dropdown list.")))</f>
        <v>Continue</v>
      </c>
      <c r="BS85" s="508" t="str">
        <f t="shared" ref="BS85" ca="1" si="884">IF(AND(BP85="Continue",BQ85="Continue"),"Continue",IF(AND(BP85&lt;&gt;"Continue",BQ85="Continue"),BP85,IF(AND(BQ85&lt;&gt;"Continue",BP85="Continue"),BQ85,CONCATENATE(BP85,CHAR(10),BQ85))))</f>
        <v>Continue</v>
      </c>
      <c r="BT85" s="508" t="str">
        <f t="shared" ref="BT85" si="885">IF(AND(C85="",D85=""),"Continue",IF(AND(C85="",D85&lt;&gt;""),"Continue",IF(AND(C85&lt;&gt;"",D85=""),"Continue",IF(AND(C85&lt;&gt;"",D85&lt;&gt;""),"Cannot enter both standard and custom indicators on the same line."))))</f>
        <v>Continue</v>
      </c>
      <c r="BU85" s="508" t="str">
        <f t="shared" ref="BU85" si="886">IF(AND(BR85="Continue",BT85="Continue"),"Continue",IF(AND(BR85&lt;&gt;"Continue",BT85="Continue"),BR85,IF(AND(BT85&lt;&gt;"Continue",BR85="Continue"),BT85,CONCATENATE(BR85,CHAR(10),BT85))))</f>
        <v>Continue</v>
      </c>
      <c r="BV85" s="538" t="b">
        <f>IFERROR(INDEX('Reference Records'!$L$87:$L$189,MATCH($C85,'Reference Records'!$C$87:$C$189,0)),"")</f>
        <v>0</v>
      </c>
      <c r="BW85" s="538">
        <f t="shared" ref="BW85" ca="1" si="887">IF(NOT(ISBLANK(F85)),IF(F85&lt;&gt;"",(IF(NOT(ISNUMBER(F85)),1,0)),0),0)</f>
        <v>0</v>
      </c>
      <c r="BX85" s="538">
        <f t="shared" ref="BX85" si="888">IF(NOT(ISBLANK(O85)),IF(O85&lt;&gt;"",(IF(NOT(ISNUMBER(O85)),1,0)),0),0)</f>
        <v>0</v>
      </c>
      <c r="BY85" s="538">
        <f t="shared" ref="BY85" si="889">IF(NOT(ISBLANK(R85)),IF(R85&lt;&gt;"",(IF(NOT(ISNUMBER(R85)),1,0)),0),0)</f>
        <v>0</v>
      </c>
      <c r="BZ85" s="538">
        <f t="shared" ref="BZ85" si="890">IF(NOT(ISBLANK(U85)),IF(U85&lt;&gt;"",(IF(NOT(ISNUMBER(U85)),1,0)),0),0)</f>
        <v>0</v>
      </c>
      <c r="CA85" s="538">
        <f t="shared" ref="CA85" si="891">IF(NOT(ISBLANK(X85)),IF(X85&lt;&gt;"",(IF(NOT(ISNUMBER(X85)),1,0)),0),0)</f>
        <v>0</v>
      </c>
      <c r="CB85" s="538">
        <f t="shared" ref="CB85" si="892">IF(NOT(ISBLANK(AA85)),IF(AA85&lt;&gt;"",(IF(NOT(ISNUMBER(AA85)),1,0)),0),0)</f>
        <v>0</v>
      </c>
      <c r="CC85" s="538">
        <f t="shared" ref="CC85" si="893">IF(NOT(ISBLANK(AD85)),IF(AD85&lt;&gt;"",(IF(NOT(ISNUMBER(AD85)),1,0)),0),0)</f>
        <v>0</v>
      </c>
      <c r="CD85" s="538">
        <f t="shared" ref="CD85" si="894">IF(NOT(ISBLANK(AG85)),IF(AG85&lt;&gt;"",(IF(NOT(ISNUMBER(AG85)),1,0)),0),0)</f>
        <v>0</v>
      </c>
      <c r="CE85" s="538">
        <f t="shared" ref="CE85" si="895">IF(NOT(ISBLANK(AJ85)),IF(AJ85&lt;&gt;"",(IF(NOT(ISNUMBER(AJ85)),1,0)),0),0)</f>
        <v>0</v>
      </c>
      <c r="CF85" s="538" t="str">
        <f t="shared" ref="CF85" ca="1" si="896">IF(SUM(BW85:CE86)=0, "Continue", "Enter valid number only.")</f>
        <v>Continue</v>
      </c>
      <c r="CG85" s="538" t="str">
        <f t="shared" ref="CG85" ca="1" si="897">IF(AND(CF85="Continue",BD85="Continue"),"Continue",IF(AND(CF85&lt;&gt;"Continue",BD85="Continue"),CF85,IF(AND(BD85&lt;&gt;"Continue",CF85="Continue"),BD85,CONCATENATE(CF85,CHAR(10)))))</f>
        <v>Continue</v>
      </c>
      <c r="CI85" s="314" t="str">
        <f>IFERROR(IF('Overview - Section A'!$AN$5="Funding Request",
IF(AND('Reference Records'!$B$427&lt;&gt;"",$L85 ='Reference Records'!$B$427),'Reference Records'!$C$427,""),
INDEX('Reference Records'!$A$498:$C$499,MATCH($L85,'Reference Records'!$A$498:$A$499,0),3)),"")</f>
        <v>a1A360000013M2uEAE</v>
      </c>
      <c r="CJ85" s="314" t="str">
        <f>IFERROR(INDEX('Overview - Section A'!$H$102:$H$118,MATCH(IF($B85="", "--select--", $B85),'Overview - Section A'!$C$102:$C$118,0)),"")</f>
        <v>a1PDm000000LrDIMA0</v>
      </c>
      <c r="CK85" s="310" t="str" cm="1">
        <f t="array" ref="CK85">IFERROR(IF($C85="", "", VLOOKUP(LEFT($C85,255),LEFT('Reference Records'!$C$88:$G$189,255),5,0)),"")</f>
        <v>a1ODm000000GnzEMAS</v>
      </c>
    </row>
    <row r="86" spans="1:89" ht="30" customHeight="1">
      <c r="A86" s="523"/>
      <c r="B86" s="529"/>
      <c r="C86" s="529"/>
      <c r="D86" s="529"/>
      <c r="E86" s="148">
        <v>5012</v>
      </c>
      <c r="F86" s="517"/>
      <c r="G86" s="544"/>
      <c r="H86" s="529"/>
      <c r="I86" s="546"/>
      <c r="J86" s="544"/>
      <c r="K86" s="529"/>
      <c r="L86" s="153" t="s">
        <v>651</v>
      </c>
      <c r="M86" s="548"/>
      <c r="N86" s="148">
        <v>5277</v>
      </c>
      <c r="O86" s="525"/>
      <c r="P86" s="544"/>
      <c r="Q86" s="150">
        <v>5277</v>
      </c>
      <c r="R86" s="525"/>
      <c r="S86" s="544"/>
      <c r="T86" s="150">
        <v>5277</v>
      </c>
      <c r="U86" s="525"/>
      <c r="V86" s="544"/>
      <c r="W86" s="150">
        <v>5277</v>
      </c>
      <c r="X86" s="525"/>
      <c r="Y86" s="544"/>
      <c r="Z86" s="150">
        <v>5277</v>
      </c>
      <c r="AA86" s="525"/>
      <c r="AB86" s="544"/>
      <c r="AC86" s="150">
        <v>5277</v>
      </c>
      <c r="AD86" s="525"/>
      <c r="AE86" s="544"/>
      <c r="AF86" s="150"/>
      <c r="AG86" s="550"/>
      <c r="AH86" s="544"/>
      <c r="AI86" s="150"/>
      <c r="AJ86" s="550"/>
      <c r="AK86" s="544"/>
      <c r="AL86" s="529"/>
      <c r="AM86" s="476"/>
      <c r="AX86" s="152"/>
      <c r="AZ86" s="551"/>
      <c r="BA86" s="540"/>
      <c r="BB86" s="542"/>
      <c r="BC86" s="508"/>
      <c r="BD86" s="508"/>
      <c r="BE86" s="146">
        <f t="shared" si="666"/>
        <v>0</v>
      </c>
      <c r="BF86" s="146">
        <f t="shared" si="667"/>
        <v>0</v>
      </c>
      <c r="BG86" s="146">
        <f t="shared" si="668"/>
        <v>0</v>
      </c>
      <c r="BH86" s="146">
        <f t="shared" si="669"/>
        <v>0</v>
      </c>
      <c r="BI86" s="146">
        <f t="shared" si="670"/>
        <v>0</v>
      </c>
      <c r="BJ86" s="146">
        <f t="shared" si="671"/>
        <v>0</v>
      </c>
      <c r="BK86" s="146">
        <f t="shared" si="672"/>
        <v>0</v>
      </c>
      <c r="BL86" s="146">
        <f t="shared" si="673"/>
        <v>0</v>
      </c>
      <c r="BM86" s="146">
        <f t="shared" si="674"/>
        <v>0</v>
      </c>
      <c r="BN86" s="467"/>
      <c r="BO86" s="467"/>
      <c r="BP86" s="467"/>
      <c r="BQ86" s="467"/>
      <c r="BR86" s="508"/>
      <c r="BS86" s="508"/>
      <c r="BT86" s="508"/>
      <c r="BU86" s="508"/>
      <c r="BV86" s="538"/>
      <c r="BW86" s="538"/>
      <c r="BX86" s="538"/>
      <c r="BY86" s="538"/>
      <c r="BZ86" s="538"/>
      <c r="CA86" s="538"/>
      <c r="CB86" s="538"/>
      <c r="CC86" s="538"/>
      <c r="CD86" s="538"/>
      <c r="CE86" s="538"/>
      <c r="CF86" s="538"/>
      <c r="CG86" s="538"/>
      <c r="CI86" s="314" t="str">
        <f>IFERROR(IF('Overview - Section A'!$AN$5="Funding Request",
IF(AND('Reference Records'!$B$427&lt;&gt;"",$L86 ='Reference Records'!$B$427),'Reference Records'!$C$427,""),
INDEX('Reference Records'!$A$498:$C$499,MATCH($L86,'Reference Records'!$A$498:$A$499,0),3)),"")</f>
        <v/>
      </c>
      <c r="CJ86" s="314" t="str">
        <f>IFERROR(INDEX('Overview - Section A'!$H$102:$H$118,MATCH(IF($B86="", "--select--", $B86),'Overview - Section A'!$C$102:$C$118,0)),"")</f>
        <v/>
      </c>
      <c r="CK86" s="310" t="str" cm="1">
        <f t="array" ref="CK86">IFERROR(IF($C86="", "", VLOOKUP(LEFT($C86,255),LEFT('Reference Records'!$C$88:$G$189,255),5,0)),"")</f>
        <v/>
      </c>
    </row>
    <row r="87" spans="1:89" ht="30" customHeight="1">
      <c r="A87" s="522">
        <v>40</v>
      </c>
      <c r="B87" s="512" t="s">
        <v>1509</v>
      </c>
      <c r="C87" s="512"/>
      <c r="D87" s="512" t="s">
        <v>2245</v>
      </c>
      <c r="E87" s="140">
        <v>2361</v>
      </c>
      <c r="F87" s="516">
        <f t="shared" ca="1" si="799"/>
        <v>0.59696586599241463</v>
      </c>
      <c r="G87" s="552">
        <v>2022</v>
      </c>
      <c r="H87" s="512" t="s">
        <v>2246</v>
      </c>
      <c r="I87" s="545" t="str">
        <f>AN87</f>
        <v/>
      </c>
      <c r="J87" s="552" t="s">
        <v>2212</v>
      </c>
      <c r="K87" s="512" t="s">
        <v>323</v>
      </c>
      <c r="L87" s="141" t="s">
        <v>781</v>
      </c>
      <c r="M87" s="556" t="s">
        <v>652</v>
      </c>
      <c r="N87" s="140"/>
      <c r="O87" s="516">
        <v>0.98</v>
      </c>
      <c r="P87" s="552"/>
      <c r="Q87" s="142"/>
      <c r="R87" s="516">
        <v>0.98</v>
      </c>
      <c r="S87" s="552"/>
      <c r="T87" s="142"/>
      <c r="U87" s="516">
        <v>0.98</v>
      </c>
      <c r="V87" s="552"/>
      <c r="W87" s="142"/>
      <c r="X87" s="516">
        <v>0.98</v>
      </c>
      <c r="Y87" s="552"/>
      <c r="Z87" s="142"/>
      <c r="AA87" s="516">
        <v>0.98</v>
      </c>
      <c r="AB87" s="552"/>
      <c r="AC87" s="142"/>
      <c r="AD87" s="516">
        <v>0.98</v>
      </c>
      <c r="AE87" s="552"/>
      <c r="AF87" s="142"/>
      <c r="AG87" s="516"/>
      <c r="AH87" s="552"/>
      <c r="AI87" s="142"/>
      <c r="AJ87" s="516"/>
      <c r="AK87" s="552"/>
      <c r="AL87" s="512" t="s">
        <v>2222</v>
      </c>
      <c r="AM87" s="554" t="str">
        <f>IFERROR(IF(VLOOKUP(B87,'Reference Records'!$C$192:$D$250,2,FALSE)=0,"",VLOOKUP(B87,'Reference Records'!$C$192:$D$250,2,FALSE)),"")</f>
        <v>MCI-01323</v>
      </c>
      <c r="AN87" s="143" t="str">
        <f t="array" ref="AN87">IFERROR(IF(INDEX('Reference Records'!$D$88:$D$189,MATCH(LEFT(C87,255),LEFT('Reference Records'!$C$88:$C$189,255),0))=0,"",INDEX('Reference Records'!$D$88:$D$189,MATCH(LEFT(C87,255),LEFT('Reference Records'!$C$88:$C$189,255),0))),"")</f>
        <v/>
      </c>
      <c r="AO87" s="143" t="str">
        <f>CONCATENATE(C87,D87)</f>
        <v>HPM Other - 1: Pourcentage des etablissements de sante disposant des medicaments ARV le jour de la visite ou du rapportage</v>
      </c>
      <c r="AP87" s="144" t="str">
        <f t="array" ref="AP87">VLOOKUP(LEFT(C87,255),LEFT('Reference Records'!C$87:G482,255),4,0)</f>
        <v/>
      </c>
      <c r="AQ87" s="144" t="e">
        <f>MATCH(AP87,'Reference Records'!$F$512:$F$514,0)+ROW(PopulationByCoverage)-1</f>
        <v>#N/A</v>
      </c>
      <c r="AR87" s="144" t="e">
        <f>MATCH(AP87,'Reference Records'!$F$512:$F$514,1)+ROW(PopulationByCoverage)-1</f>
        <v>#N/A</v>
      </c>
      <c r="AS87" s="143" t="str">
        <f>C87&amp;D87</f>
        <v>HPM Other - 1: Pourcentage des etablissements de sante disposant des medicaments ARV le jour de la visite ou du rapportage</v>
      </c>
      <c r="AT87" s="143">
        <f t="shared" ref="AT87" si="898">AT85+1</f>
        <v>464</v>
      </c>
      <c r="AU87" s="143">
        <f ca="1">AU85+'update Helper'!$T$2</f>
        <v>596.82608695652129</v>
      </c>
      <c r="AV87" s="143" t="str">
        <f t="shared" ref="AV87" si="899">CLEAN(IFERROR(LEFT(AY87, SEARCH(";",AY87,1)-1),""))</f>
        <v/>
      </c>
      <c r="AW87" s="143" t="str">
        <f t="shared" ref="AW87" si="900">SUBSTITUTE(IFERROR(MID(AY87, SEARCH(";",AY87) + 1, SEARCH(";",AY87,SEARCH(";",AY87)+1) - SEARCH(";",AY87) - 1),""),CHAR(10),"")</f>
        <v/>
      </c>
      <c r="AX87" s="145" t="str">
        <f t="shared" ref="AX87" si="901">CLEAN(IFERROR(SUBSTITUTE(RIGHT(AY87,LEN(AY87) - SEARCH(";", AY87, SEARCH(";",AY87) + 1)),";",""),""))</f>
        <v/>
      </c>
      <c r="AY87" s="143" t="str">
        <f t="array" ref="AY87">IFERROR(IF(VLOOKUP(LEFT(C87,255),LEFT('Reference Records'!$C$1:$K$539,255),9,0)=0,"",CONCATENATE(VLOOKUP(LEFT(C87,255),LEFT('Reference Records'!$C$1:$K$539,255),9,0),";")),"")</f>
        <v>;</v>
      </c>
      <c r="AZ87" s="555" t="str">
        <f>IF($BV87="", "", IF($BV87=TRUE, "Yes", "No"))</f>
        <v/>
      </c>
      <c r="BA87" s="552" t="str">
        <f t="shared" ref="BA87:BA91" ca="1" si="902">IF($D87="", "",IF(IF(INDIRECT("'update Helper'!W"&amp;AT87)=0,"",INDIRECT("'update Helper'!W"&amp;AT87))=TRUE, "Yes","No"))</f>
        <v>No</v>
      </c>
      <c r="BB87" s="541" t="str">
        <f t="shared" ref="BB87" ca="1" si="903">IF(AND(BS87="Continue",BU87="Continue"),"No Error",IF(AND(BS87&lt;&gt;"Continue",BU87="Continue"),BS87,IF(AND(BU87&lt;&gt;"Continue",BS87="Continue"),BU87,CONCATENATE(BS87,CHAR(10),BU87))))</f>
        <v>No Error</v>
      </c>
      <c r="BC87" s="508" t="str" cm="1">
        <f t="array" ref="BC87">IF(ISBLANK(C87),"Continue",(IF(IFERROR(_xlfn.XMATCH(C87,LEFT('Reference Records'!$C$87:$C$189,32768),0),0)&lt;&gt;0,"Continue","Invalid indicator entry. Select from dropdown list.")))</f>
        <v>Continue</v>
      </c>
      <c r="BD87" s="508" t="str">
        <f t="shared" ref="BD87" si="904">IF(SUM(BE87:BM88)=0, "Continue", "Enter valid number only.")</f>
        <v>Continue</v>
      </c>
      <c r="BE87" s="146">
        <f t="shared" ref="BE87:BE90" si="905">IF(NOT(ISBLANK(E87)),IF(E87&lt;&gt;"",(IF(NOT(ISNUMBER(E87)),1,0)),0),0)</f>
        <v>0</v>
      </c>
      <c r="BF87" s="146">
        <f t="shared" ref="BF87:BF90" si="906">IF(NOT(ISBLANK(N87)),IF(N87&lt;&gt;"",(IF(NOT(ISNUMBER(N87)),1,0)),0),0)</f>
        <v>0</v>
      </c>
      <c r="BG87" s="146">
        <f t="shared" ref="BG87:BG90" si="907">IF(NOT(ISBLANK(Q87)),IF(Q87&lt;&gt;"",(IF(NOT(ISNUMBER(Q87)),1,0)),0),0)</f>
        <v>0</v>
      </c>
      <c r="BH87" s="146">
        <f t="shared" ref="BH87:BH90" si="908">IF(NOT(ISBLANK(T87)),IF(T87&lt;&gt;"",(IF(NOT(ISNUMBER(T87)),1,0)),0),0)</f>
        <v>0</v>
      </c>
      <c r="BI87" s="146">
        <f t="shared" ref="BI87:BI90" si="909">IF(NOT(ISBLANK(W87)),IF(W87&lt;&gt;"",(IF(NOT(ISNUMBER(W87)),1,0)),0),0)</f>
        <v>0</v>
      </c>
      <c r="BJ87" s="146">
        <f t="shared" ref="BJ87:BJ90" si="910">IF(NOT(ISBLANK(Z87)),IF(Z87&lt;&gt;"",(IF(NOT(ISNUMBER(Z87)),1,0)),0),0)</f>
        <v>0</v>
      </c>
      <c r="BK87" s="146">
        <f t="shared" ref="BK87:BK90" si="911">IF(NOT(ISBLANK(AC87)),IF(AC87&lt;&gt;"",(IF(NOT(ISNUMBER(AC87)),1,0)),0),0)</f>
        <v>0</v>
      </c>
      <c r="BL87" s="146">
        <f t="shared" ref="BL87:BL90" si="912">IF(NOT(ISBLANK(AF87)),IF(AF87&lt;&gt;"",(IF(NOT(ISNUMBER(AF87)),1,0)),0),0)</f>
        <v>0</v>
      </c>
      <c r="BM87" s="146">
        <f t="shared" ref="BM87:BM90" si="913">IF(NOT(ISBLANK(AI87)),IF(AI87&lt;&gt;"",(IF(NOT(ISNUMBER(AI87)),1,0)),0),0)</f>
        <v>0</v>
      </c>
      <c r="BN87" s="467" t="str">
        <f>IF(NOT(ISBLANK(C87)),IF(C87&lt;&gt;"",IF(_xlfn.XLOOKUP(C87,'Reference Records'!$C$87:$C$189,'Reference Records'!$A$87:$A$189,0,0,1)=AM87,"Continue","Select correct module name."),"Continue"),"Continue")</f>
        <v>Continue</v>
      </c>
      <c r="BO87" s="467" t="str">
        <f t="shared" ref="BO87" ca="1" si="914">IF(AND(BC87="Continue",CG87="Continue"),"Continue",IF(AND(BC87&lt;&gt;"Continue",CG87="Continue"),BC87,IF(AND(CG87&lt;&gt;"Continue",BC87="Continue"),CG87,CONCATENATE(BC87,CHAR(10),CG87))))</f>
        <v>Continue</v>
      </c>
      <c r="BP87" s="467" t="str">
        <f t="shared" ref="BP87" ca="1" si="915">IF(AND((AZ87&lt;&gt;""),(BA87&lt;&gt;"")),"Reversed custom indicator selection not applicable. Value pre-populated in standard indicator column.","Continue")</f>
        <v>Continue</v>
      </c>
      <c r="BQ87" s="467" t="str">
        <f t="shared" ref="BQ87" ca="1" si="916">IF(AND(BN87="Continue",BO87="Continue"),"Continue",
IF(AND(BN87&lt;&gt;"Continue",BO87="Continue"),BN87,
IF(AND(BO87&lt;&gt;"Continue",BN87="Continue"),BO87,
CONCATENATE(BN87,CHAR(10),BO87))))</f>
        <v>Continue</v>
      </c>
      <c r="BR87" s="508" t="str" cm="1">
        <f t="array" ref="BR87">IF(ISBLANK(B87),"Continue",(IF(IFERROR(_xlfn.XMATCH(B87,LEFT('Reference Records'!$J$191:$J$250,32768),0),0)&lt;&gt;0,"Continue","Invalid module entry. Select from dropdown list.")))</f>
        <v>Continue</v>
      </c>
      <c r="BS87" s="508" t="str">
        <f t="shared" ref="BS87" ca="1" si="917">IF(AND(BP87="Continue",BQ87="Continue"),"Continue",IF(AND(BP87&lt;&gt;"Continue",BQ87="Continue"),BP87,IF(AND(BQ87&lt;&gt;"Continue",BP87="Continue"),BQ87,CONCATENATE(BP87,CHAR(10),BQ87))))</f>
        <v>Continue</v>
      </c>
      <c r="BT87" s="508" t="str">
        <f t="shared" ref="BT87" si="918">IF(AND(C87="",D87=""),"Continue",IF(AND(C87="",D87&lt;&gt;""),"Continue",IF(AND(C87&lt;&gt;"",D87=""),"Continue",IF(AND(C87&lt;&gt;"",D87&lt;&gt;""),"Cannot enter both standard and custom indicators on the same line."))))</f>
        <v>Continue</v>
      </c>
      <c r="BU87" s="508" t="str">
        <f t="shared" ref="BU87" si="919">IF(AND(BR87="Continue",BT87="Continue"),"Continue",IF(AND(BR87&lt;&gt;"Continue",BT87="Continue"),BR87,IF(AND(BT87&lt;&gt;"Continue",BR87="Continue"),BT87,CONCATENATE(BR87,CHAR(10),BT87))))</f>
        <v>Continue</v>
      </c>
      <c r="BV87" s="538" t="str">
        <f>IFERROR(INDEX('Reference Records'!$L$87:$L$189,MATCH($C87,'Reference Records'!$C$87:$C$189,0)),"")</f>
        <v/>
      </c>
      <c r="BW87" s="538">
        <f t="shared" ref="BW87" ca="1" si="920">IF(NOT(ISBLANK(F87)),IF(F87&lt;&gt;"",(IF(NOT(ISNUMBER(F87)),1,0)),0),0)</f>
        <v>0</v>
      </c>
      <c r="BX87" s="538">
        <f t="shared" ref="BX87" si="921">IF(NOT(ISBLANK(O87)),IF(O87&lt;&gt;"",(IF(NOT(ISNUMBER(O87)),1,0)),0),0)</f>
        <v>0</v>
      </c>
      <c r="BY87" s="538">
        <f t="shared" ref="BY87" si="922">IF(NOT(ISBLANK(R87)),IF(R87&lt;&gt;"",(IF(NOT(ISNUMBER(R87)),1,0)),0),0)</f>
        <v>0</v>
      </c>
      <c r="BZ87" s="538">
        <f t="shared" ref="BZ87" si="923">IF(NOT(ISBLANK(U87)),IF(U87&lt;&gt;"",(IF(NOT(ISNUMBER(U87)),1,0)),0),0)</f>
        <v>0</v>
      </c>
      <c r="CA87" s="538">
        <f t="shared" ref="CA87" si="924">IF(NOT(ISBLANK(X87)),IF(X87&lt;&gt;"",(IF(NOT(ISNUMBER(X87)),1,0)),0),0)</f>
        <v>0</v>
      </c>
      <c r="CB87" s="538">
        <f t="shared" ref="CB87" si="925">IF(NOT(ISBLANK(AA87)),IF(AA87&lt;&gt;"",(IF(NOT(ISNUMBER(AA87)),1,0)),0),0)</f>
        <v>0</v>
      </c>
      <c r="CC87" s="538">
        <f t="shared" ref="CC87" si="926">IF(NOT(ISBLANK(AD87)),IF(AD87&lt;&gt;"",(IF(NOT(ISNUMBER(AD87)),1,0)),0),0)</f>
        <v>0</v>
      </c>
      <c r="CD87" s="538">
        <f t="shared" ref="CD87" si="927">IF(NOT(ISBLANK(AG87)),IF(AG87&lt;&gt;"",(IF(NOT(ISNUMBER(AG87)),1,0)),0),0)</f>
        <v>0</v>
      </c>
      <c r="CE87" s="538">
        <f t="shared" ref="CE87" si="928">IF(NOT(ISBLANK(AJ87)),IF(AJ87&lt;&gt;"",(IF(NOT(ISNUMBER(AJ87)),1,0)),0),0)</f>
        <v>0</v>
      </c>
      <c r="CF87" s="538" t="str">
        <f t="shared" ref="CF87" ca="1" si="929">IF(SUM(BW87:CE88)=0, "Continue", "Enter valid number only.")</f>
        <v>Continue</v>
      </c>
      <c r="CG87" s="538" t="str">
        <f t="shared" ref="CG87" ca="1" si="930">IF(AND(CF87="Continue",BD87="Continue"),"Continue",IF(AND(CF87&lt;&gt;"Continue",BD87="Continue"),CF87,IF(AND(BD87&lt;&gt;"Continue",CF87="Continue"),BD87,CONCATENATE(CF87,CHAR(10)))))</f>
        <v>Continue</v>
      </c>
      <c r="CI87" s="314" t="str">
        <f>IFERROR(IF('Overview - Section A'!$AN$5="Funding Request",
IF(AND('Reference Records'!$B$427&lt;&gt;"",$L87 ='Reference Records'!$B$427),'Reference Records'!$C$427,""),
INDEX('Reference Records'!$A$498:$C$499,MATCH($L87,'Reference Records'!$A$498:$A$499,0),3)),"")</f>
        <v>a1A360000013M2uEAE</v>
      </c>
      <c r="CJ87" s="314" t="str">
        <f>IFERROR(INDEX('Overview - Section A'!$H$102:$H$118,MATCH(IF($B87="", "--select--", $B87),'Overview - Section A'!$C$102:$C$118,0)),"")</f>
        <v>a1PDm000000LrDHMA0</v>
      </c>
      <c r="CK87" s="310" t="str" cm="1">
        <f t="array" ref="CK87">IFERROR(IF($C87="", "", VLOOKUP(LEFT($C87,255),LEFT('Reference Records'!$C$88:$G$189,255),5,0)),"")</f>
        <v/>
      </c>
    </row>
    <row r="88" spans="1:89" ht="30" customHeight="1">
      <c r="A88" s="523"/>
      <c r="B88" s="513"/>
      <c r="C88" s="513"/>
      <c r="D88" s="513"/>
      <c r="E88" s="140">
        <v>3955</v>
      </c>
      <c r="F88" s="517"/>
      <c r="G88" s="553"/>
      <c r="H88" s="513"/>
      <c r="I88" s="546"/>
      <c r="J88" s="553"/>
      <c r="K88" s="513"/>
      <c r="L88" s="147" t="s">
        <v>651</v>
      </c>
      <c r="M88" s="557"/>
      <c r="N88" s="140"/>
      <c r="O88" s="517"/>
      <c r="P88" s="553"/>
      <c r="Q88" s="142"/>
      <c r="R88" s="517"/>
      <c r="S88" s="553"/>
      <c r="T88" s="142"/>
      <c r="U88" s="517"/>
      <c r="V88" s="553"/>
      <c r="W88" s="142"/>
      <c r="X88" s="517"/>
      <c r="Y88" s="553"/>
      <c r="Z88" s="142"/>
      <c r="AA88" s="517"/>
      <c r="AB88" s="553"/>
      <c r="AC88" s="142"/>
      <c r="AD88" s="517"/>
      <c r="AE88" s="553"/>
      <c r="AF88" s="142"/>
      <c r="AG88" s="517"/>
      <c r="AH88" s="553"/>
      <c r="AI88" s="142"/>
      <c r="AJ88" s="517"/>
      <c r="AK88" s="553"/>
      <c r="AL88" s="513"/>
      <c r="AM88" s="554"/>
      <c r="AN88" s="143"/>
      <c r="AO88" s="143"/>
      <c r="AP88" s="143"/>
      <c r="AQ88" s="143"/>
      <c r="AR88" s="143"/>
      <c r="AS88" s="143"/>
      <c r="AT88" s="143"/>
      <c r="AU88" s="143"/>
      <c r="AV88" s="143"/>
      <c r="AW88" s="143"/>
      <c r="AX88" s="145"/>
      <c r="AY88" s="143"/>
      <c r="AZ88" s="555"/>
      <c r="BA88" s="553"/>
      <c r="BB88" s="542"/>
      <c r="BC88" s="508"/>
      <c r="BD88" s="508"/>
      <c r="BE88" s="146">
        <f t="shared" si="905"/>
        <v>0</v>
      </c>
      <c r="BF88" s="146">
        <f t="shared" si="906"/>
        <v>0</v>
      </c>
      <c r="BG88" s="146">
        <f t="shared" si="907"/>
        <v>0</v>
      </c>
      <c r="BH88" s="146">
        <f t="shared" si="908"/>
        <v>0</v>
      </c>
      <c r="BI88" s="146">
        <f t="shared" si="909"/>
        <v>0</v>
      </c>
      <c r="BJ88" s="146">
        <f t="shared" si="910"/>
        <v>0</v>
      </c>
      <c r="BK88" s="146">
        <f t="shared" si="911"/>
        <v>0</v>
      </c>
      <c r="BL88" s="146">
        <f t="shared" si="912"/>
        <v>0</v>
      </c>
      <c r="BM88" s="146">
        <f t="shared" si="913"/>
        <v>0</v>
      </c>
      <c r="BN88" s="467"/>
      <c r="BO88" s="467"/>
      <c r="BP88" s="467"/>
      <c r="BQ88" s="467"/>
      <c r="BR88" s="508"/>
      <c r="BS88" s="508"/>
      <c r="BT88" s="508"/>
      <c r="BU88" s="508"/>
      <c r="BV88" s="538"/>
      <c r="BW88" s="538"/>
      <c r="BX88" s="538"/>
      <c r="BY88" s="538"/>
      <c r="BZ88" s="538"/>
      <c r="CA88" s="538"/>
      <c r="CB88" s="538"/>
      <c r="CC88" s="538"/>
      <c r="CD88" s="538"/>
      <c r="CE88" s="538"/>
      <c r="CF88" s="538"/>
      <c r="CG88" s="538"/>
      <c r="CI88" s="314" t="str">
        <f>IFERROR(IF('Overview - Section A'!$AN$5="Funding Request",
IF(AND('Reference Records'!$B$427&lt;&gt;"",$L88 ='Reference Records'!$B$427),'Reference Records'!$C$427,""),
INDEX('Reference Records'!$A$498:$C$499,MATCH($L88,'Reference Records'!$A$498:$A$499,0),3)),"")</f>
        <v/>
      </c>
      <c r="CJ88" s="314" t="str">
        <f>IFERROR(INDEX('Overview - Section A'!$H$102:$H$118,MATCH(IF($B88="", "--select--", $B88),'Overview - Section A'!$C$102:$C$118,0)),"")</f>
        <v/>
      </c>
      <c r="CK88" s="310" t="str" cm="1">
        <f t="array" ref="CK88">IFERROR(IF($C88="", "", VLOOKUP(LEFT($C88,255),LEFT('Reference Records'!$C$88:$G$189,255),5,0)),"")</f>
        <v/>
      </c>
    </row>
    <row r="89" spans="1:89" ht="30" customHeight="1">
      <c r="A89" s="522">
        <v>41</v>
      </c>
      <c r="B89" s="528" t="s">
        <v>1509</v>
      </c>
      <c r="C89" s="528"/>
      <c r="D89" s="528" t="s">
        <v>2247</v>
      </c>
      <c r="E89" s="148">
        <v>2378</v>
      </c>
      <c r="F89" s="516">
        <f t="shared" ca="1" si="824"/>
        <v>0.63856068743286787</v>
      </c>
      <c r="G89" s="543">
        <v>2022</v>
      </c>
      <c r="H89" s="528" t="s">
        <v>2246</v>
      </c>
      <c r="I89" s="545" t="str">
        <f>AN89</f>
        <v/>
      </c>
      <c r="J89" s="543" t="s">
        <v>2212</v>
      </c>
      <c r="K89" s="528" t="s">
        <v>323</v>
      </c>
      <c r="L89" s="149" t="s">
        <v>781</v>
      </c>
      <c r="M89" s="547" t="s">
        <v>652</v>
      </c>
      <c r="N89" s="148"/>
      <c r="O89" s="524">
        <v>0.98</v>
      </c>
      <c r="P89" s="543"/>
      <c r="Q89" s="150"/>
      <c r="R89" s="524">
        <v>0.98</v>
      </c>
      <c r="S89" s="543"/>
      <c r="T89" s="150"/>
      <c r="U89" s="524">
        <v>0.98</v>
      </c>
      <c r="V89" s="543"/>
      <c r="W89" s="150"/>
      <c r="X89" s="524">
        <v>0.98</v>
      </c>
      <c r="Y89" s="543"/>
      <c r="Z89" s="150"/>
      <c r="AA89" s="524">
        <v>0.98</v>
      </c>
      <c r="AB89" s="543"/>
      <c r="AC89" s="150"/>
      <c r="AD89" s="524">
        <v>0.98</v>
      </c>
      <c r="AE89" s="543"/>
      <c r="AF89" s="150"/>
      <c r="AG89" s="549"/>
      <c r="AH89" s="543"/>
      <c r="AI89" s="150"/>
      <c r="AJ89" s="549"/>
      <c r="AK89" s="543"/>
      <c r="AL89" s="528" t="s">
        <v>2223</v>
      </c>
      <c r="AM89" s="476" t="str">
        <f>IFERROR(IF(VLOOKUP(B89,'Reference Records'!$C$192:$D$250,2,FALSE)=0,"",VLOOKUP(B89,'Reference Records'!$C$192:$D$250,2,FALSE)),"")</f>
        <v>MCI-01323</v>
      </c>
      <c r="AN89" s="48" t="str">
        <f t="array" ref="AN89">IFERROR(IF(INDEX('Reference Records'!$D$88:$D$189,MATCH(LEFT(C89,255),LEFT('Reference Records'!$C$88:$C$189,255),0))=0,"",INDEX('Reference Records'!$D$88:$D$189,MATCH(LEFT(C89,255),LEFT('Reference Records'!$C$88:$C$189,255),0))),"")</f>
        <v/>
      </c>
      <c r="AO89" s="48" t="str">
        <f>CONCATENATE(C89,D89)</f>
        <v>HPM Other -2: Pourcentage des etablissements de sante disposant de diagnostic VIH avec des elements traceurs le jour de la visite ou du rapportage</v>
      </c>
      <c r="AP89" s="151" t="str">
        <f t="array" ref="AP89">VLOOKUP(LEFT(C89,255),LEFT('Reference Records'!C$87:G484,255),4,0)</f>
        <v/>
      </c>
      <c r="AQ89" s="151" t="e">
        <f>MATCH(AP89,'Reference Records'!$F$512:$F$514,0)+ROW(PopulationByCoverage)-1</f>
        <v>#N/A</v>
      </c>
      <c r="AR89" s="151" t="e">
        <f>MATCH(AP89,'Reference Records'!$F$512:$F$514,1)+ROW(PopulationByCoverage)-1</f>
        <v>#N/A</v>
      </c>
      <c r="AS89" s="48" t="str">
        <f>C89&amp;D89</f>
        <v>HPM Other -2: Pourcentage des etablissements de sante disposant de diagnostic VIH avec des elements traceurs le jour de la visite ou du rapportage</v>
      </c>
      <c r="AT89" s="48">
        <f t="shared" ref="AT89" si="931">AT87+1</f>
        <v>465</v>
      </c>
      <c r="AU89" s="48">
        <f ca="1">AU87+'update Helper'!$T$2</f>
        <v>603.60869565217342</v>
      </c>
      <c r="AV89" s="48" t="str">
        <f t="shared" ref="AV89" si="932">CLEAN(IFERROR(LEFT(AY89, SEARCH(";",AY89,1)-1),""))</f>
        <v/>
      </c>
      <c r="AW89" s="48" t="str">
        <f t="shared" ref="AW89" si="933">SUBSTITUTE(IFERROR(MID(AY89, SEARCH(";",AY89) + 1, SEARCH(";",AY89,SEARCH(";",AY89)+1) - SEARCH(";",AY89) - 1),""),CHAR(10),"")</f>
        <v/>
      </c>
      <c r="AX89" s="152" t="str">
        <f t="shared" ref="AX89" si="934">CLEAN(IFERROR(SUBSTITUTE(RIGHT(AY89,LEN(AY89) - SEARCH(";", AY89, SEARCH(";",AY89) + 1)),";",""),""))</f>
        <v/>
      </c>
      <c r="AY89" s="48" t="str">
        <f t="array" ref="AY89">IFERROR(IF(VLOOKUP(LEFT(C89,255),LEFT('Reference Records'!$C$1:$K$539,255),9,0)=0,"",CONCATENATE(VLOOKUP(LEFT(C89,255),LEFT('Reference Records'!$C$1:$K$539,255),9,0),";")),"")</f>
        <v>;</v>
      </c>
      <c r="AZ89" s="551" t="str">
        <f>IF($BV89="", "", IF($BV89=TRUE, "Yes", "No"))</f>
        <v/>
      </c>
      <c r="BA89" s="539" t="str">
        <f t="shared" ref="BA89" ca="1" si="935">IF($D89="", "",IF(IF(INDIRECT("'update Helper'!W"&amp;AT89)=0,"",INDIRECT("'update Helper'!W"&amp;AT89))=TRUE, "Yes","No"))</f>
        <v>No</v>
      </c>
      <c r="BB89" s="541" t="str">
        <f t="shared" ref="BB89" ca="1" si="936">IF(AND(BS89="Continue",BU89="Continue"),"No Error",IF(AND(BS89&lt;&gt;"Continue",BU89="Continue"),BS89,IF(AND(BU89&lt;&gt;"Continue",BS89="Continue"),BU89,CONCATENATE(BS89,CHAR(10),BU89))))</f>
        <v>No Error</v>
      </c>
      <c r="BC89" s="508" t="str" cm="1">
        <f t="array" ref="BC89">IF(ISBLANK(C89),"Continue",(IF(IFERROR(_xlfn.XMATCH(C89,LEFT('Reference Records'!$C$87:$C$189,32768),0),0)&lt;&gt;0,"Continue","Invalid indicator entry. Select from dropdown list.")))</f>
        <v>Continue</v>
      </c>
      <c r="BD89" s="508" t="str">
        <f t="shared" ref="BD89" si="937">IF(SUM(BE89:BM90)=0, "Continue", "Enter valid number only.")</f>
        <v>Continue</v>
      </c>
      <c r="BE89" s="146">
        <f t="shared" si="905"/>
        <v>0</v>
      </c>
      <c r="BF89" s="146">
        <f t="shared" si="906"/>
        <v>0</v>
      </c>
      <c r="BG89" s="146">
        <f t="shared" si="907"/>
        <v>0</v>
      </c>
      <c r="BH89" s="146">
        <f t="shared" si="908"/>
        <v>0</v>
      </c>
      <c r="BI89" s="146">
        <f t="shared" si="909"/>
        <v>0</v>
      </c>
      <c r="BJ89" s="146">
        <f t="shared" si="910"/>
        <v>0</v>
      </c>
      <c r="BK89" s="146">
        <f t="shared" si="911"/>
        <v>0</v>
      </c>
      <c r="BL89" s="146">
        <f t="shared" si="912"/>
        <v>0</v>
      </c>
      <c r="BM89" s="146">
        <f t="shared" si="913"/>
        <v>0</v>
      </c>
      <c r="BN89" s="467" t="str">
        <f>IF(NOT(ISBLANK(C89)),IF(C89&lt;&gt;"",IF(_xlfn.XLOOKUP(C89,'Reference Records'!$C$87:$C$189,'Reference Records'!$A$87:$A$189,0,0,1)=AM89,"Continue","Select correct module name."),"Continue"),"Continue")</f>
        <v>Continue</v>
      </c>
      <c r="BO89" s="467" t="str">
        <f t="shared" ref="BO89" ca="1" si="938">IF(AND(BC89="Continue",CG89="Continue"),"Continue",IF(AND(BC89&lt;&gt;"Continue",CG89="Continue"),BC89,IF(AND(CG89&lt;&gt;"Continue",BC89="Continue"),CG89,CONCATENATE(BC89,CHAR(10),CG89))))</f>
        <v>Continue</v>
      </c>
      <c r="BP89" s="467" t="str">
        <f t="shared" ref="BP89" ca="1" si="939">IF(AND((AZ89&lt;&gt;""),(BA89&lt;&gt;"")),"Reversed custom indicator selection not applicable. Value pre-populated in standard indicator column.","Continue")</f>
        <v>Continue</v>
      </c>
      <c r="BQ89" s="467" t="str">
        <f t="shared" ref="BQ89" ca="1" si="940">IF(AND(BN89="Continue",BO89="Continue"),"Continue",
IF(AND(BN89&lt;&gt;"Continue",BO89="Continue"),BN89,
IF(AND(BO89&lt;&gt;"Continue",BN89="Continue"),BO89,
CONCATENATE(BN89,CHAR(10),BO89))))</f>
        <v>Continue</v>
      </c>
      <c r="BR89" s="508" t="str" cm="1">
        <f t="array" ref="BR89">IF(ISBLANK(B89),"Continue",(IF(IFERROR(_xlfn.XMATCH(B89,LEFT('Reference Records'!$J$191:$J$250,32768),0),0)&lt;&gt;0,"Continue","Invalid module entry. Select from dropdown list.")))</f>
        <v>Continue</v>
      </c>
      <c r="BS89" s="508" t="str">
        <f t="shared" ref="BS89" ca="1" si="941">IF(AND(BP89="Continue",BQ89="Continue"),"Continue",IF(AND(BP89&lt;&gt;"Continue",BQ89="Continue"),BP89,IF(AND(BQ89&lt;&gt;"Continue",BP89="Continue"),BQ89,CONCATENATE(BP89,CHAR(10),BQ89))))</f>
        <v>Continue</v>
      </c>
      <c r="BT89" s="508" t="str">
        <f t="shared" ref="BT89" si="942">IF(AND(C89="",D89=""),"Continue",IF(AND(C89="",D89&lt;&gt;""),"Continue",IF(AND(C89&lt;&gt;"",D89=""),"Continue",IF(AND(C89&lt;&gt;"",D89&lt;&gt;""),"Cannot enter both standard and custom indicators on the same line."))))</f>
        <v>Continue</v>
      </c>
      <c r="BU89" s="508" t="str">
        <f t="shared" ref="BU89" si="943">IF(AND(BR89="Continue",BT89="Continue"),"Continue",IF(AND(BR89&lt;&gt;"Continue",BT89="Continue"),BR89,IF(AND(BT89&lt;&gt;"Continue",BR89="Continue"),BT89,CONCATENATE(BR89,CHAR(10),BT89))))</f>
        <v>Continue</v>
      </c>
      <c r="BV89" s="538" t="str">
        <f>IFERROR(INDEX('Reference Records'!$L$87:$L$189,MATCH($C89,'Reference Records'!$C$87:$C$189,0)),"")</f>
        <v/>
      </c>
      <c r="BW89" s="538">
        <f t="shared" ref="BW89" ca="1" si="944">IF(NOT(ISBLANK(F89)),IF(F89&lt;&gt;"",(IF(NOT(ISNUMBER(F89)),1,0)),0),0)</f>
        <v>0</v>
      </c>
      <c r="BX89" s="538">
        <f t="shared" ref="BX89" si="945">IF(NOT(ISBLANK(O89)),IF(O89&lt;&gt;"",(IF(NOT(ISNUMBER(O89)),1,0)),0),0)</f>
        <v>0</v>
      </c>
      <c r="BY89" s="538">
        <f t="shared" ref="BY89" si="946">IF(NOT(ISBLANK(R89)),IF(R89&lt;&gt;"",(IF(NOT(ISNUMBER(R89)),1,0)),0),0)</f>
        <v>0</v>
      </c>
      <c r="BZ89" s="538">
        <f t="shared" ref="BZ89" si="947">IF(NOT(ISBLANK(U89)),IF(U89&lt;&gt;"",(IF(NOT(ISNUMBER(U89)),1,0)),0),0)</f>
        <v>0</v>
      </c>
      <c r="CA89" s="538">
        <f t="shared" ref="CA89" si="948">IF(NOT(ISBLANK(X89)),IF(X89&lt;&gt;"",(IF(NOT(ISNUMBER(X89)),1,0)),0),0)</f>
        <v>0</v>
      </c>
      <c r="CB89" s="538">
        <f t="shared" ref="CB89" si="949">IF(NOT(ISBLANK(AA89)),IF(AA89&lt;&gt;"",(IF(NOT(ISNUMBER(AA89)),1,0)),0),0)</f>
        <v>0</v>
      </c>
      <c r="CC89" s="538">
        <f t="shared" ref="CC89" si="950">IF(NOT(ISBLANK(AD89)),IF(AD89&lt;&gt;"",(IF(NOT(ISNUMBER(AD89)),1,0)),0),0)</f>
        <v>0</v>
      </c>
      <c r="CD89" s="538">
        <f t="shared" ref="CD89" si="951">IF(NOT(ISBLANK(AG89)),IF(AG89&lt;&gt;"",(IF(NOT(ISNUMBER(AG89)),1,0)),0),0)</f>
        <v>0</v>
      </c>
      <c r="CE89" s="538">
        <f t="shared" ref="CE89" si="952">IF(NOT(ISBLANK(AJ89)),IF(AJ89&lt;&gt;"",(IF(NOT(ISNUMBER(AJ89)),1,0)),0),0)</f>
        <v>0</v>
      </c>
      <c r="CF89" s="538" t="str">
        <f t="shared" ref="CF89" ca="1" si="953">IF(SUM(BW89:CE90)=0, "Continue", "Enter valid number only.")</f>
        <v>Continue</v>
      </c>
      <c r="CG89" s="538" t="str">
        <f t="shared" ref="CG89" ca="1" si="954">IF(AND(CF89="Continue",BD89="Continue"),"Continue",IF(AND(CF89&lt;&gt;"Continue",BD89="Continue"),CF89,IF(AND(BD89&lt;&gt;"Continue",CF89="Continue"),BD89,CONCATENATE(CF89,CHAR(10)))))</f>
        <v>Continue</v>
      </c>
      <c r="CI89" s="314" t="str">
        <f>IFERROR(IF('Overview - Section A'!$AN$5="Funding Request",
IF(AND('Reference Records'!$B$427&lt;&gt;"",$L89 ='Reference Records'!$B$427),'Reference Records'!$C$427,""),
INDEX('Reference Records'!$A$498:$C$499,MATCH($L89,'Reference Records'!$A$498:$A$499,0),3)),"")</f>
        <v>a1A360000013M2uEAE</v>
      </c>
      <c r="CJ89" s="314" t="str">
        <f>IFERROR(INDEX('Overview - Section A'!$H$102:$H$118,MATCH(IF($B89="", "--select--", $B89),'Overview - Section A'!$C$102:$C$118,0)),"")</f>
        <v>a1PDm000000LrDHMA0</v>
      </c>
      <c r="CK89" s="310" t="str" cm="1">
        <f t="array" ref="CK89">IFERROR(IF($C89="", "", VLOOKUP(LEFT($C89,255),LEFT('Reference Records'!$C$88:$G$189,255),5,0)),"")</f>
        <v/>
      </c>
    </row>
    <row r="90" spans="1:89" ht="30" customHeight="1">
      <c r="A90" s="523"/>
      <c r="B90" s="529"/>
      <c r="C90" s="529"/>
      <c r="D90" s="529"/>
      <c r="E90" s="148">
        <v>3724</v>
      </c>
      <c r="F90" s="517"/>
      <c r="G90" s="544"/>
      <c r="H90" s="529"/>
      <c r="I90" s="546"/>
      <c r="J90" s="544"/>
      <c r="K90" s="529"/>
      <c r="L90" s="153" t="s">
        <v>651</v>
      </c>
      <c r="M90" s="548"/>
      <c r="N90" s="148"/>
      <c r="O90" s="525"/>
      <c r="P90" s="544"/>
      <c r="Q90" s="150"/>
      <c r="R90" s="525"/>
      <c r="S90" s="544"/>
      <c r="T90" s="150"/>
      <c r="U90" s="525"/>
      <c r="V90" s="544"/>
      <c r="W90" s="150"/>
      <c r="X90" s="525"/>
      <c r="Y90" s="544"/>
      <c r="Z90" s="150"/>
      <c r="AA90" s="525"/>
      <c r="AB90" s="544"/>
      <c r="AC90" s="150"/>
      <c r="AD90" s="525"/>
      <c r="AE90" s="544"/>
      <c r="AF90" s="150"/>
      <c r="AG90" s="550"/>
      <c r="AH90" s="544"/>
      <c r="AI90" s="150"/>
      <c r="AJ90" s="550"/>
      <c r="AK90" s="544"/>
      <c r="AL90" s="529"/>
      <c r="AM90" s="476"/>
      <c r="AX90" s="152"/>
      <c r="AZ90" s="551"/>
      <c r="BA90" s="540"/>
      <c r="BB90" s="542"/>
      <c r="BC90" s="508"/>
      <c r="BD90" s="508"/>
      <c r="BE90" s="146">
        <f t="shared" si="905"/>
        <v>0</v>
      </c>
      <c r="BF90" s="146">
        <f t="shared" si="906"/>
        <v>0</v>
      </c>
      <c r="BG90" s="146">
        <f t="shared" si="907"/>
        <v>0</v>
      </c>
      <c r="BH90" s="146">
        <f t="shared" si="908"/>
        <v>0</v>
      </c>
      <c r="BI90" s="146">
        <f t="shared" si="909"/>
        <v>0</v>
      </c>
      <c r="BJ90" s="146">
        <f t="shared" si="910"/>
        <v>0</v>
      </c>
      <c r="BK90" s="146">
        <f t="shared" si="911"/>
        <v>0</v>
      </c>
      <c r="BL90" s="146">
        <f t="shared" si="912"/>
        <v>0</v>
      </c>
      <c r="BM90" s="146">
        <f t="shared" si="913"/>
        <v>0</v>
      </c>
      <c r="BN90" s="467"/>
      <c r="BO90" s="467"/>
      <c r="BP90" s="467"/>
      <c r="BQ90" s="467"/>
      <c r="BR90" s="508"/>
      <c r="BS90" s="508"/>
      <c r="BT90" s="508"/>
      <c r="BU90" s="508"/>
      <c r="BV90" s="538"/>
      <c r="BW90" s="538"/>
      <c r="BX90" s="538"/>
      <c r="BY90" s="538"/>
      <c r="BZ90" s="538"/>
      <c r="CA90" s="538"/>
      <c r="CB90" s="538"/>
      <c r="CC90" s="538"/>
      <c r="CD90" s="538"/>
      <c r="CE90" s="538"/>
      <c r="CF90" s="538"/>
      <c r="CG90" s="538"/>
      <c r="CI90" s="314" t="str">
        <f>IFERROR(IF('Overview - Section A'!$AN$5="Funding Request",
IF(AND('Reference Records'!$B$427&lt;&gt;"",$L90 ='Reference Records'!$B$427),'Reference Records'!$C$427,""),
INDEX('Reference Records'!$A$498:$C$499,MATCH($L90,'Reference Records'!$A$498:$A$499,0),3)),"")</f>
        <v/>
      </c>
      <c r="CJ90" s="314" t="str">
        <f>IFERROR(INDEX('Overview - Section A'!$H$102:$H$118,MATCH(IF($B90="", "--select--", $B90),'Overview - Section A'!$C$102:$C$118,0)),"")</f>
        <v/>
      </c>
      <c r="CK90" s="310" t="str" cm="1">
        <f t="array" ref="CK90">IFERROR(IF($C90="", "", VLOOKUP(LEFT($C90,255),LEFT('Reference Records'!$C$88:$G$189,255),5,0)),"")</f>
        <v/>
      </c>
    </row>
    <row r="91" spans="1:89" ht="30" customHeight="1">
      <c r="A91" s="522">
        <v>42</v>
      </c>
      <c r="B91" s="528" t="s">
        <v>1509</v>
      </c>
      <c r="C91" s="528"/>
      <c r="D91" s="528" t="s">
        <v>2248</v>
      </c>
      <c r="E91" s="148">
        <v>1678</v>
      </c>
      <c r="F91" s="516">
        <f t="shared" ref="F91" ca="1" si="955">IF(OR(INDIRECT("'update Helper'!D"&amp;AT91)="",E91&lt;&gt;0,E92&lt;&gt;0),IF(IFERROR((E91/E92),"")="","",(E91/E92)),INDIRECT("'update Helper'!D"&amp;AT91)/100)</f>
        <v>0.81259079903147702</v>
      </c>
      <c r="G91" s="543">
        <v>2022</v>
      </c>
      <c r="H91" s="528" t="s">
        <v>2246</v>
      </c>
      <c r="I91" s="545" t="str">
        <f>AN91</f>
        <v/>
      </c>
      <c r="J91" s="543" t="s">
        <v>2212</v>
      </c>
      <c r="K91" s="528" t="s">
        <v>323</v>
      </c>
      <c r="L91" s="149" t="s">
        <v>781</v>
      </c>
      <c r="M91" s="547" t="s">
        <v>652</v>
      </c>
      <c r="N91" s="148"/>
      <c r="O91" s="524">
        <v>0.98</v>
      </c>
      <c r="P91" s="543"/>
      <c r="Q91" s="150"/>
      <c r="R91" s="524">
        <v>0.98</v>
      </c>
      <c r="S91" s="543"/>
      <c r="T91" s="150"/>
      <c r="U91" s="524">
        <v>0.98</v>
      </c>
      <c r="V91" s="543"/>
      <c r="W91" s="150"/>
      <c r="X91" s="524">
        <v>0.98</v>
      </c>
      <c r="Y91" s="543"/>
      <c r="Z91" s="150"/>
      <c r="AA91" s="524">
        <v>0.98</v>
      </c>
      <c r="AB91" s="543"/>
      <c r="AC91" s="150"/>
      <c r="AD91" s="524">
        <v>0.98</v>
      </c>
      <c r="AE91" s="543"/>
      <c r="AF91" s="150"/>
      <c r="AG91" s="549"/>
      <c r="AH91" s="543"/>
      <c r="AI91" s="150"/>
      <c r="AJ91" s="549"/>
      <c r="AK91" s="543"/>
      <c r="AL91" s="528" t="s">
        <v>2249</v>
      </c>
      <c r="AM91" s="476" t="str">
        <f>IFERROR(IF(VLOOKUP(B91,'Reference Records'!$C$192:$D$250,2,FALSE)=0,"",VLOOKUP(B91,'Reference Records'!$C$192:$D$250,2,FALSE)),"")</f>
        <v>MCI-01323</v>
      </c>
      <c r="AN91" s="48" t="str">
        <f t="array" ref="AN91">IFERROR(IF(INDEX('Reference Records'!$D$88:$D$189,MATCH(LEFT(C91,255),LEFT('Reference Records'!$C$88:$C$189,255),0))=0,"",INDEX('Reference Records'!$D$88:$D$189,MATCH(LEFT(C91,255),LEFT('Reference Records'!$C$88:$C$189,255),0))),"")</f>
        <v/>
      </c>
      <c r="AO91" s="48" t="str">
        <f>CONCATENATE(C91,D91)</f>
        <v>HPM Other- 3: Pourcentage des établissements de santé disposant de médicaments traceurs pour la tuberculose le jour de la visite ou du rapportage</v>
      </c>
      <c r="AP91" s="151" t="str">
        <f t="array" ref="AP91">VLOOKUP(LEFT(C91,255),LEFT('Reference Records'!C$87:G516,255),4,0)</f>
        <v/>
      </c>
      <c r="AQ91" s="151" t="e">
        <f>MATCH(AP91,'Reference Records'!$F$512:$F$514,0)+ROW(PopulationByCoverage)-1</f>
        <v>#N/A</v>
      </c>
      <c r="AR91" s="151" t="e">
        <f>MATCH(AP91,'Reference Records'!$F$512:$F$514,1)+ROW(PopulationByCoverage)-1</f>
        <v>#N/A</v>
      </c>
      <c r="AS91" s="48" t="str">
        <f>C91&amp;D91</f>
        <v>HPM Other- 3: Pourcentage des établissements de santé disposant de médicaments traceurs pour la tuberculose le jour de la visite ou du rapportage</v>
      </c>
      <c r="AT91" s="48">
        <f>AT65+1</f>
        <v>483</v>
      </c>
      <c r="AU91" s="48">
        <f ca="1">AU65+'update Helper'!$T$2</f>
        <v>725.69565217391175</v>
      </c>
      <c r="AV91" s="48" t="str">
        <f t="shared" ref="AV91" si="956">CLEAN(IFERROR(LEFT(AY91, SEARCH(";",AY91,1)-1),""))</f>
        <v/>
      </c>
      <c r="AW91" s="48" t="str">
        <f t="shared" ref="AW91" si="957">SUBSTITUTE(IFERROR(MID(AY91, SEARCH(";",AY91) + 1, SEARCH(";",AY91,SEARCH(";",AY91)+1) - SEARCH(";",AY91) - 1),""),CHAR(10),"")</f>
        <v/>
      </c>
      <c r="AX91" s="152" t="str">
        <f t="shared" ref="AX91" si="958">CLEAN(IFERROR(SUBSTITUTE(RIGHT(AY91,LEN(AY91) - SEARCH(";", AY91, SEARCH(";",AY91) + 1)),";",""),""))</f>
        <v/>
      </c>
      <c r="AY91" s="48" t="str">
        <f t="array" ref="AY91">IFERROR(IF(VLOOKUP(LEFT(C91,255),LEFT('Reference Records'!$C$1:$K$539,255),9,0)=0,"",CONCATENATE(VLOOKUP(LEFT(C91,255),LEFT('Reference Records'!$C$1:$K$539,255),9,0),";")),"")</f>
        <v>;</v>
      </c>
      <c r="AZ91" s="551" t="str">
        <f>IF($BV91="", "", IF($BV91=TRUE, "Yes", "No"))</f>
        <v/>
      </c>
      <c r="BA91" s="539" t="str">
        <f t="shared" ref="BA91" ca="1" si="959">IF($D91="", "",IF(IF(INDIRECT("'update Helper'!W"&amp;AT91)=0,"",INDIRECT("'update Helper'!W"&amp;AT91))=TRUE, "Yes","No"))</f>
        <v>No</v>
      </c>
      <c r="BB91" s="541" t="str">
        <f t="shared" ref="BB91" ca="1" si="960">IF(AND(BS91="Continue",BU91="Continue"),"No Error",IF(AND(BS91&lt;&gt;"Continue",BU91="Continue"),BS91,IF(AND(BU91&lt;&gt;"Continue",BS91="Continue"),BU91,CONCATENATE(BS91,CHAR(10),BU91))))</f>
        <v>No Error</v>
      </c>
      <c r="BC91" s="508" t="str" cm="1">
        <f t="array" ref="BC91">IF(ISBLANK(C91),"Continue",(IF(IFERROR(_xlfn.XMATCH(C91,LEFT('Reference Records'!$C$87:$C$189,32768),0),0)&lt;&gt;0,"Continue","Invalid indicator entry. Select from dropdown list.")))</f>
        <v>Continue</v>
      </c>
      <c r="BD91" s="508" t="str">
        <f t="shared" ref="BD91" si="961">IF(SUM(BE91:BM92)=0, "Continue", "Enter valid number only.")</f>
        <v>Continue</v>
      </c>
      <c r="BE91" s="146">
        <f t="shared" si="0"/>
        <v>0</v>
      </c>
      <c r="BF91" s="146">
        <f t="shared" si="1"/>
        <v>0</v>
      </c>
      <c r="BG91" s="146">
        <f t="shared" si="2"/>
        <v>0</v>
      </c>
      <c r="BH91" s="146">
        <f t="shared" si="3"/>
        <v>0</v>
      </c>
      <c r="BI91" s="146">
        <f t="shared" si="4"/>
        <v>0</v>
      </c>
      <c r="BJ91" s="146">
        <f t="shared" si="5"/>
        <v>0</v>
      </c>
      <c r="BK91" s="146">
        <f t="shared" si="6"/>
        <v>0</v>
      </c>
      <c r="BL91" s="146">
        <f t="shared" si="7"/>
        <v>0</v>
      </c>
      <c r="BM91" s="146">
        <f t="shared" si="8"/>
        <v>0</v>
      </c>
      <c r="BN91" s="467" t="str">
        <f>IF(NOT(ISBLANK(C91)),IF(C91&lt;&gt;"",IF(_xlfn.XLOOKUP(C91,'Reference Records'!$C$87:$C$189,'Reference Records'!$A$87:$A$189,0,0,1)=AM91,"Continue","Select correct module name."),"Continue"),"Continue")</f>
        <v>Continue</v>
      </c>
      <c r="BO91" s="467" t="str">
        <f t="shared" ref="BO91" ca="1" si="962">IF(AND(BC91="Continue",CG91="Continue"),"Continue",IF(AND(BC91&lt;&gt;"Continue",CG91="Continue"),BC91,IF(AND(CG91&lt;&gt;"Continue",BC91="Continue"),CG91,CONCATENATE(BC91,CHAR(10),CG91))))</f>
        <v>Continue</v>
      </c>
      <c r="BP91" s="467" t="str">
        <f t="shared" ref="BP91" ca="1" si="963">IF(AND((AZ91&lt;&gt;""),(BA91&lt;&gt;"")),"Reversed custom indicator selection not applicable. Value pre-populated in standard indicator column.","Continue")</f>
        <v>Continue</v>
      </c>
      <c r="BQ91" s="467" t="str">
        <f t="shared" ref="BQ91" ca="1" si="964">IF(AND(BN91="Continue",BO91="Continue"),"Continue",
IF(AND(BN91&lt;&gt;"Continue",BO91="Continue"),BN91,
IF(AND(BO91&lt;&gt;"Continue",BN91="Continue"),BO91,
CONCATENATE(BN91,CHAR(10),BO91))))</f>
        <v>Continue</v>
      </c>
      <c r="BR91" s="508" t="str" cm="1">
        <f t="array" ref="BR91">IF(ISBLANK(B91),"Continue",(IF(IFERROR(_xlfn.XMATCH(B91,LEFT('Reference Records'!$J$191:$J$250,32768),0),0)&lt;&gt;0,"Continue","Invalid module entry. Select from dropdown list.")))</f>
        <v>Continue</v>
      </c>
      <c r="BS91" s="508" t="str">
        <f t="shared" ref="BS91" ca="1" si="965">IF(AND(BP91="Continue",BQ91="Continue"),"Continue",IF(AND(BP91&lt;&gt;"Continue",BQ91="Continue"),BP91,IF(AND(BQ91&lt;&gt;"Continue",BP91="Continue"),BQ91,CONCATENATE(BP91,CHAR(10),BQ91))))</f>
        <v>Continue</v>
      </c>
      <c r="BT91" s="508" t="str">
        <f t="shared" ref="BT91" si="966">IF(AND(C91="",D91=""),"Continue",IF(AND(C91="",D91&lt;&gt;""),"Continue",IF(AND(C91&lt;&gt;"",D91=""),"Continue",IF(AND(C91&lt;&gt;"",D91&lt;&gt;""),"Cannot enter both standard and custom indicators on the same line."))))</f>
        <v>Continue</v>
      </c>
      <c r="BU91" s="508" t="str">
        <f t="shared" ref="BU91" si="967">IF(AND(BR91="Continue",BT91="Continue"),"Continue",IF(AND(BR91&lt;&gt;"Continue",BT91="Continue"),BR91,IF(AND(BT91&lt;&gt;"Continue",BR91="Continue"),BT91,CONCATENATE(BR91,CHAR(10),BT91))))</f>
        <v>Continue</v>
      </c>
      <c r="BV91" s="538" t="str">
        <f>IFERROR(INDEX('Reference Records'!$L$87:$L$189,MATCH($C91,'Reference Records'!$C$87:$C$189,0)),"")</f>
        <v/>
      </c>
      <c r="BW91" s="538">
        <f t="shared" ref="BW91" ca="1" si="968">IF(NOT(ISBLANK(F91)),IF(F91&lt;&gt;"",(IF(NOT(ISNUMBER(F91)),1,0)),0),0)</f>
        <v>0</v>
      </c>
      <c r="BX91" s="538">
        <f t="shared" ref="BX91" si="969">IF(NOT(ISBLANK(O91)),IF(O91&lt;&gt;"",(IF(NOT(ISNUMBER(O91)),1,0)),0),0)</f>
        <v>0</v>
      </c>
      <c r="BY91" s="538">
        <f t="shared" ref="BY91" si="970">IF(NOT(ISBLANK(R91)),IF(R91&lt;&gt;"",(IF(NOT(ISNUMBER(R91)),1,0)),0),0)</f>
        <v>0</v>
      </c>
      <c r="BZ91" s="538">
        <f t="shared" ref="BZ91" si="971">IF(NOT(ISBLANK(U91)),IF(U91&lt;&gt;"",(IF(NOT(ISNUMBER(U91)),1,0)),0),0)</f>
        <v>0</v>
      </c>
      <c r="CA91" s="538">
        <f t="shared" ref="CA91" si="972">IF(NOT(ISBLANK(X91)),IF(X91&lt;&gt;"",(IF(NOT(ISNUMBER(X91)),1,0)),0),0)</f>
        <v>0</v>
      </c>
      <c r="CB91" s="538">
        <f t="shared" ref="CB91" si="973">IF(NOT(ISBLANK(AA91)),IF(AA91&lt;&gt;"",(IF(NOT(ISNUMBER(AA91)),1,0)),0),0)</f>
        <v>0</v>
      </c>
      <c r="CC91" s="538">
        <f t="shared" ref="CC91" si="974">IF(NOT(ISBLANK(AD91)),IF(AD91&lt;&gt;"",(IF(NOT(ISNUMBER(AD91)),1,0)),0),0)</f>
        <v>0</v>
      </c>
      <c r="CD91" s="538">
        <f t="shared" ref="CD91" si="975">IF(NOT(ISBLANK(AG91)),IF(AG91&lt;&gt;"",(IF(NOT(ISNUMBER(AG91)),1,0)),0),0)</f>
        <v>0</v>
      </c>
      <c r="CE91" s="538">
        <f t="shared" ref="CE91" si="976">IF(NOT(ISBLANK(AJ91)),IF(AJ91&lt;&gt;"",(IF(NOT(ISNUMBER(AJ91)),1,0)),0),0)</f>
        <v>0</v>
      </c>
      <c r="CF91" s="538" t="str">
        <f t="shared" ref="CF91" ca="1" si="977">IF(SUM(BW91:CE92)=0, "Continue", "Enter valid number only.")</f>
        <v>Continue</v>
      </c>
      <c r="CG91" s="538" t="str">
        <f t="shared" ref="CG91" ca="1" si="978">IF(AND(CF91="Continue",BD91="Continue"),"Continue",IF(AND(CF91&lt;&gt;"Continue",BD91="Continue"),CF91,IF(AND(BD91&lt;&gt;"Continue",CF91="Continue"),BD91,CONCATENATE(CF91,CHAR(10)))))</f>
        <v>Continue</v>
      </c>
      <c r="CI91" s="314" t="str">
        <f>IFERROR(IF('Overview - Section A'!$AN$5="Funding Request",
IF(AND('Reference Records'!$B$427&lt;&gt;"",$L91 ='Reference Records'!$B$427),'Reference Records'!$C$427,""),
INDEX('Reference Records'!$A$498:$C$499,MATCH($L91,'Reference Records'!$A$498:$A$499,0),3)),"")</f>
        <v>a1A360000013M2uEAE</v>
      </c>
      <c r="CJ91" s="314" t="str">
        <f>IFERROR(INDEX('Overview - Section A'!$H$102:$H$118,MATCH(IF($B91="", "--select--", $B91),'Overview - Section A'!$C$102:$C$118,0)),"")</f>
        <v>a1PDm000000LrDHMA0</v>
      </c>
      <c r="CK91" s="310" t="str" cm="1">
        <f t="array" ref="CK91">IFERROR(IF($C91="", "", VLOOKUP(LEFT($C91,255),LEFT('Reference Records'!$C$88:$G$189,255),5,0)),"")</f>
        <v/>
      </c>
    </row>
    <row r="92" spans="1:89" ht="30" customHeight="1">
      <c r="A92" s="523"/>
      <c r="B92" s="529"/>
      <c r="C92" s="529"/>
      <c r="D92" s="529"/>
      <c r="E92" s="148">
        <v>2065</v>
      </c>
      <c r="F92" s="517"/>
      <c r="G92" s="544"/>
      <c r="H92" s="529"/>
      <c r="I92" s="546"/>
      <c r="J92" s="544"/>
      <c r="K92" s="529"/>
      <c r="L92" s="153" t="s">
        <v>651</v>
      </c>
      <c r="M92" s="548"/>
      <c r="N92" s="148"/>
      <c r="O92" s="525"/>
      <c r="P92" s="544"/>
      <c r="Q92" s="150"/>
      <c r="R92" s="525"/>
      <c r="S92" s="544"/>
      <c r="T92" s="150"/>
      <c r="U92" s="525"/>
      <c r="V92" s="544"/>
      <c r="W92" s="150"/>
      <c r="X92" s="525"/>
      <c r="Y92" s="544"/>
      <c r="Z92" s="150"/>
      <c r="AA92" s="525"/>
      <c r="AB92" s="544"/>
      <c r="AC92" s="150"/>
      <c r="AD92" s="525"/>
      <c r="AE92" s="544"/>
      <c r="AF92" s="150"/>
      <c r="AG92" s="550"/>
      <c r="AH92" s="544"/>
      <c r="AI92" s="150"/>
      <c r="AJ92" s="550"/>
      <c r="AK92" s="544"/>
      <c r="AL92" s="529"/>
      <c r="AM92" s="476"/>
      <c r="AX92" s="152"/>
      <c r="AZ92" s="551"/>
      <c r="BA92" s="540"/>
      <c r="BB92" s="542"/>
      <c r="BC92" s="508"/>
      <c r="BD92" s="508"/>
      <c r="BE92" s="146">
        <f t="shared" si="0"/>
        <v>0</v>
      </c>
      <c r="BF92" s="146">
        <f t="shared" si="1"/>
        <v>0</v>
      </c>
      <c r="BG92" s="146">
        <f t="shared" si="2"/>
        <v>0</v>
      </c>
      <c r="BH92" s="146">
        <f t="shared" si="3"/>
        <v>0</v>
      </c>
      <c r="BI92" s="146">
        <f t="shared" si="4"/>
        <v>0</v>
      </c>
      <c r="BJ92" s="146">
        <f t="shared" si="5"/>
        <v>0</v>
      </c>
      <c r="BK92" s="146">
        <f t="shared" si="6"/>
        <v>0</v>
      </c>
      <c r="BL92" s="146">
        <f t="shared" si="7"/>
        <v>0</v>
      </c>
      <c r="BM92" s="146">
        <f t="shared" si="8"/>
        <v>0</v>
      </c>
      <c r="BN92" s="467"/>
      <c r="BO92" s="467"/>
      <c r="BP92" s="467"/>
      <c r="BQ92" s="467"/>
      <c r="BR92" s="508"/>
      <c r="BS92" s="508"/>
      <c r="BT92" s="508"/>
      <c r="BU92" s="508"/>
      <c r="BV92" s="538"/>
      <c r="BW92" s="538"/>
      <c r="BX92" s="538"/>
      <c r="BY92" s="538"/>
      <c r="BZ92" s="538"/>
      <c r="CA92" s="538"/>
      <c r="CB92" s="538"/>
      <c r="CC92" s="538"/>
      <c r="CD92" s="538"/>
      <c r="CE92" s="538"/>
      <c r="CF92" s="538"/>
      <c r="CG92" s="538"/>
      <c r="CI92" s="314" t="str">
        <f>IFERROR(IF('Overview - Section A'!$AN$5="Funding Request",
IF(AND('Reference Records'!$B$427&lt;&gt;"",$L92 ='Reference Records'!$B$427),'Reference Records'!$C$427,""),
INDEX('Reference Records'!$A$498:$C$499,MATCH($L92,'Reference Records'!$A$498:$A$499,0),3)),"")</f>
        <v/>
      </c>
      <c r="CJ92" s="314" t="str">
        <f>IFERROR(INDEX('Overview - Section A'!$H$102:$H$118,MATCH(IF($B92="", "--select--", $B92),'Overview - Section A'!$C$102:$C$118,0)),"")</f>
        <v/>
      </c>
      <c r="CK92" s="310" t="str" cm="1">
        <f t="array" ref="CK92">IFERROR(IF($C92="", "", VLOOKUP(LEFT($C92,255),LEFT('Reference Records'!$C$88:$G$189,255),5,0)),"")</f>
        <v/>
      </c>
    </row>
    <row r="93" spans="1:89" ht="30" customHeight="1">
      <c r="AD93" s="476"/>
    </row>
    <row r="94" spans="1:89" ht="30" customHeight="1">
      <c r="AD94" s="476"/>
    </row>
    <row r="95" spans="1:89" ht="30" customHeight="1">
      <c r="AD95" s="476"/>
    </row>
    <row r="96" spans="1:89" ht="30" customHeight="1">
      <c r="AD96" s="476"/>
    </row>
    <row r="97" spans="30:30" ht="30" customHeight="1">
      <c r="AD97" s="476"/>
    </row>
    <row r="98" spans="30:30" ht="30" customHeight="1">
      <c r="AD98" s="476"/>
    </row>
    <row r="99" spans="30:30" ht="30" customHeight="1">
      <c r="AD99" s="476"/>
    </row>
    <row r="100" spans="30:30" ht="30" customHeight="1">
      <c r="AD100" s="476"/>
    </row>
    <row r="101" spans="30:30" ht="30" customHeight="1">
      <c r="AD101" s="476"/>
    </row>
    <row r="102" spans="30:30" ht="30" customHeight="1">
      <c r="AD102" s="476"/>
    </row>
    <row r="103" spans="30:30" ht="30" customHeight="1">
      <c r="AD103" s="476"/>
    </row>
    <row r="104" spans="30:30" ht="30" customHeight="1">
      <c r="AD104" s="476"/>
    </row>
    <row r="105" spans="30:30" ht="30" customHeight="1">
      <c r="AD105" s="476"/>
    </row>
    <row r="106" spans="30:30" ht="30" customHeight="1">
      <c r="AD106" s="476"/>
    </row>
    <row r="107" spans="30:30" ht="30" customHeight="1">
      <c r="AD107" s="476"/>
    </row>
    <row r="108" spans="30:30" ht="30" customHeight="1">
      <c r="AD108" s="476"/>
    </row>
    <row r="109" spans="30:30" ht="30" customHeight="1">
      <c r="AD109" s="476"/>
    </row>
    <row r="110" spans="30:30" ht="30" customHeight="1">
      <c r="AD110" s="476"/>
    </row>
    <row r="111" spans="30:30" ht="30" customHeight="1">
      <c r="AD111" s="476"/>
    </row>
    <row r="112" spans="30:30" ht="30" customHeight="1">
      <c r="AD112" s="476"/>
    </row>
    <row r="113" spans="30:30" ht="30" customHeight="1">
      <c r="AD113" s="476"/>
    </row>
    <row r="114" spans="30:30" ht="30" customHeight="1">
      <c r="AD114" s="476"/>
    </row>
    <row r="115" spans="30:30" ht="30" customHeight="1">
      <c r="AD115" s="476"/>
    </row>
    <row r="116" spans="30:30" ht="30" customHeight="1">
      <c r="AD116" s="476"/>
    </row>
    <row r="117" spans="30:30" ht="30" customHeight="1">
      <c r="AD117" s="476"/>
    </row>
    <row r="118" spans="30:30" ht="30" customHeight="1">
      <c r="AD118" s="476"/>
    </row>
    <row r="119" spans="30:30" ht="30" customHeight="1">
      <c r="AD119" s="476"/>
    </row>
    <row r="120" spans="30:30" ht="30" customHeight="1">
      <c r="AD120" s="476"/>
    </row>
    <row r="121" spans="30:30" ht="30" customHeight="1">
      <c r="AD121" s="476"/>
    </row>
    <row r="122" spans="30:30" ht="30" customHeight="1">
      <c r="AD122" s="476"/>
    </row>
    <row r="123" spans="30:30" ht="30" customHeight="1">
      <c r="AD123" s="476"/>
    </row>
    <row r="124" spans="30:30" ht="30" customHeight="1">
      <c r="AD124" s="476"/>
    </row>
    <row r="125" spans="30:30">
      <c r="AD125" s="476"/>
    </row>
    <row r="126" spans="30:30">
      <c r="AD126" s="476"/>
    </row>
  </sheetData>
  <sheetProtection algorithmName="SHA-512" hashValue="gYaS5C2b72GmVaxZuX0w9bsraUUVqnR/31qkn6e30FcLP9yJHmE8C22NfwQ4o4pW0Z9VTQB5TWozDW1uqThhYw==" saltValue="aDAkl1IRlxjehzDNFBlRow==" spinCount="100000" sheet="1" objects="1" scenarios="1" formatCells="0" formatColumns="0" formatRows="0"/>
  <mergeCells count="2295">
    <mergeCell ref="CG51:CG52"/>
    <mergeCell ref="CG53:CG54"/>
    <mergeCell ref="CG55:CG56"/>
    <mergeCell ref="CG57:CG58"/>
    <mergeCell ref="CG59:CG60"/>
    <mergeCell ref="CG61:CG62"/>
    <mergeCell ref="CG63:CG64"/>
    <mergeCell ref="CG65:CG66"/>
    <mergeCell ref="CG91:CG92"/>
    <mergeCell ref="CG17:CG18"/>
    <mergeCell ref="CG19:CG20"/>
    <mergeCell ref="CG21:CG22"/>
    <mergeCell ref="CG23:CG24"/>
    <mergeCell ref="CG25:CG26"/>
    <mergeCell ref="CG27:CG28"/>
    <mergeCell ref="CG29:CG30"/>
    <mergeCell ref="CG31:CG32"/>
    <mergeCell ref="CG33:CG34"/>
    <mergeCell ref="CG35:CG36"/>
    <mergeCell ref="CG37:CG38"/>
    <mergeCell ref="CG39:CG40"/>
    <mergeCell ref="CG41:CG42"/>
    <mergeCell ref="CG43:CG44"/>
    <mergeCell ref="CG45:CG46"/>
    <mergeCell ref="CG47:CG48"/>
    <mergeCell ref="CG49:CG50"/>
    <mergeCell ref="CE63:CE64"/>
    <mergeCell ref="CE65:CE66"/>
    <mergeCell ref="CE91:CE92"/>
    <mergeCell ref="CF11:CF12"/>
    <mergeCell ref="CF13:CF14"/>
    <mergeCell ref="CF15:CF16"/>
    <mergeCell ref="CF17:CF18"/>
    <mergeCell ref="CF19:CF20"/>
    <mergeCell ref="CF21:CF22"/>
    <mergeCell ref="CF23:CF24"/>
    <mergeCell ref="CF25:CF26"/>
    <mergeCell ref="CF27:CF28"/>
    <mergeCell ref="CF29:CF30"/>
    <mergeCell ref="CF31:CF32"/>
    <mergeCell ref="CF33:CF34"/>
    <mergeCell ref="CF35:CF36"/>
    <mergeCell ref="CF37:CF38"/>
    <mergeCell ref="CF39:CF40"/>
    <mergeCell ref="CF41:CF42"/>
    <mergeCell ref="CF43:CF44"/>
    <mergeCell ref="CF45:CF46"/>
    <mergeCell ref="CF47:CF48"/>
    <mergeCell ref="CF49:CF50"/>
    <mergeCell ref="CF51:CF52"/>
    <mergeCell ref="CF53:CF54"/>
    <mergeCell ref="CF55:CF56"/>
    <mergeCell ref="CF57:CF58"/>
    <mergeCell ref="CF59:CF60"/>
    <mergeCell ref="CF61:CF62"/>
    <mergeCell ref="CF63:CF64"/>
    <mergeCell ref="CF65:CF66"/>
    <mergeCell ref="CF91:CF92"/>
    <mergeCell ref="CD57:CD58"/>
    <mergeCell ref="CD59:CD60"/>
    <mergeCell ref="CD61:CD62"/>
    <mergeCell ref="CD63:CD64"/>
    <mergeCell ref="CD65:CD66"/>
    <mergeCell ref="CD91:CD92"/>
    <mergeCell ref="CE11:CE12"/>
    <mergeCell ref="CE13:CE14"/>
    <mergeCell ref="CE15:CE16"/>
    <mergeCell ref="CE17:CE18"/>
    <mergeCell ref="CE19:CE20"/>
    <mergeCell ref="CE21:CE22"/>
    <mergeCell ref="CE23:CE24"/>
    <mergeCell ref="CE25:CE26"/>
    <mergeCell ref="CE27:CE28"/>
    <mergeCell ref="CE29:CE30"/>
    <mergeCell ref="CE31:CE32"/>
    <mergeCell ref="CE33:CE34"/>
    <mergeCell ref="CE35:CE36"/>
    <mergeCell ref="CE37:CE38"/>
    <mergeCell ref="CE39:CE40"/>
    <mergeCell ref="CE41:CE42"/>
    <mergeCell ref="CE43:CE44"/>
    <mergeCell ref="CE45:CE46"/>
    <mergeCell ref="CE47:CE48"/>
    <mergeCell ref="CE49:CE50"/>
    <mergeCell ref="CE51:CE52"/>
    <mergeCell ref="CE53:CE54"/>
    <mergeCell ref="CE55:CE56"/>
    <mergeCell ref="CE57:CE58"/>
    <mergeCell ref="CE59:CE60"/>
    <mergeCell ref="CE61:CE62"/>
    <mergeCell ref="CD23:CD24"/>
    <mergeCell ref="CD25:CD26"/>
    <mergeCell ref="CD27:CD28"/>
    <mergeCell ref="CD29:CD30"/>
    <mergeCell ref="CD31:CD32"/>
    <mergeCell ref="CD33:CD34"/>
    <mergeCell ref="CD35:CD36"/>
    <mergeCell ref="CD37:CD38"/>
    <mergeCell ref="CD39:CD40"/>
    <mergeCell ref="CD41:CD42"/>
    <mergeCell ref="CD43:CD44"/>
    <mergeCell ref="CD45:CD46"/>
    <mergeCell ref="CD47:CD48"/>
    <mergeCell ref="CD49:CD50"/>
    <mergeCell ref="CD51:CD52"/>
    <mergeCell ref="CD53:CD54"/>
    <mergeCell ref="CD55:CD56"/>
    <mergeCell ref="CB63:CB64"/>
    <mergeCell ref="CB65:CB66"/>
    <mergeCell ref="CB91:CB92"/>
    <mergeCell ref="CC11:CC12"/>
    <mergeCell ref="CC13:CC14"/>
    <mergeCell ref="CC15:CC16"/>
    <mergeCell ref="CC17:CC18"/>
    <mergeCell ref="CC19:CC20"/>
    <mergeCell ref="CC21:CC22"/>
    <mergeCell ref="CC23:CC24"/>
    <mergeCell ref="CC25:CC26"/>
    <mergeCell ref="CC27:CC28"/>
    <mergeCell ref="CC29:CC30"/>
    <mergeCell ref="CC31:CC32"/>
    <mergeCell ref="CC33:CC34"/>
    <mergeCell ref="CC35:CC36"/>
    <mergeCell ref="CC37:CC38"/>
    <mergeCell ref="CC39:CC40"/>
    <mergeCell ref="CC41:CC42"/>
    <mergeCell ref="CC43:CC44"/>
    <mergeCell ref="CC45:CC46"/>
    <mergeCell ref="CC47:CC48"/>
    <mergeCell ref="CC49:CC50"/>
    <mergeCell ref="CC51:CC52"/>
    <mergeCell ref="CC53:CC54"/>
    <mergeCell ref="CC55:CC56"/>
    <mergeCell ref="CC57:CC58"/>
    <mergeCell ref="CC59:CC60"/>
    <mergeCell ref="CC61:CC62"/>
    <mergeCell ref="CC63:CC64"/>
    <mergeCell ref="CC65:CC66"/>
    <mergeCell ref="CC91:CC92"/>
    <mergeCell ref="CA57:CA58"/>
    <mergeCell ref="CA59:CA60"/>
    <mergeCell ref="CA61:CA62"/>
    <mergeCell ref="CA63:CA64"/>
    <mergeCell ref="CA65:CA66"/>
    <mergeCell ref="CA91:CA92"/>
    <mergeCell ref="CB11:CB12"/>
    <mergeCell ref="CB13:CB14"/>
    <mergeCell ref="CB15:CB16"/>
    <mergeCell ref="CB17:CB18"/>
    <mergeCell ref="CB19:CB20"/>
    <mergeCell ref="CB21:CB22"/>
    <mergeCell ref="CB23:CB24"/>
    <mergeCell ref="CB25:CB26"/>
    <mergeCell ref="CB27:CB28"/>
    <mergeCell ref="CB29:CB30"/>
    <mergeCell ref="CB31:CB32"/>
    <mergeCell ref="CB33:CB34"/>
    <mergeCell ref="CB35:CB36"/>
    <mergeCell ref="CB37:CB38"/>
    <mergeCell ref="CB39:CB40"/>
    <mergeCell ref="CB41:CB42"/>
    <mergeCell ref="CB43:CB44"/>
    <mergeCell ref="CB45:CB46"/>
    <mergeCell ref="CB47:CB48"/>
    <mergeCell ref="CB49:CB50"/>
    <mergeCell ref="CB51:CB52"/>
    <mergeCell ref="CB53:CB54"/>
    <mergeCell ref="CB55:CB56"/>
    <mergeCell ref="CB57:CB58"/>
    <mergeCell ref="CB59:CB60"/>
    <mergeCell ref="CB61:CB62"/>
    <mergeCell ref="CA23:CA24"/>
    <mergeCell ref="CA25:CA26"/>
    <mergeCell ref="CA27:CA28"/>
    <mergeCell ref="CA29:CA30"/>
    <mergeCell ref="CA31:CA32"/>
    <mergeCell ref="CA33:CA34"/>
    <mergeCell ref="CA35:CA36"/>
    <mergeCell ref="CA37:CA38"/>
    <mergeCell ref="CA39:CA40"/>
    <mergeCell ref="CA41:CA42"/>
    <mergeCell ref="CA43:CA44"/>
    <mergeCell ref="CA45:CA46"/>
    <mergeCell ref="CA47:CA48"/>
    <mergeCell ref="CA49:CA50"/>
    <mergeCell ref="CA51:CA52"/>
    <mergeCell ref="CA53:CA54"/>
    <mergeCell ref="CA55:CA56"/>
    <mergeCell ref="BY63:BY64"/>
    <mergeCell ref="BY65:BY66"/>
    <mergeCell ref="BY91:BY92"/>
    <mergeCell ref="BZ11:BZ12"/>
    <mergeCell ref="BZ13:BZ14"/>
    <mergeCell ref="BZ15:BZ16"/>
    <mergeCell ref="BZ17:BZ18"/>
    <mergeCell ref="BZ19:BZ20"/>
    <mergeCell ref="BZ21:BZ22"/>
    <mergeCell ref="BZ23:BZ24"/>
    <mergeCell ref="BZ25:BZ26"/>
    <mergeCell ref="BZ27:BZ28"/>
    <mergeCell ref="BZ29:BZ30"/>
    <mergeCell ref="BZ31:BZ32"/>
    <mergeCell ref="BZ33:BZ34"/>
    <mergeCell ref="BZ35:BZ36"/>
    <mergeCell ref="BZ37:BZ38"/>
    <mergeCell ref="BZ39:BZ40"/>
    <mergeCell ref="BZ41:BZ42"/>
    <mergeCell ref="BZ43:BZ44"/>
    <mergeCell ref="BZ45:BZ46"/>
    <mergeCell ref="BZ47:BZ48"/>
    <mergeCell ref="BZ49:BZ50"/>
    <mergeCell ref="BZ51:BZ52"/>
    <mergeCell ref="BZ53:BZ54"/>
    <mergeCell ref="BZ55:BZ56"/>
    <mergeCell ref="BZ57:BZ58"/>
    <mergeCell ref="BZ59:BZ60"/>
    <mergeCell ref="BZ61:BZ62"/>
    <mergeCell ref="BZ63:BZ64"/>
    <mergeCell ref="BZ65:BZ66"/>
    <mergeCell ref="BZ91:BZ92"/>
    <mergeCell ref="BX57:BX58"/>
    <mergeCell ref="BX59:BX60"/>
    <mergeCell ref="BX61:BX62"/>
    <mergeCell ref="BX63:BX64"/>
    <mergeCell ref="BX65:BX66"/>
    <mergeCell ref="BX91:BX92"/>
    <mergeCell ref="BY11:BY12"/>
    <mergeCell ref="BY13:BY14"/>
    <mergeCell ref="BY15:BY16"/>
    <mergeCell ref="BY17:BY18"/>
    <mergeCell ref="BY19:BY20"/>
    <mergeCell ref="BY21:BY22"/>
    <mergeCell ref="BY23:BY24"/>
    <mergeCell ref="BY25:BY26"/>
    <mergeCell ref="BY27:BY28"/>
    <mergeCell ref="BY29:BY30"/>
    <mergeCell ref="BY31:BY32"/>
    <mergeCell ref="BY33:BY34"/>
    <mergeCell ref="BY35:BY36"/>
    <mergeCell ref="BY37:BY38"/>
    <mergeCell ref="BY39:BY40"/>
    <mergeCell ref="BY41:BY42"/>
    <mergeCell ref="BY43:BY44"/>
    <mergeCell ref="BY45:BY46"/>
    <mergeCell ref="BY47:BY48"/>
    <mergeCell ref="BY49:BY50"/>
    <mergeCell ref="BY51:BY52"/>
    <mergeCell ref="BY53:BY54"/>
    <mergeCell ref="BY55:BY56"/>
    <mergeCell ref="BY57:BY58"/>
    <mergeCell ref="BY59:BY60"/>
    <mergeCell ref="BY61:BY62"/>
    <mergeCell ref="BX23:BX24"/>
    <mergeCell ref="BX25:BX26"/>
    <mergeCell ref="BX27:BX28"/>
    <mergeCell ref="BX29:BX30"/>
    <mergeCell ref="BX31:BX32"/>
    <mergeCell ref="BX33:BX34"/>
    <mergeCell ref="BX35:BX36"/>
    <mergeCell ref="BX37:BX38"/>
    <mergeCell ref="BX39:BX40"/>
    <mergeCell ref="BX41:BX42"/>
    <mergeCell ref="BX43:BX44"/>
    <mergeCell ref="BX45:BX46"/>
    <mergeCell ref="BX47:BX48"/>
    <mergeCell ref="BX49:BX50"/>
    <mergeCell ref="BX51:BX52"/>
    <mergeCell ref="BX53:BX54"/>
    <mergeCell ref="BX55:BX56"/>
    <mergeCell ref="BX9:BX10"/>
    <mergeCell ref="BY9:BY10"/>
    <mergeCell ref="BZ9:BZ10"/>
    <mergeCell ref="CA9:CA10"/>
    <mergeCell ref="CB9:CB10"/>
    <mergeCell ref="CC9:CC10"/>
    <mergeCell ref="CD9:CD10"/>
    <mergeCell ref="CE9:CE10"/>
    <mergeCell ref="CF9:CF10"/>
    <mergeCell ref="CG9:CG10"/>
    <mergeCell ref="BX11:BX12"/>
    <mergeCell ref="BX13:BX14"/>
    <mergeCell ref="BX15:BX16"/>
    <mergeCell ref="BX17:BX18"/>
    <mergeCell ref="BX19:BX20"/>
    <mergeCell ref="BX21:BX22"/>
    <mergeCell ref="CA11:CA12"/>
    <mergeCell ref="CA13:CA14"/>
    <mergeCell ref="CA15:CA16"/>
    <mergeCell ref="CA17:CA18"/>
    <mergeCell ref="CA19:CA20"/>
    <mergeCell ref="CA21:CA22"/>
    <mergeCell ref="CD11:CD12"/>
    <mergeCell ref="CD13:CD14"/>
    <mergeCell ref="CD15:CD16"/>
    <mergeCell ref="CD17:CD18"/>
    <mergeCell ref="CD19:CD20"/>
    <mergeCell ref="CD21:CD22"/>
    <mergeCell ref="CG11:CG12"/>
    <mergeCell ref="CG13:CG14"/>
    <mergeCell ref="CG15:CG16"/>
    <mergeCell ref="BU57:BU58"/>
    <mergeCell ref="BU59:BU60"/>
    <mergeCell ref="BU61:BU62"/>
    <mergeCell ref="BU63:BU64"/>
    <mergeCell ref="BU65:BU66"/>
    <mergeCell ref="BU91:BU92"/>
    <mergeCell ref="BT51:BT52"/>
    <mergeCell ref="BT53:BT54"/>
    <mergeCell ref="BT55:BT56"/>
    <mergeCell ref="BT57:BT58"/>
    <mergeCell ref="BT59:BT60"/>
    <mergeCell ref="BT61:BT62"/>
    <mergeCell ref="BT63:BT64"/>
    <mergeCell ref="BT65:BT66"/>
    <mergeCell ref="BT91:BT92"/>
    <mergeCell ref="BU11:BU12"/>
    <mergeCell ref="BU13:BU14"/>
    <mergeCell ref="BU15:BU16"/>
    <mergeCell ref="BU17:BU18"/>
    <mergeCell ref="BU19:BU20"/>
    <mergeCell ref="BU21:BU22"/>
    <mergeCell ref="BU23:BU24"/>
    <mergeCell ref="BU25:BU26"/>
    <mergeCell ref="BU27:BU28"/>
    <mergeCell ref="BU29:BU30"/>
    <mergeCell ref="BU31:BU32"/>
    <mergeCell ref="BU33:BU34"/>
    <mergeCell ref="BU35:BU36"/>
    <mergeCell ref="BU37:BU38"/>
    <mergeCell ref="BU39:BU40"/>
    <mergeCell ref="BU41:BU42"/>
    <mergeCell ref="BU43:BU44"/>
    <mergeCell ref="BU45:BU46"/>
    <mergeCell ref="BU47:BU48"/>
    <mergeCell ref="BU49:BU50"/>
    <mergeCell ref="BU51:BU52"/>
    <mergeCell ref="BU53:BU54"/>
    <mergeCell ref="BU55:BU56"/>
    <mergeCell ref="BT17:BT18"/>
    <mergeCell ref="BT19:BT20"/>
    <mergeCell ref="BT21:BT22"/>
    <mergeCell ref="BT23:BT24"/>
    <mergeCell ref="BT25:BT26"/>
    <mergeCell ref="BT27:BT28"/>
    <mergeCell ref="BT29:BT30"/>
    <mergeCell ref="BT31:BT32"/>
    <mergeCell ref="BT33:BT34"/>
    <mergeCell ref="BT35:BT36"/>
    <mergeCell ref="BT37:BT38"/>
    <mergeCell ref="BT39:BT40"/>
    <mergeCell ref="BT41:BT42"/>
    <mergeCell ref="BT43:BT44"/>
    <mergeCell ref="BT45:BT46"/>
    <mergeCell ref="BT47:BT48"/>
    <mergeCell ref="BT49:BT50"/>
    <mergeCell ref="BS35:BS36"/>
    <mergeCell ref="BS37:BS38"/>
    <mergeCell ref="BS39:BS40"/>
    <mergeCell ref="BS41:BS42"/>
    <mergeCell ref="BS43:BS44"/>
    <mergeCell ref="BS45:BS46"/>
    <mergeCell ref="BS47:BS48"/>
    <mergeCell ref="BS49:BS50"/>
    <mergeCell ref="BS51:BS52"/>
    <mergeCell ref="BS53:BS54"/>
    <mergeCell ref="BS55:BS56"/>
    <mergeCell ref="BS57:BS58"/>
    <mergeCell ref="BS59:BS60"/>
    <mergeCell ref="BS61:BS62"/>
    <mergeCell ref="BS63:BS64"/>
    <mergeCell ref="BS65:BS66"/>
    <mergeCell ref="BS91:BS92"/>
    <mergeCell ref="BS85:BS86"/>
    <mergeCell ref="BR35:BR36"/>
    <mergeCell ref="BR37:BR38"/>
    <mergeCell ref="BR39:BR40"/>
    <mergeCell ref="BR41:BR42"/>
    <mergeCell ref="BR43:BR44"/>
    <mergeCell ref="BR45:BR46"/>
    <mergeCell ref="BR47:BR48"/>
    <mergeCell ref="BR49:BR50"/>
    <mergeCell ref="BR51:BR52"/>
    <mergeCell ref="BR53:BR54"/>
    <mergeCell ref="BR55:BR56"/>
    <mergeCell ref="BR57:BR58"/>
    <mergeCell ref="BR59:BR60"/>
    <mergeCell ref="BR61:BR62"/>
    <mergeCell ref="BR63:BR64"/>
    <mergeCell ref="BR65:BR66"/>
    <mergeCell ref="BR91:BR92"/>
    <mergeCell ref="BR85:BR86"/>
    <mergeCell ref="BR9:BR10"/>
    <mergeCell ref="BS9:BS10"/>
    <mergeCell ref="BT9:BT10"/>
    <mergeCell ref="BU9:BU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S11:BS12"/>
    <mergeCell ref="BS13:BS14"/>
    <mergeCell ref="BS15:BS16"/>
    <mergeCell ref="BS17:BS18"/>
    <mergeCell ref="BS19:BS20"/>
    <mergeCell ref="BS21:BS22"/>
    <mergeCell ref="BS23:BS24"/>
    <mergeCell ref="BS25:BS26"/>
    <mergeCell ref="BS27:BS28"/>
    <mergeCell ref="BS29:BS30"/>
    <mergeCell ref="BS31:BS32"/>
    <mergeCell ref="BS33:BS34"/>
    <mergeCell ref="BT11:BT12"/>
    <mergeCell ref="BT13:BT14"/>
    <mergeCell ref="BT15:BT16"/>
    <mergeCell ref="BP59:BP60"/>
    <mergeCell ref="BP61:BP62"/>
    <mergeCell ref="BP63:BP64"/>
    <mergeCell ref="BP65:BP66"/>
    <mergeCell ref="BP91:BP92"/>
    <mergeCell ref="BQ41:BQ42"/>
    <mergeCell ref="BQ43:BQ44"/>
    <mergeCell ref="BQ45:BQ46"/>
    <mergeCell ref="BQ47:BQ48"/>
    <mergeCell ref="BQ49:BQ50"/>
    <mergeCell ref="BQ51:BQ52"/>
    <mergeCell ref="BQ53:BQ54"/>
    <mergeCell ref="BQ55:BQ56"/>
    <mergeCell ref="BQ57:BQ58"/>
    <mergeCell ref="BQ59:BQ60"/>
    <mergeCell ref="BQ61:BQ62"/>
    <mergeCell ref="BQ63:BQ64"/>
    <mergeCell ref="BQ65:BQ66"/>
    <mergeCell ref="BQ91:BQ92"/>
    <mergeCell ref="BP45:BP46"/>
    <mergeCell ref="BQ85:BQ86"/>
    <mergeCell ref="BP9:BP10"/>
    <mergeCell ref="BQ9:BQ10"/>
    <mergeCell ref="BQ11:BQ12"/>
    <mergeCell ref="BQ13:BQ14"/>
    <mergeCell ref="BQ15:BQ16"/>
    <mergeCell ref="BQ17:BQ18"/>
    <mergeCell ref="BQ19:BQ20"/>
    <mergeCell ref="BQ21:BQ22"/>
    <mergeCell ref="BQ23:BQ24"/>
    <mergeCell ref="BQ25:BQ26"/>
    <mergeCell ref="BQ27:BQ28"/>
    <mergeCell ref="BQ29:BQ30"/>
    <mergeCell ref="BQ31:BQ32"/>
    <mergeCell ref="BQ33:BQ34"/>
    <mergeCell ref="BQ35:BQ36"/>
    <mergeCell ref="BQ37:BQ38"/>
    <mergeCell ref="BQ39:BQ40"/>
    <mergeCell ref="BP11:BP12"/>
    <mergeCell ref="BP13:BP14"/>
    <mergeCell ref="BP15:BP16"/>
    <mergeCell ref="BP17:BP18"/>
    <mergeCell ref="BP19:BP20"/>
    <mergeCell ref="BP21:BP22"/>
    <mergeCell ref="BP23:BP24"/>
    <mergeCell ref="BP25:BP26"/>
    <mergeCell ref="BP27:BP28"/>
    <mergeCell ref="BP29:BP30"/>
    <mergeCell ref="BP31:BP32"/>
    <mergeCell ref="BP33:BP34"/>
    <mergeCell ref="BP35:BP36"/>
    <mergeCell ref="BP37:BP38"/>
    <mergeCell ref="BP39:BP40"/>
    <mergeCell ref="BA33:BA34"/>
    <mergeCell ref="BA35:BA36"/>
    <mergeCell ref="BA37:BA38"/>
    <mergeCell ref="BA39:BA40"/>
    <mergeCell ref="BA41:BA42"/>
    <mergeCell ref="BA49:BA50"/>
    <mergeCell ref="BA51:BA52"/>
    <mergeCell ref="BA53:BA54"/>
    <mergeCell ref="BA55:BA56"/>
    <mergeCell ref="BA57:BA58"/>
    <mergeCell ref="BA59:BA60"/>
    <mergeCell ref="BA61:BA62"/>
    <mergeCell ref="BA63:BA64"/>
    <mergeCell ref="BA65:BA66"/>
    <mergeCell ref="BA91:BA92"/>
    <mergeCell ref="AZ45:AZ46"/>
    <mergeCell ref="AZ47:AZ48"/>
    <mergeCell ref="AZ49:AZ50"/>
    <mergeCell ref="AZ51:AZ52"/>
    <mergeCell ref="AZ53:AZ54"/>
    <mergeCell ref="AZ55:AZ56"/>
    <mergeCell ref="AZ57:AZ58"/>
    <mergeCell ref="AZ59:AZ60"/>
    <mergeCell ref="AZ61:AZ62"/>
    <mergeCell ref="AZ63:AZ64"/>
    <mergeCell ref="AZ65:AZ66"/>
    <mergeCell ref="AZ91:AZ92"/>
    <mergeCell ref="BA43:BA44"/>
    <mergeCell ref="BA45:BA46"/>
    <mergeCell ref="BA47:BA48"/>
    <mergeCell ref="AZ69:AZ70"/>
    <mergeCell ref="BA69:BA70"/>
    <mergeCell ref="AZ9:AZ10"/>
    <mergeCell ref="AZ11:AZ12"/>
    <mergeCell ref="AZ13:AZ14"/>
    <mergeCell ref="AZ15:AZ16"/>
    <mergeCell ref="AZ17:AZ18"/>
    <mergeCell ref="AZ19:AZ20"/>
    <mergeCell ref="AZ21:AZ22"/>
    <mergeCell ref="AZ23:AZ24"/>
    <mergeCell ref="AZ25:AZ26"/>
    <mergeCell ref="AZ27:AZ28"/>
    <mergeCell ref="AZ29:AZ30"/>
    <mergeCell ref="AZ31:AZ32"/>
    <mergeCell ref="AZ33:AZ34"/>
    <mergeCell ref="AZ35:AZ36"/>
    <mergeCell ref="AZ37:AZ38"/>
    <mergeCell ref="AZ39:AZ40"/>
    <mergeCell ref="AZ41:AZ42"/>
    <mergeCell ref="BA9:BA10"/>
    <mergeCell ref="BA11:BA12"/>
    <mergeCell ref="BA13:BA14"/>
    <mergeCell ref="BA15:BA16"/>
    <mergeCell ref="BA17:BA18"/>
    <mergeCell ref="BA19:BA20"/>
    <mergeCell ref="BA21:BA22"/>
    <mergeCell ref="BA23:BA24"/>
    <mergeCell ref="BA25:BA26"/>
    <mergeCell ref="BA27:BA28"/>
    <mergeCell ref="BA29:BA30"/>
    <mergeCell ref="BA31:BA32"/>
    <mergeCell ref="S37:S38"/>
    <mergeCell ref="U37:U38"/>
    <mergeCell ref="V37:V38"/>
    <mergeCell ref="X37:X38"/>
    <mergeCell ref="Y37:Y38"/>
    <mergeCell ref="AM35:AM36"/>
    <mergeCell ref="AL35:AL36"/>
    <mergeCell ref="AM37:AM38"/>
    <mergeCell ref="AL37:AL38"/>
    <mergeCell ref="S31:S32"/>
    <mergeCell ref="U31:U32"/>
    <mergeCell ref="V31:V32"/>
    <mergeCell ref="X31:X32"/>
    <mergeCell ref="Y31:Y32"/>
    <mergeCell ref="AM31:AM32"/>
    <mergeCell ref="AM29:AM30"/>
    <mergeCell ref="U27:U28"/>
    <mergeCell ref="V27:V28"/>
    <mergeCell ref="AJ27:AJ28"/>
    <mergeCell ref="AK27:AK28"/>
    <mergeCell ref="A37:A38"/>
    <mergeCell ref="B37:B38"/>
    <mergeCell ref="C37:C38"/>
    <mergeCell ref="D37:D38"/>
    <mergeCell ref="F37:F38"/>
    <mergeCell ref="G37:G38"/>
    <mergeCell ref="H37:H38"/>
    <mergeCell ref="I37:I38"/>
    <mergeCell ref="J37:J38"/>
    <mergeCell ref="K37:K38"/>
    <mergeCell ref="M37:M38"/>
    <mergeCell ref="O37:O38"/>
    <mergeCell ref="P37:P38"/>
    <mergeCell ref="R37:R38"/>
    <mergeCell ref="AJ35:AJ36"/>
    <mergeCell ref="AK35:AK36"/>
    <mergeCell ref="AJ37:AJ38"/>
    <mergeCell ref="AK37:AK38"/>
    <mergeCell ref="AA37:AA38"/>
    <mergeCell ref="AB37:AB38"/>
    <mergeCell ref="AE37:AE38"/>
    <mergeCell ref="AG37:AG38"/>
    <mergeCell ref="A35:A36"/>
    <mergeCell ref="B35:B36"/>
    <mergeCell ref="C35:C36"/>
    <mergeCell ref="D35:D36"/>
    <mergeCell ref="F35:F36"/>
    <mergeCell ref="G35:G36"/>
    <mergeCell ref="H35:H36"/>
    <mergeCell ref="I35:I36"/>
    <mergeCell ref="J35:J36"/>
    <mergeCell ref="K35:K36"/>
    <mergeCell ref="M35:M36"/>
    <mergeCell ref="O35:O36"/>
    <mergeCell ref="P35:P36"/>
    <mergeCell ref="R35:R36"/>
    <mergeCell ref="AJ33:AJ34"/>
    <mergeCell ref="AK33:AK34"/>
    <mergeCell ref="AA33:AA34"/>
    <mergeCell ref="AB33:AB34"/>
    <mergeCell ref="AE33:AE34"/>
    <mergeCell ref="AA35:AA36"/>
    <mergeCell ref="AB35:AB36"/>
    <mergeCell ref="AE35:AE36"/>
    <mergeCell ref="AG35:AG36"/>
    <mergeCell ref="AH35:AH36"/>
    <mergeCell ref="S35:S36"/>
    <mergeCell ref="U35:U36"/>
    <mergeCell ref="V35:V36"/>
    <mergeCell ref="X35:X36"/>
    <mergeCell ref="Y35:Y36"/>
    <mergeCell ref="AH33:AH34"/>
    <mergeCell ref="S33:S34"/>
    <mergeCell ref="U33:U34"/>
    <mergeCell ref="V33:V34"/>
    <mergeCell ref="X33:X34"/>
    <mergeCell ref="Y33:Y34"/>
    <mergeCell ref="AJ31:AJ32"/>
    <mergeCell ref="AM33:AM34"/>
    <mergeCell ref="AA31:AA32"/>
    <mergeCell ref="AB31:AB32"/>
    <mergeCell ref="AE31:AE32"/>
    <mergeCell ref="AG31:AG32"/>
    <mergeCell ref="AH31:AH32"/>
    <mergeCell ref="A31:A32"/>
    <mergeCell ref="B31:B32"/>
    <mergeCell ref="C31:C32"/>
    <mergeCell ref="D31:D32"/>
    <mergeCell ref="F31:F32"/>
    <mergeCell ref="G31:G32"/>
    <mergeCell ref="H31:H32"/>
    <mergeCell ref="I31:I32"/>
    <mergeCell ref="J31:J32"/>
    <mergeCell ref="K31:K32"/>
    <mergeCell ref="M31:M32"/>
    <mergeCell ref="AE29:AE30"/>
    <mergeCell ref="AG29:AG30"/>
    <mergeCell ref="AH29:AH30"/>
    <mergeCell ref="S29:S30"/>
    <mergeCell ref="U29:U30"/>
    <mergeCell ref="V29:V30"/>
    <mergeCell ref="X29:X30"/>
    <mergeCell ref="Y29:Y30"/>
    <mergeCell ref="A33:A34"/>
    <mergeCell ref="B33:B34"/>
    <mergeCell ref="C33:C34"/>
    <mergeCell ref="D33:D34"/>
    <mergeCell ref="F33:F34"/>
    <mergeCell ref="G33:G34"/>
    <mergeCell ref="H33:H34"/>
    <mergeCell ref="I33:I34"/>
    <mergeCell ref="J33:J34"/>
    <mergeCell ref="K33:K34"/>
    <mergeCell ref="M33:M34"/>
    <mergeCell ref="O33:O34"/>
    <mergeCell ref="P33:P34"/>
    <mergeCell ref="R33:R34"/>
    <mergeCell ref="A27:A28"/>
    <mergeCell ref="B27:B28"/>
    <mergeCell ref="C27:C28"/>
    <mergeCell ref="D27:D28"/>
    <mergeCell ref="F27:F28"/>
    <mergeCell ref="G27:G28"/>
    <mergeCell ref="H27:H28"/>
    <mergeCell ref="I27:I28"/>
    <mergeCell ref="J27:J28"/>
    <mergeCell ref="K27:K28"/>
    <mergeCell ref="O31:O32"/>
    <mergeCell ref="P31:P32"/>
    <mergeCell ref="R31:R32"/>
    <mergeCell ref="AJ29:AJ30"/>
    <mergeCell ref="AK29:AK30"/>
    <mergeCell ref="AL29:AL30"/>
    <mergeCell ref="J29:J30"/>
    <mergeCell ref="K29:K30"/>
    <mergeCell ref="M29:M30"/>
    <mergeCell ref="O29:O30"/>
    <mergeCell ref="P29:P30"/>
    <mergeCell ref="A29:A30"/>
    <mergeCell ref="B29:B30"/>
    <mergeCell ref="C29:C30"/>
    <mergeCell ref="D29:D30"/>
    <mergeCell ref="F29:F30"/>
    <mergeCell ref="G29:G30"/>
    <mergeCell ref="H29:H30"/>
    <mergeCell ref="I29:I30"/>
    <mergeCell ref="R29:R30"/>
    <mergeCell ref="AA29:AA30"/>
    <mergeCell ref="AB29:AB30"/>
    <mergeCell ref="AG25:AG26"/>
    <mergeCell ref="S25:S26"/>
    <mergeCell ref="U25:U26"/>
    <mergeCell ref="V25:V26"/>
    <mergeCell ref="X25:X26"/>
    <mergeCell ref="Y25:Y26"/>
    <mergeCell ref="I23:I24"/>
    <mergeCell ref="S23:S24"/>
    <mergeCell ref="U23:U24"/>
    <mergeCell ref="V23:V24"/>
    <mergeCell ref="AE25:AE26"/>
    <mergeCell ref="I25:I26"/>
    <mergeCell ref="J25:J26"/>
    <mergeCell ref="K25:K26"/>
    <mergeCell ref="J23:J24"/>
    <mergeCell ref="K23:K24"/>
    <mergeCell ref="C23:C24"/>
    <mergeCell ref="D23:D24"/>
    <mergeCell ref="F23:F24"/>
    <mergeCell ref="G23:G24"/>
    <mergeCell ref="H23:H24"/>
    <mergeCell ref="M27:M28"/>
    <mergeCell ref="O27:O28"/>
    <mergeCell ref="P27:P28"/>
    <mergeCell ref="R27:R28"/>
    <mergeCell ref="AA25:AA26"/>
    <mergeCell ref="AB25:AB26"/>
    <mergeCell ref="AM21:AM22"/>
    <mergeCell ref="AA21:AA22"/>
    <mergeCell ref="AB21:AB22"/>
    <mergeCell ref="AE21:AE22"/>
    <mergeCell ref="AL27:AL28"/>
    <mergeCell ref="AA27:AA28"/>
    <mergeCell ref="AB27:AB28"/>
    <mergeCell ref="AE27:AE28"/>
    <mergeCell ref="AM25:AM26"/>
    <mergeCell ref="AJ25:AJ26"/>
    <mergeCell ref="AM27:AM28"/>
    <mergeCell ref="X27:X28"/>
    <mergeCell ref="Y27:Y28"/>
    <mergeCell ref="S27:S28"/>
    <mergeCell ref="M25:M26"/>
    <mergeCell ref="O25:O26"/>
    <mergeCell ref="P25:P26"/>
    <mergeCell ref="R25:R26"/>
    <mergeCell ref="X23:X24"/>
    <mergeCell ref="Y23:Y24"/>
    <mergeCell ref="S21:S22"/>
    <mergeCell ref="U21:U22"/>
    <mergeCell ref="V21:V22"/>
    <mergeCell ref="X21:X22"/>
    <mergeCell ref="Y21:Y22"/>
    <mergeCell ref="AM23:AM24"/>
    <mergeCell ref="AK23:AK24"/>
    <mergeCell ref="AL23:AL24"/>
    <mergeCell ref="O23:O24"/>
    <mergeCell ref="P23:P24"/>
    <mergeCell ref="R23:R24"/>
    <mergeCell ref="AM17:AM18"/>
    <mergeCell ref="A19:A20"/>
    <mergeCell ref="B19:B20"/>
    <mergeCell ref="C19:C20"/>
    <mergeCell ref="D19:D20"/>
    <mergeCell ref="F19:F20"/>
    <mergeCell ref="G19:G20"/>
    <mergeCell ref="H19:H20"/>
    <mergeCell ref="I19:I20"/>
    <mergeCell ref="J19:J20"/>
    <mergeCell ref="K19:K20"/>
    <mergeCell ref="M19:M20"/>
    <mergeCell ref="O19:O20"/>
    <mergeCell ref="P19:P20"/>
    <mergeCell ref="R19:R20"/>
    <mergeCell ref="AJ17:AJ18"/>
    <mergeCell ref="AK17:AK18"/>
    <mergeCell ref="AL17:AL18"/>
    <mergeCell ref="AA17:AA18"/>
    <mergeCell ref="AB17:AB18"/>
    <mergeCell ref="AE17:AE18"/>
    <mergeCell ref="AG17:AG18"/>
    <mergeCell ref="AG19:AG20"/>
    <mergeCell ref="AM19:AM20"/>
    <mergeCell ref="A23:A24"/>
    <mergeCell ref="B23:B24"/>
    <mergeCell ref="AA23:AA24"/>
    <mergeCell ref="Y19:Y20"/>
    <mergeCell ref="AE15:AE16"/>
    <mergeCell ref="K15:K16"/>
    <mergeCell ref="M15:M16"/>
    <mergeCell ref="S17:S18"/>
    <mergeCell ref="U17:U18"/>
    <mergeCell ref="V17:V18"/>
    <mergeCell ref="X17:X18"/>
    <mergeCell ref="Y17:Y18"/>
    <mergeCell ref="J17:J18"/>
    <mergeCell ref="K17:K18"/>
    <mergeCell ref="M17:M18"/>
    <mergeCell ref="O17:O18"/>
    <mergeCell ref="P17:P18"/>
    <mergeCell ref="R17:R18"/>
    <mergeCell ref="AJ21:AJ22"/>
    <mergeCell ref="M23:M24"/>
    <mergeCell ref="AJ23:AJ24"/>
    <mergeCell ref="AB23:AB24"/>
    <mergeCell ref="AE23:AE24"/>
    <mergeCell ref="AG23:AG24"/>
    <mergeCell ref="C21:C22"/>
    <mergeCell ref="D21:D22"/>
    <mergeCell ref="F21:F22"/>
    <mergeCell ref="G21:G22"/>
    <mergeCell ref="H21:H22"/>
    <mergeCell ref="I21:I22"/>
    <mergeCell ref="J21:J22"/>
    <mergeCell ref="K21:K22"/>
    <mergeCell ref="M21:M22"/>
    <mergeCell ref="O21:O22"/>
    <mergeCell ref="P21:P22"/>
    <mergeCell ref="R21:R22"/>
    <mergeCell ref="AE19:AE20"/>
    <mergeCell ref="AM15:AM16"/>
    <mergeCell ref="S13:S14"/>
    <mergeCell ref="U13:U14"/>
    <mergeCell ref="V13:V14"/>
    <mergeCell ref="X13:X14"/>
    <mergeCell ref="V15:V16"/>
    <mergeCell ref="X15:X16"/>
    <mergeCell ref="Y15:Y16"/>
    <mergeCell ref="AK13:AK14"/>
    <mergeCell ref="AL13:AL14"/>
    <mergeCell ref="AH13:AH14"/>
    <mergeCell ref="AJ13:AJ14"/>
    <mergeCell ref="AJ19:AJ20"/>
    <mergeCell ref="AA19:AA20"/>
    <mergeCell ref="AB19:AB20"/>
    <mergeCell ref="S19:S20"/>
    <mergeCell ref="U19:U20"/>
    <mergeCell ref="V19:V20"/>
    <mergeCell ref="X19:X20"/>
    <mergeCell ref="A17:A18"/>
    <mergeCell ref="B17:B18"/>
    <mergeCell ref="C17:C18"/>
    <mergeCell ref="D17:D18"/>
    <mergeCell ref="F17:F18"/>
    <mergeCell ref="G17:G18"/>
    <mergeCell ref="H17:H18"/>
    <mergeCell ref="I17:I18"/>
    <mergeCell ref="A15:A16"/>
    <mergeCell ref="B15:B16"/>
    <mergeCell ref="C15:C16"/>
    <mergeCell ref="D15:D16"/>
    <mergeCell ref="AG15:AG16"/>
    <mergeCell ref="AH15:AH16"/>
    <mergeCell ref="S15:S16"/>
    <mergeCell ref="U15:U16"/>
    <mergeCell ref="O15:O16"/>
    <mergeCell ref="P15:P16"/>
    <mergeCell ref="F15:F16"/>
    <mergeCell ref="G15:G16"/>
    <mergeCell ref="AD15:AD16"/>
    <mergeCell ref="AM11:AM12"/>
    <mergeCell ref="A13:A14"/>
    <mergeCell ref="B13:B14"/>
    <mergeCell ref="C13:C14"/>
    <mergeCell ref="D13:D14"/>
    <mergeCell ref="F13:F14"/>
    <mergeCell ref="G13:G14"/>
    <mergeCell ref="H13:H14"/>
    <mergeCell ref="I13:I14"/>
    <mergeCell ref="J13:J14"/>
    <mergeCell ref="K13:K14"/>
    <mergeCell ref="M13:M14"/>
    <mergeCell ref="O13:O14"/>
    <mergeCell ref="P13:P14"/>
    <mergeCell ref="AA11:AA12"/>
    <mergeCell ref="AB11:AB12"/>
    <mergeCell ref="AD11:AD12"/>
    <mergeCell ref="S11:S12"/>
    <mergeCell ref="U11:U12"/>
    <mergeCell ref="V11:V12"/>
    <mergeCell ref="X11:X12"/>
    <mergeCell ref="Y11:Y12"/>
    <mergeCell ref="R13:R14"/>
    <mergeCell ref="AM13:AM14"/>
    <mergeCell ref="Y13:Y14"/>
    <mergeCell ref="AA13:AA14"/>
    <mergeCell ref="AB13:AB14"/>
    <mergeCell ref="AE13:AE14"/>
    <mergeCell ref="AG13:AG14"/>
    <mergeCell ref="AK11:AK12"/>
    <mergeCell ref="AE39:AE40"/>
    <mergeCell ref="AK39:AK40"/>
    <mergeCell ref="AL39:AL40"/>
    <mergeCell ref="AD125:AD126"/>
    <mergeCell ref="AD111:AD112"/>
    <mergeCell ref="AD113:AD114"/>
    <mergeCell ref="AD115:AD116"/>
    <mergeCell ref="AD117:AD118"/>
    <mergeCell ref="AD119:AD120"/>
    <mergeCell ref="AD121:AD122"/>
    <mergeCell ref="AD109:AD110"/>
    <mergeCell ref="AD107:AD108"/>
    <mergeCell ref="AM9:AM10"/>
    <mergeCell ref="AC7:AE7"/>
    <mergeCell ref="AI7:AK7"/>
    <mergeCell ref="D9:D10"/>
    <mergeCell ref="F9:F10"/>
    <mergeCell ref="V9:V10"/>
    <mergeCell ref="AA9:AA10"/>
    <mergeCell ref="N7:P7"/>
    <mergeCell ref="Q7:S7"/>
    <mergeCell ref="T7:V7"/>
    <mergeCell ref="Z7:AB7"/>
    <mergeCell ref="AB9:AB10"/>
    <mergeCell ref="X9:X10"/>
    <mergeCell ref="Y9:Y10"/>
    <mergeCell ref="AD9:AD10"/>
    <mergeCell ref="AJ9:AJ10"/>
    <mergeCell ref="AK9:AK10"/>
    <mergeCell ref="D11:D12"/>
    <mergeCell ref="AF7:AH7"/>
    <mergeCell ref="W7:Y7"/>
    <mergeCell ref="AJ39:AJ40"/>
    <mergeCell ref="K39:K40"/>
    <mergeCell ref="O39:O40"/>
    <mergeCell ref="P39:P40"/>
    <mergeCell ref="AD105:AD106"/>
    <mergeCell ref="AD123:AD124"/>
    <mergeCell ref="AJ15:AJ16"/>
    <mergeCell ref="AK15:AK16"/>
    <mergeCell ref="AL15:AL16"/>
    <mergeCell ref="AH19:AH20"/>
    <mergeCell ref="AG21:AG22"/>
    <mergeCell ref="AH21:AH22"/>
    <mergeCell ref="AH23:AH24"/>
    <mergeCell ref="AH25:AH26"/>
    <mergeCell ref="AG27:AG28"/>
    <mergeCell ref="AH27:AH28"/>
    <mergeCell ref="AK31:AK32"/>
    <mergeCell ref="AL31:AL32"/>
    <mergeCell ref="AD61:AD62"/>
    <mergeCell ref="AD63:AD64"/>
    <mergeCell ref="AD65:AD66"/>
    <mergeCell ref="AK21:AK22"/>
    <mergeCell ref="AL21:AL22"/>
    <mergeCell ref="AK19:AK20"/>
    <mergeCell ref="AL19:AL20"/>
    <mergeCell ref="AK25:AK26"/>
    <mergeCell ref="AL25:AL26"/>
    <mergeCell ref="AH17:AH18"/>
    <mergeCell ref="AG33:AG34"/>
    <mergeCell ref="AL33:AL34"/>
    <mergeCell ref="AH37:AH38"/>
    <mergeCell ref="AG47:AG48"/>
    <mergeCell ref="AL9:AL10"/>
    <mergeCell ref="M9:M10"/>
    <mergeCell ref="O9:O10"/>
    <mergeCell ref="P9:P10"/>
    <mergeCell ref="R9:R10"/>
    <mergeCell ref="S9:S10"/>
    <mergeCell ref="U9:U10"/>
    <mergeCell ref="G9:G10"/>
    <mergeCell ref="H9:H10"/>
    <mergeCell ref="I9:I10"/>
    <mergeCell ref="J9:J10"/>
    <mergeCell ref="K9:K10"/>
    <mergeCell ref="C9:C10"/>
    <mergeCell ref="AE9:AE10"/>
    <mergeCell ref="A11:A12"/>
    <mergeCell ref="B11:B12"/>
    <mergeCell ref="C11:C12"/>
    <mergeCell ref="M11:M12"/>
    <mergeCell ref="O11:O12"/>
    <mergeCell ref="P11:P12"/>
    <mergeCell ref="R11:R12"/>
    <mergeCell ref="AG9:AG10"/>
    <mergeCell ref="AH9:AH10"/>
    <mergeCell ref="AL11:AL12"/>
    <mergeCell ref="AJ11:AJ12"/>
    <mergeCell ref="AE11:AE12"/>
    <mergeCell ref="AG11:AG12"/>
    <mergeCell ref="K11:K12"/>
    <mergeCell ref="C39:C40"/>
    <mergeCell ref="D39:D40"/>
    <mergeCell ref="F11:F12"/>
    <mergeCell ref="G11:G12"/>
    <mergeCell ref="H11:H12"/>
    <mergeCell ref="I11:I12"/>
    <mergeCell ref="J11:J12"/>
    <mergeCell ref="AB39:AB40"/>
    <mergeCell ref="F39:F40"/>
    <mergeCell ref="G39:G40"/>
    <mergeCell ref="M39:M40"/>
    <mergeCell ref="AD99:AD100"/>
    <mergeCell ref="AD101:AD102"/>
    <mergeCell ref="AD103:AD104"/>
    <mergeCell ref="AD93:AD94"/>
    <mergeCell ref="AD95:AD96"/>
    <mergeCell ref="A9:A10"/>
    <mergeCell ref="B9:B10"/>
    <mergeCell ref="H15:H16"/>
    <mergeCell ref="I15:I16"/>
    <mergeCell ref="J15:J16"/>
    <mergeCell ref="AA15:AA16"/>
    <mergeCell ref="AB15:AB16"/>
    <mergeCell ref="A21:A22"/>
    <mergeCell ref="B21:B22"/>
    <mergeCell ref="A25:A26"/>
    <mergeCell ref="B25:B26"/>
    <mergeCell ref="C25:C26"/>
    <mergeCell ref="D25:D26"/>
    <mergeCell ref="F25:F26"/>
    <mergeCell ref="G25:G26"/>
    <mergeCell ref="H25:H26"/>
    <mergeCell ref="AE41:AE42"/>
    <mergeCell ref="AG41:AG42"/>
    <mergeCell ref="AH41:AH42"/>
    <mergeCell ref="AJ41:AJ42"/>
    <mergeCell ref="AJ45:AJ46"/>
    <mergeCell ref="AJ49:AJ50"/>
    <mergeCell ref="AJ53:AJ54"/>
    <mergeCell ref="AG39:AG40"/>
    <mergeCell ref="AH39:AH40"/>
    <mergeCell ref="A1:F2"/>
    <mergeCell ref="AD97:AD98"/>
    <mergeCell ref="AD41:AD42"/>
    <mergeCell ref="AD43:AD44"/>
    <mergeCell ref="AD45:AD46"/>
    <mergeCell ref="AD17:AD18"/>
    <mergeCell ref="AD39:AD40"/>
    <mergeCell ref="AD19:AD20"/>
    <mergeCell ref="AD21:AD22"/>
    <mergeCell ref="AD23:AD24"/>
    <mergeCell ref="AD25:AD26"/>
    <mergeCell ref="AD27:AD28"/>
    <mergeCell ref="AD29:AD30"/>
    <mergeCell ref="AD31:AD32"/>
    <mergeCell ref="AD33:AD34"/>
    <mergeCell ref="AD35:AD36"/>
    <mergeCell ref="AD13:AD14"/>
    <mergeCell ref="AD59:AD60"/>
    <mergeCell ref="AD91:AD92"/>
    <mergeCell ref="A39:A40"/>
    <mergeCell ref="B39:B40"/>
    <mergeCell ref="AH11:AH12"/>
    <mergeCell ref="R15:R16"/>
    <mergeCell ref="AG43:AG44"/>
    <mergeCell ref="AM39:AM40"/>
    <mergeCell ref="A41:A42"/>
    <mergeCell ref="B41:B42"/>
    <mergeCell ref="C41:C42"/>
    <mergeCell ref="D41:D42"/>
    <mergeCell ref="F41:F42"/>
    <mergeCell ref="G41:G42"/>
    <mergeCell ref="H41:H42"/>
    <mergeCell ref="I41:I42"/>
    <mergeCell ref="J41:J42"/>
    <mergeCell ref="K41:K42"/>
    <mergeCell ref="M41:M42"/>
    <mergeCell ref="O41:O42"/>
    <mergeCell ref="P41:P42"/>
    <mergeCell ref="R41:R42"/>
    <mergeCell ref="S41:S42"/>
    <mergeCell ref="U41:U42"/>
    <mergeCell ref="V41:V42"/>
    <mergeCell ref="X41:X42"/>
    <mergeCell ref="Y41:Y42"/>
    <mergeCell ref="AA41:AA42"/>
    <mergeCell ref="R39:R40"/>
    <mergeCell ref="S39:S40"/>
    <mergeCell ref="U39:U40"/>
    <mergeCell ref="A43:A44"/>
    <mergeCell ref="B43:B44"/>
    <mergeCell ref="C43:C44"/>
    <mergeCell ref="D43:D44"/>
    <mergeCell ref="F43:F44"/>
    <mergeCell ref="G43:G44"/>
    <mergeCell ref="AB43:AB44"/>
    <mergeCell ref="AD37:AD38"/>
    <mergeCell ref="V39:V40"/>
    <mergeCell ref="X39:X40"/>
    <mergeCell ref="Y39:Y40"/>
    <mergeCell ref="AA39:AA40"/>
    <mergeCell ref="H39:H40"/>
    <mergeCell ref="I39:I40"/>
    <mergeCell ref="J39:J40"/>
    <mergeCell ref="AH43:AH44"/>
    <mergeCell ref="AJ43:AJ44"/>
    <mergeCell ref="AK43:AK44"/>
    <mergeCell ref="AL43:AL44"/>
    <mergeCell ref="AM43:AM44"/>
    <mergeCell ref="AB41:AB42"/>
    <mergeCell ref="AK41:AK42"/>
    <mergeCell ref="AL41:AL42"/>
    <mergeCell ref="AM41:AM42"/>
    <mergeCell ref="H43:H44"/>
    <mergeCell ref="I43:I44"/>
    <mergeCell ref="J43:J44"/>
    <mergeCell ref="K43:K44"/>
    <mergeCell ref="M43:M44"/>
    <mergeCell ref="O43:O44"/>
    <mergeCell ref="P43:P44"/>
    <mergeCell ref="R43:R44"/>
    <mergeCell ref="S43:S44"/>
    <mergeCell ref="U43:U44"/>
    <mergeCell ref="V43:V44"/>
    <mergeCell ref="X43:X44"/>
    <mergeCell ref="Y43:Y44"/>
    <mergeCell ref="AA43:AA44"/>
    <mergeCell ref="AE43:AE44"/>
    <mergeCell ref="AB45:AB46"/>
    <mergeCell ref="AE45:AE46"/>
    <mergeCell ref="AG45:AG46"/>
    <mergeCell ref="AH45:AH46"/>
    <mergeCell ref="AK45:AK46"/>
    <mergeCell ref="AM47:AM48"/>
    <mergeCell ref="AL45:AL46"/>
    <mergeCell ref="J45:J46"/>
    <mergeCell ref="K45:K46"/>
    <mergeCell ref="M45:M46"/>
    <mergeCell ref="O45:O46"/>
    <mergeCell ref="P45:P46"/>
    <mergeCell ref="R45:R46"/>
    <mergeCell ref="S45:S46"/>
    <mergeCell ref="U45:U46"/>
    <mergeCell ref="V45:V46"/>
    <mergeCell ref="A45:A46"/>
    <mergeCell ref="B45:B46"/>
    <mergeCell ref="C45:C46"/>
    <mergeCell ref="D45:D46"/>
    <mergeCell ref="F45:F46"/>
    <mergeCell ref="G45:G46"/>
    <mergeCell ref="H45:H46"/>
    <mergeCell ref="I45:I46"/>
    <mergeCell ref="O49:O50"/>
    <mergeCell ref="P49:P50"/>
    <mergeCell ref="R49:R50"/>
    <mergeCell ref="S49:S50"/>
    <mergeCell ref="U49:U50"/>
    <mergeCell ref="V49:V50"/>
    <mergeCell ref="AM45:AM46"/>
    <mergeCell ref="A47:A48"/>
    <mergeCell ref="B47:B48"/>
    <mergeCell ref="C47:C48"/>
    <mergeCell ref="D47:D48"/>
    <mergeCell ref="F47:F48"/>
    <mergeCell ref="G47:G48"/>
    <mergeCell ref="H47:H48"/>
    <mergeCell ref="I47:I48"/>
    <mergeCell ref="J47:J48"/>
    <mergeCell ref="K47:K48"/>
    <mergeCell ref="M47:M48"/>
    <mergeCell ref="O47:O48"/>
    <mergeCell ref="P47:P48"/>
    <mergeCell ref="R47:R48"/>
    <mergeCell ref="S47:S48"/>
    <mergeCell ref="U47:U48"/>
    <mergeCell ref="V47:V48"/>
    <mergeCell ref="X47:X48"/>
    <mergeCell ref="Y47:Y48"/>
    <mergeCell ref="AA47:AA48"/>
    <mergeCell ref="AB47:AB48"/>
    <mergeCell ref="AE47:AE48"/>
    <mergeCell ref="X45:X46"/>
    <mergeCell ref="Y45:Y46"/>
    <mergeCell ref="AA45:AA46"/>
    <mergeCell ref="AE49:AE50"/>
    <mergeCell ref="AG49:AG50"/>
    <mergeCell ref="AH49:AH50"/>
    <mergeCell ref="AK49:AK50"/>
    <mergeCell ref="AL49:AL50"/>
    <mergeCell ref="AM49:AM50"/>
    <mergeCell ref="AD49:AD50"/>
    <mergeCell ref="AH47:AH48"/>
    <mergeCell ref="AL53:AL54"/>
    <mergeCell ref="AM53:AM54"/>
    <mergeCell ref="X53:X54"/>
    <mergeCell ref="Y53:Y54"/>
    <mergeCell ref="AD55:AD56"/>
    <mergeCell ref="AJ55:AJ56"/>
    <mergeCell ref="AK55:AK56"/>
    <mergeCell ref="AL55:AL56"/>
    <mergeCell ref="AM55:AM56"/>
    <mergeCell ref="AJ51:AJ52"/>
    <mergeCell ref="AJ47:AJ48"/>
    <mergeCell ref="AK47:AK48"/>
    <mergeCell ref="AL47:AL48"/>
    <mergeCell ref="AE55:AE56"/>
    <mergeCell ref="AD47:AD48"/>
    <mergeCell ref="AD53:AD54"/>
    <mergeCell ref="AK51:AK52"/>
    <mergeCell ref="AL51:AL52"/>
    <mergeCell ref="AM51:AM52"/>
    <mergeCell ref="A51:A52"/>
    <mergeCell ref="B51:B52"/>
    <mergeCell ref="C51:C52"/>
    <mergeCell ref="D51:D52"/>
    <mergeCell ref="F51:F52"/>
    <mergeCell ref="G51:G52"/>
    <mergeCell ref="H51:H52"/>
    <mergeCell ref="I51:I52"/>
    <mergeCell ref="J51:J52"/>
    <mergeCell ref="K51:K52"/>
    <mergeCell ref="M51:M52"/>
    <mergeCell ref="O51:O52"/>
    <mergeCell ref="P51:P52"/>
    <mergeCell ref="R51:R52"/>
    <mergeCell ref="S51:S52"/>
    <mergeCell ref="AD51:AD52"/>
    <mergeCell ref="X49:X50"/>
    <mergeCell ref="Y49:Y50"/>
    <mergeCell ref="AA49:AA50"/>
    <mergeCell ref="AB49:AB50"/>
    <mergeCell ref="A49:A50"/>
    <mergeCell ref="B49:B50"/>
    <mergeCell ref="C49:C50"/>
    <mergeCell ref="D49:D50"/>
    <mergeCell ref="F49:F50"/>
    <mergeCell ref="G49:G50"/>
    <mergeCell ref="H49:H50"/>
    <mergeCell ref="I49:I50"/>
    <mergeCell ref="J49:J50"/>
    <mergeCell ref="K49:K50"/>
    <mergeCell ref="M49:M50"/>
    <mergeCell ref="U51:U52"/>
    <mergeCell ref="V51:V52"/>
    <mergeCell ref="X51:X52"/>
    <mergeCell ref="Y51:Y52"/>
    <mergeCell ref="AA51:AA52"/>
    <mergeCell ref="AB51:AB52"/>
    <mergeCell ref="AE51:AE52"/>
    <mergeCell ref="AG51:AG52"/>
    <mergeCell ref="AG55:AG56"/>
    <mergeCell ref="AH55:AH56"/>
    <mergeCell ref="AA53:AA54"/>
    <mergeCell ref="AB53:AB54"/>
    <mergeCell ref="AE53:AE54"/>
    <mergeCell ref="AG53:AG54"/>
    <mergeCell ref="AH53:AH54"/>
    <mergeCell ref="AH51:AH52"/>
    <mergeCell ref="AK53:AK54"/>
    <mergeCell ref="V53:V54"/>
    <mergeCell ref="AA55:AA56"/>
    <mergeCell ref="AB55:AB56"/>
    <mergeCell ref="U53:U54"/>
    <mergeCell ref="D57:D58"/>
    <mergeCell ref="F57:F58"/>
    <mergeCell ref="G57:G58"/>
    <mergeCell ref="H57:H58"/>
    <mergeCell ref="I57:I58"/>
    <mergeCell ref="J57:J58"/>
    <mergeCell ref="K57:K58"/>
    <mergeCell ref="M57:M58"/>
    <mergeCell ref="O57:O58"/>
    <mergeCell ref="P57:P58"/>
    <mergeCell ref="R57:R58"/>
    <mergeCell ref="S57:S58"/>
    <mergeCell ref="U57:U58"/>
    <mergeCell ref="I55:I56"/>
    <mergeCell ref="J55:J56"/>
    <mergeCell ref="K55:K56"/>
    <mergeCell ref="H59:H60"/>
    <mergeCell ref="I59:I60"/>
    <mergeCell ref="A53:A54"/>
    <mergeCell ref="B53:B54"/>
    <mergeCell ref="C53:C54"/>
    <mergeCell ref="D53:D54"/>
    <mergeCell ref="F53:F54"/>
    <mergeCell ref="G53:G54"/>
    <mergeCell ref="H53:H54"/>
    <mergeCell ref="I53:I54"/>
    <mergeCell ref="J53:J54"/>
    <mergeCell ref="K53:K54"/>
    <mergeCell ref="M53:M54"/>
    <mergeCell ref="O53:O54"/>
    <mergeCell ref="P53:P54"/>
    <mergeCell ref="R53:R54"/>
    <mergeCell ref="S53:S54"/>
    <mergeCell ref="AE61:AE62"/>
    <mergeCell ref="AG61:AG62"/>
    <mergeCell ref="V59:V60"/>
    <mergeCell ref="AE59:AE60"/>
    <mergeCell ref="A57:A58"/>
    <mergeCell ref="B57:B58"/>
    <mergeCell ref="C57:C58"/>
    <mergeCell ref="V57:V58"/>
    <mergeCell ref="B55:B56"/>
    <mergeCell ref="C55:C56"/>
    <mergeCell ref="D55:D56"/>
    <mergeCell ref="F55:F56"/>
    <mergeCell ref="G55:G56"/>
    <mergeCell ref="H55:H56"/>
    <mergeCell ref="X57:X58"/>
    <mergeCell ref="Y57:Y58"/>
    <mergeCell ref="U55:U56"/>
    <mergeCell ref="V55:V56"/>
    <mergeCell ref="X55:X56"/>
    <mergeCell ref="Y55:Y56"/>
    <mergeCell ref="M55:M56"/>
    <mergeCell ref="O55:O56"/>
    <mergeCell ref="P55:P56"/>
    <mergeCell ref="R55:R56"/>
    <mergeCell ref="S55:S56"/>
    <mergeCell ref="A55:A56"/>
    <mergeCell ref="A59:A60"/>
    <mergeCell ref="B59:B60"/>
    <mergeCell ref="C59:C60"/>
    <mergeCell ref="D59:D60"/>
    <mergeCell ref="F59:F60"/>
    <mergeCell ref="G59:G60"/>
    <mergeCell ref="AA59:AA60"/>
    <mergeCell ref="AB59:AB60"/>
    <mergeCell ref="J59:J60"/>
    <mergeCell ref="K59:K60"/>
    <mergeCell ref="M59:M60"/>
    <mergeCell ref="O59:O60"/>
    <mergeCell ref="P59:P60"/>
    <mergeCell ref="R59:R60"/>
    <mergeCell ref="S59:S60"/>
    <mergeCell ref="U59:U60"/>
    <mergeCell ref="AL61:AL62"/>
    <mergeCell ref="AM61:AM62"/>
    <mergeCell ref="AA57:AA58"/>
    <mergeCell ref="AB57:AB58"/>
    <mergeCell ref="AE57:AE58"/>
    <mergeCell ref="AG57:AG58"/>
    <mergeCell ref="AH57:AH58"/>
    <mergeCell ref="AD57:AD58"/>
    <mergeCell ref="AJ57:AJ58"/>
    <mergeCell ref="AK57:AK58"/>
    <mergeCell ref="AJ61:AJ62"/>
    <mergeCell ref="AK61:AK62"/>
    <mergeCell ref="AG59:AG60"/>
    <mergeCell ref="AH59:AH60"/>
    <mergeCell ref="AJ59:AJ60"/>
    <mergeCell ref="AK59:AK60"/>
    <mergeCell ref="AL57:AL58"/>
    <mergeCell ref="AM57:AM58"/>
    <mergeCell ref="X61:X62"/>
    <mergeCell ref="Y61:Y62"/>
    <mergeCell ref="AA61:AA62"/>
    <mergeCell ref="AB61:AB62"/>
    <mergeCell ref="X91:X92"/>
    <mergeCell ref="Y91:Y92"/>
    <mergeCell ref="J63:J64"/>
    <mergeCell ref="K63:K64"/>
    <mergeCell ref="M63:M64"/>
    <mergeCell ref="O63:O64"/>
    <mergeCell ref="P63:P64"/>
    <mergeCell ref="R63:R64"/>
    <mergeCell ref="S63:S64"/>
    <mergeCell ref="U63:U64"/>
    <mergeCell ref="V63:V64"/>
    <mergeCell ref="AL59:AL60"/>
    <mergeCell ref="AM59:AM60"/>
    <mergeCell ref="A61:A62"/>
    <mergeCell ref="B61:B62"/>
    <mergeCell ref="C61:C62"/>
    <mergeCell ref="D61:D62"/>
    <mergeCell ref="F61:F62"/>
    <mergeCell ref="G61:G62"/>
    <mergeCell ref="H61:H62"/>
    <mergeCell ref="I61:I62"/>
    <mergeCell ref="J61:J62"/>
    <mergeCell ref="K61:K62"/>
    <mergeCell ref="M61:M62"/>
    <mergeCell ref="O61:O62"/>
    <mergeCell ref="P61:P62"/>
    <mergeCell ref="R61:R62"/>
    <mergeCell ref="S61:S62"/>
    <mergeCell ref="U61:U62"/>
    <mergeCell ref="V61:V62"/>
    <mergeCell ref="X59:X60"/>
    <mergeCell ref="Y59:Y60"/>
    <mergeCell ref="AG91:AG92"/>
    <mergeCell ref="AH91:AH92"/>
    <mergeCell ref="AJ63:AJ64"/>
    <mergeCell ref="AK63:AK64"/>
    <mergeCell ref="AL63:AL64"/>
    <mergeCell ref="AM63:AM64"/>
    <mergeCell ref="Y63:Y64"/>
    <mergeCell ref="AA63:AA64"/>
    <mergeCell ref="AB63:AB64"/>
    <mergeCell ref="AJ91:AJ92"/>
    <mergeCell ref="AK91:AK92"/>
    <mergeCell ref="AL91:AL92"/>
    <mergeCell ref="AM91:AM92"/>
    <mergeCell ref="AK65:AK66"/>
    <mergeCell ref="AL65:AL66"/>
    <mergeCell ref="AM65:AM66"/>
    <mergeCell ref="AG65:AG66"/>
    <mergeCell ref="AH65:AH66"/>
    <mergeCell ref="AJ65:AJ66"/>
    <mergeCell ref="AA91:AA92"/>
    <mergeCell ref="AK71:AK72"/>
    <mergeCell ref="AL71:AL72"/>
    <mergeCell ref="AM71:AM72"/>
    <mergeCell ref="AH73:AH74"/>
    <mergeCell ref="AJ73:AJ74"/>
    <mergeCell ref="AK73:AK74"/>
    <mergeCell ref="AL73:AL74"/>
    <mergeCell ref="AM73:AM74"/>
    <mergeCell ref="AH75:AH76"/>
    <mergeCell ref="AJ75:AJ76"/>
    <mergeCell ref="AK75:AK76"/>
    <mergeCell ref="AL75:AL76"/>
    <mergeCell ref="A65:A66"/>
    <mergeCell ref="B65:B66"/>
    <mergeCell ref="C65:C66"/>
    <mergeCell ref="D65:D66"/>
    <mergeCell ref="F65:F66"/>
    <mergeCell ref="G65:G66"/>
    <mergeCell ref="H65:H66"/>
    <mergeCell ref="I65:I66"/>
    <mergeCell ref="J65:J66"/>
    <mergeCell ref="K65:K66"/>
    <mergeCell ref="M65:M66"/>
    <mergeCell ref="O65:O66"/>
    <mergeCell ref="P65:P66"/>
    <mergeCell ref="R65:R66"/>
    <mergeCell ref="S65:S66"/>
    <mergeCell ref="U65:U66"/>
    <mergeCell ref="X63:X64"/>
    <mergeCell ref="A63:A64"/>
    <mergeCell ref="B63:B64"/>
    <mergeCell ref="C63:C64"/>
    <mergeCell ref="D63:D64"/>
    <mergeCell ref="F63:F64"/>
    <mergeCell ref="G63:G64"/>
    <mergeCell ref="H63:H64"/>
    <mergeCell ref="I63:I64"/>
    <mergeCell ref="X65:X66"/>
    <mergeCell ref="V65:V66"/>
    <mergeCell ref="A91:A92"/>
    <mergeCell ref="B91:B92"/>
    <mergeCell ref="C91:C92"/>
    <mergeCell ref="D91:D92"/>
    <mergeCell ref="F91:F92"/>
    <mergeCell ref="G91:G92"/>
    <mergeCell ref="H91:H92"/>
    <mergeCell ref="I91:I92"/>
    <mergeCell ref="J91:J92"/>
    <mergeCell ref="K91:K92"/>
    <mergeCell ref="M91:M92"/>
    <mergeCell ref="O91:O92"/>
    <mergeCell ref="P91:P92"/>
    <mergeCell ref="R91:R92"/>
    <mergeCell ref="S91:S92"/>
    <mergeCell ref="U91:U92"/>
    <mergeCell ref="V91:V92"/>
    <mergeCell ref="BB59:BB60"/>
    <mergeCell ref="BB61:BB62"/>
    <mergeCell ref="BB27:BB28"/>
    <mergeCell ref="BB29:BB30"/>
    <mergeCell ref="BB31:BB32"/>
    <mergeCell ref="BB33:BB34"/>
    <mergeCell ref="BB35:BB36"/>
    <mergeCell ref="BB37:BB38"/>
    <mergeCell ref="BB39:BB40"/>
    <mergeCell ref="BB41:BB42"/>
    <mergeCell ref="BB43:BB44"/>
    <mergeCell ref="BB9:BB10"/>
    <mergeCell ref="BB11:BB12"/>
    <mergeCell ref="BB13:BB14"/>
    <mergeCell ref="BB15:BB16"/>
    <mergeCell ref="BB17:BB18"/>
    <mergeCell ref="BB19:BB20"/>
    <mergeCell ref="BB21:BB22"/>
    <mergeCell ref="BB23:BB24"/>
    <mergeCell ref="BB25:BB26"/>
    <mergeCell ref="BB45:BB46"/>
    <mergeCell ref="BB47:BB48"/>
    <mergeCell ref="BB49:BB50"/>
    <mergeCell ref="BB51:BB52"/>
    <mergeCell ref="BB53:BB54"/>
    <mergeCell ref="BB55:BB56"/>
    <mergeCell ref="BB57:BB58"/>
    <mergeCell ref="AH61:AH62"/>
    <mergeCell ref="Y65:Y66"/>
    <mergeCell ref="AA65:AA66"/>
    <mergeCell ref="AB65:AB66"/>
    <mergeCell ref="AE65:AE66"/>
    <mergeCell ref="AB91:AB92"/>
    <mergeCell ref="AE91:AE92"/>
    <mergeCell ref="AE63:AE64"/>
    <mergeCell ref="AG63:AG64"/>
    <mergeCell ref="AH63:AH64"/>
    <mergeCell ref="BC91:BC92"/>
    <mergeCell ref="BB63:BB64"/>
    <mergeCell ref="BB65:BB66"/>
    <mergeCell ref="BB91:BB92"/>
    <mergeCell ref="BC9:BC10"/>
    <mergeCell ref="BC11:BC12"/>
    <mergeCell ref="BC13:BC14"/>
    <mergeCell ref="BC15:BC16"/>
    <mergeCell ref="BC17:BC18"/>
    <mergeCell ref="BC19:BC20"/>
    <mergeCell ref="BC21:BC22"/>
    <mergeCell ref="BC23:BC24"/>
    <mergeCell ref="BC25:BC26"/>
    <mergeCell ref="BC27:BC28"/>
    <mergeCell ref="BC29:BC30"/>
    <mergeCell ref="BC31:BC32"/>
    <mergeCell ref="BC33:BC34"/>
    <mergeCell ref="BC35:BC36"/>
    <mergeCell ref="BC37:BC38"/>
    <mergeCell ref="BC39:BC40"/>
    <mergeCell ref="BC41:BC42"/>
    <mergeCell ref="BC43:BC44"/>
    <mergeCell ref="BD9:BD10"/>
    <mergeCell ref="BD11:BD12"/>
    <mergeCell ref="BD13:BD14"/>
    <mergeCell ref="BD15:BD16"/>
    <mergeCell ref="BD17:BD18"/>
    <mergeCell ref="BD19:BD20"/>
    <mergeCell ref="BD21:BD22"/>
    <mergeCell ref="BD23:BD24"/>
    <mergeCell ref="BD25:BD26"/>
    <mergeCell ref="BC51:BC52"/>
    <mergeCell ref="BC53:BC54"/>
    <mergeCell ref="BC55:BC56"/>
    <mergeCell ref="BC57:BC58"/>
    <mergeCell ref="BC59:BC60"/>
    <mergeCell ref="BC61:BC62"/>
    <mergeCell ref="BC63:BC64"/>
    <mergeCell ref="BC65:BC66"/>
    <mergeCell ref="BD63:BD64"/>
    <mergeCell ref="BD65:BD66"/>
    <mergeCell ref="BC45:BC46"/>
    <mergeCell ref="BC47:BC48"/>
    <mergeCell ref="BC49:BC50"/>
    <mergeCell ref="BD91:BD92"/>
    <mergeCell ref="BD45:BD46"/>
    <mergeCell ref="BD47:BD48"/>
    <mergeCell ref="BD49:BD50"/>
    <mergeCell ref="BD51:BD52"/>
    <mergeCell ref="BD53:BD54"/>
    <mergeCell ref="BD55:BD56"/>
    <mergeCell ref="BD57:BD58"/>
    <mergeCell ref="BD59:BD60"/>
    <mergeCell ref="BD61:BD62"/>
    <mergeCell ref="BD27:BD28"/>
    <mergeCell ref="BD29:BD30"/>
    <mergeCell ref="BD31:BD32"/>
    <mergeCell ref="BD33:BD34"/>
    <mergeCell ref="BD35:BD36"/>
    <mergeCell ref="BD37:BD38"/>
    <mergeCell ref="BD39:BD40"/>
    <mergeCell ref="BD41:BD42"/>
    <mergeCell ref="BD43:BD44"/>
    <mergeCell ref="BN9:BN10"/>
    <mergeCell ref="BN11:BN12"/>
    <mergeCell ref="BN13:BN14"/>
    <mergeCell ref="BN15:BN16"/>
    <mergeCell ref="BN17:BN18"/>
    <mergeCell ref="BN19:BN20"/>
    <mergeCell ref="BN21:BN22"/>
    <mergeCell ref="BN23:BN24"/>
    <mergeCell ref="BN25:BN26"/>
    <mergeCell ref="BN27:BN28"/>
    <mergeCell ref="BN29:BN30"/>
    <mergeCell ref="BN31:BN32"/>
    <mergeCell ref="BN33:BN34"/>
    <mergeCell ref="BN35:BN36"/>
    <mergeCell ref="BN37:BN38"/>
    <mergeCell ref="BN39:BN40"/>
    <mergeCell ref="BN41:BN42"/>
    <mergeCell ref="BO9:BO10"/>
    <mergeCell ref="BO11:BO12"/>
    <mergeCell ref="BO13:BO14"/>
    <mergeCell ref="BO15:BO16"/>
    <mergeCell ref="BO17:BO18"/>
    <mergeCell ref="BO19:BO20"/>
    <mergeCell ref="BO21:BO22"/>
    <mergeCell ref="BO23:BO24"/>
    <mergeCell ref="BO25:BO26"/>
    <mergeCell ref="BO27:BO28"/>
    <mergeCell ref="BO29:BO30"/>
    <mergeCell ref="BO31:BO32"/>
    <mergeCell ref="BO33:BO34"/>
    <mergeCell ref="BO35:BO36"/>
    <mergeCell ref="BO37:BO38"/>
    <mergeCell ref="BO39:BO40"/>
    <mergeCell ref="BO41:BO42"/>
    <mergeCell ref="BV37:BV38"/>
    <mergeCell ref="BV39:BV40"/>
    <mergeCell ref="BV41:BV42"/>
    <mergeCell ref="BO57:BO58"/>
    <mergeCell ref="BO59:BO60"/>
    <mergeCell ref="BO61:BO62"/>
    <mergeCell ref="BO63:BO64"/>
    <mergeCell ref="BO65:BO66"/>
    <mergeCell ref="BO91:BO92"/>
    <mergeCell ref="BN43:BN44"/>
    <mergeCell ref="BN45:BN46"/>
    <mergeCell ref="BN47:BN48"/>
    <mergeCell ref="BN49:BN50"/>
    <mergeCell ref="BN51:BN52"/>
    <mergeCell ref="BN53:BN54"/>
    <mergeCell ref="BN55:BN56"/>
    <mergeCell ref="BN57:BN58"/>
    <mergeCell ref="BN59:BN60"/>
    <mergeCell ref="BN61:BN62"/>
    <mergeCell ref="BN63:BN64"/>
    <mergeCell ref="BN65:BN66"/>
    <mergeCell ref="BN91:BN92"/>
    <mergeCell ref="BO43:BO44"/>
    <mergeCell ref="BO45:BO46"/>
    <mergeCell ref="BP41:BP42"/>
    <mergeCell ref="BP43:BP44"/>
    <mergeCell ref="BP47:BP48"/>
    <mergeCell ref="BP49:BP50"/>
    <mergeCell ref="BP51:BP52"/>
    <mergeCell ref="BP53:BP54"/>
    <mergeCell ref="BP55:BP56"/>
    <mergeCell ref="BP57:BP58"/>
    <mergeCell ref="BO55:BO56"/>
    <mergeCell ref="BW9:BW10"/>
    <mergeCell ref="BW11:BW12"/>
    <mergeCell ref="BW13:BW14"/>
    <mergeCell ref="BW15:BW16"/>
    <mergeCell ref="BW17:BW18"/>
    <mergeCell ref="BW19:BW20"/>
    <mergeCell ref="BW21:BW22"/>
    <mergeCell ref="BW23:BW24"/>
    <mergeCell ref="BW25:BW26"/>
    <mergeCell ref="BW27:BW28"/>
    <mergeCell ref="BW29:BW30"/>
    <mergeCell ref="BW31:BW32"/>
    <mergeCell ref="BW33:BW34"/>
    <mergeCell ref="BW35:BW36"/>
    <mergeCell ref="BW37:BW38"/>
    <mergeCell ref="BW39:BW40"/>
    <mergeCell ref="BW41:BW42"/>
    <mergeCell ref="BV9:BV10"/>
    <mergeCell ref="BV11:BV12"/>
    <mergeCell ref="BV13:BV14"/>
    <mergeCell ref="BV15:BV16"/>
    <mergeCell ref="BV17:BV18"/>
    <mergeCell ref="BV19:BV20"/>
    <mergeCell ref="BV21:BV22"/>
    <mergeCell ref="BV23:BV24"/>
    <mergeCell ref="BV25:BV26"/>
    <mergeCell ref="BV27:BV28"/>
    <mergeCell ref="BV29:BV30"/>
    <mergeCell ref="BV31:BV32"/>
    <mergeCell ref="BV33:BV34"/>
    <mergeCell ref="BV35:BV36"/>
    <mergeCell ref="CI6:CK7"/>
    <mergeCell ref="BW47:BW48"/>
    <mergeCell ref="BW49:BW50"/>
    <mergeCell ref="BW51:BW52"/>
    <mergeCell ref="BW53:BW54"/>
    <mergeCell ref="BW55:BW56"/>
    <mergeCell ref="BW57:BW58"/>
    <mergeCell ref="BW59:BW60"/>
    <mergeCell ref="BW61:BW62"/>
    <mergeCell ref="BW63:BW64"/>
    <mergeCell ref="BW65:BW66"/>
    <mergeCell ref="BW91:BW92"/>
    <mergeCell ref="AZ43:AZ44"/>
    <mergeCell ref="BV43:BV44"/>
    <mergeCell ref="BV45:BV46"/>
    <mergeCell ref="BV47:BV48"/>
    <mergeCell ref="BV49:BV50"/>
    <mergeCell ref="BV51:BV52"/>
    <mergeCell ref="BV53:BV54"/>
    <mergeCell ref="BV55:BV56"/>
    <mergeCell ref="BV57:BV58"/>
    <mergeCell ref="BV59:BV60"/>
    <mergeCell ref="BV61:BV62"/>
    <mergeCell ref="BV63:BV64"/>
    <mergeCell ref="BV65:BV66"/>
    <mergeCell ref="BV91:BV92"/>
    <mergeCell ref="BW43:BW44"/>
    <mergeCell ref="BW45:BW46"/>
    <mergeCell ref="BO47:BO48"/>
    <mergeCell ref="BO49:BO50"/>
    <mergeCell ref="BO51:BO52"/>
    <mergeCell ref="BO53:BO54"/>
    <mergeCell ref="A67:A68"/>
    <mergeCell ref="B67:B68"/>
    <mergeCell ref="C67:C68"/>
    <mergeCell ref="D67:D68"/>
    <mergeCell ref="F67:F68"/>
    <mergeCell ref="G67:G68"/>
    <mergeCell ref="H67:H68"/>
    <mergeCell ref="I67:I68"/>
    <mergeCell ref="J67:J68"/>
    <mergeCell ref="K67:K68"/>
    <mergeCell ref="M67:M68"/>
    <mergeCell ref="O67:O68"/>
    <mergeCell ref="P67:P68"/>
    <mergeCell ref="R67:R68"/>
    <mergeCell ref="S67:S68"/>
    <mergeCell ref="U67:U68"/>
    <mergeCell ref="V67:V68"/>
    <mergeCell ref="X67:X68"/>
    <mergeCell ref="Y67:Y68"/>
    <mergeCell ref="AA67:AA68"/>
    <mergeCell ref="AB67:AB68"/>
    <mergeCell ref="AD67:AD68"/>
    <mergeCell ref="AE67:AE68"/>
    <mergeCell ref="AG67:AG68"/>
    <mergeCell ref="AH67:AH68"/>
    <mergeCell ref="AJ67:AJ68"/>
    <mergeCell ref="AK67:AK68"/>
    <mergeCell ref="AL67:AL68"/>
    <mergeCell ref="AM67:AM68"/>
    <mergeCell ref="AZ67:AZ68"/>
    <mergeCell ref="BA67:BA68"/>
    <mergeCell ref="BB67:BB68"/>
    <mergeCell ref="BC67:BC68"/>
    <mergeCell ref="BD67:BD68"/>
    <mergeCell ref="BN67:BN68"/>
    <mergeCell ref="BO67:BO68"/>
    <mergeCell ref="BP67:BP68"/>
    <mergeCell ref="BQ67:BQ68"/>
    <mergeCell ref="BR67:BR68"/>
    <mergeCell ref="BS67:BS68"/>
    <mergeCell ref="BT67:BT68"/>
    <mergeCell ref="BU67:BU68"/>
    <mergeCell ref="BV67:BV68"/>
    <mergeCell ref="BW67:BW68"/>
    <mergeCell ref="BX67:BX68"/>
    <mergeCell ref="BY67:BY68"/>
    <mergeCell ref="BZ67:BZ68"/>
    <mergeCell ref="CA67:CA68"/>
    <mergeCell ref="CB67:CB68"/>
    <mergeCell ref="CC67:CC68"/>
    <mergeCell ref="CD67:CD68"/>
    <mergeCell ref="CE67:CE68"/>
    <mergeCell ref="CF67:CF68"/>
    <mergeCell ref="CG67:CG68"/>
    <mergeCell ref="A69:A70"/>
    <mergeCell ref="B69:B70"/>
    <mergeCell ref="C69:C70"/>
    <mergeCell ref="D69:D70"/>
    <mergeCell ref="F69:F70"/>
    <mergeCell ref="G69:G70"/>
    <mergeCell ref="H69:H70"/>
    <mergeCell ref="I69:I70"/>
    <mergeCell ref="J69:J70"/>
    <mergeCell ref="K69:K70"/>
    <mergeCell ref="M69:M70"/>
    <mergeCell ref="O69:O70"/>
    <mergeCell ref="P69:P70"/>
    <mergeCell ref="R69:R70"/>
    <mergeCell ref="S69:S70"/>
    <mergeCell ref="U69:U70"/>
    <mergeCell ref="V69:V70"/>
    <mergeCell ref="X69:X70"/>
    <mergeCell ref="Y69:Y70"/>
    <mergeCell ref="AA69:AA70"/>
    <mergeCell ref="AB69:AB70"/>
    <mergeCell ref="AD69:AD70"/>
    <mergeCell ref="AE69:AE70"/>
    <mergeCell ref="AG69:AG70"/>
    <mergeCell ref="AH69:AH70"/>
    <mergeCell ref="AJ69:AJ70"/>
    <mergeCell ref="AK69:AK70"/>
    <mergeCell ref="AL69:AL70"/>
    <mergeCell ref="AM69:AM70"/>
    <mergeCell ref="BB69:BB70"/>
    <mergeCell ref="BC69:BC70"/>
    <mergeCell ref="BD69:BD70"/>
    <mergeCell ref="BN69:BN70"/>
    <mergeCell ref="BO69:BO70"/>
    <mergeCell ref="BP69:BP70"/>
    <mergeCell ref="BQ69:BQ70"/>
    <mergeCell ref="BR69:BR70"/>
    <mergeCell ref="BS69:BS70"/>
    <mergeCell ref="BT69:BT70"/>
    <mergeCell ref="BU69:BU70"/>
    <mergeCell ref="BV69:BV70"/>
    <mergeCell ref="BW69:BW70"/>
    <mergeCell ref="BX69:BX70"/>
    <mergeCell ref="BY69:BY70"/>
    <mergeCell ref="BZ69:BZ70"/>
    <mergeCell ref="CA69:CA70"/>
    <mergeCell ref="CB69:CB70"/>
    <mergeCell ref="CC69:CC70"/>
    <mergeCell ref="CD69:CD70"/>
    <mergeCell ref="CE69:CE70"/>
    <mergeCell ref="CF69:CF70"/>
    <mergeCell ref="CG69:CG70"/>
    <mergeCell ref="A71:A72"/>
    <mergeCell ref="B71:B72"/>
    <mergeCell ref="C71:C72"/>
    <mergeCell ref="D71:D72"/>
    <mergeCell ref="F71:F72"/>
    <mergeCell ref="G71:G72"/>
    <mergeCell ref="H71:H72"/>
    <mergeCell ref="I71:I72"/>
    <mergeCell ref="J71:J72"/>
    <mergeCell ref="K71:K72"/>
    <mergeCell ref="M71:M72"/>
    <mergeCell ref="O71:O72"/>
    <mergeCell ref="P71:P72"/>
    <mergeCell ref="R71:R72"/>
    <mergeCell ref="S71:S72"/>
    <mergeCell ref="U71:U72"/>
    <mergeCell ref="V71:V72"/>
    <mergeCell ref="X71:X72"/>
    <mergeCell ref="Y71:Y72"/>
    <mergeCell ref="AA71:AA72"/>
    <mergeCell ref="AB71:AB72"/>
    <mergeCell ref="AD71:AD72"/>
    <mergeCell ref="AE71:AE72"/>
    <mergeCell ref="AG71:AG72"/>
    <mergeCell ref="AH71:AH72"/>
    <mergeCell ref="AJ71:AJ72"/>
    <mergeCell ref="AZ71:AZ72"/>
    <mergeCell ref="BA71:BA72"/>
    <mergeCell ref="BB71:BB72"/>
    <mergeCell ref="BC71:BC72"/>
    <mergeCell ref="BD71:BD72"/>
    <mergeCell ref="BN71:BN72"/>
    <mergeCell ref="BO71:BO72"/>
    <mergeCell ref="BP71:BP72"/>
    <mergeCell ref="BQ71:BQ72"/>
    <mergeCell ref="BR71:BR72"/>
    <mergeCell ref="BS71:BS72"/>
    <mergeCell ref="BT71:BT72"/>
    <mergeCell ref="BU71:BU72"/>
    <mergeCell ref="BV71:BV72"/>
    <mergeCell ref="BW71:BW72"/>
    <mergeCell ref="BX71:BX72"/>
    <mergeCell ref="BY71:BY72"/>
    <mergeCell ref="BZ71:BZ72"/>
    <mergeCell ref="CA71:CA72"/>
    <mergeCell ref="CB71:CB72"/>
    <mergeCell ref="CC71:CC72"/>
    <mergeCell ref="CD71:CD72"/>
    <mergeCell ref="CE71:CE72"/>
    <mergeCell ref="CF71:CF72"/>
    <mergeCell ref="CG71:CG72"/>
    <mergeCell ref="A73:A74"/>
    <mergeCell ref="B73:B74"/>
    <mergeCell ref="C73:C74"/>
    <mergeCell ref="D73:D74"/>
    <mergeCell ref="F73:F74"/>
    <mergeCell ref="G73:G74"/>
    <mergeCell ref="H73:H74"/>
    <mergeCell ref="I73:I74"/>
    <mergeCell ref="J73:J74"/>
    <mergeCell ref="K73:K74"/>
    <mergeCell ref="M73:M74"/>
    <mergeCell ref="O73:O74"/>
    <mergeCell ref="P73:P74"/>
    <mergeCell ref="R73:R74"/>
    <mergeCell ref="S73:S74"/>
    <mergeCell ref="U73:U74"/>
    <mergeCell ref="V73:V74"/>
    <mergeCell ref="X73:X74"/>
    <mergeCell ref="Y73:Y74"/>
    <mergeCell ref="AA73:AA74"/>
    <mergeCell ref="AB73:AB74"/>
    <mergeCell ref="AD73:AD74"/>
    <mergeCell ref="AE73:AE74"/>
    <mergeCell ref="AG73:AG74"/>
    <mergeCell ref="AZ73:AZ74"/>
    <mergeCell ref="BA73:BA74"/>
    <mergeCell ref="BB73:BB74"/>
    <mergeCell ref="BC73:BC74"/>
    <mergeCell ref="BD73:BD74"/>
    <mergeCell ref="BN73:BN74"/>
    <mergeCell ref="BO73:BO74"/>
    <mergeCell ref="BP73:BP74"/>
    <mergeCell ref="BQ73:BQ74"/>
    <mergeCell ref="BR73:BR74"/>
    <mergeCell ref="BS73:BS74"/>
    <mergeCell ref="BT73:BT74"/>
    <mergeCell ref="BU73:BU74"/>
    <mergeCell ref="BV73:BV74"/>
    <mergeCell ref="BW73:BW74"/>
    <mergeCell ref="BX73:BX74"/>
    <mergeCell ref="BY73:BY74"/>
    <mergeCell ref="BZ73:BZ74"/>
    <mergeCell ref="CA73:CA74"/>
    <mergeCell ref="CB73:CB74"/>
    <mergeCell ref="CC73:CC74"/>
    <mergeCell ref="CD73:CD74"/>
    <mergeCell ref="CE73:CE74"/>
    <mergeCell ref="CF73:CF74"/>
    <mergeCell ref="CG73:CG74"/>
    <mergeCell ref="A75:A76"/>
    <mergeCell ref="B75:B76"/>
    <mergeCell ref="C75:C76"/>
    <mergeCell ref="D75:D76"/>
    <mergeCell ref="F75:F76"/>
    <mergeCell ref="G75:G76"/>
    <mergeCell ref="H75:H76"/>
    <mergeCell ref="I75:I76"/>
    <mergeCell ref="J75:J76"/>
    <mergeCell ref="K75:K76"/>
    <mergeCell ref="M75:M76"/>
    <mergeCell ref="O75:O76"/>
    <mergeCell ref="P75:P76"/>
    <mergeCell ref="R75:R76"/>
    <mergeCell ref="S75:S76"/>
    <mergeCell ref="U75:U76"/>
    <mergeCell ref="V75:V76"/>
    <mergeCell ref="X75:X76"/>
    <mergeCell ref="Y75:Y76"/>
    <mergeCell ref="AA75:AA76"/>
    <mergeCell ref="AB75:AB76"/>
    <mergeCell ref="AD75:AD76"/>
    <mergeCell ref="AE75:AE76"/>
    <mergeCell ref="AG75:AG76"/>
    <mergeCell ref="AM75:AM76"/>
    <mergeCell ref="AZ75:AZ76"/>
    <mergeCell ref="BA75:BA76"/>
    <mergeCell ref="BB75:BB76"/>
    <mergeCell ref="BC75:BC76"/>
    <mergeCell ref="BD75:BD76"/>
    <mergeCell ref="BN75:BN76"/>
    <mergeCell ref="BO75:BO76"/>
    <mergeCell ref="BP75:BP76"/>
    <mergeCell ref="BQ75:BQ76"/>
    <mergeCell ref="BR75:BR76"/>
    <mergeCell ref="BS75:BS76"/>
    <mergeCell ref="BT75:BT76"/>
    <mergeCell ref="BU75:BU76"/>
    <mergeCell ref="BV75:BV76"/>
    <mergeCell ref="BW75:BW76"/>
    <mergeCell ref="BX75:BX76"/>
    <mergeCell ref="BY75:BY76"/>
    <mergeCell ref="BZ75:BZ76"/>
    <mergeCell ref="CA75:CA76"/>
    <mergeCell ref="CB75:CB76"/>
    <mergeCell ref="CC75:CC76"/>
    <mergeCell ref="CD75:CD76"/>
    <mergeCell ref="CE75:CE76"/>
    <mergeCell ref="CF75:CF76"/>
    <mergeCell ref="CG75:CG76"/>
    <mergeCell ref="A77:A78"/>
    <mergeCell ref="B77:B78"/>
    <mergeCell ref="C77:C78"/>
    <mergeCell ref="D77:D78"/>
    <mergeCell ref="F77:F78"/>
    <mergeCell ref="G77:G78"/>
    <mergeCell ref="H77:H78"/>
    <mergeCell ref="I77:I78"/>
    <mergeCell ref="J77:J78"/>
    <mergeCell ref="K77:K78"/>
    <mergeCell ref="M77:M78"/>
    <mergeCell ref="O77:O78"/>
    <mergeCell ref="P77:P78"/>
    <mergeCell ref="R77:R78"/>
    <mergeCell ref="S77:S78"/>
    <mergeCell ref="U77:U78"/>
    <mergeCell ref="V77:V78"/>
    <mergeCell ref="X77:X78"/>
    <mergeCell ref="Y77:Y78"/>
    <mergeCell ref="AA77:AA78"/>
    <mergeCell ref="AB77:AB78"/>
    <mergeCell ref="AD77:AD78"/>
    <mergeCell ref="AE77:AE78"/>
    <mergeCell ref="AG77:AG78"/>
    <mergeCell ref="AH77:AH78"/>
    <mergeCell ref="AJ77:AJ78"/>
    <mergeCell ref="AK77:AK78"/>
    <mergeCell ref="AL77:AL78"/>
    <mergeCell ref="AM77:AM78"/>
    <mergeCell ref="AZ77:AZ78"/>
    <mergeCell ref="BA77:BA78"/>
    <mergeCell ref="BB77:BB78"/>
    <mergeCell ref="BC77:BC78"/>
    <mergeCell ref="BD77:BD78"/>
    <mergeCell ref="BN77:BN78"/>
    <mergeCell ref="BO77:BO78"/>
    <mergeCell ref="BP77:BP78"/>
    <mergeCell ref="BQ77:BQ78"/>
    <mergeCell ref="BR77:BR78"/>
    <mergeCell ref="BS77:BS78"/>
    <mergeCell ref="BT77:BT78"/>
    <mergeCell ref="BU77:BU78"/>
    <mergeCell ref="BV77:BV78"/>
    <mergeCell ref="BW77:BW78"/>
    <mergeCell ref="BX77:BX78"/>
    <mergeCell ref="BY77:BY78"/>
    <mergeCell ref="BZ77:BZ78"/>
    <mergeCell ref="CA77:CA78"/>
    <mergeCell ref="CB77:CB78"/>
    <mergeCell ref="CC77:CC78"/>
    <mergeCell ref="CD77:CD78"/>
    <mergeCell ref="CE77:CE78"/>
    <mergeCell ref="CF77:CF78"/>
    <mergeCell ref="CG77:CG78"/>
    <mergeCell ref="A79:A80"/>
    <mergeCell ref="B79:B80"/>
    <mergeCell ref="C79:C80"/>
    <mergeCell ref="D79:D80"/>
    <mergeCell ref="F79:F80"/>
    <mergeCell ref="G79:G80"/>
    <mergeCell ref="H79:H80"/>
    <mergeCell ref="I79:I80"/>
    <mergeCell ref="J79:J80"/>
    <mergeCell ref="K79:K80"/>
    <mergeCell ref="M79:M80"/>
    <mergeCell ref="O79:O80"/>
    <mergeCell ref="P79:P80"/>
    <mergeCell ref="R79:R80"/>
    <mergeCell ref="S79:S80"/>
    <mergeCell ref="U79:U80"/>
    <mergeCell ref="V79:V80"/>
    <mergeCell ref="X79:X80"/>
    <mergeCell ref="Y79:Y80"/>
    <mergeCell ref="AA79:AA80"/>
    <mergeCell ref="AB79:AB80"/>
    <mergeCell ref="AD79:AD80"/>
    <mergeCell ref="AE79:AE80"/>
    <mergeCell ref="AG79:AG80"/>
    <mergeCell ref="AH79:AH80"/>
    <mergeCell ref="AJ79:AJ80"/>
    <mergeCell ref="AK79:AK80"/>
    <mergeCell ref="AL79:AL80"/>
    <mergeCell ref="AM79:AM80"/>
    <mergeCell ref="AZ79:AZ80"/>
    <mergeCell ref="BA79:BA80"/>
    <mergeCell ref="BB79:BB80"/>
    <mergeCell ref="BC79:BC80"/>
    <mergeCell ref="BD79:BD80"/>
    <mergeCell ref="BN79:BN80"/>
    <mergeCell ref="BO79:BO80"/>
    <mergeCell ref="BP79:BP80"/>
    <mergeCell ref="BQ79:BQ80"/>
    <mergeCell ref="BR79:BR80"/>
    <mergeCell ref="BS79:BS80"/>
    <mergeCell ref="BT79:BT80"/>
    <mergeCell ref="BU79:BU80"/>
    <mergeCell ref="BV79:BV80"/>
    <mergeCell ref="BW79:BW80"/>
    <mergeCell ref="BX79:BX80"/>
    <mergeCell ref="BY79:BY80"/>
    <mergeCell ref="BZ79:BZ80"/>
    <mergeCell ref="CA79:CA80"/>
    <mergeCell ref="CB79:CB80"/>
    <mergeCell ref="CC79:CC80"/>
    <mergeCell ref="CD79:CD80"/>
    <mergeCell ref="CE79:CE80"/>
    <mergeCell ref="CF79:CF80"/>
    <mergeCell ref="CG79:CG80"/>
    <mergeCell ref="A81:A82"/>
    <mergeCell ref="B81:B82"/>
    <mergeCell ref="C81:C82"/>
    <mergeCell ref="D81:D82"/>
    <mergeCell ref="F81:F82"/>
    <mergeCell ref="G81:G82"/>
    <mergeCell ref="H81:H82"/>
    <mergeCell ref="I81:I82"/>
    <mergeCell ref="J81:J82"/>
    <mergeCell ref="K81:K82"/>
    <mergeCell ref="M81:M82"/>
    <mergeCell ref="O81:O82"/>
    <mergeCell ref="P81:P82"/>
    <mergeCell ref="R81:R82"/>
    <mergeCell ref="S81:S82"/>
    <mergeCell ref="U81:U82"/>
    <mergeCell ref="V81:V82"/>
    <mergeCell ref="X81:X82"/>
    <mergeCell ref="Y81:Y82"/>
    <mergeCell ref="AA81:AA82"/>
    <mergeCell ref="AB81:AB82"/>
    <mergeCell ref="AD81:AD82"/>
    <mergeCell ref="AE81:AE82"/>
    <mergeCell ref="AG81:AG82"/>
    <mergeCell ref="AH81:AH82"/>
    <mergeCell ref="AJ81:AJ82"/>
    <mergeCell ref="AK81:AK82"/>
    <mergeCell ref="AL81:AL82"/>
    <mergeCell ref="AM81:AM82"/>
    <mergeCell ref="AZ81:AZ82"/>
    <mergeCell ref="BA81:BA82"/>
    <mergeCell ref="BB81:BB82"/>
    <mergeCell ref="BC81:BC82"/>
    <mergeCell ref="BD81:BD82"/>
    <mergeCell ref="BN81:BN82"/>
    <mergeCell ref="BO81:BO82"/>
    <mergeCell ref="BP81:BP82"/>
    <mergeCell ref="BQ81:BQ82"/>
    <mergeCell ref="BR81:BR82"/>
    <mergeCell ref="BS81:BS82"/>
    <mergeCell ref="BT81:BT82"/>
    <mergeCell ref="BU81:BU82"/>
    <mergeCell ref="BV81:BV82"/>
    <mergeCell ref="BW81:BW82"/>
    <mergeCell ref="BX81:BX82"/>
    <mergeCell ref="BY81:BY82"/>
    <mergeCell ref="BZ81:BZ82"/>
    <mergeCell ref="CA81:CA82"/>
    <mergeCell ref="CB81:CB82"/>
    <mergeCell ref="CC81:CC82"/>
    <mergeCell ref="CD81:CD82"/>
    <mergeCell ref="CE81:CE82"/>
    <mergeCell ref="CF81:CF82"/>
    <mergeCell ref="CG81:CG82"/>
    <mergeCell ref="A83:A84"/>
    <mergeCell ref="B83:B84"/>
    <mergeCell ref="C83:C84"/>
    <mergeCell ref="D83:D84"/>
    <mergeCell ref="F83:F84"/>
    <mergeCell ref="G83:G84"/>
    <mergeCell ref="H83:H84"/>
    <mergeCell ref="I83:I84"/>
    <mergeCell ref="J83:J84"/>
    <mergeCell ref="K83:K84"/>
    <mergeCell ref="M83:M84"/>
    <mergeCell ref="O83:O84"/>
    <mergeCell ref="P83:P84"/>
    <mergeCell ref="R83:R84"/>
    <mergeCell ref="S83:S84"/>
    <mergeCell ref="U83:U84"/>
    <mergeCell ref="V83:V84"/>
    <mergeCell ref="X83:X84"/>
    <mergeCell ref="Y83:Y84"/>
    <mergeCell ref="AA83:AA84"/>
    <mergeCell ref="AB83:AB84"/>
    <mergeCell ref="AD83:AD84"/>
    <mergeCell ref="AE83:AE84"/>
    <mergeCell ref="AG83:AG84"/>
    <mergeCell ref="AH83:AH84"/>
    <mergeCell ref="AJ83:AJ84"/>
    <mergeCell ref="AK83:AK84"/>
    <mergeCell ref="AL83:AL84"/>
    <mergeCell ref="AM83:AM84"/>
    <mergeCell ref="AZ83:AZ84"/>
    <mergeCell ref="BA83:BA84"/>
    <mergeCell ref="BB83:BB84"/>
    <mergeCell ref="BC83:BC84"/>
    <mergeCell ref="BD83:BD84"/>
    <mergeCell ref="BN83:BN84"/>
    <mergeCell ref="BO83:BO84"/>
    <mergeCell ref="BP83:BP84"/>
    <mergeCell ref="BQ83:BQ84"/>
    <mergeCell ref="BR83:BR84"/>
    <mergeCell ref="BS83:BS84"/>
    <mergeCell ref="BT83:BT84"/>
    <mergeCell ref="BU83:BU84"/>
    <mergeCell ref="BV83:BV84"/>
    <mergeCell ref="BW83:BW84"/>
    <mergeCell ref="BX83:BX84"/>
    <mergeCell ref="BY83:BY84"/>
    <mergeCell ref="BZ83:BZ84"/>
    <mergeCell ref="CA83:CA84"/>
    <mergeCell ref="CB83:CB84"/>
    <mergeCell ref="CC83:CC84"/>
    <mergeCell ref="CD83:CD84"/>
    <mergeCell ref="CE83:CE84"/>
    <mergeCell ref="CF83:CF84"/>
    <mergeCell ref="CG83:CG84"/>
    <mergeCell ref="A85:A86"/>
    <mergeCell ref="B85:B86"/>
    <mergeCell ref="C85:C86"/>
    <mergeCell ref="D85:D86"/>
    <mergeCell ref="F85:F86"/>
    <mergeCell ref="G85:G86"/>
    <mergeCell ref="H85:H86"/>
    <mergeCell ref="I85:I86"/>
    <mergeCell ref="J85:J86"/>
    <mergeCell ref="K85:K86"/>
    <mergeCell ref="M85:M86"/>
    <mergeCell ref="O85:O86"/>
    <mergeCell ref="P85:P86"/>
    <mergeCell ref="R85:R86"/>
    <mergeCell ref="S85:S86"/>
    <mergeCell ref="U85:U86"/>
    <mergeCell ref="V85:V86"/>
    <mergeCell ref="X85:X86"/>
    <mergeCell ref="Y85:Y86"/>
    <mergeCell ref="AA85:AA86"/>
    <mergeCell ref="AB85:AB86"/>
    <mergeCell ref="AD85:AD86"/>
    <mergeCell ref="AE85:AE86"/>
    <mergeCell ref="AG85:AG86"/>
    <mergeCell ref="AH85:AH86"/>
    <mergeCell ref="AJ85:AJ86"/>
    <mergeCell ref="AK85:AK86"/>
    <mergeCell ref="AL85:AL86"/>
    <mergeCell ref="AM85:AM86"/>
    <mergeCell ref="AZ85:AZ86"/>
    <mergeCell ref="BA85:BA86"/>
    <mergeCell ref="BB85:BB86"/>
    <mergeCell ref="BC85:BC86"/>
    <mergeCell ref="BD85:BD86"/>
    <mergeCell ref="BN85:BN86"/>
    <mergeCell ref="BO85:BO86"/>
    <mergeCell ref="BP85:BP86"/>
    <mergeCell ref="BT85:BT86"/>
    <mergeCell ref="BU85:BU86"/>
    <mergeCell ref="BV85:BV86"/>
    <mergeCell ref="BW85:BW86"/>
    <mergeCell ref="BX85:BX86"/>
    <mergeCell ref="BY85:BY86"/>
    <mergeCell ref="BZ85:BZ86"/>
    <mergeCell ref="CA85:CA86"/>
    <mergeCell ref="CB85:CB86"/>
    <mergeCell ref="CC85:CC86"/>
    <mergeCell ref="CD85:CD86"/>
    <mergeCell ref="CE85:CE86"/>
    <mergeCell ref="CF85:CF86"/>
    <mergeCell ref="CG85:CG86"/>
    <mergeCell ref="A87:A88"/>
    <mergeCell ref="B87:B88"/>
    <mergeCell ref="C87:C88"/>
    <mergeCell ref="D87:D88"/>
    <mergeCell ref="F87:F88"/>
    <mergeCell ref="G87:G88"/>
    <mergeCell ref="H87:H88"/>
    <mergeCell ref="I87:I88"/>
    <mergeCell ref="J87:J88"/>
    <mergeCell ref="K87:K88"/>
    <mergeCell ref="M87:M88"/>
    <mergeCell ref="O87:O88"/>
    <mergeCell ref="P87:P88"/>
    <mergeCell ref="R87:R88"/>
    <mergeCell ref="S87:S88"/>
    <mergeCell ref="U87:U88"/>
    <mergeCell ref="V87:V88"/>
    <mergeCell ref="X87:X88"/>
    <mergeCell ref="Y87:Y88"/>
    <mergeCell ref="AA87:AA88"/>
    <mergeCell ref="AB87:AB88"/>
    <mergeCell ref="AD87:AD88"/>
    <mergeCell ref="AE87:AE88"/>
    <mergeCell ref="AG87:AG88"/>
    <mergeCell ref="AH87:AH88"/>
    <mergeCell ref="AJ87:AJ88"/>
    <mergeCell ref="AK87:AK88"/>
    <mergeCell ref="AL87:AL88"/>
    <mergeCell ref="AM87:AM88"/>
    <mergeCell ref="AZ87:AZ88"/>
    <mergeCell ref="BA87:BA88"/>
    <mergeCell ref="BB87:BB88"/>
    <mergeCell ref="BC87:BC88"/>
    <mergeCell ref="BD87:BD88"/>
    <mergeCell ref="BN87:BN88"/>
    <mergeCell ref="BO87:BO88"/>
    <mergeCell ref="BP87:BP88"/>
    <mergeCell ref="BQ87:BQ88"/>
    <mergeCell ref="BR87:BR88"/>
    <mergeCell ref="BS87:BS88"/>
    <mergeCell ref="BT87:BT88"/>
    <mergeCell ref="BU87:BU88"/>
    <mergeCell ref="BV87:BV88"/>
    <mergeCell ref="BW87:BW88"/>
    <mergeCell ref="BX87:BX88"/>
    <mergeCell ref="BY87:BY88"/>
    <mergeCell ref="BZ87:BZ88"/>
    <mergeCell ref="CA87:CA88"/>
    <mergeCell ref="CB87:CB88"/>
    <mergeCell ref="CC87:CC88"/>
    <mergeCell ref="CD87:CD88"/>
    <mergeCell ref="CE87:CE88"/>
    <mergeCell ref="CF87:CF88"/>
    <mergeCell ref="CG87:CG88"/>
    <mergeCell ref="A89:A90"/>
    <mergeCell ref="B89:B90"/>
    <mergeCell ref="C89:C90"/>
    <mergeCell ref="D89:D90"/>
    <mergeCell ref="F89:F90"/>
    <mergeCell ref="G89:G90"/>
    <mergeCell ref="H89:H90"/>
    <mergeCell ref="I89:I90"/>
    <mergeCell ref="J89:J90"/>
    <mergeCell ref="K89:K90"/>
    <mergeCell ref="M89:M90"/>
    <mergeCell ref="O89:O90"/>
    <mergeCell ref="P89:P90"/>
    <mergeCell ref="R89:R90"/>
    <mergeCell ref="S89:S90"/>
    <mergeCell ref="U89:U90"/>
    <mergeCell ref="V89:V90"/>
    <mergeCell ref="X89:X90"/>
    <mergeCell ref="Y89:Y90"/>
    <mergeCell ref="AA89:AA90"/>
    <mergeCell ref="AB89:AB90"/>
    <mergeCell ref="AD89:AD90"/>
    <mergeCell ref="AE89:AE90"/>
    <mergeCell ref="AG89:AG90"/>
    <mergeCell ref="AH89:AH90"/>
    <mergeCell ref="AJ89:AJ90"/>
    <mergeCell ref="AK89:AK90"/>
    <mergeCell ref="AL89:AL90"/>
    <mergeCell ref="AM89:AM90"/>
    <mergeCell ref="AZ89:AZ90"/>
    <mergeCell ref="CA89:CA90"/>
    <mergeCell ref="CB89:CB90"/>
    <mergeCell ref="CC89:CC90"/>
    <mergeCell ref="CD89:CD90"/>
    <mergeCell ref="CE89:CE90"/>
    <mergeCell ref="CF89:CF90"/>
    <mergeCell ref="CG89:CG90"/>
    <mergeCell ref="BA89:BA90"/>
    <mergeCell ref="BB89:BB90"/>
    <mergeCell ref="BC89:BC90"/>
    <mergeCell ref="BD89:BD90"/>
    <mergeCell ref="BN89:BN90"/>
    <mergeCell ref="BO89:BO90"/>
    <mergeCell ref="BP89:BP90"/>
    <mergeCell ref="BQ89:BQ90"/>
    <mergeCell ref="BR89:BR90"/>
    <mergeCell ref="BS89:BS90"/>
    <mergeCell ref="BT89:BT90"/>
    <mergeCell ref="BU89:BU90"/>
    <mergeCell ref="BV89:BV90"/>
    <mergeCell ref="BW89:BW90"/>
    <mergeCell ref="BX89:BX90"/>
    <mergeCell ref="BY89:BY90"/>
    <mergeCell ref="BZ89:BZ90"/>
  </mergeCells>
  <conditionalFormatting sqref="A5">
    <cfRule type="expression" dxfId="2351" priority="24">
      <formula>B5&gt;0</formula>
    </cfRule>
  </conditionalFormatting>
  <conditionalFormatting sqref="B5">
    <cfRule type="expression" dxfId="2350" priority="25">
      <formula>B5&gt;0</formula>
    </cfRule>
  </conditionalFormatting>
  <conditionalFormatting sqref="C9:D92">
    <cfRule type="expression" dxfId="2349" priority="1">
      <formula>AND($C9&lt;&gt;"",$D9&lt;&gt;"")</formula>
    </cfRule>
  </conditionalFormatting>
  <conditionalFormatting sqref="L10 L12 L14 L16 L18 L20 L22 L24 L26 L28 L30 L32 L34 L36 L38 L40 L42 L44 L46 L48 L50 L52 L54 L56 L58 L60 L62 L64 L66 L68 L70 L72 L74 L76 L78 L80 L82 L84 L86 L88 L90 L92">
    <cfRule type="expression" dxfId="2348" priority="2396">
      <formula>AND($L10="",$B9&lt;&gt;"")</formula>
    </cfRule>
  </conditionalFormatting>
  <conditionalFormatting sqref="N10 N12 N14 N16 N18 N20 N22 N24 N26 N28 N30 N32 N34 N36 N38 N40 N42 N44 N46 N48 N50 N52 N54 N56 N58 N60 N62 N64 N66 N68 N70 N72 N74 N76 N78 N80 N82 N84 N86 N88 N90 N92">
    <cfRule type="expression" dxfId="2347" priority="1051">
      <formula>AND(OR($N9&lt;&gt;"",$N10&lt;&gt;"",$O9&lt;&gt;""),$P9="TBD")</formula>
    </cfRule>
  </conditionalFormatting>
  <conditionalFormatting sqref="N9:P65">
    <cfRule type="expression" dxfId="2346" priority="154">
      <formula>AND(OR($N9&lt;&gt;"",$N10&lt;&gt;"",$O9&lt;&gt;""),$P9="TBD")</formula>
    </cfRule>
  </conditionalFormatting>
  <conditionalFormatting sqref="N66:P66">
    <cfRule type="expression" dxfId="2345" priority="2405">
      <formula>AND(OR($N66&lt;&gt;"",$N91&lt;&gt;"",$O66&lt;&gt;""),$P66="TBD")</formula>
    </cfRule>
  </conditionalFormatting>
  <conditionalFormatting sqref="N67:P85">
    <cfRule type="expression" dxfId="2344" priority="1052">
      <formula>AND(OR($N67&lt;&gt;"",$N68&lt;&gt;"",$O67&lt;&gt;""),$P67="TBD")</formula>
    </cfRule>
  </conditionalFormatting>
  <conditionalFormatting sqref="N86:P86 N90:P90">
    <cfRule type="expression" dxfId="2343" priority="2443">
      <formula>AND(OR($N86&lt;&gt;"",$N91&lt;&gt;"",$O86&lt;&gt;""),$P86="TBD")</formula>
    </cfRule>
  </conditionalFormatting>
  <conditionalFormatting sqref="N87:P89">
    <cfRule type="expression" dxfId="2342" priority="9">
      <formula>AND(OR($N87&lt;&gt;"",$N88&lt;&gt;"",$O87&lt;&gt;""),$P87="TBD")</formula>
    </cfRule>
  </conditionalFormatting>
  <conditionalFormatting sqref="N91:P92">
    <cfRule type="expression" dxfId="2341" priority="90">
      <formula>AND(OR($N91&lt;&gt;"",$N92&lt;&gt;"",$O91&lt;&gt;""),$P91="TBD")</formula>
    </cfRule>
  </conditionalFormatting>
  <conditionalFormatting sqref="Q10 Q12 Q14 Q16 Q18 Q20 Q22 Q24 Q26 Q28 Q30 Q32 Q34 Q36 Q38 Q40 Q42 Q44 Q46 Q48 Q50 Q52 Q54 Q56 Q58 Q60 Q62 Q64 Q66 Q68 Q70 Q72 Q74 Q76 Q78 Q80 Q82 Q84 Q86 Q88 Q90 Q92">
    <cfRule type="expression" dxfId="2340" priority="1021">
      <formula>AND(OR($Q9&lt;&gt;"",$Q10&lt;&gt;"",$R9&lt;&gt;""),$S9="TBD")</formula>
    </cfRule>
  </conditionalFormatting>
  <conditionalFormatting sqref="Q9:S65">
    <cfRule type="expression" dxfId="2339" priority="152">
      <formula>AND(OR($Q9&lt;&gt;"",$Q10&lt;&gt;"",$R9&lt;&gt;""),$S9="TBD")</formula>
    </cfRule>
  </conditionalFormatting>
  <conditionalFormatting sqref="Q66:S66">
    <cfRule type="expression" dxfId="2338" priority="2411">
      <formula>AND(OR($Q66&lt;&gt;"",$Q91&lt;&gt;"",$R66&lt;&gt;""),$S66="TBD")</formula>
    </cfRule>
  </conditionalFormatting>
  <conditionalFormatting sqref="Q67:S85">
    <cfRule type="expression" dxfId="2337" priority="1022">
      <formula>AND(OR($Q67&lt;&gt;"",$Q68&lt;&gt;"",$R67&lt;&gt;""),$S67="TBD")</formula>
    </cfRule>
  </conditionalFormatting>
  <conditionalFormatting sqref="Q86:S86 Q90:S90">
    <cfRule type="expression" dxfId="2336" priority="2445">
      <formula>AND(OR($Q86&lt;&gt;"",$Q91&lt;&gt;"",$R86&lt;&gt;""),$S86="TBD")</formula>
    </cfRule>
  </conditionalFormatting>
  <conditionalFormatting sqref="Q87:S89">
    <cfRule type="expression" dxfId="2335" priority="8">
      <formula>AND(OR($Q87&lt;&gt;"",$Q88&lt;&gt;"",$R87&lt;&gt;""),$S87="TBD")</formula>
    </cfRule>
  </conditionalFormatting>
  <conditionalFormatting sqref="Q91:S92">
    <cfRule type="expression" dxfId="2334" priority="88">
      <formula>AND(OR($Q91&lt;&gt;"",$Q92&lt;&gt;"",$R91&lt;&gt;""),$S91="TBD")</formula>
    </cfRule>
  </conditionalFormatting>
  <conditionalFormatting sqref="T10 T12 T14 T16 T18 T20 T22 T24 T26 T28 T30 T32 T34 T36 T38 T40 T42 T44 T46 T48 T50 T52 T54 T56 T58 T60 T62 T64 T66 T68 T70 T72 T74 T76 T78 T80 T82 T84 T86 T88 T90 T92">
    <cfRule type="expression" dxfId="2333" priority="991">
      <formula>AND(OR($T9&lt;&gt;"",$T10&lt;&gt;"",$U9&lt;&gt;""),$V9="TBD")</formula>
    </cfRule>
  </conditionalFormatting>
  <conditionalFormatting sqref="T9:V65">
    <cfRule type="expression" dxfId="2332" priority="150">
      <formula>AND(OR($T9&lt;&gt;"",$T10&lt;&gt;"",$U9&lt;&gt;""),$V9="TBD")</formula>
    </cfRule>
  </conditionalFormatting>
  <conditionalFormatting sqref="T66:V66">
    <cfRule type="expression" dxfId="2331" priority="2417">
      <formula>AND(OR($T66&lt;&gt;"",$T91&lt;&gt;"",$U66&lt;&gt;""),$V66="TBD")</formula>
    </cfRule>
  </conditionalFormatting>
  <conditionalFormatting sqref="T67:V85">
    <cfRule type="expression" dxfId="2330" priority="992">
      <formula>AND(OR($T67&lt;&gt;"",$T68&lt;&gt;"",$U67&lt;&gt;""),$V67="TBD")</formula>
    </cfRule>
  </conditionalFormatting>
  <conditionalFormatting sqref="T86:V86 T90:V90">
    <cfRule type="expression" dxfId="2329" priority="2447">
      <formula>AND(OR($T86&lt;&gt;"",$T91&lt;&gt;"",$U86&lt;&gt;""),$V86="TBD")</formula>
    </cfRule>
  </conditionalFormatting>
  <conditionalFormatting sqref="T87:V89">
    <cfRule type="expression" dxfId="2328" priority="7">
      <formula>AND(OR($T87&lt;&gt;"",$T88&lt;&gt;"",$U87&lt;&gt;""),$V87="TBD")</formula>
    </cfRule>
  </conditionalFormatting>
  <conditionalFormatting sqref="T91:V92">
    <cfRule type="expression" dxfId="2327" priority="86">
      <formula>AND(OR($T91&lt;&gt;"",$T92&lt;&gt;"",$U91&lt;&gt;""),$V91="TBD")</formula>
    </cfRule>
  </conditionalFormatting>
  <conditionalFormatting sqref="W10 W12 W14 W16 W18 W20 W22 W24 W26 W28 W30 W32 W34 W36 W38 W40 W42 W44 W46 W48 W50 W52 W54 W56 W58 W60 W62 W64 W66 W68 W70 W72 W74 W76 W78 W80 W82 W84 W86 W88 W90 W92">
    <cfRule type="expression" dxfId="2326" priority="961">
      <formula>AND(OR($W9&lt;&gt;"",$W10&lt;&gt;"",$X9&lt;&gt;""),$Y9="TBD")</formula>
    </cfRule>
  </conditionalFormatting>
  <conditionalFormatting sqref="W9:Y65 W67:Y85 W91:Y92">
    <cfRule type="expression" dxfId="2325" priority="962">
      <formula>AND(OR($W9&lt;&gt;"",$W10&lt;&gt;"",$X9&lt;&gt;""),$Y9="TBD")</formula>
    </cfRule>
  </conditionalFormatting>
  <conditionalFormatting sqref="W66:Y66">
    <cfRule type="expression" dxfId="2324" priority="2423">
      <formula>AND(OR($W66&lt;&gt;"",$W91&lt;&gt;"",$X66&lt;&gt;""),$Y66="TBD")</formula>
    </cfRule>
  </conditionalFormatting>
  <conditionalFormatting sqref="W86:Y86 W90:Y90">
    <cfRule type="expression" dxfId="2323" priority="2453">
      <formula>AND(OR($W86&lt;&gt;"",$W91&lt;&gt;"",$X86&lt;&gt;""),$Y86="TBD")</formula>
    </cfRule>
  </conditionalFormatting>
  <conditionalFormatting sqref="W87:Y89">
    <cfRule type="expression" dxfId="2322" priority="6">
      <formula>AND(OR($W87&lt;&gt;"",$W88&lt;&gt;"",$X87&lt;&gt;""),$Y87="TBD")</formula>
    </cfRule>
  </conditionalFormatting>
  <conditionalFormatting sqref="Z10 Z12 Z14 Z16 Z18 Z20 Z22 Z24 Z26 Z28 Z30 Z32 Z34 Z36 Z38 Z40 Z42 Z44 Z46 Z48 Z50 Z52 Z54 Z56 Z58 Z60 Z62 Z64 Z66 Z68 Z70 Z72 Z74 Z76 Z78 Z80 Z82 Z84 Z86 Z88 Z90 Z92">
    <cfRule type="expression" dxfId="2321" priority="931">
      <formula>AND(OR($Z9&lt;&gt;"",$Z10&lt;&gt;"",$AA9&lt;&gt;""),$AB9="TBD")</formula>
    </cfRule>
  </conditionalFormatting>
  <conditionalFormatting sqref="Z9:AB65">
    <cfRule type="expression" dxfId="2320" priority="146">
      <formula>AND(OR($Z9&lt;&gt;"",$Z10&lt;&gt;"",$AA9&lt;&gt;""),$AB9="TBD")</formula>
    </cfRule>
  </conditionalFormatting>
  <conditionalFormatting sqref="Z66:AB66">
    <cfRule type="expression" dxfId="2319" priority="2426">
      <formula>AND(OR($Z66&lt;&gt;"",$Z91&lt;&gt;"",$AA66&lt;&gt;""),$AB66="TBD")</formula>
    </cfRule>
  </conditionalFormatting>
  <conditionalFormatting sqref="Z67:AB85">
    <cfRule type="expression" dxfId="2318" priority="932">
      <formula>AND(OR($Z67&lt;&gt;"",$Z68&lt;&gt;"",$AA67&lt;&gt;""),$AB67="TBD")</formula>
    </cfRule>
  </conditionalFormatting>
  <conditionalFormatting sqref="Z86:AB86 Z90:AB90">
    <cfRule type="expression" dxfId="2317" priority="2449">
      <formula>AND(OR($Z86&lt;&gt;"",$Z91&lt;&gt;"",$AA86&lt;&gt;""),$AB86="TBD")</formula>
    </cfRule>
  </conditionalFormatting>
  <conditionalFormatting sqref="Z87:AB89">
    <cfRule type="expression" dxfId="2316" priority="5">
      <formula>AND(OR($Z87&lt;&gt;"",$Z88&lt;&gt;"",$AA87&lt;&gt;""),$AB87="TBD")</formula>
    </cfRule>
  </conditionalFormatting>
  <conditionalFormatting sqref="Z91:AB92">
    <cfRule type="expression" dxfId="2315" priority="82">
      <formula>AND(OR($Z91&lt;&gt;"",$Z92&lt;&gt;"",$AA91&lt;&gt;""),$AB91="TBD")</formula>
    </cfRule>
  </conditionalFormatting>
  <conditionalFormatting sqref="AC10 AC12 AC14 AC16 AC18 AC20 AC22 AC24 AC26 AC28 AC30 AC32 AC34 AC36 AC38 AC40 AC42 AC44 AC46 AC48 AC50 AC52 AC54 AC56 AC58 AC60 AC62 AC64 AC66 AC68 AC70 AC72 AC74 AC76 AC78 AC80 AC82 AC84 AC86 AC88 AC90 AC92">
    <cfRule type="expression" dxfId="2314" priority="901">
      <formula>AND(OR($AC9&lt;&gt;"",$AC10&lt;&gt;"",$AD9&lt;&gt;""),$AE9="TBD")</formula>
    </cfRule>
  </conditionalFormatting>
  <conditionalFormatting sqref="AC9:AE65">
    <cfRule type="expression" dxfId="2313" priority="144">
      <formula>AND(OR($AC9&lt;&gt;"",$AC10&lt;&gt;"",$AD9&lt;&gt;""),$AE9="TBD")</formula>
    </cfRule>
  </conditionalFormatting>
  <conditionalFormatting sqref="AC66:AE66">
    <cfRule type="expression" dxfId="2312" priority="2432">
      <formula>AND(OR($AC66&lt;&gt;"",$AC91&lt;&gt;"",$AD66&lt;&gt;""),$AE66="TBD")</formula>
    </cfRule>
  </conditionalFormatting>
  <conditionalFormatting sqref="AC67:AE85">
    <cfRule type="expression" dxfId="2311" priority="902">
      <formula>AND(OR($AC67&lt;&gt;"",$AC68&lt;&gt;"",$AD67&lt;&gt;""),$AE67="TBD")</formula>
    </cfRule>
  </conditionalFormatting>
  <conditionalFormatting sqref="AC86:AE86 AC90:AE90">
    <cfRule type="expression" dxfId="2310" priority="2451">
      <formula>AND(OR($AC86&lt;&gt;"",$AC91&lt;&gt;"",$AD86&lt;&gt;""),$AE86="TBD")</formula>
    </cfRule>
  </conditionalFormatting>
  <conditionalFormatting sqref="AC87:AE89">
    <cfRule type="expression" dxfId="2309" priority="4">
      <formula>AND(OR($AC87&lt;&gt;"",$AC88&lt;&gt;"",$AD87&lt;&gt;""),$AE87="TBD")</formula>
    </cfRule>
  </conditionalFormatting>
  <conditionalFormatting sqref="AC91:AE92">
    <cfRule type="expression" dxfId="2308" priority="80">
      <formula>AND(OR($AC91&lt;&gt;"",$AC92&lt;&gt;"",$AD91&lt;&gt;""),$AE91="TBD")</formula>
    </cfRule>
  </conditionalFormatting>
  <conditionalFormatting sqref="AF10 AF12 AF14 AF16 AF18 AF20 AF22 AF24 AF26 AF28 AF30 AF32 AF34 AF36 AF38 AF40 AF42 AF44 AF46 AF48 AF50 AF52 AF54 AF56 AF58 AF60 AF62 AF64 AF66 AF68 AF70 AF72 AF74 AF76 AF78 AF80 AF82 AF84 AF86 AF88 AF90 AF92">
    <cfRule type="expression" dxfId="2307" priority="871">
      <formula>AND(OR($AF9&lt;&gt;"",$AF10&lt;&gt;"",$AG9&lt;&gt;""),$AH9="TBD")</formula>
    </cfRule>
  </conditionalFormatting>
  <conditionalFormatting sqref="AF9:AH65 AF67:AH85 AF91:AH92">
    <cfRule type="expression" dxfId="2306" priority="872">
      <formula>AND(OR($AF9&lt;&gt;"",$AF10&lt;&gt;"",$AG9&lt;&gt;""),$AH9="TBD")</formula>
    </cfRule>
  </conditionalFormatting>
  <conditionalFormatting sqref="AF66:AH66">
    <cfRule type="expression" dxfId="2305" priority="2438">
      <formula>AND(OR($AF66&lt;&gt;"",$AF91&lt;&gt;"",$AG66&lt;&gt;""),$AH66="TBD")</formula>
    </cfRule>
  </conditionalFormatting>
  <conditionalFormatting sqref="AF86:AH86 AF90:AH90">
    <cfRule type="expression" dxfId="2304" priority="2455">
      <formula>AND(OR($AF86&lt;&gt;"",$AF91&lt;&gt;"",$AG86&lt;&gt;""),$AH86="TBD")</formula>
    </cfRule>
  </conditionalFormatting>
  <conditionalFormatting sqref="AF87:AH89">
    <cfRule type="expression" dxfId="2303" priority="3">
      <formula>AND(OR($AF87&lt;&gt;"",$AF88&lt;&gt;"",$AG87&lt;&gt;""),$AH87="TBD")</formula>
    </cfRule>
  </conditionalFormatting>
  <conditionalFormatting sqref="AI9:AI10 AI12 AI14 AI16 AI18 AI20 AI22 AI24 AI26 AI28 AI30 AI32 AI34 AI36 AI38 AI40 AI42 AI44 AI46 AI48 AI50 AI52 AI54 AI56 AI58 AI60 AI62 AI64 AI66:AI68 AI70 AI72 AI74 AI76 AI78 AI80 AI82 AI84 AI86 AI88 AI90 AI92">
    <cfRule type="expression" dxfId="2302" priority="841">
      <formula>AND(OR($AI8&lt;&gt;"",$AI9&lt;&gt;"",$AJ8&lt;&gt;""),$AK8="TBD")</formula>
    </cfRule>
  </conditionalFormatting>
  <conditionalFormatting sqref="AI9:AK65 AI67:AK85 AI91:AK92">
    <cfRule type="expression" dxfId="2301" priority="842">
      <formula>AND(OR($AI9&lt;&gt;"",$AI10&lt;&gt;"",$AJ9&lt;&gt;""),$AK9="TBD")</formula>
    </cfRule>
  </conditionalFormatting>
  <conditionalFormatting sqref="AI66:AK66">
    <cfRule type="expression" dxfId="2300" priority="2441">
      <formula>AND(OR($AI66&lt;&gt;"",$AI91&lt;&gt;"",$AJ66&lt;&gt;""),$AK66="TBD")</formula>
    </cfRule>
  </conditionalFormatting>
  <conditionalFormatting sqref="AI86:AK86 AI90:AK90">
    <cfRule type="expression" dxfId="2299" priority="2457">
      <formula>AND(OR($AI86&lt;&gt;"",$AI91&lt;&gt;"",$AJ86&lt;&gt;""),$AK86="TBD")</formula>
    </cfRule>
  </conditionalFormatting>
  <conditionalFormatting sqref="AI87:AK89">
    <cfRule type="expression" dxfId="2298" priority="2">
      <formula>AND(OR($AI87&lt;&gt;"",$AI88&lt;&gt;"",$AJ87&lt;&gt;""),$AK87="TBD")</formula>
    </cfRule>
  </conditionalFormatting>
  <conditionalFormatting sqref="BB9:BB92">
    <cfRule type="expression" dxfId="2297" priority="26">
      <formula>BB9&lt;&gt;"No Error"</formula>
    </cfRule>
  </conditionalFormatting>
  <dataValidations count="9">
    <dataValidation type="list" allowBlank="1" showInputMessage="1" showErrorMessage="1" error="Invalid entry. Select from dropdown list." sqref="K9:K92" xr:uid="{762944B2-D388-4BC3-AF7E-2C1B6145B523}">
      <formula1>MergedAndDistinctPR</formula1>
    </dataValidation>
    <dataValidation type="list" allowBlank="1" showInputMessage="1" showErrorMessage="1" error="Invalid entry. Select from dropdown list." sqref="L9 L35 L11 L13 L15 L17 L19 L21 L23 L25 L27 L29 L31 L33 L37 L39 L41 L43 L45 L47 L49 L51 L53 L55 L57 L59 L61 L63 L65 L91 L67 L69 L71 L73 L75 L77 L79 L81 L83 L85 L87 L89" xr:uid="{1DAC172E-1841-407D-8613-3E9176FF9681}">
      <formula1>Country</formula1>
    </dataValidation>
    <dataValidation type="list" allowBlank="1" showInputMessage="1" showErrorMessage="1" error="Invalid entry. Select from dropdown list." sqref="J9:J92 BA9:BA92" xr:uid="{58065F9E-B0FD-4CCA-A3F5-76956BBE6021}">
      <formula1>"Yes,No"</formula1>
    </dataValidation>
    <dataValidation type="list" allowBlank="1" showInputMessage="1" showErrorMessage="1" error="Invalid entry. Select from dropdown list." sqref="G9:G92" xr:uid="{9D748869-AD76-43D9-8AED-9A2A58000844}">
      <formula1>baseline_validation</formula1>
    </dataValidation>
    <dataValidation type="decimal" operator="greaterThanOrEqual" allowBlank="1" showInputMessage="1" showErrorMessage="1" error="Enter valid number only." prompt="Do not enter more than 2 decimal places" sqref="X9:X92 AJ9:AJ92 O9:O92 R9:R92 U9:U92 AA9:AA92 AD9:AD92 AG9:AG92 F9:F92" xr:uid="{4952DFAC-373E-460B-A354-30F81D6CA833}">
      <formula1>0</formula1>
    </dataValidation>
    <dataValidation type="custom" allowBlank="1" showInputMessage="1" showErrorMessage="1" errorTitle="Coverage Indicators" error="Cannot enter both standard and custom indicators on the same line." sqref="D9:D92" xr:uid="{900020B2-AAAC-4BB1-A1ED-D4A4FF82A7C7}">
      <formula1>C9=""</formula1>
    </dataValidation>
    <dataValidation type="list" allowBlank="1" showInputMessage="1" showErrorMessage="1" error="Invalid entry. Select from dropdown list." sqref="C9:C92" xr:uid="{4005C4C2-EDC5-4074-B8E5-16A3D690E83B}">
      <formula1>OFFSET(CoverageStart,MATCH(AM9,CoverageColumn,0)-1,2,COUNTIF(CoverageColumn,AM9),1)</formula1>
    </dataValidation>
    <dataValidation type="list" allowBlank="1" showInputMessage="1" showErrorMessage="1" error="Invalid entry. Select from dropdown list." sqref="B9:B92" xr:uid="{DA84BC66-E000-4769-A8FE-4A60BF703000}">
      <formula1>Coverage_Module</formula1>
    </dataValidation>
    <dataValidation type="decimal" operator="greaterThanOrEqual" allowBlank="1" showInputMessage="1" showErrorMessage="1" errorTitle="Error" error="Enter valid number only." sqref="E9:E92 AF9:AF92 AC9:AC92 Z9:Z92 W9:W92 T9:T92 Q9:Q92 N9:N92 AI9:AI92" xr:uid="{8727352C-AB99-486E-AFE5-F7D03367D9A6}">
      <formula1>0</formula1>
    </dataValidation>
  </dataValidations>
  <hyperlinks>
    <hyperlink ref="B4" location="Instructions!InstructionD" display="Instructions" xr:uid="{00000000-0004-0000-0900-000000000000}"/>
    <hyperlink ref="C4" location="'Print - Coverage'!A1" display="Print View" xr:uid="{28D939A2-2601-4F5A-8536-377EC719F1EA}"/>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0">
        <x14:dataValidation type="list" allowBlank="1" showInputMessage="1" showErrorMessage="1" error="Invalid entry. Select from dropdown list." xr:uid="{4180D7DB-5140-4C95-80FB-E0315DE72162}">
          <x14:formula1>
            <xm:f>Setup!$A$16:$A$18</xm:f>
          </x14:formula1>
          <xm:sqref>L10 L36 L12 L14 L16 L18 L20 L22 L24 L26 L28 L30 L32 L34 L38 L40 L42 L44 L46 L48 L50 L52 L54 L56 L58 L60 L62 L64 L92 L66 L68 L70 L72 L74 L76 L78 L80 L82 L84 L86 L88 L90</xm:sqref>
        </x14:dataValidation>
        <x14:dataValidation type="list" allowBlank="1" showInputMessage="1" showErrorMessage="1" error="Invalid entry. Select from dropdown list." xr:uid="{35765DE9-02B2-4BCD-8BBC-41DDBA66722F}">
          <x14:formula1>
            <xm:f>IF($D9&lt;&gt;"",Setup!$E$15:$E$17,OFFSET(AV9,0,0,1,COUNTIF(AV9:AX9,"?*")))</xm:f>
          </x14:formula1>
          <xm:sqref>M9:M92</xm:sqref>
        </x14:dataValidation>
        <x14:dataValidation type="list" showInputMessage="1" showErrorMessage="1" error="Invalid entry. Select from dropdown list." xr:uid="{E9F90D73-BB3A-46E8-8A82-3366BE879C19}">
          <x14:formula1>
            <xm:f>IF(OR($Q66&lt;&gt;"",$Q91&lt;&gt;"",$R66&lt;&gt;""),INDIRECT("FakeRange"),Setup!A$29)</xm:f>
          </x14:formula1>
          <xm:sqref>S66</xm:sqref>
        </x14:dataValidation>
        <x14:dataValidation type="list" showInputMessage="1" showErrorMessage="1" error="Invalid entry. Select from dropdown list." xr:uid="{4A3FED56-F26E-4EC8-914F-26068B281FC4}">
          <x14:formula1>
            <xm:f>IF(OR($N66&lt;&gt;"",$N91&lt;&gt;"",$O66&lt;&gt;""),INDIRECT("FakeRange"),Setup!A$29)</xm:f>
          </x14:formula1>
          <xm:sqref>P66</xm:sqref>
        </x14:dataValidation>
        <x14:dataValidation type="list" showInputMessage="1" showErrorMessage="1" error="Invalid entry. Select from dropdown list." xr:uid="{B830B376-262B-4916-82C9-1F21CEA773A1}">
          <x14:formula1>
            <xm:f>IF(OR($T66&lt;&gt;"",$T91&lt;&gt;"",$U66&lt;&gt;""),INDIRECT("FakeRange"),Setup!A$29)</xm:f>
          </x14:formula1>
          <xm:sqref>V66</xm:sqref>
        </x14:dataValidation>
        <x14:dataValidation type="list" showInputMessage="1" showErrorMessage="1" error="Invalid entry. Select from dropdown list." xr:uid="{C9413B2F-E338-4DD9-B857-BA71717C2BB7}">
          <x14:formula1>
            <xm:f>IF(OR($W66&lt;&gt;"",$W91&lt;&gt;"",$X66&lt;&gt;""),INDIRECT("FakeRange"),Setup!A$29)</xm:f>
          </x14:formula1>
          <xm:sqref>Y66</xm:sqref>
        </x14:dataValidation>
        <x14:dataValidation type="list" showInputMessage="1" showErrorMessage="1" error="Invalid entry. Select from dropdown list." xr:uid="{1FAD9EDD-9FCA-47A1-A644-19C409B24390}">
          <x14:formula1>
            <xm:f>IF(OR($Z66&lt;&gt;"",$Z91&lt;&gt;"",$AA66&lt;&gt;""),INDIRECT("FakeRange"),Setup!A$29)</xm:f>
          </x14:formula1>
          <xm:sqref>AB66</xm:sqref>
        </x14:dataValidation>
        <x14:dataValidation type="list" showInputMessage="1" showErrorMessage="1" error="Invalid entry. Select from dropdown list." xr:uid="{15781E0D-DB71-45EF-9A84-894CEE9D4007}">
          <x14:formula1>
            <xm:f>IF(OR($Q9&lt;&gt;"",$Q10&lt;&gt;"",$R9&lt;&gt;""),INDIRECT("FakeRange"),Setup!A$29)</xm:f>
          </x14:formula1>
          <xm:sqref>S9:S65 S87:S89 S67:S85 S91:S92</xm:sqref>
        </x14:dataValidation>
        <x14:dataValidation type="list" showInputMessage="1" showErrorMessage="1" error="Invalid entry. Select from dropdown list." xr:uid="{370979FE-EA34-46D9-82AB-C86F0EE98A0D}">
          <x14:formula1>
            <xm:f>IF(OR($Q86&lt;&gt;"",$Q91&lt;&gt;"",$R86&lt;&gt;""),INDIRECT("FakeRange"),Setup!A$29)</xm:f>
          </x14:formula1>
          <xm:sqref>S86 S90</xm:sqref>
        </x14:dataValidation>
        <x14:dataValidation type="list" showInputMessage="1" showErrorMessage="1" error="Invalid entry. Select from dropdown list." xr:uid="{BC8A796C-AFB4-42E6-904E-D0EB47C9DA33}">
          <x14:formula1>
            <xm:f>IF(OR($N9&lt;&gt;"",$N10&lt;&gt;"",$O9&lt;&gt;""),INDIRECT("FakeRange"),Setup!A$29)</xm:f>
          </x14:formula1>
          <xm:sqref>P9:P65 P87:P89 P67:P85 P91:P92</xm:sqref>
        </x14:dataValidation>
        <x14:dataValidation type="list" showInputMessage="1" showErrorMessage="1" error="Invalid entry. Select from dropdown list." xr:uid="{19B6D51B-2457-4B93-AB91-23980789EA63}">
          <x14:formula1>
            <xm:f>IF(OR($N86&lt;&gt;"",$N91&lt;&gt;"",$O86&lt;&gt;""),INDIRECT("FakeRange"),Setup!A$29)</xm:f>
          </x14:formula1>
          <xm:sqref>P86 P90</xm:sqref>
        </x14:dataValidation>
        <x14:dataValidation type="list" showInputMessage="1" showErrorMessage="1" error="Invalid entry. Select from dropdown list." xr:uid="{1FF4AAA2-0C0F-4860-9E90-517DD1125616}">
          <x14:formula1>
            <xm:f>IF(OR($T9&lt;&gt;"",$T10&lt;&gt;"",$U9&lt;&gt;""),INDIRECT("FakeRange"),Setup!A$29)</xm:f>
          </x14:formula1>
          <xm:sqref>V9:V65 V87:V89 V67:V85 V91:V92</xm:sqref>
        </x14:dataValidation>
        <x14:dataValidation type="list" showInputMessage="1" showErrorMessage="1" error="Invalid entry. Select from dropdown list." xr:uid="{0754245E-993F-41E8-828D-2F38141986B2}">
          <x14:formula1>
            <xm:f>IF(OR($T86&lt;&gt;"",$T91&lt;&gt;"",$U86&lt;&gt;""),INDIRECT("FakeRange"),Setup!A$29)</xm:f>
          </x14:formula1>
          <xm:sqref>V86 V90</xm:sqref>
        </x14:dataValidation>
        <x14:dataValidation type="list" showInputMessage="1" showErrorMessage="1" error="Invalid entry. Select from dropdown list." xr:uid="{7E581F9A-9244-431C-B77D-D963435B3C2E}">
          <x14:formula1>
            <xm:f>IF(OR($W9&lt;&gt;"",$W10&lt;&gt;"",$X9&lt;&gt;""),INDIRECT("FakeRange"),Setup!A$29)</xm:f>
          </x14:formula1>
          <xm:sqref>Y9:Y65 Y87:Y89 Y67:Y85 Y91:Y92</xm:sqref>
        </x14:dataValidation>
        <x14:dataValidation type="list" showInputMessage="1" showErrorMessage="1" error="Invalid entry. Select from dropdown list." xr:uid="{F1EF1916-4988-488D-ABA5-55F01791C74F}">
          <x14:formula1>
            <xm:f>IF(OR($W86&lt;&gt;"",$W91&lt;&gt;"",$X86&lt;&gt;""),INDIRECT("FakeRange"),Setup!A$29)</xm:f>
          </x14:formula1>
          <xm:sqref>Y86 Y90</xm:sqref>
        </x14:dataValidation>
        <x14:dataValidation type="list" showInputMessage="1" showErrorMessage="1" error="Invalid entry. Select from dropdown list." xr:uid="{FEA0E32A-421C-4B12-A485-956C978300D2}">
          <x14:formula1>
            <xm:f>IF(OR($Z9&lt;&gt;"",$Z10&lt;&gt;"",$AA9&lt;&gt;""),INDIRECT("FakeRange"),Setup!A$29)</xm:f>
          </x14:formula1>
          <xm:sqref>AB9:AB65 AB87:AB89 AB67:AB85 AB91:AB92</xm:sqref>
        </x14:dataValidation>
        <x14:dataValidation type="list" showInputMessage="1" showErrorMessage="1" error="Invalid entry. Select from dropdown list." xr:uid="{D506F8D5-5A73-487D-A5C8-6329B040B711}">
          <x14:formula1>
            <xm:f>IF(OR($Z86&lt;&gt;"",$Z91&lt;&gt;"",$AA86&lt;&gt;""),INDIRECT("FakeRange"),Setup!A$29)</xm:f>
          </x14:formula1>
          <xm:sqref>AB86 AB90</xm:sqref>
        </x14:dataValidation>
        <x14:dataValidation type="list" showInputMessage="1" showErrorMessage="1" error="Invalid entry. Select from dropdown list." xr:uid="{2F8DA290-349C-4F49-A68A-5C27AB5304AA}">
          <x14:formula1>
            <xm:f>IF(OR(AC9&lt;&gt;"",AC10&lt;&gt;"",AD9&gt;""),INDIRECT("FakeRange"),Setup!A$29)</xm:f>
          </x14:formula1>
          <xm:sqref>AE9:AE92</xm:sqref>
        </x14:dataValidation>
        <x14:dataValidation type="list" showInputMessage="1" showErrorMessage="1" error="Invalid entry. Select from dropdown list." xr:uid="{7F37D763-7C41-4E76-B34E-22171943F06D}">
          <x14:formula1>
            <xm:f>IF(OR(AF9&lt;&gt;"",AF10&lt;&gt;"",AG9&lt;&gt;""),INDIRECT("FakeRange"),Setup!A$29)</xm:f>
          </x14:formula1>
          <xm:sqref>AH9:AH92</xm:sqref>
        </x14:dataValidation>
        <x14:dataValidation type="list" showInputMessage="1" showErrorMessage="1" error="Invalid entry. Select from dropdown list." xr:uid="{2B35D19F-5782-405D-856E-603E3E24ECCB}">
          <x14:formula1>
            <xm:f>IF(OR(AI9&lt;&gt;"",AI10&lt;&gt;"",AJ9&lt;&gt;""),INDIRECT("FakeRange"),Setup!A$29)</xm:f>
          </x14:formula1>
          <xm:sqref>AK9:AK92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0"/>
  <dimension ref="A1:R2573"/>
  <sheetViews>
    <sheetView showGridLines="0" topLeftCell="B2283" zoomScale="60" zoomScaleNormal="60" workbookViewId="0">
      <selection activeCell="B2299" sqref="B2299:B2300"/>
    </sheetView>
  </sheetViews>
  <sheetFormatPr defaultColWidth="8.625" defaultRowHeight="14.25"/>
  <cols>
    <col min="1" max="1" width="13.625" style="48" hidden="1" customWidth="1"/>
    <col min="2" max="2" width="12.25" style="48" customWidth="1"/>
    <col min="3" max="3" width="16.5" style="48" customWidth="1"/>
    <col min="4" max="4" width="11.75" style="48" customWidth="1"/>
    <col min="5" max="5" width="12.625" style="48" customWidth="1"/>
    <col min="6" max="6" width="12.875" style="48" customWidth="1"/>
    <col min="7" max="7" width="16.125" style="48" customWidth="1"/>
    <col min="8" max="8" width="17.125" style="48" customWidth="1"/>
    <col min="9" max="9" width="14.625" style="48" customWidth="1"/>
    <col min="10" max="10" width="52.125" style="48" customWidth="1"/>
    <col min="11" max="11" width="8.375" style="48" hidden="1" customWidth="1"/>
    <col min="12" max="12" width="8.125" style="48" hidden="1" customWidth="1"/>
    <col min="13" max="13" width="9" style="48" hidden="1" customWidth="1"/>
    <col min="14" max="14" width="8.875" style="48" hidden="1" customWidth="1"/>
    <col min="15" max="15" width="35.5" style="48" hidden="1" customWidth="1"/>
    <col min="16" max="16" width="9" style="48" hidden="1" customWidth="1"/>
    <col min="17" max="17" width="6.625" style="48" hidden="1" customWidth="1"/>
    <col min="18" max="18" width="45" style="48" hidden="1" customWidth="1"/>
    <col min="19" max="19" width="8.625" style="48" customWidth="1"/>
    <col min="20" max="16384" width="8.625" style="48"/>
  </cols>
  <sheetData>
    <row r="1" spans="1:18" ht="15.6" customHeight="1">
      <c r="B1" s="582" t="s">
        <v>2250</v>
      </c>
      <c r="C1" s="582"/>
      <c r="D1" s="582"/>
      <c r="E1" s="582"/>
      <c r="F1" s="582"/>
      <c r="G1" s="582"/>
      <c r="H1" s="122"/>
      <c r="I1" s="122"/>
      <c r="J1" s="122"/>
    </row>
    <row r="2" spans="1:18" ht="28.5" customHeight="1">
      <c r="B2" s="582"/>
      <c r="C2" s="582"/>
      <c r="D2" s="582"/>
      <c r="E2" s="582"/>
      <c r="F2" s="582"/>
      <c r="G2" s="582"/>
      <c r="H2" s="123"/>
      <c r="I2" s="123"/>
      <c r="J2" s="123"/>
    </row>
    <row r="3" spans="1:18" ht="15.6" customHeight="1">
      <c r="B3" s="123"/>
      <c r="C3" s="123"/>
      <c r="D3" s="123"/>
      <c r="E3" s="123"/>
      <c r="F3" s="123"/>
      <c r="G3" s="123"/>
      <c r="H3" s="123"/>
      <c r="I3" s="123"/>
      <c r="J3" s="123"/>
    </row>
    <row r="4" spans="1:18" ht="15" thickBot="1"/>
    <row r="5" spans="1:18" ht="15.75" thickBot="1">
      <c r="B5" s="108" t="s">
        <v>89</v>
      </c>
      <c r="C5" s="124" t="s">
        <v>837</v>
      </c>
      <c r="D5" s="124" t="s">
        <v>893</v>
      </c>
      <c r="E5" s="124" t="s">
        <v>2251</v>
      </c>
      <c r="F5" s="109" t="s">
        <v>306</v>
      </c>
    </row>
    <row r="8" spans="1:18" ht="16.350000000000001" customHeight="1">
      <c r="A8" s="48" t="s">
        <v>2252</v>
      </c>
      <c r="B8" s="580" t="s">
        <v>2253</v>
      </c>
      <c r="C8" s="581"/>
      <c r="D8" s="581"/>
      <c r="E8" s="581"/>
      <c r="F8" s="581"/>
      <c r="G8" s="581"/>
      <c r="H8" s="581"/>
      <c r="I8" s="581"/>
      <c r="J8" s="583"/>
    </row>
    <row r="9" spans="1:18" ht="45" customHeight="1">
      <c r="A9" s="48" t="s">
        <v>2254</v>
      </c>
      <c r="B9" s="125" t="s">
        <v>764</v>
      </c>
      <c r="C9" s="125" t="s">
        <v>2255</v>
      </c>
      <c r="D9" s="125" t="s">
        <v>2256</v>
      </c>
      <c r="E9" s="125" t="s">
        <v>2257</v>
      </c>
      <c r="F9" s="125" t="s">
        <v>767</v>
      </c>
      <c r="G9" s="125" t="s">
        <v>105</v>
      </c>
      <c r="H9" s="125" t="s">
        <v>768</v>
      </c>
      <c r="I9" s="125" t="s">
        <v>199</v>
      </c>
      <c r="J9" s="125" t="s">
        <v>176</v>
      </c>
      <c r="O9" s="316" t="s">
        <v>2258</v>
      </c>
      <c r="P9" s="312"/>
      <c r="Q9" s="312"/>
      <c r="R9" s="312" t="s">
        <v>2259</v>
      </c>
    </row>
    <row r="10" spans="1:18" s="126" customFormat="1" ht="20.100000000000001" customHeight="1">
      <c r="A10" s="126" t="str">
        <f ca="1">INDIRECT("'update Helper'!C"&amp;Q10)</f>
        <v>a1GDm000000XyPxMAK</v>
      </c>
      <c r="B10" s="570">
        <v>1</v>
      </c>
      <c r="C10" s="572" t="str">
        <f ca="1">IFERROR(VLOOKUP(B10,'Impact Indicators - Section B '!$A$9:$AC$68,29,FALSE),"")</f>
        <v/>
      </c>
      <c r="D10" s="574" t="str">
        <f ca="1">M10</f>
        <v/>
      </c>
      <c r="E10" s="574" t="str">
        <f ca="1">N10</f>
        <v/>
      </c>
      <c r="F10" s="127"/>
      <c r="G10" s="576" t="str">
        <f ca="1">IF(OR(INDIRECT("'update Helper'!E"&amp;Q10)="",F10&lt;&gt;0,F11&lt;&gt;0),IF(IFERROR((F10/F11),"")="","",(F10/F11)),INDIRECT("'update Helper'!E"&amp;Q10)/100)</f>
        <v/>
      </c>
      <c r="H10" s="539"/>
      <c r="I10" s="578"/>
      <c r="J10" s="532"/>
      <c r="K10" s="126">
        <f ca="1">IF(AND(EXACT(C10,C8),C8&lt;&gt;0),K8+1,0)</f>
        <v>0</v>
      </c>
      <c r="L10" s="126" t="str">
        <f ca="1">IF(C10&lt;&gt;"",C10&amp;"-"&amp;K10,"")</f>
        <v/>
      </c>
      <c r="M10" s="126" t="str">
        <f t="array" aca="1" ref="M10" ca="1">IFERROR(IF(INDEX('Disaggregation Records'!$E$3:$E$80,MATCH(RIGHT(L10,255),RIGHT('Disaggregation Records'!$D$3:$D$80,255),0))="","",INDEX('Disaggregation Records'!$E$3:$E$80,MATCH(RIGHT(L10,255),RIGHT('Disaggregation Records'!$D$3:$D$80,255),0))),"")</f>
        <v/>
      </c>
      <c r="N10" s="126" t="str">
        <f t="array" aca="1" ref="N10" ca="1">IFERROR(IF(INDEX('Disaggregation Records'!$F$3:$F$80,MATCH(RIGHT(L10,255),RIGHT('Disaggregation Records'!$D$3:$D$80,255),0))="","",INDEX('Disaggregation Records'!$F$3:$F$80,MATCH(RIGHT(L10,255),RIGHT('Disaggregation Records'!$D$3:$D$80,255),0))),"")</f>
        <v/>
      </c>
      <c r="O10" s="314" t="str">
        <f t="array" aca="1" ref="O10" ca="1">IFERROR(IF(INDEX('Disaggregation Records'!$H$3:$H$80,MATCH(RIGHT(L10,255),RIGHT('Disaggregation Records'!$D$3:$D$80,255),0))="","",INDEX('Disaggregation Records'!$H$3:$H$80,MATCH(RIGHT(L10,255),RIGHT('Disaggregation Records'!$D$3:$D$80,255),0))),"")</f>
        <v/>
      </c>
      <c r="P10" s="314"/>
      <c r="Q10" s="314">
        <f>ROW(Impact_Indicator_Disaggregation)+3</f>
        <v>1308</v>
      </c>
      <c r="R10" s="314" t="str" cm="1">
        <f t="array" aca="1" ref="R10" ca="1">IFERROR(IF(INDEX('Disaggregation Records'!$G$3:$G$80,MATCH(RIGHT(L10,255),RIGHT('Disaggregation Records'!$D$3:$D$80,255),0))="","",INDEX('Disaggregation Records'!$G$3:$G$80,MATCH(RIGHT(L10,255),RIGHT('Disaggregation Records'!$D$3:$D$80,255),0))),"")</f>
        <v/>
      </c>
    </row>
    <row r="11" spans="1:18" s="129" customFormat="1" ht="20.100000000000001" customHeight="1">
      <c r="A11" s="126"/>
      <c r="B11" s="571"/>
      <c r="C11" s="573"/>
      <c r="D11" s="575"/>
      <c r="E11" s="575"/>
      <c r="F11" s="128"/>
      <c r="G11" s="577"/>
      <c r="H11" s="540"/>
      <c r="I11" s="579"/>
      <c r="J11" s="533"/>
      <c r="O11" s="317"/>
      <c r="P11" s="317"/>
      <c r="Q11" s="317"/>
      <c r="R11" s="314" t="str" cm="1">
        <f t="array" ref="R11">IFERROR(IF(INDEX('Disaggregation Records'!$G$3:$G$80,MATCH(RIGHT(L11,255),RIGHT('Disaggregation Records'!$D$3:$D$80,255),0))="","",INDEX('Disaggregation Records'!$G$3:$G$80,MATCH(RIGHT(L11,255),RIGHT('Disaggregation Records'!$D$3:$D$80,255),0))),"")</f>
        <v/>
      </c>
    </row>
    <row r="12" spans="1:18" ht="20.100000000000001" customHeight="1">
      <c r="A12" s="126" t="str">
        <f t="shared" ref="A12" ca="1" si="0">INDIRECT("'update Helper'!C"&amp;Q12)</f>
        <v>a1GDm000000XyPyMAK</v>
      </c>
      <c r="B12" s="570">
        <v>1</v>
      </c>
      <c r="C12" s="572" t="str">
        <f ca="1">IFERROR(VLOOKUP(B12,'Impact Indicators - Section B '!$A$9:$AC$68,29,FALSE),"")</f>
        <v/>
      </c>
      <c r="D12" s="574" t="str">
        <f ca="1">M12</f>
        <v/>
      </c>
      <c r="E12" s="574" t="str">
        <f ca="1">N12</f>
        <v/>
      </c>
      <c r="F12" s="127"/>
      <c r="G12" s="576" t="str">
        <f ca="1">IF(OR(INDIRECT("'update Helper'!E"&amp;Q12)="",F12&lt;&gt;0,F13&lt;&gt;0),IF(IFERROR((F12/F13),"")="","",(F12/F13)),INDIRECT("'update Helper'!E"&amp;Q12)/100)</f>
        <v/>
      </c>
      <c r="H12" s="539"/>
      <c r="I12" s="578"/>
      <c r="J12" s="532"/>
      <c r="K12" s="126">
        <f ca="1">IF(AND(EXACT(C12,C10),C10&lt;&gt;0),K10+1,0)</f>
        <v>1</v>
      </c>
      <c r="L12" s="126" t="str">
        <f ca="1">IF(C12&lt;&gt;"",C12&amp;"-"&amp;K12,"")</f>
        <v/>
      </c>
      <c r="M12" s="126" t="str">
        <f t="array" aca="1" ref="M12" ca="1">IFERROR(IF(INDEX('Disaggregation Records'!$E$3:$E$80,MATCH(RIGHT(L12,255),RIGHT('Disaggregation Records'!$D$3:$D$80,255),0))="","",INDEX('Disaggregation Records'!$E$3:$E$80,MATCH(RIGHT(L12,255),RIGHT('Disaggregation Records'!$D$3:$D$80,255),0))),"")</f>
        <v/>
      </c>
      <c r="N12" s="126" t="str">
        <f t="array" aca="1" ref="N12" ca="1">IFERROR(IF(INDEX('Disaggregation Records'!$F$3:$F$80,MATCH(RIGHT(L12,255),RIGHT('Disaggregation Records'!$D$3:$D$80,255),0))="","",INDEX('Disaggregation Records'!$F$3:$F$80,MATCH(RIGHT(L12,255),RIGHT('Disaggregation Records'!$D$3:$D$80,255),0))),"")</f>
        <v/>
      </c>
      <c r="O12" s="314" t="str">
        <f t="array" aca="1" ref="O12" ca="1">IFERROR(IF(INDEX('Disaggregation Records'!$H$3:$H$80,MATCH(RIGHT(L12,255),RIGHT('Disaggregation Records'!$D$3:$D$80,255),0))="","",INDEX('Disaggregation Records'!$H$3:$H$80,MATCH(RIGHT(L12,255),RIGHT('Disaggregation Records'!$D$3:$D$80,255),0))),"")</f>
        <v/>
      </c>
      <c r="P12" s="310"/>
      <c r="Q12" s="310">
        <f>Q10+1</f>
        <v>1309</v>
      </c>
      <c r="R12" s="314" t="str" cm="1">
        <f t="array" aca="1" ref="R12" ca="1">IFERROR(IF(INDEX('Disaggregation Records'!$G$3:$G$80,MATCH(RIGHT(L12,255),RIGHT('Disaggregation Records'!$D$3:$D$80,255),0))="","",INDEX('Disaggregation Records'!$G$3:$G$80,MATCH(RIGHT(L12,255),RIGHT('Disaggregation Records'!$D$3:$D$80,255),0))),"")</f>
        <v/>
      </c>
    </row>
    <row r="13" spans="1:18" ht="20.100000000000001" customHeight="1">
      <c r="B13" s="571"/>
      <c r="C13" s="573"/>
      <c r="D13" s="575"/>
      <c r="E13" s="575"/>
      <c r="F13" s="128"/>
      <c r="G13" s="577"/>
      <c r="H13" s="540"/>
      <c r="I13" s="579"/>
      <c r="J13" s="533"/>
      <c r="K13" s="129"/>
      <c r="L13" s="129"/>
      <c r="M13" s="129"/>
      <c r="N13" s="129"/>
      <c r="O13" s="317"/>
      <c r="P13" s="310"/>
      <c r="Q13" s="314"/>
      <c r="R13" s="314" t="str" cm="1">
        <f t="array" ref="R13">IFERROR(IF(INDEX('Disaggregation Records'!$G$3:$G$80,MATCH(RIGHT(L13,255),RIGHT('Disaggregation Records'!$D$3:$D$80,255),0))="","",INDEX('Disaggregation Records'!$G$3:$G$80,MATCH(RIGHT(L13,255),RIGHT('Disaggregation Records'!$D$3:$D$80,255),0))),"")</f>
        <v/>
      </c>
    </row>
    <row r="14" spans="1:18" ht="20.100000000000001" customHeight="1">
      <c r="A14" s="126" t="str">
        <f t="shared" ref="A14" ca="1" si="1">INDIRECT("'update Helper'!C"&amp;Q14)</f>
        <v>a1GDm000000XyPzMAK</v>
      </c>
      <c r="B14" s="570">
        <v>1</v>
      </c>
      <c r="C14" s="572" t="str">
        <f ca="1">IFERROR(VLOOKUP(B14,'Impact Indicators - Section B '!$A$9:$AC$68,29,FALSE),"")</f>
        <v/>
      </c>
      <c r="D14" s="574" t="str">
        <f ca="1">M14</f>
        <v/>
      </c>
      <c r="E14" s="574" t="str">
        <f ca="1">N14</f>
        <v/>
      </c>
      <c r="F14" s="127"/>
      <c r="G14" s="576" t="str">
        <f ca="1">IF(OR(INDIRECT("'update Helper'!E"&amp;Q14)="",F14&lt;&gt;0,F15&lt;&gt;0),IF(IFERROR((F14/F15),"")="","",(F14/F15)),INDIRECT("'update Helper'!E"&amp;Q14)/100)</f>
        <v/>
      </c>
      <c r="H14" s="539"/>
      <c r="I14" s="578"/>
      <c r="J14" s="532"/>
      <c r="K14" s="126">
        <f ca="1">IF(AND(EXACT(C14,C12),C12&lt;&gt;0),K12+1,0)</f>
        <v>2</v>
      </c>
      <c r="L14" s="126" t="str">
        <f ca="1">IF(C14&lt;&gt;"",C14&amp;"-"&amp;K14,"")</f>
        <v/>
      </c>
      <c r="M14" s="126" t="str">
        <f t="array" aca="1" ref="M14" ca="1">IFERROR(IF(INDEX('Disaggregation Records'!$E$3:$E$80,MATCH(RIGHT(L14,255),RIGHT('Disaggregation Records'!$D$3:$D$80,255),0))="","",INDEX('Disaggregation Records'!$E$3:$E$80,MATCH(RIGHT(L14,255),RIGHT('Disaggregation Records'!$D$3:$D$80,255),0))),"")</f>
        <v/>
      </c>
      <c r="N14" s="126" t="str">
        <f t="array" aca="1" ref="N14" ca="1">IFERROR(IF(INDEX('Disaggregation Records'!$F$3:$F$80,MATCH(RIGHT(L14,255),RIGHT('Disaggregation Records'!$D$3:$D$80,255),0))="","",INDEX('Disaggregation Records'!$F$3:$F$80,MATCH(RIGHT(L14,255),RIGHT('Disaggregation Records'!$D$3:$D$80,255),0))),"")</f>
        <v/>
      </c>
      <c r="O14" s="314" t="str">
        <f t="array" aca="1" ref="O14" ca="1">IFERROR(IF(INDEX('Disaggregation Records'!$H$3:$H$80,MATCH(RIGHT(L14,255),RIGHT('Disaggregation Records'!$D$3:$D$80,255),0))="","",INDEX('Disaggregation Records'!$H$3:$H$80,MATCH(RIGHT(L14,255),RIGHT('Disaggregation Records'!$D$3:$D$80,255),0))),"")</f>
        <v/>
      </c>
      <c r="P14" s="314"/>
      <c r="Q14" s="310">
        <f t="shared" ref="Q14" si="2">Q12+1</f>
        <v>1310</v>
      </c>
      <c r="R14" s="314" t="str" cm="1">
        <f t="array" aca="1" ref="R14" ca="1">IFERROR(IF(INDEX('Disaggregation Records'!$G$3:$G$80,MATCH(RIGHT(L14,255),RIGHT('Disaggregation Records'!$D$3:$D$80,255),0))="","",INDEX('Disaggregation Records'!$G$3:$G$80,MATCH(RIGHT(L14,255),RIGHT('Disaggregation Records'!$D$3:$D$80,255),0))),"")</f>
        <v/>
      </c>
    </row>
    <row r="15" spans="1:18" ht="20.100000000000001" customHeight="1">
      <c r="A15" s="126"/>
      <c r="B15" s="571"/>
      <c r="C15" s="573"/>
      <c r="D15" s="575"/>
      <c r="E15" s="575"/>
      <c r="F15" s="128"/>
      <c r="G15" s="577"/>
      <c r="H15" s="540"/>
      <c r="I15" s="579"/>
      <c r="J15" s="533"/>
      <c r="K15" s="129"/>
      <c r="L15" s="129"/>
      <c r="M15" s="129"/>
      <c r="N15" s="129"/>
      <c r="O15" s="317"/>
      <c r="P15" s="317"/>
      <c r="Q15" s="314"/>
      <c r="R15" s="314" t="str" cm="1">
        <f t="array" ref="R15">IFERROR(IF(INDEX('Disaggregation Records'!$G$3:$G$80,MATCH(RIGHT(L15,255),RIGHT('Disaggregation Records'!$D$3:$D$80,255),0))="","",INDEX('Disaggregation Records'!$G$3:$G$80,MATCH(RIGHT(L15,255),RIGHT('Disaggregation Records'!$D$3:$D$80,255),0))),"")</f>
        <v/>
      </c>
    </row>
    <row r="16" spans="1:18" ht="20.100000000000001" customHeight="1">
      <c r="A16" s="126" t="str">
        <f t="shared" ref="A16:A76" ca="1" si="3">INDIRECT("'update Helper'!C"&amp;Q16)</f>
        <v>a1GDm000000XyQ0MAK</v>
      </c>
      <c r="B16" s="570">
        <v>1</v>
      </c>
      <c r="C16" s="572" t="str">
        <f ca="1">IFERROR(VLOOKUP(B16,'Impact Indicators - Section B '!$A$9:$AC$68,29,FALSE),"")</f>
        <v/>
      </c>
      <c r="D16" s="574" t="str">
        <f ca="1">M16</f>
        <v/>
      </c>
      <c r="E16" s="574" t="str">
        <f ca="1">N16</f>
        <v/>
      </c>
      <c r="F16" s="127"/>
      <c r="G16" s="576" t="str">
        <f ca="1">IF(OR(INDIRECT("'update Helper'!E"&amp;Q16)="",F16&lt;&gt;0,F17&lt;&gt;0),IF(IFERROR((F16/F17),"")="","",(F16/F17)),INDIRECT("'update Helper'!E"&amp;Q16)/100)</f>
        <v/>
      </c>
      <c r="H16" s="539"/>
      <c r="I16" s="578"/>
      <c r="J16" s="532"/>
      <c r="K16" s="126">
        <f ca="1">IF(AND(EXACT(C16,C14),C14&lt;&gt;0),K14+1,0)</f>
        <v>3</v>
      </c>
      <c r="L16" s="126" t="str">
        <f ca="1">IF(C16&lt;&gt;"",C16&amp;"-"&amp;K16,"")</f>
        <v/>
      </c>
      <c r="M16" s="126" t="str">
        <f t="array" aca="1" ref="M16" ca="1">IFERROR(IF(INDEX('Disaggregation Records'!$E$3:$E$80,MATCH(RIGHT(L16,255),RIGHT('Disaggregation Records'!$D$3:$D$80,255),0))="","",INDEX('Disaggregation Records'!$E$3:$E$80,MATCH(RIGHT(L16,255),RIGHT('Disaggregation Records'!$D$3:$D$80,255),0))),"")</f>
        <v/>
      </c>
      <c r="N16" s="126" t="str">
        <f t="array" aca="1" ref="N16" ca="1">IFERROR(IF(INDEX('Disaggregation Records'!$F$3:$F$80,MATCH(RIGHT(L16,255),RIGHT('Disaggregation Records'!$D$3:$D$80,255),0))="","",INDEX('Disaggregation Records'!$F$3:$F$80,MATCH(RIGHT(L16,255),RIGHT('Disaggregation Records'!$D$3:$D$80,255),0))),"")</f>
        <v/>
      </c>
      <c r="O16" s="314" t="str">
        <f t="array" aca="1" ref="O16" ca="1">IFERROR(IF(INDEX('Disaggregation Records'!$H$3:$H$80,MATCH(RIGHT(L16,255),RIGHT('Disaggregation Records'!$D$3:$D$80,255),0))="","",INDEX('Disaggregation Records'!$H$3:$H$80,MATCH(RIGHT(L16,255),RIGHT('Disaggregation Records'!$D$3:$D$80,255),0))),"")</f>
        <v/>
      </c>
      <c r="P16" s="310"/>
      <c r="Q16" s="310">
        <f t="shared" ref="Q16" si="4">Q14+1</f>
        <v>1311</v>
      </c>
      <c r="R16" s="314" t="str" cm="1">
        <f t="array" aca="1" ref="R16" ca="1">IFERROR(IF(INDEX('Disaggregation Records'!$G$3:$G$80,MATCH(RIGHT(L16,255),RIGHT('Disaggregation Records'!$D$3:$D$80,255),0))="","",INDEX('Disaggregation Records'!$G$3:$G$80,MATCH(RIGHT(L16,255),RIGHT('Disaggregation Records'!$D$3:$D$80,255),0))),"")</f>
        <v/>
      </c>
    </row>
    <row r="17" spans="1:18" ht="20.100000000000001" customHeight="1">
      <c r="B17" s="571"/>
      <c r="C17" s="573"/>
      <c r="D17" s="575"/>
      <c r="E17" s="575"/>
      <c r="F17" s="128"/>
      <c r="G17" s="577"/>
      <c r="H17" s="540"/>
      <c r="I17" s="579"/>
      <c r="J17" s="533"/>
      <c r="K17" s="129"/>
      <c r="L17" s="129"/>
      <c r="M17" s="129"/>
      <c r="N17" s="129"/>
      <c r="O17" s="317"/>
      <c r="P17" s="310"/>
      <c r="Q17" s="314"/>
      <c r="R17" s="314" t="str" cm="1">
        <f t="array" ref="R17">IFERROR(IF(INDEX('Disaggregation Records'!$G$3:$G$80,MATCH(RIGHT(L17,255),RIGHT('Disaggregation Records'!$D$3:$D$80,255),0))="","",INDEX('Disaggregation Records'!$G$3:$G$80,MATCH(RIGHT(L17,255),RIGHT('Disaggregation Records'!$D$3:$D$80,255),0))),"")</f>
        <v/>
      </c>
    </row>
    <row r="18" spans="1:18" ht="20.100000000000001" customHeight="1">
      <c r="A18" s="126" t="str">
        <f t="shared" ref="A18" ca="1" si="5">INDIRECT("'update Helper'!C"&amp;Q18)</f>
        <v>a1GDm000000XyQ1MAK</v>
      </c>
      <c r="B18" s="570">
        <v>1</v>
      </c>
      <c r="C18" s="572" t="str">
        <f ca="1">IFERROR(VLOOKUP(B18,'Impact Indicators - Section B '!$A$9:$AC$68,29,FALSE),"")</f>
        <v/>
      </c>
      <c r="D18" s="574" t="str">
        <f ca="1">M18</f>
        <v/>
      </c>
      <c r="E18" s="574" t="str">
        <f ca="1">N18</f>
        <v/>
      </c>
      <c r="F18" s="127"/>
      <c r="G18" s="576" t="str">
        <f ca="1">IF(OR(INDIRECT("'update Helper'!E"&amp;Q18)="",F18&lt;&gt;0,F19&lt;&gt;0),IF(IFERROR((F18/F19),"")="","",(F18/F19)),INDIRECT("'update Helper'!E"&amp;Q18)/100)</f>
        <v/>
      </c>
      <c r="H18" s="539"/>
      <c r="I18" s="578"/>
      <c r="J18" s="532"/>
      <c r="K18" s="126">
        <f ca="1">IF(AND(EXACT(C18,C16),C16&lt;&gt;0),K16+1,0)</f>
        <v>4</v>
      </c>
      <c r="L18" s="126" t="str">
        <f ca="1">IF(C18&lt;&gt;"",C18&amp;"-"&amp;K18,"")</f>
        <v/>
      </c>
      <c r="M18" s="126" t="str">
        <f t="array" aca="1" ref="M18" ca="1">IFERROR(IF(INDEX('Disaggregation Records'!$E$3:$E$80,MATCH(RIGHT(L18,255),RIGHT('Disaggregation Records'!$D$3:$D$80,255),0))="","",INDEX('Disaggregation Records'!$E$3:$E$80,MATCH(RIGHT(L18,255),RIGHT('Disaggregation Records'!$D$3:$D$80,255),0))),"")</f>
        <v/>
      </c>
      <c r="N18" s="126" t="str">
        <f t="array" aca="1" ref="N18" ca="1">IFERROR(IF(INDEX('Disaggregation Records'!$F$3:$F$80,MATCH(RIGHT(L18,255),RIGHT('Disaggregation Records'!$D$3:$D$80,255),0))="","",INDEX('Disaggregation Records'!$F$3:$F$80,MATCH(RIGHT(L18,255),RIGHT('Disaggregation Records'!$D$3:$D$80,255),0))),"")</f>
        <v/>
      </c>
      <c r="O18" s="314" t="str">
        <f t="array" aca="1" ref="O18" ca="1">IFERROR(IF(INDEX('Disaggregation Records'!$H$3:$H$80,MATCH(RIGHT(L18,255),RIGHT('Disaggregation Records'!$D$3:$D$80,255),0))="","",INDEX('Disaggregation Records'!$H$3:$H$80,MATCH(RIGHT(L18,255),RIGHT('Disaggregation Records'!$D$3:$D$80,255),0))),"")</f>
        <v/>
      </c>
      <c r="P18" s="314"/>
      <c r="Q18" s="310">
        <f t="shared" ref="Q18" si="6">Q16+1</f>
        <v>1312</v>
      </c>
      <c r="R18" s="314" t="str" cm="1">
        <f t="array" aca="1" ref="R18" ca="1">IFERROR(IF(INDEX('Disaggregation Records'!$G$3:$G$80,MATCH(RIGHT(L18,255),RIGHT('Disaggregation Records'!$D$3:$D$80,255),0))="","",INDEX('Disaggregation Records'!$G$3:$G$80,MATCH(RIGHT(L18,255),RIGHT('Disaggregation Records'!$D$3:$D$80,255),0))),"")</f>
        <v/>
      </c>
    </row>
    <row r="19" spans="1:18" ht="20.100000000000001" customHeight="1">
      <c r="A19" s="126"/>
      <c r="B19" s="571"/>
      <c r="C19" s="573"/>
      <c r="D19" s="575"/>
      <c r="E19" s="575"/>
      <c r="F19" s="128"/>
      <c r="G19" s="577"/>
      <c r="H19" s="540"/>
      <c r="I19" s="579"/>
      <c r="J19" s="533"/>
      <c r="K19" s="129"/>
      <c r="L19" s="129"/>
      <c r="M19" s="129"/>
      <c r="N19" s="129"/>
      <c r="O19" s="317"/>
      <c r="P19" s="317"/>
      <c r="Q19" s="314"/>
      <c r="R19" s="314" t="str" cm="1">
        <f t="array" ref="R19">IFERROR(IF(INDEX('Disaggregation Records'!$G$3:$G$80,MATCH(RIGHT(L19,255),RIGHT('Disaggregation Records'!$D$3:$D$80,255),0))="","",INDEX('Disaggregation Records'!$G$3:$G$80,MATCH(RIGHT(L19,255),RIGHT('Disaggregation Records'!$D$3:$D$80,255),0))),"")</f>
        <v/>
      </c>
    </row>
    <row r="20" spans="1:18" ht="20.100000000000001" customHeight="1">
      <c r="A20" s="126" t="str">
        <f t="shared" ca="1" si="3"/>
        <v>a1GDm000000XyQ2MAK</v>
      </c>
      <c r="B20" s="570">
        <v>1</v>
      </c>
      <c r="C20" s="572" t="str">
        <f ca="1">IFERROR(VLOOKUP(B20,'Impact Indicators - Section B '!$A$9:$AC$68,29,FALSE),"")</f>
        <v/>
      </c>
      <c r="D20" s="574" t="str">
        <f ca="1">M20</f>
        <v/>
      </c>
      <c r="E20" s="574" t="str">
        <f ca="1">N20</f>
        <v/>
      </c>
      <c r="F20" s="127"/>
      <c r="G20" s="576" t="str">
        <f ca="1">IF(OR(INDIRECT("'update Helper'!E"&amp;Q20)="",F20&lt;&gt;0,F21&lt;&gt;0),IF(IFERROR((F20/F21),"")="","",(F20/F21)),INDIRECT("'update Helper'!E"&amp;Q20)/100)</f>
        <v/>
      </c>
      <c r="H20" s="539"/>
      <c r="I20" s="578"/>
      <c r="J20" s="532"/>
      <c r="K20" s="126">
        <f ca="1">IF(AND(EXACT(C20,C18),C18&lt;&gt;0),K18+1,0)</f>
        <v>5</v>
      </c>
      <c r="L20" s="126" t="str">
        <f ca="1">IF(C20&lt;&gt;"",C20&amp;"-"&amp;K20,"")</f>
        <v/>
      </c>
      <c r="M20" s="126" t="str">
        <f t="array" aca="1" ref="M20" ca="1">IFERROR(IF(INDEX('Disaggregation Records'!$E$3:$E$80,MATCH(RIGHT(L20,255),RIGHT('Disaggregation Records'!$D$3:$D$80,255),0))="","",INDEX('Disaggregation Records'!$E$3:$E$80,MATCH(RIGHT(L20,255),RIGHT('Disaggregation Records'!$D$3:$D$80,255),0))),"")</f>
        <v/>
      </c>
      <c r="N20" s="126" t="str">
        <f t="array" aca="1" ref="N20" ca="1">IFERROR(IF(INDEX('Disaggregation Records'!$F$3:$F$80,MATCH(RIGHT(L20,255),RIGHT('Disaggregation Records'!$D$3:$D$80,255),0))="","",INDEX('Disaggregation Records'!$F$3:$F$80,MATCH(RIGHT(L20,255),RIGHT('Disaggregation Records'!$D$3:$D$80,255),0))),"")</f>
        <v/>
      </c>
      <c r="O20" s="314" t="str">
        <f t="array" aca="1" ref="O20" ca="1">IFERROR(IF(INDEX('Disaggregation Records'!$H$3:$H$80,MATCH(RIGHT(L20,255),RIGHT('Disaggregation Records'!$D$3:$D$80,255),0))="","",INDEX('Disaggregation Records'!$H$3:$H$80,MATCH(RIGHT(L20,255),RIGHT('Disaggregation Records'!$D$3:$D$80,255),0))),"")</f>
        <v/>
      </c>
      <c r="P20" s="310"/>
      <c r="Q20" s="310">
        <f t="shared" ref="Q20" si="7">Q18+1</f>
        <v>1313</v>
      </c>
      <c r="R20" s="314" t="str" cm="1">
        <f t="array" aca="1" ref="R20" ca="1">IFERROR(IF(INDEX('Disaggregation Records'!$G$3:$G$80,MATCH(RIGHT(L20,255),RIGHT('Disaggregation Records'!$D$3:$D$80,255),0))="","",INDEX('Disaggregation Records'!$G$3:$G$80,MATCH(RIGHT(L20,255),RIGHT('Disaggregation Records'!$D$3:$D$80,255),0))),"")</f>
        <v/>
      </c>
    </row>
    <row r="21" spans="1:18" ht="20.100000000000001" customHeight="1">
      <c r="B21" s="571"/>
      <c r="C21" s="573"/>
      <c r="D21" s="575"/>
      <c r="E21" s="575"/>
      <c r="F21" s="128"/>
      <c r="G21" s="577"/>
      <c r="H21" s="540"/>
      <c r="I21" s="579"/>
      <c r="J21" s="533"/>
      <c r="K21" s="129"/>
      <c r="L21" s="129"/>
      <c r="M21" s="129"/>
      <c r="N21" s="129"/>
      <c r="O21" s="317"/>
      <c r="P21" s="310"/>
      <c r="Q21" s="314"/>
      <c r="R21" s="314" t="str" cm="1">
        <f t="array" ref="R21">IFERROR(IF(INDEX('Disaggregation Records'!$G$3:$G$80,MATCH(RIGHT(L21,255),RIGHT('Disaggregation Records'!$D$3:$D$80,255),0))="","",INDEX('Disaggregation Records'!$G$3:$G$80,MATCH(RIGHT(L21,255),RIGHT('Disaggregation Records'!$D$3:$D$80,255),0))),"")</f>
        <v/>
      </c>
    </row>
    <row r="22" spans="1:18" ht="20.100000000000001" customHeight="1">
      <c r="A22" s="126" t="str">
        <f t="shared" ref="A22" ca="1" si="8">INDIRECT("'update Helper'!C"&amp;Q22)</f>
        <v>a1GDm000000XyQ3MAK</v>
      </c>
      <c r="B22" s="570">
        <v>1</v>
      </c>
      <c r="C22" s="572" t="str">
        <f ca="1">IFERROR(VLOOKUP(B22,'Impact Indicators - Section B '!$A$9:$AC$68,29,FALSE),"")</f>
        <v/>
      </c>
      <c r="D22" s="574" t="str">
        <f ca="1">M22</f>
        <v/>
      </c>
      <c r="E22" s="574" t="str">
        <f ca="1">N22</f>
        <v/>
      </c>
      <c r="F22" s="127"/>
      <c r="G22" s="576" t="str">
        <f ca="1">IF(OR(INDIRECT("'update Helper'!E"&amp;Q22)="",F22&lt;&gt;0,F23&lt;&gt;0),IF(IFERROR((F22/F23),"")="","",(F22/F23)),INDIRECT("'update Helper'!E"&amp;Q22)/100)</f>
        <v/>
      </c>
      <c r="H22" s="539"/>
      <c r="I22" s="578"/>
      <c r="J22" s="532"/>
      <c r="K22" s="126">
        <f ca="1">IF(AND(EXACT(C22,C20),C20&lt;&gt;0),K20+1,0)</f>
        <v>6</v>
      </c>
      <c r="L22" s="126" t="str">
        <f ca="1">IF(C22&lt;&gt;"",C22&amp;"-"&amp;K22,"")</f>
        <v/>
      </c>
      <c r="M22" s="126" t="str">
        <f t="array" aca="1" ref="M22" ca="1">IFERROR(IF(INDEX('Disaggregation Records'!$E$3:$E$80,MATCH(RIGHT(L22,255),RIGHT('Disaggregation Records'!$D$3:$D$80,255),0))="","",INDEX('Disaggregation Records'!$E$3:$E$80,MATCH(RIGHT(L22,255),RIGHT('Disaggregation Records'!$D$3:$D$80,255),0))),"")</f>
        <v/>
      </c>
      <c r="N22" s="126" t="str">
        <f t="array" aca="1" ref="N22" ca="1">IFERROR(IF(INDEX('Disaggregation Records'!$F$3:$F$80,MATCH(RIGHT(L22,255),RIGHT('Disaggregation Records'!$D$3:$D$80,255),0))="","",INDEX('Disaggregation Records'!$F$3:$F$80,MATCH(RIGHT(L22,255),RIGHT('Disaggregation Records'!$D$3:$D$80,255),0))),"")</f>
        <v/>
      </c>
      <c r="O22" s="314" t="str">
        <f t="array" aca="1" ref="O22" ca="1">IFERROR(IF(INDEX('Disaggregation Records'!$H$3:$H$80,MATCH(RIGHT(L22,255),RIGHT('Disaggregation Records'!$D$3:$D$80,255),0))="","",INDEX('Disaggregation Records'!$H$3:$H$80,MATCH(RIGHT(L22,255),RIGHT('Disaggregation Records'!$D$3:$D$80,255),0))),"")</f>
        <v/>
      </c>
      <c r="P22" s="314"/>
      <c r="Q22" s="310">
        <f t="shared" ref="Q22" si="9">Q20+1</f>
        <v>1314</v>
      </c>
      <c r="R22" s="314" t="str" cm="1">
        <f t="array" aca="1" ref="R22" ca="1">IFERROR(IF(INDEX('Disaggregation Records'!$G$3:$G$80,MATCH(RIGHT(L22,255),RIGHT('Disaggregation Records'!$D$3:$D$80,255),0))="","",INDEX('Disaggregation Records'!$G$3:$G$80,MATCH(RIGHT(L22,255),RIGHT('Disaggregation Records'!$D$3:$D$80,255),0))),"")</f>
        <v/>
      </c>
    </row>
    <row r="23" spans="1:18" ht="20.100000000000001" customHeight="1">
      <c r="A23" s="126"/>
      <c r="B23" s="571"/>
      <c r="C23" s="573"/>
      <c r="D23" s="575"/>
      <c r="E23" s="575"/>
      <c r="F23" s="128"/>
      <c r="G23" s="577"/>
      <c r="H23" s="540"/>
      <c r="I23" s="579"/>
      <c r="J23" s="533"/>
      <c r="K23" s="129"/>
      <c r="L23" s="129"/>
      <c r="M23" s="129"/>
      <c r="N23" s="129"/>
      <c r="O23" s="317"/>
      <c r="P23" s="317"/>
      <c r="Q23" s="314"/>
      <c r="R23" s="314" t="str" cm="1">
        <f t="array" ref="R23">IFERROR(IF(INDEX('Disaggregation Records'!$G$3:$G$80,MATCH(RIGHT(L23,255),RIGHT('Disaggregation Records'!$D$3:$D$80,255),0))="","",INDEX('Disaggregation Records'!$G$3:$G$80,MATCH(RIGHT(L23,255),RIGHT('Disaggregation Records'!$D$3:$D$80,255),0))),"")</f>
        <v/>
      </c>
    </row>
    <row r="24" spans="1:18" ht="20.100000000000001" customHeight="1">
      <c r="A24" s="126" t="str">
        <f t="shared" ca="1" si="3"/>
        <v>a1GDm000000XyQ4MAK</v>
      </c>
      <c r="B24" s="570">
        <v>1</v>
      </c>
      <c r="C24" s="572" t="str">
        <f ca="1">IFERROR(VLOOKUP(B24,'Impact Indicators - Section B '!$A$9:$AC$68,29,FALSE),"")</f>
        <v/>
      </c>
      <c r="D24" s="574" t="str">
        <f ca="1">M24</f>
        <v/>
      </c>
      <c r="E24" s="574" t="str">
        <f ca="1">N24</f>
        <v/>
      </c>
      <c r="F24" s="127"/>
      <c r="G24" s="576" t="str">
        <f ca="1">IF(OR(INDIRECT("'update Helper'!E"&amp;Q24)="",F24&lt;&gt;0,F25&lt;&gt;0),IF(IFERROR((F24/F25),"")="","",(F24/F25)),INDIRECT("'update Helper'!E"&amp;Q24)/100)</f>
        <v/>
      </c>
      <c r="H24" s="539"/>
      <c r="I24" s="578"/>
      <c r="J24" s="532"/>
      <c r="K24" s="126">
        <f ca="1">IF(AND(EXACT(C24,C22),C22&lt;&gt;0),K22+1,0)</f>
        <v>7</v>
      </c>
      <c r="L24" s="126" t="str">
        <f ca="1">IF(C24&lt;&gt;"",C24&amp;"-"&amp;K24,"")</f>
        <v/>
      </c>
      <c r="M24" s="126" t="str">
        <f t="array" aca="1" ref="M24" ca="1">IFERROR(IF(INDEX('Disaggregation Records'!$E$3:$E$80,MATCH(RIGHT(L24,255),RIGHT('Disaggregation Records'!$D$3:$D$80,255),0))="","",INDEX('Disaggregation Records'!$E$3:$E$80,MATCH(RIGHT(L24,255),RIGHT('Disaggregation Records'!$D$3:$D$80,255),0))),"")</f>
        <v/>
      </c>
      <c r="N24" s="126" t="str">
        <f t="array" aca="1" ref="N24" ca="1">IFERROR(IF(INDEX('Disaggregation Records'!$F$3:$F$80,MATCH(RIGHT(L24,255),RIGHT('Disaggregation Records'!$D$3:$D$80,255),0))="","",INDEX('Disaggregation Records'!$F$3:$F$80,MATCH(RIGHT(L24,255),RIGHT('Disaggregation Records'!$D$3:$D$80,255),0))),"")</f>
        <v/>
      </c>
      <c r="O24" s="314" t="str">
        <f t="array" aca="1" ref="O24" ca="1">IFERROR(IF(INDEX('Disaggregation Records'!$H$3:$H$80,MATCH(RIGHT(L24,255),RIGHT('Disaggregation Records'!$D$3:$D$80,255),0))="","",INDEX('Disaggregation Records'!$H$3:$H$80,MATCH(RIGHT(L24,255),RIGHT('Disaggregation Records'!$D$3:$D$80,255),0))),"")</f>
        <v/>
      </c>
      <c r="P24" s="310"/>
      <c r="Q24" s="310">
        <f t="shared" ref="Q24" si="10">Q22+1</f>
        <v>1315</v>
      </c>
      <c r="R24" s="314" t="str" cm="1">
        <f t="array" aca="1" ref="R24" ca="1">IFERROR(IF(INDEX('Disaggregation Records'!$G$3:$G$80,MATCH(RIGHT(L24,255),RIGHT('Disaggregation Records'!$D$3:$D$80,255),0))="","",INDEX('Disaggregation Records'!$G$3:$G$80,MATCH(RIGHT(L24,255),RIGHT('Disaggregation Records'!$D$3:$D$80,255),0))),"")</f>
        <v/>
      </c>
    </row>
    <row r="25" spans="1:18" ht="20.100000000000001" customHeight="1">
      <c r="B25" s="571"/>
      <c r="C25" s="573"/>
      <c r="D25" s="575"/>
      <c r="E25" s="575"/>
      <c r="F25" s="128"/>
      <c r="G25" s="577"/>
      <c r="H25" s="540"/>
      <c r="I25" s="579"/>
      <c r="J25" s="533"/>
      <c r="K25" s="129"/>
      <c r="L25" s="129"/>
      <c r="M25" s="129"/>
      <c r="N25" s="129"/>
      <c r="O25" s="317"/>
      <c r="P25" s="310"/>
      <c r="Q25" s="314"/>
      <c r="R25" s="314" t="str" cm="1">
        <f t="array" ref="R25">IFERROR(IF(INDEX('Disaggregation Records'!$G$3:$G$80,MATCH(RIGHT(L25,255),RIGHT('Disaggregation Records'!$D$3:$D$80,255),0))="","",INDEX('Disaggregation Records'!$G$3:$G$80,MATCH(RIGHT(L25,255),RIGHT('Disaggregation Records'!$D$3:$D$80,255),0))),"")</f>
        <v/>
      </c>
    </row>
    <row r="26" spans="1:18" ht="20.100000000000001" customHeight="1">
      <c r="A26" s="126" t="str">
        <f t="shared" ref="A26" ca="1" si="11">INDIRECT("'update Helper'!C"&amp;Q26)</f>
        <v>a1GDm000000XyQ5MAK</v>
      </c>
      <c r="B26" s="570">
        <v>1</v>
      </c>
      <c r="C26" s="572" t="str">
        <f ca="1">IFERROR(VLOOKUP(B26,'Impact Indicators - Section B '!$A$9:$AC$68,29,FALSE),"")</f>
        <v/>
      </c>
      <c r="D26" s="574" t="str">
        <f ca="1">M26</f>
        <v/>
      </c>
      <c r="E26" s="574" t="str">
        <f ca="1">N26</f>
        <v/>
      </c>
      <c r="F26" s="127"/>
      <c r="G26" s="576" t="str">
        <f ca="1">IF(OR(INDIRECT("'update Helper'!E"&amp;Q26)="",F26&lt;&gt;0,F27&lt;&gt;0),IF(IFERROR((F26/F27),"")="","",(F26/F27)),INDIRECT("'update Helper'!E"&amp;Q26)/100)</f>
        <v/>
      </c>
      <c r="H26" s="539"/>
      <c r="I26" s="578"/>
      <c r="J26" s="532"/>
      <c r="K26" s="126">
        <f ca="1">IF(AND(EXACT(C26,C24),C24&lt;&gt;0),K24+1,0)</f>
        <v>8</v>
      </c>
      <c r="L26" s="126" t="str">
        <f ca="1">IF(C26&lt;&gt;"",C26&amp;"-"&amp;K26,"")</f>
        <v/>
      </c>
      <c r="M26" s="126" t="str">
        <f t="array" aca="1" ref="M26" ca="1">IFERROR(IF(INDEX('Disaggregation Records'!$E$3:$E$80,MATCH(RIGHT(L26,255),RIGHT('Disaggregation Records'!$D$3:$D$80,255),0))="","",INDEX('Disaggregation Records'!$E$3:$E$80,MATCH(RIGHT(L26,255),RIGHT('Disaggregation Records'!$D$3:$D$80,255),0))),"")</f>
        <v/>
      </c>
      <c r="N26" s="126" t="str">
        <f t="array" aca="1" ref="N26" ca="1">IFERROR(IF(INDEX('Disaggregation Records'!$F$3:$F$80,MATCH(RIGHT(L26,255),RIGHT('Disaggregation Records'!$D$3:$D$80,255),0))="","",INDEX('Disaggregation Records'!$F$3:$F$80,MATCH(RIGHT(L26,255),RIGHT('Disaggregation Records'!$D$3:$D$80,255),0))),"")</f>
        <v/>
      </c>
      <c r="O26" s="314" t="str">
        <f t="array" aca="1" ref="O26" ca="1">IFERROR(IF(INDEX('Disaggregation Records'!$H$3:$H$80,MATCH(RIGHT(L26,255),RIGHT('Disaggregation Records'!$D$3:$D$80,255),0))="","",INDEX('Disaggregation Records'!$H$3:$H$80,MATCH(RIGHT(L26,255),RIGHT('Disaggregation Records'!$D$3:$D$80,255),0))),"")</f>
        <v/>
      </c>
      <c r="P26" s="314"/>
      <c r="Q26" s="310">
        <f t="shared" ref="Q26" si="12">Q24+1</f>
        <v>1316</v>
      </c>
      <c r="R26" s="314" t="str" cm="1">
        <f t="array" aca="1" ref="R26" ca="1">IFERROR(IF(INDEX('Disaggregation Records'!$G$3:$G$80,MATCH(RIGHT(L26,255),RIGHT('Disaggregation Records'!$D$3:$D$80,255),0))="","",INDEX('Disaggregation Records'!$G$3:$G$80,MATCH(RIGHT(L26,255),RIGHT('Disaggregation Records'!$D$3:$D$80,255),0))),"")</f>
        <v/>
      </c>
    </row>
    <row r="27" spans="1:18" ht="20.100000000000001" customHeight="1">
      <c r="A27" s="126"/>
      <c r="B27" s="571"/>
      <c r="C27" s="573"/>
      <c r="D27" s="575"/>
      <c r="E27" s="575"/>
      <c r="F27" s="128"/>
      <c r="G27" s="577"/>
      <c r="H27" s="540"/>
      <c r="I27" s="579"/>
      <c r="J27" s="533"/>
      <c r="K27" s="129"/>
      <c r="L27" s="129"/>
      <c r="M27" s="129"/>
      <c r="N27" s="129"/>
      <c r="O27" s="317"/>
      <c r="P27" s="317"/>
      <c r="Q27" s="314"/>
      <c r="R27" s="314" t="str" cm="1">
        <f t="array" ref="R27">IFERROR(IF(INDEX('Disaggregation Records'!$G$3:$G$80,MATCH(RIGHT(L27,255),RIGHT('Disaggregation Records'!$D$3:$D$80,255),0))="","",INDEX('Disaggregation Records'!$G$3:$G$80,MATCH(RIGHT(L27,255),RIGHT('Disaggregation Records'!$D$3:$D$80,255),0))),"")</f>
        <v/>
      </c>
    </row>
    <row r="28" spans="1:18" ht="20.100000000000001" customHeight="1">
      <c r="A28" s="126" t="str">
        <f t="shared" ca="1" si="3"/>
        <v>a1GDm000000XyQ6MAK</v>
      </c>
      <c r="B28" s="570">
        <v>1</v>
      </c>
      <c r="C28" s="572" t="str">
        <f ca="1">IFERROR(VLOOKUP(B28,'Impact Indicators - Section B '!$A$9:$AC$68,29,FALSE),"")</f>
        <v/>
      </c>
      <c r="D28" s="574" t="str">
        <f ca="1">M28</f>
        <v/>
      </c>
      <c r="E28" s="574" t="str">
        <f ca="1">N28</f>
        <v/>
      </c>
      <c r="F28" s="127"/>
      <c r="G28" s="576" t="str">
        <f ca="1">IF(OR(INDIRECT("'update Helper'!E"&amp;Q28)="",F28&lt;&gt;0,F29&lt;&gt;0),IF(IFERROR((F28/F29),"")="","",(F28/F29)),INDIRECT("'update Helper'!E"&amp;Q28)/100)</f>
        <v/>
      </c>
      <c r="H28" s="539"/>
      <c r="I28" s="578"/>
      <c r="J28" s="532"/>
      <c r="K28" s="126">
        <f ca="1">IF(AND(EXACT(C28,C26),C26&lt;&gt;0),K26+1,0)</f>
        <v>9</v>
      </c>
      <c r="L28" s="126" t="str">
        <f ca="1">IF(C28&lt;&gt;"",C28&amp;"-"&amp;K28,"")</f>
        <v/>
      </c>
      <c r="M28" s="126" t="str">
        <f t="array" aca="1" ref="M28" ca="1">IFERROR(IF(INDEX('Disaggregation Records'!$E$3:$E$80,MATCH(RIGHT(L28,255),RIGHT('Disaggregation Records'!$D$3:$D$80,255),0))="","",INDEX('Disaggregation Records'!$E$3:$E$80,MATCH(RIGHT(L28,255),RIGHT('Disaggregation Records'!$D$3:$D$80,255),0))),"")</f>
        <v/>
      </c>
      <c r="N28" s="126" t="str">
        <f t="array" aca="1" ref="N28" ca="1">IFERROR(IF(INDEX('Disaggregation Records'!$F$3:$F$80,MATCH(RIGHT(L28,255),RIGHT('Disaggregation Records'!$D$3:$D$80,255),0))="","",INDEX('Disaggregation Records'!$F$3:$F$80,MATCH(RIGHT(L28,255),RIGHT('Disaggregation Records'!$D$3:$D$80,255),0))),"")</f>
        <v/>
      </c>
      <c r="O28" s="314" t="str">
        <f t="array" aca="1" ref="O28" ca="1">IFERROR(IF(INDEX('Disaggregation Records'!$H$3:$H$80,MATCH(RIGHT(L28,255),RIGHT('Disaggregation Records'!$D$3:$D$80,255),0))="","",INDEX('Disaggregation Records'!$H$3:$H$80,MATCH(RIGHT(L28,255),RIGHT('Disaggregation Records'!$D$3:$D$80,255),0))),"")</f>
        <v/>
      </c>
      <c r="P28" s="310"/>
      <c r="Q28" s="310">
        <f t="shared" ref="Q28" si="13">Q26+1</f>
        <v>1317</v>
      </c>
      <c r="R28" s="314" t="str" cm="1">
        <f t="array" aca="1" ref="R28" ca="1">IFERROR(IF(INDEX('Disaggregation Records'!$G$3:$G$80,MATCH(RIGHT(L28,255),RIGHT('Disaggregation Records'!$D$3:$D$80,255),0))="","",INDEX('Disaggregation Records'!$G$3:$G$80,MATCH(RIGHT(L28,255),RIGHT('Disaggregation Records'!$D$3:$D$80,255),0))),"")</f>
        <v/>
      </c>
    </row>
    <row r="29" spans="1:18" ht="20.100000000000001" customHeight="1">
      <c r="B29" s="571"/>
      <c r="C29" s="573"/>
      <c r="D29" s="575"/>
      <c r="E29" s="575"/>
      <c r="F29" s="128"/>
      <c r="G29" s="577"/>
      <c r="H29" s="540"/>
      <c r="I29" s="579"/>
      <c r="J29" s="533"/>
      <c r="K29" s="129"/>
      <c r="L29" s="129"/>
      <c r="M29" s="129"/>
      <c r="N29" s="129"/>
      <c r="O29" s="317"/>
      <c r="P29" s="310"/>
      <c r="Q29" s="314"/>
      <c r="R29" s="314" t="str" cm="1">
        <f t="array" ref="R29">IFERROR(IF(INDEX('Disaggregation Records'!$G$3:$G$80,MATCH(RIGHT(L29,255),RIGHT('Disaggregation Records'!$D$3:$D$80,255),0))="","",INDEX('Disaggregation Records'!$G$3:$G$80,MATCH(RIGHT(L29,255),RIGHT('Disaggregation Records'!$D$3:$D$80,255),0))),"")</f>
        <v/>
      </c>
    </row>
    <row r="30" spans="1:18" ht="20.100000000000001" customHeight="1">
      <c r="A30" s="126" t="str">
        <f t="shared" ref="A30" ca="1" si="14">INDIRECT("'update Helper'!C"&amp;Q30)</f>
        <v>a1GDm000000XyQ7MAK</v>
      </c>
      <c r="B30" s="570">
        <v>2</v>
      </c>
      <c r="C30" s="572" t="str">
        <f ca="1">IFERROR(VLOOKUP(B30,'Impact Indicators - Section B '!$A$9:$AC$68,29,FALSE),"")</f>
        <v/>
      </c>
      <c r="D30" s="574" t="str">
        <f ca="1">M30</f>
        <v/>
      </c>
      <c r="E30" s="574" t="str">
        <f ca="1">N30</f>
        <v/>
      </c>
      <c r="F30" s="127"/>
      <c r="G30" s="576" t="str">
        <f ca="1">IF(OR(INDIRECT("'update Helper'!E"&amp;Q30)="",F30&lt;&gt;0,F31&lt;&gt;0),IF(IFERROR((F30/F31),"")="","",(F30/F31)),INDIRECT("'update Helper'!E"&amp;Q30)/100)</f>
        <v/>
      </c>
      <c r="H30" s="539"/>
      <c r="I30" s="578"/>
      <c r="J30" s="532"/>
      <c r="K30" s="126">
        <f ca="1">IF(AND(EXACT(C30,C28),C28&lt;&gt;0),K28+1,0)</f>
        <v>10</v>
      </c>
      <c r="L30" s="126" t="str">
        <f ca="1">IF(C30&lt;&gt;"",C30&amp;"-"&amp;K30,"")</f>
        <v/>
      </c>
      <c r="M30" s="126" t="str">
        <f t="array" aca="1" ref="M30" ca="1">IFERROR(IF(INDEX('Disaggregation Records'!$E$3:$E$80,MATCH(RIGHT(L30,255),RIGHT('Disaggregation Records'!$D$3:$D$80,255),0))="","",INDEX('Disaggregation Records'!$E$3:$E$80,MATCH(RIGHT(L30,255),RIGHT('Disaggregation Records'!$D$3:$D$80,255),0))),"")</f>
        <v/>
      </c>
      <c r="N30" s="126" t="str">
        <f t="array" aca="1" ref="N30" ca="1">IFERROR(IF(INDEX('Disaggregation Records'!$F$3:$F$80,MATCH(RIGHT(L30,255),RIGHT('Disaggregation Records'!$D$3:$D$80,255),0))="","",INDEX('Disaggregation Records'!$F$3:$F$80,MATCH(RIGHT(L30,255),RIGHT('Disaggregation Records'!$D$3:$D$80,255),0))),"")</f>
        <v/>
      </c>
      <c r="O30" s="314" t="str">
        <f t="array" aca="1" ref="O30" ca="1">IFERROR(IF(INDEX('Disaggregation Records'!$H$3:$H$80,MATCH(RIGHT(L30,255),RIGHT('Disaggregation Records'!$D$3:$D$80,255),0))="","",INDEX('Disaggregation Records'!$H$3:$H$80,MATCH(RIGHT(L30,255),RIGHT('Disaggregation Records'!$D$3:$D$80,255),0))),"")</f>
        <v/>
      </c>
      <c r="P30" s="314"/>
      <c r="Q30" s="310">
        <f t="shared" ref="Q30" si="15">Q28+1</f>
        <v>1318</v>
      </c>
      <c r="R30" s="314" t="str" cm="1">
        <f t="array" aca="1" ref="R30" ca="1">IFERROR(IF(INDEX('Disaggregation Records'!$G$3:$G$80,MATCH(RIGHT(L30,255),RIGHT('Disaggregation Records'!$D$3:$D$80,255),0))="","",INDEX('Disaggregation Records'!$G$3:$G$80,MATCH(RIGHT(L30,255),RIGHT('Disaggregation Records'!$D$3:$D$80,255),0))),"")</f>
        <v/>
      </c>
    </row>
    <row r="31" spans="1:18" ht="20.100000000000001" customHeight="1">
      <c r="A31" s="126"/>
      <c r="B31" s="571"/>
      <c r="C31" s="573"/>
      <c r="D31" s="575"/>
      <c r="E31" s="575"/>
      <c r="F31" s="128"/>
      <c r="G31" s="577"/>
      <c r="H31" s="540"/>
      <c r="I31" s="579"/>
      <c r="J31" s="533"/>
      <c r="K31" s="129"/>
      <c r="L31" s="129"/>
      <c r="M31" s="129"/>
      <c r="N31" s="129"/>
      <c r="O31" s="317"/>
      <c r="P31" s="317"/>
      <c r="Q31" s="314"/>
      <c r="R31" s="314" t="str" cm="1">
        <f t="array" ref="R31">IFERROR(IF(INDEX('Disaggregation Records'!$G$3:$G$80,MATCH(RIGHT(L31,255),RIGHT('Disaggregation Records'!$D$3:$D$80,255),0))="","",INDEX('Disaggregation Records'!$G$3:$G$80,MATCH(RIGHT(L31,255),RIGHT('Disaggregation Records'!$D$3:$D$80,255),0))),"")</f>
        <v/>
      </c>
    </row>
    <row r="32" spans="1:18" ht="20.100000000000001" customHeight="1">
      <c r="A32" s="126" t="str">
        <f t="shared" ca="1" si="3"/>
        <v>a1GDm000000XyQ8MAK</v>
      </c>
      <c r="B32" s="570">
        <v>2</v>
      </c>
      <c r="C32" s="572" t="str">
        <f ca="1">IFERROR(VLOOKUP(B32,'Impact Indicators - Section B '!$A$9:$AC$68,29,FALSE),"")</f>
        <v/>
      </c>
      <c r="D32" s="574" t="str">
        <f ca="1">M32</f>
        <v/>
      </c>
      <c r="E32" s="574" t="str">
        <f ca="1">N32</f>
        <v/>
      </c>
      <c r="F32" s="127"/>
      <c r="G32" s="576" t="str">
        <f ca="1">IF(OR(INDIRECT("'update Helper'!E"&amp;Q32)="",F32&lt;&gt;0,F33&lt;&gt;0),IF(IFERROR((F32/F33),"")="","",(F32/F33)),INDIRECT("'update Helper'!E"&amp;Q32)/100)</f>
        <v/>
      </c>
      <c r="H32" s="539"/>
      <c r="I32" s="578"/>
      <c r="J32" s="532"/>
      <c r="K32" s="126">
        <f ca="1">IF(AND(EXACT(C32,C30),C30&lt;&gt;0),K30+1,0)</f>
        <v>11</v>
      </c>
      <c r="L32" s="126" t="str">
        <f ca="1">IF(C32&lt;&gt;"",C32&amp;"-"&amp;K32,"")</f>
        <v/>
      </c>
      <c r="M32" s="126" t="str">
        <f t="array" aca="1" ref="M32" ca="1">IFERROR(IF(INDEX('Disaggregation Records'!$E$3:$E$80,MATCH(RIGHT(L32,255),RIGHT('Disaggregation Records'!$D$3:$D$80,255),0))="","",INDEX('Disaggregation Records'!$E$3:$E$80,MATCH(RIGHT(L32,255),RIGHT('Disaggregation Records'!$D$3:$D$80,255),0))),"")</f>
        <v/>
      </c>
      <c r="N32" s="126" t="str">
        <f t="array" aca="1" ref="N32" ca="1">IFERROR(IF(INDEX('Disaggregation Records'!$F$3:$F$80,MATCH(RIGHT(L32,255),RIGHT('Disaggregation Records'!$D$3:$D$80,255),0))="","",INDEX('Disaggregation Records'!$F$3:$F$80,MATCH(RIGHT(L32,255),RIGHT('Disaggregation Records'!$D$3:$D$80,255),0))),"")</f>
        <v/>
      </c>
      <c r="O32" s="314" t="str">
        <f t="array" aca="1" ref="O32" ca="1">IFERROR(IF(INDEX('Disaggregation Records'!$H$3:$H$80,MATCH(RIGHT(L32,255),RIGHT('Disaggregation Records'!$D$3:$D$80,255),0))="","",INDEX('Disaggregation Records'!$H$3:$H$80,MATCH(RIGHT(L32,255),RIGHT('Disaggregation Records'!$D$3:$D$80,255),0))),"")</f>
        <v/>
      </c>
      <c r="P32" s="310"/>
      <c r="Q32" s="310">
        <f t="shared" ref="Q32" si="16">Q30+1</f>
        <v>1319</v>
      </c>
      <c r="R32" s="314" t="str" cm="1">
        <f t="array" aca="1" ref="R32" ca="1">IFERROR(IF(INDEX('Disaggregation Records'!$G$3:$G$80,MATCH(RIGHT(L32,255),RIGHT('Disaggregation Records'!$D$3:$D$80,255),0))="","",INDEX('Disaggregation Records'!$G$3:$G$80,MATCH(RIGHT(L32,255),RIGHT('Disaggregation Records'!$D$3:$D$80,255),0))),"")</f>
        <v/>
      </c>
    </row>
    <row r="33" spans="1:18" ht="20.100000000000001" customHeight="1">
      <c r="B33" s="571"/>
      <c r="C33" s="573"/>
      <c r="D33" s="575"/>
      <c r="E33" s="575"/>
      <c r="F33" s="128"/>
      <c r="G33" s="577"/>
      <c r="H33" s="540"/>
      <c r="I33" s="579"/>
      <c r="J33" s="533"/>
      <c r="K33" s="129"/>
      <c r="L33" s="129"/>
      <c r="M33" s="129"/>
      <c r="N33" s="129"/>
      <c r="O33" s="317"/>
      <c r="P33" s="310"/>
      <c r="Q33" s="314"/>
      <c r="R33" s="314" t="str" cm="1">
        <f t="array" ref="R33">IFERROR(IF(INDEX('Disaggregation Records'!$G$3:$G$80,MATCH(RIGHT(L33,255),RIGHT('Disaggregation Records'!$D$3:$D$80,255),0))="","",INDEX('Disaggregation Records'!$G$3:$G$80,MATCH(RIGHT(L33,255),RIGHT('Disaggregation Records'!$D$3:$D$80,255),0))),"")</f>
        <v/>
      </c>
    </row>
    <row r="34" spans="1:18" ht="20.100000000000001" customHeight="1">
      <c r="A34" s="126" t="str">
        <f t="shared" ref="A34" ca="1" si="17">INDIRECT("'update Helper'!C"&amp;Q34)</f>
        <v>a1GDm000000XyQ9MAK</v>
      </c>
      <c r="B34" s="570">
        <v>2</v>
      </c>
      <c r="C34" s="572" t="str">
        <f ca="1">IFERROR(VLOOKUP(B34,'Impact Indicators - Section B '!$A$9:$AC$68,29,FALSE),"")</f>
        <v/>
      </c>
      <c r="D34" s="574" t="str">
        <f ca="1">M34</f>
        <v/>
      </c>
      <c r="E34" s="574" t="str">
        <f ca="1">N34</f>
        <v/>
      </c>
      <c r="F34" s="127"/>
      <c r="G34" s="576" t="str">
        <f ca="1">IF(OR(INDIRECT("'update Helper'!E"&amp;Q34)="",F34&lt;&gt;0,F35&lt;&gt;0),IF(IFERROR((F34/F35),"")="","",(F34/F35)),INDIRECT("'update Helper'!E"&amp;Q34)/100)</f>
        <v/>
      </c>
      <c r="H34" s="539"/>
      <c r="I34" s="578"/>
      <c r="J34" s="532"/>
      <c r="K34" s="126">
        <f ca="1">IF(AND(EXACT(C34,C32),C32&lt;&gt;0),K32+1,0)</f>
        <v>12</v>
      </c>
      <c r="L34" s="126" t="str">
        <f ca="1">IF(C34&lt;&gt;"",C34&amp;"-"&amp;K34,"")</f>
        <v/>
      </c>
      <c r="M34" s="126" t="str">
        <f t="array" aca="1" ref="M34" ca="1">IFERROR(IF(INDEX('Disaggregation Records'!$E$3:$E$80,MATCH(RIGHT(L34,255),RIGHT('Disaggregation Records'!$D$3:$D$80,255),0))="","",INDEX('Disaggregation Records'!$E$3:$E$80,MATCH(RIGHT(L34,255),RIGHT('Disaggregation Records'!$D$3:$D$80,255),0))),"")</f>
        <v/>
      </c>
      <c r="N34" s="126" t="str">
        <f t="array" aca="1" ref="N34" ca="1">IFERROR(IF(INDEX('Disaggregation Records'!$F$3:$F$80,MATCH(RIGHT(L34,255),RIGHT('Disaggregation Records'!$D$3:$D$80,255),0))="","",INDEX('Disaggregation Records'!$F$3:$F$80,MATCH(RIGHT(L34,255),RIGHT('Disaggregation Records'!$D$3:$D$80,255),0))),"")</f>
        <v/>
      </c>
      <c r="O34" s="314" t="str">
        <f t="array" aca="1" ref="O34" ca="1">IFERROR(IF(INDEX('Disaggregation Records'!$H$3:$H$80,MATCH(RIGHT(L34,255),RIGHT('Disaggregation Records'!$D$3:$D$80,255),0))="","",INDEX('Disaggregation Records'!$H$3:$H$80,MATCH(RIGHT(L34,255),RIGHT('Disaggregation Records'!$D$3:$D$80,255),0))),"")</f>
        <v/>
      </c>
      <c r="P34" s="314"/>
      <c r="Q34" s="310">
        <f t="shared" ref="Q34" si="18">Q32+1</f>
        <v>1320</v>
      </c>
      <c r="R34" s="314" t="str" cm="1">
        <f t="array" aca="1" ref="R34" ca="1">IFERROR(IF(INDEX('Disaggregation Records'!$G$3:$G$80,MATCH(RIGHT(L34,255),RIGHT('Disaggregation Records'!$D$3:$D$80,255),0))="","",INDEX('Disaggregation Records'!$G$3:$G$80,MATCH(RIGHT(L34,255),RIGHT('Disaggregation Records'!$D$3:$D$80,255),0))),"")</f>
        <v/>
      </c>
    </row>
    <row r="35" spans="1:18" ht="20.100000000000001" customHeight="1">
      <c r="A35" s="126"/>
      <c r="B35" s="571"/>
      <c r="C35" s="573"/>
      <c r="D35" s="575"/>
      <c r="E35" s="575"/>
      <c r="F35" s="128"/>
      <c r="G35" s="577"/>
      <c r="H35" s="540"/>
      <c r="I35" s="579"/>
      <c r="J35" s="533"/>
      <c r="K35" s="129"/>
      <c r="L35" s="129"/>
      <c r="M35" s="129"/>
      <c r="N35" s="129"/>
      <c r="O35" s="317"/>
      <c r="P35" s="317"/>
      <c r="Q35" s="314"/>
      <c r="R35" s="314" t="str" cm="1">
        <f t="array" ref="R35">IFERROR(IF(INDEX('Disaggregation Records'!$G$3:$G$80,MATCH(RIGHT(L35,255),RIGHT('Disaggregation Records'!$D$3:$D$80,255),0))="","",INDEX('Disaggregation Records'!$G$3:$G$80,MATCH(RIGHT(L35,255),RIGHT('Disaggregation Records'!$D$3:$D$80,255),0))),"")</f>
        <v/>
      </c>
    </row>
    <row r="36" spans="1:18" ht="20.100000000000001" customHeight="1">
      <c r="A36" s="126" t="str">
        <f t="shared" ca="1" si="3"/>
        <v>a1GDm000000XyQAMA0</v>
      </c>
      <c r="B36" s="570">
        <v>2</v>
      </c>
      <c r="C36" s="572" t="str">
        <f ca="1">IFERROR(VLOOKUP(B36,'Impact Indicators - Section B '!$A$9:$AC$68,29,FALSE),"")</f>
        <v/>
      </c>
      <c r="D36" s="574" t="str">
        <f ca="1">M36</f>
        <v/>
      </c>
      <c r="E36" s="574" t="str">
        <f ca="1">N36</f>
        <v/>
      </c>
      <c r="F36" s="127"/>
      <c r="G36" s="576" t="str">
        <f ca="1">IF(OR(INDIRECT("'update Helper'!E"&amp;Q36)="",F36&lt;&gt;0,F37&lt;&gt;0),IF(IFERROR((F36/F37),"")="","",(F36/F37)),INDIRECT("'update Helper'!E"&amp;Q36)/100)</f>
        <v/>
      </c>
      <c r="H36" s="539"/>
      <c r="I36" s="578"/>
      <c r="J36" s="532"/>
      <c r="K36" s="126">
        <f ca="1">IF(AND(EXACT(C36,C34),C34&lt;&gt;0),K34+1,0)</f>
        <v>13</v>
      </c>
      <c r="L36" s="126" t="str">
        <f ca="1">IF(C36&lt;&gt;"",C36&amp;"-"&amp;K36,"")</f>
        <v/>
      </c>
      <c r="M36" s="126" t="str">
        <f t="array" aca="1" ref="M36" ca="1">IFERROR(IF(INDEX('Disaggregation Records'!$E$3:$E$80,MATCH(RIGHT(L36,255),RIGHT('Disaggregation Records'!$D$3:$D$80,255),0))="","",INDEX('Disaggregation Records'!$E$3:$E$80,MATCH(RIGHT(L36,255),RIGHT('Disaggregation Records'!$D$3:$D$80,255),0))),"")</f>
        <v/>
      </c>
      <c r="N36" s="126" t="str">
        <f t="array" aca="1" ref="N36" ca="1">IFERROR(IF(INDEX('Disaggregation Records'!$F$3:$F$80,MATCH(RIGHT(L36,255),RIGHT('Disaggregation Records'!$D$3:$D$80,255),0))="","",INDEX('Disaggregation Records'!$F$3:$F$80,MATCH(RIGHT(L36,255),RIGHT('Disaggregation Records'!$D$3:$D$80,255),0))),"")</f>
        <v/>
      </c>
      <c r="O36" s="314" t="str">
        <f t="array" aca="1" ref="O36" ca="1">IFERROR(IF(INDEX('Disaggregation Records'!$H$3:$H$80,MATCH(RIGHT(L36,255),RIGHT('Disaggregation Records'!$D$3:$D$80,255),0))="","",INDEX('Disaggregation Records'!$H$3:$H$80,MATCH(RIGHT(L36,255),RIGHT('Disaggregation Records'!$D$3:$D$80,255),0))),"")</f>
        <v/>
      </c>
      <c r="P36" s="310"/>
      <c r="Q36" s="310">
        <f t="shared" ref="Q36" si="19">Q34+1</f>
        <v>1321</v>
      </c>
      <c r="R36" s="314" t="str" cm="1">
        <f t="array" aca="1" ref="R36" ca="1">IFERROR(IF(INDEX('Disaggregation Records'!$G$3:$G$80,MATCH(RIGHT(L36,255),RIGHT('Disaggregation Records'!$D$3:$D$80,255),0))="","",INDEX('Disaggregation Records'!$G$3:$G$80,MATCH(RIGHT(L36,255),RIGHT('Disaggregation Records'!$D$3:$D$80,255),0))),"")</f>
        <v/>
      </c>
    </row>
    <row r="37" spans="1:18" ht="20.100000000000001" customHeight="1">
      <c r="B37" s="571"/>
      <c r="C37" s="573"/>
      <c r="D37" s="575"/>
      <c r="E37" s="575"/>
      <c r="F37" s="128"/>
      <c r="G37" s="577"/>
      <c r="H37" s="540"/>
      <c r="I37" s="579"/>
      <c r="J37" s="533"/>
      <c r="K37" s="129"/>
      <c r="L37" s="129"/>
      <c r="M37" s="129"/>
      <c r="N37" s="129"/>
      <c r="O37" s="317"/>
      <c r="P37" s="310"/>
      <c r="Q37" s="314"/>
      <c r="R37" s="314" t="str" cm="1">
        <f t="array" ref="R37">IFERROR(IF(INDEX('Disaggregation Records'!$G$3:$G$80,MATCH(RIGHT(L37,255),RIGHT('Disaggregation Records'!$D$3:$D$80,255),0))="","",INDEX('Disaggregation Records'!$G$3:$G$80,MATCH(RIGHT(L37,255),RIGHT('Disaggregation Records'!$D$3:$D$80,255),0))),"")</f>
        <v/>
      </c>
    </row>
    <row r="38" spans="1:18" ht="20.100000000000001" customHeight="1">
      <c r="A38" s="126" t="str">
        <f t="shared" ref="A38" ca="1" si="20">INDIRECT("'update Helper'!C"&amp;Q38)</f>
        <v>a1GDm000000XyQBMA0</v>
      </c>
      <c r="B38" s="570">
        <v>2</v>
      </c>
      <c r="C38" s="572" t="str">
        <f ca="1">IFERROR(VLOOKUP(B38,'Impact Indicators - Section B '!$A$9:$AC$68,29,FALSE),"")</f>
        <v/>
      </c>
      <c r="D38" s="574" t="str">
        <f ca="1">M38</f>
        <v/>
      </c>
      <c r="E38" s="574" t="str">
        <f ca="1">N38</f>
        <v/>
      </c>
      <c r="F38" s="127"/>
      <c r="G38" s="576" t="str">
        <f ca="1">IF(OR(INDIRECT("'update Helper'!E"&amp;Q38)="",F38&lt;&gt;0,F39&lt;&gt;0),IF(IFERROR((F38/F39),"")="","",(F38/F39)),INDIRECT("'update Helper'!E"&amp;Q38)/100)</f>
        <v/>
      </c>
      <c r="H38" s="539"/>
      <c r="I38" s="578"/>
      <c r="J38" s="532"/>
      <c r="K38" s="126">
        <f ca="1">IF(AND(EXACT(C38,C36),C36&lt;&gt;0),K36+1,0)</f>
        <v>14</v>
      </c>
      <c r="L38" s="126" t="str">
        <f ca="1">IF(C38&lt;&gt;"",C38&amp;"-"&amp;K38,"")</f>
        <v/>
      </c>
      <c r="M38" s="126" t="str">
        <f t="array" aca="1" ref="M38" ca="1">IFERROR(IF(INDEX('Disaggregation Records'!$E$3:$E$80,MATCH(RIGHT(L38,255),RIGHT('Disaggregation Records'!$D$3:$D$80,255),0))="","",INDEX('Disaggregation Records'!$E$3:$E$80,MATCH(RIGHT(L38,255),RIGHT('Disaggregation Records'!$D$3:$D$80,255),0))),"")</f>
        <v/>
      </c>
      <c r="N38" s="126" t="str">
        <f t="array" aca="1" ref="N38" ca="1">IFERROR(IF(INDEX('Disaggregation Records'!$F$3:$F$80,MATCH(RIGHT(L38,255),RIGHT('Disaggregation Records'!$D$3:$D$80,255),0))="","",INDEX('Disaggregation Records'!$F$3:$F$80,MATCH(RIGHT(L38,255),RIGHT('Disaggregation Records'!$D$3:$D$80,255),0))),"")</f>
        <v/>
      </c>
      <c r="O38" s="314" t="str">
        <f t="array" aca="1" ref="O38" ca="1">IFERROR(IF(INDEX('Disaggregation Records'!$H$3:$H$80,MATCH(RIGHT(L38,255),RIGHT('Disaggregation Records'!$D$3:$D$80,255),0))="","",INDEX('Disaggregation Records'!$H$3:$H$80,MATCH(RIGHT(L38,255),RIGHT('Disaggregation Records'!$D$3:$D$80,255),0))),"")</f>
        <v/>
      </c>
      <c r="P38" s="314"/>
      <c r="Q38" s="310">
        <f t="shared" ref="Q38" si="21">Q36+1</f>
        <v>1322</v>
      </c>
      <c r="R38" s="314" t="str" cm="1">
        <f t="array" aca="1" ref="R38" ca="1">IFERROR(IF(INDEX('Disaggregation Records'!$G$3:$G$80,MATCH(RIGHT(L38,255),RIGHT('Disaggregation Records'!$D$3:$D$80,255),0))="","",INDEX('Disaggregation Records'!$G$3:$G$80,MATCH(RIGHT(L38,255),RIGHT('Disaggregation Records'!$D$3:$D$80,255),0))),"")</f>
        <v/>
      </c>
    </row>
    <row r="39" spans="1:18" ht="20.100000000000001" customHeight="1">
      <c r="A39" s="126"/>
      <c r="B39" s="571"/>
      <c r="C39" s="573"/>
      <c r="D39" s="575"/>
      <c r="E39" s="575"/>
      <c r="F39" s="128"/>
      <c r="G39" s="577"/>
      <c r="H39" s="540"/>
      <c r="I39" s="579"/>
      <c r="J39" s="533"/>
      <c r="K39" s="129"/>
      <c r="L39" s="129"/>
      <c r="M39" s="129"/>
      <c r="N39" s="129"/>
      <c r="O39" s="317"/>
      <c r="P39" s="317"/>
      <c r="Q39" s="314"/>
      <c r="R39" s="314" t="str" cm="1">
        <f t="array" ref="R39">IFERROR(IF(INDEX('Disaggregation Records'!$G$3:$G$80,MATCH(RIGHT(L39,255),RIGHT('Disaggregation Records'!$D$3:$D$80,255),0))="","",INDEX('Disaggregation Records'!$G$3:$G$80,MATCH(RIGHT(L39,255),RIGHT('Disaggregation Records'!$D$3:$D$80,255),0))),"")</f>
        <v/>
      </c>
    </row>
    <row r="40" spans="1:18" ht="20.100000000000001" customHeight="1">
      <c r="A40" s="126" t="str">
        <f t="shared" ca="1" si="3"/>
        <v>a1GDm000000XyQCMA0</v>
      </c>
      <c r="B40" s="570">
        <v>2</v>
      </c>
      <c r="C40" s="572" t="str">
        <f ca="1">IFERROR(VLOOKUP(B40,'Impact Indicators - Section B '!$A$9:$AC$68,29,FALSE),"")</f>
        <v/>
      </c>
      <c r="D40" s="574" t="str">
        <f ca="1">M40</f>
        <v/>
      </c>
      <c r="E40" s="574" t="str">
        <f ca="1">N40</f>
        <v/>
      </c>
      <c r="F40" s="127"/>
      <c r="G40" s="576" t="str">
        <f ca="1">IF(OR(INDIRECT("'update Helper'!E"&amp;Q40)="",F40&lt;&gt;0,F41&lt;&gt;0),IF(IFERROR((F40/F41),"")="","",(F40/F41)),INDIRECT("'update Helper'!E"&amp;Q40)/100)</f>
        <v/>
      </c>
      <c r="H40" s="539"/>
      <c r="I40" s="578"/>
      <c r="J40" s="532"/>
      <c r="K40" s="126">
        <f ca="1">IF(AND(EXACT(C40,C38),C38&lt;&gt;0),K38+1,0)</f>
        <v>15</v>
      </c>
      <c r="L40" s="126" t="str">
        <f ca="1">IF(C40&lt;&gt;"",C40&amp;"-"&amp;K40,"")</f>
        <v/>
      </c>
      <c r="M40" s="126" t="str">
        <f t="array" aca="1" ref="M40" ca="1">IFERROR(IF(INDEX('Disaggregation Records'!$E$3:$E$80,MATCH(RIGHT(L40,255),RIGHT('Disaggregation Records'!$D$3:$D$80,255),0))="","",INDEX('Disaggregation Records'!$E$3:$E$80,MATCH(RIGHT(L40,255),RIGHT('Disaggregation Records'!$D$3:$D$80,255),0))),"")</f>
        <v/>
      </c>
      <c r="N40" s="126" t="str">
        <f t="array" aca="1" ref="N40" ca="1">IFERROR(IF(INDEX('Disaggregation Records'!$F$3:$F$80,MATCH(RIGHT(L40,255),RIGHT('Disaggregation Records'!$D$3:$D$80,255),0))="","",INDEX('Disaggregation Records'!$F$3:$F$80,MATCH(RIGHT(L40,255),RIGHT('Disaggregation Records'!$D$3:$D$80,255),0))),"")</f>
        <v/>
      </c>
      <c r="O40" s="314" t="str">
        <f t="array" aca="1" ref="O40" ca="1">IFERROR(IF(INDEX('Disaggregation Records'!$H$3:$H$80,MATCH(RIGHT(L40,255),RIGHT('Disaggregation Records'!$D$3:$D$80,255),0))="","",INDEX('Disaggregation Records'!$H$3:$H$80,MATCH(RIGHT(L40,255),RIGHT('Disaggregation Records'!$D$3:$D$80,255),0))),"")</f>
        <v/>
      </c>
      <c r="P40" s="310"/>
      <c r="Q40" s="310">
        <f t="shared" ref="Q40" si="22">Q38+1</f>
        <v>1323</v>
      </c>
      <c r="R40" s="314" t="str" cm="1">
        <f t="array" aca="1" ref="R40" ca="1">IFERROR(IF(INDEX('Disaggregation Records'!$G$3:$G$80,MATCH(RIGHT(L40,255),RIGHT('Disaggregation Records'!$D$3:$D$80,255),0))="","",INDEX('Disaggregation Records'!$G$3:$G$80,MATCH(RIGHT(L40,255),RIGHT('Disaggregation Records'!$D$3:$D$80,255),0))),"")</f>
        <v/>
      </c>
    </row>
    <row r="41" spans="1:18" ht="20.100000000000001" customHeight="1">
      <c r="B41" s="571"/>
      <c r="C41" s="573"/>
      <c r="D41" s="575"/>
      <c r="E41" s="575"/>
      <c r="F41" s="128"/>
      <c r="G41" s="577"/>
      <c r="H41" s="540"/>
      <c r="I41" s="579"/>
      <c r="J41" s="533"/>
      <c r="K41" s="129"/>
      <c r="L41" s="129"/>
      <c r="M41" s="129"/>
      <c r="N41" s="129"/>
      <c r="O41" s="317"/>
      <c r="P41" s="310"/>
      <c r="Q41" s="314"/>
      <c r="R41" s="314" t="str" cm="1">
        <f t="array" ref="R41">IFERROR(IF(INDEX('Disaggregation Records'!$G$3:$G$80,MATCH(RIGHT(L41,255),RIGHT('Disaggregation Records'!$D$3:$D$80,255),0))="","",INDEX('Disaggregation Records'!$G$3:$G$80,MATCH(RIGHT(L41,255),RIGHT('Disaggregation Records'!$D$3:$D$80,255),0))),"")</f>
        <v/>
      </c>
    </row>
    <row r="42" spans="1:18" ht="20.100000000000001" customHeight="1">
      <c r="A42" s="126" t="str">
        <f t="shared" ref="A42" ca="1" si="23">INDIRECT("'update Helper'!C"&amp;Q42)</f>
        <v>a1GDm000000XyQDMA0</v>
      </c>
      <c r="B42" s="570">
        <v>2</v>
      </c>
      <c r="C42" s="572" t="str">
        <f ca="1">IFERROR(VLOOKUP(B42,'Impact Indicators - Section B '!$A$9:$AC$68,29,FALSE),"")</f>
        <v/>
      </c>
      <c r="D42" s="574" t="str">
        <f ca="1">M42</f>
        <v/>
      </c>
      <c r="E42" s="574" t="str">
        <f ca="1">N42</f>
        <v/>
      </c>
      <c r="F42" s="127"/>
      <c r="G42" s="576" t="str">
        <f ca="1">IF(OR(INDIRECT("'update Helper'!E"&amp;Q42)="",F42&lt;&gt;0,F43&lt;&gt;0),IF(IFERROR((F42/F43),"")="","",(F42/F43)),INDIRECT("'update Helper'!E"&amp;Q42)/100)</f>
        <v/>
      </c>
      <c r="H42" s="539"/>
      <c r="I42" s="578"/>
      <c r="J42" s="532"/>
      <c r="K42" s="126">
        <f ca="1">IF(AND(EXACT(C42,C40),C40&lt;&gt;0),K40+1,0)</f>
        <v>16</v>
      </c>
      <c r="L42" s="126" t="str">
        <f ca="1">IF(C42&lt;&gt;"",C42&amp;"-"&amp;K42,"")</f>
        <v/>
      </c>
      <c r="M42" s="126" t="str">
        <f t="array" aca="1" ref="M42" ca="1">IFERROR(IF(INDEX('Disaggregation Records'!$E$3:$E$80,MATCH(RIGHT(L42,255),RIGHT('Disaggregation Records'!$D$3:$D$80,255),0))="","",INDEX('Disaggregation Records'!$E$3:$E$80,MATCH(RIGHT(L42,255),RIGHT('Disaggregation Records'!$D$3:$D$80,255),0))),"")</f>
        <v/>
      </c>
      <c r="N42" s="126" t="str">
        <f t="array" aca="1" ref="N42" ca="1">IFERROR(IF(INDEX('Disaggregation Records'!$F$3:$F$80,MATCH(RIGHT(L42,255),RIGHT('Disaggregation Records'!$D$3:$D$80,255),0))="","",INDEX('Disaggregation Records'!$F$3:$F$80,MATCH(RIGHT(L42,255),RIGHT('Disaggregation Records'!$D$3:$D$80,255),0))),"")</f>
        <v/>
      </c>
      <c r="O42" s="314" t="str">
        <f t="array" aca="1" ref="O42" ca="1">IFERROR(IF(INDEX('Disaggregation Records'!$H$3:$H$80,MATCH(RIGHT(L42,255),RIGHT('Disaggregation Records'!$D$3:$D$80,255),0))="","",INDEX('Disaggregation Records'!$H$3:$H$80,MATCH(RIGHT(L42,255),RIGHT('Disaggregation Records'!$D$3:$D$80,255),0))),"")</f>
        <v/>
      </c>
      <c r="P42" s="314"/>
      <c r="Q42" s="310">
        <f t="shared" ref="Q42" si="24">Q40+1</f>
        <v>1324</v>
      </c>
      <c r="R42" s="314" t="str" cm="1">
        <f t="array" aca="1" ref="R42" ca="1">IFERROR(IF(INDEX('Disaggregation Records'!$G$3:$G$80,MATCH(RIGHT(L42,255),RIGHT('Disaggregation Records'!$D$3:$D$80,255),0))="","",INDEX('Disaggregation Records'!$G$3:$G$80,MATCH(RIGHT(L42,255),RIGHT('Disaggregation Records'!$D$3:$D$80,255),0))),"")</f>
        <v/>
      </c>
    </row>
    <row r="43" spans="1:18" ht="20.100000000000001" customHeight="1">
      <c r="A43" s="126"/>
      <c r="B43" s="571"/>
      <c r="C43" s="573"/>
      <c r="D43" s="575"/>
      <c r="E43" s="575"/>
      <c r="F43" s="128"/>
      <c r="G43" s="577"/>
      <c r="H43" s="540"/>
      <c r="I43" s="579"/>
      <c r="J43" s="533"/>
      <c r="K43" s="129"/>
      <c r="L43" s="129"/>
      <c r="M43" s="129"/>
      <c r="N43" s="129"/>
      <c r="O43" s="317"/>
      <c r="P43" s="317"/>
      <c r="Q43" s="314"/>
      <c r="R43" s="314" t="str" cm="1">
        <f t="array" ref="R43">IFERROR(IF(INDEX('Disaggregation Records'!$G$3:$G$80,MATCH(RIGHT(L43,255),RIGHT('Disaggregation Records'!$D$3:$D$80,255),0))="","",INDEX('Disaggregation Records'!$G$3:$G$80,MATCH(RIGHT(L43,255),RIGHT('Disaggregation Records'!$D$3:$D$80,255),0))),"")</f>
        <v/>
      </c>
    </row>
    <row r="44" spans="1:18" ht="20.100000000000001" customHeight="1">
      <c r="A44" s="126" t="str">
        <f t="shared" ca="1" si="3"/>
        <v>a1GDm000000XyQEMA0</v>
      </c>
      <c r="B44" s="570">
        <v>2</v>
      </c>
      <c r="C44" s="572" t="str">
        <f ca="1">IFERROR(VLOOKUP(B44,'Impact Indicators - Section B '!$A$9:$AC$68,29,FALSE),"")</f>
        <v/>
      </c>
      <c r="D44" s="574" t="str">
        <f ca="1">M44</f>
        <v/>
      </c>
      <c r="E44" s="574" t="str">
        <f ca="1">N44</f>
        <v/>
      </c>
      <c r="F44" s="127"/>
      <c r="G44" s="576" t="str">
        <f ca="1">IF(OR(INDIRECT("'update Helper'!E"&amp;Q44)="",F44&lt;&gt;0,F45&lt;&gt;0),IF(IFERROR((F44/F45),"")="","",(F44/F45)),INDIRECT("'update Helper'!E"&amp;Q44)/100)</f>
        <v/>
      </c>
      <c r="H44" s="539"/>
      <c r="I44" s="578"/>
      <c r="J44" s="532"/>
      <c r="K44" s="126">
        <f ca="1">IF(AND(EXACT(C44,C42),C42&lt;&gt;0),K42+1,0)</f>
        <v>17</v>
      </c>
      <c r="L44" s="126" t="str">
        <f ca="1">IF(C44&lt;&gt;"",C44&amp;"-"&amp;K44,"")</f>
        <v/>
      </c>
      <c r="M44" s="126" t="str">
        <f t="array" aca="1" ref="M44" ca="1">IFERROR(IF(INDEX('Disaggregation Records'!$E$3:$E$80,MATCH(RIGHT(L44,255),RIGHT('Disaggregation Records'!$D$3:$D$80,255),0))="","",INDEX('Disaggregation Records'!$E$3:$E$80,MATCH(RIGHT(L44,255),RIGHT('Disaggregation Records'!$D$3:$D$80,255),0))),"")</f>
        <v/>
      </c>
      <c r="N44" s="126" t="str">
        <f t="array" aca="1" ref="N44" ca="1">IFERROR(IF(INDEX('Disaggregation Records'!$F$3:$F$80,MATCH(RIGHT(L44,255),RIGHT('Disaggregation Records'!$D$3:$D$80,255),0))="","",INDEX('Disaggregation Records'!$F$3:$F$80,MATCH(RIGHT(L44,255),RIGHT('Disaggregation Records'!$D$3:$D$80,255),0))),"")</f>
        <v/>
      </c>
      <c r="O44" s="314" t="str">
        <f t="array" aca="1" ref="O44" ca="1">IFERROR(IF(INDEX('Disaggregation Records'!$H$3:$H$80,MATCH(RIGHT(L44,255),RIGHT('Disaggregation Records'!$D$3:$D$80,255),0))="","",INDEX('Disaggregation Records'!$H$3:$H$80,MATCH(RIGHT(L44,255),RIGHT('Disaggregation Records'!$D$3:$D$80,255),0))),"")</f>
        <v/>
      </c>
      <c r="P44" s="310"/>
      <c r="Q44" s="310">
        <f t="shared" ref="Q44" si="25">Q42+1</f>
        <v>1325</v>
      </c>
      <c r="R44" s="314" t="str" cm="1">
        <f t="array" aca="1" ref="R44" ca="1">IFERROR(IF(INDEX('Disaggregation Records'!$G$3:$G$80,MATCH(RIGHT(L44,255),RIGHT('Disaggregation Records'!$D$3:$D$80,255),0))="","",INDEX('Disaggregation Records'!$G$3:$G$80,MATCH(RIGHT(L44,255),RIGHT('Disaggregation Records'!$D$3:$D$80,255),0))),"")</f>
        <v/>
      </c>
    </row>
    <row r="45" spans="1:18" ht="20.100000000000001" customHeight="1">
      <c r="B45" s="571"/>
      <c r="C45" s="573"/>
      <c r="D45" s="575"/>
      <c r="E45" s="575"/>
      <c r="F45" s="128"/>
      <c r="G45" s="577"/>
      <c r="H45" s="540"/>
      <c r="I45" s="579"/>
      <c r="J45" s="533"/>
      <c r="K45" s="129"/>
      <c r="L45" s="129"/>
      <c r="M45" s="129"/>
      <c r="N45" s="129"/>
      <c r="O45" s="317"/>
      <c r="P45" s="310"/>
      <c r="Q45" s="314"/>
      <c r="R45" s="314" t="str" cm="1">
        <f t="array" ref="R45">IFERROR(IF(INDEX('Disaggregation Records'!$G$3:$G$80,MATCH(RIGHT(L45,255),RIGHT('Disaggregation Records'!$D$3:$D$80,255),0))="","",INDEX('Disaggregation Records'!$G$3:$G$80,MATCH(RIGHT(L45,255),RIGHT('Disaggregation Records'!$D$3:$D$80,255),0))),"")</f>
        <v/>
      </c>
    </row>
    <row r="46" spans="1:18" ht="20.100000000000001" customHeight="1">
      <c r="A46" s="126" t="str">
        <f t="shared" ref="A46" ca="1" si="26">INDIRECT("'update Helper'!C"&amp;Q46)</f>
        <v>a1GDm000000XyQFMA0</v>
      </c>
      <c r="B46" s="570">
        <v>2</v>
      </c>
      <c r="C46" s="572" t="str">
        <f ca="1">IFERROR(VLOOKUP(B46,'Impact Indicators - Section B '!$A$9:$AC$68,29,FALSE),"")</f>
        <v/>
      </c>
      <c r="D46" s="574" t="str">
        <f ca="1">M46</f>
        <v/>
      </c>
      <c r="E46" s="574" t="str">
        <f ca="1">N46</f>
        <v/>
      </c>
      <c r="F46" s="127"/>
      <c r="G46" s="576" t="str">
        <f ca="1">IF(OR(INDIRECT("'update Helper'!E"&amp;Q46)="",F46&lt;&gt;0,F47&lt;&gt;0),IF(IFERROR((F46/F47),"")="","",(F46/F47)),INDIRECT("'update Helper'!E"&amp;Q46)/100)</f>
        <v/>
      </c>
      <c r="H46" s="539"/>
      <c r="I46" s="578"/>
      <c r="J46" s="532"/>
      <c r="K46" s="126">
        <f ca="1">IF(AND(EXACT(C46,C44),C44&lt;&gt;0),K44+1,0)</f>
        <v>18</v>
      </c>
      <c r="L46" s="126" t="str">
        <f ca="1">IF(C46&lt;&gt;"",C46&amp;"-"&amp;K46,"")</f>
        <v/>
      </c>
      <c r="M46" s="126" t="str">
        <f t="array" aca="1" ref="M46" ca="1">IFERROR(IF(INDEX('Disaggregation Records'!$E$3:$E$80,MATCH(RIGHT(L46,255),RIGHT('Disaggregation Records'!$D$3:$D$80,255),0))="","",INDEX('Disaggregation Records'!$E$3:$E$80,MATCH(RIGHT(L46,255),RIGHT('Disaggregation Records'!$D$3:$D$80,255),0))),"")</f>
        <v/>
      </c>
      <c r="N46" s="126" t="str">
        <f t="array" aca="1" ref="N46" ca="1">IFERROR(IF(INDEX('Disaggregation Records'!$F$3:$F$80,MATCH(RIGHT(L46,255),RIGHT('Disaggregation Records'!$D$3:$D$80,255),0))="","",INDEX('Disaggregation Records'!$F$3:$F$80,MATCH(RIGHT(L46,255),RIGHT('Disaggregation Records'!$D$3:$D$80,255),0))),"")</f>
        <v/>
      </c>
      <c r="O46" s="314" t="str">
        <f t="array" aca="1" ref="O46" ca="1">IFERROR(IF(INDEX('Disaggregation Records'!$H$3:$H$80,MATCH(RIGHT(L46,255),RIGHT('Disaggregation Records'!$D$3:$D$80,255),0))="","",INDEX('Disaggregation Records'!$H$3:$H$80,MATCH(RIGHT(L46,255),RIGHT('Disaggregation Records'!$D$3:$D$80,255),0))),"")</f>
        <v/>
      </c>
      <c r="P46" s="314"/>
      <c r="Q46" s="310">
        <f t="shared" ref="Q46" si="27">Q44+1</f>
        <v>1326</v>
      </c>
      <c r="R46" s="314" t="str" cm="1">
        <f t="array" aca="1" ref="R46" ca="1">IFERROR(IF(INDEX('Disaggregation Records'!$G$3:$G$80,MATCH(RIGHT(L46,255),RIGHT('Disaggregation Records'!$D$3:$D$80,255),0))="","",INDEX('Disaggregation Records'!$G$3:$G$80,MATCH(RIGHT(L46,255),RIGHT('Disaggregation Records'!$D$3:$D$80,255),0))),"")</f>
        <v/>
      </c>
    </row>
    <row r="47" spans="1:18" ht="20.100000000000001" customHeight="1">
      <c r="A47" s="126"/>
      <c r="B47" s="571"/>
      <c r="C47" s="573"/>
      <c r="D47" s="575"/>
      <c r="E47" s="575"/>
      <c r="F47" s="128"/>
      <c r="G47" s="577"/>
      <c r="H47" s="540"/>
      <c r="I47" s="579"/>
      <c r="J47" s="533"/>
      <c r="K47" s="129"/>
      <c r="L47" s="129"/>
      <c r="M47" s="129"/>
      <c r="N47" s="129"/>
      <c r="O47" s="317"/>
      <c r="P47" s="317"/>
      <c r="Q47" s="314"/>
      <c r="R47" s="314" t="str" cm="1">
        <f t="array" ref="R47">IFERROR(IF(INDEX('Disaggregation Records'!$G$3:$G$80,MATCH(RIGHT(L47,255),RIGHT('Disaggregation Records'!$D$3:$D$80,255),0))="","",INDEX('Disaggregation Records'!$G$3:$G$80,MATCH(RIGHT(L47,255),RIGHT('Disaggregation Records'!$D$3:$D$80,255),0))),"")</f>
        <v/>
      </c>
    </row>
    <row r="48" spans="1:18" ht="20.100000000000001" customHeight="1">
      <c r="A48" s="126" t="str">
        <f t="shared" ca="1" si="3"/>
        <v>a1GDm000000XyQGMA0</v>
      </c>
      <c r="B48" s="570">
        <v>2</v>
      </c>
      <c r="C48" s="572" t="str">
        <f ca="1">IFERROR(VLOOKUP(B48,'Impact Indicators - Section B '!$A$9:$AC$68,29,FALSE),"")</f>
        <v/>
      </c>
      <c r="D48" s="574" t="str">
        <f ca="1">M48</f>
        <v/>
      </c>
      <c r="E48" s="574" t="str">
        <f ca="1">N48</f>
        <v/>
      </c>
      <c r="F48" s="127"/>
      <c r="G48" s="576" t="str">
        <f ca="1">IF(OR(INDIRECT("'update Helper'!E"&amp;Q48)="",F48&lt;&gt;0,F49&lt;&gt;0),IF(IFERROR((F48/F49),"")="","",(F48/F49)),INDIRECT("'update Helper'!E"&amp;Q48)/100)</f>
        <v/>
      </c>
      <c r="H48" s="539"/>
      <c r="I48" s="578"/>
      <c r="J48" s="532"/>
      <c r="K48" s="126">
        <f ca="1">IF(AND(EXACT(C48,C46),C46&lt;&gt;0),K46+1,0)</f>
        <v>19</v>
      </c>
      <c r="L48" s="126" t="str">
        <f ca="1">IF(C48&lt;&gt;"",C48&amp;"-"&amp;K48,"")</f>
        <v/>
      </c>
      <c r="M48" s="126" t="str">
        <f t="array" aca="1" ref="M48" ca="1">IFERROR(IF(INDEX('Disaggregation Records'!$E$3:$E$80,MATCH(RIGHT(L48,255),RIGHT('Disaggregation Records'!$D$3:$D$80,255),0))="","",INDEX('Disaggregation Records'!$E$3:$E$80,MATCH(RIGHT(L48,255),RIGHT('Disaggregation Records'!$D$3:$D$80,255),0))),"")</f>
        <v/>
      </c>
      <c r="N48" s="126" t="str">
        <f t="array" aca="1" ref="N48" ca="1">IFERROR(IF(INDEX('Disaggregation Records'!$F$3:$F$80,MATCH(RIGHT(L48,255),RIGHT('Disaggregation Records'!$D$3:$D$80,255),0))="","",INDEX('Disaggregation Records'!$F$3:$F$80,MATCH(RIGHT(L48,255),RIGHT('Disaggregation Records'!$D$3:$D$80,255),0))),"")</f>
        <v/>
      </c>
      <c r="O48" s="314" t="str">
        <f t="array" aca="1" ref="O48" ca="1">IFERROR(IF(INDEX('Disaggregation Records'!$H$3:$H$80,MATCH(RIGHT(L48,255),RIGHT('Disaggregation Records'!$D$3:$D$80,255),0))="","",INDEX('Disaggregation Records'!$H$3:$H$80,MATCH(RIGHT(L48,255),RIGHT('Disaggregation Records'!$D$3:$D$80,255),0))),"")</f>
        <v/>
      </c>
      <c r="P48" s="310"/>
      <c r="Q48" s="310">
        <f t="shared" ref="Q48" si="28">Q46+1</f>
        <v>1327</v>
      </c>
      <c r="R48" s="314" t="str" cm="1">
        <f t="array" aca="1" ref="R48" ca="1">IFERROR(IF(INDEX('Disaggregation Records'!$G$3:$G$80,MATCH(RIGHT(L48,255),RIGHT('Disaggregation Records'!$D$3:$D$80,255),0))="","",INDEX('Disaggregation Records'!$G$3:$G$80,MATCH(RIGHT(L48,255),RIGHT('Disaggregation Records'!$D$3:$D$80,255),0))),"")</f>
        <v/>
      </c>
    </row>
    <row r="49" spans="1:18" ht="20.100000000000001" customHeight="1">
      <c r="B49" s="571"/>
      <c r="C49" s="573"/>
      <c r="D49" s="575"/>
      <c r="E49" s="575"/>
      <c r="F49" s="128"/>
      <c r="G49" s="577"/>
      <c r="H49" s="540"/>
      <c r="I49" s="579"/>
      <c r="J49" s="533"/>
      <c r="K49" s="129"/>
      <c r="L49" s="129"/>
      <c r="M49" s="129"/>
      <c r="N49" s="129"/>
      <c r="O49" s="317"/>
      <c r="P49" s="310"/>
      <c r="Q49" s="314"/>
      <c r="R49" s="314" t="str" cm="1">
        <f t="array" ref="R49">IFERROR(IF(INDEX('Disaggregation Records'!$G$3:$G$80,MATCH(RIGHT(L49,255),RIGHT('Disaggregation Records'!$D$3:$D$80,255),0))="","",INDEX('Disaggregation Records'!$G$3:$G$80,MATCH(RIGHT(L49,255),RIGHT('Disaggregation Records'!$D$3:$D$80,255),0))),"")</f>
        <v/>
      </c>
    </row>
    <row r="50" spans="1:18" ht="20.100000000000001" customHeight="1">
      <c r="A50" s="126" t="str">
        <f t="shared" ref="A50" ca="1" si="29">INDIRECT("'update Helper'!C"&amp;Q50)</f>
        <v>a1GDm000000XyQHMA0</v>
      </c>
      <c r="B50" s="570">
        <v>3</v>
      </c>
      <c r="C50" s="572" t="str">
        <f ca="1">IFERROR(VLOOKUP(B50,'Impact Indicators - Section B '!$A$9:$AC$68,29,FALSE),"")</f>
        <v/>
      </c>
      <c r="D50" s="574" t="str">
        <f t="shared" ref="D50" ca="1" si="30">M50</f>
        <v/>
      </c>
      <c r="E50" s="574" t="str">
        <f t="shared" ref="E50" ca="1" si="31">N50</f>
        <v/>
      </c>
      <c r="F50" s="127"/>
      <c r="G50" s="576" t="str">
        <f ca="1">IF(OR(INDIRECT("'update Helper'!E"&amp;Q50)="",F50&lt;&gt;0,F51&lt;&gt;0),IF(IFERROR((F50/F51),"")="","",(F50/F51)),INDIRECT("'update Helper'!E"&amp;Q50)/100)</f>
        <v/>
      </c>
      <c r="H50" s="539"/>
      <c r="I50" s="578"/>
      <c r="J50" s="532"/>
      <c r="K50" s="126">
        <f ca="1">IF(AND(EXACT(C50,C48),C48&lt;&gt;0),K48+1,0)</f>
        <v>20</v>
      </c>
      <c r="L50" s="126" t="str">
        <f ca="1">IF(C50&lt;&gt;"",C50&amp;"-"&amp;K50,"")</f>
        <v/>
      </c>
      <c r="M50" s="126" t="str">
        <f t="array" aca="1" ref="M50" ca="1">IFERROR(IF(INDEX('Disaggregation Records'!$E$3:$E$80,MATCH(RIGHT(L50,255),RIGHT('Disaggregation Records'!$D$3:$D$80,255),0))="","",INDEX('Disaggregation Records'!$E$3:$E$80,MATCH(RIGHT(L50,255),RIGHT('Disaggregation Records'!$D$3:$D$80,255),0))),"")</f>
        <v/>
      </c>
      <c r="N50" s="126" t="str">
        <f t="array" aca="1" ref="N50" ca="1">IFERROR(IF(INDEX('Disaggregation Records'!$F$3:$F$80,MATCH(RIGHT(L50,255),RIGHT('Disaggregation Records'!$D$3:$D$80,255),0))="","",INDEX('Disaggregation Records'!$F$3:$F$80,MATCH(RIGHT(L50,255),RIGHT('Disaggregation Records'!$D$3:$D$80,255),0))),"")</f>
        <v/>
      </c>
      <c r="O50" s="314" t="str">
        <f t="array" aca="1" ref="O50" ca="1">IFERROR(IF(INDEX('Disaggregation Records'!$H$3:$H$80,MATCH(RIGHT(L50,255),RIGHT('Disaggregation Records'!$D$3:$D$80,255),0))="","",INDEX('Disaggregation Records'!$H$3:$H$80,MATCH(RIGHT(L50,255),RIGHT('Disaggregation Records'!$D$3:$D$80,255),0))),"")</f>
        <v/>
      </c>
      <c r="P50" s="314"/>
      <c r="Q50" s="310">
        <f t="shared" ref="Q50" si="32">Q48+1</f>
        <v>1328</v>
      </c>
      <c r="R50" s="314" t="str" cm="1">
        <f t="array" aca="1" ref="R50" ca="1">IFERROR(IF(INDEX('Disaggregation Records'!$G$3:$G$80,MATCH(RIGHT(L50,255),RIGHT('Disaggregation Records'!$D$3:$D$80,255),0))="","",INDEX('Disaggregation Records'!$G$3:$G$80,MATCH(RIGHT(L50,255),RIGHT('Disaggregation Records'!$D$3:$D$80,255),0))),"")</f>
        <v/>
      </c>
    </row>
    <row r="51" spans="1:18" ht="20.100000000000001" customHeight="1">
      <c r="A51" s="126"/>
      <c r="B51" s="571">
        <v>2.2894736842105301</v>
      </c>
      <c r="C51" s="573"/>
      <c r="D51" s="575"/>
      <c r="E51" s="575"/>
      <c r="F51" s="128"/>
      <c r="G51" s="577"/>
      <c r="H51" s="540"/>
      <c r="I51" s="579"/>
      <c r="J51" s="533"/>
      <c r="K51" s="129"/>
      <c r="L51" s="129"/>
      <c r="M51" s="129"/>
      <c r="N51" s="129"/>
      <c r="O51" s="317"/>
      <c r="P51" s="317"/>
      <c r="Q51" s="314"/>
      <c r="R51" s="314" t="str" cm="1">
        <f t="array" ref="R51">IFERROR(IF(INDEX('Disaggregation Records'!$G$3:$G$80,MATCH(RIGHT(L51,255),RIGHT('Disaggregation Records'!$D$3:$D$80,255),0))="","",INDEX('Disaggregation Records'!$G$3:$G$80,MATCH(RIGHT(L51,255),RIGHT('Disaggregation Records'!$D$3:$D$80,255),0))),"")</f>
        <v/>
      </c>
    </row>
    <row r="52" spans="1:18" ht="20.100000000000001" customHeight="1">
      <c r="A52" s="126" t="str">
        <f t="shared" ca="1" si="3"/>
        <v>a1GDm000000XyQIMA0</v>
      </c>
      <c r="B52" s="570">
        <v>3</v>
      </c>
      <c r="C52" s="572" t="str">
        <f ca="1">IFERROR(VLOOKUP(B52,'Impact Indicators - Section B '!$A$9:$AC$68,29,FALSE),"")</f>
        <v/>
      </c>
      <c r="D52" s="574" t="str">
        <f t="shared" ref="D52" ca="1" si="33">M52</f>
        <v/>
      </c>
      <c r="E52" s="574" t="str">
        <f t="shared" ref="E52" ca="1" si="34">N52</f>
        <v/>
      </c>
      <c r="F52" s="127"/>
      <c r="G52" s="576" t="str">
        <f ca="1">IF(OR(INDIRECT("'update Helper'!E"&amp;Q52)="",F52&lt;&gt;0,F53&lt;&gt;0),IF(IFERROR((F52/F53),"")="","",(F52/F53)),INDIRECT("'update Helper'!E"&amp;Q52)/100)</f>
        <v/>
      </c>
      <c r="H52" s="539"/>
      <c r="I52" s="578"/>
      <c r="J52" s="532"/>
      <c r="K52" s="126">
        <f ca="1">IF(AND(EXACT(C52,C50),C50&lt;&gt;0),K50+1,0)</f>
        <v>21</v>
      </c>
      <c r="L52" s="126" t="str">
        <f ca="1">IF(C52&lt;&gt;"",C52&amp;"-"&amp;K52,"")</f>
        <v/>
      </c>
      <c r="M52" s="126" t="str">
        <f t="array" aca="1" ref="M52" ca="1">IFERROR(IF(INDEX('Disaggregation Records'!$E$3:$E$80,MATCH(RIGHT(L52,255),RIGHT('Disaggregation Records'!$D$3:$D$80,255),0))="","",INDEX('Disaggregation Records'!$E$3:$E$80,MATCH(RIGHT(L52,255),RIGHT('Disaggregation Records'!$D$3:$D$80,255),0))),"")</f>
        <v/>
      </c>
      <c r="N52" s="126" t="str">
        <f t="array" aca="1" ref="N52" ca="1">IFERROR(IF(INDEX('Disaggregation Records'!$F$3:$F$80,MATCH(RIGHT(L52,255),RIGHT('Disaggregation Records'!$D$3:$D$80,255),0))="","",INDEX('Disaggregation Records'!$F$3:$F$80,MATCH(RIGHT(L52,255),RIGHT('Disaggregation Records'!$D$3:$D$80,255),0))),"")</f>
        <v/>
      </c>
      <c r="O52" s="314" t="str">
        <f t="array" aca="1" ref="O52" ca="1">IFERROR(IF(INDEX('Disaggregation Records'!$H$3:$H$80,MATCH(RIGHT(L52,255),RIGHT('Disaggregation Records'!$D$3:$D$80,255),0))="","",INDEX('Disaggregation Records'!$H$3:$H$80,MATCH(RIGHT(L52,255),RIGHT('Disaggregation Records'!$D$3:$D$80,255),0))),"")</f>
        <v/>
      </c>
      <c r="P52" s="310"/>
      <c r="Q52" s="310">
        <f t="shared" ref="Q52" si="35">Q50+1</f>
        <v>1329</v>
      </c>
      <c r="R52" s="314" t="str" cm="1">
        <f t="array" aca="1" ref="R52" ca="1">IFERROR(IF(INDEX('Disaggregation Records'!$G$3:$G$80,MATCH(RIGHT(L52,255),RIGHT('Disaggregation Records'!$D$3:$D$80,255),0))="","",INDEX('Disaggregation Records'!$G$3:$G$80,MATCH(RIGHT(L52,255),RIGHT('Disaggregation Records'!$D$3:$D$80,255),0))),"")</f>
        <v/>
      </c>
    </row>
    <row r="53" spans="1:18" ht="20.100000000000001" customHeight="1">
      <c r="B53" s="571">
        <v>2.2894736842105301</v>
      </c>
      <c r="C53" s="573"/>
      <c r="D53" s="575"/>
      <c r="E53" s="575"/>
      <c r="F53" s="128"/>
      <c r="G53" s="577"/>
      <c r="H53" s="540"/>
      <c r="I53" s="579"/>
      <c r="J53" s="533"/>
      <c r="K53" s="129"/>
      <c r="L53" s="129"/>
      <c r="M53" s="129"/>
      <c r="N53" s="129"/>
      <c r="O53" s="317"/>
      <c r="P53" s="310"/>
      <c r="Q53" s="314"/>
      <c r="R53" s="314" t="str" cm="1">
        <f t="array" ref="R53">IFERROR(IF(INDEX('Disaggregation Records'!$G$3:$G$80,MATCH(RIGHT(L53,255),RIGHT('Disaggregation Records'!$D$3:$D$80,255),0))="","",INDEX('Disaggregation Records'!$G$3:$G$80,MATCH(RIGHT(L53,255),RIGHT('Disaggregation Records'!$D$3:$D$80,255),0))),"")</f>
        <v/>
      </c>
    </row>
    <row r="54" spans="1:18" ht="20.100000000000001" customHeight="1">
      <c r="A54" s="126" t="str">
        <f t="shared" ref="A54" ca="1" si="36">INDIRECT("'update Helper'!C"&amp;Q54)</f>
        <v>a1GDm000000XyQJMA0</v>
      </c>
      <c r="B54" s="570">
        <v>3</v>
      </c>
      <c r="C54" s="572" t="str">
        <f ca="1">IFERROR(VLOOKUP(B54,'Impact Indicators - Section B '!$A$9:$AC$68,29,FALSE),"")</f>
        <v/>
      </c>
      <c r="D54" s="574" t="str">
        <f t="shared" ref="D54" ca="1" si="37">M54</f>
        <v/>
      </c>
      <c r="E54" s="574" t="str">
        <f t="shared" ref="E54" ca="1" si="38">N54</f>
        <v/>
      </c>
      <c r="F54" s="127"/>
      <c r="G54" s="576" t="str">
        <f ca="1">IF(OR(INDIRECT("'update Helper'!E"&amp;Q54)="",F54&lt;&gt;0,F55&lt;&gt;0),IF(IFERROR((F54/F55),"")="","",(F54/F55)),INDIRECT("'update Helper'!E"&amp;Q54)/100)</f>
        <v/>
      </c>
      <c r="H54" s="539"/>
      <c r="I54" s="578"/>
      <c r="J54" s="532"/>
      <c r="K54" s="126">
        <f ca="1">IF(AND(EXACT(C54,C52),C52&lt;&gt;0),K52+1,0)</f>
        <v>22</v>
      </c>
      <c r="L54" s="126" t="str">
        <f ca="1">IF(C54&lt;&gt;"",C54&amp;"-"&amp;K54,"")</f>
        <v/>
      </c>
      <c r="M54" s="126" t="str">
        <f t="array" aca="1" ref="M54" ca="1">IFERROR(IF(INDEX('Disaggregation Records'!$E$3:$E$80,MATCH(RIGHT(L54,255),RIGHT('Disaggregation Records'!$D$3:$D$80,255),0))="","",INDEX('Disaggregation Records'!$E$3:$E$80,MATCH(RIGHT(L54,255),RIGHT('Disaggregation Records'!$D$3:$D$80,255),0))),"")</f>
        <v/>
      </c>
      <c r="N54" s="126" t="str">
        <f t="array" aca="1" ref="N54" ca="1">IFERROR(IF(INDEX('Disaggregation Records'!$F$3:$F$80,MATCH(RIGHT(L54,255),RIGHT('Disaggregation Records'!$D$3:$D$80,255),0))="","",INDEX('Disaggregation Records'!$F$3:$F$80,MATCH(RIGHT(L54,255),RIGHT('Disaggregation Records'!$D$3:$D$80,255),0))),"")</f>
        <v/>
      </c>
      <c r="O54" s="314" t="str">
        <f t="array" aca="1" ref="O54" ca="1">IFERROR(IF(INDEX('Disaggregation Records'!$H$3:$H$80,MATCH(RIGHT(L54,255),RIGHT('Disaggregation Records'!$D$3:$D$80,255),0))="","",INDEX('Disaggregation Records'!$H$3:$H$80,MATCH(RIGHT(L54,255),RIGHT('Disaggregation Records'!$D$3:$D$80,255),0))),"")</f>
        <v/>
      </c>
      <c r="P54" s="314"/>
      <c r="Q54" s="310">
        <f t="shared" ref="Q54" si="39">Q52+1</f>
        <v>1330</v>
      </c>
      <c r="R54" s="314" t="str" cm="1">
        <f t="array" aca="1" ref="R54" ca="1">IFERROR(IF(INDEX('Disaggregation Records'!$G$3:$G$80,MATCH(RIGHT(L54,255),RIGHT('Disaggregation Records'!$D$3:$D$80,255),0))="","",INDEX('Disaggregation Records'!$G$3:$G$80,MATCH(RIGHT(L54,255),RIGHT('Disaggregation Records'!$D$3:$D$80,255),0))),"")</f>
        <v/>
      </c>
    </row>
    <row r="55" spans="1:18" ht="20.100000000000001" customHeight="1">
      <c r="A55" s="126"/>
      <c r="B55" s="571">
        <v>2.2894736842105301</v>
      </c>
      <c r="C55" s="573"/>
      <c r="D55" s="575"/>
      <c r="E55" s="575"/>
      <c r="F55" s="128"/>
      <c r="G55" s="577"/>
      <c r="H55" s="540"/>
      <c r="I55" s="579"/>
      <c r="J55" s="533"/>
      <c r="K55" s="129"/>
      <c r="L55" s="129"/>
      <c r="M55" s="129"/>
      <c r="N55" s="129"/>
      <c r="O55" s="317"/>
      <c r="P55" s="317"/>
      <c r="Q55" s="314"/>
      <c r="R55" s="314" t="str" cm="1">
        <f t="array" ref="R55">IFERROR(IF(INDEX('Disaggregation Records'!$G$3:$G$80,MATCH(RIGHT(L55,255),RIGHT('Disaggregation Records'!$D$3:$D$80,255),0))="","",INDEX('Disaggregation Records'!$G$3:$G$80,MATCH(RIGHT(L55,255),RIGHT('Disaggregation Records'!$D$3:$D$80,255),0))),"")</f>
        <v/>
      </c>
    </row>
    <row r="56" spans="1:18" ht="20.100000000000001" customHeight="1">
      <c r="A56" s="126" t="str">
        <f t="shared" ca="1" si="3"/>
        <v>a1GDm000000XyQKMA0</v>
      </c>
      <c r="B56" s="570">
        <v>3</v>
      </c>
      <c r="C56" s="572" t="str">
        <f ca="1">IFERROR(VLOOKUP(B56,'Impact Indicators - Section B '!$A$9:$AC$68,29,FALSE),"")</f>
        <v/>
      </c>
      <c r="D56" s="574" t="str">
        <f t="shared" ref="D56" ca="1" si="40">M56</f>
        <v/>
      </c>
      <c r="E56" s="574" t="str">
        <f t="shared" ref="E56" ca="1" si="41">N56</f>
        <v/>
      </c>
      <c r="F56" s="127"/>
      <c r="G56" s="576" t="str">
        <f ca="1">IF(OR(INDIRECT("'update Helper'!E"&amp;Q56)="",F56&lt;&gt;0,F57&lt;&gt;0),IF(IFERROR((F56/F57),"")="","",(F56/F57)),INDIRECT("'update Helper'!E"&amp;Q56)/100)</f>
        <v/>
      </c>
      <c r="H56" s="539"/>
      <c r="I56" s="578"/>
      <c r="J56" s="532"/>
      <c r="K56" s="126">
        <f ca="1">IF(AND(EXACT(C56,C54),C54&lt;&gt;0),K54+1,0)</f>
        <v>23</v>
      </c>
      <c r="L56" s="126" t="str">
        <f ca="1">IF(C56&lt;&gt;"",C56&amp;"-"&amp;K56,"")</f>
        <v/>
      </c>
      <c r="M56" s="126" t="str">
        <f t="array" aca="1" ref="M56" ca="1">IFERROR(IF(INDEX('Disaggregation Records'!$E$3:$E$80,MATCH(RIGHT(L56,255),RIGHT('Disaggregation Records'!$D$3:$D$80,255),0))="","",INDEX('Disaggregation Records'!$E$3:$E$80,MATCH(RIGHT(L56,255),RIGHT('Disaggregation Records'!$D$3:$D$80,255),0))),"")</f>
        <v/>
      </c>
      <c r="N56" s="126" t="str">
        <f t="array" aca="1" ref="N56" ca="1">IFERROR(IF(INDEX('Disaggregation Records'!$F$3:$F$80,MATCH(RIGHT(L56,255),RIGHT('Disaggregation Records'!$D$3:$D$80,255),0))="","",INDEX('Disaggregation Records'!$F$3:$F$80,MATCH(RIGHT(L56,255),RIGHT('Disaggregation Records'!$D$3:$D$80,255),0))),"")</f>
        <v/>
      </c>
      <c r="O56" s="314" t="str">
        <f t="array" aca="1" ref="O56" ca="1">IFERROR(IF(INDEX('Disaggregation Records'!$H$3:$H$80,MATCH(RIGHT(L56,255),RIGHT('Disaggregation Records'!$D$3:$D$80,255),0))="","",INDEX('Disaggregation Records'!$H$3:$H$80,MATCH(RIGHT(L56,255),RIGHT('Disaggregation Records'!$D$3:$D$80,255),0))),"")</f>
        <v/>
      </c>
      <c r="P56" s="310"/>
      <c r="Q56" s="310">
        <f t="shared" ref="Q56" si="42">Q54+1</f>
        <v>1331</v>
      </c>
      <c r="R56" s="314" t="str" cm="1">
        <f t="array" aca="1" ref="R56" ca="1">IFERROR(IF(INDEX('Disaggregation Records'!$G$3:$G$80,MATCH(RIGHT(L56,255),RIGHT('Disaggregation Records'!$D$3:$D$80,255),0))="","",INDEX('Disaggregation Records'!$G$3:$G$80,MATCH(RIGHT(L56,255),RIGHT('Disaggregation Records'!$D$3:$D$80,255),0))),"")</f>
        <v/>
      </c>
    </row>
    <row r="57" spans="1:18" ht="20.100000000000001" customHeight="1">
      <c r="B57" s="571">
        <v>2.2894736842105301</v>
      </c>
      <c r="C57" s="573"/>
      <c r="D57" s="575"/>
      <c r="E57" s="575"/>
      <c r="F57" s="128"/>
      <c r="G57" s="577"/>
      <c r="H57" s="540"/>
      <c r="I57" s="579"/>
      <c r="J57" s="533"/>
      <c r="K57" s="129"/>
      <c r="L57" s="129"/>
      <c r="M57" s="129"/>
      <c r="N57" s="129"/>
      <c r="O57" s="317"/>
      <c r="P57" s="310"/>
      <c r="Q57" s="314"/>
      <c r="R57" s="314" t="str" cm="1">
        <f t="array" ref="R57">IFERROR(IF(INDEX('Disaggregation Records'!$G$3:$G$80,MATCH(RIGHT(L57,255),RIGHT('Disaggregation Records'!$D$3:$D$80,255),0))="","",INDEX('Disaggregation Records'!$G$3:$G$80,MATCH(RIGHT(L57,255),RIGHT('Disaggregation Records'!$D$3:$D$80,255),0))),"")</f>
        <v/>
      </c>
    </row>
    <row r="58" spans="1:18" ht="20.100000000000001" customHeight="1">
      <c r="A58" s="126" t="str">
        <f t="shared" ref="A58" ca="1" si="43">INDIRECT("'update Helper'!C"&amp;Q58)</f>
        <v>a1GDm000000XyQLMA0</v>
      </c>
      <c r="B58" s="570">
        <v>3</v>
      </c>
      <c r="C58" s="572" t="str">
        <f ca="1">IFERROR(VLOOKUP(B58,'Impact Indicators - Section B '!$A$9:$AC$68,29,FALSE),"")</f>
        <v/>
      </c>
      <c r="D58" s="574" t="str">
        <f t="shared" ref="D58" ca="1" si="44">M58</f>
        <v/>
      </c>
      <c r="E58" s="574" t="str">
        <f t="shared" ref="E58" ca="1" si="45">N58</f>
        <v/>
      </c>
      <c r="F58" s="127"/>
      <c r="G58" s="576" t="str">
        <f ca="1">IF(OR(INDIRECT("'update Helper'!E"&amp;Q58)="",F58&lt;&gt;0,F59&lt;&gt;0),IF(IFERROR((F58/F59),"")="","",(F58/F59)),INDIRECT("'update Helper'!E"&amp;Q58)/100)</f>
        <v/>
      </c>
      <c r="H58" s="539"/>
      <c r="I58" s="578"/>
      <c r="J58" s="532"/>
      <c r="K58" s="126">
        <f ca="1">IF(AND(EXACT(C58,C56),C56&lt;&gt;0),K56+1,0)</f>
        <v>24</v>
      </c>
      <c r="L58" s="126" t="str">
        <f ca="1">IF(C58&lt;&gt;"",C58&amp;"-"&amp;K58,"")</f>
        <v/>
      </c>
      <c r="M58" s="126" t="str">
        <f t="array" aca="1" ref="M58" ca="1">IFERROR(IF(INDEX('Disaggregation Records'!$E$3:$E$80,MATCH(RIGHT(L58,255),RIGHT('Disaggregation Records'!$D$3:$D$80,255),0))="","",INDEX('Disaggregation Records'!$E$3:$E$80,MATCH(RIGHT(L58,255),RIGHT('Disaggregation Records'!$D$3:$D$80,255),0))),"")</f>
        <v/>
      </c>
      <c r="N58" s="126" t="str">
        <f t="array" aca="1" ref="N58" ca="1">IFERROR(IF(INDEX('Disaggregation Records'!$F$3:$F$80,MATCH(RIGHT(L58,255),RIGHT('Disaggregation Records'!$D$3:$D$80,255),0))="","",INDEX('Disaggregation Records'!$F$3:$F$80,MATCH(RIGHT(L58,255),RIGHT('Disaggregation Records'!$D$3:$D$80,255),0))),"")</f>
        <v/>
      </c>
      <c r="O58" s="314" t="str">
        <f t="array" aca="1" ref="O58" ca="1">IFERROR(IF(INDEX('Disaggregation Records'!$H$3:$H$80,MATCH(RIGHT(L58,255),RIGHT('Disaggregation Records'!$D$3:$D$80,255),0))="","",INDEX('Disaggregation Records'!$H$3:$H$80,MATCH(RIGHT(L58,255),RIGHT('Disaggregation Records'!$D$3:$D$80,255),0))),"")</f>
        <v/>
      </c>
      <c r="P58" s="314"/>
      <c r="Q58" s="310">
        <f t="shared" ref="Q58" si="46">Q56+1</f>
        <v>1332</v>
      </c>
      <c r="R58" s="314" t="str" cm="1">
        <f t="array" aca="1" ref="R58" ca="1">IFERROR(IF(INDEX('Disaggregation Records'!$G$3:$G$80,MATCH(RIGHT(L58,255),RIGHT('Disaggregation Records'!$D$3:$D$80,255),0))="","",INDEX('Disaggregation Records'!$G$3:$G$80,MATCH(RIGHT(L58,255),RIGHT('Disaggregation Records'!$D$3:$D$80,255),0))),"")</f>
        <v/>
      </c>
    </row>
    <row r="59" spans="1:18" ht="20.100000000000001" customHeight="1">
      <c r="A59" s="126"/>
      <c r="B59" s="571">
        <v>2.2894736842105301</v>
      </c>
      <c r="C59" s="573"/>
      <c r="D59" s="575"/>
      <c r="E59" s="575"/>
      <c r="F59" s="128"/>
      <c r="G59" s="577"/>
      <c r="H59" s="540"/>
      <c r="I59" s="579"/>
      <c r="J59" s="533"/>
      <c r="K59" s="129"/>
      <c r="L59" s="129"/>
      <c r="M59" s="129"/>
      <c r="N59" s="129"/>
      <c r="O59" s="317"/>
      <c r="P59" s="317"/>
      <c r="Q59" s="314"/>
      <c r="R59" s="314" t="str" cm="1">
        <f t="array" ref="R59">IFERROR(IF(INDEX('Disaggregation Records'!$G$3:$G$80,MATCH(RIGHT(L59,255),RIGHT('Disaggregation Records'!$D$3:$D$80,255),0))="","",INDEX('Disaggregation Records'!$G$3:$G$80,MATCH(RIGHT(L59,255),RIGHT('Disaggregation Records'!$D$3:$D$80,255),0))),"")</f>
        <v/>
      </c>
    </row>
    <row r="60" spans="1:18" ht="20.100000000000001" customHeight="1">
      <c r="A60" s="126" t="str">
        <f t="shared" ca="1" si="3"/>
        <v>a1GDm000000XyQMMA0</v>
      </c>
      <c r="B60" s="570">
        <v>3</v>
      </c>
      <c r="C60" s="572" t="str">
        <f ca="1">IFERROR(VLOOKUP(B60,'Impact Indicators - Section B '!$A$9:$AC$68,29,FALSE),"")</f>
        <v/>
      </c>
      <c r="D60" s="574" t="str">
        <f t="shared" ref="D60" ca="1" si="47">M60</f>
        <v/>
      </c>
      <c r="E60" s="574" t="str">
        <f t="shared" ref="E60" ca="1" si="48">N60</f>
        <v/>
      </c>
      <c r="F60" s="127"/>
      <c r="G60" s="576" t="str">
        <f ca="1">IF(OR(INDIRECT("'update Helper'!E"&amp;Q60)="",F60&lt;&gt;0,F61&lt;&gt;0),IF(IFERROR((F60/F61),"")="","",(F60/F61)),INDIRECT("'update Helper'!E"&amp;Q60)/100)</f>
        <v/>
      </c>
      <c r="H60" s="539"/>
      <c r="I60" s="578"/>
      <c r="J60" s="532"/>
      <c r="K60" s="126">
        <f ca="1">IF(AND(EXACT(C60,C58),C58&lt;&gt;0),K58+1,0)</f>
        <v>25</v>
      </c>
      <c r="L60" s="126" t="str">
        <f ca="1">IF(C60&lt;&gt;"",C60&amp;"-"&amp;K60,"")</f>
        <v/>
      </c>
      <c r="M60" s="126" t="str">
        <f t="array" aca="1" ref="M60" ca="1">IFERROR(IF(INDEX('Disaggregation Records'!$E$3:$E$80,MATCH(RIGHT(L60,255),RIGHT('Disaggregation Records'!$D$3:$D$80,255),0))="","",INDEX('Disaggregation Records'!$E$3:$E$80,MATCH(RIGHT(L60,255),RIGHT('Disaggregation Records'!$D$3:$D$80,255),0))),"")</f>
        <v/>
      </c>
      <c r="N60" s="126" t="str">
        <f t="array" aca="1" ref="N60" ca="1">IFERROR(IF(INDEX('Disaggregation Records'!$F$3:$F$80,MATCH(RIGHT(L60,255),RIGHT('Disaggregation Records'!$D$3:$D$80,255),0))="","",INDEX('Disaggregation Records'!$F$3:$F$80,MATCH(RIGHT(L60,255),RIGHT('Disaggregation Records'!$D$3:$D$80,255),0))),"")</f>
        <v/>
      </c>
      <c r="O60" s="314" t="str">
        <f t="array" aca="1" ref="O60" ca="1">IFERROR(IF(INDEX('Disaggregation Records'!$H$3:$H$80,MATCH(RIGHT(L60,255),RIGHT('Disaggregation Records'!$D$3:$D$80,255),0))="","",INDEX('Disaggregation Records'!$H$3:$H$80,MATCH(RIGHT(L60,255),RIGHT('Disaggregation Records'!$D$3:$D$80,255),0))),"")</f>
        <v/>
      </c>
      <c r="P60" s="310"/>
      <c r="Q60" s="310">
        <f t="shared" ref="Q60" si="49">Q58+1</f>
        <v>1333</v>
      </c>
      <c r="R60" s="314" t="str" cm="1">
        <f t="array" aca="1" ref="R60" ca="1">IFERROR(IF(INDEX('Disaggregation Records'!$G$3:$G$80,MATCH(RIGHT(L60,255),RIGHT('Disaggregation Records'!$D$3:$D$80,255),0))="","",INDEX('Disaggregation Records'!$G$3:$G$80,MATCH(RIGHT(L60,255),RIGHT('Disaggregation Records'!$D$3:$D$80,255),0))),"")</f>
        <v/>
      </c>
    </row>
    <row r="61" spans="1:18" ht="20.100000000000001" customHeight="1">
      <c r="B61" s="571">
        <v>2.2894736842105301</v>
      </c>
      <c r="C61" s="573"/>
      <c r="D61" s="575"/>
      <c r="E61" s="575"/>
      <c r="F61" s="128"/>
      <c r="G61" s="577"/>
      <c r="H61" s="540"/>
      <c r="I61" s="579"/>
      <c r="J61" s="533"/>
      <c r="K61" s="129"/>
      <c r="L61" s="129"/>
      <c r="M61" s="129"/>
      <c r="N61" s="129"/>
      <c r="O61" s="317"/>
      <c r="P61" s="310"/>
      <c r="Q61" s="314"/>
      <c r="R61" s="314" t="str" cm="1">
        <f t="array" ref="R61">IFERROR(IF(INDEX('Disaggregation Records'!$G$3:$G$80,MATCH(RIGHT(L61,255),RIGHT('Disaggregation Records'!$D$3:$D$80,255),0))="","",INDEX('Disaggregation Records'!$G$3:$G$80,MATCH(RIGHT(L61,255),RIGHT('Disaggregation Records'!$D$3:$D$80,255),0))),"")</f>
        <v/>
      </c>
    </row>
    <row r="62" spans="1:18" ht="20.100000000000001" customHeight="1">
      <c r="A62" s="126" t="str">
        <f t="shared" ref="A62" ca="1" si="50">INDIRECT("'update Helper'!C"&amp;Q62)</f>
        <v>a1GDm000000XyQNMA0</v>
      </c>
      <c r="B62" s="570">
        <v>3</v>
      </c>
      <c r="C62" s="572" t="str">
        <f ca="1">IFERROR(VLOOKUP(B62,'Impact Indicators - Section B '!$A$9:$AC$68,29,FALSE),"")</f>
        <v/>
      </c>
      <c r="D62" s="574" t="str">
        <f t="shared" ref="D62" ca="1" si="51">M62</f>
        <v/>
      </c>
      <c r="E62" s="574" t="str">
        <f t="shared" ref="E62" ca="1" si="52">N62</f>
        <v/>
      </c>
      <c r="F62" s="127"/>
      <c r="G62" s="576" t="str">
        <f ca="1">IF(OR(INDIRECT("'update Helper'!E"&amp;Q62)="",F62&lt;&gt;0,F63&lt;&gt;0),IF(IFERROR((F62/F63),"")="","",(F62/F63)),INDIRECT("'update Helper'!E"&amp;Q62)/100)</f>
        <v/>
      </c>
      <c r="H62" s="539"/>
      <c r="I62" s="578"/>
      <c r="J62" s="532"/>
      <c r="K62" s="126">
        <f ca="1">IF(AND(EXACT(C62,C60),C60&lt;&gt;0),K60+1,0)</f>
        <v>26</v>
      </c>
      <c r="L62" s="126" t="str">
        <f ca="1">IF(C62&lt;&gt;"",C62&amp;"-"&amp;K62,"")</f>
        <v/>
      </c>
      <c r="M62" s="126" t="str">
        <f t="array" aca="1" ref="M62" ca="1">IFERROR(IF(INDEX('Disaggregation Records'!$E$3:$E$80,MATCH(RIGHT(L62,255),RIGHT('Disaggregation Records'!$D$3:$D$80,255),0))="","",INDEX('Disaggregation Records'!$E$3:$E$80,MATCH(RIGHT(L62,255),RIGHT('Disaggregation Records'!$D$3:$D$80,255),0))),"")</f>
        <v/>
      </c>
      <c r="N62" s="126" t="str">
        <f t="array" aca="1" ref="N62" ca="1">IFERROR(IF(INDEX('Disaggregation Records'!$F$3:$F$80,MATCH(RIGHT(L62,255),RIGHT('Disaggregation Records'!$D$3:$D$80,255),0))="","",INDEX('Disaggregation Records'!$F$3:$F$80,MATCH(RIGHT(L62,255),RIGHT('Disaggregation Records'!$D$3:$D$80,255),0))),"")</f>
        <v/>
      </c>
      <c r="O62" s="314" t="str">
        <f t="array" aca="1" ref="O62" ca="1">IFERROR(IF(INDEX('Disaggregation Records'!$H$3:$H$80,MATCH(RIGHT(L62,255),RIGHT('Disaggregation Records'!$D$3:$D$80,255),0))="","",INDEX('Disaggregation Records'!$H$3:$H$80,MATCH(RIGHT(L62,255),RIGHT('Disaggregation Records'!$D$3:$D$80,255),0))),"")</f>
        <v/>
      </c>
      <c r="P62" s="314"/>
      <c r="Q62" s="310">
        <f t="shared" ref="Q62" si="53">Q60+1</f>
        <v>1334</v>
      </c>
      <c r="R62" s="314" t="str" cm="1">
        <f t="array" aca="1" ref="R62" ca="1">IFERROR(IF(INDEX('Disaggregation Records'!$G$3:$G$80,MATCH(RIGHT(L62,255),RIGHT('Disaggregation Records'!$D$3:$D$80,255),0))="","",INDEX('Disaggregation Records'!$G$3:$G$80,MATCH(RIGHT(L62,255),RIGHT('Disaggregation Records'!$D$3:$D$80,255),0))),"")</f>
        <v/>
      </c>
    </row>
    <row r="63" spans="1:18" ht="20.100000000000001" customHeight="1">
      <c r="A63" s="126"/>
      <c r="B63" s="571">
        <v>2.2894736842105301</v>
      </c>
      <c r="C63" s="573"/>
      <c r="D63" s="575"/>
      <c r="E63" s="575"/>
      <c r="F63" s="128"/>
      <c r="G63" s="577"/>
      <c r="H63" s="540"/>
      <c r="I63" s="579"/>
      <c r="J63" s="533"/>
      <c r="K63" s="129"/>
      <c r="L63" s="129"/>
      <c r="M63" s="129"/>
      <c r="N63" s="129"/>
      <c r="O63" s="317"/>
      <c r="P63" s="317"/>
      <c r="Q63" s="314"/>
      <c r="R63" s="314" t="str" cm="1">
        <f t="array" ref="R63">IFERROR(IF(INDEX('Disaggregation Records'!$G$3:$G$80,MATCH(RIGHT(L63,255),RIGHT('Disaggregation Records'!$D$3:$D$80,255),0))="","",INDEX('Disaggregation Records'!$G$3:$G$80,MATCH(RIGHT(L63,255),RIGHT('Disaggregation Records'!$D$3:$D$80,255),0))),"")</f>
        <v/>
      </c>
    </row>
    <row r="64" spans="1:18" ht="20.100000000000001" customHeight="1">
      <c r="A64" s="126" t="str">
        <f t="shared" ca="1" si="3"/>
        <v>a1GDm000000XyQOMA0</v>
      </c>
      <c r="B64" s="570">
        <v>3</v>
      </c>
      <c r="C64" s="572" t="str">
        <f ca="1">IFERROR(VLOOKUP(B64,'Impact Indicators - Section B '!$A$9:$AC$68,29,FALSE),"")</f>
        <v/>
      </c>
      <c r="D64" s="574" t="str">
        <f t="shared" ref="D64" ca="1" si="54">M64</f>
        <v/>
      </c>
      <c r="E64" s="574" t="str">
        <f t="shared" ref="E64" ca="1" si="55">N64</f>
        <v/>
      </c>
      <c r="F64" s="127"/>
      <c r="G64" s="576" t="str">
        <f ca="1">IF(OR(INDIRECT("'update Helper'!E"&amp;Q64)="",F64&lt;&gt;0,F65&lt;&gt;0),IF(IFERROR((F64/F65),"")="","",(F64/F65)),INDIRECT("'update Helper'!E"&amp;Q64)/100)</f>
        <v/>
      </c>
      <c r="H64" s="539"/>
      <c r="I64" s="578"/>
      <c r="J64" s="532"/>
      <c r="K64" s="126">
        <f ca="1">IF(AND(EXACT(C64,C62),C62&lt;&gt;0),K62+1,0)</f>
        <v>27</v>
      </c>
      <c r="L64" s="126" t="str">
        <f ca="1">IF(C64&lt;&gt;"",C64&amp;"-"&amp;K64,"")</f>
        <v/>
      </c>
      <c r="M64" s="126" t="str">
        <f t="array" aca="1" ref="M64" ca="1">IFERROR(IF(INDEX('Disaggregation Records'!$E$3:$E$80,MATCH(RIGHT(L64,255),RIGHT('Disaggregation Records'!$D$3:$D$80,255),0))="","",INDEX('Disaggregation Records'!$E$3:$E$80,MATCH(RIGHT(L64,255),RIGHT('Disaggregation Records'!$D$3:$D$80,255),0))),"")</f>
        <v/>
      </c>
      <c r="N64" s="126" t="str">
        <f t="array" aca="1" ref="N64" ca="1">IFERROR(IF(INDEX('Disaggregation Records'!$F$3:$F$80,MATCH(RIGHT(L64,255),RIGHT('Disaggregation Records'!$D$3:$D$80,255),0))="","",INDEX('Disaggregation Records'!$F$3:$F$80,MATCH(RIGHT(L64,255),RIGHT('Disaggregation Records'!$D$3:$D$80,255),0))),"")</f>
        <v/>
      </c>
      <c r="O64" s="314" t="str">
        <f t="array" aca="1" ref="O64" ca="1">IFERROR(IF(INDEX('Disaggregation Records'!$H$3:$H$80,MATCH(RIGHT(L64,255),RIGHT('Disaggregation Records'!$D$3:$D$80,255),0))="","",INDEX('Disaggregation Records'!$H$3:$H$80,MATCH(RIGHT(L64,255),RIGHT('Disaggregation Records'!$D$3:$D$80,255),0))),"")</f>
        <v/>
      </c>
      <c r="P64" s="310"/>
      <c r="Q64" s="310">
        <f t="shared" ref="Q64" si="56">Q62+1</f>
        <v>1335</v>
      </c>
      <c r="R64" s="314" t="str" cm="1">
        <f t="array" aca="1" ref="R64" ca="1">IFERROR(IF(INDEX('Disaggregation Records'!$G$3:$G$80,MATCH(RIGHT(L64,255),RIGHT('Disaggregation Records'!$D$3:$D$80,255),0))="","",INDEX('Disaggregation Records'!$G$3:$G$80,MATCH(RIGHT(L64,255),RIGHT('Disaggregation Records'!$D$3:$D$80,255),0))),"")</f>
        <v/>
      </c>
    </row>
    <row r="65" spans="1:18" ht="20.100000000000001" customHeight="1">
      <c r="B65" s="571">
        <v>2.2894736842105301</v>
      </c>
      <c r="C65" s="573"/>
      <c r="D65" s="575"/>
      <c r="E65" s="575"/>
      <c r="F65" s="128"/>
      <c r="G65" s="577"/>
      <c r="H65" s="540"/>
      <c r="I65" s="579"/>
      <c r="J65" s="533"/>
      <c r="K65" s="129"/>
      <c r="L65" s="129"/>
      <c r="M65" s="129"/>
      <c r="N65" s="129"/>
      <c r="O65" s="317"/>
      <c r="P65" s="310"/>
      <c r="Q65" s="314"/>
      <c r="R65" s="314" t="str" cm="1">
        <f t="array" ref="R65">IFERROR(IF(INDEX('Disaggregation Records'!$G$3:$G$80,MATCH(RIGHT(L65,255),RIGHT('Disaggregation Records'!$D$3:$D$80,255),0))="","",INDEX('Disaggregation Records'!$G$3:$G$80,MATCH(RIGHT(L65,255),RIGHT('Disaggregation Records'!$D$3:$D$80,255),0))),"")</f>
        <v/>
      </c>
    </row>
    <row r="66" spans="1:18" ht="20.100000000000001" customHeight="1">
      <c r="A66" s="126" t="str">
        <f t="shared" ref="A66" ca="1" si="57">INDIRECT("'update Helper'!C"&amp;Q66)</f>
        <v>a1GDm000000XyQPMA0</v>
      </c>
      <c r="B66" s="570">
        <v>3</v>
      </c>
      <c r="C66" s="572" t="str">
        <f ca="1">IFERROR(VLOOKUP(B66,'Impact Indicators - Section B '!$A$9:$AC$68,29,FALSE),"")</f>
        <v/>
      </c>
      <c r="D66" s="574" t="str">
        <f t="shared" ref="D66" ca="1" si="58">M66</f>
        <v/>
      </c>
      <c r="E66" s="574" t="str">
        <f t="shared" ref="E66" ca="1" si="59">N66</f>
        <v/>
      </c>
      <c r="F66" s="127"/>
      <c r="G66" s="576" t="str">
        <f ca="1">IF(OR(INDIRECT("'update Helper'!E"&amp;Q66)="",F66&lt;&gt;0,F67&lt;&gt;0),IF(IFERROR((F66/F67),"")="","",(F66/F67)),INDIRECT("'update Helper'!E"&amp;Q66)/100)</f>
        <v/>
      </c>
      <c r="H66" s="539"/>
      <c r="I66" s="578"/>
      <c r="J66" s="532"/>
      <c r="K66" s="126">
        <f ca="1">IF(AND(EXACT(C66,C64),C64&lt;&gt;0),K64+1,0)</f>
        <v>28</v>
      </c>
      <c r="L66" s="126" t="str">
        <f ca="1">IF(C66&lt;&gt;"",C66&amp;"-"&amp;K66,"")</f>
        <v/>
      </c>
      <c r="M66" s="126" t="str">
        <f t="array" aca="1" ref="M66" ca="1">IFERROR(IF(INDEX('Disaggregation Records'!$E$3:$E$80,MATCH(RIGHT(L66,255),RIGHT('Disaggregation Records'!$D$3:$D$80,255),0))="","",INDEX('Disaggregation Records'!$E$3:$E$80,MATCH(RIGHT(L66,255),RIGHT('Disaggregation Records'!$D$3:$D$80,255),0))),"")</f>
        <v/>
      </c>
      <c r="N66" s="126" t="str">
        <f t="array" aca="1" ref="N66" ca="1">IFERROR(IF(INDEX('Disaggregation Records'!$F$3:$F$80,MATCH(RIGHT(L66,255),RIGHT('Disaggregation Records'!$D$3:$D$80,255),0))="","",INDEX('Disaggregation Records'!$F$3:$F$80,MATCH(RIGHT(L66,255),RIGHT('Disaggregation Records'!$D$3:$D$80,255),0))),"")</f>
        <v/>
      </c>
      <c r="O66" s="314" t="str">
        <f t="array" aca="1" ref="O66" ca="1">IFERROR(IF(INDEX('Disaggregation Records'!$H$3:$H$80,MATCH(RIGHT(L66,255),RIGHT('Disaggregation Records'!$D$3:$D$80,255),0))="","",INDEX('Disaggregation Records'!$H$3:$H$80,MATCH(RIGHT(L66,255),RIGHT('Disaggregation Records'!$D$3:$D$80,255),0))),"")</f>
        <v/>
      </c>
      <c r="P66" s="314"/>
      <c r="Q66" s="310">
        <f t="shared" ref="Q66" si="60">Q64+1</f>
        <v>1336</v>
      </c>
      <c r="R66" s="314" t="str" cm="1">
        <f t="array" aca="1" ref="R66" ca="1">IFERROR(IF(INDEX('Disaggregation Records'!$G$3:$G$80,MATCH(RIGHT(L66,255),RIGHT('Disaggregation Records'!$D$3:$D$80,255),0))="","",INDEX('Disaggregation Records'!$G$3:$G$80,MATCH(RIGHT(L66,255),RIGHT('Disaggregation Records'!$D$3:$D$80,255),0))),"")</f>
        <v/>
      </c>
    </row>
    <row r="67" spans="1:18" ht="20.100000000000001" customHeight="1">
      <c r="A67" s="126"/>
      <c r="B67" s="571">
        <v>2.2894736842105301</v>
      </c>
      <c r="C67" s="573"/>
      <c r="D67" s="575"/>
      <c r="E67" s="575"/>
      <c r="F67" s="128"/>
      <c r="G67" s="577"/>
      <c r="H67" s="540"/>
      <c r="I67" s="579"/>
      <c r="J67" s="533"/>
      <c r="K67" s="129"/>
      <c r="L67" s="129"/>
      <c r="M67" s="129"/>
      <c r="N67" s="129"/>
      <c r="O67" s="317"/>
      <c r="P67" s="317"/>
      <c r="Q67" s="314"/>
      <c r="R67" s="314" t="str" cm="1">
        <f t="array" ref="R67">IFERROR(IF(INDEX('Disaggregation Records'!$G$3:$G$80,MATCH(RIGHT(L67,255),RIGHT('Disaggregation Records'!$D$3:$D$80,255),0))="","",INDEX('Disaggregation Records'!$G$3:$G$80,MATCH(RIGHT(L67,255),RIGHT('Disaggregation Records'!$D$3:$D$80,255),0))),"")</f>
        <v/>
      </c>
    </row>
    <row r="68" spans="1:18" ht="20.100000000000001" customHeight="1">
      <c r="A68" s="126" t="str">
        <f t="shared" ca="1" si="3"/>
        <v>a1GDm000000XyQQMA0</v>
      </c>
      <c r="B68" s="570">
        <v>3</v>
      </c>
      <c r="C68" s="572" t="str">
        <f ca="1">IFERROR(VLOOKUP(B68,'Impact Indicators - Section B '!$A$9:$AC$68,29,FALSE),"")</f>
        <v/>
      </c>
      <c r="D68" s="574" t="str">
        <f t="shared" ref="D68" ca="1" si="61">M68</f>
        <v/>
      </c>
      <c r="E68" s="574" t="str">
        <f t="shared" ref="E68" ca="1" si="62">N68</f>
        <v/>
      </c>
      <c r="F68" s="127"/>
      <c r="G68" s="576" t="str">
        <f ca="1">IF(OR(INDIRECT("'update Helper'!E"&amp;Q68)="",F68&lt;&gt;0,F69&lt;&gt;0),IF(IFERROR((F68/F69),"")="","",(F68/F69)),INDIRECT("'update Helper'!E"&amp;Q68)/100)</f>
        <v/>
      </c>
      <c r="H68" s="539"/>
      <c r="I68" s="578"/>
      <c r="J68" s="532"/>
      <c r="K68" s="126">
        <f ca="1">IF(AND(EXACT(C68,C66),C66&lt;&gt;0),K66+1,0)</f>
        <v>29</v>
      </c>
      <c r="L68" s="126" t="str">
        <f ca="1">IF(C68&lt;&gt;"",C68&amp;"-"&amp;K68,"")</f>
        <v/>
      </c>
      <c r="M68" s="126" t="str">
        <f t="array" aca="1" ref="M68" ca="1">IFERROR(IF(INDEX('Disaggregation Records'!$E$3:$E$80,MATCH(RIGHT(L68,255),RIGHT('Disaggregation Records'!$D$3:$D$80,255),0))="","",INDEX('Disaggregation Records'!$E$3:$E$80,MATCH(RIGHT(L68,255),RIGHT('Disaggregation Records'!$D$3:$D$80,255),0))),"")</f>
        <v/>
      </c>
      <c r="N68" s="126" t="str">
        <f t="array" aca="1" ref="N68" ca="1">IFERROR(IF(INDEX('Disaggregation Records'!$F$3:$F$80,MATCH(RIGHT(L68,255),RIGHT('Disaggregation Records'!$D$3:$D$80,255),0))="","",INDEX('Disaggregation Records'!$F$3:$F$80,MATCH(RIGHT(L68,255),RIGHT('Disaggregation Records'!$D$3:$D$80,255),0))),"")</f>
        <v/>
      </c>
      <c r="O68" s="314" t="str">
        <f t="array" aca="1" ref="O68" ca="1">IFERROR(IF(INDEX('Disaggregation Records'!$H$3:$H$80,MATCH(RIGHT(L68,255),RIGHT('Disaggregation Records'!$D$3:$D$80,255),0))="","",INDEX('Disaggregation Records'!$H$3:$H$80,MATCH(RIGHT(L68,255),RIGHT('Disaggregation Records'!$D$3:$D$80,255),0))),"")</f>
        <v/>
      </c>
      <c r="P68" s="310"/>
      <c r="Q68" s="310">
        <f t="shared" ref="Q68" si="63">Q66+1</f>
        <v>1337</v>
      </c>
      <c r="R68" s="314" t="str" cm="1">
        <f t="array" aca="1" ref="R68" ca="1">IFERROR(IF(INDEX('Disaggregation Records'!$G$3:$G$80,MATCH(RIGHT(L68,255),RIGHT('Disaggregation Records'!$D$3:$D$80,255),0))="","",INDEX('Disaggregation Records'!$G$3:$G$80,MATCH(RIGHT(L68,255),RIGHT('Disaggregation Records'!$D$3:$D$80,255),0))),"")</f>
        <v/>
      </c>
    </row>
    <row r="69" spans="1:18" ht="20.100000000000001" customHeight="1">
      <c r="B69" s="571">
        <v>2.2894736842105301</v>
      </c>
      <c r="C69" s="573"/>
      <c r="D69" s="575"/>
      <c r="E69" s="575"/>
      <c r="F69" s="128"/>
      <c r="G69" s="577"/>
      <c r="H69" s="540"/>
      <c r="I69" s="579"/>
      <c r="J69" s="533"/>
      <c r="K69" s="129"/>
      <c r="L69" s="129"/>
      <c r="M69" s="129"/>
      <c r="N69" s="129"/>
      <c r="O69" s="317"/>
      <c r="P69" s="310"/>
      <c r="Q69" s="314"/>
      <c r="R69" s="314" t="str" cm="1">
        <f t="array" ref="R69">IFERROR(IF(INDEX('Disaggregation Records'!$G$3:$G$80,MATCH(RIGHT(L69,255),RIGHT('Disaggregation Records'!$D$3:$D$80,255),0))="","",INDEX('Disaggregation Records'!$G$3:$G$80,MATCH(RIGHT(L69,255),RIGHT('Disaggregation Records'!$D$3:$D$80,255),0))),"")</f>
        <v/>
      </c>
    </row>
    <row r="70" spans="1:18" ht="20.100000000000001" customHeight="1">
      <c r="A70" s="126" t="str">
        <f t="shared" ref="A70" ca="1" si="64">INDIRECT("'update Helper'!C"&amp;Q70)</f>
        <v>a1GDm000000XyQRMA0</v>
      </c>
      <c r="B70" s="570">
        <v>4</v>
      </c>
      <c r="C70" s="572" t="str">
        <f ca="1">IFERROR(VLOOKUP(B70,'Impact Indicators - Section B '!$A$9:$AC$68,29,FALSE),"")</f>
        <v>HIV I-9a Percentage of men who have sex with men who are living with HIV</v>
      </c>
      <c r="D70" s="574" t="str">
        <f t="shared" ref="D70" ca="1" si="65">M70</f>
        <v>Age</v>
      </c>
      <c r="E70" s="574" t="str">
        <f t="shared" ref="E70" ca="1" si="66">N70</f>
        <v>25+</v>
      </c>
      <c r="F70" s="127"/>
      <c r="G70" s="576" t="str">
        <f ca="1">IF(OR(INDIRECT("'update Helper'!E"&amp;Q70)="",F70&lt;&gt;0,F71&lt;&gt;0),IF(IFERROR((F70/F71),"")="","",(F70/F71)),INDIRECT("'update Helper'!E"&amp;Q70)/100)</f>
        <v/>
      </c>
      <c r="H70" s="539"/>
      <c r="I70" s="578"/>
      <c r="J70" s="532" t="s">
        <v>2260</v>
      </c>
      <c r="K70" s="126">
        <f ca="1">IF(AND(EXACT(C70,C68),C68&lt;&gt;0),K68+1,0)</f>
        <v>0</v>
      </c>
      <c r="L70" s="126" t="str">
        <f ca="1">IF(C70&lt;&gt;"",C70&amp;"-"&amp;K70,"")</f>
        <v>HIV I-9a Percentage of men who have sex with men who are living with HIV-0</v>
      </c>
      <c r="M70" s="126" t="str">
        <f t="array" aca="1" ref="M70" ca="1">IFERROR(IF(INDEX('Disaggregation Records'!$E$3:$E$80,MATCH(RIGHT(L70,255),RIGHT('Disaggregation Records'!$D$3:$D$80,255),0))="","",INDEX('Disaggregation Records'!$E$3:$E$80,MATCH(RIGHT(L70,255),RIGHT('Disaggregation Records'!$D$3:$D$80,255),0))),"")</f>
        <v>Age</v>
      </c>
      <c r="N70" s="126" t="str">
        <f t="array" aca="1" ref="N70" ca="1">IFERROR(IF(INDEX('Disaggregation Records'!$F$3:$F$80,MATCH(RIGHT(L70,255),RIGHT('Disaggregation Records'!$D$3:$D$80,255),0))="","",INDEX('Disaggregation Records'!$F$3:$F$80,MATCH(RIGHT(L70,255),RIGHT('Disaggregation Records'!$D$3:$D$80,255),0))),"")</f>
        <v>25+</v>
      </c>
      <c r="O70" s="314" t="str">
        <f t="array" aca="1" ref="O70" ca="1">IFERROR(IF(INDEX('Disaggregation Records'!$H$3:$H$80,MATCH(RIGHT(L70,255),RIGHT('Disaggregation Records'!$D$3:$D$80,255),0))="","",INDEX('Disaggregation Records'!$H$3:$H$80,MATCH(RIGHT(L70,255),RIGHT('Disaggregation Records'!$D$3:$D$80,255),0))),"")</f>
        <v>IDR-01048</v>
      </c>
      <c r="P70" s="314"/>
      <c r="Q70" s="310">
        <f t="shared" ref="Q70" si="67">Q68+1</f>
        <v>1338</v>
      </c>
      <c r="R70" s="314" t="str" cm="1">
        <f t="array" aca="1" ref="R70" ca="1">IFERROR(IF(INDEX('Disaggregation Records'!$G$3:$G$80,MATCH(RIGHT(L70,255),RIGHT('Disaggregation Records'!$D$3:$D$80,255),0))="","",INDEX('Disaggregation Records'!$G$3:$G$80,MATCH(RIGHT(L70,255),RIGHT('Disaggregation Records'!$D$3:$D$80,255),0))),"")</f>
        <v>a1LDm000000CazeMAC</v>
      </c>
    </row>
    <row r="71" spans="1:18" ht="20.100000000000001" customHeight="1">
      <c r="A71" s="126"/>
      <c r="B71" s="571"/>
      <c r="C71" s="573"/>
      <c r="D71" s="575"/>
      <c r="E71" s="575"/>
      <c r="F71" s="128"/>
      <c r="G71" s="577"/>
      <c r="H71" s="540"/>
      <c r="I71" s="579"/>
      <c r="J71" s="533"/>
      <c r="K71" s="129"/>
      <c r="L71" s="129"/>
      <c r="M71" s="129"/>
      <c r="N71" s="129"/>
      <c r="O71" s="317"/>
      <c r="P71" s="317"/>
      <c r="Q71" s="314"/>
      <c r="R71" s="314" t="str" cm="1">
        <f t="array" ref="R71">IFERROR(IF(INDEX('Disaggregation Records'!$G$3:$G$80,MATCH(RIGHT(L71,255),RIGHT('Disaggregation Records'!$D$3:$D$80,255),0))="","",INDEX('Disaggregation Records'!$G$3:$G$80,MATCH(RIGHT(L71,255),RIGHT('Disaggregation Records'!$D$3:$D$80,255),0))),"")</f>
        <v/>
      </c>
    </row>
    <row r="72" spans="1:18" ht="20.100000000000001" customHeight="1">
      <c r="A72" s="126" t="str">
        <f t="shared" ca="1" si="3"/>
        <v>a1GDm000000XyQSMA0</v>
      </c>
      <c r="B72" s="570">
        <v>4</v>
      </c>
      <c r="C72" s="572" t="str">
        <f ca="1">IFERROR(VLOOKUP(B72,'Impact Indicators - Section B '!$A$9:$AC$68,29,FALSE),"")</f>
        <v>HIV I-9a Percentage of men who have sex with men who are living with HIV</v>
      </c>
      <c r="D72" s="574" t="str">
        <f t="shared" ref="D72" ca="1" si="68">M72</f>
        <v>Age</v>
      </c>
      <c r="E72" s="574" t="str">
        <f t="shared" ref="E72" ca="1" si="69">N72</f>
        <v>&lt;25</v>
      </c>
      <c r="F72" s="127"/>
      <c r="G72" s="576" t="str">
        <f ca="1">IF(OR(INDIRECT("'update Helper'!E"&amp;Q72)="",F72&lt;&gt;0,F73&lt;&gt;0),IF(IFERROR((F72/F73),"")="","",(F72/F73)),INDIRECT("'update Helper'!E"&amp;Q72)/100)</f>
        <v/>
      </c>
      <c r="H72" s="539"/>
      <c r="I72" s="578"/>
      <c r="J72" s="532" t="s">
        <v>2260</v>
      </c>
      <c r="K72" s="126">
        <f ca="1">IF(AND(EXACT(C72,C70),C70&lt;&gt;0),K70+1,0)</f>
        <v>1</v>
      </c>
      <c r="L72" s="126" t="str">
        <f ca="1">IF(C72&lt;&gt;"",C72&amp;"-"&amp;K72,"")</f>
        <v>HIV I-9a Percentage of men who have sex with men who are living with HIV-1</v>
      </c>
      <c r="M72" s="126" t="str">
        <f t="array" aca="1" ref="M72" ca="1">IFERROR(IF(INDEX('Disaggregation Records'!$E$3:$E$80,MATCH(RIGHT(L72,255),RIGHT('Disaggregation Records'!$D$3:$D$80,255),0))="","",INDEX('Disaggregation Records'!$E$3:$E$80,MATCH(RIGHT(L72,255),RIGHT('Disaggregation Records'!$D$3:$D$80,255),0))),"")</f>
        <v>Age</v>
      </c>
      <c r="N72" s="126" t="str">
        <f t="array" aca="1" ref="N72" ca="1">IFERROR(IF(INDEX('Disaggregation Records'!$F$3:$F$80,MATCH(RIGHT(L72,255),RIGHT('Disaggregation Records'!$D$3:$D$80,255),0))="","",INDEX('Disaggregation Records'!$F$3:$F$80,MATCH(RIGHT(L72,255),RIGHT('Disaggregation Records'!$D$3:$D$80,255),0))),"")</f>
        <v>&lt;25</v>
      </c>
      <c r="O72" s="314" t="str">
        <f t="array" aca="1" ref="O72" ca="1">IFERROR(IF(INDEX('Disaggregation Records'!$H$3:$H$80,MATCH(RIGHT(L72,255),RIGHT('Disaggregation Records'!$D$3:$D$80,255),0))="","",INDEX('Disaggregation Records'!$H$3:$H$80,MATCH(RIGHT(L72,255),RIGHT('Disaggregation Records'!$D$3:$D$80,255),0))),"")</f>
        <v>IDR-01047</v>
      </c>
      <c r="P72" s="310"/>
      <c r="Q72" s="310">
        <f t="shared" ref="Q72" si="70">Q70+1</f>
        <v>1339</v>
      </c>
      <c r="R72" s="314" t="str" cm="1">
        <f t="array" aca="1" ref="R72" ca="1">IFERROR(IF(INDEX('Disaggregation Records'!$G$3:$G$80,MATCH(RIGHT(L72,255),RIGHT('Disaggregation Records'!$D$3:$D$80,255),0))="","",INDEX('Disaggregation Records'!$G$3:$G$80,MATCH(RIGHT(L72,255),RIGHT('Disaggregation Records'!$D$3:$D$80,255),0))),"")</f>
        <v>a1LDm000000CazdMAC</v>
      </c>
    </row>
    <row r="73" spans="1:18" ht="20.100000000000001" customHeight="1">
      <c r="B73" s="571"/>
      <c r="C73" s="573"/>
      <c r="D73" s="575"/>
      <c r="E73" s="575"/>
      <c r="F73" s="128"/>
      <c r="G73" s="577"/>
      <c r="H73" s="540"/>
      <c r="I73" s="579"/>
      <c r="J73" s="533"/>
      <c r="K73" s="129"/>
      <c r="L73" s="129"/>
      <c r="M73" s="129"/>
      <c r="N73" s="129"/>
      <c r="O73" s="317"/>
      <c r="P73" s="310"/>
      <c r="Q73" s="314"/>
      <c r="R73" s="314" t="str" cm="1">
        <f t="array" ref="R73">IFERROR(IF(INDEX('Disaggregation Records'!$G$3:$G$80,MATCH(RIGHT(L73,255),RIGHT('Disaggregation Records'!$D$3:$D$80,255),0))="","",INDEX('Disaggregation Records'!$G$3:$G$80,MATCH(RIGHT(L73,255),RIGHT('Disaggregation Records'!$D$3:$D$80,255),0))),"")</f>
        <v/>
      </c>
    </row>
    <row r="74" spans="1:18" ht="20.100000000000001" customHeight="1">
      <c r="A74" s="126" t="str">
        <f t="shared" ref="A74" ca="1" si="71">INDIRECT("'update Helper'!C"&amp;Q74)</f>
        <v>a1GDm000000XyQTMA0</v>
      </c>
      <c r="B74" s="570">
        <v>4</v>
      </c>
      <c r="C74" s="572" t="str">
        <f ca="1">IFERROR(VLOOKUP(B74,'Impact Indicators - Section B '!$A$9:$AC$68,29,FALSE),"")</f>
        <v>HIV I-9a Percentage of men who have sex with men who are living with HIV</v>
      </c>
      <c r="D74" s="574" t="str">
        <f t="shared" ref="D74" ca="1" si="72">M74</f>
        <v/>
      </c>
      <c r="E74" s="574" t="str">
        <f t="shared" ref="E74" ca="1" si="73">N74</f>
        <v/>
      </c>
      <c r="F74" s="127"/>
      <c r="G74" s="576" t="str">
        <f ca="1">IF(OR(INDIRECT("'update Helper'!E"&amp;Q74)="",F74&lt;&gt;0,F75&lt;&gt;0),IF(IFERROR((F74/F75),"")="","",(F74/F75)),INDIRECT("'update Helper'!E"&amp;Q74)/100)</f>
        <v/>
      </c>
      <c r="H74" s="539"/>
      <c r="I74" s="578"/>
      <c r="J74" s="532"/>
      <c r="K74" s="126">
        <f ca="1">IF(AND(EXACT(C74,C72),C72&lt;&gt;0),K72+1,0)</f>
        <v>2</v>
      </c>
      <c r="L74" s="126" t="str">
        <f ca="1">IF(C74&lt;&gt;"",C74&amp;"-"&amp;K74,"")</f>
        <v>HIV I-9a Percentage of men who have sex with men who are living with HIV-2</v>
      </c>
      <c r="M74" s="126" t="str">
        <f t="array" aca="1" ref="M74" ca="1">IFERROR(IF(INDEX('Disaggregation Records'!$E$3:$E$80,MATCH(RIGHT(L74,255),RIGHT('Disaggregation Records'!$D$3:$D$80,255),0))="","",INDEX('Disaggregation Records'!$E$3:$E$80,MATCH(RIGHT(L74,255),RIGHT('Disaggregation Records'!$D$3:$D$80,255),0))),"")</f>
        <v/>
      </c>
      <c r="N74" s="126" t="str">
        <f t="array" aca="1" ref="N74" ca="1">IFERROR(IF(INDEX('Disaggregation Records'!$F$3:$F$80,MATCH(RIGHT(L74,255),RIGHT('Disaggregation Records'!$D$3:$D$80,255),0))="","",INDEX('Disaggregation Records'!$F$3:$F$80,MATCH(RIGHT(L74,255),RIGHT('Disaggregation Records'!$D$3:$D$80,255),0))),"")</f>
        <v/>
      </c>
      <c r="O74" s="314" t="str">
        <f t="array" aca="1" ref="O74" ca="1">IFERROR(IF(INDEX('Disaggregation Records'!$H$3:$H$80,MATCH(RIGHT(L74,255),RIGHT('Disaggregation Records'!$D$3:$D$80,255),0))="","",INDEX('Disaggregation Records'!$H$3:$H$80,MATCH(RIGHT(L74,255),RIGHT('Disaggregation Records'!$D$3:$D$80,255),0))),"")</f>
        <v/>
      </c>
      <c r="P74" s="314"/>
      <c r="Q74" s="310">
        <f t="shared" ref="Q74" si="74">Q72+1</f>
        <v>1340</v>
      </c>
      <c r="R74" s="314" t="str" cm="1">
        <f t="array" aca="1" ref="R74" ca="1">IFERROR(IF(INDEX('Disaggregation Records'!$G$3:$G$80,MATCH(RIGHT(L74,255),RIGHT('Disaggregation Records'!$D$3:$D$80,255),0))="","",INDEX('Disaggregation Records'!$G$3:$G$80,MATCH(RIGHT(L74,255),RIGHT('Disaggregation Records'!$D$3:$D$80,255),0))),"")</f>
        <v/>
      </c>
    </row>
    <row r="75" spans="1:18" ht="20.100000000000001" customHeight="1">
      <c r="A75" s="126"/>
      <c r="B75" s="571"/>
      <c r="C75" s="573"/>
      <c r="D75" s="575"/>
      <c r="E75" s="575"/>
      <c r="F75" s="128"/>
      <c r="G75" s="577"/>
      <c r="H75" s="540"/>
      <c r="I75" s="579"/>
      <c r="J75" s="533"/>
      <c r="K75" s="129"/>
      <c r="L75" s="129"/>
      <c r="M75" s="129"/>
      <c r="N75" s="129"/>
      <c r="O75" s="317"/>
      <c r="P75" s="317"/>
      <c r="Q75" s="314"/>
      <c r="R75" s="314" t="str" cm="1">
        <f t="array" ref="R75">IFERROR(IF(INDEX('Disaggregation Records'!$G$3:$G$80,MATCH(RIGHT(L75,255),RIGHT('Disaggregation Records'!$D$3:$D$80,255),0))="","",INDEX('Disaggregation Records'!$G$3:$G$80,MATCH(RIGHT(L75,255),RIGHT('Disaggregation Records'!$D$3:$D$80,255),0))),"")</f>
        <v/>
      </c>
    </row>
    <row r="76" spans="1:18" ht="20.100000000000001" customHeight="1">
      <c r="A76" s="126" t="str">
        <f t="shared" ca="1" si="3"/>
        <v>a1GDm000000XyQUMA0</v>
      </c>
      <c r="B76" s="570">
        <v>4</v>
      </c>
      <c r="C76" s="572" t="str">
        <f ca="1">IFERROR(VLOOKUP(B76,'Impact Indicators - Section B '!$A$9:$AC$68,29,FALSE),"")</f>
        <v>HIV I-9a Percentage of men who have sex with men who are living with HIV</v>
      </c>
      <c r="D76" s="574" t="str">
        <f t="shared" ref="D76" ca="1" si="75">M76</f>
        <v/>
      </c>
      <c r="E76" s="574" t="str">
        <f t="shared" ref="E76" ca="1" si="76">N76</f>
        <v/>
      </c>
      <c r="F76" s="127"/>
      <c r="G76" s="576" t="str">
        <f ca="1">IF(OR(INDIRECT("'update Helper'!E"&amp;Q76)="",F76&lt;&gt;0,F77&lt;&gt;0),IF(IFERROR((F76/F77),"")="","",(F76/F77)),INDIRECT("'update Helper'!E"&amp;Q76)/100)</f>
        <v/>
      </c>
      <c r="H76" s="539"/>
      <c r="I76" s="578"/>
      <c r="J76" s="532"/>
      <c r="K76" s="126">
        <f ca="1">IF(AND(EXACT(C76,C74),C74&lt;&gt;0),K74+1,0)</f>
        <v>3</v>
      </c>
      <c r="L76" s="126" t="str">
        <f ca="1">IF(C76&lt;&gt;"",C76&amp;"-"&amp;K76,"")</f>
        <v>HIV I-9a Percentage of men who have sex with men who are living with HIV-3</v>
      </c>
      <c r="M76" s="126" t="str">
        <f t="array" aca="1" ref="M76" ca="1">IFERROR(IF(INDEX('Disaggregation Records'!$E$3:$E$80,MATCH(RIGHT(L76,255),RIGHT('Disaggregation Records'!$D$3:$D$80,255),0))="","",INDEX('Disaggregation Records'!$E$3:$E$80,MATCH(RIGHT(L76,255),RIGHT('Disaggregation Records'!$D$3:$D$80,255),0))),"")</f>
        <v/>
      </c>
      <c r="N76" s="126" t="str">
        <f t="array" aca="1" ref="N76" ca="1">IFERROR(IF(INDEX('Disaggregation Records'!$F$3:$F$80,MATCH(RIGHT(L76,255),RIGHT('Disaggregation Records'!$D$3:$D$80,255),0))="","",INDEX('Disaggregation Records'!$F$3:$F$80,MATCH(RIGHT(L76,255),RIGHT('Disaggregation Records'!$D$3:$D$80,255),0))),"")</f>
        <v/>
      </c>
      <c r="O76" s="314" t="str">
        <f t="array" aca="1" ref="O76" ca="1">IFERROR(IF(INDEX('Disaggregation Records'!$H$3:$H$80,MATCH(RIGHT(L76,255),RIGHT('Disaggregation Records'!$D$3:$D$80,255),0))="","",INDEX('Disaggregation Records'!$H$3:$H$80,MATCH(RIGHT(L76,255),RIGHT('Disaggregation Records'!$D$3:$D$80,255),0))),"")</f>
        <v/>
      </c>
      <c r="P76" s="310"/>
      <c r="Q76" s="310">
        <f t="shared" ref="Q76" si="77">Q74+1</f>
        <v>1341</v>
      </c>
      <c r="R76" s="314" t="str" cm="1">
        <f t="array" aca="1" ref="R76" ca="1">IFERROR(IF(INDEX('Disaggregation Records'!$G$3:$G$80,MATCH(RIGHT(L76,255),RIGHT('Disaggregation Records'!$D$3:$D$80,255),0))="","",INDEX('Disaggregation Records'!$G$3:$G$80,MATCH(RIGHT(L76,255),RIGHT('Disaggregation Records'!$D$3:$D$80,255),0))),"")</f>
        <v/>
      </c>
    </row>
    <row r="77" spans="1:18" ht="20.100000000000001" customHeight="1">
      <c r="B77" s="571"/>
      <c r="C77" s="573"/>
      <c r="D77" s="575"/>
      <c r="E77" s="575"/>
      <c r="F77" s="128"/>
      <c r="G77" s="577"/>
      <c r="H77" s="540"/>
      <c r="I77" s="579"/>
      <c r="J77" s="533"/>
      <c r="K77" s="129"/>
      <c r="L77" s="129"/>
      <c r="M77" s="129"/>
      <c r="N77" s="129"/>
      <c r="O77" s="317"/>
      <c r="P77" s="310"/>
      <c r="Q77" s="314"/>
      <c r="R77" s="314" t="str" cm="1">
        <f t="array" ref="R77">IFERROR(IF(INDEX('Disaggregation Records'!$G$3:$G$80,MATCH(RIGHT(L77,255),RIGHT('Disaggregation Records'!$D$3:$D$80,255),0))="","",INDEX('Disaggregation Records'!$G$3:$G$80,MATCH(RIGHT(L77,255),RIGHT('Disaggregation Records'!$D$3:$D$80,255),0))),"")</f>
        <v/>
      </c>
    </row>
    <row r="78" spans="1:18" ht="20.100000000000001" customHeight="1">
      <c r="A78" s="126" t="str">
        <f t="shared" ref="A78" ca="1" si="78">INDIRECT("'update Helper'!C"&amp;Q78)</f>
        <v>a1GDm000000XyQVMA0</v>
      </c>
      <c r="B78" s="570">
        <v>4</v>
      </c>
      <c r="C78" s="572" t="str">
        <f ca="1">IFERROR(VLOOKUP(B78,'Impact Indicators - Section B '!$A$9:$AC$68,29,FALSE),"")</f>
        <v>HIV I-9a Percentage of men who have sex with men who are living with HIV</v>
      </c>
      <c r="D78" s="574" t="str">
        <f t="shared" ref="D78" ca="1" si="79">M78</f>
        <v/>
      </c>
      <c r="E78" s="574" t="str">
        <f t="shared" ref="E78" ca="1" si="80">N78</f>
        <v/>
      </c>
      <c r="F78" s="127"/>
      <c r="G78" s="576" t="str">
        <f ca="1">IF(OR(INDIRECT("'update Helper'!E"&amp;Q78)="",F78&lt;&gt;0,F79&lt;&gt;0),IF(IFERROR((F78/F79),"")="","",(F78/F79)),INDIRECT("'update Helper'!E"&amp;Q78)/100)</f>
        <v/>
      </c>
      <c r="H78" s="539"/>
      <c r="I78" s="578"/>
      <c r="J78" s="532"/>
      <c r="K78" s="126">
        <f ca="1">IF(AND(EXACT(C78,C76),C76&lt;&gt;0),K76+1,0)</f>
        <v>4</v>
      </c>
      <c r="L78" s="126" t="str">
        <f ca="1">IF(C78&lt;&gt;"",C78&amp;"-"&amp;K78,"")</f>
        <v>HIV I-9a Percentage of men who have sex with men who are living with HIV-4</v>
      </c>
      <c r="M78" s="126" t="str">
        <f t="array" aca="1" ref="M78" ca="1">IFERROR(IF(INDEX('Disaggregation Records'!$E$3:$E$80,MATCH(RIGHT(L78,255),RIGHT('Disaggregation Records'!$D$3:$D$80,255),0))="","",INDEX('Disaggregation Records'!$E$3:$E$80,MATCH(RIGHT(L78,255),RIGHT('Disaggregation Records'!$D$3:$D$80,255),0))),"")</f>
        <v/>
      </c>
      <c r="N78" s="126" t="str">
        <f t="array" aca="1" ref="N78" ca="1">IFERROR(IF(INDEX('Disaggregation Records'!$F$3:$F$80,MATCH(RIGHT(L78,255),RIGHT('Disaggregation Records'!$D$3:$D$80,255),0))="","",INDEX('Disaggregation Records'!$F$3:$F$80,MATCH(RIGHT(L78,255),RIGHT('Disaggregation Records'!$D$3:$D$80,255),0))),"")</f>
        <v/>
      </c>
      <c r="O78" s="314" t="str">
        <f t="array" aca="1" ref="O78" ca="1">IFERROR(IF(INDEX('Disaggregation Records'!$H$3:$H$80,MATCH(RIGHT(L78,255),RIGHT('Disaggregation Records'!$D$3:$D$80,255),0))="","",INDEX('Disaggregation Records'!$H$3:$H$80,MATCH(RIGHT(L78,255),RIGHT('Disaggregation Records'!$D$3:$D$80,255),0))),"")</f>
        <v/>
      </c>
      <c r="P78" s="314"/>
      <c r="Q78" s="310">
        <f t="shared" ref="Q78" si="81">Q76+1</f>
        <v>1342</v>
      </c>
      <c r="R78" s="314" t="str" cm="1">
        <f t="array" aca="1" ref="R78" ca="1">IFERROR(IF(INDEX('Disaggregation Records'!$G$3:$G$80,MATCH(RIGHT(L78,255),RIGHT('Disaggregation Records'!$D$3:$D$80,255),0))="","",INDEX('Disaggregation Records'!$G$3:$G$80,MATCH(RIGHT(L78,255),RIGHT('Disaggregation Records'!$D$3:$D$80,255),0))),"")</f>
        <v/>
      </c>
    </row>
    <row r="79" spans="1:18" ht="20.100000000000001" customHeight="1">
      <c r="A79" s="126"/>
      <c r="B79" s="571"/>
      <c r="C79" s="573"/>
      <c r="D79" s="575"/>
      <c r="E79" s="575"/>
      <c r="F79" s="128"/>
      <c r="G79" s="577"/>
      <c r="H79" s="540"/>
      <c r="I79" s="579"/>
      <c r="J79" s="533"/>
      <c r="K79" s="129"/>
      <c r="L79" s="129"/>
      <c r="M79" s="129"/>
      <c r="N79" s="129"/>
      <c r="O79" s="317"/>
      <c r="P79" s="317"/>
      <c r="Q79" s="314"/>
      <c r="R79" s="314" t="str" cm="1">
        <f t="array" ref="R79">IFERROR(IF(INDEX('Disaggregation Records'!$G$3:$G$80,MATCH(RIGHT(L79,255),RIGHT('Disaggregation Records'!$D$3:$D$80,255),0))="","",INDEX('Disaggregation Records'!$G$3:$G$80,MATCH(RIGHT(L79,255),RIGHT('Disaggregation Records'!$D$3:$D$80,255),0))),"")</f>
        <v/>
      </c>
    </row>
    <row r="80" spans="1:18" ht="20.100000000000001" customHeight="1">
      <c r="A80" s="126" t="str">
        <f t="shared" ref="A80:A140" ca="1" si="82">INDIRECT("'update Helper'!C"&amp;Q80)</f>
        <v>a1GDm000000XyQWMA0</v>
      </c>
      <c r="B80" s="570">
        <v>4</v>
      </c>
      <c r="C80" s="572" t="str">
        <f ca="1">IFERROR(VLOOKUP(B80,'Impact Indicators - Section B '!$A$9:$AC$68,29,FALSE),"")</f>
        <v>HIV I-9a Percentage of men who have sex with men who are living with HIV</v>
      </c>
      <c r="D80" s="574" t="str">
        <f t="shared" ref="D80" ca="1" si="83">M80</f>
        <v/>
      </c>
      <c r="E80" s="574" t="str">
        <f t="shared" ref="E80" ca="1" si="84">N80</f>
        <v/>
      </c>
      <c r="F80" s="127"/>
      <c r="G80" s="576" t="str">
        <f ca="1">IF(OR(INDIRECT("'update Helper'!E"&amp;Q80)="",F80&lt;&gt;0,F81&lt;&gt;0),IF(IFERROR((F80/F81),"")="","",(F80/F81)),INDIRECT("'update Helper'!E"&amp;Q80)/100)</f>
        <v/>
      </c>
      <c r="H80" s="539"/>
      <c r="I80" s="578"/>
      <c r="J80" s="532"/>
      <c r="K80" s="126">
        <f ca="1">IF(AND(EXACT(C80,C78),C78&lt;&gt;0),K78+1,0)</f>
        <v>5</v>
      </c>
      <c r="L80" s="126" t="str">
        <f ca="1">IF(C80&lt;&gt;"",C80&amp;"-"&amp;K80,"")</f>
        <v>HIV I-9a Percentage of men who have sex with men who are living with HIV-5</v>
      </c>
      <c r="M80" s="126" t="str">
        <f t="array" aca="1" ref="M80" ca="1">IFERROR(IF(INDEX('Disaggregation Records'!$E$3:$E$80,MATCH(RIGHT(L80,255),RIGHT('Disaggregation Records'!$D$3:$D$80,255),0))="","",INDEX('Disaggregation Records'!$E$3:$E$80,MATCH(RIGHT(L80,255),RIGHT('Disaggregation Records'!$D$3:$D$80,255),0))),"")</f>
        <v/>
      </c>
      <c r="N80" s="126" t="str">
        <f t="array" aca="1" ref="N80" ca="1">IFERROR(IF(INDEX('Disaggregation Records'!$F$3:$F$80,MATCH(RIGHT(L80,255),RIGHT('Disaggregation Records'!$D$3:$D$80,255),0))="","",INDEX('Disaggregation Records'!$F$3:$F$80,MATCH(RIGHT(L80,255),RIGHT('Disaggregation Records'!$D$3:$D$80,255),0))),"")</f>
        <v/>
      </c>
      <c r="O80" s="314" t="str">
        <f t="array" aca="1" ref="O80" ca="1">IFERROR(IF(INDEX('Disaggregation Records'!$H$3:$H$80,MATCH(RIGHT(L80,255),RIGHT('Disaggregation Records'!$D$3:$D$80,255),0))="","",INDEX('Disaggregation Records'!$H$3:$H$80,MATCH(RIGHT(L80,255),RIGHT('Disaggregation Records'!$D$3:$D$80,255),0))),"")</f>
        <v/>
      </c>
      <c r="P80" s="310"/>
      <c r="Q80" s="310">
        <f t="shared" ref="Q80" si="85">Q78+1</f>
        <v>1343</v>
      </c>
      <c r="R80" s="314" t="str" cm="1">
        <f t="array" aca="1" ref="R80" ca="1">IFERROR(IF(INDEX('Disaggregation Records'!$G$3:$G$80,MATCH(RIGHT(L80,255),RIGHT('Disaggregation Records'!$D$3:$D$80,255),0))="","",INDEX('Disaggregation Records'!$G$3:$G$80,MATCH(RIGHT(L80,255),RIGHT('Disaggregation Records'!$D$3:$D$80,255),0))),"")</f>
        <v/>
      </c>
    </row>
    <row r="81" spans="1:18" ht="20.100000000000001" customHeight="1">
      <c r="B81" s="571"/>
      <c r="C81" s="573"/>
      <c r="D81" s="575"/>
      <c r="E81" s="575"/>
      <c r="F81" s="128"/>
      <c r="G81" s="577"/>
      <c r="H81" s="540"/>
      <c r="I81" s="579"/>
      <c r="J81" s="533"/>
      <c r="K81" s="129"/>
      <c r="L81" s="129"/>
      <c r="M81" s="129"/>
      <c r="N81" s="129"/>
      <c r="O81" s="317"/>
      <c r="P81" s="310"/>
      <c r="Q81" s="314"/>
      <c r="R81" s="314" t="str" cm="1">
        <f t="array" ref="R81">IFERROR(IF(INDEX('Disaggregation Records'!$G$3:$G$80,MATCH(RIGHT(L81,255),RIGHT('Disaggregation Records'!$D$3:$D$80,255),0))="","",INDEX('Disaggregation Records'!$G$3:$G$80,MATCH(RIGHT(L81,255),RIGHT('Disaggregation Records'!$D$3:$D$80,255),0))),"")</f>
        <v/>
      </c>
    </row>
    <row r="82" spans="1:18" ht="20.100000000000001" customHeight="1">
      <c r="A82" s="126" t="str">
        <f t="shared" ref="A82" ca="1" si="86">INDIRECT("'update Helper'!C"&amp;Q82)</f>
        <v>a1GDm000000XyQXMA0</v>
      </c>
      <c r="B82" s="570">
        <v>4</v>
      </c>
      <c r="C82" s="572" t="str">
        <f ca="1">IFERROR(VLOOKUP(B82,'Impact Indicators - Section B '!$A$9:$AC$68,29,FALSE),"")</f>
        <v>HIV I-9a Percentage of men who have sex with men who are living with HIV</v>
      </c>
      <c r="D82" s="574" t="str">
        <f t="shared" ref="D82" ca="1" si="87">M82</f>
        <v/>
      </c>
      <c r="E82" s="574" t="str">
        <f t="shared" ref="E82" ca="1" si="88">N82</f>
        <v/>
      </c>
      <c r="F82" s="127"/>
      <c r="G82" s="576" t="str">
        <f ca="1">IF(OR(INDIRECT("'update Helper'!E"&amp;Q82)="",F82&lt;&gt;0,F83&lt;&gt;0),IF(IFERROR((F82/F83),"")="","",(F82/F83)),INDIRECT("'update Helper'!E"&amp;Q82)/100)</f>
        <v/>
      </c>
      <c r="H82" s="539"/>
      <c r="I82" s="578"/>
      <c r="J82" s="532"/>
      <c r="K82" s="126">
        <f ca="1">IF(AND(EXACT(C82,C80),C80&lt;&gt;0),K80+1,0)</f>
        <v>6</v>
      </c>
      <c r="L82" s="126" t="str">
        <f ca="1">IF(C82&lt;&gt;"",C82&amp;"-"&amp;K82,"")</f>
        <v>HIV I-9a Percentage of men who have sex with men who are living with HIV-6</v>
      </c>
      <c r="M82" s="126" t="str">
        <f t="array" aca="1" ref="M82" ca="1">IFERROR(IF(INDEX('Disaggregation Records'!$E$3:$E$80,MATCH(RIGHT(L82,255),RIGHT('Disaggregation Records'!$D$3:$D$80,255),0))="","",INDEX('Disaggregation Records'!$E$3:$E$80,MATCH(RIGHT(L82,255),RIGHT('Disaggregation Records'!$D$3:$D$80,255),0))),"")</f>
        <v/>
      </c>
      <c r="N82" s="126" t="str">
        <f t="array" aca="1" ref="N82" ca="1">IFERROR(IF(INDEX('Disaggregation Records'!$F$3:$F$80,MATCH(RIGHT(L82,255),RIGHT('Disaggregation Records'!$D$3:$D$80,255),0))="","",INDEX('Disaggregation Records'!$F$3:$F$80,MATCH(RIGHT(L82,255),RIGHT('Disaggregation Records'!$D$3:$D$80,255),0))),"")</f>
        <v/>
      </c>
      <c r="O82" s="314" t="str">
        <f t="array" aca="1" ref="O82" ca="1">IFERROR(IF(INDEX('Disaggregation Records'!$H$3:$H$80,MATCH(RIGHT(L82,255),RIGHT('Disaggregation Records'!$D$3:$D$80,255),0))="","",INDEX('Disaggregation Records'!$H$3:$H$80,MATCH(RIGHT(L82,255),RIGHT('Disaggregation Records'!$D$3:$D$80,255),0))),"")</f>
        <v/>
      </c>
      <c r="P82" s="314"/>
      <c r="Q82" s="310">
        <f t="shared" ref="Q82" si="89">Q80+1</f>
        <v>1344</v>
      </c>
      <c r="R82" s="314" t="str" cm="1">
        <f t="array" aca="1" ref="R82" ca="1">IFERROR(IF(INDEX('Disaggregation Records'!$G$3:$G$80,MATCH(RIGHT(L82,255),RIGHT('Disaggregation Records'!$D$3:$D$80,255),0))="","",INDEX('Disaggregation Records'!$G$3:$G$80,MATCH(RIGHT(L82,255),RIGHT('Disaggregation Records'!$D$3:$D$80,255),0))),"")</f>
        <v/>
      </c>
    </row>
    <row r="83" spans="1:18" ht="20.100000000000001" customHeight="1">
      <c r="A83" s="126"/>
      <c r="B83" s="571"/>
      <c r="C83" s="573"/>
      <c r="D83" s="575"/>
      <c r="E83" s="575"/>
      <c r="F83" s="128"/>
      <c r="G83" s="577"/>
      <c r="H83" s="540"/>
      <c r="I83" s="579"/>
      <c r="J83" s="533"/>
      <c r="K83" s="129"/>
      <c r="L83" s="129"/>
      <c r="M83" s="129"/>
      <c r="N83" s="129"/>
      <c r="O83" s="317"/>
      <c r="P83" s="317"/>
      <c r="Q83" s="314"/>
      <c r="R83" s="314" t="str" cm="1">
        <f t="array" ref="R83">IFERROR(IF(INDEX('Disaggregation Records'!$G$3:$G$80,MATCH(RIGHT(L83,255),RIGHT('Disaggregation Records'!$D$3:$D$80,255),0))="","",INDEX('Disaggregation Records'!$G$3:$G$80,MATCH(RIGHT(L83,255),RIGHT('Disaggregation Records'!$D$3:$D$80,255),0))),"")</f>
        <v/>
      </c>
    </row>
    <row r="84" spans="1:18" ht="20.100000000000001" customHeight="1">
      <c r="A84" s="126" t="str">
        <f t="shared" ca="1" si="82"/>
        <v>a1GDm000000XyQYMA0</v>
      </c>
      <c r="B84" s="570">
        <v>4</v>
      </c>
      <c r="C84" s="572" t="str">
        <f ca="1">IFERROR(VLOOKUP(B84,'Impact Indicators - Section B '!$A$9:$AC$68,29,FALSE),"")</f>
        <v>HIV I-9a Percentage of men who have sex with men who are living with HIV</v>
      </c>
      <c r="D84" s="574" t="str">
        <f t="shared" ref="D84" ca="1" si="90">M84</f>
        <v/>
      </c>
      <c r="E84" s="574" t="str">
        <f t="shared" ref="E84" ca="1" si="91">N84</f>
        <v/>
      </c>
      <c r="F84" s="127"/>
      <c r="G84" s="576" t="str">
        <f ca="1">IF(OR(INDIRECT("'update Helper'!E"&amp;Q84)="",F84&lt;&gt;0,F85&lt;&gt;0),IF(IFERROR((F84/F85),"")="","",(F84/F85)),INDIRECT("'update Helper'!E"&amp;Q84)/100)</f>
        <v/>
      </c>
      <c r="H84" s="539"/>
      <c r="I84" s="578"/>
      <c r="J84" s="532"/>
      <c r="K84" s="126">
        <f ca="1">IF(AND(EXACT(C84,C82),C82&lt;&gt;0),K82+1,0)</f>
        <v>7</v>
      </c>
      <c r="L84" s="126" t="str">
        <f ca="1">IF(C84&lt;&gt;"",C84&amp;"-"&amp;K84,"")</f>
        <v>HIV I-9a Percentage of men who have sex with men who are living with HIV-7</v>
      </c>
      <c r="M84" s="126" t="str">
        <f t="array" aca="1" ref="M84" ca="1">IFERROR(IF(INDEX('Disaggregation Records'!$E$3:$E$80,MATCH(RIGHT(L84,255),RIGHT('Disaggregation Records'!$D$3:$D$80,255),0))="","",INDEX('Disaggregation Records'!$E$3:$E$80,MATCH(RIGHT(L84,255),RIGHT('Disaggregation Records'!$D$3:$D$80,255),0))),"")</f>
        <v/>
      </c>
      <c r="N84" s="126" t="str">
        <f t="array" aca="1" ref="N84" ca="1">IFERROR(IF(INDEX('Disaggregation Records'!$F$3:$F$80,MATCH(RIGHT(L84,255),RIGHT('Disaggregation Records'!$D$3:$D$80,255),0))="","",INDEX('Disaggregation Records'!$F$3:$F$80,MATCH(RIGHT(L84,255),RIGHT('Disaggregation Records'!$D$3:$D$80,255),0))),"")</f>
        <v/>
      </c>
      <c r="O84" s="314" t="str">
        <f t="array" aca="1" ref="O84" ca="1">IFERROR(IF(INDEX('Disaggregation Records'!$H$3:$H$80,MATCH(RIGHT(L84,255),RIGHT('Disaggregation Records'!$D$3:$D$80,255),0))="","",INDEX('Disaggregation Records'!$H$3:$H$80,MATCH(RIGHT(L84,255),RIGHT('Disaggregation Records'!$D$3:$D$80,255),0))),"")</f>
        <v/>
      </c>
      <c r="P84" s="310"/>
      <c r="Q84" s="310">
        <f t="shared" ref="Q84" si="92">Q82+1</f>
        <v>1345</v>
      </c>
      <c r="R84" s="314" t="str" cm="1">
        <f t="array" aca="1" ref="R84" ca="1">IFERROR(IF(INDEX('Disaggregation Records'!$G$3:$G$80,MATCH(RIGHT(L84,255),RIGHT('Disaggregation Records'!$D$3:$D$80,255),0))="","",INDEX('Disaggregation Records'!$G$3:$G$80,MATCH(RIGHT(L84,255),RIGHT('Disaggregation Records'!$D$3:$D$80,255),0))),"")</f>
        <v/>
      </c>
    </row>
    <row r="85" spans="1:18" ht="20.100000000000001" customHeight="1">
      <c r="B85" s="571"/>
      <c r="C85" s="573"/>
      <c r="D85" s="575"/>
      <c r="E85" s="575"/>
      <c r="F85" s="128"/>
      <c r="G85" s="577"/>
      <c r="H85" s="540"/>
      <c r="I85" s="579"/>
      <c r="J85" s="533"/>
      <c r="K85" s="129"/>
      <c r="L85" s="129"/>
      <c r="M85" s="129"/>
      <c r="N85" s="129"/>
      <c r="O85" s="317"/>
      <c r="P85" s="310"/>
      <c r="Q85" s="314"/>
      <c r="R85" s="314" t="str" cm="1">
        <f t="array" ref="R85">IFERROR(IF(INDEX('Disaggregation Records'!$G$3:$G$80,MATCH(RIGHT(L85,255),RIGHT('Disaggregation Records'!$D$3:$D$80,255),0))="","",INDEX('Disaggregation Records'!$G$3:$G$80,MATCH(RIGHT(L85,255),RIGHT('Disaggregation Records'!$D$3:$D$80,255),0))),"")</f>
        <v/>
      </c>
    </row>
    <row r="86" spans="1:18" ht="20.100000000000001" customHeight="1">
      <c r="A86" s="126" t="str">
        <f t="shared" ref="A86" ca="1" si="93">INDIRECT("'update Helper'!C"&amp;Q86)</f>
        <v>a1GDm000000XyQZMA0</v>
      </c>
      <c r="B86" s="570">
        <v>4</v>
      </c>
      <c r="C86" s="572" t="str">
        <f ca="1">IFERROR(VLOOKUP(B86,'Impact Indicators - Section B '!$A$9:$AC$68,29,FALSE),"")</f>
        <v>HIV I-9a Percentage of men who have sex with men who are living with HIV</v>
      </c>
      <c r="D86" s="574" t="str">
        <f t="shared" ref="D86" ca="1" si="94">M86</f>
        <v/>
      </c>
      <c r="E86" s="574" t="str">
        <f t="shared" ref="E86" ca="1" si="95">N86</f>
        <v/>
      </c>
      <c r="F86" s="127"/>
      <c r="G86" s="576" t="str">
        <f ca="1">IF(OR(INDIRECT("'update Helper'!E"&amp;Q86)="",F86&lt;&gt;0,F87&lt;&gt;0),IF(IFERROR((F86/F87),"")="","",(F86/F87)),INDIRECT("'update Helper'!E"&amp;Q86)/100)</f>
        <v/>
      </c>
      <c r="H86" s="539"/>
      <c r="I86" s="578"/>
      <c r="J86" s="532"/>
      <c r="K86" s="126">
        <f ca="1">IF(AND(EXACT(C86,C84),C84&lt;&gt;0),K84+1,0)</f>
        <v>8</v>
      </c>
      <c r="L86" s="126" t="str">
        <f ca="1">IF(C86&lt;&gt;"",C86&amp;"-"&amp;K86,"")</f>
        <v>HIV I-9a Percentage of men who have sex with men who are living with HIV-8</v>
      </c>
      <c r="M86" s="126" t="str">
        <f t="array" aca="1" ref="M86" ca="1">IFERROR(IF(INDEX('Disaggregation Records'!$E$3:$E$80,MATCH(RIGHT(L86,255),RIGHT('Disaggregation Records'!$D$3:$D$80,255),0))="","",INDEX('Disaggregation Records'!$E$3:$E$80,MATCH(RIGHT(L86,255),RIGHT('Disaggregation Records'!$D$3:$D$80,255),0))),"")</f>
        <v/>
      </c>
      <c r="N86" s="126" t="str">
        <f t="array" aca="1" ref="N86" ca="1">IFERROR(IF(INDEX('Disaggregation Records'!$F$3:$F$80,MATCH(RIGHT(L86,255),RIGHT('Disaggregation Records'!$D$3:$D$80,255),0))="","",INDEX('Disaggregation Records'!$F$3:$F$80,MATCH(RIGHT(L86,255),RIGHT('Disaggregation Records'!$D$3:$D$80,255),0))),"")</f>
        <v/>
      </c>
      <c r="O86" s="314" t="str">
        <f t="array" aca="1" ref="O86" ca="1">IFERROR(IF(INDEX('Disaggregation Records'!$H$3:$H$80,MATCH(RIGHT(L86,255),RIGHT('Disaggregation Records'!$D$3:$D$80,255),0))="","",INDEX('Disaggregation Records'!$H$3:$H$80,MATCH(RIGHT(L86,255),RIGHT('Disaggregation Records'!$D$3:$D$80,255),0))),"")</f>
        <v/>
      </c>
      <c r="P86" s="314"/>
      <c r="Q86" s="310">
        <f t="shared" ref="Q86" si="96">Q84+1</f>
        <v>1346</v>
      </c>
      <c r="R86" s="314" t="str" cm="1">
        <f t="array" aca="1" ref="R86" ca="1">IFERROR(IF(INDEX('Disaggregation Records'!$G$3:$G$80,MATCH(RIGHT(L86,255),RIGHT('Disaggregation Records'!$D$3:$D$80,255),0))="","",INDEX('Disaggregation Records'!$G$3:$G$80,MATCH(RIGHT(L86,255),RIGHT('Disaggregation Records'!$D$3:$D$80,255),0))),"")</f>
        <v/>
      </c>
    </row>
    <row r="87" spans="1:18" ht="20.100000000000001" customHeight="1">
      <c r="A87" s="126"/>
      <c r="B87" s="571"/>
      <c r="C87" s="573"/>
      <c r="D87" s="575"/>
      <c r="E87" s="575"/>
      <c r="F87" s="128"/>
      <c r="G87" s="577"/>
      <c r="H87" s="540"/>
      <c r="I87" s="579"/>
      <c r="J87" s="533"/>
      <c r="K87" s="129"/>
      <c r="L87" s="129"/>
      <c r="M87" s="129"/>
      <c r="N87" s="129"/>
      <c r="O87" s="317"/>
      <c r="P87" s="317"/>
      <c r="Q87" s="314"/>
      <c r="R87" s="314" t="str" cm="1">
        <f t="array" ref="R87">IFERROR(IF(INDEX('Disaggregation Records'!$G$3:$G$80,MATCH(RIGHT(L87,255),RIGHT('Disaggregation Records'!$D$3:$D$80,255),0))="","",INDEX('Disaggregation Records'!$G$3:$G$80,MATCH(RIGHT(L87,255),RIGHT('Disaggregation Records'!$D$3:$D$80,255),0))),"")</f>
        <v/>
      </c>
    </row>
    <row r="88" spans="1:18" ht="20.100000000000001" customHeight="1">
      <c r="A88" s="126" t="str">
        <f t="shared" ca="1" si="82"/>
        <v>a1GDm000000XyQaMAK</v>
      </c>
      <c r="B88" s="570">
        <v>4</v>
      </c>
      <c r="C88" s="572" t="str">
        <f ca="1">IFERROR(VLOOKUP(B88,'Impact Indicators - Section B '!$A$9:$AC$68,29,FALSE),"")</f>
        <v>HIV I-9a Percentage of men who have sex with men who are living with HIV</v>
      </c>
      <c r="D88" s="574" t="str">
        <f t="shared" ref="D88" ca="1" si="97">M88</f>
        <v/>
      </c>
      <c r="E88" s="574" t="str">
        <f t="shared" ref="E88" ca="1" si="98">N88</f>
        <v/>
      </c>
      <c r="F88" s="127"/>
      <c r="G88" s="576" t="str">
        <f ca="1">IF(OR(INDIRECT("'update Helper'!E"&amp;Q88)="",F88&lt;&gt;0,F89&lt;&gt;0),IF(IFERROR((F88/F89),"")="","",(F88/F89)),INDIRECT("'update Helper'!E"&amp;Q88)/100)</f>
        <v/>
      </c>
      <c r="H88" s="539"/>
      <c r="I88" s="578"/>
      <c r="J88" s="532"/>
      <c r="K88" s="126">
        <f ca="1">IF(AND(EXACT(C88,C86),C86&lt;&gt;0),K86+1,0)</f>
        <v>9</v>
      </c>
      <c r="L88" s="126" t="str">
        <f ca="1">IF(C88&lt;&gt;"",C88&amp;"-"&amp;K88,"")</f>
        <v>HIV I-9a Percentage of men who have sex with men who are living with HIV-9</v>
      </c>
      <c r="M88" s="126" t="str">
        <f t="array" aca="1" ref="M88" ca="1">IFERROR(IF(INDEX('Disaggregation Records'!$E$3:$E$80,MATCH(RIGHT(L88,255),RIGHT('Disaggregation Records'!$D$3:$D$80,255),0))="","",INDEX('Disaggregation Records'!$E$3:$E$80,MATCH(RIGHT(L88,255),RIGHT('Disaggregation Records'!$D$3:$D$80,255),0))),"")</f>
        <v/>
      </c>
      <c r="N88" s="126" t="str">
        <f t="array" aca="1" ref="N88" ca="1">IFERROR(IF(INDEX('Disaggregation Records'!$F$3:$F$80,MATCH(RIGHT(L88,255),RIGHT('Disaggregation Records'!$D$3:$D$80,255),0))="","",INDEX('Disaggregation Records'!$F$3:$F$80,MATCH(RIGHT(L88,255),RIGHT('Disaggregation Records'!$D$3:$D$80,255),0))),"")</f>
        <v/>
      </c>
      <c r="O88" s="314" t="str">
        <f t="array" aca="1" ref="O88" ca="1">IFERROR(IF(INDEX('Disaggregation Records'!$H$3:$H$80,MATCH(RIGHT(L88,255),RIGHT('Disaggregation Records'!$D$3:$D$80,255),0))="","",INDEX('Disaggregation Records'!$H$3:$H$80,MATCH(RIGHT(L88,255),RIGHT('Disaggregation Records'!$D$3:$D$80,255),0))),"")</f>
        <v/>
      </c>
      <c r="P88" s="310"/>
      <c r="Q88" s="310">
        <f t="shared" ref="Q88" si="99">Q86+1</f>
        <v>1347</v>
      </c>
      <c r="R88" s="314" t="str" cm="1">
        <f t="array" aca="1" ref="R88" ca="1">IFERROR(IF(INDEX('Disaggregation Records'!$G$3:$G$80,MATCH(RIGHT(L88,255),RIGHT('Disaggregation Records'!$D$3:$D$80,255),0))="","",INDEX('Disaggregation Records'!$G$3:$G$80,MATCH(RIGHT(L88,255),RIGHT('Disaggregation Records'!$D$3:$D$80,255),0))),"")</f>
        <v/>
      </c>
    </row>
    <row r="89" spans="1:18" ht="20.100000000000001" customHeight="1">
      <c r="B89" s="571"/>
      <c r="C89" s="573"/>
      <c r="D89" s="575"/>
      <c r="E89" s="575"/>
      <c r="F89" s="128"/>
      <c r="G89" s="577"/>
      <c r="H89" s="540"/>
      <c r="I89" s="579"/>
      <c r="J89" s="533"/>
      <c r="K89" s="129"/>
      <c r="L89" s="129"/>
      <c r="M89" s="129"/>
      <c r="N89" s="129"/>
      <c r="O89" s="317"/>
      <c r="P89" s="310"/>
      <c r="Q89" s="314"/>
      <c r="R89" s="314" t="str" cm="1">
        <f t="array" ref="R89">IFERROR(IF(INDEX('Disaggregation Records'!$G$3:$G$80,MATCH(RIGHT(L89,255),RIGHT('Disaggregation Records'!$D$3:$D$80,255),0))="","",INDEX('Disaggregation Records'!$G$3:$G$80,MATCH(RIGHT(L89,255),RIGHT('Disaggregation Records'!$D$3:$D$80,255),0))),"")</f>
        <v/>
      </c>
    </row>
    <row r="90" spans="1:18" ht="20.100000000000001" customHeight="1">
      <c r="A90" s="126" t="str">
        <f t="shared" ref="A90" ca="1" si="100">INDIRECT("'update Helper'!C"&amp;Q90)</f>
        <v>a1GDm000000XyQbMAK</v>
      </c>
      <c r="B90" s="570">
        <v>5</v>
      </c>
      <c r="C90" s="572" t="str">
        <f ca="1">IFERROR(VLOOKUP(B90,'Impact Indicators - Section B '!$A$9:$AC$68,29,FALSE),"")</f>
        <v>HIV I-10 Percentage of sex workers who are living with HIV</v>
      </c>
      <c r="D90" s="574" t="str">
        <f t="shared" ref="D90" ca="1" si="101">M90</f>
        <v>Age</v>
      </c>
      <c r="E90" s="574" t="str">
        <f t="shared" ref="E90" ca="1" si="102">N90</f>
        <v>25+</v>
      </c>
      <c r="F90" s="127"/>
      <c r="G90" s="576" t="str">
        <f ca="1">IF(OR(INDIRECT("'update Helper'!E"&amp;Q90)="",F90&lt;&gt;0,F91&lt;&gt;0),IF(IFERROR((F90/F91),"")="","",(F90/F91)),INDIRECT("'update Helper'!E"&amp;Q90)/100)</f>
        <v/>
      </c>
      <c r="H90" s="539"/>
      <c r="I90" s="578"/>
      <c r="J90" s="532" t="s">
        <v>2260</v>
      </c>
      <c r="K90" s="126">
        <f ca="1">IF(AND(EXACT(C90,C88),C88&lt;&gt;0),K88+1,0)</f>
        <v>0</v>
      </c>
      <c r="L90" s="126" t="str">
        <f ca="1">IF(C90&lt;&gt;"",C90&amp;"-"&amp;K90,"")</f>
        <v>HIV I-10 Percentage of sex workers who are living with HIV-0</v>
      </c>
      <c r="M90" s="126" t="str">
        <f t="array" aca="1" ref="M90" ca="1">IFERROR(IF(INDEX('Disaggregation Records'!$E$3:$E$80,MATCH(RIGHT(L90,255),RIGHT('Disaggregation Records'!$D$3:$D$80,255),0))="","",INDEX('Disaggregation Records'!$E$3:$E$80,MATCH(RIGHT(L90,255),RIGHT('Disaggregation Records'!$D$3:$D$80,255),0))),"")</f>
        <v>Age</v>
      </c>
      <c r="N90" s="126" t="str">
        <f t="array" aca="1" ref="N90" ca="1">IFERROR(IF(INDEX('Disaggregation Records'!$F$3:$F$80,MATCH(RIGHT(L90,255),RIGHT('Disaggregation Records'!$D$3:$D$80,255),0))="","",INDEX('Disaggregation Records'!$F$3:$F$80,MATCH(RIGHT(L90,255),RIGHT('Disaggregation Records'!$D$3:$D$80,255),0))),"")</f>
        <v>25+</v>
      </c>
      <c r="O90" s="314" t="str">
        <f t="array" aca="1" ref="O90" ca="1">IFERROR(IF(INDEX('Disaggregation Records'!$H$3:$H$80,MATCH(RIGHT(L90,255),RIGHT('Disaggregation Records'!$D$3:$D$80,255),0))="","",INDEX('Disaggregation Records'!$H$3:$H$80,MATCH(RIGHT(L90,255),RIGHT('Disaggregation Records'!$D$3:$D$80,255),0))),"")</f>
        <v>IDR-01055</v>
      </c>
      <c r="P90" s="314"/>
      <c r="Q90" s="310">
        <f t="shared" ref="Q90" si="103">Q88+1</f>
        <v>1348</v>
      </c>
      <c r="R90" s="314" t="str" cm="1">
        <f t="array" aca="1" ref="R90" ca="1">IFERROR(IF(INDEX('Disaggregation Records'!$G$3:$G$80,MATCH(RIGHT(L90,255),RIGHT('Disaggregation Records'!$D$3:$D$80,255),0))="","",INDEX('Disaggregation Records'!$G$3:$G$80,MATCH(RIGHT(L90,255),RIGHT('Disaggregation Records'!$D$3:$D$80,255),0))),"")</f>
        <v>a1LDm000000CazlMAC</v>
      </c>
    </row>
    <row r="91" spans="1:18" ht="20.100000000000001" customHeight="1">
      <c r="A91" s="126"/>
      <c r="B91" s="571">
        <v>3.7556390977443699</v>
      </c>
      <c r="C91" s="573"/>
      <c r="D91" s="575"/>
      <c r="E91" s="575"/>
      <c r="F91" s="128"/>
      <c r="G91" s="577"/>
      <c r="H91" s="540"/>
      <c r="I91" s="579"/>
      <c r="J91" s="533"/>
      <c r="K91" s="129"/>
      <c r="L91" s="129"/>
      <c r="M91" s="129"/>
      <c r="N91" s="129"/>
      <c r="O91" s="317"/>
      <c r="P91" s="317"/>
      <c r="Q91" s="314"/>
      <c r="R91" s="314" t="str" cm="1">
        <f t="array" ref="R91">IFERROR(IF(INDEX('Disaggregation Records'!$G$3:$G$80,MATCH(RIGHT(L91,255),RIGHT('Disaggregation Records'!$D$3:$D$80,255),0))="","",INDEX('Disaggregation Records'!$G$3:$G$80,MATCH(RIGHT(L91,255),RIGHT('Disaggregation Records'!$D$3:$D$80,255),0))),"")</f>
        <v/>
      </c>
    </row>
    <row r="92" spans="1:18" ht="20.100000000000001" customHeight="1">
      <c r="A92" s="126" t="str">
        <f t="shared" ca="1" si="82"/>
        <v>a1GDm000000XyQcMAK</v>
      </c>
      <c r="B92" s="570">
        <v>5</v>
      </c>
      <c r="C92" s="572" t="str">
        <f ca="1">IFERROR(VLOOKUP(B92,'Impact Indicators - Section B '!$A$9:$AC$68,29,FALSE),"")</f>
        <v>HIV I-10 Percentage of sex workers who are living with HIV</v>
      </c>
      <c r="D92" s="574" t="str">
        <f t="shared" ref="D92" ca="1" si="104">M92</f>
        <v>Age</v>
      </c>
      <c r="E92" s="574" t="str">
        <f t="shared" ref="E92" ca="1" si="105">N92</f>
        <v>&lt;25</v>
      </c>
      <c r="F92" s="127"/>
      <c r="G92" s="576" t="str">
        <f ca="1">IF(OR(INDIRECT("'update Helper'!E"&amp;Q92)="",F92&lt;&gt;0,F93&lt;&gt;0),IF(IFERROR((F92/F93),"")="","",(F92/F93)),INDIRECT("'update Helper'!E"&amp;Q92)/100)</f>
        <v/>
      </c>
      <c r="H92" s="539"/>
      <c r="I92" s="578"/>
      <c r="J92" s="532" t="s">
        <v>2260</v>
      </c>
      <c r="K92" s="126">
        <f ca="1">IF(AND(EXACT(C92,C90),C90&lt;&gt;0),K90+1,0)</f>
        <v>1</v>
      </c>
      <c r="L92" s="126" t="str">
        <f ca="1">IF(C92&lt;&gt;"",C92&amp;"-"&amp;K92,"")</f>
        <v>HIV I-10 Percentage of sex workers who are living with HIV-1</v>
      </c>
      <c r="M92" s="126" t="str">
        <f t="array" aca="1" ref="M92" ca="1">IFERROR(IF(INDEX('Disaggregation Records'!$E$3:$E$80,MATCH(RIGHT(L92,255),RIGHT('Disaggregation Records'!$D$3:$D$80,255),0))="","",INDEX('Disaggregation Records'!$E$3:$E$80,MATCH(RIGHT(L92,255),RIGHT('Disaggregation Records'!$D$3:$D$80,255),0))),"")</f>
        <v>Age</v>
      </c>
      <c r="N92" s="126" t="str">
        <f t="array" aca="1" ref="N92" ca="1">IFERROR(IF(INDEX('Disaggregation Records'!$F$3:$F$80,MATCH(RIGHT(L92,255),RIGHT('Disaggregation Records'!$D$3:$D$80,255),0))="","",INDEX('Disaggregation Records'!$F$3:$F$80,MATCH(RIGHT(L92,255),RIGHT('Disaggregation Records'!$D$3:$D$80,255),0))),"")</f>
        <v>&lt;25</v>
      </c>
      <c r="O92" s="314" t="str">
        <f t="array" aca="1" ref="O92" ca="1">IFERROR(IF(INDEX('Disaggregation Records'!$H$3:$H$80,MATCH(RIGHT(L92,255),RIGHT('Disaggregation Records'!$D$3:$D$80,255),0))="","",INDEX('Disaggregation Records'!$H$3:$H$80,MATCH(RIGHT(L92,255),RIGHT('Disaggregation Records'!$D$3:$D$80,255),0))),"")</f>
        <v>IDR-01054</v>
      </c>
      <c r="P92" s="310"/>
      <c r="Q92" s="310">
        <f t="shared" ref="Q92" si="106">Q90+1</f>
        <v>1349</v>
      </c>
      <c r="R92" s="314" t="str" cm="1">
        <f t="array" aca="1" ref="R92" ca="1">IFERROR(IF(INDEX('Disaggregation Records'!$G$3:$G$80,MATCH(RIGHT(L92,255),RIGHT('Disaggregation Records'!$D$3:$D$80,255),0))="","",INDEX('Disaggregation Records'!$G$3:$G$80,MATCH(RIGHT(L92,255),RIGHT('Disaggregation Records'!$D$3:$D$80,255),0))),"")</f>
        <v>a1LDm000000CazkMAC</v>
      </c>
    </row>
    <row r="93" spans="1:18" ht="20.100000000000001" customHeight="1">
      <c r="B93" s="571">
        <v>3.7556390977443699</v>
      </c>
      <c r="C93" s="573"/>
      <c r="D93" s="575"/>
      <c r="E93" s="575"/>
      <c r="F93" s="128"/>
      <c r="G93" s="577"/>
      <c r="H93" s="540"/>
      <c r="I93" s="579"/>
      <c r="J93" s="533"/>
      <c r="K93" s="129"/>
      <c r="L93" s="129"/>
      <c r="M93" s="129"/>
      <c r="N93" s="129"/>
      <c r="O93" s="317"/>
      <c r="P93" s="310"/>
      <c r="Q93" s="314"/>
      <c r="R93" s="314" t="str" cm="1">
        <f t="array" ref="R93">IFERROR(IF(INDEX('Disaggregation Records'!$G$3:$G$80,MATCH(RIGHT(L93,255),RIGHT('Disaggregation Records'!$D$3:$D$80,255),0))="","",INDEX('Disaggregation Records'!$G$3:$G$80,MATCH(RIGHT(L93,255),RIGHT('Disaggregation Records'!$D$3:$D$80,255),0))),"")</f>
        <v/>
      </c>
    </row>
    <row r="94" spans="1:18" ht="20.100000000000001" customHeight="1">
      <c r="A94" s="126" t="str">
        <f t="shared" ref="A94" ca="1" si="107">INDIRECT("'update Helper'!C"&amp;Q94)</f>
        <v>a1GDm000000XyQdMAK</v>
      </c>
      <c r="B94" s="570">
        <v>5</v>
      </c>
      <c r="C94" s="572" t="str">
        <f ca="1">IFERROR(VLOOKUP(B94,'Impact Indicators - Section B '!$A$9:$AC$68,29,FALSE),"")</f>
        <v>HIV I-10 Percentage of sex workers who are living with HIV</v>
      </c>
      <c r="D94" s="574" t="str">
        <f t="shared" ref="D94" ca="1" si="108">M94</f>
        <v>Gender</v>
      </c>
      <c r="E94" s="574" t="str">
        <f t="shared" ref="E94" ca="1" si="109">N94</f>
        <v>Transgender</v>
      </c>
      <c r="F94" s="127"/>
      <c r="G94" s="576" t="str">
        <f ca="1">IF(OR(INDIRECT("'update Helper'!E"&amp;Q94)="",F94&lt;&gt;0,F95&lt;&gt;0),IF(IFERROR((F94/F95),"")="","",(F94/F95)),INDIRECT("'update Helper'!E"&amp;Q94)/100)</f>
        <v/>
      </c>
      <c r="H94" s="539"/>
      <c r="I94" s="578"/>
      <c r="J94" s="532" t="s">
        <v>2261</v>
      </c>
      <c r="K94" s="126">
        <f ca="1">IF(AND(EXACT(C94,C92),C92&lt;&gt;0),K92+1,0)</f>
        <v>2</v>
      </c>
      <c r="L94" s="126" t="str">
        <f ca="1">IF(C94&lt;&gt;"",C94&amp;"-"&amp;K94,"")</f>
        <v>HIV I-10 Percentage of sex workers who are living with HIV-2</v>
      </c>
      <c r="M94" s="126" t="str">
        <f t="array" aca="1" ref="M94" ca="1">IFERROR(IF(INDEX('Disaggregation Records'!$E$3:$E$80,MATCH(RIGHT(L94,255),RIGHT('Disaggregation Records'!$D$3:$D$80,255),0))="","",INDEX('Disaggregation Records'!$E$3:$E$80,MATCH(RIGHT(L94,255),RIGHT('Disaggregation Records'!$D$3:$D$80,255),0))),"")</f>
        <v>Gender</v>
      </c>
      <c r="N94" s="126" t="str">
        <f t="array" aca="1" ref="N94" ca="1">IFERROR(IF(INDEX('Disaggregation Records'!$F$3:$F$80,MATCH(RIGHT(L94,255),RIGHT('Disaggregation Records'!$D$3:$D$80,255),0))="","",INDEX('Disaggregation Records'!$F$3:$F$80,MATCH(RIGHT(L94,255),RIGHT('Disaggregation Records'!$D$3:$D$80,255),0))),"")</f>
        <v>Transgender</v>
      </c>
      <c r="O94" s="314" t="str">
        <f t="array" aca="1" ref="O94" ca="1">IFERROR(IF(INDEX('Disaggregation Records'!$H$3:$H$80,MATCH(RIGHT(L94,255),RIGHT('Disaggregation Records'!$D$3:$D$80,255),0))="","",INDEX('Disaggregation Records'!$H$3:$H$80,MATCH(RIGHT(L94,255),RIGHT('Disaggregation Records'!$D$3:$D$80,255),0))),"")</f>
        <v>IDR-01053</v>
      </c>
      <c r="P94" s="314"/>
      <c r="Q94" s="310">
        <f t="shared" ref="Q94" si="110">Q92+1</f>
        <v>1350</v>
      </c>
      <c r="R94" s="314" t="str" cm="1">
        <f t="array" aca="1" ref="R94" ca="1">IFERROR(IF(INDEX('Disaggregation Records'!$G$3:$G$80,MATCH(RIGHT(L94,255),RIGHT('Disaggregation Records'!$D$3:$D$80,255),0))="","",INDEX('Disaggregation Records'!$G$3:$G$80,MATCH(RIGHT(L94,255),RIGHT('Disaggregation Records'!$D$3:$D$80,255),0))),"")</f>
        <v>a1LDm000000CazjMAC</v>
      </c>
    </row>
    <row r="95" spans="1:18" ht="20.100000000000001" customHeight="1">
      <c r="A95" s="126"/>
      <c r="B95" s="571">
        <v>3.7556390977443699</v>
      </c>
      <c r="C95" s="573"/>
      <c r="D95" s="575"/>
      <c r="E95" s="575"/>
      <c r="F95" s="128"/>
      <c r="G95" s="577"/>
      <c r="H95" s="540"/>
      <c r="I95" s="579"/>
      <c r="J95" s="533"/>
      <c r="K95" s="129"/>
      <c r="L95" s="129"/>
      <c r="M95" s="129"/>
      <c r="N95" s="129"/>
      <c r="O95" s="317"/>
      <c r="P95" s="317"/>
      <c r="Q95" s="314"/>
      <c r="R95" s="314" t="str" cm="1">
        <f t="array" ref="R95">IFERROR(IF(INDEX('Disaggregation Records'!$G$3:$G$80,MATCH(RIGHT(L95,255),RIGHT('Disaggregation Records'!$D$3:$D$80,255),0))="","",INDEX('Disaggregation Records'!$G$3:$G$80,MATCH(RIGHT(L95,255),RIGHT('Disaggregation Records'!$D$3:$D$80,255),0))),"")</f>
        <v/>
      </c>
    </row>
    <row r="96" spans="1:18" ht="20.100000000000001" customHeight="1">
      <c r="A96" s="126" t="str">
        <f t="shared" ca="1" si="82"/>
        <v>a1GDm000000XyQeMAK</v>
      </c>
      <c r="B96" s="570">
        <v>5</v>
      </c>
      <c r="C96" s="572" t="str">
        <f ca="1">IFERROR(VLOOKUP(B96,'Impact Indicators - Section B '!$A$9:$AC$68,29,FALSE),"")</f>
        <v>HIV I-10 Percentage of sex workers who are living with HIV</v>
      </c>
      <c r="D96" s="574" t="str">
        <f t="shared" ref="D96" ca="1" si="111">M96</f>
        <v>Gender</v>
      </c>
      <c r="E96" s="574" t="str">
        <f t="shared" ref="E96" ca="1" si="112">N96</f>
        <v>Male</v>
      </c>
      <c r="F96" s="127"/>
      <c r="G96" s="576" t="str">
        <f ca="1">IF(OR(INDIRECT("'update Helper'!E"&amp;Q96)="",F96&lt;&gt;0,F97&lt;&gt;0),IF(IFERROR((F96/F97),"")="","",(F96/F97)),INDIRECT("'update Helper'!E"&amp;Q96)/100)</f>
        <v/>
      </c>
      <c r="H96" s="539"/>
      <c r="I96" s="578"/>
      <c r="J96" s="532" t="s">
        <v>2262</v>
      </c>
      <c r="K96" s="126">
        <f ca="1">IF(AND(EXACT(C96,C94),C94&lt;&gt;0),K94+1,0)</f>
        <v>3</v>
      </c>
      <c r="L96" s="126" t="str">
        <f ca="1">IF(C96&lt;&gt;"",C96&amp;"-"&amp;K96,"")</f>
        <v>HIV I-10 Percentage of sex workers who are living with HIV-3</v>
      </c>
      <c r="M96" s="126" t="str">
        <f t="array" aca="1" ref="M96" ca="1">IFERROR(IF(INDEX('Disaggregation Records'!$E$3:$E$80,MATCH(RIGHT(L96,255),RIGHT('Disaggregation Records'!$D$3:$D$80,255),0))="","",INDEX('Disaggregation Records'!$E$3:$E$80,MATCH(RIGHT(L96,255),RIGHT('Disaggregation Records'!$D$3:$D$80,255),0))),"")</f>
        <v>Gender</v>
      </c>
      <c r="N96" s="126" t="str">
        <f t="array" aca="1" ref="N96" ca="1">IFERROR(IF(INDEX('Disaggregation Records'!$F$3:$F$80,MATCH(RIGHT(L96,255),RIGHT('Disaggregation Records'!$D$3:$D$80,255),0))="","",INDEX('Disaggregation Records'!$F$3:$F$80,MATCH(RIGHT(L96,255),RIGHT('Disaggregation Records'!$D$3:$D$80,255),0))),"")</f>
        <v>Male</v>
      </c>
      <c r="O96" s="314" t="str">
        <f t="array" aca="1" ref="O96" ca="1">IFERROR(IF(INDEX('Disaggregation Records'!$H$3:$H$80,MATCH(RIGHT(L96,255),RIGHT('Disaggregation Records'!$D$3:$D$80,255),0))="","",INDEX('Disaggregation Records'!$H$3:$H$80,MATCH(RIGHT(L96,255),RIGHT('Disaggregation Records'!$D$3:$D$80,255),0))),"")</f>
        <v>IDR-01052</v>
      </c>
      <c r="P96" s="310"/>
      <c r="Q96" s="310">
        <f t="shared" ref="Q96" si="113">Q94+1</f>
        <v>1351</v>
      </c>
      <c r="R96" s="314" t="str" cm="1">
        <f t="array" aca="1" ref="R96" ca="1">IFERROR(IF(INDEX('Disaggregation Records'!$G$3:$G$80,MATCH(RIGHT(L96,255),RIGHT('Disaggregation Records'!$D$3:$D$80,255),0))="","",INDEX('Disaggregation Records'!$G$3:$G$80,MATCH(RIGHT(L96,255),RIGHT('Disaggregation Records'!$D$3:$D$80,255),0))),"")</f>
        <v>a1LDm000000CaziMAC</v>
      </c>
    </row>
    <row r="97" spans="1:18" ht="20.100000000000001" customHeight="1">
      <c r="B97" s="571">
        <v>3.7556390977443699</v>
      </c>
      <c r="C97" s="573"/>
      <c r="D97" s="575"/>
      <c r="E97" s="575"/>
      <c r="F97" s="128"/>
      <c r="G97" s="577"/>
      <c r="H97" s="540"/>
      <c r="I97" s="579"/>
      <c r="J97" s="533"/>
      <c r="K97" s="129"/>
      <c r="L97" s="129"/>
      <c r="M97" s="129"/>
      <c r="N97" s="129"/>
      <c r="O97" s="317"/>
      <c r="P97" s="310"/>
      <c r="Q97" s="314"/>
      <c r="R97" s="314" t="str" cm="1">
        <f t="array" ref="R97">IFERROR(IF(INDEX('Disaggregation Records'!$G$3:$G$80,MATCH(RIGHT(L97,255),RIGHT('Disaggregation Records'!$D$3:$D$80,255),0))="","",INDEX('Disaggregation Records'!$G$3:$G$80,MATCH(RIGHT(L97,255),RIGHT('Disaggregation Records'!$D$3:$D$80,255),0))),"")</f>
        <v/>
      </c>
    </row>
    <row r="98" spans="1:18" ht="20.100000000000001" customHeight="1">
      <c r="A98" s="126" t="str">
        <f t="shared" ref="A98" ca="1" si="114">INDIRECT("'update Helper'!C"&amp;Q98)</f>
        <v>a1GDm000000XyQfMAK</v>
      </c>
      <c r="B98" s="570">
        <v>5</v>
      </c>
      <c r="C98" s="572" t="str">
        <f ca="1">IFERROR(VLOOKUP(B98,'Impact Indicators - Section B '!$A$9:$AC$68,29,FALSE),"")</f>
        <v>HIV I-10 Percentage of sex workers who are living with HIV</v>
      </c>
      <c r="D98" s="574" t="str">
        <f t="shared" ref="D98" ca="1" si="115">M98</f>
        <v>Gender</v>
      </c>
      <c r="E98" s="574" t="str">
        <f t="shared" ref="E98" ca="1" si="116">N98</f>
        <v>Female</v>
      </c>
      <c r="F98" s="127"/>
      <c r="G98" s="576" t="str">
        <f ca="1">IF(OR(INDIRECT("'update Helper'!E"&amp;Q98)="",F98&lt;&gt;0,F99&lt;&gt;0),IF(IFERROR((F98/F99),"")="","",(F98/F99)),INDIRECT("'update Helper'!E"&amp;Q98)/100)</f>
        <v/>
      </c>
      <c r="H98" s="539"/>
      <c r="I98" s="578"/>
      <c r="J98" s="532" t="s">
        <v>2262</v>
      </c>
      <c r="K98" s="126">
        <f ca="1">IF(AND(EXACT(C98,C96),C96&lt;&gt;0),K96+1,0)</f>
        <v>4</v>
      </c>
      <c r="L98" s="126" t="str">
        <f ca="1">IF(C98&lt;&gt;"",C98&amp;"-"&amp;K98,"")</f>
        <v>HIV I-10 Percentage of sex workers who are living with HIV-4</v>
      </c>
      <c r="M98" s="126" t="str">
        <f t="array" aca="1" ref="M98" ca="1">IFERROR(IF(INDEX('Disaggregation Records'!$E$3:$E$80,MATCH(RIGHT(L98,255),RIGHT('Disaggregation Records'!$D$3:$D$80,255),0))="","",INDEX('Disaggregation Records'!$E$3:$E$80,MATCH(RIGHT(L98,255),RIGHT('Disaggregation Records'!$D$3:$D$80,255),0))),"")</f>
        <v>Gender</v>
      </c>
      <c r="N98" s="126" t="str">
        <f t="array" aca="1" ref="N98" ca="1">IFERROR(IF(INDEX('Disaggregation Records'!$F$3:$F$80,MATCH(RIGHT(L98,255),RIGHT('Disaggregation Records'!$D$3:$D$80,255),0))="","",INDEX('Disaggregation Records'!$F$3:$F$80,MATCH(RIGHT(L98,255),RIGHT('Disaggregation Records'!$D$3:$D$80,255),0))),"")</f>
        <v>Female</v>
      </c>
      <c r="O98" s="314" t="str">
        <f t="array" aca="1" ref="O98" ca="1">IFERROR(IF(INDEX('Disaggregation Records'!$H$3:$H$80,MATCH(RIGHT(L98,255),RIGHT('Disaggregation Records'!$D$3:$D$80,255),0))="","",INDEX('Disaggregation Records'!$H$3:$H$80,MATCH(RIGHT(L98,255),RIGHT('Disaggregation Records'!$D$3:$D$80,255),0))),"")</f>
        <v>IDR-01051</v>
      </c>
      <c r="P98" s="314"/>
      <c r="Q98" s="310">
        <f t="shared" ref="Q98" si="117">Q96+1</f>
        <v>1352</v>
      </c>
      <c r="R98" s="314" t="str" cm="1">
        <f t="array" aca="1" ref="R98" ca="1">IFERROR(IF(INDEX('Disaggregation Records'!$G$3:$G$80,MATCH(RIGHT(L98,255),RIGHT('Disaggregation Records'!$D$3:$D$80,255),0))="","",INDEX('Disaggregation Records'!$G$3:$G$80,MATCH(RIGHT(L98,255),RIGHT('Disaggregation Records'!$D$3:$D$80,255),0))),"")</f>
        <v>a1LDm000000CazhMAC</v>
      </c>
    </row>
    <row r="99" spans="1:18" ht="20.100000000000001" customHeight="1">
      <c r="A99" s="126"/>
      <c r="B99" s="571">
        <v>3.7556390977443699</v>
      </c>
      <c r="C99" s="573"/>
      <c r="D99" s="575"/>
      <c r="E99" s="575"/>
      <c r="F99" s="128"/>
      <c r="G99" s="577"/>
      <c r="H99" s="540"/>
      <c r="I99" s="579"/>
      <c r="J99" s="533"/>
      <c r="K99" s="129"/>
      <c r="L99" s="129"/>
      <c r="M99" s="129"/>
      <c r="N99" s="129"/>
      <c r="O99" s="317"/>
      <c r="P99" s="317"/>
      <c r="Q99" s="314"/>
      <c r="R99" s="314" t="str" cm="1">
        <f t="array" ref="R99">IFERROR(IF(INDEX('Disaggregation Records'!$G$3:$G$80,MATCH(RIGHT(L99,255),RIGHT('Disaggregation Records'!$D$3:$D$80,255),0))="","",INDEX('Disaggregation Records'!$G$3:$G$80,MATCH(RIGHT(L99,255),RIGHT('Disaggregation Records'!$D$3:$D$80,255),0))),"")</f>
        <v/>
      </c>
    </row>
    <row r="100" spans="1:18" ht="20.100000000000001" customHeight="1">
      <c r="A100" s="126" t="str">
        <f t="shared" ca="1" si="82"/>
        <v>a1GDm000000XyQgMAK</v>
      </c>
      <c r="B100" s="570">
        <v>5</v>
      </c>
      <c r="C100" s="572" t="str">
        <f ca="1">IFERROR(VLOOKUP(B100,'Impact Indicators - Section B '!$A$9:$AC$68,29,FALSE),"")</f>
        <v>HIV I-10 Percentage of sex workers who are living with HIV</v>
      </c>
      <c r="D100" s="574" t="str">
        <f t="shared" ref="D100" ca="1" si="118">M100</f>
        <v/>
      </c>
      <c r="E100" s="574" t="str">
        <f t="shared" ref="E100" ca="1" si="119">N100</f>
        <v/>
      </c>
      <c r="F100" s="127"/>
      <c r="G100" s="576" t="str">
        <f ca="1">IF(OR(INDIRECT("'update Helper'!E"&amp;Q100)="",F100&lt;&gt;0,F101&lt;&gt;0),IF(IFERROR((F100/F101),"")="","",(F100/F101)),INDIRECT("'update Helper'!E"&amp;Q100)/100)</f>
        <v/>
      </c>
      <c r="H100" s="539"/>
      <c r="I100" s="578"/>
      <c r="J100" s="532"/>
      <c r="K100" s="126">
        <f ca="1">IF(AND(EXACT(C100,C98),C98&lt;&gt;0),K98+1,0)</f>
        <v>5</v>
      </c>
      <c r="L100" s="126" t="str">
        <f ca="1">IF(C100&lt;&gt;"",C100&amp;"-"&amp;K100,"")</f>
        <v>HIV I-10 Percentage of sex workers who are living with HIV-5</v>
      </c>
      <c r="M100" s="126" t="str">
        <f t="array" aca="1" ref="M100" ca="1">IFERROR(IF(INDEX('Disaggregation Records'!$E$3:$E$80,MATCH(RIGHT(L100,255),RIGHT('Disaggregation Records'!$D$3:$D$80,255),0))="","",INDEX('Disaggregation Records'!$E$3:$E$80,MATCH(RIGHT(L100,255),RIGHT('Disaggregation Records'!$D$3:$D$80,255),0))),"")</f>
        <v/>
      </c>
      <c r="N100" s="126" t="str">
        <f t="array" aca="1" ref="N100" ca="1">IFERROR(IF(INDEX('Disaggregation Records'!$F$3:$F$80,MATCH(RIGHT(L100,255),RIGHT('Disaggregation Records'!$D$3:$D$80,255),0))="","",INDEX('Disaggregation Records'!$F$3:$F$80,MATCH(RIGHT(L100,255),RIGHT('Disaggregation Records'!$D$3:$D$80,255),0))),"")</f>
        <v/>
      </c>
      <c r="O100" s="314" t="str">
        <f t="array" aca="1" ref="O100" ca="1">IFERROR(IF(INDEX('Disaggregation Records'!$H$3:$H$80,MATCH(RIGHT(L100,255),RIGHT('Disaggregation Records'!$D$3:$D$80,255),0))="","",INDEX('Disaggregation Records'!$H$3:$H$80,MATCH(RIGHT(L100,255),RIGHT('Disaggregation Records'!$D$3:$D$80,255),0))),"")</f>
        <v/>
      </c>
      <c r="P100" s="310"/>
      <c r="Q100" s="310">
        <f t="shared" ref="Q100" si="120">Q98+1</f>
        <v>1353</v>
      </c>
      <c r="R100" s="314" t="str" cm="1">
        <f t="array" aca="1" ref="R100" ca="1">IFERROR(IF(INDEX('Disaggregation Records'!$G$3:$G$80,MATCH(RIGHT(L100,255),RIGHT('Disaggregation Records'!$D$3:$D$80,255),0))="","",INDEX('Disaggregation Records'!$G$3:$G$80,MATCH(RIGHT(L100,255),RIGHT('Disaggregation Records'!$D$3:$D$80,255),0))),"")</f>
        <v/>
      </c>
    </row>
    <row r="101" spans="1:18" ht="20.100000000000001" customHeight="1">
      <c r="B101" s="571">
        <v>3.7556390977443699</v>
      </c>
      <c r="C101" s="573"/>
      <c r="D101" s="575"/>
      <c r="E101" s="575"/>
      <c r="F101" s="128"/>
      <c r="G101" s="577"/>
      <c r="H101" s="540"/>
      <c r="I101" s="579"/>
      <c r="J101" s="533"/>
      <c r="K101" s="129"/>
      <c r="L101" s="129"/>
      <c r="M101" s="129"/>
      <c r="N101" s="129"/>
      <c r="O101" s="317"/>
      <c r="P101" s="310"/>
      <c r="Q101" s="314"/>
      <c r="R101" s="314" t="str" cm="1">
        <f t="array" ref="R101">IFERROR(IF(INDEX('Disaggregation Records'!$G$3:$G$80,MATCH(RIGHT(L101,255),RIGHT('Disaggregation Records'!$D$3:$D$80,255),0))="","",INDEX('Disaggregation Records'!$G$3:$G$80,MATCH(RIGHT(L101,255),RIGHT('Disaggregation Records'!$D$3:$D$80,255),0))),"")</f>
        <v/>
      </c>
    </row>
    <row r="102" spans="1:18" ht="20.100000000000001" customHeight="1">
      <c r="A102" s="126" t="str">
        <f t="shared" ref="A102" ca="1" si="121">INDIRECT("'update Helper'!C"&amp;Q102)</f>
        <v>a1GDm000000XyQhMAK</v>
      </c>
      <c r="B102" s="570">
        <v>5</v>
      </c>
      <c r="C102" s="572" t="str">
        <f ca="1">IFERROR(VLOOKUP(B102,'Impact Indicators - Section B '!$A$9:$AC$68,29,FALSE),"")</f>
        <v>HIV I-10 Percentage of sex workers who are living with HIV</v>
      </c>
      <c r="D102" s="574" t="str">
        <f t="shared" ref="D102" ca="1" si="122">M102</f>
        <v/>
      </c>
      <c r="E102" s="574" t="str">
        <f t="shared" ref="E102" ca="1" si="123">N102</f>
        <v/>
      </c>
      <c r="F102" s="127"/>
      <c r="G102" s="576" t="str">
        <f ca="1">IF(OR(INDIRECT("'update Helper'!E"&amp;Q102)="",F102&lt;&gt;0,F103&lt;&gt;0),IF(IFERROR((F102/F103),"")="","",(F102/F103)),INDIRECT("'update Helper'!E"&amp;Q102)/100)</f>
        <v/>
      </c>
      <c r="H102" s="539"/>
      <c r="I102" s="578"/>
      <c r="J102" s="532"/>
      <c r="K102" s="126">
        <f ca="1">IF(AND(EXACT(C102,C100),C100&lt;&gt;0),K100+1,0)</f>
        <v>6</v>
      </c>
      <c r="L102" s="126" t="str">
        <f ca="1">IF(C102&lt;&gt;"",C102&amp;"-"&amp;K102,"")</f>
        <v>HIV I-10 Percentage of sex workers who are living with HIV-6</v>
      </c>
      <c r="M102" s="126" t="str">
        <f t="array" aca="1" ref="M102" ca="1">IFERROR(IF(INDEX('Disaggregation Records'!$E$3:$E$80,MATCH(RIGHT(L102,255),RIGHT('Disaggregation Records'!$D$3:$D$80,255),0))="","",INDEX('Disaggregation Records'!$E$3:$E$80,MATCH(RIGHT(L102,255),RIGHT('Disaggregation Records'!$D$3:$D$80,255),0))),"")</f>
        <v/>
      </c>
      <c r="N102" s="126" t="str">
        <f t="array" aca="1" ref="N102" ca="1">IFERROR(IF(INDEX('Disaggregation Records'!$F$3:$F$80,MATCH(RIGHT(L102,255),RIGHT('Disaggregation Records'!$D$3:$D$80,255),0))="","",INDEX('Disaggregation Records'!$F$3:$F$80,MATCH(RIGHT(L102,255),RIGHT('Disaggregation Records'!$D$3:$D$80,255),0))),"")</f>
        <v/>
      </c>
      <c r="O102" s="314" t="str">
        <f t="array" aca="1" ref="O102" ca="1">IFERROR(IF(INDEX('Disaggregation Records'!$H$3:$H$80,MATCH(RIGHT(L102,255),RIGHT('Disaggregation Records'!$D$3:$D$80,255),0))="","",INDEX('Disaggregation Records'!$H$3:$H$80,MATCH(RIGHT(L102,255),RIGHT('Disaggregation Records'!$D$3:$D$80,255),0))),"")</f>
        <v/>
      </c>
      <c r="P102" s="314"/>
      <c r="Q102" s="310">
        <f t="shared" ref="Q102" si="124">Q100+1</f>
        <v>1354</v>
      </c>
      <c r="R102" s="314" t="str" cm="1">
        <f t="array" aca="1" ref="R102" ca="1">IFERROR(IF(INDEX('Disaggregation Records'!$G$3:$G$80,MATCH(RIGHT(L102,255),RIGHT('Disaggregation Records'!$D$3:$D$80,255),0))="","",INDEX('Disaggregation Records'!$G$3:$G$80,MATCH(RIGHT(L102,255),RIGHT('Disaggregation Records'!$D$3:$D$80,255),0))),"")</f>
        <v/>
      </c>
    </row>
    <row r="103" spans="1:18" ht="20.100000000000001" customHeight="1">
      <c r="A103" s="126"/>
      <c r="B103" s="571">
        <v>3.7556390977443699</v>
      </c>
      <c r="C103" s="573"/>
      <c r="D103" s="575"/>
      <c r="E103" s="575"/>
      <c r="F103" s="128"/>
      <c r="G103" s="577"/>
      <c r="H103" s="540"/>
      <c r="I103" s="579"/>
      <c r="J103" s="533"/>
      <c r="K103" s="129"/>
      <c r="L103" s="129"/>
      <c r="M103" s="129"/>
      <c r="N103" s="129"/>
      <c r="O103" s="317"/>
      <c r="P103" s="317"/>
      <c r="Q103" s="314"/>
      <c r="R103" s="314" t="str" cm="1">
        <f t="array" ref="R103">IFERROR(IF(INDEX('Disaggregation Records'!$G$3:$G$80,MATCH(RIGHT(L103,255),RIGHT('Disaggregation Records'!$D$3:$D$80,255),0))="","",INDEX('Disaggregation Records'!$G$3:$G$80,MATCH(RIGHT(L103,255),RIGHT('Disaggregation Records'!$D$3:$D$80,255),0))),"")</f>
        <v/>
      </c>
    </row>
    <row r="104" spans="1:18" ht="20.100000000000001" customHeight="1">
      <c r="A104" s="126" t="str">
        <f t="shared" ca="1" si="82"/>
        <v>a1GDm000000XyQiMAK</v>
      </c>
      <c r="B104" s="570">
        <v>5</v>
      </c>
      <c r="C104" s="572" t="str">
        <f ca="1">IFERROR(VLOOKUP(B104,'Impact Indicators - Section B '!$A$9:$AC$68,29,FALSE),"")</f>
        <v>HIV I-10 Percentage of sex workers who are living with HIV</v>
      </c>
      <c r="D104" s="574" t="str">
        <f t="shared" ref="D104" ca="1" si="125">M104</f>
        <v/>
      </c>
      <c r="E104" s="574" t="str">
        <f t="shared" ref="E104" ca="1" si="126">N104</f>
        <v/>
      </c>
      <c r="F104" s="127"/>
      <c r="G104" s="576" t="str">
        <f ca="1">IF(OR(INDIRECT("'update Helper'!E"&amp;Q104)="",F104&lt;&gt;0,F105&lt;&gt;0),IF(IFERROR((F104/F105),"")="","",(F104/F105)),INDIRECT("'update Helper'!E"&amp;Q104)/100)</f>
        <v/>
      </c>
      <c r="H104" s="539"/>
      <c r="I104" s="578"/>
      <c r="J104" s="532"/>
      <c r="K104" s="126">
        <f ca="1">IF(AND(EXACT(C104,C102),C102&lt;&gt;0),K102+1,0)</f>
        <v>7</v>
      </c>
      <c r="L104" s="126" t="str">
        <f ca="1">IF(C104&lt;&gt;"",C104&amp;"-"&amp;K104,"")</f>
        <v>HIV I-10 Percentage of sex workers who are living with HIV-7</v>
      </c>
      <c r="M104" s="126" t="str">
        <f t="array" aca="1" ref="M104" ca="1">IFERROR(IF(INDEX('Disaggregation Records'!$E$3:$E$80,MATCH(RIGHT(L104,255),RIGHT('Disaggregation Records'!$D$3:$D$80,255),0))="","",INDEX('Disaggregation Records'!$E$3:$E$80,MATCH(RIGHT(L104,255),RIGHT('Disaggregation Records'!$D$3:$D$80,255),0))),"")</f>
        <v/>
      </c>
      <c r="N104" s="126" t="str">
        <f t="array" aca="1" ref="N104" ca="1">IFERROR(IF(INDEX('Disaggregation Records'!$F$3:$F$80,MATCH(RIGHT(L104,255),RIGHT('Disaggregation Records'!$D$3:$D$80,255),0))="","",INDEX('Disaggregation Records'!$F$3:$F$80,MATCH(RIGHT(L104,255),RIGHT('Disaggregation Records'!$D$3:$D$80,255),0))),"")</f>
        <v/>
      </c>
      <c r="O104" s="314" t="str">
        <f t="array" aca="1" ref="O104" ca="1">IFERROR(IF(INDEX('Disaggregation Records'!$H$3:$H$80,MATCH(RIGHT(L104,255),RIGHT('Disaggregation Records'!$D$3:$D$80,255),0))="","",INDEX('Disaggregation Records'!$H$3:$H$80,MATCH(RIGHT(L104,255),RIGHT('Disaggregation Records'!$D$3:$D$80,255),0))),"")</f>
        <v/>
      </c>
      <c r="P104" s="310"/>
      <c r="Q104" s="310">
        <f t="shared" ref="Q104" si="127">Q102+1</f>
        <v>1355</v>
      </c>
      <c r="R104" s="314" t="str" cm="1">
        <f t="array" aca="1" ref="R104" ca="1">IFERROR(IF(INDEX('Disaggregation Records'!$G$3:$G$80,MATCH(RIGHT(L104,255),RIGHT('Disaggregation Records'!$D$3:$D$80,255),0))="","",INDEX('Disaggregation Records'!$G$3:$G$80,MATCH(RIGHT(L104,255),RIGHT('Disaggregation Records'!$D$3:$D$80,255),0))),"")</f>
        <v/>
      </c>
    </row>
    <row r="105" spans="1:18" ht="20.100000000000001" customHeight="1">
      <c r="B105" s="571">
        <v>3.7556390977443699</v>
      </c>
      <c r="C105" s="573"/>
      <c r="D105" s="575"/>
      <c r="E105" s="575"/>
      <c r="F105" s="128"/>
      <c r="G105" s="577"/>
      <c r="H105" s="540"/>
      <c r="I105" s="579"/>
      <c r="J105" s="533"/>
      <c r="K105" s="129"/>
      <c r="L105" s="129"/>
      <c r="M105" s="129"/>
      <c r="N105" s="129"/>
      <c r="O105" s="317"/>
      <c r="P105" s="310"/>
      <c r="Q105" s="314"/>
      <c r="R105" s="314" t="str" cm="1">
        <f t="array" ref="R105">IFERROR(IF(INDEX('Disaggregation Records'!$G$3:$G$80,MATCH(RIGHT(L105,255),RIGHT('Disaggregation Records'!$D$3:$D$80,255),0))="","",INDEX('Disaggregation Records'!$G$3:$G$80,MATCH(RIGHT(L105,255),RIGHT('Disaggregation Records'!$D$3:$D$80,255),0))),"")</f>
        <v/>
      </c>
    </row>
    <row r="106" spans="1:18" ht="20.100000000000001" customHeight="1">
      <c r="A106" s="126" t="str">
        <f t="shared" ref="A106" ca="1" si="128">INDIRECT("'update Helper'!C"&amp;Q106)</f>
        <v>a1GDm000000XyQjMAK</v>
      </c>
      <c r="B106" s="570">
        <v>5</v>
      </c>
      <c r="C106" s="572" t="str">
        <f ca="1">IFERROR(VLOOKUP(B106,'Impact Indicators - Section B '!$A$9:$AC$68,29,FALSE),"")</f>
        <v>HIV I-10 Percentage of sex workers who are living with HIV</v>
      </c>
      <c r="D106" s="574" t="str">
        <f t="shared" ref="D106" ca="1" si="129">M106</f>
        <v/>
      </c>
      <c r="E106" s="574" t="str">
        <f t="shared" ref="E106" ca="1" si="130">N106</f>
        <v/>
      </c>
      <c r="F106" s="127"/>
      <c r="G106" s="576" t="str">
        <f ca="1">IF(OR(INDIRECT("'update Helper'!E"&amp;Q106)="",F106&lt;&gt;0,F107&lt;&gt;0),IF(IFERROR((F106/F107),"")="","",(F106/F107)),INDIRECT("'update Helper'!E"&amp;Q106)/100)</f>
        <v/>
      </c>
      <c r="H106" s="539"/>
      <c r="I106" s="578"/>
      <c r="J106" s="532"/>
      <c r="K106" s="126">
        <f ca="1">IF(AND(EXACT(C106,C104),C104&lt;&gt;0),K104+1,0)</f>
        <v>8</v>
      </c>
      <c r="L106" s="126" t="str">
        <f ca="1">IF(C106&lt;&gt;"",C106&amp;"-"&amp;K106,"")</f>
        <v>HIV I-10 Percentage of sex workers who are living with HIV-8</v>
      </c>
      <c r="M106" s="126" t="str">
        <f t="array" aca="1" ref="M106" ca="1">IFERROR(IF(INDEX('Disaggregation Records'!$E$3:$E$80,MATCH(RIGHT(L106,255),RIGHT('Disaggregation Records'!$D$3:$D$80,255),0))="","",INDEX('Disaggregation Records'!$E$3:$E$80,MATCH(RIGHT(L106,255),RIGHT('Disaggregation Records'!$D$3:$D$80,255),0))),"")</f>
        <v/>
      </c>
      <c r="N106" s="126" t="str">
        <f t="array" aca="1" ref="N106" ca="1">IFERROR(IF(INDEX('Disaggregation Records'!$F$3:$F$80,MATCH(RIGHT(L106,255),RIGHT('Disaggregation Records'!$D$3:$D$80,255),0))="","",INDEX('Disaggregation Records'!$F$3:$F$80,MATCH(RIGHT(L106,255),RIGHT('Disaggregation Records'!$D$3:$D$80,255),0))),"")</f>
        <v/>
      </c>
      <c r="O106" s="314" t="str">
        <f t="array" aca="1" ref="O106" ca="1">IFERROR(IF(INDEX('Disaggregation Records'!$H$3:$H$80,MATCH(RIGHT(L106,255),RIGHT('Disaggregation Records'!$D$3:$D$80,255),0))="","",INDEX('Disaggregation Records'!$H$3:$H$80,MATCH(RIGHT(L106,255),RIGHT('Disaggregation Records'!$D$3:$D$80,255),0))),"")</f>
        <v/>
      </c>
      <c r="P106" s="314"/>
      <c r="Q106" s="310">
        <f t="shared" ref="Q106" si="131">Q104+1</f>
        <v>1356</v>
      </c>
      <c r="R106" s="314" t="str" cm="1">
        <f t="array" aca="1" ref="R106" ca="1">IFERROR(IF(INDEX('Disaggregation Records'!$G$3:$G$80,MATCH(RIGHT(L106,255),RIGHT('Disaggregation Records'!$D$3:$D$80,255),0))="","",INDEX('Disaggregation Records'!$G$3:$G$80,MATCH(RIGHT(L106,255),RIGHT('Disaggregation Records'!$D$3:$D$80,255),0))),"")</f>
        <v/>
      </c>
    </row>
    <row r="107" spans="1:18" ht="20.100000000000001" customHeight="1">
      <c r="A107" s="126"/>
      <c r="B107" s="571">
        <v>3.7556390977443699</v>
      </c>
      <c r="C107" s="573"/>
      <c r="D107" s="575"/>
      <c r="E107" s="575"/>
      <c r="F107" s="128"/>
      <c r="G107" s="577"/>
      <c r="H107" s="540"/>
      <c r="I107" s="579"/>
      <c r="J107" s="533"/>
      <c r="K107" s="129"/>
      <c r="L107" s="129"/>
      <c r="M107" s="129"/>
      <c r="N107" s="129"/>
      <c r="O107" s="317"/>
      <c r="P107" s="317"/>
      <c r="Q107" s="314"/>
      <c r="R107" s="314" t="str" cm="1">
        <f t="array" ref="R107">IFERROR(IF(INDEX('Disaggregation Records'!$G$3:$G$80,MATCH(RIGHT(L107,255),RIGHT('Disaggregation Records'!$D$3:$D$80,255),0))="","",INDEX('Disaggregation Records'!$G$3:$G$80,MATCH(RIGHT(L107,255),RIGHT('Disaggregation Records'!$D$3:$D$80,255),0))),"")</f>
        <v/>
      </c>
    </row>
    <row r="108" spans="1:18" ht="20.100000000000001" customHeight="1">
      <c r="A108" s="126" t="str">
        <f t="shared" ca="1" si="82"/>
        <v>a1GDm000000XyQkMAK</v>
      </c>
      <c r="B108" s="570">
        <v>5</v>
      </c>
      <c r="C108" s="572" t="str">
        <f ca="1">IFERROR(VLOOKUP(B108,'Impact Indicators - Section B '!$A$9:$AC$68,29,FALSE),"")</f>
        <v>HIV I-10 Percentage of sex workers who are living with HIV</v>
      </c>
      <c r="D108" s="574" t="str">
        <f t="shared" ref="D108" ca="1" si="132">M108</f>
        <v/>
      </c>
      <c r="E108" s="574" t="str">
        <f t="shared" ref="E108" ca="1" si="133">N108</f>
        <v/>
      </c>
      <c r="F108" s="127"/>
      <c r="G108" s="576" t="str">
        <f ca="1">IF(OR(INDIRECT("'update Helper'!E"&amp;Q108)="",F108&lt;&gt;0,F109&lt;&gt;0),IF(IFERROR((F108/F109),"")="","",(F108/F109)),INDIRECT("'update Helper'!E"&amp;Q108)/100)</f>
        <v/>
      </c>
      <c r="H108" s="539"/>
      <c r="I108" s="578"/>
      <c r="J108" s="532"/>
      <c r="K108" s="126">
        <f ca="1">IF(AND(EXACT(C108,C106),C106&lt;&gt;0),K106+1,0)</f>
        <v>9</v>
      </c>
      <c r="L108" s="126" t="str">
        <f ca="1">IF(C108&lt;&gt;"",C108&amp;"-"&amp;K108,"")</f>
        <v>HIV I-10 Percentage of sex workers who are living with HIV-9</v>
      </c>
      <c r="M108" s="126" t="str">
        <f t="array" aca="1" ref="M108" ca="1">IFERROR(IF(INDEX('Disaggregation Records'!$E$3:$E$80,MATCH(RIGHT(L108,255),RIGHT('Disaggregation Records'!$D$3:$D$80,255),0))="","",INDEX('Disaggregation Records'!$E$3:$E$80,MATCH(RIGHT(L108,255),RIGHT('Disaggregation Records'!$D$3:$D$80,255),0))),"")</f>
        <v/>
      </c>
      <c r="N108" s="126" t="str">
        <f t="array" aca="1" ref="N108" ca="1">IFERROR(IF(INDEX('Disaggregation Records'!$F$3:$F$80,MATCH(RIGHT(L108,255),RIGHT('Disaggregation Records'!$D$3:$D$80,255),0))="","",INDEX('Disaggregation Records'!$F$3:$F$80,MATCH(RIGHT(L108,255),RIGHT('Disaggregation Records'!$D$3:$D$80,255),0))),"")</f>
        <v/>
      </c>
      <c r="O108" s="314" t="str">
        <f t="array" aca="1" ref="O108" ca="1">IFERROR(IF(INDEX('Disaggregation Records'!$H$3:$H$80,MATCH(RIGHT(L108,255),RIGHT('Disaggregation Records'!$D$3:$D$80,255),0))="","",INDEX('Disaggregation Records'!$H$3:$H$80,MATCH(RIGHT(L108,255),RIGHT('Disaggregation Records'!$D$3:$D$80,255),0))),"")</f>
        <v/>
      </c>
      <c r="P108" s="310"/>
      <c r="Q108" s="310">
        <f t="shared" ref="Q108" si="134">Q106+1</f>
        <v>1357</v>
      </c>
      <c r="R108" s="314" t="str" cm="1">
        <f t="array" aca="1" ref="R108" ca="1">IFERROR(IF(INDEX('Disaggregation Records'!$G$3:$G$80,MATCH(RIGHT(L108,255),RIGHT('Disaggregation Records'!$D$3:$D$80,255),0))="","",INDEX('Disaggregation Records'!$G$3:$G$80,MATCH(RIGHT(L108,255),RIGHT('Disaggregation Records'!$D$3:$D$80,255),0))),"")</f>
        <v/>
      </c>
    </row>
    <row r="109" spans="1:18" ht="20.100000000000001" customHeight="1">
      <c r="B109" s="571">
        <v>3.7556390977443699</v>
      </c>
      <c r="C109" s="573"/>
      <c r="D109" s="575"/>
      <c r="E109" s="575"/>
      <c r="F109" s="128"/>
      <c r="G109" s="577"/>
      <c r="H109" s="540"/>
      <c r="I109" s="579"/>
      <c r="J109" s="533"/>
      <c r="K109" s="129"/>
      <c r="L109" s="129"/>
      <c r="M109" s="129"/>
      <c r="N109" s="129"/>
      <c r="O109" s="317"/>
      <c r="P109" s="310"/>
      <c r="Q109" s="314"/>
      <c r="R109" s="314" t="str" cm="1">
        <f t="array" ref="R109">IFERROR(IF(INDEX('Disaggregation Records'!$G$3:$G$80,MATCH(RIGHT(L109,255),RIGHT('Disaggregation Records'!$D$3:$D$80,255),0))="","",INDEX('Disaggregation Records'!$G$3:$G$80,MATCH(RIGHT(L109,255),RIGHT('Disaggregation Records'!$D$3:$D$80,255),0))),"")</f>
        <v/>
      </c>
    </row>
    <row r="110" spans="1:18" ht="20.100000000000001" customHeight="1">
      <c r="A110" s="126" t="str">
        <f t="shared" ref="A110" ca="1" si="135">INDIRECT("'update Helper'!C"&amp;Q110)</f>
        <v>a1GDm000000XyQlMAK</v>
      </c>
      <c r="B110" s="570">
        <v>6</v>
      </c>
      <c r="C110" s="572" t="str">
        <f ca="1">IFERROR(VLOOKUP(B110,'Impact Indicators - Section B '!$A$9:$AC$68,29,FALSE),"")</f>
        <v>HIV I-9b Percentage of transgender people who are living with HIV</v>
      </c>
      <c r="D110" s="574" t="str">
        <f t="shared" ref="D110" ca="1" si="136">M110</f>
        <v>Age</v>
      </c>
      <c r="E110" s="574" t="str">
        <f t="shared" ref="E110" ca="1" si="137">N110</f>
        <v>25+</v>
      </c>
      <c r="F110" s="127"/>
      <c r="G110" s="576" t="str">
        <f ca="1">IF(OR(INDIRECT("'update Helper'!E"&amp;Q110)="",F110&lt;&gt;0,F111&lt;&gt;0),IF(IFERROR((F110/F111),"")="","",(F110/F111)),INDIRECT("'update Helper'!E"&amp;Q110)/100)</f>
        <v/>
      </c>
      <c r="H110" s="539"/>
      <c r="I110" s="578"/>
      <c r="J110" s="532" t="s">
        <v>2260</v>
      </c>
      <c r="K110" s="126">
        <f ca="1">IF(AND(EXACT(C110,C108),C108&lt;&gt;0),K108+1,0)</f>
        <v>0</v>
      </c>
      <c r="L110" s="126" t="str">
        <f ca="1">IF(C110&lt;&gt;"",C110&amp;"-"&amp;K110,"")</f>
        <v>HIV I-9b Percentage of transgender people who are living with HIV-0</v>
      </c>
      <c r="M110" s="126" t="str">
        <f t="array" aca="1" ref="M110" ca="1">IFERROR(IF(INDEX('Disaggregation Records'!$E$3:$E$80,MATCH(RIGHT(L110,255),RIGHT('Disaggregation Records'!$D$3:$D$80,255),0))="","",INDEX('Disaggregation Records'!$E$3:$E$80,MATCH(RIGHT(L110,255),RIGHT('Disaggregation Records'!$D$3:$D$80,255),0))),"")</f>
        <v>Age</v>
      </c>
      <c r="N110" s="126" t="str">
        <f t="array" aca="1" ref="N110" ca="1">IFERROR(IF(INDEX('Disaggregation Records'!$F$3:$F$80,MATCH(RIGHT(L110,255),RIGHT('Disaggregation Records'!$D$3:$D$80,255),0))="","",INDEX('Disaggregation Records'!$F$3:$F$80,MATCH(RIGHT(L110,255),RIGHT('Disaggregation Records'!$D$3:$D$80,255),0))),"")</f>
        <v>25+</v>
      </c>
      <c r="O110" s="314" t="str">
        <f t="array" aca="1" ref="O110" ca="1">IFERROR(IF(INDEX('Disaggregation Records'!$H$3:$H$80,MATCH(RIGHT(L110,255),RIGHT('Disaggregation Records'!$D$3:$D$80,255),0))="","",INDEX('Disaggregation Records'!$H$3:$H$80,MATCH(RIGHT(L110,255),RIGHT('Disaggregation Records'!$D$3:$D$80,255),0))),"")</f>
        <v>IDR-01050</v>
      </c>
      <c r="P110" s="314"/>
      <c r="Q110" s="310">
        <f t="shared" ref="Q110" si="138">Q108+1</f>
        <v>1358</v>
      </c>
      <c r="R110" s="314" t="str" cm="1">
        <f t="array" aca="1" ref="R110" ca="1">IFERROR(IF(INDEX('Disaggregation Records'!$G$3:$G$80,MATCH(RIGHT(L110,255),RIGHT('Disaggregation Records'!$D$3:$D$80,255),0))="","",INDEX('Disaggregation Records'!$G$3:$G$80,MATCH(RIGHT(L110,255),RIGHT('Disaggregation Records'!$D$3:$D$80,255),0))),"")</f>
        <v>a1LDm000000CazgMAC</v>
      </c>
    </row>
    <row r="111" spans="1:18" ht="20.100000000000001" customHeight="1">
      <c r="A111" s="126"/>
      <c r="B111" s="571">
        <v>4.5075187969924899</v>
      </c>
      <c r="C111" s="573"/>
      <c r="D111" s="575"/>
      <c r="E111" s="575"/>
      <c r="F111" s="128"/>
      <c r="G111" s="577"/>
      <c r="H111" s="540"/>
      <c r="I111" s="579"/>
      <c r="J111" s="533"/>
      <c r="K111" s="129"/>
      <c r="L111" s="129"/>
      <c r="M111" s="129"/>
      <c r="N111" s="129"/>
      <c r="O111" s="317"/>
      <c r="P111" s="317"/>
      <c r="Q111" s="314"/>
      <c r="R111" s="314" t="str" cm="1">
        <f t="array" ref="R111">IFERROR(IF(INDEX('Disaggregation Records'!$G$3:$G$80,MATCH(RIGHT(L111,255),RIGHT('Disaggregation Records'!$D$3:$D$80,255),0))="","",INDEX('Disaggregation Records'!$G$3:$G$80,MATCH(RIGHT(L111,255),RIGHT('Disaggregation Records'!$D$3:$D$80,255),0))),"")</f>
        <v/>
      </c>
    </row>
    <row r="112" spans="1:18" ht="20.100000000000001" customHeight="1">
      <c r="A112" s="126" t="str">
        <f t="shared" ca="1" si="82"/>
        <v>a1GDm000000XyQmMAK</v>
      </c>
      <c r="B112" s="570">
        <v>6</v>
      </c>
      <c r="C112" s="572" t="str">
        <f ca="1">IFERROR(VLOOKUP(B112,'Impact Indicators - Section B '!$A$9:$AC$68,29,FALSE),"")</f>
        <v>HIV I-9b Percentage of transgender people who are living with HIV</v>
      </c>
      <c r="D112" s="574" t="str">
        <f t="shared" ref="D112" ca="1" si="139">M112</f>
        <v>Age</v>
      </c>
      <c r="E112" s="574" t="str">
        <f t="shared" ref="E112" ca="1" si="140">N112</f>
        <v>&lt;25</v>
      </c>
      <c r="F112" s="127"/>
      <c r="G112" s="576" t="str">
        <f ca="1">IF(OR(INDIRECT("'update Helper'!E"&amp;Q112)="",F112&lt;&gt;0,F113&lt;&gt;0),IF(IFERROR((F112/F113),"")="","",(F112/F113)),INDIRECT("'update Helper'!E"&amp;Q112)/100)</f>
        <v/>
      </c>
      <c r="H112" s="539"/>
      <c r="I112" s="578"/>
      <c r="J112" s="532" t="s">
        <v>2260</v>
      </c>
      <c r="K112" s="126">
        <f ca="1">IF(AND(EXACT(C112,C110),C110&lt;&gt;0),K110+1,0)</f>
        <v>1</v>
      </c>
      <c r="L112" s="126" t="str">
        <f ca="1">IF(C112&lt;&gt;"",C112&amp;"-"&amp;K112,"")</f>
        <v>HIV I-9b Percentage of transgender people who are living with HIV-1</v>
      </c>
      <c r="M112" s="126" t="str">
        <f t="array" aca="1" ref="M112" ca="1">IFERROR(IF(INDEX('Disaggregation Records'!$E$3:$E$80,MATCH(RIGHT(L112,255),RIGHT('Disaggregation Records'!$D$3:$D$80,255),0))="","",INDEX('Disaggregation Records'!$E$3:$E$80,MATCH(RIGHT(L112,255),RIGHT('Disaggregation Records'!$D$3:$D$80,255),0))),"")</f>
        <v>Age</v>
      </c>
      <c r="N112" s="126" t="str">
        <f t="array" aca="1" ref="N112" ca="1">IFERROR(IF(INDEX('Disaggregation Records'!$F$3:$F$80,MATCH(RIGHT(L112,255),RIGHT('Disaggregation Records'!$D$3:$D$80,255),0))="","",INDEX('Disaggregation Records'!$F$3:$F$80,MATCH(RIGHT(L112,255),RIGHT('Disaggregation Records'!$D$3:$D$80,255),0))),"")</f>
        <v>&lt;25</v>
      </c>
      <c r="O112" s="314" t="str">
        <f t="array" aca="1" ref="O112" ca="1">IFERROR(IF(INDEX('Disaggregation Records'!$H$3:$H$80,MATCH(RIGHT(L112,255),RIGHT('Disaggregation Records'!$D$3:$D$80,255),0))="","",INDEX('Disaggregation Records'!$H$3:$H$80,MATCH(RIGHT(L112,255),RIGHT('Disaggregation Records'!$D$3:$D$80,255),0))),"")</f>
        <v>IDR-01049</v>
      </c>
      <c r="P112" s="310"/>
      <c r="Q112" s="310">
        <f t="shared" ref="Q112" si="141">Q110+1</f>
        <v>1359</v>
      </c>
      <c r="R112" s="314" t="str" cm="1">
        <f t="array" aca="1" ref="R112" ca="1">IFERROR(IF(INDEX('Disaggregation Records'!$G$3:$G$80,MATCH(RIGHT(L112,255),RIGHT('Disaggregation Records'!$D$3:$D$80,255),0))="","",INDEX('Disaggregation Records'!$G$3:$G$80,MATCH(RIGHT(L112,255),RIGHT('Disaggregation Records'!$D$3:$D$80,255),0))),"")</f>
        <v>a1LDm000000CazfMAC</v>
      </c>
    </row>
    <row r="113" spans="1:18" ht="20.100000000000001" customHeight="1">
      <c r="B113" s="571">
        <v>4.5075187969924899</v>
      </c>
      <c r="C113" s="573"/>
      <c r="D113" s="575"/>
      <c r="E113" s="575"/>
      <c r="F113" s="128"/>
      <c r="G113" s="577"/>
      <c r="H113" s="540"/>
      <c r="I113" s="579"/>
      <c r="J113" s="533"/>
      <c r="K113" s="129"/>
      <c r="L113" s="129"/>
      <c r="M113" s="129"/>
      <c r="N113" s="129"/>
      <c r="O113" s="317"/>
      <c r="P113" s="310"/>
      <c r="Q113" s="314"/>
      <c r="R113" s="314" t="str" cm="1">
        <f t="array" ref="R113">IFERROR(IF(INDEX('Disaggregation Records'!$G$3:$G$80,MATCH(RIGHT(L113,255),RIGHT('Disaggregation Records'!$D$3:$D$80,255),0))="","",INDEX('Disaggregation Records'!$G$3:$G$80,MATCH(RIGHT(L113,255),RIGHT('Disaggregation Records'!$D$3:$D$80,255),0))),"")</f>
        <v/>
      </c>
    </row>
    <row r="114" spans="1:18" ht="20.100000000000001" customHeight="1">
      <c r="A114" s="126" t="str">
        <f t="shared" ref="A114" ca="1" si="142">INDIRECT("'update Helper'!C"&amp;Q114)</f>
        <v>a1GDm000000XyQnMAK</v>
      </c>
      <c r="B114" s="570">
        <v>6</v>
      </c>
      <c r="C114" s="572" t="str">
        <f ca="1">IFERROR(VLOOKUP(B114,'Impact Indicators - Section B '!$A$9:$AC$68,29,FALSE),"")</f>
        <v>HIV I-9b Percentage of transgender people who are living with HIV</v>
      </c>
      <c r="D114" s="574" t="str">
        <f t="shared" ref="D114" ca="1" si="143">M114</f>
        <v/>
      </c>
      <c r="E114" s="574" t="str">
        <f t="shared" ref="E114" ca="1" si="144">N114</f>
        <v/>
      </c>
      <c r="F114" s="127"/>
      <c r="G114" s="576" t="str">
        <f ca="1">IF(OR(INDIRECT("'update Helper'!E"&amp;Q114)="",F114&lt;&gt;0,F115&lt;&gt;0),IF(IFERROR((F114/F115),"")="","",(F114/F115)),INDIRECT("'update Helper'!E"&amp;Q114)/100)</f>
        <v/>
      </c>
      <c r="H114" s="539"/>
      <c r="I114" s="578"/>
      <c r="J114" s="532"/>
      <c r="K114" s="126">
        <f ca="1">IF(AND(EXACT(C114,C112),C112&lt;&gt;0),K112+1,0)</f>
        <v>2</v>
      </c>
      <c r="L114" s="126" t="str">
        <f ca="1">IF(C114&lt;&gt;"",C114&amp;"-"&amp;K114,"")</f>
        <v>HIV I-9b Percentage of transgender people who are living with HIV-2</v>
      </c>
      <c r="M114" s="126" t="str">
        <f t="array" aca="1" ref="M114" ca="1">IFERROR(IF(INDEX('Disaggregation Records'!$E$3:$E$80,MATCH(RIGHT(L114,255),RIGHT('Disaggregation Records'!$D$3:$D$80,255),0))="","",INDEX('Disaggregation Records'!$E$3:$E$80,MATCH(RIGHT(L114,255),RIGHT('Disaggregation Records'!$D$3:$D$80,255),0))),"")</f>
        <v/>
      </c>
      <c r="N114" s="126" t="str">
        <f t="array" aca="1" ref="N114" ca="1">IFERROR(IF(INDEX('Disaggregation Records'!$F$3:$F$80,MATCH(RIGHT(L114,255),RIGHT('Disaggregation Records'!$D$3:$D$80,255),0))="","",INDEX('Disaggregation Records'!$F$3:$F$80,MATCH(RIGHT(L114,255),RIGHT('Disaggregation Records'!$D$3:$D$80,255),0))),"")</f>
        <v/>
      </c>
      <c r="O114" s="314" t="str">
        <f t="array" aca="1" ref="O114" ca="1">IFERROR(IF(INDEX('Disaggregation Records'!$H$3:$H$80,MATCH(RIGHT(L114,255),RIGHT('Disaggregation Records'!$D$3:$D$80,255),0))="","",INDEX('Disaggregation Records'!$H$3:$H$80,MATCH(RIGHT(L114,255),RIGHT('Disaggregation Records'!$D$3:$D$80,255),0))),"")</f>
        <v/>
      </c>
      <c r="P114" s="314"/>
      <c r="Q114" s="310">
        <f t="shared" ref="Q114" si="145">Q112+1</f>
        <v>1360</v>
      </c>
      <c r="R114" s="314" t="str" cm="1">
        <f t="array" aca="1" ref="R114" ca="1">IFERROR(IF(INDEX('Disaggregation Records'!$G$3:$G$80,MATCH(RIGHT(L114,255),RIGHT('Disaggregation Records'!$D$3:$D$80,255),0))="","",INDEX('Disaggregation Records'!$G$3:$G$80,MATCH(RIGHT(L114,255),RIGHT('Disaggregation Records'!$D$3:$D$80,255),0))),"")</f>
        <v/>
      </c>
    </row>
    <row r="115" spans="1:18" ht="20.100000000000001" customHeight="1">
      <c r="A115" s="126"/>
      <c r="B115" s="571">
        <v>4.5075187969924899</v>
      </c>
      <c r="C115" s="573"/>
      <c r="D115" s="575"/>
      <c r="E115" s="575"/>
      <c r="F115" s="128"/>
      <c r="G115" s="577"/>
      <c r="H115" s="540"/>
      <c r="I115" s="579"/>
      <c r="J115" s="533"/>
      <c r="K115" s="129"/>
      <c r="L115" s="129"/>
      <c r="M115" s="129"/>
      <c r="N115" s="129"/>
      <c r="O115" s="317"/>
      <c r="P115" s="317"/>
      <c r="Q115" s="314"/>
      <c r="R115" s="314" t="str" cm="1">
        <f t="array" ref="R115">IFERROR(IF(INDEX('Disaggregation Records'!$G$3:$G$80,MATCH(RIGHT(L115,255),RIGHT('Disaggregation Records'!$D$3:$D$80,255),0))="","",INDEX('Disaggregation Records'!$G$3:$G$80,MATCH(RIGHT(L115,255),RIGHT('Disaggregation Records'!$D$3:$D$80,255),0))),"")</f>
        <v/>
      </c>
    </row>
    <row r="116" spans="1:18" ht="20.100000000000001" customHeight="1">
      <c r="A116" s="126" t="str">
        <f t="shared" ca="1" si="82"/>
        <v>a1GDm000000XyQoMAK</v>
      </c>
      <c r="B116" s="570">
        <v>6</v>
      </c>
      <c r="C116" s="572" t="str">
        <f ca="1">IFERROR(VLOOKUP(B116,'Impact Indicators - Section B '!$A$9:$AC$68,29,FALSE),"")</f>
        <v>HIV I-9b Percentage of transgender people who are living with HIV</v>
      </c>
      <c r="D116" s="574" t="str">
        <f t="shared" ref="D116" ca="1" si="146">M116</f>
        <v/>
      </c>
      <c r="E116" s="574" t="str">
        <f t="shared" ref="E116" ca="1" si="147">N116</f>
        <v/>
      </c>
      <c r="F116" s="127"/>
      <c r="G116" s="576" t="str">
        <f ca="1">IF(OR(INDIRECT("'update Helper'!E"&amp;Q116)="",F116&lt;&gt;0,F117&lt;&gt;0),IF(IFERROR((F116/F117),"")="","",(F116/F117)),INDIRECT("'update Helper'!E"&amp;Q116)/100)</f>
        <v/>
      </c>
      <c r="H116" s="539"/>
      <c r="I116" s="578"/>
      <c r="J116" s="532"/>
      <c r="K116" s="126">
        <f ca="1">IF(AND(EXACT(C116,C114),C114&lt;&gt;0),K114+1,0)</f>
        <v>3</v>
      </c>
      <c r="L116" s="126" t="str">
        <f ca="1">IF(C116&lt;&gt;"",C116&amp;"-"&amp;K116,"")</f>
        <v>HIV I-9b Percentage of transgender people who are living with HIV-3</v>
      </c>
      <c r="M116" s="126" t="str">
        <f t="array" aca="1" ref="M116" ca="1">IFERROR(IF(INDEX('Disaggregation Records'!$E$3:$E$80,MATCH(RIGHT(L116,255),RIGHT('Disaggregation Records'!$D$3:$D$80,255),0))="","",INDEX('Disaggregation Records'!$E$3:$E$80,MATCH(RIGHT(L116,255),RIGHT('Disaggregation Records'!$D$3:$D$80,255),0))),"")</f>
        <v/>
      </c>
      <c r="N116" s="126" t="str">
        <f t="array" aca="1" ref="N116" ca="1">IFERROR(IF(INDEX('Disaggregation Records'!$F$3:$F$80,MATCH(RIGHT(L116,255),RIGHT('Disaggregation Records'!$D$3:$D$80,255),0))="","",INDEX('Disaggregation Records'!$F$3:$F$80,MATCH(RIGHT(L116,255),RIGHT('Disaggregation Records'!$D$3:$D$80,255),0))),"")</f>
        <v/>
      </c>
      <c r="O116" s="314" t="str">
        <f t="array" aca="1" ref="O116" ca="1">IFERROR(IF(INDEX('Disaggregation Records'!$H$3:$H$80,MATCH(RIGHT(L116,255),RIGHT('Disaggregation Records'!$D$3:$D$80,255),0))="","",INDEX('Disaggregation Records'!$H$3:$H$80,MATCH(RIGHT(L116,255),RIGHT('Disaggregation Records'!$D$3:$D$80,255),0))),"")</f>
        <v/>
      </c>
      <c r="P116" s="310"/>
      <c r="Q116" s="310">
        <f t="shared" ref="Q116" si="148">Q114+1</f>
        <v>1361</v>
      </c>
      <c r="R116" s="314" t="str" cm="1">
        <f t="array" aca="1" ref="R116" ca="1">IFERROR(IF(INDEX('Disaggregation Records'!$G$3:$G$80,MATCH(RIGHT(L116,255),RIGHT('Disaggregation Records'!$D$3:$D$80,255),0))="","",INDEX('Disaggregation Records'!$G$3:$G$80,MATCH(RIGHT(L116,255),RIGHT('Disaggregation Records'!$D$3:$D$80,255),0))),"")</f>
        <v/>
      </c>
    </row>
    <row r="117" spans="1:18" ht="20.100000000000001" customHeight="1">
      <c r="B117" s="571">
        <v>4.5075187969924899</v>
      </c>
      <c r="C117" s="573"/>
      <c r="D117" s="575"/>
      <c r="E117" s="575"/>
      <c r="F117" s="128"/>
      <c r="G117" s="577"/>
      <c r="H117" s="540"/>
      <c r="I117" s="579"/>
      <c r="J117" s="533"/>
      <c r="K117" s="129"/>
      <c r="L117" s="129"/>
      <c r="M117" s="129"/>
      <c r="N117" s="129"/>
      <c r="O117" s="317"/>
      <c r="P117" s="310"/>
      <c r="Q117" s="314"/>
      <c r="R117" s="314" t="str" cm="1">
        <f t="array" ref="R117">IFERROR(IF(INDEX('Disaggregation Records'!$G$3:$G$80,MATCH(RIGHT(L117,255),RIGHT('Disaggregation Records'!$D$3:$D$80,255),0))="","",INDEX('Disaggregation Records'!$G$3:$G$80,MATCH(RIGHT(L117,255),RIGHT('Disaggregation Records'!$D$3:$D$80,255),0))),"")</f>
        <v/>
      </c>
    </row>
    <row r="118" spans="1:18" ht="20.100000000000001" customHeight="1">
      <c r="A118" s="126" t="str">
        <f t="shared" ref="A118" ca="1" si="149">INDIRECT("'update Helper'!C"&amp;Q118)</f>
        <v>a1GDm000000XyQpMAK</v>
      </c>
      <c r="B118" s="570">
        <v>6</v>
      </c>
      <c r="C118" s="572" t="str">
        <f ca="1">IFERROR(VLOOKUP(B118,'Impact Indicators - Section B '!$A$9:$AC$68,29,FALSE),"")</f>
        <v>HIV I-9b Percentage of transgender people who are living with HIV</v>
      </c>
      <c r="D118" s="574" t="str">
        <f t="shared" ref="D118" ca="1" si="150">M118</f>
        <v/>
      </c>
      <c r="E118" s="574" t="str">
        <f t="shared" ref="E118" ca="1" si="151">N118</f>
        <v/>
      </c>
      <c r="F118" s="127"/>
      <c r="G118" s="576" t="str">
        <f ca="1">IF(OR(INDIRECT("'update Helper'!E"&amp;Q118)="",F118&lt;&gt;0,F119&lt;&gt;0),IF(IFERROR((F118/F119),"")="","",(F118/F119)),INDIRECT("'update Helper'!E"&amp;Q118)/100)</f>
        <v/>
      </c>
      <c r="H118" s="539"/>
      <c r="I118" s="578"/>
      <c r="J118" s="532"/>
      <c r="K118" s="126">
        <f ca="1">IF(AND(EXACT(C118,C116),C116&lt;&gt;0),K116+1,0)</f>
        <v>4</v>
      </c>
      <c r="L118" s="126" t="str">
        <f ca="1">IF(C118&lt;&gt;"",C118&amp;"-"&amp;K118,"")</f>
        <v>HIV I-9b Percentage of transgender people who are living with HIV-4</v>
      </c>
      <c r="M118" s="126" t="str">
        <f t="array" aca="1" ref="M118" ca="1">IFERROR(IF(INDEX('Disaggregation Records'!$E$3:$E$80,MATCH(RIGHT(L118,255),RIGHT('Disaggregation Records'!$D$3:$D$80,255),0))="","",INDEX('Disaggregation Records'!$E$3:$E$80,MATCH(RIGHT(L118,255),RIGHT('Disaggregation Records'!$D$3:$D$80,255),0))),"")</f>
        <v/>
      </c>
      <c r="N118" s="126" t="str">
        <f t="array" aca="1" ref="N118" ca="1">IFERROR(IF(INDEX('Disaggregation Records'!$F$3:$F$80,MATCH(RIGHT(L118,255),RIGHT('Disaggregation Records'!$D$3:$D$80,255),0))="","",INDEX('Disaggregation Records'!$F$3:$F$80,MATCH(RIGHT(L118,255),RIGHT('Disaggregation Records'!$D$3:$D$80,255),0))),"")</f>
        <v/>
      </c>
      <c r="O118" s="314" t="str">
        <f t="array" aca="1" ref="O118" ca="1">IFERROR(IF(INDEX('Disaggregation Records'!$H$3:$H$80,MATCH(RIGHT(L118,255),RIGHT('Disaggregation Records'!$D$3:$D$80,255),0))="","",INDEX('Disaggregation Records'!$H$3:$H$80,MATCH(RIGHT(L118,255),RIGHT('Disaggregation Records'!$D$3:$D$80,255),0))),"")</f>
        <v/>
      </c>
      <c r="P118" s="314"/>
      <c r="Q118" s="310">
        <f t="shared" ref="Q118" si="152">Q116+1</f>
        <v>1362</v>
      </c>
      <c r="R118" s="314" t="str" cm="1">
        <f t="array" aca="1" ref="R118" ca="1">IFERROR(IF(INDEX('Disaggregation Records'!$G$3:$G$80,MATCH(RIGHT(L118,255),RIGHT('Disaggregation Records'!$D$3:$D$80,255),0))="","",INDEX('Disaggregation Records'!$G$3:$G$80,MATCH(RIGHT(L118,255),RIGHT('Disaggregation Records'!$D$3:$D$80,255),0))),"")</f>
        <v/>
      </c>
    </row>
    <row r="119" spans="1:18" ht="20.100000000000001" customHeight="1">
      <c r="A119" s="126"/>
      <c r="B119" s="571">
        <v>4.5075187969924899</v>
      </c>
      <c r="C119" s="573"/>
      <c r="D119" s="575"/>
      <c r="E119" s="575"/>
      <c r="F119" s="128"/>
      <c r="G119" s="577"/>
      <c r="H119" s="540"/>
      <c r="I119" s="579"/>
      <c r="J119" s="533"/>
      <c r="K119" s="129"/>
      <c r="L119" s="129"/>
      <c r="M119" s="129"/>
      <c r="N119" s="129"/>
      <c r="O119" s="317"/>
      <c r="P119" s="317"/>
      <c r="Q119" s="314"/>
      <c r="R119" s="314" t="str" cm="1">
        <f t="array" ref="R119">IFERROR(IF(INDEX('Disaggregation Records'!$G$3:$G$80,MATCH(RIGHT(L119,255),RIGHT('Disaggregation Records'!$D$3:$D$80,255),0))="","",INDEX('Disaggregation Records'!$G$3:$G$80,MATCH(RIGHT(L119,255),RIGHT('Disaggregation Records'!$D$3:$D$80,255),0))),"")</f>
        <v/>
      </c>
    </row>
    <row r="120" spans="1:18" ht="20.100000000000001" customHeight="1">
      <c r="A120" s="126" t="str">
        <f t="shared" ca="1" si="82"/>
        <v>a1GDm000000XyQqMAK</v>
      </c>
      <c r="B120" s="570">
        <v>6</v>
      </c>
      <c r="C120" s="572" t="str">
        <f ca="1">IFERROR(VLOOKUP(B120,'Impact Indicators - Section B '!$A$9:$AC$68,29,FALSE),"")</f>
        <v>HIV I-9b Percentage of transgender people who are living with HIV</v>
      </c>
      <c r="D120" s="574" t="str">
        <f t="shared" ref="D120" ca="1" si="153">M120</f>
        <v/>
      </c>
      <c r="E120" s="574" t="str">
        <f t="shared" ref="E120" ca="1" si="154">N120</f>
        <v/>
      </c>
      <c r="F120" s="127"/>
      <c r="G120" s="576" t="str">
        <f ca="1">IF(OR(INDIRECT("'update Helper'!E"&amp;Q120)="",F120&lt;&gt;0,F121&lt;&gt;0),IF(IFERROR((F120/F121),"")="","",(F120/F121)),INDIRECT("'update Helper'!E"&amp;Q120)/100)</f>
        <v/>
      </c>
      <c r="H120" s="539"/>
      <c r="I120" s="578"/>
      <c r="J120" s="532"/>
      <c r="K120" s="126">
        <f ca="1">IF(AND(EXACT(C120,C118),C118&lt;&gt;0),K118+1,0)</f>
        <v>5</v>
      </c>
      <c r="L120" s="126" t="str">
        <f ca="1">IF(C120&lt;&gt;"",C120&amp;"-"&amp;K120,"")</f>
        <v>HIV I-9b Percentage of transgender people who are living with HIV-5</v>
      </c>
      <c r="M120" s="126" t="str">
        <f t="array" aca="1" ref="M120" ca="1">IFERROR(IF(INDEX('Disaggregation Records'!$E$3:$E$80,MATCH(RIGHT(L120,255),RIGHT('Disaggregation Records'!$D$3:$D$80,255),0))="","",INDEX('Disaggregation Records'!$E$3:$E$80,MATCH(RIGHT(L120,255),RIGHT('Disaggregation Records'!$D$3:$D$80,255),0))),"")</f>
        <v/>
      </c>
      <c r="N120" s="126" t="str">
        <f t="array" aca="1" ref="N120" ca="1">IFERROR(IF(INDEX('Disaggregation Records'!$F$3:$F$80,MATCH(RIGHT(L120,255),RIGHT('Disaggregation Records'!$D$3:$D$80,255),0))="","",INDEX('Disaggregation Records'!$F$3:$F$80,MATCH(RIGHT(L120,255),RIGHT('Disaggregation Records'!$D$3:$D$80,255),0))),"")</f>
        <v/>
      </c>
      <c r="O120" s="314" t="str">
        <f t="array" aca="1" ref="O120" ca="1">IFERROR(IF(INDEX('Disaggregation Records'!$H$3:$H$80,MATCH(RIGHT(L120,255),RIGHT('Disaggregation Records'!$D$3:$D$80,255),0))="","",INDEX('Disaggregation Records'!$H$3:$H$80,MATCH(RIGHT(L120,255),RIGHT('Disaggregation Records'!$D$3:$D$80,255),0))),"")</f>
        <v/>
      </c>
      <c r="P120" s="310"/>
      <c r="Q120" s="310">
        <f t="shared" ref="Q120" si="155">Q118+1</f>
        <v>1363</v>
      </c>
      <c r="R120" s="314" t="str" cm="1">
        <f t="array" aca="1" ref="R120" ca="1">IFERROR(IF(INDEX('Disaggregation Records'!$G$3:$G$80,MATCH(RIGHT(L120,255),RIGHT('Disaggregation Records'!$D$3:$D$80,255),0))="","",INDEX('Disaggregation Records'!$G$3:$G$80,MATCH(RIGHT(L120,255),RIGHT('Disaggregation Records'!$D$3:$D$80,255),0))),"")</f>
        <v/>
      </c>
    </row>
    <row r="121" spans="1:18" ht="20.100000000000001" customHeight="1">
      <c r="B121" s="571">
        <v>4.5075187969924899</v>
      </c>
      <c r="C121" s="573"/>
      <c r="D121" s="575"/>
      <c r="E121" s="575"/>
      <c r="F121" s="128"/>
      <c r="G121" s="577"/>
      <c r="H121" s="540"/>
      <c r="I121" s="579"/>
      <c r="J121" s="533"/>
      <c r="K121" s="129"/>
      <c r="L121" s="129"/>
      <c r="M121" s="129"/>
      <c r="N121" s="129"/>
      <c r="O121" s="317"/>
      <c r="P121" s="310"/>
      <c r="Q121" s="314"/>
      <c r="R121" s="314" t="str" cm="1">
        <f t="array" ref="R121">IFERROR(IF(INDEX('Disaggregation Records'!$G$3:$G$80,MATCH(RIGHT(L121,255),RIGHT('Disaggregation Records'!$D$3:$D$80,255),0))="","",INDEX('Disaggregation Records'!$G$3:$G$80,MATCH(RIGHT(L121,255),RIGHT('Disaggregation Records'!$D$3:$D$80,255),0))),"")</f>
        <v/>
      </c>
    </row>
    <row r="122" spans="1:18" ht="20.100000000000001" customHeight="1">
      <c r="A122" s="126" t="str">
        <f t="shared" ref="A122" ca="1" si="156">INDIRECT("'update Helper'!C"&amp;Q122)</f>
        <v>a1GDm000000XyQrMAK</v>
      </c>
      <c r="B122" s="570">
        <v>6</v>
      </c>
      <c r="C122" s="572" t="str">
        <f ca="1">IFERROR(VLOOKUP(B122,'Impact Indicators - Section B '!$A$9:$AC$68,29,FALSE),"")</f>
        <v>HIV I-9b Percentage of transgender people who are living with HIV</v>
      </c>
      <c r="D122" s="574" t="str">
        <f t="shared" ref="D122" ca="1" si="157">M122</f>
        <v/>
      </c>
      <c r="E122" s="574" t="str">
        <f t="shared" ref="E122" ca="1" si="158">N122</f>
        <v/>
      </c>
      <c r="F122" s="127"/>
      <c r="G122" s="576" t="str">
        <f ca="1">IF(OR(INDIRECT("'update Helper'!E"&amp;Q122)="",F122&lt;&gt;0,F123&lt;&gt;0),IF(IFERROR((F122/F123),"")="","",(F122/F123)),INDIRECT("'update Helper'!E"&amp;Q122)/100)</f>
        <v/>
      </c>
      <c r="H122" s="539"/>
      <c r="I122" s="578"/>
      <c r="J122" s="532"/>
      <c r="K122" s="126">
        <f ca="1">IF(AND(EXACT(C122,C120),C120&lt;&gt;0),K120+1,0)</f>
        <v>6</v>
      </c>
      <c r="L122" s="126" t="str">
        <f ca="1">IF(C122&lt;&gt;"",C122&amp;"-"&amp;K122,"")</f>
        <v>HIV I-9b Percentage of transgender people who are living with HIV-6</v>
      </c>
      <c r="M122" s="126" t="str">
        <f t="array" aca="1" ref="M122" ca="1">IFERROR(IF(INDEX('Disaggregation Records'!$E$3:$E$80,MATCH(RIGHT(L122,255),RIGHT('Disaggregation Records'!$D$3:$D$80,255),0))="","",INDEX('Disaggregation Records'!$E$3:$E$80,MATCH(RIGHT(L122,255),RIGHT('Disaggregation Records'!$D$3:$D$80,255),0))),"")</f>
        <v/>
      </c>
      <c r="N122" s="126" t="str">
        <f t="array" aca="1" ref="N122" ca="1">IFERROR(IF(INDEX('Disaggregation Records'!$F$3:$F$80,MATCH(RIGHT(L122,255),RIGHT('Disaggregation Records'!$D$3:$D$80,255),0))="","",INDEX('Disaggregation Records'!$F$3:$F$80,MATCH(RIGHT(L122,255),RIGHT('Disaggregation Records'!$D$3:$D$80,255),0))),"")</f>
        <v/>
      </c>
      <c r="O122" s="314" t="str">
        <f t="array" aca="1" ref="O122" ca="1">IFERROR(IF(INDEX('Disaggregation Records'!$H$3:$H$80,MATCH(RIGHT(L122,255),RIGHT('Disaggregation Records'!$D$3:$D$80,255),0))="","",INDEX('Disaggregation Records'!$H$3:$H$80,MATCH(RIGHT(L122,255),RIGHT('Disaggregation Records'!$D$3:$D$80,255),0))),"")</f>
        <v/>
      </c>
      <c r="P122" s="314"/>
      <c r="Q122" s="310">
        <f t="shared" ref="Q122" si="159">Q120+1</f>
        <v>1364</v>
      </c>
      <c r="R122" s="314" t="str" cm="1">
        <f t="array" aca="1" ref="R122" ca="1">IFERROR(IF(INDEX('Disaggregation Records'!$G$3:$G$80,MATCH(RIGHT(L122,255),RIGHT('Disaggregation Records'!$D$3:$D$80,255),0))="","",INDEX('Disaggregation Records'!$G$3:$G$80,MATCH(RIGHT(L122,255),RIGHT('Disaggregation Records'!$D$3:$D$80,255),0))),"")</f>
        <v/>
      </c>
    </row>
    <row r="123" spans="1:18" ht="20.100000000000001" customHeight="1">
      <c r="A123" s="126"/>
      <c r="B123" s="571">
        <v>4.5075187969924899</v>
      </c>
      <c r="C123" s="573"/>
      <c r="D123" s="575"/>
      <c r="E123" s="575"/>
      <c r="F123" s="128"/>
      <c r="G123" s="577"/>
      <c r="H123" s="540"/>
      <c r="I123" s="579"/>
      <c r="J123" s="533"/>
      <c r="K123" s="129"/>
      <c r="L123" s="129"/>
      <c r="M123" s="129"/>
      <c r="N123" s="129"/>
      <c r="O123" s="317"/>
      <c r="P123" s="317"/>
      <c r="Q123" s="314"/>
      <c r="R123" s="314" t="str" cm="1">
        <f t="array" ref="R123">IFERROR(IF(INDEX('Disaggregation Records'!$G$3:$G$80,MATCH(RIGHT(L123,255),RIGHT('Disaggregation Records'!$D$3:$D$80,255),0))="","",INDEX('Disaggregation Records'!$G$3:$G$80,MATCH(RIGHT(L123,255),RIGHT('Disaggregation Records'!$D$3:$D$80,255),0))),"")</f>
        <v/>
      </c>
    </row>
    <row r="124" spans="1:18" ht="20.100000000000001" customHeight="1">
      <c r="A124" s="126" t="str">
        <f t="shared" ca="1" si="82"/>
        <v>a1GDm000000XyQsMAK</v>
      </c>
      <c r="B124" s="570">
        <v>6</v>
      </c>
      <c r="C124" s="572" t="str">
        <f ca="1">IFERROR(VLOOKUP(B124,'Impact Indicators - Section B '!$A$9:$AC$68,29,FALSE),"")</f>
        <v>HIV I-9b Percentage of transgender people who are living with HIV</v>
      </c>
      <c r="D124" s="574" t="str">
        <f t="shared" ref="D124" ca="1" si="160">M124</f>
        <v/>
      </c>
      <c r="E124" s="574" t="str">
        <f t="shared" ref="E124" ca="1" si="161">N124</f>
        <v/>
      </c>
      <c r="F124" s="127"/>
      <c r="G124" s="576" t="str">
        <f ca="1">IF(OR(INDIRECT("'update Helper'!E"&amp;Q124)="",F124&lt;&gt;0,F125&lt;&gt;0),IF(IFERROR((F124/F125),"")="","",(F124/F125)),INDIRECT("'update Helper'!E"&amp;Q124)/100)</f>
        <v/>
      </c>
      <c r="H124" s="539"/>
      <c r="I124" s="578"/>
      <c r="J124" s="532"/>
      <c r="K124" s="126">
        <f ca="1">IF(AND(EXACT(C124,C122),C122&lt;&gt;0),K122+1,0)</f>
        <v>7</v>
      </c>
      <c r="L124" s="126" t="str">
        <f ca="1">IF(C124&lt;&gt;"",C124&amp;"-"&amp;K124,"")</f>
        <v>HIV I-9b Percentage of transgender people who are living with HIV-7</v>
      </c>
      <c r="M124" s="126" t="str">
        <f t="array" aca="1" ref="M124" ca="1">IFERROR(IF(INDEX('Disaggregation Records'!$E$3:$E$80,MATCH(RIGHT(L124,255),RIGHT('Disaggregation Records'!$D$3:$D$80,255),0))="","",INDEX('Disaggregation Records'!$E$3:$E$80,MATCH(RIGHT(L124,255),RIGHT('Disaggregation Records'!$D$3:$D$80,255),0))),"")</f>
        <v/>
      </c>
      <c r="N124" s="126" t="str">
        <f t="array" aca="1" ref="N124" ca="1">IFERROR(IF(INDEX('Disaggregation Records'!$F$3:$F$80,MATCH(RIGHT(L124,255),RIGHT('Disaggregation Records'!$D$3:$D$80,255),0))="","",INDEX('Disaggregation Records'!$F$3:$F$80,MATCH(RIGHT(L124,255),RIGHT('Disaggregation Records'!$D$3:$D$80,255),0))),"")</f>
        <v/>
      </c>
      <c r="O124" s="314" t="str">
        <f t="array" aca="1" ref="O124" ca="1">IFERROR(IF(INDEX('Disaggregation Records'!$H$3:$H$80,MATCH(RIGHT(L124,255),RIGHT('Disaggregation Records'!$D$3:$D$80,255),0))="","",INDEX('Disaggregation Records'!$H$3:$H$80,MATCH(RIGHT(L124,255),RIGHT('Disaggregation Records'!$D$3:$D$80,255),0))),"")</f>
        <v/>
      </c>
      <c r="P124" s="310"/>
      <c r="Q124" s="310">
        <f t="shared" ref="Q124" si="162">Q122+1</f>
        <v>1365</v>
      </c>
      <c r="R124" s="314" t="str" cm="1">
        <f t="array" aca="1" ref="R124" ca="1">IFERROR(IF(INDEX('Disaggregation Records'!$G$3:$G$80,MATCH(RIGHT(L124,255),RIGHT('Disaggregation Records'!$D$3:$D$80,255),0))="","",INDEX('Disaggregation Records'!$G$3:$G$80,MATCH(RIGHT(L124,255),RIGHT('Disaggregation Records'!$D$3:$D$80,255),0))),"")</f>
        <v/>
      </c>
    </row>
    <row r="125" spans="1:18" ht="20.100000000000001" customHeight="1">
      <c r="B125" s="571">
        <v>4.5075187969924899</v>
      </c>
      <c r="C125" s="573"/>
      <c r="D125" s="575"/>
      <c r="E125" s="575"/>
      <c r="F125" s="128"/>
      <c r="G125" s="577"/>
      <c r="H125" s="540"/>
      <c r="I125" s="579"/>
      <c r="J125" s="533"/>
      <c r="K125" s="129"/>
      <c r="L125" s="129"/>
      <c r="M125" s="129"/>
      <c r="N125" s="129"/>
      <c r="O125" s="317"/>
      <c r="P125" s="310"/>
      <c r="Q125" s="314"/>
      <c r="R125" s="314" t="str" cm="1">
        <f t="array" ref="R125">IFERROR(IF(INDEX('Disaggregation Records'!$G$3:$G$80,MATCH(RIGHT(L125,255),RIGHT('Disaggregation Records'!$D$3:$D$80,255),0))="","",INDEX('Disaggregation Records'!$G$3:$G$80,MATCH(RIGHT(L125,255),RIGHT('Disaggregation Records'!$D$3:$D$80,255),0))),"")</f>
        <v/>
      </c>
    </row>
    <row r="126" spans="1:18" ht="20.100000000000001" customHeight="1">
      <c r="A126" s="126" t="str">
        <f t="shared" ref="A126" ca="1" si="163">INDIRECT("'update Helper'!C"&amp;Q126)</f>
        <v>a1GDm000000XyQtMAK</v>
      </c>
      <c r="B126" s="570">
        <v>6</v>
      </c>
      <c r="C126" s="572" t="str">
        <f ca="1">IFERROR(VLOOKUP(B126,'Impact Indicators - Section B '!$A$9:$AC$68,29,FALSE),"")</f>
        <v>HIV I-9b Percentage of transgender people who are living with HIV</v>
      </c>
      <c r="D126" s="574" t="str">
        <f t="shared" ref="D126" ca="1" si="164">M126</f>
        <v/>
      </c>
      <c r="E126" s="574" t="str">
        <f t="shared" ref="E126" ca="1" si="165">N126</f>
        <v/>
      </c>
      <c r="F126" s="127"/>
      <c r="G126" s="576" t="str">
        <f ca="1">IF(OR(INDIRECT("'update Helper'!E"&amp;Q126)="",F126&lt;&gt;0,F127&lt;&gt;0),IF(IFERROR((F126/F127),"")="","",(F126/F127)),INDIRECT("'update Helper'!E"&amp;Q126)/100)</f>
        <v/>
      </c>
      <c r="H126" s="539"/>
      <c r="I126" s="578"/>
      <c r="J126" s="532"/>
      <c r="K126" s="126">
        <f ca="1">IF(AND(EXACT(C126,C124),C124&lt;&gt;0),K124+1,0)</f>
        <v>8</v>
      </c>
      <c r="L126" s="126" t="str">
        <f ca="1">IF(C126&lt;&gt;"",C126&amp;"-"&amp;K126,"")</f>
        <v>HIV I-9b Percentage of transgender people who are living with HIV-8</v>
      </c>
      <c r="M126" s="126" t="str">
        <f t="array" aca="1" ref="M126" ca="1">IFERROR(IF(INDEX('Disaggregation Records'!$E$3:$E$80,MATCH(RIGHT(L126,255),RIGHT('Disaggregation Records'!$D$3:$D$80,255),0))="","",INDEX('Disaggregation Records'!$E$3:$E$80,MATCH(RIGHT(L126,255),RIGHT('Disaggregation Records'!$D$3:$D$80,255),0))),"")</f>
        <v/>
      </c>
      <c r="N126" s="126" t="str">
        <f t="array" aca="1" ref="N126" ca="1">IFERROR(IF(INDEX('Disaggregation Records'!$F$3:$F$80,MATCH(RIGHT(L126,255),RIGHT('Disaggregation Records'!$D$3:$D$80,255),0))="","",INDEX('Disaggregation Records'!$F$3:$F$80,MATCH(RIGHT(L126,255),RIGHT('Disaggregation Records'!$D$3:$D$80,255),0))),"")</f>
        <v/>
      </c>
      <c r="O126" s="314" t="str">
        <f t="array" aca="1" ref="O126" ca="1">IFERROR(IF(INDEX('Disaggregation Records'!$H$3:$H$80,MATCH(RIGHT(L126,255),RIGHT('Disaggregation Records'!$D$3:$D$80,255),0))="","",INDEX('Disaggregation Records'!$H$3:$H$80,MATCH(RIGHT(L126,255),RIGHT('Disaggregation Records'!$D$3:$D$80,255),0))),"")</f>
        <v/>
      </c>
      <c r="P126" s="314"/>
      <c r="Q126" s="310">
        <f t="shared" ref="Q126" si="166">Q124+1</f>
        <v>1366</v>
      </c>
      <c r="R126" s="314" t="str" cm="1">
        <f t="array" aca="1" ref="R126" ca="1">IFERROR(IF(INDEX('Disaggregation Records'!$G$3:$G$80,MATCH(RIGHT(L126,255),RIGHT('Disaggregation Records'!$D$3:$D$80,255),0))="","",INDEX('Disaggregation Records'!$G$3:$G$80,MATCH(RIGHT(L126,255),RIGHT('Disaggregation Records'!$D$3:$D$80,255),0))),"")</f>
        <v/>
      </c>
    </row>
    <row r="127" spans="1:18" ht="20.100000000000001" customHeight="1">
      <c r="A127" s="126"/>
      <c r="B127" s="571">
        <v>4.5075187969924899</v>
      </c>
      <c r="C127" s="573"/>
      <c r="D127" s="575"/>
      <c r="E127" s="575"/>
      <c r="F127" s="128"/>
      <c r="G127" s="577"/>
      <c r="H127" s="540"/>
      <c r="I127" s="579"/>
      <c r="J127" s="533"/>
      <c r="K127" s="129"/>
      <c r="L127" s="129"/>
      <c r="M127" s="129"/>
      <c r="N127" s="129"/>
      <c r="O127" s="317"/>
      <c r="P127" s="317"/>
      <c r="Q127" s="314"/>
      <c r="R127" s="314" t="str" cm="1">
        <f t="array" ref="R127">IFERROR(IF(INDEX('Disaggregation Records'!$G$3:$G$80,MATCH(RIGHT(L127,255),RIGHT('Disaggregation Records'!$D$3:$D$80,255),0))="","",INDEX('Disaggregation Records'!$G$3:$G$80,MATCH(RIGHT(L127,255),RIGHT('Disaggregation Records'!$D$3:$D$80,255),0))),"")</f>
        <v/>
      </c>
    </row>
    <row r="128" spans="1:18" ht="20.100000000000001" customHeight="1">
      <c r="A128" s="126" t="str">
        <f t="shared" ca="1" si="82"/>
        <v>a1GDm000000XyQuMAK</v>
      </c>
      <c r="B128" s="570">
        <v>6</v>
      </c>
      <c r="C128" s="572" t="str">
        <f ca="1">IFERROR(VLOOKUP(B128,'Impact Indicators - Section B '!$A$9:$AC$68,29,FALSE),"")</f>
        <v>HIV I-9b Percentage of transgender people who are living with HIV</v>
      </c>
      <c r="D128" s="574" t="str">
        <f t="shared" ref="D128" ca="1" si="167">M128</f>
        <v/>
      </c>
      <c r="E128" s="574" t="str">
        <f t="shared" ref="E128" ca="1" si="168">N128</f>
        <v/>
      </c>
      <c r="F128" s="127"/>
      <c r="G128" s="576" t="str">
        <f ca="1">IF(OR(INDIRECT("'update Helper'!E"&amp;Q128)="",F128&lt;&gt;0,F129&lt;&gt;0),IF(IFERROR((F128/F129),"")="","",(F128/F129)),INDIRECT("'update Helper'!E"&amp;Q128)/100)</f>
        <v/>
      </c>
      <c r="H128" s="539"/>
      <c r="I128" s="578"/>
      <c r="J128" s="532"/>
      <c r="K128" s="126">
        <f ca="1">IF(AND(EXACT(C128,C126),C126&lt;&gt;0),K126+1,0)</f>
        <v>9</v>
      </c>
      <c r="L128" s="126" t="str">
        <f ca="1">IF(C128&lt;&gt;"",C128&amp;"-"&amp;K128,"")</f>
        <v>HIV I-9b Percentage of transgender people who are living with HIV-9</v>
      </c>
      <c r="M128" s="126" t="str">
        <f t="array" aca="1" ref="M128" ca="1">IFERROR(IF(INDEX('Disaggregation Records'!$E$3:$E$80,MATCH(RIGHT(L128,255),RIGHT('Disaggregation Records'!$D$3:$D$80,255),0))="","",INDEX('Disaggregation Records'!$E$3:$E$80,MATCH(RIGHT(L128,255),RIGHT('Disaggregation Records'!$D$3:$D$80,255),0))),"")</f>
        <v/>
      </c>
      <c r="N128" s="126" t="str">
        <f t="array" aca="1" ref="N128" ca="1">IFERROR(IF(INDEX('Disaggregation Records'!$F$3:$F$80,MATCH(RIGHT(L128,255),RIGHT('Disaggregation Records'!$D$3:$D$80,255),0))="","",INDEX('Disaggregation Records'!$F$3:$F$80,MATCH(RIGHT(L128,255),RIGHT('Disaggregation Records'!$D$3:$D$80,255),0))),"")</f>
        <v/>
      </c>
      <c r="O128" s="314" t="str">
        <f t="array" aca="1" ref="O128" ca="1">IFERROR(IF(INDEX('Disaggregation Records'!$H$3:$H$80,MATCH(RIGHT(L128,255),RIGHT('Disaggregation Records'!$D$3:$D$80,255),0))="","",INDEX('Disaggregation Records'!$H$3:$H$80,MATCH(RIGHT(L128,255),RIGHT('Disaggregation Records'!$D$3:$D$80,255),0))),"")</f>
        <v/>
      </c>
      <c r="P128" s="310"/>
      <c r="Q128" s="310">
        <f t="shared" ref="Q128" si="169">Q126+1</f>
        <v>1367</v>
      </c>
      <c r="R128" s="314" t="str" cm="1">
        <f t="array" aca="1" ref="R128" ca="1">IFERROR(IF(INDEX('Disaggregation Records'!$G$3:$G$80,MATCH(RIGHT(L128,255),RIGHT('Disaggregation Records'!$D$3:$D$80,255),0))="","",INDEX('Disaggregation Records'!$G$3:$G$80,MATCH(RIGHT(L128,255),RIGHT('Disaggregation Records'!$D$3:$D$80,255),0))),"")</f>
        <v/>
      </c>
    </row>
    <row r="129" spans="1:18" ht="20.100000000000001" customHeight="1">
      <c r="B129" s="571">
        <v>4.5075187969924899</v>
      </c>
      <c r="C129" s="573"/>
      <c r="D129" s="575"/>
      <c r="E129" s="575"/>
      <c r="F129" s="128"/>
      <c r="G129" s="577"/>
      <c r="H129" s="540"/>
      <c r="I129" s="579"/>
      <c r="J129" s="533"/>
      <c r="K129" s="129"/>
      <c r="L129" s="129"/>
      <c r="M129" s="129"/>
      <c r="N129" s="129"/>
      <c r="O129" s="317"/>
      <c r="P129" s="310"/>
      <c r="Q129" s="314"/>
      <c r="R129" s="314" t="str" cm="1">
        <f t="array" ref="R129">IFERROR(IF(INDEX('Disaggregation Records'!$G$3:$G$80,MATCH(RIGHT(L129,255),RIGHT('Disaggregation Records'!$D$3:$D$80,255),0))="","",INDEX('Disaggregation Records'!$G$3:$G$80,MATCH(RIGHT(L129,255),RIGHT('Disaggregation Records'!$D$3:$D$80,255),0))),"")</f>
        <v/>
      </c>
    </row>
    <row r="130" spans="1:18" ht="20.100000000000001" customHeight="1">
      <c r="A130" s="126" t="str">
        <f t="shared" ref="A130" ca="1" si="170">INDIRECT("'update Helper'!C"&amp;Q130)</f>
        <v>a1GDm000000XyQvMAK</v>
      </c>
      <c r="B130" s="570">
        <v>7</v>
      </c>
      <c r="C130" s="572" t="str">
        <f ca="1">IFERROR(VLOOKUP(B130,'Impact Indicators - Section B '!$A$9:$AC$68,29,FALSE),"")</f>
        <v>HIV I-11 Percentage of people who inject drugs who are living with HIV</v>
      </c>
      <c r="D130" s="574" t="str">
        <f t="shared" ref="D130" ca="1" si="171">M130</f>
        <v>Age</v>
      </c>
      <c r="E130" s="574" t="str">
        <f t="shared" ref="E130" ca="1" si="172">N130</f>
        <v>25+</v>
      </c>
      <c r="F130" s="127"/>
      <c r="G130" s="576" t="str">
        <f ca="1">IF(OR(INDIRECT("'update Helper'!E"&amp;Q130)="",F130&lt;&gt;0,F131&lt;&gt;0),IF(IFERROR((F130/F131),"")="","",(F130/F131)),INDIRECT("'update Helper'!E"&amp;Q130)/100)</f>
        <v/>
      </c>
      <c r="H130" s="539"/>
      <c r="I130" s="578"/>
      <c r="J130" s="532" t="s">
        <v>2260</v>
      </c>
      <c r="K130" s="126">
        <f ca="1">IF(AND(EXACT(C130,C128),C128&lt;&gt;0),K128+1,0)</f>
        <v>0</v>
      </c>
      <c r="L130" s="126" t="str">
        <f ca="1">IF(C130&lt;&gt;"",C130&amp;"-"&amp;K130,"")</f>
        <v>HIV I-11 Percentage of people who inject drugs who are living with HIV-0</v>
      </c>
      <c r="M130" s="126" t="str">
        <f t="array" aca="1" ref="M130" ca="1">IFERROR(IF(INDEX('Disaggregation Records'!$E$3:$E$80,MATCH(RIGHT(L130,255),RIGHT('Disaggregation Records'!$D$3:$D$80,255),0))="","",INDEX('Disaggregation Records'!$E$3:$E$80,MATCH(RIGHT(L130,255),RIGHT('Disaggregation Records'!$D$3:$D$80,255),0))),"")</f>
        <v>Age</v>
      </c>
      <c r="N130" s="126" t="str">
        <f t="array" aca="1" ref="N130" ca="1">IFERROR(IF(INDEX('Disaggregation Records'!$F$3:$F$80,MATCH(RIGHT(L130,255),RIGHT('Disaggregation Records'!$D$3:$D$80,255),0))="","",INDEX('Disaggregation Records'!$F$3:$F$80,MATCH(RIGHT(L130,255),RIGHT('Disaggregation Records'!$D$3:$D$80,255),0))),"")</f>
        <v>25+</v>
      </c>
      <c r="O130" s="314" t="str">
        <f t="array" aca="1" ref="O130" ca="1">IFERROR(IF(INDEX('Disaggregation Records'!$H$3:$H$80,MATCH(RIGHT(L130,255),RIGHT('Disaggregation Records'!$D$3:$D$80,255),0))="","",INDEX('Disaggregation Records'!$H$3:$H$80,MATCH(RIGHT(L130,255),RIGHT('Disaggregation Records'!$D$3:$D$80,255),0))),"")</f>
        <v>IDR-01060</v>
      </c>
      <c r="P130" s="314"/>
      <c r="Q130" s="310">
        <f t="shared" ref="Q130" si="173">Q128+1</f>
        <v>1368</v>
      </c>
      <c r="R130" s="314" t="str" cm="1">
        <f t="array" aca="1" ref="R130" ca="1">IFERROR(IF(INDEX('Disaggregation Records'!$G$3:$G$80,MATCH(RIGHT(L130,255),RIGHT('Disaggregation Records'!$D$3:$D$80,255),0))="","",INDEX('Disaggregation Records'!$G$3:$G$80,MATCH(RIGHT(L130,255),RIGHT('Disaggregation Records'!$D$3:$D$80,255),0))),"")</f>
        <v>a1LDm000000CazqMAC</v>
      </c>
    </row>
    <row r="131" spans="1:18" ht="20.100000000000001" customHeight="1">
      <c r="A131" s="126"/>
      <c r="B131" s="571">
        <v>5.2218045112781999</v>
      </c>
      <c r="C131" s="573"/>
      <c r="D131" s="575"/>
      <c r="E131" s="575"/>
      <c r="F131" s="128"/>
      <c r="G131" s="577"/>
      <c r="H131" s="540"/>
      <c r="I131" s="579"/>
      <c r="J131" s="533"/>
      <c r="K131" s="129"/>
      <c r="L131" s="129"/>
      <c r="M131" s="129"/>
      <c r="N131" s="129"/>
      <c r="O131" s="317"/>
      <c r="P131" s="317"/>
      <c r="Q131" s="314"/>
      <c r="R131" s="314" t="str" cm="1">
        <f t="array" ref="R131">IFERROR(IF(INDEX('Disaggregation Records'!$G$3:$G$80,MATCH(RIGHT(L131,255),RIGHT('Disaggregation Records'!$D$3:$D$80,255),0))="","",INDEX('Disaggregation Records'!$G$3:$G$80,MATCH(RIGHT(L131,255),RIGHT('Disaggregation Records'!$D$3:$D$80,255),0))),"")</f>
        <v/>
      </c>
    </row>
    <row r="132" spans="1:18" ht="20.100000000000001" customHeight="1">
      <c r="A132" s="126" t="str">
        <f t="shared" ca="1" si="82"/>
        <v>a1GDm000000XyQwMAK</v>
      </c>
      <c r="B132" s="570">
        <v>7</v>
      </c>
      <c r="C132" s="572" t="str">
        <f ca="1">IFERROR(VLOOKUP(B132,'Impact Indicators - Section B '!$A$9:$AC$68,29,FALSE),"")</f>
        <v>HIV I-11 Percentage of people who inject drugs who are living with HIV</v>
      </c>
      <c r="D132" s="574" t="str">
        <f t="shared" ref="D132" ca="1" si="174">M132</f>
        <v>Age</v>
      </c>
      <c r="E132" s="574" t="str">
        <f t="shared" ref="E132" ca="1" si="175">N132</f>
        <v>&lt;25</v>
      </c>
      <c r="F132" s="127"/>
      <c r="G132" s="576" t="str">
        <f ca="1">IF(OR(INDIRECT("'update Helper'!E"&amp;Q132)="",F132&lt;&gt;0,F133&lt;&gt;0),IF(IFERROR((F132/F133),"")="","",(F132/F133)),INDIRECT("'update Helper'!E"&amp;Q132)/100)</f>
        <v/>
      </c>
      <c r="H132" s="539"/>
      <c r="I132" s="578"/>
      <c r="J132" s="532" t="s">
        <v>2260</v>
      </c>
      <c r="K132" s="126">
        <f ca="1">IF(AND(EXACT(C132,C130),C130&lt;&gt;0),K130+1,0)</f>
        <v>1</v>
      </c>
      <c r="L132" s="126" t="str">
        <f ca="1">IF(C132&lt;&gt;"",C132&amp;"-"&amp;K132,"")</f>
        <v>HIV I-11 Percentage of people who inject drugs who are living with HIV-1</v>
      </c>
      <c r="M132" s="126" t="str">
        <f t="array" aca="1" ref="M132" ca="1">IFERROR(IF(INDEX('Disaggregation Records'!$E$3:$E$80,MATCH(RIGHT(L132,255),RIGHT('Disaggregation Records'!$D$3:$D$80,255),0))="","",INDEX('Disaggregation Records'!$E$3:$E$80,MATCH(RIGHT(L132,255),RIGHT('Disaggregation Records'!$D$3:$D$80,255),0))),"")</f>
        <v>Age</v>
      </c>
      <c r="N132" s="126" t="str">
        <f t="array" aca="1" ref="N132" ca="1">IFERROR(IF(INDEX('Disaggregation Records'!$F$3:$F$80,MATCH(RIGHT(L132,255),RIGHT('Disaggregation Records'!$D$3:$D$80,255),0))="","",INDEX('Disaggregation Records'!$F$3:$F$80,MATCH(RIGHT(L132,255),RIGHT('Disaggregation Records'!$D$3:$D$80,255),0))),"")</f>
        <v>&lt;25</v>
      </c>
      <c r="O132" s="314" t="str">
        <f t="array" aca="1" ref="O132" ca="1">IFERROR(IF(INDEX('Disaggregation Records'!$H$3:$H$80,MATCH(RIGHT(L132,255),RIGHT('Disaggregation Records'!$D$3:$D$80,255),0))="","",INDEX('Disaggregation Records'!$H$3:$H$80,MATCH(RIGHT(L132,255),RIGHT('Disaggregation Records'!$D$3:$D$80,255),0))),"")</f>
        <v>IDR-01059</v>
      </c>
      <c r="P132" s="310"/>
      <c r="Q132" s="310">
        <f t="shared" ref="Q132" si="176">Q130+1</f>
        <v>1369</v>
      </c>
      <c r="R132" s="314" t="str" cm="1">
        <f t="array" aca="1" ref="R132" ca="1">IFERROR(IF(INDEX('Disaggregation Records'!$G$3:$G$80,MATCH(RIGHT(L132,255),RIGHT('Disaggregation Records'!$D$3:$D$80,255),0))="","",INDEX('Disaggregation Records'!$G$3:$G$80,MATCH(RIGHT(L132,255),RIGHT('Disaggregation Records'!$D$3:$D$80,255),0))),"")</f>
        <v>a1LDm000000CazpMAC</v>
      </c>
    </row>
    <row r="133" spans="1:18" ht="20.100000000000001" customHeight="1">
      <c r="B133" s="571">
        <v>5.2218045112781999</v>
      </c>
      <c r="C133" s="573"/>
      <c r="D133" s="575"/>
      <c r="E133" s="575"/>
      <c r="F133" s="128"/>
      <c r="G133" s="577"/>
      <c r="H133" s="540"/>
      <c r="I133" s="579"/>
      <c r="J133" s="533"/>
      <c r="K133" s="129"/>
      <c r="L133" s="129"/>
      <c r="M133" s="129"/>
      <c r="N133" s="129"/>
      <c r="O133" s="317"/>
      <c r="P133" s="310"/>
      <c r="Q133" s="314"/>
      <c r="R133" s="314" t="str" cm="1">
        <f t="array" ref="R133">IFERROR(IF(INDEX('Disaggregation Records'!$G$3:$G$80,MATCH(RIGHT(L133,255),RIGHT('Disaggregation Records'!$D$3:$D$80,255),0))="","",INDEX('Disaggregation Records'!$G$3:$G$80,MATCH(RIGHT(L133,255),RIGHT('Disaggregation Records'!$D$3:$D$80,255),0))),"")</f>
        <v/>
      </c>
    </row>
    <row r="134" spans="1:18" ht="20.100000000000001" customHeight="1">
      <c r="A134" s="126" t="str">
        <f t="shared" ref="A134" ca="1" si="177">INDIRECT("'update Helper'!C"&amp;Q134)</f>
        <v>a1GDm000000XyQxMAK</v>
      </c>
      <c r="B134" s="570">
        <v>7</v>
      </c>
      <c r="C134" s="572" t="str">
        <f ca="1">IFERROR(VLOOKUP(B134,'Impact Indicators - Section B '!$A$9:$AC$68,29,FALSE),"")</f>
        <v>HIV I-11 Percentage of people who inject drugs who are living with HIV</v>
      </c>
      <c r="D134" s="574" t="str">
        <f t="shared" ref="D134" ca="1" si="178">M134</f>
        <v>Gender</v>
      </c>
      <c r="E134" s="574" t="str">
        <f t="shared" ref="E134" ca="1" si="179">N134</f>
        <v>Transgender</v>
      </c>
      <c r="F134" s="127"/>
      <c r="G134" s="576" t="str">
        <f ca="1">IF(OR(INDIRECT("'update Helper'!E"&amp;Q134)="",F134&lt;&gt;0,F135&lt;&gt;0),IF(IFERROR((F134/F135),"")="","",(F134/F135)),INDIRECT("'update Helper'!E"&amp;Q134)/100)</f>
        <v/>
      </c>
      <c r="H134" s="539"/>
      <c r="I134" s="578"/>
      <c r="J134" s="532" t="s">
        <v>2261</v>
      </c>
      <c r="K134" s="126">
        <f ca="1">IF(AND(EXACT(C134,C132),C132&lt;&gt;0),K132+1,0)</f>
        <v>2</v>
      </c>
      <c r="L134" s="126" t="str">
        <f ca="1">IF(C134&lt;&gt;"",C134&amp;"-"&amp;K134,"")</f>
        <v>HIV I-11 Percentage of people who inject drugs who are living with HIV-2</v>
      </c>
      <c r="M134" s="126" t="str">
        <f t="array" aca="1" ref="M134" ca="1">IFERROR(IF(INDEX('Disaggregation Records'!$E$3:$E$80,MATCH(RIGHT(L134,255),RIGHT('Disaggregation Records'!$D$3:$D$80,255),0))="","",INDEX('Disaggregation Records'!$E$3:$E$80,MATCH(RIGHT(L134,255),RIGHT('Disaggregation Records'!$D$3:$D$80,255),0))),"")</f>
        <v>Gender</v>
      </c>
      <c r="N134" s="126" t="str">
        <f t="array" aca="1" ref="N134" ca="1">IFERROR(IF(INDEX('Disaggregation Records'!$F$3:$F$80,MATCH(RIGHT(L134,255),RIGHT('Disaggregation Records'!$D$3:$D$80,255),0))="","",INDEX('Disaggregation Records'!$F$3:$F$80,MATCH(RIGHT(L134,255),RIGHT('Disaggregation Records'!$D$3:$D$80,255),0))),"")</f>
        <v>Transgender</v>
      </c>
      <c r="O134" s="314" t="str">
        <f t="array" aca="1" ref="O134" ca="1">IFERROR(IF(INDEX('Disaggregation Records'!$H$3:$H$80,MATCH(RIGHT(L134,255),RIGHT('Disaggregation Records'!$D$3:$D$80,255),0))="","",INDEX('Disaggregation Records'!$H$3:$H$80,MATCH(RIGHT(L134,255),RIGHT('Disaggregation Records'!$D$3:$D$80,255),0))),"")</f>
        <v>IDR-01058</v>
      </c>
      <c r="P134" s="314"/>
      <c r="Q134" s="310">
        <f t="shared" ref="Q134" si="180">Q132+1</f>
        <v>1370</v>
      </c>
      <c r="R134" s="314" t="str" cm="1">
        <f t="array" aca="1" ref="R134" ca="1">IFERROR(IF(INDEX('Disaggregation Records'!$G$3:$G$80,MATCH(RIGHT(L134,255),RIGHT('Disaggregation Records'!$D$3:$D$80,255),0))="","",INDEX('Disaggregation Records'!$G$3:$G$80,MATCH(RIGHT(L134,255),RIGHT('Disaggregation Records'!$D$3:$D$80,255),0))),"")</f>
        <v>a1LDm000000CazoMAC</v>
      </c>
    </row>
    <row r="135" spans="1:18" ht="20.100000000000001" customHeight="1">
      <c r="A135" s="126"/>
      <c r="B135" s="571">
        <v>5.2218045112781999</v>
      </c>
      <c r="C135" s="573"/>
      <c r="D135" s="575"/>
      <c r="E135" s="575"/>
      <c r="F135" s="128"/>
      <c r="G135" s="577"/>
      <c r="H135" s="540"/>
      <c r="I135" s="579"/>
      <c r="J135" s="533"/>
      <c r="K135" s="129"/>
      <c r="L135" s="129"/>
      <c r="M135" s="129"/>
      <c r="N135" s="129"/>
      <c r="O135" s="317"/>
      <c r="P135" s="317"/>
      <c r="Q135" s="314"/>
      <c r="R135" s="314" t="str" cm="1">
        <f t="array" ref="R135">IFERROR(IF(INDEX('Disaggregation Records'!$G$3:$G$80,MATCH(RIGHT(L135,255),RIGHT('Disaggregation Records'!$D$3:$D$80,255),0))="","",INDEX('Disaggregation Records'!$G$3:$G$80,MATCH(RIGHT(L135,255),RIGHT('Disaggregation Records'!$D$3:$D$80,255),0))),"")</f>
        <v/>
      </c>
    </row>
    <row r="136" spans="1:18" ht="20.100000000000001" customHeight="1">
      <c r="A136" s="126" t="str">
        <f t="shared" ca="1" si="82"/>
        <v>a1GDm000000XyQyMAK</v>
      </c>
      <c r="B136" s="570">
        <v>7</v>
      </c>
      <c r="C136" s="572" t="str">
        <f ca="1">IFERROR(VLOOKUP(B136,'Impact Indicators - Section B '!$A$9:$AC$68,29,FALSE),"")</f>
        <v>HIV I-11 Percentage of people who inject drugs who are living with HIV</v>
      </c>
      <c r="D136" s="574" t="str">
        <f t="shared" ref="D136" ca="1" si="181">M136</f>
        <v>Gender</v>
      </c>
      <c r="E136" s="574" t="str">
        <f t="shared" ref="E136" ca="1" si="182">N136</f>
        <v>Male</v>
      </c>
      <c r="F136" s="127"/>
      <c r="G136" s="576" t="str">
        <f ca="1">IF(OR(INDIRECT("'update Helper'!E"&amp;Q136)="",F136&lt;&gt;0,F137&lt;&gt;0),IF(IFERROR((F136/F137),"")="","",(F136/F137)),INDIRECT("'update Helper'!E"&amp;Q136)/100)</f>
        <v/>
      </c>
      <c r="H136" s="539"/>
      <c r="I136" s="578"/>
      <c r="J136" s="532" t="s">
        <v>2262</v>
      </c>
      <c r="K136" s="126">
        <f ca="1">IF(AND(EXACT(C136,C134),C134&lt;&gt;0),K134+1,0)</f>
        <v>3</v>
      </c>
      <c r="L136" s="126" t="str">
        <f ca="1">IF(C136&lt;&gt;"",C136&amp;"-"&amp;K136,"")</f>
        <v>HIV I-11 Percentage of people who inject drugs who are living with HIV-3</v>
      </c>
      <c r="M136" s="126" t="str">
        <f t="array" aca="1" ref="M136" ca="1">IFERROR(IF(INDEX('Disaggregation Records'!$E$3:$E$80,MATCH(RIGHT(L136,255),RIGHT('Disaggregation Records'!$D$3:$D$80,255),0))="","",INDEX('Disaggregation Records'!$E$3:$E$80,MATCH(RIGHT(L136,255),RIGHT('Disaggregation Records'!$D$3:$D$80,255),0))),"")</f>
        <v>Gender</v>
      </c>
      <c r="N136" s="126" t="str">
        <f t="array" aca="1" ref="N136" ca="1">IFERROR(IF(INDEX('Disaggregation Records'!$F$3:$F$80,MATCH(RIGHT(L136,255),RIGHT('Disaggregation Records'!$D$3:$D$80,255),0))="","",INDEX('Disaggregation Records'!$F$3:$F$80,MATCH(RIGHT(L136,255),RIGHT('Disaggregation Records'!$D$3:$D$80,255),0))),"")</f>
        <v>Male</v>
      </c>
      <c r="O136" s="314" t="str">
        <f t="array" aca="1" ref="O136" ca="1">IFERROR(IF(INDEX('Disaggregation Records'!$H$3:$H$80,MATCH(RIGHT(L136,255),RIGHT('Disaggregation Records'!$D$3:$D$80,255),0))="","",INDEX('Disaggregation Records'!$H$3:$H$80,MATCH(RIGHT(L136,255),RIGHT('Disaggregation Records'!$D$3:$D$80,255),0))),"")</f>
        <v>IDR-01057</v>
      </c>
      <c r="P136" s="310"/>
      <c r="Q136" s="310">
        <f t="shared" ref="Q136" si="183">Q134+1</f>
        <v>1371</v>
      </c>
      <c r="R136" s="314" t="str" cm="1">
        <f t="array" aca="1" ref="R136" ca="1">IFERROR(IF(INDEX('Disaggregation Records'!$G$3:$G$80,MATCH(RIGHT(L136,255),RIGHT('Disaggregation Records'!$D$3:$D$80,255),0))="","",INDEX('Disaggregation Records'!$G$3:$G$80,MATCH(RIGHT(L136,255),RIGHT('Disaggregation Records'!$D$3:$D$80,255),0))),"")</f>
        <v>a1LDm000000CaznMAC</v>
      </c>
    </row>
    <row r="137" spans="1:18" ht="20.100000000000001" customHeight="1">
      <c r="B137" s="571">
        <v>5.2218045112781999</v>
      </c>
      <c r="C137" s="573"/>
      <c r="D137" s="575"/>
      <c r="E137" s="575"/>
      <c r="F137" s="128"/>
      <c r="G137" s="577"/>
      <c r="H137" s="540"/>
      <c r="I137" s="579"/>
      <c r="J137" s="533"/>
      <c r="K137" s="129"/>
      <c r="L137" s="129"/>
      <c r="M137" s="129"/>
      <c r="N137" s="129"/>
      <c r="O137" s="317"/>
      <c r="P137" s="310"/>
      <c r="Q137" s="314"/>
      <c r="R137" s="314" t="str" cm="1">
        <f t="array" ref="R137">IFERROR(IF(INDEX('Disaggregation Records'!$G$3:$G$80,MATCH(RIGHT(L137,255),RIGHT('Disaggregation Records'!$D$3:$D$80,255),0))="","",INDEX('Disaggregation Records'!$G$3:$G$80,MATCH(RIGHT(L137,255),RIGHT('Disaggregation Records'!$D$3:$D$80,255),0))),"")</f>
        <v/>
      </c>
    </row>
    <row r="138" spans="1:18" ht="20.100000000000001" customHeight="1">
      <c r="A138" s="126" t="str">
        <f t="shared" ref="A138" ca="1" si="184">INDIRECT("'update Helper'!C"&amp;Q138)</f>
        <v>a1GDm000000XyQzMAK</v>
      </c>
      <c r="B138" s="570">
        <v>7</v>
      </c>
      <c r="C138" s="572" t="str">
        <f ca="1">IFERROR(VLOOKUP(B138,'Impact Indicators - Section B '!$A$9:$AC$68,29,FALSE),"")</f>
        <v>HIV I-11 Percentage of people who inject drugs who are living with HIV</v>
      </c>
      <c r="D138" s="574" t="str">
        <f t="shared" ref="D138" ca="1" si="185">M138</f>
        <v>Gender</v>
      </c>
      <c r="E138" s="574" t="str">
        <f t="shared" ref="E138" ca="1" si="186">N138</f>
        <v>Female</v>
      </c>
      <c r="F138" s="127"/>
      <c r="G138" s="576" t="str">
        <f ca="1">IF(OR(INDIRECT("'update Helper'!E"&amp;Q138)="",F138&lt;&gt;0,F139&lt;&gt;0),IF(IFERROR((F138/F139),"")="","",(F138/F139)),INDIRECT("'update Helper'!E"&amp;Q138)/100)</f>
        <v/>
      </c>
      <c r="H138" s="539"/>
      <c r="I138" s="578"/>
      <c r="J138" s="532" t="s">
        <v>2262</v>
      </c>
      <c r="K138" s="126">
        <f ca="1">IF(AND(EXACT(C138,C136),C136&lt;&gt;0),K136+1,0)</f>
        <v>4</v>
      </c>
      <c r="L138" s="126" t="str">
        <f ca="1">IF(C138&lt;&gt;"",C138&amp;"-"&amp;K138,"")</f>
        <v>HIV I-11 Percentage of people who inject drugs who are living with HIV-4</v>
      </c>
      <c r="M138" s="126" t="str">
        <f t="array" aca="1" ref="M138" ca="1">IFERROR(IF(INDEX('Disaggregation Records'!$E$3:$E$80,MATCH(RIGHT(L138,255),RIGHT('Disaggregation Records'!$D$3:$D$80,255),0))="","",INDEX('Disaggregation Records'!$E$3:$E$80,MATCH(RIGHT(L138,255),RIGHT('Disaggregation Records'!$D$3:$D$80,255),0))),"")</f>
        <v>Gender</v>
      </c>
      <c r="N138" s="126" t="str">
        <f t="array" aca="1" ref="N138" ca="1">IFERROR(IF(INDEX('Disaggregation Records'!$F$3:$F$80,MATCH(RIGHT(L138,255),RIGHT('Disaggregation Records'!$D$3:$D$80,255),0))="","",INDEX('Disaggregation Records'!$F$3:$F$80,MATCH(RIGHT(L138,255),RIGHT('Disaggregation Records'!$D$3:$D$80,255),0))),"")</f>
        <v>Female</v>
      </c>
      <c r="O138" s="314" t="str">
        <f t="array" aca="1" ref="O138" ca="1">IFERROR(IF(INDEX('Disaggregation Records'!$H$3:$H$80,MATCH(RIGHT(L138,255),RIGHT('Disaggregation Records'!$D$3:$D$80,255),0))="","",INDEX('Disaggregation Records'!$H$3:$H$80,MATCH(RIGHT(L138,255),RIGHT('Disaggregation Records'!$D$3:$D$80,255),0))),"")</f>
        <v>IDR-01056</v>
      </c>
      <c r="P138" s="314"/>
      <c r="Q138" s="310">
        <f t="shared" ref="Q138" si="187">Q136+1</f>
        <v>1372</v>
      </c>
      <c r="R138" s="314" t="str" cm="1">
        <f t="array" aca="1" ref="R138" ca="1">IFERROR(IF(INDEX('Disaggregation Records'!$G$3:$G$80,MATCH(RIGHT(L138,255),RIGHT('Disaggregation Records'!$D$3:$D$80,255),0))="","",INDEX('Disaggregation Records'!$G$3:$G$80,MATCH(RIGHT(L138,255),RIGHT('Disaggregation Records'!$D$3:$D$80,255),0))),"")</f>
        <v>a1LDm000000CazmMAC</v>
      </c>
    </row>
    <row r="139" spans="1:18" ht="20.100000000000001" customHeight="1">
      <c r="A139" s="126"/>
      <c r="B139" s="571">
        <v>5.2218045112781999</v>
      </c>
      <c r="C139" s="573"/>
      <c r="D139" s="575"/>
      <c r="E139" s="575"/>
      <c r="F139" s="128"/>
      <c r="G139" s="577"/>
      <c r="H139" s="540"/>
      <c r="I139" s="579"/>
      <c r="J139" s="533"/>
      <c r="K139" s="129"/>
      <c r="L139" s="129"/>
      <c r="M139" s="129"/>
      <c r="N139" s="129"/>
      <c r="O139" s="317"/>
      <c r="P139" s="317"/>
      <c r="Q139" s="314"/>
      <c r="R139" s="314" t="str" cm="1">
        <f t="array" ref="R139">IFERROR(IF(INDEX('Disaggregation Records'!$G$3:$G$80,MATCH(RIGHT(L139,255),RIGHT('Disaggregation Records'!$D$3:$D$80,255),0))="","",INDEX('Disaggregation Records'!$G$3:$G$80,MATCH(RIGHT(L139,255),RIGHT('Disaggregation Records'!$D$3:$D$80,255),0))),"")</f>
        <v/>
      </c>
    </row>
    <row r="140" spans="1:18" ht="20.100000000000001" customHeight="1">
      <c r="A140" s="126" t="str">
        <f t="shared" ca="1" si="82"/>
        <v>a1GDm000000XyR0MAK</v>
      </c>
      <c r="B140" s="570">
        <v>7</v>
      </c>
      <c r="C140" s="572" t="str">
        <f ca="1">IFERROR(VLOOKUP(B140,'Impact Indicators - Section B '!$A$9:$AC$68,29,FALSE),"")</f>
        <v>HIV I-11 Percentage of people who inject drugs who are living with HIV</v>
      </c>
      <c r="D140" s="574" t="str">
        <f t="shared" ref="D140" ca="1" si="188">M140</f>
        <v/>
      </c>
      <c r="E140" s="574" t="str">
        <f t="shared" ref="E140" ca="1" si="189">N140</f>
        <v/>
      </c>
      <c r="F140" s="127"/>
      <c r="G140" s="576" t="str">
        <f ca="1">IF(OR(INDIRECT("'update Helper'!E"&amp;Q140)="",F140&lt;&gt;0,F141&lt;&gt;0),IF(IFERROR((F140/F141),"")="","",(F140/F141)),INDIRECT("'update Helper'!E"&amp;Q140)/100)</f>
        <v/>
      </c>
      <c r="H140" s="539"/>
      <c r="I140" s="578"/>
      <c r="J140" s="532"/>
      <c r="K140" s="126">
        <f ca="1">IF(AND(EXACT(C140,C138),C138&lt;&gt;0),K138+1,0)</f>
        <v>5</v>
      </c>
      <c r="L140" s="126" t="str">
        <f ca="1">IF(C140&lt;&gt;"",C140&amp;"-"&amp;K140,"")</f>
        <v>HIV I-11 Percentage of people who inject drugs who are living with HIV-5</v>
      </c>
      <c r="M140" s="126" t="str">
        <f t="array" aca="1" ref="M140" ca="1">IFERROR(IF(INDEX('Disaggregation Records'!$E$3:$E$80,MATCH(RIGHT(L140,255),RIGHT('Disaggregation Records'!$D$3:$D$80,255),0))="","",INDEX('Disaggregation Records'!$E$3:$E$80,MATCH(RIGHT(L140,255),RIGHT('Disaggregation Records'!$D$3:$D$80,255),0))),"")</f>
        <v/>
      </c>
      <c r="N140" s="126" t="str">
        <f t="array" aca="1" ref="N140" ca="1">IFERROR(IF(INDEX('Disaggregation Records'!$F$3:$F$80,MATCH(RIGHT(L140,255),RIGHT('Disaggregation Records'!$D$3:$D$80,255),0))="","",INDEX('Disaggregation Records'!$F$3:$F$80,MATCH(RIGHT(L140,255),RIGHT('Disaggregation Records'!$D$3:$D$80,255),0))),"")</f>
        <v/>
      </c>
      <c r="O140" s="314" t="str">
        <f t="array" aca="1" ref="O140" ca="1">IFERROR(IF(INDEX('Disaggregation Records'!$H$3:$H$80,MATCH(RIGHT(L140,255),RIGHT('Disaggregation Records'!$D$3:$D$80,255),0))="","",INDEX('Disaggregation Records'!$H$3:$H$80,MATCH(RIGHT(L140,255),RIGHT('Disaggregation Records'!$D$3:$D$80,255),0))),"")</f>
        <v/>
      </c>
      <c r="P140" s="310"/>
      <c r="Q140" s="310">
        <f t="shared" ref="Q140" si="190">Q138+1</f>
        <v>1373</v>
      </c>
      <c r="R140" s="314" t="str" cm="1">
        <f t="array" aca="1" ref="R140" ca="1">IFERROR(IF(INDEX('Disaggregation Records'!$G$3:$G$80,MATCH(RIGHT(L140,255),RIGHT('Disaggregation Records'!$D$3:$D$80,255),0))="","",INDEX('Disaggregation Records'!$G$3:$G$80,MATCH(RIGHT(L140,255),RIGHT('Disaggregation Records'!$D$3:$D$80,255),0))),"")</f>
        <v/>
      </c>
    </row>
    <row r="141" spans="1:18" ht="20.100000000000001" customHeight="1">
      <c r="B141" s="571">
        <v>5.2218045112781999</v>
      </c>
      <c r="C141" s="573"/>
      <c r="D141" s="575"/>
      <c r="E141" s="575"/>
      <c r="F141" s="128"/>
      <c r="G141" s="577"/>
      <c r="H141" s="540"/>
      <c r="I141" s="579"/>
      <c r="J141" s="533"/>
      <c r="K141" s="129"/>
      <c r="L141" s="129"/>
      <c r="M141" s="129"/>
      <c r="N141" s="129"/>
      <c r="O141" s="317"/>
      <c r="P141" s="310"/>
      <c r="Q141" s="314"/>
      <c r="R141" s="314" t="str" cm="1">
        <f t="array" ref="R141">IFERROR(IF(INDEX('Disaggregation Records'!$G$3:$G$80,MATCH(RIGHT(L141,255),RIGHT('Disaggregation Records'!$D$3:$D$80,255),0))="","",INDEX('Disaggregation Records'!$G$3:$G$80,MATCH(RIGHT(L141,255),RIGHT('Disaggregation Records'!$D$3:$D$80,255),0))),"")</f>
        <v/>
      </c>
    </row>
    <row r="142" spans="1:18" ht="20.100000000000001" customHeight="1">
      <c r="A142" s="126" t="str">
        <f t="shared" ref="A142" ca="1" si="191">INDIRECT("'update Helper'!C"&amp;Q142)</f>
        <v>a1GDm000000XyR1MAK</v>
      </c>
      <c r="B142" s="570">
        <v>7</v>
      </c>
      <c r="C142" s="572" t="str">
        <f ca="1">IFERROR(VLOOKUP(B142,'Impact Indicators - Section B '!$A$9:$AC$68,29,FALSE),"")</f>
        <v>HIV I-11 Percentage of people who inject drugs who are living with HIV</v>
      </c>
      <c r="D142" s="574" t="str">
        <f t="shared" ref="D142" ca="1" si="192">M142</f>
        <v/>
      </c>
      <c r="E142" s="574" t="str">
        <f t="shared" ref="E142" ca="1" si="193">N142</f>
        <v/>
      </c>
      <c r="F142" s="127"/>
      <c r="G142" s="576" t="str">
        <f ca="1">IF(OR(INDIRECT("'update Helper'!E"&amp;Q142)="",F142&lt;&gt;0,F143&lt;&gt;0),IF(IFERROR((F142/F143),"")="","",(F142/F143)),INDIRECT("'update Helper'!E"&amp;Q142)/100)</f>
        <v/>
      </c>
      <c r="H142" s="539"/>
      <c r="I142" s="578"/>
      <c r="J142" s="532"/>
      <c r="K142" s="126">
        <f ca="1">IF(AND(EXACT(C142,C140),C140&lt;&gt;0),K140+1,0)</f>
        <v>6</v>
      </c>
      <c r="L142" s="126" t="str">
        <f ca="1">IF(C142&lt;&gt;"",C142&amp;"-"&amp;K142,"")</f>
        <v>HIV I-11 Percentage of people who inject drugs who are living with HIV-6</v>
      </c>
      <c r="M142" s="126" t="str">
        <f t="array" aca="1" ref="M142" ca="1">IFERROR(IF(INDEX('Disaggregation Records'!$E$3:$E$80,MATCH(RIGHT(L142,255),RIGHT('Disaggregation Records'!$D$3:$D$80,255),0))="","",INDEX('Disaggregation Records'!$E$3:$E$80,MATCH(RIGHT(L142,255),RIGHT('Disaggregation Records'!$D$3:$D$80,255),0))),"")</f>
        <v/>
      </c>
      <c r="N142" s="126" t="str">
        <f t="array" aca="1" ref="N142" ca="1">IFERROR(IF(INDEX('Disaggregation Records'!$F$3:$F$80,MATCH(RIGHT(L142,255),RIGHT('Disaggregation Records'!$D$3:$D$80,255),0))="","",INDEX('Disaggregation Records'!$F$3:$F$80,MATCH(RIGHT(L142,255),RIGHT('Disaggregation Records'!$D$3:$D$80,255),0))),"")</f>
        <v/>
      </c>
      <c r="O142" s="314" t="str">
        <f t="array" aca="1" ref="O142" ca="1">IFERROR(IF(INDEX('Disaggregation Records'!$H$3:$H$80,MATCH(RIGHT(L142,255),RIGHT('Disaggregation Records'!$D$3:$D$80,255),0))="","",INDEX('Disaggregation Records'!$H$3:$H$80,MATCH(RIGHT(L142,255),RIGHT('Disaggregation Records'!$D$3:$D$80,255),0))),"")</f>
        <v/>
      </c>
      <c r="P142" s="314"/>
      <c r="Q142" s="310">
        <f t="shared" ref="Q142" si="194">Q140+1</f>
        <v>1374</v>
      </c>
      <c r="R142" s="314" t="str" cm="1">
        <f t="array" aca="1" ref="R142" ca="1">IFERROR(IF(INDEX('Disaggregation Records'!$G$3:$G$80,MATCH(RIGHT(L142,255),RIGHT('Disaggregation Records'!$D$3:$D$80,255),0))="","",INDEX('Disaggregation Records'!$G$3:$G$80,MATCH(RIGHT(L142,255),RIGHT('Disaggregation Records'!$D$3:$D$80,255),0))),"")</f>
        <v/>
      </c>
    </row>
    <row r="143" spans="1:18" ht="20.100000000000001" customHeight="1">
      <c r="A143" s="126"/>
      <c r="B143" s="571">
        <v>5.2218045112781999</v>
      </c>
      <c r="C143" s="573"/>
      <c r="D143" s="575"/>
      <c r="E143" s="575"/>
      <c r="F143" s="128"/>
      <c r="G143" s="577"/>
      <c r="H143" s="540"/>
      <c r="I143" s="579"/>
      <c r="J143" s="533"/>
      <c r="K143" s="129"/>
      <c r="L143" s="129"/>
      <c r="M143" s="129"/>
      <c r="N143" s="129"/>
      <c r="O143" s="317"/>
      <c r="P143" s="317"/>
      <c r="Q143" s="314"/>
      <c r="R143" s="314" t="str" cm="1">
        <f t="array" ref="R143">IFERROR(IF(INDEX('Disaggregation Records'!$G$3:$G$80,MATCH(RIGHT(L143,255),RIGHT('Disaggregation Records'!$D$3:$D$80,255),0))="","",INDEX('Disaggregation Records'!$G$3:$G$80,MATCH(RIGHT(L143,255),RIGHT('Disaggregation Records'!$D$3:$D$80,255),0))),"")</f>
        <v/>
      </c>
    </row>
    <row r="144" spans="1:18" ht="20.100000000000001" customHeight="1">
      <c r="A144" s="126" t="str">
        <f t="shared" ref="A144:A204" ca="1" si="195">INDIRECT("'update Helper'!C"&amp;Q144)</f>
        <v>a1GDm000000XyR2MAK</v>
      </c>
      <c r="B144" s="570">
        <v>7</v>
      </c>
      <c r="C144" s="572" t="str">
        <f ca="1">IFERROR(VLOOKUP(B144,'Impact Indicators - Section B '!$A$9:$AC$68,29,FALSE),"")</f>
        <v>HIV I-11 Percentage of people who inject drugs who are living with HIV</v>
      </c>
      <c r="D144" s="574" t="str">
        <f t="shared" ref="D144" ca="1" si="196">M144</f>
        <v/>
      </c>
      <c r="E144" s="574" t="str">
        <f t="shared" ref="E144" ca="1" si="197">N144</f>
        <v/>
      </c>
      <c r="F144" s="127"/>
      <c r="G144" s="576" t="str">
        <f ca="1">IF(OR(INDIRECT("'update Helper'!E"&amp;Q144)="",F144&lt;&gt;0,F145&lt;&gt;0),IF(IFERROR((F144/F145),"")="","",(F144/F145)),INDIRECT("'update Helper'!E"&amp;Q144)/100)</f>
        <v/>
      </c>
      <c r="H144" s="539"/>
      <c r="I144" s="578"/>
      <c r="J144" s="532"/>
      <c r="K144" s="126">
        <f ca="1">IF(AND(EXACT(C144,C142),C142&lt;&gt;0),K142+1,0)</f>
        <v>7</v>
      </c>
      <c r="L144" s="126" t="str">
        <f ca="1">IF(C144&lt;&gt;"",C144&amp;"-"&amp;K144,"")</f>
        <v>HIV I-11 Percentage of people who inject drugs who are living with HIV-7</v>
      </c>
      <c r="M144" s="126" t="str">
        <f t="array" aca="1" ref="M144" ca="1">IFERROR(IF(INDEX('Disaggregation Records'!$E$3:$E$80,MATCH(RIGHT(L144,255),RIGHT('Disaggregation Records'!$D$3:$D$80,255),0))="","",INDEX('Disaggregation Records'!$E$3:$E$80,MATCH(RIGHT(L144,255),RIGHT('Disaggregation Records'!$D$3:$D$80,255),0))),"")</f>
        <v/>
      </c>
      <c r="N144" s="126" t="str">
        <f t="array" aca="1" ref="N144" ca="1">IFERROR(IF(INDEX('Disaggregation Records'!$F$3:$F$80,MATCH(RIGHT(L144,255),RIGHT('Disaggregation Records'!$D$3:$D$80,255),0))="","",INDEX('Disaggregation Records'!$F$3:$F$80,MATCH(RIGHT(L144,255),RIGHT('Disaggregation Records'!$D$3:$D$80,255),0))),"")</f>
        <v/>
      </c>
      <c r="O144" s="314" t="str">
        <f t="array" aca="1" ref="O144" ca="1">IFERROR(IF(INDEX('Disaggregation Records'!$H$3:$H$80,MATCH(RIGHT(L144,255),RIGHT('Disaggregation Records'!$D$3:$D$80,255),0))="","",INDEX('Disaggregation Records'!$H$3:$H$80,MATCH(RIGHT(L144,255),RIGHT('Disaggregation Records'!$D$3:$D$80,255),0))),"")</f>
        <v/>
      </c>
      <c r="P144" s="310"/>
      <c r="Q144" s="310">
        <f t="shared" ref="Q144" si="198">Q142+1</f>
        <v>1375</v>
      </c>
      <c r="R144" s="314" t="str" cm="1">
        <f t="array" aca="1" ref="R144" ca="1">IFERROR(IF(INDEX('Disaggregation Records'!$G$3:$G$80,MATCH(RIGHT(L144,255),RIGHT('Disaggregation Records'!$D$3:$D$80,255),0))="","",INDEX('Disaggregation Records'!$G$3:$G$80,MATCH(RIGHT(L144,255),RIGHT('Disaggregation Records'!$D$3:$D$80,255),0))),"")</f>
        <v/>
      </c>
    </row>
    <row r="145" spans="1:18" ht="20.100000000000001" customHeight="1">
      <c r="B145" s="571">
        <v>5.2218045112781999</v>
      </c>
      <c r="C145" s="573"/>
      <c r="D145" s="575"/>
      <c r="E145" s="575"/>
      <c r="F145" s="128"/>
      <c r="G145" s="577"/>
      <c r="H145" s="540"/>
      <c r="I145" s="579"/>
      <c r="J145" s="533"/>
      <c r="K145" s="129"/>
      <c r="L145" s="129"/>
      <c r="M145" s="129"/>
      <c r="N145" s="129"/>
      <c r="O145" s="317"/>
      <c r="P145" s="310"/>
      <c r="Q145" s="314"/>
      <c r="R145" s="314" t="str" cm="1">
        <f t="array" ref="R145">IFERROR(IF(INDEX('Disaggregation Records'!$G$3:$G$80,MATCH(RIGHT(L145,255),RIGHT('Disaggregation Records'!$D$3:$D$80,255),0))="","",INDEX('Disaggregation Records'!$G$3:$G$80,MATCH(RIGHT(L145,255),RIGHT('Disaggregation Records'!$D$3:$D$80,255),0))),"")</f>
        <v/>
      </c>
    </row>
    <row r="146" spans="1:18" ht="20.100000000000001" customHeight="1">
      <c r="A146" s="126" t="str">
        <f t="shared" ref="A146" ca="1" si="199">INDIRECT("'update Helper'!C"&amp;Q146)</f>
        <v>a1GDm000000XyR3MAK</v>
      </c>
      <c r="B146" s="570">
        <v>7</v>
      </c>
      <c r="C146" s="572" t="str">
        <f ca="1">IFERROR(VLOOKUP(B146,'Impact Indicators - Section B '!$A$9:$AC$68,29,FALSE),"")</f>
        <v>HIV I-11 Percentage of people who inject drugs who are living with HIV</v>
      </c>
      <c r="D146" s="574" t="str">
        <f t="shared" ref="D146" ca="1" si="200">M146</f>
        <v/>
      </c>
      <c r="E146" s="574" t="str">
        <f t="shared" ref="E146" ca="1" si="201">N146</f>
        <v/>
      </c>
      <c r="F146" s="127"/>
      <c r="G146" s="576" t="str">
        <f ca="1">IF(OR(INDIRECT("'update Helper'!E"&amp;Q146)="",F146&lt;&gt;0,F147&lt;&gt;0),IF(IFERROR((F146/F147),"")="","",(F146/F147)),INDIRECT("'update Helper'!E"&amp;Q146)/100)</f>
        <v/>
      </c>
      <c r="H146" s="539"/>
      <c r="I146" s="578"/>
      <c r="J146" s="532"/>
      <c r="K146" s="126">
        <f ca="1">IF(AND(EXACT(C146,C144),C144&lt;&gt;0),K144+1,0)</f>
        <v>8</v>
      </c>
      <c r="L146" s="126" t="str">
        <f ca="1">IF(C146&lt;&gt;"",C146&amp;"-"&amp;K146,"")</f>
        <v>HIV I-11 Percentage of people who inject drugs who are living with HIV-8</v>
      </c>
      <c r="M146" s="126" t="str">
        <f t="array" aca="1" ref="M146" ca="1">IFERROR(IF(INDEX('Disaggregation Records'!$E$3:$E$80,MATCH(RIGHT(L146,255),RIGHT('Disaggregation Records'!$D$3:$D$80,255),0))="","",INDEX('Disaggregation Records'!$E$3:$E$80,MATCH(RIGHT(L146,255),RIGHT('Disaggregation Records'!$D$3:$D$80,255),0))),"")</f>
        <v/>
      </c>
      <c r="N146" s="126" t="str">
        <f t="array" aca="1" ref="N146" ca="1">IFERROR(IF(INDEX('Disaggregation Records'!$F$3:$F$80,MATCH(RIGHT(L146,255),RIGHT('Disaggregation Records'!$D$3:$D$80,255),0))="","",INDEX('Disaggregation Records'!$F$3:$F$80,MATCH(RIGHT(L146,255),RIGHT('Disaggregation Records'!$D$3:$D$80,255),0))),"")</f>
        <v/>
      </c>
      <c r="O146" s="314" t="str">
        <f t="array" aca="1" ref="O146" ca="1">IFERROR(IF(INDEX('Disaggregation Records'!$H$3:$H$80,MATCH(RIGHT(L146,255),RIGHT('Disaggregation Records'!$D$3:$D$80,255),0))="","",INDEX('Disaggregation Records'!$H$3:$H$80,MATCH(RIGHT(L146,255),RIGHT('Disaggregation Records'!$D$3:$D$80,255),0))),"")</f>
        <v/>
      </c>
      <c r="P146" s="314"/>
      <c r="Q146" s="310">
        <f t="shared" ref="Q146" si="202">Q144+1</f>
        <v>1376</v>
      </c>
      <c r="R146" s="314" t="str" cm="1">
        <f t="array" aca="1" ref="R146" ca="1">IFERROR(IF(INDEX('Disaggregation Records'!$G$3:$G$80,MATCH(RIGHT(L146,255),RIGHT('Disaggregation Records'!$D$3:$D$80,255),0))="","",INDEX('Disaggregation Records'!$G$3:$G$80,MATCH(RIGHT(L146,255),RIGHT('Disaggregation Records'!$D$3:$D$80,255),0))),"")</f>
        <v/>
      </c>
    </row>
    <row r="147" spans="1:18" ht="20.100000000000001" customHeight="1">
      <c r="A147" s="126"/>
      <c r="B147" s="571">
        <v>5.2218045112781999</v>
      </c>
      <c r="C147" s="573"/>
      <c r="D147" s="575"/>
      <c r="E147" s="575"/>
      <c r="F147" s="128"/>
      <c r="G147" s="577"/>
      <c r="H147" s="540"/>
      <c r="I147" s="579"/>
      <c r="J147" s="533"/>
      <c r="K147" s="129"/>
      <c r="L147" s="129"/>
      <c r="M147" s="129"/>
      <c r="N147" s="129"/>
      <c r="O147" s="317"/>
      <c r="P147" s="317"/>
      <c r="Q147" s="314"/>
      <c r="R147" s="314" t="str" cm="1">
        <f t="array" ref="R147">IFERROR(IF(INDEX('Disaggregation Records'!$G$3:$G$80,MATCH(RIGHT(L147,255),RIGHT('Disaggregation Records'!$D$3:$D$80,255),0))="","",INDEX('Disaggregation Records'!$G$3:$G$80,MATCH(RIGHT(L147,255),RIGHT('Disaggregation Records'!$D$3:$D$80,255),0))),"")</f>
        <v/>
      </c>
    </row>
    <row r="148" spans="1:18" ht="20.100000000000001" customHeight="1">
      <c r="A148" s="126" t="str">
        <f t="shared" ca="1" si="195"/>
        <v>a1GDm000000XyR4MAK</v>
      </c>
      <c r="B148" s="570">
        <v>7</v>
      </c>
      <c r="C148" s="572" t="str">
        <f ca="1">IFERROR(VLOOKUP(B148,'Impact Indicators - Section B '!$A$9:$AC$68,29,FALSE),"")</f>
        <v>HIV I-11 Percentage of people who inject drugs who are living with HIV</v>
      </c>
      <c r="D148" s="574" t="str">
        <f t="shared" ref="D148" ca="1" si="203">M148</f>
        <v/>
      </c>
      <c r="E148" s="574" t="str">
        <f t="shared" ref="E148" ca="1" si="204">N148</f>
        <v/>
      </c>
      <c r="F148" s="127"/>
      <c r="G148" s="576" t="str">
        <f ca="1">IF(OR(INDIRECT("'update Helper'!E"&amp;Q148)="",F148&lt;&gt;0,F149&lt;&gt;0),IF(IFERROR((F148/F149),"")="","",(F148/F149)),INDIRECT("'update Helper'!E"&amp;Q148)/100)</f>
        <v/>
      </c>
      <c r="H148" s="539"/>
      <c r="I148" s="578"/>
      <c r="J148" s="532"/>
      <c r="K148" s="126">
        <f ca="1">IF(AND(EXACT(C148,C146),C146&lt;&gt;0),K146+1,0)</f>
        <v>9</v>
      </c>
      <c r="L148" s="126" t="str">
        <f ca="1">IF(C148&lt;&gt;"",C148&amp;"-"&amp;K148,"")</f>
        <v>HIV I-11 Percentage of people who inject drugs who are living with HIV-9</v>
      </c>
      <c r="M148" s="126" t="str">
        <f t="array" aca="1" ref="M148" ca="1">IFERROR(IF(INDEX('Disaggregation Records'!$E$3:$E$80,MATCH(RIGHT(L148,255),RIGHT('Disaggregation Records'!$D$3:$D$80,255),0))="","",INDEX('Disaggregation Records'!$E$3:$E$80,MATCH(RIGHT(L148,255),RIGHT('Disaggregation Records'!$D$3:$D$80,255),0))),"")</f>
        <v/>
      </c>
      <c r="N148" s="126" t="str">
        <f t="array" aca="1" ref="N148" ca="1">IFERROR(IF(INDEX('Disaggregation Records'!$F$3:$F$80,MATCH(RIGHT(L148,255),RIGHT('Disaggregation Records'!$D$3:$D$80,255),0))="","",INDEX('Disaggregation Records'!$F$3:$F$80,MATCH(RIGHT(L148,255),RIGHT('Disaggregation Records'!$D$3:$D$80,255),0))),"")</f>
        <v/>
      </c>
      <c r="O148" s="314" t="str">
        <f t="array" aca="1" ref="O148" ca="1">IFERROR(IF(INDEX('Disaggregation Records'!$H$3:$H$80,MATCH(RIGHT(L148,255),RIGHT('Disaggregation Records'!$D$3:$D$80,255),0))="","",INDEX('Disaggregation Records'!$H$3:$H$80,MATCH(RIGHT(L148,255),RIGHT('Disaggregation Records'!$D$3:$D$80,255),0))),"")</f>
        <v/>
      </c>
      <c r="P148" s="310"/>
      <c r="Q148" s="310">
        <f t="shared" ref="Q148" si="205">Q146+1</f>
        <v>1377</v>
      </c>
      <c r="R148" s="314" t="str" cm="1">
        <f t="array" aca="1" ref="R148" ca="1">IFERROR(IF(INDEX('Disaggregation Records'!$G$3:$G$80,MATCH(RIGHT(L148,255),RIGHT('Disaggregation Records'!$D$3:$D$80,255),0))="","",INDEX('Disaggregation Records'!$G$3:$G$80,MATCH(RIGHT(L148,255),RIGHT('Disaggregation Records'!$D$3:$D$80,255),0))),"")</f>
        <v/>
      </c>
    </row>
    <row r="149" spans="1:18" ht="20.100000000000001" customHeight="1">
      <c r="B149" s="571">
        <v>5.2218045112781999</v>
      </c>
      <c r="C149" s="573"/>
      <c r="D149" s="575"/>
      <c r="E149" s="575"/>
      <c r="F149" s="128"/>
      <c r="G149" s="577"/>
      <c r="H149" s="540"/>
      <c r="I149" s="579"/>
      <c r="J149" s="533"/>
      <c r="K149" s="129"/>
      <c r="L149" s="129"/>
      <c r="M149" s="129"/>
      <c r="N149" s="129"/>
      <c r="O149" s="317"/>
      <c r="P149" s="310"/>
      <c r="Q149" s="314"/>
      <c r="R149" s="314" t="str" cm="1">
        <f t="array" ref="R149">IFERROR(IF(INDEX('Disaggregation Records'!$G$3:$G$80,MATCH(RIGHT(L149,255),RIGHT('Disaggregation Records'!$D$3:$D$80,255),0))="","",INDEX('Disaggregation Records'!$G$3:$G$80,MATCH(RIGHT(L149,255),RIGHT('Disaggregation Records'!$D$3:$D$80,255),0))),"")</f>
        <v/>
      </c>
    </row>
    <row r="150" spans="1:18" ht="20.100000000000001" customHeight="1">
      <c r="A150" s="126" t="str">
        <f t="shared" ref="A150" ca="1" si="206">INDIRECT("'update Helper'!C"&amp;Q150)</f>
        <v>a1GDm000000XyR5MAK</v>
      </c>
      <c r="B150" s="570">
        <v>8</v>
      </c>
      <c r="C150" s="572" t="str">
        <f ca="1">IFERROR(VLOOKUP(B150,'Impact Indicators - Section B '!$A$9:$AC$68,29,FALSE),"")</f>
        <v>HIV I-13 Percentage of people living with HIV</v>
      </c>
      <c r="D150" s="574" t="str">
        <f t="shared" ref="D150" ca="1" si="207">M150</f>
        <v>Age</v>
      </c>
      <c r="E150" s="574" t="str">
        <f t="shared" ref="E150" ca="1" si="208">N150</f>
        <v>15+</v>
      </c>
      <c r="F150" s="127"/>
      <c r="G150" s="576">
        <f ca="1">IF(OR(INDIRECT("'update Helper'!E"&amp;Q150)="",F150&lt;&gt;0,F151&lt;&gt;0),IF(IFERROR((F150/F151),"")="","",(F150/F151)),INDIRECT("'update Helper'!E"&amp;Q150)/100)</f>
        <v>6.6E-3</v>
      </c>
      <c r="H150" s="539">
        <v>2022</v>
      </c>
      <c r="I150" s="578" t="s">
        <v>798</v>
      </c>
      <c r="J150" s="532" t="s">
        <v>2263</v>
      </c>
      <c r="K150" s="126">
        <f ca="1">IF(AND(EXACT(C150,C148),C148&lt;&gt;0),K148+1,0)</f>
        <v>0</v>
      </c>
      <c r="L150" s="126" t="str">
        <f ca="1">IF(C150&lt;&gt;"",C150&amp;"-"&amp;K150,"")</f>
        <v>HIV I-13 Percentage of people living with HIV-0</v>
      </c>
      <c r="M150" s="126" t="str">
        <f t="array" aca="1" ref="M150" ca="1">IFERROR(IF(INDEX('Disaggregation Records'!$E$3:$E$80,MATCH(RIGHT(L150,255),RIGHT('Disaggregation Records'!$D$3:$D$80,255),0))="","",INDEX('Disaggregation Records'!$E$3:$E$80,MATCH(RIGHT(L150,255),RIGHT('Disaggregation Records'!$D$3:$D$80,255),0))),"")</f>
        <v>Age</v>
      </c>
      <c r="N150" s="126" t="str">
        <f t="array" aca="1" ref="N150" ca="1">IFERROR(IF(INDEX('Disaggregation Records'!$F$3:$F$80,MATCH(RIGHT(L150,255),RIGHT('Disaggregation Records'!$D$3:$D$80,255),0))="","",INDEX('Disaggregation Records'!$F$3:$F$80,MATCH(RIGHT(L150,255),RIGHT('Disaggregation Records'!$D$3:$D$80,255),0))),"")</f>
        <v>15+</v>
      </c>
      <c r="O150" s="314" t="str">
        <f t="array" aca="1" ref="O150" ca="1">IFERROR(IF(INDEX('Disaggregation Records'!$H$3:$H$80,MATCH(RIGHT(L150,255),RIGHT('Disaggregation Records'!$D$3:$D$80,255),0))="","",INDEX('Disaggregation Records'!$H$3:$H$80,MATCH(RIGHT(L150,255),RIGHT('Disaggregation Records'!$D$3:$D$80,255),0))),"")</f>
        <v>IDR-01029</v>
      </c>
      <c r="P150" s="314"/>
      <c r="Q150" s="310">
        <f t="shared" ref="Q150" si="209">Q148+1</f>
        <v>1378</v>
      </c>
      <c r="R150" s="314" t="str" cm="1">
        <f t="array" aca="1" ref="R150" ca="1">IFERROR(IF(INDEX('Disaggregation Records'!$G$3:$G$80,MATCH(RIGHT(L150,255),RIGHT('Disaggregation Records'!$D$3:$D$80,255),0))="","",INDEX('Disaggregation Records'!$G$3:$G$80,MATCH(RIGHT(L150,255),RIGHT('Disaggregation Records'!$D$3:$D$80,255),0))),"")</f>
        <v>a1LDm000000CazLMAS</v>
      </c>
    </row>
    <row r="151" spans="1:18" ht="20.100000000000001" customHeight="1">
      <c r="A151" s="126"/>
      <c r="B151" s="571">
        <v>5.9736842105263204</v>
      </c>
      <c r="C151" s="573"/>
      <c r="D151" s="575"/>
      <c r="E151" s="575"/>
      <c r="F151" s="128"/>
      <c r="G151" s="577"/>
      <c r="H151" s="540"/>
      <c r="I151" s="579"/>
      <c r="J151" s="533"/>
      <c r="K151" s="129"/>
      <c r="L151" s="129"/>
      <c r="M151" s="129"/>
      <c r="N151" s="129"/>
      <c r="O151" s="317"/>
      <c r="P151" s="317"/>
      <c r="Q151" s="314"/>
      <c r="R151" s="314" t="str" cm="1">
        <f t="array" ref="R151">IFERROR(IF(INDEX('Disaggregation Records'!$G$3:$G$80,MATCH(RIGHT(L151,255),RIGHT('Disaggregation Records'!$D$3:$D$80,255),0))="","",INDEX('Disaggregation Records'!$G$3:$G$80,MATCH(RIGHT(L151,255),RIGHT('Disaggregation Records'!$D$3:$D$80,255),0))),"")</f>
        <v/>
      </c>
    </row>
    <row r="152" spans="1:18" ht="20.100000000000001" customHeight="1">
      <c r="A152" s="126" t="str">
        <f t="shared" ca="1" si="195"/>
        <v>a1GDm000000XyR6MAK</v>
      </c>
      <c r="B152" s="570">
        <v>8</v>
      </c>
      <c r="C152" s="572" t="str">
        <f ca="1">IFERROR(VLOOKUP(B152,'Impact Indicators - Section B '!$A$9:$AC$68,29,FALSE),"")</f>
        <v>HIV I-13 Percentage of people living with HIV</v>
      </c>
      <c r="D152" s="574" t="str">
        <f t="shared" ref="D152" ca="1" si="210">M152</f>
        <v>Age</v>
      </c>
      <c r="E152" s="574" t="str">
        <f t="shared" ref="E152" ca="1" si="211">N152</f>
        <v>&lt;15</v>
      </c>
      <c r="F152" s="127"/>
      <c r="G152" s="576" t="str">
        <f ca="1">IF(OR(INDIRECT("'update Helper'!E"&amp;Q152)="",F152&lt;&gt;0,F153&lt;&gt;0),IF(IFERROR((F152/F153),"")="","",(F152/F153)),INDIRECT("'update Helper'!E"&amp;Q152)/100)</f>
        <v/>
      </c>
      <c r="H152" s="539"/>
      <c r="I152" s="578"/>
      <c r="J152" s="532" t="s">
        <v>2264</v>
      </c>
      <c r="K152" s="126">
        <f ca="1">IF(AND(EXACT(C152,C150),C150&lt;&gt;0),K150+1,0)</f>
        <v>1</v>
      </c>
      <c r="L152" s="126" t="str">
        <f ca="1">IF(C152&lt;&gt;"",C152&amp;"-"&amp;K152,"")</f>
        <v>HIV I-13 Percentage of people living with HIV-1</v>
      </c>
      <c r="M152" s="126" t="str">
        <f t="array" aca="1" ref="M152" ca="1">IFERROR(IF(INDEX('Disaggregation Records'!$E$3:$E$80,MATCH(RIGHT(L152,255),RIGHT('Disaggregation Records'!$D$3:$D$80,255),0))="","",INDEX('Disaggregation Records'!$E$3:$E$80,MATCH(RIGHT(L152,255),RIGHT('Disaggregation Records'!$D$3:$D$80,255),0))),"")</f>
        <v>Age</v>
      </c>
      <c r="N152" s="126" t="str">
        <f t="array" aca="1" ref="N152" ca="1">IFERROR(IF(INDEX('Disaggregation Records'!$F$3:$F$80,MATCH(RIGHT(L152,255),RIGHT('Disaggregation Records'!$D$3:$D$80,255),0))="","",INDEX('Disaggregation Records'!$F$3:$F$80,MATCH(RIGHT(L152,255),RIGHT('Disaggregation Records'!$D$3:$D$80,255),0))),"")</f>
        <v>&lt;15</v>
      </c>
      <c r="O152" s="314" t="str">
        <f t="array" aca="1" ref="O152" ca="1">IFERROR(IF(INDEX('Disaggregation Records'!$H$3:$H$80,MATCH(RIGHT(L152,255),RIGHT('Disaggregation Records'!$D$3:$D$80,255),0))="","",INDEX('Disaggregation Records'!$H$3:$H$80,MATCH(RIGHT(L152,255),RIGHT('Disaggregation Records'!$D$3:$D$80,255),0))),"")</f>
        <v>IDR-01028</v>
      </c>
      <c r="P152" s="310"/>
      <c r="Q152" s="310">
        <f t="shared" ref="Q152" si="212">Q150+1</f>
        <v>1379</v>
      </c>
      <c r="R152" s="314" t="str" cm="1">
        <f t="array" aca="1" ref="R152" ca="1">IFERROR(IF(INDEX('Disaggregation Records'!$G$3:$G$80,MATCH(RIGHT(L152,255),RIGHT('Disaggregation Records'!$D$3:$D$80,255),0))="","",INDEX('Disaggregation Records'!$G$3:$G$80,MATCH(RIGHT(L152,255),RIGHT('Disaggregation Records'!$D$3:$D$80,255),0))),"")</f>
        <v>a1LDm000000CazKMAS</v>
      </c>
    </row>
    <row r="153" spans="1:18" ht="20.100000000000001" customHeight="1">
      <c r="B153" s="571">
        <v>5.9736842105263204</v>
      </c>
      <c r="C153" s="573"/>
      <c r="D153" s="575"/>
      <c r="E153" s="575"/>
      <c r="F153" s="128"/>
      <c r="G153" s="577"/>
      <c r="H153" s="540"/>
      <c r="I153" s="579"/>
      <c r="J153" s="533"/>
      <c r="K153" s="129"/>
      <c r="L153" s="129"/>
      <c r="M153" s="129"/>
      <c r="N153" s="129"/>
      <c r="O153" s="317"/>
      <c r="P153" s="310"/>
      <c r="Q153" s="314"/>
      <c r="R153" s="314" t="str" cm="1">
        <f t="array" ref="R153">IFERROR(IF(INDEX('Disaggregation Records'!$G$3:$G$80,MATCH(RIGHT(L153,255),RIGHT('Disaggregation Records'!$D$3:$D$80,255),0))="","",INDEX('Disaggregation Records'!$G$3:$G$80,MATCH(RIGHT(L153,255),RIGHT('Disaggregation Records'!$D$3:$D$80,255),0))),"")</f>
        <v/>
      </c>
    </row>
    <row r="154" spans="1:18" ht="20.100000000000001" customHeight="1">
      <c r="A154" s="126" t="str">
        <f t="shared" ref="A154" ca="1" si="213">INDIRECT("'update Helper'!C"&amp;Q154)</f>
        <v>a1GDm000000XyR7MAK</v>
      </c>
      <c r="B154" s="570">
        <v>8</v>
      </c>
      <c r="C154" s="572" t="str">
        <f ca="1">IFERROR(VLOOKUP(B154,'Impact Indicators - Section B '!$A$9:$AC$68,29,FALSE),"")</f>
        <v>HIV I-13 Percentage of people living with HIV</v>
      </c>
      <c r="D154" s="574" t="str">
        <f t="shared" ref="D154" ca="1" si="214">M154</f>
        <v>Gender | Age</v>
      </c>
      <c r="E154" s="574" t="str">
        <f t="shared" ref="E154" ca="1" si="215">N154</f>
        <v>Male 20-24</v>
      </c>
      <c r="F154" s="127"/>
      <c r="G154" s="576" t="str">
        <f ca="1">IF(OR(INDIRECT("'update Helper'!E"&amp;Q154)="",F154&lt;&gt;0,F155&lt;&gt;0),IF(IFERROR((F154/F155),"")="","",(F154/F155)),INDIRECT("'update Helper'!E"&amp;Q154)/100)</f>
        <v/>
      </c>
      <c r="H154" s="539"/>
      <c r="I154" s="578"/>
      <c r="J154" s="532" t="s">
        <v>2264</v>
      </c>
      <c r="K154" s="126">
        <f ca="1">IF(AND(EXACT(C154,C152),C152&lt;&gt;0),K152+1,0)</f>
        <v>2</v>
      </c>
      <c r="L154" s="126" t="str">
        <f ca="1">IF(C154&lt;&gt;"",C154&amp;"-"&amp;K154,"")</f>
        <v>HIV I-13 Percentage of people living with HIV-2</v>
      </c>
      <c r="M154" s="126" t="str">
        <f t="array" aca="1" ref="M154" ca="1">IFERROR(IF(INDEX('Disaggregation Records'!$E$3:$E$80,MATCH(RIGHT(L154,255),RIGHT('Disaggregation Records'!$D$3:$D$80,255),0))="","",INDEX('Disaggregation Records'!$E$3:$E$80,MATCH(RIGHT(L154,255),RIGHT('Disaggregation Records'!$D$3:$D$80,255),0))),"")</f>
        <v>Gender | Age</v>
      </c>
      <c r="N154" s="126" t="str">
        <f t="array" aca="1" ref="N154" ca="1">IFERROR(IF(INDEX('Disaggregation Records'!$F$3:$F$80,MATCH(RIGHT(L154,255),RIGHT('Disaggregation Records'!$D$3:$D$80,255),0))="","",INDEX('Disaggregation Records'!$F$3:$F$80,MATCH(RIGHT(L154,255),RIGHT('Disaggregation Records'!$D$3:$D$80,255),0))),"")</f>
        <v>Male 20-24</v>
      </c>
      <c r="O154" s="314" t="str">
        <f t="array" aca="1" ref="O154" ca="1">IFERROR(IF(INDEX('Disaggregation Records'!$H$3:$H$80,MATCH(RIGHT(L154,255),RIGHT('Disaggregation Records'!$D$3:$D$80,255),0))="","",INDEX('Disaggregation Records'!$H$3:$H$80,MATCH(RIGHT(L154,255),RIGHT('Disaggregation Records'!$D$3:$D$80,255),0))),"")</f>
        <v>IDR-01027</v>
      </c>
      <c r="P154" s="314"/>
      <c r="Q154" s="310">
        <f t="shared" ref="Q154" si="216">Q152+1</f>
        <v>1380</v>
      </c>
      <c r="R154" s="314" t="str" cm="1">
        <f t="array" aca="1" ref="R154" ca="1">IFERROR(IF(INDEX('Disaggregation Records'!$G$3:$G$80,MATCH(RIGHT(L154,255),RIGHT('Disaggregation Records'!$D$3:$D$80,255),0))="","",INDEX('Disaggregation Records'!$G$3:$G$80,MATCH(RIGHT(L154,255),RIGHT('Disaggregation Records'!$D$3:$D$80,255),0))),"")</f>
        <v>a1LDm000000CazJMAS</v>
      </c>
    </row>
    <row r="155" spans="1:18" ht="20.100000000000001" customHeight="1">
      <c r="A155" s="126"/>
      <c r="B155" s="571">
        <v>5.9736842105263204</v>
      </c>
      <c r="C155" s="573"/>
      <c r="D155" s="575"/>
      <c r="E155" s="575"/>
      <c r="F155" s="128"/>
      <c r="G155" s="577"/>
      <c r="H155" s="540"/>
      <c r="I155" s="579"/>
      <c r="J155" s="533"/>
      <c r="K155" s="129"/>
      <c r="L155" s="129"/>
      <c r="M155" s="129"/>
      <c r="N155" s="129"/>
      <c r="O155" s="317"/>
      <c r="P155" s="317"/>
      <c r="Q155" s="314"/>
      <c r="R155" s="314" t="str" cm="1">
        <f t="array" ref="R155">IFERROR(IF(INDEX('Disaggregation Records'!$G$3:$G$80,MATCH(RIGHT(L155,255),RIGHT('Disaggregation Records'!$D$3:$D$80,255),0))="","",INDEX('Disaggregation Records'!$G$3:$G$80,MATCH(RIGHT(L155,255),RIGHT('Disaggregation Records'!$D$3:$D$80,255),0))),"")</f>
        <v/>
      </c>
    </row>
    <row r="156" spans="1:18" ht="20.100000000000001" customHeight="1">
      <c r="A156" s="126" t="str">
        <f t="shared" ca="1" si="195"/>
        <v>a1GDm000000XyR8MAK</v>
      </c>
      <c r="B156" s="570">
        <v>8</v>
      </c>
      <c r="C156" s="572" t="str">
        <f ca="1">IFERROR(VLOOKUP(B156,'Impact Indicators - Section B '!$A$9:$AC$68,29,FALSE),"")</f>
        <v>HIV I-13 Percentage of people living with HIV</v>
      </c>
      <c r="D156" s="574" t="str">
        <f t="shared" ref="D156" ca="1" si="217">M156</f>
        <v>Gender | Age</v>
      </c>
      <c r="E156" s="574" t="str">
        <f t="shared" ref="E156" ca="1" si="218">N156</f>
        <v>Male 15-19</v>
      </c>
      <c r="F156" s="127"/>
      <c r="G156" s="576" t="str">
        <f ca="1">IF(OR(INDIRECT("'update Helper'!E"&amp;Q156)="",F156&lt;&gt;0,F157&lt;&gt;0),IF(IFERROR((F156/F157),"")="","",(F156/F157)),INDIRECT("'update Helper'!E"&amp;Q156)/100)</f>
        <v/>
      </c>
      <c r="H156" s="539"/>
      <c r="I156" s="578"/>
      <c r="J156" s="532" t="s">
        <v>2264</v>
      </c>
      <c r="K156" s="126">
        <f ca="1">IF(AND(EXACT(C156,C154),C154&lt;&gt;0),K154+1,0)</f>
        <v>3</v>
      </c>
      <c r="L156" s="126" t="str">
        <f ca="1">IF(C156&lt;&gt;"",C156&amp;"-"&amp;K156,"")</f>
        <v>HIV I-13 Percentage of people living with HIV-3</v>
      </c>
      <c r="M156" s="126" t="str">
        <f t="array" aca="1" ref="M156" ca="1">IFERROR(IF(INDEX('Disaggregation Records'!$E$3:$E$80,MATCH(RIGHT(L156,255),RIGHT('Disaggregation Records'!$D$3:$D$80,255),0))="","",INDEX('Disaggregation Records'!$E$3:$E$80,MATCH(RIGHT(L156,255),RIGHT('Disaggregation Records'!$D$3:$D$80,255),0))),"")</f>
        <v>Gender | Age</v>
      </c>
      <c r="N156" s="126" t="str">
        <f t="array" aca="1" ref="N156" ca="1">IFERROR(IF(INDEX('Disaggregation Records'!$F$3:$F$80,MATCH(RIGHT(L156,255),RIGHT('Disaggregation Records'!$D$3:$D$80,255),0))="","",INDEX('Disaggregation Records'!$F$3:$F$80,MATCH(RIGHT(L156,255),RIGHT('Disaggregation Records'!$D$3:$D$80,255),0))),"")</f>
        <v>Male 15-19</v>
      </c>
      <c r="O156" s="314" t="str">
        <f t="array" aca="1" ref="O156" ca="1">IFERROR(IF(INDEX('Disaggregation Records'!$H$3:$H$80,MATCH(RIGHT(L156,255),RIGHT('Disaggregation Records'!$D$3:$D$80,255),0))="","",INDEX('Disaggregation Records'!$H$3:$H$80,MATCH(RIGHT(L156,255),RIGHT('Disaggregation Records'!$D$3:$D$80,255),0))),"")</f>
        <v>IDR-01026</v>
      </c>
      <c r="P156" s="310"/>
      <c r="Q156" s="310">
        <f t="shared" ref="Q156" si="219">Q154+1</f>
        <v>1381</v>
      </c>
      <c r="R156" s="314" t="str" cm="1">
        <f t="array" aca="1" ref="R156" ca="1">IFERROR(IF(INDEX('Disaggregation Records'!$G$3:$G$80,MATCH(RIGHT(L156,255),RIGHT('Disaggregation Records'!$D$3:$D$80,255),0))="","",INDEX('Disaggregation Records'!$G$3:$G$80,MATCH(RIGHT(L156,255),RIGHT('Disaggregation Records'!$D$3:$D$80,255),0))),"")</f>
        <v>a1LDm000000CazIMAS</v>
      </c>
    </row>
    <row r="157" spans="1:18" ht="20.100000000000001" customHeight="1">
      <c r="B157" s="571">
        <v>5.9736842105263204</v>
      </c>
      <c r="C157" s="573"/>
      <c r="D157" s="575"/>
      <c r="E157" s="575"/>
      <c r="F157" s="128"/>
      <c r="G157" s="577"/>
      <c r="H157" s="540"/>
      <c r="I157" s="579"/>
      <c r="J157" s="533"/>
      <c r="K157" s="129"/>
      <c r="L157" s="129"/>
      <c r="M157" s="129"/>
      <c r="N157" s="129"/>
      <c r="O157" s="317"/>
      <c r="P157" s="310"/>
      <c r="Q157" s="314"/>
      <c r="R157" s="314" t="str" cm="1">
        <f t="array" ref="R157">IFERROR(IF(INDEX('Disaggregation Records'!$G$3:$G$80,MATCH(RIGHT(L157,255),RIGHT('Disaggregation Records'!$D$3:$D$80,255),0))="","",INDEX('Disaggregation Records'!$G$3:$G$80,MATCH(RIGHT(L157,255),RIGHT('Disaggregation Records'!$D$3:$D$80,255),0))),"")</f>
        <v/>
      </c>
    </row>
    <row r="158" spans="1:18" ht="20.100000000000001" customHeight="1">
      <c r="A158" s="126" t="str">
        <f t="shared" ref="A158" ca="1" si="220">INDIRECT("'update Helper'!C"&amp;Q158)</f>
        <v>a1GDm000000XyR9MAK</v>
      </c>
      <c r="B158" s="570">
        <v>8</v>
      </c>
      <c r="C158" s="572" t="str">
        <f ca="1">IFERROR(VLOOKUP(B158,'Impact Indicators - Section B '!$A$9:$AC$68,29,FALSE),"")</f>
        <v>HIV I-13 Percentage of people living with HIV</v>
      </c>
      <c r="D158" s="574" t="str">
        <f t="shared" ref="D158" ca="1" si="221">M158</f>
        <v>Gender</v>
      </c>
      <c r="E158" s="574" t="str">
        <f t="shared" ref="E158" ca="1" si="222">N158</f>
        <v>Male</v>
      </c>
      <c r="F158" s="127"/>
      <c r="G158" s="576" t="str">
        <f ca="1">IF(OR(INDIRECT("'update Helper'!E"&amp;Q158)="",F158&lt;&gt;0,F159&lt;&gt;0),IF(IFERROR((F158/F159),"")="","",(F158/F159)),INDIRECT("'update Helper'!E"&amp;Q158)/100)</f>
        <v/>
      </c>
      <c r="H158" s="539"/>
      <c r="I158" s="578"/>
      <c r="J158" s="532" t="s">
        <v>2264</v>
      </c>
      <c r="K158" s="126">
        <f ca="1">IF(AND(EXACT(C158,C156),C156&lt;&gt;0),K156+1,0)</f>
        <v>4</v>
      </c>
      <c r="L158" s="126" t="str">
        <f ca="1">IF(C158&lt;&gt;"",C158&amp;"-"&amp;K158,"")</f>
        <v>HIV I-13 Percentage of people living with HIV-4</v>
      </c>
      <c r="M158" s="126" t="str">
        <f t="array" aca="1" ref="M158" ca="1">IFERROR(IF(INDEX('Disaggregation Records'!$E$3:$E$80,MATCH(RIGHT(L158,255),RIGHT('Disaggregation Records'!$D$3:$D$80,255),0))="","",INDEX('Disaggregation Records'!$E$3:$E$80,MATCH(RIGHT(L158,255),RIGHT('Disaggregation Records'!$D$3:$D$80,255),0))),"")</f>
        <v>Gender</v>
      </c>
      <c r="N158" s="126" t="str">
        <f t="array" aca="1" ref="N158" ca="1">IFERROR(IF(INDEX('Disaggregation Records'!$F$3:$F$80,MATCH(RIGHT(L158,255),RIGHT('Disaggregation Records'!$D$3:$D$80,255),0))="","",INDEX('Disaggregation Records'!$F$3:$F$80,MATCH(RIGHT(L158,255),RIGHT('Disaggregation Records'!$D$3:$D$80,255),0))),"")</f>
        <v>Male</v>
      </c>
      <c r="O158" s="314" t="str">
        <f t="array" aca="1" ref="O158" ca="1">IFERROR(IF(INDEX('Disaggregation Records'!$H$3:$H$80,MATCH(RIGHT(L158,255),RIGHT('Disaggregation Records'!$D$3:$D$80,255),0))="","",INDEX('Disaggregation Records'!$H$3:$H$80,MATCH(RIGHT(L158,255),RIGHT('Disaggregation Records'!$D$3:$D$80,255),0))),"")</f>
        <v>IDR-01025</v>
      </c>
      <c r="P158" s="314"/>
      <c r="Q158" s="310">
        <f t="shared" ref="Q158" si="223">Q156+1</f>
        <v>1382</v>
      </c>
      <c r="R158" s="314" t="str" cm="1">
        <f t="array" aca="1" ref="R158" ca="1">IFERROR(IF(INDEX('Disaggregation Records'!$G$3:$G$80,MATCH(RIGHT(L158,255),RIGHT('Disaggregation Records'!$D$3:$D$80,255),0))="","",INDEX('Disaggregation Records'!$G$3:$G$80,MATCH(RIGHT(L158,255),RIGHT('Disaggregation Records'!$D$3:$D$80,255),0))),"")</f>
        <v>a1LDm000000CazHMAS</v>
      </c>
    </row>
    <row r="159" spans="1:18" ht="20.100000000000001" customHeight="1">
      <c r="A159" s="126"/>
      <c r="B159" s="571">
        <v>5.9736842105263204</v>
      </c>
      <c r="C159" s="573"/>
      <c r="D159" s="575"/>
      <c r="E159" s="575"/>
      <c r="F159" s="128"/>
      <c r="G159" s="577"/>
      <c r="H159" s="540"/>
      <c r="I159" s="579"/>
      <c r="J159" s="533"/>
      <c r="K159" s="129"/>
      <c r="L159" s="129"/>
      <c r="M159" s="129"/>
      <c r="N159" s="129"/>
      <c r="O159" s="317"/>
      <c r="P159" s="317"/>
      <c r="Q159" s="314"/>
      <c r="R159" s="314" t="str" cm="1">
        <f t="array" ref="R159">IFERROR(IF(INDEX('Disaggregation Records'!$G$3:$G$80,MATCH(RIGHT(L159,255),RIGHT('Disaggregation Records'!$D$3:$D$80,255),0))="","",INDEX('Disaggregation Records'!$G$3:$G$80,MATCH(RIGHT(L159,255),RIGHT('Disaggregation Records'!$D$3:$D$80,255),0))),"")</f>
        <v/>
      </c>
    </row>
    <row r="160" spans="1:18" ht="20.100000000000001" customHeight="1">
      <c r="A160" s="126" t="str">
        <f t="shared" ca="1" si="195"/>
        <v>a1GDm000000XyRCMA0</v>
      </c>
      <c r="B160" s="570">
        <v>8</v>
      </c>
      <c r="C160" s="572" t="str">
        <f ca="1">IFERROR(VLOOKUP(B160,'Impact Indicators - Section B '!$A$9:$AC$68,29,FALSE),"")</f>
        <v>HIV I-13 Percentage of people living with HIV</v>
      </c>
      <c r="D160" s="574" t="str">
        <f t="shared" ref="D160" ca="1" si="224">M160</f>
        <v>Gender | Age</v>
      </c>
      <c r="E160" s="574" t="str">
        <f t="shared" ref="E160" ca="1" si="225">N160</f>
        <v>Female 20-24</v>
      </c>
      <c r="F160" s="127"/>
      <c r="G160" s="576" t="str">
        <f ca="1">IF(OR(INDIRECT("'update Helper'!E"&amp;Q160)="",F160&lt;&gt;0,F161&lt;&gt;0),IF(IFERROR((F160/F161),"")="","",(F160/F161)),INDIRECT("'update Helper'!E"&amp;Q160)/100)</f>
        <v/>
      </c>
      <c r="H160" s="539"/>
      <c r="I160" s="578"/>
      <c r="J160" s="532" t="s">
        <v>2265</v>
      </c>
      <c r="K160" s="126">
        <f ca="1">IF(AND(EXACT(C160,C158),C158&lt;&gt;0),K158+1,0)</f>
        <v>5</v>
      </c>
      <c r="L160" s="126" t="str">
        <f ca="1">IF(C160&lt;&gt;"",C160&amp;"-"&amp;K160,"")</f>
        <v>HIV I-13 Percentage of people living with HIV-5</v>
      </c>
      <c r="M160" s="126" t="str">
        <f t="array" aca="1" ref="M160" ca="1">IFERROR(IF(INDEX('Disaggregation Records'!$E$3:$E$80,MATCH(RIGHT(L160,255),RIGHT('Disaggregation Records'!$D$3:$D$80,255),0))="","",INDEX('Disaggregation Records'!$E$3:$E$80,MATCH(RIGHT(L160,255),RIGHT('Disaggregation Records'!$D$3:$D$80,255),0))),"")</f>
        <v>Gender | Age</v>
      </c>
      <c r="N160" s="126" t="str">
        <f t="array" aca="1" ref="N160" ca="1">IFERROR(IF(INDEX('Disaggregation Records'!$F$3:$F$80,MATCH(RIGHT(L160,255),RIGHT('Disaggregation Records'!$D$3:$D$80,255),0))="","",INDEX('Disaggregation Records'!$F$3:$F$80,MATCH(RIGHT(L160,255),RIGHT('Disaggregation Records'!$D$3:$D$80,255),0))),"")</f>
        <v>Female 20-24</v>
      </c>
      <c r="O160" s="314" t="str">
        <f t="array" aca="1" ref="O160" ca="1">IFERROR(IF(INDEX('Disaggregation Records'!$H$3:$H$80,MATCH(RIGHT(L160,255),RIGHT('Disaggregation Records'!$D$3:$D$80,255),0))="","",INDEX('Disaggregation Records'!$H$3:$H$80,MATCH(RIGHT(L160,255),RIGHT('Disaggregation Records'!$D$3:$D$80,255),0))),"")</f>
        <v>IDR-01024</v>
      </c>
      <c r="P160" s="310"/>
      <c r="Q160" s="310">
        <f t="shared" ref="Q160" si="226">Q158+1</f>
        <v>1383</v>
      </c>
      <c r="R160" s="314" t="str" cm="1">
        <f t="array" aca="1" ref="R160" ca="1">IFERROR(IF(INDEX('Disaggregation Records'!$G$3:$G$80,MATCH(RIGHT(L160,255),RIGHT('Disaggregation Records'!$D$3:$D$80,255),0))="","",INDEX('Disaggregation Records'!$G$3:$G$80,MATCH(RIGHT(L160,255),RIGHT('Disaggregation Records'!$D$3:$D$80,255),0))),"")</f>
        <v>a1LDm000000CazGMAS</v>
      </c>
    </row>
    <row r="161" spans="1:18" ht="20.100000000000001" customHeight="1">
      <c r="B161" s="571">
        <v>5.9736842105263204</v>
      </c>
      <c r="C161" s="573"/>
      <c r="D161" s="575"/>
      <c r="E161" s="575"/>
      <c r="F161" s="128"/>
      <c r="G161" s="577"/>
      <c r="H161" s="540"/>
      <c r="I161" s="579"/>
      <c r="J161" s="533"/>
      <c r="K161" s="129"/>
      <c r="L161" s="129"/>
      <c r="M161" s="129"/>
      <c r="N161" s="129"/>
      <c r="O161" s="317"/>
      <c r="P161" s="310"/>
      <c r="Q161" s="314"/>
      <c r="R161" s="314" t="str" cm="1">
        <f t="array" ref="R161">IFERROR(IF(INDEX('Disaggregation Records'!$G$3:$G$80,MATCH(RIGHT(L161,255),RIGHT('Disaggregation Records'!$D$3:$D$80,255),0))="","",INDEX('Disaggregation Records'!$G$3:$G$80,MATCH(RIGHT(L161,255),RIGHT('Disaggregation Records'!$D$3:$D$80,255),0))),"")</f>
        <v/>
      </c>
    </row>
    <row r="162" spans="1:18" ht="20.100000000000001" customHeight="1">
      <c r="A162" s="126" t="str">
        <f t="shared" ref="A162" ca="1" si="227">INDIRECT("'update Helper'!C"&amp;Q162)</f>
        <v>a1GDm000000XyRDMA0</v>
      </c>
      <c r="B162" s="570">
        <v>8</v>
      </c>
      <c r="C162" s="572" t="str">
        <f ca="1">IFERROR(VLOOKUP(B162,'Impact Indicators - Section B '!$A$9:$AC$68,29,FALSE),"")</f>
        <v>HIV I-13 Percentage of people living with HIV</v>
      </c>
      <c r="D162" s="574" t="str">
        <f t="shared" ref="D162" ca="1" si="228">M162</f>
        <v>Gender | Age</v>
      </c>
      <c r="E162" s="574" t="str">
        <f t="shared" ref="E162" ca="1" si="229">N162</f>
        <v>Female 15-19</v>
      </c>
      <c r="F162" s="127"/>
      <c r="G162" s="576" t="str">
        <f ca="1">IF(OR(INDIRECT("'update Helper'!E"&amp;Q162)="",F162&lt;&gt;0,F163&lt;&gt;0),IF(IFERROR((F162/F163),"")="","",(F162/F163)),INDIRECT("'update Helper'!E"&amp;Q162)/100)</f>
        <v/>
      </c>
      <c r="H162" s="539"/>
      <c r="I162" s="578"/>
      <c r="J162" s="532" t="s">
        <v>2264</v>
      </c>
      <c r="K162" s="126">
        <f ca="1">IF(AND(EXACT(C162,C160),C160&lt;&gt;0),K160+1,0)</f>
        <v>6</v>
      </c>
      <c r="L162" s="126" t="str">
        <f ca="1">IF(C162&lt;&gt;"",C162&amp;"-"&amp;K162,"")</f>
        <v>HIV I-13 Percentage of people living with HIV-6</v>
      </c>
      <c r="M162" s="126" t="str">
        <f t="array" aca="1" ref="M162" ca="1">IFERROR(IF(INDEX('Disaggregation Records'!$E$3:$E$80,MATCH(RIGHT(L162,255),RIGHT('Disaggregation Records'!$D$3:$D$80,255),0))="","",INDEX('Disaggregation Records'!$E$3:$E$80,MATCH(RIGHT(L162,255),RIGHT('Disaggregation Records'!$D$3:$D$80,255),0))),"")</f>
        <v>Gender | Age</v>
      </c>
      <c r="N162" s="126" t="str">
        <f t="array" aca="1" ref="N162" ca="1">IFERROR(IF(INDEX('Disaggregation Records'!$F$3:$F$80,MATCH(RIGHT(L162,255),RIGHT('Disaggregation Records'!$D$3:$D$80,255),0))="","",INDEX('Disaggregation Records'!$F$3:$F$80,MATCH(RIGHT(L162,255),RIGHT('Disaggregation Records'!$D$3:$D$80,255),0))),"")</f>
        <v>Female 15-19</v>
      </c>
      <c r="O162" s="314" t="str">
        <f t="array" aca="1" ref="O162" ca="1">IFERROR(IF(INDEX('Disaggregation Records'!$H$3:$H$80,MATCH(RIGHT(L162,255),RIGHT('Disaggregation Records'!$D$3:$D$80,255),0))="","",INDEX('Disaggregation Records'!$H$3:$H$80,MATCH(RIGHT(L162,255),RIGHT('Disaggregation Records'!$D$3:$D$80,255),0))),"")</f>
        <v>IDR-01023</v>
      </c>
      <c r="P162" s="314"/>
      <c r="Q162" s="310">
        <f t="shared" ref="Q162" si="230">Q160+1</f>
        <v>1384</v>
      </c>
      <c r="R162" s="314" t="str" cm="1">
        <f t="array" aca="1" ref="R162" ca="1">IFERROR(IF(INDEX('Disaggregation Records'!$G$3:$G$80,MATCH(RIGHT(L162,255),RIGHT('Disaggregation Records'!$D$3:$D$80,255),0))="","",INDEX('Disaggregation Records'!$G$3:$G$80,MATCH(RIGHT(L162,255),RIGHT('Disaggregation Records'!$D$3:$D$80,255),0))),"")</f>
        <v>a1LDm000000CazFMAS</v>
      </c>
    </row>
    <row r="163" spans="1:18" ht="20.100000000000001" customHeight="1">
      <c r="A163" s="126"/>
      <c r="B163" s="571">
        <v>5.9736842105263204</v>
      </c>
      <c r="C163" s="573"/>
      <c r="D163" s="575"/>
      <c r="E163" s="575"/>
      <c r="F163" s="128"/>
      <c r="G163" s="577"/>
      <c r="H163" s="540"/>
      <c r="I163" s="579"/>
      <c r="J163" s="533"/>
      <c r="K163" s="129"/>
      <c r="L163" s="129"/>
      <c r="M163" s="129"/>
      <c r="N163" s="129"/>
      <c r="O163" s="317"/>
      <c r="P163" s="317"/>
      <c r="Q163" s="314"/>
      <c r="R163" s="314" t="str" cm="1">
        <f t="array" ref="R163">IFERROR(IF(INDEX('Disaggregation Records'!$G$3:$G$80,MATCH(RIGHT(L163,255),RIGHT('Disaggregation Records'!$D$3:$D$80,255),0))="","",INDEX('Disaggregation Records'!$G$3:$G$80,MATCH(RIGHT(L163,255),RIGHT('Disaggregation Records'!$D$3:$D$80,255),0))),"")</f>
        <v/>
      </c>
    </row>
    <row r="164" spans="1:18" ht="20.100000000000001" customHeight="1">
      <c r="A164" s="126" t="str">
        <f t="shared" ca="1" si="195"/>
        <v>a1GDm000000XyREMA0</v>
      </c>
      <c r="B164" s="570">
        <v>8</v>
      </c>
      <c r="C164" s="572" t="str">
        <f ca="1">IFERROR(VLOOKUP(B164,'Impact Indicators - Section B '!$A$9:$AC$68,29,FALSE),"")</f>
        <v>HIV I-13 Percentage of people living with HIV</v>
      </c>
      <c r="D164" s="574" t="str">
        <f t="shared" ref="D164" ca="1" si="231">M164</f>
        <v>Gender</v>
      </c>
      <c r="E164" s="574" t="str">
        <f t="shared" ref="E164" ca="1" si="232">N164</f>
        <v>Female</v>
      </c>
      <c r="F164" s="127"/>
      <c r="G164" s="576" t="str">
        <f ca="1">IF(OR(INDIRECT("'update Helper'!E"&amp;Q164)="",F164&lt;&gt;0,F165&lt;&gt;0),IF(IFERROR((F164/F165),"")="","",(F164/F165)),INDIRECT("'update Helper'!E"&amp;Q164)/100)</f>
        <v/>
      </c>
      <c r="H164" s="539"/>
      <c r="I164" s="578"/>
      <c r="J164" s="532" t="s">
        <v>2264</v>
      </c>
      <c r="K164" s="126">
        <f ca="1">IF(AND(EXACT(C164,C162),C162&lt;&gt;0),K162+1,0)</f>
        <v>7</v>
      </c>
      <c r="L164" s="126" t="str">
        <f ca="1">IF(C164&lt;&gt;"",C164&amp;"-"&amp;K164,"")</f>
        <v>HIV I-13 Percentage of people living with HIV-7</v>
      </c>
      <c r="M164" s="126" t="str">
        <f t="array" aca="1" ref="M164" ca="1">IFERROR(IF(INDEX('Disaggregation Records'!$E$3:$E$80,MATCH(RIGHT(L164,255),RIGHT('Disaggregation Records'!$D$3:$D$80,255),0))="","",INDEX('Disaggregation Records'!$E$3:$E$80,MATCH(RIGHT(L164,255),RIGHT('Disaggregation Records'!$D$3:$D$80,255),0))),"")</f>
        <v>Gender</v>
      </c>
      <c r="N164" s="126" t="str">
        <f t="array" aca="1" ref="N164" ca="1">IFERROR(IF(INDEX('Disaggregation Records'!$F$3:$F$80,MATCH(RIGHT(L164,255),RIGHT('Disaggregation Records'!$D$3:$D$80,255),0))="","",INDEX('Disaggregation Records'!$F$3:$F$80,MATCH(RIGHT(L164,255),RIGHT('Disaggregation Records'!$D$3:$D$80,255),0))),"")</f>
        <v>Female</v>
      </c>
      <c r="O164" s="314" t="str">
        <f t="array" aca="1" ref="O164" ca="1">IFERROR(IF(INDEX('Disaggregation Records'!$H$3:$H$80,MATCH(RIGHT(L164,255),RIGHT('Disaggregation Records'!$D$3:$D$80,255),0))="","",INDEX('Disaggregation Records'!$H$3:$H$80,MATCH(RIGHT(L164,255),RIGHT('Disaggregation Records'!$D$3:$D$80,255),0))),"")</f>
        <v>IDR-01022</v>
      </c>
      <c r="P164" s="310"/>
      <c r="Q164" s="310">
        <f t="shared" ref="Q164" si="233">Q162+1</f>
        <v>1385</v>
      </c>
      <c r="R164" s="314" t="str" cm="1">
        <f t="array" aca="1" ref="R164" ca="1">IFERROR(IF(INDEX('Disaggregation Records'!$G$3:$G$80,MATCH(RIGHT(L164,255),RIGHT('Disaggregation Records'!$D$3:$D$80,255),0))="","",INDEX('Disaggregation Records'!$G$3:$G$80,MATCH(RIGHT(L164,255),RIGHT('Disaggregation Records'!$D$3:$D$80,255),0))),"")</f>
        <v>a1LDm000000CazEMAS</v>
      </c>
    </row>
    <row r="165" spans="1:18" ht="20.100000000000001" customHeight="1">
      <c r="B165" s="571">
        <v>5.9736842105263204</v>
      </c>
      <c r="C165" s="573"/>
      <c r="D165" s="575"/>
      <c r="E165" s="575"/>
      <c r="F165" s="128"/>
      <c r="G165" s="577"/>
      <c r="H165" s="540"/>
      <c r="I165" s="579"/>
      <c r="J165" s="533"/>
      <c r="K165" s="129"/>
      <c r="L165" s="129"/>
      <c r="M165" s="129"/>
      <c r="N165" s="129"/>
      <c r="O165" s="317"/>
      <c r="P165" s="310"/>
      <c r="Q165" s="314"/>
      <c r="R165" s="314" t="str" cm="1">
        <f t="array" ref="R165">IFERROR(IF(INDEX('Disaggregation Records'!$G$3:$G$80,MATCH(RIGHT(L165,255),RIGHT('Disaggregation Records'!$D$3:$D$80,255),0))="","",INDEX('Disaggregation Records'!$G$3:$G$80,MATCH(RIGHT(L165,255),RIGHT('Disaggregation Records'!$D$3:$D$80,255),0))),"")</f>
        <v/>
      </c>
    </row>
    <row r="166" spans="1:18" ht="20.100000000000001" customHeight="1">
      <c r="A166" s="126" t="str">
        <f t="shared" ref="A166" ca="1" si="234">INDIRECT("'update Helper'!C"&amp;Q166)</f>
        <v>a1GDm000000XyRAMA0</v>
      </c>
      <c r="B166" s="570">
        <v>8</v>
      </c>
      <c r="C166" s="572" t="str">
        <f ca="1">IFERROR(VLOOKUP(B166,'Impact Indicators - Section B '!$A$9:$AC$68,29,FALSE),"")</f>
        <v>HIV I-13 Percentage of people living with HIV</v>
      </c>
      <c r="D166" s="574" t="str">
        <f t="shared" ref="D166" ca="1" si="235">M166</f>
        <v/>
      </c>
      <c r="E166" s="574" t="str">
        <f t="shared" ref="E166" ca="1" si="236">N166</f>
        <v/>
      </c>
      <c r="F166" s="127"/>
      <c r="G166" s="576" t="str">
        <f ca="1">IF(OR(INDIRECT("'update Helper'!E"&amp;Q166)="",F166&lt;&gt;0,F167&lt;&gt;0),IF(IFERROR((F166/F167),"")="","",(F166/F167)),INDIRECT("'update Helper'!E"&amp;Q166)/100)</f>
        <v/>
      </c>
      <c r="H166" s="539"/>
      <c r="I166" s="578"/>
      <c r="J166" s="532"/>
      <c r="K166" s="126">
        <f ca="1">IF(AND(EXACT(C166,C164),C164&lt;&gt;0),K164+1,0)</f>
        <v>8</v>
      </c>
      <c r="L166" s="126" t="str">
        <f ca="1">IF(C166&lt;&gt;"",C166&amp;"-"&amp;K166,"")</f>
        <v>HIV I-13 Percentage of people living with HIV-8</v>
      </c>
      <c r="M166" s="126" t="str">
        <f t="array" aca="1" ref="M166" ca="1">IFERROR(IF(INDEX('Disaggregation Records'!$E$3:$E$80,MATCH(RIGHT(L166,255),RIGHT('Disaggregation Records'!$D$3:$D$80,255),0))="","",INDEX('Disaggregation Records'!$E$3:$E$80,MATCH(RIGHT(L166,255),RIGHT('Disaggregation Records'!$D$3:$D$80,255),0))),"")</f>
        <v/>
      </c>
      <c r="N166" s="126" t="str">
        <f t="array" aca="1" ref="N166" ca="1">IFERROR(IF(INDEX('Disaggregation Records'!$F$3:$F$80,MATCH(RIGHT(L166,255),RIGHT('Disaggregation Records'!$D$3:$D$80,255),0))="","",INDEX('Disaggregation Records'!$F$3:$F$80,MATCH(RIGHT(L166,255),RIGHT('Disaggregation Records'!$D$3:$D$80,255),0))),"")</f>
        <v/>
      </c>
      <c r="O166" s="314" t="str">
        <f t="array" aca="1" ref="O166" ca="1">IFERROR(IF(INDEX('Disaggregation Records'!$H$3:$H$80,MATCH(RIGHT(L166,255),RIGHT('Disaggregation Records'!$D$3:$D$80,255),0))="","",INDEX('Disaggregation Records'!$H$3:$H$80,MATCH(RIGHT(L166,255),RIGHT('Disaggregation Records'!$D$3:$D$80,255),0))),"")</f>
        <v/>
      </c>
      <c r="P166" s="314"/>
      <c r="Q166" s="310">
        <f t="shared" ref="Q166" si="237">Q164+1</f>
        <v>1386</v>
      </c>
      <c r="R166" s="314" t="str" cm="1">
        <f t="array" aca="1" ref="R166" ca="1">IFERROR(IF(INDEX('Disaggregation Records'!$G$3:$G$80,MATCH(RIGHT(L166,255),RIGHT('Disaggregation Records'!$D$3:$D$80,255),0))="","",INDEX('Disaggregation Records'!$G$3:$G$80,MATCH(RIGHT(L166,255),RIGHT('Disaggregation Records'!$D$3:$D$80,255),0))),"")</f>
        <v/>
      </c>
    </row>
    <row r="167" spans="1:18" ht="20.100000000000001" customHeight="1">
      <c r="A167" s="126"/>
      <c r="B167" s="571">
        <v>5.9736842105263204</v>
      </c>
      <c r="C167" s="573"/>
      <c r="D167" s="575"/>
      <c r="E167" s="575"/>
      <c r="F167" s="128"/>
      <c r="G167" s="577"/>
      <c r="H167" s="540"/>
      <c r="I167" s="579"/>
      <c r="J167" s="533"/>
      <c r="K167" s="129"/>
      <c r="L167" s="129"/>
      <c r="M167" s="129"/>
      <c r="N167" s="129"/>
      <c r="O167" s="317"/>
      <c r="P167" s="317"/>
      <c r="Q167" s="314"/>
      <c r="R167" s="314" t="str" cm="1">
        <f t="array" ref="R167">IFERROR(IF(INDEX('Disaggregation Records'!$G$3:$G$80,MATCH(RIGHT(L167,255),RIGHT('Disaggregation Records'!$D$3:$D$80,255),0))="","",INDEX('Disaggregation Records'!$G$3:$G$80,MATCH(RIGHT(L167,255),RIGHT('Disaggregation Records'!$D$3:$D$80,255),0))),"")</f>
        <v/>
      </c>
    </row>
    <row r="168" spans="1:18" ht="20.100000000000001" customHeight="1">
      <c r="A168" s="126" t="str">
        <f t="shared" ca="1" si="195"/>
        <v>a1GDm000000XyRBMA0</v>
      </c>
      <c r="B168" s="570">
        <v>8</v>
      </c>
      <c r="C168" s="572" t="str">
        <f ca="1">IFERROR(VLOOKUP(B168,'Impact Indicators - Section B '!$A$9:$AC$68,29,FALSE),"")</f>
        <v>HIV I-13 Percentage of people living with HIV</v>
      </c>
      <c r="D168" s="574" t="str">
        <f t="shared" ref="D168" ca="1" si="238">M168</f>
        <v/>
      </c>
      <c r="E168" s="574" t="str">
        <f t="shared" ref="E168" ca="1" si="239">N168</f>
        <v/>
      </c>
      <c r="F168" s="127"/>
      <c r="G168" s="576" t="str">
        <f ca="1">IF(OR(INDIRECT("'update Helper'!E"&amp;Q168)="",F168&lt;&gt;0,F169&lt;&gt;0),IF(IFERROR((F168/F169),"")="","",(F168/F169)),INDIRECT("'update Helper'!E"&amp;Q168)/100)</f>
        <v/>
      </c>
      <c r="H168" s="539"/>
      <c r="I168" s="578"/>
      <c r="J168" s="532"/>
      <c r="K168" s="126">
        <f ca="1">IF(AND(EXACT(C168,C166),C166&lt;&gt;0),K166+1,0)</f>
        <v>9</v>
      </c>
      <c r="L168" s="126" t="str">
        <f ca="1">IF(C168&lt;&gt;"",C168&amp;"-"&amp;K168,"")</f>
        <v>HIV I-13 Percentage of people living with HIV-9</v>
      </c>
      <c r="M168" s="126" t="str">
        <f t="array" aca="1" ref="M168" ca="1">IFERROR(IF(INDEX('Disaggregation Records'!$E$3:$E$80,MATCH(RIGHT(L168,255),RIGHT('Disaggregation Records'!$D$3:$D$80,255),0))="","",INDEX('Disaggregation Records'!$E$3:$E$80,MATCH(RIGHT(L168,255),RIGHT('Disaggregation Records'!$D$3:$D$80,255),0))),"")</f>
        <v/>
      </c>
      <c r="N168" s="126" t="str">
        <f t="array" aca="1" ref="N168" ca="1">IFERROR(IF(INDEX('Disaggregation Records'!$F$3:$F$80,MATCH(RIGHT(L168,255),RIGHT('Disaggregation Records'!$D$3:$D$80,255),0))="","",INDEX('Disaggregation Records'!$F$3:$F$80,MATCH(RIGHT(L168,255),RIGHT('Disaggregation Records'!$D$3:$D$80,255),0))),"")</f>
        <v/>
      </c>
      <c r="O168" s="314" t="str">
        <f t="array" aca="1" ref="O168" ca="1">IFERROR(IF(INDEX('Disaggregation Records'!$H$3:$H$80,MATCH(RIGHT(L168,255),RIGHT('Disaggregation Records'!$D$3:$D$80,255),0))="","",INDEX('Disaggregation Records'!$H$3:$H$80,MATCH(RIGHT(L168,255),RIGHT('Disaggregation Records'!$D$3:$D$80,255),0))),"")</f>
        <v/>
      </c>
      <c r="P168" s="310"/>
      <c r="Q168" s="310">
        <f t="shared" ref="Q168" si="240">Q166+1</f>
        <v>1387</v>
      </c>
      <c r="R168" s="314" t="str" cm="1">
        <f t="array" aca="1" ref="R168" ca="1">IFERROR(IF(INDEX('Disaggregation Records'!$G$3:$G$80,MATCH(RIGHT(L168,255),RIGHT('Disaggregation Records'!$D$3:$D$80,255),0))="","",INDEX('Disaggregation Records'!$G$3:$G$80,MATCH(RIGHT(L168,255),RIGHT('Disaggregation Records'!$D$3:$D$80,255),0))),"")</f>
        <v/>
      </c>
    </row>
    <row r="169" spans="1:18" ht="20.100000000000001" customHeight="1">
      <c r="B169" s="571">
        <v>5.9736842105263204</v>
      </c>
      <c r="C169" s="573"/>
      <c r="D169" s="575"/>
      <c r="E169" s="575"/>
      <c r="F169" s="128"/>
      <c r="G169" s="577"/>
      <c r="H169" s="540"/>
      <c r="I169" s="579"/>
      <c r="J169" s="533"/>
      <c r="K169" s="129"/>
      <c r="L169" s="129"/>
      <c r="M169" s="129"/>
      <c r="N169" s="129"/>
      <c r="O169" s="317"/>
      <c r="P169" s="310"/>
      <c r="Q169" s="314"/>
      <c r="R169" s="314" t="str" cm="1">
        <f t="array" ref="R169">IFERROR(IF(INDEX('Disaggregation Records'!$G$3:$G$80,MATCH(RIGHT(L169,255),RIGHT('Disaggregation Records'!$D$3:$D$80,255),0))="","",INDEX('Disaggregation Records'!$G$3:$G$80,MATCH(RIGHT(L169,255),RIGHT('Disaggregation Records'!$D$3:$D$80,255),0))),"")</f>
        <v/>
      </c>
    </row>
    <row r="170" spans="1:18" ht="20.100000000000001" customHeight="1">
      <c r="A170" s="126" t="str">
        <f t="shared" ref="A170" ca="1" si="241">INDIRECT("'update Helper'!C"&amp;Q170)</f>
        <v>a1GDm000000XyRFMA0</v>
      </c>
      <c r="B170" s="570">
        <v>9</v>
      </c>
      <c r="C170" s="572" t="str">
        <f ca="1">IFERROR(VLOOKUP(B170,'Impact Indicators - Section B '!$A$9:$AC$68,29,FALSE),"")</f>
        <v>HIV I-14 Number of new HIV infections per 1000 uninfected population</v>
      </c>
      <c r="D170" s="574" t="str">
        <f t="shared" ref="D170" ca="1" si="242">M170</f>
        <v>Age</v>
      </c>
      <c r="E170" s="574" t="str">
        <f t="shared" ref="E170" ca="1" si="243">N170</f>
        <v>15+</v>
      </c>
      <c r="F170" s="127">
        <v>8528</v>
      </c>
      <c r="G170" s="576" t="str">
        <f ca="1">IF(OR(INDIRECT("'update Helper'!E"&amp;Q170)="",F170&lt;&gt;0,F171&lt;&gt;0),IF(IFERROR((F170/F171),"")="","",(F170/F171)),INDIRECT("'update Helper'!E"&amp;Q170)/100)</f>
        <v/>
      </c>
      <c r="H170" s="539">
        <v>2022</v>
      </c>
      <c r="I170" s="578" t="s">
        <v>2266</v>
      </c>
      <c r="J170" s="532"/>
      <c r="K170" s="126">
        <f ca="1">IF(AND(EXACT(C170,C168),C168&lt;&gt;0),K168+1,0)</f>
        <v>0</v>
      </c>
      <c r="L170" s="126" t="str">
        <f ca="1">IF(C170&lt;&gt;"",C170&amp;"-"&amp;K170,"")</f>
        <v>HIV I-14 Number of new HIV infections per 1000 uninfected population-0</v>
      </c>
      <c r="M170" s="126" t="str">
        <f t="array" aca="1" ref="M170" ca="1">IFERROR(IF(INDEX('Disaggregation Records'!$E$3:$E$80,MATCH(RIGHT(L170,255),RIGHT('Disaggregation Records'!$D$3:$D$80,255),0))="","",INDEX('Disaggregation Records'!$E$3:$E$80,MATCH(RIGHT(L170,255),RIGHT('Disaggregation Records'!$D$3:$D$80,255),0))),"")</f>
        <v>Age</v>
      </c>
      <c r="N170" s="126" t="str">
        <f t="array" aca="1" ref="N170" ca="1">IFERROR(IF(INDEX('Disaggregation Records'!$F$3:$F$80,MATCH(RIGHT(L170,255),RIGHT('Disaggregation Records'!$D$3:$D$80,255),0))="","",INDEX('Disaggregation Records'!$F$3:$F$80,MATCH(RIGHT(L170,255),RIGHT('Disaggregation Records'!$D$3:$D$80,255),0))),"")</f>
        <v>15+</v>
      </c>
      <c r="O170" s="314" t="str">
        <f t="array" aca="1" ref="O170" ca="1">IFERROR(IF(INDEX('Disaggregation Records'!$H$3:$H$80,MATCH(RIGHT(L170,255),RIGHT('Disaggregation Records'!$D$3:$D$80,255),0))="","",INDEX('Disaggregation Records'!$H$3:$H$80,MATCH(RIGHT(L170,255),RIGHT('Disaggregation Records'!$D$3:$D$80,255),0))),"")</f>
        <v>IDR-01037</v>
      </c>
      <c r="P170" s="314"/>
      <c r="Q170" s="310">
        <f t="shared" ref="Q170" si="244">Q168+1</f>
        <v>1388</v>
      </c>
      <c r="R170" s="314" t="str" cm="1">
        <f t="array" aca="1" ref="R170" ca="1">IFERROR(IF(INDEX('Disaggregation Records'!$G$3:$G$80,MATCH(RIGHT(L170,255),RIGHT('Disaggregation Records'!$D$3:$D$80,255),0))="","",INDEX('Disaggregation Records'!$G$3:$G$80,MATCH(RIGHT(L170,255),RIGHT('Disaggregation Records'!$D$3:$D$80,255),0))),"")</f>
        <v>a1LDm000000CazTMAS</v>
      </c>
    </row>
    <row r="171" spans="1:18" ht="20.100000000000001" customHeight="1">
      <c r="A171" s="126"/>
      <c r="B171" s="571">
        <v>6.6879699248120303</v>
      </c>
      <c r="C171" s="573"/>
      <c r="D171" s="575"/>
      <c r="E171" s="575"/>
      <c r="F171" s="128"/>
      <c r="G171" s="577"/>
      <c r="H171" s="540"/>
      <c r="I171" s="579"/>
      <c r="J171" s="533"/>
      <c r="K171" s="129"/>
      <c r="L171" s="129"/>
      <c r="M171" s="129"/>
      <c r="N171" s="129"/>
      <c r="O171" s="317"/>
      <c r="P171" s="317"/>
      <c r="Q171" s="314"/>
      <c r="R171" s="314" t="str" cm="1">
        <f t="array" ref="R171">IFERROR(IF(INDEX('Disaggregation Records'!$G$3:$G$80,MATCH(RIGHT(L171,255),RIGHT('Disaggregation Records'!$D$3:$D$80,255),0))="","",INDEX('Disaggregation Records'!$G$3:$G$80,MATCH(RIGHT(L171,255),RIGHT('Disaggregation Records'!$D$3:$D$80,255),0))),"")</f>
        <v/>
      </c>
    </row>
    <row r="172" spans="1:18" ht="20.100000000000001" customHeight="1">
      <c r="A172" s="126" t="str">
        <f t="shared" ca="1" si="195"/>
        <v>a1GDm000000XyRGMA0</v>
      </c>
      <c r="B172" s="570">
        <v>9</v>
      </c>
      <c r="C172" s="572" t="str">
        <f ca="1">IFERROR(VLOOKUP(B172,'Impact Indicators - Section B '!$A$9:$AC$68,29,FALSE),"")</f>
        <v>HIV I-14 Number of new HIV infections per 1000 uninfected population</v>
      </c>
      <c r="D172" s="574" t="str">
        <f t="shared" ref="D172" ca="1" si="245">M172</f>
        <v>Age</v>
      </c>
      <c r="E172" s="574" t="str">
        <f t="shared" ref="E172" ca="1" si="246">N172</f>
        <v>&lt;15</v>
      </c>
      <c r="F172" s="127">
        <v>12558</v>
      </c>
      <c r="G172" s="576" t="str">
        <f ca="1">IF(OR(INDIRECT("'update Helper'!E"&amp;Q172)="",F172&lt;&gt;0,F173&lt;&gt;0),IF(IFERROR((F172/F173),"")="","",(F172/F173)),INDIRECT("'update Helper'!E"&amp;Q172)/100)</f>
        <v/>
      </c>
      <c r="H172" s="539">
        <v>2022</v>
      </c>
      <c r="I172" s="578" t="s">
        <v>2266</v>
      </c>
      <c r="J172" s="532"/>
      <c r="K172" s="126">
        <f ca="1">IF(AND(EXACT(C172,C170),C170&lt;&gt;0),K170+1,0)</f>
        <v>1</v>
      </c>
      <c r="L172" s="126" t="str">
        <f ca="1">IF(C172&lt;&gt;"",C172&amp;"-"&amp;K172,"")</f>
        <v>HIV I-14 Number of new HIV infections per 1000 uninfected population-1</v>
      </c>
      <c r="M172" s="126" t="str">
        <f t="array" aca="1" ref="M172" ca="1">IFERROR(IF(INDEX('Disaggregation Records'!$E$3:$E$80,MATCH(RIGHT(L172,255),RIGHT('Disaggregation Records'!$D$3:$D$80,255),0))="","",INDEX('Disaggregation Records'!$E$3:$E$80,MATCH(RIGHT(L172,255),RIGHT('Disaggregation Records'!$D$3:$D$80,255),0))),"")</f>
        <v>Age</v>
      </c>
      <c r="N172" s="126" t="str">
        <f t="array" aca="1" ref="N172" ca="1">IFERROR(IF(INDEX('Disaggregation Records'!$F$3:$F$80,MATCH(RIGHT(L172,255),RIGHT('Disaggregation Records'!$D$3:$D$80,255),0))="","",INDEX('Disaggregation Records'!$F$3:$F$80,MATCH(RIGHT(L172,255),RIGHT('Disaggregation Records'!$D$3:$D$80,255),0))),"")</f>
        <v>&lt;15</v>
      </c>
      <c r="O172" s="314" t="str">
        <f t="array" aca="1" ref="O172" ca="1">IFERROR(IF(INDEX('Disaggregation Records'!$H$3:$H$80,MATCH(RIGHT(L172,255),RIGHT('Disaggregation Records'!$D$3:$D$80,255),0))="","",INDEX('Disaggregation Records'!$H$3:$H$80,MATCH(RIGHT(L172,255),RIGHT('Disaggregation Records'!$D$3:$D$80,255),0))),"")</f>
        <v>IDR-01036</v>
      </c>
      <c r="P172" s="310"/>
      <c r="Q172" s="310">
        <f t="shared" ref="Q172" si="247">Q170+1</f>
        <v>1389</v>
      </c>
      <c r="R172" s="314" t="str" cm="1">
        <f t="array" aca="1" ref="R172" ca="1">IFERROR(IF(INDEX('Disaggregation Records'!$G$3:$G$80,MATCH(RIGHT(L172,255),RIGHT('Disaggregation Records'!$D$3:$D$80,255),0))="","",INDEX('Disaggregation Records'!$G$3:$G$80,MATCH(RIGHT(L172,255),RIGHT('Disaggregation Records'!$D$3:$D$80,255),0))),"")</f>
        <v>a1LDm000000CazSMAS</v>
      </c>
    </row>
    <row r="173" spans="1:18" ht="20.100000000000001" customHeight="1">
      <c r="B173" s="571">
        <v>6.6879699248120303</v>
      </c>
      <c r="C173" s="573"/>
      <c r="D173" s="575"/>
      <c r="E173" s="575"/>
      <c r="F173" s="128"/>
      <c r="G173" s="577"/>
      <c r="H173" s="540"/>
      <c r="I173" s="579"/>
      <c r="J173" s="533"/>
      <c r="K173" s="129"/>
      <c r="L173" s="129"/>
      <c r="M173" s="129"/>
      <c r="N173" s="129"/>
      <c r="O173" s="317"/>
      <c r="P173" s="310"/>
      <c r="Q173" s="314"/>
      <c r="R173" s="314" t="str" cm="1">
        <f t="array" ref="R173">IFERROR(IF(INDEX('Disaggregation Records'!$G$3:$G$80,MATCH(RIGHT(L173,255),RIGHT('Disaggregation Records'!$D$3:$D$80,255),0))="","",INDEX('Disaggregation Records'!$G$3:$G$80,MATCH(RIGHT(L173,255),RIGHT('Disaggregation Records'!$D$3:$D$80,255),0))),"")</f>
        <v/>
      </c>
    </row>
    <row r="174" spans="1:18" ht="20.100000000000001" customHeight="1">
      <c r="A174" s="126" t="str">
        <f t="shared" ref="A174" ca="1" si="248">INDIRECT("'update Helper'!C"&amp;Q174)</f>
        <v>a1GDm000000XyRHMA0</v>
      </c>
      <c r="B174" s="570">
        <v>9</v>
      </c>
      <c r="C174" s="572" t="str">
        <f ca="1">IFERROR(VLOOKUP(B174,'Impact Indicators - Section B '!$A$9:$AC$68,29,FALSE),"")</f>
        <v>HIV I-14 Number of new HIV infections per 1000 uninfected population</v>
      </c>
      <c r="D174" s="574" t="str">
        <f t="shared" ref="D174" ca="1" si="249">M174</f>
        <v>Gender | Age</v>
      </c>
      <c r="E174" s="574" t="str">
        <f t="shared" ref="E174" ca="1" si="250">N174</f>
        <v>Male 20-24</v>
      </c>
      <c r="F174" s="127"/>
      <c r="G174" s="576" t="str">
        <f ca="1">IF(OR(INDIRECT("'update Helper'!E"&amp;Q174)="",F174&lt;&gt;0,F175&lt;&gt;0),IF(IFERROR((F174/F175),"")="","",(F174/F175)),INDIRECT("'update Helper'!E"&amp;Q174)/100)</f>
        <v/>
      </c>
      <c r="H174" s="539"/>
      <c r="I174" s="578"/>
      <c r="J174" s="532"/>
      <c r="K174" s="126">
        <f ca="1">IF(AND(EXACT(C174,C172),C172&lt;&gt;0),K172+1,0)</f>
        <v>2</v>
      </c>
      <c r="L174" s="126" t="str">
        <f ca="1">IF(C174&lt;&gt;"",C174&amp;"-"&amp;K174,"")</f>
        <v>HIV I-14 Number of new HIV infections per 1000 uninfected population-2</v>
      </c>
      <c r="M174" s="126" t="str">
        <f t="array" aca="1" ref="M174" ca="1">IFERROR(IF(INDEX('Disaggregation Records'!$E$3:$E$80,MATCH(RIGHT(L174,255),RIGHT('Disaggregation Records'!$D$3:$D$80,255),0))="","",INDEX('Disaggregation Records'!$E$3:$E$80,MATCH(RIGHT(L174,255),RIGHT('Disaggregation Records'!$D$3:$D$80,255),0))),"")</f>
        <v>Gender | Age</v>
      </c>
      <c r="N174" s="126" t="str">
        <f t="array" aca="1" ref="N174" ca="1">IFERROR(IF(INDEX('Disaggregation Records'!$F$3:$F$80,MATCH(RIGHT(L174,255),RIGHT('Disaggregation Records'!$D$3:$D$80,255),0))="","",INDEX('Disaggregation Records'!$F$3:$F$80,MATCH(RIGHT(L174,255),RIGHT('Disaggregation Records'!$D$3:$D$80,255),0))),"")</f>
        <v>Male 20-24</v>
      </c>
      <c r="O174" s="314" t="str">
        <f t="array" aca="1" ref="O174" ca="1">IFERROR(IF(INDEX('Disaggregation Records'!$H$3:$H$80,MATCH(RIGHT(L174,255),RIGHT('Disaggregation Records'!$D$3:$D$80,255),0))="","",INDEX('Disaggregation Records'!$H$3:$H$80,MATCH(RIGHT(L174,255),RIGHT('Disaggregation Records'!$D$3:$D$80,255),0))),"")</f>
        <v>IDR-01035</v>
      </c>
      <c r="P174" s="314"/>
      <c r="Q174" s="310">
        <f t="shared" ref="Q174" si="251">Q172+1</f>
        <v>1390</v>
      </c>
      <c r="R174" s="314" t="str" cm="1">
        <f t="array" aca="1" ref="R174" ca="1">IFERROR(IF(INDEX('Disaggregation Records'!$G$3:$G$80,MATCH(RIGHT(L174,255),RIGHT('Disaggregation Records'!$D$3:$D$80,255),0))="","",INDEX('Disaggregation Records'!$G$3:$G$80,MATCH(RIGHT(L174,255),RIGHT('Disaggregation Records'!$D$3:$D$80,255),0))),"")</f>
        <v>a1LDm000000CazRMAS</v>
      </c>
    </row>
    <row r="175" spans="1:18" ht="20.100000000000001" customHeight="1">
      <c r="A175" s="126"/>
      <c r="B175" s="571">
        <v>6.6879699248120303</v>
      </c>
      <c r="C175" s="573"/>
      <c r="D175" s="575"/>
      <c r="E175" s="575"/>
      <c r="F175" s="128"/>
      <c r="G175" s="577"/>
      <c r="H175" s="540"/>
      <c r="I175" s="579"/>
      <c r="J175" s="533"/>
      <c r="K175" s="129"/>
      <c r="L175" s="129"/>
      <c r="M175" s="129"/>
      <c r="N175" s="129"/>
      <c r="O175" s="317"/>
      <c r="P175" s="317"/>
      <c r="Q175" s="314"/>
      <c r="R175" s="314" t="str" cm="1">
        <f t="array" ref="R175">IFERROR(IF(INDEX('Disaggregation Records'!$G$3:$G$80,MATCH(RIGHT(L175,255),RIGHT('Disaggregation Records'!$D$3:$D$80,255),0))="","",INDEX('Disaggregation Records'!$G$3:$G$80,MATCH(RIGHT(L175,255),RIGHT('Disaggregation Records'!$D$3:$D$80,255),0))),"")</f>
        <v/>
      </c>
    </row>
    <row r="176" spans="1:18" ht="20.100000000000001" customHeight="1">
      <c r="A176" s="126" t="str">
        <f t="shared" ca="1" si="195"/>
        <v>a1GDm000000XyRIMA0</v>
      </c>
      <c r="B176" s="570">
        <v>9</v>
      </c>
      <c r="C176" s="572" t="str">
        <f ca="1">IFERROR(VLOOKUP(B176,'Impact Indicators - Section B '!$A$9:$AC$68,29,FALSE),"")</f>
        <v>HIV I-14 Number of new HIV infections per 1000 uninfected population</v>
      </c>
      <c r="D176" s="574" t="str">
        <f t="shared" ref="D176" ca="1" si="252">M176</f>
        <v>Gender | Age</v>
      </c>
      <c r="E176" s="574" t="str">
        <f t="shared" ref="E176" ca="1" si="253">N176</f>
        <v>Male 15-19</v>
      </c>
      <c r="F176" s="127"/>
      <c r="G176" s="576" t="str">
        <f ca="1">IF(OR(INDIRECT("'update Helper'!E"&amp;Q176)="",F176&lt;&gt;0,F177&lt;&gt;0),IF(IFERROR((F176/F177),"")="","",(F176/F177)),INDIRECT("'update Helper'!E"&amp;Q176)/100)</f>
        <v/>
      </c>
      <c r="H176" s="539"/>
      <c r="I176" s="578"/>
      <c r="J176" s="532"/>
      <c r="K176" s="126">
        <f ca="1">IF(AND(EXACT(C176,C174),C174&lt;&gt;0),K174+1,0)</f>
        <v>3</v>
      </c>
      <c r="L176" s="126" t="str">
        <f ca="1">IF(C176&lt;&gt;"",C176&amp;"-"&amp;K176,"")</f>
        <v>HIV I-14 Number of new HIV infections per 1000 uninfected population-3</v>
      </c>
      <c r="M176" s="126" t="str">
        <f t="array" aca="1" ref="M176" ca="1">IFERROR(IF(INDEX('Disaggregation Records'!$E$3:$E$80,MATCH(RIGHT(L176,255),RIGHT('Disaggregation Records'!$D$3:$D$80,255),0))="","",INDEX('Disaggregation Records'!$E$3:$E$80,MATCH(RIGHT(L176,255),RIGHT('Disaggregation Records'!$D$3:$D$80,255),0))),"")</f>
        <v>Gender | Age</v>
      </c>
      <c r="N176" s="126" t="str">
        <f t="array" aca="1" ref="N176" ca="1">IFERROR(IF(INDEX('Disaggregation Records'!$F$3:$F$80,MATCH(RIGHT(L176,255),RIGHT('Disaggregation Records'!$D$3:$D$80,255),0))="","",INDEX('Disaggregation Records'!$F$3:$F$80,MATCH(RIGHT(L176,255),RIGHT('Disaggregation Records'!$D$3:$D$80,255),0))),"")</f>
        <v>Male 15-19</v>
      </c>
      <c r="O176" s="314" t="str">
        <f t="array" aca="1" ref="O176" ca="1">IFERROR(IF(INDEX('Disaggregation Records'!$H$3:$H$80,MATCH(RIGHT(L176,255),RIGHT('Disaggregation Records'!$D$3:$D$80,255),0))="","",INDEX('Disaggregation Records'!$H$3:$H$80,MATCH(RIGHT(L176,255),RIGHT('Disaggregation Records'!$D$3:$D$80,255),0))),"")</f>
        <v>IDR-01034</v>
      </c>
      <c r="P176" s="310"/>
      <c r="Q176" s="310">
        <f t="shared" ref="Q176" si="254">Q174+1</f>
        <v>1391</v>
      </c>
      <c r="R176" s="314" t="str" cm="1">
        <f t="array" aca="1" ref="R176" ca="1">IFERROR(IF(INDEX('Disaggregation Records'!$G$3:$G$80,MATCH(RIGHT(L176,255),RIGHT('Disaggregation Records'!$D$3:$D$80,255),0))="","",INDEX('Disaggregation Records'!$G$3:$G$80,MATCH(RIGHT(L176,255),RIGHT('Disaggregation Records'!$D$3:$D$80,255),0))),"")</f>
        <v>a1LDm000000CazQMAS</v>
      </c>
    </row>
    <row r="177" spans="1:18" ht="20.100000000000001" customHeight="1">
      <c r="B177" s="571">
        <v>6.6879699248120303</v>
      </c>
      <c r="C177" s="573"/>
      <c r="D177" s="575"/>
      <c r="E177" s="575"/>
      <c r="F177" s="128"/>
      <c r="G177" s="577"/>
      <c r="H177" s="540"/>
      <c r="I177" s="579"/>
      <c r="J177" s="533"/>
      <c r="K177" s="129"/>
      <c r="L177" s="129"/>
      <c r="M177" s="129"/>
      <c r="N177" s="129"/>
      <c r="O177" s="317"/>
      <c r="P177" s="310"/>
      <c r="Q177" s="314"/>
      <c r="R177" s="314" t="str" cm="1">
        <f t="array" ref="R177">IFERROR(IF(INDEX('Disaggregation Records'!$G$3:$G$80,MATCH(RIGHT(L177,255),RIGHT('Disaggregation Records'!$D$3:$D$80,255),0))="","",INDEX('Disaggregation Records'!$G$3:$G$80,MATCH(RIGHT(L177,255),RIGHT('Disaggregation Records'!$D$3:$D$80,255),0))),"")</f>
        <v/>
      </c>
    </row>
    <row r="178" spans="1:18" ht="20.100000000000001" customHeight="1">
      <c r="A178" s="126" t="str">
        <f t="shared" ref="A178" ca="1" si="255">INDIRECT("'update Helper'!C"&amp;Q178)</f>
        <v>a1GDm000000XyRJMA0</v>
      </c>
      <c r="B178" s="570">
        <v>9</v>
      </c>
      <c r="C178" s="572" t="str">
        <f ca="1">IFERROR(VLOOKUP(B178,'Impact Indicators - Section B '!$A$9:$AC$68,29,FALSE),"")</f>
        <v>HIV I-14 Number of new HIV infections per 1000 uninfected population</v>
      </c>
      <c r="D178" s="574" t="str">
        <f t="shared" ref="D178" ca="1" si="256">M178</f>
        <v>Gender</v>
      </c>
      <c r="E178" s="574" t="str">
        <f t="shared" ref="E178" ca="1" si="257">N178</f>
        <v>Male</v>
      </c>
      <c r="F178" s="127">
        <v>9260</v>
      </c>
      <c r="G178" s="576" t="str">
        <f ca="1">IF(OR(INDIRECT("'update Helper'!E"&amp;Q178)="",F178&lt;&gt;0,F179&lt;&gt;0),IF(IFERROR((F178/F179),"")="","",(F178/F179)),INDIRECT("'update Helper'!E"&amp;Q178)/100)</f>
        <v/>
      </c>
      <c r="H178" s="539">
        <v>2022</v>
      </c>
      <c r="I178" s="578" t="s">
        <v>2266</v>
      </c>
      <c r="J178" s="532"/>
      <c r="K178" s="126">
        <f ca="1">IF(AND(EXACT(C178,C176),C176&lt;&gt;0),K176+1,0)</f>
        <v>4</v>
      </c>
      <c r="L178" s="126" t="str">
        <f ca="1">IF(C178&lt;&gt;"",C178&amp;"-"&amp;K178,"")</f>
        <v>HIV I-14 Number of new HIV infections per 1000 uninfected population-4</v>
      </c>
      <c r="M178" s="126" t="str">
        <f t="array" aca="1" ref="M178" ca="1">IFERROR(IF(INDEX('Disaggregation Records'!$E$3:$E$80,MATCH(RIGHT(L178,255),RIGHT('Disaggregation Records'!$D$3:$D$80,255),0))="","",INDEX('Disaggregation Records'!$E$3:$E$80,MATCH(RIGHT(L178,255),RIGHT('Disaggregation Records'!$D$3:$D$80,255),0))),"")</f>
        <v>Gender</v>
      </c>
      <c r="N178" s="126" t="str">
        <f t="array" aca="1" ref="N178" ca="1">IFERROR(IF(INDEX('Disaggregation Records'!$F$3:$F$80,MATCH(RIGHT(L178,255),RIGHT('Disaggregation Records'!$D$3:$D$80,255),0))="","",INDEX('Disaggregation Records'!$F$3:$F$80,MATCH(RIGHT(L178,255),RIGHT('Disaggregation Records'!$D$3:$D$80,255),0))),"")</f>
        <v>Male</v>
      </c>
      <c r="O178" s="314" t="str">
        <f t="array" aca="1" ref="O178" ca="1">IFERROR(IF(INDEX('Disaggregation Records'!$H$3:$H$80,MATCH(RIGHT(L178,255),RIGHT('Disaggregation Records'!$D$3:$D$80,255),0))="","",INDEX('Disaggregation Records'!$H$3:$H$80,MATCH(RIGHT(L178,255),RIGHT('Disaggregation Records'!$D$3:$D$80,255),0))),"")</f>
        <v>IDR-01033</v>
      </c>
      <c r="P178" s="314"/>
      <c r="Q178" s="310">
        <f t="shared" ref="Q178" si="258">Q176+1</f>
        <v>1392</v>
      </c>
      <c r="R178" s="314" t="str" cm="1">
        <f t="array" aca="1" ref="R178" ca="1">IFERROR(IF(INDEX('Disaggregation Records'!$G$3:$G$80,MATCH(RIGHT(L178,255),RIGHT('Disaggregation Records'!$D$3:$D$80,255),0))="","",INDEX('Disaggregation Records'!$G$3:$G$80,MATCH(RIGHT(L178,255),RIGHT('Disaggregation Records'!$D$3:$D$80,255),0))),"")</f>
        <v>a1LDm000000CazPMAS</v>
      </c>
    </row>
    <row r="179" spans="1:18" ht="20.100000000000001" customHeight="1">
      <c r="A179" s="126"/>
      <c r="B179" s="571">
        <v>6.6879699248120303</v>
      </c>
      <c r="C179" s="573"/>
      <c r="D179" s="575"/>
      <c r="E179" s="575"/>
      <c r="F179" s="128"/>
      <c r="G179" s="577"/>
      <c r="H179" s="540"/>
      <c r="I179" s="579"/>
      <c r="J179" s="533"/>
      <c r="K179" s="129"/>
      <c r="L179" s="129"/>
      <c r="M179" s="129"/>
      <c r="N179" s="129"/>
      <c r="O179" s="317"/>
      <c r="P179" s="317"/>
      <c r="Q179" s="314"/>
      <c r="R179" s="314" t="str" cm="1">
        <f t="array" ref="R179">IFERROR(IF(INDEX('Disaggregation Records'!$G$3:$G$80,MATCH(RIGHT(L179,255),RIGHT('Disaggregation Records'!$D$3:$D$80,255),0))="","",INDEX('Disaggregation Records'!$G$3:$G$80,MATCH(RIGHT(L179,255),RIGHT('Disaggregation Records'!$D$3:$D$80,255),0))),"")</f>
        <v/>
      </c>
    </row>
    <row r="180" spans="1:18" ht="20.100000000000001" customHeight="1">
      <c r="A180" s="126" t="str">
        <f t="shared" ca="1" si="195"/>
        <v>a1GDm000000XyRKMA0</v>
      </c>
      <c r="B180" s="570">
        <v>9</v>
      </c>
      <c r="C180" s="572" t="str">
        <f ca="1">IFERROR(VLOOKUP(B180,'Impact Indicators - Section B '!$A$9:$AC$68,29,FALSE),"")</f>
        <v>HIV I-14 Number of new HIV infections per 1000 uninfected population</v>
      </c>
      <c r="D180" s="574" t="str">
        <f t="shared" ref="D180" ca="1" si="259">M180</f>
        <v>Gender | Age</v>
      </c>
      <c r="E180" s="574" t="str">
        <f t="shared" ref="E180" ca="1" si="260">N180</f>
        <v>Female 20-24</v>
      </c>
      <c r="F180" s="127"/>
      <c r="G180" s="576" t="str">
        <f ca="1">IF(OR(INDIRECT("'update Helper'!E"&amp;Q180)="",F180&lt;&gt;0,F181&lt;&gt;0),IF(IFERROR((F180/F181),"")="","",(F180/F181)),INDIRECT("'update Helper'!E"&amp;Q180)/100)</f>
        <v/>
      </c>
      <c r="H180" s="539"/>
      <c r="I180" s="578"/>
      <c r="J180" s="532"/>
      <c r="K180" s="126">
        <f ca="1">IF(AND(EXACT(C180,C178),C178&lt;&gt;0),K178+1,0)</f>
        <v>5</v>
      </c>
      <c r="L180" s="126" t="str">
        <f ca="1">IF(C180&lt;&gt;"",C180&amp;"-"&amp;K180,"")</f>
        <v>HIV I-14 Number of new HIV infections per 1000 uninfected population-5</v>
      </c>
      <c r="M180" s="126" t="str">
        <f t="array" aca="1" ref="M180" ca="1">IFERROR(IF(INDEX('Disaggregation Records'!$E$3:$E$80,MATCH(RIGHT(L180,255),RIGHT('Disaggregation Records'!$D$3:$D$80,255),0))="","",INDEX('Disaggregation Records'!$E$3:$E$80,MATCH(RIGHT(L180,255),RIGHT('Disaggregation Records'!$D$3:$D$80,255),0))),"")</f>
        <v>Gender | Age</v>
      </c>
      <c r="N180" s="126" t="str">
        <f t="array" aca="1" ref="N180" ca="1">IFERROR(IF(INDEX('Disaggregation Records'!$F$3:$F$80,MATCH(RIGHT(L180,255),RIGHT('Disaggregation Records'!$D$3:$D$80,255),0))="","",INDEX('Disaggregation Records'!$F$3:$F$80,MATCH(RIGHT(L180,255),RIGHT('Disaggregation Records'!$D$3:$D$80,255),0))),"")</f>
        <v>Female 20-24</v>
      </c>
      <c r="O180" s="314" t="str">
        <f t="array" aca="1" ref="O180" ca="1">IFERROR(IF(INDEX('Disaggregation Records'!$H$3:$H$80,MATCH(RIGHT(L180,255),RIGHT('Disaggregation Records'!$D$3:$D$80,255),0))="","",INDEX('Disaggregation Records'!$H$3:$H$80,MATCH(RIGHT(L180,255),RIGHT('Disaggregation Records'!$D$3:$D$80,255),0))),"")</f>
        <v>IDR-01032</v>
      </c>
      <c r="P180" s="310"/>
      <c r="Q180" s="310">
        <f t="shared" ref="Q180" si="261">Q178+1</f>
        <v>1393</v>
      </c>
      <c r="R180" s="314" t="str" cm="1">
        <f t="array" aca="1" ref="R180" ca="1">IFERROR(IF(INDEX('Disaggregation Records'!$G$3:$G$80,MATCH(RIGHT(L180,255),RIGHT('Disaggregation Records'!$D$3:$D$80,255),0))="","",INDEX('Disaggregation Records'!$G$3:$G$80,MATCH(RIGHT(L180,255),RIGHT('Disaggregation Records'!$D$3:$D$80,255),0))),"")</f>
        <v>a1LDm000000CazOMAS</v>
      </c>
    </row>
    <row r="181" spans="1:18" ht="20.100000000000001" customHeight="1">
      <c r="B181" s="571">
        <v>6.6879699248120303</v>
      </c>
      <c r="C181" s="573"/>
      <c r="D181" s="575"/>
      <c r="E181" s="575"/>
      <c r="F181" s="128"/>
      <c r="G181" s="577"/>
      <c r="H181" s="540"/>
      <c r="I181" s="579"/>
      <c r="J181" s="533"/>
      <c r="K181" s="129"/>
      <c r="L181" s="129"/>
      <c r="M181" s="129"/>
      <c r="N181" s="129"/>
      <c r="O181" s="317"/>
      <c r="P181" s="310"/>
      <c r="Q181" s="314"/>
      <c r="R181" s="314" t="str" cm="1">
        <f t="array" ref="R181">IFERROR(IF(INDEX('Disaggregation Records'!$G$3:$G$80,MATCH(RIGHT(L181,255),RIGHT('Disaggregation Records'!$D$3:$D$80,255),0))="","",INDEX('Disaggregation Records'!$G$3:$G$80,MATCH(RIGHT(L181,255),RIGHT('Disaggregation Records'!$D$3:$D$80,255),0))),"")</f>
        <v/>
      </c>
    </row>
    <row r="182" spans="1:18" ht="20.100000000000001" customHeight="1">
      <c r="A182" s="126" t="str">
        <f t="shared" ref="A182" ca="1" si="262">INDIRECT("'update Helper'!C"&amp;Q182)</f>
        <v>a1GDm000000XyRLMA0</v>
      </c>
      <c r="B182" s="570">
        <v>9</v>
      </c>
      <c r="C182" s="572" t="str">
        <f ca="1">IFERROR(VLOOKUP(B182,'Impact Indicators - Section B '!$A$9:$AC$68,29,FALSE),"")</f>
        <v>HIV I-14 Number of new HIV infections per 1000 uninfected population</v>
      </c>
      <c r="D182" s="574" t="str">
        <f t="shared" ref="D182" ca="1" si="263">M182</f>
        <v>Gender | Age</v>
      </c>
      <c r="E182" s="574" t="str">
        <f t="shared" ref="E182" ca="1" si="264">N182</f>
        <v>Female 15-19</v>
      </c>
      <c r="F182" s="127"/>
      <c r="G182" s="576" t="str">
        <f ca="1">IF(OR(INDIRECT("'update Helper'!E"&amp;Q182)="",F182&lt;&gt;0,F183&lt;&gt;0),IF(IFERROR((F182/F183),"")="","",(F182/F183)),INDIRECT("'update Helper'!E"&amp;Q182)/100)</f>
        <v/>
      </c>
      <c r="H182" s="539"/>
      <c r="I182" s="578"/>
      <c r="J182" s="532"/>
      <c r="K182" s="126">
        <f ca="1">IF(AND(EXACT(C182,C180),C180&lt;&gt;0),K180+1,0)</f>
        <v>6</v>
      </c>
      <c r="L182" s="126" t="str">
        <f ca="1">IF(C182&lt;&gt;"",C182&amp;"-"&amp;K182,"")</f>
        <v>HIV I-14 Number of new HIV infections per 1000 uninfected population-6</v>
      </c>
      <c r="M182" s="126" t="str">
        <f t="array" aca="1" ref="M182" ca="1">IFERROR(IF(INDEX('Disaggregation Records'!$E$3:$E$80,MATCH(RIGHT(L182,255),RIGHT('Disaggregation Records'!$D$3:$D$80,255),0))="","",INDEX('Disaggregation Records'!$E$3:$E$80,MATCH(RIGHT(L182,255),RIGHT('Disaggregation Records'!$D$3:$D$80,255),0))),"")</f>
        <v>Gender | Age</v>
      </c>
      <c r="N182" s="126" t="str">
        <f t="array" aca="1" ref="N182" ca="1">IFERROR(IF(INDEX('Disaggregation Records'!$F$3:$F$80,MATCH(RIGHT(L182,255),RIGHT('Disaggregation Records'!$D$3:$D$80,255),0))="","",INDEX('Disaggregation Records'!$F$3:$F$80,MATCH(RIGHT(L182,255),RIGHT('Disaggregation Records'!$D$3:$D$80,255),0))),"")</f>
        <v>Female 15-19</v>
      </c>
      <c r="O182" s="314" t="str">
        <f t="array" aca="1" ref="O182" ca="1">IFERROR(IF(INDEX('Disaggregation Records'!$H$3:$H$80,MATCH(RIGHT(L182,255),RIGHT('Disaggregation Records'!$D$3:$D$80,255),0))="","",INDEX('Disaggregation Records'!$H$3:$H$80,MATCH(RIGHT(L182,255),RIGHT('Disaggregation Records'!$D$3:$D$80,255),0))),"")</f>
        <v>IDR-01031</v>
      </c>
      <c r="P182" s="314"/>
      <c r="Q182" s="310">
        <f t="shared" ref="Q182" si="265">Q180+1</f>
        <v>1394</v>
      </c>
      <c r="R182" s="314" t="str" cm="1">
        <f t="array" aca="1" ref="R182" ca="1">IFERROR(IF(INDEX('Disaggregation Records'!$G$3:$G$80,MATCH(RIGHT(L182,255),RIGHT('Disaggregation Records'!$D$3:$D$80,255),0))="","",INDEX('Disaggregation Records'!$G$3:$G$80,MATCH(RIGHT(L182,255),RIGHT('Disaggregation Records'!$D$3:$D$80,255),0))),"")</f>
        <v>a1LDm000000CazNMAS</v>
      </c>
    </row>
    <row r="183" spans="1:18" ht="20.100000000000001" customHeight="1">
      <c r="A183" s="126"/>
      <c r="B183" s="571">
        <v>6.6879699248120303</v>
      </c>
      <c r="C183" s="573"/>
      <c r="D183" s="575"/>
      <c r="E183" s="575"/>
      <c r="F183" s="128"/>
      <c r="G183" s="577"/>
      <c r="H183" s="540"/>
      <c r="I183" s="579"/>
      <c r="J183" s="533"/>
      <c r="K183" s="129"/>
      <c r="L183" s="129"/>
      <c r="M183" s="129"/>
      <c r="N183" s="129"/>
      <c r="O183" s="317"/>
      <c r="P183" s="317"/>
      <c r="Q183" s="314"/>
      <c r="R183" s="314" t="str" cm="1">
        <f t="array" ref="R183">IFERROR(IF(INDEX('Disaggregation Records'!$G$3:$G$80,MATCH(RIGHT(L183,255),RIGHT('Disaggregation Records'!$D$3:$D$80,255),0))="","",INDEX('Disaggregation Records'!$G$3:$G$80,MATCH(RIGHT(L183,255),RIGHT('Disaggregation Records'!$D$3:$D$80,255),0))),"")</f>
        <v/>
      </c>
    </row>
    <row r="184" spans="1:18" ht="20.100000000000001" customHeight="1">
      <c r="A184" s="126" t="str">
        <f t="shared" ca="1" si="195"/>
        <v>a1GDm000000XyRMMA0</v>
      </c>
      <c r="B184" s="570">
        <v>9</v>
      </c>
      <c r="C184" s="572" t="str">
        <f ca="1">IFERROR(VLOOKUP(B184,'Impact Indicators - Section B '!$A$9:$AC$68,29,FALSE),"")</f>
        <v>HIV I-14 Number of new HIV infections per 1000 uninfected population</v>
      </c>
      <c r="D184" s="574" t="str">
        <f t="shared" ref="D184" ca="1" si="266">M184</f>
        <v>Gender</v>
      </c>
      <c r="E184" s="574" t="str">
        <f t="shared" ref="E184" ca="1" si="267">N184</f>
        <v>Female</v>
      </c>
      <c r="F184" s="127">
        <v>11776</v>
      </c>
      <c r="G184" s="576" t="str">
        <f ca="1">IF(OR(INDIRECT("'update Helper'!E"&amp;Q184)="",F184&lt;&gt;0,F185&lt;&gt;0),IF(IFERROR((F184/F185),"")="","",(F184/F185)),INDIRECT("'update Helper'!E"&amp;Q184)/100)</f>
        <v/>
      </c>
      <c r="H184" s="539">
        <v>2022</v>
      </c>
      <c r="I184" s="578" t="s">
        <v>2266</v>
      </c>
      <c r="J184" s="532"/>
      <c r="K184" s="126">
        <f ca="1">IF(AND(EXACT(C184,C182),C182&lt;&gt;0),K182+1,0)</f>
        <v>7</v>
      </c>
      <c r="L184" s="126" t="str">
        <f ca="1">IF(C184&lt;&gt;"",C184&amp;"-"&amp;K184,"")</f>
        <v>HIV I-14 Number of new HIV infections per 1000 uninfected population-7</v>
      </c>
      <c r="M184" s="126" t="str">
        <f t="array" aca="1" ref="M184" ca="1">IFERROR(IF(INDEX('Disaggregation Records'!$E$3:$E$80,MATCH(RIGHT(L184,255),RIGHT('Disaggregation Records'!$D$3:$D$80,255),0))="","",INDEX('Disaggregation Records'!$E$3:$E$80,MATCH(RIGHT(L184,255),RIGHT('Disaggregation Records'!$D$3:$D$80,255),0))),"")</f>
        <v>Gender</v>
      </c>
      <c r="N184" s="126" t="str">
        <f t="array" aca="1" ref="N184" ca="1">IFERROR(IF(INDEX('Disaggregation Records'!$F$3:$F$80,MATCH(RIGHT(L184,255),RIGHT('Disaggregation Records'!$D$3:$D$80,255),0))="","",INDEX('Disaggregation Records'!$F$3:$F$80,MATCH(RIGHT(L184,255),RIGHT('Disaggregation Records'!$D$3:$D$80,255),0))),"")</f>
        <v>Female</v>
      </c>
      <c r="O184" s="314" t="str">
        <f t="array" aca="1" ref="O184" ca="1">IFERROR(IF(INDEX('Disaggregation Records'!$H$3:$H$80,MATCH(RIGHT(L184,255),RIGHT('Disaggregation Records'!$D$3:$D$80,255),0))="","",INDEX('Disaggregation Records'!$H$3:$H$80,MATCH(RIGHT(L184,255),RIGHT('Disaggregation Records'!$D$3:$D$80,255),0))),"")</f>
        <v>IDR-01030</v>
      </c>
      <c r="P184" s="310"/>
      <c r="Q184" s="310">
        <f t="shared" ref="Q184" si="268">Q182+1</f>
        <v>1395</v>
      </c>
      <c r="R184" s="314" t="str" cm="1">
        <f t="array" aca="1" ref="R184" ca="1">IFERROR(IF(INDEX('Disaggregation Records'!$G$3:$G$80,MATCH(RIGHT(L184,255),RIGHT('Disaggregation Records'!$D$3:$D$80,255),0))="","",INDEX('Disaggregation Records'!$G$3:$G$80,MATCH(RIGHT(L184,255),RIGHT('Disaggregation Records'!$D$3:$D$80,255),0))),"")</f>
        <v>a1LDm000000CazMMAS</v>
      </c>
    </row>
    <row r="185" spans="1:18" ht="20.100000000000001" customHeight="1">
      <c r="B185" s="571">
        <v>6.6879699248120303</v>
      </c>
      <c r="C185" s="573"/>
      <c r="D185" s="575"/>
      <c r="E185" s="575"/>
      <c r="F185" s="128"/>
      <c r="G185" s="577"/>
      <c r="H185" s="540"/>
      <c r="I185" s="579"/>
      <c r="J185" s="533"/>
      <c r="K185" s="129"/>
      <c r="L185" s="129"/>
      <c r="M185" s="129"/>
      <c r="N185" s="129"/>
      <c r="O185" s="317"/>
      <c r="P185" s="310"/>
      <c r="Q185" s="314"/>
      <c r="R185" s="314" t="str" cm="1">
        <f t="array" ref="R185">IFERROR(IF(INDEX('Disaggregation Records'!$G$3:$G$80,MATCH(RIGHT(L185,255),RIGHT('Disaggregation Records'!$D$3:$D$80,255),0))="","",INDEX('Disaggregation Records'!$G$3:$G$80,MATCH(RIGHT(L185,255),RIGHT('Disaggregation Records'!$D$3:$D$80,255),0))),"")</f>
        <v/>
      </c>
    </row>
    <row r="186" spans="1:18" ht="20.100000000000001" customHeight="1">
      <c r="A186" s="126" t="str">
        <f t="shared" ref="A186" ca="1" si="269">INDIRECT("'update Helper'!C"&amp;Q186)</f>
        <v>a1GDm000000XyRNMA0</v>
      </c>
      <c r="B186" s="570">
        <v>9</v>
      </c>
      <c r="C186" s="572" t="str">
        <f ca="1">IFERROR(VLOOKUP(B186,'Impact Indicators - Section B '!$A$9:$AC$68,29,FALSE),"")</f>
        <v>HIV I-14 Number of new HIV infections per 1000 uninfected population</v>
      </c>
      <c r="D186" s="574" t="str">
        <f t="shared" ref="D186" ca="1" si="270">M186</f>
        <v/>
      </c>
      <c r="E186" s="574" t="str">
        <f t="shared" ref="E186" ca="1" si="271">N186</f>
        <v/>
      </c>
      <c r="F186" s="127"/>
      <c r="G186" s="576" t="str">
        <f ca="1">IF(OR(INDIRECT("'update Helper'!E"&amp;Q186)="",F186&lt;&gt;0,F187&lt;&gt;0),IF(IFERROR((F186/F187),"")="","",(F186/F187)),INDIRECT("'update Helper'!E"&amp;Q186)/100)</f>
        <v/>
      </c>
      <c r="H186" s="539"/>
      <c r="I186" s="578"/>
      <c r="J186" s="532"/>
      <c r="K186" s="126">
        <f ca="1">IF(AND(EXACT(C186,C184),C184&lt;&gt;0),K184+1,0)</f>
        <v>8</v>
      </c>
      <c r="L186" s="126" t="str">
        <f ca="1">IF(C186&lt;&gt;"",C186&amp;"-"&amp;K186,"")</f>
        <v>HIV I-14 Number of new HIV infections per 1000 uninfected population-8</v>
      </c>
      <c r="M186" s="126" t="str">
        <f t="array" aca="1" ref="M186" ca="1">IFERROR(IF(INDEX('Disaggregation Records'!$E$3:$E$80,MATCH(RIGHT(L186,255),RIGHT('Disaggregation Records'!$D$3:$D$80,255),0))="","",INDEX('Disaggregation Records'!$E$3:$E$80,MATCH(RIGHT(L186,255),RIGHT('Disaggregation Records'!$D$3:$D$80,255),0))),"")</f>
        <v/>
      </c>
      <c r="N186" s="126" t="str">
        <f t="array" aca="1" ref="N186" ca="1">IFERROR(IF(INDEX('Disaggregation Records'!$F$3:$F$80,MATCH(RIGHT(L186,255),RIGHT('Disaggregation Records'!$D$3:$D$80,255),0))="","",INDEX('Disaggregation Records'!$F$3:$F$80,MATCH(RIGHT(L186,255),RIGHT('Disaggregation Records'!$D$3:$D$80,255),0))),"")</f>
        <v/>
      </c>
      <c r="O186" s="314" t="str">
        <f t="array" aca="1" ref="O186" ca="1">IFERROR(IF(INDEX('Disaggregation Records'!$H$3:$H$80,MATCH(RIGHT(L186,255),RIGHT('Disaggregation Records'!$D$3:$D$80,255),0))="","",INDEX('Disaggregation Records'!$H$3:$H$80,MATCH(RIGHT(L186,255),RIGHT('Disaggregation Records'!$D$3:$D$80,255),0))),"")</f>
        <v/>
      </c>
      <c r="P186" s="314"/>
      <c r="Q186" s="310">
        <f t="shared" ref="Q186" si="272">Q184+1</f>
        <v>1396</v>
      </c>
      <c r="R186" s="314" t="str" cm="1">
        <f t="array" aca="1" ref="R186" ca="1">IFERROR(IF(INDEX('Disaggregation Records'!$G$3:$G$80,MATCH(RIGHT(L186,255),RIGHT('Disaggregation Records'!$D$3:$D$80,255),0))="","",INDEX('Disaggregation Records'!$G$3:$G$80,MATCH(RIGHT(L186,255),RIGHT('Disaggregation Records'!$D$3:$D$80,255),0))),"")</f>
        <v/>
      </c>
    </row>
    <row r="187" spans="1:18" ht="20.100000000000001" customHeight="1">
      <c r="A187" s="126"/>
      <c r="B187" s="571">
        <v>6.6879699248120303</v>
      </c>
      <c r="C187" s="573"/>
      <c r="D187" s="575"/>
      <c r="E187" s="575"/>
      <c r="F187" s="128"/>
      <c r="G187" s="577"/>
      <c r="H187" s="540"/>
      <c r="I187" s="579"/>
      <c r="J187" s="533"/>
      <c r="K187" s="129"/>
      <c r="L187" s="129"/>
      <c r="M187" s="129"/>
      <c r="N187" s="129"/>
      <c r="O187" s="317"/>
      <c r="P187" s="317"/>
      <c r="Q187" s="314"/>
      <c r="R187" s="314" t="str" cm="1">
        <f t="array" ref="R187">IFERROR(IF(INDEX('Disaggregation Records'!$G$3:$G$80,MATCH(RIGHT(L187,255),RIGHT('Disaggregation Records'!$D$3:$D$80,255),0))="","",INDEX('Disaggregation Records'!$G$3:$G$80,MATCH(RIGHT(L187,255),RIGHT('Disaggregation Records'!$D$3:$D$80,255),0))),"")</f>
        <v/>
      </c>
    </row>
    <row r="188" spans="1:18" ht="20.100000000000001" customHeight="1">
      <c r="A188" s="126" t="str">
        <f t="shared" ca="1" si="195"/>
        <v>a1GDm000000XyROMA0</v>
      </c>
      <c r="B188" s="570">
        <v>9</v>
      </c>
      <c r="C188" s="572" t="str">
        <f ca="1">IFERROR(VLOOKUP(B188,'Impact Indicators - Section B '!$A$9:$AC$68,29,FALSE),"")</f>
        <v>HIV I-14 Number of new HIV infections per 1000 uninfected population</v>
      </c>
      <c r="D188" s="574" t="str">
        <f t="shared" ref="D188" ca="1" si="273">M188</f>
        <v/>
      </c>
      <c r="E188" s="574" t="str">
        <f t="shared" ref="E188" ca="1" si="274">N188</f>
        <v/>
      </c>
      <c r="F188" s="127"/>
      <c r="G188" s="576" t="str">
        <f ca="1">IF(OR(INDIRECT("'update Helper'!E"&amp;Q188)="",F188&lt;&gt;0,F189&lt;&gt;0),IF(IFERROR((F188/F189),"")="","",(F188/F189)),INDIRECT("'update Helper'!E"&amp;Q188)/100)</f>
        <v/>
      </c>
      <c r="H188" s="539"/>
      <c r="I188" s="578"/>
      <c r="J188" s="532"/>
      <c r="K188" s="126">
        <f ca="1">IF(AND(EXACT(C188,C186),C186&lt;&gt;0),K186+1,0)</f>
        <v>9</v>
      </c>
      <c r="L188" s="126" t="str">
        <f ca="1">IF(C188&lt;&gt;"",C188&amp;"-"&amp;K188,"")</f>
        <v>HIV I-14 Number of new HIV infections per 1000 uninfected population-9</v>
      </c>
      <c r="M188" s="126" t="str">
        <f t="array" aca="1" ref="M188" ca="1">IFERROR(IF(INDEX('Disaggregation Records'!$E$3:$E$80,MATCH(RIGHT(L188,255),RIGHT('Disaggregation Records'!$D$3:$D$80,255),0))="","",INDEX('Disaggregation Records'!$E$3:$E$80,MATCH(RIGHT(L188,255),RIGHT('Disaggregation Records'!$D$3:$D$80,255),0))),"")</f>
        <v/>
      </c>
      <c r="N188" s="126" t="str">
        <f t="array" aca="1" ref="N188" ca="1">IFERROR(IF(INDEX('Disaggregation Records'!$F$3:$F$80,MATCH(RIGHT(L188,255),RIGHT('Disaggregation Records'!$D$3:$D$80,255),0))="","",INDEX('Disaggregation Records'!$F$3:$F$80,MATCH(RIGHT(L188,255),RIGHT('Disaggregation Records'!$D$3:$D$80,255),0))),"")</f>
        <v/>
      </c>
      <c r="O188" s="314" t="str">
        <f t="array" aca="1" ref="O188" ca="1">IFERROR(IF(INDEX('Disaggregation Records'!$H$3:$H$80,MATCH(RIGHT(L188,255),RIGHT('Disaggregation Records'!$D$3:$D$80,255),0))="","",INDEX('Disaggregation Records'!$H$3:$H$80,MATCH(RIGHT(L188,255),RIGHT('Disaggregation Records'!$D$3:$D$80,255),0))),"")</f>
        <v/>
      </c>
      <c r="P188" s="310"/>
      <c r="Q188" s="310">
        <f t="shared" ref="Q188" si="275">Q186+1</f>
        <v>1397</v>
      </c>
      <c r="R188" s="314" t="str" cm="1">
        <f t="array" aca="1" ref="R188" ca="1">IFERROR(IF(INDEX('Disaggregation Records'!$G$3:$G$80,MATCH(RIGHT(L188,255),RIGHT('Disaggregation Records'!$D$3:$D$80,255),0))="","",INDEX('Disaggregation Records'!$G$3:$G$80,MATCH(RIGHT(L188,255),RIGHT('Disaggregation Records'!$D$3:$D$80,255),0))),"")</f>
        <v/>
      </c>
    </row>
    <row r="189" spans="1:18" ht="20.100000000000001" customHeight="1">
      <c r="B189" s="571">
        <v>6.6879699248120303</v>
      </c>
      <c r="C189" s="573"/>
      <c r="D189" s="575"/>
      <c r="E189" s="575"/>
      <c r="F189" s="128"/>
      <c r="G189" s="577"/>
      <c r="H189" s="540"/>
      <c r="I189" s="579"/>
      <c r="J189" s="533"/>
      <c r="K189" s="129"/>
      <c r="L189" s="129"/>
      <c r="M189" s="129"/>
      <c r="N189" s="129"/>
      <c r="O189" s="317"/>
      <c r="P189" s="310"/>
      <c r="Q189" s="314"/>
      <c r="R189" s="314" t="str" cm="1">
        <f t="array" ref="R189">IFERROR(IF(INDEX('Disaggregation Records'!$G$3:$G$80,MATCH(RIGHT(L189,255),RIGHT('Disaggregation Records'!$D$3:$D$80,255),0))="","",INDEX('Disaggregation Records'!$G$3:$G$80,MATCH(RIGHT(L189,255),RIGHT('Disaggregation Records'!$D$3:$D$80,255),0))),"")</f>
        <v/>
      </c>
    </row>
    <row r="190" spans="1:18" ht="20.100000000000001" customHeight="1">
      <c r="A190" s="126" t="str">
        <f t="shared" ref="A190" ca="1" si="276">INDIRECT("'update Helper'!C"&amp;Q190)</f>
        <v>a1GDm000000XyRPMA0</v>
      </c>
      <c r="B190" s="570">
        <v>10</v>
      </c>
      <c r="C190" s="572" t="str">
        <f ca="1">IFERROR(VLOOKUP(B190,'Impact Indicators - Section B '!$A$9:$AC$68,29,FALSE),"")</f>
        <v>HIV I-4 Number of AIDS-related deaths per 100,000 population</v>
      </c>
      <c r="D190" s="574" t="str">
        <f t="shared" ref="D190" ca="1" si="277">M190</f>
        <v>Age</v>
      </c>
      <c r="E190" s="574" t="str">
        <f t="shared" ref="E190" ca="1" si="278">N190</f>
        <v>15+</v>
      </c>
      <c r="F190" s="127">
        <v>8114</v>
      </c>
      <c r="G190" s="576" t="str">
        <f ca="1">IF(OR(INDIRECT("'update Helper'!E"&amp;Q190)="",F190&lt;&gt;0,F191&lt;&gt;0),IF(IFERROR((F190/F191),"")="","",(F190/F191)),INDIRECT("'update Helper'!E"&amp;Q190)/100)</f>
        <v/>
      </c>
      <c r="H190" s="539">
        <v>2022</v>
      </c>
      <c r="I190" s="578" t="s">
        <v>2266</v>
      </c>
      <c r="J190" s="532"/>
      <c r="K190" s="126">
        <f ca="1">IF(AND(EXACT(C190,C188),C188&lt;&gt;0),K188+1,0)</f>
        <v>0</v>
      </c>
      <c r="L190" s="126" t="str">
        <f ca="1">IF(C190&lt;&gt;"",C190&amp;"-"&amp;K190,"")</f>
        <v>HIV I-4 Number of AIDS-related deaths per 100,000 population-0</v>
      </c>
      <c r="M190" s="126" t="str">
        <f t="array" aca="1" ref="M190" ca="1">IFERROR(IF(INDEX('Disaggregation Records'!$E$3:$E$80,MATCH(RIGHT(L190,255),RIGHT('Disaggregation Records'!$D$3:$D$80,255),0))="","",INDEX('Disaggregation Records'!$E$3:$E$80,MATCH(RIGHT(L190,255),RIGHT('Disaggregation Records'!$D$3:$D$80,255),0))),"")</f>
        <v>Age</v>
      </c>
      <c r="N190" s="126" t="str">
        <f t="array" aca="1" ref="N190" ca="1">IFERROR(IF(INDEX('Disaggregation Records'!$F$3:$F$80,MATCH(RIGHT(L190,255),RIGHT('Disaggregation Records'!$D$3:$D$80,255),0))="","",INDEX('Disaggregation Records'!$F$3:$F$80,MATCH(RIGHT(L190,255),RIGHT('Disaggregation Records'!$D$3:$D$80,255),0))),"")</f>
        <v>15+</v>
      </c>
      <c r="O190" s="314" t="str">
        <f t="array" aca="1" ref="O190" ca="1">IFERROR(IF(INDEX('Disaggregation Records'!$H$3:$H$80,MATCH(RIGHT(L190,255),RIGHT('Disaggregation Records'!$D$3:$D$80,255),0))="","",INDEX('Disaggregation Records'!$H$3:$H$80,MATCH(RIGHT(L190,255),RIGHT('Disaggregation Records'!$D$3:$D$80,255),0))),"")</f>
        <v>IDR-01046</v>
      </c>
      <c r="P190" s="314"/>
      <c r="Q190" s="310">
        <f t="shared" ref="Q190" si="279">Q188+1</f>
        <v>1398</v>
      </c>
      <c r="R190" s="314" t="str" cm="1">
        <f t="array" aca="1" ref="R190" ca="1">IFERROR(IF(INDEX('Disaggregation Records'!$G$3:$G$80,MATCH(RIGHT(L190,255),RIGHT('Disaggregation Records'!$D$3:$D$80,255),0))="","",INDEX('Disaggregation Records'!$G$3:$G$80,MATCH(RIGHT(L190,255),RIGHT('Disaggregation Records'!$D$3:$D$80,255),0))),"")</f>
        <v>a1LDm000000CazcMAC</v>
      </c>
    </row>
    <row r="191" spans="1:18" ht="20.100000000000001" customHeight="1">
      <c r="A191" s="126"/>
      <c r="B191" s="571">
        <v>7.4398496240601597</v>
      </c>
      <c r="C191" s="573"/>
      <c r="D191" s="575"/>
      <c r="E191" s="575"/>
      <c r="F191" s="128"/>
      <c r="G191" s="577"/>
      <c r="H191" s="540"/>
      <c r="I191" s="579"/>
      <c r="J191" s="533"/>
      <c r="K191" s="129"/>
      <c r="L191" s="129"/>
      <c r="M191" s="129"/>
      <c r="N191" s="129"/>
      <c r="O191" s="317"/>
      <c r="P191" s="317"/>
      <c r="Q191" s="314"/>
      <c r="R191" s="314" t="str" cm="1">
        <f t="array" ref="R191">IFERROR(IF(INDEX('Disaggregation Records'!$G$3:$G$80,MATCH(RIGHT(L191,255),RIGHT('Disaggregation Records'!$D$3:$D$80,255),0))="","",INDEX('Disaggregation Records'!$G$3:$G$80,MATCH(RIGHT(L191,255),RIGHT('Disaggregation Records'!$D$3:$D$80,255),0))),"")</f>
        <v/>
      </c>
    </row>
    <row r="192" spans="1:18" ht="20.100000000000001" customHeight="1">
      <c r="A192" s="126" t="str">
        <f t="shared" ca="1" si="195"/>
        <v>a1GDm000000XyRQMA0</v>
      </c>
      <c r="B192" s="570">
        <v>10</v>
      </c>
      <c r="C192" s="572" t="str">
        <f ca="1">IFERROR(VLOOKUP(B192,'Impact Indicators - Section B '!$A$9:$AC$68,29,FALSE),"")</f>
        <v>HIV I-4 Number of AIDS-related deaths per 100,000 population</v>
      </c>
      <c r="D192" s="574" t="str">
        <f t="shared" ref="D192" ca="1" si="280">M192</f>
        <v>Gender | Age</v>
      </c>
      <c r="E192" s="574" t="str">
        <f t="shared" ref="E192" ca="1" si="281">N192</f>
        <v>Male 20-24</v>
      </c>
      <c r="F192" s="127"/>
      <c r="G192" s="576" t="str">
        <f ca="1">IF(OR(INDIRECT("'update Helper'!E"&amp;Q192)="",F192&lt;&gt;0,F193&lt;&gt;0),IF(IFERROR((F192/F193),"")="","",(F192/F193)),INDIRECT("'update Helper'!E"&amp;Q192)/100)</f>
        <v/>
      </c>
      <c r="H192" s="539"/>
      <c r="I192" s="578"/>
      <c r="J192" s="532"/>
      <c r="K192" s="126">
        <f ca="1">IF(AND(EXACT(C192,C190),C190&lt;&gt;0),K190+1,0)</f>
        <v>1</v>
      </c>
      <c r="L192" s="126" t="str">
        <f ca="1">IF(C192&lt;&gt;"",C192&amp;"-"&amp;K192,"")</f>
        <v>HIV I-4 Number of AIDS-related deaths per 100,000 population-1</v>
      </c>
      <c r="M192" s="126" t="str">
        <f t="array" aca="1" ref="M192" ca="1">IFERROR(IF(INDEX('Disaggregation Records'!$E$3:$E$80,MATCH(RIGHT(L192,255),RIGHT('Disaggregation Records'!$D$3:$D$80,255),0))="","",INDEX('Disaggregation Records'!$E$3:$E$80,MATCH(RIGHT(L192,255),RIGHT('Disaggregation Records'!$D$3:$D$80,255),0))),"")</f>
        <v>Gender | Age</v>
      </c>
      <c r="N192" s="126" t="str">
        <f t="array" aca="1" ref="N192" ca="1">IFERROR(IF(INDEX('Disaggregation Records'!$F$3:$F$80,MATCH(RIGHT(L192,255),RIGHT('Disaggregation Records'!$D$3:$D$80,255),0))="","",INDEX('Disaggregation Records'!$F$3:$F$80,MATCH(RIGHT(L192,255),RIGHT('Disaggregation Records'!$D$3:$D$80,255),0))),"")</f>
        <v>Male 20-24</v>
      </c>
      <c r="O192" s="314" t="str">
        <f t="array" aca="1" ref="O192" ca="1">IFERROR(IF(INDEX('Disaggregation Records'!$H$3:$H$80,MATCH(RIGHT(L192,255),RIGHT('Disaggregation Records'!$D$3:$D$80,255),0))="","",INDEX('Disaggregation Records'!$H$3:$H$80,MATCH(RIGHT(L192,255),RIGHT('Disaggregation Records'!$D$3:$D$80,255),0))),"")</f>
        <v>IDR-01045</v>
      </c>
      <c r="P192" s="310"/>
      <c r="Q192" s="310">
        <f t="shared" ref="Q192" si="282">Q190+1</f>
        <v>1399</v>
      </c>
      <c r="R192" s="314" t="str" cm="1">
        <f t="array" aca="1" ref="R192" ca="1">IFERROR(IF(INDEX('Disaggregation Records'!$G$3:$G$80,MATCH(RIGHT(L192,255),RIGHT('Disaggregation Records'!$D$3:$D$80,255),0))="","",INDEX('Disaggregation Records'!$G$3:$G$80,MATCH(RIGHT(L192,255),RIGHT('Disaggregation Records'!$D$3:$D$80,255),0))),"")</f>
        <v>a1LDm000000CazbMAC</v>
      </c>
    </row>
    <row r="193" spans="1:18" ht="20.100000000000001" customHeight="1">
      <c r="B193" s="571">
        <v>7.4398496240601597</v>
      </c>
      <c r="C193" s="573"/>
      <c r="D193" s="575"/>
      <c r="E193" s="575"/>
      <c r="F193" s="128"/>
      <c r="G193" s="577"/>
      <c r="H193" s="540"/>
      <c r="I193" s="579"/>
      <c r="J193" s="533"/>
      <c r="K193" s="129"/>
      <c r="L193" s="129"/>
      <c r="M193" s="129"/>
      <c r="N193" s="129"/>
      <c r="O193" s="317"/>
      <c r="P193" s="310"/>
      <c r="Q193" s="314"/>
      <c r="R193" s="314" t="str" cm="1">
        <f t="array" ref="R193">IFERROR(IF(INDEX('Disaggregation Records'!$G$3:$G$80,MATCH(RIGHT(L193,255),RIGHT('Disaggregation Records'!$D$3:$D$80,255),0))="","",INDEX('Disaggregation Records'!$G$3:$G$80,MATCH(RIGHT(L193,255),RIGHT('Disaggregation Records'!$D$3:$D$80,255),0))),"")</f>
        <v/>
      </c>
    </row>
    <row r="194" spans="1:18" ht="20.100000000000001" customHeight="1">
      <c r="A194" s="126" t="str">
        <f t="shared" ref="A194" ca="1" si="283">INDIRECT("'update Helper'!C"&amp;Q194)</f>
        <v>a1GDm000000XyRRMA0</v>
      </c>
      <c r="B194" s="570">
        <v>10</v>
      </c>
      <c r="C194" s="572" t="str">
        <f ca="1">IFERROR(VLOOKUP(B194,'Impact Indicators - Section B '!$A$9:$AC$68,29,FALSE),"")</f>
        <v>HIV I-4 Number of AIDS-related deaths per 100,000 population</v>
      </c>
      <c r="D194" s="574" t="str">
        <f t="shared" ref="D194" ca="1" si="284">M194</f>
        <v>Gender | Age</v>
      </c>
      <c r="E194" s="574" t="str">
        <f t="shared" ref="E194" ca="1" si="285">N194</f>
        <v>Male 15-19</v>
      </c>
      <c r="F194" s="127"/>
      <c r="G194" s="576" t="str">
        <f ca="1">IF(OR(INDIRECT("'update Helper'!E"&amp;Q194)="",F194&lt;&gt;0,F195&lt;&gt;0),IF(IFERROR((F194/F195),"")="","",(F194/F195)),INDIRECT("'update Helper'!E"&amp;Q194)/100)</f>
        <v/>
      </c>
      <c r="H194" s="539"/>
      <c r="I194" s="578"/>
      <c r="J194" s="532"/>
      <c r="K194" s="126">
        <f ca="1">IF(AND(EXACT(C194,C192),C192&lt;&gt;0),K192+1,0)</f>
        <v>2</v>
      </c>
      <c r="L194" s="126" t="str">
        <f ca="1">IF(C194&lt;&gt;"",C194&amp;"-"&amp;K194,"")</f>
        <v>HIV I-4 Number of AIDS-related deaths per 100,000 population-2</v>
      </c>
      <c r="M194" s="126" t="str">
        <f t="array" aca="1" ref="M194" ca="1">IFERROR(IF(INDEX('Disaggregation Records'!$E$3:$E$80,MATCH(RIGHT(L194,255),RIGHT('Disaggregation Records'!$D$3:$D$80,255),0))="","",INDEX('Disaggregation Records'!$E$3:$E$80,MATCH(RIGHT(L194,255),RIGHT('Disaggregation Records'!$D$3:$D$80,255),0))),"")</f>
        <v>Gender | Age</v>
      </c>
      <c r="N194" s="126" t="str">
        <f t="array" aca="1" ref="N194" ca="1">IFERROR(IF(INDEX('Disaggregation Records'!$F$3:$F$80,MATCH(RIGHT(L194,255),RIGHT('Disaggregation Records'!$D$3:$D$80,255),0))="","",INDEX('Disaggregation Records'!$F$3:$F$80,MATCH(RIGHT(L194,255),RIGHT('Disaggregation Records'!$D$3:$D$80,255),0))),"")</f>
        <v>Male 15-19</v>
      </c>
      <c r="O194" s="314" t="str">
        <f t="array" aca="1" ref="O194" ca="1">IFERROR(IF(INDEX('Disaggregation Records'!$H$3:$H$80,MATCH(RIGHT(L194,255),RIGHT('Disaggregation Records'!$D$3:$D$80,255),0))="","",INDEX('Disaggregation Records'!$H$3:$H$80,MATCH(RIGHT(L194,255),RIGHT('Disaggregation Records'!$D$3:$D$80,255),0))),"")</f>
        <v>IDR-01044</v>
      </c>
      <c r="P194" s="314"/>
      <c r="Q194" s="310">
        <f t="shared" ref="Q194" si="286">Q192+1</f>
        <v>1400</v>
      </c>
      <c r="R194" s="314" t="str" cm="1">
        <f t="array" aca="1" ref="R194" ca="1">IFERROR(IF(INDEX('Disaggregation Records'!$G$3:$G$80,MATCH(RIGHT(L194,255),RIGHT('Disaggregation Records'!$D$3:$D$80,255),0))="","",INDEX('Disaggregation Records'!$G$3:$G$80,MATCH(RIGHT(L194,255),RIGHT('Disaggregation Records'!$D$3:$D$80,255),0))),"")</f>
        <v>a1LDm000000CazaMAC</v>
      </c>
    </row>
    <row r="195" spans="1:18" ht="20.100000000000001" customHeight="1">
      <c r="A195" s="126"/>
      <c r="B195" s="571">
        <v>7.4398496240601597</v>
      </c>
      <c r="C195" s="573"/>
      <c r="D195" s="575"/>
      <c r="E195" s="575"/>
      <c r="F195" s="128"/>
      <c r="G195" s="577"/>
      <c r="H195" s="540"/>
      <c r="I195" s="579"/>
      <c r="J195" s="533"/>
      <c r="K195" s="129"/>
      <c r="L195" s="129"/>
      <c r="M195" s="129"/>
      <c r="N195" s="129"/>
      <c r="O195" s="317"/>
      <c r="P195" s="317"/>
      <c r="Q195" s="314"/>
      <c r="R195" s="314" t="str" cm="1">
        <f t="array" ref="R195">IFERROR(IF(INDEX('Disaggregation Records'!$G$3:$G$80,MATCH(RIGHT(L195,255),RIGHT('Disaggregation Records'!$D$3:$D$80,255),0))="","",INDEX('Disaggregation Records'!$G$3:$G$80,MATCH(RIGHT(L195,255),RIGHT('Disaggregation Records'!$D$3:$D$80,255),0))),"")</f>
        <v/>
      </c>
    </row>
    <row r="196" spans="1:18" ht="20.100000000000001" customHeight="1">
      <c r="A196" s="126" t="str">
        <f t="shared" ca="1" si="195"/>
        <v>a1GDm000000XyRSMA0</v>
      </c>
      <c r="B196" s="570">
        <v>10</v>
      </c>
      <c r="C196" s="572" t="str">
        <f ca="1">IFERROR(VLOOKUP(B196,'Impact Indicators - Section B '!$A$9:$AC$68,29,FALSE),"")</f>
        <v>HIV I-4 Number of AIDS-related deaths per 100,000 population</v>
      </c>
      <c r="D196" s="574" t="str">
        <f t="shared" ref="D196" ca="1" si="287">M196</f>
        <v>Gender</v>
      </c>
      <c r="E196" s="574" t="str">
        <f t="shared" ref="E196" ca="1" si="288">N196</f>
        <v>Male</v>
      </c>
      <c r="F196" s="127">
        <v>7341</v>
      </c>
      <c r="G196" s="576" t="str">
        <f ca="1">IF(OR(INDIRECT("'update Helper'!E"&amp;Q196)="",F196&lt;&gt;0,F197&lt;&gt;0),IF(IFERROR((F196/F197),"")="","",(F196/F197)),INDIRECT("'update Helper'!E"&amp;Q196)/100)</f>
        <v/>
      </c>
      <c r="H196" s="539">
        <v>2022</v>
      </c>
      <c r="I196" s="578" t="s">
        <v>2266</v>
      </c>
      <c r="J196" s="532"/>
      <c r="K196" s="126">
        <f ca="1">IF(AND(EXACT(C196,C194),C194&lt;&gt;0),K194+1,0)</f>
        <v>3</v>
      </c>
      <c r="L196" s="126" t="str">
        <f ca="1">IF(C196&lt;&gt;"",C196&amp;"-"&amp;K196,"")</f>
        <v>HIV I-4 Number of AIDS-related deaths per 100,000 population-3</v>
      </c>
      <c r="M196" s="126" t="str">
        <f t="array" aca="1" ref="M196" ca="1">IFERROR(IF(INDEX('Disaggregation Records'!$E$3:$E$80,MATCH(RIGHT(L196,255),RIGHT('Disaggregation Records'!$D$3:$D$80,255),0))="","",INDEX('Disaggregation Records'!$E$3:$E$80,MATCH(RIGHT(L196,255),RIGHT('Disaggregation Records'!$D$3:$D$80,255),0))),"")</f>
        <v>Gender</v>
      </c>
      <c r="N196" s="126" t="str">
        <f t="array" aca="1" ref="N196" ca="1">IFERROR(IF(INDEX('Disaggregation Records'!$F$3:$F$80,MATCH(RIGHT(L196,255),RIGHT('Disaggregation Records'!$D$3:$D$80,255),0))="","",INDEX('Disaggregation Records'!$F$3:$F$80,MATCH(RIGHT(L196,255),RIGHT('Disaggregation Records'!$D$3:$D$80,255),0))),"")</f>
        <v>Male</v>
      </c>
      <c r="O196" s="314" t="str">
        <f t="array" aca="1" ref="O196" ca="1">IFERROR(IF(INDEX('Disaggregation Records'!$H$3:$H$80,MATCH(RIGHT(L196,255),RIGHT('Disaggregation Records'!$D$3:$D$80,255),0))="","",INDEX('Disaggregation Records'!$H$3:$H$80,MATCH(RIGHT(L196,255),RIGHT('Disaggregation Records'!$D$3:$D$80,255),0))),"")</f>
        <v>IDR-01043</v>
      </c>
      <c r="P196" s="310"/>
      <c r="Q196" s="310">
        <f t="shared" ref="Q196" si="289">Q194+1</f>
        <v>1401</v>
      </c>
      <c r="R196" s="314" t="str" cm="1">
        <f t="array" aca="1" ref="R196" ca="1">IFERROR(IF(INDEX('Disaggregation Records'!$G$3:$G$80,MATCH(RIGHT(L196,255),RIGHT('Disaggregation Records'!$D$3:$D$80,255),0))="","",INDEX('Disaggregation Records'!$G$3:$G$80,MATCH(RIGHT(L196,255),RIGHT('Disaggregation Records'!$D$3:$D$80,255),0))),"")</f>
        <v>a1LDm000000CazZMAS</v>
      </c>
    </row>
    <row r="197" spans="1:18" ht="20.100000000000001" customHeight="1">
      <c r="B197" s="571">
        <v>7.4398496240601597</v>
      </c>
      <c r="C197" s="573"/>
      <c r="D197" s="575"/>
      <c r="E197" s="575"/>
      <c r="F197" s="128"/>
      <c r="G197" s="577"/>
      <c r="H197" s="540"/>
      <c r="I197" s="579"/>
      <c r="J197" s="533"/>
      <c r="K197" s="129"/>
      <c r="L197" s="129"/>
      <c r="M197" s="129"/>
      <c r="N197" s="129"/>
      <c r="O197" s="317"/>
      <c r="P197" s="310"/>
      <c r="Q197" s="314"/>
      <c r="R197" s="314" t="str" cm="1">
        <f t="array" ref="R197">IFERROR(IF(INDEX('Disaggregation Records'!$G$3:$G$80,MATCH(RIGHT(L197,255),RIGHT('Disaggregation Records'!$D$3:$D$80,255),0))="","",INDEX('Disaggregation Records'!$G$3:$G$80,MATCH(RIGHT(L197,255),RIGHT('Disaggregation Records'!$D$3:$D$80,255),0))),"")</f>
        <v/>
      </c>
    </row>
    <row r="198" spans="1:18" ht="20.100000000000001" customHeight="1">
      <c r="A198" s="126" t="str">
        <f t="shared" ref="A198" ca="1" si="290">INDIRECT("'update Helper'!C"&amp;Q198)</f>
        <v>a1GDm000000XyRTMA0</v>
      </c>
      <c r="B198" s="570">
        <v>10</v>
      </c>
      <c r="C198" s="572" t="str">
        <f ca="1">IFERROR(VLOOKUP(B198,'Impact Indicators - Section B '!$A$9:$AC$68,29,FALSE),"")</f>
        <v>HIV I-4 Number of AIDS-related deaths per 100,000 population</v>
      </c>
      <c r="D198" s="574" t="str">
        <f t="shared" ref="D198" ca="1" si="291">M198</f>
        <v>Age</v>
      </c>
      <c r="E198" s="574" t="str">
        <f t="shared" ref="E198" ca="1" si="292">N198</f>
        <v>5-14</v>
      </c>
      <c r="F198" s="127"/>
      <c r="G198" s="576" t="str">
        <f ca="1">IF(OR(INDIRECT("'update Helper'!E"&amp;Q198)="",F198&lt;&gt;0,F199&lt;&gt;0),IF(IFERROR((F198/F199),"")="","",(F198/F199)),INDIRECT("'update Helper'!E"&amp;Q198)/100)</f>
        <v/>
      </c>
      <c r="H198" s="539"/>
      <c r="I198" s="578"/>
      <c r="J198" s="532"/>
      <c r="K198" s="126">
        <f ca="1">IF(AND(EXACT(C198,C196),C196&lt;&gt;0),K196+1,0)</f>
        <v>4</v>
      </c>
      <c r="L198" s="126" t="str">
        <f ca="1">IF(C198&lt;&gt;"",C198&amp;"-"&amp;K198,"")</f>
        <v>HIV I-4 Number of AIDS-related deaths per 100,000 population-4</v>
      </c>
      <c r="M198" s="126" t="str">
        <f t="array" aca="1" ref="M198" ca="1">IFERROR(IF(INDEX('Disaggregation Records'!$E$3:$E$80,MATCH(RIGHT(L198,255),RIGHT('Disaggregation Records'!$D$3:$D$80,255),0))="","",INDEX('Disaggregation Records'!$E$3:$E$80,MATCH(RIGHT(L198,255),RIGHT('Disaggregation Records'!$D$3:$D$80,255),0))),"")</f>
        <v>Age</v>
      </c>
      <c r="N198" s="126" t="str">
        <f t="array" aca="1" ref="N198" ca="1">IFERROR(IF(INDEX('Disaggregation Records'!$F$3:$F$80,MATCH(RIGHT(L198,255),RIGHT('Disaggregation Records'!$D$3:$D$80,255),0))="","",INDEX('Disaggregation Records'!$F$3:$F$80,MATCH(RIGHT(L198,255),RIGHT('Disaggregation Records'!$D$3:$D$80,255),0))),"")</f>
        <v>5-14</v>
      </c>
      <c r="O198" s="314" t="str">
        <f t="array" aca="1" ref="O198" ca="1">IFERROR(IF(INDEX('Disaggregation Records'!$H$3:$H$80,MATCH(RIGHT(L198,255),RIGHT('Disaggregation Records'!$D$3:$D$80,255),0))="","",INDEX('Disaggregation Records'!$H$3:$H$80,MATCH(RIGHT(L198,255),RIGHT('Disaggregation Records'!$D$3:$D$80,255),0))),"")</f>
        <v>IDR-01042</v>
      </c>
      <c r="P198" s="314"/>
      <c r="Q198" s="310">
        <f t="shared" ref="Q198" si="293">Q196+1</f>
        <v>1402</v>
      </c>
      <c r="R198" s="314" t="str" cm="1">
        <f t="array" aca="1" ref="R198" ca="1">IFERROR(IF(INDEX('Disaggregation Records'!$G$3:$G$80,MATCH(RIGHT(L198,255),RIGHT('Disaggregation Records'!$D$3:$D$80,255),0))="","",INDEX('Disaggregation Records'!$G$3:$G$80,MATCH(RIGHT(L198,255),RIGHT('Disaggregation Records'!$D$3:$D$80,255),0))),"")</f>
        <v>a1LDm000000CazYMAS</v>
      </c>
    </row>
    <row r="199" spans="1:18" ht="20.100000000000001" customHeight="1">
      <c r="A199" s="126"/>
      <c r="B199" s="571">
        <v>7.4398496240601597</v>
      </c>
      <c r="C199" s="573"/>
      <c r="D199" s="575"/>
      <c r="E199" s="575"/>
      <c r="F199" s="128"/>
      <c r="G199" s="577"/>
      <c r="H199" s="540"/>
      <c r="I199" s="579"/>
      <c r="J199" s="533"/>
      <c r="K199" s="129"/>
      <c r="L199" s="129"/>
      <c r="M199" s="129"/>
      <c r="N199" s="129"/>
      <c r="O199" s="317"/>
      <c r="P199" s="317"/>
      <c r="Q199" s="314"/>
      <c r="R199" s="314" t="str" cm="1">
        <f t="array" ref="R199">IFERROR(IF(INDEX('Disaggregation Records'!$G$3:$G$80,MATCH(RIGHT(L199,255),RIGHT('Disaggregation Records'!$D$3:$D$80,255),0))="","",INDEX('Disaggregation Records'!$G$3:$G$80,MATCH(RIGHT(L199,255),RIGHT('Disaggregation Records'!$D$3:$D$80,255),0))),"")</f>
        <v/>
      </c>
    </row>
    <row r="200" spans="1:18" ht="20.100000000000001" customHeight="1">
      <c r="A200" s="126" t="str">
        <f t="shared" ca="1" si="195"/>
        <v>a1GDm000000XyRUMA0</v>
      </c>
      <c r="B200" s="570">
        <v>10</v>
      </c>
      <c r="C200" s="572" t="str">
        <f ca="1">IFERROR(VLOOKUP(B200,'Impact Indicators - Section B '!$A$9:$AC$68,29,FALSE),"")</f>
        <v>HIV I-4 Number of AIDS-related deaths per 100,000 population</v>
      </c>
      <c r="D200" s="574" t="str">
        <f t="shared" ref="D200" ca="1" si="294">M200</f>
        <v>Gender | Age</v>
      </c>
      <c r="E200" s="574" t="str">
        <f t="shared" ref="E200" ca="1" si="295">N200</f>
        <v>Female 20-24</v>
      </c>
      <c r="F200" s="127"/>
      <c r="G200" s="576" t="str">
        <f ca="1">IF(OR(INDIRECT("'update Helper'!E"&amp;Q200)="",F200&lt;&gt;0,F201&lt;&gt;0),IF(IFERROR((F200/F201),"")="","",(F200/F201)),INDIRECT("'update Helper'!E"&amp;Q200)/100)</f>
        <v/>
      </c>
      <c r="H200" s="539"/>
      <c r="I200" s="578"/>
      <c r="J200" s="532"/>
      <c r="K200" s="126">
        <f ca="1">IF(AND(EXACT(C200,C198),C198&lt;&gt;0),K198+1,0)</f>
        <v>5</v>
      </c>
      <c r="L200" s="126" t="str">
        <f ca="1">IF(C200&lt;&gt;"",C200&amp;"-"&amp;K200,"")</f>
        <v>HIV I-4 Number of AIDS-related deaths per 100,000 population-5</v>
      </c>
      <c r="M200" s="126" t="str">
        <f t="array" aca="1" ref="M200" ca="1">IFERROR(IF(INDEX('Disaggregation Records'!$E$3:$E$80,MATCH(RIGHT(L200,255),RIGHT('Disaggregation Records'!$D$3:$D$80,255),0))="","",INDEX('Disaggregation Records'!$E$3:$E$80,MATCH(RIGHT(L200,255),RIGHT('Disaggregation Records'!$D$3:$D$80,255),0))),"")</f>
        <v>Gender | Age</v>
      </c>
      <c r="N200" s="126" t="str">
        <f t="array" aca="1" ref="N200" ca="1">IFERROR(IF(INDEX('Disaggregation Records'!$F$3:$F$80,MATCH(RIGHT(L200,255),RIGHT('Disaggregation Records'!$D$3:$D$80,255),0))="","",INDEX('Disaggregation Records'!$F$3:$F$80,MATCH(RIGHT(L200,255),RIGHT('Disaggregation Records'!$D$3:$D$80,255),0))),"")</f>
        <v>Female 20-24</v>
      </c>
      <c r="O200" s="314" t="str">
        <f t="array" aca="1" ref="O200" ca="1">IFERROR(IF(INDEX('Disaggregation Records'!$H$3:$H$80,MATCH(RIGHT(L200,255),RIGHT('Disaggregation Records'!$D$3:$D$80,255),0))="","",INDEX('Disaggregation Records'!$H$3:$H$80,MATCH(RIGHT(L200,255),RIGHT('Disaggregation Records'!$D$3:$D$80,255),0))),"")</f>
        <v>IDR-01041</v>
      </c>
      <c r="P200" s="310"/>
      <c r="Q200" s="310">
        <f t="shared" ref="Q200" si="296">Q198+1</f>
        <v>1403</v>
      </c>
      <c r="R200" s="314" t="str" cm="1">
        <f t="array" aca="1" ref="R200" ca="1">IFERROR(IF(INDEX('Disaggregation Records'!$G$3:$G$80,MATCH(RIGHT(L200,255),RIGHT('Disaggregation Records'!$D$3:$D$80,255),0))="","",INDEX('Disaggregation Records'!$G$3:$G$80,MATCH(RIGHT(L200,255),RIGHT('Disaggregation Records'!$D$3:$D$80,255),0))),"")</f>
        <v>a1LDm000000CazXMAS</v>
      </c>
    </row>
    <row r="201" spans="1:18" ht="20.100000000000001" customHeight="1">
      <c r="B201" s="571">
        <v>7.4398496240601597</v>
      </c>
      <c r="C201" s="573"/>
      <c r="D201" s="575"/>
      <c r="E201" s="575"/>
      <c r="F201" s="128"/>
      <c r="G201" s="577"/>
      <c r="H201" s="540"/>
      <c r="I201" s="579"/>
      <c r="J201" s="533"/>
      <c r="K201" s="129"/>
      <c r="L201" s="129"/>
      <c r="M201" s="129"/>
      <c r="N201" s="129"/>
      <c r="O201" s="317"/>
      <c r="P201" s="310"/>
      <c r="Q201" s="314"/>
      <c r="R201" s="314" t="str" cm="1">
        <f t="array" ref="R201">IFERROR(IF(INDEX('Disaggregation Records'!$G$3:$G$80,MATCH(RIGHT(L201,255),RIGHT('Disaggregation Records'!$D$3:$D$80,255),0))="","",INDEX('Disaggregation Records'!$G$3:$G$80,MATCH(RIGHT(L201,255),RIGHT('Disaggregation Records'!$D$3:$D$80,255),0))),"")</f>
        <v/>
      </c>
    </row>
    <row r="202" spans="1:18" ht="20.100000000000001" customHeight="1">
      <c r="A202" s="126" t="str">
        <f t="shared" ref="A202" ca="1" si="297">INDIRECT("'update Helper'!C"&amp;Q202)</f>
        <v>a1GDm000000XyRVMA0</v>
      </c>
      <c r="B202" s="570">
        <v>10</v>
      </c>
      <c r="C202" s="572" t="str">
        <f ca="1">IFERROR(VLOOKUP(B202,'Impact Indicators - Section B '!$A$9:$AC$68,29,FALSE),"")</f>
        <v>HIV I-4 Number of AIDS-related deaths per 100,000 population</v>
      </c>
      <c r="D202" s="574" t="str">
        <f t="shared" ref="D202" ca="1" si="298">M202</f>
        <v>Gender | Age</v>
      </c>
      <c r="E202" s="574" t="str">
        <f t="shared" ref="E202" ca="1" si="299">N202</f>
        <v>Female 15-19</v>
      </c>
      <c r="F202" s="127"/>
      <c r="G202" s="576" t="str">
        <f ca="1">IF(OR(INDIRECT("'update Helper'!E"&amp;Q202)="",F202&lt;&gt;0,F203&lt;&gt;0),IF(IFERROR((F202/F203),"")="","",(F202/F203)),INDIRECT("'update Helper'!E"&amp;Q202)/100)</f>
        <v/>
      </c>
      <c r="H202" s="539"/>
      <c r="I202" s="578"/>
      <c r="J202" s="532"/>
      <c r="K202" s="126">
        <f ca="1">IF(AND(EXACT(C202,C200),C200&lt;&gt;0),K200+1,0)</f>
        <v>6</v>
      </c>
      <c r="L202" s="126" t="str">
        <f ca="1">IF(C202&lt;&gt;"",C202&amp;"-"&amp;K202,"")</f>
        <v>HIV I-4 Number of AIDS-related deaths per 100,000 population-6</v>
      </c>
      <c r="M202" s="126" t="str">
        <f t="array" aca="1" ref="M202" ca="1">IFERROR(IF(INDEX('Disaggregation Records'!$E$3:$E$80,MATCH(RIGHT(L202,255),RIGHT('Disaggregation Records'!$D$3:$D$80,255),0))="","",INDEX('Disaggregation Records'!$E$3:$E$80,MATCH(RIGHT(L202,255),RIGHT('Disaggregation Records'!$D$3:$D$80,255),0))),"")</f>
        <v>Gender | Age</v>
      </c>
      <c r="N202" s="126" t="str">
        <f t="array" aca="1" ref="N202" ca="1">IFERROR(IF(INDEX('Disaggregation Records'!$F$3:$F$80,MATCH(RIGHT(L202,255),RIGHT('Disaggregation Records'!$D$3:$D$80,255),0))="","",INDEX('Disaggregation Records'!$F$3:$F$80,MATCH(RIGHT(L202,255),RIGHT('Disaggregation Records'!$D$3:$D$80,255),0))),"")</f>
        <v>Female 15-19</v>
      </c>
      <c r="O202" s="314" t="str">
        <f t="array" aca="1" ref="O202" ca="1">IFERROR(IF(INDEX('Disaggregation Records'!$H$3:$H$80,MATCH(RIGHT(L202,255),RIGHT('Disaggregation Records'!$D$3:$D$80,255),0))="","",INDEX('Disaggregation Records'!$H$3:$H$80,MATCH(RIGHT(L202,255),RIGHT('Disaggregation Records'!$D$3:$D$80,255),0))),"")</f>
        <v>IDR-01040</v>
      </c>
      <c r="P202" s="314"/>
      <c r="Q202" s="310">
        <f t="shared" ref="Q202" si="300">Q200+1</f>
        <v>1404</v>
      </c>
      <c r="R202" s="314" t="str" cm="1">
        <f t="array" aca="1" ref="R202" ca="1">IFERROR(IF(INDEX('Disaggregation Records'!$G$3:$G$80,MATCH(RIGHT(L202,255),RIGHT('Disaggregation Records'!$D$3:$D$80,255),0))="","",INDEX('Disaggregation Records'!$G$3:$G$80,MATCH(RIGHT(L202,255),RIGHT('Disaggregation Records'!$D$3:$D$80,255),0))),"")</f>
        <v>a1LDm000000CazWMAS</v>
      </c>
    </row>
    <row r="203" spans="1:18" ht="20.100000000000001" customHeight="1">
      <c r="A203" s="126"/>
      <c r="B203" s="571">
        <v>7.4398496240601597</v>
      </c>
      <c r="C203" s="573"/>
      <c r="D203" s="575"/>
      <c r="E203" s="575"/>
      <c r="F203" s="128"/>
      <c r="G203" s="577"/>
      <c r="H203" s="540"/>
      <c r="I203" s="579"/>
      <c r="J203" s="533"/>
      <c r="K203" s="129"/>
      <c r="L203" s="129"/>
      <c r="M203" s="129"/>
      <c r="N203" s="129"/>
      <c r="O203" s="317"/>
      <c r="P203" s="317"/>
      <c r="Q203" s="314"/>
      <c r="R203" s="314" t="str" cm="1">
        <f t="array" ref="R203">IFERROR(IF(INDEX('Disaggregation Records'!$G$3:$G$80,MATCH(RIGHT(L203,255),RIGHT('Disaggregation Records'!$D$3:$D$80,255),0))="","",INDEX('Disaggregation Records'!$G$3:$G$80,MATCH(RIGHT(L203,255),RIGHT('Disaggregation Records'!$D$3:$D$80,255),0))),"")</f>
        <v/>
      </c>
    </row>
    <row r="204" spans="1:18" ht="20.100000000000001" customHeight="1">
      <c r="A204" s="126" t="str">
        <f t="shared" ca="1" si="195"/>
        <v>a1GDm000000XyRWMA0</v>
      </c>
      <c r="B204" s="570">
        <v>10</v>
      </c>
      <c r="C204" s="572" t="str">
        <f ca="1">IFERROR(VLOOKUP(B204,'Impact Indicators - Section B '!$A$9:$AC$68,29,FALSE),"")</f>
        <v>HIV I-4 Number of AIDS-related deaths per 100,000 population</v>
      </c>
      <c r="D204" s="574" t="str">
        <f t="shared" ref="D204" ca="1" si="301">M204</f>
        <v>Age</v>
      </c>
      <c r="E204" s="574" t="str">
        <f t="shared" ref="E204" ca="1" si="302">N204</f>
        <v>&lt;5</v>
      </c>
      <c r="F204" s="127"/>
      <c r="G204" s="576" t="str">
        <f ca="1">IF(OR(INDIRECT("'update Helper'!E"&amp;Q204)="",F204&lt;&gt;0,F205&lt;&gt;0),IF(IFERROR((F204/F205),"")="","",(F204/F205)),INDIRECT("'update Helper'!E"&amp;Q204)/100)</f>
        <v/>
      </c>
      <c r="H204" s="539"/>
      <c r="I204" s="578"/>
      <c r="J204" s="532"/>
      <c r="K204" s="126">
        <f ca="1">IF(AND(EXACT(C204,C202),C202&lt;&gt;0),K202+1,0)</f>
        <v>7</v>
      </c>
      <c r="L204" s="126" t="str">
        <f ca="1">IF(C204&lt;&gt;"",C204&amp;"-"&amp;K204,"")</f>
        <v>HIV I-4 Number of AIDS-related deaths per 100,000 population-7</v>
      </c>
      <c r="M204" s="126" t="str">
        <f t="array" aca="1" ref="M204" ca="1">IFERROR(IF(INDEX('Disaggregation Records'!$E$3:$E$80,MATCH(RIGHT(L204,255),RIGHT('Disaggregation Records'!$D$3:$D$80,255),0))="","",INDEX('Disaggregation Records'!$E$3:$E$80,MATCH(RIGHT(L204,255),RIGHT('Disaggregation Records'!$D$3:$D$80,255),0))),"")</f>
        <v>Age</v>
      </c>
      <c r="N204" s="126" t="str">
        <f t="array" aca="1" ref="N204" ca="1">IFERROR(IF(INDEX('Disaggregation Records'!$F$3:$F$80,MATCH(RIGHT(L204,255),RIGHT('Disaggregation Records'!$D$3:$D$80,255),0))="","",INDEX('Disaggregation Records'!$F$3:$F$80,MATCH(RIGHT(L204,255),RIGHT('Disaggregation Records'!$D$3:$D$80,255),0))),"")</f>
        <v>&lt;5</v>
      </c>
      <c r="O204" s="314" t="str">
        <f t="array" aca="1" ref="O204" ca="1">IFERROR(IF(INDEX('Disaggregation Records'!$H$3:$H$80,MATCH(RIGHT(L204,255),RIGHT('Disaggregation Records'!$D$3:$D$80,255),0))="","",INDEX('Disaggregation Records'!$H$3:$H$80,MATCH(RIGHT(L204,255),RIGHT('Disaggregation Records'!$D$3:$D$80,255),0))),"")</f>
        <v>IDR-01039</v>
      </c>
      <c r="P204" s="310"/>
      <c r="Q204" s="310">
        <f t="shared" ref="Q204" si="303">Q202+1</f>
        <v>1405</v>
      </c>
      <c r="R204" s="314" t="str" cm="1">
        <f t="array" aca="1" ref="R204" ca="1">IFERROR(IF(INDEX('Disaggregation Records'!$G$3:$G$80,MATCH(RIGHT(L204,255),RIGHT('Disaggregation Records'!$D$3:$D$80,255),0))="","",INDEX('Disaggregation Records'!$G$3:$G$80,MATCH(RIGHT(L204,255),RIGHT('Disaggregation Records'!$D$3:$D$80,255),0))),"")</f>
        <v>a1LDm000000CazVMAS</v>
      </c>
    </row>
    <row r="205" spans="1:18" ht="20.100000000000001" customHeight="1">
      <c r="B205" s="571">
        <v>7.4398496240601597</v>
      </c>
      <c r="C205" s="573"/>
      <c r="D205" s="575"/>
      <c r="E205" s="575"/>
      <c r="F205" s="128"/>
      <c r="G205" s="577"/>
      <c r="H205" s="540"/>
      <c r="I205" s="579"/>
      <c r="J205" s="533"/>
      <c r="K205" s="129"/>
      <c r="L205" s="129"/>
      <c r="M205" s="129"/>
      <c r="N205" s="129"/>
      <c r="O205" s="317"/>
      <c r="P205" s="310"/>
      <c r="Q205" s="314"/>
      <c r="R205" s="314" t="str" cm="1">
        <f t="array" ref="R205">IFERROR(IF(INDEX('Disaggregation Records'!$G$3:$G$80,MATCH(RIGHT(L205,255),RIGHT('Disaggregation Records'!$D$3:$D$80,255),0))="","",INDEX('Disaggregation Records'!$G$3:$G$80,MATCH(RIGHT(L205,255),RIGHT('Disaggregation Records'!$D$3:$D$80,255),0))),"")</f>
        <v/>
      </c>
    </row>
    <row r="206" spans="1:18" ht="20.100000000000001" customHeight="1">
      <c r="A206" s="126" t="str">
        <f t="shared" ref="A206" ca="1" si="304">INDIRECT("'update Helper'!C"&amp;Q206)</f>
        <v>a1GDm000000XyRXMA0</v>
      </c>
      <c r="B206" s="570">
        <v>10</v>
      </c>
      <c r="C206" s="572" t="str">
        <f ca="1">IFERROR(VLOOKUP(B206,'Impact Indicators - Section B '!$A$9:$AC$68,29,FALSE),"")</f>
        <v>HIV I-4 Number of AIDS-related deaths per 100,000 population</v>
      </c>
      <c r="D206" s="574" t="str">
        <f t="shared" ref="D206" ca="1" si="305">M206</f>
        <v>Gender</v>
      </c>
      <c r="E206" s="574" t="str">
        <f t="shared" ref="E206" ca="1" si="306">N206</f>
        <v>Female</v>
      </c>
      <c r="F206" s="127">
        <v>7908</v>
      </c>
      <c r="G206" s="576" t="str">
        <f ca="1">IF(OR(INDIRECT("'update Helper'!E"&amp;Q206)="",F206&lt;&gt;0,F207&lt;&gt;0),IF(IFERROR((F206/F207),"")="","",(F206/F207)),INDIRECT("'update Helper'!E"&amp;Q206)/100)</f>
        <v/>
      </c>
      <c r="H206" s="539">
        <v>2022</v>
      </c>
      <c r="I206" s="578" t="s">
        <v>2266</v>
      </c>
      <c r="J206" s="532"/>
      <c r="K206" s="126">
        <f ca="1">IF(AND(EXACT(C206,C204),C204&lt;&gt;0),K204+1,0)</f>
        <v>8</v>
      </c>
      <c r="L206" s="126" t="str">
        <f ca="1">IF(C206&lt;&gt;"",C206&amp;"-"&amp;K206,"")</f>
        <v>HIV I-4 Number of AIDS-related deaths per 100,000 population-8</v>
      </c>
      <c r="M206" s="126" t="str">
        <f t="array" aca="1" ref="M206" ca="1">IFERROR(IF(INDEX('Disaggregation Records'!$E$3:$E$80,MATCH(RIGHT(L206,255),RIGHT('Disaggregation Records'!$D$3:$D$80,255),0))="","",INDEX('Disaggregation Records'!$E$3:$E$80,MATCH(RIGHT(L206,255),RIGHT('Disaggregation Records'!$D$3:$D$80,255),0))),"")</f>
        <v>Gender</v>
      </c>
      <c r="N206" s="126" t="str">
        <f t="array" aca="1" ref="N206" ca="1">IFERROR(IF(INDEX('Disaggregation Records'!$F$3:$F$80,MATCH(RIGHT(L206,255),RIGHT('Disaggregation Records'!$D$3:$D$80,255),0))="","",INDEX('Disaggregation Records'!$F$3:$F$80,MATCH(RIGHT(L206,255),RIGHT('Disaggregation Records'!$D$3:$D$80,255),0))),"")</f>
        <v>Female</v>
      </c>
      <c r="O206" s="314" t="str">
        <f t="array" aca="1" ref="O206" ca="1">IFERROR(IF(INDEX('Disaggregation Records'!$H$3:$H$80,MATCH(RIGHT(L206,255),RIGHT('Disaggregation Records'!$D$3:$D$80,255),0))="","",INDEX('Disaggregation Records'!$H$3:$H$80,MATCH(RIGHT(L206,255),RIGHT('Disaggregation Records'!$D$3:$D$80,255),0))),"")</f>
        <v>IDR-01038</v>
      </c>
      <c r="P206" s="314"/>
      <c r="Q206" s="310">
        <f t="shared" ref="Q206" si="307">Q204+1</f>
        <v>1406</v>
      </c>
      <c r="R206" s="314" t="str" cm="1">
        <f t="array" aca="1" ref="R206" ca="1">IFERROR(IF(INDEX('Disaggregation Records'!$G$3:$G$80,MATCH(RIGHT(L206,255),RIGHT('Disaggregation Records'!$D$3:$D$80,255),0))="","",INDEX('Disaggregation Records'!$G$3:$G$80,MATCH(RIGHT(L206,255),RIGHT('Disaggregation Records'!$D$3:$D$80,255),0))),"")</f>
        <v>a1LDm000000CazUMAS</v>
      </c>
    </row>
    <row r="207" spans="1:18" ht="20.100000000000001" customHeight="1">
      <c r="A207" s="126"/>
      <c r="B207" s="571">
        <v>7.4398496240601597</v>
      </c>
      <c r="C207" s="573"/>
      <c r="D207" s="575"/>
      <c r="E207" s="575"/>
      <c r="F207" s="128"/>
      <c r="G207" s="577"/>
      <c r="H207" s="540"/>
      <c r="I207" s="579"/>
      <c r="J207" s="533"/>
      <c r="K207" s="129"/>
      <c r="L207" s="129"/>
      <c r="M207" s="129"/>
      <c r="N207" s="129"/>
      <c r="O207" s="317"/>
      <c r="P207" s="317"/>
      <c r="Q207" s="314"/>
      <c r="R207" s="314" t="str" cm="1">
        <f t="array" ref="R207">IFERROR(IF(INDEX('Disaggregation Records'!$G$3:$G$80,MATCH(RIGHT(L207,255),RIGHT('Disaggregation Records'!$D$3:$D$80,255),0))="","",INDEX('Disaggregation Records'!$G$3:$G$80,MATCH(RIGHT(L207,255),RIGHT('Disaggregation Records'!$D$3:$D$80,255),0))),"")</f>
        <v/>
      </c>
    </row>
    <row r="208" spans="1:18" ht="20.100000000000001" customHeight="1">
      <c r="A208" s="126" t="str">
        <f t="shared" ref="A208:A268" ca="1" si="308">INDIRECT("'update Helper'!C"&amp;Q208)</f>
        <v>a1GDm000000XyRYMA0</v>
      </c>
      <c r="B208" s="570">
        <v>10</v>
      </c>
      <c r="C208" s="572" t="str">
        <f ca="1">IFERROR(VLOOKUP(B208,'Impact Indicators - Section B '!$A$9:$AC$68,29,FALSE),"")</f>
        <v>HIV I-4 Number of AIDS-related deaths per 100,000 population</v>
      </c>
      <c r="D208" s="574" t="str">
        <f t="shared" ref="D208" ca="1" si="309">M208</f>
        <v/>
      </c>
      <c r="E208" s="574" t="str">
        <f t="shared" ref="E208" ca="1" si="310">N208</f>
        <v/>
      </c>
      <c r="F208" s="127"/>
      <c r="G208" s="576" t="str">
        <f ca="1">IF(OR(INDIRECT("'update Helper'!E"&amp;Q208)="",F208&lt;&gt;0,F209&lt;&gt;0),IF(IFERROR((F208/F209),"")="","",(F208/F209)),INDIRECT("'update Helper'!E"&amp;Q208)/100)</f>
        <v/>
      </c>
      <c r="H208" s="539"/>
      <c r="I208" s="578"/>
      <c r="J208" s="532"/>
      <c r="K208" s="126">
        <f ca="1">IF(AND(EXACT(C208,C206),C206&lt;&gt;0),K206+1,0)</f>
        <v>9</v>
      </c>
      <c r="L208" s="126" t="str">
        <f ca="1">IF(C208&lt;&gt;"",C208&amp;"-"&amp;K208,"")</f>
        <v>HIV I-4 Number of AIDS-related deaths per 100,000 population-9</v>
      </c>
      <c r="M208" s="126" t="str">
        <f t="array" aca="1" ref="M208" ca="1">IFERROR(IF(INDEX('Disaggregation Records'!$E$3:$E$80,MATCH(RIGHT(L208,255),RIGHT('Disaggregation Records'!$D$3:$D$80,255),0))="","",INDEX('Disaggregation Records'!$E$3:$E$80,MATCH(RIGHT(L208,255),RIGHT('Disaggregation Records'!$D$3:$D$80,255),0))),"")</f>
        <v/>
      </c>
      <c r="N208" s="126" t="str">
        <f t="array" aca="1" ref="N208" ca="1">IFERROR(IF(INDEX('Disaggregation Records'!$F$3:$F$80,MATCH(RIGHT(L208,255),RIGHT('Disaggregation Records'!$D$3:$D$80,255),0))="","",INDEX('Disaggregation Records'!$F$3:$F$80,MATCH(RIGHT(L208,255),RIGHT('Disaggregation Records'!$D$3:$D$80,255),0))),"")</f>
        <v/>
      </c>
      <c r="O208" s="314" t="str">
        <f t="array" aca="1" ref="O208" ca="1">IFERROR(IF(INDEX('Disaggregation Records'!$H$3:$H$80,MATCH(RIGHT(L208,255),RIGHT('Disaggregation Records'!$D$3:$D$80,255),0))="","",INDEX('Disaggregation Records'!$H$3:$H$80,MATCH(RIGHT(L208,255),RIGHT('Disaggregation Records'!$D$3:$D$80,255),0))),"")</f>
        <v/>
      </c>
      <c r="P208" s="310"/>
      <c r="Q208" s="310">
        <f t="shared" ref="Q208" si="311">Q206+1</f>
        <v>1407</v>
      </c>
      <c r="R208" s="314" t="str" cm="1">
        <f t="array" aca="1" ref="R208" ca="1">IFERROR(IF(INDEX('Disaggregation Records'!$G$3:$G$80,MATCH(RIGHT(L208,255),RIGHT('Disaggregation Records'!$D$3:$D$80,255),0))="","",INDEX('Disaggregation Records'!$G$3:$G$80,MATCH(RIGHT(L208,255),RIGHT('Disaggregation Records'!$D$3:$D$80,255),0))),"")</f>
        <v/>
      </c>
    </row>
    <row r="209" spans="1:18" ht="20.100000000000001" customHeight="1">
      <c r="B209" s="571">
        <v>7.4398496240601597</v>
      </c>
      <c r="C209" s="573"/>
      <c r="D209" s="575"/>
      <c r="E209" s="575"/>
      <c r="F209" s="128"/>
      <c r="G209" s="577"/>
      <c r="H209" s="540"/>
      <c r="I209" s="579"/>
      <c r="J209" s="533"/>
      <c r="K209" s="129"/>
      <c r="L209" s="129"/>
      <c r="M209" s="129"/>
      <c r="N209" s="129"/>
      <c r="O209" s="317"/>
      <c r="P209" s="310"/>
      <c r="Q209" s="314"/>
      <c r="R209" s="314" t="str" cm="1">
        <f t="array" ref="R209">IFERROR(IF(INDEX('Disaggregation Records'!$G$3:$G$80,MATCH(RIGHT(L209,255),RIGHT('Disaggregation Records'!$D$3:$D$80,255),0))="","",INDEX('Disaggregation Records'!$G$3:$G$80,MATCH(RIGHT(L209,255),RIGHT('Disaggregation Records'!$D$3:$D$80,255),0))),"")</f>
        <v/>
      </c>
    </row>
    <row r="210" spans="1:18" ht="20.100000000000001" customHeight="1">
      <c r="A210" s="126" t="str">
        <f t="shared" ref="A210" ca="1" si="312">INDIRECT("'update Helper'!C"&amp;Q210)</f>
        <v>a1GDm000000XyRZMA0</v>
      </c>
      <c r="B210" s="570">
        <v>11</v>
      </c>
      <c r="C210" s="572" t="str">
        <f ca="1">IFERROR(VLOOKUP(B210,'Impact Indicators - Section B '!$A$9:$AC$68,29,FALSE),"")</f>
        <v/>
      </c>
      <c r="D210" s="574" t="str">
        <f t="shared" ref="D210" ca="1" si="313">M210</f>
        <v/>
      </c>
      <c r="E210" s="574" t="str">
        <f t="shared" ref="E210" ca="1" si="314">N210</f>
        <v/>
      </c>
      <c r="F210" s="127"/>
      <c r="G210" s="576" t="str">
        <f ca="1">IF(OR(INDIRECT("'update Helper'!E"&amp;Q210)="",F210&lt;&gt;0,F211&lt;&gt;0),IF(IFERROR((F210/F211),"")="","",(F210/F211)),INDIRECT("'update Helper'!E"&amp;Q210)/100)</f>
        <v/>
      </c>
      <c r="H210" s="539"/>
      <c r="I210" s="578"/>
      <c r="J210" s="532"/>
      <c r="K210" s="126">
        <f ca="1">IF(AND(EXACT(C210,C208),C208&lt;&gt;0),K208+1,0)</f>
        <v>0</v>
      </c>
      <c r="L210" s="126" t="str">
        <f ca="1">IF(C210&lt;&gt;"",C210&amp;"-"&amp;K210,"")</f>
        <v/>
      </c>
      <c r="M210" s="126" t="str">
        <f t="array" aca="1" ref="M210" ca="1">IFERROR(IF(INDEX('Disaggregation Records'!$E$3:$E$80,MATCH(RIGHT(L210,255),RIGHT('Disaggregation Records'!$D$3:$D$80,255),0))="","",INDEX('Disaggregation Records'!$E$3:$E$80,MATCH(RIGHT(L210,255),RIGHT('Disaggregation Records'!$D$3:$D$80,255),0))),"")</f>
        <v/>
      </c>
      <c r="N210" s="126" t="str">
        <f t="array" aca="1" ref="N210" ca="1">IFERROR(IF(INDEX('Disaggregation Records'!$F$3:$F$80,MATCH(RIGHT(L210,255),RIGHT('Disaggregation Records'!$D$3:$D$80,255),0))="","",INDEX('Disaggregation Records'!$F$3:$F$80,MATCH(RIGHT(L210,255),RIGHT('Disaggregation Records'!$D$3:$D$80,255),0))),"")</f>
        <v/>
      </c>
      <c r="O210" s="314" t="str">
        <f t="array" aca="1" ref="O210" ca="1">IFERROR(IF(INDEX('Disaggregation Records'!$H$3:$H$80,MATCH(RIGHT(L210,255),RIGHT('Disaggregation Records'!$D$3:$D$80,255),0))="","",INDEX('Disaggregation Records'!$H$3:$H$80,MATCH(RIGHT(L210,255),RIGHT('Disaggregation Records'!$D$3:$D$80,255),0))),"")</f>
        <v/>
      </c>
      <c r="P210" s="314"/>
      <c r="Q210" s="310">
        <f t="shared" ref="Q210" si="315">Q208+1</f>
        <v>1408</v>
      </c>
      <c r="R210" s="314" t="str" cm="1">
        <f t="array" aca="1" ref="R210" ca="1">IFERROR(IF(INDEX('Disaggregation Records'!$G$3:$G$80,MATCH(RIGHT(L210,255),RIGHT('Disaggregation Records'!$D$3:$D$80,255),0))="","",INDEX('Disaggregation Records'!$G$3:$G$80,MATCH(RIGHT(L210,255),RIGHT('Disaggregation Records'!$D$3:$D$80,255),0))),"")</f>
        <v/>
      </c>
    </row>
    <row r="211" spans="1:18" ht="20.100000000000001" customHeight="1">
      <c r="A211" s="126"/>
      <c r="B211" s="571">
        <v>8.1541353383458706</v>
      </c>
      <c r="C211" s="573"/>
      <c r="D211" s="575"/>
      <c r="E211" s="575"/>
      <c r="F211" s="128"/>
      <c r="G211" s="577"/>
      <c r="H211" s="540"/>
      <c r="I211" s="579"/>
      <c r="J211" s="533"/>
      <c r="K211" s="129"/>
      <c r="L211" s="129"/>
      <c r="M211" s="129"/>
      <c r="N211" s="129"/>
      <c r="O211" s="317"/>
      <c r="P211" s="317"/>
      <c r="Q211" s="314"/>
      <c r="R211" s="314" t="str" cm="1">
        <f t="array" ref="R211">IFERROR(IF(INDEX('Disaggregation Records'!$G$3:$G$80,MATCH(RIGHT(L211,255),RIGHT('Disaggregation Records'!$D$3:$D$80,255),0))="","",INDEX('Disaggregation Records'!$G$3:$G$80,MATCH(RIGHT(L211,255),RIGHT('Disaggregation Records'!$D$3:$D$80,255),0))),"")</f>
        <v/>
      </c>
    </row>
    <row r="212" spans="1:18" ht="20.100000000000001" customHeight="1">
      <c r="A212" s="126" t="str">
        <f t="shared" ca="1" si="308"/>
        <v>a1GDm000000XyRaMAK</v>
      </c>
      <c r="B212" s="570">
        <v>11</v>
      </c>
      <c r="C212" s="572" t="str">
        <f ca="1">IFERROR(VLOOKUP(B212,'Impact Indicators - Section B '!$A$9:$AC$68,29,FALSE),"")</f>
        <v/>
      </c>
      <c r="D212" s="574" t="str">
        <f t="shared" ref="D212" ca="1" si="316">M212</f>
        <v/>
      </c>
      <c r="E212" s="574" t="str">
        <f t="shared" ref="E212" ca="1" si="317">N212</f>
        <v/>
      </c>
      <c r="F212" s="127"/>
      <c r="G212" s="576" t="str">
        <f ca="1">IF(OR(INDIRECT("'update Helper'!E"&amp;Q212)="",F212&lt;&gt;0,F213&lt;&gt;0),IF(IFERROR((F212/F213),"")="","",(F212/F213)),INDIRECT("'update Helper'!E"&amp;Q212)/100)</f>
        <v/>
      </c>
      <c r="H212" s="539"/>
      <c r="I212" s="578"/>
      <c r="J212" s="532"/>
      <c r="K212" s="126">
        <f ca="1">IF(AND(EXACT(C212,C210),C210&lt;&gt;0),K210+1,0)</f>
        <v>1</v>
      </c>
      <c r="L212" s="126" t="str">
        <f ca="1">IF(C212&lt;&gt;"",C212&amp;"-"&amp;K212,"")</f>
        <v/>
      </c>
      <c r="M212" s="126" t="str">
        <f t="array" aca="1" ref="M212" ca="1">IFERROR(IF(INDEX('Disaggregation Records'!$E$3:$E$80,MATCH(RIGHT(L212,255),RIGHT('Disaggregation Records'!$D$3:$D$80,255),0))="","",INDEX('Disaggregation Records'!$E$3:$E$80,MATCH(RIGHT(L212,255),RIGHT('Disaggregation Records'!$D$3:$D$80,255),0))),"")</f>
        <v/>
      </c>
      <c r="N212" s="126" t="str">
        <f t="array" aca="1" ref="N212" ca="1">IFERROR(IF(INDEX('Disaggregation Records'!$F$3:$F$80,MATCH(RIGHT(L212,255),RIGHT('Disaggregation Records'!$D$3:$D$80,255),0))="","",INDEX('Disaggregation Records'!$F$3:$F$80,MATCH(RIGHT(L212,255),RIGHT('Disaggregation Records'!$D$3:$D$80,255),0))),"")</f>
        <v/>
      </c>
      <c r="O212" s="314" t="str">
        <f t="array" aca="1" ref="O212" ca="1">IFERROR(IF(INDEX('Disaggregation Records'!$H$3:$H$80,MATCH(RIGHT(L212,255),RIGHT('Disaggregation Records'!$D$3:$D$80,255),0))="","",INDEX('Disaggregation Records'!$H$3:$H$80,MATCH(RIGHT(L212,255),RIGHT('Disaggregation Records'!$D$3:$D$80,255),0))),"")</f>
        <v/>
      </c>
      <c r="P212" s="310"/>
      <c r="Q212" s="310">
        <f t="shared" ref="Q212" si="318">Q210+1</f>
        <v>1409</v>
      </c>
      <c r="R212" s="314" t="str" cm="1">
        <f t="array" aca="1" ref="R212" ca="1">IFERROR(IF(INDEX('Disaggregation Records'!$G$3:$G$80,MATCH(RIGHT(L212,255),RIGHT('Disaggregation Records'!$D$3:$D$80,255),0))="","",INDEX('Disaggregation Records'!$G$3:$G$80,MATCH(RIGHT(L212,255),RIGHT('Disaggregation Records'!$D$3:$D$80,255),0))),"")</f>
        <v/>
      </c>
    </row>
    <row r="213" spans="1:18" ht="20.100000000000001" customHeight="1">
      <c r="B213" s="571">
        <v>8.1541353383458706</v>
      </c>
      <c r="C213" s="573"/>
      <c r="D213" s="575"/>
      <c r="E213" s="575"/>
      <c r="F213" s="128"/>
      <c r="G213" s="577"/>
      <c r="H213" s="540"/>
      <c r="I213" s="579"/>
      <c r="J213" s="533"/>
      <c r="K213" s="129"/>
      <c r="L213" s="129"/>
      <c r="M213" s="129"/>
      <c r="N213" s="129"/>
      <c r="O213" s="317"/>
      <c r="P213" s="310"/>
      <c r="Q213" s="314"/>
      <c r="R213" s="314" t="str" cm="1">
        <f t="array" ref="R213">IFERROR(IF(INDEX('Disaggregation Records'!$G$3:$G$80,MATCH(RIGHT(L213,255),RIGHT('Disaggregation Records'!$D$3:$D$80,255),0))="","",INDEX('Disaggregation Records'!$G$3:$G$80,MATCH(RIGHT(L213,255),RIGHT('Disaggregation Records'!$D$3:$D$80,255),0))),"")</f>
        <v/>
      </c>
    </row>
    <row r="214" spans="1:18" ht="20.100000000000001" customHeight="1">
      <c r="A214" s="126" t="str">
        <f t="shared" ref="A214" ca="1" si="319">INDIRECT("'update Helper'!C"&amp;Q214)</f>
        <v>a1GDm000000XyRbMAK</v>
      </c>
      <c r="B214" s="570">
        <v>11</v>
      </c>
      <c r="C214" s="572" t="str">
        <f ca="1">IFERROR(VLOOKUP(B214,'Impact Indicators - Section B '!$A$9:$AC$68,29,FALSE),"")</f>
        <v/>
      </c>
      <c r="D214" s="574" t="str">
        <f t="shared" ref="D214" ca="1" si="320">M214</f>
        <v/>
      </c>
      <c r="E214" s="574" t="str">
        <f t="shared" ref="E214" ca="1" si="321">N214</f>
        <v/>
      </c>
      <c r="F214" s="127"/>
      <c r="G214" s="576" t="str">
        <f ca="1">IF(OR(INDIRECT("'update Helper'!E"&amp;Q214)="",F214&lt;&gt;0,F215&lt;&gt;0),IF(IFERROR((F214/F215),"")="","",(F214/F215)),INDIRECT("'update Helper'!E"&amp;Q214)/100)</f>
        <v/>
      </c>
      <c r="H214" s="539"/>
      <c r="I214" s="578"/>
      <c r="J214" s="532"/>
      <c r="K214" s="126">
        <f ca="1">IF(AND(EXACT(C214,C212),C212&lt;&gt;0),K212+1,0)</f>
        <v>2</v>
      </c>
      <c r="L214" s="126" t="str">
        <f ca="1">IF(C214&lt;&gt;"",C214&amp;"-"&amp;K214,"")</f>
        <v/>
      </c>
      <c r="M214" s="126" t="str">
        <f t="array" aca="1" ref="M214" ca="1">IFERROR(IF(INDEX('Disaggregation Records'!$E$3:$E$80,MATCH(RIGHT(L214,255),RIGHT('Disaggregation Records'!$D$3:$D$80,255),0))="","",INDEX('Disaggregation Records'!$E$3:$E$80,MATCH(RIGHT(L214,255),RIGHT('Disaggregation Records'!$D$3:$D$80,255),0))),"")</f>
        <v/>
      </c>
      <c r="N214" s="126" t="str">
        <f t="array" aca="1" ref="N214" ca="1">IFERROR(IF(INDEX('Disaggregation Records'!$F$3:$F$80,MATCH(RIGHT(L214,255),RIGHT('Disaggregation Records'!$D$3:$D$80,255),0))="","",INDEX('Disaggregation Records'!$F$3:$F$80,MATCH(RIGHT(L214,255),RIGHT('Disaggregation Records'!$D$3:$D$80,255),0))),"")</f>
        <v/>
      </c>
      <c r="O214" s="314" t="str">
        <f t="array" aca="1" ref="O214" ca="1">IFERROR(IF(INDEX('Disaggregation Records'!$H$3:$H$80,MATCH(RIGHT(L214,255),RIGHT('Disaggregation Records'!$D$3:$D$80,255),0))="","",INDEX('Disaggregation Records'!$H$3:$H$80,MATCH(RIGHT(L214,255),RIGHT('Disaggregation Records'!$D$3:$D$80,255),0))),"")</f>
        <v/>
      </c>
      <c r="P214" s="314"/>
      <c r="Q214" s="310">
        <f t="shared" ref="Q214" si="322">Q212+1</f>
        <v>1410</v>
      </c>
      <c r="R214" s="314" t="str" cm="1">
        <f t="array" aca="1" ref="R214" ca="1">IFERROR(IF(INDEX('Disaggregation Records'!$G$3:$G$80,MATCH(RIGHT(L214,255),RIGHT('Disaggregation Records'!$D$3:$D$80,255),0))="","",INDEX('Disaggregation Records'!$G$3:$G$80,MATCH(RIGHT(L214,255),RIGHT('Disaggregation Records'!$D$3:$D$80,255),0))),"")</f>
        <v/>
      </c>
    </row>
    <row r="215" spans="1:18" ht="20.100000000000001" customHeight="1">
      <c r="A215" s="126"/>
      <c r="B215" s="571">
        <v>8.1541353383458706</v>
      </c>
      <c r="C215" s="573"/>
      <c r="D215" s="575"/>
      <c r="E215" s="575"/>
      <c r="F215" s="128"/>
      <c r="G215" s="577"/>
      <c r="H215" s="540"/>
      <c r="I215" s="579"/>
      <c r="J215" s="533"/>
      <c r="K215" s="129"/>
      <c r="L215" s="129"/>
      <c r="M215" s="129"/>
      <c r="N215" s="129"/>
      <c r="O215" s="317"/>
      <c r="P215" s="317"/>
      <c r="Q215" s="314"/>
      <c r="R215" s="314" t="str" cm="1">
        <f t="array" ref="R215">IFERROR(IF(INDEX('Disaggregation Records'!$G$3:$G$80,MATCH(RIGHT(L215,255),RIGHT('Disaggregation Records'!$D$3:$D$80,255),0))="","",INDEX('Disaggregation Records'!$G$3:$G$80,MATCH(RIGHT(L215,255),RIGHT('Disaggregation Records'!$D$3:$D$80,255),0))),"")</f>
        <v/>
      </c>
    </row>
    <row r="216" spans="1:18" ht="20.100000000000001" customHeight="1">
      <c r="A216" s="126" t="str">
        <f t="shared" ca="1" si="308"/>
        <v>a1GDm000000XyRcMAK</v>
      </c>
      <c r="B216" s="570">
        <v>11</v>
      </c>
      <c r="C216" s="572" t="str">
        <f ca="1">IFERROR(VLOOKUP(B216,'Impact Indicators - Section B '!$A$9:$AC$68,29,FALSE),"")</f>
        <v/>
      </c>
      <c r="D216" s="574" t="str">
        <f t="shared" ref="D216" ca="1" si="323">M216</f>
        <v/>
      </c>
      <c r="E216" s="574" t="str">
        <f t="shared" ref="E216" ca="1" si="324">N216</f>
        <v/>
      </c>
      <c r="F216" s="127"/>
      <c r="G216" s="576" t="str">
        <f ca="1">IF(OR(INDIRECT("'update Helper'!E"&amp;Q216)="",F216&lt;&gt;0,F217&lt;&gt;0),IF(IFERROR((F216/F217),"")="","",(F216/F217)),INDIRECT("'update Helper'!E"&amp;Q216)/100)</f>
        <v/>
      </c>
      <c r="H216" s="539"/>
      <c r="I216" s="578"/>
      <c r="J216" s="532"/>
      <c r="K216" s="126">
        <f ca="1">IF(AND(EXACT(C216,C214),C214&lt;&gt;0),K214+1,0)</f>
        <v>3</v>
      </c>
      <c r="L216" s="126" t="str">
        <f ca="1">IF(C216&lt;&gt;"",C216&amp;"-"&amp;K216,"")</f>
        <v/>
      </c>
      <c r="M216" s="126" t="str">
        <f t="array" aca="1" ref="M216" ca="1">IFERROR(IF(INDEX('Disaggregation Records'!$E$3:$E$80,MATCH(RIGHT(L216,255),RIGHT('Disaggregation Records'!$D$3:$D$80,255),0))="","",INDEX('Disaggregation Records'!$E$3:$E$80,MATCH(RIGHT(L216,255),RIGHT('Disaggregation Records'!$D$3:$D$80,255),0))),"")</f>
        <v/>
      </c>
      <c r="N216" s="126" t="str">
        <f t="array" aca="1" ref="N216" ca="1">IFERROR(IF(INDEX('Disaggregation Records'!$F$3:$F$80,MATCH(RIGHT(L216,255),RIGHT('Disaggregation Records'!$D$3:$D$80,255),0))="","",INDEX('Disaggregation Records'!$F$3:$F$80,MATCH(RIGHT(L216,255),RIGHT('Disaggregation Records'!$D$3:$D$80,255),0))),"")</f>
        <v/>
      </c>
      <c r="O216" s="314" t="str">
        <f t="array" aca="1" ref="O216" ca="1">IFERROR(IF(INDEX('Disaggregation Records'!$H$3:$H$80,MATCH(RIGHT(L216,255),RIGHT('Disaggregation Records'!$D$3:$D$80,255),0))="","",INDEX('Disaggregation Records'!$H$3:$H$80,MATCH(RIGHT(L216,255),RIGHT('Disaggregation Records'!$D$3:$D$80,255),0))),"")</f>
        <v/>
      </c>
      <c r="P216" s="310"/>
      <c r="Q216" s="310">
        <f t="shared" ref="Q216" si="325">Q214+1</f>
        <v>1411</v>
      </c>
      <c r="R216" s="314" t="str" cm="1">
        <f t="array" aca="1" ref="R216" ca="1">IFERROR(IF(INDEX('Disaggregation Records'!$G$3:$G$80,MATCH(RIGHT(L216,255),RIGHT('Disaggregation Records'!$D$3:$D$80,255),0))="","",INDEX('Disaggregation Records'!$G$3:$G$80,MATCH(RIGHT(L216,255),RIGHT('Disaggregation Records'!$D$3:$D$80,255),0))),"")</f>
        <v/>
      </c>
    </row>
    <row r="217" spans="1:18" ht="20.100000000000001" customHeight="1">
      <c r="B217" s="571">
        <v>8.1541353383458706</v>
      </c>
      <c r="C217" s="573"/>
      <c r="D217" s="575"/>
      <c r="E217" s="575"/>
      <c r="F217" s="128"/>
      <c r="G217" s="577"/>
      <c r="H217" s="540"/>
      <c r="I217" s="579"/>
      <c r="J217" s="533"/>
      <c r="K217" s="129"/>
      <c r="L217" s="129"/>
      <c r="M217" s="129"/>
      <c r="N217" s="129"/>
      <c r="O217" s="317"/>
      <c r="P217" s="310"/>
      <c r="Q217" s="314"/>
      <c r="R217" s="314" t="str" cm="1">
        <f t="array" ref="R217">IFERROR(IF(INDEX('Disaggregation Records'!$G$3:$G$80,MATCH(RIGHT(L217,255),RIGHT('Disaggregation Records'!$D$3:$D$80,255),0))="","",INDEX('Disaggregation Records'!$G$3:$G$80,MATCH(RIGHT(L217,255),RIGHT('Disaggregation Records'!$D$3:$D$80,255),0))),"")</f>
        <v/>
      </c>
    </row>
    <row r="218" spans="1:18" ht="20.100000000000001" customHeight="1">
      <c r="A218" s="126" t="str">
        <f t="shared" ref="A218" ca="1" si="326">INDIRECT("'update Helper'!C"&amp;Q218)</f>
        <v>a1GDm000000XyRdMAK</v>
      </c>
      <c r="B218" s="570">
        <v>11</v>
      </c>
      <c r="C218" s="572" t="str">
        <f ca="1">IFERROR(VLOOKUP(B218,'Impact Indicators - Section B '!$A$9:$AC$68,29,FALSE),"")</f>
        <v/>
      </c>
      <c r="D218" s="574" t="str">
        <f t="shared" ref="D218" ca="1" si="327">M218</f>
        <v/>
      </c>
      <c r="E218" s="574" t="str">
        <f t="shared" ref="E218" ca="1" si="328">N218</f>
        <v/>
      </c>
      <c r="F218" s="127"/>
      <c r="G218" s="576" t="str">
        <f ca="1">IF(OR(INDIRECT("'update Helper'!E"&amp;Q218)="",F218&lt;&gt;0,F219&lt;&gt;0),IF(IFERROR((F218/F219),"")="","",(F218/F219)),INDIRECT("'update Helper'!E"&amp;Q218)/100)</f>
        <v/>
      </c>
      <c r="H218" s="539"/>
      <c r="I218" s="578"/>
      <c r="J218" s="532"/>
      <c r="K218" s="126">
        <f ca="1">IF(AND(EXACT(C218,C216),C216&lt;&gt;0),K216+1,0)</f>
        <v>4</v>
      </c>
      <c r="L218" s="126" t="str">
        <f ca="1">IF(C218&lt;&gt;"",C218&amp;"-"&amp;K218,"")</f>
        <v/>
      </c>
      <c r="M218" s="126" t="str">
        <f t="array" aca="1" ref="M218" ca="1">IFERROR(IF(INDEX('Disaggregation Records'!$E$3:$E$80,MATCH(RIGHT(L218,255),RIGHT('Disaggregation Records'!$D$3:$D$80,255),0))="","",INDEX('Disaggregation Records'!$E$3:$E$80,MATCH(RIGHT(L218,255),RIGHT('Disaggregation Records'!$D$3:$D$80,255),0))),"")</f>
        <v/>
      </c>
      <c r="N218" s="126" t="str">
        <f t="array" aca="1" ref="N218" ca="1">IFERROR(IF(INDEX('Disaggregation Records'!$F$3:$F$80,MATCH(RIGHT(L218,255),RIGHT('Disaggregation Records'!$D$3:$D$80,255),0))="","",INDEX('Disaggregation Records'!$F$3:$F$80,MATCH(RIGHT(L218,255),RIGHT('Disaggregation Records'!$D$3:$D$80,255),0))),"")</f>
        <v/>
      </c>
      <c r="O218" s="314" t="str">
        <f t="array" aca="1" ref="O218" ca="1">IFERROR(IF(INDEX('Disaggregation Records'!$H$3:$H$80,MATCH(RIGHT(L218,255),RIGHT('Disaggregation Records'!$D$3:$D$80,255),0))="","",INDEX('Disaggregation Records'!$H$3:$H$80,MATCH(RIGHT(L218,255),RIGHT('Disaggregation Records'!$D$3:$D$80,255),0))),"")</f>
        <v/>
      </c>
      <c r="P218" s="314"/>
      <c r="Q218" s="310">
        <f t="shared" ref="Q218" si="329">Q216+1</f>
        <v>1412</v>
      </c>
      <c r="R218" s="314" t="str" cm="1">
        <f t="array" aca="1" ref="R218" ca="1">IFERROR(IF(INDEX('Disaggregation Records'!$G$3:$G$80,MATCH(RIGHT(L218,255),RIGHT('Disaggregation Records'!$D$3:$D$80,255),0))="","",INDEX('Disaggregation Records'!$G$3:$G$80,MATCH(RIGHT(L218,255),RIGHT('Disaggregation Records'!$D$3:$D$80,255),0))),"")</f>
        <v/>
      </c>
    </row>
    <row r="219" spans="1:18" ht="20.100000000000001" customHeight="1">
      <c r="A219" s="126"/>
      <c r="B219" s="571">
        <v>8.1541353383458706</v>
      </c>
      <c r="C219" s="573"/>
      <c r="D219" s="575"/>
      <c r="E219" s="575"/>
      <c r="F219" s="128"/>
      <c r="G219" s="577"/>
      <c r="H219" s="540"/>
      <c r="I219" s="579"/>
      <c r="J219" s="533"/>
      <c r="K219" s="129"/>
      <c r="L219" s="129"/>
      <c r="M219" s="129"/>
      <c r="N219" s="129"/>
      <c r="O219" s="317"/>
      <c r="P219" s="317"/>
      <c r="Q219" s="314"/>
      <c r="R219" s="314" t="str" cm="1">
        <f t="array" ref="R219">IFERROR(IF(INDEX('Disaggregation Records'!$G$3:$G$80,MATCH(RIGHT(L219,255),RIGHT('Disaggregation Records'!$D$3:$D$80,255),0))="","",INDEX('Disaggregation Records'!$G$3:$G$80,MATCH(RIGHT(L219,255),RIGHT('Disaggregation Records'!$D$3:$D$80,255),0))),"")</f>
        <v/>
      </c>
    </row>
    <row r="220" spans="1:18" ht="20.100000000000001" customHeight="1">
      <c r="A220" s="126" t="str">
        <f t="shared" ca="1" si="308"/>
        <v>a1GDm000000XyReMAK</v>
      </c>
      <c r="B220" s="570">
        <v>11</v>
      </c>
      <c r="C220" s="572" t="str">
        <f ca="1">IFERROR(VLOOKUP(B220,'Impact Indicators - Section B '!$A$9:$AC$68,29,FALSE),"")</f>
        <v/>
      </c>
      <c r="D220" s="574" t="str">
        <f t="shared" ref="D220" ca="1" si="330">M220</f>
        <v/>
      </c>
      <c r="E220" s="574" t="str">
        <f t="shared" ref="E220" ca="1" si="331">N220</f>
        <v/>
      </c>
      <c r="F220" s="127"/>
      <c r="G220" s="576" t="str">
        <f ca="1">IF(OR(INDIRECT("'update Helper'!E"&amp;Q220)="",F220&lt;&gt;0,F221&lt;&gt;0),IF(IFERROR((F220/F221),"")="","",(F220/F221)),INDIRECT("'update Helper'!E"&amp;Q220)/100)</f>
        <v/>
      </c>
      <c r="H220" s="539"/>
      <c r="I220" s="578"/>
      <c r="J220" s="532"/>
      <c r="K220" s="126">
        <f ca="1">IF(AND(EXACT(C220,C218),C218&lt;&gt;0),K218+1,0)</f>
        <v>5</v>
      </c>
      <c r="L220" s="126" t="str">
        <f ca="1">IF(C220&lt;&gt;"",C220&amp;"-"&amp;K220,"")</f>
        <v/>
      </c>
      <c r="M220" s="126" t="str">
        <f t="array" aca="1" ref="M220" ca="1">IFERROR(IF(INDEX('Disaggregation Records'!$E$3:$E$80,MATCH(RIGHT(L220,255),RIGHT('Disaggregation Records'!$D$3:$D$80,255),0))="","",INDEX('Disaggregation Records'!$E$3:$E$80,MATCH(RIGHT(L220,255),RIGHT('Disaggregation Records'!$D$3:$D$80,255),0))),"")</f>
        <v/>
      </c>
      <c r="N220" s="126" t="str">
        <f t="array" aca="1" ref="N220" ca="1">IFERROR(IF(INDEX('Disaggregation Records'!$F$3:$F$80,MATCH(RIGHT(L220,255),RIGHT('Disaggregation Records'!$D$3:$D$80,255),0))="","",INDEX('Disaggregation Records'!$F$3:$F$80,MATCH(RIGHT(L220,255),RIGHT('Disaggregation Records'!$D$3:$D$80,255),0))),"")</f>
        <v/>
      </c>
      <c r="O220" s="314" t="str">
        <f t="array" aca="1" ref="O220" ca="1">IFERROR(IF(INDEX('Disaggregation Records'!$H$3:$H$80,MATCH(RIGHT(L220,255),RIGHT('Disaggregation Records'!$D$3:$D$80,255),0))="","",INDEX('Disaggregation Records'!$H$3:$H$80,MATCH(RIGHT(L220,255),RIGHT('Disaggregation Records'!$D$3:$D$80,255),0))),"")</f>
        <v/>
      </c>
      <c r="P220" s="310"/>
      <c r="Q220" s="310">
        <f t="shared" ref="Q220" si="332">Q218+1</f>
        <v>1413</v>
      </c>
      <c r="R220" s="314" t="str" cm="1">
        <f t="array" aca="1" ref="R220" ca="1">IFERROR(IF(INDEX('Disaggregation Records'!$G$3:$G$80,MATCH(RIGHT(L220,255),RIGHT('Disaggregation Records'!$D$3:$D$80,255),0))="","",INDEX('Disaggregation Records'!$G$3:$G$80,MATCH(RIGHT(L220,255),RIGHT('Disaggregation Records'!$D$3:$D$80,255),0))),"")</f>
        <v/>
      </c>
    </row>
    <row r="221" spans="1:18" ht="20.100000000000001" customHeight="1">
      <c r="B221" s="571">
        <v>8.1541353383458706</v>
      </c>
      <c r="C221" s="573"/>
      <c r="D221" s="575"/>
      <c r="E221" s="575"/>
      <c r="F221" s="128"/>
      <c r="G221" s="577"/>
      <c r="H221" s="540"/>
      <c r="I221" s="579"/>
      <c r="J221" s="533"/>
      <c r="K221" s="129"/>
      <c r="L221" s="129"/>
      <c r="M221" s="129"/>
      <c r="N221" s="129"/>
      <c r="O221" s="317"/>
      <c r="P221" s="310"/>
      <c r="Q221" s="314"/>
      <c r="R221" s="314" t="str" cm="1">
        <f t="array" ref="R221">IFERROR(IF(INDEX('Disaggregation Records'!$G$3:$G$80,MATCH(RIGHT(L221,255),RIGHT('Disaggregation Records'!$D$3:$D$80,255),0))="","",INDEX('Disaggregation Records'!$G$3:$G$80,MATCH(RIGHT(L221,255),RIGHT('Disaggregation Records'!$D$3:$D$80,255),0))),"")</f>
        <v/>
      </c>
    </row>
    <row r="222" spans="1:18" ht="20.100000000000001" customHeight="1">
      <c r="A222" s="126" t="str">
        <f t="shared" ref="A222" ca="1" si="333">INDIRECT("'update Helper'!C"&amp;Q222)</f>
        <v>a1GDm000000XyRfMAK</v>
      </c>
      <c r="B222" s="570">
        <v>11</v>
      </c>
      <c r="C222" s="572" t="str">
        <f ca="1">IFERROR(VLOOKUP(B222,'Impact Indicators - Section B '!$A$9:$AC$68,29,FALSE),"")</f>
        <v/>
      </c>
      <c r="D222" s="574" t="str">
        <f t="shared" ref="D222" ca="1" si="334">M222</f>
        <v/>
      </c>
      <c r="E222" s="574" t="str">
        <f t="shared" ref="E222" ca="1" si="335">N222</f>
        <v/>
      </c>
      <c r="F222" s="127"/>
      <c r="G222" s="576" t="str">
        <f ca="1">IF(OR(INDIRECT("'update Helper'!E"&amp;Q222)="",F222&lt;&gt;0,F223&lt;&gt;0),IF(IFERROR((F222/F223),"")="","",(F222/F223)),INDIRECT("'update Helper'!E"&amp;Q222)/100)</f>
        <v/>
      </c>
      <c r="H222" s="539"/>
      <c r="I222" s="578"/>
      <c r="J222" s="532"/>
      <c r="K222" s="126">
        <f ca="1">IF(AND(EXACT(C222,C220),C220&lt;&gt;0),K220+1,0)</f>
        <v>6</v>
      </c>
      <c r="L222" s="126" t="str">
        <f ca="1">IF(C222&lt;&gt;"",C222&amp;"-"&amp;K222,"")</f>
        <v/>
      </c>
      <c r="M222" s="126" t="str">
        <f t="array" aca="1" ref="M222" ca="1">IFERROR(IF(INDEX('Disaggregation Records'!$E$3:$E$80,MATCH(RIGHT(L222,255),RIGHT('Disaggregation Records'!$D$3:$D$80,255),0))="","",INDEX('Disaggregation Records'!$E$3:$E$80,MATCH(RIGHT(L222,255),RIGHT('Disaggregation Records'!$D$3:$D$80,255),0))),"")</f>
        <v/>
      </c>
      <c r="N222" s="126" t="str">
        <f t="array" aca="1" ref="N222" ca="1">IFERROR(IF(INDEX('Disaggregation Records'!$F$3:$F$80,MATCH(RIGHT(L222,255),RIGHT('Disaggregation Records'!$D$3:$D$80,255),0))="","",INDEX('Disaggregation Records'!$F$3:$F$80,MATCH(RIGHT(L222,255),RIGHT('Disaggregation Records'!$D$3:$D$80,255),0))),"")</f>
        <v/>
      </c>
      <c r="O222" s="314" t="str">
        <f t="array" aca="1" ref="O222" ca="1">IFERROR(IF(INDEX('Disaggregation Records'!$H$3:$H$80,MATCH(RIGHT(L222,255),RIGHT('Disaggregation Records'!$D$3:$D$80,255),0))="","",INDEX('Disaggregation Records'!$H$3:$H$80,MATCH(RIGHT(L222,255),RIGHT('Disaggregation Records'!$D$3:$D$80,255),0))),"")</f>
        <v/>
      </c>
      <c r="P222" s="314"/>
      <c r="Q222" s="310">
        <f t="shared" ref="Q222" si="336">Q220+1</f>
        <v>1414</v>
      </c>
      <c r="R222" s="314" t="str" cm="1">
        <f t="array" aca="1" ref="R222" ca="1">IFERROR(IF(INDEX('Disaggregation Records'!$G$3:$G$80,MATCH(RIGHT(L222,255),RIGHT('Disaggregation Records'!$D$3:$D$80,255),0))="","",INDEX('Disaggregation Records'!$G$3:$G$80,MATCH(RIGHT(L222,255),RIGHT('Disaggregation Records'!$D$3:$D$80,255),0))),"")</f>
        <v/>
      </c>
    </row>
    <row r="223" spans="1:18" ht="20.100000000000001" customHeight="1">
      <c r="A223" s="126"/>
      <c r="B223" s="571">
        <v>8.1541353383458706</v>
      </c>
      <c r="C223" s="573"/>
      <c r="D223" s="575"/>
      <c r="E223" s="575"/>
      <c r="F223" s="128"/>
      <c r="G223" s="577"/>
      <c r="H223" s="540"/>
      <c r="I223" s="579"/>
      <c r="J223" s="533"/>
      <c r="K223" s="129"/>
      <c r="L223" s="129"/>
      <c r="M223" s="129"/>
      <c r="N223" s="129"/>
      <c r="O223" s="317"/>
      <c r="P223" s="317"/>
      <c r="Q223" s="314"/>
      <c r="R223" s="314" t="str" cm="1">
        <f t="array" ref="R223">IFERROR(IF(INDEX('Disaggregation Records'!$G$3:$G$80,MATCH(RIGHT(L223,255),RIGHT('Disaggregation Records'!$D$3:$D$80,255),0))="","",INDEX('Disaggregation Records'!$G$3:$G$80,MATCH(RIGHT(L223,255),RIGHT('Disaggregation Records'!$D$3:$D$80,255),0))),"")</f>
        <v/>
      </c>
    </row>
    <row r="224" spans="1:18" ht="20.100000000000001" customHeight="1">
      <c r="A224" s="126" t="str">
        <f t="shared" ca="1" si="308"/>
        <v>a1GDm000000XyRgMAK</v>
      </c>
      <c r="B224" s="570">
        <v>11</v>
      </c>
      <c r="C224" s="572" t="str">
        <f ca="1">IFERROR(VLOOKUP(B224,'Impact Indicators - Section B '!$A$9:$AC$68,29,FALSE),"")</f>
        <v/>
      </c>
      <c r="D224" s="574" t="str">
        <f t="shared" ref="D224" ca="1" si="337">M224</f>
        <v/>
      </c>
      <c r="E224" s="574" t="str">
        <f t="shared" ref="E224" ca="1" si="338">N224</f>
        <v/>
      </c>
      <c r="F224" s="127"/>
      <c r="G224" s="576" t="str">
        <f ca="1">IF(OR(INDIRECT("'update Helper'!E"&amp;Q224)="",F224&lt;&gt;0,F225&lt;&gt;0),IF(IFERROR((F224/F225),"")="","",(F224/F225)),INDIRECT("'update Helper'!E"&amp;Q224)/100)</f>
        <v/>
      </c>
      <c r="H224" s="539"/>
      <c r="I224" s="578"/>
      <c r="J224" s="532"/>
      <c r="K224" s="126">
        <f ca="1">IF(AND(EXACT(C224,C222),C222&lt;&gt;0),K222+1,0)</f>
        <v>7</v>
      </c>
      <c r="L224" s="126" t="str">
        <f ca="1">IF(C224&lt;&gt;"",C224&amp;"-"&amp;K224,"")</f>
        <v/>
      </c>
      <c r="M224" s="126" t="str">
        <f t="array" aca="1" ref="M224" ca="1">IFERROR(IF(INDEX('Disaggregation Records'!$E$3:$E$80,MATCH(RIGHT(L224,255),RIGHT('Disaggregation Records'!$D$3:$D$80,255),0))="","",INDEX('Disaggregation Records'!$E$3:$E$80,MATCH(RIGHT(L224,255),RIGHT('Disaggregation Records'!$D$3:$D$80,255),0))),"")</f>
        <v/>
      </c>
      <c r="N224" s="126" t="str">
        <f t="array" aca="1" ref="N224" ca="1">IFERROR(IF(INDEX('Disaggregation Records'!$F$3:$F$80,MATCH(RIGHT(L224,255),RIGHT('Disaggregation Records'!$D$3:$D$80,255),0))="","",INDEX('Disaggregation Records'!$F$3:$F$80,MATCH(RIGHT(L224,255),RIGHT('Disaggregation Records'!$D$3:$D$80,255),0))),"")</f>
        <v/>
      </c>
      <c r="O224" s="314" t="str">
        <f t="array" aca="1" ref="O224" ca="1">IFERROR(IF(INDEX('Disaggregation Records'!$H$3:$H$80,MATCH(RIGHT(L224,255),RIGHT('Disaggregation Records'!$D$3:$D$80,255),0))="","",INDEX('Disaggregation Records'!$H$3:$H$80,MATCH(RIGHT(L224,255),RIGHT('Disaggregation Records'!$D$3:$D$80,255),0))),"")</f>
        <v/>
      </c>
      <c r="P224" s="310"/>
      <c r="Q224" s="310">
        <f t="shared" ref="Q224" si="339">Q222+1</f>
        <v>1415</v>
      </c>
      <c r="R224" s="314" t="str" cm="1">
        <f t="array" aca="1" ref="R224" ca="1">IFERROR(IF(INDEX('Disaggregation Records'!$G$3:$G$80,MATCH(RIGHT(L224,255),RIGHT('Disaggregation Records'!$D$3:$D$80,255),0))="","",INDEX('Disaggregation Records'!$G$3:$G$80,MATCH(RIGHT(L224,255),RIGHT('Disaggregation Records'!$D$3:$D$80,255),0))),"")</f>
        <v/>
      </c>
    </row>
    <row r="225" spans="1:18" ht="20.100000000000001" customHeight="1">
      <c r="B225" s="571">
        <v>8.1541353383458706</v>
      </c>
      <c r="C225" s="573"/>
      <c r="D225" s="575"/>
      <c r="E225" s="575"/>
      <c r="F225" s="128"/>
      <c r="G225" s="577"/>
      <c r="H225" s="540"/>
      <c r="I225" s="579"/>
      <c r="J225" s="533"/>
      <c r="K225" s="129"/>
      <c r="L225" s="129"/>
      <c r="M225" s="129"/>
      <c r="N225" s="129"/>
      <c r="O225" s="317"/>
      <c r="P225" s="310"/>
      <c r="Q225" s="314"/>
      <c r="R225" s="314" t="str" cm="1">
        <f t="array" ref="R225">IFERROR(IF(INDEX('Disaggregation Records'!$G$3:$G$80,MATCH(RIGHT(L225,255),RIGHT('Disaggregation Records'!$D$3:$D$80,255),0))="","",INDEX('Disaggregation Records'!$G$3:$G$80,MATCH(RIGHT(L225,255),RIGHT('Disaggregation Records'!$D$3:$D$80,255),0))),"")</f>
        <v/>
      </c>
    </row>
    <row r="226" spans="1:18" ht="20.100000000000001" customHeight="1">
      <c r="A226" s="126" t="str">
        <f t="shared" ref="A226" ca="1" si="340">INDIRECT("'update Helper'!C"&amp;Q226)</f>
        <v>a1GDm000000XyRhMAK</v>
      </c>
      <c r="B226" s="570">
        <v>11</v>
      </c>
      <c r="C226" s="572" t="str">
        <f ca="1">IFERROR(VLOOKUP(B226,'Impact Indicators - Section B '!$A$9:$AC$68,29,FALSE),"")</f>
        <v/>
      </c>
      <c r="D226" s="574" t="str">
        <f t="shared" ref="D226" ca="1" si="341">M226</f>
        <v/>
      </c>
      <c r="E226" s="574" t="str">
        <f t="shared" ref="E226" ca="1" si="342">N226</f>
        <v/>
      </c>
      <c r="F226" s="127"/>
      <c r="G226" s="576" t="str">
        <f ca="1">IF(OR(INDIRECT("'update Helper'!E"&amp;Q226)="",F226&lt;&gt;0,F227&lt;&gt;0),IF(IFERROR((F226/F227),"")="","",(F226/F227)),INDIRECT("'update Helper'!E"&amp;Q226)/100)</f>
        <v/>
      </c>
      <c r="H226" s="539"/>
      <c r="I226" s="578"/>
      <c r="J226" s="532"/>
      <c r="K226" s="126">
        <f ca="1">IF(AND(EXACT(C226,C224),C224&lt;&gt;0),K224+1,0)</f>
        <v>8</v>
      </c>
      <c r="L226" s="126" t="str">
        <f ca="1">IF(C226&lt;&gt;"",C226&amp;"-"&amp;K226,"")</f>
        <v/>
      </c>
      <c r="M226" s="126" t="str">
        <f t="array" aca="1" ref="M226" ca="1">IFERROR(IF(INDEX('Disaggregation Records'!$E$3:$E$80,MATCH(RIGHT(L226,255),RIGHT('Disaggregation Records'!$D$3:$D$80,255),0))="","",INDEX('Disaggregation Records'!$E$3:$E$80,MATCH(RIGHT(L226,255),RIGHT('Disaggregation Records'!$D$3:$D$80,255),0))),"")</f>
        <v/>
      </c>
      <c r="N226" s="126" t="str">
        <f t="array" aca="1" ref="N226" ca="1">IFERROR(IF(INDEX('Disaggregation Records'!$F$3:$F$80,MATCH(RIGHT(L226,255),RIGHT('Disaggregation Records'!$D$3:$D$80,255),0))="","",INDEX('Disaggregation Records'!$F$3:$F$80,MATCH(RIGHT(L226,255),RIGHT('Disaggregation Records'!$D$3:$D$80,255),0))),"")</f>
        <v/>
      </c>
      <c r="O226" s="314" t="str">
        <f t="array" aca="1" ref="O226" ca="1">IFERROR(IF(INDEX('Disaggregation Records'!$H$3:$H$80,MATCH(RIGHT(L226,255),RIGHT('Disaggregation Records'!$D$3:$D$80,255),0))="","",INDEX('Disaggregation Records'!$H$3:$H$80,MATCH(RIGHT(L226,255),RIGHT('Disaggregation Records'!$D$3:$D$80,255),0))),"")</f>
        <v/>
      </c>
      <c r="P226" s="314"/>
      <c r="Q226" s="310">
        <f t="shared" ref="Q226" si="343">Q224+1</f>
        <v>1416</v>
      </c>
      <c r="R226" s="314" t="str" cm="1">
        <f t="array" aca="1" ref="R226" ca="1">IFERROR(IF(INDEX('Disaggregation Records'!$G$3:$G$80,MATCH(RIGHT(L226,255),RIGHT('Disaggregation Records'!$D$3:$D$80,255),0))="","",INDEX('Disaggregation Records'!$G$3:$G$80,MATCH(RIGHT(L226,255),RIGHT('Disaggregation Records'!$D$3:$D$80,255),0))),"")</f>
        <v/>
      </c>
    </row>
    <row r="227" spans="1:18" ht="20.100000000000001" customHeight="1">
      <c r="A227" s="126"/>
      <c r="B227" s="571">
        <v>8.1541353383458706</v>
      </c>
      <c r="C227" s="573"/>
      <c r="D227" s="575"/>
      <c r="E227" s="575"/>
      <c r="F227" s="128"/>
      <c r="G227" s="577"/>
      <c r="H227" s="540"/>
      <c r="I227" s="579"/>
      <c r="J227" s="533"/>
      <c r="K227" s="129"/>
      <c r="L227" s="129"/>
      <c r="M227" s="129"/>
      <c r="N227" s="129"/>
      <c r="O227" s="317"/>
      <c r="P227" s="317"/>
      <c r="Q227" s="314"/>
      <c r="R227" s="314" t="str" cm="1">
        <f t="array" ref="R227">IFERROR(IF(INDEX('Disaggregation Records'!$G$3:$G$80,MATCH(RIGHT(L227,255),RIGHT('Disaggregation Records'!$D$3:$D$80,255),0))="","",INDEX('Disaggregation Records'!$G$3:$G$80,MATCH(RIGHT(L227,255),RIGHT('Disaggregation Records'!$D$3:$D$80,255),0))),"")</f>
        <v/>
      </c>
    </row>
    <row r="228" spans="1:18" ht="20.100000000000001" customHeight="1">
      <c r="A228" s="126" t="str">
        <f t="shared" ca="1" si="308"/>
        <v>a1GDm000000XyRiMAK</v>
      </c>
      <c r="B228" s="570">
        <v>11</v>
      </c>
      <c r="C228" s="572" t="str">
        <f ca="1">IFERROR(VLOOKUP(B228,'Impact Indicators - Section B '!$A$9:$AC$68,29,FALSE),"")</f>
        <v/>
      </c>
      <c r="D228" s="574" t="str">
        <f t="shared" ref="D228" ca="1" si="344">M228</f>
        <v/>
      </c>
      <c r="E228" s="574" t="str">
        <f t="shared" ref="E228" ca="1" si="345">N228</f>
        <v/>
      </c>
      <c r="F228" s="127"/>
      <c r="G228" s="576" t="str">
        <f ca="1">IF(OR(INDIRECT("'update Helper'!E"&amp;Q228)="",F228&lt;&gt;0,F229&lt;&gt;0),IF(IFERROR((F228/F229),"")="","",(F228/F229)),INDIRECT("'update Helper'!E"&amp;Q228)/100)</f>
        <v/>
      </c>
      <c r="H228" s="539"/>
      <c r="I228" s="578"/>
      <c r="J228" s="532"/>
      <c r="K228" s="126">
        <f ca="1">IF(AND(EXACT(C228,C226),C226&lt;&gt;0),K226+1,0)</f>
        <v>9</v>
      </c>
      <c r="L228" s="126" t="str">
        <f ca="1">IF(C228&lt;&gt;"",C228&amp;"-"&amp;K228,"")</f>
        <v/>
      </c>
      <c r="M228" s="126" t="str">
        <f t="array" aca="1" ref="M228" ca="1">IFERROR(IF(INDEX('Disaggregation Records'!$E$3:$E$80,MATCH(RIGHT(L228,255),RIGHT('Disaggregation Records'!$D$3:$D$80,255),0))="","",INDEX('Disaggregation Records'!$E$3:$E$80,MATCH(RIGHT(L228,255),RIGHT('Disaggregation Records'!$D$3:$D$80,255),0))),"")</f>
        <v/>
      </c>
      <c r="N228" s="126" t="str">
        <f t="array" aca="1" ref="N228" ca="1">IFERROR(IF(INDEX('Disaggregation Records'!$F$3:$F$80,MATCH(RIGHT(L228,255),RIGHT('Disaggregation Records'!$D$3:$D$80,255),0))="","",INDEX('Disaggregation Records'!$F$3:$F$80,MATCH(RIGHT(L228,255),RIGHT('Disaggregation Records'!$D$3:$D$80,255),0))),"")</f>
        <v/>
      </c>
      <c r="O228" s="314" t="str">
        <f t="array" aca="1" ref="O228" ca="1">IFERROR(IF(INDEX('Disaggregation Records'!$H$3:$H$80,MATCH(RIGHT(L228,255),RIGHT('Disaggregation Records'!$D$3:$D$80,255),0))="","",INDEX('Disaggregation Records'!$H$3:$H$80,MATCH(RIGHT(L228,255),RIGHT('Disaggregation Records'!$D$3:$D$80,255),0))),"")</f>
        <v/>
      </c>
      <c r="P228" s="310"/>
      <c r="Q228" s="310">
        <f t="shared" ref="Q228" si="346">Q226+1</f>
        <v>1417</v>
      </c>
      <c r="R228" s="314" t="str" cm="1">
        <f t="array" aca="1" ref="R228" ca="1">IFERROR(IF(INDEX('Disaggregation Records'!$G$3:$G$80,MATCH(RIGHT(L228,255),RIGHT('Disaggregation Records'!$D$3:$D$80,255),0))="","",INDEX('Disaggregation Records'!$G$3:$G$80,MATCH(RIGHT(L228,255),RIGHT('Disaggregation Records'!$D$3:$D$80,255),0))),"")</f>
        <v/>
      </c>
    </row>
    <row r="229" spans="1:18" ht="20.100000000000001" customHeight="1">
      <c r="B229" s="571">
        <v>8.1541353383458706</v>
      </c>
      <c r="C229" s="573"/>
      <c r="D229" s="575"/>
      <c r="E229" s="575"/>
      <c r="F229" s="128"/>
      <c r="G229" s="577"/>
      <c r="H229" s="540"/>
      <c r="I229" s="579"/>
      <c r="J229" s="533"/>
      <c r="K229" s="129"/>
      <c r="L229" s="129"/>
      <c r="M229" s="129"/>
      <c r="N229" s="129"/>
      <c r="O229" s="317"/>
      <c r="P229" s="310"/>
      <c r="Q229" s="314"/>
      <c r="R229" s="314" t="str" cm="1">
        <f t="array" ref="R229">IFERROR(IF(INDEX('Disaggregation Records'!$G$3:$G$80,MATCH(RIGHT(L229,255),RIGHT('Disaggregation Records'!$D$3:$D$80,255),0))="","",INDEX('Disaggregation Records'!$G$3:$G$80,MATCH(RIGHT(L229,255),RIGHT('Disaggregation Records'!$D$3:$D$80,255),0))),"")</f>
        <v/>
      </c>
    </row>
    <row r="230" spans="1:18" ht="20.100000000000001" customHeight="1">
      <c r="A230" s="126" t="str">
        <f t="shared" ref="A230" ca="1" si="347">INDIRECT("'update Helper'!C"&amp;Q230)</f>
        <v>a1GDm000000XyRjMAK</v>
      </c>
      <c r="B230" s="570">
        <v>12</v>
      </c>
      <c r="C230" s="572" t="str">
        <f ca="1">IFERROR(VLOOKUP(B230,'Impact Indicators - Section B '!$A$9:$AC$68,29,FALSE),"")</f>
        <v/>
      </c>
      <c r="D230" s="574" t="str">
        <f t="shared" ref="D230" ca="1" si="348">M230</f>
        <v/>
      </c>
      <c r="E230" s="574" t="str">
        <f t="shared" ref="E230" ca="1" si="349">N230</f>
        <v/>
      </c>
      <c r="F230" s="127"/>
      <c r="G230" s="576" t="str">
        <f ca="1">IF(OR(INDIRECT("'update Helper'!E"&amp;Q230)="",F230&lt;&gt;0,F231&lt;&gt;0),IF(IFERROR((F230/F231),"")="","",(F230/F231)),INDIRECT("'update Helper'!E"&amp;Q230)/100)</f>
        <v/>
      </c>
      <c r="H230" s="539"/>
      <c r="I230" s="578"/>
      <c r="J230" s="532"/>
      <c r="K230" s="126">
        <f ca="1">IF(AND(EXACT(C230,C228),C228&lt;&gt;0),K228+1,0)</f>
        <v>10</v>
      </c>
      <c r="L230" s="126" t="str">
        <f ca="1">IF(C230&lt;&gt;"",C230&amp;"-"&amp;K230,"")</f>
        <v/>
      </c>
      <c r="M230" s="126" t="str">
        <f t="array" aca="1" ref="M230" ca="1">IFERROR(IF(INDEX('Disaggregation Records'!$E$3:$E$80,MATCH(RIGHT(L230,255),RIGHT('Disaggregation Records'!$D$3:$D$80,255),0))="","",INDEX('Disaggregation Records'!$E$3:$E$80,MATCH(RIGHT(L230,255),RIGHT('Disaggregation Records'!$D$3:$D$80,255),0))),"")</f>
        <v/>
      </c>
      <c r="N230" s="126" t="str">
        <f t="array" aca="1" ref="N230" ca="1">IFERROR(IF(INDEX('Disaggregation Records'!$F$3:$F$80,MATCH(RIGHT(L230,255),RIGHT('Disaggregation Records'!$D$3:$D$80,255),0))="","",INDEX('Disaggregation Records'!$F$3:$F$80,MATCH(RIGHT(L230,255),RIGHT('Disaggregation Records'!$D$3:$D$80,255),0))),"")</f>
        <v/>
      </c>
      <c r="O230" s="314" t="str">
        <f t="array" aca="1" ref="O230" ca="1">IFERROR(IF(INDEX('Disaggregation Records'!$H$3:$H$80,MATCH(RIGHT(L230,255),RIGHT('Disaggregation Records'!$D$3:$D$80,255),0))="","",INDEX('Disaggregation Records'!$H$3:$H$80,MATCH(RIGHT(L230,255),RIGHT('Disaggregation Records'!$D$3:$D$80,255),0))),"")</f>
        <v/>
      </c>
      <c r="P230" s="314"/>
      <c r="Q230" s="310">
        <f t="shared" ref="Q230" si="350">Q228+1</f>
        <v>1418</v>
      </c>
      <c r="R230" s="314" t="str" cm="1">
        <f t="array" aca="1" ref="R230" ca="1">IFERROR(IF(INDEX('Disaggregation Records'!$G$3:$G$80,MATCH(RIGHT(L230,255),RIGHT('Disaggregation Records'!$D$3:$D$80,255),0))="","",INDEX('Disaggregation Records'!$G$3:$G$80,MATCH(RIGHT(L230,255),RIGHT('Disaggregation Records'!$D$3:$D$80,255),0))),"")</f>
        <v/>
      </c>
    </row>
    <row r="231" spans="1:18" ht="20.100000000000001" customHeight="1">
      <c r="A231" s="126"/>
      <c r="B231" s="571">
        <v>8.9060150375939902</v>
      </c>
      <c r="C231" s="573"/>
      <c r="D231" s="575"/>
      <c r="E231" s="575"/>
      <c r="F231" s="128"/>
      <c r="G231" s="577"/>
      <c r="H231" s="540"/>
      <c r="I231" s="579"/>
      <c r="J231" s="533"/>
      <c r="K231" s="129"/>
      <c r="L231" s="129"/>
      <c r="M231" s="129"/>
      <c r="N231" s="129"/>
      <c r="O231" s="317"/>
      <c r="P231" s="317"/>
      <c r="Q231" s="314"/>
      <c r="R231" s="314" t="str" cm="1">
        <f t="array" ref="R231">IFERROR(IF(INDEX('Disaggregation Records'!$G$3:$G$80,MATCH(RIGHT(L231,255),RIGHT('Disaggregation Records'!$D$3:$D$80,255),0))="","",INDEX('Disaggregation Records'!$G$3:$G$80,MATCH(RIGHT(L231,255),RIGHT('Disaggregation Records'!$D$3:$D$80,255),0))),"")</f>
        <v/>
      </c>
    </row>
    <row r="232" spans="1:18" ht="20.100000000000001" customHeight="1">
      <c r="A232" s="126" t="str">
        <f t="shared" ca="1" si="308"/>
        <v>a1GDm000000XyRkMAK</v>
      </c>
      <c r="B232" s="570">
        <v>12</v>
      </c>
      <c r="C232" s="572" t="str">
        <f ca="1">IFERROR(VLOOKUP(B232,'Impact Indicators - Section B '!$A$9:$AC$68,29,FALSE),"")</f>
        <v/>
      </c>
      <c r="D232" s="574" t="str">
        <f t="shared" ref="D232" ca="1" si="351">M232</f>
        <v/>
      </c>
      <c r="E232" s="574" t="str">
        <f t="shared" ref="E232" ca="1" si="352">N232</f>
        <v/>
      </c>
      <c r="F232" s="127"/>
      <c r="G232" s="576" t="str">
        <f ca="1">IF(OR(INDIRECT("'update Helper'!E"&amp;Q232)="",F232&lt;&gt;0,F233&lt;&gt;0),IF(IFERROR((F232/F233),"")="","",(F232/F233)),INDIRECT("'update Helper'!E"&amp;Q232)/100)</f>
        <v/>
      </c>
      <c r="H232" s="539"/>
      <c r="I232" s="578"/>
      <c r="J232" s="532"/>
      <c r="K232" s="126">
        <f ca="1">IF(AND(EXACT(C232,C230),C230&lt;&gt;0),K230+1,0)</f>
        <v>11</v>
      </c>
      <c r="L232" s="126" t="str">
        <f ca="1">IF(C232&lt;&gt;"",C232&amp;"-"&amp;K232,"")</f>
        <v/>
      </c>
      <c r="M232" s="126" t="str">
        <f t="array" aca="1" ref="M232" ca="1">IFERROR(IF(INDEX('Disaggregation Records'!$E$3:$E$80,MATCH(RIGHT(L232,255),RIGHT('Disaggregation Records'!$D$3:$D$80,255),0))="","",INDEX('Disaggregation Records'!$E$3:$E$80,MATCH(RIGHT(L232,255),RIGHT('Disaggregation Records'!$D$3:$D$80,255),0))),"")</f>
        <v/>
      </c>
      <c r="N232" s="126" t="str">
        <f t="array" aca="1" ref="N232" ca="1">IFERROR(IF(INDEX('Disaggregation Records'!$F$3:$F$80,MATCH(RIGHT(L232,255),RIGHT('Disaggregation Records'!$D$3:$D$80,255),0))="","",INDEX('Disaggregation Records'!$F$3:$F$80,MATCH(RIGHT(L232,255),RIGHT('Disaggregation Records'!$D$3:$D$80,255),0))),"")</f>
        <v/>
      </c>
      <c r="O232" s="314" t="str">
        <f t="array" aca="1" ref="O232" ca="1">IFERROR(IF(INDEX('Disaggregation Records'!$H$3:$H$80,MATCH(RIGHT(L232,255),RIGHT('Disaggregation Records'!$D$3:$D$80,255),0))="","",INDEX('Disaggregation Records'!$H$3:$H$80,MATCH(RIGHT(L232,255),RIGHT('Disaggregation Records'!$D$3:$D$80,255),0))),"")</f>
        <v/>
      </c>
      <c r="P232" s="310"/>
      <c r="Q232" s="310">
        <f t="shared" ref="Q232" si="353">Q230+1</f>
        <v>1419</v>
      </c>
      <c r="R232" s="314" t="str" cm="1">
        <f t="array" aca="1" ref="R232" ca="1">IFERROR(IF(INDEX('Disaggregation Records'!$G$3:$G$80,MATCH(RIGHT(L232,255),RIGHT('Disaggregation Records'!$D$3:$D$80,255),0))="","",INDEX('Disaggregation Records'!$G$3:$G$80,MATCH(RIGHT(L232,255),RIGHT('Disaggregation Records'!$D$3:$D$80,255),0))),"")</f>
        <v/>
      </c>
    </row>
    <row r="233" spans="1:18" ht="20.100000000000001" customHeight="1">
      <c r="B233" s="571">
        <v>8.9060150375939902</v>
      </c>
      <c r="C233" s="573"/>
      <c r="D233" s="575"/>
      <c r="E233" s="575"/>
      <c r="F233" s="128"/>
      <c r="G233" s="577"/>
      <c r="H233" s="540"/>
      <c r="I233" s="579"/>
      <c r="J233" s="533"/>
      <c r="K233" s="129"/>
      <c r="L233" s="129"/>
      <c r="M233" s="129"/>
      <c r="N233" s="129"/>
      <c r="O233" s="317"/>
      <c r="P233" s="310"/>
      <c r="Q233" s="314"/>
      <c r="R233" s="314" t="str" cm="1">
        <f t="array" ref="R233">IFERROR(IF(INDEX('Disaggregation Records'!$G$3:$G$80,MATCH(RIGHT(L233,255),RIGHT('Disaggregation Records'!$D$3:$D$80,255),0))="","",INDEX('Disaggregation Records'!$G$3:$G$80,MATCH(RIGHT(L233,255),RIGHT('Disaggregation Records'!$D$3:$D$80,255),0))),"")</f>
        <v/>
      </c>
    </row>
    <row r="234" spans="1:18" ht="20.100000000000001" customHeight="1">
      <c r="A234" s="126" t="str">
        <f t="shared" ref="A234" ca="1" si="354">INDIRECT("'update Helper'!C"&amp;Q234)</f>
        <v>a1GDm000000XyRlMAK</v>
      </c>
      <c r="B234" s="570">
        <v>12</v>
      </c>
      <c r="C234" s="572" t="str">
        <f ca="1">IFERROR(VLOOKUP(B234,'Impact Indicators - Section B '!$A$9:$AC$68,29,FALSE),"")</f>
        <v/>
      </c>
      <c r="D234" s="574" t="str">
        <f t="shared" ref="D234" ca="1" si="355">M234</f>
        <v/>
      </c>
      <c r="E234" s="574" t="str">
        <f t="shared" ref="E234" ca="1" si="356">N234</f>
        <v/>
      </c>
      <c r="F234" s="127"/>
      <c r="G234" s="576" t="str">
        <f ca="1">IF(OR(INDIRECT("'update Helper'!E"&amp;Q234)="",F234&lt;&gt;0,F235&lt;&gt;0),IF(IFERROR((F234/F235),"")="","",(F234/F235)),INDIRECT("'update Helper'!E"&amp;Q234)/100)</f>
        <v/>
      </c>
      <c r="H234" s="539"/>
      <c r="I234" s="578"/>
      <c r="J234" s="532"/>
      <c r="K234" s="126">
        <f ca="1">IF(AND(EXACT(C234,C232),C232&lt;&gt;0),K232+1,0)</f>
        <v>12</v>
      </c>
      <c r="L234" s="126" t="str">
        <f ca="1">IF(C234&lt;&gt;"",C234&amp;"-"&amp;K234,"")</f>
        <v/>
      </c>
      <c r="M234" s="126" t="str">
        <f t="array" aca="1" ref="M234" ca="1">IFERROR(IF(INDEX('Disaggregation Records'!$E$3:$E$80,MATCH(RIGHT(L234,255),RIGHT('Disaggregation Records'!$D$3:$D$80,255),0))="","",INDEX('Disaggregation Records'!$E$3:$E$80,MATCH(RIGHT(L234,255),RIGHT('Disaggregation Records'!$D$3:$D$80,255),0))),"")</f>
        <v/>
      </c>
      <c r="N234" s="126" t="str">
        <f t="array" aca="1" ref="N234" ca="1">IFERROR(IF(INDEX('Disaggregation Records'!$F$3:$F$80,MATCH(RIGHT(L234,255),RIGHT('Disaggregation Records'!$D$3:$D$80,255),0))="","",INDEX('Disaggregation Records'!$F$3:$F$80,MATCH(RIGHT(L234,255),RIGHT('Disaggregation Records'!$D$3:$D$80,255),0))),"")</f>
        <v/>
      </c>
      <c r="O234" s="314" t="str">
        <f t="array" aca="1" ref="O234" ca="1">IFERROR(IF(INDEX('Disaggregation Records'!$H$3:$H$80,MATCH(RIGHT(L234,255),RIGHT('Disaggregation Records'!$D$3:$D$80,255),0))="","",INDEX('Disaggregation Records'!$H$3:$H$80,MATCH(RIGHT(L234,255),RIGHT('Disaggregation Records'!$D$3:$D$80,255),0))),"")</f>
        <v/>
      </c>
      <c r="P234" s="314"/>
      <c r="Q234" s="310">
        <f t="shared" ref="Q234" si="357">Q232+1</f>
        <v>1420</v>
      </c>
      <c r="R234" s="314" t="str" cm="1">
        <f t="array" aca="1" ref="R234" ca="1">IFERROR(IF(INDEX('Disaggregation Records'!$G$3:$G$80,MATCH(RIGHT(L234,255),RIGHT('Disaggregation Records'!$D$3:$D$80,255),0))="","",INDEX('Disaggregation Records'!$G$3:$G$80,MATCH(RIGHT(L234,255),RIGHT('Disaggregation Records'!$D$3:$D$80,255),0))),"")</f>
        <v/>
      </c>
    </row>
    <row r="235" spans="1:18" ht="20.100000000000001" customHeight="1">
      <c r="A235" s="126"/>
      <c r="B235" s="571">
        <v>8.9060150375939902</v>
      </c>
      <c r="C235" s="573"/>
      <c r="D235" s="575"/>
      <c r="E235" s="575"/>
      <c r="F235" s="128"/>
      <c r="G235" s="577"/>
      <c r="H235" s="540"/>
      <c r="I235" s="579"/>
      <c r="J235" s="533"/>
      <c r="K235" s="129"/>
      <c r="L235" s="129"/>
      <c r="M235" s="129"/>
      <c r="N235" s="129"/>
      <c r="O235" s="317"/>
      <c r="P235" s="317"/>
      <c r="Q235" s="314"/>
      <c r="R235" s="314" t="str" cm="1">
        <f t="array" ref="R235">IFERROR(IF(INDEX('Disaggregation Records'!$G$3:$G$80,MATCH(RIGHT(L235,255),RIGHT('Disaggregation Records'!$D$3:$D$80,255),0))="","",INDEX('Disaggregation Records'!$G$3:$G$80,MATCH(RIGHT(L235,255),RIGHT('Disaggregation Records'!$D$3:$D$80,255),0))),"")</f>
        <v/>
      </c>
    </row>
    <row r="236" spans="1:18" ht="20.100000000000001" customHeight="1">
      <c r="A236" s="126" t="str">
        <f t="shared" ca="1" si="308"/>
        <v>a1GDm000000XyRmMAK</v>
      </c>
      <c r="B236" s="570">
        <v>12</v>
      </c>
      <c r="C236" s="572" t="str">
        <f ca="1">IFERROR(VLOOKUP(B236,'Impact Indicators - Section B '!$A$9:$AC$68,29,FALSE),"")</f>
        <v/>
      </c>
      <c r="D236" s="574" t="str">
        <f t="shared" ref="D236" ca="1" si="358">M236</f>
        <v/>
      </c>
      <c r="E236" s="574" t="str">
        <f t="shared" ref="E236" ca="1" si="359">N236</f>
        <v/>
      </c>
      <c r="F236" s="127"/>
      <c r="G236" s="576" t="str">
        <f ca="1">IF(OR(INDIRECT("'update Helper'!E"&amp;Q236)="",F236&lt;&gt;0,F237&lt;&gt;0),IF(IFERROR((F236/F237),"")="","",(F236/F237)),INDIRECT("'update Helper'!E"&amp;Q236)/100)</f>
        <v/>
      </c>
      <c r="H236" s="539"/>
      <c r="I236" s="578"/>
      <c r="J236" s="532"/>
      <c r="K236" s="126">
        <f ca="1">IF(AND(EXACT(C236,C234),C234&lt;&gt;0),K234+1,0)</f>
        <v>13</v>
      </c>
      <c r="L236" s="126" t="str">
        <f ca="1">IF(C236&lt;&gt;"",C236&amp;"-"&amp;K236,"")</f>
        <v/>
      </c>
      <c r="M236" s="126" t="str">
        <f t="array" aca="1" ref="M236" ca="1">IFERROR(IF(INDEX('Disaggregation Records'!$E$3:$E$80,MATCH(RIGHT(L236,255),RIGHT('Disaggregation Records'!$D$3:$D$80,255),0))="","",INDEX('Disaggregation Records'!$E$3:$E$80,MATCH(RIGHT(L236,255),RIGHT('Disaggregation Records'!$D$3:$D$80,255),0))),"")</f>
        <v/>
      </c>
      <c r="N236" s="126" t="str">
        <f t="array" aca="1" ref="N236" ca="1">IFERROR(IF(INDEX('Disaggregation Records'!$F$3:$F$80,MATCH(RIGHT(L236,255),RIGHT('Disaggregation Records'!$D$3:$D$80,255),0))="","",INDEX('Disaggregation Records'!$F$3:$F$80,MATCH(RIGHT(L236,255),RIGHT('Disaggregation Records'!$D$3:$D$80,255),0))),"")</f>
        <v/>
      </c>
      <c r="O236" s="314" t="str">
        <f t="array" aca="1" ref="O236" ca="1">IFERROR(IF(INDEX('Disaggregation Records'!$H$3:$H$80,MATCH(RIGHT(L236,255),RIGHT('Disaggregation Records'!$D$3:$D$80,255),0))="","",INDEX('Disaggregation Records'!$H$3:$H$80,MATCH(RIGHT(L236,255),RIGHT('Disaggregation Records'!$D$3:$D$80,255),0))),"")</f>
        <v/>
      </c>
      <c r="P236" s="310"/>
      <c r="Q236" s="310">
        <f t="shared" ref="Q236" si="360">Q234+1</f>
        <v>1421</v>
      </c>
      <c r="R236" s="314" t="str" cm="1">
        <f t="array" aca="1" ref="R236" ca="1">IFERROR(IF(INDEX('Disaggregation Records'!$G$3:$G$80,MATCH(RIGHT(L236,255),RIGHT('Disaggregation Records'!$D$3:$D$80,255),0))="","",INDEX('Disaggregation Records'!$G$3:$G$80,MATCH(RIGHT(L236,255),RIGHT('Disaggregation Records'!$D$3:$D$80,255),0))),"")</f>
        <v/>
      </c>
    </row>
    <row r="237" spans="1:18" ht="20.100000000000001" customHeight="1">
      <c r="B237" s="571">
        <v>8.9060150375939902</v>
      </c>
      <c r="C237" s="573"/>
      <c r="D237" s="575"/>
      <c r="E237" s="575"/>
      <c r="F237" s="128"/>
      <c r="G237" s="577"/>
      <c r="H237" s="540"/>
      <c r="I237" s="579"/>
      <c r="J237" s="533"/>
      <c r="K237" s="129"/>
      <c r="L237" s="129"/>
      <c r="M237" s="129"/>
      <c r="N237" s="129"/>
      <c r="O237" s="317"/>
      <c r="P237" s="310"/>
      <c r="Q237" s="314"/>
      <c r="R237" s="314" t="str" cm="1">
        <f t="array" ref="R237">IFERROR(IF(INDEX('Disaggregation Records'!$G$3:$G$80,MATCH(RIGHT(L237,255),RIGHT('Disaggregation Records'!$D$3:$D$80,255),0))="","",INDEX('Disaggregation Records'!$G$3:$G$80,MATCH(RIGHT(L237,255),RIGHT('Disaggregation Records'!$D$3:$D$80,255),0))),"")</f>
        <v/>
      </c>
    </row>
    <row r="238" spans="1:18" ht="20.100000000000001" customHeight="1">
      <c r="A238" s="126" t="str">
        <f t="shared" ref="A238" ca="1" si="361">INDIRECT("'update Helper'!C"&amp;Q238)</f>
        <v>a1GDm000000XyRnMAK</v>
      </c>
      <c r="B238" s="570">
        <v>12</v>
      </c>
      <c r="C238" s="572" t="str">
        <f ca="1">IFERROR(VLOOKUP(B238,'Impact Indicators - Section B '!$A$9:$AC$68,29,FALSE),"")</f>
        <v/>
      </c>
      <c r="D238" s="574" t="str">
        <f t="shared" ref="D238" ca="1" si="362">M238</f>
        <v/>
      </c>
      <c r="E238" s="574" t="str">
        <f t="shared" ref="E238" ca="1" si="363">N238</f>
        <v/>
      </c>
      <c r="F238" s="127"/>
      <c r="G238" s="576" t="str">
        <f ca="1">IF(OR(INDIRECT("'update Helper'!E"&amp;Q238)="",F238&lt;&gt;0,F239&lt;&gt;0),IF(IFERROR((F238/F239),"")="","",(F238/F239)),INDIRECT("'update Helper'!E"&amp;Q238)/100)</f>
        <v/>
      </c>
      <c r="H238" s="539"/>
      <c r="I238" s="578"/>
      <c r="J238" s="532"/>
      <c r="K238" s="126">
        <f ca="1">IF(AND(EXACT(C238,C236),C236&lt;&gt;0),K236+1,0)</f>
        <v>14</v>
      </c>
      <c r="L238" s="126" t="str">
        <f ca="1">IF(C238&lt;&gt;"",C238&amp;"-"&amp;K238,"")</f>
        <v/>
      </c>
      <c r="M238" s="126" t="str">
        <f t="array" aca="1" ref="M238" ca="1">IFERROR(IF(INDEX('Disaggregation Records'!$E$3:$E$80,MATCH(RIGHT(L238,255),RIGHT('Disaggregation Records'!$D$3:$D$80,255),0))="","",INDEX('Disaggregation Records'!$E$3:$E$80,MATCH(RIGHT(L238,255),RIGHT('Disaggregation Records'!$D$3:$D$80,255),0))),"")</f>
        <v/>
      </c>
      <c r="N238" s="126" t="str">
        <f t="array" aca="1" ref="N238" ca="1">IFERROR(IF(INDEX('Disaggregation Records'!$F$3:$F$80,MATCH(RIGHT(L238,255),RIGHT('Disaggregation Records'!$D$3:$D$80,255),0))="","",INDEX('Disaggregation Records'!$F$3:$F$80,MATCH(RIGHT(L238,255),RIGHT('Disaggregation Records'!$D$3:$D$80,255),0))),"")</f>
        <v/>
      </c>
      <c r="O238" s="314" t="str">
        <f t="array" aca="1" ref="O238" ca="1">IFERROR(IF(INDEX('Disaggregation Records'!$H$3:$H$80,MATCH(RIGHT(L238,255),RIGHT('Disaggregation Records'!$D$3:$D$80,255),0))="","",INDEX('Disaggregation Records'!$H$3:$H$80,MATCH(RIGHT(L238,255),RIGHT('Disaggregation Records'!$D$3:$D$80,255),0))),"")</f>
        <v/>
      </c>
      <c r="P238" s="314"/>
      <c r="Q238" s="310">
        <f t="shared" ref="Q238" si="364">Q236+1</f>
        <v>1422</v>
      </c>
      <c r="R238" s="314" t="str" cm="1">
        <f t="array" aca="1" ref="R238" ca="1">IFERROR(IF(INDEX('Disaggregation Records'!$G$3:$G$80,MATCH(RIGHT(L238,255),RIGHT('Disaggregation Records'!$D$3:$D$80,255),0))="","",INDEX('Disaggregation Records'!$G$3:$G$80,MATCH(RIGHT(L238,255),RIGHT('Disaggregation Records'!$D$3:$D$80,255),0))),"")</f>
        <v/>
      </c>
    </row>
    <row r="239" spans="1:18" ht="20.100000000000001" customHeight="1">
      <c r="A239" s="126"/>
      <c r="B239" s="571">
        <v>8.9060150375939902</v>
      </c>
      <c r="C239" s="573"/>
      <c r="D239" s="575"/>
      <c r="E239" s="575"/>
      <c r="F239" s="128"/>
      <c r="G239" s="577"/>
      <c r="H239" s="540"/>
      <c r="I239" s="579"/>
      <c r="J239" s="533"/>
      <c r="K239" s="129"/>
      <c r="L239" s="129"/>
      <c r="M239" s="129"/>
      <c r="N239" s="129"/>
      <c r="O239" s="317"/>
      <c r="P239" s="317"/>
      <c r="Q239" s="314"/>
      <c r="R239" s="314" t="str" cm="1">
        <f t="array" ref="R239">IFERROR(IF(INDEX('Disaggregation Records'!$G$3:$G$80,MATCH(RIGHT(L239,255),RIGHT('Disaggregation Records'!$D$3:$D$80,255),0))="","",INDEX('Disaggregation Records'!$G$3:$G$80,MATCH(RIGHT(L239,255),RIGHT('Disaggregation Records'!$D$3:$D$80,255),0))),"")</f>
        <v/>
      </c>
    </row>
    <row r="240" spans="1:18" ht="20.100000000000001" customHeight="1">
      <c r="A240" s="126" t="str">
        <f t="shared" ca="1" si="308"/>
        <v>a1GDm000000XyRoMAK</v>
      </c>
      <c r="B240" s="570">
        <v>12</v>
      </c>
      <c r="C240" s="572" t="str">
        <f ca="1">IFERROR(VLOOKUP(B240,'Impact Indicators - Section B '!$A$9:$AC$68,29,FALSE),"")</f>
        <v/>
      </c>
      <c r="D240" s="574" t="str">
        <f t="shared" ref="D240" ca="1" si="365">M240</f>
        <v/>
      </c>
      <c r="E240" s="574" t="str">
        <f t="shared" ref="E240" ca="1" si="366">N240</f>
        <v/>
      </c>
      <c r="F240" s="127"/>
      <c r="G240" s="576" t="str">
        <f ca="1">IF(OR(INDIRECT("'update Helper'!E"&amp;Q240)="",F240&lt;&gt;0,F241&lt;&gt;0),IF(IFERROR((F240/F241),"")="","",(F240/F241)),INDIRECT("'update Helper'!E"&amp;Q240)/100)</f>
        <v/>
      </c>
      <c r="H240" s="539"/>
      <c r="I240" s="578"/>
      <c r="J240" s="532"/>
      <c r="K240" s="126">
        <f ca="1">IF(AND(EXACT(C240,C238),C238&lt;&gt;0),K238+1,0)</f>
        <v>15</v>
      </c>
      <c r="L240" s="126" t="str">
        <f ca="1">IF(C240&lt;&gt;"",C240&amp;"-"&amp;K240,"")</f>
        <v/>
      </c>
      <c r="M240" s="126" t="str">
        <f t="array" aca="1" ref="M240" ca="1">IFERROR(IF(INDEX('Disaggregation Records'!$E$3:$E$80,MATCH(RIGHT(L240,255),RIGHT('Disaggregation Records'!$D$3:$D$80,255),0))="","",INDEX('Disaggregation Records'!$E$3:$E$80,MATCH(RIGHT(L240,255),RIGHT('Disaggregation Records'!$D$3:$D$80,255),0))),"")</f>
        <v/>
      </c>
      <c r="N240" s="126" t="str">
        <f t="array" aca="1" ref="N240" ca="1">IFERROR(IF(INDEX('Disaggregation Records'!$F$3:$F$80,MATCH(RIGHT(L240,255),RIGHT('Disaggregation Records'!$D$3:$D$80,255),0))="","",INDEX('Disaggregation Records'!$F$3:$F$80,MATCH(RIGHT(L240,255),RIGHT('Disaggregation Records'!$D$3:$D$80,255),0))),"")</f>
        <v/>
      </c>
      <c r="O240" s="314" t="str">
        <f t="array" aca="1" ref="O240" ca="1">IFERROR(IF(INDEX('Disaggregation Records'!$H$3:$H$80,MATCH(RIGHT(L240,255),RIGHT('Disaggregation Records'!$D$3:$D$80,255),0))="","",INDEX('Disaggregation Records'!$H$3:$H$80,MATCH(RIGHT(L240,255),RIGHT('Disaggregation Records'!$D$3:$D$80,255),0))),"")</f>
        <v/>
      </c>
      <c r="P240" s="310"/>
      <c r="Q240" s="310">
        <f t="shared" ref="Q240" si="367">Q238+1</f>
        <v>1423</v>
      </c>
      <c r="R240" s="314" t="str" cm="1">
        <f t="array" aca="1" ref="R240" ca="1">IFERROR(IF(INDEX('Disaggregation Records'!$G$3:$G$80,MATCH(RIGHT(L240,255),RIGHT('Disaggregation Records'!$D$3:$D$80,255),0))="","",INDEX('Disaggregation Records'!$G$3:$G$80,MATCH(RIGHT(L240,255),RIGHT('Disaggregation Records'!$D$3:$D$80,255),0))),"")</f>
        <v/>
      </c>
    </row>
    <row r="241" spans="1:18" ht="20.100000000000001" customHeight="1">
      <c r="B241" s="571">
        <v>8.9060150375939902</v>
      </c>
      <c r="C241" s="573"/>
      <c r="D241" s="575"/>
      <c r="E241" s="575"/>
      <c r="F241" s="128"/>
      <c r="G241" s="577"/>
      <c r="H241" s="540"/>
      <c r="I241" s="579"/>
      <c r="J241" s="533"/>
      <c r="K241" s="129"/>
      <c r="L241" s="129"/>
      <c r="M241" s="129"/>
      <c r="N241" s="129"/>
      <c r="O241" s="317"/>
      <c r="P241" s="310"/>
      <c r="Q241" s="314"/>
      <c r="R241" s="314" t="str" cm="1">
        <f t="array" ref="R241">IFERROR(IF(INDEX('Disaggregation Records'!$G$3:$G$80,MATCH(RIGHT(L241,255),RIGHT('Disaggregation Records'!$D$3:$D$80,255),0))="","",INDEX('Disaggregation Records'!$G$3:$G$80,MATCH(RIGHT(L241,255),RIGHT('Disaggregation Records'!$D$3:$D$80,255),0))),"")</f>
        <v/>
      </c>
    </row>
    <row r="242" spans="1:18" ht="20.100000000000001" customHeight="1">
      <c r="A242" s="126" t="str">
        <f t="shared" ref="A242" ca="1" si="368">INDIRECT("'update Helper'!C"&amp;Q242)</f>
        <v>a1GDm000000XyRpMAK</v>
      </c>
      <c r="B242" s="570">
        <v>12</v>
      </c>
      <c r="C242" s="572" t="str">
        <f ca="1">IFERROR(VLOOKUP(B242,'Impact Indicators - Section B '!$A$9:$AC$68,29,FALSE),"")</f>
        <v/>
      </c>
      <c r="D242" s="574" t="str">
        <f t="shared" ref="D242" ca="1" si="369">M242</f>
        <v/>
      </c>
      <c r="E242" s="574" t="str">
        <f t="shared" ref="E242" ca="1" si="370">N242</f>
        <v/>
      </c>
      <c r="F242" s="127"/>
      <c r="G242" s="576" t="str">
        <f ca="1">IF(OR(INDIRECT("'update Helper'!E"&amp;Q242)="",F242&lt;&gt;0,F243&lt;&gt;0),IF(IFERROR((F242/F243),"")="","",(F242/F243)),INDIRECT("'update Helper'!E"&amp;Q242)/100)</f>
        <v/>
      </c>
      <c r="H242" s="539"/>
      <c r="I242" s="578"/>
      <c r="J242" s="532"/>
      <c r="K242" s="126">
        <f ca="1">IF(AND(EXACT(C242,C240),C240&lt;&gt;0),K240+1,0)</f>
        <v>16</v>
      </c>
      <c r="L242" s="126" t="str">
        <f ca="1">IF(C242&lt;&gt;"",C242&amp;"-"&amp;K242,"")</f>
        <v/>
      </c>
      <c r="M242" s="126" t="str">
        <f t="array" aca="1" ref="M242" ca="1">IFERROR(IF(INDEX('Disaggregation Records'!$E$3:$E$80,MATCH(RIGHT(L242,255),RIGHT('Disaggregation Records'!$D$3:$D$80,255),0))="","",INDEX('Disaggregation Records'!$E$3:$E$80,MATCH(RIGHT(L242,255),RIGHT('Disaggregation Records'!$D$3:$D$80,255),0))),"")</f>
        <v/>
      </c>
      <c r="N242" s="126" t="str">
        <f t="array" aca="1" ref="N242" ca="1">IFERROR(IF(INDEX('Disaggregation Records'!$F$3:$F$80,MATCH(RIGHT(L242,255),RIGHT('Disaggregation Records'!$D$3:$D$80,255),0))="","",INDEX('Disaggregation Records'!$F$3:$F$80,MATCH(RIGHT(L242,255),RIGHT('Disaggregation Records'!$D$3:$D$80,255),0))),"")</f>
        <v/>
      </c>
      <c r="O242" s="314" t="str">
        <f t="array" aca="1" ref="O242" ca="1">IFERROR(IF(INDEX('Disaggregation Records'!$H$3:$H$80,MATCH(RIGHT(L242,255),RIGHT('Disaggregation Records'!$D$3:$D$80,255),0))="","",INDEX('Disaggregation Records'!$H$3:$H$80,MATCH(RIGHT(L242,255),RIGHT('Disaggregation Records'!$D$3:$D$80,255),0))),"")</f>
        <v/>
      </c>
      <c r="P242" s="314"/>
      <c r="Q242" s="310">
        <f t="shared" ref="Q242" si="371">Q240+1</f>
        <v>1424</v>
      </c>
      <c r="R242" s="314" t="str" cm="1">
        <f t="array" aca="1" ref="R242" ca="1">IFERROR(IF(INDEX('Disaggregation Records'!$G$3:$G$80,MATCH(RIGHT(L242,255),RIGHT('Disaggregation Records'!$D$3:$D$80,255),0))="","",INDEX('Disaggregation Records'!$G$3:$G$80,MATCH(RIGHT(L242,255),RIGHT('Disaggregation Records'!$D$3:$D$80,255),0))),"")</f>
        <v/>
      </c>
    </row>
    <row r="243" spans="1:18" ht="20.100000000000001" customHeight="1">
      <c r="A243" s="126"/>
      <c r="B243" s="571">
        <v>8.9060150375939902</v>
      </c>
      <c r="C243" s="573"/>
      <c r="D243" s="575"/>
      <c r="E243" s="575"/>
      <c r="F243" s="128"/>
      <c r="G243" s="577"/>
      <c r="H243" s="540"/>
      <c r="I243" s="579"/>
      <c r="J243" s="533"/>
      <c r="K243" s="129"/>
      <c r="L243" s="129"/>
      <c r="M243" s="129"/>
      <c r="N243" s="129"/>
      <c r="O243" s="317"/>
      <c r="P243" s="317"/>
      <c r="Q243" s="314"/>
      <c r="R243" s="314" t="str" cm="1">
        <f t="array" ref="R243">IFERROR(IF(INDEX('Disaggregation Records'!$G$3:$G$80,MATCH(RIGHT(L243,255),RIGHT('Disaggregation Records'!$D$3:$D$80,255),0))="","",INDEX('Disaggregation Records'!$G$3:$G$80,MATCH(RIGHT(L243,255),RIGHT('Disaggregation Records'!$D$3:$D$80,255),0))),"")</f>
        <v/>
      </c>
    </row>
    <row r="244" spans="1:18" ht="20.100000000000001" customHeight="1">
      <c r="A244" s="126" t="str">
        <f t="shared" ca="1" si="308"/>
        <v>a1GDm000000XyRqMAK</v>
      </c>
      <c r="B244" s="570">
        <v>12</v>
      </c>
      <c r="C244" s="572" t="str">
        <f ca="1">IFERROR(VLOOKUP(B244,'Impact Indicators - Section B '!$A$9:$AC$68,29,FALSE),"")</f>
        <v/>
      </c>
      <c r="D244" s="574" t="str">
        <f t="shared" ref="D244" ca="1" si="372">M244</f>
        <v/>
      </c>
      <c r="E244" s="574" t="str">
        <f t="shared" ref="E244" ca="1" si="373">N244</f>
        <v/>
      </c>
      <c r="F244" s="127"/>
      <c r="G244" s="576" t="str">
        <f ca="1">IF(OR(INDIRECT("'update Helper'!E"&amp;Q244)="",F244&lt;&gt;0,F245&lt;&gt;0),IF(IFERROR((F244/F245),"")="","",(F244/F245)),INDIRECT("'update Helper'!E"&amp;Q244)/100)</f>
        <v/>
      </c>
      <c r="H244" s="539"/>
      <c r="I244" s="578"/>
      <c r="J244" s="532"/>
      <c r="K244" s="126">
        <f ca="1">IF(AND(EXACT(C244,C242),C242&lt;&gt;0),K242+1,0)</f>
        <v>17</v>
      </c>
      <c r="L244" s="126" t="str">
        <f ca="1">IF(C244&lt;&gt;"",C244&amp;"-"&amp;K244,"")</f>
        <v/>
      </c>
      <c r="M244" s="126" t="str">
        <f t="array" aca="1" ref="M244" ca="1">IFERROR(IF(INDEX('Disaggregation Records'!$E$3:$E$80,MATCH(RIGHT(L244,255),RIGHT('Disaggregation Records'!$D$3:$D$80,255),0))="","",INDEX('Disaggregation Records'!$E$3:$E$80,MATCH(RIGHT(L244,255),RIGHT('Disaggregation Records'!$D$3:$D$80,255),0))),"")</f>
        <v/>
      </c>
      <c r="N244" s="126" t="str">
        <f t="array" aca="1" ref="N244" ca="1">IFERROR(IF(INDEX('Disaggregation Records'!$F$3:$F$80,MATCH(RIGHT(L244,255),RIGHT('Disaggregation Records'!$D$3:$D$80,255),0))="","",INDEX('Disaggregation Records'!$F$3:$F$80,MATCH(RIGHT(L244,255),RIGHT('Disaggregation Records'!$D$3:$D$80,255),0))),"")</f>
        <v/>
      </c>
      <c r="O244" s="314" t="str">
        <f t="array" aca="1" ref="O244" ca="1">IFERROR(IF(INDEX('Disaggregation Records'!$H$3:$H$80,MATCH(RIGHT(L244,255),RIGHT('Disaggregation Records'!$D$3:$D$80,255),0))="","",INDEX('Disaggregation Records'!$H$3:$H$80,MATCH(RIGHT(L244,255),RIGHT('Disaggregation Records'!$D$3:$D$80,255),0))),"")</f>
        <v/>
      </c>
      <c r="P244" s="310"/>
      <c r="Q244" s="310">
        <f t="shared" ref="Q244" si="374">Q242+1</f>
        <v>1425</v>
      </c>
      <c r="R244" s="314" t="str" cm="1">
        <f t="array" aca="1" ref="R244" ca="1">IFERROR(IF(INDEX('Disaggregation Records'!$G$3:$G$80,MATCH(RIGHT(L244,255),RIGHT('Disaggregation Records'!$D$3:$D$80,255),0))="","",INDEX('Disaggregation Records'!$G$3:$G$80,MATCH(RIGHT(L244,255),RIGHT('Disaggregation Records'!$D$3:$D$80,255),0))),"")</f>
        <v/>
      </c>
    </row>
    <row r="245" spans="1:18" ht="20.100000000000001" customHeight="1">
      <c r="B245" s="571">
        <v>8.9060150375939902</v>
      </c>
      <c r="C245" s="573"/>
      <c r="D245" s="575"/>
      <c r="E245" s="575"/>
      <c r="F245" s="128"/>
      <c r="G245" s="577"/>
      <c r="H245" s="540"/>
      <c r="I245" s="579"/>
      <c r="J245" s="533"/>
      <c r="K245" s="129"/>
      <c r="L245" s="129"/>
      <c r="M245" s="129"/>
      <c r="N245" s="129"/>
      <c r="O245" s="317"/>
      <c r="P245" s="310"/>
      <c r="Q245" s="314"/>
      <c r="R245" s="314" t="str" cm="1">
        <f t="array" ref="R245">IFERROR(IF(INDEX('Disaggregation Records'!$G$3:$G$80,MATCH(RIGHT(L245,255),RIGHT('Disaggregation Records'!$D$3:$D$80,255),0))="","",INDEX('Disaggregation Records'!$G$3:$G$80,MATCH(RIGHT(L245,255),RIGHT('Disaggregation Records'!$D$3:$D$80,255),0))),"")</f>
        <v/>
      </c>
    </row>
    <row r="246" spans="1:18" ht="20.100000000000001" customHeight="1">
      <c r="A246" s="126" t="str">
        <f t="shared" ref="A246" ca="1" si="375">INDIRECT("'update Helper'!C"&amp;Q246)</f>
        <v>a1GDm000000XyRrMAK</v>
      </c>
      <c r="B246" s="570">
        <v>12</v>
      </c>
      <c r="C246" s="572" t="str">
        <f ca="1">IFERROR(VLOOKUP(B246,'Impact Indicators - Section B '!$A$9:$AC$68,29,FALSE),"")</f>
        <v/>
      </c>
      <c r="D246" s="574" t="str">
        <f t="shared" ref="D246" ca="1" si="376">M246</f>
        <v/>
      </c>
      <c r="E246" s="574" t="str">
        <f t="shared" ref="E246" ca="1" si="377">N246</f>
        <v/>
      </c>
      <c r="F246" s="127"/>
      <c r="G246" s="576" t="str">
        <f ca="1">IF(OR(INDIRECT("'update Helper'!E"&amp;Q246)="",F246&lt;&gt;0,F247&lt;&gt;0),IF(IFERROR((F246/F247),"")="","",(F246/F247)),INDIRECT("'update Helper'!E"&amp;Q246)/100)</f>
        <v/>
      </c>
      <c r="H246" s="539"/>
      <c r="I246" s="578"/>
      <c r="J246" s="532"/>
      <c r="K246" s="126">
        <f ca="1">IF(AND(EXACT(C246,C244),C244&lt;&gt;0),K244+1,0)</f>
        <v>18</v>
      </c>
      <c r="L246" s="126" t="str">
        <f ca="1">IF(C246&lt;&gt;"",C246&amp;"-"&amp;K246,"")</f>
        <v/>
      </c>
      <c r="M246" s="126" t="str">
        <f t="array" aca="1" ref="M246" ca="1">IFERROR(IF(INDEX('Disaggregation Records'!$E$3:$E$80,MATCH(RIGHT(L246,255),RIGHT('Disaggregation Records'!$D$3:$D$80,255),0))="","",INDEX('Disaggregation Records'!$E$3:$E$80,MATCH(RIGHT(L246,255),RIGHT('Disaggregation Records'!$D$3:$D$80,255),0))),"")</f>
        <v/>
      </c>
      <c r="N246" s="126" t="str">
        <f t="array" aca="1" ref="N246" ca="1">IFERROR(IF(INDEX('Disaggregation Records'!$F$3:$F$80,MATCH(RIGHT(L246,255),RIGHT('Disaggregation Records'!$D$3:$D$80,255),0))="","",INDEX('Disaggregation Records'!$F$3:$F$80,MATCH(RIGHT(L246,255),RIGHT('Disaggregation Records'!$D$3:$D$80,255),0))),"")</f>
        <v/>
      </c>
      <c r="O246" s="314" t="str">
        <f t="array" aca="1" ref="O246" ca="1">IFERROR(IF(INDEX('Disaggregation Records'!$H$3:$H$80,MATCH(RIGHT(L246,255),RIGHT('Disaggregation Records'!$D$3:$D$80,255),0))="","",INDEX('Disaggregation Records'!$H$3:$H$80,MATCH(RIGHT(L246,255),RIGHT('Disaggregation Records'!$D$3:$D$80,255),0))),"")</f>
        <v/>
      </c>
      <c r="P246" s="314"/>
      <c r="Q246" s="310">
        <f t="shared" ref="Q246" si="378">Q244+1</f>
        <v>1426</v>
      </c>
      <c r="R246" s="314" t="str" cm="1">
        <f t="array" aca="1" ref="R246" ca="1">IFERROR(IF(INDEX('Disaggregation Records'!$G$3:$G$80,MATCH(RIGHT(L246,255),RIGHT('Disaggregation Records'!$D$3:$D$80,255),0))="","",INDEX('Disaggregation Records'!$G$3:$G$80,MATCH(RIGHT(L246,255),RIGHT('Disaggregation Records'!$D$3:$D$80,255),0))),"")</f>
        <v/>
      </c>
    </row>
    <row r="247" spans="1:18" ht="20.100000000000001" customHeight="1">
      <c r="A247" s="126"/>
      <c r="B247" s="571">
        <v>8.9060150375939902</v>
      </c>
      <c r="C247" s="573"/>
      <c r="D247" s="575"/>
      <c r="E247" s="575"/>
      <c r="F247" s="128"/>
      <c r="G247" s="577"/>
      <c r="H247" s="540"/>
      <c r="I247" s="579"/>
      <c r="J247" s="533"/>
      <c r="K247" s="129"/>
      <c r="L247" s="129"/>
      <c r="M247" s="129"/>
      <c r="N247" s="129"/>
      <c r="O247" s="317"/>
      <c r="P247" s="317"/>
      <c r="Q247" s="314"/>
      <c r="R247" s="314" t="str" cm="1">
        <f t="array" ref="R247">IFERROR(IF(INDEX('Disaggregation Records'!$G$3:$G$80,MATCH(RIGHT(L247,255),RIGHT('Disaggregation Records'!$D$3:$D$80,255),0))="","",INDEX('Disaggregation Records'!$G$3:$G$80,MATCH(RIGHT(L247,255),RIGHT('Disaggregation Records'!$D$3:$D$80,255),0))),"")</f>
        <v/>
      </c>
    </row>
    <row r="248" spans="1:18" ht="20.100000000000001" customHeight="1">
      <c r="A248" s="126" t="str">
        <f t="shared" ca="1" si="308"/>
        <v>a1GDm000000XyRsMAK</v>
      </c>
      <c r="B248" s="570">
        <v>12</v>
      </c>
      <c r="C248" s="572" t="str">
        <f ca="1">IFERROR(VLOOKUP(B248,'Impact Indicators - Section B '!$A$9:$AC$68,29,FALSE),"")</f>
        <v/>
      </c>
      <c r="D248" s="574" t="str">
        <f t="shared" ref="D248" ca="1" si="379">M248</f>
        <v/>
      </c>
      <c r="E248" s="574" t="str">
        <f t="shared" ref="E248" ca="1" si="380">N248</f>
        <v/>
      </c>
      <c r="F248" s="127"/>
      <c r="G248" s="576" t="str">
        <f ca="1">IF(OR(INDIRECT("'update Helper'!E"&amp;Q248)="",F248&lt;&gt;0,F249&lt;&gt;0),IF(IFERROR((F248/F249),"")="","",(F248/F249)),INDIRECT("'update Helper'!E"&amp;Q248)/100)</f>
        <v/>
      </c>
      <c r="H248" s="539"/>
      <c r="I248" s="578"/>
      <c r="J248" s="532"/>
      <c r="K248" s="126">
        <f ca="1">IF(AND(EXACT(C248,C246),C246&lt;&gt;0),K246+1,0)</f>
        <v>19</v>
      </c>
      <c r="L248" s="126" t="str">
        <f ca="1">IF(C248&lt;&gt;"",C248&amp;"-"&amp;K248,"")</f>
        <v/>
      </c>
      <c r="M248" s="126" t="str">
        <f t="array" aca="1" ref="M248" ca="1">IFERROR(IF(INDEX('Disaggregation Records'!$E$3:$E$80,MATCH(RIGHT(L248,255),RIGHT('Disaggregation Records'!$D$3:$D$80,255),0))="","",INDEX('Disaggregation Records'!$E$3:$E$80,MATCH(RIGHT(L248,255),RIGHT('Disaggregation Records'!$D$3:$D$80,255),0))),"")</f>
        <v/>
      </c>
      <c r="N248" s="126" t="str">
        <f t="array" aca="1" ref="N248" ca="1">IFERROR(IF(INDEX('Disaggregation Records'!$F$3:$F$80,MATCH(RIGHT(L248,255),RIGHT('Disaggregation Records'!$D$3:$D$80,255),0))="","",INDEX('Disaggregation Records'!$F$3:$F$80,MATCH(RIGHT(L248,255),RIGHT('Disaggregation Records'!$D$3:$D$80,255),0))),"")</f>
        <v/>
      </c>
      <c r="O248" s="314" t="str">
        <f t="array" aca="1" ref="O248" ca="1">IFERROR(IF(INDEX('Disaggregation Records'!$H$3:$H$80,MATCH(RIGHT(L248,255),RIGHT('Disaggregation Records'!$D$3:$D$80,255),0))="","",INDEX('Disaggregation Records'!$H$3:$H$80,MATCH(RIGHT(L248,255),RIGHT('Disaggregation Records'!$D$3:$D$80,255),0))),"")</f>
        <v/>
      </c>
      <c r="P248" s="310"/>
      <c r="Q248" s="310">
        <f t="shared" ref="Q248" si="381">Q246+1</f>
        <v>1427</v>
      </c>
      <c r="R248" s="314" t="str" cm="1">
        <f t="array" aca="1" ref="R248" ca="1">IFERROR(IF(INDEX('Disaggregation Records'!$G$3:$G$80,MATCH(RIGHT(L248,255),RIGHT('Disaggregation Records'!$D$3:$D$80,255),0))="","",INDEX('Disaggregation Records'!$G$3:$G$80,MATCH(RIGHT(L248,255),RIGHT('Disaggregation Records'!$D$3:$D$80,255),0))),"")</f>
        <v/>
      </c>
    </row>
    <row r="249" spans="1:18" ht="20.100000000000001" customHeight="1">
      <c r="B249" s="571">
        <v>8.9060150375939902</v>
      </c>
      <c r="C249" s="573"/>
      <c r="D249" s="575"/>
      <c r="E249" s="575"/>
      <c r="F249" s="128"/>
      <c r="G249" s="577"/>
      <c r="H249" s="540"/>
      <c r="I249" s="579"/>
      <c r="J249" s="533"/>
      <c r="K249" s="129"/>
      <c r="L249" s="129"/>
      <c r="M249" s="129"/>
      <c r="N249" s="129"/>
      <c r="O249" s="317"/>
      <c r="P249" s="310"/>
      <c r="Q249" s="314"/>
      <c r="R249" s="314" t="str" cm="1">
        <f t="array" ref="R249">IFERROR(IF(INDEX('Disaggregation Records'!$G$3:$G$80,MATCH(RIGHT(L249,255),RIGHT('Disaggregation Records'!$D$3:$D$80,255),0))="","",INDEX('Disaggregation Records'!$G$3:$G$80,MATCH(RIGHT(L249,255),RIGHT('Disaggregation Records'!$D$3:$D$80,255),0))),"")</f>
        <v/>
      </c>
    </row>
    <row r="250" spans="1:18" ht="20.100000000000001" customHeight="1">
      <c r="A250" s="126" t="str">
        <f t="shared" ref="A250" ca="1" si="382">INDIRECT("'update Helper'!C"&amp;Q250)</f>
        <v>a1GDm000000XyRtMAK</v>
      </c>
      <c r="B250" s="570">
        <v>13</v>
      </c>
      <c r="C250" s="572" t="str">
        <f ca="1">IFERROR(VLOOKUP(B250,'Impact Indicators - Section B '!$A$9:$AC$68,29,FALSE),"")</f>
        <v/>
      </c>
      <c r="D250" s="574" t="str">
        <f t="shared" ref="D250" ca="1" si="383">M250</f>
        <v/>
      </c>
      <c r="E250" s="574" t="str">
        <f t="shared" ref="E250" ca="1" si="384">N250</f>
        <v/>
      </c>
      <c r="F250" s="127"/>
      <c r="G250" s="576" t="str">
        <f ca="1">IF(OR(INDIRECT("'update Helper'!E"&amp;Q250)="",F250&lt;&gt;0,F251&lt;&gt;0),IF(IFERROR((F250/F251),"")="","",(F250/F251)),INDIRECT("'update Helper'!E"&amp;Q250)/100)</f>
        <v/>
      </c>
      <c r="H250" s="539"/>
      <c r="I250" s="578"/>
      <c r="J250" s="532"/>
      <c r="K250" s="126">
        <f ca="1">IF(AND(EXACT(C250,C248),C248&lt;&gt;0),K248+1,0)</f>
        <v>20</v>
      </c>
      <c r="L250" s="126" t="str">
        <f ca="1">IF(C250&lt;&gt;"",C250&amp;"-"&amp;K250,"")</f>
        <v/>
      </c>
      <c r="M250" s="126" t="str">
        <f t="array" aca="1" ref="M250" ca="1">IFERROR(IF(INDEX('Disaggregation Records'!$E$3:$E$80,MATCH(RIGHT(L250,255),RIGHT('Disaggregation Records'!$D$3:$D$80,255),0))="","",INDEX('Disaggregation Records'!$E$3:$E$80,MATCH(RIGHT(L250,255),RIGHT('Disaggregation Records'!$D$3:$D$80,255),0))),"")</f>
        <v/>
      </c>
      <c r="N250" s="126" t="str">
        <f t="array" aca="1" ref="N250" ca="1">IFERROR(IF(INDEX('Disaggregation Records'!$F$3:$F$80,MATCH(RIGHT(L250,255),RIGHT('Disaggregation Records'!$D$3:$D$80,255),0))="","",INDEX('Disaggregation Records'!$F$3:$F$80,MATCH(RIGHT(L250,255),RIGHT('Disaggregation Records'!$D$3:$D$80,255),0))),"")</f>
        <v/>
      </c>
      <c r="O250" s="314" t="str">
        <f t="array" aca="1" ref="O250" ca="1">IFERROR(IF(INDEX('Disaggregation Records'!$H$3:$H$80,MATCH(RIGHT(L250,255),RIGHT('Disaggregation Records'!$D$3:$D$80,255),0))="","",INDEX('Disaggregation Records'!$H$3:$H$80,MATCH(RIGHT(L250,255),RIGHT('Disaggregation Records'!$D$3:$D$80,255),0))),"")</f>
        <v/>
      </c>
      <c r="P250" s="314"/>
      <c r="Q250" s="310">
        <f t="shared" ref="Q250" si="385">Q248+1</f>
        <v>1428</v>
      </c>
      <c r="R250" s="314" t="str" cm="1">
        <f t="array" aca="1" ref="R250" ca="1">IFERROR(IF(INDEX('Disaggregation Records'!$G$3:$G$80,MATCH(RIGHT(L250,255),RIGHT('Disaggregation Records'!$D$3:$D$80,255),0))="","",INDEX('Disaggregation Records'!$G$3:$G$80,MATCH(RIGHT(L250,255),RIGHT('Disaggregation Records'!$D$3:$D$80,255),0))),"")</f>
        <v/>
      </c>
    </row>
    <row r="251" spans="1:18" ht="20.100000000000001" customHeight="1">
      <c r="A251" s="126"/>
      <c r="B251" s="571">
        <v>9.6203007518797108</v>
      </c>
      <c r="C251" s="573"/>
      <c r="D251" s="575"/>
      <c r="E251" s="575"/>
      <c r="F251" s="128"/>
      <c r="G251" s="577"/>
      <c r="H251" s="540"/>
      <c r="I251" s="579"/>
      <c r="J251" s="533"/>
      <c r="K251" s="129"/>
      <c r="L251" s="129"/>
      <c r="M251" s="129"/>
      <c r="N251" s="129"/>
      <c r="O251" s="317"/>
      <c r="P251" s="317"/>
      <c r="Q251" s="314"/>
      <c r="R251" s="314" t="str" cm="1">
        <f t="array" ref="R251">IFERROR(IF(INDEX('Disaggregation Records'!$G$3:$G$80,MATCH(RIGHT(L251,255),RIGHT('Disaggregation Records'!$D$3:$D$80,255),0))="","",INDEX('Disaggregation Records'!$G$3:$G$80,MATCH(RIGHT(L251,255),RIGHT('Disaggregation Records'!$D$3:$D$80,255),0))),"")</f>
        <v/>
      </c>
    </row>
    <row r="252" spans="1:18" ht="20.100000000000001" customHeight="1">
      <c r="A252" s="126" t="str">
        <f t="shared" ca="1" si="308"/>
        <v>a1GDm000000XyRuMAK</v>
      </c>
      <c r="B252" s="570">
        <v>13</v>
      </c>
      <c r="C252" s="572" t="str">
        <f ca="1">IFERROR(VLOOKUP(B252,'Impact Indicators - Section B '!$A$9:$AC$68,29,FALSE),"")</f>
        <v/>
      </c>
      <c r="D252" s="574" t="str">
        <f t="shared" ref="D252" ca="1" si="386">M252</f>
        <v/>
      </c>
      <c r="E252" s="574" t="str">
        <f t="shared" ref="E252" ca="1" si="387">N252</f>
        <v/>
      </c>
      <c r="F252" s="127"/>
      <c r="G252" s="576" t="str">
        <f ca="1">IF(OR(INDIRECT("'update Helper'!E"&amp;Q252)="",F252&lt;&gt;0,F253&lt;&gt;0),IF(IFERROR((F252/F253),"")="","",(F252/F253)),INDIRECT("'update Helper'!E"&amp;Q252)/100)</f>
        <v/>
      </c>
      <c r="H252" s="539"/>
      <c r="I252" s="578"/>
      <c r="J252" s="532"/>
      <c r="K252" s="126">
        <f ca="1">IF(AND(EXACT(C252,C250),C250&lt;&gt;0),K250+1,0)</f>
        <v>21</v>
      </c>
      <c r="L252" s="126" t="str">
        <f ca="1">IF(C252&lt;&gt;"",C252&amp;"-"&amp;K252,"")</f>
        <v/>
      </c>
      <c r="M252" s="126" t="str">
        <f t="array" aca="1" ref="M252" ca="1">IFERROR(IF(INDEX('Disaggregation Records'!$E$3:$E$80,MATCH(RIGHT(L252,255),RIGHT('Disaggregation Records'!$D$3:$D$80,255),0))="","",INDEX('Disaggregation Records'!$E$3:$E$80,MATCH(RIGHT(L252,255),RIGHT('Disaggregation Records'!$D$3:$D$80,255),0))),"")</f>
        <v/>
      </c>
      <c r="N252" s="126" t="str">
        <f t="array" aca="1" ref="N252" ca="1">IFERROR(IF(INDEX('Disaggregation Records'!$F$3:$F$80,MATCH(RIGHT(L252,255),RIGHT('Disaggregation Records'!$D$3:$D$80,255),0))="","",INDEX('Disaggregation Records'!$F$3:$F$80,MATCH(RIGHT(L252,255),RIGHT('Disaggregation Records'!$D$3:$D$80,255),0))),"")</f>
        <v/>
      </c>
      <c r="O252" s="314" t="str">
        <f t="array" aca="1" ref="O252" ca="1">IFERROR(IF(INDEX('Disaggregation Records'!$H$3:$H$80,MATCH(RIGHT(L252,255),RIGHT('Disaggregation Records'!$D$3:$D$80,255),0))="","",INDEX('Disaggregation Records'!$H$3:$H$80,MATCH(RIGHT(L252,255),RIGHT('Disaggregation Records'!$D$3:$D$80,255),0))),"")</f>
        <v/>
      </c>
      <c r="P252" s="310"/>
      <c r="Q252" s="310">
        <f t="shared" ref="Q252" si="388">Q250+1</f>
        <v>1429</v>
      </c>
      <c r="R252" s="314" t="str" cm="1">
        <f t="array" aca="1" ref="R252" ca="1">IFERROR(IF(INDEX('Disaggregation Records'!$G$3:$G$80,MATCH(RIGHT(L252,255),RIGHT('Disaggregation Records'!$D$3:$D$80,255),0))="","",INDEX('Disaggregation Records'!$G$3:$G$80,MATCH(RIGHT(L252,255),RIGHT('Disaggregation Records'!$D$3:$D$80,255),0))),"")</f>
        <v/>
      </c>
    </row>
    <row r="253" spans="1:18" ht="20.100000000000001" customHeight="1">
      <c r="B253" s="571">
        <v>9.6203007518797108</v>
      </c>
      <c r="C253" s="573"/>
      <c r="D253" s="575"/>
      <c r="E253" s="575"/>
      <c r="F253" s="128"/>
      <c r="G253" s="577"/>
      <c r="H253" s="540"/>
      <c r="I253" s="579"/>
      <c r="J253" s="533"/>
      <c r="K253" s="129"/>
      <c r="L253" s="129"/>
      <c r="M253" s="129"/>
      <c r="N253" s="129"/>
      <c r="O253" s="317"/>
      <c r="P253" s="310"/>
      <c r="Q253" s="314"/>
      <c r="R253" s="314" t="str" cm="1">
        <f t="array" ref="R253">IFERROR(IF(INDEX('Disaggregation Records'!$G$3:$G$80,MATCH(RIGHT(L253,255),RIGHT('Disaggregation Records'!$D$3:$D$80,255),0))="","",INDEX('Disaggregation Records'!$G$3:$G$80,MATCH(RIGHT(L253,255),RIGHT('Disaggregation Records'!$D$3:$D$80,255),0))),"")</f>
        <v/>
      </c>
    </row>
    <row r="254" spans="1:18" ht="20.100000000000001" customHeight="1">
      <c r="A254" s="126" t="str">
        <f t="shared" ref="A254" ca="1" si="389">INDIRECT("'update Helper'!C"&amp;Q254)</f>
        <v>a1GDm000000XyRvMAK</v>
      </c>
      <c r="B254" s="570">
        <v>13</v>
      </c>
      <c r="C254" s="572" t="str">
        <f ca="1">IFERROR(VLOOKUP(B254,'Impact Indicators - Section B '!$A$9:$AC$68,29,FALSE),"")</f>
        <v/>
      </c>
      <c r="D254" s="574" t="str">
        <f t="shared" ref="D254" ca="1" si="390">M254</f>
        <v/>
      </c>
      <c r="E254" s="574" t="str">
        <f t="shared" ref="E254" ca="1" si="391">N254</f>
        <v/>
      </c>
      <c r="F254" s="127"/>
      <c r="G254" s="576" t="str">
        <f ca="1">IF(OR(INDIRECT("'update Helper'!E"&amp;Q254)="",F254&lt;&gt;0,F255&lt;&gt;0),IF(IFERROR((F254/F255),"")="","",(F254/F255)),INDIRECT("'update Helper'!E"&amp;Q254)/100)</f>
        <v/>
      </c>
      <c r="H254" s="539"/>
      <c r="I254" s="578"/>
      <c r="J254" s="532"/>
      <c r="K254" s="126">
        <f ca="1">IF(AND(EXACT(C254,C252),C252&lt;&gt;0),K252+1,0)</f>
        <v>22</v>
      </c>
      <c r="L254" s="126" t="str">
        <f ca="1">IF(C254&lt;&gt;"",C254&amp;"-"&amp;K254,"")</f>
        <v/>
      </c>
      <c r="M254" s="126" t="str">
        <f t="array" aca="1" ref="M254" ca="1">IFERROR(IF(INDEX('Disaggregation Records'!$E$3:$E$80,MATCH(RIGHT(L254,255),RIGHT('Disaggregation Records'!$D$3:$D$80,255),0))="","",INDEX('Disaggregation Records'!$E$3:$E$80,MATCH(RIGHT(L254,255),RIGHT('Disaggregation Records'!$D$3:$D$80,255),0))),"")</f>
        <v/>
      </c>
      <c r="N254" s="126" t="str">
        <f t="array" aca="1" ref="N254" ca="1">IFERROR(IF(INDEX('Disaggregation Records'!$F$3:$F$80,MATCH(RIGHT(L254,255),RIGHT('Disaggregation Records'!$D$3:$D$80,255),0))="","",INDEX('Disaggregation Records'!$F$3:$F$80,MATCH(RIGHT(L254,255),RIGHT('Disaggregation Records'!$D$3:$D$80,255),0))),"")</f>
        <v/>
      </c>
      <c r="O254" s="314" t="str">
        <f t="array" aca="1" ref="O254" ca="1">IFERROR(IF(INDEX('Disaggregation Records'!$H$3:$H$80,MATCH(RIGHT(L254,255),RIGHT('Disaggregation Records'!$D$3:$D$80,255),0))="","",INDEX('Disaggregation Records'!$H$3:$H$80,MATCH(RIGHT(L254,255),RIGHT('Disaggregation Records'!$D$3:$D$80,255),0))),"")</f>
        <v/>
      </c>
      <c r="P254" s="314"/>
      <c r="Q254" s="310">
        <f t="shared" ref="Q254" si="392">Q252+1</f>
        <v>1430</v>
      </c>
      <c r="R254" s="314" t="str" cm="1">
        <f t="array" aca="1" ref="R254" ca="1">IFERROR(IF(INDEX('Disaggregation Records'!$G$3:$G$80,MATCH(RIGHT(L254,255),RIGHT('Disaggregation Records'!$D$3:$D$80,255),0))="","",INDEX('Disaggregation Records'!$G$3:$G$80,MATCH(RIGHT(L254,255),RIGHT('Disaggregation Records'!$D$3:$D$80,255),0))),"")</f>
        <v/>
      </c>
    </row>
    <row r="255" spans="1:18" ht="20.100000000000001" customHeight="1">
      <c r="A255" s="126"/>
      <c r="B255" s="571">
        <v>9.6203007518797108</v>
      </c>
      <c r="C255" s="573"/>
      <c r="D255" s="575"/>
      <c r="E255" s="575"/>
      <c r="F255" s="128"/>
      <c r="G255" s="577"/>
      <c r="H255" s="540"/>
      <c r="I255" s="579"/>
      <c r="J255" s="533"/>
      <c r="K255" s="129"/>
      <c r="L255" s="129"/>
      <c r="M255" s="129"/>
      <c r="N255" s="129"/>
      <c r="O255" s="317"/>
      <c r="P255" s="317"/>
      <c r="Q255" s="314"/>
      <c r="R255" s="314" t="str" cm="1">
        <f t="array" ref="R255">IFERROR(IF(INDEX('Disaggregation Records'!$G$3:$G$80,MATCH(RIGHT(L255,255),RIGHT('Disaggregation Records'!$D$3:$D$80,255),0))="","",INDEX('Disaggregation Records'!$G$3:$G$80,MATCH(RIGHT(L255,255),RIGHT('Disaggregation Records'!$D$3:$D$80,255),0))),"")</f>
        <v/>
      </c>
    </row>
    <row r="256" spans="1:18" ht="20.100000000000001" customHeight="1">
      <c r="A256" s="126" t="str">
        <f t="shared" ca="1" si="308"/>
        <v>a1GDm000000XyRwMAK</v>
      </c>
      <c r="B256" s="570">
        <v>13</v>
      </c>
      <c r="C256" s="572" t="str">
        <f ca="1">IFERROR(VLOOKUP(B256,'Impact Indicators - Section B '!$A$9:$AC$68,29,FALSE),"")</f>
        <v/>
      </c>
      <c r="D256" s="574" t="str">
        <f t="shared" ref="D256" ca="1" si="393">M256</f>
        <v/>
      </c>
      <c r="E256" s="574" t="str">
        <f t="shared" ref="E256" ca="1" si="394">N256</f>
        <v/>
      </c>
      <c r="F256" s="127"/>
      <c r="G256" s="576" t="str">
        <f ca="1">IF(OR(INDIRECT("'update Helper'!E"&amp;Q256)="",F256&lt;&gt;0,F257&lt;&gt;0),IF(IFERROR((F256/F257),"")="","",(F256/F257)),INDIRECT("'update Helper'!E"&amp;Q256)/100)</f>
        <v/>
      </c>
      <c r="H256" s="539"/>
      <c r="I256" s="578"/>
      <c r="J256" s="532"/>
      <c r="K256" s="126">
        <f ca="1">IF(AND(EXACT(C256,C254),C254&lt;&gt;0),K254+1,0)</f>
        <v>23</v>
      </c>
      <c r="L256" s="126" t="str">
        <f ca="1">IF(C256&lt;&gt;"",C256&amp;"-"&amp;K256,"")</f>
        <v/>
      </c>
      <c r="M256" s="126" t="str">
        <f t="array" aca="1" ref="M256" ca="1">IFERROR(IF(INDEX('Disaggregation Records'!$E$3:$E$80,MATCH(RIGHT(L256,255),RIGHT('Disaggregation Records'!$D$3:$D$80,255),0))="","",INDEX('Disaggregation Records'!$E$3:$E$80,MATCH(RIGHT(L256,255),RIGHT('Disaggregation Records'!$D$3:$D$80,255),0))),"")</f>
        <v/>
      </c>
      <c r="N256" s="126" t="str">
        <f t="array" aca="1" ref="N256" ca="1">IFERROR(IF(INDEX('Disaggregation Records'!$F$3:$F$80,MATCH(RIGHT(L256,255),RIGHT('Disaggregation Records'!$D$3:$D$80,255),0))="","",INDEX('Disaggregation Records'!$F$3:$F$80,MATCH(RIGHT(L256,255),RIGHT('Disaggregation Records'!$D$3:$D$80,255),0))),"")</f>
        <v/>
      </c>
      <c r="O256" s="314" t="str">
        <f t="array" aca="1" ref="O256" ca="1">IFERROR(IF(INDEX('Disaggregation Records'!$H$3:$H$80,MATCH(RIGHT(L256,255),RIGHT('Disaggregation Records'!$D$3:$D$80,255),0))="","",INDEX('Disaggregation Records'!$H$3:$H$80,MATCH(RIGHT(L256,255),RIGHT('Disaggregation Records'!$D$3:$D$80,255),0))),"")</f>
        <v/>
      </c>
      <c r="P256" s="310"/>
      <c r="Q256" s="310">
        <f t="shared" ref="Q256" si="395">Q254+1</f>
        <v>1431</v>
      </c>
      <c r="R256" s="314" t="str" cm="1">
        <f t="array" aca="1" ref="R256" ca="1">IFERROR(IF(INDEX('Disaggregation Records'!$G$3:$G$80,MATCH(RIGHT(L256,255),RIGHT('Disaggregation Records'!$D$3:$D$80,255),0))="","",INDEX('Disaggregation Records'!$G$3:$G$80,MATCH(RIGHT(L256,255),RIGHT('Disaggregation Records'!$D$3:$D$80,255),0))),"")</f>
        <v/>
      </c>
    </row>
    <row r="257" spans="1:18" ht="20.100000000000001" customHeight="1">
      <c r="B257" s="571">
        <v>9.6203007518797108</v>
      </c>
      <c r="C257" s="573"/>
      <c r="D257" s="575"/>
      <c r="E257" s="575"/>
      <c r="F257" s="128"/>
      <c r="G257" s="577"/>
      <c r="H257" s="540"/>
      <c r="I257" s="579"/>
      <c r="J257" s="533"/>
      <c r="K257" s="129"/>
      <c r="L257" s="129"/>
      <c r="M257" s="129"/>
      <c r="N257" s="129"/>
      <c r="O257" s="317"/>
      <c r="P257" s="310"/>
      <c r="Q257" s="314"/>
      <c r="R257" s="314" t="str" cm="1">
        <f t="array" ref="R257">IFERROR(IF(INDEX('Disaggregation Records'!$G$3:$G$80,MATCH(RIGHT(L257,255),RIGHT('Disaggregation Records'!$D$3:$D$80,255),0))="","",INDEX('Disaggregation Records'!$G$3:$G$80,MATCH(RIGHT(L257,255),RIGHT('Disaggregation Records'!$D$3:$D$80,255),0))),"")</f>
        <v/>
      </c>
    </row>
    <row r="258" spans="1:18" ht="20.100000000000001" customHeight="1">
      <c r="A258" s="126" t="str">
        <f t="shared" ref="A258" ca="1" si="396">INDIRECT("'update Helper'!C"&amp;Q258)</f>
        <v>a1GDm000000XyRxMAK</v>
      </c>
      <c r="B258" s="570">
        <v>13</v>
      </c>
      <c r="C258" s="572" t="str">
        <f ca="1">IFERROR(VLOOKUP(B258,'Impact Indicators - Section B '!$A$9:$AC$68,29,FALSE),"")</f>
        <v/>
      </c>
      <c r="D258" s="574" t="str">
        <f t="shared" ref="D258" ca="1" si="397">M258</f>
        <v/>
      </c>
      <c r="E258" s="574" t="str">
        <f t="shared" ref="E258" ca="1" si="398">N258</f>
        <v/>
      </c>
      <c r="F258" s="127"/>
      <c r="G258" s="576" t="str">
        <f ca="1">IF(OR(INDIRECT("'update Helper'!E"&amp;Q258)="",F258&lt;&gt;0,F259&lt;&gt;0),IF(IFERROR((F258/F259),"")="","",(F258/F259)),INDIRECT("'update Helper'!E"&amp;Q258)/100)</f>
        <v/>
      </c>
      <c r="H258" s="539"/>
      <c r="I258" s="578"/>
      <c r="J258" s="532"/>
      <c r="K258" s="126">
        <f ca="1">IF(AND(EXACT(C258,C256),C256&lt;&gt;0),K256+1,0)</f>
        <v>24</v>
      </c>
      <c r="L258" s="126" t="str">
        <f ca="1">IF(C258&lt;&gt;"",C258&amp;"-"&amp;K258,"")</f>
        <v/>
      </c>
      <c r="M258" s="126" t="str">
        <f t="array" aca="1" ref="M258" ca="1">IFERROR(IF(INDEX('Disaggregation Records'!$E$3:$E$80,MATCH(RIGHT(L258,255),RIGHT('Disaggregation Records'!$D$3:$D$80,255),0))="","",INDEX('Disaggregation Records'!$E$3:$E$80,MATCH(RIGHT(L258,255),RIGHT('Disaggregation Records'!$D$3:$D$80,255),0))),"")</f>
        <v/>
      </c>
      <c r="N258" s="126" t="str">
        <f t="array" aca="1" ref="N258" ca="1">IFERROR(IF(INDEX('Disaggregation Records'!$F$3:$F$80,MATCH(RIGHT(L258,255),RIGHT('Disaggregation Records'!$D$3:$D$80,255),0))="","",INDEX('Disaggregation Records'!$F$3:$F$80,MATCH(RIGHT(L258,255),RIGHT('Disaggregation Records'!$D$3:$D$80,255),0))),"")</f>
        <v/>
      </c>
      <c r="O258" s="314" t="str">
        <f t="array" aca="1" ref="O258" ca="1">IFERROR(IF(INDEX('Disaggregation Records'!$H$3:$H$80,MATCH(RIGHT(L258,255),RIGHT('Disaggregation Records'!$D$3:$D$80,255),0))="","",INDEX('Disaggregation Records'!$H$3:$H$80,MATCH(RIGHT(L258,255),RIGHT('Disaggregation Records'!$D$3:$D$80,255),0))),"")</f>
        <v/>
      </c>
      <c r="P258" s="314"/>
      <c r="Q258" s="310">
        <f t="shared" ref="Q258" si="399">Q256+1</f>
        <v>1432</v>
      </c>
      <c r="R258" s="314" t="str" cm="1">
        <f t="array" aca="1" ref="R258" ca="1">IFERROR(IF(INDEX('Disaggregation Records'!$G$3:$G$80,MATCH(RIGHT(L258,255),RIGHT('Disaggregation Records'!$D$3:$D$80,255),0))="","",INDEX('Disaggregation Records'!$G$3:$G$80,MATCH(RIGHT(L258,255),RIGHT('Disaggregation Records'!$D$3:$D$80,255),0))),"")</f>
        <v/>
      </c>
    </row>
    <row r="259" spans="1:18" ht="20.100000000000001" customHeight="1">
      <c r="A259" s="126"/>
      <c r="B259" s="571">
        <v>9.6203007518797108</v>
      </c>
      <c r="C259" s="573"/>
      <c r="D259" s="575"/>
      <c r="E259" s="575"/>
      <c r="F259" s="128"/>
      <c r="G259" s="577"/>
      <c r="H259" s="540"/>
      <c r="I259" s="579"/>
      <c r="J259" s="533"/>
      <c r="K259" s="129"/>
      <c r="L259" s="129"/>
      <c r="M259" s="129"/>
      <c r="N259" s="129"/>
      <c r="O259" s="317"/>
      <c r="P259" s="317"/>
      <c r="Q259" s="314"/>
      <c r="R259" s="314" t="str" cm="1">
        <f t="array" ref="R259">IFERROR(IF(INDEX('Disaggregation Records'!$G$3:$G$80,MATCH(RIGHT(L259,255),RIGHT('Disaggregation Records'!$D$3:$D$80,255),0))="","",INDEX('Disaggregation Records'!$G$3:$G$80,MATCH(RIGHT(L259,255),RIGHT('Disaggregation Records'!$D$3:$D$80,255),0))),"")</f>
        <v/>
      </c>
    </row>
    <row r="260" spans="1:18" ht="20.100000000000001" customHeight="1">
      <c r="A260" s="126" t="str">
        <f t="shared" ca="1" si="308"/>
        <v>a1GDm000000XyRyMAK</v>
      </c>
      <c r="B260" s="570">
        <v>13</v>
      </c>
      <c r="C260" s="572" t="str">
        <f ca="1">IFERROR(VLOOKUP(B260,'Impact Indicators - Section B '!$A$9:$AC$68,29,FALSE),"")</f>
        <v/>
      </c>
      <c r="D260" s="574" t="str">
        <f t="shared" ref="D260" ca="1" si="400">M260</f>
        <v/>
      </c>
      <c r="E260" s="574" t="str">
        <f t="shared" ref="E260" ca="1" si="401">N260</f>
        <v/>
      </c>
      <c r="F260" s="127"/>
      <c r="G260" s="576" t="str">
        <f ca="1">IF(OR(INDIRECT("'update Helper'!E"&amp;Q260)="",F260&lt;&gt;0,F261&lt;&gt;0),IF(IFERROR((F260/F261),"")="","",(F260/F261)),INDIRECT("'update Helper'!E"&amp;Q260)/100)</f>
        <v/>
      </c>
      <c r="H260" s="539"/>
      <c r="I260" s="578"/>
      <c r="J260" s="532"/>
      <c r="K260" s="126">
        <f ca="1">IF(AND(EXACT(C260,C258),C258&lt;&gt;0),K258+1,0)</f>
        <v>25</v>
      </c>
      <c r="L260" s="126" t="str">
        <f ca="1">IF(C260&lt;&gt;"",C260&amp;"-"&amp;K260,"")</f>
        <v/>
      </c>
      <c r="M260" s="126" t="str">
        <f t="array" aca="1" ref="M260" ca="1">IFERROR(IF(INDEX('Disaggregation Records'!$E$3:$E$80,MATCH(RIGHT(L260,255),RIGHT('Disaggregation Records'!$D$3:$D$80,255),0))="","",INDEX('Disaggregation Records'!$E$3:$E$80,MATCH(RIGHT(L260,255),RIGHT('Disaggregation Records'!$D$3:$D$80,255),0))),"")</f>
        <v/>
      </c>
      <c r="N260" s="126" t="str">
        <f t="array" aca="1" ref="N260" ca="1">IFERROR(IF(INDEX('Disaggregation Records'!$F$3:$F$80,MATCH(RIGHT(L260,255),RIGHT('Disaggregation Records'!$D$3:$D$80,255),0))="","",INDEX('Disaggregation Records'!$F$3:$F$80,MATCH(RIGHT(L260,255),RIGHT('Disaggregation Records'!$D$3:$D$80,255),0))),"")</f>
        <v/>
      </c>
      <c r="O260" s="314" t="str">
        <f t="array" aca="1" ref="O260" ca="1">IFERROR(IF(INDEX('Disaggregation Records'!$H$3:$H$80,MATCH(RIGHT(L260,255),RIGHT('Disaggregation Records'!$D$3:$D$80,255),0))="","",INDEX('Disaggregation Records'!$H$3:$H$80,MATCH(RIGHT(L260,255),RIGHT('Disaggregation Records'!$D$3:$D$80,255),0))),"")</f>
        <v/>
      </c>
      <c r="P260" s="310"/>
      <c r="Q260" s="310">
        <f t="shared" ref="Q260" si="402">Q258+1</f>
        <v>1433</v>
      </c>
      <c r="R260" s="314" t="str" cm="1">
        <f t="array" aca="1" ref="R260" ca="1">IFERROR(IF(INDEX('Disaggregation Records'!$G$3:$G$80,MATCH(RIGHT(L260,255),RIGHT('Disaggregation Records'!$D$3:$D$80,255),0))="","",INDEX('Disaggregation Records'!$G$3:$G$80,MATCH(RIGHT(L260,255),RIGHT('Disaggregation Records'!$D$3:$D$80,255),0))),"")</f>
        <v/>
      </c>
    </row>
    <row r="261" spans="1:18" ht="20.100000000000001" customHeight="1">
      <c r="B261" s="571">
        <v>9.6203007518797108</v>
      </c>
      <c r="C261" s="573"/>
      <c r="D261" s="575"/>
      <c r="E261" s="575"/>
      <c r="F261" s="128"/>
      <c r="G261" s="577"/>
      <c r="H261" s="540"/>
      <c r="I261" s="579"/>
      <c r="J261" s="533"/>
      <c r="K261" s="129"/>
      <c r="L261" s="129"/>
      <c r="M261" s="129"/>
      <c r="N261" s="129"/>
      <c r="O261" s="317"/>
      <c r="P261" s="310"/>
      <c r="Q261" s="314"/>
      <c r="R261" s="314" t="str" cm="1">
        <f t="array" ref="R261">IFERROR(IF(INDEX('Disaggregation Records'!$G$3:$G$80,MATCH(RIGHT(L261,255),RIGHT('Disaggregation Records'!$D$3:$D$80,255),0))="","",INDEX('Disaggregation Records'!$G$3:$G$80,MATCH(RIGHT(L261,255),RIGHT('Disaggregation Records'!$D$3:$D$80,255),0))),"")</f>
        <v/>
      </c>
    </row>
    <row r="262" spans="1:18" ht="20.100000000000001" customHeight="1">
      <c r="A262" s="126" t="str">
        <f t="shared" ref="A262" ca="1" si="403">INDIRECT("'update Helper'!C"&amp;Q262)</f>
        <v>a1GDm000000XyRzMAK</v>
      </c>
      <c r="B262" s="570">
        <v>13</v>
      </c>
      <c r="C262" s="572" t="str">
        <f ca="1">IFERROR(VLOOKUP(B262,'Impact Indicators - Section B '!$A$9:$AC$68,29,FALSE),"")</f>
        <v/>
      </c>
      <c r="D262" s="574" t="str">
        <f t="shared" ref="D262" ca="1" si="404">M262</f>
        <v/>
      </c>
      <c r="E262" s="574" t="str">
        <f t="shared" ref="E262" ca="1" si="405">N262</f>
        <v/>
      </c>
      <c r="F262" s="127"/>
      <c r="G262" s="576" t="str">
        <f ca="1">IF(OR(INDIRECT("'update Helper'!E"&amp;Q262)="",F262&lt;&gt;0,F263&lt;&gt;0),IF(IFERROR((F262/F263),"")="","",(F262/F263)),INDIRECT("'update Helper'!E"&amp;Q262)/100)</f>
        <v/>
      </c>
      <c r="H262" s="539"/>
      <c r="I262" s="578"/>
      <c r="J262" s="532"/>
      <c r="K262" s="126">
        <f ca="1">IF(AND(EXACT(C262,C260),C260&lt;&gt;0),K260+1,0)</f>
        <v>26</v>
      </c>
      <c r="L262" s="126" t="str">
        <f ca="1">IF(C262&lt;&gt;"",C262&amp;"-"&amp;K262,"")</f>
        <v/>
      </c>
      <c r="M262" s="126" t="str">
        <f t="array" aca="1" ref="M262" ca="1">IFERROR(IF(INDEX('Disaggregation Records'!$E$3:$E$80,MATCH(RIGHT(L262,255),RIGHT('Disaggregation Records'!$D$3:$D$80,255),0))="","",INDEX('Disaggregation Records'!$E$3:$E$80,MATCH(RIGHT(L262,255),RIGHT('Disaggregation Records'!$D$3:$D$80,255),0))),"")</f>
        <v/>
      </c>
      <c r="N262" s="126" t="str">
        <f t="array" aca="1" ref="N262" ca="1">IFERROR(IF(INDEX('Disaggregation Records'!$F$3:$F$80,MATCH(RIGHT(L262,255),RIGHT('Disaggregation Records'!$D$3:$D$80,255),0))="","",INDEX('Disaggregation Records'!$F$3:$F$80,MATCH(RIGHT(L262,255),RIGHT('Disaggregation Records'!$D$3:$D$80,255),0))),"")</f>
        <v/>
      </c>
      <c r="O262" s="314" t="str">
        <f t="array" aca="1" ref="O262" ca="1">IFERROR(IF(INDEX('Disaggregation Records'!$H$3:$H$80,MATCH(RIGHT(L262,255),RIGHT('Disaggregation Records'!$D$3:$D$80,255),0))="","",INDEX('Disaggregation Records'!$H$3:$H$80,MATCH(RIGHT(L262,255),RIGHT('Disaggregation Records'!$D$3:$D$80,255),0))),"")</f>
        <v/>
      </c>
      <c r="P262" s="314"/>
      <c r="Q262" s="310">
        <f t="shared" ref="Q262" si="406">Q260+1</f>
        <v>1434</v>
      </c>
      <c r="R262" s="314" t="str" cm="1">
        <f t="array" aca="1" ref="R262" ca="1">IFERROR(IF(INDEX('Disaggregation Records'!$G$3:$G$80,MATCH(RIGHT(L262,255),RIGHT('Disaggregation Records'!$D$3:$D$80,255),0))="","",INDEX('Disaggregation Records'!$G$3:$G$80,MATCH(RIGHT(L262,255),RIGHT('Disaggregation Records'!$D$3:$D$80,255),0))),"")</f>
        <v/>
      </c>
    </row>
    <row r="263" spans="1:18" ht="20.100000000000001" customHeight="1">
      <c r="A263" s="126"/>
      <c r="B263" s="571">
        <v>9.6203007518797108</v>
      </c>
      <c r="C263" s="573"/>
      <c r="D263" s="575"/>
      <c r="E263" s="575"/>
      <c r="F263" s="128"/>
      <c r="G263" s="577"/>
      <c r="H263" s="540"/>
      <c r="I263" s="579"/>
      <c r="J263" s="533"/>
      <c r="K263" s="129"/>
      <c r="L263" s="129"/>
      <c r="M263" s="129"/>
      <c r="N263" s="129"/>
      <c r="O263" s="317"/>
      <c r="P263" s="317"/>
      <c r="Q263" s="314"/>
      <c r="R263" s="314" t="str" cm="1">
        <f t="array" ref="R263">IFERROR(IF(INDEX('Disaggregation Records'!$G$3:$G$80,MATCH(RIGHT(L263,255),RIGHT('Disaggregation Records'!$D$3:$D$80,255),0))="","",INDEX('Disaggregation Records'!$G$3:$G$80,MATCH(RIGHT(L263,255),RIGHT('Disaggregation Records'!$D$3:$D$80,255),0))),"")</f>
        <v/>
      </c>
    </row>
    <row r="264" spans="1:18" ht="20.100000000000001" customHeight="1">
      <c r="A264" s="126" t="str">
        <f t="shared" ca="1" si="308"/>
        <v>a1GDm000000XyS0MAK</v>
      </c>
      <c r="B264" s="570">
        <v>13</v>
      </c>
      <c r="C264" s="572" t="str">
        <f ca="1">IFERROR(VLOOKUP(B264,'Impact Indicators - Section B '!$A$9:$AC$68,29,FALSE),"")</f>
        <v/>
      </c>
      <c r="D264" s="574" t="str">
        <f t="shared" ref="D264" ca="1" si="407">M264</f>
        <v/>
      </c>
      <c r="E264" s="574" t="str">
        <f t="shared" ref="E264" ca="1" si="408">N264</f>
        <v/>
      </c>
      <c r="F264" s="127"/>
      <c r="G264" s="576" t="str">
        <f ca="1">IF(OR(INDIRECT("'update Helper'!E"&amp;Q264)="",F264&lt;&gt;0,F265&lt;&gt;0),IF(IFERROR((F264/F265),"")="","",(F264/F265)),INDIRECT("'update Helper'!E"&amp;Q264)/100)</f>
        <v/>
      </c>
      <c r="H264" s="539"/>
      <c r="I264" s="578"/>
      <c r="J264" s="532"/>
      <c r="K264" s="126">
        <f ca="1">IF(AND(EXACT(C264,C262),C262&lt;&gt;0),K262+1,0)</f>
        <v>27</v>
      </c>
      <c r="L264" s="126" t="str">
        <f ca="1">IF(C264&lt;&gt;"",C264&amp;"-"&amp;K264,"")</f>
        <v/>
      </c>
      <c r="M264" s="126" t="str">
        <f t="array" aca="1" ref="M264" ca="1">IFERROR(IF(INDEX('Disaggregation Records'!$E$3:$E$80,MATCH(RIGHT(L264,255),RIGHT('Disaggregation Records'!$D$3:$D$80,255),0))="","",INDEX('Disaggregation Records'!$E$3:$E$80,MATCH(RIGHT(L264,255),RIGHT('Disaggregation Records'!$D$3:$D$80,255),0))),"")</f>
        <v/>
      </c>
      <c r="N264" s="126" t="str">
        <f t="array" aca="1" ref="N264" ca="1">IFERROR(IF(INDEX('Disaggregation Records'!$F$3:$F$80,MATCH(RIGHT(L264,255),RIGHT('Disaggregation Records'!$D$3:$D$80,255),0))="","",INDEX('Disaggregation Records'!$F$3:$F$80,MATCH(RIGHT(L264,255),RIGHT('Disaggregation Records'!$D$3:$D$80,255),0))),"")</f>
        <v/>
      </c>
      <c r="O264" s="314" t="str">
        <f t="array" aca="1" ref="O264" ca="1">IFERROR(IF(INDEX('Disaggregation Records'!$H$3:$H$80,MATCH(RIGHT(L264,255),RIGHT('Disaggregation Records'!$D$3:$D$80,255),0))="","",INDEX('Disaggregation Records'!$H$3:$H$80,MATCH(RIGHT(L264,255),RIGHT('Disaggregation Records'!$D$3:$D$80,255),0))),"")</f>
        <v/>
      </c>
      <c r="P264" s="310"/>
      <c r="Q264" s="310">
        <f t="shared" ref="Q264" si="409">Q262+1</f>
        <v>1435</v>
      </c>
      <c r="R264" s="314" t="str" cm="1">
        <f t="array" aca="1" ref="R264" ca="1">IFERROR(IF(INDEX('Disaggregation Records'!$G$3:$G$80,MATCH(RIGHT(L264,255),RIGHT('Disaggregation Records'!$D$3:$D$80,255),0))="","",INDEX('Disaggregation Records'!$G$3:$G$80,MATCH(RIGHT(L264,255),RIGHT('Disaggregation Records'!$D$3:$D$80,255),0))),"")</f>
        <v/>
      </c>
    </row>
    <row r="265" spans="1:18" ht="20.100000000000001" customHeight="1">
      <c r="B265" s="571">
        <v>9.6203007518797108</v>
      </c>
      <c r="C265" s="573"/>
      <c r="D265" s="575"/>
      <c r="E265" s="575"/>
      <c r="F265" s="128"/>
      <c r="G265" s="577"/>
      <c r="H265" s="540"/>
      <c r="I265" s="579"/>
      <c r="J265" s="533"/>
      <c r="K265" s="129"/>
      <c r="L265" s="129"/>
      <c r="M265" s="129"/>
      <c r="N265" s="129"/>
      <c r="O265" s="317"/>
      <c r="P265" s="310"/>
      <c r="Q265" s="314"/>
      <c r="R265" s="314" t="str" cm="1">
        <f t="array" ref="R265">IFERROR(IF(INDEX('Disaggregation Records'!$G$3:$G$80,MATCH(RIGHT(L265,255),RIGHT('Disaggregation Records'!$D$3:$D$80,255),0))="","",INDEX('Disaggregation Records'!$G$3:$G$80,MATCH(RIGHT(L265,255),RIGHT('Disaggregation Records'!$D$3:$D$80,255),0))),"")</f>
        <v/>
      </c>
    </row>
    <row r="266" spans="1:18" ht="20.100000000000001" customHeight="1">
      <c r="A266" s="126" t="str">
        <f t="shared" ref="A266" ca="1" si="410">INDIRECT("'update Helper'!C"&amp;Q266)</f>
        <v>a1GDm000000XyS1MAK</v>
      </c>
      <c r="B266" s="570">
        <v>13</v>
      </c>
      <c r="C266" s="572" t="str">
        <f ca="1">IFERROR(VLOOKUP(B266,'Impact Indicators - Section B '!$A$9:$AC$68,29,FALSE),"")</f>
        <v/>
      </c>
      <c r="D266" s="574" t="str">
        <f t="shared" ref="D266" ca="1" si="411">M266</f>
        <v/>
      </c>
      <c r="E266" s="574" t="str">
        <f t="shared" ref="E266" ca="1" si="412">N266</f>
        <v/>
      </c>
      <c r="F266" s="127"/>
      <c r="G266" s="576" t="str">
        <f ca="1">IF(OR(INDIRECT("'update Helper'!E"&amp;Q266)="",F266&lt;&gt;0,F267&lt;&gt;0),IF(IFERROR((F266/F267),"")="","",(F266/F267)),INDIRECT("'update Helper'!E"&amp;Q266)/100)</f>
        <v/>
      </c>
      <c r="H266" s="539"/>
      <c r="I266" s="578"/>
      <c r="J266" s="532"/>
      <c r="K266" s="126">
        <f ca="1">IF(AND(EXACT(C266,C264),C264&lt;&gt;0),K264+1,0)</f>
        <v>28</v>
      </c>
      <c r="L266" s="126" t="str">
        <f ca="1">IF(C266&lt;&gt;"",C266&amp;"-"&amp;K266,"")</f>
        <v/>
      </c>
      <c r="M266" s="126" t="str">
        <f t="array" aca="1" ref="M266" ca="1">IFERROR(IF(INDEX('Disaggregation Records'!$E$3:$E$80,MATCH(RIGHT(L266,255),RIGHT('Disaggregation Records'!$D$3:$D$80,255),0))="","",INDEX('Disaggregation Records'!$E$3:$E$80,MATCH(RIGHT(L266,255),RIGHT('Disaggregation Records'!$D$3:$D$80,255),0))),"")</f>
        <v/>
      </c>
      <c r="N266" s="126" t="str">
        <f t="array" aca="1" ref="N266" ca="1">IFERROR(IF(INDEX('Disaggregation Records'!$F$3:$F$80,MATCH(RIGHT(L266,255),RIGHT('Disaggregation Records'!$D$3:$D$80,255),0))="","",INDEX('Disaggregation Records'!$F$3:$F$80,MATCH(RIGHT(L266,255),RIGHT('Disaggregation Records'!$D$3:$D$80,255),0))),"")</f>
        <v/>
      </c>
      <c r="O266" s="314" t="str">
        <f t="array" aca="1" ref="O266" ca="1">IFERROR(IF(INDEX('Disaggregation Records'!$H$3:$H$80,MATCH(RIGHT(L266,255),RIGHT('Disaggregation Records'!$D$3:$D$80,255),0))="","",INDEX('Disaggregation Records'!$H$3:$H$80,MATCH(RIGHT(L266,255),RIGHT('Disaggregation Records'!$D$3:$D$80,255),0))),"")</f>
        <v/>
      </c>
      <c r="P266" s="310"/>
      <c r="Q266" s="310">
        <f t="shared" ref="Q266" si="413">Q264+1</f>
        <v>1436</v>
      </c>
      <c r="R266" s="314" t="str" cm="1">
        <f t="array" aca="1" ref="R266" ca="1">IFERROR(IF(INDEX('Disaggregation Records'!$G$3:$G$80,MATCH(RIGHT(L266,255),RIGHT('Disaggregation Records'!$D$3:$D$80,255),0))="","",INDEX('Disaggregation Records'!$G$3:$G$80,MATCH(RIGHT(L266,255),RIGHT('Disaggregation Records'!$D$3:$D$80,255),0))),"")</f>
        <v/>
      </c>
    </row>
    <row r="267" spans="1:18" ht="20.100000000000001" customHeight="1">
      <c r="A267" s="126"/>
      <c r="B267" s="571">
        <v>9.6203007518797108</v>
      </c>
      <c r="C267" s="573"/>
      <c r="D267" s="575"/>
      <c r="E267" s="575"/>
      <c r="F267" s="128"/>
      <c r="G267" s="577"/>
      <c r="H267" s="540"/>
      <c r="I267" s="579"/>
      <c r="J267" s="533"/>
      <c r="K267" s="129"/>
      <c r="L267" s="129"/>
      <c r="M267" s="129"/>
      <c r="N267" s="129"/>
      <c r="O267" s="317"/>
      <c r="P267" s="310"/>
      <c r="Q267" s="314"/>
      <c r="R267" s="314" t="str" cm="1">
        <f t="array" ref="R267">IFERROR(IF(INDEX('Disaggregation Records'!$G$3:$G$80,MATCH(RIGHT(L267,255),RIGHT('Disaggregation Records'!$D$3:$D$80,255),0))="","",INDEX('Disaggregation Records'!$G$3:$G$80,MATCH(RIGHT(L267,255),RIGHT('Disaggregation Records'!$D$3:$D$80,255),0))),"")</f>
        <v/>
      </c>
    </row>
    <row r="268" spans="1:18" ht="20.100000000000001" customHeight="1">
      <c r="A268" s="126" t="str">
        <f t="shared" ca="1" si="308"/>
        <v>a1GDm000000XyS2MAK</v>
      </c>
      <c r="B268" s="570">
        <v>13</v>
      </c>
      <c r="C268" s="572" t="str">
        <f ca="1">IFERROR(VLOOKUP(B268,'Impact Indicators - Section B '!$A$9:$AC$68,29,FALSE),"")</f>
        <v/>
      </c>
      <c r="D268" s="574" t="str">
        <f t="shared" ref="D268" ca="1" si="414">M268</f>
        <v/>
      </c>
      <c r="E268" s="574" t="str">
        <f t="shared" ref="E268" ca="1" si="415">N268</f>
        <v/>
      </c>
      <c r="F268" s="127"/>
      <c r="G268" s="576" t="str">
        <f ca="1">IF(OR(INDIRECT("'update Helper'!E"&amp;Q268)="",F268&lt;&gt;0,F269&lt;&gt;0),IF(IFERROR((F268/F269),"")="","",(F268/F269)),INDIRECT("'update Helper'!E"&amp;Q268)/100)</f>
        <v/>
      </c>
      <c r="H268" s="539"/>
      <c r="I268" s="578"/>
      <c r="J268" s="532"/>
      <c r="K268" s="126">
        <f ca="1">IF(AND(EXACT(C268,C266),C266&lt;&gt;0),K266+1,0)</f>
        <v>29</v>
      </c>
      <c r="L268" s="126" t="str">
        <f ca="1">IF(C268&lt;&gt;"",C268&amp;"-"&amp;K268,"")</f>
        <v/>
      </c>
      <c r="M268" s="126" t="str">
        <f t="array" aca="1" ref="M268" ca="1">IFERROR(IF(INDEX('Disaggregation Records'!$E$3:$E$80,MATCH(RIGHT(L268,255),RIGHT('Disaggregation Records'!$D$3:$D$80,255),0))="","",INDEX('Disaggregation Records'!$E$3:$E$80,MATCH(RIGHT(L268,255),RIGHT('Disaggregation Records'!$D$3:$D$80,255),0))),"")</f>
        <v/>
      </c>
      <c r="N268" s="126" t="str">
        <f t="array" aca="1" ref="N268" ca="1">IFERROR(IF(INDEX('Disaggregation Records'!$F$3:$F$80,MATCH(RIGHT(L268,255),RIGHT('Disaggregation Records'!$D$3:$D$80,255),0))="","",INDEX('Disaggregation Records'!$F$3:$F$80,MATCH(RIGHT(L268,255),RIGHT('Disaggregation Records'!$D$3:$D$80,255),0))),"")</f>
        <v/>
      </c>
      <c r="O268" s="314" t="str">
        <f t="array" aca="1" ref="O268" ca="1">IFERROR(IF(INDEX('Disaggregation Records'!$H$3:$H$80,MATCH(RIGHT(L268,255),RIGHT('Disaggregation Records'!$D$3:$D$80,255),0))="","",INDEX('Disaggregation Records'!$H$3:$H$80,MATCH(RIGHT(L268,255),RIGHT('Disaggregation Records'!$D$3:$D$80,255),0))),"")</f>
        <v/>
      </c>
      <c r="P268" s="314"/>
      <c r="Q268" s="310">
        <f t="shared" ref="Q268" si="416">Q266+1</f>
        <v>1437</v>
      </c>
      <c r="R268" s="314" t="str" cm="1">
        <f t="array" aca="1" ref="R268" ca="1">IFERROR(IF(INDEX('Disaggregation Records'!$G$3:$G$80,MATCH(RIGHT(L268,255),RIGHT('Disaggregation Records'!$D$3:$D$80,255),0))="","",INDEX('Disaggregation Records'!$G$3:$G$80,MATCH(RIGHT(L268,255),RIGHT('Disaggregation Records'!$D$3:$D$80,255),0))),"")</f>
        <v/>
      </c>
    </row>
    <row r="269" spans="1:18" ht="20.100000000000001" customHeight="1">
      <c r="B269" s="571">
        <v>9.6203007518797108</v>
      </c>
      <c r="C269" s="573"/>
      <c r="D269" s="575"/>
      <c r="E269" s="575"/>
      <c r="F269" s="128"/>
      <c r="G269" s="577"/>
      <c r="H269" s="540"/>
      <c r="I269" s="579"/>
      <c r="J269" s="533"/>
      <c r="K269" s="129"/>
      <c r="L269" s="129"/>
      <c r="M269" s="129"/>
      <c r="N269" s="129"/>
      <c r="O269" s="317"/>
      <c r="P269" s="317"/>
      <c r="Q269" s="314"/>
      <c r="R269" s="314" t="str" cm="1">
        <f t="array" ref="R269">IFERROR(IF(INDEX('Disaggregation Records'!$G$3:$G$80,MATCH(RIGHT(L269,255),RIGHT('Disaggregation Records'!$D$3:$D$80,255),0))="","",INDEX('Disaggregation Records'!$G$3:$G$80,MATCH(RIGHT(L269,255),RIGHT('Disaggregation Records'!$D$3:$D$80,255),0))),"")</f>
        <v/>
      </c>
    </row>
    <row r="270" spans="1:18" ht="20.100000000000001" customHeight="1">
      <c r="A270" s="126" t="str">
        <f t="shared" ref="A270" ca="1" si="417">INDIRECT("'update Helper'!C"&amp;Q270)</f>
        <v>a1GDm000000XyS3MAK</v>
      </c>
      <c r="B270" s="570">
        <v>14</v>
      </c>
      <c r="C270" s="572" t="str">
        <f ca="1">IFERROR(VLOOKUP(B270,'Impact Indicators - Section B '!$A$9:$AC$68,29,FALSE),"")</f>
        <v/>
      </c>
      <c r="D270" s="574" t="str">
        <f t="shared" ref="D270" ca="1" si="418">M270</f>
        <v/>
      </c>
      <c r="E270" s="574" t="str">
        <f t="shared" ref="E270" ca="1" si="419">N270</f>
        <v/>
      </c>
      <c r="F270" s="127"/>
      <c r="G270" s="576" t="str">
        <f ca="1">IF(OR(INDIRECT("'update Helper'!E"&amp;Q270)="",F270&lt;&gt;0,F271&lt;&gt;0),IF(IFERROR((F270/F271),"")="","",(F270/F271)),INDIRECT("'update Helper'!E"&amp;Q270)/100)</f>
        <v/>
      </c>
      <c r="H270" s="539"/>
      <c r="I270" s="578"/>
      <c r="J270" s="532"/>
      <c r="K270" s="126">
        <f ca="1">IF(AND(EXACT(C270,C268),C268&lt;&gt;0),K268+1,0)</f>
        <v>30</v>
      </c>
      <c r="L270" s="126" t="str">
        <f ca="1">IF(C270&lt;&gt;"",C270&amp;"-"&amp;K270,"")</f>
        <v/>
      </c>
      <c r="M270" s="126" t="str">
        <f t="array" aca="1" ref="M270" ca="1">IFERROR(IF(INDEX('Disaggregation Records'!$E$3:$E$80,MATCH(RIGHT(L270,255),RIGHT('Disaggregation Records'!$D$3:$D$80,255),0))="","",INDEX('Disaggregation Records'!$E$3:$E$80,MATCH(RIGHT(L270,255),RIGHT('Disaggregation Records'!$D$3:$D$80,255),0))),"")</f>
        <v/>
      </c>
      <c r="N270" s="126" t="str">
        <f t="array" aca="1" ref="N270" ca="1">IFERROR(IF(INDEX('Disaggregation Records'!$F$3:$F$80,MATCH(RIGHT(L270,255),RIGHT('Disaggregation Records'!$D$3:$D$80,255),0))="","",INDEX('Disaggregation Records'!$F$3:$F$80,MATCH(RIGHT(L270,255),RIGHT('Disaggregation Records'!$D$3:$D$80,255),0))),"")</f>
        <v/>
      </c>
      <c r="O270" s="314" t="str">
        <f t="array" aca="1" ref="O270" ca="1">IFERROR(IF(INDEX('Disaggregation Records'!$H$3:$H$80,MATCH(RIGHT(L270,255),RIGHT('Disaggregation Records'!$D$3:$D$80,255),0))="","",INDEX('Disaggregation Records'!$H$3:$H$80,MATCH(RIGHT(L270,255),RIGHT('Disaggregation Records'!$D$3:$D$80,255),0))),"")</f>
        <v/>
      </c>
      <c r="P270" s="310"/>
      <c r="Q270" s="310">
        <f t="shared" ref="Q270" si="420">Q268+1</f>
        <v>1438</v>
      </c>
      <c r="R270" s="314" t="str" cm="1">
        <f t="array" aca="1" ref="R270" ca="1">IFERROR(IF(INDEX('Disaggregation Records'!$G$3:$G$80,MATCH(RIGHT(L270,255),RIGHT('Disaggregation Records'!$D$3:$D$80,255),0))="","",INDEX('Disaggregation Records'!$G$3:$G$80,MATCH(RIGHT(L270,255),RIGHT('Disaggregation Records'!$D$3:$D$80,255),0))),"")</f>
        <v/>
      </c>
    </row>
    <row r="271" spans="1:18" ht="20.100000000000001" customHeight="1">
      <c r="A271" s="126"/>
      <c r="B271" s="571">
        <v>10.3721804511278</v>
      </c>
      <c r="C271" s="573"/>
      <c r="D271" s="575"/>
      <c r="E271" s="575"/>
      <c r="F271" s="128"/>
      <c r="G271" s="577"/>
      <c r="H271" s="540"/>
      <c r="I271" s="579"/>
      <c r="J271" s="533"/>
      <c r="K271" s="129"/>
      <c r="L271" s="129"/>
      <c r="M271" s="129"/>
      <c r="N271" s="129"/>
      <c r="O271" s="317"/>
      <c r="P271" s="310"/>
      <c r="Q271" s="314"/>
      <c r="R271" s="314" t="str" cm="1">
        <f t="array" ref="R271">IFERROR(IF(INDEX('Disaggregation Records'!$G$3:$G$80,MATCH(RIGHT(L271,255),RIGHT('Disaggregation Records'!$D$3:$D$80,255),0))="","",INDEX('Disaggregation Records'!$G$3:$G$80,MATCH(RIGHT(L271,255),RIGHT('Disaggregation Records'!$D$3:$D$80,255),0))),"")</f>
        <v/>
      </c>
    </row>
    <row r="272" spans="1:18" ht="20.100000000000001" customHeight="1">
      <c r="A272" s="126" t="str">
        <f t="shared" ref="A272:A308" ca="1" si="421">INDIRECT("'update Helper'!C"&amp;Q272)</f>
        <v>a1GDm000000XyS4MAK</v>
      </c>
      <c r="B272" s="570">
        <v>14</v>
      </c>
      <c r="C272" s="572" t="str">
        <f ca="1">IFERROR(VLOOKUP(B272,'Impact Indicators - Section B '!$A$9:$AC$68,29,FALSE),"")</f>
        <v/>
      </c>
      <c r="D272" s="574" t="str">
        <f t="shared" ref="D272" ca="1" si="422">M272</f>
        <v/>
      </c>
      <c r="E272" s="574" t="str">
        <f t="shared" ref="E272" ca="1" si="423">N272</f>
        <v/>
      </c>
      <c r="F272" s="127"/>
      <c r="G272" s="576" t="str">
        <f ca="1">IF(OR(INDIRECT("'update Helper'!E"&amp;Q272)="",F272&lt;&gt;0,F273&lt;&gt;0),IF(IFERROR((F272/F273),"")="","",(F272/F273)),INDIRECT("'update Helper'!E"&amp;Q272)/100)</f>
        <v/>
      </c>
      <c r="H272" s="539"/>
      <c r="I272" s="578"/>
      <c r="J272" s="532"/>
      <c r="K272" s="126">
        <f ca="1">IF(AND(EXACT(C272,C270),C270&lt;&gt;0),K270+1,0)</f>
        <v>31</v>
      </c>
      <c r="L272" s="126" t="str">
        <f ca="1">IF(C272&lt;&gt;"",C272&amp;"-"&amp;K272,"")</f>
        <v/>
      </c>
      <c r="M272" s="126" t="str">
        <f t="array" aca="1" ref="M272" ca="1">IFERROR(IF(INDEX('Disaggregation Records'!$E$3:$E$80,MATCH(RIGHT(L272,255),RIGHT('Disaggregation Records'!$D$3:$D$80,255),0))="","",INDEX('Disaggregation Records'!$E$3:$E$80,MATCH(RIGHT(L272,255),RIGHT('Disaggregation Records'!$D$3:$D$80,255),0))),"")</f>
        <v/>
      </c>
      <c r="N272" s="126" t="str">
        <f t="array" aca="1" ref="N272" ca="1">IFERROR(IF(INDEX('Disaggregation Records'!$F$3:$F$80,MATCH(RIGHT(L272,255),RIGHT('Disaggregation Records'!$D$3:$D$80,255),0))="","",INDEX('Disaggregation Records'!$F$3:$F$80,MATCH(RIGHT(L272,255),RIGHT('Disaggregation Records'!$D$3:$D$80,255),0))),"")</f>
        <v/>
      </c>
      <c r="O272" s="314" t="str">
        <f t="array" aca="1" ref="O272" ca="1">IFERROR(IF(INDEX('Disaggregation Records'!$H$3:$H$80,MATCH(RIGHT(L272,255),RIGHT('Disaggregation Records'!$D$3:$D$80,255),0))="","",INDEX('Disaggregation Records'!$H$3:$H$80,MATCH(RIGHT(L272,255),RIGHT('Disaggregation Records'!$D$3:$D$80,255),0))),"")</f>
        <v/>
      </c>
      <c r="P272" s="314"/>
      <c r="Q272" s="310">
        <f t="shared" ref="Q272" si="424">Q270+1</f>
        <v>1439</v>
      </c>
      <c r="R272" s="314" t="str" cm="1">
        <f t="array" aca="1" ref="R272" ca="1">IFERROR(IF(INDEX('Disaggregation Records'!$G$3:$G$80,MATCH(RIGHT(L272,255),RIGHT('Disaggregation Records'!$D$3:$D$80,255),0))="","",INDEX('Disaggregation Records'!$G$3:$G$80,MATCH(RIGHT(L272,255),RIGHT('Disaggregation Records'!$D$3:$D$80,255),0))),"")</f>
        <v/>
      </c>
    </row>
    <row r="273" spans="1:18" ht="20.100000000000001" customHeight="1">
      <c r="B273" s="571">
        <v>10.3721804511278</v>
      </c>
      <c r="C273" s="573"/>
      <c r="D273" s="575"/>
      <c r="E273" s="575"/>
      <c r="F273" s="128"/>
      <c r="G273" s="577"/>
      <c r="H273" s="540"/>
      <c r="I273" s="579"/>
      <c r="J273" s="533"/>
      <c r="K273" s="129"/>
      <c r="L273" s="129"/>
      <c r="M273" s="129"/>
      <c r="N273" s="129"/>
      <c r="O273" s="317"/>
      <c r="P273" s="317"/>
      <c r="Q273" s="314"/>
      <c r="R273" s="314" t="str" cm="1">
        <f t="array" ref="R273">IFERROR(IF(INDEX('Disaggregation Records'!$G$3:$G$80,MATCH(RIGHT(L273,255),RIGHT('Disaggregation Records'!$D$3:$D$80,255),0))="","",INDEX('Disaggregation Records'!$G$3:$G$80,MATCH(RIGHT(L273,255),RIGHT('Disaggregation Records'!$D$3:$D$80,255),0))),"")</f>
        <v/>
      </c>
    </row>
    <row r="274" spans="1:18" ht="20.100000000000001" customHeight="1">
      <c r="A274" s="126" t="str">
        <f t="shared" ref="A274" ca="1" si="425">INDIRECT("'update Helper'!C"&amp;Q274)</f>
        <v>a1GDm000000XyS5MAK</v>
      </c>
      <c r="B274" s="570">
        <v>14</v>
      </c>
      <c r="C274" s="572" t="str">
        <f ca="1">IFERROR(VLOOKUP(B274,'Impact Indicators - Section B '!$A$9:$AC$68,29,FALSE),"")</f>
        <v/>
      </c>
      <c r="D274" s="574" t="str">
        <f t="shared" ref="D274" ca="1" si="426">M274</f>
        <v/>
      </c>
      <c r="E274" s="574" t="str">
        <f t="shared" ref="E274" ca="1" si="427">N274</f>
        <v/>
      </c>
      <c r="F274" s="127"/>
      <c r="G274" s="576" t="str">
        <f ca="1">IF(OR(INDIRECT("'update Helper'!E"&amp;Q274)="",F274&lt;&gt;0,F275&lt;&gt;0),IF(IFERROR((F274/F275),"")="","",(F274/F275)),INDIRECT("'update Helper'!E"&amp;Q274)/100)</f>
        <v/>
      </c>
      <c r="H274" s="539"/>
      <c r="I274" s="578"/>
      <c r="J274" s="532"/>
      <c r="K274" s="126">
        <f ca="1">IF(AND(EXACT(C274,C272),C272&lt;&gt;0),K272+1,0)</f>
        <v>32</v>
      </c>
      <c r="L274" s="126" t="str">
        <f ca="1">IF(C274&lt;&gt;"",C274&amp;"-"&amp;K274,"")</f>
        <v/>
      </c>
      <c r="M274" s="126" t="str">
        <f t="array" aca="1" ref="M274" ca="1">IFERROR(IF(INDEX('Disaggregation Records'!$E$3:$E$80,MATCH(RIGHT(L274,255),RIGHT('Disaggregation Records'!$D$3:$D$80,255),0))="","",INDEX('Disaggregation Records'!$E$3:$E$80,MATCH(RIGHT(L274,255),RIGHT('Disaggregation Records'!$D$3:$D$80,255),0))),"")</f>
        <v/>
      </c>
      <c r="N274" s="126" t="str">
        <f t="array" aca="1" ref="N274" ca="1">IFERROR(IF(INDEX('Disaggregation Records'!$F$3:$F$80,MATCH(RIGHT(L274,255),RIGHT('Disaggregation Records'!$D$3:$D$80,255),0))="","",INDEX('Disaggregation Records'!$F$3:$F$80,MATCH(RIGHT(L274,255),RIGHT('Disaggregation Records'!$D$3:$D$80,255),0))),"")</f>
        <v/>
      </c>
      <c r="O274" s="314" t="str">
        <f t="array" aca="1" ref="O274" ca="1">IFERROR(IF(INDEX('Disaggregation Records'!$H$3:$H$80,MATCH(RIGHT(L274,255),RIGHT('Disaggregation Records'!$D$3:$D$80,255),0))="","",INDEX('Disaggregation Records'!$H$3:$H$80,MATCH(RIGHT(L274,255),RIGHT('Disaggregation Records'!$D$3:$D$80,255),0))),"")</f>
        <v/>
      </c>
      <c r="P274" s="310"/>
      <c r="Q274" s="310">
        <f t="shared" ref="Q274" si="428">Q272+1</f>
        <v>1440</v>
      </c>
      <c r="R274" s="314" t="str" cm="1">
        <f t="array" aca="1" ref="R274" ca="1">IFERROR(IF(INDEX('Disaggregation Records'!$G$3:$G$80,MATCH(RIGHT(L274,255),RIGHT('Disaggregation Records'!$D$3:$D$80,255),0))="","",INDEX('Disaggregation Records'!$G$3:$G$80,MATCH(RIGHT(L274,255),RIGHT('Disaggregation Records'!$D$3:$D$80,255),0))),"")</f>
        <v/>
      </c>
    </row>
    <row r="275" spans="1:18" ht="20.100000000000001" customHeight="1">
      <c r="A275" s="126"/>
      <c r="B275" s="571">
        <v>10.3721804511278</v>
      </c>
      <c r="C275" s="573"/>
      <c r="D275" s="575"/>
      <c r="E275" s="575"/>
      <c r="F275" s="128"/>
      <c r="G275" s="577"/>
      <c r="H275" s="540"/>
      <c r="I275" s="579"/>
      <c r="J275" s="533"/>
      <c r="K275" s="129"/>
      <c r="L275" s="129"/>
      <c r="M275" s="129"/>
      <c r="N275" s="129"/>
      <c r="O275" s="317"/>
      <c r="P275" s="310"/>
      <c r="Q275" s="314"/>
      <c r="R275" s="314" t="str" cm="1">
        <f t="array" ref="R275">IFERROR(IF(INDEX('Disaggregation Records'!$G$3:$G$80,MATCH(RIGHT(L275,255),RIGHT('Disaggregation Records'!$D$3:$D$80,255),0))="","",INDEX('Disaggregation Records'!$G$3:$G$80,MATCH(RIGHT(L275,255),RIGHT('Disaggregation Records'!$D$3:$D$80,255),0))),"")</f>
        <v/>
      </c>
    </row>
    <row r="276" spans="1:18" ht="20.100000000000001" customHeight="1">
      <c r="A276" s="126" t="str">
        <f t="shared" ca="1" si="421"/>
        <v>a1GDm000000XyS6MAK</v>
      </c>
      <c r="B276" s="570">
        <v>14</v>
      </c>
      <c r="C276" s="572" t="str">
        <f ca="1">IFERROR(VLOOKUP(B276,'Impact Indicators - Section B '!$A$9:$AC$68,29,FALSE),"")</f>
        <v/>
      </c>
      <c r="D276" s="574" t="str">
        <f t="shared" ref="D276" ca="1" si="429">M276</f>
        <v/>
      </c>
      <c r="E276" s="574" t="str">
        <f t="shared" ref="E276" ca="1" si="430">N276</f>
        <v/>
      </c>
      <c r="F276" s="127"/>
      <c r="G276" s="576" t="str">
        <f ca="1">IF(OR(INDIRECT("'update Helper'!E"&amp;Q276)="",F276&lt;&gt;0,F277&lt;&gt;0),IF(IFERROR((F276/F277),"")="","",(F276/F277)),INDIRECT("'update Helper'!E"&amp;Q276)/100)</f>
        <v/>
      </c>
      <c r="H276" s="539"/>
      <c r="I276" s="578"/>
      <c r="J276" s="532"/>
      <c r="K276" s="126">
        <f ca="1">IF(AND(EXACT(C276,C274),C274&lt;&gt;0),K274+1,0)</f>
        <v>33</v>
      </c>
      <c r="L276" s="126" t="str">
        <f ca="1">IF(C276&lt;&gt;"",C276&amp;"-"&amp;K276,"")</f>
        <v/>
      </c>
      <c r="M276" s="126" t="str">
        <f t="array" aca="1" ref="M276" ca="1">IFERROR(IF(INDEX('Disaggregation Records'!$E$3:$E$80,MATCH(RIGHT(L276,255),RIGHT('Disaggregation Records'!$D$3:$D$80,255),0))="","",INDEX('Disaggregation Records'!$E$3:$E$80,MATCH(RIGHT(L276,255),RIGHT('Disaggregation Records'!$D$3:$D$80,255),0))),"")</f>
        <v/>
      </c>
      <c r="N276" s="126" t="str">
        <f t="array" aca="1" ref="N276" ca="1">IFERROR(IF(INDEX('Disaggregation Records'!$F$3:$F$80,MATCH(RIGHT(L276,255),RIGHT('Disaggregation Records'!$D$3:$D$80,255),0))="","",INDEX('Disaggregation Records'!$F$3:$F$80,MATCH(RIGHT(L276,255),RIGHT('Disaggregation Records'!$D$3:$D$80,255),0))),"")</f>
        <v/>
      </c>
      <c r="O276" s="314" t="str">
        <f t="array" aca="1" ref="O276" ca="1">IFERROR(IF(INDEX('Disaggregation Records'!$H$3:$H$80,MATCH(RIGHT(L276,255),RIGHT('Disaggregation Records'!$D$3:$D$80,255),0))="","",INDEX('Disaggregation Records'!$H$3:$H$80,MATCH(RIGHT(L276,255),RIGHT('Disaggregation Records'!$D$3:$D$80,255),0))),"")</f>
        <v/>
      </c>
      <c r="P276" s="314"/>
      <c r="Q276" s="310">
        <f t="shared" ref="Q276" si="431">Q274+1</f>
        <v>1441</v>
      </c>
      <c r="R276" s="314" t="str" cm="1">
        <f t="array" aca="1" ref="R276" ca="1">IFERROR(IF(INDEX('Disaggregation Records'!$G$3:$G$80,MATCH(RIGHT(L276,255),RIGHT('Disaggregation Records'!$D$3:$D$80,255),0))="","",INDEX('Disaggregation Records'!$G$3:$G$80,MATCH(RIGHT(L276,255),RIGHT('Disaggregation Records'!$D$3:$D$80,255),0))),"")</f>
        <v/>
      </c>
    </row>
    <row r="277" spans="1:18" ht="20.100000000000001" customHeight="1">
      <c r="B277" s="571">
        <v>10.3721804511278</v>
      </c>
      <c r="C277" s="573"/>
      <c r="D277" s="575"/>
      <c r="E277" s="575"/>
      <c r="F277" s="128"/>
      <c r="G277" s="577"/>
      <c r="H277" s="540"/>
      <c r="I277" s="579"/>
      <c r="J277" s="533"/>
      <c r="K277" s="129"/>
      <c r="L277" s="129"/>
      <c r="M277" s="129"/>
      <c r="N277" s="129"/>
      <c r="O277" s="317"/>
      <c r="P277" s="317"/>
      <c r="Q277" s="314"/>
      <c r="R277" s="314" t="str" cm="1">
        <f t="array" ref="R277">IFERROR(IF(INDEX('Disaggregation Records'!$G$3:$G$80,MATCH(RIGHT(L277,255),RIGHT('Disaggregation Records'!$D$3:$D$80,255),0))="","",INDEX('Disaggregation Records'!$G$3:$G$80,MATCH(RIGHT(L277,255),RIGHT('Disaggregation Records'!$D$3:$D$80,255),0))),"")</f>
        <v/>
      </c>
    </row>
    <row r="278" spans="1:18" ht="20.100000000000001" customHeight="1">
      <c r="A278" s="126" t="str">
        <f t="shared" ref="A278" ca="1" si="432">INDIRECT("'update Helper'!C"&amp;Q278)</f>
        <v>a1GDm000000XyS7MAK</v>
      </c>
      <c r="B278" s="570">
        <v>14</v>
      </c>
      <c r="C278" s="572" t="str">
        <f ca="1">IFERROR(VLOOKUP(B278,'Impact Indicators - Section B '!$A$9:$AC$68,29,FALSE),"")</f>
        <v/>
      </c>
      <c r="D278" s="574" t="str">
        <f t="shared" ref="D278" ca="1" si="433">M278</f>
        <v/>
      </c>
      <c r="E278" s="574" t="str">
        <f t="shared" ref="E278" ca="1" si="434">N278</f>
        <v/>
      </c>
      <c r="F278" s="127"/>
      <c r="G278" s="576" t="str">
        <f ca="1">IF(OR(INDIRECT("'update Helper'!E"&amp;Q278)="",F278&lt;&gt;0,F279&lt;&gt;0),IF(IFERROR((F278/F279),"")="","",(F278/F279)),INDIRECT("'update Helper'!E"&amp;Q278)/100)</f>
        <v/>
      </c>
      <c r="H278" s="539"/>
      <c r="I278" s="578"/>
      <c r="J278" s="532"/>
      <c r="K278" s="126">
        <f ca="1">IF(AND(EXACT(C278,C276),C276&lt;&gt;0),K276+1,0)</f>
        <v>34</v>
      </c>
      <c r="L278" s="126" t="str">
        <f ca="1">IF(C278&lt;&gt;"",C278&amp;"-"&amp;K278,"")</f>
        <v/>
      </c>
      <c r="M278" s="126" t="str">
        <f t="array" aca="1" ref="M278" ca="1">IFERROR(IF(INDEX('Disaggregation Records'!$E$3:$E$80,MATCH(RIGHT(L278,255),RIGHT('Disaggregation Records'!$D$3:$D$80,255),0))="","",INDEX('Disaggregation Records'!$E$3:$E$80,MATCH(RIGHT(L278,255),RIGHT('Disaggregation Records'!$D$3:$D$80,255),0))),"")</f>
        <v/>
      </c>
      <c r="N278" s="126" t="str">
        <f t="array" aca="1" ref="N278" ca="1">IFERROR(IF(INDEX('Disaggregation Records'!$F$3:$F$80,MATCH(RIGHT(L278,255),RIGHT('Disaggregation Records'!$D$3:$D$80,255),0))="","",INDEX('Disaggregation Records'!$F$3:$F$80,MATCH(RIGHT(L278,255),RIGHT('Disaggregation Records'!$D$3:$D$80,255),0))),"")</f>
        <v/>
      </c>
      <c r="O278" s="314" t="str">
        <f t="array" aca="1" ref="O278" ca="1">IFERROR(IF(INDEX('Disaggregation Records'!$H$3:$H$80,MATCH(RIGHT(L278,255),RIGHT('Disaggregation Records'!$D$3:$D$80,255),0))="","",INDEX('Disaggregation Records'!$H$3:$H$80,MATCH(RIGHT(L278,255),RIGHT('Disaggregation Records'!$D$3:$D$80,255),0))),"")</f>
        <v/>
      </c>
      <c r="P278" s="310"/>
      <c r="Q278" s="310">
        <f t="shared" ref="Q278" si="435">Q276+1</f>
        <v>1442</v>
      </c>
      <c r="R278" s="314" t="str" cm="1">
        <f t="array" aca="1" ref="R278" ca="1">IFERROR(IF(INDEX('Disaggregation Records'!$G$3:$G$80,MATCH(RIGHT(L278,255),RIGHT('Disaggregation Records'!$D$3:$D$80,255),0))="","",INDEX('Disaggregation Records'!$G$3:$G$80,MATCH(RIGHT(L278,255),RIGHT('Disaggregation Records'!$D$3:$D$80,255),0))),"")</f>
        <v/>
      </c>
    </row>
    <row r="279" spans="1:18" ht="20.100000000000001" customHeight="1">
      <c r="A279" s="126"/>
      <c r="B279" s="571">
        <v>10.3721804511278</v>
      </c>
      <c r="C279" s="573"/>
      <c r="D279" s="575"/>
      <c r="E279" s="575"/>
      <c r="F279" s="128"/>
      <c r="G279" s="577"/>
      <c r="H279" s="540"/>
      <c r="I279" s="579"/>
      <c r="J279" s="533"/>
      <c r="K279" s="129"/>
      <c r="L279" s="129"/>
      <c r="M279" s="129"/>
      <c r="N279" s="129"/>
      <c r="O279" s="317"/>
      <c r="P279" s="310"/>
      <c r="Q279" s="314"/>
      <c r="R279" s="314" t="str" cm="1">
        <f t="array" ref="R279">IFERROR(IF(INDEX('Disaggregation Records'!$G$3:$G$80,MATCH(RIGHT(L279,255),RIGHT('Disaggregation Records'!$D$3:$D$80,255),0))="","",INDEX('Disaggregation Records'!$G$3:$G$80,MATCH(RIGHT(L279,255),RIGHT('Disaggregation Records'!$D$3:$D$80,255),0))),"")</f>
        <v/>
      </c>
    </row>
    <row r="280" spans="1:18" ht="20.100000000000001" customHeight="1">
      <c r="A280" s="126" t="str">
        <f t="shared" ca="1" si="421"/>
        <v>a1GDm000000XyS8MAK</v>
      </c>
      <c r="B280" s="570">
        <v>14</v>
      </c>
      <c r="C280" s="572" t="str">
        <f ca="1">IFERROR(VLOOKUP(B280,'Impact Indicators - Section B '!$A$9:$AC$68,29,FALSE),"")</f>
        <v/>
      </c>
      <c r="D280" s="574" t="str">
        <f t="shared" ref="D280" ca="1" si="436">M280</f>
        <v/>
      </c>
      <c r="E280" s="574" t="str">
        <f t="shared" ref="E280" ca="1" si="437">N280</f>
        <v/>
      </c>
      <c r="F280" s="127"/>
      <c r="G280" s="576" t="str">
        <f ca="1">IF(OR(INDIRECT("'update Helper'!E"&amp;Q280)="",F280&lt;&gt;0,F281&lt;&gt;0),IF(IFERROR((F280/F281),"")="","",(F280/F281)),INDIRECT("'update Helper'!E"&amp;Q280)/100)</f>
        <v/>
      </c>
      <c r="H280" s="539"/>
      <c r="I280" s="578"/>
      <c r="J280" s="532"/>
      <c r="K280" s="126">
        <f ca="1">IF(AND(EXACT(C280,C278),C278&lt;&gt;0),K278+1,0)</f>
        <v>35</v>
      </c>
      <c r="L280" s="126" t="str">
        <f ca="1">IF(C280&lt;&gt;"",C280&amp;"-"&amp;K280,"")</f>
        <v/>
      </c>
      <c r="M280" s="126" t="str">
        <f t="array" aca="1" ref="M280" ca="1">IFERROR(IF(INDEX('Disaggregation Records'!$E$3:$E$80,MATCH(RIGHT(L280,255),RIGHT('Disaggregation Records'!$D$3:$D$80,255),0))="","",INDEX('Disaggregation Records'!$E$3:$E$80,MATCH(RIGHT(L280,255),RIGHT('Disaggregation Records'!$D$3:$D$80,255),0))),"")</f>
        <v/>
      </c>
      <c r="N280" s="126" t="str">
        <f t="array" aca="1" ref="N280" ca="1">IFERROR(IF(INDEX('Disaggregation Records'!$F$3:$F$80,MATCH(RIGHT(L280,255),RIGHT('Disaggregation Records'!$D$3:$D$80,255),0))="","",INDEX('Disaggregation Records'!$F$3:$F$80,MATCH(RIGHT(L280,255),RIGHT('Disaggregation Records'!$D$3:$D$80,255),0))),"")</f>
        <v/>
      </c>
      <c r="O280" s="314" t="str">
        <f t="array" aca="1" ref="O280" ca="1">IFERROR(IF(INDEX('Disaggregation Records'!$H$3:$H$80,MATCH(RIGHT(L280,255),RIGHT('Disaggregation Records'!$D$3:$D$80,255),0))="","",INDEX('Disaggregation Records'!$H$3:$H$80,MATCH(RIGHT(L280,255),RIGHT('Disaggregation Records'!$D$3:$D$80,255),0))),"")</f>
        <v/>
      </c>
      <c r="P280" s="314"/>
      <c r="Q280" s="310">
        <f t="shared" ref="Q280" si="438">Q278+1</f>
        <v>1443</v>
      </c>
      <c r="R280" s="314" t="str" cm="1">
        <f t="array" aca="1" ref="R280" ca="1">IFERROR(IF(INDEX('Disaggregation Records'!$G$3:$G$80,MATCH(RIGHT(L280,255),RIGHT('Disaggregation Records'!$D$3:$D$80,255),0))="","",INDEX('Disaggregation Records'!$G$3:$G$80,MATCH(RIGHT(L280,255),RIGHT('Disaggregation Records'!$D$3:$D$80,255),0))),"")</f>
        <v/>
      </c>
    </row>
    <row r="281" spans="1:18" ht="20.100000000000001" customHeight="1">
      <c r="B281" s="571">
        <v>10.3721804511278</v>
      </c>
      <c r="C281" s="573"/>
      <c r="D281" s="575"/>
      <c r="E281" s="575"/>
      <c r="F281" s="128"/>
      <c r="G281" s="577"/>
      <c r="H281" s="540"/>
      <c r="I281" s="579"/>
      <c r="J281" s="533"/>
      <c r="K281" s="129"/>
      <c r="L281" s="129"/>
      <c r="M281" s="129"/>
      <c r="N281" s="129"/>
      <c r="O281" s="317"/>
      <c r="P281" s="317"/>
      <c r="Q281" s="314"/>
      <c r="R281" s="314" t="str" cm="1">
        <f t="array" ref="R281">IFERROR(IF(INDEX('Disaggregation Records'!$G$3:$G$80,MATCH(RIGHT(L281,255),RIGHT('Disaggregation Records'!$D$3:$D$80,255),0))="","",INDEX('Disaggregation Records'!$G$3:$G$80,MATCH(RIGHT(L281,255),RIGHT('Disaggregation Records'!$D$3:$D$80,255),0))),"")</f>
        <v/>
      </c>
    </row>
    <row r="282" spans="1:18" ht="20.100000000000001" customHeight="1">
      <c r="A282" s="126" t="str">
        <f t="shared" ref="A282" ca="1" si="439">INDIRECT("'update Helper'!C"&amp;Q282)</f>
        <v>a1GDm000000XyS9MAK</v>
      </c>
      <c r="B282" s="570">
        <v>14</v>
      </c>
      <c r="C282" s="572" t="str">
        <f ca="1">IFERROR(VLOOKUP(B282,'Impact Indicators - Section B '!$A$9:$AC$68,29,FALSE),"")</f>
        <v/>
      </c>
      <c r="D282" s="574" t="str">
        <f t="shared" ref="D282" ca="1" si="440">M282</f>
        <v/>
      </c>
      <c r="E282" s="574" t="str">
        <f t="shared" ref="E282" ca="1" si="441">N282</f>
        <v/>
      </c>
      <c r="F282" s="127"/>
      <c r="G282" s="576" t="str">
        <f ca="1">IF(OR(INDIRECT("'update Helper'!E"&amp;Q282)="",F282&lt;&gt;0,F283&lt;&gt;0),IF(IFERROR((F282/F283),"")="","",(F282/F283)),INDIRECT("'update Helper'!E"&amp;Q282)/100)</f>
        <v/>
      </c>
      <c r="H282" s="539"/>
      <c r="I282" s="578"/>
      <c r="J282" s="532"/>
      <c r="K282" s="126">
        <f ca="1">IF(AND(EXACT(C282,C280),C280&lt;&gt;0),K280+1,0)</f>
        <v>36</v>
      </c>
      <c r="L282" s="126" t="str">
        <f ca="1">IF(C282&lt;&gt;"",C282&amp;"-"&amp;K282,"")</f>
        <v/>
      </c>
      <c r="M282" s="126" t="str">
        <f t="array" aca="1" ref="M282" ca="1">IFERROR(IF(INDEX('Disaggregation Records'!$E$3:$E$80,MATCH(RIGHT(L282,255),RIGHT('Disaggregation Records'!$D$3:$D$80,255),0))="","",INDEX('Disaggregation Records'!$E$3:$E$80,MATCH(RIGHT(L282,255),RIGHT('Disaggregation Records'!$D$3:$D$80,255),0))),"")</f>
        <v/>
      </c>
      <c r="N282" s="126" t="str">
        <f t="array" aca="1" ref="N282" ca="1">IFERROR(IF(INDEX('Disaggregation Records'!$F$3:$F$80,MATCH(RIGHT(L282,255),RIGHT('Disaggregation Records'!$D$3:$D$80,255),0))="","",INDEX('Disaggregation Records'!$F$3:$F$80,MATCH(RIGHT(L282,255),RIGHT('Disaggregation Records'!$D$3:$D$80,255),0))),"")</f>
        <v/>
      </c>
      <c r="O282" s="314" t="str">
        <f t="array" aca="1" ref="O282" ca="1">IFERROR(IF(INDEX('Disaggregation Records'!$H$3:$H$80,MATCH(RIGHT(L282,255),RIGHT('Disaggregation Records'!$D$3:$D$80,255),0))="","",INDEX('Disaggregation Records'!$H$3:$H$80,MATCH(RIGHT(L282,255),RIGHT('Disaggregation Records'!$D$3:$D$80,255),0))),"")</f>
        <v/>
      </c>
      <c r="P282" s="310"/>
      <c r="Q282" s="310">
        <f t="shared" ref="Q282" si="442">Q280+1</f>
        <v>1444</v>
      </c>
      <c r="R282" s="314" t="str" cm="1">
        <f t="array" aca="1" ref="R282" ca="1">IFERROR(IF(INDEX('Disaggregation Records'!$G$3:$G$80,MATCH(RIGHT(L282,255),RIGHT('Disaggregation Records'!$D$3:$D$80,255),0))="","",INDEX('Disaggregation Records'!$G$3:$G$80,MATCH(RIGHT(L282,255),RIGHT('Disaggregation Records'!$D$3:$D$80,255),0))),"")</f>
        <v/>
      </c>
    </row>
    <row r="283" spans="1:18" ht="20.100000000000001" customHeight="1">
      <c r="A283" s="126"/>
      <c r="B283" s="571">
        <v>10.3721804511278</v>
      </c>
      <c r="C283" s="573"/>
      <c r="D283" s="575"/>
      <c r="E283" s="575"/>
      <c r="F283" s="128"/>
      <c r="G283" s="577"/>
      <c r="H283" s="540"/>
      <c r="I283" s="579"/>
      <c r="J283" s="533"/>
      <c r="K283" s="129"/>
      <c r="L283" s="129"/>
      <c r="M283" s="129"/>
      <c r="N283" s="129"/>
      <c r="O283" s="317"/>
      <c r="P283" s="310"/>
      <c r="Q283" s="314"/>
      <c r="R283" s="314" t="str" cm="1">
        <f t="array" ref="R283">IFERROR(IF(INDEX('Disaggregation Records'!$G$3:$G$80,MATCH(RIGHT(L283,255),RIGHT('Disaggregation Records'!$D$3:$D$80,255),0))="","",INDEX('Disaggregation Records'!$G$3:$G$80,MATCH(RIGHT(L283,255),RIGHT('Disaggregation Records'!$D$3:$D$80,255),0))),"")</f>
        <v/>
      </c>
    </row>
    <row r="284" spans="1:18" ht="20.100000000000001" customHeight="1">
      <c r="A284" s="126" t="str">
        <f t="shared" ca="1" si="421"/>
        <v>a1GDm000000XySAMA0</v>
      </c>
      <c r="B284" s="570">
        <v>14</v>
      </c>
      <c r="C284" s="572" t="str">
        <f ca="1">IFERROR(VLOOKUP(B284,'Impact Indicators - Section B '!$A$9:$AC$68,29,FALSE),"")</f>
        <v/>
      </c>
      <c r="D284" s="574" t="str">
        <f t="shared" ref="D284" ca="1" si="443">M284</f>
        <v/>
      </c>
      <c r="E284" s="574" t="str">
        <f t="shared" ref="E284" ca="1" si="444">N284</f>
        <v/>
      </c>
      <c r="F284" s="127"/>
      <c r="G284" s="576" t="str">
        <f ca="1">IF(OR(INDIRECT("'update Helper'!E"&amp;Q284)="",F284&lt;&gt;0,F285&lt;&gt;0),IF(IFERROR((F284/F285),"")="","",(F284/F285)),INDIRECT("'update Helper'!E"&amp;Q284)/100)</f>
        <v/>
      </c>
      <c r="H284" s="539"/>
      <c r="I284" s="578"/>
      <c r="J284" s="532"/>
      <c r="K284" s="126">
        <f ca="1">IF(AND(EXACT(C284,C282),C282&lt;&gt;0),K282+1,0)</f>
        <v>37</v>
      </c>
      <c r="L284" s="126" t="str">
        <f ca="1">IF(C284&lt;&gt;"",C284&amp;"-"&amp;K284,"")</f>
        <v/>
      </c>
      <c r="M284" s="126" t="str">
        <f t="array" aca="1" ref="M284" ca="1">IFERROR(IF(INDEX('Disaggregation Records'!$E$3:$E$80,MATCH(RIGHT(L284,255),RIGHT('Disaggregation Records'!$D$3:$D$80,255),0))="","",INDEX('Disaggregation Records'!$E$3:$E$80,MATCH(RIGHT(L284,255),RIGHT('Disaggregation Records'!$D$3:$D$80,255),0))),"")</f>
        <v/>
      </c>
      <c r="N284" s="126" t="str">
        <f t="array" aca="1" ref="N284" ca="1">IFERROR(IF(INDEX('Disaggregation Records'!$F$3:$F$80,MATCH(RIGHT(L284,255),RIGHT('Disaggregation Records'!$D$3:$D$80,255),0))="","",INDEX('Disaggregation Records'!$F$3:$F$80,MATCH(RIGHT(L284,255),RIGHT('Disaggregation Records'!$D$3:$D$80,255),0))),"")</f>
        <v/>
      </c>
      <c r="O284" s="314" t="str">
        <f t="array" aca="1" ref="O284" ca="1">IFERROR(IF(INDEX('Disaggregation Records'!$H$3:$H$80,MATCH(RIGHT(L284,255),RIGHT('Disaggregation Records'!$D$3:$D$80,255),0))="","",INDEX('Disaggregation Records'!$H$3:$H$80,MATCH(RIGHT(L284,255),RIGHT('Disaggregation Records'!$D$3:$D$80,255),0))),"")</f>
        <v/>
      </c>
      <c r="P284" s="314"/>
      <c r="Q284" s="310">
        <f t="shared" ref="Q284" si="445">Q282+1</f>
        <v>1445</v>
      </c>
      <c r="R284" s="314" t="str" cm="1">
        <f t="array" aca="1" ref="R284" ca="1">IFERROR(IF(INDEX('Disaggregation Records'!$G$3:$G$80,MATCH(RIGHT(L284,255),RIGHT('Disaggregation Records'!$D$3:$D$80,255),0))="","",INDEX('Disaggregation Records'!$G$3:$G$80,MATCH(RIGHT(L284,255),RIGHT('Disaggregation Records'!$D$3:$D$80,255),0))),"")</f>
        <v/>
      </c>
    </row>
    <row r="285" spans="1:18" ht="20.100000000000001" customHeight="1">
      <c r="B285" s="571">
        <v>10.3721804511278</v>
      </c>
      <c r="C285" s="573"/>
      <c r="D285" s="575"/>
      <c r="E285" s="575"/>
      <c r="F285" s="128"/>
      <c r="G285" s="577"/>
      <c r="H285" s="540"/>
      <c r="I285" s="579"/>
      <c r="J285" s="533"/>
      <c r="K285" s="129"/>
      <c r="L285" s="129"/>
      <c r="M285" s="129"/>
      <c r="N285" s="129"/>
      <c r="O285" s="317"/>
      <c r="P285" s="317"/>
      <c r="Q285" s="314"/>
      <c r="R285" s="314" t="str" cm="1">
        <f t="array" ref="R285">IFERROR(IF(INDEX('Disaggregation Records'!$G$3:$G$80,MATCH(RIGHT(L285,255),RIGHT('Disaggregation Records'!$D$3:$D$80,255),0))="","",INDEX('Disaggregation Records'!$G$3:$G$80,MATCH(RIGHT(L285,255),RIGHT('Disaggregation Records'!$D$3:$D$80,255),0))),"")</f>
        <v/>
      </c>
    </row>
    <row r="286" spans="1:18" ht="20.100000000000001" customHeight="1">
      <c r="A286" s="126" t="str">
        <f t="shared" ref="A286" ca="1" si="446">INDIRECT("'update Helper'!C"&amp;Q286)</f>
        <v>a1GDm000000XySBMA0</v>
      </c>
      <c r="B286" s="570">
        <v>14</v>
      </c>
      <c r="C286" s="572" t="str">
        <f ca="1">IFERROR(VLOOKUP(B286,'Impact Indicators - Section B '!$A$9:$AC$68,29,FALSE),"")</f>
        <v/>
      </c>
      <c r="D286" s="574" t="str">
        <f t="shared" ref="D286" ca="1" si="447">M286</f>
        <v/>
      </c>
      <c r="E286" s="574" t="str">
        <f t="shared" ref="E286" ca="1" si="448">N286</f>
        <v/>
      </c>
      <c r="F286" s="127"/>
      <c r="G286" s="576" t="str">
        <f ca="1">IF(OR(INDIRECT("'update Helper'!E"&amp;Q286)="",F286&lt;&gt;0,F287&lt;&gt;0),IF(IFERROR((F286/F287),"")="","",(F286/F287)),INDIRECT("'update Helper'!E"&amp;Q286)/100)</f>
        <v/>
      </c>
      <c r="H286" s="539"/>
      <c r="I286" s="578"/>
      <c r="J286" s="532"/>
      <c r="K286" s="126">
        <f ca="1">IF(AND(EXACT(C286,C284),C284&lt;&gt;0),K284+1,0)</f>
        <v>38</v>
      </c>
      <c r="L286" s="126" t="str">
        <f ca="1">IF(C286&lt;&gt;"",C286&amp;"-"&amp;K286,"")</f>
        <v/>
      </c>
      <c r="M286" s="126" t="str">
        <f t="array" aca="1" ref="M286" ca="1">IFERROR(IF(INDEX('Disaggregation Records'!$E$3:$E$80,MATCH(RIGHT(L286,255),RIGHT('Disaggregation Records'!$D$3:$D$80,255),0))="","",INDEX('Disaggregation Records'!$E$3:$E$80,MATCH(RIGHT(L286,255),RIGHT('Disaggregation Records'!$D$3:$D$80,255),0))),"")</f>
        <v/>
      </c>
      <c r="N286" s="126" t="str">
        <f t="array" aca="1" ref="N286" ca="1">IFERROR(IF(INDEX('Disaggregation Records'!$F$3:$F$80,MATCH(RIGHT(L286,255),RIGHT('Disaggregation Records'!$D$3:$D$80,255),0))="","",INDEX('Disaggregation Records'!$F$3:$F$80,MATCH(RIGHT(L286,255),RIGHT('Disaggregation Records'!$D$3:$D$80,255),0))),"")</f>
        <v/>
      </c>
      <c r="O286" s="314" t="str">
        <f t="array" aca="1" ref="O286" ca="1">IFERROR(IF(INDEX('Disaggregation Records'!$H$3:$H$80,MATCH(RIGHT(L286,255),RIGHT('Disaggregation Records'!$D$3:$D$80,255),0))="","",INDEX('Disaggregation Records'!$H$3:$H$80,MATCH(RIGHT(L286,255),RIGHT('Disaggregation Records'!$D$3:$D$80,255),0))),"")</f>
        <v/>
      </c>
      <c r="P286" s="310"/>
      <c r="Q286" s="310">
        <f t="shared" ref="Q286" si="449">Q284+1</f>
        <v>1446</v>
      </c>
      <c r="R286" s="314" t="str" cm="1">
        <f t="array" aca="1" ref="R286" ca="1">IFERROR(IF(INDEX('Disaggregation Records'!$G$3:$G$80,MATCH(RIGHT(L286,255),RIGHT('Disaggregation Records'!$D$3:$D$80,255),0))="","",INDEX('Disaggregation Records'!$G$3:$G$80,MATCH(RIGHT(L286,255),RIGHT('Disaggregation Records'!$D$3:$D$80,255),0))),"")</f>
        <v/>
      </c>
    </row>
    <row r="287" spans="1:18" ht="20.100000000000001" customHeight="1">
      <c r="A287" s="126"/>
      <c r="B287" s="571">
        <v>10.3721804511278</v>
      </c>
      <c r="C287" s="573"/>
      <c r="D287" s="575"/>
      <c r="E287" s="575"/>
      <c r="F287" s="128"/>
      <c r="G287" s="577"/>
      <c r="H287" s="540"/>
      <c r="I287" s="579"/>
      <c r="J287" s="533"/>
      <c r="K287" s="129"/>
      <c r="L287" s="129"/>
      <c r="M287" s="129"/>
      <c r="N287" s="129"/>
      <c r="O287" s="317"/>
      <c r="P287" s="310"/>
      <c r="Q287" s="314"/>
      <c r="R287" s="314" t="str" cm="1">
        <f t="array" ref="R287">IFERROR(IF(INDEX('Disaggregation Records'!$G$3:$G$80,MATCH(RIGHT(L287,255),RIGHT('Disaggregation Records'!$D$3:$D$80,255),0))="","",INDEX('Disaggregation Records'!$G$3:$G$80,MATCH(RIGHT(L287,255),RIGHT('Disaggregation Records'!$D$3:$D$80,255),0))),"")</f>
        <v/>
      </c>
    </row>
    <row r="288" spans="1:18" ht="20.100000000000001" customHeight="1">
      <c r="A288" s="126" t="str">
        <f t="shared" ca="1" si="421"/>
        <v>a1GDm000000XySCMA0</v>
      </c>
      <c r="B288" s="570">
        <v>14</v>
      </c>
      <c r="C288" s="572" t="str">
        <f ca="1">IFERROR(VLOOKUP(B288,'Impact Indicators - Section B '!$A$9:$AC$68,29,FALSE),"")</f>
        <v/>
      </c>
      <c r="D288" s="574" t="str">
        <f t="shared" ref="D288" ca="1" si="450">M288</f>
        <v/>
      </c>
      <c r="E288" s="574" t="str">
        <f t="shared" ref="E288" ca="1" si="451">N288</f>
        <v/>
      </c>
      <c r="F288" s="127"/>
      <c r="G288" s="576" t="str">
        <f ca="1">IF(OR(INDIRECT("'update Helper'!E"&amp;Q288)="",F288&lt;&gt;0,F289&lt;&gt;0),IF(IFERROR((F288/F289),"")="","",(F288/F289)),INDIRECT("'update Helper'!E"&amp;Q288)/100)</f>
        <v/>
      </c>
      <c r="H288" s="539"/>
      <c r="I288" s="578"/>
      <c r="J288" s="532"/>
      <c r="K288" s="126">
        <f ca="1">IF(AND(EXACT(C288,C286),C286&lt;&gt;0),K286+1,0)</f>
        <v>39</v>
      </c>
      <c r="L288" s="126" t="str">
        <f ca="1">IF(C288&lt;&gt;"",C288&amp;"-"&amp;K288,"")</f>
        <v/>
      </c>
      <c r="M288" s="126" t="str">
        <f t="array" aca="1" ref="M288" ca="1">IFERROR(IF(INDEX('Disaggregation Records'!$E$3:$E$80,MATCH(RIGHT(L288,255),RIGHT('Disaggregation Records'!$D$3:$D$80,255),0))="","",INDEX('Disaggregation Records'!$E$3:$E$80,MATCH(RIGHT(L288,255),RIGHT('Disaggregation Records'!$D$3:$D$80,255),0))),"")</f>
        <v/>
      </c>
      <c r="N288" s="126" t="str">
        <f t="array" aca="1" ref="N288" ca="1">IFERROR(IF(INDEX('Disaggregation Records'!$F$3:$F$80,MATCH(RIGHT(L288,255),RIGHT('Disaggregation Records'!$D$3:$D$80,255),0))="","",INDEX('Disaggregation Records'!$F$3:$F$80,MATCH(RIGHT(L288,255),RIGHT('Disaggregation Records'!$D$3:$D$80,255),0))),"")</f>
        <v/>
      </c>
      <c r="O288" s="314" t="str">
        <f t="array" aca="1" ref="O288" ca="1">IFERROR(IF(INDEX('Disaggregation Records'!$H$3:$H$80,MATCH(RIGHT(L288,255),RIGHT('Disaggregation Records'!$D$3:$D$80,255),0))="","",INDEX('Disaggregation Records'!$H$3:$H$80,MATCH(RIGHT(L288,255),RIGHT('Disaggregation Records'!$D$3:$D$80,255),0))),"")</f>
        <v/>
      </c>
      <c r="P288" s="314"/>
      <c r="Q288" s="310">
        <f t="shared" ref="Q288" si="452">Q286+1</f>
        <v>1447</v>
      </c>
      <c r="R288" s="314" t="str" cm="1">
        <f t="array" aca="1" ref="R288" ca="1">IFERROR(IF(INDEX('Disaggregation Records'!$G$3:$G$80,MATCH(RIGHT(L288,255),RIGHT('Disaggregation Records'!$D$3:$D$80,255),0))="","",INDEX('Disaggregation Records'!$G$3:$G$80,MATCH(RIGHT(L288,255),RIGHT('Disaggregation Records'!$D$3:$D$80,255),0))),"")</f>
        <v/>
      </c>
    </row>
    <row r="289" spans="1:18" ht="20.100000000000001" customHeight="1">
      <c r="B289" s="571">
        <v>10.3721804511278</v>
      </c>
      <c r="C289" s="573"/>
      <c r="D289" s="575"/>
      <c r="E289" s="575"/>
      <c r="F289" s="128"/>
      <c r="G289" s="577"/>
      <c r="H289" s="540"/>
      <c r="I289" s="579"/>
      <c r="J289" s="533"/>
      <c r="K289" s="129"/>
      <c r="L289" s="129"/>
      <c r="M289" s="129"/>
      <c r="N289" s="129"/>
      <c r="O289" s="317"/>
      <c r="P289" s="317"/>
      <c r="Q289" s="314"/>
      <c r="R289" s="314" t="str" cm="1">
        <f t="array" ref="R289">IFERROR(IF(INDEX('Disaggregation Records'!$G$3:$G$80,MATCH(RIGHT(L289,255),RIGHT('Disaggregation Records'!$D$3:$D$80,255),0))="","",INDEX('Disaggregation Records'!$G$3:$G$80,MATCH(RIGHT(L289,255),RIGHT('Disaggregation Records'!$D$3:$D$80,255),0))),"")</f>
        <v/>
      </c>
    </row>
    <row r="290" spans="1:18" ht="20.100000000000001" customHeight="1">
      <c r="A290" s="126" t="str">
        <f t="shared" ref="A290" ca="1" si="453">INDIRECT("'update Helper'!C"&amp;Q290)</f>
        <v>a1GDm000000XySDMA0</v>
      </c>
      <c r="B290" s="570">
        <v>15</v>
      </c>
      <c r="C290" s="572" t="str">
        <f ca="1">IFERROR(VLOOKUP(B290,'Impact Indicators - Section B '!$A$9:$AC$68,29,FALSE),"")</f>
        <v/>
      </c>
      <c r="D290" s="574" t="str">
        <f t="shared" ref="D290" ca="1" si="454">M290</f>
        <v/>
      </c>
      <c r="E290" s="574" t="str">
        <f t="shared" ref="E290" ca="1" si="455">N290</f>
        <v/>
      </c>
      <c r="F290" s="127"/>
      <c r="G290" s="576" t="str">
        <f ca="1">IF(OR(INDIRECT("'update Helper'!E"&amp;Q290)="",F290&lt;&gt;0,F291&lt;&gt;0),IF(IFERROR((F290/F291),"")="","",(F290/F291)),INDIRECT("'update Helper'!E"&amp;Q290)/100)</f>
        <v/>
      </c>
      <c r="H290" s="539"/>
      <c r="I290" s="578"/>
      <c r="J290" s="532"/>
      <c r="K290" s="126">
        <f ca="1">IF(AND(EXACT(C290,C288),C288&lt;&gt;0),K288+1,0)</f>
        <v>40</v>
      </c>
      <c r="L290" s="126" t="str">
        <f ca="1">IF(C290&lt;&gt;"",C290&amp;"-"&amp;K290,"")</f>
        <v/>
      </c>
      <c r="M290" s="126" t="str">
        <f t="array" aca="1" ref="M290" ca="1">IFERROR(IF(INDEX('Disaggregation Records'!$E$3:$E$80,MATCH(RIGHT(L290,255),RIGHT('Disaggregation Records'!$D$3:$D$80,255),0))="","",INDEX('Disaggregation Records'!$E$3:$E$80,MATCH(RIGHT(L290,255),RIGHT('Disaggregation Records'!$D$3:$D$80,255),0))),"")</f>
        <v/>
      </c>
      <c r="N290" s="126" t="str">
        <f t="array" aca="1" ref="N290" ca="1">IFERROR(IF(INDEX('Disaggregation Records'!$F$3:$F$80,MATCH(RIGHT(L290,255),RIGHT('Disaggregation Records'!$D$3:$D$80,255),0))="","",INDEX('Disaggregation Records'!$F$3:$F$80,MATCH(RIGHT(L290,255),RIGHT('Disaggregation Records'!$D$3:$D$80,255),0))),"")</f>
        <v/>
      </c>
      <c r="O290" s="314" t="str">
        <f t="array" aca="1" ref="O290" ca="1">IFERROR(IF(INDEX('Disaggregation Records'!$H$3:$H$80,MATCH(RIGHT(L290,255),RIGHT('Disaggregation Records'!$D$3:$D$80,255),0))="","",INDEX('Disaggregation Records'!$H$3:$H$80,MATCH(RIGHT(L290,255),RIGHT('Disaggregation Records'!$D$3:$D$80,255),0))),"")</f>
        <v/>
      </c>
      <c r="P290" s="310"/>
      <c r="Q290" s="310">
        <f t="shared" ref="Q290" si="456">Q288+1</f>
        <v>1448</v>
      </c>
      <c r="R290" s="314" t="str" cm="1">
        <f t="array" aca="1" ref="R290" ca="1">IFERROR(IF(INDEX('Disaggregation Records'!$G$3:$G$80,MATCH(RIGHT(L290,255),RIGHT('Disaggregation Records'!$D$3:$D$80,255),0))="","",INDEX('Disaggregation Records'!$G$3:$G$80,MATCH(RIGHT(L290,255),RIGHT('Disaggregation Records'!$D$3:$D$80,255),0))),"")</f>
        <v/>
      </c>
    </row>
    <row r="291" spans="1:18" ht="20.100000000000001" customHeight="1">
      <c r="A291" s="126"/>
      <c r="B291" s="571">
        <v>11.086466165413601</v>
      </c>
      <c r="C291" s="573"/>
      <c r="D291" s="575"/>
      <c r="E291" s="575"/>
      <c r="F291" s="128"/>
      <c r="G291" s="577"/>
      <c r="H291" s="540"/>
      <c r="I291" s="579"/>
      <c r="J291" s="533"/>
      <c r="K291" s="129"/>
      <c r="L291" s="129"/>
      <c r="M291" s="129"/>
      <c r="N291" s="129"/>
      <c r="O291" s="317"/>
      <c r="P291" s="310"/>
      <c r="Q291" s="314"/>
      <c r="R291" s="314" t="str" cm="1">
        <f t="array" ref="R291">IFERROR(IF(INDEX('Disaggregation Records'!$G$3:$G$80,MATCH(RIGHT(L291,255),RIGHT('Disaggregation Records'!$D$3:$D$80,255),0))="","",INDEX('Disaggregation Records'!$G$3:$G$80,MATCH(RIGHT(L291,255),RIGHT('Disaggregation Records'!$D$3:$D$80,255),0))),"")</f>
        <v/>
      </c>
    </row>
    <row r="292" spans="1:18" ht="20.100000000000001" customHeight="1">
      <c r="A292" s="126" t="str">
        <f t="shared" ca="1" si="421"/>
        <v>a1GDm000000XySEMA0</v>
      </c>
      <c r="B292" s="570">
        <v>15</v>
      </c>
      <c r="C292" s="572" t="str">
        <f ca="1">IFERROR(VLOOKUP(B292,'Impact Indicators - Section B '!$A$9:$AC$68,29,FALSE),"")</f>
        <v/>
      </c>
      <c r="D292" s="574" t="str">
        <f t="shared" ref="D292" ca="1" si="457">M292</f>
        <v/>
      </c>
      <c r="E292" s="574" t="str">
        <f t="shared" ref="E292" ca="1" si="458">N292</f>
        <v/>
      </c>
      <c r="F292" s="127"/>
      <c r="G292" s="576" t="str">
        <f ca="1">IF(OR(INDIRECT("'update Helper'!E"&amp;Q292)="",F292&lt;&gt;0,F293&lt;&gt;0),IF(IFERROR((F292/F293),"")="","",(F292/F293)),INDIRECT("'update Helper'!E"&amp;Q292)/100)</f>
        <v/>
      </c>
      <c r="H292" s="539"/>
      <c r="I292" s="578"/>
      <c r="J292" s="532"/>
      <c r="K292" s="126">
        <f ca="1">IF(AND(EXACT(C292,C290),C290&lt;&gt;0),K290+1,0)</f>
        <v>41</v>
      </c>
      <c r="L292" s="126" t="str">
        <f ca="1">IF(C292&lt;&gt;"",C292&amp;"-"&amp;K292,"")</f>
        <v/>
      </c>
      <c r="M292" s="126" t="str">
        <f t="array" aca="1" ref="M292" ca="1">IFERROR(IF(INDEX('Disaggregation Records'!$E$3:$E$80,MATCH(RIGHT(L292,255),RIGHT('Disaggregation Records'!$D$3:$D$80,255),0))="","",INDEX('Disaggregation Records'!$E$3:$E$80,MATCH(RIGHT(L292,255),RIGHT('Disaggregation Records'!$D$3:$D$80,255),0))),"")</f>
        <v/>
      </c>
      <c r="N292" s="126" t="str">
        <f t="array" aca="1" ref="N292" ca="1">IFERROR(IF(INDEX('Disaggregation Records'!$F$3:$F$80,MATCH(RIGHT(L292,255),RIGHT('Disaggregation Records'!$D$3:$D$80,255),0))="","",INDEX('Disaggregation Records'!$F$3:$F$80,MATCH(RIGHT(L292,255),RIGHT('Disaggregation Records'!$D$3:$D$80,255),0))),"")</f>
        <v/>
      </c>
      <c r="O292" s="314" t="str">
        <f t="array" aca="1" ref="O292" ca="1">IFERROR(IF(INDEX('Disaggregation Records'!$H$3:$H$80,MATCH(RIGHT(L292,255),RIGHT('Disaggregation Records'!$D$3:$D$80,255),0))="","",INDEX('Disaggregation Records'!$H$3:$H$80,MATCH(RIGHT(L292,255),RIGHT('Disaggregation Records'!$D$3:$D$80,255),0))),"")</f>
        <v/>
      </c>
      <c r="P292" s="314"/>
      <c r="Q292" s="310">
        <f t="shared" ref="Q292" si="459">Q290+1</f>
        <v>1449</v>
      </c>
      <c r="R292" s="314" t="str" cm="1">
        <f t="array" aca="1" ref="R292" ca="1">IFERROR(IF(INDEX('Disaggregation Records'!$G$3:$G$80,MATCH(RIGHT(L292,255),RIGHT('Disaggregation Records'!$D$3:$D$80,255),0))="","",INDEX('Disaggregation Records'!$G$3:$G$80,MATCH(RIGHT(L292,255),RIGHT('Disaggregation Records'!$D$3:$D$80,255),0))),"")</f>
        <v/>
      </c>
    </row>
    <row r="293" spans="1:18" ht="20.100000000000001" customHeight="1">
      <c r="B293" s="571">
        <v>11.086466165413601</v>
      </c>
      <c r="C293" s="573"/>
      <c r="D293" s="575"/>
      <c r="E293" s="575"/>
      <c r="F293" s="128"/>
      <c r="G293" s="577"/>
      <c r="H293" s="540"/>
      <c r="I293" s="579"/>
      <c r="J293" s="533"/>
      <c r="K293" s="129"/>
      <c r="L293" s="129"/>
      <c r="M293" s="129"/>
      <c r="N293" s="129"/>
      <c r="O293" s="317"/>
      <c r="P293" s="317"/>
      <c r="Q293" s="314"/>
      <c r="R293" s="314" t="str" cm="1">
        <f t="array" ref="R293">IFERROR(IF(INDEX('Disaggregation Records'!$G$3:$G$80,MATCH(RIGHT(L293,255),RIGHT('Disaggregation Records'!$D$3:$D$80,255),0))="","",INDEX('Disaggregation Records'!$G$3:$G$80,MATCH(RIGHT(L293,255),RIGHT('Disaggregation Records'!$D$3:$D$80,255),0))),"")</f>
        <v/>
      </c>
    </row>
    <row r="294" spans="1:18" ht="20.100000000000001" customHeight="1">
      <c r="A294" s="126" t="str">
        <f t="shared" ref="A294" ca="1" si="460">INDIRECT("'update Helper'!C"&amp;Q294)</f>
        <v>a1GDm000000XySFMA0</v>
      </c>
      <c r="B294" s="570">
        <v>15</v>
      </c>
      <c r="C294" s="572" t="str">
        <f ca="1">IFERROR(VLOOKUP(B294,'Impact Indicators - Section B '!$A$9:$AC$68,29,FALSE),"")</f>
        <v/>
      </c>
      <c r="D294" s="574" t="str">
        <f t="shared" ref="D294" ca="1" si="461">M294</f>
        <v/>
      </c>
      <c r="E294" s="574" t="str">
        <f t="shared" ref="E294" ca="1" si="462">N294</f>
        <v/>
      </c>
      <c r="F294" s="127"/>
      <c r="G294" s="576" t="str">
        <f ca="1">IF(OR(INDIRECT("'update Helper'!E"&amp;Q294)="",F294&lt;&gt;0,F295&lt;&gt;0),IF(IFERROR((F294/F295),"")="","",(F294/F295)),INDIRECT("'update Helper'!E"&amp;Q294)/100)</f>
        <v/>
      </c>
      <c r="H294" s="539"/>
      <c r="I294" s="578"/>
      <c r="J294" s="532"/>
      <c r="K294" s="126">
        <f ca="1">IF(AND(EXACT(C294,C292),C292&lt;&gt;0),K292+1,0)</f>
        <v>42</v>
      </c>
      <c r="L294" s="126" t="str">
        <f ca="1">IF(C294&lt;&gt;"",C294&amp;"-"&amp;K294,"")</f>
        <v/>
      </c>
      <c r="M294" s="126" t="str">
        <f t="array" aca="1" ref="M294" ca="1">IFERROR(IF(INDEX('Disaggregation Records'!$E$3:$E$80,MATCH(RIGHT(L294,255),RIGHT('Disaggregation Records'!$D$3:$D$80,255),0))="","",INDEX('Disaggregation Records'!$E$3:$E$80,MATCH(RIGHT(L294,255),RIGHT('Disaggregation Records'!$D$3:$D$80,255),0))),"")</f>
        <v/>
      </c>
      <c r="N294" s="126" t="str">
        <f t="array" aca="1" ref="N294" ca="1">IFERROR(IF(INDEX('Disaggregation Records'!$F$3:$F$80,MATCH(RIGHT(L294,255),RIGHT('Disaggregation Records'!$D$3:$D$80,255),0))="","",INDEX('Disaggregation Records'!$F$3:$F$80,MATCH(RIGHT(L294,255),RIGHT('Disaggregation Records'!$D$3:$D$80,255),0))),"")</f>
        <v/>
      </c>
      <c r="O294" s="314" t="str">
        <f t="array" aca="1" ref="O294" ca="1">IFERROR(IF(INDEX('Disaggregation Records'!$H$3:$H$80,MATCH(RIGHT(L294,255),RIGHT('Disaggregation Records'!$D$3:$D$80,255),0))="","",INDEX('Disaggregation Records'!$H$3:$H$80,MATCH(RIGHT(L294,255),RIGHT('Disaggregation Records'!$D$3:$D$80,255),0))),"")</f>
        <v/>
      </c>
      <c r="P294" s="310"/>
      <c r="Q294" s="310">
        <f t="shared" ref="Q294" si="463">Q292+1</f>
        <v>1450</v>
      </c>
      <c r="R294" s="314" t="str" cm="1">
        <f t="array" aca="1" ref="R294" ca="1">IFERROR(IF(INDEX('Disaggregation Records'!$G$3:$G$80,MATCH(RIGHT(L294,255),RIGHT('Disaggregation Records'!$D$3:$D$80,255),0))="","",INDEX('Disaggregation Records'!$G$3:$G$80,MATCH(RIGHT(L294,255),RIGHT('Disaggregation Records'!$D$3:$D$80,255),0))),"")</f>
        <v/>
      </c>
    </row>
    <row r="295" spans="1:18" ht="20.100000000000001" customHeight="1">
      <c r="A295" s="126"/>
      <c r="B295" s="571">
        <v>11.086466165413601</v>
      </c>
      <c r="C295" s="573"/>
      <c r="D295" s="575"/>
      <c r="E295" s="575"/>
      <c r="F295" s="128"/>
      <c r="G295" s="577"/>
      <c r="H295" s="540"/>
      <c r="I295" s="579"/>
      <c r="J295" s="533"/>
      <c r="K295" s="129"/>
      <c r="L295" s="129"/>
      <c r="M295" s="129"/>
      <c r="N295" s="129"/>
      <c r="O295" s="317"/>
      <c r="P295" s="310"/>
      <c r="Q295" s="314"/>
      <c r="R295" s="314" t="str" cm="1">
        <f t="array" ref="R295">IFERROR(IF(INDEX('Disaggregation Records'!$G$3:$G$80,MATCH(RIGHT(L295,255),RIGHT('Disaggregation Records'!$D$3:$D$80,255),0))="","",INDEX('Disaggregation Records'!$G$3:$G$80,MATCH(RIGHT(L295,255),RIGHT('Disaggregation Records'!$D$3:$D$80,255),0))),"")</f>
        <v/>
      </c>
    </row>
    <row r="296" spans="1:18" ht="20.100000000000001" customHeight="1">
      <c r="A296" s="126" t="str">
        <f t="shared" ca="1" si="421"/>
        <v>a1GDm000000XySGMA0</v>
      </c>
      <c r="B296" s="570">
        <v>15</v>
      </c>
      <c r="C296" s="572" t="str">
        <f ca="1">IFERROR(VLOOKUP(B296,'Impact Indicators - Section B '!$A$9:$AC$68,29,FALSE),"")</f>
        <v/>
      </c>
      <c r="D296" s="574" t="str">
        <f t="shared" ref="D296" ca="1" si="464">M296</f>
        <v/>
      </c>
      <c r="E296" s="574" t="str">
        <f t="shared" ref="E296" ca="1" si="465">N296</f>
        <v/>
      </c>
      <c r="F296" s="127"/>
      <c r="G296" s="576" t="str">
        <f ca="1">IF(OR(INDIRECT("'update Helper'!E"&amp;Q296)="",F296&lt;&gt;0,F297&lt;&gt;0),IF(IFERROR((F296/F297),"")="","",(F296/F297)),INDIRECT("'update Helper'!E"&amp;Q296)/100)</f>
        <v/>
      </c>
      <c r="H296" s="539"/>
      <c r="I296" s="578"/>
      <c r="J296" s="532"/>
      <c r="K296" s="126">
        <f ca="1">IF(AND(EXACT(C296,C294),C294&lt;&gt;0),K294+1,0)</f>
        <v>43</v>
      </c>
      <c r="L296" s="126" t="str">
        <f ca="1">IF(C296&lt;&gt;"",C296&amp;"-"&amp;K296,"")</f>
        <v/>
      </c>
      <c r="M296" s="126" t="str">
        <f t="array" aca="1" ref="M296" ca="1">IFERROR(IF(INDEX('Disaggregation Records'!$E$3:$E$80,MATCH(RIGHT(L296,255),RIGHT('Disaggregation Records'!$D$3:$D$80,255),0))="","",INDEX('Disaggregation Records'!$E$3:$E$80,MATCH(RIGHT(L296,255),RIGHT('Disaggregation Records'!$D$3:$D$80,255),0))),"")</f>
        <v/>
      </c>
      <c r="N296" s="126" t="str">
        <f t="array" aca="1" ref="N296" ca="1">IFERROR(IF(INDEX('Disaggregation Records'!$F$3:$F$80,MATCH(RIGHT(L296,255),RIGHT('Disaggregation Records'!$D$3:$D$80,255),0))="","",INDEX('Disaggregation Records'!$F$3:$F$80,MATCH(RIGHT(L296,255),RIGHT('Disaggregation Records'!$D$3:$D$80,255),0))),"")</f>
        <v/>
      </c>
      <c r="O296" s="314" t="str">
        <f t="array" aca="1" ref="O296" ca="1">IFERROR(IF(INDEX('Disaggregation Records'!$H$3:$H$80,MATCH(RIGHT(L296,255),RIGHT('Disaggregation Records'!$D$3:$D$80,255),0))="","",INDEX('Disaggregation Records'!$H$3:$H$80,MATCH(RIGHT(L296,255),RIGHT('Disaggregation Records'!$D$3:$D$80,255),0))),"")</f>
        <v/>
      </c>
      <c r="P296" s="310"/>
      <c r="Q296" s="310">
        <f t="shared" ref="Q296" si="466">Q294+1</f>
        <v>1451</v>
      </c>
      <c r="R296" s="314" t="str" cm="1">
        <f t="array" aca="1" ref="R296" ca="1">IFERROR(IF(INDEX('Disaggregation Records'!$G$3:$G$80,MATCH(RIGHT(L296,255),RIGHT('Disaggregation Records'!$D$3:$D$80,255),0))="","",INDEX('Disaggregation Records'!$G$3:$G$80,MATCH(RIGHT(L296,255),RIGHT('Disaggregation Records'!$D$3:$D$80,255),0))),"")</f>
        <v/>
      </c>
    </row>
    <row r="297" spans="1:18" ht="20.100000000000001" customHeight="1">
      <c r="B297" s="571">
        <v>11.086466165413601</v>
      </c>
      <c r="C297" s="573"/>
      <c r="D297" s="575"/>
      <c r="E297" s="575"/>
      <c r="F297" s="128"/>
      <c r="G297" s="577"/>
      <c r="H297" s="540"/>
      <c r="I297" s="579"/>
      <c r="J297" s="533"/>
      <c r="K297" s="129"/>
      <c r="L297" s="129"/>
      <c r="M297" s="129"/>
      <c r="N297" s="129"/>
      <c r="O297" s="317"/>
      <c r="P297" s="310"/>
      <c r="Q297" s="314"/>
      <c r="R297" s="314" t="str" cm="1">
        <f t="array" ref="R297">IFERROR(IF(INDEX('Disaggregation Records'!$G$3:$G$80,MATCH(RIGHT(L297,255),RIGHT('Disaggregation Records'!$D$3:$D$80,255),0))="","",INDEX('Disaggregation Records'!$G$3:$G$80,MATCH(RIGHT(L297,255),RIGHT('Disaggregation Records'!$D$3:$D$80,255),0))),"")</f>
        <v/>
      </c>
    </row>
    <row r="298" spans="1:18" ht="20.100000000000001" customHeight="1">
      <c r="A298" s="126" t="str">
        <f t="shared" ref="A298" ca="1" si="467">INDIRECT("'update Helper'!C"&amp;Q298)</f>
        <v>a1GDm000000XySHMA0</v>
      </c>
      <c r="B298" s="570">
        <v>15</v>
      </c>
      <c r="C298" s="572" t="str">
        <f ca="1">IFERROR(VLOOKUP(B298,'Impact Indicators - Section B '!$A$9:$AC$68,29,FALSE),"")</f>
        <v/>
      </c>
      <c r="D298" s="574" t="str">
        <f t="shared" ref="D298" ca="1" si="468">M298</f>
        <v/>
      </c>
      <c r="E298" s="574" t="str">
        <f t="shared" ref="E298" ca="1" si="469">N298</f>
        <v/>
      </c>
      <c r="F298" s="127"/>
      <c r="G298" s="576" t="str">
        <f ca="1">IF(OR(INDIRECT("'update Helper'!E"&amp;Q298)="",F298&lt;&gt;0,F299&lt;&gt;0),IF(IFERROR((F298/F299),"")="","",(F298/F299)),INDIRECT("'update Helper'!E"&amp;Q298)/100)</f>
        <v/>
      </c>
      <c r="H298" s="539"/>
      <c r="I298" s="578"/>
      <c r="J298" s="532"/>
      <c r="K298" s="126">
        <f ca="1">IF(AND(EXACT(C298,C296),C296&lt;&gt;0),K296+1,0)</f>
        <v>44</v>
      </c>
      <c r="L298" s="126" t="str">
        <f ca="1">IF(C298&lt;&gt;"",C298&amp;"-"&amp;K298,"")</f>
        <v/>
      </c>
      <c r="M298" s="126" t="str">
        <f t="array" aca="1" ref="M298" ca="1">IFERROR(IF(INDEX('Disaggregation Records'!$E$3:$E$80,MATCH(RIGHT(L298,255),RIGHT('Disaggregation Records'!$D$3:$D$80,255),0))="","",INDEX('Disaggregation Records'!$E$3:$E$80,MATCH(RIGHT(L298,255),RIGHT('Disaggregation Records'!$D$3:$D$80,255),0))),"")</f>
        <v/>
      </c>
      <c r="N298" s="126" t="str">
        <f t="array" aca="1" ref="N298" ca="1">IFERROR(IF(INDEX('Disaggregation Records'!$F$3:$F$80,MATCH(RIGHT(L298,255),RIGHT('Disaggregation Records'!$D$3:$D$80,255),0))="","",INDEX('Disaggregation Records'!$F$3:$F$80,MATCH(RIGHT(L298,255),RIGHT('Disaggregation Records'!$D$3:$D$80,255),0))),"")</f>
        <v/>
      </c>
      <c r="O298" s="314" t="str">
        <f t="array" aca="1" ref="O298" ca="1">IFERROR(IF(INDEX('Disaggregation Records'!$H$3:$H$80,MATCH(RIGHT(L298,255),RIGHT('Disaggregation Records'!$D$3:$D$80,255),0))="","",INDEX('Disaggregation Records'!$H$3:$H$80,MATCH(RIGHT(L298,255),RIGHT('Disaggregation Records'!$D$3:$D$80,255),0))),"")</f>
        <v/>
      </c>
      <c r="P298" s="310"/>
      <c r="Q298" s="310">
        <f t="shared" ref="Q298" si="470">Q296+1</f>
        <v>1452</v>
      </c>
      <c r="R298" s="314" t="str" cm="1">
        <f t="array" aca="1" ref="R298" ca="1">IFERROR(IF(INDEX('Disaggregation Records'!$G$3:$G$80,MATCH(RIGHT(L298,255),RIGHT('Disaggregation Records'!$D$3:$D$80,255),0))="","",INDEX('Disaggregation Records'!$G$3:$G$80,MATCH(RIGHT(L298,255),RIGHT('Disaggregation Records'!$D$3:$D$80,255),0))),"")</f>
        <v/>
      </c>
    </row>
    <row r="299" spans="1:18" ht="20.100000000000001" customHeight="1">
      <c r="A299" s="126"/>
      <c r="B299" s="571">
        <v>11.086466165413601</v>
      </c>
      <c r="C299" s="573"/>
      <c r="D299" s="575"/>
      <c r="E299" s="575"/>
      <c r="F299" s="128"/>
      <c r="G299" s="577"/>
      <c r="H299" s="540"/>
      <c r="I299" s="579"/>
      <c r="J299" s="533"/>
      <c r="K299" s="129"/>
      <c r="L299" s="129"/>
      <c r="M299" s="129"/>
      <c r="N299" s="129"/>
      <c r="O299" s="317"/>
      <c r="P299" s="310"/>
      <c r="Q299" s="314"/>
      <c r="R299" s="314" t="str" cm="1">
        <f t="array" ref="R299">IFERROR(IF(INDEX('Disaggregation Records'!$G$3:$G$80,MATCH(RIGHT(L299,255),RIGHT('Disaggregation Records'!$D$3:$D$80,255),0))="","",INDEX('Disaggregation Records'!$G$3:$G$80,MATCH(RIGHT(L299,255),RIGHT('Disaggregation Records'!$D$3:$D$80,255),0))),"")</f>
        <v/>
      </c>
    </row>
    <row r="300" spans="1:18" ht="20.100000000000001" customHeight="1">
      <c r="A300" s="126" t="str">
        <f t="shared" ca="1" si="421"/>
        <v>a1GDm000000XySIMA0</v>
      </c>
      <c r="B300" s="570">
        <v>15</v>
      </c>
      <c r="C300" s="572" t="str">
        <f ca="1">IFERROR(VLOOKUP(B300,'Impact Indicators - Section B '!$A$9:$AC$68,29,FALSE),"")</f>
        <v/>
      </c>
      <c r="D300" s="574" t="str">
        <f t="shared" ref="D300" ca="1" si="471">M300</f>
        <v/>
      </c>
      <c r="E300" s="574" t="str">
        <f t="shared" ref="E300" ca="1" si="472">N300</f>
        <v/>
      </c>
      <c r="F300" s="127"/>
      <c r="G300" s="576" t="str">
        <f ca="1">IF(OR(INDIRECT("'update Helper'!E"&amp;Q300)="",F300&lt;&gt;0,F301&lt;&gt;0),IF(IFERROR((F300/F301),"")="","",(F300/F301)),INDIRECT("'update Helper'!E"&amp;Q300)/100)</f>
        <v/>
      </c>
      <c r="H300" s="539"/>
      <c r="I300" s="578"/>
      <c r="J300" s="532"/>
      <c r="K300" s="126">
        <f ca="1">IF(AND(EXACT(C300,C298),C298&lt;&gt;0),K298+1,0)</f>
        <v>45</v>
      </c>
      <c r="L300" s="126" t="str">
        <f ca="1">IF(C300&lt;&gt;"",C300&amp;"-"&amp;K300,"")</f>
        <v/>
      </c>
      <c r="M300" s="126" t="str">
        <f t="array" aca="1" ref="M300" ca="1">IFERROR(IF(INDEX('Disaggregation Records'!$E$3:$E$80,MATCH(RIGHT(L300,255),RIGHT('Disaggregation Records'!$D$3:$D$80,255),0))="","",INDEX('Disaggregation Records'!$E$3:$E$80,MATCH(RIGHT(L300,255),RIGHT('Disaggregation Records'!$D$3:$D$80,255),0))),"")</f>
        <v/>
      </c>
      <c r="N300" s="126" t="str">
        <f t="array" aca="1" ref="N300" ca="1">IFERROR(IF(INDEX('Disaggregation Records'!$F$3:$F$80,MATCH(RIGHT(L300,255),RIGHT('Disaggregation Records'!$D$3:$D$80,255),0))="","",INDEX('Disaggregation Records'!$F$3:$F$80,MATCH(RIGHT(L300,255),RIGHT('Disaggregation Records'!$D$3:$D$80,255),0))),"")</f>
        <v/>
      </c>
      <c r="O300" s="314" t="str">
        <f t="array" aca="1" ref="O300" ca="1">IFERROR(IF(INDEX('Disaggregation Records'!$H$3:$H$80,MATCH(RIGHT(L300,255),RIGHT('Disaggregation Records'!$D$3:$D$80,255),0))="","",INDEX('Disaggregation Records'!$H$3:$H$80,MATCH(RIGHT(L300,255),RIGHT('Disaggregation Records'!$D$3:$D$80,255),0))),"")</f>
        <v/>
      </c>
      <c r="P300" s="310"/>
      <c r="Q300" s="310">
        <f t="shared" ref="Q300" si="473">Q298+1</f>
        <v>1453</v>
      </c>
      <c r="R300" s="314" t="str" cm="1">
        <f t="array" aca="1" ref="R300" ca="1">IFERROR(IF(INDEX('Disaggregation Records'!$G$3:$G$80,MATCH(RIGHT(L300,255),RIGHT('Disaggregation Records'!$D$3:$D$80,255),0))="","",INDEX('Disaggregation Records'!$G$3:$G$80,MATCH(RIGHT(L300,255),RIGHT('Disaggregation Records'!$D$3:$D$80,255),0))),"")</f>
        <v/>
      </c>
    </row>
    <row r="301" spans="1:18" ht="20.100000000000001" customHeight="1">
      <c r="B301" s="571">
        <v>11.086466165413601</v>
      </c>
      <c r="C301" s="573"/>
      <c r="D301" s="575"/>
      <c r="E301" s="575"/>
      <c r="F301" s="128"/>
      <c r="G301" s="577"/>
      <c r="H301" s="540"/>
      <c r="I301" s="579"/>
      <c r="J301" s="533"/>
      <c r="K301" s="129"/>
      <c r="L301" s="129"/>
      <c r="M301" s="129"/>
      <c r="N301" s="129"/>
      <c r="O301" s="317"/>
      <c r="P301" s="310"/>
      <c r="Q301" s="314"/>
      <c r="R301" s="314" t="str" cm="1">
        <f t="array" ref="R301">IFERROR(IF(INDEX('Disaggregation Records'!$G$3:$G$80,MATCH(RIGHT(L301,255),RIGHT('Disaggregation Records'!$D$3:$D$80,255),0))="","",INDEX('Disaggregation Records'!$G$3:$G$80,MATCH(RIGHT(L301,255),RIGHT('Disaggregation Records'!$D$3:$D$80,255),0))),"")</f>
        <v/>
      </c>
    </row>
    <row r="302" spans="1:18" ht="20.100000000000001" customHeight="1">
      <c r="A302" s="126" t="str">
        <f t="shared" ref="A302" ca="1" si="474">INDIRECT("'update Helper'!C"&amp;Q302)</f>
        <v>a1GDm000000XySJMA0</v>
      </c>
      <c r="B302" s="570">
        <v>15</v>
      </c>
      <c r="C302" s="572" t="str">
        <f ca="1">IFERROR(VLOOKUP(B302,'Impact Indicators - Section B '!$A$9:$AC$68,29,FALSE),"")</f>
        <v/>
      </c>
      <c r="D302" s="574" t="str">
        <f t="shared" ref="D302" ca="1" si="475">M302</f>
        <v/>
      </c>
      <c r="E302" s="574" t="str">
        <f t="shared" ref="E302" ca="1" si="476">N302</f>
        <v/>
      </c>
      <c r="F302" s="127"/>
      <c r="G302" s="576" t="str">
        <f ca="1">IF(OR(INDIRECT("'update Helper'!E"&amp;Q302)="",F302&lt;&gt;0,F303&lt;&gt;0),IF(IFERROR((F302/F303),"")="","",(F302/F303)),INDIRECT("'update Helper'!E"&amp;Q302)/100)</f>
        <v/>
      </c>
      <c r="H302" s="539"/>
      <c r="I302" s="578"/>
      <c r="J302" s="532"/>
      <c r="K302" s="126">
        <f ca="1">IF(AND(EXACT(C302,C300),C300&lt;&gt;0),K300+1,0)</f>
        <v>46</v>
      </c>
      <c r="L302" s="126" t="str">
        <f ca="1">IF(C302&lt;&gt;"",C302&amp;"-"&amp;K302,"")</f>
        <v/>
      </c>
      <c r="M302" s="126" t="str">
        <f t="array" aca="1" ref="M302" ca="1">IFERROR(IF(INDEX('Disaggregation Records'!$E$3:$E$80,MATCH(RIGHT(L302,255),RIGHT('Disaggregation Records'!$D$3:$D$80,255),0))="","",INDEX('Disaggregation Records'!$E$3:$E$80,MATCH(RIGHT(L302,255),RIGHT('Disaggregation Records'!$D$3:$D$80,255),0))),"")</f>
        <v/>
      </c>
      <c r="N302" s="126" t="str">
        <f t="array" aca="1" ref="N302" ca="1">IFERROR(IF(INDEX('Disaggregation Records'!$F$3:$F$80,MATCH(RIGHT(L302,255),RIGHT('Disaggregation Records'!$D$3:$D$80,255),0))="","",INDEX('Disaggregation Records'!$F$3:$F$80,MATCH(RIGHT(L302,255),RIGHT('Disaggregation Records'!$D$3:$D$80,255),0))),"")</f>
        <v/>
      </c>
      <c r="O302" s="314" t="str">
        <f t="array" aca="1" ref="O302" ca="1">IFERROR(IF(INDEX('Disaggregation Records'!$H$3:$H$80,MATCH(RIGHT(L302,255),RIGHT('Disaggregation Records'!$D$3:$D$80,255),0))="","",INDEX('Disaggregation Records'!$H$3:$H$80,MATCH(RIGHT(L302,255),RIGHT('Disaggregation Records'!$D$3:$D$80,255),0))),"")</f>
        <v/>
      </c>
      <c r="P302" s="310"/>
      <c r="Q302" s="310">
        <f t="shared" ref="Q302" si="477">Q300+1</f>
        <v>1454</v>
      </c>
      <c r="R302" s="314" t="str" cm="1">
        <f t="array" aca="1" ref="R302" ca="1">IFERROR(IF(INDEX('Disaggregation Records'!$G$3:$G$80,MATCH(RIGHT(L302,255),RIGHT('Disaggregation Records'!$D$3:$D$80,255),0))="","",INDEX('Disaggregation Records'!$G$3:$G$80,MATCH(RIGHT(L302,255),RIGHT('Disaggregation Records'!$D$3:$D$80,255),0))),"")</f>
        <v/>
      </c>
    </row>
    <row r="303" spans="1:18" ht="20.100000000000001" customHeight="1">
      <c r="A303" s="126"/>
      <c r="B303" s="571">
        <v>11.086466165413601</v>
      </c>
      <c r="C303" s="573"/>
      <c r="D303" s="575"/>
      <c r="E303" s="575"/>
      <c r="F303" s="128"/>
      <c r="G303" s="577"/>
      <c r="H303" s="540"/>
      <c r="I303" s="579"/>
      <c r="J303" s="533"/>
      <c r="K303" s="129"/>
      <c r="L303" s="129"/>
      <c r="M303" s="129"/>
      <c r="N303" s="129"/>
      <c r="O303" s="317"/>
      <c r="P303" s="310"/>
      <c r="Q303" s="314"/>
      <c r="R303" s="314" t="str" cm="1">
        <f t="array" ref="R303">IFERROR(IF(INDEX('Disaggregation Records'!$G$3:$G$80,MATCH(RIGHT(L303,255),RIGHT('Disaggregation Records'!$D$3:$D$80,255),0))="","",INDEX('Disaggregation Records'!$G$3:$G$80,MATCH(RIGHT(L303,255),RIGHT('Disaggregation Records'!$D$3:$D$80,255),0))),"")</f>
        <v/>
      </c>
    </row>
    <row r="304" spans="1:18" ht="20.100000000000001" customHeight="1">
      <c r="A304" s="126" t="str">
        <f t="shared" ca="1" si="421"/>
        <v>a1GDm000000XySKMA0</v>
      </c>
      <c r="B304" s="570">
        <v>15</v>
      </c>
      <c r="C304" s="572" t="str">
        <f ca="1">IFERROR(VLOOKUP(B304,'Impact Indicators - Section B '!$A$9:$AC$68,29,FALSE),"")</f>
        <v/>
      </c>
      <c r="D304" s="574" t="str">
        <f t="shared" ref="D304" ca="1" si="478">M304</f>
        <v/>
      </c>
      <c r="E304" s="574" t="str">
        <f t="shared" ref="E304" ca="1" si="479">N304</f>
        <v/>
      </c>
      <c r="F304" s="127"/>
      <c r="G304" s="576" t="str">
        <f ca="1">IF(OR(INDIRECT("'update Helper'!E"&amp;Q304)="",F304&lt;&gt;0,F305&lt;&gt;0),IF(IFERROR((F304/F305),"")="","",(F304/F305)),INDIRECT("'update Helper'!E"&amp;Q304)/100)</f>
        <v/>
      </c>
      <c r="H304" s="539"/>
      <c r="I304" s="578"/>
      <c r="J304" s="532"/>
      <c r="K304" s="126">
        <f ca="1">IF(AND(EXACT(C304,C302),C302&lt;&gt;0),K302+1,0)</f>
        <v>47</v>
      </c>
      <c r="L304" s="126" t="str">
        <f ca="1">IF(C304&lt;&gt;"",C304&amp;"-"&amp;K304,"")</f>
        <v/>
      </c>
      <c r="M304" s="126" t="str">
        <f t="array" aca="1" ref="M304" ca="1">IFERROR(IF(INDEX('Disaggregation Records'!$E$3:$E$80,MATCH(RIGHT(L304,255),RIGHT('Disaggregation Records'!$D$3:$D$80,255),0))="","",INDEX('Disaggregation Records'!$E$3:$E$80,MATCH(RIGHT(L304,255),RIGHT('Disaggregation Records'!$D$3:$D$80,255),0))),"")</f>
        <v/>
      </c>
      <c r="N304" s="126" t="str">
        <f t="array" aca="1" ref="N304" ca="1">IFERROR(IF(INDEX('Disaggregation Records'!$F$3:$F$80,MATCH(RIGHT(L304,255),RIGHT('Disaggregation Records'!$D$3:$D$80,255),0))="","",INDEX('Disaggregation Records'!$F$3:$F$80,MATCH(RIGHT(L304,255),RIGHT('Disaggregation Records'!$D$3:$D$80,255),0))),"")</f>
        <v/>
      </c>
      <c r="O304" s="314" t="str">
        <f t="array" aca="1" ref="O304" ca="1">IFERROR(IF(INDEX('Disaggregation Records'!$H$3:$H$80,MATCH(RIGHT(L304,255),RIGHT('Disaggregation Records'!$D$3:$D$80,255),0))="","",INDEX('Disaggregation Records'!$H$3:$H$80,MATCH(RIGHT(L304,255),RIGHT('Disaggregation Records'!$D$3:$D$80,255),0))),"")</f>
        <v/>
      </c>
      <c r="P304" s="310"/>
      <c r="Q304" s="310">
        <f t="shared" ref="Q304" si="480">Q302+1</f>
        <v>1455</v>
      </c>
      <c r="R304" s="314" t="str" cm="1">
        <f t="array" aca="1" ref="R304" ca="1">IFERROR(IF(INDEX('Disaggregation Records'!$G$3:$G$80,MATCH(RIGHT(L304,255),RIGHT('Disaggregation Records'!$D$3:$D$80,255),0))="","",INDEX('Disaggregation Records'!$G$3:$G$80,MATCH(RIGHT(L304,255),RIGHT('Disaggregation Records'!$D$3:$D$80,255),0))),"")</f>
        <v/>
      </c>
    </row>
    <row r="305" spans="1:18" ht="20.100000000000001" customHeight="1">
      <c r="B305" s="571">
        <v>11.086466165413601</v>
      </c>
      <c r="C305" s="573"/>
      <c r="D305" s="575"/>
      <c r="E305" s="575"/>
      <c r="F305" s="128"/>
      <c r="G305" s="577"/>
      <c r="H305" s="540"/>
      <c r="I305" s="579"/>
      <c r="J305" s="533"/>
      <c r="K305" s="129"/>
      <c r="L305" s="129"/>
      <c r="M305" s="129"/>
      <c r="N305" s="129"/>
      <c r="O305" s="317"/>
      <c r="P305" s="310"/>
      <c r="Q305" s="314"/>
      <c r="R305" s="314" t="str" cm="1">
        <f t="array" ref="R305">IFERROR(IF(INDEX('Disaggregation Records'!$G$3:$G$80,MATCH(RIGHT(L305,255),RIGHT('Disaggregation Records'!$D$3:$D$80,255),0))="","",INDEX('Disaggregation Records'!$G$3:$G$80,MATCH(RIGHT(L305,255),RIGHT('Disaggregation Records'!$D$3:$D$80,255),0))),"")</f>
        <v/>
      </c>
    </row>
    <row r="306" spans="1:18" ht="20.100000000000001" customHeight="1">
      <c r="A306" s="126" t="str">
        <f t="shared" ref="A306" ca="1" si="481">INDIRECT("'update Helper'!C"&amp;Q306)</f>
        <v>a1GDm000000XySLMA0</v>
      </c>
      <c r="B306" s="570">
        <v>15</v>
      </c>
      <c r="C306" s="572" t="str">
        <f ca="1">IFERROR(VLOOKUP(B306,'Impact Indicators - Section B '!$A$9:$AC$68,29,FALSE),"")</f>
        <v/>
      </c>
      <c r="D306" s="574" t="str">
        <f t="shared" ref="D306" ca="1" si="482">M306</f>
        <v/>
      </c>
      <c r="E306" s="574" t="str">
        <f t="shared" ref="E306" ca="1" si="483">N306</f>
        <v/>
      </c>
      <c r="F306" s="127"/>
      <c r="G306" s="576" t="str">
        <f ca="1">IF(OR(INDIRECT("'update Helper'!E"&amp;Q306)="",F306&lt;&gt;0,F307&lt;&gt;0),IF(IFERROR((F306/F307),"")="","",(F306/F307)),INDIRECT("'update Helper'!E"&amp;Q306)/100)</f>
        <v/>
      </c>
      <c r="H306" s="539"/>
      <c r="I306" s="578"/>
      <c r="J306" s="532"/>
      <c r="K306" s="126">
        <f ca="1">IF(AND(EXACT(C306,C304),C304&lt;&gt;0),K304+1,0)</f>
        <v>48</v>
      </c>
      <c r="L306" s="126" t="str">
        <f ca="1">IF(C306&lt;&gt;"",C306&amp;"-"&amp;K306,"")</f>
        <v/>
      </c>
      <c r="M306" s="126" t="str">
        <f t="array" aca="1" ref="M306" ca="1">IFERROR(IF(INDEX('Disaggregation Records'!$E$3:$E$80,MATCH(RIGHT(L306,255),RIGHT('Disaggregation Records'!$D$3:$D$80,255),0))="","",INDEX('Disaggregation Records'!$E$3:$E$80,MATCH(RIGHT(L306,255),RIGHT('Disaggregation Records'!$D$3:$D$80,255),0))),"")</f>
        <v/>
      </c>
      <c r="N306" s="126" t="str">
        <f t="array" aca="1" ref="N306" ca="1">IFERROR(IF(INDEX('Disaggregation Records'!$F$3:$F$80,MATCH(RIGHT(L306,255),RIGHT('Disaggregation Records'!$D$3:$D$80,255),0))="","",INDEX('Disaggregation Records'!$F$3:$F$80,MATCH(RIGHT(L306,255),RIGHT('Disaggregation Records'!$D$3:$D$80,255),0))),"")</f>
        <v/>
      </c>
      <c r="O306" s="314" t="str">
        <f t="array" aca="1" ref="O306" ca="1">IFERROR(IF(INDEX('Disaggregation Records'!$H$3:$H$80,MATCH(RIGHT(L306,255),RIGHT('Disaggregation Records'!$D$3:$D$80,255),0))="","",INDEX('Disaggregation Records'!$H$3:$H$80,MATCH(RIGHT(L306,255),RIGHT('Disaggregation Records'!$D$3:$D$80,255),0))),"")</f>
        <v/>
      </c>
      <c r="P306" s="310"/>
      <c r="Q306" s="310">
        <f t="shared" ref="Q306" si="484">Q304+1</f>
        <v>1456</v>
      </c>
      <c r="R306" s="314" t="str" cm="1">
        <f t="array" aca="1" ref="R306" ca="1">IFERROR(IF(INDEX('Disaggregation Records'!$G$3:$G$80,MATCH(RIGHT(L306,255),RIGHT('Disaggregation Records'!$D$3:$D$80,255),0))="","",INDEX('Disaggregation Records'!$G$3:$G$80,MATCH(RIGHT(L306,255),RIGHT('Disaggregation Records'!$D$3:$D$80,255),0))),"")</f>
        <v/>
      </c>
    </row>
    <row r="307" spans="1:18" ht="20.100000000000001" customHeight="1">
      <c r="A307" s="126"/>
      <c r="B307" s="571">
        <v>11.086466165413601</v>
      </c>
      <c r="C307" s="573"/>
      <c r="D307" s="575"/>
      <c r="E307" s="575"/>
      <c r="F307" s="128"/>
      <c r="G307" s="577"/>
      <c r="H307" s="540"/>
      <c r="I307" s="579"/>
      <c r="J307" s="533"/>
      <c r="K307" s="129"/>
      <c r="L307" s="129"/>
      <c r="M307" s="129"/>
      <c r="N307" s="129"/>
      <c r="O307" s="317"/>
      <c r="P307" s="310"/>
      <c r="Q307" s="314"/>
      <c r="R307" s="314" t="str" cm="1">
        <f t="array" ref="R307">IFERROR(IF(INDEX('Disaggregation Records'!$G$3:$G$80,MATCH(RIGHT(L307,255),RIGHT('Disaggregation Records'!$D$3:$D$80,255),0))="","",INDEX('Disaggregation Records'!$G$3:$G$80,MATCH(RIGHT(L307,255),RIGHT('Disaggregation Records'!$D$3:$D$80,255),0))),"")</f>
        <v/>
      </c>
    </row>
    <row r="308" spans="1:18" ht="20.100000000000001" customHeight="1">
      <c r="A308" s="126" t="str">
        <f t="shared" ca="1" si="421"/>
        <v>a1GDm000000XySMMA0</v>
      </c>
      <c r="B308" s="570">
        <v>15</v>
      </c>
      <c r="C308" s="572" t="str">
        <f ca="1">IFERROR(VLOOKUP(B308,'Impact Indicators - Section B '!$A$9:$AC$68,29,FALSE),"")</f>
        <v/>
      </c>
      <c r="D308" s="574" t="str">
        <f t="shared" ref="D308" ca="1" si="485">M308</f>
        <v/>
      </c>
      <c r="E308" s="574" t="str">
        <f t="shared" ref="E308" ca="1" si="486">N308</f>
        <v/>
      </c>
      <c r="F308" s="127"/>
      <c r="G308" s="576" t="str">
        <f ca="1">IF(OR(INDIRECT("'update Helper'!E"&amp;Q308)="",F308&lt;&gt;0,F309&lt;&gt;0),IF(IFERROR((F308/F309),"")="","",(F308/F309)),INDIRECT("'update Helper'!E"&amp;Q308)/100)</f>
        <v/>
      </c>
      <c r="H308" s="539"/>
      <c r="I308" s="578"/>
      <c r="J308" s="532"/>
      <c r="K308" s="126">
        <f ca="1">IF(AND(EXACT(C308,C306),C306&lt;&gt;0),K306+1,0)</f>
        <v>49</v>
      </c>
      <c r="L308" s="126" t="str">
        <f ca="1">IF(C308&lt;&gt;"",C308&amp;"-"&amp;K308,"")</f>
        <v/>
      </c>
      <c r="M308" s="126" t="str">
        <f t="array" aca="1" ref="M308" ca="1">IFERROR(IF(INDEX('Disaggregation Records'!$E$3:$E$80,MATCH(RIGHT(L308,255),RIGHT('Disaggregation Records'!$D$3:$D$80,255),0))="","",INDEX('Disaggregation Records'!$E$3:$E$80,MATCH(RIGHT(L308,255),RIGHT('Disaggregation Records'!$D$3:$D$80,255),0))),"")</f>
        <v/>
      </c>
      <c r="N308" s="126" t="str">
        <f t="array" aca="1" ref="N308" ca="1">IFERROR(IF(INDEX('Disaggregation Records'!$F$3:$F$80,MATCH(RIGHT(L308,255),RIGHT('Disaggregation Records'!$D$3:$D$80,255),0))="","",INDEX('Disaggregation Records'!$F$3:$F$80,MATCH(RIGHT(L308,255),RIGHT('Disaggregation Records'!$D$3:$D$80,255),0))),"")</f>
        <v/>
      </c>
      <c r="O308" s="314" t="str">
        <f t="array" aca="1" ref="O308" ca="1">IFERROR(IF(INDEX('Disaggregation Records'!$H$3:$H$80,MATCH(RIGHT(L308,255),RIGHT('Disaggregation Records'!$D$3:$D$80,255),0))="","",INDEX('Disaggregation Records'!$H$3:$H$80,MATCH(RIGHT(L308,255),RIGHT('Disaggregation Records'!$D$3:$D$80,255),0))),"")</f>
        <v/>
      </c>
      <c r="P308" s="310"/>
      <c r="Q308" s="310">
        <f t="shared" ref="Q308" si="487">Q306+1</f>
        <v>1457</v>
      </c>
      <c r="R308" s="314" t="str" cm="1">
        <f t="array" aca="1" ref="R308" ca="1">IFERROR(IF(INDEX('Disaggregation Records'!$G$3:$G$80,MATCH(RIGHT(L308,255),RIGHT('Disaggregation Records'!$D$3:$D$80,255),0))="","",INDEX('Disaggregation Records'!$G$3:$G$80,MATCH(RIGHT(L308,255),RIGHT('Disaggregation Records'!$D$3:$D$80,255),0))),"")</f>
        <v/>
      </c>
    </row>
    <row r="309" spans="1:18" ht="20.100000000000001" customHeight="1">
      <c r="B309" s="571">
        <v>11.086466165413601</v>
      </c>
      <c r="C309" s="573"/>
      <c r="D309" s="575"/>
      <c r="E309" s="575"/>
      <c r="F309" s="128"/>
      <c r="G309" s="577"/>
      <c r="H309" s="540"/>
      <c r="I309" s="579"/>
      <c r="J309" s="533"/>
      <c r="K309" s="129"/>
      <c r="L309" s="129"/>
      <c r="M309" s="129"/>
      <c r="N309" s="129"/>
      <c r="O309" s="317"/>
      <c r="P309" s="310"/>
      <c r="Q309" s="314"/>
      <c r="R309" s="314" t="str" cm="1">
        <f t="array" ref="R309">IFERROR(IF(INDEX('Disaggregation Records'!$G$3:$G$80,MATCH(RIGHT(L309,255),RIGHT('Disaggregation Records'!$D$3:$D$80,255),0))="","",INDEX('Disaggregation Records'!$G$3:$G$80,MATCH(RIGHT(L309,255),RIGHT('Disaggregation Records'!$D$3:$D$80,255),0))),"")</f>
        <v/>
      </c>
    </row>
    <row r="310" spans="1:18" ht="20.100000000000001" customHeight="1">
      <c r="B310" s="130"/>
      <c r="C310" s="130"/>
      <c r="D310" s="130"/>
      <c r="E310" s="130"/>
      <c r="F310" s="126"/>
      <c r="G310" s="131"/>
      <c r="H310" s="131"/>
      <c r="I310" s="131"/>
      <c r="J310" s="131"/>
    </row>
    <row r="311" spans="1:18" ht="20.100000000000001" customHeight="1">
      <c r="B311" s="130"/>
      <c r="C311" s="130"/>
      <c r="D311" s="130"/>
      <c r="E311" s="130"/>
      <c r="F311" s="126"/>
      <c r="G311" s="131"/>
      <c r="H311" s="131"/>
      <c r="I311" s="131"/>
      <c r="J311" s="131"/>
    </row>
    <row r="312" spans="1:18" ht="20.100000000000001" customHeight="1">
      <c r="B312" s="130"/>
      <c r="C312" s="130"/>
      <c r="D312" s="130"/>
      <c r="E312" s="130"/>
      <c r="F312" s="126"/>
      <c r="G312" s="131"/>
      <c r="H312" s="131"/>
      <c r="I312" s="131"/>
      <c r="J312" s="131"/>
    </row>
    <row r="313" spans="1:18">
      <c r="B313" s="130"/>
      <c r="C313" s="132"/>
      <c r="D313" s="132"/>
      <c r="E313" s="132"/>
    </row>
    <row r="314" spans="1:18" ht="16.350000000000001" customHeight="1">
      <c r="B314" s="584" t="s">
        <v>2267</v>
      </c>
      <c r="C314" s="585"/>
      <c r="D314" s="585"/>
      <c r="E314" s="585"/>
      <c r="F314" s="585"/>
      <c r="G314" s="585"/>
      <c r="H314" s="585"/>
      <c r="I314" s="585"/>
      <c r="J314" s="585"/>
    </row>
    <row r="315" spans="1:18" ht="45" customHeight="1">
      <c r="B315" s="125" t="s">
        <v>2268</v>
      </c>
      <c r="C315" s="125" t="s">
        <v>2269</v>
      </c>
      <c r="D315" s="125" t="s">
        <v>2256</v>
      </c>
      <c r="E315" s="125" t="s">
        <v>2257</v>
      </c>
      <c r="F315" s="125" t="s">
        <v>767</v>
      </c>
      <c r="G315" s="125" t="s">
        <v>105</v>
      </c>
      <c r="H315" s="125" t="s">
        <v>768</v>
      </c>
      <c r="I315" s="125" t="s">
        <v>199</v>
      </c>
      <c r="J315" s="125" t="s">
        <v>176</v>
      </c>
      <c r="O315" s="316" t="s">
        <v>2258</v>
      </c>
      <c r="P315" s="312"/>
      <c r="Q315" s="312"/>
      <c r="R315" s="312" t="s">
        <v>2259</v>
      </c>
    </row>
    <row r="316" spans="1:18" s="126" customFormat="1" ht="20.100000000000001" customHeight="1">
      <c r="A316" s="126" t="str">
        <f ca="1">INDIRECT("'update Helper'!C"&amp;Q316)</f>
        <v>a1VDm000000Pg9nMAC</v>
      </c>
      <c r="B316" s="570">
        <v>1</v>
      </c>
      <c r="C316" s="572" t="str">
        <f ca="1">IFERROR(VLOOKUP(B316,'Outcome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16" s="574" t="str">
        <f ca="1">M316</f>
        <v>Age</v>
      </c>
      <c r="E316" s="574" t="str">
        <f ca="1">N316</f>
        <v>15+</v>
      </c>
      <c r="F316" s="127">
        <v>187489</v>
      </c>
      <c r="G316" s="576">
        <f ca="1">IF(OR(INDIRECT("'update Helper'!E"&amp;Q316)="",F316&lt;&gt;0,F317&lt;&gt;0),IF(IFERROR((F316/F317),"")="","",(F316/F317)),INDIRECT("'update Helper'!E"&amp;Q316)/100)</f>
        <v>0.61471803278688519</v>
      </c>
      <c r="H316" s="539">
        <v>2021</v>
      </c>
      <c r="I316" s="578" t="s">
        <v>780</v>
      </c>
      <c r="J316" s="532"/>
      <c r="K316" s="126">
        <f ca="1">IF(AND(EXACT(C316,C314),C314&lt;&gt;0),K314+1,0)</f>
        <v>0</v>
      </c>
      <c r="L316" s="126" t="str">
        <f ca="1">IF(C316&lt;&gt;"",C316&amp;"-"&amp;K316,"")</f>
        <v>TB O-5 TB treatment coverage: Percentage of patients with new and relapse TB that were notified and treated among the estimated number of incident TB in the same year (all forms of TB - bacteriologically confirmed plus clinically diagnosed-0</v>
      </c>
      <c r="M316" s="126" t="str">
        <f t="array" aca="1" ref="M316" ca="1">IFERROR(IF(INDEX('Disaggregation Records'!$E$83:$E$153,MATCH(RIGHT(L316,255),RIGHT('Disaggregation Records'!$D$83:$D$153,255),0))="","",INDEX('Disaggregation Records'!$E$83:$E$153,MATCH(RIGHT(L316,255),RIGHT('Disaggregation Records'!$D$83:$D$153,255),0))),"")</f>
        <v>Age</v>
      </c>
      <c r="N316" s="126" t="str">
        <f t="array" aca="1" ref="N316" ca="1">IFERROR(IF(INDEX('Disaggregation Records'!$F$83:$F$153,MATCH(RIGHT(L316,255),RIGHT('Disaggregation Records'!$D$83:$D$153,255),0))="","",INDEX('Disaggregation Records'!$F$83:$F$153,MATCH(RIGHT(L316,255),RIGHT('Disaggregation Records'!$D$83:$D$153,255),0))),"")</f>
        <v>15+</v>
      </c>
      <c r="O316" s="314" t="str">
        <f t="array" aca="1" ref="O316" ca="1">IFERROR(IF(INDEX('Disaggregation Records'!$H$83:$H$153,MATCH(RIGHT(L316,255),RIGHT('Disaggregation Records'!$D$83:$D$153,255),0))="","",INDEX('Disaggregation Records'!$H$83:$H$153,MATCH(RIGHT(L316,255),RIGHT('Disaggregation Records'!$D$83:$D$153,255),0))),"")</f>
        <v>IDR-01140</v>
      </c>
      <c r="P316" s="314"/>
      <c r="Q316" s="314">
        <f>ROW(Outcome_Indicator_Disaggregation)+3</f>
        <v>1004</v>
      </c>
      <c r="R316" s="314" t="str" cm="1">
        <f t="array" aca="1" ref="R316" ca="1">IFERROR(IF(INDEX('Disaggregation Records'!$G$83:$G$153,MATCH(RIGHT(L316,255),RIGHT('Disaggregation Records'!$D$83:$D$153,255),0))="","",INDEX('Disaggregation Records'!$G$83:$G$153,MATCH(RIGHT(L316,255),RIGHT('Disaggregation Records'!$D$83:$D$153,255),0))),"")</f>
        <v>a1LDm000000Cb18MAC</v>
      </c>
    </row>
    <row r="317" spans="1:18" s="126" customFormat="1" ht="20.100000000000001" customHeight="1">
      <c r="B317" s="571"/>
      <c r="C317" s="573"/>
      <c r="D317" s="575"/>
      <c r="E317" s="575"/>
      <c r="F317" s="128">
        <v>305000</v>
      </c>
      <c r="G317" s="577"/>
      <c r="H317" s="540"/>
      <c r="I317" s="579"/>
      <c r="J317" s="533"/>
      <c r="O317" s="314"/>
      <c r="P317" s="314"/>
      <c r="Q317" s="314"/>
      <c r="R317" s="314" t="str" cm="1">
        <f t="array" ref="R317">IFERROR(IF(INDEX('Disaggregation Records'!$G$83:$G$153,MATCH(RIGHT(L317,255),RIGHT('Disaggregation Records'!$D$83:$D$153,255),0))="","",INDEX('Disaggregation Records'!$G$83:$G$153,MATCH(RIGHT(L317,255),RIGHT('Disaggregation Records'!$D$83:$D$153,255),0))),"")</f>
        <v/>
      </c>
    </row>
    <row r="318" spans="1:18" ht="20.100000000000001" customHeight="1">
      <c r="A318" s="126" t="str">
        <f ca="1">INDIRECT("'update Helper'!C"&amp;Q318)</f>
        <v>a1VDm000000Pg9oMAC</v>
      </c>
      <c r="B318" s="570">
        <v>1</v>
      </c>
      <c r="C318" s="572" t="str">
        <f ca="1">IFERROR(VLOOKUP(B318,'Outcome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18" s="574" t="str">
        <f ca="1">M318</f>
        <v>Age</v>
      </c>
      <c r="E318" s="574" t="str">
        <f ca="1">N318</f>
        <v>&lt;15</v>
      </c>
      <c r="F318" s="127">
        <v>26919</v>
      </c>
      <c r="G318" s="576">
        <f ca="1">IF(OR(INDIRECT("'update Helper'!E"&amp;Q318)="",F318&lt;&gt;0,F319&lt;&gt;0),IF(IFERROR((F318/F319),"")="","",(F318/F319)),INDIRECT("'update Helper'!E"&amp;Q318)/100)</f>
        <v>8.8259016393442621E-2</v>
      </c>
      <c r="H318" s="539">
        <v>2021</v>
      </c>
      <c r="I318" s="578" t="s">
        <v>780</v>
      </c>
      <c r="J318" s="532"/>
      <c r="K318" s="126">
        <f ca="1">IF(AND(EXACT(C318,C316),C316&lt;&gt;0),K316+1,0)</f>
        <v>1</v>
      </c>
      <c r="L318" s="126" t="str">
        <f ca="1">IF(C318&lt;&gt;"",C318&amp;"-"&amp;K318,"")</f>
        <v>TB O-5 TB treatment coverage: Percentage of patients with new and relapse TB that were notified and treated among the estimated number of incident TB in the same year (all forms of TB - bacteriologically confirmed plus clinically diagnosed-1</v>
      </c>
      <c r="M318" s="126" t="str">
        <f t="array" aca="1" ref="M318" ca="1">IFERROR(IF(INDEX('Disaggregation Records'!$E$83:$E$153,MATCH(RIGHT(L318,255),RIGHT('Disaggregation Records'!$D$83:$D$153,255),0))="","",INDEX('Disaggregation Records'!$E$83:$E$153,MATCH(RIGHT(L318,255),RIGHT('Disaggregation Records'!$D$83:$D$153,255),0))),"")</f>
        <v>Age</v>
      </c>
      <c r="N318" s="126" t="str">
        <f t="array" aca="1" ref="N318" ca="1">IFERROR(IF(INDEX('Disaggregation Records'!$F$83:$F$153,MATCH(RIGHT(L318,255),RIGHT('Disaggregation Records'!$D$83:$D$153,255),0))="","",INDEX('Disaggregation Records'!$F$83:$F$153,MATCH(RIGHT(L318,255),RIGHT('Disaggregation Records'!$D$83:$D$153,255),0))),"")</f>
        <v>&lt;15</v>
      </c>
      <c r="O318" s="314" t="str">
        <f t="array" aca="1" ref="O318" ca="1">IFERROR(IF(INDEX('Disaggregation Records'!$H$83:$H$153,MATCH(RIGHT(L318,255),RIGHT('Disaggregation Records'!$D$83:$D$153,255),0))="","",INDEX('Disaggregation Records'!$H$83:$H$153,MATCH(RIGHT(L318,255),RIGHT('Disaggregation Records'!$D$83:$D$153,255),0))),"")</f>
        <v>IDR-01139</v>
      </c>
      <c r="P318" s="314"/>
      <c r="Q318" s="310">
        <f>Q316+1</f>
        <v>1005</v>
      </c>
      <c r="R318" s="314" t="str" cm="1">
        <f t="array" aca="1" ref="R318" ca="1">IFERROR(IF(INDEX('Disaggregation Records'!$G$83:$G$153,MATCH(RIGHT(L318,255),RIGHT('Disaggregation Records'!$D$83:$D$153,255),0))="","",INDEX('Disaggregation Records'!$G$83:$G$153,MATCH(RIGHT(L318,255),RIGHT('Disaggregation Records'!$D$83:$D$153,255),0))),"")</f>
        <v>a1LDm000000Cb17MAC</v>
      </c>
    </row>
    <row r="319" spans="1:18" ht="20.100000000000001" customHeight="1">
      <c r="B319" s="571"/>
      <c r="C319" s="573"/>
      <c r="D319" s="575"/>
      <c r="E319" s="575"/>
      <c r="F319" s="128">
        <v>305000</v>
      </c>
      <c r="G319" s="577"/>
      <c r="H319" s="540"/>
      <c r="I319" s="579"/>
      <c r="J319" s="533"/>
      <c r="K319" s="126"/>
      <c r="L319" s="126"/>
      <c r="M319" s="126"/>
      <c r="N319" s="126"/>
      <c r="O319" s="314"/>
      <c r="P319" s="314"/>
      <c r="Q319" s="310"/>
      <c r="R319" s="314" t="str" cm="1">
        <f t="array" ref="R319">IFERROR(IF(INDEX('Disaggregation Records'!$G$83:$G$153,MATCH(RIGHT(L319,255),RIGHT('Disaggregation Records'!$D$83:$D$153,255),0))="","",INDEX('Disaggregation Records'!$G$83:$G$153,MATCH(RIGHT(L319,255),RIGHT('Disaggregation Records'!$D$83:$D$153,255),0))),"")</f>
        <v/>
      </c>
    </row>
    <row r="320" spans="1:18" ht="20.100000000000001" customHeight="1">
      <c r="A320" s="126" t="str">
        <f t="shared" ref="A320" ca="1" si="488">INDIRECT("'update Helper'!C"&amp;Q320)</f>
        <v>a1VDm000000Pg9pMAC</v>
      </c>
      <c r="B320" s="570">
        <v>1</v>
      </c>
      <c r="C320" s="572" t="str">
        <f ca="1">IFERROR(VLOOKUP(B320,'Outcome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20" s="574" t="str">
        <f ca="1">M320</f>
        <v>Gender</v>
      </c>
      <c r="E320" s="574" t="str">
        <f ca="1">N320</f>
        <v>Male</v>
      </c>
      <c r="F320" s="127">
        <v>121367</v>
      </c>
      <c r="G320" s="576">
        <f ca="1">IF(OR(INDIRECT("'update Helper'!E"&amp;Q320)="",F320&lt;&gt;0,F321&lt;&gt;0),IF(IFERROR((F320/F321),"")="","",(F320/F321)),INDIRECT("'update Helper'!E"&amp;Q320)/100)</f>
        <v>0.39792459016393444</v>
      </c>
      <c r="H320" s="539">
        <v>2021</v>
      </c>
      <c r="I320" s="578" t="s">
        <v>780</v>
      </c>
      <c r="J320" s="532"/>
      <c r="K320" s="126">
        <f ca="1">IF(AND(EXACT(C320,C318),C318&lt;&gt;0),K318+1,0)</f>
        <v>2</v>
      </c>
      <c r="L320" s="126" t="str">
        <f ca="1">IF(C320&lt;&gt;"",C320&amp;"-"&amp;K320,"")</f>
        <v>TB O-5 TB treatment coverage: Percentage of patients with new and relapse TB that were notified and treated among the estimated number of incident TB in the same year (all forms of TB - bacteriologically confirmed plus clinically diagnosed-2</v>
      </c>
      <c r="M320" s="126" t="str">
        <f t="array" aca="1" ref="M320" ca="1">IFERROR(IF(INDEX('Disaggregation Records'!$E$83:$E$153,MATCH(RIGHT(L320,255),RIGHT('Disaggregation Records'!$D$83:$D$153,255),0))="","",INDEX('Disaggregation Records'!$E$83:$E$153,MATCH(RIGHT(L320,255),RIGHT('Disaggregation Records'!$D$83:$D$153,255),0))),"")</f>
        <v>Gender</v>
      </c>
      <c r="N320" s="126" t="str">
        <f t="array" aca="1" ref="N320" ca="1">IFERROR(IF(INDEX('Disaggregation Records'!$F$83:$F$153,MATCH(RIGHT(L320,255),RIGHT('Disaggregation Records'!$D$83:$D$153,255),0))="","",INDEX('Disaggregation Records'!$F$83:$F$153,MATCH(RIGHT(L320,255),RIGHT('Disaggregation Records'!$D$83:$D$153,255),0))),"")</f>
        <v>Male</v>
      </c>
      <c r="O320" s="314" t="str">
        <f t="array" aca="1" ref="O320" ca="1">IFERROR(IF(INDEX('Disaggregation Records'!$H$83:$H$153,MATCH(RIGHT(L320,255),RIGHT('Disaggregation Records'!$D$83:$D$153,255),0))="","",INDEX('Disaggregation Records'!$H$83:$H$153,MATCH(RIGHT(L320,255),RIGHT('Disaggregation Records'!$D$83:$D$153,255),0))),"")</f>
        <v>IDR-01138</v>
      </c>
      <c r="P320" s="314"/>
      <c r="Q320" s="310">
        <f t="shared" ref="Q320" si="489">Q318+1</f>
        <v>1006</v>
      </c>
      <c r="R320" s="314" t="str" cm="1">
        <f t="array" aca="1" ref="R320" ca="1">IFERROR(IF(INDEX('Disaggregation Records'!$G$83:$G$153,MATCH(RIGHT(L320,255),RIGHT('Disaggregation Records'!$D$83:$D$153,255),0))="","",INDEX('Disaggregation Records'!$G$83:$G$153,MATCH(RIGHT(L320,255),RIGHT('Disaggregation Records'!$D$83:$D$153,255),0))),"")</f>
        <v>a1LDm000000Cb16MAC</v>
      </c>
    </row>
    <row r="321" spans="1:18" ht="20.100000000000001" customHeight="1">
      <c r="A321" s="126"/>
      <c r="B321" s="571"/>
      <c r="C321" s="573"/>
      <c r="D321" s="575"/>
      <c r="E321" s="575"/>
      <c r="F321" s="128">
        <v>305000</v>
      </c>
      <c r="G321" s="577"/>
      <c r="H321" s="540"/>
      <c r="I321" s="579"/>
      <c r="J321" s="533"/>
      <c r="K321" s="126"/>
      <c r="L321" s="126"/>
      <c r="M321" s="126"/>
      <c r="N321" s="126"/>
      <c r="O321" s="314"/>
      <c r="P321" s="314"/>
      <c r="Q321" s="310"/>
      <c r="R321" s="314" t="str" cm="1">
        <f t="array" ref="R321">IFERROR(IF(INDEX('Disaggregation Records'!$G$83:$G$153,MATCH(RIGHT(L321,255),RIGHT('Disaggregation Records'!$D$83:$D$153,255),0))="","",INDEX('Disaggregation Records'!$G$83:$G$153,MATCH(RIGHT(L321,255),RIGHT('Disaggregation Records'!$D$83:$D$153,255),0))),"")</f>
        <v/>
      </c>
    </row>
    <row r="322" spans="1:18" ht="20.100000000000001" customHeight="1">
      <c r="A322" s="126" t="str">
        <f t="shared" ref="A322" ca="1" si="490">INDIRECT("'update Helper'!C"&amp;Q322)</f>
        <v>a1VDm000000Pg9qMAC</v>
      </c>
      <c r="B322" s="570">
        <v>1</v>
      </c>
      <c r="C322" s="572" t="str">
        <f ca="1">IFERROR(VLOOKUP(B322,'Outcome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22" s="574" t="str">
        <f ca="1">M322</f>
        <v>Gender</v>
      </c>
      <c r="E322" s="574" t="str">
        <f ca="1">N322</f>
        <v>Female</v>
      </c>
      <c r="F322" s="127">
        <v>93041</v>
      </c>
      <c r="G322" s="576">
        <f ca="1">IF(OR(INDIRECT("'update Helper'!E"&amp;Q322)="",F322&lt;&gt;0,F323&lt;&gt;0),IF(IFERROR((F322/F323),"")="","",(F322/F323)),INDIRECT("'update Helper'!E"&amp;Q322)/100)</f>
        <v>0.30505245901639344</v>
      </c>
      <c r="H322" s="539">
        <v>2021</v>
      </c>
      <c r="I322" s="578" t="s">
        <v>780</v>
      </c>
      <c r="J322" s="532"/>
      <c r="K322" s="126">
        <f ca="1">IF(AND(EXACT(C322,C320),C320&lt;&gt;0),K320+1,0)</f>
        <v>3</v>
      </c>
      <c r="L322" s="126" t="str">
        <f ca="1">IF(C322&lt;&gt;"",C322&amp;"-"&amp;K322,"")</f>
        <v>TB O-5 TB treatment coverage: Percentage of patients with new and relapse TB that were notified and treated among the estimated number of incident TB in the same year (all forms of TB - bacteriologically confirmed plus clinically diagnosed-3</v>
      </c>
      <c r="M322" s="126" t="str">
        <f t="array" aca="1" ref="M322" ca="1">IFERROR(IF(INDEX('Disaggregation Records'!$E$83:$E$153,MATCH(RIGHT(L322,255),RIGHT('Disaggregation Records'!$D$83:$D$153,255),0))="","",INDEX('Disaggregation Records'!$E$83:$E$153,MATCH(RIGHT(L322,255),RIGHT('Disaggregation Records'!$D$83:$D$153,255),0))),"")</f>
        <v>Gender</v>
      </c>
      <c r="N322" s="126" t="str">
        <f t="array" aca="1" ref="N322" ca="1">IFERROR(IF(INDEX('Disaggregation Records'!$F$83:$F$153,MATCH(RIGHT(L322,255),RIGHT('Disaggregation Records'!$D$83:$D$153,255),0))="","",INDEX('Disaggregation Records'!$F$83:$F$153,MATCH(RIGHT(L322,255),RIGHT('Disaggregation Records'!$D$83:$D$153,255),0))),"")</f>
        <v>Female</v>
      </c>
      <c r="O322" s="314" t="str">
        <f t="array" aca="1" ref="O322" ca="1">IFERROR(IF(INDEX('Disaggregation Records'!$H$83:$H$153,MATCH(RIGHT(L322,255),RIGHT('Disaggregation Records'!$D$83:$D$153,255),0))="","",INDEX('Disaggregation Records'!$H$83:$H$153,MATCH(RIGHT(L322,255),RIGHT('Disaggregation Records'!$D$83:$D$153,255),0))),"")</f>
        <v>IDR-01137</v>
      </c>
      <c r="P322" s="314"/>
      <c r="Q322" s="310">
        <f t="shared" ref="Q322" si="491">Q320+1</f>
        <v>1007</v>
      </c>
      <c r="R322" s="314" t="str" cm="1">
        <f t="array" aca="1" ref="R322" ca="1">IFERROR(IF(INDEX('Disaggregation Records'!$G$83:$G$153,MATCH(RIGHT(L322,255),RIGHT('Disaggregation Records'!$D$83:$D$153,255),0))="","",INDEX('Disaggregation Records'!$G$83:$G$153,MATCH(RIGHT(L322,255),RIGHT('Disaggregation Records'!$D$83:$D$153,255),0))),"")</f>
        <v>a1LDm000000Cb15MAC</v>
      </c>
    </row>
    <row r="323" spans="1:18" ht="20.100000000000001" customHeight="1">
      <c r="B323" s="571"/>
      <c r="C323" s="573"/>
      <c r="D323" s="575"/>
      <c r="E323" s="575"/>
      <c r="F323" s="128">
        <v>305000</v>
      </c>
      <c r="G323" s="577"/>
      <c r="H323" s="540"/>
      <c r="I323" s="579"/>
      <c r="J323" s="533"/>
      <c r="K323" s="126"/>
      <c r="L323" s="126"/>
      <c r="M323" s="126"/>
      <c r="N323" s="126"/>
      <c r="O323" s="314"/>
      <c r="P323" s="314"/>
      <c r="Q323" s="310"/>
      <c r="R323" s="314" t="str" cm="1">
        <f t="array" ref="R323">IFERROR(IF(INDEX('Disaggregation Records'!$G$83:$G$153,MATCH(RIGHT(L323,255),RIGHT('Disaggregation Records'!$D$83:$D$153,255),0))="","",INDEX('Disaggregation Records'!$G$83:$G$153,MATCH(RIGHT(L323,255),RIGHT('Disaggregation Records'!$D$83:$D$153,255),0))),"")</f>
        <v/>
      </c>
    </row>
    <row r="324" spans="1:18" ht="20.100000000000001" customHeight="1">
      <c r="A324" s="126" t="str">
        <f t="shared" ref="A324" ca="1" si="492">INDIRECT("'update Helper'!C"&amp;Q324)</f>
        <v>a1VDm000000Pg9rMAC</v>
      </c>
      <c r="B324" s="570">
        <v>1</v>
      </c>
      <c r="C324" s="572" t="str">
        <f ca="1">IFERROR(VLOOKUP(B324,'Outcome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24" s="574" t="str">
        <f ca="1">M324</f>
        <v/>
      </c>
      <c r="E324" s="574" t="str">
        <f ca="1">N324</f>
        <v/>
      </c>
      <c r="F324" s="127"/>
      <c r="G324" s="576" t="str">
        <f ca="1">IF(OR(INDIRECT("'update Helper'!E"&amp;Q324)="",F324&lt;&gt;0,F325&lt;&gt;0),IF(IFERROR((F324/F325),"")="","",(F324/F325)),INDIRECT("'update Helper'!E"&amp;Q324)/100)</f>
        <v/>
      </c>
      <c r="H324" s="539"/>
      <c r="I324" s="578"/>
      <c r="J324" s="532"/>
      <c r="K324" s="126">
        <f ca="1">IF(AND(EXACT(C324,C322),C322&lt;&gt;0),K322+1,0)</f>
        <v>4</v>
      </c>
      <c r="L324" s="126" t="str">
        <f ca="1">IF(C324&lt;&gt;"",C324&amp;"-"&amp;K324,"")</f>
        <v>TB O-5 TB treatment coverage: Percentage of patients with new and relapse TB that were notified and treated among the estimated number of incident TB in the same year (all forms of TB - bacteriologically confirmed plus clinically diagnosed-4</v>
      </c>
      <c r="M324" s="126" t="str">
        <f t="array" aca="1" ref="M324" ca="1">IFERROR(IF(INDEX('Disaggregation Records'!$E$83:$E$153,MATCH(RIGHT(L324,255),RIGHT('Disaggregation Records'!$D$83:$D$153,255),0))="","",INDEX('Disaggregation Records'!$E$83:$E$153,MATCH(RIGHT(L324,255),RIGHT('Disaggregation Records'!$D$83:$D$153,255),0))),"")</f>
        <v/>
      </c>
      <c r="N324" s="126" t="str">
        <f t="array" aca="1" ref="N324" ca="1">IFERROR(IF(INDEX('Disaggregation Records'!$F$83:$F$153,MATCH(RIGHT(L324,255),RIGHT('Disaggregation Records'!$D$83:$D$153,255),0))="","",INDEX('Disaggregation Records'!$F$83:$F$153,MATCH(RIGHT(L324,255),RIGHT('Disaggregation Records'!$D$83:$D$153,255),0))),"")</f>
        <v/>
      </c>
      <c r="O324" s="314" t="str">
        <f t="array" aca="1" ref="O324" ca="1">IFERROR(IF(INDEX('Disaggregation Records'!$H$83:$H$153,MATCH(RIGHT(L324,255),RIGHT('Disaggregation Records'!$D$83:$D$153,255),0))="","",INDEX('Disaggregation Records'!$H$83:$H$153,MATCH(RIGHT(L324,255),RIGHT('Disaggregation Records'!$D$83:$D$153,255),0))),"")</f>
        <v/>
      </c>
      <c r="P324" s="314"/>
      <c r="Q324" s="310">
        <f t="shared" ref="Q324" si="493">Q322+1</f>
        <v>1008</v>
      </c>
      <c r="R324" s="314" t="str" cm="1">
        <f t="array" aca="1" ref="R324" ca="1">IFERROR(IF(INDEX('Disaggregation Records'!$G$83:$G$153,MATCH(RIGHT(L324,255),RIGHT('Disaggregation Records'!$D$83:$D$153,255),0))="","",INDEX('Disaggregation Records'!$G$83:$G$153,MATCH(RIGHT(L324,255),RIGHT('Disaggregation Records'!$D$83:$D$153,255),0))),"")</f>
        <v/>
      </c>
    </row>
    <row r="325" spans="1:18" ht="20.100000000000001" customHeight="1">
      <c r="A325" s="126"/>
      <c r="B325" s="571"/>
      <c r="C325" s="573"/>
      <c r="D325" s="575"/>
      <c r="E325" s="575"/>
      <c r="F325" s="128"/>
      <c r="G325" s="577"/>
      <c r="H325" s="540"/>
      <c r="I325" s="579"/>
      <c r="J325" s="533"/>
      <c r="K325" s="126"/>
      <c r="L325" s="126"/>
      <c r="M325" s="126"/>
      <c r="N325" s="126"/>
      <c r="O325" s="314"/>
      <c r="P325" s="314"/>
      <c r="Q325" s="310"/>
      <c r="R325" s="314" t="str" cm="1">
        <f t="array" ref="R325">IFERROR(IF(INDEX('Disaggregation Records'!$G$83:$G$153,MATCH(RIGHT(L325,255),RIGHT('Disaggregation Records'!$D$83:$D$153,255),0))="","",INDEX('Disaggregation Records'!$G$83:$G$153,MATCH(RIGHT(L325,255),RIGHT('Disaggregation Records'!$D$83:$D$153,255),0))),"")</f>
        <v/>
      </c>
    </row>
    <row r="326" spans="1:18" ht="20.100000000000001" customHeight="1">
      <c r="A326" s="126" t="str">
        <f t="shared" ref="A326" ca="1" si="494">INDIRECT("'update Helper'!C"&amp;Q326)</f>
        <v>a1VDm000000Pg9sMAC</v>
      </c>
      <c r="B326" s="570">
        <v>1</v>
      </c>
      <c r="C326" s="572" t="str">
        <f ca="1">IFERROR(VLOOKUP(B326,'Outcome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26" s="574" t="str">
        <f ca="1">M326</f>
        <v/>
      </c>
      <c r="E326" s="574" t="str">
        <f ca="1">N326</f>
        <v/>
      </c>
      <c r="F326" s="127"/>
      <c r="G326" s="576" t="str">
        <f ca="1">IF(OR(INDIRECT("'update Helper'!E"&amp;Q326)="",F326&lt;&gt;0,F327&lt;&gt;0),IF(IFERROR((F326/F327),"")="","",(F326/F327)),INDIRECT("'update Helper'!E"&amp;Q326)/100)</f>
        <v/>
      </c>
      <c r="H326" s="539"/>
      <c r="I326" s="578"/>
      <c r="J326" s="532"/>
      <c r="K326" s="126">
        <f ca="1">IF(AND(EXACT(C326,C324),C324&lt;&gt;0),K324+1,0)</f>
        <v>5</v>
      </c>
      <c r="L326" s="126" t="str">
        <f ca="1">IF(C326&lt;&gt;"",C326&amp;"-"&amp;K326,"")</f>
        <v>TB O-5 TB treatment coverage: Percentage of patients with new and relapse TB that were notified and treated among the estimated number of incident TB in the same year (all forms of TB - bacteriologically confirmed plus clinically diagnosed-5</v>
      </c>
      <c r="M326" s="126" t="str">
        <f t="array" aca="1" ref="M326" ca="1">IFERROR(IF(INDEX('Disaggregation Records'!$E$83:$E$153,MATCH(RIGHT(L326,255),RIGHT('Disaggregation Records'!$D$83:$D$153,255),0))="","",INDEX('Disaggregation Records'!$E$83:$E$153,MATCH(RIGHT(L326,255),RIGHT('Disaggregation Records'!$D$83:$D$153,255),0))),"")</f>
        <v/>
      </c>
      <c r="N326" s="126" t="str">
        <f t="array" aca="1" ref="N326" ca="1">IFERROR(IF(INDEX('Disaggregation Records'!$F$83:$F$153,MATCH(RIGHT(L326,255),RIGHT('Disaggregation Records'!$D$83:$D$153,255),0))="","",INDEX('Disaggregation Records'!$F$83:$F$153,MATCH(RIGHT(L326,255),RIGHT('Disaggregation Records'!$D$83:$D$153,255),0))),"")</f>
        <v/>
      </c>
      <c r="O326" s="314" t="str">
        <f t="array" aca="1" ref="O326" ca="1">IFERROR(IF(INDEX('Disaggregation Records'!$H$83:$H$153,MATCH(RIGHT(L326,255),RIGHT('Disaggregation Records'!$D$83:$D$153,255),0))="","",INDEX('Disaggregation Records'!$H$83:$H$153,MATCH(RIGHT(L326,255),RIGHT('Disaggregation Records'!$D$83:$D$153,255),0))),"")</f>
        <v/>
      </c>
      <c r="P326" s="314"/>
      <c r="Q326" s="310">
        <f t="shared" ref="Q326" si="495">Q324+1</f>
        <v>1009</v>
      </c>
      <c r="R326" s="314" t="str" cm="1">
        <f t="array" aca="1" ref="R326" ca="1">IFERROR(IF(INDEX('Disaggregation Records'!$G$83:$G$153,MATCH(RIGHT(L326,255),RIGHT('Disaggregation Records'!$D$83:$D$153,255),0))="","",INDEX('Disaggregation Records'!$G$83:$G$153,MATCH(RIGHT(L326,255),RIGHT('Disaggregation Records'!$D$83:$D$153,255),0))),"")</f>
        <v/>
      </c>
    </row>
    <row r="327" spans="1:18" ht="20.100000000000001" customHeight="1">
      <c r="B327" s="571"/>
      <c r="C327" s="573"/>
      <c r="D327" s="575"/>
      <c r="E327" s="575"/>
      <c r="F327" s="128"/>
      <c r="G327" s="577"/>
      <c r="H327" s="540"/>
      <c r="I327" s="579"/>
      <c r="J327" s="533"/>
      <c r="K327" s="126"/>
      <c r="L327" s="126"/>
      <c r="M327" s="126"/>
      <c r="N327" s="126"/>
      <c r="O327" s="314"/>
      <c r="P327" s="314"/>
      <c r="Q327" s="310"/>
      <c r="R327" s="314" t="str" cm="1">
        <f t="array" ref="R327">IFERROR(IF(INDEX('Disaggregation Records'!$G$83:$G$153,MATCH(RIGHT(L327,255),RIGHT('Disaggregation Records'!$D$83:$D$153,255),0))="","",INDEX('Disaggregation Records'!$G$83:$G$153,MATCH(RIGHT(L327,255),RIGHT('Disaggregation Records'!$D$83:$D$153,255),0))),"")</f>
        <v/>
      </c>
    </row>
    <row r="328" spans="1:18" ht="20.100000000000001" customHeight="1">
      <c r="A328" s="126" t="str">
        <f t="shared" ref="A328" ca="1" si="496">INDIRECT("'update Helper'!C"&amp;Q328)</f>
        <v>a1VDm000000Pg9tMAC</v>
      </c>
      <c r="B328" s="570">
        <v>1</v>
      </c>
      <c r="C328" s="572" t="str">
        <f ca="1">IFERROR(VLOOKUP(B328,'Outcome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28" s="574" t="str">
        <f ca="1">M328</f>
        <v/>
      </c>
      <c r="E328" s="574" t="str">
        <f ca="1">N328</f>
        <v/>
      </c>
      <c r="F328" s="127"/>
      <c r="G328" s="576" t="str">
        <f ca="1">IF(OR(INDIRECT("'update Helper'!E"&amp;Q328)="",F328&lt;&gt;0,F329&lt;&gt;0),IF(IFERROR((F328/F329),"")="","",(F328/F329)),INDIRECT("'update Helper'!E"&amp;Q328)/100)</f>
        <v/>
      </c>
      <c r="H328" s="539"/>
      <c r="I328" s="578"/>
      <c r="J328" s="532"/>
      <c r="K328" s="126">
        <f ca="1">IF(AND(EXACT(C328,C326),C326&lt;&gt;0),K326+1,0)</f>
        <v>6</v>
      </c>
      <c r="L328" s="126" t="str">
        <f ca="1">IF(C328&lt;&gt;"",C328&amp;"-"&amp;K328,"")</f>
        <v>TB O-5 TB treatment coverage: Percentage of patients with new and relapse TB that were notified and treated among the estimated number of incident TB in the same year (all forms of TB - bacteriologically confirmed plus clinically diagnosed-6</v>
      </c>
      <c r="M328" s="126" t="str">
        <f t="array" aca="1" ref="M328" ca="1">IFERROR(IF(INDEX('Disaggregation Records'!$E$83:$E$153,MATCH(RIGHT(L328,255),RIGHT('Disaggregation Records'!$D$83:$D$153,255),0))="","",INDEX('Disaggregation Records'!$E$83:$E$153,MATCH(RIGHT(L328,255),RIGHT('Disaggregation Records'!$D$83:$D$153,255),0))),"")</f>
        <v/>
      </c>
      <c r="N328" s="126" t="str">
        <f t="array" aca="1" ref="N328" ca="1">IFERROR(IF(INDEX('Disaggregation Records'!$F$83:$F$153,MATCH(RIGHT(L328,255),RIGHT('Disaggregation Records'!$D$83:$D$153,255),0))="","",INDEX('Disaggregation Records'!$F$83:$F$153,MATCH(RIGHT(L328,255),RIGHT('Disaggregation Records'!$D$83:$D$153,255),0))),"")</f>
        <v/>
      </c>
      <c r="O328" s="314" t="str">
        <f t="array" aca="1" ref="O328" ca="1">IFERROR(IF(INDEX('Disaggregation Records'!$H$83:$H$153,MATCH(RIGHT(L328,255),RIGHT('Disaggregation Records'!$D$83:$D$153,255),0))="","",INDEX('Disaggregation Records'!$H$83:$H$153,MATCH(RIGHT(L328,255),RIGHT('Disaggregation Records'!$D$83:$D$153,255),0))),"")</f>
        <v/>
      </c>
      <c r="P328" s="314"/>
      <c r="Q328" s="310">
        <f t="shared" ref="Q328" si="497">Q326+1</f>
        <v>1010</v>
      </c>
      <c r="R328" s="314" t="str" cm="1">
        <f t="array" aca="1" ref="R328" ca="1">IFERROR(IF(INDEX('Disaggregation Records'!$G$83:$G$153,MATCH(RIGHT(L328,255),RIGHT('Disaggregation Records'!$D$83:$D$153,255),0))="","",INDEX('Disaggregation Records'!$G$83:$G$153,MATCH(RIGHT(L328,255),RIGHT('Disaggregation Records'!$D$83:$D$153,255),0))),"")</f>
        <v/>
      </c>
    </row>
    <row r="329" spans="1:18" ht="20.100000000000001" customHeight="1">
      <c r="A329" s="126"/>
      <c r="B329" s="571"/>
      <c r="C329" s="573"/>
      <c r="D329" s="575"/>
      <c r="E329" s="575"/>
      <c r="F329" s="128"/>
      <c r="G329" s="577"/>
      <c r="H329" s="540"/>
      <c r="I329" s="579"/>
      <c r="J329" s="533"/>
      <c r="K329" s="126"/>
      <c r="L329" s="126"/>
      <c r="M329" s="126"/>
      <c r="N329" s="126"/>
      <c r="O329" s="314"/>
      <c r="P329" s="314"/>
      <c r="Q329" s="310"/>
      <c r="R329" s="314" t="str" cm="1">
        <f t="array" ref="R329">IFERROR(IF(INDEX('Disaggregation Records'!$G$83:$G$153,MATCH(RIGHT(L329,255),RIGHT('Disaggregation Records'!$D$83:$D$153,255),0))="","",INDEX('Disaggregation Records'!$G$83:$G$153,MATCH(RIGHT(L329,255),RIGHT('Disaggregation Records'!$D$83:$D$153,255),0))),"")</f>
        <v/>
      </c>
    </row>
    <row r="330" spans="1:18" ht="20.100000000000001" customHeight="1">
      <c r="A330" s="126" t="str">
        <f t="shared" ref="A330" ca="1" si="498">INDIRECT("'update Helper'!C"&amp;Q330)</f>
        <v>a1VDm000000Pg9uMAC</v>
      </c>
      <c r="B330" s="570">
        <v>1</v>
      </c>
      <c r="C330" s="572" t="str">
        <f ca="1">IFERROR(VLOOKUP(B330,'Outcome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30" s="574" t="str">
        <f ca="1">M330</f>
        <v/>
      </c>
      <c r="E330" s="574" t="str">
        <f ca="1">N330</f>
        <v/>
      </c>
      <c r="F330" s="127"/>
      <c r="G330" s="576" t="str">
        <f ca="1">IF(OR(INDIRECT("'update Helper'!E"&amp;Q330)="",F330&lt;&gt;0,F331&lt;&gt;0),IF(IFERROR((F330/F331),"")="","",(F330/F331)),INDIRECT("'update Helper'!E"&amp;Q330)/100)</f>
        <v/>
      </c>
      <c r="H330" s="539"/>
      <c r="I330" s="578"/>
      <c r="J330" s="532"/>
      <c r="K330" s="126">
        <f ca="1">IF(AND(EXACT(C330,C328),C328&lt;&gt;0),K328+1,0)</f>
        <v>7</v>
      </c>
      <c r="L330" s="126" t="str">
        <f ca="1">IF(C330&lt;&gt;"",C330&amp;"-"&amp;K330,"")</f>
        <v>TB O-5 TB treatment coverage: Percentage of patients with new and relapse TB that were notified and treated among the estimated number of incident TB in the same year (all forms of TB - bacteriologically confirmed plus clinically diagnosed-7</v>
      </c>
      <c r="M330" s="126" t="str">
        <f t="array" aca="1" ref="M330" ca="1">IFERROR(IF(INDEX('Disaggregation Records'!$E$83:$E$153,MATCH(RIGHT(L330,255),RIGHT('Disaggregation Records'!$D$83:$D$153,255),0))="","",INDEX('Disaggregation Records'!$E$83:$E$153,MATCH(RIGHT(L330,255),RIGHT('Disaggregation Records'!$D$83:$D$153,255),0))),"")</f>
        <v/>
      </c>
      <c r="N330" s="126" t="str">
        <f t="array" aca="1" ref="N330" ca="1">IFERROR(IF(INDEX('Disaggregation Records'!$F$83:$F$153,MATCH(RIGHT(L330,255),RIGHT('Disaggregation Records'!$D$83:$D$153,255),0))="","",INDEX('Disaggregation Records'!$F$83:$F$153,MATCH(RIGHT(L330,255),RIGHT('Disaggregation Records'!$D$83:$D$153,255),0))),"")</f>
        <v/>
      </c>
      <c r="O330" s="314" t="str">
        <f t="array" aca="1" ref="O330" ca="1">IFERROR(IF(INDEX('Disaggregation Records'!$H$83:$H$153,MATCH(RIGHT(L330,255),RIGHT('Disaggregation Records'!$D$83:$D$153,255),0))="","",INDEX('Disaggregation Records'!$H$83:$H$153,MATCH(RIGHT(L330,255),RIGHT('Disaggregation Records'!$D$83:$D$153,255),0))),"")</f>
        <v/>
      </c>
      <c r="P330" s="314"/>
      <c r="Q330" s="310">
        <f t="shared" ref="Q330" si="499">Q328+1</f>
        <v>1011</v>
      </c>
      <c r="R330" s="314" t="str" cm="1">
        <f t="array" aca="1" ref="R330" ca="1">IFERROR(IF(INDEX('Disaggregation Records'!$G$83:$G$153,MATCH(RIGHT(L330,255),RIGHT('Disaggregation Records'!$D$83:$D$153,255),0))="","",INDEX('Disaggregation Records'!$G$83:$G$153,MATCH(RIGHT(L330,255),RIGHT('Disaggregation Records'!$D$83:$D$153,255),0))),"")</f>
        <v/>
      </c>
    </row>
    <row r="331" spans="1:18" ht="20.100000000000001" customHeight="1">
      <c r="B331" s="571"/>
      <c r="C331" s="573"/>
      <c r="D331" s="575"/>
      <c r="E331" s="575"/>
      <c r="F331" s="128"/>
      <c r="G331" s="577"/>
      <c r="H331" s="540"/>
      <c r="I331" s="579"/>
      <c r="J331" s="533"/>
      <c r="K331" s="126"/>
      <c r="L331" s="126"/>
      <c r="M331" s="126"/>
      <c r="N331" s="126"/>
      <c r="O331" s="314"/>
      <c r="P331" s="314"/>
      <c r="Q331" s="310"/>
      <c r="R331" s="314" t="str" cm="1">
        <f t="array" ref="R331">IFERROR(IF(INDEX('Disaggregation Records'!$G$83:$G$153,MATCH(RIGHT(L331,255),RIGHT('Disaggregation Records'!$D$83:$D$153,255),0))="","",INDEX('Disaggregation Records'!$G$83:$G$153,MATCH(RIGHT(L331,255),RIGHT('Disaggregation Records'!$D$83:$D$153,255),0))),"")</f>
        <v/>
      </c>
    </row>
    <row r="332" spans="1:18" ht="20.100000000000001" customHeight="1">
      <c r="A332" s="126" t="str">
        <f t="shared" ref="A332" ca="1" si="500">INDIRECT("'update Helper'!C"&amp;Q332)</f>
        <v>a1VDm000000Pg9vMAC</v>
      </c>
      <c r="B332" s="570">
        <v>1</v>
      </c>
      <c r="C332" s="572" t="str">
        <f ca="1">IFERROR(VLOOKUP(B332,'Outcome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32" s="574" t="str">
        <f ca="1">M332</f>
        <v/>
      </c>
      <c r="E332" s="574" t="str">
        <f ca="1">N332</f>
        <v/>
      </c>
      <c r="F332" s="127"/>
      <c r="G332" s="576" t="str">
        <f ca="1">IF(OR(INDIRECT("'update Helper'!E"&amp;Q332)="",F332&lt;&gt;0,F333&lt;&gt;0),IF(IFERROR((F332/F333),"")="","",(F332/F333)),INDIRECT("'update Helper'!E"&amp;Q332)/100)</f>
        <v/>
      </c>
      <c r="H332" s="539"/>
      <c r="I332" s="578"/>
      <c r="J332" s="532"/>
      <c r="K332" s="126">
        <f ca="1">IF(AND(EXACT(C332,C330),C330&lt;&gt;0),K330+1,0)</f>
        <v>8</v>
      </c>
      <c r="L332" s="126" t="str">
        <f ca="1">IF(C332&lt;&gt;"",C332&amp;"-"&amp;K332,"")</f>
        <v>TB O-5 TB treatment coverage: Percentage of patients with new and relapse TB that were notified and treated among the estimated number of incident TB in the same year (all forms of TB - bacteriologically confirmed plus clinically diagnosed-8</v>
      </c>
      <c r="M332" s="126" t="str">
        <f t="array" aca="1" ref="M332" ca="1">IFERROR(IF(INDEX('Disaggregation Records'!$E$83:$E$153,MATCH(RIGHT(L332,255),RIGHT('Disaggregation Records'!$D$83:$D$153,255),0))="","",INDEX('Disaggregation Records'!$E$83:$E$153,MATCH(RIGHT(L332,255),RIGHT('Disaggregation Records'!$D$83:$D$153,255),0))),"")</f>
        <v/>
      </c>
      <c r="N332" s="126" t="str">
        <f t="array" aca="1" ref="N332" ca="1">IFERROR(IF(INDEX('Disaggregation Records'!$F$83:$F$153,MATCH(RIGHT(L332,255),RIGHT('Disaggregation Records'!$D$83:$D$153,255),0))="","",INDEX('Disaggregation Records'!$F$83:$F$153,MATCH(RIGHT(L332,255),RIGHT('Disaggregation Records'!$D$83:$D$153,255),0))),"")</f>
        <v/>
      </c>
      <c r="O332" s="314" t="str">
        <f t="array" aca="1" ref="O332" ca="1">IFERROR(IF(INDEX('Disaggregation Records'!$H$83:$H$153,MATCH(RIGHT(L332,255),RIGHT('Disaggregation Records'!$D$83:$D$153,255),0))="","",INDEX('Disaggregation Records'!$H$83:$H$153,MATCH(RIGHT(L332,255),RIGHT('Disaggregation Records'!$D$83:$D$153,255),0))),"")</f>
        <v/>
      </c>
      <c r="P332" s="314"/>
      <c r="Q332" s="310">
        <f t="shared" ref="Q332" si="501">Q330+1</f>
        <v>1012</v>
      </c>
      <c r="R332" s="314" t="str" cm="1">
        <f t="array" aca="1" ref="R332" ca="1">IFERROR(IF(INDEX('Disaggregation Records'!$G$83:$G$153,MATCH(RIGHT(L332,255),RIGHT('Disaggregation Records'!$D$83:$D$153,255),0))="","",INDEX('Disaggregation Records'!$G$83:$G$153,MATCH(RIGHT(L332,255),RIGHT('Disaggregation Records'!$D$83:$D$153,255),0))),"")</f>
        <v/>
      </c>
    </row>
    <row r="333" spans="1:18" ht="20.100000000000001" customHeight="1">
      <c r="A333" s="126"/>
      <c r="B333" s="571"/>
      <c r="C333" s="573"/>
      <c r="D333" s="575"/>
      <c r="E333" s="575"/>
      <c r="F333" s="128"/>
      <c r="G333" s="577"/>
      <c r="H333" s="540"/>
      <c r="I333" s="579"/>
      <c r="J333" s="533"/>
      <c r="K333" s="126"/>
      <c r="L333" s="126"/>
      <c r="M333" s="126"/>
      <c r="N333" s="126"/>
      <c r="O333" s="314"/>
      <c r="P333" s="314"/>
      <c r="Q333" s="310"/>
      <c r="R333" s="314" t="str" cm="1">
        <f t="array" ref="R333">IFERROR(IF(INDEX('Disaggregation Records'!$G$83:$G$153,MATCH(RIGHT(L333,255),RIGHT('Disaggregation Records'!$D$83:$D$153,255),0))="","",INDEX('Disaggregation Records'!$G$83:$G$153,MATCH(RIGHT(L333,255),RIGHT('Disaggregation Records'!$D$83:$D$153,255),0))),"")</f>
        <v/>
      </c>
    </row>
    <row r="334" spans="1:18" ht="20.100000000000001" customHeight="1">
      <c r="A334" s="126" t="str">
        <f t="shared" ref="A334" ca="1" si="502">INDIRECT("'update Helper'!C"&amp;Q334)</f>
        <v>a1VDm000000Pg9wMAC</v>
      </c>
      <c r="B334" s="570">
        <v>1</v>
      </c>
      <c r="C334" s="572" t="str">
        <f ca="1">IFERROR(VLOOKUP(B334,'Outcome Indicators - Section C '!$A$9:$AC$70,29,FALSE),"")</f>
        <v>TB O-5 TB treatment coverage: Percentage of patients with new and relapse TB that were notified and treated among the estimated number of incident TB in the same year (all forms of TB - bacteriologically confirmed plus clinically diagnosed</v>
      </c>
      <c r="D334" s="574" t="str">
        <f ca="1">M334</f>
        <v/>
      </c>
      <c r="E334" s="574" t="str">
        <f ca="1">N334</f>
        <v/>
      </c>
      <c r="F334" s="127"/>
      <c r="G334" s="576" t="str">
        <f ca="1">IF(OR(INDIRECT("'update Helper'!E"&amp;Q334)="",F334&lt;&gt;0,F335&lt;&gt;0),IF(IFERROR((F334/F335),"")="","",(F334/F335)),INDIRECT("'update Helper'!E"&amp;Q334)/100)</f>
        <v/>
      </c>
      <c r="H334" s="539"/>
      <c r="I334" s="578"/>
      <c r="J334" s="532"/>
      <c r="K334" s="126">
        <f ca="1">IF(AND(EXACT(C334,C332),C332&lt;&gt;0),K332+1,0)</f>
        <v>9</v>
      </c>
      <c r="L334" s="126" t="str">
        <f ca="1">IF(C334&lt;&gt;"",C334&amp;"-"&amp;K334,"")</f>
        <v>TB O-5 TB treatment coverage: Percentage of patients with new and relapse TB that were notified and treated among the estimated number of incident TB in the same year (all forms of TB - bacteriologically confirmed plus clinically diagnosed-9</v>
      </c>
      <c r="M334" s="126" t="str">
        <f t="array" aca="1" ref="M334" ca="1">IFERROR(IF(INDEX('Disaggregation Records'!$E$83:$E$153,MATCH(RIGHT(L334,255),RIGHT('Disaggregation Records'!$D$83:$D$153,255),0))="","",INDEX('Disaggregation Records'!$E$83:$E$153,MATCH(RIGHT(L334,255),RIGHT('Disaggregation Records'!$D$83:$D$153,255),0))),"")</f>
        <v/>
      </c>
      <c r="N334" s="126" t="str">
        <f t="array" aca="1" ref="N334" ca="1">IFERROR(IF(INDEX('Disaggregation Records'!$F$83:$F$153,MATCH(RIGHT(L334,255),RIGHT('Disaggregation Records'!$D$83:$D$153,255),0))="","",INDEX('Disaggregation Records'!$F$83:$F$153,MATCH(RIGHT(L334,255),RIGHT('Disaggregation Records'!$D$83:$D$153,255),0))),"")</f>
        <v/>
      </c>
      <c r="O334" s="314" t="str">
        <f t="array" aca="1" ref="O334" ca="1">IFERROR(IF(INDEX('Disaggregation Records'!$H$83:$H$153,MATCH(RIGHT(L334,255),RIGHT('Disaggregation Records'!$D$83:$D$153,255),0))="","",INDEX('Disaggregation Records'!$H$83:$H$153,MATCH(RIGHT(L334,255),RIGHT('Disaggregation Records'!$D$83:$D$153,255),0))),"")</f>
        <v/>
      </c>
      <c r="P334" s="314"/>
      <c r="Q334" s="310">
        <f t="shared" ref="Q334" si="503">Q332+1</f>
        <v>1013</v>
      </c>
      <c r="R334" s="314" t="str" cm="1">
        <f t="array" aca="1" ref="R334" ca="1">IFERROR(IF(INDEX('Disaggregation Records'!$G$83:$G$153,MATCH(RIGHT(L334,255),RIGHT('Disaggregation Records'!$D$83:$D$153,255),0))="","",INDEX('Disaggregation Records'!$G$83:$G$153,MATCH(RIGHT(L334,255),RIGHT('Disaggregation Records'!$D$83:$D$153,255),0))),"")</f>
        <v/>
      </c>
    </row>
    <row r="335" spans="1:18" ht="20.100000000000001" customHeight="1">
      <c r="B335" s="571"/>
      <c r="C335" s="573"/>
      <c r="D335" s="575"/>
      <c r="E335" s="575"/>
      <c r="F335" s="128"/>
      <c r="G335" s="577"/>
      <c r="H335" s="540"/>
      <c r="I335" s="579"/>
      <c r="J335" s="533"/>
      <c r="K335" s="126"/>
      <c r="L335" s="126"/>
      <c r="M335" s="126"/>
      <c r="N335" s="126"/>
      <c r="O335" s="314"/>
      <c r="P335" s="314"/>
      <c r="Q335" s="310"/>
      <c r="R335" s="314" t="str" cm="1">
        <f t="array" ref="R335">IFERROR(IF(INDEX('Disaggregation Records'!$G$83:$G$153,MATCH(RIGHT(L335,255),RIGHT('Disaggregation Records'!$D$83:$D$153,255),0))="","",INDEX('Disaggregation Records'!$G$83:$G$153,MATCH(RIGHT(L335,255),RIGHT('Disaggregation Records'!$D$83:$D$153,255),0))),"")</f>
        <v/>
      </c>
    </row>
    <row r="336" spans="1:18" ht="20.100000000000001" customHeight="1">
      <c r="A336" s="126" t="str">
        <f t="shared" ref="A336" ca="1" si="504">INDIRECT("'update Helper'!C"&amp;Q336)</f>
        <v>a1VDm000000Pg9xMAC</v>
      </c>
      <c r="B336" s="570">
        <v>2</v>
      </c>
      <c r="C336" s="572" t="str">
        <f ca="1">IFERROR(VLOOKUP(B336,'Outcome Indicators - Section C '!$A$9:$AC$70,29,FALSE),"")</f>
        <v>TB O-2a Treatment success rate of all forms of TB - bacteriologically confirmed plus clinically diagnosed, new and relapse</v>
      </c>
      <c r="D336" s="574" t="str">
        <f ca="1">M336</f>
        <v/>
      </c>
      <c r="E336" s="574" t="str">
        <f ca="1">N336</f>
        <v/>
      </c>
      <c r="F336" s="127"/>
      <c r="G336" s="576" t="str">
        <f ca="1">IF(OR(INDIRECT("'update Helper'!E"&amp;Q336)="",F336&lt;&gt;0,F337&lt;&gt;0),IF(IFERROR((F336/F337),"")="","",(F336/F337)),INDIRECT("'update Helper'!E"&amp;Q336)/100)</f>
        <v/>
      </c>
      <c r="H336" s="539"/>
      <c r="I336" s="578"/>
      <c r="J336" s="532"/>
      <c r="K336" s="126">
        <f ca="1">IF(AND(EXACT(C336,C334),C334&lt;&gt;0),K334+1,0)</f>
        <v>0</v>
      </c>
      <c r="L336" s="126" t="str">
        <f ca="1">IF(C336&lt;&gt;"",C336&amp;"-"&amp;K336,"")</f>
        <v>TB O-2a Treatment success rate of all forms of TB - bacteriologically confirmed plus clinically diagnosed, new and relapse-0</v>
      </c>
      <c r="M336" s="126" t="str">
        <f t="array" aca="1" ref="M336" ca="1">IFERROR(IF(INDEX('Disaggregation Records'!$E$83:$E$153,MATCH(RIGHT(L336,255),RIGHT('Disaggregation Records'!$D$83:$D$153,255),0))="","",INDEX('Disaggregation Records'!$E$83:$E$153,MATCH(RIGHT(L336,255),RIGHT('Disaggregation Records'!$D$83:$D$153,255),0))),"")</f>
        <v/>
      </c>
      <c r="N336" s="126" t="str">
        <f t="array" aca="1" ref="N336" ca="1">IFERROR(IF(INDEX('Disaggregation Records'!$F$83:$F$153,MATCH(RIGHT(L336,255),RIGHT('Disaggregation Records'!$D$83:$D$153,255),0))="","",INDEX('Disaggregation Records'!$F$83:$F$153,MATCH(RIGHT(L336,255),RIGHT('Disaggregation Records'!$D$83:$D$153,255),0))),"")</f>
        <v/>
      </c>
      <c r="O336" s="314" t="str">
        <f t="array" aca="1" ref="O336" ca="1">IFERROR(IF(INDEX('Disaggregation Records'!$H$83:$H$153,MATCH(RIGHT(L336,255),RIGHT('Disaggregation Records'!$D$83:$D$153,255),0))="","",INDEX('Disaggregation Records'!$H$83:$H$153,MATCH(RIGHT(L336,255),RIGHT('Disaggregation Records'!$D$83:$D$153,255),0))),"")</f>
        <v/>
      </c>
      <c r="P336" s="314"/>
      <c r="Q336" s="310">
        <f t="shared" ref="Q336" si="505">Q334+1</f>
        <v>1014</v>
      </c>
      <c r="R336" s="314" t="str" cm="1">
        <f t="array" aca="1" ref="R336" ca="1">IFERROR(IF(INDEX('Disaggregation Records'!$G$83:$G$153,MATCH(RIGHT(L336,255),RIGHT('Disaggregation Records'!$D$83:$D$153,255),0))="","",INDEX('Disaggregation Records'!$G$83:$G$153,MATCH(RIGHT(L336,255),RIGHT('Disaggregation Records'!$D$83:$D$153,255),0))),"")</f>
        <v/>
      </c>
    </row>
    <row r="337" spans="1:18" ht="20.100000000000001" customHeight="1">
      <c r="A337" s="126"/>
      <c r="B337" s="571"/>
      <c r="C337" s="573"/>
      <c r="D337" s="575"/>
      <c r="E337" s="575"/>
      <c r="F337" s="128"/>
      <c r="G337" s="577"/>
      <c r="H337" s="540"/>
      <c r="I337" s="579"/>
      <c r="J337" s="533"/>
      <c r="K337" s="126"/>
      <c r="L337" s="126"/>
      <c r="M337" s="126"/>
      <c r="N337" s="126"/>
      <c r="O337" s="314"/>
      <c r="P337" s="314"/>
      <c r="Q337" s="310"/>
      <c r="R337" s="314" t="str" cm="1">
        <f t="array" ref="R337">IFERROR(IF(INDEX('Disaggregation Records'!$G$83:$G$153,MATCH(RIGHT(L337,255),RIGHT('Disaggregation Records'!$D$83:$D$153,255),0))="","",INDEX('Disaggregation Records'!$G$83:$G$153,MATCH(RIGHT(L337,255),RIGHT('Disaggregation Records'!$D$83:$D$153,255),0))),"")</f>
        <v/>
      </c>
    </row>
    <row r="338" spans="1:18" ht="20.100000000000001" customHeight="1">
      <c r="A338" s="126" t="str">
        <f t="shared" ref="A338" ca="1" si="506">INDIRECT("'update Helper'!C"&amp;Q338)</f>
        <v>a1VDm000000Pg9yMAC</v>
      </c>
      <c r="B338" s="570">
        <v>2</v>
      </c>
      <c r="C338" s="572" t="str">
        <f ca="1">IFERROR(VLOOKUP(B338,'Outcome Indicators - Section C '!$A$9:$AC$70,29,FALSE),"")</f>
        <v>TB O-2a Treatment success rate of all forms of TB - bacteriologically confirmed plus clinically diagnosed, new and relapse</v>
      </c>
      <c r="D338" s="574" t="str">
        <f ca="1">M338</f>
        <v/>
      </c>
      <c r="E338" s="574" t="str">
        <f ca="1">N338</f>
        <v/>
      </c>
      <c r="F338" s="127"/>
      <c r="G338" s="576" t="str">
        <f ca="1">IF(OR(INDIRECT("'update Helper'!E"&amp;Q338)="",F338&lt;&gt;0,F339&lt;&gt;0),IF(IFERROR((F338/F339),"")="","",(F338/F339)),INDIRECT("'update Helper'!E"&amp;Q338)/100)</f>
        <v/>
      </c>
      <c r="H338" s="539"/>
      <c r="I338" s="578"/>
      <c r="J338" s="532"/>
      <c r="K338" s="126">
        <f ca="1">IF(AND(EXACT(C338,C336),C336&lt;&gt;0),K336+1,0)</f>
        <v>1</v>
      </c>
      <c r="L338" s="126" t="str">
        <f ca="1">IF(C338&lt;&gt;"",C338&amp;"-"&amp;K338,"")</f>
        <v>TB O-2a Treatment success rate of all forms of TB - bacteriologically confirmed plus clinically diagnosed, new and relapse-1</v>
      </c>
      <c r="M338" s="126" t="str">
        <f t="array" aca="1" ref="M338" ca="1">IFERROR(IF(INDEX('Disaggregation Records'!$E$83:$E$153,MATCH(RIGHT(L338,255),RIGHT('Disaggregation Records'!$D$83:$D$153,255),0))="","",INDEX('Disaggregation Records'!$E$83:$E$153,MATCH(RIGHT(L338,255),RIGHT('Disaggregation Records'!$D$83:$D$153,255),0))),"")</f>
        <v/>
      </c>
      <c r="N338" s="126" t="str">
        <f t="array" aca="1" ref="N338" ca="1">IFERROR(IF(INDEX('Disaggregation Records'!$F$83:$F$153,MATCH(RIGHT(L338,255),RIGHT('Disaggregation Records'!$D$83:$D$153,255),0))="","",INDEX('Disaggregation Records'!$F$83:$F$153,MATCH(RIGHT(L338,255),RIGHT('Disaggregation Records'!$D$83:$D$153,255),0))),"")</f>
        <v/>
      </c>
      <c r="O338" s="314" t="str">
        <f t="array" aca="1" ref="O338" ca="1">IFERROR(IF(INDEX('Disaggregation Records'!$H$83:$H$153,MATCH(RIGHT(L338,255),RIGHT('Disaggregation Records'!$D$83:$D$153,255),0))="","",INDEX('Disaggregation Records'!$H$83:$H$153,MATCH(RIGHT(L338,255),RIGHT('Disaggregation Records'!$D$83:$D$153,255),0))),"")</f>
        <v/>
      </c>
      <c r="P338" s="314"/>
      <c r="Q338" s="310">
        <f t="shared" ref="Q338" si="507">Q336+1</f>
        <v>1015</v>
      </c>
      <c r="R338" s="314" t="str" cm="1">
        <f t="array" aca="1" ref="R338" ca="1">IFERROR(IF(INDEX('Disaggregation Records'!$G$83:$G$153,MATCH(RIGHT(L338,255),RIGHT('Disaggregation Records'!$D$83:$D$153,255),0))="","",INDEX('Disaggregation Records'!$G$83:$G$153,MATCH(RIGHT(L338,255),RIGHT('Disaggregation Records'!$D$83:$D$153,255),0))),"")</f>
        <v/>
      </c>
    </row>
    <row r="339" spans="1:18" ht="20.100000000000001" customHeight="1">
      <c r="B339" s="571"/>
      <c r="C339" s="573"/>
      <c r="D339" s="575"/>
      <c r="E339" s="575"/>
      <c r="F339" s="128"/>
      <c r="G339" s="577"/>
      <c r="H339" s="540"/>
      <c r="I339" s="579"/>
      <c r="J339" s="533"/>
      <c r="K339" s="126"/>
      <c r="L339" s="126"/>
      <c r="M339" s="126"/>
      <c r="N339" s="126"/>
      <c r="O339" s="314"/>
      <c r="P339" s="314"/>
      <c r="Q339" s="310"/>
      <c r="R339" s="314" t="str" cm="1">
        <f t="array" ref="R339">IFERROR(IF(INDEX('Disaggregation Records'!$G$83:$G$153,MATCH(RIGHT(L339,255),RIGHT('Disaggregation Records'!$D$83:$D$153,255),0))="","",INDEX('Disaggregation Records'!$G$83:$G$153,MATCH(RIGHT(L339,255),RIGHT('Disaggregation Records'!$D$83:$D$153,255),0))),"")</f>
        <v/>
      </c>
    </row>
    <row r="340" spans="1:18" ht="20.100000000000001" customHeight="1">
      <c r="A340" s="126" t="str">
        <f t="shared" ref="A340" ca="1" si="508">INDIRECT("'update Helper'!C"&amp;Q340)</f>
        <v>a1VDm000000Pg9zMAC</v>
      </c>
      <c r="B340" s="570">
        <v>2</v>
      </c>
      <c r="C340" s="572" t="str">
        <f ca="1">IFERROR(VLOOKUP(B340,'Outcome Indicators - Section C '!$A$9:$AC$70,29,FALSE),"")</f>
        <v>TB O-2a Treatment success rate of all forms of TB - bacteriologically confirmed plus clinically diagnosed, new and relapse</v>
      </c>
      <c r="D340" s="574" t="str">
        <f ca="1">M340</f>
        <v/>
      </c>
      <c r="E340" s="574" t="str">
        <f ca="1">N340</f>
        <v/>
      </c>
      <c r="F340" s="127"/>
      <c r="G340" s="576" t="str">
        <f ca="1">IF(OR(INDIRECT("'update Helper'!E"&amp;Q340)="",F340&lt;&gt;0,F341&lt;&gt;0),IF(IFERROR((F340/F341),"")="","",(F340/F341)),INDIRECT("'update Helper'!E"&amp;Q340)/100)</f>
        <v/>
      </c>
      <c r="H340" s="539"/>
      <c r="I340" s="578"/>
      <c r="J340" s="532"/>
      <c r="K340" s="126">
        <f ca="1">IF(AND(EXACT(C340,C338),C338&lt;&gt;0),K338+1,0)</f>
        <v>2</v>
      </c>
      <c r="L340" s="126" t="str">
        <f ca="1">IF(C340&lt;&gt;"",C340&amp;"-"&amp;K340,"")</f>
        <v>TB O-2a Treatment success rate of all forms of TB - bacteriologically confirmed plus clinically diagnosed, new and relapse-2</v>
      </c>
      <c r="M340" s="126" t="str">
        <f t="array" aca="1" ref="M340" ca="1">IFERROR(IF(INDEX('Disaggregation Records'!$E$83:$E$153,MATCH(RIGHT(L340,255),RIGHT('Disaggregation Records'!$D$83:$D$153,255),0))="","",INDEX('Disaggregation Records'!$E$83:$E$153,MATCH(RIGHT(L340,255),RIGHT('Disaggregation Records'!$D$83:$D$153,255),0))),"")</f>
        <v/>
      </c>
      <c r="N340" s="126" t="str">
        <f t="array" aca="1" ref="N340" ca="1">IFERROR(IF(INDEX('Disaggregation Records'!$F$83:$F$153,MATCH(RIGHT(L340,255),RIGHT('Disaggregation Records'!$D$83:$D$153,255),0))="","",INDEX('Disaggregation Records'!$F$83:$F$153,MATCH(RIGHT(L340,255),RIGHT('Disaggregation Records'!$D$83:$D$153,255),0))),"")</f>
        <v/>
      </c>
      <c r="O340" s="314" t="str">
        <f t="array" aca="1" ref="O340" ca="1">IFERROR(IF(INDEX('Disaggregation Records'!$H$83:$H$153,MATCH(RIGHT(L340,255),RIGHT('Disaggregation Records'!$D$83:$D$153,255),0))="","",INDEX('Disaggregation Records'!$H$83:$H$153,MATCH(RIGHT(L340,255),RIGHT('Disaggregation Records'!$D$83:$D$153,255),0))),"")</f>
        <v/>
      </c>
      <c r="P340" s="314"/>
      <c r="Q340" s="310">
        <f t="shared" ref="Q340" si="509">Q338+1</f>
        <v>1016</v>
      </c>
      <c r="R340" s="314" t="str" cm="1">
        <f t="array" aca="1" ref="R340" ca="1">IFERROR(IF(INDEX('Disaggregation Records'!$G$83:$G$153,MATCH(RIGHT(L340,255),RIGHT('Disaggregation Records'!$D$83:$D$153,255),0))="","",INDEX('Disaggregation Records'!$G$83:$G$153,MATCH(RIGHT(L340,255),RIGHT('Disaggregation Records'!$D$83:$D$153,255),0))),"")</f>
        <v/>
      </c>
    </row>
    <row r="341" spans="1:18" ht="20.100000000000001" customHeight="1">
      <c r="A341" s="126"/>
      <c r="B341" s="571"/>
      <c r="C341" s="573"/>
      <c r="D341" s="575"/>
      <c r="E341" s="575"/>
      <c r="F341" s="128"/>
      <c r="G341" s="577"/>
      <c r="H341" s="540"/>
      <c r="I341" s="579"/>
      <c r="J341" s="533"/>
      <c r="K341" s="126"/>
      <c r="L341" s="126"/>
      <c r="M341" s="126"/>
      <c r="N341" s="126"/>
      <c r="O341" s="314"/>
      <c r="P341" s="314"/>
      <c r="Q341" s="310"/>
      <c r="R341" s="314" t="str" cm="1">
        <f t="array" ref="R341">IFERROR(IF(INDEX('Disaggregation Records'!$G$83:$G$153,MATCH(RIGHT(L341,255),RIGHT('Disaggregation Records'!$D$83:$D$153,255),0))="","",INDEX('Disaggregation Records'!$G$83:$G$153,MATCH(RIGHT(L341,255),RIGHT('Disaggregation Records'!$D$83:$D$153,255),0))),"")</f>
        <v/>
      </c>
    </row>
    <row r="342" spans="1:18" ht="20.100000000000001" customHeight="1">
      <c r="A342" s="126" t="str">
        <f t="shared" ref="A342" ca="1" si="510">INDIRECT("'update Helper'!C"&amp;Q342)</f>
        <v>a1VDm000000PgA0MAK</v>
      </c>
      <c r="B342" s="570">
        <v>2</v>
      </c>
      <c r="C342" s="572" t="str">
        <f ca="1">IFERROR(VLOOKUP(B342,'Outcome Indicators - Section C '!$A$9:$AC$70,29,FALSE),"")</f>
        <v>TB O-2a Treatment success rate of all forms of TB - bacteriologically confirmed plus clinically diagnosed, new and relapse</v>
      </c>
      <c r="D342" s="574" t="str">
        <f ca="1">M342</f>
        <v/>
      </c>
      <c r="E342" s="574" t="str">
        <f ca="1">N342</f>
        <v/>
      </c>
      <c r="F342" s="127"/>
      <c r="G342" s="576" t="str">
        <f ca="1">IF(OR(INDIRECT("'update Helper'!E"&amp;Q342)="",F342&lt;&gt;0,F343&lt;&gt;0),IF(IFERROR((F342/F343),"")="","",(F342/F343)),INDIRECT("'update Helper'!E"&amp;Q342)/100)</f>
        <v/>
      </c>
      <c r="H342" s="539"/>
      <c r="I342" s="578"/>
      <c r="J342" s="532"/>
      <c r="K342" s="126">
        <f ca="1">IF(AND(EXACT(C342,C340),C340&lt;&gt;0),K340+1,0)</f>
        <v>3</v>
      </c>
      <c r="L342" s="126" t="str">
        <f ca="1">IF(C342&lt;&gt;"",C342&amp;"-"&amp;K342,"")</f>
        <v>TB O-2a Treatment success rate of all forms of TB - bacteriologically confirmed plus clinically diagnosed, new and relapse-3</v>
      </c>
      <c r="M342" s="126" t="str">
        <f t="array" aca="1" ref="M342" ca="1">IFERROR(IF(INDEX('Disaggregation Records'!$E$83:$E$153,MATCH(RIGHT(L342,255),RIGHT('Disaggregation Records'!$D$83:$D$153,255),0))="","",INDEX('Disaggregation Records'!$E$83:$E$153,MATCH(RIGHT(L342,255),RIGHT('Disaggregation Records'!$D$83:$D$153,255),0))),"")</f>
        <v/>
      </c>
      <c r="N342" s="126" t="str">
        <f t="array" aca="1" ref="N342" ca="1">IFERROR(IF(INDEX('Disaggregation Records'!$F$83:$F$153,MATCH(RIGHT(L342,255),RIGHT('Disaggregation Records'!$D$83:$D$153,255),0))="","",INDEX('Disaggregation Records'!$F$83:$F$153,MATCH(RIGHT(L342,255),RIGHT('Disaggregation Records'!$D$83:$D$153,255),0))),"")</f>
        <v/>
      </c>
      <c r="O342" s="314" t="str">
        <f t="array" aca="1" ref="O342" ca="1">IFERROR(IF(INDEX('Disaggregation Records'!$H$83:$H$153,MATCH(RIGHT(L342,255),RIGHT('Disaggregation Records'!$D$83:$D$153,255),0))="","",INDEX('Disaggregation Records'!$H$83:$H$153,MATCH(RIGHT(L342,255),RIGHT('Disaggregation Records'!$D$83:$D$153,255),0))),"")</f>
        <v/>
      </c>
      <c r="P342" s="314"/>
      <c r="Q342" s="310">
        <f t="shared" ref="Q342" si="511">Q340+1</f>
        <v>1017</v>
      </c>
      <c r="R342" s="314" t="str" cm="1">
        <f t="array" aca="1" ref="R342" ca="1">IFERROR(IF(INDEX('Disaggregation Records'!$G$83:$G$153,MATCH(RIGHT(L342,255),RIGHT('Disaggregation Records'!$D$83:$D$153,255),0))="","",INDEX('Disaggregation Records'!$G$83:$G$153,MATCH(RIGHT(L342,255),RIGHT('Disaggregation Records'!$D$83:$D$153,255),0))),"")</f>
        <v/>
      </c>
    </row>
    <row r="343" spans="1:18" ht="20.100000000000001" customHeight="1">
      <c r="B343" s="571"/>
      <c r="C343" s="573"/>
      <c r="D343" s="575"/>
      <c r="E343" s="575"/>
      <c r="F343" s="128"/>
      <c r="G343" s="577"/>
      <c r="H343" s="540"/>
      <c r="I343" s="579"/>
      <c r="J343" s="533"/>
      <c r="K343" s="126"/>
      <c r="L343" s="126"/>
      <c r="M343" s="126"/>
      <c r="N343" s="126"/>
      <c r="O343" s="314"/>
      <c r="P343" s="314"/>
      <c r="Q343" s="310"/>
      <c r="R343" s="314" t="str" cm="1">
        <f t="array" ref="R343">IFERROR(IF(INDEX('Disaggregation Records'!$G$83:$G$153,MATCH(RIGHT(L343,255),RIGHT('Disaggregation Records'!$D$83:$D$153,255),0))="","",INDEX('Disaggregation Records'!$G$83:$G$153,MATCH(RIGHT(L343,255),RIGHT('Disaggregation Records'!$D$83:$D$153,255),0))),"")</f>
        <v/>
      </c>
    </row>
    <row r="344" spans="1:18" ht="20.100000000000001" customHeight="1">
      <c r="A344" s="126" t="str">
        <f t="shared" ref="A344" ca="1" si="512">INDIRECT("'update Helper'!C"&amp;Q344)</f>
        <v>a1VDm000000PgA1MAK</v>
      </c>
      <c r="B344" s="570">
        <v>2</v>
      </c>
      <c r="C344" s="572" t="str">
        <f ca="1">IFERROR(VLOOKUP(B344,'Outcome Indicators - Section C '!$A$9:$AC$70,29,FALSE),"")</f>
        <v>TB O-2a Treatment success rate of all forms of TB - bacteriologically confirmed plus clinically diagnosed, new and relapse</v>
      </c>
      <c r="D344" s="574" t="str">
        <f ca="1">M344</f>
        <v/>
      </c>
      <c r="E344" s="574" t="str">
        <f ca="1">N344</f>
        <v/>
      </c>
      <c r="F344" s="127"/>
      <c r="G344" s="576" t="str">
        <f ca="1">IF(OR(INDIRECT("'update Helper'!E"&amp;Q344)="",F344&lt;&gt;0,F345&lt;&gt;0),IF(IFERROR((F344/F345),"")="","",(F344/F345)),INDIRECT("'update Helper'!E"&amp;Q344)/100)</f>
        <v/>
      </c>
      <c r="H344" s="539"/>
      <c r="I344" s="578"/>
      <c r="J344" s="532"/>
      <c r="K344" s="126">
        <f ca="1">IF(AND(EXACT(C344,C342),C342&lt;&gt;0),K342+1,0)</f>
        <v>4</v>
      </c>
      <c r="L344" s="126" t="str">
        <f ca="1">IF(C344&lt;&gt;"",C344&amp;"-"&amp;K344,"")</f>
        <v>TB O-2a Treatment success rate of all forms of TB - bacteriologically confirmed plus clinically diagnosed, new and relapse-4</v>
      </c>
      <c r="M344" s="126" t="str">
        <f t="array" aca="1" ref="M344" ca="1">IFERROR(IF(INDEX('Disaggregation Records'!$E$83:$E$153,MATCH(RIGHT(L344,255),RIGHT('Disaggregation Records'!$D$83:$D$153,255),0))="","",INDEX('Disaggregation Records'!$E$83:$E$153,MATCH(RIGHT(L344,255),RIGHT('Disaggregation Records'!$D$83:$D$153,255),0))),"")</f>
        <v/>
      </c>
      <c r="N344" s="126" t="str">
        <f t="array" aca="1" ref="N344" ca="1">IFERROR(IF(INDEX('Disaggregation Records'!$F$83:$F$153,MATCH(RIGHT(L344,255),RIGHT('Disaggregation Records'!$D$83:$D$153,255),0))="","",INDEX('Disaggregation Records'!$F$83:$F$153,MATCH(RIGHT(L344,255),RIGHT('Disaggregation Records'!$D$83:$D$153,255),0))),"")</f>
        <v/>
      </c>
      <c r="O344" s="314" t="str">
        <f t="array" aca="1" ref="O344" ca="1">IFERROR(IF(INDEX('Disaggregation Records'!$H$83:$H$153,MATCH(RIGHT(L344,255),RIGHT('Disaggregation Records'!$D$83:$D$153,255),0))="","",INDEX('Disaggregation Records'!$H$83:$H$153,MATCH(RIGHT(L344,255),RIGHT('Disaggregation Records'!$D$83:$D$153,255),0))),"")</f>
        <v/>
      </c>
      <c r="P344" s="314"/>
      <c r="Q344" s="310">
        <f t="shared" ref="Q344" si="513">Q342+1</f>
        <v>1018</v>
      </c>
      <c r="R344" s="314" t="str" cm="1">
        <f t="array" aca="1" ref="R344" ca="1">IFERROR(IF(INDEX('Disaggregation Records'!$G$83:$G$153,MATCH(RIGHT(L344,255),RIGHT('Disaggregation Records'!$D$83:$D$153,255),0))="","",INDEX('Disaggregation Records'!$G$83:$G$153,MATCH(RIGHT(L344,255),RIGHT('Disaggregation Records'!$D$83:$D$153,255),0))),"")</f>
        <v/>
      </c>
    </row>
    <row r="345" spans="1:18" ht="20.100000000000001" customHeight="1">
      <c r="A345" s="126"/>
      <c r="B345" s="571"/>
      <c r="C345" s="573"/>
      <c r="D345" s="575"/>
      <c r="E345" s="575"/>
      <c r="F345" s="128"/>
      <c r="G345" s="577"/>
      <c r="H345" s="540"/>
      <c r="I345" s="579"/>
      <c r="J345" s="533"/>
      <c r="K345" s="126"/>
      <c r="L345" s="126"/>
      <c r="M345" s="126"/>
      <c r="N345" s="126"/>
      <c r="O345" s="314"/>
      <c r="P345" s="314"/>
      <c r="Q345" s="310"/>
      <c r="R345" s="314" t="str" cm="1">
        <f t="array" ref="R345">IFERROR(IF(INDEX('Disaggregation Records'!$G$83:$G$153,MATCH(RIGHT(L345,255),RIGHT('Disaggregation Records'!$D$83:$D$153,255),0))="","",INDEX('Disaggregation Records'!$G$83:$G$153,MATCH(RIGHT(L345,255),RIGHT('Disaggregation Records'!$D$83:$D$153,255),0))),"")</f>
        <v/>
      </c>
    </row>
    <row r="346" spans="1:18" ht="20.100000000000001" customHeight="1">
      <c r="A346" s="126" t="str">
        <f t="shared" ref="A346" ca="1" si="514">INDIRECT("'update Helper'!C"&amp;Q346)</f>
        <v>a1VDm000000PgA2MAK</v>
      </c>
      <c r="B346" s="570">
        <v>2</v>
      </c>
      <c r="C346" s="572" t="str">
        <f ca="1">IFERROR(VLOOKUP(B346,'Outcome Indicators - Section C '!$A$9:$AC$70,29,FALSE),"")</f>
        <v>TB O-2a Treatment success rate of all forms of TB - bacteriologically confirmed plus clinically diagnosed, new and relapse</v>
      </c>
      <c r="D346" s="574" t="str">
        <f ca="1">M346</f>
        <v/>
      </c>
      <c r="E346" s="574" t="str">
        <f ca="1">N346</f>
        <v/>
      </c>
      <c r="F346" s="127"/>
      <c r="G346" s="576" t="str">
        <f ca="1">IF(OR(INDIRECT("'update Helper'!E"&amp;Q346)="",F346&lt;&gt;0,F347&lt;&gt;0),IF(IFERROR((F346/F347),"")="","",(F346/F347)),INDIRECT("'update Helper'!E"&amp;Q346)/100)</f>
        <v/>
      </c>
      <c r="H346" s="539"/>
      <c r="I346" s="578"/>
      <c r="J346" s="532"/>
      <c r="K346" s="126">
        <f ca="1">IF(AND(EXACT(C346,C344),C344&lt;&gt;0),K344+1,0)</f>
        <v>5</v>
      </c>
      <c r="L346" s="126" t="str">
        <f ca="1">IF(C346&lt;&gt;"",C346&amp;"-"&amp;K346,"")</f>
        <v>TB O-2a Treatment success rate of all forms of TB - bacteriologically confirmed plus clinically diagnosed, new and relapse-5</v>
      </c>
      <c r="M346" s="126" t="str">
        <f t="array" aca="1" ref="M346" ca="1">IFERROR(IF(INDEX('Disaggregation Records'!$E$83:$E$153,MATCH(RIGHT(L346,255),RIGHT('Disaggregation Records'!$D$83:$D$153,255),0))="","",INDEX('Disaggregation Records'!$E$83:$E$153,MATCH(RIGHT(L346,255),RIGHT('Disaggregation Records'!$D$83:$D$153,255),0))),"")</f>
        <v/>
      </c>
      <c r="N346" s="126" t="str">
        <f t="array" aca="1" ref="N346" ca="1">IFERROR(IF(INDEX('Disaggregation Records'!$F$83:$F$153,MATCH(RIGHT(L346,255),RIGHT('Disaggregation Records'!$D$83:$D$153,255),0))="","",INDEX('Disaggregation Records'!$F$83:$F$153,MATCH(RIGHT(L346,255),RIGHT('Disaggregation Records'!$D$83:$D$153,255),0))),"")</f>
        <v/>
      </c>
      <c r="O346" s="314" t="str">
        <f t="array" aca="1" ref="O346" ca="1">IFERROR(IF(INDEX('Disaggregation Records'!$H$83:$H$153,MATCH(RIGHT(L346,255),RIGHT('Disaggregation Records'!$D$83:$D$153,255),0))="","",INDEX('Disaggregation Records'!$H$83:$H$153,MATCH(RIGHT(L346,255),RIGHT('Disaggregation Records'!$D$83:$D$153,255),0))),"")</f>
        <v/>
      </c>
      <c r="P346" s="314"/>
      <c r="Q346" s="310">
        <f t="shared" ref="Q346" si="515">Q344+1</f>
        <v>1019</v>
      </c>
      <c r="R346" s="314" t="str" cm="1">
        <f t="array" aca="1" ref="R346" ca="1">IFERROR(IF(INDEX('Disaggregation Records'!$G$83:$G$153,MATCH(RIGHT(L346,255),RIGHT('Disaggregation Records'!$D$83:$D$153,255),0))="","",INDEX('Disaggregation Records'!$G$83:$G$153,MATCH(RIGHT(L346,255),RIGHT('Disaggregation Records'!$D$83:$D$153,255),0))),"")</f>
        <v/>
      </c>
    </row>
    <row r="347" spans="1:18" ht="20.100000000000001" customHeight="1">
      <c r="B347" s="571"/>
      <c r="C347" s="573"/>
      <c r="D347" s="575"/>
      <c r="E347" s="575"/>
      <c r="F347" s="128"/>
      <c r="G347" s="577"/>
      <c r="H347" s="540"/>
      <c r="I347" s="579"/>
      <c r="J347" s="533"/>
      <c r="K347" s="126"/>
      <c r="L347" s="126"/>
      <c r="M347" s="126"/>
      <c r="N347" s="126"/>
      <c r="O347" s="314"/>
      <c r="P347" s="314"/>
      <c r="Q347" s="310"/>
      <c r="R347" s="314" t="str" cm="1">
        <f t="array" ref="R347">IFERROR(IF(INDEX('Disaggregation Records'!$G$83:$G$153,MATCH(RIGHT(L347,255),RIGHT('Disaggregation Records'!$D$83:$D$153,255),0))="","",INDEX('Disaggregation Records'!$G$83:$G$153,MATCH(RIGHT(L347,255),RIGHT('Disaggregation Records'!$D$83:$D$153,255),0))),"")</f>
        <v/>
      </c>
    </row>
    <row r="348" spans="1:18" ht="20.100000000000001" customHeight="1">
      <c r="A348" s="126" t="str">
        <f t="shared" ref="A348" ca="1" si="516">INDIRECT("'update Helper'!C"&amp;Q348)</f>
        <v>a1VDm000000PgA3MAK</v>
      </c>
      <c r="B348" s="570">
        <v>2</v>
      </c>
      <c r="C348" s="572" t="str">
        <f ca="1">IFERROR(VLOOKUP(B348,'Outcome Indicators - Section C '!$A$9:$AC$70,29,FALSE),"")</f>
        <v>TB O-2a Treatment success rate of all forms of TB - bacteriologically confirmed plus clinically diagnosed, new and relapse</v>
      </c>
      <c r="D348" s="574" t="str">
        <f ca="1">M348</f>
        <v/>
      </c>
      <c r="E348" s="574" t="str">
        <f ca="1">N348</f>
        <v/>
      </c>
      <c r="F348" s="127"/>
      <c r="G348" s="576" t="str">
        <f ca="1">IF(OR(INDIRECT("'update Helper'!E"&amp;Q348)="",F348&lt;&gt;0,F349&lt;&gt;0),IF(IFERROR((F348/F349),"")="","",(F348/F349)),INDIRECT("'update Helper'!E"&amp;Q348)/100)</f>
        <v/>
      </c>
      <c r="H348" s="539"/>
      <c r="I348" s="578"/>
      <c r="J348" s="532"/>
      <c r="K348" s="126">
        <f ca="1">IF(AND(EXACT(C348,C346),C346&lt;&gt;0),K346+1,0)</f>
        <v>6</v>
      </c>
      <c r="L348" s="126" t="str">
        <f ca="1">IF(C348&lt;&gt;"",C348&amp;"-"&amp;K348,"")</f>
        <v>TB O-2a Treatment success rate of all forms of TB - bacteriologically confirmed plus clinically diagnosed, new and relapse-6</v>
      </c>
      <c r="M348" s="126" t="str">
        <f t="array" aca="1" ref="M348" ca="1">IFERROR(IF(INDEX('Disaggregation Records'!$E$83:$E$153,MATCH(RIGHT(L348,255),RIGHT('Disaggregation Records'!$D$83:$D$153,255),0))="","",INDEX('Disaggregation Records'!$E$83:$E$153,MATCH(RIGHT(L348,255),RIGHT('Disaggregation Records'!$D$83:$D$153,255),0))),"")</f>
        <v/>
      </c>
      <c r="N348" s="126" t="str">
        <f t="array" aca="1" ref="N348" ca="1">IFERROR(IF(INDEX('Disaggregation Records'!$F$83:$F$153,MATCH(RIGHT(L348,255),RIGHT('Disaggregation Records'!$D$83:$D$153,255),0))="","",INDEX('Disaggregation Records'!$F$83:$F$153,MATCH(RIGHT(L348,255),RIGHT('Disaggregation Records'!$D$83:$D$153,255),0))),"")</f>
        <v/>
      </c>
      <c r="O348" s="314" t="str">
        <f t="array" aca="1" ref="O348" ca="1">IFERROR(IF(INDEX('Disaggregation Records'!$H$83:$H$153,MATCH(RIGHT(L348,255),RIGHT('Disaggregation Records'!$D$83:$D$153,255),0))="","",INDEX('Disaggregation Records'!$H$83:$H$153,MATCH(RIGHT(L348,255),RIGHT('Disaggregation Records'!$D$83:$D$153,255),0))),"")</f>
        <v/>
      </c>
      <c r="P348" s="314"/>
      <c r="Q348" s="310">
        <f t="shared" ref="Q348" si="517">Q346+1</f>
        <v>1020</v>
      </c>
      <c r="R348" s="314" t="str" cm="1">
        <f t="array" aca="1" ref="R348" ca="1">IFERROR(IF(INDEX('Disaggregation Records'!$G$83:$G$153,MATCH(RIGHT(L348,255),RIGHT('Disaggregation Records'!$D$83:$D$153,255),0))="","",INDEX('Disaggregation Records'!$G$83:$G$153,MATCH(RIGHT(L348,255),RIGHT('Disaggregation Records'!$D$83:$D$153,255),0))),"")</f>
        <v/>
      </c>
    </row>
    <row r="349" spans="1:18" ht="20.100000000000001" customHeight="1">
      <c r="A349" s="126"/>
      <c r="B349" s="571"/>
      <c r="C349" s="573"/>
      <c r="D349" s="575"/>
      <c r="E349" s="575"/>
      <c r="F349" s="128"/>
      <c r="G349" s="577"/>
      <c r="H349" s="540"/>
      <c r="I349" s="579"/>
      <c r="J349" s="533"/>
      <c r="K349" s="126"/>
      <c r="L349" s="126"/>
      <c r="M349" s="126"/>
      <c r="N349" s="126"/>
      <c r="O349" s="314"/>
      <c r="P349" s="314"/>
      <c r="Q349" s="310"/>
      <c r="R349" s="314" t="str" cm="1">
        <f t="array" ref="R349">IFERROR(IF(INDEX('Disaggregation Records'!$G$83:$G$153,MATCH(RIGHT(L349,255),RIGHT('Disaggregation Records'!$D$83:$D$153,255),0))="","",INDEX('Disaggregation Records'!$G$83:$G$153,MATCH(RIGHT(L349,255),RIGHT('Disaggregation Records'!$D$83:$D$153,255),0))),"")</f>
        <v/>
      </c>
    </row>
    <row r="350" spans="1:18" ht="20.100000000000001" customHeight="1">
      <c r="A350" s="126" t="str">
        <f t="shared" ref="A350" ca="1" si="518">INDIRECT("'update Helper'!C"&amp;Q350)</f>
        <v>a1VDm000000PgA4MAK</v>
      </c>
      <c r="B350" s="570">
        <v>2</v>
      </c>
      <c r="C350" s="572" t="str">
        <f ca="1">IFERROR(VLOOKUP(B350,'Outcome Indicators - Section C '!$A$9:$AC$70,29,FALSE),"")</f>
        <v>TB O-2a Treatment success rate of all forms of TB - bacteriologically confirmed plus clinically diagnosed, new and relapse</v>
      </c>
      <c r="D350" s="574" t="str">
        <f ca="1">M350</f>
        <v/>
      </c>
      <c r="E350" s="574" t="str">
        <f ca="1">N350</f>
        <v/>
      </c>
      <c r="F350" s="127"/>
      <c r="G350" s="576" t="str">
        <f ca="1">IF(OR(INDIRECT("'update Helper'!E"&amp;Q350)="",F350&lt;&gt;0,F351&lt;&gt;0),IF(IFERROR((F350/F351),"")="","",(F350/F351)),INDIRECT("'update Helper'!E"&amp;Q350)/100)</f>
        <v/>
      </c>
      <c r="H350" s="539"/>
      <c r="I350" s="578"/>
      <c r="J350" s="532"/>
      <c r="K350" s="126">
        <f ca="1">IF(AND(EXACT(C350,C348),C348&lt;&gt;0),K348+1,0)</f>
        <v>7</v>
      </c>
      <c r="L350" s="126" t="str">
        <f ca="1">IF(C350&lt;&gt;"",C350&amp;"-"&amp;K350,"")</f>
        <v>TB O-2a Treatment success rate of all forms of TB - bacteriologically confirmed plus clinically diagnosed, new and relapse-7</v>
      </c>
      <c r="M350" s="126" t="str">
        <f t="array" aca="1" ref="M350" ca="1">IFERROR(IF(INDEX('Disaggregation Records'!$E$83:$E$153,MATCH(RIGHT(L350,255),RIGHT('Disaggregation Records'!$D$83:$D$153,255),0))="","",INDEX('Disaggregation Records'!$E$83:$E$153,MATCH(RIGHT(L350,255),RIGHT('Disaggregation Records'!$D$83:$D$153,255),0))),"")</f>
        <v/>
      </c>
      <c r="N350" s="126" t="str">
        <f t="array" aca="1" ref="N350" ca="1">IFERROR(IF(INDEX('Disaggregation Records'!$F$83:$F$153,MATCH(RIGHT(L350,255),RIGHT('Disaggregation Records'!$D$83:$D$153,255),0))="","",INDEX('Disaggregation Records'!$F$83:$F$153,MATCH(RIGHT(L350,255),RIGHT('Disaggregation Records'!$D$83:$D$153,255),0))),"")</f>
        <v/>
      </c>
      <c r="O350" s="314" t="str">
        <f t="array" aca="1" ref="O350" ca="1">IFERROR(IF(INDEX('Disaggregation Records'!$H$83:$H$153,MATCH(RIGHT(L350,255),RIGHT('Disaggregation Records'!$D$83:$D$153,255),0))="","",INDEX('Disaggregation Records'!$H$83:$H$153,MATCH(RIGHT(L350,255),RIGHT('Disaggregation Records'!$D$83:$D$153,255),0))),"")</f>
        <v/>
      </c>
      <c r="P350" s="314"/>
      <c r="Q350" s="310">
        <f t="shared" ref="Q350" si="519">Q348+1</f>
        <v>1021</v>
      </c>
      <c r="R350" s="314" t="str" cm="1">
        <f t="array" aca="1" ref="R350" ca="1">IFERROR(IF(INDEX('Disaggregation Records'!$G$83:$G$153,MATCH(RIGHT(L350,255),RIGHT('Disaggregation Records'!$D$83:$D$153,255),0))="","",INDEX('Disaggregation Records'!$G$83:$G$153,MATCH(RIGHT(L350,255),RIGHT('Disaggregation Records'!$D$83:$D$153,255),0))),"")</f>
        <v/>
      </c>
    </row>
    <row r="351" spans="1:18" ht="20.100000000000001" customHeight="1">
      <c r="B351" s="571"/>
      <c r="C351" s="573"/>
      <c r="D351" s="575"/>
      <c r="E351" s="575"/>
      <c r="F351" s="128"/>
      <c r="G351" s="577"/>
      <c r="H351" s="540"/>
      <c r="I351" s="579"/>
      <c r="J351" s="533"/>
      <c r="K351" s="126"/>
      <c r="L351" s="126"/>
      <c r="M351" s="126"/>
      <c r="N351" s="126"/>
      <c r="O351" s="314"/>
      <c r="P351" s="314"/>
      <c r="Q351" s="310"/>
      <c r="R351" s="314" t="str" cm="1">
        <f t="array" ref="R351">IFERROR(IF(INDEX('Disaggregation Records'!$G$83:$G$153,MATCH(RIGHT(L351,255),RIGHT('Disaggregation Records'!$D$83:$D$153,255),0))="","",INDEX('Disaggregation Records'!$G$83:$G$153,MATCH(RIGHT(L351,255),RIGHT('Disaggregation Records'!$D$83:$D$153,255),0))),"")</f>
        <v/>
      </c>
    </row>
    <row r="352" spans="1:18" ht="20.100000000000001" customHeight="1">
      <c r="A352" s="126" t="str">
        <f t="shared" ref="A352" ca="1" si="520">INDIRECT("'update Helper'!C"&amp;Q352)</f>
        <v>a1VDm000000PgA5MAK</v>
      </c>
      <c r="B352" s="570">
        <v>2</v>
      </c>
      <c r="C352" s="572" t="str">
        <f ca="1">IFERROR(VLOOKUP(B352,'Outcome Indicators - Section C '!$A$9:$AC$70,29,FALSE),"")</f>
        <v>TB O-2a Treatment success rate of all forms of TB - bacteriologically confirmed plus clinically diagnosed, new and relapse</v>
      </c>
      <c r="D352" s="574" t="str">
        <f ca="1">M352</f>
        <v/>
      </c>
      <c r="E352" s="574" t="str">
        <f ca="1">N352</f>
        <v/>
      </c>
      <c r="F352" s="127"/>
      <c r="G352" s="576" t="str">
        <f ca="1">IF(OR(INDIRECT("'update Helper'!E"&amp;Q352)="",F352&lt;&gt;0,F353&lt;&gt;0),IF(IFERROR((F352/F353),"")="","",(F352/F353)),INDIRECT("'update Helper'!E"&amp;Q352)/100)</f>
        <v/>
      </c>
      <c r="H352" s="539"/>
      <c r="I352" s="578"/>
      <c r="J352" s="532"/>
      <c r="K352" s="126">
        <f ca="1">IF(AND(EXACT(C352,C350),C350&lt;&gt;0),K350+1,0)</f>
        <v>8</v>
      </c>
      <c r="L352" s="126" t="str">
        <f ca="1">IF(C352&lt;&gt;"",C352&amp;"-"&amp;K352,"")</f>
        <v>TB O-2a Treatment success rate of all forms of TB - bacteriologically confirmed plus clinically diagnosed, new and relapse-8</v>
      </c>
      <c r="M352" s="126" t="str">
        <f t="array" aca="1" ref="M352" ca="1">IFERROR(IF(INDEX('Disaggregation Records'!$E$83:$E$153,MATCH(RIGHT(L352,255),RIGHT('Disaggregation Records'!$D$83:$D$153,255),0))="","",INDEX('Disaggregation Records'!$E$83:$E$153,MATCH(RIGHT(L352,255),RIGHT('Disaggregation Records'!$D$83:$D$153,255),0))),"")</f>
        <v/>
      </c>
      <c r="N352" s="126" t="str">
        <f t="array" aca="1" ref="N352" ca="1">IFERROR(IF(INDEX('Disaggregation Records'!$F$83:$F$153,MATCH(RIGHT(L352,255),RIGHT('Disaggregation Records'!$D$83:$D$153,255),0))="","",INDEX('Disaggregation Records'!$F$83:$F$153,MATCH(RIGHT(L352,255),RIGHT('Disaggregation Records'!$D$83:$D$153,255),0))),"")</f>
        <v/>
      </c>
      <c r="O352" s="314" t="str">
        <f t="array" aca="1" ref="O352" ca="1">IFERROR(IF(INDEX('Disaggregation Records'!$H$83:$H$153,MATCH(RIGHT(L352,255),RIGHT('Disaggregation Records'!$D$83:$D$153,255),0))="","",INDEX('Disaggregation Records'!$H$83:$H$153,MATCH(RIGHT(L352,255),RIGHT('Disaggregation Records'!$D$83:$D$153,255),0))),"")</f>
        <v/>
      </c>
      <c r="P352" s="314"/>
      <c r="Q352" s="310">
        <f t="shared" ref="Q352" si="521">Q350+1</f>
        <v>1022</v>
      </c>
      <c r="R352" s="314" t="str" cm="1">
        <f t="array" aca="1" ref="R352" ca="1">IFERROR(IF(INDEX('Disaggregation Records'!$G$83:$G$153,MATCH(RIGHT(L352,255),RIGHT('Disaggregation Records'!$D$83:$D$153,255),0))="","",INDEX('Disaggregation Records'!$G$83:$G$153,MATCH(RIGHT(L352,255),RIGHT('Disaggregation Records'!$D$83:$D$153,255),0))),"")</f>
        <v/>
      </c>
    </row>
    <row r="353" spans="1:18" ht="20.100000000000001" customHeight="1">
      <c r="A353" s="126"/>
      <c r="B353" s="571"/>
      <c r="C353" s="573"/>
      <c r="D353" s="575"/>
      <c r="E353" s="575"/>
      <c r="F353" s="128"/>
      <c r="G353" s="577"/>
      <c r="H353" s="540"/>
      <c r="I353" s="579"/>
      <c r="J353" s="533"/>
      <c r="K353" s="126"/>
      <c r="L353" s="126"/>
      <c r="M353" s="126"/>
      <c r="N353" s="126"/>
      <c r="O353" s="314"/>
      <c r="P353" s="314"/>
      <c r="Q353" s="310"/>
      <c r="R353" s="314" t="str" cm="1">
        <f t="array" ref="R353">IFERROR(IF(INDEX('Disaggregation Records'!$G$83:$G$153,MATCH(RIGHT(L353,255),RIGHT('Disaggregation Records'!$D$83:$D$153,255),0))="","",INDEX('Disaggregation Records'!$G$83:$G$153,MATCH(RIGHT(L353,255),RIGHT('Disaggregation Records'!$D$83:$D$153,255),0))),"")</f>
        <v/>
      </c>
    </row>
    <row r="354" spans="1:18" ht="20.100000000000001" customHeight="1">
      <c r="A354" s="126" t="str">
        <f t="shared" ref="A354" ca="1" si="522">INDIRECT("'update Helper'!C"&amp;Q354)</f>
        <v>a1VDm000000PgA6MAK</v>
      </c>
      <c r="B354" s="570">
        <v>2</v>
      </c>
      <c r="C354" s="572" t="str">
        <f ca="1">IFERROR(VLOOKUP(B354,'Outcome Indicators - Section C '!$A$9:$AC$70,29,FALSE),"")</f>
        <v>TB O-2a Treatment success rate of all forms of TB - bacteriologically confirmed plus clinically diagnosed, new and relapse</v>
      </c>
      <c r="D354" s="574" t="str">
        <f ca="1">M354</f>
        <v/>
      </c>
      <c r="E354" s="574" t="str">
        <f ca="1">N354</f>
        <v/>
      </c>
      <c r="F354" s="127"/>
      <c r="G354" s="576" t="str">
        <f ca="1">IF(OR(INDIRECT("'update Helper'!E"&amp;Q354)="",F354&lt;&gt;0,F355&lt;&gt;0),IF(IFERROR((F354/F355),"")="","",(F354/F355)),INDIRECT("'update Helper'!E"&amp;Q354)/100)</f>
        <v/>
      </c>
      <c r="H354" s="539"/>
      <c r="I354" s="578"/>
      <c r="J354" s="532"/>
      <c r="K354" s="126">
        <f ca="1">IF(AND(EXACT(C354,C352),C352&lt;&gt;0),K352+1,0)</f>
        <v>9</v>
      </c>
      <c r="L354" s="126" t="str">
        <f ca="1">IF(C354&lt;&gt;"",C354&amp;"-"&amp;K354,"")</f>
        <v>TB O-2a Treatment success rate of all forms of TB - bacteriologically confirmed plus clinically diagnosed, new and relapse-9</v>
      </c>
      <c r="M354" s="126" t="str">
        <f t="array" aca="1" ref="M354" ca="1">IFERROR(IF(INDEX('Disaggregation Records'!$E$83:$E$153,MATCH(RIGHT(L354,255),RIGHT('Disaggregation Records'!$D$83:$D$153,255),0))="","",INDEX('Disaggregation Records'!$E$83:$E$153,MATCH(RIGHT(L354,255),RIGHT('Disaggregation Records'!$D$83:$D$153,255),0))),"")</f>
        <v/>
      </c>
      <c r="N354" s="126" t="str">
        <f t="array" aca="1" ref="N354" ca="1">IFERROR(IF(INDEX('Disaggregation Records'!$F$83:$F$153,MATCH(RIGHT(L354,255),RIGHT('Disaggregation Records'!$D$83:$D$153,255),0))="","",INDEX('Disaggregation Records'!$F$83:$F$153,MATCH(RIGHT(L354,255),RIGHT('Disaggregation Records'!$D$83:$D$153,255),0))),"")</f>
        <v/>
      </c>
      <c r="O354" s="314" t="str">
        <f t="array" aca="1" ref="O354" ca="1">IFERROR(IF(INDEX('Disaggregation Records'!$H$83:$H$153,MATCH(RIGHT(L354,255),RIGHT('Disaggregation Records'!$D$83:$D$153,255),0))="","",INDEX('Disaggregation Records'!$H$83:$H$153,MATCH(RIGHT(L354,255),RIGHT('Disaggregation Records'!$D$83:$D$153,255),0))),"")</f>
        <v/>
      </c>
      <c r="P354" s="314"/>
      <c r="Q354" s="310">
        <f t="shared" ref="Q354" si="523">Q352+1</f>
        <v>1023</v>
      </c>
      <c r="R354" s="314" t="str" cm="1">
        <f t="array" aca="1" ref="R354" ca="1">IFERROR(IF(INDEX('Disaggregation Records'!$G$83:$G$153,MATCH(RIGHT(L354,255),RIGHT('Disaggregation Records'!$D$83:$D$153,255),0))="","",INDEX('Disaggregation Records'!$G$83:$G$153,MATCH(RIGHT(L354,255),RIGHT('Disaggregation Records'!$D$83:$D$153,255),0))),"")</f>
        <v/>
      </c>
    </row>
    <row r="355" spans="1:18" ht="20.100000000000001" customHeight="1">
      <c r="B355" s="571"/>
      <c r="C355" s="573"/>
      <c r="D355" s="575"/>
      <c r="E355" s="575"/>
      <c r="F355" s="128"/>
      <c r="G355" s="577"/>
      <c r="H355" s="540"/>
      <c r="I355" s="579"/>
      <c r="J355" s="533"/>
      <c r="K355" s="126"/>
      <c r="L355" s="126"/>
      <c r="M355" s="126"/>
      <c r="N355" s="126"/>
      <c r="O355" s="314"/>
      <c r="P355" s="314"/>
      <c r="Q355" s="310"/>
      <c r="R355" s="314" t="str" cm="1">
        <f t="array" ref="R355">IFERROR(IF(INDEX('Disaggregation Records'!$G$83:$G$153,MATCH(RIGHT(L355,255),RIGHT('Disaggregation Records'!$D$83:$D$153,255),0))="","",INDEX('Disaggregation Records'!$G$83:$G$153,MATCH(RIGHT(L355,255),RIGHT('Disaggregation Records'!$D$83:$D$153,255),0))),"")</f>
        <v/>
      </c>
    </row>
    <row r="356" spans="1:18" ht="20.100000000000001" customHeight="1">
      <c r="A356" s="126" t="str">
        <f t="shared" ref="A356" ca="1" si="524">INDIRECT("'update Helper'!C"&amp;Q356)</f>
        <v>a1VDm000000PgA7MAK</v>
      </c>
      <c r="B356" s="570">
        <v>3</v>
      </c>
      <c r="C356" s="572" t="str">
        <f ca="1">IFERROR(VLOOKUP(B356,'Outcome Indicators - Section C '!$A$9:$AC$70,29,FALSE),"")</f>
        <v>TB O-6 Treatment coverage of RR-TB and/or MDR-TB: Percentage of notified people with bacteriologically confirmed, drug resistant RR-TB and/or MDR-TB as a proportion of all estimated people with RR-TB and/or MDR-TB</v>
      </c>
      <c r="D356" s="574" t="str">
        <f ca="1">M356</f>
        <v/>
      </c>
      <c r="E356" s="574" t="str">
        <f ca="1">N356</f>
        <v/>
      </c>
      <c r="F356" s="127"/>
      <c r="G356" s="576" t="str">
        <f ca="1">IF(OR(INDIRECT("'update Helper'!E"&amp;Q356)="",F356&lt;&gt;0,F357&lt;&gt;0),IF(IFERROR((F356/F357),"")="","",(F356/F357)),INDIRECT("'update Helper'!E"&amp;Q356)/100)</f>
        <v/>
      </c>
      <c r="H356" s="539"/>
      <c r="I356" s="578"/>
      <c r="J356" s="532"/>
      <c r="K356" s="126">
        <f ca="1">IF(AND(EXACT(C356,C354),C354&lt;&gt;0),K354+1,0)</f>
        <v>0</v>
      </c>
      <c r="L356" s="126" t="str">
        <f ca="1">IF(C356&lt;&gt;"",C356&amp;"-"&amp;K356,"")</f>
        <v>TB O-6 Treatment coverage of RR-TB and/or MDR-TB: Percentage of notified people with bacteriologically confirmed, drug resistant RR-TB and/or MDR-TB as a proportion of all estimated people with RR-TB and/or MDR-TB-0</v>
      </c>
      <c r="M356" s="126" t="str">
        <f t="array" aca="1" ref="M356" ca="1">IFERROR(IF(INDEX('Disaggregation Records'!$E$83:$E$153,MATCH(RIGHT(L356,255),RIGHT('Disaggregation Records'!$D$83:$D$153,255),0))="","",INDEX('Disaggregation Records'!$E$83:$E$153,MATCH(RIGHT(L356,255),RIGHT('Disaggregation Records'!$D$83:$D$153,255),0))),"")</f>
        <v/>
      </c>
      <c r="N356" s="126" t="str">
        <f t="array" aca="1" ref="N356" ca="1">IFERROR(IF(INDEX('Disaggregation Records'!$F$83:$F$153,MATCH(RIGHT(L356,255),RIGHT('Disaggregation Records'!$D$83:$D$153,255),0))="","",INDEX('Disaggregation Records'!$F$83:$F$153,MATCH(RIGHT(L356,255),RIGHT('Disaggregation Records'!$D$83:$D$153,255),0))),"")</f>
        <v/>
      </c>
      <c r="O356" s="314" t="str">
        <f t="array" aca="1" ref="O356" ca="1">IFERROR(IF(INDEX('Disaggregation Records'!$H$83:$H$153,MATCH(RIGHT(L356,255),RIGHT('Disaggregation Records'!$D$83:$D$153,255),0))="","",INDEX('Disaggregation Records'!$H$83:$H$153,MATCH(RIGHT(L356,255),RIGHT('Disaggregation Records'!$D$83:$D$153,255),0))),"")</f>
        <v/>
      </c>
      <c r="P356" s="314"/>
      <c r="Q356" s="310">
        <f t="shared" ref="Q356" si="525">Q354+1</f>
        <v>1024</v>
      </c>
      <c r="R356" s="314" t="str" cm="1">
        <f t="array" aca="1" ref="R356" ca="1">IFERROR(IF(INDEX('Disaggregation Records'!$G$83:$G$153,MATCH(RIGHT(L356,255),RIGHT('Disaggregation Records'!$D$83:$D$153,255),0))="","",INDEX('Disaggregation Records'!$G$83:$G$153,MATCH(RIGHT(L356,255),RIGHT('Disaggregation Records'!$D$83:$D$153,255),0))),"")</f>
        <v/>
      </c>
    </row>
    <row r="357" spans="1:18" ht="20.100000000000001" customHeight="1">
      <c r="A357" s="126"/>
      <c r="B357" s="571"/>
      <c r="C357" s="573"/>
      <c r="D357" s="575"/>
      <c r="E357" s="575"/>
      <c r="F357" s="128"/>
      <c r="G357" s="577"/>
      <c r="H357" s="540"/>
      <c r="I357" s="579"/>
      <c r="J357" s="533"/>
      <c r="K357" s="126"/>
      <c r="L357" s="126"/>
      <c r="M357" s="126"/>
      <c r="N357" s="126"/>
      <c r="O357" s="314"/>
      <c r="P357" s="314"/>
      <c r="Q357" s="310"/>
      <c r="R357" s="314" t="str" cm="1">
        <f t="array" ref="R357">IFERROR(IF(INDEX('Disaggregation Records'!$G$83:$G$153,MATCH(RIGHT(L357,255),RIGHT('Disaggregation Records'!$D$83:$D$153,255),0))="","",INDEX('Disaggregation Records'!$G$83:$G$153,MATCH(RIGHT(L357,255),RIGHT('Disaggregation Records'!$D$83:$D$153,255),0))),"")</f>
        <v/>
      </c>
    </row>
    <row r="358" spans="1:18" ht="20.100000000000001" customHeight="1">
      <c r="A358" s="126" t="str">
        <f t="shared" ref="A358" ca="1" si="526">INDIRECT("'update Helper'!C"&amp;Q358)</f>
        <v>a1VDm000000PgA8MAK</v>
      </c>
      <c r="B358" s="570">
        <v>3</v>
      </c>
      <c r="C358" s="572" t="str">
        <f ca="1">IFERROR(VLOOKUP(B358,'Outcome Indicators - Section C '!$A$9:$AC$70,29,FALSE),"")</f>
        <v>TB O-6 Treatment coverage of RR-TB and/or MDR-TB: Percentage of notified people with bacteriologically confirmed, drug resistant RR-TB and/or MDR-TB as a proportion of all estimated people with RR-TB and/or MDR-TB</v>
      </c>
      <c r="D358" s="574" t="str">
        <f ca="1">M358</f>
        <v/>
      </c>
      <c r="E358" s="574" t="str">
        <f ca="1">N358</f>
        <v/>
      </c>
      <c r="F358" s="127"/>
      <c r="G358" s="576" t="str">
        <f ca="1">IF(OR(INDIRECT("'update Helper'!E"&amp;Q358)="",F358&lt;&gt;0,F359&lt;&gt;0),IF(IFERROR((F358/F359),"")="","",(F358/F359)),INDIRECT("'update Helper'!E"&amp;Q358)/100)</f>
        <v/>
      </c>
      <c r="H358" s="539"/>
      <c r="I358" s="578"/>
      <c r="J358" s="532"/>
      <c r="K358" s="126">
        <f ca="1">IF(AND(EXACT(C358,C356),C356&lt;&gt;0),K356+1,0)</f>
        <v>1</v>
      </c>
      <c r="L358" s="126" t="str">
        <f ca="1">IF(C358&lt;&gt;"",C358&amp;"-"&amp;K358,"")</f>
        <v>TB O-6 Treatment coverage of RR-TB and/or MDR-TB: Percentage of notified people with bacteriologically confirmed, drug resistant RR-TB and/or MDR-TB as a proportion of all estimated people with RR-TB and/or MDR-TB-1</v>
      </c>
      <c r="M358" s="126" t="str">
        <f t="array" aca="1" ref="M358" ca="1">IFERROR(IF(INDEX('Disaggregation Records'!$E$83:$E$153,MATCH(RIGHT(L358,255),RIGHT('Disaggregation Records'!$D$83:$D$153,255),0))="","",INDEX('Disaggregation Records'!$E$83:$E$153,MATCH(RIGHT(L358,255),RIGHT('Disaggregation Records'!$D$83:$D$153,255),0))),"")</f>
        <v/>
      </c>
      <c r="N358" s="126" t="str">
        <f t="array" aca="1" ref="N358" ca="1">IFERROR(IF(INDEX('Disaggregation Records'!$F$83:$F$153,MATCH(RIGHT(L358,255),RIGHT('Disaggregation Records'!$D$83:$D$153,255),0))="","",INDEX('Disaggregation Records'!$F$83:$F$153,MATCH(RIGHT(L358,255),RIGHT('Disaggregation Records'!$D$83:$D$153,255),0))),"")</f>
        <v/>
      </c>
      <c r="O358" s="314" t="str">
        <f t="array" aca="1" ref="O358" ca="1">IFERROR(IF(INDEX('Disaggregation Records'!$H$83:$H$153,MATCH(RIGHT(L358,255),RIGHT('Disaggregation Records'!$D$83:$D$153,255),0))="","",INDEX('Disaggregation Records'!$H$83:$H$153,MATCH(RIGHT(L358,255),RIGHT('Disaggregation Records'!$D$83:$D$153,255),0))),"")</f>
        <v/>
      </c>
      <c r="P358" s="314"/>
      <c r="Q358" s="310">
        <f t="shared" ref="Q358" si="527">Q356+1</f>
        <v>1025</v>
      </c>
      <c r="R358" s="314" t="str" cm="1">
        <f t="array" aca="1" ref="R358" ca="1">IFERROR(IF(INDEX('Disaggregation Records'!$G$83:$G$153,MATCH(RIGHT(L358,255),RIGHT('Disaggregation Records'!$D$83:$D$153,255),0))="","",INDEX('Disaggregation Records'!$G$83:$G$153,MATCH(RIGHT(L358,255),RIGHT('Disaggregation Records'!$D$83:$D$153,255),0))),"")</f>
        <v/>
      </c>
    </row>
    <row r="359" spans="1:18" ht="20.100000000000001" customHeight="1">
      <c r="B359" s="571"/>
      <c r="C359" s="573"/>
      <c r="D359" s="575"/>
      <c r="E359" s="575"/>
      <c r="F359" s="128"/>
      <c r="G359" s="577"/>
      <c r="H359" s="540"/>
      <c r="I359" s="579"/>
      <c r="J359" s="533"/>
      <c r="K359" s="126"/>
      <c r="L359" s="126"/>
      <c r="M359" s="126"/>
      <c r="N359" s="126"/>
      <c r="O359" s="314"/>
      <c r="P359" s="314"/>
      <c r="Q359" s="310"/>
      <c r="R359" s="314" t="str" cm="1">
        <f t="array" ref="R359">IFERROR(IF(INDEX('Disaggregation Records'!$G$83:$G$153,MATCH(RIGHT(L359,255),RIGHT('Disaggregation Records'!$D$83:$D$153,255),0))="","",INDEX('Disaggregation Records'!$G$83:$G$153,MATCH(RIGHT(L359,255),RIGHT('Disaggregation Records'!$D$83:$D$153,255),0))),"")</f>
        <v/>
      </c>
    </row>
    <row r="360" spans="1:18" ht="20.100000000000001" customHeight="1">
      <c r="A360" s="126" t="str">
        <f t="shared" ref="A360" ca="1" si="528">INDIRECT("'update Helper'!C"&amp;Q360)</f>
        <v>a1VDm000000PgA9MAK</v>
      </c>
      <c r="B360" s="570">
        <v>3</v>
      </c>
      <c r="C360" s="572" t="str">
        <f ca="1">IFERROR(VLOOKUP(B360,'Outcome Indicators - Section C '!$A$9:$AC$70,29,FALSE),"")</f>
        <v>TB O-6 Treatment coverage of RR-TB and/or MDR-TB: Percentage of notified people with bacteriologically confirmed, drug resistant RR-TB and/or MDR-TB as a proportion of all estimated people with RR-TB and/or MDR-TB</v>
      </c>
      <c r="D360" s="574" t="str">
        <f ca="1">M360</f>
        <v/>
      </c>
      <c r="E360" s="574" t="str">
        <f ca="1">N360</f>
        <v/>
      </c>
      <c r="F360" s="127"/>
      <c r="G360" s="576" t="str">
        <f ca="1">IF(OR(INDIRECT("'update Helper'!E"&amp;Q360)="",F360&lt;&gt;0,F361&lt;&gt;0),IF(IFERROR((F360/F361),"")="","",(F360/F361)),INDIRECT("'update Helper'!E"&amp;Q360)/100)</f>
        <v/>
      </c>
      <c r="H360" s="539"/>
      <c r="I360" s="578"/>
      <c r="J360" s="532"/>
      <c r="K360" s="126">
        <f ca="1">IF(AND(EXACT(C360,C358),C358&lt;&gt;0),K358+1,0)</f>
        <v>2</v>
      </c>
      <c r="L360" s="126" t="str">
        <f ca="1">IF(C360&lt;&gt;"",C360&amp;"-"&amp;K360,"")</f>
        <v>TB O-6 Treatment coverage of RR-TB and/or MDR-TB: Percentage of notified people with bacteriologically confirmed, drug resistant RR-TB and/or MDR-TB as a proportion of all estimated people with RR-TB and/or MDR-TB-2</v>
      </c>
      <c r="M360" s="126" t="str">
        <f t="array" aca="1" ref="M360" ca="1">IFERROR(IF(INDEX('Disaggregation Records'!$E$83:$E$153,MATCH(RIGHT(L360,255),RIGHT('Disaggregation Records'!$D$83:$D$153,255),0))="","",INDEX('Disaggregation Records'!$E$83:$E$153,MATCH(RIGHT(L360,255),RIGHT('Disaggregation Records'!$D$83:$D$153,255),0))),"")</f>
        <v/>
      </c>
      <c r="N360" s="126" t="str">
        <f t="array" aca="1" ref="N360" ca="1">IFERROR(IF(INDEX('Disaggregation Records'!$F$83:$F$153,MATCH(RIGHT(L360,255),RIGHT('Disaggregation Records'!$D$83:$D$153,255),0))="","",INDEX('Disaggregation Records'!$F$83:$F$153,MATCH(RIGHT(L360,255),RIGHT('Disaggregation Records'!$D$83:$D$153,255),0))),"")</f>
        <v/>
      </c>
      <c r="O360" s="314" t="str">
        <f t="array" aca="1" ref="O360" ca="1">IFERROR(IF(INDEX('Disaggregation Records'!$H$83:$H$153,MATCH(RIGHT(L360,255),RIGHT('Disaggregation Records'!$D$83:$D$153,255),0))="","",INDEX('Disaggregation Records'!$H$83:$H$153,MATCH(RIGHT(L360,255),RIGHT('Disaggregation Records'!$D$83:$D$153,255),0))),"")</f>
        <v/>
      </c>
      <c r="P360" s="314"/>
      <c r="Q360" s="310">
        <f t="shared" ref="Q360" si="529">Q358+1</f>
        <v>1026</v>
      </c>
      <c r="R360" s="314" t="str" cm="1">
        <f t="array" aca="1" ref="R360" ca="1">IFERROR(IF(INDEX('Disaggregation Records'!$G$83:$G$153,MATCH(RIGHT(L360,255),RIGHT('Disaggregation Records'!$D$83:$D$153,255),0))="","",INDEX('Disaggregation Records'!$G$83:$G$153,MATCH(RIGHT(L360,255),RIGHT('Disaggregation Records'!$D$83:$D$153,255),0))),"")</f>
        <v/>
      </c>
    </row>
    <row r="361" spans="1:18" ht="20.100000000000001" customHeight="1">
      <c r="A361" s="126"/>
      <c r="B361" s="571"/>
      <c r="C361" s="573"/>
      <c r="D361" s="575"/>
      <c r="E361" s="575"/>
      <c r="F361" s="128"/>
      <c r="G361" s="577"/>
      <c r="H361" s="540"/>
      <c r="I361" s="579"/>
      <c r="J361" s="533"/>
      <c r="K361" s="126"/>
      <c r="L361" s="126"/>
      <c r="M361" s="126"/>
      <c r="N361" s="126"/>
      <c r="O361" s="314"/>
      <c r="P361" s="314"/>
      <c r="Q361" s="310"/>
      <c r="R361" s="314" t="str" cm="1">
        <f t="array" ref="R361">IFERROR(IF(INDEX('Disaggregation Records'!$G$83:$G$153,MATCH(RIGHT(L361,255),RIGHT('Disaggregation Records'!$D$83:$D$153,255),0))="","",INDEX('Disaggregation Records'!$G$83:$G$153,MATCH(RIGHT(L361,255),RIGHT('Disaggregation Records'!$D$83:$D$153,255),0))),"")</f>
        <v/>
      </c>
    </row>
    <row r="362" spans="1:18" ht="20.100000000000001" customHeight="1">
      <c r="A362" s="126" t="str">
        <f t="shared" ref="A362" ca="1" si="530">INDIRECT("'update Helper'!C"&amp;Q362)</f>
        <v>a1VDm000000PgAAMA0</v>
      </c>
      <c r="B362" s="570">
        <v>3</v>
      </c>
      <c r="C362" s="572" t="str">
        <f ca="1">IFERROR(VLOOKUP(B362,'Outcome Indicators - Section C '!$A$9:$AC$70,29,FALSE),"")</f>
        <v>TB O-6 Treatment coverage of RR-TB and/or MDR-TB: Percentage of notified people with bacteriologically confirmed, drug resistant RR-TB and/or MDR-TB as a proportion of all estimated people with RR-TB and/or MDR-TB</v>
      </c>
      <c r="D362" s="574" t="str">
        <f ca="1">M362</f>
        <v/>
      </c>
      <c r="E362" s="574" t="str">
        <f ca="1">N362</f>
        <v/>
      </c>
      <c r="F362" s="127"/>
      <c r="G362" s="576" t="str">
        <f ca="1">IF(OR(INDIRECT("'update Helper'!E"&amp;Q362)="",F362&lt;&gt;0,F363&lt;&gt;0),IF(IFERROR((F362/F363),"")="","",(F362/F363)),INDIRECT("'update Helper'!E"&amp;Q362)/100)</f>
        <v/>
      </c>
      <c r="H362" s="539"/>
      <c r="I362" s="578"/>
      <c r="J362" s="532"/>
      <c r="K362" s="126">
        <f ca="1">IF(AND(EXACT(C362,C360),C360&lt;&gt;0),K360+1,0)</f>
        <v>3</v>
      </c>
      <c r="L362" s="126" t="str">
        <f ca="1">IF(C362&lt;&gt;"",C362&amp;"-"&amp;K362,"")</f>
        <v>TB O-6 Treatment coverage of RR-TB and/or MDR-TB: Percentage of notified people with bacteriologically confirmed, drug resistant RR-TB and/or MDR-TB as a proportion of all estimated people with RR-TB and/or MDR-TB-3</v>
      </c>
      <c r="M362" s="126" t="str">
        <f t="array" aca="1" ref="M362" ca="1">IFERROR(IF(INDEX('Disaggregation Records'!$E$83:$E$153,MATCH(RIGHT(L362,255),RIGHT('Disaggregation Records'!$D$83:$D$153,255),0))="","",INDEX('Disaggregation Records'!$E$83:$E$153,MATCH(RIGHT(L362,255),RIGHT('Disaggregation Records'!$D$83:$D$153,255),0))),"")</f>
        <v/>
      </c>
      <c r="N362" s="126" t="str">
        <f t="array" aca="1" ref="N362" ca="1">IFERROR(IF(INDEX('Disaggregation Records'!$F$83:$F$153,MATCH(RIGHT(L362,255),RIGHT('Disaggregation Records'!$D$83:$D$153,255),0))="","",INDEX('Disaggregation Records'!$F$83:$F$153,MATCH(RIGHT(L362,255),RIGHT('Disaggregation Records'!$D$83:$D$153,255),0))),"")</f>
        <v/>
      </c>
      <c r="O362" s="314" t="str">
        <f t="array" aca="1" ref="O362" ca="1">IFERROR(IF(INDEX('Disaggregation Records'!$H$83:$H$153,MATCH(RIGHT(L362,255),RIGHT('Disaggregation Records'!$D$83:$D$153,255),0))="","",INDEX('Disaggregation Records'!$H$83:$H$153,MATCH(RIGHT(L362,255),RIGHT('Disaggregation Records'!$D$83:$D$153,255),0))),"")</f>
        <v/>
      </c>
      <c r="P362" s="314"/>
      <c r="Q362" s="310">
        <f t="shared" ref="Q362" si="531">Q360+1</f>
        <v>1027</v>
      </c>
      <c r="R362" s="314" t="str" cm="1">
        <f t="array" aca="1" ref="R362" ca="1">IFERROR(IF(INDEX('Disaggregation Records'!$G$83:$G$153,MATCH(RIGHT(L362,255),RIGHT('Disaggregation Records'!$D$83:$D$153,255),0))="","",INDEX('Disaggregation Records'!$G$83:$G$153,MATCH(RIGHT(L362,255),RIGHT('Disaggregation Records'!$D$83:$D$153,255),0))),"")</f>
        <v/>
      </c>
    </row>
    <row r="363" spans="1:18" ht="20.100000000000001" customHeight="1">
      <c r="B363" s="571"/>
      <c r="C363" s="573"/>
      <c r="D363" s="575"/>
      <c r="E363" s="575"/>
      <c r="F363" s="128"/>
      <c r="G363" s="577"/>
      <c r="H363" s="540"/>
      <c r="I363" s="579"/>
      <c r="J363" s="533"/>
      <c r="K363" s="126"/>
      <c r="L363" s="126"/>
      <c r="M363" s="126"/>
      <c r="N363" s="126"/>
      <c r="O363" s="314"/>
      <c r="P363" s="314"/>
      <c r="Q363" s="310"/>
      <c r="R363" s="314" t="str" cm="1">
        <f t="array" ref="R363">IFERROR(IF(INDEX('Disaggregation Records'!$G$83:$G$153,MATCH(RIGHT(L363,255),RIGHT('Disaggregation Records'!$D$83:$D$153,255),0))="","",INDEX('Disaggregation Records'!$G$83:$G$153,MATCH(RIGHT(L363,255),RIGHT('Disaggregation Records'!$D$83:$D$153,255),0))),"")</f>
        <v/>
      </c>
    </row>
    <row r="364" spans="1:18" ht="20.100000000000001" customHeight="1">
      <c r="A364" s="126" t="str">
        <f t="shared" ref="A364" ca="1" si="532">INDIRECT("'update Helper'!C"&amp;Q364)</f>
        <v>a1VDm000000PgABMA0</v>
      </c>
      <c r="B364" s="570">
        <v>3</v>
      </c>
      <c r="C364" s="572" t="str">
        <f ca="1">IFERROR(VLOOKUP(B364,'Outcome Indicators - Section C '!$A$9:$AC$70,29,FALSE),"")</f>
        <v>TB O-6 Treatment coverage of RR-TB and/or MDR-TB: Percentage of notified people with bacteriologically confirmed, drug resistant RR-TB and/or MDR-TB as a proportion of all estimated people with RR-TB and/or MDR-TB</v>
      </c>
      <c r="D364" s="574" t="str">
        <f ca="1">M364</f>
        <v/>
      </c>
      <c r="E364" s="574" t="str">
        <f ca="1">N364</f>
        <v/>
      </c>
      <c r="F364" s="127"/>
      <c r="G364" s="576" t="str">
        <f ca="1">IF(OR(INDIRECT("'update Helper'!E"&amp;Q364)="",F364&lt;&gt;0,F365&lt;&gt;0),IF(IFERROR((F364/F365),"")="","",(F364/F365)),INDIRECT("'update Helper'!E"&amp;Q364)/100)</f>
        <v/>
      </c>
      <c r="H364" s="539"/>
      <c r="I364" s="578"/>
      <c r="J364" s="532"/>
      <c r="K364" s="126">
        <f ca="1">IF(AND(EXACT(C364,C362),C362&lt;&gt;0),K362+1,0)</f>
        <v>4</v>
      </c>
      <c r="L364" s="126" t="str">
        <f ca="1">IF(C364&lt;&gt;"",C364&amp;"-"&amp;K364,"")</f>
        <v>TB O-6 Treatment coverage of RR-TB and/or MDR-TB: Percentage of notified people with bacteriologically confirmed, drug resistant RR-TB and/or MDR-TB as a proportion of all estimated people with RR-TB and/or MDR-TB-4</v>
      </c>
      <c r="M364" s="126" t="str">
        <f t="array" aca="1" ref="M364" ca="1">IFERROR(IF(INDEX('Disaggregation Records'!$E$83:$E$153,MATCH(RIGHT(L364,255),RIGHT('Disaggregation Records'!$D$83:$D$153,255),0))="","",INDEX('Disaggregation Records'!$E$83:$E$153,MATCH(RIGHT(L364,255),RIGHT('Disaggregation Records'!$D$83:$D$153,255),0))),"")</f>
        <v/>
      </c>
      <c r="N364" s="126" t="str">
        <f t="array" aca="1" ref="N364" ca="1">IFERROR(IF(INDEX('Disaggregation Records'!$F$83:$F$153,MATCH(RIGHT(L364,255),RIGHT('Disaggregation Records'!$D$83:$D$153,255),0))="","",INDEX('Disaggregation Records'!$F$83:$F$153,MATCH(RIGHT(L364,255),RIGHT('Disaggregation Records'!$D$83:$D$153,255),0))),"")</f>
        <v/>
      </c>
      <c r="O364" s="314" t="str">
        <f t="array" aca="1" ref="O364" ca="1">IFERROR(IF(INDEX('Disaggregation Records'!$H$83:$H$153,MATCH(RIGHT(L364,255),RIGHT('Disaggregation Records'!$D$83:$D$153,255),0))="","",INDEX('Disaggregation Records'!$H$83:$H$153,MATCH(RIGHT(L364,255),RIGHT('Disaggregation Records'!$D$83:$D$153,255),0))),"")</f>
        <v/>
      </c>
      <c r="P364" s="314"/>
      <c r="Q364" s="310">
        <f t="shared" ref="Q364" si="533">Q362+1</f>
        <v>1028</v>
      </c>
      <c r="R364" s="314" t="str" cm="1">
        <f t="array" aca="1" ref="R364" ca="1">IFERROR(IF(INDEX('Disaggregation Records'!$G$83:$G$153,MATCH(RIGHT(L364,255),RIGHT('Disaggregation Records'!$D$83:$D$153,255),0))="","",INDEX('Disaggregation Records'!$G$83:$G$153,MATCH(RIGHT(L364,255),RIGHT('Disaggregation Records'!$D$83:$D$153,255),0))),"")</f>
        <v/>
      </c>
    </row>
    <row r="365" spans="1:18" ht="20.100000000000001" customHeight="1">
      <c r="A365" s="126"/>
      <c r="B365" s="571"/>
      <c r="C365" s="573"/>
      <c r="D365" s="575"/>
      <c r="E365" s="575"/>
      <c r="F365" s="128"/>
      <c r="G365" s="577"/>
      <c r="H365" s="540"/>
      <c r="I365" s="579"/>
      <c r="J365" s="533"/>
      <c r="K365" s="126"/>
      <c r="L365" s="126"/>
      <c r="M365" s="126"/>
      <c r="N365" s="126"/>
      <c r="O365" s="314"/>
      <c r="P365" s="314"/>
      <c r="Q365" s="310"/>
      <c r="R365" s="314" t="str" cm="1">
        <f t="array" ref="R365">IFERROR(IF(INDEX('Disaggregation Records'!$G$83:$G$153,MATCH(RIGHT(L365,255),RIGHT('Disaggregation Records'!$D$83:$D$153,255),0))="","",INDEX('Disaggregation Records'!$G$83:$G$153,MATCH(RIGHT(L365,255),RIGHT('Disaggregation Records'!$D$83:$D$153,255),0))),"")</f>
        <v/>
      </c>
    </row>
    <row r="366" spans="1:18" ht="20.100000000000001" customHeight="1">
      <c r="A366" s="126" t="str">
        <f t="shared" ref="A366" ca="1" si="534">INDIRECT("'update Helper'!C"&amp;Q366)</f>
        <v>a1VDm000000PgACMA0</v>
      </c>
      <c r="B366" s="570">
        <v>3</v>
      </c>
      <c r="C366" s="572" t="str">
        <f ca="1">IFERROR(VLOOKUP(B366,'Outcome Indicators - Section C '!$A$9:$AC$70,29,FALSE),"")</f>
        <v>TB O-6 Treatment coverage of RR-TB and/or MDR-TB: Percentage of notified people with bacteriologically confirmed, drug resistant RR-TB and/or MDR-TB as a proportion of all estimated people with RR-TB and/or MDR-TB</v>
      </c>
      <c r="D366" s="574" t="str">
        <f ca="1">M366</f>
        <v/>
      </c>
      <c r="E366" s="574" t="str">
        <f ca="1">N366</f>
        <v/>
      </c>
      <c r="F366" s="127"/>
      <c r="G366" s="576" t="str">
        <f ca="1">IF(OR(INDIRECT("'update Helper'!E"&amp;Q366)="",F366&lt;&gt;0,F367&lt;&gt;0),IF(IFERROR((F366/F367),"")="","",(F366/F367)),INDIRECT("'update Helper'!E"&amp;Q366)/100)</f>
        <v/>
      </c>
      <c r="H366" s="539"/>
      <c r="I366" s="578"/>
      <c r="J366" s="532"/>
      <c r="K366" s="126">
        <f ca="1">IF(AND(EXACT(C366,C364),C364&lt;&gt;0),K364+1,0)</f>
        <v>5</v>
      </c>
      <c r="L366" s="126" t="str">
        <f ca="1">IF(C366&lt;&gt;"",C366&amp;"-"&amp;K366,"")</f>
        <v>TB O-6 Treatment coverage of RR-TB and/or MDR-TB: Percentage of notified people with bacteriologically confirmed, drug resistant RR-TB and/or MDR-TB as a proportion of all estimated people with RR-TB and/or MDR-TB-5</v>
      </c>
      <c r="M366" s="126" t="str">
        <f t="array" aca="1" ref="M366" ca="1">IFERROR(IF(INDEX('Disaggregation Records'!$E$83:$E$153,MATCH(RIGHT(L366,255),RIGHT('Disaggregation Records'!$D$83:$D$153,255),0))="","",INDEX('Disaggregation Records'!$E$83:$E$153,MATCH(RIGHT(L366,255),RIGHT('Disaggregation Records'!$D$83:$D$153,255),0))),"")</f>
        <v/>
      </c>
      <c r="N366" s="126" t="str">
        <f t="array" aca="1" ref="N366" ca="1">IFERROR(IF(INDEX('Disaggregation Records'!$F$83:$F$153,MATCH(RIGHT(L366,255),RIGHT('Disaggregation Records'!$D$83:$D$153,255),0))="","",INDEX('Disaggregation Records'!$F$83:$F$153,MATCH(RIGHT(L366,255),RIGHT('Disaggregation Records'!$D$83:$D$153,255),0))),"")</f>
        <v/>
      </c>
      <c r="O366" s="314" t="str">
        <f t="array" aca="1" ref="O366" ca="1">IFERROR(IF(INDEX('Disaggregation Records'!$H$83:$H$153,MATCH(RIGHT(L366,255),RIGHT('Disaggregation Records'!$D$83:$D$153,255),0))="","",INDEX('Disaggregation Records'!$H$83:$H$153,MATCH(RIGHT(L366,255),RIGHT('Disaggregation Records'!$D$83:$D$153,255),0))),"")</f>
        <v/>
      </c>
      <c r="P366" s="314"/>
      <c r="Q366" s="310">
        <f t="shared" ref="Q366" si="535">Q364+1</f>
        <v>1029</v>
      </c>
      <c r="R366" s="314" t="str" cm="1">
        <f t="array" aca="1" ref="R366" ca="1">IFERROR(IF(INDEX('Disaggregation Records'!$G$83:$G$153,MATCH(RIGHT(L366,255),RIGHT('Disaggregation Records'!$D$83:$D$153,255),0))="","",INDEX('Disaggregation Records'!$G$83:$G$153,MATCH(RIGHT(L366,255),RIGHT('Disaggregation Records'!$D$83:$D$153,255),0))),"")</f>
        <v/>
      </c>
    </row>
    <row r="367" spans="1:18" ht="20.100000000000001" customHeight="1">
      <c r="B367" s="571"/>
      <c r="C367" s="573"/>
      <c r="D367" s="575"/>
      <c r="E367" s="575"/>
      <c r="F367" s="128"/>
      <c r="G367" s="577"/>
      <c r="H367" s="540"/>
      <c r="I367" s="579"/>
      <c r="J367" s="533"/>
      <c r="K367" s="126"/>
      <c r="L367" s="126"/>
      <c r="M367" s="126"/>
      <c r="N367" s="126"/>
      <c r="O367" s="314"/>
      <c r="P367" s="314"/>
      <c r="Q367" s="310"/>
      <c r="R367" s="314" t="str" cm="1">
        <f t="array" ref="R367">IFERROR(IF(INDEX('Disaggregation Records'!$G$83:$G$153,MATCH(RIGHT(L367,255),RIGHT('Disaggregation Records'!$D$83:$D$153,255),0))="","",INDEX('Disaggregation Records'!$G$83:$G$153,MATCH(RIGHT(L367,255),RIGHT('Disaggregation Records'!$D$83:$D$153,255),0))),"")</f>
        <v/>
      </c>
    </row>
    <row r="368" spans="1:18" ht="20.100000000000001" customHeight="1">
      <c r="A368" s="126" t="str">
        <f t="shared" ref="A368" ca="1" si="536">INDIRECT("'update Helper'!C"&amp;Q368)</f>
        <v>a1VDm000000PgADMA0</v>
      </c>
      <c r="B368" s="570">
        <v>3</v>
      </c>
      <c r="C368" s="572" t="str">
        <f ca="1">IFERROR(VLOOKUP(B368,'Outcome Indicators - Section C '!$A$9:$AC$70,29,FALSE),"")</f>
        <v>TB O-6 Treatment coverage of RR-TB and/or MDR-TB: Percentage of notified people with bacteriologically confirmed, drug resistant RR-TB and/or MDR-TB as a proportion of all estimated people with RR-TB and/or MDR-TB</v>
      </c>
      <c r="D368" s="574" t="str">
        <f ca="1">M368</f>
        <v/>
      </c>
      <c r="E368" s="574" t="str">
        <f ca="1">N368</f>
        <v/>
      </c>
      <c r="F368" s="127"/>
      <c r="G368" s="576" t="str">
        <f ca="1">IF(OR(INDIRECT("'update Helper'!E"&amp;Q368)="",F368&lt;&gt;0,F369&lt;&gt;0),IF(IFERROR((F368/F369),"")="","",(F368/F369)),INDIRECT("'update Helper'!E"&amp;Q368)/100)</f>
        <v/>
      </c>
      <c r="H368" s="539"/>
      <c r="I368" s="578"/>
      <c r="J368" s="532"/>
      <c r="K368" s="126">
        <f ca="1">IF(AND(EXACT(C368,C366),C366&lt;&gt;0),K366+1,0)</f>
        <v>6</v>
      </c>
      <c r="L368" s="126" t="str">
        <f ca="1">IF(C368&lt;&gt;"",C368&amp;"-"&amp;K368,"")</f>
        <v>TB O-6 Treatment coverage of RR-TB and/or MDR-TB: Percentage of notified people with bacteriologically confirmed, drug resistant RR-TB and/or MDR-TB as a proportion of all estimated people with RR-TB and/or MDR-TB-6</v>
      </c>
      <c r="M368" s="126" t="str">
        <f t="array" aca="1" ref="M368" ca="1">IFERROR(IF(INDEX('Disaggregation Records'!$E$83:$E$153,MATCH(RIGHT(L368,255),RIGHT('Disaggregation Records'!$D$83:$D$153,255),0))="","",INDEX('Disaggregation Records'!$E$83:$E$153,MATCH(RIGHT(L368,255),RIGHT('Disaggregation Records'!$D$83:$D$153,255),0))),"")</f>
        <v/>
      </c>
      <c r="N368" s="126" t="str">
        <f t="array" aca="1" ref="N368" ca="1">IFERROR(IF(INDEX('Disaggregation Records'!$F$83:$F$153,MATCH(RIGHT(L368,255),RIGHT('Disaggregation Records'!$D$83:$D$153,255),0))="","",INDEX('Disaggregation Records'!$F$83:$F$153,MATCH(RIGHT(L368,255),RIGHT('Disaggregation Records'!$D$83:$D$153,255),0))),"")</f>
        <v/>
      </c>
      <c r="O368" s="314" t="str">
        <f t="array" aca="1" ref="O368" ca="1">IFERROR(IF(INDEX('Disaggregation Records'!$H$83:$H$153,MATCH(RIGHT(L368,255),RIGHT('Disaggregation Records'!$D$83:$D$153,255),0))="","",INDEX('Disaggregation Records'!$H$83:$H$153,MATCH(RIGHT(L368,255),RIGHT('Disaggregation Records'!$D$83:$D$153,255),0))),"")</f>
        <v/>
      </c>
      <c r="P368" s="314"/>
      <c r="Q368" s="310">
        <f t="shared" ref="Q368" si="537">Q366+1</f>
        <v>1030</v>
      </c>
      <c r="R368" s="314" t="str" cm="1">
        <f t="array" aca="1" ref="R368" ca="1">IFERROR(IF(INDEX('Disaggregation Records'!$G$83:$G$153,MATCH(RIGHT(L368,255),RIGHT('Disaggregation Records'!$D$83:$D$153,255),0))="","",INDEX('Disaggregation Records'!$G$83:$G$153,MATCH(RIGHT(L368,255),RIGHT('Disaggregation Records'!$D$83:$D$153,255),0))),"")</f>
        <v/>
      </c>
    </row>
    <row r="369" spans="1:18" ht="20.100000000000001" customHeight="1">
      <c r="A369" s="126"/>
      <c r="B369" s="571"/>
      <c r="C369" s="573"/>
      <c r="D369" s="575"/>
      <c r="E369" s="575"/>
      <c r="F369" s="128"/>
      <c r="G369" s="577"/>
      <c r="H369" s="540"/>
      <c r="I369" s="579"/>
      <c r="J369" s="533"/>
      <c r="K369" s="126"/>
      <c r="L369" s="126"/>
      <c r="M369" s="126"/>
      <c r="N369" s="126"/>
      <c r="O369" s="314"/>
      <c r="P369" s="314"/>
      <c r="Q369" s="310"/>
      <c r="R369" s="314" t="str" cm="1">
        <f t="array" ref="R369">IFERROR(IF(INDEX('Disaggregation Records'!$G$83:$G$153,MATCH(RIGHT(L369,255),RIGHT('Disaggregation Records'!$D$83:$D$153,255),0))="","",INDEX('Disaggregation Records'!$G$83:$G$153,MATCH(RIGHT(L369,255),RIGHT('Disaggregation Records'!$D$83:$D$153,255),0))),"")</f>
        <v/>
      </c>
    </row>
    <row r="370" spans="1:18" ht="20.100000000000001" customHeight="1">
      <c r="A370" s="126" t="str">
        <f t="shared" ref="A370" ca="1" si="538">INDIRECT("'update Helper'!C"&amp;Q370)</f>
        <v>a1VDm000000PgAEMA0</v>
      </c>
      <c r="B370" s="570">
        <v>3</v>
      </c>
      <c r="C370" s="572" t="str">
        <f ca="1">IFERROR(VLOOKUP(B370,'Outcome Indicators - Section C '!$A$9:$AC$70,29,FALSE),"")</f>
        <v>TB O-6 Treatment coverage of RR-TB and/or MDR-TB: Percentage of notified people with bacteriologically confirmed, drug resistant RR-TB and/or MDR-TB as a proportion of all estimated people with RR-TB and/or MDR-TB</v>
      </c>
      <c r="D370" s="574" t="str">
        <f ca="1">M370</f>
        <v/>
      </c>
      <c r="E370" s="574" t="str">
        <f ca="1">N370</f>
        <v/>
      </c>
      <c r="F370" s="127"/>
      <c r="G370" s="576" t="str">
        <f ca="1">IF(OR(INDIRECT("'update Helper'!E"&amp;Q370)="",F370&lt;&gt;0,F371&lt;&gt;0),IF(IFERROR((F370/F371),"")="","",(F370/F371)),INDIRECT("'update Helper'!E"&amp;Q370)/100)</f>
        <v/>
      </c>
      <c r="H370" s="539"/>
      <c r="I370" s="578"/>
      <c r="J370" s="532"/>
      <c r="K370" s="126">
        <f ca="1">IF(AND(EXACT(C370,C368),C368&lt;&gt;0),K368+1,0)</f>
        <v>7</v>
      </c>
      <c r="L370" s="126" t="str">
        <f ca="1">IF(C370&lt;&gt;"",C370&amp;"-"&amp;K370,"")</f>
        <v>TB O-6 Treatment coverage of RR-TB and/or MDR-TB: Percentage of notified people with bacteriologically confirmed, drug resistant RR-TB and/or MDR-TB as a proportion of all estimated people with RR-TB and/or MDR-TB-7</v>
      </c>
      <c r="M370" s="126" t="str">
        <f t="array" aca="1" ref="M370" ca="1">IFERROR(IF(INDEX('Disaggregation Records'!$E$83:$E$153,MATCH(RIGHT(L370,255),RIGHT('Disaggregation Records'!$D$83:$D$153,255),0))="","",INDEX('Disaggregation Records'!$E$83:$E$153,MATCH(RIGHT(L370,255),RIGHT('Disaggregation Records'!$D$83:$D$153,255),0))),"")</f>
        <v/>
      </c>
      <c r="N370" s="126" t="str">
        <f t="array" aca="1" ref="N370" ca="1">IFERROR(IF(INDEX('Disaggregation Records'!$F$83:$F$153,MATCH(RIGHT(L370,255),RIGHT('Disaggregation Records'!$D$83:$D$153,255),0))="","",INDEX('Disaggregation Records'!$F$83:$F$153,MATCH(RIGHT(L370,255),RIGHT('Disaggregation Records'!$D$83:$D$153,255),0))),"")</f>
        <v/>
      </c>
      <c r="O370" s="314" t="str">
        <f t="array" aca="1" ref="O370" ca="1">IFERROR(IF(INDEX('Disaggregation Records'!$H$83:$H$153,MATCH(RIGHT(L370,255),RIGHT('Disaggregation Records'!$D$83:$D$153,255),0))="","",INDEX('Disaggregation Records'!$H$83:$H$153,MATCH(RIGHT(L370,255),RIGHT('Disaggregation Records'!$D$83:$D$153,255),0))),"")</f>
        <v/>
      </c>
      <c r="P370" s="314"/>
      <c r="Q370" s="310">
        <f t="shared" ref="Q370" si="539">Q368+1</f>
        <v>1031</v>
      </c>
      <c r="R370" s="314" t="str" cm="1">
        <f t="array" aca="1" ref="R370" ca="1">IFERROR(IF(INDEX('Disaggregation Records'!$G$83:$G$153,MATCH(RIGHT(L370,255),RIGHT('Disaggregation Records'!$D$83:$D$153,255),0))="","",INDEX('Disaggregation Records'!$G$83:$G$153,MATCH(RIGHT(L370,255),RIGHT('Disaggregation Records'!$D$83:$D$153,255),0))),"")</f>
        <v/>
      </c>
    </row>
    <row r="371" spans="1:18" ht="20.100000000000001" customHeight="1">
      <c r="B371" s="571"/>
      <c r="C371" s="573"/>
      <c r="D371" s="575"/>
      <c r="E371" s="575"/>
      <c r="F371" s="128"/>
      <c r="G371" s="577"/>
      <c r="H371" s="540"/>
      <c r="I371" s="579"/>
      <c r="J371" s="533"/>
      <c r="K371" s="126"/>
      <c r="L371" s="126"/>
      <c r="M371" s="126"/>
      <c r="N371" s="126"/>
      <c r="O371" s="314"/>
      <c r="P371" s="314"/>
      <c r="Q371" s="310"/>
      <c r="R371" s="314" t="str" cm="1">
        <f t="array" ref="R371">IFERROR(IF(INDEX('Disaggregation Records'!$G$83:$G$153,MATCH(RIGHT(L371,255),RIGHT('Disaggregation Records'!$D$83:$D$153,255),0))="","",INDEX('Disaggregation Records'!$G$83:$G$153,MATCH(RIGHT(L371,255),RIGHT('Disaggregation Records'!$D$83:$D$153,255),0))),"")</f>
        <v/>
      </c>
    </row>
    <row r="372" spans="1:18" ht="20.100000000000001" customHeight="1">
      <c r="A372" s="126" t="str">
        <f t="shared" ref="A372" ca="1" si="540">INDIRECT("'update Helper'!C"&amp;Q372)</f>
        <v>a1VDm000000PgAFMA0</v>
      </c>
      <c r="B372" s="570">
        <v>3</v>
      </c>
      <c r="C372" s="572" t="str">
        <f ca="1">IFERROR(VLOOKUP(B372,'Outcome Indicators - Section C '!$A$9:$AC$70,29,FALSE),"")</f>
        <v>TB O-6 Treatment coverage of RR-TB and/or MDR-TB: Percentage of notified people with bacteriologically confirmed, drug resistant RR-TB and/or MDR-TB as a proportion of all estimated people with RR-TB and/or MDR-TB</v>
      </c>
      <c r="D372" s="574" t="str">
        <f ca="1">M372</f>
        <v/>
      </c>
      <c r="E372" s="574" t="str">
        <f ca="1">N372</f>
        <v/>
      </c>
      <c r="F372" s="127"/>
      <c r="G372" s="576" t="str">
        <f ca="1">IF(OR(INDIRECT("'update Helper'!E"&amp;Q372)="",F372&lt;&gt;0,F373&lt;&gt;0),IF(IFERROR((F372/F373),"")="","",(F372/F373)),INDIRECT("'update Helper'!E"&amp;Q372)/100)</f>
        <v/>
      </c>
      <c r="H372" s="539"/>
      <c r="I372" s="578"/>
      <c r="J372" s="532"/>
      <c r="K372" s="126">
        <f ca="1">IF(AND(EXACT(C372,C370),C370&lt;&gt;0),K370+1,0)</f>
        <v>8</v>
      </c>
      <c r="L372" s="126" t="str">
        <f ca="1">IF(C372&lt;&gt;"",C372&amp;"-"&amp;K372,"")</f>
        <v>TB O-6 Treatment coverage of RR-TB and/or MDR-TB: Percentage of notified people with bacteriologically confirmed, drug resistant RR-TB and/or MDR-TB as a proportion of all estimated people with RR-TB and/or MDR-TB-8</v>
      </c>
      <c r="M372" s="126" t="str">
        <f t="array" aca="1" ref="M372" ca="1">IFERROR(IF(INDEX('Disaggregation Records'!$E$83:$E$153,MATCH(RIGHT(L372,255),RIGHT('Disaggregation Records'!$D$83:$D$153,255),0))="","",INDEX('Disaggregation Records'!$E$83:$E$153,MATCH(RIGHT(L372,255),RIGHT('Disaggregation Records'!$D$83:$D$153,255),0))),"")</f>
        <v/>
      </c>
      <c r="N372" s="126" t="str">
        <f t="array" aca="1" ref="N372" ca="1">IFERROR(IF(INDEX('Disaggregation Records'!$F$83:$F$153,MATCH(RIGHT(L372,255),RIGHT('Disaggregation Records'!$D$83:$D$153,255),0))="","",INDEX('Disaggregation Records'!$F$83:$F$153,MATCH(RIGHT(L372,255),RIGHT('Disaggregation Records'!$D$83:$D$153,255),0))),"")</f>
        <v/>
      </c>
      <c r="O372" s="314" t="str">
        <f t="array" aca="1" ref="O372" ca="1">IFERROR(IF(INDEX('Disaggregation Records'!$H$83:$H$153,MATCH(RIGHT(L372,255),RIGHT('Disaggregation Records'!$D$83:$D$153,255),0))="","",INDEX('Disaggregation Records'!$H$83:$H$153,MATCH(RIGHT(L372,255),RIGHT('Disaggregation Records'!$D$83:$D$153,255),0))),"")</f>
        <v/>
      </c>
      <c r="P372" s="314"/>
      <c r="Q372" s="310">
        <f t="shared" ref="Q372" si="541">Q370+1</f>
        <v>1032</v>
      </c>
      <c r="R372" s="314" t="str" cm="1">
        <f t="array" aca="1" ref="R372" ca="1">IFERROR(IF(INDEX('Disaggregation Records'!$G$83:$G$153,MATCH(RIGHT(L372,255),RIGHT('Disaggregation Records'!$D$83:$D$153,255),0))="","",INDEX('Disaggregation Records'!$G$83:$G$153,MATCH(RIGHT(L372,255),RIGHT('Disaggregation Records'!$D$83:$D$153,255),0))),"")</f>
        <v/>
      </c>
    </row>
    <row r="373" spans="1:18" ht="20.100000000000001" customHeight="1">
      <c r="A373" s="126"/>
      <c r="B373" s="571"/>
      <c r="C373" s="573"/>
      <c r="D373" s="575"/>
      <c r="E373" s="575"/>
      <c r="F373" s="128"/>
      <c r="G373" s="577"/>
      <c r="H373" s="540"/>
      <c r="I373" s="579"/>
      <c r="J373" s="533"/>
      <c r="K373" s="126"/>
      <c r="L373" s="126"/>
      <c r="M373" s="126"/>
      <c r="N373" s="126"/>
      <c r="O373" s="314"/>
      <c r="P373" s="314"/>
      <c r="Q373" s="310"/>
      <c r="R373" s="314" t="str" cm="1">
        <f t="array" ref="R373">IFERROR(IF(INDEX('Disaggregation Records'!$G$83:$G$153,MATCH(RIGHT(L373,255),RIGHT('Disaggregation Records'!$D$83:$D$153,255),0))="","",INDEX('Disaggregation Records'!$G$83:$G$153,MATCH(RIGHT(L373,255),RIGHT('Disaggregation Records'!$D$83:$D$153,255),0))),"")</f>
        <v/>
      </c>
    </row>
    <row r="374" spans="1:18" ht="20.100000000000001" customHeight="1">
      <c r="A374" s="126" t="str">
        <f t="shared" ref="A374" ca="1" si="542">INDIRECT("'update Helper'!C"&amp;Q374)</f>
        <v>a1VDm000000PgAGMA0</v>
      </c>
      <c r="B374" s="570">
        <v>3</v>
      </c>
      <c r="C374" s="572" t="str">
        <f ca="1">IFERROR(VLOOKUP(B374,'Outcome Indicators - Section C '!$A$9:$AC$70,29,FALSE),"")</f>
        <v>TB O-6 Treatment coverage of RR-TB and/or MDR-TB: Percentage of notified people with bacteriologically confirmed, drug resistant RR-TB and/or MDR-TB as a proportion of all estimated people with RR-TB and/or MDR-TB</v>
      </c>
      <c r="D374" s="574" t="str">
        <f ca="1">M374</f>
        <v/>
      </c>
      <c r="E374" s="574" t="str">
        <f ca="1">N374</f>
        <v/>
      </c>
      <c r="F374" s="127"/>
      <c r="G374" s="576" t="str">
        <f ca="1">IF(OR(INDIRECT("'update Helper'!E"&amp;Q374)="",F374&lt;&gt;0,F375&lt;&gt;0),IF(IFERROR((F374/F375),"")="","",(F374/F375)),INDIRECT("'update Helper'!E"&amp;Q374)/100)</f>
        <v/>
      </c>
      <c r="H374" s="539"/>
      <c r="I374" s="578"/>
      <c r="J374" s="532"/>
      <c r="K374" s="126">
        <f ca="1">IF(AND(EXACT(C374,C372),C372&lt;&gt;0),K372+1,0)</f>
        <v>9</v>
      </c>
      <c r="L374" s="126" t="str">
        <f ca="1">IF(C374&lt;&gt;"",C374&amp;"-"&amp;K374,"")</f>
        <v>TB O-6 Treatment coverage of RR-TB and/or MDR-TB: Percentage of notified people with bacteriologically confirmed, drug resistant RR-TB and/or MDR-TB as a proportion of all estimated people with RR-TB and/or MDR-TB-9</v>
      </c>
      <c r="M374" s="126" t="str">
        <f t="array" aca="1" ref="M374" ca="1">IFERROR(IF(INDEX('Disaggregation Records'!$E$83:$E$153,MATCH(RIGHT(L374,255),RIGHT('Disaggregation Records'!$D$83:$D$153,255),0))="","",INDEX('Disaggregation Records'!$E$83:$E$153,MATCH(RIGHT(L374,255),RIGHT('Disaggregation Records'!$D$83:$D$153,255),0))),"")</f>
        <v/>
      </c>
      <c r="N374" s="126" t="str">
        <f t="array" aca="1" ref="N374" ca="1">IFERROR(IF(INDEX('Disaggregation Records'!$F$83:$F$153,MATCH(RIGHT(L374,255),RIGHT('Disaggregation Records'!$D$83:$D$153,255),0))="","",INDEX('Disaggregation Records'!$F$83:$F$153,MATCH(RIGHT(L374,255),RIGHT('Disaggregation Records'!$D$83:$D$153,255),0))),"")</f>
        <v/>
      </c>
      <c r="O374" s="314" t="str">
        <f t="array" aca="1" ref="O374" ca="1">IFERROR(IF(INDEX('Disaggregation Records'!$H$83:$H$153,MATCH(RIGHT(L374,255),RIGHT('Disaggregation Records'!$D$83:$D$153,255),0))="","",INDEX('Disaggregation Records'!$H$83:$H$153,MATCH(RIGHT(L374,255),RIGHT('Disaggregation Records'!$D$83:$D$153,255),0))),"")</f>
        <v/>
      </c>
      <c r="P374" s="314"/>
      <c r="Q374" s="310">
        <f t="shared" ref="Q374" si="543">Q372+1</f>
        <v>1033</v>
      </c>
      <c r="R374" s="314" t="str" cm="1">
        <f t="array" aca="1" ref="R374" ca="1">IFERROR(IF(INDEX('Disaggregation Records'!$G$83:$G$153,MATCH(RIGHT(L374,255),RIGHT('Disaggregation Records'!$D$83:$D$153,255),0))="","",INDEX('Disaggregation Records'!$G$83:$G$153,MATCH(RIGHT(L374,255),RIGHT('Disaggregation Records'!$D$83:$D$153,255),0))),"")</f>
        <v/>
      </c>
    </row>
    <row r="375" spans="1:18" ht="20.100000000000001" customHeight="1">
      <c r="B375" s="571"/>
      <c r="C375" s="573"/>
      <c r="D375" s="575"/>
      <c r="E375" s="575"/>
      <c r="F375" s="128"/>
      <c r="G375" s="577"/>
      <c r="H375" s="540"/>
      <c r="I375" s="579"/>
      <c r="J375" s="533"/>
      <c r="K375" s="126"/>
      <c r="L375" s="126"/>
      <c r="M375" s="126"/>
      <c r="N375" s="126"/>
      <c r="O375" s="314"/>
      <c r="P375" s="314"/>
      <c r="Q375" s="310"/>
      <c r="R375" s="314" t="str" cm="1">
        <f t="array" ref="R375">IFERROR(IF(INDEX('Disaggregation Records'!$G$83:$G$153,MATCH(RIGHT(L375,255),RIGHT('Disaggregation Records'!$D$83:$D$153,255),0))="","",INDEX('Disaggregation Records'!$G$83:$G$153,MATCH(RIGHT(L375,255),RIGHT('Disaggregation Records'!$D$83:$D$153,255),0))),"")</f>
        <v/>
      </c>
    </row>
    <row r="376" spans="1:18" ht="20.100000000000001" customHeight="1">
      <c r="A376" s="126" t="str">
        <f t="shared" ref="A376" ca="1" si="544">INDIRECT("'update Helper'!C"&amp;Q376)</f>
        <v>a1VDm000000PgAHMA0</v>
      </c>
      <c r="B376" s="570">
        <v>4</v>
      </c>
      <c r="C376" s="572" t="str">
        <f ca="1">IFERROR(VLOOKUP(B376,'Outcome Indicators - Section C '!$A$9:$AC$70,29,FALSE),"")</f>
        <v>TB O-4 Treatment success rate of RR-TB and/or MDR-TB: Percentage of patients with RR and/or MDR-TB successfully treated</v>
      </c>
      <c r="D376" s="574" t="str">
        <f ca="1">M376</f>
        <v/>
      </c>
      <c r="E376" s="574" t="str">
        <f ca="1">N376</f>
        <v/>
      </c>
      <c r="F376" s="127"/>
      <c r="G376" s="576" t="str">
        <f ca="1">IF(OR(INDIRECT("'update Helper'!E"&amp;Q376)="",F376&lt;&gt;0,F377&lt;&gt;0),IF(IFERROR((F376/F377),"")="","",(F376/F377)),INDIRECT("'update Helper'!E"&amp;Q376)/100)</f>
        <v/>
      </c>
      <c r="H376" s="539"/>
      <c r="I376" s="578"/>
      <c r="J376" s="532"/>
      <c r="K376" s="126">
        <f ca="1">IF(AND(EXACT(C376,C374),C374&lt;&gt;0),K374+1,0)</f>
        <v>0</v>
      </c>
      <c r="L376" s="126" t="str">
        <f ca="1">IF(C376&lt;&gt;"",C376&amp;"-"&amp;K376,"")</f>
        <v>TB O-4 Treatment success rate of RR-TB and/or MDR-TB: Percentage of patients with RR and/or MDR-TB successfully treated-0</v>
      </c>
      <c r="M376" s="126" t="str">
        <f t="array" aca="1" ref="M376" ca="1">IFERROR(IF(INDEX('Disaggregation Records'!$E$83:$E$153,MATCH(RIGHT(L376,255),RIGHT('Disaggregation Records'!$D$83:$D$153,255),0))="","",INDEX('Disaggregation Records'!$E$83:$E$153,MATCH(RIGHT(L376,255),RIGHT('Disaggregation Records'!$D$83:$D$153,255),0))),"")</f>
        <v/>
      </c>
      <c r="N376" s="126" t="str">
        <f t="array" aca="1" ref="N376" ca="1">IFERROR(IF(INDEX('Disaggregation Records'!$F$83:$F$153,MATCH(RIGHT(L376,255),RIGHT('Disaggregation Records'!$D$83:$D$153,255),0))="","",INDEX('Disaggregation Records'!$F$83:$F$153,MATCH(RIGHT(L376,255),RIGHT('Disaggregation Records'!$D$83:$D$153,255),0))),"")</f>
        <v/>
      </c>
      <c r="O376" s="314" t="str">
        <f t="array" aca="1" ref="O376" ca="1">IFERROR(IF(INDEX('Disaggregation Records'!$H$83:$H$153,MATCH(RIGHT(L376,255),RIGHT('Disaggregation Records'!$D$83:$D$153,255),0))="","",INDEX('Disaggregation Records'!$H$83:$H$153,MATCH(RIGHT(L376,255),RIGHT('Disaggregation Records'!$D$83:$D$153,255),0))),"")</f>
        <v/>
      </c>
      <c r="P376" s="314"/>
      <c r="Q376" s="310">
        <f t="shared" ref="Q376" si="545">Q374+1</f>
        <v>1034</v>
      </c>
      <c r="R376" s="314" t="str" cm="1">
        <f t="array" aca="1" ref="R376" ca="1">IFERROR(IF(INDEX('Disaggregation Records'!$G$83:$G$153,MATCH(RIGHT(L376,255),RIGHT('Disaggregation Records'!$D$83:$D$153,255),0))="","",INDEX('Disaggregation Records'!$G$83:$G$153,MATCH(RIGHT(L376,255),RIGHT('Disaggregation Records'!$D$83:$D$153,255),0))),"")</f>
        <v/>
      </c>
    </row>
    <row r="377" spans="1:18" ht="20.100000000000001" customHeight="1">
      <c r="A377" s="126"/>
      <c r="B377" s="571"/>
      <c r="C377" s="573"/>
      <c r="D377" s="575"/>
      <c r="E377" s="575"/>
      <c r="F377" s="128"/>
      <c r="G377" s="577"/>
      <c r="H377" s="540"/>
      <c r="I377" s="579"/>
      <c r="J377" s="533"/>
      <c r="K377" s="126"/>
      <c r="L377" s="126"/>
      <c r="M377" s="126"/>
      <c r="N377" s="126"/>
      <c r="O377" s="314"/>
      <c r="P377" s="314"/>
      <c r="Q377" s="310"/>
      <c r="R377" s="314" t="str" cm="1">
        <f t="array" ref="R377">IFERROR(IF(INDEX('Disaggregation Records'!$G$83:$G$153,MATCH(RIGHT(L377,255),RIGHT('Disaggregation Records'!$D$83:$D$153,255),0))="","",INDEX('Disaggregation Records'!$G$83:$G$153,MATCH(RIGHT(L377,255),RIGHT('Disaggregation Records'!$D$83:$D$153,255),0))),"")</f>
        <v/>
      </c>
    </row>
    <row r="378" spans="1:18" ht="20.100000000000001" customHeight="1">
      <c r="A378" s="126" t="str">
        <f t="shared" ref="A378" ca="1" si="546">INDIRECT("'update Helper'!C"&amp;Q378)</f>
        <v>a1VDm000000PgAIMA0</v>
      </c>
      <c r="B378" s="570">
        <v>4</v>
      </c>
      <c r="C378" s="572" t="str">
        <f ca="1">IFERROR(VLOOKUP(B378,'Outcome Indicators - Section C '!$A$9:$AC$70,29,FALSE),"")</f>
        <v>TB O-4 Treatment success rate of RR-TB and/or MDR-TB: Percentage of patients with RR and/or MDR-TB successfully treated</v>
      </c>
      <c r="D378" s="574" t="str">
        <f ca="1">M378</f>
        <v/>
      </c>
      <c r="E378" s="574" t="str">
        <f ca="1">N378</f>
        <v/>
      </c>
      <c r="F378" s="127"/>
      <c r="G378" s="576" t="str">
        <f ca="1">IF(OR(INDIRECT("'update Helper'!E"&amp;Q378)="",F378&lt;&gt;0,F379&lt;&gt;0),IF(IFERROR((F378/F379),"")="","",(F378/F379)),INDIRECT("'update Helper'!E"&amp;Q378)/100)</f>
        <v/>
      </c>
      <c r="H378" s="539"/>
      <c r="I378" s="578"/>
      <c r="J378" s="532"/>
      <c r="K378" s="126">
        <f ca="1">IF(AND(EXACT(C378,C376),C376&lt;&gt;0),K376+1,0)</f>
        <v>1</v>
      </c>
      <c r="L378" s="126" t="str">
        <f ca="1">IF(C378&lt;&gt;"",C378&amp;"-"&amp;K378,"")</f>
        <v>TB O-4 Treatment success rate of RR-TB and/or MDR-TB: Percentage of patients with RR and/or MDR-TB successfully treated-1</v>
      </c>
      <c r="M378" s="126" t="str">
        <f t="array" aca="1" ref="M378" ca="1">IFERROR(IF(INDEX('Disaggregation Records'!$E$83:$E$153,MATCH(RIGHT(L378,255),RIGHT('Disaggregation Records'!$D$83:$D$153,255),0))="","",INDEX('Disaggregation Records'!$E$83:$E$153,MATCH(RIGHT(L378,255),RIGHT('Disaggregation Records'!$D$83:$D$153,255),0))),"")</f>
        <v/>
      </c>
      <c r="N378" s="126" t="str">
        <f t="array" aca="1" ref="N378" ca="1">IFERROR(IF(INDEX('Disaggregation Records'!$F$83:$F$153,MATCH(RIGHT(L378,255),RIGHT('Disaggregation Records'!$D$83:$D$153,255),0))="","",INDEX('Disaggregation Records'!$F$83:$F$153,MATCH(RIGHT(L378,255),RIGHT('Disaggregation Records'!$D$83:$D$153,255),0))),"")</f>
        <v/>
      </c>
      <c r="O378" s="314" t="str">
        <f t="array" aca="1" ref="O378" ca="1">IFERROR(IF(INDEX('Disaggregation Records'!$H$83:$H$153,MATCH(RIGHT(L378,255),RIGHT('Disaggregation Records'!$D$83:$D$153,255),0))="","",INDEX('Disaggregation Records'!$H$83:$H$153,MATCH(RIGHT(L378,255),RIGHT('Disaggregation Records'!$D$83:$D$153,255),0))),"")</f>
        <v/>
      </c>
      <c r="P378" s="314"/>
      <c r="Q378" s="310">
        <f t="shared" ref="Q378" si="547">Q376+1</f>
        <v>1035</v>
      </c>
      <c r="R378" s="314" t="str" cm="1">
        <f t="array" aca="1" ref="R378" ca="1">IFERROR(IF(INDEX('Disaggregation Records'!$G$83:$G$153,MATCH(RIGHT(L378,255),RIGHT('Disaggregation Records'!$D$83:$D$153,255),0))="","",INDEX('Disaggregation Records'!$G$83:$G$153,MATCH(RIGHT(L378,255),RIGHT('Disaggregation Records'!$D$83:$D$153,255),0))),"")</f>
        <v/>
      </c>
    </row>
    <row r="379" spans="1:18" ht="20.100000000000001" customHeight="1">
      <c r="B379" s="571"/>
      <c r="C379" s="573"/>
      <c r="D379" s="575"/>
      <c r="E379" s="575"/>
      <c r="F379" s="128"/>
      <c r="G379" s="577"/>
      <c r="H379" s="540"/>
      <c r="I379" s="579"/>
      <c r="J379" s="533"/>
      <c r="K379" s="126"/>
      <c r="L379" s="126"/>
      <c r="M379" s="126"/>
      <c r="N379" s="126"/>
      <c r="O379" s="314"/>
      <c r="P379" s="314"/>
      <c r="Q379" s="310"/>
      <c r="R379" s="314" t="str" cm="1">
        <f t="array" ref="R379">IFERROR(IF(INDEX('Disaggregation Records'!$G$83:$G$153,MATCH(RIGHT(L379,255),RIGHT('Disaggregation Records'!$D$83:$D$153,255),0))="","",INDEX('Disaggregation Records'!$G$83:$G$153,MATCH(RIGHT(L379,255),RIGHT('Disaggregation Records'!$D$83:$D$153,255),0))),"")</f>
        <v/>
      </c>
    </row>
    <row r="380" spans="1:18" ht="20.100000000000001" customHeight="1">
      <c r="A380" s="126" t="str">
        <f t="shared" ref="A380" ca="1" si="548">INDIRECT("'update Helper'!C"&amp;Q380)</f>
        <v>a1VDm000000PgAJMA0</v>
      </c>
      <c r="B380" s="570">
        <v>4</v>
      </c>
      <c r="C380" s="572" t="str">
        <f ca="1">IFERROR(VLOOKUP(B380,'Outcome Indicators - Section C '!$A$9:$AC$70,29,FALSE),"")</f>
        <v>TB O-4 Treatment success rate of RR-TB and/or MDR-TB: Percentage of patients with RR and/or MDR-TB successfully treated</v>
      </c>
      <c r="D380" s="574" t="str">
        <f ca="1">M380</f>
        <v/>
      </c>
      <c r="E380" s="574" t="str">
        <f ca="1">N380</f>
        <v/>
      </c>
      <c r="F380" s="127"/>
      <c r="G380" s="576" t="str">
        <f ca="1">IF(OR(INDIRECT("'update Helper'!E"&amp;Q380)="",F380&lt;&gt;0,F381&lt;&gt;0),IF(IFERROR((F380/F381),"")="","",(F380/F381)),INDIRECT("'update Helper'!E"&amp;Q380)/100)</f>
        <v/>
      </c>
      <c r="H380" s="539"/>
      <c r="I380" s="578"/>
      <c r="J380" s="532"/>
      <c r="K380" s="126">
        <f ca="1">IF(AND(EXACT(C380,C378),C378&lt;&gt;0),K378+1,0)</f>
        <v>2</v>
      </c>
      <c r="L380" s="126" t="str">
        <f ca="1">IF(C380&lt;&gt;"",C380&amp;"-"&amp;K380,"")</f>
        <v>TB O-4 Treatment success rate of RR-TB and/or MDR-TB: Percentage of patients with RR and/or MDR-TB successfully treated-2</v>
      </c>
      <c r="M380" s="126" t="str">
        <f t="array" aca="1" ref="M380" ca="1">IFERROR(IF(INDEX('Disaggregation Records'!$E$83:$E$153,MATCH(RIGHT(L380,255),RIGHT('Disaggregation Records'!$D$83:$D$153,255),0))="","",INDEX('Disaggregation Records'!$E$83:$E$153,MATCH(RIGHT(L380,255),RIGHT('Disaggregation Records'!$D$83:$D$153,255),0))),"")</f>
        <v/>
      </c>
      <c r="N380" s="126" t="str">
        <f t="array" aca="1" ref="N380" ca="1">IFERROR(IF(INDEX('Disaggregation Records'!$F$83:$F$153,MATCH(RIGHT(L380,255),RIGHT('Disaggregation Records'!$D$83:$D$153,255),0))="","",INDEX('Disaggregation Records'!$F$83:$F$153,MATCH(RIGHT(L380,255),RIGHT('Disaggregation Records'!$D$83:$D$153,255),0))),"")</f>
        <v/>
      </c>
      <c r="O380" s="314" t="str">
        <f t="array" aca="1" ref="O380" ca="1">IFERROR(IF(INDEX('Disaggregation Records'!$H$83:$H$153,MATCH(RIGHT(L380,255),RIGHT('Disaggregation Records'!$D$83:$D$153,255),0))="","",INDEX('Disaggregation Records'!$H$83:$H$153,MATCH(RIGHT(L380,255),RIGHT('Disaggregation Records'!$D$83:$D$153,255),0))),"")</f>
        <v/>
      </c>
      <c r="P380" s="314"/>
      <c r="Q380" s="310">
        <f t="shared" ref="Q380" si="549">Q378+1</f>
        <v>1036</v>
      </c>
      <c r="R380" s="314" t="str" cm="1">
        <f t="array" aca="1" ref="R380" ca="1">IFERROR(IF(INDEX('Disaggregation Records'!$G$83:$G$153,MATCH(RIGHT(L380,255),RIGHT('Disaggregation Records'!$D$83:$D$153,255),0))="","",INDEX('Disaggregation Records'!$G$83:$G$153,MATCH(RIGHT(L380,255),RIGHT('Disaggregation Records'!$D$83:$D$153,255),0))),"")</f>
        <v/>
      </c>
    </row>
    <row r="381" spans="1:18" ht="20.100000000000001" customHeight="1">
      <c r="A381" s="126"/>
      <c r="B381" s="571"/>
      <c r="C381" s="573"/>
      <c r="D381" s="575"/>
      <c r="E381" s="575"/>
      <c r="F381" s="128"/>
      <c r="G381" s="577"/>
      <c r="H381" s="540"/>
      <c r="I381" s="579"/>
      <c r="J381" s="533"/>
      <c r="K381" s="126"/>
      <c r="L381" s="126"/>
      <c r="M381" s="126"/>
      <c r="N381" s="126"/>
      <c r="O381" s="314"/>
      <c r="P381" s="314"/>
      <c r="Q381" s="310"/>
      <c r="R381" s="314" t="str" cm="1">
        <f t="array" ref="R381">IFERROR(IF(INDEX('Disaggregation Records'!$G$83:$G$153,MATCH(RIGHT(L381,255),RIGHT('Disaggregation Records'!$D$83:$D$153,255),0))="","",INDEX('Disaggregation Records'!$G$83:$G$153,MATCH(RIGHT(L381,255),RIGHT('Disaggregation Records'!$D$83:$D$153,255),0))),"")</f>
        <v/>
      </c>
    </row>
    <row r="382" spans="1:18" ht="20.100000000000001" customHeight="1">
      <c r="A382" s="126" t="str">
        <f t="shared" ref="A382" ca="1" si="550">INDIRECT("'update Helper'!C"&amp;Q382)</f>
        <v>a1VDm000000PgAKMA0</v>
      </c>
      <c r="B382" s="570">
        <v>4</v>
      </c>
      <c r="C382" s="572" t="str">
        <f ca="1">IFERROR(VLOOKUP(B382,'Outcome Indicators - Section C '!$A$9:$AC$70,29,FALSE),"")</f>
        <v>TB O-4 Treatment success rate of RR-TB and/or MDR-TB: Percentage of patients with RR and/or MDR-TB successfully treated</v>
      </c>
      <c r="D382" s="574" t="str">
        <f ca="1">M382</f>
        <v/>
      </c>
      <c r="E382" s="574" t="str">
        <f ca="1">N382</f>
        <v/>
      </c>
      <c r="F382" s="127"/>
      <c r="G382" s="576" t="str">
        <f ca="1">IF(OR(INDIRECT("'update Helper'!E"&amp;Q382)="",F382&lt;&gt;0,F383&lt;&gt;0),IF(IFERROR((F382/F383),"")="","",(F382/F383)),INDIRECT("'update Helper'!E"&amp;Q382)/100)</f>
        <v/>
      </c>
      <c r="H382" s="539"/>
      <c r="I382" s="578"/>
      <c r="J382" s="532"/>
      <c r="K382" s="126">
        <f ca="1">IF(AND(EXACT(C382,C380),C380&lt;&gt;0),K380+1,0)</f>
        <v>3</v>
      </c>
      <c r="L382" s="126" t="str">
        <f ca="1">IF(C382&lt;&gt;"",C382&amp;"-"&amp;K382,"")</f>
        <v>TB O-4 Treatment success rate of RR-TB and/or MDR-TB: Percentage of patients with RR and/or MDR-TB successfully treated-3</v>
      </c>
      <c r="M382" s="126" t="str">
        <f t="array" aca="1" ref="M382" ca="1">IFERROR(IF(INDEX('Disaggregation Records'!$E$83:$E$153,MATCH(RIGHT(L382,255),RIGHT('Disaggregation Records'!$D$83:$D$153,255),0))="","",INDEX('Disaggregation Records'!$E$83:$E$153,MATCH(RIGHT(L382,255),RIGHT('Disaggregation Records'!$D$83:$D$153,255),0))),"")</f>
        <v/>
      </c>
      <c r="N382" s="126" t="str">
        <f t="array" aca="1" ref="N382" ca="1">IFERROR(IF(INDEX('Disaggregation Records'!$F$83:$F$153,MATCH(RIGHT(L382,255),RIGHT('Disaggregation Records'!$D$83:$D$153,255),0))="","",INDEX('Disaggregation Records'!$F$83:$F$153,MATCH(RIGHT(L382,255),RIGHT('Disaggregation Records'!$D$83:$D$153,255),0))),"")</f>
        <v/>
      </c>
      <c r="O382" s="314" t="str">
        <f t="array" aca="1" ref="O382" ca="1">IFERROR(IF(INDEX('Disaggregation Records'!$H$83:$H$153,MATCH(RIGHT(L382,255),RIGHT('Disaggregation Records'!$D$83:$D$153,255),0))="","",INDEX('Disaggregation Records'!$H$83:$H$153,MATCH(RIGHT(L382,255),RIGHT('Disaggregation Records'!$D$83:$D$153,255),0))),"")</f>
        <v/>
      </c>
      <c r="P382" s="314"/>
      <c r="Q382" s="310">
        <f t="shared" ref="Q382" si="551">Q380+1</f>
        <v>1037</v>
      </c>
      <c r="R382" s="314" t="str" cm="1">
        <f t="array" aca="1" ref="R382" ca="1">IFERROR(IF(INDEX('Disaggregation Records'!$G$83:$G$153,MATCH(RIGHT(L382,255),RIGHT('Disaggregation Records'!$D$83:$D$153,255),0))="","",INDEX('Disaggregation Records'!$G$83:$G$153,MATCH(RIGHT(L382,255),RIGHT('Disaggregation Records'!$D$83:$D$153,255),0))),"")</f>
        <v/>
      </c>
    </row>
    <row r="383" spans="1:18" ht="20.100000000000001" customHeight="1">
      <c r="B383" s="571"/>
      <c r="C383" s="573"/>
      <c r="D383" s="575"/>
      <c r="E383" s="575"/>
      <c r="F383" s="128"/>
      <c r="G383" s="577"/>
      <c r="H383" s="540"/>
      <c r="I383" s="579"/>
      <c r="J383" s="533"/>
      <c r="K383" s="126"/>
      <c r="L383" s="126"/>
      <c r="M383" s="126"/>
      <c r="N383" s="126"/>
      <c r="O383" s="314"/>
      <c r="P383" s="314"/>
      <c r="Q383" s="310"/>
      <c r="R383" s="314" t="str" cm="1">
        <f t="array" ref="R383">IFERROR(IF(INDEX('Disaggregation Records'!$G$83:$G$153,MATCH(RIGHT(L383,255),RIGHT('Disaggregation Records'!$D$83:$D$153,255),0))="","",INDEX('Disaggregation Records'!$G$83:$G$153,MATCH(RIGHT(L383,255),RIGHT('Disaggregation Records'!$D$83:$D$153,255),0))),"")</f>
        <v/>
      </c>
    </row>
    <row r="384" spans="1:18" ht="20.100000000000001" customHeight="1">
      <c r="A384" s="126" t="str">
        <f t="shared" ref="A384" ca="1" si="552">INDIRECT("'update Helper'!C"&amp;Q384)</f>
        <v>a1VDm000000PgALMA0</v>
      </c>
      <c r="B384" s="570">
        <v>4</v>
      </c>
      <c r="C384" s="572" t="str">
        <f ca="1">IFERROR(VLOOKUP(B384,'Outcome Indicators - Section C '!$A$9:$AC$70,29,FALSE),"")</f>
        <v>TB O-4 Treatment success rate of RR-TB and/or MDR-TB: Percentage of patients with RR and/or MDR-TB successfully treated</v>
      </c>
      <c r="D384" s="574" t="str">
        <f ca="1">M384</f>
        <v/>
      </c>
      <c r="E384" s="574" t="str">
        <f ca="1">N384</f>
        <v/>
      </c>
      <c r="F384" s="127"/>
      <c r="G384" s="576" t="str">
        <f ca="1">IF(OR(INDIRECT("'update Helper'!E"&amp;Q384)="",F384&lt;&gt;0,F385&lt;&gt;0),IF(IFERROR((F384/F385),"")="","",(F384/F385)),INDIRECT("'update Helper'!E"&amp;Q384)/100)</f>
        <v/>
      </c>
      <c r="H384" s="539"/>
      <c r="I384" s="578"/>
      <c r="J384" s="532"/>
      <c r="K384" s="126">
        <f ca="1">IF(AND(EXACT(C384,C382),C382&lt;&gt;0),K382+1,0)</f>
        <v>4</v>
      </c>
      <c r="L384" s="126" t="str">
        <f ca="1">IF(C384&lt;&gt;"",C384&amp;"-"&amp;K384,"")</f>
        <v>TB O-4 Treatment success rate of RR-TB and/or MDR-TB: Percentage of patients with RR and/or MDR-TB successfully treated-4</v>
      </c>
      <c r="M384" s="126" t="str">
        <f t="array" aca="1" ref="M384" ca="1">IFERROR(IF(INDEX('Disaggregation Records'!$E$83:$E$153,MATCH(RIGHT(L384,255),RIGHT('Disaggregation Records'!$D$83:$D$153,255),0))="","",INDEX('Disaggregation Records'!$E$83:$E$153,MATCH(RIGHT(L384,255),RIGHT('Disaggregation Records'!$D$83:$D$153,255),0))),"")</f>
        <v/>
      </c>
      <c r="N384" s="126" t="str">
        <f t="array" aca="1" ref="N384" ca="1">IFERROR(IF(INDEX('Disaggregation Records'!$F$83:$F$153,MATCH(RIGHT(L384,255),RIGHT('Disaggregation Records'!$D$83:$D$153,255),0))="","",INDEX('Disaggregation Records'!$F$83:$F$153,MATCH(RIGHT(L384,255),RIGHT('Disaggregation Records'!$D$83:$D$153,255),0))),"")</f>
        <v/>
      </c>
      <c r="O384" s="314" t="str">
        <f t="array" aca="1" ref="O384" ca="1">IFERROR(IF(INDEX('Disaggregation Records'!$H$83:$H$153,MATCH(RIGHT(L384,255),RIGHT('Disaggregation Records'!$D$83:$D$153,255),0))="","",INDEX('Disaggregation Records'!$H$83:$H$153,MATCH(RIGHT(L384,255),RIGHT('Disaggregation Records'!$D$83:$D$153,255),0))),"")</f>
        <v/>
      </c>
      <c r="P384" s="314"/>
      <c r="Q384" s="310">
        <f t="shared" ref="Q384" si="553">Q382+1</f>
        <v>1038</v>
      </c>
      <c r="R384" s="314" t="str" cm="1">
        <f t="array" aca="1" ref="R384" ca="1">IFERROR(IF(INDEX('Disaggregation Records'!$G$83:$G$153,MATCH(RIGHT(L384,255),RIGHT('Disaggregation Records'!$D$83:$D$153,255),0))="","",INDEX('Disaggregation Records'!$G$83:$G$153,MATCH(RIGHT(L384,255),RIGHT('Disaggregation Records'!$D$83:$D$153,255),0))),"")</f>
        <v/>
      </c>
    </row>
    <row r="385" spans="1:18" ht="20.100000000000001" customHeight="1">
      <c r="A385" s="126"/>
      <c r="B385" s="571"/>
      <c r="C385" s="573"/>
      <c r="D385" s="575"/>
      <c r="E385" s="575"/>
      <c r="F385" s="128"/>
      <c r="G385" s="577"/>
      <c r="H385" s="540"/>
      <c r="I385" s="579"/>
      <c r="J385" s="533"/>
      <c r="K385" s="126"/>
      <c r="L385" s="126"/>
      <c r="M385" s="126"/>
      <c r="N385" s="126"/>
      <c r="O385" s="314"/>
      <c r="P385" s="314"/>
      <c r="Q385" s="310"/>
      <c r="R385" s="314" t="str" cm="1">
        <f t="array" ref="R385">IFERROR(IF(INDEX('Disaggregation Records'!$G$83:$G$153,MATCH(RIGHT(L385,255),RIGHT('Disaggregation Records'!$D$83:$D$153,255),0))="","",INDEX('Disaggregation Records'!$G$83:$G$153,MATCH(RIGHT(L385,255),RIGHT('Disaggregation Records'!$D$83:$D$153,255),0))),"")</f>
        <v/>
      </c>
    </row>
    <row r="386" spans="1:18" ht="20.100000000000001" customHeight="1">
      <c r="A386" s="126" t="str">
        <f t="shared" ref="A386" ca="1" si="554">INDIRECT("'update Helper'!C"&amp;Q386)</f>
        <v>a1VDm000000PgAMMA0</v>
      </c>
      <c r="B386" s="570">
        <v>4</v>
      </c>
      <c r="C386" s="572" t="str">
        <f ca="1">IFERROR(VLOOKUP(B386,'Outcome Indicators - Section C '!$A$9:$AC$70,29,FALSE),"")</f>
        <v>TB O-4 Treatment success rate of RR-TB and/or MDR-TB: Percentage of patients with RR and/or MDR-TB successfully treated</v>
      </c>
      <c r="D386" s="574" t="str">
        <f ca="1">M386</f>
        <v/>
      </c>
      <c r="E386" s="574" t="str">
        <f ca="1">N386</f>
        <v/>
      </c>
      <c r="F386" s="127"/>
      <c r="G386" s="576" t="str">
        <f ca="1">IF(OR(INDIRECT("'update Helper'!E"&amp;Q386)="",F386&lt;&gt;0,F387&lt;&gt;0),IF(IFERROR((F386/F387),"")="","",(F386/F387)),INDIRECT("'update Helper'!E"&amp;Q386)/100)</f>
        <v/>
      </c>
      <c r="H386" s="539"/>
      <c r="I386" s="578"/>
      <c r="J386" s="532"/>
      <c r="K386" s="126">
        <f ca="1">IF(AND(EXACT(C386,C384),C384&lt;&gt;0),K384+1,0)</f>
        <v>5</v>
      </c>
      <c r="L386" s="126" t="str">
        <f ca="1">IF(C386&lt;&gt;"",C386&amp;"-"&amp;K386,"")</f>
        <v>TB O-4 Treatment success rate of RR-TB and/or MDR-TB: Percentage of patients with RR and/or MDR-TB successfully treated-5</v>
      </c>
      <c r="M386" s="126" t="str">
        <f t="array" aca="1" ref="M386" ca="1">IFERROR(IF(INDEX('Disaggregation Records'!$E$83:$E$153,MATCH(RIGHT(L386,255),RIGHT('Disaggregation Records'!$D$83:$D$153,255),0))="","",INDEX('Disaggregation Records'!$E$83:$E$153,MATCH(RIGHT(L386,255),RIGHT('Disaggregation Records'!$D$83:$D$153,255),0))),"")</f>
        <v/>
      </c>
      <c r="N386" s="126" t="str">
        <f t="array" aca="1" ref="N386" ca="1">IFERROR(IF(INDEX('Disaggregation Records'!$F$83:$F$153,MATCH(RIGHT(L386,255),RIGHT('Disaggregation Records'!$D$83:$D$153,255),0))="","",INDEX('Disaggregation Records'!$F$83:$F$153,MATCH(RIGHT(L386,255),RIGHT('Disaggregation Records'!$D$83:$D$153,255),0))),"")</f>
        <v/>
      </c>
      <c r="O386" s="314" t="str">
        <f t="array" aca="1" ref="O386" ca="1">IFERROR(IF(INDEX('Disaggregation Records'!$H$83:$H$153,MATCH(RIGHT(L386,255),RIGHT('Disaggregation Records'!$D$83:$D$153,255),0))="","",INDEX('Disaggregation Records'!$H$83:$H$153,MATCH(RIGHT(L386,255),RIGHT('Disaggregation Records'!$D$83:$D$153,255),0))),"")</f>
        <v/>
      </c>
      <c r="P386" s="314"/>
      <c r="Q386" s="310">
        <f t="shared" ref="Q386" si="555">Q384+1</f>
        <v>1039</v>
      </c>
      <c r="R386" s="314" t="str" cm="1">
        <f t="array" aca="1" ref="R386" ca="1">IFERROR(IF(INDEX('Disaggregation Records'!$G$83:$G$153,MATCH(RIGHT(L386,255),RIGHT('Disaggregation Records'!$D$83:$D$153,255),0))="","",INDEX('Disaggregation Records'!$G$83:$G$153,MATCH(RIGHT(L386,255),RIGHT('Disaggregation Records'!$D$83:$D$153,255),0))),"")</f>
        <v/>
      </c>
    </row>
    <row r="387" spans="1:18" ht="20.100000000000001" customHeight="1">
      <c r="B387" s="571"/>
      <c r="C387" s="573"/>
      <c r="D387" s="575"/>
      <c r="E387" s="575"/>
      <c r="F387" s="128"/>
      <c r="G387" s="577"/>
      <c r="H387" s="540"/>
      <c r="I387" s="579"/>
      <c r="J387" s="533"/>
      <c r="K387" s="126"/>
      <c r="L387" s="126"/>
      <c r="M387" s="126"/>
      <c r="N387" s="126"/>
      <c r="O387" s="314"/>
      <c r="P387" s="314"/>
      <c r="Q387" s="310"/>
      <c r="R387" s="314" t="str" cm="1">
        <f t="array" ref="R387">IFERROR(IF(INDEX('Disaggregation Records'!$G$83:$G$153,MATCH(RIGHT(L387,255),RIGHT('Disaggregation Records'!$D$83:$D$153,255),0))="","",INDEX('Disaggregation Records'!$G$83:$G$153,MATCH(RIGHT(L387,255),RIGHT('Disaggregation Records'!$D$83:$D$153,255),0))),"")</f>
        <v/>
      </c>
    </row>
    <row r="388" spans="1:18" ht="20.100000000000001" customHeight="1">
      <c r="A388" s="126" t="str">
        <f t="shared" ref="A388" ca="1" si="556">INDIRECT("'update Helper'!C"&amp;Q388)</f>
        <v>a1VDm000000PgANMA0</v>
      </c>
      <c r="B388" s="570">
        <v>4</v>
      </c>
      <c r="C388" s="572" t="str">
        <f ca="1">IFERROR(VLOOKUP(B388,'Outcome Indicators - Section C '!$A$9:$AC$70,29,FALSE),"")</f>
        <v>TB O-4 Treatment success rate of RR-TB and/or MDR-TB: Percentage of patients with RR and/or MDR-TB successfully treated</v>
      </c>
      <c r="D388" s="574" t="str">
        <f ca="1">M388</f>
        <v/>
      </c>
      <c r="E388" s="574" t="str">
        <f ca="1">N388</f>
        <v/>
      </c>
      <c r="F388" s="127"/>
      <c r="G388" s="576" t="str">
        <f ca="1">IF(OR(INDIRECT("'update Helper'!E"&amp;Q388)="",F388&lt;&gt;0,F389&lt;&gt;0),IF(IFERROR((F388/F389),"")="","",(F388/F389)),INDIRECT("'update Helper'!E"&amp;Q388)/100)</f>
        <v/>
      </c>
      <c r="H388" s="539"/>
      <c r="I388" s="578"/>
      <c r="J388" s="532"/>
      <c r="K388" s="126">
        <f ca="1">IF(AND(EXACT(C388,C386),C386&lt;&gt;0),K386+1,0)</f>
        <v>6</v>
      </c>
      <c r="L388" s="126" t="str">
        <f ca="1">IF(C388&lt;&gt;"",C388&amp;"-"&amp;K388,"")</f>
        <v>TB O-4 Treatment success rate of RR-TB and/or MDR-TB: Percentage of patients with RR and/or MDR-TB successfully treated-6</v>
      </c>
      <c r="M388" s="126" t="str">
        <f t="array" aca="1" ref="M388" ca="1">IFERROR(IF(INDEX('Disaggregation Records'!$E$83:$E$153,MATCH(RIGHT(L388,255),RIGHT('Disaggregation Records'!$D$83:$D$153,255),0))="","",INDEX('Disaggregation Records'!$E$83:$E$153,MATCH(RIGHT(L388,255),RIGHT('Disaggregation Records'!$D$83:$D$153,255),0))),"")</f>
        <v/>
      </c>
      <c r="N388" s="126" t="str">
        <f t="array" aca="1" ref="N388" ca="1">IFERROR(IF(INDEX('Disaggregation Records'!$F$83:$F$153,MATCH(RIGHT(L388,255),RIGHT('Disaggregation Records'!$D$83:$D$153,255),0))="","",INDEX('Disaggregation Records'!$F$83:$F$153,MATCH(RIGHT(L388,255),RIGHT('Disaggregation Records'!$D$83:$D$153,255),0))),"")</f>
        <v/>
      </c>
      <c r="O388" s="314" t="str">
        <f t="array" aca="1" ref="O388" ca="1">IFERROR(IF(INDEX('Disaggregation Records'!$H$83:$H$153,MATCH(RIGHT(L388,255),RIGHT('Disaggregation Records'!$D$83:$D$153,255),0))="","",INDEX('Disaggregation Records'!$H$83:$H$153,MATCH(RIGHT(L388,255),RIGHT('Disaggregation Records'!$D$83:$D$153,255),0))),"")</f>
        <v/>
      </c>
      <c r="P388" s="314"/>
      <c r="Q388" s="310">
        <f t="shared" ref="Q388" si="557">Q386+1</f>
        <v>1040</v>
      </c>
      <c r="R388" s="314" t="str" cm="1">
        <f t="array" aca="1" ref="R388" ca="1">IFERROR(IF(INDEX('Disaggregation Records'!$G$83:$G$153,MATCH(RIGHT(L388,255),RIGHT('Disaggregation Records'!$D$83:$D$153,255),0))="","",INDEX('Disaggregation Records'!$G$83:$G$153,MATCH(RIGHT(L388,255),RIGHT('Disaggregation Records'!$D$83:$D$153,255),0))),"")</f>
        <v/>
      </c>
    </row>
    <row r="389" spans="1:18" ht="20.100000000000001" customHeight="1">
      <c r="A389" s="126"/>
      <c r="B389" s="571"/>
      <c r="C389" s="573"/>
      <c r="D389" s="575"/>
      <c r="E389" s="575"/>
      <c r="F389" s="128"/>
      <c r="G389" s="577"/>
      <c r="H389" s="540"/>
      <c r="I389" s="579"/>
      <c r="J389" s="533"/>
      <c r="K389" s="126"/>
      <c r="L389" s="126"/>
      <c r="M389" s="126"/>
      <c r="N389" s="126"/>
      <c r="O389" s="314"/>
      <c r="P389" s="314"/>
      <c r="Q389" s="310"/>
      <c r="R389" s="314" t="str" cm="1">
        <f t="array" ref="R389">IFERROR(IF(INDEX('Disaggregation Records'!$G$83:$G$153,MATCH(RIGHT(L389,255),RIGHT('Disaggregation Records'!$D$83:$D$153,255),0))="","",INDEX('Disaggregation Records'!$G$83:$G$153,MATCH(RIGHT(L389,255),RIGHT('Disaggregation Records'!$D$83:$D$153,255),0))),"")</f>
        <v/>
      </c>
    </row>
    <row r="390" spans="1:18" ht="20.100000000000001" customHeight="1">
      <c r="A390" s="126" t="str">
        <f t="shared" ref="A390" ca="1" si="558">INDIRECT("'update Helper'!C"&amp;Q390)</f>
        <v>a1VDm000000PgAOMA0</v>
      </c>
      <c r="B390" s="570">
        <v>4</v>
      </c>
      <c r="C390" s="572" t="str">
        <f ca="1">IFERROR(VLOOKUP(B390,'Outcome Indicators - Section C '!$A$9:$AC$70,29,FALSE),"")</f>
        <v>TB O-4 Treatment success rate of RR-TB and/or MDR-TB: Percentage of patients with RR and/or MDR-TB successfully treated</v>
      </c>
      <c r="D390" s="574" t="str">
        <f ca="1">M390</f>
        <v/>
      </c>
      <c r="E390" s="574" t="str">
        <f ca="1">N390</f>
        <v/>
      </c>
      <c r="F390" s="127"/>
      <c r="G390" s="576" t="str">
        <f ca="1">IF(OR(INDIRECT("'update Helper'!E"&amp;Q390)="",F390&lt;&gt;0,F391&lt;&gt;0),IF(IFERROR((F390/F391),"")="","",(F390/F391)),INDIRECT("'update Helper'!E"&amp;Q390)/100)</f>
        <v/>
      </c>
      <c r="H390" s="539"/>
      <c r="I390" s="578"/>
      <c r="J390" s="532"/>
      <c r="K390" s="126">
        <f ca="1">IF(AND(EXACT(C390,C388),C388&lt;&gt;0),K388+1,0)</f>
        <v>7</v>
      </c>
      <c r="L390" s="126" t="str">
        <f ca="1">IF(C390&lt;&gt;"",C390&amp;"-"&amp;K390,"")</f>
        <v>TB O-4 Treatment success rate of RR-TB and/or MDR-TB: Percentage of patients with RR and/or MDR-TB successfully treated-7</v>
      </c>
      <c r="M390" s="126" t="str">
        <f t="array" aca="1" ref="M390" ca="1">IFERROR(IF(INDEX('Disaggregation Records'!$E$83:$E$153,MATCH(RIGHT(L390,255),RIGHT('Disaggregation Records'!$D$83:$D$153,255),0))="","",INDEX('Disaggregation Records'!$E$83:$E$153,MATCH(RIGHT(L390,255),RIGHT('Disaggregation Records'!$D$83:$D$153,255),0))),"")</f>
        <v/>
      </c>
      <c r="N390" s="126" t="str">
        <f t="array" aca="1" ref="N390" ca="1">IFERROR(IF(INDEX('Disaggregation Records'!$F$83:$F$153,MATCH(RIGHT(L390,255),RIGHT('Disaggregation Records'!$D$83:$D$153,255),0))="","",INDEX('Disaggregation Records'!$F$83:$F$153,MATCH(RIGHT(L390,255),RIGHT('Disaggregation Records'!$D$83:$D$153,255),0))),"")</f>
        <v/>
      </c>
      <c r="O390" s="314" t="str">
        <f t="array" aca="1" ref="O390" ca="1">IFERROR(IF(INDEX('Disaggregation Records'!$H$83:$H$153,MATCH(RIGHT(L390,255),RIGHT('Disaggregation Records'!$D$83:$D$153,255),0))="","",INDEX('Disaggregation Records'!$H$83:$H$153,MATCH(RIGHT(L390,255),RIGHT('Disaggregation Records'!$D$83:$D$153,255),0))),"")</f>
        <v/>
      </c>
      <c r="P390" s="314"/>
      <c r="Q390" s="310">
        <f t="shared" ref="Q390" si="559">Q388+1</f>
        <v>1041</v>
      </c>
      <c r="R390" s="314" t="str" cm="1">
        <f t="array" aca="1" ref="R390" ca="1">IFERROR(IF(INDEX('Disaggregation Records'!$G$83:$G$153,MATCH(RIGHT(L390,255),RIGHT('Disaggregation Records'!$D$83:$D$153,255),0))="","",INDEX('Disaggregation Records'!$G$83:$G$153,MATCH(RIGHT(L390,255),RIGHT('Disaggregation Records'!$D$83:$D$153,255),0))),"")</f>
        <v/>
      </c>
    </row>
    <row r="391" spans="1:18" ht="20.100000000000001" customHeight="1">
      <c r="B391" s="571"/>
      <c r="C391" s="573"/>
      <c r="D391" s="575"/>
      <c r="E391" s="575"/>
      <c r="F391" s="128"/>
      <c r="G391" s="577"/>
      <c r="H391" s="540"/>
      <c r="I391" s="579"/>
      <c r="J391" s="533"/>
      <c r="K391" s="126"/>
      <c r="L391" s="126"/>
      <c r="M391" s="126"/>
      <c r="N391" s="126"/>
      <c r="O391" s="314"/>
      <c r="P391" s="314"/>
      <c r="Q391" s="310"/>
      <c r="R391" s="314" t="str" cm="1">
        <f t="array" ref="R391">IFERROR(IF(INDEX('Disaggregation Records'!$G$83:$G$153,MATCH(RIGHT(L391,255),RIGHT('Disaggregation Records'!$D$83:$D$153,255),0))="","",INDEX('Disaggregation Records'!$G$83:$G$153,MATCH(RIGHT(L391,255),RIGHT('Disaggregation Records'!$D$83:$D$153,255),0))),"")</f>
        <v/>
      </c>
    </row>
    <row r="392" spans="1:18" ht="20.100000000000001" customHeight="1">
      <c r="A392" s="126" t="str">
        <f t="shared" ref="A392" ca="1" si="560">INDIRECT("'update Helper'!C"&amp;Q392)</f>
        <v>a1VDm000000PgAPMA0</v>
      </c>
      <c r="B392" s="570">
        <v>4</v>
      </c>
      <c r="C392" s="572" t="str">
        <f ca="1">IFERROR(VLOOKUP(B392,'Outcome Indicators - Section C '!$A$9:$AC$70,29,FALSE),"")</f>
        <v>TB O-4 Treatment success rate of RR-TB and/or MDR-TB: Percentage of patients with RR and/or MDR-TB successfully treated</v>
      </c>
      <c r="D392" s="574" t="str">
        <f ca="1">M392</f>
        <v/>
      </c>
      <c r="E392" s="574" t="str">
        <f ca="1">N392</f>
        <v/>
      </c>
      <c r="F392" s="127"/>
      <c r="G392" s="576" t="str">
        <f ca="1">IF(OR(INDIRECT("'update Helper'!E"&amp;Q392)="",F392&lt;&gt;0,F393&lt;&gt;0),IF(IFERROR((F392/F393),"")="","",(F392/F393)),INDIRECT("'update Helper'!E"&amp;Q392)/100)</f>
        <v/>
      </c>
      <c r="H392" s="539"/>
      <c r="I392" s="578"/>
      <c r="J392" s="532"/>
      <c r="K392" s="126">
        <f ca="1">IF(AND(EXACT(C392,C390),C390&lt;&gt;0),K390+1,0)</f>
        <v>8</v>
      </c>
      <c r="L392" s="126" t="str">
        <f ca="1">IF(C392&lt;&gt;"",C392&amp;"-"&amp;K392,"")</f>
        <v>TB O-4 Treatment success rate of RR-TB and/or MDR-TB: Percentage of patients with RR and/or MDR-TB successfully treated-8</v>
      </c>
      <c r="M392" s="126" t="str">
        <f t="array" aca="1" ref="M392" ca="1">IFERROR(IF(INDEX('Disaggregation Records'!$E$83:$E$153,MATCH(RIGHT(L392,255),RIGHT('Disaggregation Records'!$D$83:$D$153,255),0))="","",INDEX('Disaggregation Records'!$E$83:$E$153,MATCH(RIGHT(L392,255),RIGHT('Disaggregation Records'!$D$83:$D$153,255),0))),"")</f>
        <v/>
      </c>
      <c r="N392" s="126" t="str">
        <f t="array" aca="1" ref="N392" ca="1">IFERROR(IF(INDEX('Disaggregation Records'!$F$83:$F$153,MATCH(RIGHT(L392,255),RIGHT('Disaggregation Records'!$D$83:$D$153,255),0))="","",INDEX('Disaggregation Records'!$F$83:$F$153,MATCH(RIGHT(L392,255),RIGHT('Disaggregation Records'!$D$83:$D$153,255),0))),"")</f>
        <v/>
      </c>
      <c r="O392" s="314" t="str">
        <f t="array" aca="1" ref="O392" ca="1">IFERROR(IF(INDEX('Disaggregation Records'!$H$83:$H$153,MATCH(RIGHT(L392,255),RIGHT('Disaggregation Records'!$D$83:$D$153,255),0))="","",INDEX('Disaggregation Records'!$H$83:$H$153,MATCH(RIGHT(L392,255),RIGHT('Disaggregation Records'!$D$83:$D$153,255),0))),"")</f>
        <v/>
      </c>
      <c r="P392" s="314"/>
      <c r="Q392" s="310">
        <f t="shared" ref="Q392" si="561">Q390+1</f>
        <v>1042</v>
      </c>
      <c r="R392" s="314" t="str" cm="1">
        <f t="array" aca="1" ref="R392" ca="1">IFERROR(IF(INDEX('Disaggregation Records'!$G$83:$G$153,MATCH(RIGHT(L392,255),RIGHT('Disaggregation Records'!$D$83:$D$153,255),0))="","",INDEX('Disaggregation Records'!$G$83:$G$153,MATCH(RIGHT(L392,255),RIGHT('Disaggregation Records'!$D$83:$D$153,255),0))),"")</f>
        <v/>
      </c>
    </row>
    <row r="393" spans="1:18" ht="20.100000000000001" customHeight="1">
      <c r="A393" s="126"/>
      <c r="B393" s="571"/>
      <c r="C393" s="573"/>
      <c r="D393" s="575"/>
      <c r="E393" s="575"/>
      <c r="F393" s="128"/>
      <c r="G393" s="577"/>
      <c r="H393" s="540"/>
      <c r="I393" s="579"/>
      <c r="J393" s="533"/>
      <c r="K393" s="126"/>
      <c r="L393" s="126"/>
      <c r="M393" s="126"/>
      <c r="N393" s="126"/>
      <c r="O393" s="314"/>
      <c r="P393" s="314"/>
      <c r="Q393" s="310"/>
      <c r="R393" s="314" t="str" cm="1">
        <f t="array" ref="R393">IFERROR(IF(INDEX('Disaggregation Records'!$G$83:$G$153,MATCH(RIGHT(L393,255),RIGHT('Disaggregation Records'!$D$83:$D$153,255),0))="","",INDEX('Disaggregation Records'!$G$83:$G$153,MATCH(RIGHT(L393,255),RIGHT('Disaggregation Records'!$D$83:$D$153,255),0))),"")</f>
        <v/>
      </c>
    </row>
    <row r="394" spans="1:18" ht="20.100000000000001" customHeight="1">
      <c r="A394" s="126" t="str">
        <f t="shared" ref="A394" ca="1" si="562">INDIRECT("'update Helper'!C"&amp;Q394)</f>
        <v>a1VDm000000PgAQMA0</v>
      </c>
      <c r="B394" s="570">
        <v>4</v>
      </c>
      <c r="C394" s="572" t="str">
        <f ca="1">IFERROR(VLOOKUP(B394,'Outcome Indicators - Section C '!$A$9:$AC$70,29,FALSE),"")</f>
        <v>TB O-4 Treatment success rate of RR-TB and/or MDR-TB: Percentage of patients with RR and/or MDR-TB successfully treated</v>
      </c>
      <c r="D394" s="574" t="str">
        <f ca="1">M394</f>
        <v/>
      </c>
      <c r="E394" s="574" t="str">
        <f ca="1">N394</f>
        <v/>
      </c>
      <c r="F394" s="127"/>
      <c r="G394" s="576" t="str">
        <f ca="1">IF(OR(INDIRECT("'update Helper'!E"&amp;Q394)="",F394&lt;&gt;0,F395&lt;&gt;0),IF(IFERROR((F394/F395),"")="","",(F394/F395)),INDIRECT("'update Helper'!E"&amp;Q394)/100)</f>
        <v/>
      </c>
      <c r="H394" s="539"/>
      <c r="I394" s="578"/>
      <c r="J394" s="532"/>
      <c r="K394" s="126">
        <f ca="1">IF(AND(EXACT(C394,C392),C392&lt;&gt;0),K392+1,0)</f>
        <v>9</v>
      </c>
      <c r="L394" s="126" t="str">
        <f ca="1">IF(C394&lt;&gt;"",C394&amp;"-"&amp;K394,"")</f>
        <v>TB O-4 Treatment success rate of RR-TB and/or MDR-TB: Percentage of patients with RR and/or MDR-TB successfully treated-9</v>
      </c>
      <c r="M394" s="126" t="str">
        <f t="array" aca="1" ref="M394" ca="1">IFERROR(IF(INDEX('Disaggregation Records'!$E$83:$E$153,MATCH(RIGHT(L394,255),RIGHT('Disaggregation Records'!$D$83:$D$153,255),0))="","",INDEX('Disaggregation Records'!$E$83:$E$153,MATCH(RIGHT(L394,255),RIGHT('Disaggregation Records'!$D$83:$D$153,255),0))),"")</f>
        <v/>
      </c>
      <c r="N394" s="126" t="str">
        <f t="array" aca="1" ref="N394" ca="1">IFERROR(IF(INDEX('Disaggregation Records'!$F$83:$F$153,MATCH(RIGHT(L394,255),RIGHT('Disaggregation Records'!$D$83:$D$153,255),0))="","",INDEX('Disaggregation Records'!$F$83:$F$153,MATCH(RIGHT(L394,255),RIGHT('Disaggregation Records'!$D$83:$D$153,255),0))),"")</f>
        <v/>
      </c>
      <c r="O394" s="314" t="str">
        <f t="array" aca="1" ref="O394" ca="1">IFERROR(IF(INDEX('Disaggregation Records'!$H$83:$H$153,MATCH(RIGHT(L394,255),RIGHT('Disaggregation Records'!$D$83:$D$153,255),0))="","",INDEX('Disaggregation Records'!$H$83:$H$153,MATCH(RIGHT(L394,255),RIGHT('Disaggregation Records'!$D$83:$D$153,255),0))),"")</f>
        <v/>
      </c>
      <c r="P394" s="314"/>
      <c r="Q394" s="310">
        <f t="shared" ref="Q394" si="563">Q392+1</f>
        <v>1043</v>
      </c>
      <c r="R394" s="314" t="str" cm="1">
        <f t="array" aca="1" ref="R394" ca="1">IFERROR(IF(INDEX('Disaggregation Records'!$G$83:$G$153,MATCH(RIGHT(L394,255),RIGHT('Disaggregation Records'!$D$83:$D$153,255),0))="","",INDEX('Disaggregation Records'!$G$83:$G$153,MATCH(RIGHT(L394,255),RIGHT('Disaggregation Records'!$D$83:$D$153,255),0))),"")</f>
        <v/>
      </c>
    </row>
    <row r="395" spans="1:18" ht="20.100000000000001" customHeight="1">
      <c r="B395" s="571"/>
      <c r="C395" s="573"/>
      <c r="D395" s="575"/>
      <c r="E395" s="575"/>
      <c r="F395" s="128"/>
      <c r="G395" s="577"/>
      <c r="H395" s="540"/>
      <c r="I395" s="579"/>
      <c r="J395" s="533"/>
      <c r="K395" s="126"/>
      <c r="L395" s="126"/>
      <c r="M395" s="126"/>
      <c r="N395" s="126"/>
      <c r="O395" s="314"/>
      <c r="P395" s="314"/>
      <c r="Q395" s="310"/>
      <c r="R395" s="314" t="str" cm="1">
        <f t="array" ref="R395">IFERROR(IF(INDEX('Disaggregation Records'!$G$83:$G$153,MATCH(RIGHT(L395,255),RIGHT('Disaggregation Records'!$D$83:$D$153,255),0))="","",INDEX('Disaggregation Records'!$G$83:$G$153,MATCH(RIGHT(L395,255),RIGHT('Disaggregation Records'!$D$83:$D$153,255),0))),"")</f>
        <v/>
      </c>
    </row>
    <row r="396" spans="1:18" ht="20.100000000000001" customHeight="1">
      <c r="A396" s="126" t="str">
        <f t="shared" ref="A396" ca="1" si="564">INDIRECT("'update Helper'!C"&amp;Q396)</f>
        <v>a1VDm000000PgARMA0</v>
      </c>
      <c r="B396" s="570">
        <v>5</v>
      </c>
      <c r="C396" s="572" t="str">
        <f ca="1">IFERROR(VLOOKUP(B396,'Outcome Indicators - Section C '!$A$9:$AC$70,29,FALSE),"")</f>
        <v>HIV O-4a Percentage of men reporting using a condom the last time they had anal sex with a male partner</v>
      </c>
      <c r="D396" s="574" t="str">
        <f ca="1">M396</f>
        <v/>
      </c>
      <c r="E396" s="574" t="str">
        <f ca="1">N396</f>
        <v/>
      </c>
      <c r="F396" s="127"/>
      <c r="G396" s="576" t="str">
        <f ca="1">IF(OR(INDIRECT("'update Helper'!E"&amp;Q396)="",F396&lt;&gt;0,F397&lt;&gt;0),IF(IFERROR((F396/F397),"")="","",(F396/F397)),INDIRECT("'update Helper'!E"&amp;Q396)/100)</f>
        <v/>
      </c>
      <c r="H396" s="539"/>
      <c r="I396" s="578"/>
      <c r="J396" s="532"/>
      <c r="K396" s="126">
        <f ca="1">IF(AND(EXACT(C396,C394),C394&lt;&gt;0),K394+1,0)</f>
        <v>0</v>
      </c>
      <c r="L396" s="126" t="str">
        <f ca="1">IF(C396&lt;&gt;"",C396&amp;"-"&amp;K396,"")</f>
        <v>HIV O-4a Percentage of men reporting using a condom the last time they had anal sex with a male partner-0</v>
      </c>
      <c r="M396" s="126" t="str">
        <f t="array" aca="1" ref="M396" ca="1">IFERROR(IF(INDEX('Disaggregation Records'!$E$83:$E$153,MATCH(RIGHT(L396,255),RIGHT('Disaggregation Records'!$D$83:$D$153,255),0))="","",INDEX('Disaggregation Records'!$E$83:$E$153,MATCH(RIGHT(L396,255),RIGHT('Disaggregation Records'!$D$83:$D$153,255),0))),"")</f>
        <v/>
      </c>
      <c r="N396" s="126" t="str">
        <f t="array" aca="1" ref="N396" ca="1">IFERROR(IF(INDEX('Disaggregation Records'!$F$83:$F$153,MATCH(RIGHT(L396,255),RIGHT('Disaggregation Records'!$D$83:$D$153,255),0))="","",INDEX('Disaggregation Records'!$F$83:$F$153,MATCH(RIGHT(L396,255),RIGHT('Disaggregation Records'!$D$83:$D$153,255),0))),"")</f>
        <v/>
      </c>
      <c r="O396" s="314" t="str">
        <f t="array" aca="1" ref="O396" ca="1">IFERROR(IF(INDEX('Disaggregation Records'!$H$83:$H$153,MATCH(RIGHT(L396,255),RIGHT('Disaggregation Records'!$D$83:$D$153,255),0))="","",INDEX('Disaggregation Records'!$H$83:$H$153,MATCH(RIGHT(L396,255),RIGHT('Disaggregation Records'!$D$83:$D$153,255),0))),"")</f>
        <v/>
      </c>
      <c r="P396" s="314"/>
      <c r="Q396" s="310">
        <f t="shared" ref="Q396" si="565">Q394+1</f>
        <v>1044</v>
      </c>
      <c r="R396" s="314" t="str" cm="1">
        <f t="array" aca="1" ref="R396" ca="1">IFERROR(IF(INDEX('Disaggregation Records'!$G$83:$G$153,MATCH(RIGHT(L396,255),RIGHT('Disaggregation Records'!$D$83:$D$153,255),0))="","",INDEX('Disaggregation Records'!$G$83:$G$153,MATCH(RIGHT(L396,255),RIGHT('Disaggregation Records'!$D$83:$D$153,255),0))),"")</f>
        <v/>
      </c>
    </row>
    <row r="397" spans="1:18" ht="20.100000000000001" customHeight="1">
      <c r="A397" s="126"/>
      <c r="B397" s="571"/>
      <c r="C397" s="573"/>
      <c r="D397" s="575"/>
      <c r="E397" s="575"/>
      <c r="F397" s="128"/>
      <c r="G397" s="577"/>
      <c r="H397" s="540"/>
      <c r="I397" s="579"/>
      <c r="J397" s="533"/>
      <c r="K397" s="126"/>
      <c r="L397" s="126"/>
      <c r="M397" s="126"/>
      <c r="N397" s="126"/>
      <c r="O397" s="314"/>
      <c r="P397" s="314"/>
      <c r="Q397" s="310"/>
      <c r="R397" s="314" t="str" cm="1">
        <f t="array" ref="R397">IFERROR(IF(INDEX('Disaggregation Records'!$G$83:$G$153,MATCH(RIGHT(L397,255),RIGHT('Disaggregation Records'!$D$83:$D$153,255),0))="","",INDEX('Disaggregation Records'!$G$83:$G$153,MATCH(RIGHT(L397,255),RIGHT('Disaggregation Records'!$D$83:$D$153,255),0))),"")</f>
        <v/>
      </c>
    </row>
    <row r="398" spans="1:18" ht="20.100000000000001" customHeight="1">
      <c r="A398" s="126" t="str">
        <f t="shared" ref="A398" ca="1" si="566">INDIRECT("'update Helper'!C"&amp;Q398)</f>
        <v>a1VDm000000PgASMA0</v>
      </c>
      <c r="B398" s="570">
        <v>5</v>
      </c>
      <c r="C398" s="572" t="str">
        <f ca="1">IFERROR(VLOOKUP(B398,'Outcome Indicators - Section C '!$A$9:$AC$70,29,FALSE),"")</f>
        <v>HIV O-4a Percentage of men reporting using a condom the last time they had anal sex with a male partner</v>
      </c>
      <c r="D398" s="574" t="str">
        <f ca="1">M398</f>
        <v/>
      </c>
      <c r="E398" s="574" t="str">
        <f ca="1">N398</f>
        <v/>
      </c>
      <c r="F398" s="127"/>
      <c r="G398" s="576" t="str">
        <f ca="1">IF(OR(INDIRECT("'update Helper'!E"&amp;Q398)="",F398&lt;&gt;0,F399&lt;&gt;0),IF(IFERROR((F398/F399),"")="","",(F398/F399)),INDIRECT("'update Helper'!E"&amp;Q398)/100)</f>
        <v/>
      </c>
      <c r="H398" s="539"/>
      <c r="I398" s="578"/>
      <c r="J398" s="532"/>
      <c r="K398" s="126">
        <f ca="1">IF(AND(EXACT(C398,C396),C396&lt;&gt;0),K396+1,0)</f>
        <v>1</v>
      </c>
      <c r="L398" s="126" t="str">
        <f ca="1">IF(C398&lt;&gt;"",C398&amp;"-"&amp;K398,"")</f>
        <v>HIV O-4a Percentage of men reporting using a condom the last time they had anal sex with a male partner-1</v>
      </c>
      <c r="M398" s="126" t="str">
        <f t="array" aca="1" ref="M398" ca="1">IFERROR(IF(INDEX('Disaggregation Records'!$E$83:$E$153,MATCH(RIGHT(L398,255),RIGHT('Disaggregation Records'!$D$83:$D$153,255),0))="","",INDEX('Disaggregation Records'!$E$83:$E$153,MATCH(RIGHT(L398,255),RIGHT('Disaggregation Records'!$D$83:$D$153,255),0))),"")</f>
        <v/>
      </c>
      <c r="N398" s="126" t="str">
        <f t="array" aca="1" ref="N398" ca="1">IFERROR(IF(INDEX('Disaggregation Records'!$F$83:$F$153,MATCH(RIGHT(L398,255),RIGHT('Disaggregation Records'!$D$83:$D$153,255),0))="","",INDEX('Disaggregation Records'!$F$83:$F$153,MATCH(RIGHT(L398,255),RIGHT('Disaggregation Records'!$D$83:$D$153,255),0))),"")</f>
        <v/>
      </c>
      <c r="O398" s="314" t="str">
        <f t="array" aca="1" ref="O398" ca="1">IFERROR(IF(INDEX('Disaggregation Records'!$H$83:$H$153,MATCH(RIGHT(L398,255),RIGHT('Disaggregation Records'!$D$83:$D$153,255),0))="","",INDEX('Disaggregation Records'!$H$83:$H$153,MATCH(RIGHT(L398,255),RIGHT('Disaggregation Records'!$D$83:$D$153,255),0))),"")</f>
        <v/>
      </c>
      <c r="P398" s="314"/>
      <c r="Q398" s="310">
        <f t="shared" ref="Q398" si="567">Q396+1</f>
        <v>1045</v>
      </c>
      <c r="R398" s="314" t="str" cm="1">
        <f t="array" aca="1" ref="R398" ca="1">IFERROR(IF(INDEX('Disaggregation Records'!$G$83:$G$153,MATCH(RIGHT(L398,255),RIGHT('Disaggregation Records'!$D$83:$D$153,255),0))="","",INDEX('Disaggregation Records'!$G$83:$G$153,MATCH(RIGHT(L398,255),RIGHT('Disaggregation Records'!$D$83:$D$153,255),0))),"")</f>
        <v/>
      </c>
    </row>
    <row r="399" spans="1:18" ht="20.100000000000001" customHeight="1">
      <c r="B399" s="571"/>
      <c r="C399" s="573"/>
      <c r="D399" s="575"/>
      <c r="E399" s="575"/>
      <c r="F399" s="128"/>
      <c r="G399" s="577"/>
      <c r="H399" s="540"/>
      <c r="I399" s="579"/>
      <c r="J399" s="533"/>
      <c r="K399" s="126"/>
      <c r="L399" s="126"/>
      <c r="M399" s="126"/>
      <c r="N399" s="126"/>
      <c r="O399" s="314"/>
      <c r="P399" s="314"/>
      <c r="Q399" s="310"/>
      <c r="R399" s="314" t="str" cm="1">
        <f t="array" ref="R399">IFERROR(IF(INDEX('Disaggregation Records'!$G$83:$G$153,MATCH(RIGHT(L399,255),RIGHT('Disaggregation Records'!$D$83:$D$153,255),0))="","",INDEX('Disaggregation Records'!$G$83:$G$153,MATCH(RIGHT(L399,255),RIGHT('Disaggregation Records'!$D$83:$D$153,255),0))),"")</f>
        <v/>
      </c>
    </row>
    <row r="400" spans="1:18" ht="20.100000000000001" customHeight="1">
      <c r="A400" s="126" t="str">
        <f t="shared" ref="A400" ca="1" si="568">INDIRECT("'update Helper'!C"&amp;Q400)</f>
        <v>a1VDm000000PgATMA0</v>
      </c>
      <c r="B400" s="570">
        <v>5</v>
      </c>
      <c r="C400" s="572" t="str">
        <f ca="1">IFERROR(VLOOKUP(B400,'Outcome Indicators - Section C '!$A$9:$AC$70,29,FALSE),"")</f>
        <v>HIV O-4a Percentage of men reporting using a condom the last time they had anal sex with a male partner</v>
      </c>
      <c r="D400" s="574" t="str">
        <f ca="1">M400</f>
        <v/>
      </c>
      <c r="E400" s="574" t="str">
        <f ca="1">N400</f>
        <v/>
      </c>
      <c r="F400" s="127"/>
      <c r="G400" s="576" t="str">
        <f ca="1">IF(OR(INDIRECT("'update Helper'!E"&amp;Q400)="",F400&lt;&gt;0,F401&lt;&gt;0),IF(IFERROR((F400/F401),"")="","",(F400/F401)),INDIRECT("'update Helper'!E"&amp;Q400)/100)</f>
        <v/>
      </c>
      <c r="H400" s="539"/>
      <c r="I400" s="578"/>
      <c r="J400" s="532"/>
      <c r="K400" s="126">
        <f ca="1">IF(AND(EXACT(C400,C398),C398&lt;&gt;0),K398+1,0)</f>
        <v>2</v>
      </c>
      <c r="L400" s="126" t="str">
        <f ca="1">IF(C400&lt;&gt;"",C400&amp;"-"&amp;K400,"")</f>
        <v>HIV O-4a Percentage of men reporting using a condom the last time they had anal sex with a male partner-2</v>
      </c>
      <c r="M400" s="126" t="str">
        <f t="array" aca="1" ref="M400" ca="1">IFERROR(IF(INDEX('Disaggregation Records'!$E$83:$E$153,MATCH(RIGHT(L400,255),RIGHT('Disaggregation Records'!$D$83:$D$153,255),0))="","",INDEX('Disaggregation Records'!$E$83:$E$153,MATCH(RIGHT(L400,255),RIGHT('Disaggregation Records'!$D$83:$D$153,255),0))),"")</f>
        <v/>
      </c>
      <c r="N400" s="126" t="str">
        <f t="array" aca="1" ref="N400" ca="1">IFERROR(IF(INDEX('Disaggregation Records'!$F$83:$F$153,MATCH(RIGHT(L400,255),RIGHT('Disaggregation Records'!$D$83:$D$153,255),0))="","",INDEX('Disaggregation Records'!$F$83:$F$153,MATCH(RIGHT(L400,255),RIGHT('Disaggregation Records'!$D$83:$D$153,255),0))),"")</f>
        <v/>
      </c>
      <c r="O400" s="314" t="str">
        <f t="array" aca="1" ref="O400" ca="1">IFERROR(IF(INDEX('Disaggregation Records'!$H$83:$H$153,MATCH(RIGHT(L400,255),RIGHT('Disaggregation Records'!$D$83:$D$153,255),0))="","",INDEX('Disaggregation Records'!$H$83:$H$153,MATCH(RIGHT(L400,255),RIGHT('Disaggregation Records'!$D$83:$D$153,255),0))),"")</f>
        <v/>
      </c>
      <c r="P400" s="314"/>
      <c r="Q400" s="310">
        <f t="shared" ref="Q400" si="569">Q398+1</f>
        <v>1046</v>
      </c>
      <c r="R400" s="314" t="str" cm="1">
        <f t="array" aca="1" ref="R400" ca="1">IFERROR(IF(INDEX('Disaggregation Records'!$G$83:$G$153,MATCH(RIGHT(L400,255),RIGHT('Disaggregation Records'!$D$83:$D$153,255),0))="","",INDEX('Disaggregation Records'!$G$83:$G$153,MATCH(RIGHT(L400,255),RIGHT('Disaggregation Records'!$D$83:$D$153,255),0))),"")</f>
        <v/>
      </c>
    </row>
    <row r="401" spans="1:18" ht="20.100000000000001" customHeight="1">
      <c r="A401" s="126"/>
      <c r="B401" s="571"/>
      <c r="C401" s="573"/>
      <c r="D401" s="575"/>
      <c r="E401" s="575"/>
      <c r="F401" s="128"/>
      <c r="G401" s="577"/>
      <c r="H401" s="540"/>
      <c r="I401" s="579"/>
      <c r="J401" s="533"/>
      <c r="K401" s="126"/>
      <c r="L401" s="126"/>
      <c r="M401" s="126"/>
      <c r="N401" s="126"/>
      <c r="O401" s="314"/>
      <c r="P401" s="314"/>
      <c r="Q401" s="310"/>
      <c r="R401" s="314" t="str" cm="1">
        <f t="array" ref="R401">IFERROR(IF(INDEX('Disaggregation Records'!$G$83:$G$153,MATCH(RIGHT(L401,255),RIGHT('Disaggregation Records'!$D$83:$D$153,255),0))="","",INDEX('Disaggregation Records'!$G$83:$G$153,MATCH(RIGHT(L401,255),RIGHT('Disaggregation Records'!$D$83:$D$153,255),0))),"")</f>
        <v/>
      </c>
    </row>
    <row r="402" spans="1:18" ht="20.100000000000001" customHeight="1">
      <c r="A402" s="126" t="str">
        <f t="shared" ref="A402" ca="1" si="570">INDIRECT("'update Helper'!C"&amp;Q402)</f>
        <v>a1VDm000000PgAUMA0</v>
      </c>
      <c r="B402" s="570">
        <v>5</v>
      </c>
      <c r="C402" s="572" t="str">
        <f ca="1">IFERROR(VLOOKUP(B402,'Outcome Indicators - Section C '!$A$9:$AC$70,29,FALSE),"")</f>
        <v>HIV O-4a Percentage of men reporting using a condom the last time they had anal sex with a male partner</v>
      </c>
      <c r="D402" s="574" t="str">
        <f ca="1">M402</f>
        <v/>
      </c>
      <c r="E402" s="574" t="str">
        <f ca="1">N402</f>
        <v/>
      </c>
      <c r="F402" s="127"/>
      <c r="G402" s="576" t="str">
        <f ca="1">IF(OR(INDIRECT("'update Helper'!E"&amp;Q402)="",F402&lt;&gt;0,F403&lt;&gt;0),IF(IFERROR((F402/F403),"")="","",(F402/F403)),INDIRECT("'update Helper'!E"&amp;Q402)/100)</f>
        <v/>
      </c>
      <c r="H402" s="539"/>
      <c r="I402" s="578"/>
      <c r="J402" s="532"/>
      <c r="K402" s="126">
        <f ca="1">IF(AND(EXACT(C402,C400),C400&lt;&gt;0),K400+1,0)</f>
        <v>3</v>
      </c>
      <c r="L402" s="126" t="str">
        <f ca="1">IF(C402&lt;&gt;"",C402&amp;"-"&amp;K402,"")</f>
        <v>HIV O-4a Percentage of men reporting using a condom the last time they had anal sex with a male partner-3</v>
      </c>
      <c r="M402" s="126" t="str">
        <f t="array" aca="1" ref="M402" ca="1">IFERROR(IF(INDEX('Disaggregation Records'!$E$83:$E$153,MATCH(RIGHT(L402,255),RIGHT('Disaggregation Records'!$D$83:$D$153,255),0))="","",INDEX('Disaggregation Records'!$E$83:$E$153,MATCH(RIGHT(L402,255),RIGHT('Disaggregation Records'!$D$83:$D$153,255),0))),"")</f>
        <v/>
      </c>
      <c r="N402" s="126" t="str">
        <f t="array" aca="1" ref="N402" ca="1">IFERROR(IF(INDEX('Disaggregation Records'!$F$83:$F$153,MATCH(RIGHT(L402,255),RIGHT('Disaggregation Records'!$D$83:$D$153,255),0))="","",INDEX('Disaggregation Records'!$F$83:$F$153,MATCH(RIGHT(L402,255),RIGHT('Disaggregation Records'!$D$83:$D$153,255),0))),"")</f>
        <v/>
      </c>
      <c r="O402" s="314" t="str">
        <f t="array" aca="1" ref="O402" ca="1">IFERROR(IF(INDEX('Disaggregation Records'!$H$83:$H$153,MATCH(RIGHT(L402,255),RIGHT('Disaggregation Records'!$D$83:$D$153,255),0))="","",INDEX('Disaggregation Records'!$H$83:$H$153,MATCH(RIGHT(L402,255),RIGHT('Disaggregation Records'!$D$83:$D$153,255),0))),"")</f>
        <v/>
      </c>
      <c r="P402" s="314"/>
      <c r="Q402" s="310">
        <f t="shared" ref="Q402" si="571">Q400+1</f>
        <v>1047</v>
      </c>
      <c r="R402" s="314" t="str" cm="1">
        <f t="array" aca="1" ref="R402" ca="1">IFERROR(IF(INDEX('Disaggregation Records'!$G$83:$G$153,MATCH(RIGHT(L402,255),RIGHT('Disaggregation Records'!$D$83:$D$153,255),0))="","",INDEX('Disaggregation Records'!$G$83:$G$153,MATCH(RIGHT(L402,255),RIGHT('Disaggregation Records'!$D$83:$D$153,255),0))),"")</f>
        <v/>
      </c>
    </row>
    <row r="403" spans="1:18" ht="20.100000000000001" customHeight="1">
      <c r="B403" s="571"/>
      <c r="C403" s="573"/>
      <c r="D403" s="575"/>
      <c r="E403" s="575"/>
      <c r="F403" s="128"/>
      <c r="G403" s="577"/>
      <c r="H403" s="540"/>
      <c r="I403" s="579"/>
      <c r="J403" s="533"/>
      <c r="K403" s="126"/>
      <c r="L403" s="126"/>
      <c r="M403" s="126"/>
      <c r="N403" s="126"/>
      <c r="O403" s="314"/>
      <c r="P403" s="314"/>
      <c r="Q403" s="310"/>
      <c r="R403" s="314" t="str" cm="1">
        <f t="array" ref="R403">IFERROR(IF(INDEX('Disaggregation Records'!$G$83:$G$153,MATCH(RIGHT(L403,255),RIGHT('Disaggregation Records'!$D$83:$D$153,255),0))="","",INDEX('Disaggregation Records'!$G$83:$G$153,MATCH(RIGHT(L403,255),RIGHT('Disaggregation Records'!$D$83:$D$153,255),0))),"")</f>
        <v/>
      </c>
    </row>
    <row r="404" spans="1:18" ht="20.100000000000001" customHeight="1">
      <c r="A404" s="126" t="str">
        <f t="shared" ref="A404" ca="1" si="572">INDIRECT("'update Helper'!C"&amp;Q404)</f>
        <v>a1VDm000000PgAVMA0</v>
      </c>
      <c r="B404" s="570">
        <v>5</v>
      </c>
      <c r="C404" s="572" t="str">
        <f ca="1">IFERROR(VLOOKUP(B404,'Outcome Indicators - Section C '!$A$9:$AC$70,29,FALSE),"")</f>
        <v>HIV O-4a Percentage of men reporting using a condom the last time they had anal sex with a male partner</v>
      </c>
      <c r="D404" s="574" t="str">
        <f ca="1">M404</f>
        <v/>
      </c>
      <c r="E404" s="574" t="str">
        <f ca="1">N404</f>
        <v/>
      </c>
      <c r="F404" s="127"/>
      <c r="G404" s="576" t="str">
        <f ca="1">IF(OR(INDIRECT("'update Helper'!E"&amp;Q404)="",F404&lt;&gt;0,F405&lt;&gt;0),IF(IFERROR((F404/F405),"")="","",(F404/F405)),INDIRECT("'update Helper'!E"&amp;Q404)/100)</f>
        <v/>
      </c>
      <c r="H404" s="539"/>
      <c r="I404" s="578"/>
      <c r="J404" s="532"/>
      <c r="K404" s="126">
        <f ca="1">IF(AND(EXACT(C404,C402),C402&lt;&gt;0),K402+1,0)</f>
        <v>4</v>
      </c>
      <c r="L404" s="126" t="str">
        <f ca="1">IF(C404&lt;&gt;"",C404&amp;"-"&amp;K404,"")</f>
        <v>HIV O-4a Percentage of men reporting using a condom the last time they had anal sex with a male partner-4</v>
      </c>
      <c r="M404" s="126" t="str">
        <f t="array" aca="1" ref="M404" ca="1">IFERROR(IF(INDEX('Disaggregation Records'!$E$83:$E$153,MATCH(RIGHT(L404,255),RIGHT('Disaggregation Records'!$D$83:$D$153,255),0))="","",INDEX('Disaggregation Records'!$E$83:$E$153,MATCH(RIGHT(L404,255),RIGHT('Disaggregation Records'!$D$83:$D$153,255),0))),"")</f>
        <v/>
      </c>
      <c r="N404" s="126" t="str">
        <f t="array" aca="1" ref="N404" ca="1">IFERROR(IF(INDEX('Disaggregation Records'!$F$83:$F$153,MATCH(RIGHT(L404,255),RIGHT('Disaggregation Records'!$D$83:$D$153,255),0))="","",INDEX('Disaggregation Records'!$F$83:$F$153,MATCH(RIGHT(L404,255),RIGHT('Disaggregation Records'!$D$83:$D$153,255),0))),"")</f>
        <v/>
      </c>
      <c r="O404" s="314" t="str">
        <f t="array" aca="1" ref="O404" ca="1">IFERROR(IF(INDEX('Disaggregation Records'!$H$83:$H$153,MATCH(RIGHT(L404,255),RIGHT('Disaggregation Records'!$D$83:$D$153,255),0))="","",INDEX('Disaggregation Records'!$H$83:$H$153,MATCH(RIGHT(L404,255),RIGHT('Disaggregation Records'!$D$83:$D$153,255),0))),"")</f>
        <v/>
      </c>
      <c r="P404" s="314"/>
      <c r="Q404" s="310">
        <f t="shared" ref="Q404" si="573">Q402+1</f>
        <v>1048</v>
      </c>
      <c r="R404" s="314" t="str" cm="1">
        <f t="array" aca="1" ref="R404" ca="1">IFERROR(IF(INDEX('Disaggregation Records'!$G$83:$G$153,MATCH(RIGHT(L404,255),RIGHT('Disaggregation Records'!$D$83:$D$153,255),0))="","",INDEX('Disaggregation Records'!$G$83:$G$153,MATCH(RIGHT(L404,255),RIGHT('Disaggregation Records'!$D$83:$D$153,255),0))),"")</f>
        <v/>
      </c>
    </row>
    <row r="405" spans="1:18" ht="20.100000000000001" customHeight="1">
      <c r="A405" s="126"/>
      <c r="B405" s="571"/>
      <c r="C405" s="573"/>
      <c r="D405" s="575"/>
      <c r="E405" s="575"/>
      <c r="F405" s="128"/>
      <c r="G405" s="577"/>
      <c r="H405" s="540"/>
      <c r="I405" s="579"/>
      <c r="J405" s="533"/>
      <c r="K405" s="126"/>
      <c r="L405" s="126"/>
      <c r="M405" s="126"/>
      <c r="N405" s="126"/>
      <c r="O405" s="314"/>
      <c r="P405" s="314"/>
      <c r="Q405" s="310"/>
      <c r="R405" s="314" t="str" cm="1">
        <f t="array" ref="R405">IFERROR(IF(INDEX('Disaggregation Records'!$G$83:$G$153,MATCH(RIGHT(L405,255),RIGHT('Disaggregation Records'!$D$83:$D$153,255),0))="","",INDEX('Disaggregation Records'!$G$83:$G$153,MATCH(RIGHT(L405,255),RIGHT('Disaggregation Records'!$D$83:$D$153,255),0))),"")</f>
        <v/>
      </c>
    </row>
    <row r="406" spans="1:18" ht="20.100000000000001" customHeight="1">
      <c r="A406" s="126" t="str">
        <f t="shared" ref="A406" ca="1" si="574">INDIRECT("'update Helper'!C"&amp;Q406)</f>
        <v>a1VDm000000PgAWMA0</v>
      </c>
      <c r="B406" s="570">
        <v>5</v>
      </c>
      <c r="C406" s="572" t="str">
        <f ca="1">IFERROR(VLOOKUP(B406,'Outcome Indicators - Section C '!$A$9:$AC$70,29,FALSE),"")</f>
        <v>HIV O-4a Percentage of men reporting using a condom the last time they had anal sex with a male partner</v>
      </c>
      <c r="D406" s="574" t="str">
        <f ca="1">M406</f>
        <v/>
      </c>
      <c r="E406" s="574" t="str">
        <f ca="1">N406</f>
        <v/>
      </c>
      <c r="F406" s="127"/>
      <c r="G406" s="576" t="str">
        <f ca="1">IF(OR(INDIRECT("'update Helper'!E"&amp;Q406)="",F406&lt;&gt;0,F407&lt;&gt;0),IF(IFERROR((F406/F407),"")="","",(F406/F407)),INDIRECT("'update Helper'!E"&amp;Q406)/100)</f>
        <v/>
      </c>
      <c r="H406" s="539"/>
      <c r="I406" s="578"/>
      <c r="J406" s="532"/>
      <c r="K406" s="126">
        <f ca="1">IF(AND(EXACT(C406,C404),C404&lt;&gt;0),K404+1,0)</f>
        <v>5</v>
      </c>
      <c r="L406" s="126" t="str">
        <f ca="1">IF(C406&lt;&gt;"",C406&amp;"-"&amp;K406,"")</f>
        <v>HIV O-4a Percentage of men reporting using a condom the last time they had anal sex with a male partner-5</v>
      </c>
      <c r="M406" s="126" t="str">
        <f t="array" aca="1" ref="M406" ca="1">IFERROR(IF(INDEX('Disaggregation Records'!$E$83:$E$153,MATCH(RIGHT(L406,255),RIGHT('Disaggregation Records'!$D$83:$D$153,255),0))="","",INDEX('Disaggregation Records'!$E$83:$E$153,MATCH(RIGHT(L406,255),RIGHT('Disaggregation Records'!$D$83:$D$153,255),0))),"")</f>
        <v/>
      </c>
      <c r="N406" s="126" t="str">
        <f t="array" aca="1" ref="N406" ca="1">IFERROR(IF(INDEX('Disaggregation Records'!$F$83:$F$153,MATCH(RIGHT(L406,255),RIGHT('Disaggregation Records'!$D$83:$D$153,255),0))="","",INDEX('Disaggregation Records'!$F$83:$F$153,MATCH(RIGHT(L406,255),RIGHT('Disaggregation Records'!$D$83:$D$153,255),0))),"")</f>
        <v/>
      </c>
      <c r="O406" s="314" t="str">
        <f t="array" aca="1" ref="O406" ca="1">IFERROR(IF(INDEX('Disaggregation Records'!$H$83:$H$153,MATCH(RIGHT(L406,255),RIGHT('Disaggregation Records'!$D$83:$D$153,255),0))="","",INDEX('Disaggregation Records'!$H$83:$H$153,MATCH(RIGHT(L406,255),RIGHT('Disaggregation Records'!$D$83:$D$153,255),0))),"")</f>
        <v/>
      </c>
      <c r="P406" s="314"/>
      <c r="Q406" s="310">
        <f t="shared" ref="Q406" si="575">Q404+1</f>
        <v>1049</v>
      </c>
      <c r="R406" s="314" t="str" cm="1">
        <f t="array" aca="1" ref="R406" ca="1">IFERROR(IF(INDEX('Disaggregation Records'!$G$83:$G$153,MATCH(RIGHT(L406,255),RIGHT('Disaggregation Records'!$D$83:$D$153,255),0))="","",INDEX('Disaggregation Records'!$G$83:$G$153,MATCH(RIGHT(L406,255),RIGHT('Disaggregation Records'!$D$83:$D$153,255),0))),"")</f>
        <v/>
      </c>
    </row>
    <row r="407" spans="1:18" ht="20.100000000000001" customHeight="1">
      <c r="B407" s="571"/>
      <c r="C407" s="573"/>
      <c r="D407" s="575"/>
      <c r="E407" s="575"/>
      <c r="F407" s="128"/>
      <c r="G407" s="577"/>
      <c r="H407" s="540"/>
      <c r="I407" s="579"/>
      <c r="J407" s="533"/>
      <c r="K407" s="126"/>
      <c r="L407" s="126"/>
      <c r="M407" s="126"/>
      <c r="N407" s="126"/>
      <c r="O407" s="314"/>
      <c r="P407" s="314"/>
      <c r="Q407" s="310"/>
      <c r="R407" s="314" t="str" cm="1">
        <f t="array" ref="R407">IFERROR(IF(INDEX('Disaggregation Records'!$G$83:$G$153,MATCH(RIGHT(L407,255),RIGHT('Disaggregation Records'!$D$83:$D$153,255),0))="","",INDEX('Disaggregation Records'!$G$83:$G$153,MATCH(RIGHT(L407,255),RIGHT('Disaggregation Records'!$D$83:$D$153,255),0))),"")</f>
        <v/>
      </c>
    </row>
    <row r="408" spans="1:18" ht="20.100000000000001" customHeight="1">
      <c r="A408" s="126" t="str">
        <f t="shared" ref="A408" ca="1" si="576">INDIRECT("'update Helper'!C"&amp;Q408)</f>
        <v>a1VDm000000PgAXMA0</v>
      </c>
      <c r="B408" s="570">
        <v>5</v>
      </c>
      <c r="C408" s="572" t="str">
        <f ca="1">IFERROR(VLOOKUP(B408,'Outcome Indicators - Section C '!$A$9:$AC$70,29,FALSE),"")</f>
        <v>HIV O-4a Percentage of men reporting using a condom the last time they had anal sex with a male partner</v>
      </c>
      <c r="D408" s="574" t="str">
        <f ca="1">M408</f>
        <v/>
      </c>
      <c r="E408" s="574" t="str">
        <f ca="1">N408</f>
        <v/>
      </c>
      <c r="F408" s="127"/>
      <c r="G408" s="576" t="str">
        <f ca="1">IF(OR(INDIRECT("'update Helper'!E"&amp;Q408)="",F408&lt;&gt;0,F409&lt;&gt;0),IF(IFERROR((F408/F409),"")="","",(F408/F409)),INDIRECT("'update Helper'!E"&amp;Q408)/100)</f>
        <v/>
      </c>
      <c r="H408" s="539"/>
      <c r="I408" s="578"/>
      <c r="J408" s="532"/>
      <c r="K408" s="126">
        <f ca="1">IF(AND(EXACT(C408,C406),C406&lt;&gt;0),K406+1,0)</f>
        <v>6</v>
      </c>
      <c r="L408" s="126" t="str">
        <f ca="1">IF(C408&lt;&gt;"",C408&amp;"-"&amp;K408,"")</f>
        <v>HIV O-4a Percentage of men reporting using a condom the last time they had anal sex with a male partner-6</v>
      </c>
      <c r="M408" s="126" t="str">
        <f t="array" aca="1" ref="M408" ca="1">IFERROR(IF(INDEX('Disaggregation Records'!$E$83:$E$153,MATCH(RIGHT(L408,255),RIGHT('Disaggregation Records'!$D$83:$D$153,255),0))="","",INDEX('Disaggregation Records'!$E$83:$E$153,MATCH(RIGHT(L408,255),RIGHT('Disaggregation Records'!$D$83:$D$153,255),0))),"")</f>
        <v/>
      </c>
      <c r="N408" s="126" t="str">
        <f t="array" aca="1" ref="N408" ca="1">IFERROR(IF(INDEX('Disaggregation Records'!$F$83:$F$153,MATCH(RIGHT(L408,255),RIGHT('Disaggregation Records'!$D$83:$D$153,255),0))="","",INDEX('Disaggregation Records'!$F$83:$F$153,MATCH(RIGHT(L408,255),RIGHT('Disaggregation Records'!$D$83:$D$153,255),0))),"")</f>
        <v/>
      </c>
      <c r="O408" s="314" t="str">
        <f t="array" aca="1" ref="O408" ca="1">IFERROR(IF(INDEX('Disaggregation Records'!$H$83:$H$153,MATCH(RIGHT(L408,255),RIGHT('Disaggregation Records'!$D$83:$D$153,255),0))="","",INDEX('Disaggregation Records'!$H$83:$H$153,MATCH(RIGHT(L408,255),RIGHT('Disaggregation Records'!$D$83:$D$153,255),0))),"")</f>
        <v/>
      </c>
      <c r="P408" s="314"/>
      <c r="Q408" s="310">
        <f t="shared" ref="Q408" si="577">Q406+1</f>
        <v>1050</v>
      </c>
      <c r="R408" s="314" t="str" cm="1">
        <f t="array" aca="1" ref="R408" ca="1">IFERROR(IF(INDEX('Disaggregation Records'!$G$83:$G$153,MATCH(RIGHT(L408,255),RIGHT('Disaggregation Records'!$D$83:$D$153,255),0))="","",INDEX('Disaggregation Records'!$G$83:$G$153,MATCH(RIGHT(L408,255),RIGHT('Disaggregation Records'!$D$83:$D$153,255),0))),"")</f>
        <v/>
      </c>
    </row>
    <row r="409" spans="1:18" ht="20.100000000000001" customHeight="1">
      <c r="A409" s="126"/>
      <c r="B409" s="571"/>
      <c r="C409" s="573"/>
      <c r="D409" s="575"/>
      <c r="E409" s="575"/>
      <c r="F409" s="128"/>
      <c r="G409" s="577"/>
      <c r="H409" s="540"/>
      <c r="I409" s="579"/>
      <c r="J409" s="533"/>
      <c r="K409" s="126"/>
      <c r="L409" s="126"/>
      <c r="M409" s="126"/>
      <c r="N409" s="126"/>
      <c r="O409" s="314"/>
      <c r="P409" s="314"/>
      <c r="Q409" s="310"/>
      <c r="R409" s="314" t="str" cm="1">
        <f t="array" ref="R409">IFERROR(IF(INDEX('Disaggregation Records'!$G$83:$G$153,MATCH(RIGHT(L409,255),RIGHT('Disaggregation Records'!$D$83:$D$153,255),0))="","",INDEX('Disaggregation Records'!$G$83:$G$153,MATCH(RIGHT(L409,255),RIGHT('Disaggregation Records'!$D$83:$D$153,255),0))),"")</f>
        <v/>
      </c>
    </row>
    <row r="410" spans="1:18" ht="20.100000000000001" customHeight="1">
      <c r="A410" s="126" t="str">
        <f t="shared" ref="A410" ca="1" si="578">INDIRECT("'update Helper'!C"&amp;Q410)</f>
        <v>a1VDm000000PgAYMA0</v>
      </c>
      <c r="B410" s="570">
        <v>5</v>
      </c>
      <c r="C410" s="572" t="str">
        <f ca="1">IFERROR(VLOOKUP(B410,'Outcome Indicators - Section C '!$A$9:$AC$70,29,FALSE),"")</f>
        <v>HIV O-4a Percentage of men reporting using a condom the last time they had anal sex with a male partner</v>
      </c>
      <c r="D410" s="574" t="str">
        <f ca="1">M410</f>
        <v/>
      </c>
      <c r="E410" s="574" t="str">
        <f ca="1">N410</f>
        <v/>
      </c>
      <c r="F410" s="127"/>
      <c r="G410" s="576" t="str">
        <f ca="1">IF(OR(INDIRECT("'update Helper'!E"&amp;Q410)="",F410&lt;&gt;0,F411&lt;&gt;0),IF(IFERROR((F410/F411),"")="","",(F410/F411)),INDIRECT("'update Helper'!E"&amp;Q410)/100)</f>
        <v/>
      </c>
      <c r="H410" s="539"/>
      <c r="I410" s="578"/>
      <c r="J410" s="532"/>
      <c r="K410" s="126">
        <f ca="1">IF(AND(EXACT(C410,C408),C408&lt;&gt;0),K408+1,0)</f>
        <v>7</v>
      </c>
      <c r="L410" s="126" t="str">
        <f ca="1">IF(C410&lt;&gt;"",C410&amp;"-"&amp;K410,"")</f>
        <v>HIV O-4a Percentage of men reporting using a condom the last time they had anal sex with a male partner-7</v>
      </c>
      <c r="M410" s="126" t="str">
        <f t="array" aca="1" ref="M410" ca="1">IFERROR(IF(INDEX('Disaggregation Records'!$E$83:$E$153,MATCH(RIGHT(L410,255),RIGHT('Disaggregation Records'!$D$83:$D$153,255),0))="","",INDEX('Disaggregation Records'!$E$83:$E$153,MATCH(RIGHT(L410,255),RIGHT('Disaggregation Records'!$D$83:$D$153,255),0))),"")</f>
        <v/>
      </c>
      <c r="N410" s="126" t="str">
        <f t="array" aca="1" ref="N410" ca="1">IFERROR(IF(INDEX('Disaggregation Records'!$F$83:$F$153,MATCH(RIGHT(L410,255),RIGHT('Disaggregation Records'!$D$83:$D$153,255),0))="","",INDEX('Disaggregation Records'!$F$83:$F$153,MATCH(RIGHT(L410,255),RIGHT('Disaggregation Records'!$D$83:$D$153,255),0))),"")</f>
        <v/>
      </c>
      <c r="O410" s="314" t="str">
        <f t="array" aca="1" ref="O410" ca="1">IFERROR(IF(INDEX('Disaggregation Records'!$H$83:$H$153,MATCH(RIGHT(L410,255),RIGHT('Disaggregation Records'!$D$83:$D$153,255),0))="","",INDEX('Disaggregation Records'!$H$83:$H$153,MATCH(RIGHT(L410,255),RIGHT('Disaggregation Records'!$D$83:$D$153,255),0))),"")</f>
        <v/>
      </c>
      <c r="P410" s="314"/>
      <c r="Q410" s="310">
        <f t="shared" ref="Q410" si="579">Q408+1</f>
        <v>1051</v>
      </c>
      <c r="R410" s="314" t="str" cm="1">
        <f t="array" aca="1" ref="R410" ca="1">IFERROR(IF(INDEX('Disaggregation Records'!$G$83:$G$153,MATCH(RIGHT(L410,255),RIGHT('Disaggregation Records'!$D$83:$D$153,255),0))="","",INDEX('Disaggregation Records'!$G$83:$G$153,MATCH(RIGHT(L410,255),RIGHT('Disaggregation Records'!$D$83:$D$153,255),0))),"")</f>
        <v/>
      </c>
    </row>
    <row r="411" spans="1:18" ht="20.100000000000001" customHeight="1">
      <c r="B411" s="571"/>
      <c r="C411" s="573"/>
      <c r="D411" s="575"/>
      <c r="E411" s="575"/>
      <c r="F411" s="128"/>
      <c r="G411" s="577"/>
      <c r="H411" s="540"/>
      <c r="I411" s="579"/>
      <c r="J411" s="533"/>
      <c r="K411" s="126"/>
      <c r="L411" s="126"/>
      <c r="M411" s="126"/>
      <c r="N411" s="126"/>
      <c r="O411" s="314"/>
      <c r="P411" s="314"/>
      <c r="Q411" s="310"/>
      <c r="R411" s="314" t="str" cm="1">
        <f t="array" ref="R411">IFERROR(IF(INDEX('Disaggregation Records'!$G$83:$G$153,MATCH(RIGHT(L411,255),RIGHT('Disaggregation Records'!$D$83:$D$153,255),0))="","",INDEX('Disaggregation Records'!$G$83:$G$153,MATCH(RIGHT(L411,255),RIGHT('Disaggregation Records'!$D$83:$D$153,255),0))),"")</f>
        <v/>
      </c>
    </row>
    <row r="412" spans="1:18" ht="20.100000000000001" customHeight="1">
      <c r="A412" s="126" t="str">
        <f t="shared" ref="A412" ca="1" si="580">INDIRECT("'update Helper'!C"&amp;Q412)</f>
        <v>a1VDm000000PgAZMA0</v>
      </c>
      <c r="B412" s="570">
        <v>5</v>
      </c>
      <c r="C412" s="572" t="str">
        <f ca="1">IFERROR(VLOOKUP(B412,'Outcome Indicators - Section C '!$A$9:$AC$70,29,FALSE),"")</f>
        <v>HIV O-4a Percentage of men reporting using a condom the last time they had anal sex with a male partner</v>
      </c>
      <c r="D412" s="574" t="str">
        <f ca="1">M412</f>
        <v/>
      </c>
      <c r="E412" s="574" t="str">
        <f ca="1">N412</f>
        <v/>
      </c>
      <c r="F412" s="127"/>
      <c r="G412" s="576" t="str">
        <f ca="1">IF(OR(INDIRECT("'update Helper'!E"&amp;Q412)="",F412&lt;&gt;0,F413&lt;&gt;0),IF(IFERROR((F412/F413),"")="","",(F412/F413)),INDIRECT("'update Helper'!E"&amp;Q412)/100)</f>
        <v/>
      </c>
      <c r="H412" s="539"/>
      <c r="I412" s="578"/>
      <c r="J412" s="532"/>
      <c r="K412" s="126">
        <f ca="1">IF(AND(EXACT(C412,C410),C410&lt;&gt;0),K410+1,0)</f>
        <v>8</v>
      </c>
      <c r="L412" s="126" t="str">
        <f ca="1">IF(C412&lt;&gt;"",C412&amp;"-"&amp;K412,"")</f>
        <v>HIV O-4a Percentage of men reporting using a condom the last time they had anal sex with a male partner-8</v>
      </c>
      <c r="M412" s="126" t="str">
        <f t="array" aca="1" ref="M412" ca="1">IFERROR(IF(INDEX('Disaggregation Records'!$E$83:$E$153,MATCH(RIGHT(L412,255),RIGHT('Disaggregation Records'!$D$83:$D$153,255),0))="","",INDEX('Disaggregation Records'!$E$83:$E$153,MATCH(RIGHT(L412,255),RIGHT('Disaggregation Records'!$D$83:$D$153,255),0))),"")</f>
        <v/>
      </c>
      <c r="N412" s="126" t="str">
        <f t="array" aca="1" ref="N412" ca="1">IFERROR(IF(INDEX('Disaggregation Records'!$F$83:$F$153,MATCH(RIGHT(L412,255),RIGHT('Disaggregation Records'!$D$83:$D$153,255),0))="","",INDEX('Disaggregation Records'!$F$83:$F$153,MATCH(RIGHT(L412,255),RIGHT('Disaggregation Records'!$D$83:$D$153,255),0))),"")</f>
        <v/>
      </c>
      <c r="O412" s="314" t="str">
        <f t="array" aca="1" ref="O412" ca="1">IFERROR(IF(INDEX('Disaggregation Records'!$H$83:$H$153,MATCH(RIGHT(L412,255),RIGHT('Disaggregation Records'!$D$83:$D$153,255),0))="","",INDEX('Disaggregation Records'!$H$83:$H$153,MATCH(RIGHT(L412,255),RIGHT('Disaggregation Records'!$D$83:$D$153,255),0))),"")</f>
        <v/>
      </c>
      <c r="P412" s="314"/>
      <c r="Q412" s="310">
        <f t="shared" ref="Q412" si="581">Q410+1</f>
        <v>1052</v>
      </c>
      <c r="R412" s="314" t="str" cm="1">
        <f t="array" aca="1" ref="R412" ca="1">IFERROR(IF(INDEX('Disaggregation Records'!$G$83:$G$153,MATCH(RIGHT(L412,255),RIGHT('Disaggregation Records'!$D$83:$D$153,255),0))="","",INDEX('Disaggregation Records'!$G$83:$G$153,MATCH(RIGHT(L412,255),RIGHT('Disaggregation Records'!$D$83:$D$153,255),0))),"")</f>
        <v/>
      </c>
    </row>
    <row r="413" spans="1:18" ht="20.100000000000001" customHeight="1">
      <c r="A413" s="126"/>
      <c r="B413" s="571"/>
      <c r="C413" s="573"/>
      <c r="D413" s="575"/>
      <c r="E413" s="575"/>
      <c r="F413" s="128"/>
      <c r="G413" s="577"/>
      <c r="H413" s="540"/>
      <c r="I413" s="579"/>
      <c r="J413" s="533"/>
      <c r="K413" s="126"/>
      <c r="L413" s="126"/>
      <c r="M413" s="126"/>
      <c r="N413" s="126"/>
      <c r="O413" s="314"/>
      <c r="P413" s="314"/>
      <c r="Q413" s="310"/>
      <c r="R413" s="314" t="str" cm="1">
        <f t="array" ref="R413">IFERROR(IF(INDEX('Disaggregation Records'!$G$83:$G$153,MATCH(RIGHT(L413,255),RIGHT('Disaggregation Records'!$D$83:$D$153,255),0))="","",INDEX('Disaggregation Records'!$G$83:$G$153,MATCH(RIGHT(L413,255),RIGHT('Disaggregation Records'!$D$83:$D$153,255),0))),"")</f>
        <v/>
      </c>
    </row>
    <row r="414" spans="1:18" ht="20.100000000000001" customHeight="1">
      <c r="A414" s="126" t="str">
        <f t="shared" ref="A414" ca="1" si="582">INDIRECT("'update Helper'!C"&amp;Q414)</f>
        <v>a1VDm000000PgAaMAK</v>
      </c>
      <c r="B414" s="570">
        <v>5</v>
      </c>
      <c r="C414" s="572" t="str">
        <f ca="1">IFERROR(VLOOKUP(B414,'Outcome Indicators - Section C '!$A$9:$AC$70,29,FALSE),"")</f>
        <v>HIV O-4a Percentage of men reporting using a condom the last time they had anal sex with a male partner</v>
      </c>
      <c r="D414" s="574" t="str">
        <f ca="1">M414</f>
        <v/>
      </c>
      <c r="E414" s="574" t="str">
        <f ca="1">N414</f>
        <v/>
      </c>
      <c r="F414" s="127"/>
      <c r="G414" s="576" t="str">
        <f ca="1">IF(OR(INDIRECT("'update Helper'!E"&amp;Q414)="",F414&lt;&gt;0,F415&lt;&gt;0),IF(IFERROR((F414/F415),"")="","",(F414/F415)),INDIRECT("'update Helper'!E"&amp;Q414)/100)</f>
        <v/>
      </c>
      <c r="H414" s="539"/>
      <c r="I414" s="578"/>
      <c r="J414" s="532"/>
      <c r="K414" s="126">
        <f ca="1">IF(AND(EXACT(C414,C412),C412&lt;&gt;0),K412+1,0)</f>
        <v>9</v>
      </c>
      <c r="L414" s="126" t="str">
        <f ca="1">IF(C414&lt;&gt;"",C414&amp;"-"&amp;K414,"")</f>
        <v>HIV O-4a Percentage of men reporting using a condom the last time they had anal sex with a male partner-9</v>
      </c>
      <c r="M414" s="126" t="str">
        <f t="array" aca="1" ref="M414" ca="1">IFERROR(IF(INDEX('Disaggregation Records'!$E$83:$E$153,MATCH(RIGHT(L414,255),RIGHT('Disaggregation Records'!$D$83:$D$153,255),0))="","",INDEX('Disaggregation Records'!$E$83:$E$153,MATCH(RIGHT(L414,255),RIGHT('Disaggregation Records'!$D$83:$D$153,255),0))),"")</f>
        <v/>
      </c>
      <c r="N414" s="126" t="str">
        <f t="array" aca="1" ref="N414" ca="1">IFERROR(IF(INDEX('Disaggregation Records'!$F$83:$F$153,MATCH(RIGHT(L414,255),RIGHT('Disaggregation Records'!$D$83:$D$153,255),0))="","",INDEX('Disaggregation Records'!$F$83:$F$153,MATCH(RIGHT(L414,255),RIGHT('Disaggregation Records'!$D$83:$D$153,255),0))),"")</f>
        <v/>
      </c>
      <c r="O414" s="314" t="str">
        <f t="array" aca="1" ref="O414" ca="1">IFERROR(IF(INDEX('Disaggregation Records'!$H$83:$H$153,MATCH(RIGHT(L414,255),RIGHT('Disaggregation Records'!$D$83:$D$153,255),0))="","",INDEX('Disaggregation Records'!$H$83:$H$153,MATCH(RIGHT(L414,255),RIGHT('Disaggregation Records'!$D$83:$D$153,255),0))),"")</f>
        <v/>
      </c>
      <c r="P414" s="314"/>
      <c r="Q414" s="310">
        <f t="shared" ref="Q414" si="583">Q412+1</f>
        <v>1053</v>
      </c>
      <c r="R414" s="314" t="str" cm="1">
        <f t="array" aca="1" ref="R414" ca="1">IFERROR(IF(INDEX('Disaggregation Records'!$G$83:$G$153,MATCH(RIGHT(L414,255),RIGHT('Disaggregation Records'!$D$83:$D$153,255),0))="","",INDEX('Disaggregation Records'!$G$83:$G$153,MATCH(RIGHT(L414,255),RIGHT('Disaggregation Records'!$D$83:$D$153,255),0))),"")</f>
        <v/>
      </c>
    </row>
    <row r="415" spans="1:18" ht="20.100000000000001" customHeight="1">
      <c r="B415" s="571"/>
      <c r="C415" s="573"/>
      <c r="D415" s="575"/>
      <c r="E415" s="575"/>
      <c r="F415" s="128"/>
      <c r="G415" s="577"/>
      <c r="H415" s="540"/>
      <c r="I415" s="579"/>
      <c r="J415" s="533"/>
      <c r="K415" s="126"/>
      <c r="L415" s="126"/>
      <c r="M415" s="126"/>
      <c r="N415" s="126"/>
      <c r="O415" s="314"/>
      <c r="P415" s="314"/>
      <c r="Q415" s="310"/>
      <c r="R415" s="314" t="str" cm="1">
        <f t="array" ref="R415">IFERROR(IF(INDEX('Disaggregation Records'!$G$83:$G$153,MATCH(RIGHT(L415,255),RIGHT('Disaggregation Records'!$D$83:$D$153,255),0))="","",INDEX('Disaggregation Records'!$G$83:$G$153,MATCH(RIGHT(L415,255),RIGHT('Disaggregation Records'!$D$83:$D$153,255),0))),"")</f>
        <v/>
      </c>
    </row>
    <row r="416" spans="1:18" ht="20.100000000000001" customHeight="1">
      <c r="A416" s="126" t="str">
        <f t="shared" ref="A416" ca="1" si="584">INDIRECT("'update Helper'!C"&amp;Q416)</f>
        <v>a1VDm000000PgAbMAK</v>
      </c>
      <c r="B416" s="570">
        <v>6</v>
      </c>
      <c r="C416" s="572" t="str">
        <f ca="1">IFERROR(VLOOKUP(B416,'Outcome Indicators - Section C '!$A$9:$AC$70,29,FALSE),"")</f>
        <v>HIV O-4.1b Percentage of transgender people reporting using a condom during their most recent sexual intercourse or anal sex</v>
      </c>
      <c r="D416" s="574" t="str">
        <f ca="1">M416</f>
        <v/>
      </c>
      <c r="E416" s="574" t="str">
        <f ca="1">N416</f>
        <v/>
      </c>
      <c r="F416" s="127"/>
      <c r="G416" s="576" t="str">
        <f ca="1">IF(OR(INDIRECT("'update Helper'!E"&amp;Q416)="",F416&lt;&gt;0,F417&lt;&gt;0),IF(IFERROR((F416/F417),"")="","",(F416/F417)),INDIRECT("'update Helper'!E"&amp;Q416)/100)</f>
        <v/>
      </c>
      <c r="H416" s="539"/>
      <c r="I416" s="578"/>
      <c r="J416" s="532"/>
      <c r="K416" s="126">
        <f ca="1">IF(AND(EXACT(C416,C414),C414&lt;&gt;0),K414+1,0)</f>
        <v>0</v>
      </c>
      <c r="L416" s="126" t="str">
        <f ca="1">IF(C416&lt;&gt;"",C416&amp;"-"&amp;K416,"")</f>
        <v>HIV O-4.1b Percentage of transgender people reporting using a condom during their most recent sexual intercourse or anal sex-0</v>
      </c>
      <c r="M416" s="126" t="str">
        <f t="array" aca="1" ref="M416" ca="1">IFERROR(IF(INDEX('Disaggregation Records'!$E$83:$E$153,MATCH(RIGHT(L416,255),RIGHT('Disaggregation Records'!$D$83:$D$153,255),0))="","",INDEX('Disaggregation Records'!$E$83:$E$153,MATCH(RIGHT(L416,255),RIGHT('Disaggregation Records'!$D$83:$D$153,255),0))),"")</f>
        <v/>
      </c>
      <c r="N416" s="126" t="str">
        <f t="array" aca="1" ref="N416" ca="1">IFERROR(IF(INDEX('Disaggregation Records'!$F$83:$F$153,MATCH(RIGHT(L416,255),RIGHT('Disaggregation Records'!$D$83:$D$153,255),0))="","",INDEX('Disaggregation Records'!$F$83:$F$153,MATCH(RIGHT(L416,255),RIGHT('Disaggregation Records'!$D$83:$D$153,255),0))),"")</f>
        <v/>
      </c>
      <c r="O416" s="314" t="str">
        <f t="array" aca="1" ref="O416" ca="1">IFERROR(IF(INDEX('Disaggregation Records'!$H$83:$H$153,MATCH(RIGHT(L416,255),RIGHT('Disaggregation Records'!$D$83:$D$153,255),0))="","",INDEX('Disaggregation Records'!$H$83:$H$153,MATCH(RIGHT(L416,255),RIGHT('Disaggregation Records'!$D$83:$D$153,255),0))),"")</f>
        <v/>
      </c>
      <c r="P416" s="314"/>
      <c r="Q416" s="310">
        <f t="shared" ref="Q416" si="585">Q414+1</f>
        <v>1054</v>
      </c>
      <c r="R416" s="314" t="str" cm="1">
        <f t="array" aca="1" ref="R416" ca="1">IFERROR(IF(INDEX('Disaggregation Records'!$G$83:$G$153,MATCH(RIGHT(L416,255),RIGHT('Disaggregation Records'!$D$83:$D$153,255),0))="","",INDEX('Disaggregation Records'!$G$83:$G$153,MATCH(RIGHT(L416,255),RIGHT('Disaggregation Records'!$D$83:$D$153,255),0))),"")</f>
        <v/>
      </c>
    </row>
    <row r="417" spans="1:18" ht="20.100000000000001" customHeight="1">
      <c r="A417" s="126"/>
      <c r="B417" s="571"/>
      <c r="C417" s="573"/>
      <c r="D417" s="575"/>
      <c r="E417" s="575"/>
      <c r="F417" s="128"/>
      <c r="G417" s="577"/>
      <c r="H417" s="540"/>
      <c r="I417" s="579"/>
      <c r="J417" s="533"/>
      <c r="K417" s="126"/>
      <c r="L417" s="126"/>
      <c r="M417" s="126"/>
      <c r="N417" s="126"/>
      <c r="O417" s="314"/>
      <c r="P417" s="314"/>
      <c r="Q417" s="310"/>
      <c r="R417" s="314" t="str" cm="1">
        <f t="array" ref="R417">IFERROR(IF(INDEX('Disaggregation Records'!$G$83:$G$153,MATCH(RIGHT(L417,255),RIGHT('Disaggregation Records'!$D$83:$D$153,255),0))="","",INDEX('Disaggregation Records'!$G$83:$G$153,MATCH(RIGHT(L417,255),RIGHT('Disaggregation Records'!$D$83:$D$153,255),0))),"")</f>
        <v/>
      </c>
    </row>
    <row r="418" spans="1:18" ht="20.100000000000001" customHeight="1">
      <c r="A418" s="126" t="str">
        <f t="shared" ref="A418" ca="1" si="586">INDIRECT("'update Helper'!C"&amp;Q418)</f>
        <v>a1VDm000000PgAcMAK</v>
      </c>
      <c r="B418" s="570">
        <v>6</v>
      </c>
      <c r="C418" s="572" t="str">
        <f ca="1">IFERROR(VLOOKUP(B418,'Outcome Indicators - Section C '!$A$9:$AC$70,29,FALSE),"")</f>
        <v>HIV O-4.1b Percentage of transgender people reporting using a condom during their most recent sexual intercourse or anal sex</v>
      </c>
      <c r="D418" s="574" t="str">
        <f ca="1">M418</f>
        <v/>
      </c>
      <c r="E418" s="574" t="str">
        <f ca="1">N418</f>
        <v/>
      </c>
      <c r="F418" s="127"/>
      <c r="G418" s="576" t="str">
        <f ca="1">IF(OR(INDIRECT("'update Helper'!E"&amp;Q418)="",F418&lt;&gt;0,F419&lt;&gt;0),IF(IFERROR((F418/F419),"")="","",(F418/F419)),INDIRECT("'update Helper'!E"&amp;Q418)/100)</f>
        <v/>
      </c>
      <c r="H418" s="539"/>
      <c r="I418" s="578"/>
      <c r="J418" s="532"/>
      <c r="K418" s="126">
        <f ca="1">IF(AND(EXACT(C418,C416),C416&lt;&gt;0),K416+1,0)</f>
        <v>1</v>
      </c>
      <c r="L418" s="126" t="str">
        <f ca="1">IF(C418&lt;&gt;"",C418&amp;"-"&amp;K418,"")</f>
        <v>HIV O-4.1b Percentage of transgender people reporting using a condom during their most recent sexual intercourse or anal sex-1</v>
      </c>
      <c r="M418" s="126" t="str">
        <f t="array" aca="1" ref="M418" ca="1">IFERROR(IF(INDEX('Disaggregation Records'!$E$83:$E$153,MATCH(RIGHT(L418,255),RIGHT('Disaggregation Records'!$D$83:$D$153,255),0))="","",INDEX('Disaggregation Records'!$E$83:$E$153,MATCH(RIGHT(L418,255),RIGHT('Disaggregation Records'!$D$83:$D$153,255),0))),"")</f>
        <v/>
      </c>
      <c r="N418" s="126" t="str">
        <f t="array" aca="1" ref="N418" ca="1">IFERROR(IF(INDEX('Disaggregation Records'!$F$83:$F$153,MATCH(RIGHT(L418,255),RIGHT('Disaggregation Records'!$D$83:$D$153,255),0))="","",INDEX('Disaggregation Records'!$F$83:$F$153,MATCH(RIGHT(L418,255),RIGHT('Disaggregation Records'!$D$83:$D$153,255),0))),"")</f>
        <v/>
      </c>
      <c r="O418" s="314" t="str">
        <f t="array" aca="1" ref="O418" ca="1">IFERROR(IF(INDEX('Disaggregation Records'!$H$83:$H$153,MATCH(RIGHT(L418,255),RIGHT('Disaggregation Records'!$D$83:$D$153,255),0))="","",INDEX('Disaggregation Records'!$H$83:$H$153,MATCH(RIGHT(L418,255),RIGHT('Disaggregation Records'!$D$83:$D$153,255),0))),"")</f>
        <v/>
      </c>
      <c r="P418" s="314"/>
      <c r="Q418" s="310">
        <f t="shared" ref="Q418" si="587">Q416+1</f>
        <v>1055</v>
      </c>
      <c r="R418" s="314" t="str" cm="1">
        <f t="array" aca="1" ref="R418" ca="1">IFERROR(IF(INDEX('Disaggregation Records'!$G$83:$G$153,MATCH(RIGHT(L418,255),RIGHT('Disaggregation Records'!$D$83:$D$153,255),0))="","",INDEX('Disaggregation Records'!$G$83:$G$153,MATCH(RIGHT(L418,255),RIGHT('Disaggregation Records'!$D$83:$D$153,255),0))),"")</f>
        <v/>
      </c>
    </row>
    <row r="419" spans="1:18" ht="20.100000000000001" customHeight="1">
      <c r="B419" s="571"/>
      <c r="C419" s="573"/>
      <c r="D419" s="575"/>
      <c r="E419" s="575"/>
      <c r="F419" s="128"/>
      <c r="G419" s="577"/>
      <c r="H419" s="540"/>
      <c r="I419" s="579"/>
      <c r="J419" s="533"/>
      <c r="K419" s="126"/>
      <c r="L419" s="126"/>
      <c r="M419" s="126"/>
      <c r="N419" s="126"/>
      <c r="O419" s="314"/>
      <c r="P419" s="314"/>
      <c r="Q419" s="310"/>
      <c r="R419" s="314" t="str" cm="1">
        <f t="array" ref="R419">IFERROR(IF(INDEX('Disaggregation Records'!$G$83:$G$153,MATCH(RIGHT(L419,255),RIGHT('Disaggregation Records'!$D$83:$D$153,255),0))="","",INDEX('Disaggregation Records'!$G$83:$G$153,MATCH(RIGHT(L419,255),RIGHT('Disaggregation Records'!$D$83:$D$153,255),0))),"")</f>
        <v/>
      </c>
    </row>
    <row r="420" spans="1:18" ht="20.100000000000001" customHeight="1">
      <c r="A420" s="126" t="str">
        <f t="shared" ref="A420" ca="1" si="588">INDIRECT("'update Helper'!C"&amp;Q420)</f>
        <v>a1VDm000000PgAdMAK</v>
      </c>
      <c r="B420" s="570">
        <v>6</v>
      </c>
      <c r="C420" s="572" t="str">
        <f ca="1">IFERROR(VLOOKUP(B420,'Outcome Indicators - Section C '!$A$9:$AC$70,29,FALSE),"")</f>
        <v>HIV O-4.1b Percentage of transgender people reporting using a condom during their most recent sexual intercourse or anal sex</v>
      </c>
      <c r="D420" s="574" t="str">
        <f ca="1">M420</f>
        <v/>
      </c>
      <c r="E420" s="574" t="str">
        <f ca="1">N420</f>
        <v/>
      </c>
      <c r="F420" s="127"/>
      <c r="G420" s="576" t="str">
        <f ca="1">IF(OR(INDIRECT("'update Helper'!E"&amp;Q420)="",F420&lt;&gt;0,F421&lt;&gt;0),IF(IFERROR((F420/F421),"")="","",(F420/F421)),INDIRECT("'update Helper'!E"&amp;Q420)/100)</f>
        <v/>
      </c>
      <c r="H420" s="539"/>
      <c r="I420" s="578"/>
      <c r="J420" s="532"/>
      <c r="K420" s="126">
        <f ca="1">IF(AND(EXACT(C420,C418),C418&lt;&gt;0),K418+1,0)</f>
        <v>2</v>
      </c>
      <c r="L420" s="126" t="str">
        <f ca="1">IF(C420&lt;&gt;"",C420&amp;"-"&amp;K420,"")</f>
        <v>HIV O-4.1b Percentage of transgender people reporting using a condom during their most recent sexual intercourse or anal sex-2</v>
      </c>
      <c r="M420" s="126" t="str">
        <f t="array" aca="1" ref="M420" ca="1">IFERROR(IF(INDEX('Disaggregation Records'!$E$83:$E$153,MATCH(RIGHT(L420,255),RIGHT('Disaggregation Records'!$D$83:$D$153,255),0))="","",INDEX('Disaggregation Records'!$E$83:$E$153,MATCH(RIGHT(L420,255),RIGHT('Disaggregation Records'!$D$83:$D$153,255),0))),"")</f>
        <v/>
      </c>
      <c r="N420" s="126" t="str">
        <f t="array" aca="1" ref="N420" ca="1">IFERROR(IF(INDEX('Disaggregation Records'!$F$83:$F$153,MATCH(RIGHT(L420,255),RIGHT('Disaggregation Records'!$D$83:$D$153,255),0))="","",INDEX('Disaggregation Records'!$F$83:$F$153,MATCH(RIGHT(L420,255),RIGHT('Disaggregation Records'!$D$83:$D$153,255),0))),"")</f>
        <v/>
      </c>
      <c r="O420" s="314" t="str">
        <f t="array" aca="1" ref="O420" ca="1">IFERROR(IF(INDEX('Disaggregation Records'!$H$83:$H$153,MATCH(RIGHT(L420,255),RIGHT('Disaggregation Records'!$D$83:$D$153,255),0))="","",INDEX('Disaggregation Records'!$H$83:$H$153,MATCH(RIGHT(L420,255),RIGHT('Disaggregation Records'!$D$83:$D$153,255),0))),"")</f>
        <v/>
      </c>
      <c r="P420" s="314"/>
      <c r="Q420" s="310">
        <f t="shared" ref="Q420" si="589">Q418+1</f>
        <v>1056</v>
      </c>
      <c r="R420" s="314" t="str" cm="1">
        <f t="array" aca="1" ref="R420" ca="1">IFERROR(IF(INDEX('Disaggregation Records'!$G$83:$G$153,MATCH(RIGHT(L420,255),RIGHT('Disaggregation Records'!$D$83:$D$153,255),0))="","",INDEX('Disaggregation Records'!$G$83:$G$153,MATCH(RIGHT(L420,255),RIGHT('Disaggregation Records'!$D$83:$D$153,255),0))),"")</f>
        <v/>
      </c>
    </row>
    <row r="421" spans="1:18" ht="20.100000000000001" customHeight="1">
      <c r="A421" s="126"/>
      <c r="B421" s="571"/>
      <c r="C421" s="573"/>
      <c r="D421" s="575"/>
      <c r="E421" s="575"/>
      <c r="F421" s="128"/>
      <c r="G421" s="577"/>
      <c r="H421" s="540"/>
      <c r="I421" s="579"/>
      <c r="J421" s="533"/>
      <c r="K421" s="126"/>
      <c r="L421" s="126"/>
      <c r="M421" s="126"/>
      <c r="N421" s="126"/>
      <c r="O421" s="314"/>
      <c r="P421" s="314"/>
      <c r="Q421" s="310"/>
      <c r="R421" s="314" t="str" cm="1">
        <f t="array" ref="R421">IFERROR(IF(INDEX('Disaggregation Records'!$G$83:$G$153,MATCH(RIGHT(L421,255),RIGHT('Disaggregation Records'!$D$83:$D$153,255),0))="","",INDEX('Disaggregation Records'!$G$83:$G$153,MATCH(RIGHT(L421,255),RIGHT('Disaggregation Records'!$D$83:$D$153,255),0))),"")</f>
        <v/>
      </c>
    </row>
    <row r="422" spans="1:18" ht="20.100000000000001" customHeight="1">
      <c r="A422" s="126" t="str">
        <f t="shared" ref="A422" ca="1" si="590">INDIRECT("'update Helper'!C"&amp;Q422)</f>
        <v>a1VDm000000PgAeMAK</v>
      </c>
      <c r="B422" s="570">
        <v>6</v>
      </c>
      <c r="C422" s="572" t="str">
        <f ca="1">IFERROR(VLOOKUP(B422,'Outcome Indicators - Section C '!$A$9:$AC$70,29,FALSE),"")</f>
        <v>HIV O-4.1b Percentage of transgender people reporting using a condom during their most recent sexual intercourse or anal sex</v>
      </c>
      <c r="D422" s="574" t="str">
        <f ca="1">M422</f>
        <v/>
      </c>
      <c r="E422" s="574" t="str">
        <f ca="1">N422</f>
        <v/>
      </c>
      <c r="F422" s="127"/>
      <c r="G422" s="576" t="str">
        <f ca="1">IF(OR(INDIRECT("'update Helper'!E"&amp;Q422)="",F422&lt;&gt;0,F423&lt;&gt;0),IF(IFERROR((F422/F423),"")="","",(F422/F423)),INDIRECT("'update Helper'!E"&amp;Q422)/100)</f>
        <v/>
      </c>
      <c r="H422" s="539"/>
      <c r="I422" s="578"/>
      <c r="J422" s="532"/>
      <c r="K422" s="126">
        <f ca="1">IF(AND(EXACT(C422,C420),C420&lt;&gt;0),K420+1,0)</f>
        <v>3</v>
      </c>
      <c r="L422" s="126" t="str">
        <f ca="1">IF(C422&lt;&gt;"",C422&amp;"-"&amp;K422,"")</f>
        <v>HIV O-4.1b Percentage of transgender people reporting using a condom during their most recent sexual intercourse or anal sex-3</v>
      </c>
      <c r="M422" s="126" t="str">
        <f t="array" aca="1" ref="M422" ca="1">IFERROR(IF(INDEX('Disaggregation Records'!$E$83:$E$153,MATCH(RIGHT(L422,255),RIGHT('Disaggregation Records'!$D$83:$D$153,255),0))="","",INDEX('Disaggregation Records'!$E$83:$E$153,MATCH(RIGHT(L422,255),RIGHT('Disaggregation Records'!$D$83:$D$153,255),0))),"")</f>
        <v/>
      </c>
      <c r="N422" s="126" t="str">
        <f t="array" aca="1" ref="N422" ca="1">IFERROR(IF(INDEX('Disaggregation Records'!$F$83:$F$153,MATCH(RIGHT(L422,255),RIGHT('Disaggregation Records'!$D$83:$D$153,255),0))="","",INDEX('Disaggregation Records'!$F$83:$F$153,MATCH(RIGHT(L422,255),RIGHT('Disaggregation Records'!$D$83:$D$153,255),0))),"")</f>
        <v/>
      </c>
      <c r="O422" s="314" t="str">
        <f t="array" aca="1" ref="O422" ca="1">IFERROR(IF(INDEX('Disaggregation Records'!$H$83:$H$153,MATCH(RIGHT(L422,255),RIGHT('Disaggregation Records'!$D$83:$D$153,255),0))="","",INDEX('Disaggregation Records'!$H$83:$H$153,MATCH(RIGHT(L422,255),RIGHT('Disaggregation Records'!$D$83:$D$153,255),0))),"")</f>
        <v/>
      </c>
      <c r="P422" s="314"/>
      <c r="Q422" s="310">
        <f t="shared" ref="Q422" si="591">Q420+1</f>
        <v>1057</v>
      </c>
      <c r="R422" s="314" t="str" cm="1">
        <f t="array" aca="1" ref="R422" ca="1">IFERROR(IF(INDEX('Disaggregation Records'!$G$83:$G$153,MATCH(RIGHT(L422,255),RIGHT('Disaggregation Records'!$D$83:$D$153,255),0))="","",INDEX('Disaggregation Records'!$G$83:$G$153,MATCH(RIGHT(L422,255),RIGHT('Disaggregation Records'!$D$83:$D$153,255),0))),"")</f>
        <v/>
      </c>
    </row>
    <row r="423" spans="1:18" ht="20.100000000000001" customHeight="1">
      <c r="B423" s="571"/>
      <c r="C423" s="573"/>
      <c r="D423" s="575"/>
      <c r="E423" s="575"/>
      <c r="F423" s="128"/>
      <c r="G423" s="577"/>
      <c r="H423" s="540"/>
      <c r="I423" s="579"/>
      <c r="J423" s="533"/>
      <c r="K423" s="126"/>
      <c r="L423" s="126"/>
      <c r="M423" s="126"/>
      <c r="N423" s="126"/>
      <c r="O423" s="314"/>
      <c r="P423" s="314"/>
      <c r="Q423" s="310"/>
      <c r="R423" s="314" t="str" cm="1">
        <f t="array" ref="R423">IFERROR(IF(INDEX('Disaggregation Records'!$G$83:$G$153,MATCH(RIGHT(L423,255),RIGHT('Disaggregation Records'!$D$83:$D$153,255),0))="","",INDEX('Disaggregation Records'!$G$83:$G$153,MATCH(RIGHT(L423,255),RIGHT('Disaggregation Records'!$D$83:$D$153,255),0))),"")</f>
        <v/>
      </c>
    </row>
    <row r="424" spans="1:18" ht="20.100000000000001" customHeight="1">
      <c r="A424" s="126" t="str">
        <f t="shared" ref="A424" ca="1" si="592">INDIRECT("'update Helper'!C"&amp;Q424)</f>
        <v>a1VDm000000PgAfMAK</v>
      </c>
      <c r="B424" s="570">
        <v>6</v>
      </c>
      <c r="C424" s="572" t="str">
        <f ca="1">IFERROR(VLOOKUP(B424,'Outcome Indicators - Section C '!$A$9:$AC$70,29,FALSE),"")</f>
        <v>HIV O-4.1b Percentage of transgender people reporting using a condom during their most recent sexual intercourse or anal sex</v>
      </c>
      <c r="D424" s="574" t="str">
        <f ca="1">M424</f>
        <v/>
      </c>
      <c r="E424" s="574" t="str">
        <f ca="1">N424</f>
        <v/>
      </c>
      <c r="F424" s="127"/>
      <c r="G424" s="576" t="str">
        <f ca="1">IF(OR(INDIRECT("'update Helper'!E"&amp;Q424)="",F424&lt;&gt;0,F425&lt;&gt;0),IF(IFERROR((F424/F425),"")="","",(F424/F425)),INDIRECT("'update Helper'!E"&amp;Q424)/100)</f>
        <v/>
      </c>
      <c r="H424" s="539"/>
      <c r="I424" s="578"/>
      <c r="J424" s="532"/>
      <c r="K424" s="126">
        <f ca="1">IF(AND(EXACT(C424,C422),C422&lt;&gt;0),K422+1,0)</f>
        <v>4</v>
      </c>
      <c r="L424" s="126" t="str">
        <f ca="1">IF(C424&lt;&gt;"",C424&amp;"-"&amp;K424,"")</f>
        <v>HIV O-4.1b Percentage of transgender people reporting using a condom during their most recent sexual intercourse or anal sex-4</v>
      </c>
      <c r="M424" s="126" t="str">
        <f t="array" aca="1" ref="M424" ca="1">IFERROR(IF(INDEX('Disaggregation Records'!$E$83:$E$153,MATCH(RIGHT(L424,255),RIGHT('Disaggregation Records'!$D$83:$D$153,255),0))="","",INDEX('Disaggregation Records'!$E$83:$E$153,MATCH(RIGHT(L424,255),RIGHT('Disaggregation Records'!$D$83:$D$153,255),0))),"")</f>
        <v/>
      </c>
      <c r="N424" s="126" t="str">
        <f t="array" aca="1" ref="N424" ca="1">IFERROR(IF(INDEX('Disaggregation Records'!$F$83:$F$153,MATCH(RIGHT(L424,255),RIGHT('Disaggregation Records'!$D$83:$D$153,255),0))="","",INDEX('Disaggregation Records'!$F$83:$F$153,MATCH(RIGHT(L424,255),RIGHT('Disaggregation Records'!$D$83:$D$153,255),0))),"")</f>
        <v/>
      </c>
      <c r="O424" s="314" t="str">
        <f t="array" aca="1" ref="O424" ca="1">IFERROR(IF(INDEX('Disaggregation Records'!$H$83:$H$153,MATCH(RIGHT(L424,255),RIGHT('Disaggregation Records'!$D$83:$D$153,255),0))="","",INDEX('Disaggregation Records'!$H$83:$H$153,MATCH(RIGHT(L424,255),RIGHT('Disaggregation Records'!$D$83:$D$153,255),0))),"")</f>
        <v/>
      </c>
      <c r="P424" s="314"/>
      <c r="Q424" s="310">
        <f t="shared" ref="Q424" si="593">Q422+1</f>
        <v>1058</v>
      </c>
      <c r="R424" s="314" t="str" cm="1">
        <f t="array" aca="1" ref="R424" ca="1">IFERROR(IF(INDEX('Disaggregation Records'!$G$83:$G$153,MATCH(RIGHT(L424,255),RIGHT('Disaggregation Records'!$D$83:$D$153,255),0))="","",INDEX('Disaggregation Records'!$G$83:$G$153,MATCH(RIGHT(L424,255),RIGHT('Disaggregation Records'!$D$83:$D$153,255),0))),"")</f>
        <v/>
      </c>
    </row>
    <row r="425" spans="1:18" ht="20.100000000000001" customHeight="1">
      <c r="A425" s="126"/>
      <c r="B425" s="571"/>
      <c r="C425" s="573"/>
      <c r="D425" s="575"/>
      <c r="E425" s="575"/>
      <c r="F425" s="128"/>
      <c r="G425" s="577"/>
      <c r="H425" s="540"/>
      <c r="I425" s="579"/>
      <c r="J425" s="533"/>
      <c r="K425" s="126"/>
      <c r="L425" s="126"/>
      <c r="M425" s="126"/>
      <c r="N425" s="126"/>
      <c r="O425" s="314"/>
      <c r="P425" s="314"/>
      <c r="Q425" s="310"/>
      <c r="R425" s="314" t="str" cm="1">
        <f t="array" ref="R425">IFERROR(IF(INDEX('Disaggregation Records'!$G$83:$G$153,MATCH(RIGHT(L425,255),RIGHT('Disaggregation Records'!$D$83:$D$153,255),0))="","",INDEX('Disaggregation Records'!$G$83:$G$153,MATCH(RIGHT(L425,255),RIGHT('Disaggregation Records'!$D$83:$D$153,255),0))),"")</f>
        <v/>
      </c>
    </row>
    <row r="426" spans="1:18" ht="20.100000000000001" customHeight="1">
      <c r="A426" s="126" t="str">
        <f t="shared" ref="A426" ca="1" si="594">INDIRECT("'update Helper'!C"&amp;Q426)</f>
        <v>a1VDm000000PgAgMAK</v>
      </c>
      <c r="B426" s="570">
        <v>6</v>
      </c>
      <c r="C426" s="572" t="str">
        <f ca="1">IFERROR(VLOOKUP(B426,'Outcome Indicators - Section C '!$A$9:$AC$70,29,FALSE),"")</f>
        <v>HIV O-4.1b Percentage of transgender people reporting using a condom during their most recent sexual intercourse or anal sex</v>
      </c>
      <c r="D426" s="574" t="str">
        <f ca="1">M426</f>
        <v/>
      </c>
      <c r="E426" s="574" t="str">
        <f ca="1">N426</f>
        <v/>
      </c>
      <c r="F426" s="127"/>
      <c r="G426" s="576" t="str">
        <f ca="1">IF(OR(INDIRECT("'update Helper'!E"&amp;Q426)="",F426&lt;&gt;0,F427&lt;&gt;0),IF(IFERROR((F426/F427),"")="","",(F426/F427)),INDIRECT("'update Helper'!E"&amp;Q426)/100)</f>
        <v/>
      </c>
      <c r="H426" s="539"/>
      <c r="I426" s="578"/>
      <c r="J426" s="532"/>
      <c r="K426" s="126">
        <f ca="1">IF(AND(EXACT(C426,C424),C424&lt;&gt;0),K424+1,0)</f>
        <v>5</v>
      </c>
      <c r="L426" s="126" t="str">
        <f ca="1">IF(C426&lt;&gt;"",C426&amp;"-"&amp;K426,"")</f>
        <v>HIV O-4.1b Percentage of transgender people reporting using a condom during their most recent sexual intercourse or anal sex-5</v>
      </c>
      <c r="M426" s="126" t="str">
        <f t="array" aca="1" ref="M426" ca="1">IFERROR(IF(INDEX('Disaggregation Records'!$E$83:$E$153,MATCH(RIGHT(L426,255),RIGHT('Disaggregation Records'!$D$83:$D$153,255),0))="","",INDEX('Disaggregation Records'!$E$83:$E$153,MATCH(RIGHT(L426,255),RIGHT('Disaggregation Records'!$D$83:$D$153,255),0))),"")</f>
        <v/>
      </c>
      <c r="N426" s="126" t="str">
        <f t="array" aca="1" ref="N426" ca="1">IFERROR(IF(INDEX('Disaggregation Records'!$F$83:$F$153,MATCH(RIGHT(L426,255),RIGHT('Disaggregation Records'!$D$83:$D$153,255),0))="","",INDEX('Disaggregation Records'!$F$83:$F$153,MATCH(RIGHT(L426,255),RIGHT('Disaggregation Records'!$D$83:$D$153,255),0))),"")</f>
        <v/>
      </c>
      <c r="O426" s="314" t="str">
        <f t="array" aca="1" ref="O426" ca="1">IFERROR(IF(INDEX('Disaggregation Records'!$H$83:$H$153,MATCH(RIGHT(L426,255),RIGHT('Disaggregation Records'!$D$83:$D$153,255),0))="","",INDEX('Disaggregation Records'!$H$83:$H$153,MATCH(RIGHT(L426,255),RIGHT('Disaggregation Records'!$D$83:$D$153,255),0))),"")</f>
        <v/>
      </c>
      <c r="P426" s="314"/>
      <c r="Q426" s="310">
        <f t="shared" ref="Q426" si="595">Q424+1</f>
        <v>1059</v>
      </c>
      <c r="R426" s="314" t="str" cm="1">
        <f t="array" aca="1" ref="R426" ca="1">IFERROR(IF(INDEX('Disaggregation Records'!$G$83:$G$153,MATCH(RIGHT(L426,255),RIGHT('Disaggregation Records'!$D$83:$D$153,255),0))="","",INDEX('Disaggregation Records'!$G$83:$G$153,MATCH(RIGHT(L426,255),RIGHT('Disaggregation Records'!$D$83:$D$153,255),0))),"")</f>
        <v/>
      </c>
    </row>
    <row r="427" spans="1:18" ht="20.100000000000001" customHeight="1">
      <c r="B427" s="571"/>
      <c r="C427" s="573"/>
      <c r="D427" s="575"/>
      <c r="E427" s="575"/>
      <c r="F427" s="128"/>
      <c r="G427" s="577"/>
      <c r="H427" s="540"/>
      <c r="I427" s="579"/>
      <c r="J427" s="533"/>
      <c r="K427" s="126"/>
      <c r="L427" s="126"/>
      <c r="M427" s="126"/>
      <c r="N427" s="126"/>
      <c r="O427" s="314"/>
      <c r="P427" s="314"/>
      <c r="Q427" s="310"/>
      <c r="R427" s="314" t="str" cm="1">
        <f t="array" ref="R427">IFERROR(IF(INDEX('Disaggregation Records'!$G$83:$G$153,MATCH(RIGHT(L427,255),RIGHT('Disaggregation Records'!$D$83:$D$153,255),0))="","",INDEX('Disaggregation Records'!$G$83:$G$153,MATCH(RIGHT(L427,255),RIGHT('Disaggregation Records'!$D$83:$D$153,255),0))),"")</f>
        <v/>
      </c>
    </row>
    <row r="428" spans="1:18" ht="20.100000000000001" customHeight="1">
      <c r="A428" s="126" t="str">
        <f t="shared" ref="A428" ca="1" si="596">INDIRECT("'update Helper'!C"&amp;Q428)</f>
        <v>a1VDm000000PgAhMAK</v>
      </c>
      <c r="B428" s="570">
        <v>6</v>
      </c>
      <c r="C428" s="572" t="str">
        <f ca="1">IFERROR(VLOOKUP(B428,'Outcome Indicators - Section C '!$A$9:$AC$70,29,FALSE),"")</f>
        <v>HIV O-4.1b Percentage of transgender people reporting using a condom during their most recent sexual intercourse or anal sex</v>
      </c>
      <c r="D428" s="574" t="str">
        <f ca="1">M428</f>
        <v/>
      </c>
      <c r="E428" s="574" t="str">
        <f ca="1">N428</f>
        <v/>
      </c>
      <c r="F428" s="127"/>
      <c r="G428" s="576" t="str">
        <f ca="1">IF(OR(INDIRECT("'update Helper'!E"&amp;Q428)="",F428&lt;&gt;0,F429&lt;&gt;0),IF(IFERROR((F428/F429),"")="","",(F428/F429)),INDIRECT("'update Helper'!E"&amp;Q428)/100)</f>
        <v/>
      </c>
      <c r="H428" s="539"/>
      <c r="I428" s="578"/>
      <c r="J428" s="532"/>
      <c r="K428" s="126">
        <f ca="1">IF(AND(EXACT(C428,C426),C426&lt;&gt;0),K426+1,0)</f>
        <v>6</v>
      </c>
      <c r="L428" s="126" t="str">
        <f ca="1">IF(C428&lt;&gt;"",C428&amp;"-"&amp;K428,"")</f>
        <v>HIV O-4.1b Percentage of transgender people reporting using a condom during their most recent sexual intercourse or anal sex-6</v>
      </c>
      <c r="M428" s="126" t="str">
        <f t="array" aca="1" ref="M428" ca="1">IFERROR(IF(INDEX('Disaggregation Records'!$E$83:$E$153,MATCH(RIGHT(L428,255),RIGHT('Disaggregation Records'!$D$83:$D$153,255),0))="","",INDEX('Disaggregation Records'!$E$83:$E$153,MATCH(RIGHT(L428,255),RIGHT('Disaggregation Records'!$D$83:$D$153,255),0))),"")</f>
        <v/>
      </c>
      <c r="N428" s="126" t="str">
        <f t="array" aca="1" ref="N428" ca="1">IFERROR(IF(INDEX('Disaggregation Records'!$F$83:$F$153,MATCH(RIGHT(L428,255),RIGHT('Disaggregation Records'!$D$83:$D$153,255),0))="","",INDEX('Disaggregation Records'!$F$83:$F$153,MATCH(RIGHT(L428,255),RIGHT('Disaggregation Records'!$D$83:$D$153,255),0))),"")</f>
        <v/>
      </c>
      <c r="O428" s="314" t="str">
        <f t="array" aca="1" ref="O428" ca="1">IFERROR(IF(INDEX('Disaggregation Records'!$H$83:$H$153,MATCH(RIGHT(L428,255),RIGHT('Disaggregation Records'!$D$83:$D$153,255),0))="","",INDEX('Disaggregation Records'!$H$83:$H$153,MATCH(RIGHT(L428,255),RIGHT('Disaggregation Records'!$D$83:$D$153,255),0))),"")</f>
        <v/>
      </c>
      <c r="P428" s="314"/>
      <c r="Q428" s="310">
        <f t="shared" ref="Q428" si="597">Q426+1</f>
        <v>1060</v>
      </c>
      <c r="R428" s="314" t="str" cm="1">
        <f t="array" aca="1" ref="R428" ca="1">IFERROR(IF(INDEX('Disaggregation Records'!$G$83:$G$153,MATCH(RIGHT(L428,255),RIGHT('Disaggregation Records'!$D$83:$D$153,255),0))="","",INDEX('Disaggregation Records'!$G$83:$G$153,MATCH(RIGHT(L428,255),RIGHT('Disaggregation Records'!$D$83:$D$153,255),0))),"")</f>
        <v/>
      </c>
    </row>
    <row r="429" spans="1:18" ht="20.100000000000001" customHeight="1">
      <c r="A429" s="126"/>
      <c r="B429" s="571"/>
      <c r="C429" s="573"/>
      <c r="D429" s="575"/>
      <c r="E429" s="575"/>
      <c r="F429" s="128"/>
      <c r="G429" s="577"/>
      <c r="H429" s="540"/>
      <c r="I429" s="579"/>
      <c r="J429" s="533"/>
      <c r="K429" s="126"/>
      <c r="L429" s="126"/>
      <c r="M429" s="126"/>
      <c r="N429" s="126"/>
      <c r="O429" s="314"/>
      <c r="P429" s="314"/>
      <c r="Q429" s="310"/>
      <c r="R429" s="314" t="str" cm="1">
        <f t="array" ref="R429">IFERROR(IF(INDEX('Disaggregation Records'!$G$83:$G$153,MATCH(RIGHT(L429,255),RIGHT('Disaggregation Records'!$D$83:$D$153,255),0))="","",INDEX('Disaggregation Records'!$G$83:$G$153,MATCH(RIGHT(L429,255),RIGHT('Disaggregation Records'!$D$83:$D$153,255),0))),"")</f>
        <v/>
      </c>
    </row>
    <row r="430" spans="1:18" ht="20.100000000000001" customHeight="1">
      <c r="A430" s="126" t="str">
        <f t="shared" ref="A430" ca="1" si="598">INDIRECT("'update Helper'!C"&amp;Q430)</f>
        <v>a1VDm000000PgAiMAK</v>
      </c>
      <c r="B430" s="570">
        <v>6</v>
      </c>
      <c r="C430" s="572" t="str">
        <f ca="1">IFERROR(VLOOKUP(B430,'Outcome Indicators - Section C '!$A$9:$AC$70,29,FALSE),"")</f>
        <v>HIV O-4.1b Percentage of transgender people reporting using a condom during their most recent sexual intercourse or anal sex</v>
      </c>
      <c r="D430" s="574" t="str">
        <f ca="1">M430</f>
        <v/>
      </c>
      <c r="E430" s="574" t="str">
        <f ca="1">N430</f>
        <v/>
      </c>
      <c r="F430" s="127"/>
      <c r="G430" s="576" t="str">
        <f ca="1">IF(OR(INDIRECT("'update Helper'!E"&amp;Q430)="",F430&lt;&gt;0,F431&lt;&gt;0),IF(IFERROR((F430/F431),"")="","",(F430/F431)),INDIRECT("'update Helper'!E"&amp;Q430)/100)</f>
        <v/>
      </c>
      <c r="H430" s="539"/>
      <c r="I430" s="578"/>
      <c r="J430" s="532"/>
      <c r="K430" s="126">
        <f ca="1">IF(AND(EXACT(C430,C428),C428&lt;&gt;0),K428+1,0)</f>
        <v>7</v>
      </c>
      <c r="L430" s="126" t="str">
        <f ca="1">IF(C430&lt;&gt;"",C430&amp;"-"&amp;K430,"")</f>
        <v>HIV O-4.1b Percentage of transgender people reporting using a condom during their most recent sexual intercourse or anal sex-7</v>
      </c>
      <c r="M430" s="126" t="str">
        <f t="array" aca="1" ref="M430" ca="1">IFERROR(IF(INDEX('Disaggregation Records'!$E$83:$E$153,MATCH(RIGHT(L430,255),RIGHT('Disaggregation Records'!$D$83:$D$153,255),0))="","",INDEX('Disaggregation Records'!$E$83:$E$153,MATCH(RIGHT(L430,255),RIGHT('Disaggregation Records'!$D$83:$D$153,255),0))),"")</f>
        <v/>
      </c>
      <c r="N430" s="126" t="str">
        <f t="array" aca="1" ref="N430" ca="1">IFERROR(IF(INDEX('Disaggregation Records'!$F$83:$F$153,MATCH(RIGHT(L430,255),RIGHT('Disaggregation Records'!$D$83:$D$153,255),0))="","",INDEX('Disaggregation Records'!$F$83:$F$153,MATCH(RIGHT(L430,255),RIGHT('Disaggregation Records'!$D$83:$D$153,255),0))),"")</f>
        <v/>
      </c>
      <c r="O430" s="314" t="str">
        <f t="array" aca="1" ref="O430" ca="1">IFERROR(IF(INDEX('Disaggregation Records'!$H$83:$H$153,MATCH(RIGHT(L430,255),RIGHT('Disaggregation Records'!$D$83:$D$153,255),0))="","",INDEX('Disaggregation Records'!$H$83:$H$153,MATCH(RIGHT(L430,255),RIGHT('Disaggregation Records'!$D$83:$D$153,255),0))),"")</f>
        <v/>
      </c>
      <c r="P430" s="314"/>
      <c r="Q430" s="310">
        <f t="shared" ref="Q430" si="599">Q428+1</f>
        <v>1061</v>
      </c>
      <c r="R430" s="314" t="str" cm="1">
        <f t="array" aca="1" ref="R430" ca="1">IFERROR(IF(INDEX('Disaggregation Records'!$G$83:$G$153,MATCH(RIGHT(L430,255),RIGHT('Disaggregation Records'!$D$83:$D$153,255),0))="","",INDEX('Disaggregation Records'!$G$83:$G$153,MATCH(RIGHT(L430,255),RIGHT('Disaggregation Records'!$D$83:$D$153,255),0))),"")</f>
        <v/>
      </c>
    </row>
    <row r="431" spans="1:18" ht="20.100000000000001" customHeight="1">
      <c r="B431" s="571"/>
      <c r="C431" s="573"/>
      <c r="D431" s="575"/>
      <c r="E431" s="575"/>
      <c r="F431" s="128"/>
      <c r="G431" s="577"/>
      <c r="H431" s="540"/>
      <c r="I431" s="579"/>
      <c r="J431" s="533"/>
      <c r="K431" s="126"/>
      <c r="L431" s="126"/>
      <c r="M431" s="126"/>
      <c r="N431" s="126"/>
      <c r="O431" s="314"/>
      <c r="P431" s="314"/>
      <c r="Q431" s="310"/>
      <c r="R431" s="314" t="str" cm="1">
        <f t="array" ref="R431">IFERROR(IF(INDEX('Disaggregation Records'!$G$83:$G$153,MATCH(RIGHT(L431,255),RIGHT('Disaggregation Records'!$D$83:$D$153,255),0))="","",INDEX('Disaggregation Records'!$G$83:$G$153,MATCH(RIGHT(L431,255),RIGHT('Disaggregation Records'!$D$83:$D$153,255),0))),"")</f>
        <v/>
      </c>
    </row>
    <row r="432" spans="1:18" ht="20.100000000000001" customHeight="1">
      <c r="A432" s="126" t="str">
        <f t="shared" ref="A432" ca="1" si="600">INDIRECT("'update Helper'!C"&amp;Q432)</f>
        <v>a1VDm000000PgAjMAK</v>
      </c>
      <c r="B432" s="570">
        <v>6</v>
      </c>
      <c r="C432" s="572" t="str">
        <f ca="1">IFERROR(VLOOKUP(B432,'Outcome Indicators - Section C '!$A$9:$AC$70,29,FALSE),"")</f>
        <v>HIV O-4.1b Percentage of transgender people reporting using a condom during their most recent sexual intercourse or anal sex</v>
      </c>
      <c r="D432" s="574" t="str">
        <f ca="1">M432</f>
        <v/>
      </c>
      <c r="E432" s="574" t="str">
        <f ca="1">N432</f>
        <v/>
      </c>
      <c r="F432" s="127"/>
      <c r="G432" s="576" t="str">
        <f ca="1">IF(OR(INDIRECT("'update Helper'!E"&amp;Q432)="",F432&lt;&gt;0,F433&lt;&gt;0),IF(IFERROR((F432/F433),"")="","",(F432/F433)),INDIRECT("'update Helper'!E"&amp;Q432)/100)</f>
        <v/>
      </c>
      <c r="H432" s="539"/>
      <c r="I432" s="578"/>
      <c r="J432" s="532"/>
      <c r="K432" s="126">
        <f ca="1">IF(AND(EXACT(C432,C430),C430&lt;&gt;0),K430+1,0)</f>
        <v>8</v>
      </c>
      <c r="L432" s="126" t="str">
        <f ca="1">IF(C432&lt;&gt;"",C432&amp;"-"&amp;K432,"")</f>
        <v>HIV O-4.1b Percentage of transgender people reporting using a condom during their most recent sexual intercourse or anal sex-8</v>
      </c>
      <c r="M432" s="126" t="str">
        <f t="array" aca="1" ref="M432" ca="1">IFERROR(IF(INDEX('Disaggregation Records'!$E$83:$E$153,MATCH(RIGHT(L432,255),RIGHT('Disaggregation Records'!$D$83:$D$153,255),0))="","",INDEX('Disaggregation Records'!$E$83:$E$153,MATCH(RIGHT(L432,255),RIGHT('Disaggregation Records'!$D$83:$D$153,255),0))),"")</f>
        <v/>
      </c>
      <c r="N432" s="126" t="str">
        <f t="array" aca="1" ref="N432" ca="1">IFERROR(IF(INDEX('Disaggregation Records'!$F$83:$F$153,MATCH(RIGHT(L432,255),RIGHT('Disaggregation Records'!$D$83:$D$153,255),0))="","",INDEX('Disaggregation Records'!$F$83:$F$153,MATCH(RIGHT(L432,255),RIGHT('Disaggregation Records'!$D$83:$D$153,255),0))),"")</f>
        <v/>
      </c>
      <c r="O432" s="314" t="str">
        <f t="array" aca="1" ref="O432" ca="1">IFERROR(IF(INDEX('Disaggregation Records'!$H$83:$H$153,MATCH(RIGHT(L432,255),RIGHT('Disaggregation Records'!$D$83:$D$153,255),0))="","",INDEX('Disaggregation Records'!$H$83:$H$153,MATCH(RIGHT(L432,255),RIGHT('Disaggregation Records'!$D$83:$D$153,255),0))),"")</f>
        <v/>
      </c>
      <c r="P432" s="314"/>
      <c r="Q432" s="310">
        <f t="shared" ref="Q432" si="601">Q430+1</f>
        <v>1062</v>
      </c>
      <c r="R432" s="314" t="str" cm="1">
        <f t="array" aca="1" ref="R432" ca="1">IFERROR(IF(INDEX('Disaggregation Records'!$G$83:$G$153,MATCH(RIGHT(L432,255),RIGHT('Disaggregation Records'!$D$83:$D$153,255),0))="","",INDEX('Disaggregation Records'!$G$83:$G$153,MATCH(RIGHT(L432,255),RIGHT('Disaggregation Records'!$D$83:$D$153,255),0))),"")</f>
        <v/>
      </c>
    </row>
    <row r="433" spans="1:18" ht="20.100000000000001" customHeight="1">
      <c r="A433" s="126"/>
      <c r="B433" s="571"/>
      <c r="C433" s="573"/>
      <c r="D433" s="575"/>
      <c r="E433" s="575"/>
      <c r="F433" s="128"/>
      <c r="G433" s="577"/>
      <c r="H433" s="540"/>
      <c r="I433" s="579"/>
      <c r="J433" s="533"/>
      <c r="K433" s="126"/>
      <c r="L433" s="126"/>
      <c r="M433" s="126"/>
      <c r="N433" s="126"/>
      <c r="O433" s="314"/>
      <c r="P433" s="314"/>
      <c r="Q433" s="310"/>
      <c r="R433" s="314" t="str" cm="1">
        <f t="array" ref="R433">IFERROR(IF(INDEX('Disaggregation Records'!$G$83:$G$153,MATCH(RIGHT(L433,255),RIGHT('Disaggregation Records'!$D$83:$D$153,255),0))="","",INDEX('Disaggregation Records'!$G$83:$G$153,MATCH(RIGHT(L433,255),RIGHT('Disaggregation Records'!$D$83:$D$153,255),0))),"")</f>
        <v/>
      </c>
    </row>
    <row r="434" spans="1:18" ht="20.100000000000001" customHeight="1">
      <c r="A434" s="126" t="str">
        <f t="shared" ref="A434" ca="1" si="602">INDIRECT("'update Helper'!C"&amp;Q434)</f>
        <v>a1VDm000000PgAkMAK</v>
      </c>
      <c r="B434" s="570">
        <v>6</v>
      </c>
      <c r="C434" s="572" t="str">
        <f ca="1">IFERROR(VLOOKUP(B434,'Outcome Indicators - Section C '!$A$9:$AC$70,29,FALSE),"")</f>
        <v>HIV O-4.1b Percentage of transgender people reporting using a condom during their most recent sexual intercourse or anal sex</v>
      </c>
      <c r="D434" s="574" t="str">
        <f ca="1">M434</f>
        <v/>
      </c>
      <c r="E434" s="574" t="str">
        <f ca="1">N434</f>
        <v/>
      </c>
      <c r="F434" s="127"/>
      <c r="G434" s="576" t="str">
        <f ca="1">IF(OR(INDIRECT("'update Helper'!E"&amp;Q434)="",F434&lt;&gt;0,F435&lt;&gt;0),IF(IFERROR((F434/F435),"")="","",(F434/F435)),INDIRECT("'update Helper'!E"&amp;Q434)/100)</f>
        <v/>
      </c>
      <c r="H434" s="539"/>
      <c r="I434" s="578"/>
      <c r="J434" s="532"/>
      <c r="K434" s="126">
        <f ca="1">IF(AND(EXACT(C434,C432),C432&lt;&gt;0),K432+1,0)</f>
        <v>9</v>
      </c>
      <c r="L434" s="126" t="str">
        <f ca="1">IF(C434&lt;&gt;"",C434&amp;"-"&amp;K434,"")</f>
        <v>HIV O-4.1b Percentage of transgender people reporting using a condom during their most recent sexual intercourse or anal sex-9</v>
      </c>
      <c r="M434" s="126" t="str">
        <f t="array" aca="1" ref="M434" ca="1">IFERROR(IF(INDEX('Disaggregation Records'!$E$83:$E$153,MATCH(RIGHT(L434,255),RIGHT('Disaggregation Records'!$D$83:$D$153,255),0))="","",INDEX('Disaggregation Records'!$E$83:$E$153,MATCH(RIGHT(L434,255),RIGHT('Disaggregation Records'!$D$83:$D$153,255),0))),"")</f>
        <v/>
      </c>
      <c r="N434" s="126" t="str">
        <f t="array" aca="1" ref="N434" ca="1">IFERROR(IF(INDEX('Disaggregation Records'!$F$83:$F$153,MATCH(RIGHT(L434,255),RIGHT('Disaggregation Records'!$D$83:$D$153,255),0))="","",INDEX('Disaggregation Records'!$F$83:$F$153,MATCH(RIGHT(L434,255),RIGHT('Disaggregation Records'!$D$83:$D$153,255),0))),"")</f>
        <v/>
      </c>
      <c r="O434" s="314" t="str">
        <f t="array" aca="1" ref="O434" ca="1">IFERROR(IF(INDEX('Disaggregation Records'!$H$83:$H$153,MATCH(RIGHT(L434,255),RIGHT('Disaggregation Records'!$D$83:$D$153,255),0))="","",INDEX('Disaggregation Records'!$H$83:$H$153,MATCH(RIGHT(L434,255),RIGHT('Disaggregation Records'!$D$83:$D$153,255),0))),"")</f>
        <v/>
      </c>
      <c r="P434" s="314"/>
      <c r="Q434" s="310">
        <f t="shared" ref="Q434" si="603">Q432+1</f>
        <v>1063</v>
      </c>
      <c r="R434" s="314" t="str" cm="1">
        <f t="array" aca="1" ref="R434" ca="1">IFERROR(IF(INDEX('Disaggregation Records'!$G$83:$G$153,MATCH(RIGHT(L434,255),RIGHT('Disaggregation Records'!$D$83:$D$153,255),0))="","",INDEX('Disaggregation Records'!$G$83:$G$153,MATCH(RIGHT(L434,255),RIGHT('Disaggregation Records'!$D$83:$D$153,255),0))),"")</f>
        <v/>
      </c>
    </row>
    <row r="435" spans="1:18" ht="20.100000000000001" customHeight="1">
      <c r="B435" s="571"/>
      <c r="C435" s="573"/>
      <c r="D435" s="575"/>
      <c r="E435" s="575"/>
      <c r="F435" s="128"/>
      <c r="G435" s="577"/>
      <c r="H435" s="540"/>
      <c r="I435" s="579"/>
      <c r="J435" s="533"/>
      <c r="K435" s="126"/>
      <c r="L435" s="126"/>
      <c r="M435" s="126"/>
      <c r="N435" s="126"/>
      <c r="O435" s="314"/>
      <c r="P435" s="314"/>
      <c r="Q435" s="310"/>
      <c r="R435" s="314" t="str" cm="1">
        <f t="array" ref="R435">IFERROR(IF(INDEX('Disaggregation Records'!$G$83:$G$153,MATCH(RIGHT(L435,255),RIGHT('Disaggregation Records'!$D$83:$D$153,255),0))="","",INDEX('Disaggregation Records'!$G$83:$G$153,MATCH(RIGHT(L435,255),RIGHT('Disaggregation Records'!$D$83:$D$153,255),0))),"")</f>
        <v/>
      </c>
    </row>
    <row r="436" spans="1:18" ht="20.100000000000001" customHeight="1">
      <c r="A436" s="126" t="str">
        <f t="shared" ref="A436" ca="1" si="604">INDIRECT("'update Helper'!C"&amp;Q436)</f>
        <v>a1VDm000000PgAlMAK</v>
      </c>
      <c r="B436" s="570">
        <v>7</v>
      </c>
      <c r="C436" s="572" t="str">
        <f ca="1">IFERROR(VLOOKUP(B436,'Outcome Indicators - Section C '!$A$9:$AC$70,29,FALSE),"")</f>
        <v>HIV O-5 Percentage of sex workers reporting using a condom with their most recent client</v>
      </c>
      <c r="D436" s="574" t="str">
        <f ca="1">M436</f>
        <v/>
      </c>
      <c r="E436" s="574" t="str">
        <f ca="1">N436</f>
        <v/>
      </c>
      <c r="F436" s="127"/>
      <c r="G436" s="576" t="str">
        <f ca="1">IF(OR(INDIRECT("'update Helper'!E"&amp;Q436)="",F436&lt;&gt;0,F437&lt;&gt;0),IF(IFERROR((F436/F437),"")="","",(F436/F437)),INDIRECT("'update Helper'!E"&amp;Q436)/100)</f>
        <v/>
      </c>
      <c r="H436" s="539"/>
      <c r="I436" s="578"/>
      <c r="J436" s="532"/>
      <c r="K436" s="126">
        <f ca="1">IF(AND(EXACT(C436,C434),C434&lt;&gt;0),K434+1,0)</f>
        <v>0</v>
      </c>
      <c r="L436" s="126" t="str">
        <f ca="1">IF(C436&lt;&gt;"",C436&amp;"-"&amp;K436,"")</f>
        <v>HIV O-5 Percentage of sex workers reporting using a condom with their most recent client-0</v>
      </c>
      <c r="M436" s="126" t="str">
        <f t="array" aca="1" ref="M436" ca="1">IFERROR(IF(INDEX('Disaggregation Records'!$E$83:$E$153,MATCH(RIGHT(L436,255),RIGHT('Disaggregation Records'!$D$83:$D$153,255),0))="","",INDEX('Disaggregation Records'!$E$83:$E$153,MATCH(RIGHT(L436,255),RIGHT('Disaggregation Records'!$D$83:$D$153,255),0))),"")</f>
        <v/>
      </c>
      <c r="N436" s="126" t="str">
        <f t="array" aca="1" ref="N436" ca="1">IFERROR(IF(INDEX('Disaggregation Records'!$F$83:$F$153,MATCH(RIGHT(L436,255),RIGHT('Disaggregation Records'!$D$83:$D$153,255),0))="","",INDEX('Disaggregation Records'!$F$83:$F$153,MATCH(RIGHT(L436,255),RIGHT('Disaggregation Records'!$D$83:$D$153,255),0))),"")</f>
        <v/>
      </c>
      <c r="O436" s="314" t="str">
        <f t="array" aca="1" ref="O436" ca="1">IFERROR(IF(INDEX('Disaggregation Records'!$H$83:$H$153,MATCH(RIGHT(L436,255),RIGHT('Disaggregation Records'!$D$83:$D$153,255),0))="","",INDEX('Disaggregation Records'!$H$83:$H$153,MATCH(RIGHT(L436,255),RIGHT('Disaggregation Records'!$D$83:$D$153,255),0))),"")</f>
        <v/>
      </c>
      <c r="P436" s="314"/>
      <c r="Q436" s="310">
        <f t="shared" ref="Q436" si="605">Q434+1</f>
        <v>1064</v>
      </c>
      <c r="R436" s="314" t="str" cm="1">
        <f t="array" aca="1" ref="R436" ca="1">IFERROR(IF(INDEX('Disaggregation Records'!$G$83:$G$153,MATCH(RIGHT(L436,255),RIGHT('Disaggregation Records'!$D$83:$D$153,255),0))="","",INDEX('Disaggregation Records'!$G$83:$G$153,MATCH(RIGHT(L436,255),RIGHT('Disaggregation Records'!$D$83:$D$153,255),0))),"")</f>
        <v/>
      </c>
    </row>
    <row r="437" spans="1:18" ht="20.100000000000001" customHeight="1">
      <c r="A437" s="126"/>
      <c r="B437" s="571"/>
      <c r="C437" s="573"/>
      <c r="D437" s="575"/>
      <c r="E437" s="575"/>
      <c r="F437" s="128"/>
      <c r="G437" s="577"/>
      <c r="H437" s="540"/>
      <c r="I437" s="579"/>
      <c r="J437" s="533"/>
      <c r="K437" s="126"/>
      <c r="L437" s="126"/>
      <c r="M437" s="126"/>
      <c r="N437" s="126"/>
      <c r="O437" s="314"/>
      <c r="P437" s="314"/>
      <c r="Q437" s="310"/>
      <c r="R437" s="314" t="str" cm="1">
        <f t="array" ref="R437">IFERROR(IF(INDEX('Disaggregation Records'!$G$83:$G$153,MATCH(RIGHT(L437,255),RIGHT('Disaggregation Records'!$D$83:$D$153,255),0))="","",INDEX('Disaggregation Records'!$G$83:$G$153,MATCH(RIGHT(L437,255),RIGHT('Disaggregation Records'!$D$83:$D$153,255),0))),"")</f>
        <v/>
      </c>
    </row>
    <row r="438" spans="1:18" ht="20.100000000000001" customHeight="1">
      <c r="A438" s="126" t="str">
        <f t="shared" ref="A438" ca="1" si="606">INDIRECT("'update Helper'!C"&amp;Q438)</f>
        <v>a1VDm000000PgAmMAK</v>
      </c>
      <c r="B438" s="570">
        <v>7</v>
      </c>
      <c r="C438" s="572" t="str">
        <f ca="1">IFERROR(VLOOKUP(B438,'Outcome Indicators - Section C '!$A$9:$AC$70,29,FALSE),"")</f>
        <v>HIV O-5 Percentage of sex workers reporting using a condom with their most recent client</v>
      </c>
      <c r="D438" s="574" t="str">
        <f ca="1">M438</f>
        <v/>
      </c>
      <c r="E438" s="574" t="str">
        <f ca="1">N438</f>
        <v/>
      </c>
      <c r="F438" s="127"/>
      <c r="G438" s="576" t="str">
        <f ca="1">IF(OR(INDIRECT("'update Helper'!E"&amp;Q438)="",F438&lt;&gt;0,F439&lt;&gt;0),IF(IFERROR((F438/F439),"")="","",(F438/F439)),INDIRECT("'update Helper'!E"&amp;Q438)/100)</f>
        <v/>
      </c>
      <c r="H438" s="539"/>
      <c r="I438" s="578"/>
      <c r="J438" s="532"/>
      <c r="K438" s="126">
        <f ca="1">IF(AND(EXACT(C438,C436),C436&lt;&gt;0),K436+1,0)</f>
        <v>1</v>
      </c>
      <c r="L438" s="126" t="str">
        <f ca="1">IF(C438&lt;&gt;"",C438&amp;"-"&amp;K438,"")</f>
        <v>HIV O-5 Percentage of sex workers reporting using a condom with their most recent client-1</v>
      </c>
      <c r="M438" s="126" t="str">
        <f t="array" aca="1" ref="M438" ca="1">IFERROR(IF(INDEX('Disaggregation Records'!$E$83:$E$153,MATCH(RIGHT(L438,255),RIGHT('Disaggregation Records'!$D$83:$D$153,255),0))="","",INDEX('Disaggregation Records'!$E$83:$E$153,MATCH(RIGHT(L438,255),RIGHT('Disaggregation Records'!$D$83:$D$153,255),0))),"")</f>
        <v/>
      </c>
      <c r="N438" s="126" t="str">
        <f t="array" aca="1" ref="N438" ca="1">IFERROR(IF(INDEX('Disaggregation Records'!$F$83:$F$153,MATCH(RIGHT(L438,255),RIGHT('Disaggregation Records'!$D$83:$D$153,255),0))="","",INDEX('Disaggregation Records'!$F$83:$F$153,MATCH(RIGHT(L438,255),RIGHT('Disaggregation Records'!$D$83:$D$153,255),0))),"")</f>
        <v/>
      </c>
      <c r="O438" s="314" t="str">
        <f t="array" aca="1" ref="O438" ca="1">IFERROR(IF(INDEX('Disaggregation Records'!$H$83:$H$153,MATCH(RIGHT(L438,255),RIGHT('Disaggregation Records'!$D$83:$D$153,255),0))="","",INDEX('Disaggregation Records'!$H$83:$H$153,MATCH(RIGHT(L438,255),RIGHT('Disaggregation Records'!$D$83:$D$153,255),0))),"")</f>
        <v/>
      </c>
      <c r="P438" s="314"/>
      <c r="Q438" s="310">
        <f t="shared" ref="Q438" si="607">Q436+1</f>
        <v>1065</v>
      </c>
      <c r="R438" s="314" t="str" cm="1">
        <f t="array" aca="1" ref="R438" ca="1">IFERROR(IF(INDEX('Disaggregation Records'!$G$83:$G$153,MATCH(RIGHT(L438,255),RIGHT('Disaggregation Records'!$D$83:$D$153,255),0))="","",INDEX('Disaggregation Records'!$G$83:$G$153,MATCH(RIGHT(L438,255),RIGHT('Disaggregation Records'!$D$83:$D$153,255),0))),"")</f>
        <v/>
      </c>
    </row>
    <row r="439" spans="1:18" ht="20.100000000000001" customHeight="1">
      <c r="B439" s="571"/>
      <c r="C439" s="573"/>
      <c r="D439" s="575"/>
      <c r="E439" s="575"/>
      <c r="F439" s="128"/>
      <c r="G439" s="577"/>
      <c r="H439" s="540"/>
      <c r="I439" s="579"/>
      <c r="J439" s="533"/>
      <c r="K439" s="126"/>
      <c r="L439" s="126"/>
      <c r="M439" s="126"/>
      <c r="N439" s="126"/>
      <c r="O439" s="314"/>
      <c r="P439" s="314"/>
      <c r="Q439" s="310"/>
      <c r="R439" s="314" t="str" cm="1">
        <f t="array" ref="R439">IFERROR(IF(INDEX('Disaggregation Records'!$G$83:$G$153,MATCH(RIGHT(L439,255),RIGHT('Disaggregation Records'!$D$83:$D$153,255),0))="","",INDEX('Disaggregation Records'!$G$83:$G$153,MATCH(RIGHT(L439,255),RIGHT('Disaggregation Records'!$D$83:$D$153,255),0))),"")</f>
        <v/>
      </c>
    </row>
    <row r="440" spans="1:18" ht="20.100000000000001" customHeight="1">
      <c r="A440" s="126" t="str">
        <f t="shared" ref="A440" ca="1" si="608">INDIRECT("'update Helper'!C"&amp;Q440)</f>
        <v>a1VDm000000PgAnMAK</v>
      </c>
      <c r="B440" s="570">
        <v>7</v>
      </c>
      <c r="C440" s="572" t="str">
        <f ca="1">IFERROR(VLOOKUP(B440,'Outcome Indicators - Section C '!$A$9:$AC$70,29,FALSE),"")</f>
        <v>HIV O-5 Percentage of sex workers reporting using a condom with their most recent client</v>
      </c>
      <c r="D440" s="574" t="str">
        <f ca="1">M440</f>
        <v/>
      </c>
      <c r="E440" s="574" t="str">
        <f ca="1">N440</f>
        <v/>
      </c>
      <c r="F440" s="127"/>
      <c r="G440" s="576" t="str">
        <f ca="1">IF(OR(INDIRECT("'update Helper'!E"&amp;Q440)="",F440&lt;&gt;0,F441&lt;&gt;0),IF(IFERROR((F440/F441),"")="","",(F440/F441)),INDIRECT("'update Helper'!E"&amp;Q440)/100)</f>
        <v/>
      </c>
      <c r="H440" s="539"/>
      <c r="I440" s="578"/>
      <c r="J440" s="532"/>
      <c r="K440" s="126">
        <f ca="1">IF(AND(EXACT(C440,C438),C438&lt;&gt;0),K438+1,0)</f>
        <v>2</v>
      </c>
      <c r="L440" s="126" t="str">
        <f ca="1">IF(C440&lt;&gt;"",C440&amp;"-"&amp;K440,"")</f>
        <v>HIV O-5 Percentage of sex workers reporting using a condom with their most recent client-2</v>
      </c>
      <c r="M440" s="126" t="str">
        <f t="array" aca="1" ref="M440" ca="1">IFERROR(IF(INDEX('Disaggregation Records'!$E$83:$E$153,MATCH(RIGHT(L440,255),RIGHT('Disaggregation Records'!$D$83:$D$153,255),0))="","",INDEX('Disaggregation Records'!$E$83:$E$153,MATCH(RIGHT(L440,255),RIGHT('Disaggregation Records'!$D$83:$D$153,255),0))),"")</f>
        <v/>
      </c>
      <c r="N440" s="126" t="str">
        <f t="array" aca="1" ref="N440" ca="1">IFERROR(IF(INDEX('Disaggregation Records'!$F$83:$F$153,MATCH(RIGHT(L440,255),RIGHT('Disaggregation Records'!$D$83:$D$153,255),0))="","",INDEX('Disaggregation Records'!$F$83:$F$153,MATCH(RIGHT(L440,255),RIGHT('Disaggregation Records'!$D$83:$D$153,255),0))),"")</f>
        <v/>
      </c>
      <c r="O440" s="314" t="str">
        <f t="array" aca="1" ref="O440" ca="1">IFERROR(IF(INDEX('Disaggregation Records'!$H$83:$H$153,MATCH(RIGHT(L440,255),RIGHT('Disaggregation Records'!$D$83:$D$153,255),0))="","",INDEX('Disaggregation Records'!$H$83:$H$153,MATCH(RIGHT(L440,255),RIGHT('Disaggregation Records'!$D$83:$D$153,255),0))),"")</f>
        <v/>
      </c>
      <c r="P440" s="314"/>
      <c r="Q440" s="310">
        <f t="shared" ref="Q440" si="609">Q438+1</f>
        <v>1066</v>
      </c>
      <c r="R440" s="314" t="str" cm="1">
        <f t="array" aca="1" ref="R440" ca="1">IFERROR(IF(INDEX('Disaggregation Records'!$G$83:$G$153,MATCH(RIGHT(L440,255),RIGHT('Disaggregation Records'!$D$83:$D$153,255),0))="","",INDEX('Disaggregation Records'!$G$83:$G$153,MATCH(RIGHT(L440,255),RIGHT('Disaggregation Records'!$D$83:$D$153,255),0))),"")</f>
        <v/>
      </c>
    </row>
    <row r="441" spans="1:18" ht="20.100000000000001" customHeight="1">
      <c r="A441" s="126"/>
      <c r="B441" s="571"/>
      <c r="C441" s="573"/>
      <c r="D441" s="575"/>
      <c r="E441" s="575"/>
      <c r="F441" s="128"/>
      <c r="G441" s="577"/>
      <c r="H441" s="540"/>
      <c r="I441" s="579"/>
      <c r="J441" s="533"/>
      <c r="K441" s="126"/>
      <c r="L441" s="126"/>
      <c r="M441" s="126"/>
      <c r="N441" s="126"/>
      <c r="O441" s="314"/>
      <c r="P441" s="314"/>
      <c r="Q441" s="310"/>
      <c r="R441" s="314" t="str" cm="1">
        <f t="array" ref="R441">IFERROR(IF(INDEX('Disaggregation Records'!$G$83:$G$153,MATCH(RIGHT(L441,255),RIGHT('Disaggregation Records'!$D$83:$D$153,255),0))="","",INDEX('Disaggregation Records'!$G$83:$G$153,MATCH(RIGHT(L441,255),RIGHT('Disaggregation Records'!$D$83:$D$153,255),0))),"")</f>
        <v/>
      </c>
    </row>
    <row r="442" spans="1:18" ht="20.100000000000001" customHeight="1">
      <c r="A442" s="126" t="str">
        <f t="shared" ref="A442" ca="1" si="610">INDIRECT("'update Helper'!C"&amp;Q442)</f>
        <v>a1VDm000000PgAoMAK</v>
      </c>
      <c r="B442" s="570">
        <v>7</v>
      </c>
      <c r="C442" s="572" t="str">
        <f ca="1">IFERROR(VLOOKUP(B442,'Outcome Indicators - Section C '!$A$9:$AC$70,29,FALSE),"")</f>
        <v>HIV O-5 Percentage of sex workers reporting using a condom with their most recent client</v>
      </c>
      <c r="D442" s="574" t="str">
        <f ca="1">M442</f>
        <v/>
      </c>
      <c r="E442" s="574" t="str">
        <f ca="1">N442</f>
        <v/>
      </c>
      <c r="F442" s="127"/>
      <c r="G442" s="576" t="str">
        <f ca="1">IF(OR(INDIRECT("'update Helper'!E"&amp;Q442)="",F442&lt;&gt;0,F443&lt;&gt;0),IF(IFERROR((F442/F443),"")="","",(F442/F443)),INDIRECT("'update Helper'!E"&amp;Q442)/100)</f>
        <v/>
      </c>
      <c r="H442" s="539"/>
      <c r="I442" s="578"/>
      <c r="J442" s="532"/>
      <c r="K442" s="126">
        <f ca="1">IF(AND(EXACT(C442,C440),C440&lt;&gt;0),K440+1,0)</f>
        <v>3</v>
      </c>
      <c r="L442" s="126" t="str">
        <f ca="1">IF(C442&lt;&gt;"",C442&amp;"-"&amp;K442,"")</f>
        <v>HIV O-5 Percentage of sex workers reporting using a condom with their most recent client-3</v>
      </c>
      <c r="M442" s="126" t="str">
        <f t="array" aca="1" ref="M442" ca="1">IFERROR(IF(INDEX('Disaggregation Records'!$E$83:$E$153,MATCH(RIGHT(L442,255),RIGHT('Disaggregation Records'!$D$83:$D$153,255),0))="","",INDEX('Disaggregation Records'!$E$83:$E$153,MATCH(RIGHT(L442,255),RIGHT('Disaggregation Records'!$D$83:$D$153,255),0))),"")</f>
        <v/>
      </c>
      <c r="N442" s="126" t="str">
        <f t="array" aca="1" ref="N442" ca="1">IFERROR(IF(INDEX('Disaggregation Records'!$F$83:$F$153,MATCH(RIGHT(L442,255),RIGHT('Disaggregation Records'!$D$83:$D$153,255),0))="","",INDEX('Disaggregation Records'!$F$83:$F$153,MATCH(RIGHT(L442,255),RIGHT('Disaggregation Records'!$D$83:$D$153,255),0))),"")</f>
        <v/>
      </c>
      <c r="O442" s="314" t="str">
        <f t="array" aca="1" ref="O442" ca="1">IFERROR(IF(INDEX('Disaggregation Records'!$H$83:$H$153,MATCH(RIGHT(L442,255),RIGHT('Disaggregation Records'!$D$83:$D$153,255),0))="","",INDEX('Disaggregation Records'!$H$83:$H$153,MATCH(RIGHT(L442,255),RIGHT('Disaggregation Records'!$D$83:$D$153,255),0))),"")</f>
        <v/>
      </c>
      <c r="P442" s="314"/>
      <c r="Q442" s="310">
        <f t="shared" ref="Q442" si="611">Q440+1</f>
        <v>1067</v>
      </c>
      <c r="R442" s="314" t="str" cm="1">
        <f t="array" aca="1" ref="R442" ca="1">IFERROR(IF(INDEX('Disaggregation Records'!$G$83:$G$153,MATCH(RIGHT(L442,255),RIGHT('Disaggregation Records'!$D$83:$D$153,255),0))="","",INDEX('Disaggregation Records'!$G$83:$G$153,MATCH(RIGHT(L442,255),RIGHT('Disaggregation Records'!$D$83:$D$153,255),0))),"")</f>
        <v/>
      </c>
    </row>
    <row r="443" spans="1:18" ht="20.100000000000001" customHeight="1">
      <c r="B443" s="571"/>
      <c r="C443" s="573"/>
      <c r="D443" s="575"/>
      <c r="E443" s="575"/>
      <c r="F443" s="128"/>
      <c r="G443" s="577"/>
      <c r="H443" s="540"/>
      <c r="I443" s="579"/>
      <c r="J443" s="533"/>
      <c r="K443" s="126"/>
      <c r="L443" s="126"/>
      <c r="M443" s="126"/>
      <c r="N443" s="126"/>
      <c r="O443" s="314"/>
      <c r="P443" s="314"/>
      <c r="Q443" s="310"/>
      <c r="R443" s="314" t="str" cm="1">
        <f t="array" ref="R443">IFERROR(IF(INDEX('Disaggregation Records'!$G$83:$G$153,MATCH(RIGHT(L443,255),RIGHT('Disaggregation Records'!$D$83:$D$153,255),0))="","",INDEX('Disaggregation Records'!$G$83:$G$153,MATCH(RIGHT(L443,255),RIGHT('Disaggregation Records'!$D$83:$D$153,255),0))),"")</f>
        <v/>
      </c>
    </row>
    <row r="444" spans="1:18" ht="20.100000000000001" customHeight="1">
      <c r="A444" s="126" t="str">
        <f t="shared" ref="A444" ca="1" si="612">INDIRECT("'update Helper'!C"&amp;Q444)</f>
        <v>a1VDm000000PgApMAK</v>
      </c>
      <c r="B444" s="570">
        <v>7</v>
      </c>
      <c r="C444" s="572" t="str">
        <f ca="1">IFERROR(VLOOKUP(B444,'Outcome Indicators - Section C '!$A$9:$AC$70,29,FALSE),"")</f>
        <v>HIV O-5 Percentage of sex workers reporting using a condom with their most recent client</v>
      </c>
      <c r="D444" s="574" t="str">
        <f ca="1">M444</f>
        <v/>
      </c>
      <c r="E444" s="574" t="str">
        <f ca="1">N444</f>
        <v/>
      </c>
      <c r="F444" s="127"/>
      <c r="G444" s="576" t="str">
        <f ca="1">IF(OR(INDIRECT("'update Helper'!E"&amp;Q444)="",F444&lt;&gt;0,F445&lt;&gt;0),IF(IFERROR((F444/F445),"")="","",(F444/F445)),INDIRECT("'update Helper'!E"&amp;Q444)/100)</f>
        <v/>
      </c>
      <c r="H444" s="539"/>
      <c r="I444" s="578"/>
      <c r="J444" s="532"/>
      <c r="K444" s="126">
        <f ca="1">IF(AND(EXACT(C444,C442),C442&lt;&gt;0),K442+1,0)</f>
        <v>4</v>
      </c>
      <c r="L444" s="126" t="str">
        <f ca="1">IF(C444&lt;&gt;"",C444&amp;"-"&amp;K444,"")</f>
        <v>HIV O-5 Percentage of sex workers reporting using a condom with their most recent client-4</v>
      </c>
      <c r="M444" s="126" t="str">
        <f t="array" aca="1" ref="M444" ca="1">IFERROR(IF(INDEX('Disaggregation Records'!$E$83:$E$153,MATCH(RIGHT(L444,255),RIGHT('Disaggregation Records'!$D$83:$D$153,255),0))="","",INDEX('Disaggregation Records'!$E$83:$E$153,MATCH(RIGHT(L444,255),RIGHT('Disaggregation Records'!$D$83:$D$153,255),0))),"")</f>
        <v/>
      </c>
      <c r="N444" s="126" t="str">
        <f t="array" aca="1" ref="N444" ca="1">IFERROR(IF(INDEX('Disaggregation Records'!$F$83:$F$153,MATCH(RIGHT(L444,255),RIGHT('Disaggregation Records'!$D$83:$D$153,255),0))="","",INDEX('Disaggregation Records'!$F$83:$F$153,MATCH(RIGHT(L444,255),RIGHT('Disaggregation Records'!$D$83:$D$153,255),0))),"")</f>
        <v/>
      </c>
      <c r="O444" s="314" t="str">
        <f t="array" aca="1" ref="O444" ca="1">IFERROR(IF(INDEX('Disaggregation Records'!$H$83:$H$153,MATCH(RIGHT(L444,255),RIGHT('Disaggregation Records'!$D$83:$D$153,255),0))="","",INDEX('Disaggregation Records'!$H$83:$H$153,MATCH(RIGHT(L444,255),RIGHT('Disaggregation Records'!$D$83:$D$153,255),0))),"")</f>
        <v/>
      </c>
      <c r="P444" s="314"/>
      <c r="Q444" s="310">
        <f t="shared" ref="Q444" si="613">Q442+1</f>
        <v>1068</v>
      </c>
      <c r="R444" s="314" t="str" cm="1">
        <f t="array" aca="1" ref="R444" ca="1">IFERROR(IF(INDEX('Disaggregation Records'!$G$83:$G$153,MATCH(RIGHT(L444,255),RIGHT('Disaggregation Records'!$D$83:$D$153,255),0))="","",INDEX('Disaggregation Records'!$G$83:$G$153,MATCH(RIGHT(L444,255),RIGHT('Disaggregation Records'!$D$83:$D$153,255),0))),"")</f>
        <v/>
      </c>
    </row>
    <row r="445" spans="1:18" ht="20.100000000000001" customHeight="1">
      <c r="A445" s="126"/>
      <c r="B445" s="571"/>
      <c r="C445" s="573"/>
      <c r="D445" s="575"/>
      <c r="E445" s="575"/>
      <c r="F445" s="128"/>
      <c r="G445" s="577"/>
      <c r="H445" s="540"/>
      <c r="I445" s="579"/>
      <c r="J445" s="533"/>
      <c r="K445" s="126"/>
      <c r="L445" s="126"/>
      <c r="M445" s="126"/>
      <c r="N445" s="126"/>
      <c r="O445" s="314"/>
      <c r="P445" s="314"/>
      <c r="Q445" s="310"/>
      <c r="R445" s="314" t="str" cm="1">
        <f t="array" ref="R445">IFERROR(IF(INDEX('Disaggregation Records'!$G$83:$G$153,MATCH(RIGHT(L445,255),RIGHT('Disaggregation Records'!$D$83:$D$153,255),0))="","",INDEX('Disaggregation Records'!$G$83:$G$153,MATCH(RIGHT(L445,255),RIGHT('Disaggregation Records'!$D$83:$D$153,255),0))),"")</f>
        <v/>
      </c>
    </row>
    <row r="446" spans="1:18" ht="20.100000000000001" customHeight="1">
      <c r="A446" s="126" t="str">
        <f t="shared" ref="A446" ca="1" si="614">INDIRECT("'update Helper'!C"&amp;Q446)</f>
        <v>a1VDm000000PgAqMAK</v>
      </c>
      <c r="B446" s="570">
        <v>7</v>
      </c>
      <c r="C446" s="572" t="str">
        <f ca="1">IFERROR(VLOOKUP(B446,'Outcome Indicators - Section C '!$A$9:$AC$70,29,FALSE),"")</f>
        <v>HIV O-5 Percentage of sex workers reporting using a condom with their most recent client</v>
      </c>
      <c r="D446" s="574" t="str">
        <f ca="1">M446</f>
        <v/>
      </c>
      <c r="E446" s="574" t="str">
        <f ca="1">N446</f>
        <v/>
      </c>
      <c r="F446" s="127"/>
      <c r="G446" s="576" t="str">
        <f ca="1">IF(OR(INDIRECT("'update Helper'!E"&amp;Q446)="",F446&lt;&gt;0,F447&lt;&gt;0),IF(IFERROR((F446/F447),"")="","",(F446/F447)),INDIRECT("'update Helper'!E"&amp;Q446)/100)</f>
        <v/>
      </c>
      <c r="H446" s="539"/>
      <c r="I446" s="578"/>
      <c r="J446" s="532"/>
      <c r="K446" s="126">
        <f ca="1">IF(AND(EXACT(C446,C444),C444&lt;&gt;0),K444+1,0)</f>
        <v>5</v>
      </c>
      <c r="L446" s="126" t="str">
        <f ca="1">IF(C446&lt;&gt;"",C446&amp;"-"&amp;K446,"")</f>
        <v>HIV O-5 Percentage of sex workers reporting using a condom with their most recent client-5</v>
      </c>
      <c r="M446" s="126" t="str">
        <f t="array" aca="1" ref="M446" ca="1">IFERROR(IF(INDEX('Disaggregation Records'!$E$83:$E$153,MATCH(RIGHT(L446,255),RIGHT('Disaggregation Records'!$D$83:$D$153,255),0))="","",INDEX('Disaggregation Records'!$E$83:$E$153,MATCH(RIGHT(L446,255),RIGHT('Disaggregation Records'!$D$83:$D$153,255),0))),"")</f>
        <v/>
      </c>
      <c r="N446" s="126" t="str">
        <f t="array" aca="1" ref="N446" ca="1">IFERROR(IF(INDEX('Disaggregation Records'!$F$83:$F$153,MATCH(RIGHT(L446,255),RIGHT('Disaggregation Records'!$D$83:$D$153,255),0))="","",INDEX('Disaggregation Records'!$F$83:$F$153,MATCH(RIGHT(L446,255),RIGHT('Disaggregation Records'!$D$83:$D$153,255),0))),"")</f>
        <v/>
      </c>
      <c r="O446" s="314" t="str">
        <f t="array" aca="1" ref="O446" ca="1">IFERROR(IF(INDEX('Disaggregation Records'!$H$83:$H$153,MATCH(RIGHT(L446,255),RIGHT('Disaggregation Records'!$D$83:$D$153,255),0))="","",INDEX('Disaggregation Records'!$H$83:$H$153,MATCH(RIGHT(L446,255),RIGHT('Disaggregation Records'!$D$83:$D$153,255),0))),"")</f>
        <v/>
      </c>
      <c r="P446" s="314"/>
      <c r="Q446" s="310">
        <f t="shared" ref="Q446" si="615">Q444+1</f>
        <v>1069</v>
      </c>
      <c r="R446" s="314" t="str" cm="1">
        <f t="array" aca="1" ref="R446" ca="1">IFERROR(IF(INDEX('Disaggregation Records'!$G$83:$G$153,MATCH(RIGHT(L446,255),RIGHT('Disaggregation Records'!$D$83:$D$153,255),0))="","",INDEX('Disaggregation Records'!$G$83:$G$153,MATCH(RIGHT(L446,255),RIGHT('Disaggregation Records'!$D$83:$D$153,255),0))),"")</f>
        <v/>
      </c>
    </row>
    <row r="447" spans="1:18" ht="20.100000000000001" customHeight="1">
      <c r="B447" s="571"/>
      <c r="C447" s="573"/>
      <c r="D447" s="575"/>
      <c r="E447" s="575"/>
      <c r="F447" s="128"/>
      <c r="G447" s="577"/>
      <c r="H447" s="540"/>
      <c r="I447" s="579"/>
      <c r="J447" s="533"/>
      <c r="K447" s="126"/>
      <c r="L447" s="126"/>
      <c r="M447" s="126"/>
      <c r="N447" s="126"/>
      <c r="O447" s="314"/>
      <c r="P447" s="314"/>
      <c r="Q447" s="310"/>
      <c r="R447" s="314" t="str" cm="1">
        <f t="array" ref="R447">IFERROR(IF(INDEX('Disaggregation Records'!$G$83:$G$153,MATCH(RIGHT(L447,255),RIGHT('Disaggregation Records'!$D$83:$D$153,255),0))="","",INDEX('Disaggregation Records'!$G$83:$G$153,MATCH(RIGHT(L447,255),RIGHT('Disaggregation Records'!$D$83:$D$153,255),0))),"")</f>
        <v/>
      </c>
    </row>
    <row r="448" spans="1:18" ht="20.100000000000001" customHeight="1">
      <c r="A448" s="126" t="str">
        <f t="shared" ref="A448" ca="1" si="616">INDIRECT("'update Helper'!C"&amp;Q448)</f>
        <v>a1VDm000000PgArMAK</v>
      </c>
      <c r="B448" s="570">
        <v>7</v>
      </c>
      <c r="C448" s="572" t="str">
        <f ca="1">IFERROR(VLOOKUP(B448,'Outcome Indicators - Section C '!$A$9:$AC$70,29,FALSE),"")</f>
        <v>HIV O-5 Percentage of sex workers reporting using a condom with their most recent client</v>
      </c>
      <c r="D448" s="574" t="str">
        <f ca="1">M448</f>
        <v/>
      </c>
      <c r="E448" s="574" t="str">
        <f ca="1">N448</f>
        <v/>
      </c>
      <c r="F448" s="127"/>
      <c r="G448" s="576" t="str">
        <f ca="1">IF(OR(INDIRECT("'update Helper'!E"&amp;Q448)="",F448&lt;&gt;0,F449&lt;&gt;0),IF(IFERROR((F448/F449),"")="","",(F448/F449)),INDIRECT("'update Helper'!E"&amp;Q448)/100)</f>
        <v/>
      </c>
      <c r="H448" s="539"/>
      <c r="I448" s="578"/>
      <c r="J448" s="532"/>
      <c r="K448" s="126">
        <f ca="1">IF(AND(EXACT(C448,C446),C446&lt;&gt;0),K446+1,0)</f>
        <v>6</v>
      </c>
      <c r="L448" s="126" t="str">
        <f ca="1">IF(C448&lt;&gt;"",C448&amp;"-"&amp;K448,"")</f>
        <v>HIV O-5 Percentage of sex workers reporting using a condom with their most recent client-6</v>
      </c>
      <c r="M448" s="126" t="str">
        <f t="array" aca="1" ref="M448" ca="1">IFERROR(IF(INDEX('Disaggregation Records'!$E$83:$E$153,MATCH(RIGHT(L448,255),RIGHT('Disaggregation Records'!$D$83:$D$153,255),0))="","",INDEX('Disaggregation Records'!$E$83:$E$153,MATCH(RIGHT(L448,255),RIGHT('Disaggregation Records'!$D$83:$D$153,255),0))),"")</f>
        <v/>
      </c>
      <c r="N448" s="126" t="str">
        <f t="array" aca="1" ref="N448" ca="1">IFERROR(IF(INDEX('Disaggregation Records'!$F$83:$F$153,MATCH(RIGHT(L448,255),RIGHT('Disaggregation Records'!$D$83:$D$153,255),0))="","",INDEX('Disaggregation Records'!$F$83:$F$153,MATCH(RIGHT(L448,255),RIGHT('Disaggregation Records'!$D$83:$D$153,255),0))),"")</f>
        <v/>
      </c>
      <c r="O448" s="314" t="str">
        <f t="array" aca="1" ref="O448" ca="1">IFERROR(IF(INDEX('Disaggregation Records'!$H$83:$H$153,MATCH(RIGHT(L448,255),RIGHT('Disaggregation Records'!$D$83:$D$153,255),0))="","",INDEX('Disaggregation Records'!$H$83:$H$153,MATCH(RIGHT(L448,255),RIGHT('Disaggregation Records'!$D$83:$D$153,255),0))),"")</f>
        <v/>
      </c>
      <c r="P448" s="314"/>
      <c r="Q448" s="310">
        <f t="shared" ref="Q448" si="617">Q446+1</f>
        <v>1070</v>
      </c>
      <c r="R448" s="314" t="str" cm="1">
        <f t="array" aca="1" ref="R448" ca="1">IFERROR(IF(INDEX('Disaggregation Records'!$G$83:$G$153,MATCH(RIGHT(L448,255),RIGHT('Disaggregation Records'!$D$83:$D$153,255),0))="","",INDEX('Disaggregation Records'!$G$83:$G$153,MATCH(RIGHT(L448,255),RIGHT('Disaggregation Records'!$D$83:$D$153,255),0))),"")</f>
        <v/>
      </c>
    </row>
    <row r="449" spans="1:18" ht="20.100000000000001" customHeight="1">
      <c r="A449" s="126"/>
      <c r="B449" s="571"/>
      <c r="C449" s="573"/>
      <c r="D449" s="575"/>
      <c r="E449" s="575"/>
      <c r="F449" s="128"/>
      <c r="G449" s="577"/>
      <c r="H449" s="540"/>
      <c r="I449" s="579"/>
      <c r="J449" s="533"/>
      <c r="K449" s="126"/>
      <c r="L449" s="126"/>
      <c r="M449" s="126"/>
      <c r="N449" s="126"/>
      <c r="O449" s="314"/>
      <c r="P449" s="314"/>
      <c r="Q449" s="310"/>
      <c r="R449" s="314" t="str" cm="1">
        <f t="array" ref="R449">IFERROR(IF(INDEX('Disaggregation Records'!$G$83:$G$153,MATCH(RIGHT(L449,255),RIGHT('Disaggregation Records'!$D$83:$D$153,255),0))="","",INDEX('Disaggregation Records'!$G$83:$G$153,MATCH(RIGHT(L449,255),RIGHT('Disaggregation Records'!$D$83:$D$153,255),0))),"")</f>
        <v/>
      </c>
    </row>
    <row r="450" spans="1:18" ht="20.100000000000001" customHeight="1">
      <c r="A450" s="126" t="str">
        <f t="shared" ref="A450" ca="1" si="618">INDIRECT("'update Helper'!C"&amp;Q450)</f>
        <v>a1VDm000000PgAsMAK</v>
      </c>
      <c r="B450" s="570">
        <v>7</v>
      </c>
      <c r="C450" s="572" t="str">
        <f ca="1">IFERROR(VLOOKUP(B450,'Outcome Indicators - Section C '!$A$9:$AC$70,29,FALSE),"")</f>
        <v>HIV O-5 Percentage of sex workers reporting using a condom with their most recent client</v>
      </c>
      <c r="D450" s="574" t="str">
        <f ca="1">M450</f>
        <v/>
      </c>
      <c r="E450" s="574" t="str">
        <f ca="1">N450</f>
        <v/>
      </c>
      <c r="F450" s="127"/>
      <c r="G450" s="576" t="str">
        <f ca="1">IF(OR(INDIRECT("'update Helper'!E"&amp;Q450)="",F450&lt;&gt;0,F451&lt;&gt;0),IF(IFERROR((F450/F451),"")="","",(F450/F451)),INDIRECT("'update Helper'!E"&amp;Q450)/100)</f>
        <v/>
      </c>
      <c r="H450" s="539"/>
      <c r="I450" s="578"/>
      <c r="J450" s="532"/>
      <c r="K450" s="126">
        <f ca="1">IF(AND(EXACT(C450,C448),C448&lt;&gt;0),K448+1,0)</f>
        <v>7</v>
      </c>
      <c r="L450" s="126" t="str">
        <f ca="1">IF(C450&lt;&gt;"",C450&amp;"-"&amp;K450,"")</f>
        <v>HIV O-5 Percentage of sex workers reporting using a condom with their most recent client-7</v>
      </c>
      <c r="M450" s="126" t="str">
        <f t="array" aca="1" ref="M450" ca="1">IFERROR(IF(INDEX('Disaggregation Records'!$E$83:$E$153,MATCH(RIGHT(L450,255),RIGHT('Disaggregation Records'!$D$83:$D$153,255),0))="","",INDEX('Disaggregation Records'!$E$83:$E$153,MATCH(RIGHT(L450,255),RIGHT('Disaggregation Records'!$D$83:$D$153,255),0))),"")</f>
        <v/>
      </c>
      <c r="N450" s="126" t="str">
        <f t="array" aca="1" ref="N450" ca="1">IFERROR(IF(INDEX('Disaggregation Records'!$F$83:$F$153,MATCH(RIGHT(L450,255),RIGHT('Disaggregation Records'!$D$83:$D$153,255),0))="","",INDEX('Disaggregation Records'!$F$83:$F$153,MATCH(RIGHT(L450,255),RIGHT('Disaggregation Records'!$D$83:$D$153,255),0))),"")</f>
        <v/>
      </c>
      <c r="O450" s="314" t="str">
        <f t="array" aca="1" ref="O450" ca="1">IFERROR(IF(INDEX('Disaggregation Records'!$H$83:$H$153,MATCH(RIGHT(L450,255),RIGHT('Disaggregation Records'!$D$83:$D$153,255),0))="","",INDEX('Disaggregation Records'!$H$83:$H$153,MATCH(RIGHT(L450,255),RIGHT('Disaggregation Records'!$D$83:$D$153,255),0))),"")</f>
        <v/>
      </c>
      <c r="P450" s="314"/>
      <c r="Q450" s="310">
        <f t="shared" ref="Q450" si="619">Q448+1</f>
        <v>1071</v>
      </c>
      <c r="R450" s="314" t="str" cm="1">
        <f t="array" aca="1" ref="R450" ca="1">IFERROR(IF(INDEX('Disaggregation Records'!$G$83:$G$153,MATCH(RIGHT(L450,255),RIGHT('Disaggregation Records'!$D$83:$D$153,255),0))="","",INDEX('Disaggregation Records'!$G$83:$G$153,MATCH(RIGHT(L450,255),RIGHT('Disaggregation Records'!$D$83:$D$153,255),0))),"")</f>
        <v/>
      </c>
    </row>
    <row r="451" spans="1:18" ht="20.100000000000001" customHeight="1">
      <c r="B451" s="571"/>
      <c r="C451" s="573"/>
      <c r="D451" s="575"/>
      <c r="E451" s="575"/>
      <c r="F451" s="128"/>
      <c r="G451" s="577"/>
      <c r="H451" s="540"/>
      <c r="I451" s="579"/>
      <c r="J451" s="533"/>
      <c r="K451" s="126"/>
      <c r="L451" s="126"/>
      <c r="M451" s="126"/>
      <c r="N451" s="126"/>
      <c r="O451" s="314"/>
      <c r="P451" s="314"/>
      <c r="Q451" s="310"/>
      <c r="R451" s="314" t="str" cm="1">
        <f t="array" ref="R451">IFERROR(IF(INDEX('Disaggregation Records'!$G$83:$G$153,MATCH(RIGHT(L451,255),RIGHT('Disaggregation Records'!$D$83:$D$153,255),0))="","",INDEX('Disaggregation Records'!$G$83:$G$153,MATCH(RIGHT(L451,255),RIGHT('Disaggregation Records'!$D$83:$D$153,255),0))),"")</f>
        <v/>
      </c>
    </row>
    <row r="452" spans="1:18" ht="20.100000000000001" customHeight="1">
      <c r="A452" s="126" t="str">
        <f t="shared" ref="A452" ca="1" si="620">INDIRECT("'update Helper'!C"&amp;Q452)</f>
        <v>a1VDm000000PgAtMAK</v>
      </c>
      <c r="B452" s="570">
        <v>7</v>
      </c>
      <c r="C452" s="572" t="str">
        <f ca="1">IFERROR(VLOOKUP(B452,'Outcome Indicators - Section C '!$A$9:$AC$70,29,FALSE),"")</f>
        <v>HIV O-5 Percentage of sex workers reporting using a condom with their most recent client</v>
      </c>
      <c r="D452" s="574" t="str">
        <f ca="1">M452</f>
        <v/>
      </c>
      <c r="E452" s="574" t="str">
        <f ca="1">N452</f>
        <v/>
      </c>
      <c r="F452" s="127"/>
      <c r="G452" s="576" t="str">
        <f ca="1">IF(OR(INDIRECT("'update Helper'!E"&amp;Q452)="",F452&lt;&gt;0,F453&lt;&gt;0),IF(IFERROR((F452/F453),"")="","",(F452/F453)),INDIRECT("'update Helper'!E"&amp;Q452)/100)</f>
        <v/>
      </c>
      <c r="H452" s="539"/>
      <c r="I452" s="578"/>
      <c r="J452" s="532"/>
      <c r="K452" s="126">
        <f ca="1">IF(AND(EXACT(C452,C450),C450&lt;&gt;0),K450+1,0)</f>
        <v>8</v>
      </c>
      <c r="L452" s="126" t="str">
        <f ca="1">IF(C452&lt;&gt;"",C452&amp;"-"&amp;K452,"")</f>
        <v>HIV O-5 Percentage of sex workers reporting using a condom with their most recent client-8</v>
      </c>
      <c r="M452" s="126" t="str">
        <f t="array" aca="1" ref="M452" ca="1">IFERROR(IF(INDEX('Disaggregation Records'!$E$83:$E$153,MATCH(RIGHT(L452,255),RIGHT('Disaggregation Records'!$D$83:$D$153,255),0))="","",INDEX('Disaggregation Records'!$E$83:$E$153,MATCH(RIGHT(L452,255),RIGHT('Disaggregation Records'!$D$83:$D$153,255),0))),"")</f>
        <v/>
      </c>
      <c r="N452" s="126" t="str">
        <f t="array" aca="1" ref="N452" ca="1">IFERROR(IF(INDEX('Disaggregation Records'!$F$83:$F$153,MATCH(RIGHT(L452,255),RIGHT('Disaggregation Records'!$D$83:$D$153,255),0))="","",INDEX('Disaggregation Records'!$F$83:$F$153,MATCH(RIGHT(L452,255),RIGHT('Disaggregation Records'!$D$83:$D$153,255),0))),"")</f>
        <v/>
      </c>
      <c r="O452" s="314" t="str">
        <f t="array" aca="1" ref="O452" ca="1">IFERROR(IF(INDEX('Disaggregation Records'!$H$83:$H$153,MATCH(RIGHT(L452,255),RIGHT('Disaggregation Records'!$D$83:$D$153,255),0))="","",INDEX('Disaggregation Records'!$H$83:$H$153,MATCH(RIGHT(L452,255),RIGHT('Disaggregation Records'!$D$83:$D$153,255),0))),"")</f>
        <v/>
      </c>
      <c r="P452" s="314"/>
      <c r="Q452" s="310">
        <f t="shared" ref="Q452" si="621">Q450+1</f>
        <v>1072</v>
      </c>
      <c r="R452" s="314" t="str" cm="1">
        <f t="array" aca="1" ref="R452" ca="1">IFERROR(IF(INDEX('Disaggregation Records'!$G$83:$G$153,MATCH(RIGHT(L452,255),RIGHT('Disaggregation Records'!$D$83:$D$153,255),0))="","",INDEX('Disaggregation Records'!$G$83:$G$153,MATCH(RIGHT(L452,255),RIGHT('Disaggregation Records'!$D$83:$D$153,255),0))),"")</f>
        <v/>
      </c>
    </row>
    <row r="453" spans="1:18" ht="20.100000000000001" customHeight="1">
      <c r="A453" s="126"/>
      <c r="B453" s="571"/>
      <c r="C453" s="573"/>
      <c r="D453" s="575"/>
      <c r="E453" s="575"/>
      <c r="F453" s="128"/>
      <c r="G453" s="577"/>
      <c r="H453" s="540"/>
      <c r="I453" s="579"/>
      <c r="J453" s="533"/>
      <c r="K453" s="126"/>
      <c r="L453" s="126"/>
      <c r="M453" s="126"/>
      <c r="N453" s="126"/>
      <c r="O453" s="314"/>
      <c r="P453" s="314"/>
      <c r="Q453" s="310"/>
      <c r="R453" s="314" t="str" cm="1">
        <f t="array" ref="R453">IFERROR(IF(INDEX('Disaggregation Records'!$G$83:$G$153,MATCH(RIGHT(L453,255),RIGHT('Disaggregation Records'!$D$83:$D$153,255),0))="","",INDEX('Disaggregation Records'!$G$83:$G$153,MATCH(RIGHT(L453,255),RIGHT('Disaggregation Records'!$D$83:$D$153,255),0))),"")</f>
        <v/>
      </c>
    </row>
    <row r="454" spans="1:18" ht="20.100000000000001" customHeight="1">
      <c r="A454" s="126" t="str">
        <f t="shared" ref="A454" ca="1" si="622">INDIRECT("'update Helper'!C"&amp;Q454)</f>
        <v>a1VDm000000PgAuMAK</v>
      </c>
      <c r="B454" s="570">
        <v>7</v>
      </c>
      <c r="C454" s="572" t="str">
        <f ca="1">IFERROR(VLOOKUP(B454,'Outcome Indicators - Section C '!$A$9:$AC$70,29,FALSE),"")</f>
        <v>HIV O-5 Percentage of sex workers reporting using a condom with their most recent client</v>
      </c>
      <c r="D454" s="574" t="str">
        <f ca="1">M454</f>
        <v/>
      </c>
      <c r="E454" s="574" t="str">
        <f ca="1">N454</f>
        <v/>
      </c>
      <c r="F454" s="127"/>
      <c r="G454" s="576" t="str">
        <f ca="1">IF(OR(INDIRECT("'update Helper'!E"&amp;Q454)="",F454&lt;&gt;0,F455&lt;&gt;0),IF(IFERROR((F454/F455),"")="","",(F454/F455)),INDIRECT("'update Helper'!E"&amp;Q454)/100)</f>
        <v/>
      </c>
      <c r="H454" s="539"/>
      <c r="I454" s="578"/>
      <c r="J454" s="532"/>
      <c r="K454" s="126">
        <f ca="1">IF(AND(EXACT(C454,C452),C452&lt;&gt;0),K452+1,0)</f>
        <v>9</v>
      </c>
      <c r="L454" s="126" t="str">
        <f ca="1">IF(C454&lt;&gt;"",C454&amp;"-"&amp;K454,"")</f>
        <v>HIV O-5 Percentage of sex workers reporting using a condom with their most recent client-9</v>
      </c>
      <c r="M454" s="126" t="str">
        <f t="array" aca="1" ref="M454" ca="1">IFERROR(IF(INDEX('Disaggregation Records'!$E$83:$E$153,MATCH(RIGHT(L454,255),RIGHT('Disaggregation Records'!$D$83:$D$153,255),0))="","",INDEX('Disaggregation Records'!$E$83:$E$153,MATCH(RIGHT(L454,255),RIGHT('Disaggregation Records'!$D$83:$D$153,255),0))),"")</f>
        <v/>
      </c>
      <c r="N454" s="126" t="str">
        <f t="array" aca="1" ref="N454" ca="1">IFERROR(IF(INDEX('Disaggregation Records'!$F$83:$F$153,MATCH(RIGHT(L454,255),RIGHT('Disaggregation Records'!$D$83:$D$153,255),0))="","",INDEX('Disaggregation Records'!$F$83:$F$153,MATCH(RIGHT(L454,255),RIGHT('Disaggregation Records'!$D$83:$D$153,255),0))),"")</f>
        <v/>
      </c>
      <c r="O454" s="314" t="str">
        <f t="array" aca="1" ref="O454" ca="1">IFERROR(IF(INDEX('Disaggregation Records'!$H$83:$H$153,MATCH(RIGHT(L454,255),RIGHT('Disaggregation Records'!$D$83:$D$153,255),0))="","",INDEX('Disaggregation Records'!$H$83:$H$153,MATCH(RIGHT(L454,255),RIGHT('Disaggregation Records'!$D$83:$D$153,255),0))),"")</f>
        <v/>
      </c>
      <c r="P454" s="314"/>
      <c r="Q454" s="310">
        <f t="shared" ref="Q454" si="623">Q452+1</f>
        <v>1073</v>
      </c>
      <c r="R454" s="314" t="str" cm="1">
        <f t="array" aca="1" ref="R454" ca="1">IFERROR(IF(INDEX('Disaggregation Records'!$G$83:$G$153,MATCH(RIGHT(L454,255),RIGHT('Disaggregation Records'!$D$83:$D$153,255),0))="","",INDEX('Disaggregation Records'!$G$83:$G$153,MATCH(RIGHT(L454,255),RIGHT('Disaggregation Records'!$D$83:$D$153,255),0))),"")</f>
        <v/>
      </c>
    </row>
    <row r="455" spans="1:18" ht="20.100000000000001" customHeight="1">
      <c r="B455" s="571"/>
      <c r="C455" s="573"/>
      <c r="D455" s="575"/>
      <c r="E455" s="575"/>
      <c r="F455" s="128"/>
      <c r="G455" s="577"/>
      <c r="H455" s="540"/>
      <c r="I455" s="579"/>
      <c r="J455" s="533"/>
      <c r="K455" s="126"/>
      <c r="L455" s="126"/>
      <c r="M455" s="126"/>
      <c r="N455" s="126"/>
      <c r="O455" s="314"/>
      <c r="P455" s="314"/>
      <c r="Q455" s="310"/>
      <c r="R455" s="314" t="str" cm="1">
        <f t="array" ref="R455">IFERROR(IF(INDEX('Disaggregation Records'!$G$83:$G$153,MATCH(RIGHT(L455,255),RIGHT('Disaggregation Records'!$D$83:$D$153,255),0))="","",INDEX('Disaggregation Records'!$G$83:$G$153,MATCH(RIGHT(L455,255),RIGHT('Disaggregation Records'!$D$83:$D$153,255),0))),"")</f>
        <v/>
      </c>
    </row>
    <row r="456" spans="1:18" ht="20.100000000000001" customHeight="1">
      <c r="A456" s="126" t="str">
        <f t="shared" ref="A456" ca="1" si="624">INDIRECT("'update Helper'!C"&amp;Q456)</f>
        <v>a1VDm000000PgAvMAK</v>
      </c>
      <c r="B456" s="570">
        <v>8</v>
      </c>
      <c r="C456" s="572" t="str">
        <f ca="1">IFERROR(VLOOKUP(B456,'Outcome Indicators - Section C '!$A$9:$AC$70,29,FALSE),"")</f>
        <v>HIV O-6 Percentage of people who inject drugs reporting using sterile injecting equipment the last time they injected</v>
      </c>
      <c r="D456" s="574" t="str">
        <f ca="1">M456</f>
        <v/>
      </c>
      <c r="E456" s="574" t="str">
        <f ca="1">N456</f>
        <v/>
      </c>
      <c r="F456" s="127"/>
      <c r="G456" s="576" t="str">
        <f ca="1">IF(OR(INDIRECT("'update Helper'!E"&amp;Q456)="",F456&lt;&gt;0,F457&lt;&gt;0),IF(IFERROR((F456/F457),"")="","",(F456/F457)),INDIRECT("'update Helper'!E"&amp;Q456)/100)</f>
        <v/>
      </c>
      <c r="H456" s="539"/>
      <c r="I456" s="578"/>
      <c r="J456" s="532"/>
      <c r="K456" s="126">
        <f ca="1">IF(AND(EXACT(C456,C454),C454&lt;&gt;0),K454+1,0)</f>
        <v>0</v>
      </c>
      <c r="L456" s="126" t="str">
        <f ca="1">IF(C456&lt;&gt;"",C456&amp;"-"&amp;K456,"")</f>
        <v>HIV O-6 Percentage of people who inject drugs reporting using sterile injecting equipment the last time they injected-0</v>
      </c>
      <c r="M456" s="126" t="str">
        <f t="array" aca="1" ref="M456" ca="1">IFERROR(IF(INDEX('Disaggregation Records'!$E$83:$E$153,MATCH(RIGHT(L456,255),RIGHT('Disaggregation Records'!$D$83:$D$153,255),0))="","",INDEX('Disaggregation Records'!$E$83:$E$153,MATCH(RIGHT(L456,255),RIGHT('Disaggregation Records'!$D$83:$D$153,255),0))),"")</f>
        <v/>
      </c>
      <c r="N456" s="126" t="str">
        <f t="array" aca="1" ref="N456" ca="1">IFERROR(IF(INDEX('Disaggregation Records'!$F$83:$F$153,MATCH(RIGHT(L456,255),RIGHT('Disaggregation Records'!$D$83:$D$153,255),0))="","",INDEX('Disaggregation Records'!$F$83:$F$153,MATCH(RIGHT(L456,255),RIGHT('Disaggregation Records'!$D$83:$D$153,255),0))),"")</f>
        <v/>
      </c>
      <c r="O456" s="314" t="str">
        <f t="array" aca="1" ref="O456" ca="1">IFERROR(IF(INDEX('Disaggregation Records'!$H$83:$H$153,MATCH(RIGHT(L456,255),RIGHT('Disaggregation Records'!$D$83:$D$153,255),0))="","",INDEX('Disaggregation Records'!$H$83:$H$153,MATCH(RIGHT(L456,255),RIGHT('Disaggregation Records'!$D$83:$D$153,255),0))),"")</f>
        <v/>
      </c>
      <c r="P456" s="314"/>
      <c r="Q456" s="310">
        <f t="shared" ref="Q456" si="625">Q454+1</f>
        <v>1074</v>
      </c>
      <c r="R456" s="314" t="str" cm="1">
        <f t="array" aca="1" ref="R456" ca="1">IFERROR(IF(INDEX('Disaggregation Records'!$G$83:$G$153,MATCH(RIGHT(L456,255),RIGHT('Disaggregation Records'!$D$83:$D$153,255),0))="","",INDEX('Disaggregation Records'!$G$83:$G$153,MATCH(RIGHT(L456,255),RIGHT('Disaggregation Records'!$D$83:$D$153,255),0))),"")</f>
        <v/>
      </c>
    </row>
    <row r="457" spans="1:18" ht="20.100000000000001" customHeight="1">
      <c r="A457" s="126"/>
      <c r="B457" s="571"/>
      <c r="C457" s="573"/>
      <c r="D457" s="575"/>
      <c r="E457" s="575"/>
      <c r="F457" s="128"/>
      <c r="G457" s="577"/>
      <c r="H457" s="540"/>
      <c r="I457" s="579"/>
      <c r="J457" s="533"/>
      <c r="K457" s="126"/>
      <c r="L457" s="126"/>
      <c r="M457" s="126"/>
      <c r="N457" s="126"/>
      <c r="O457" s="314"/>
      <c r="P457" s="314"/>
      <c r="Q457" s="310"/>
      <c r="R457" s="314" t="str" cm="1">
        <f t="array" ref="R457">IFERROR(IF(INDEX('Disaggregation Records'!$G$83:$G$153,MATCH(RIGHT(L457,255),RIGHT('Disaggregation Records'!$D$83:$D$153,255),0))="","",INDEX('Disaggregation Records'!$G$83:$G$153,MATCH(RIGHT(L457,255),RIGHT('Disaggregation Records'!$D$83:$D$153,255),0))),"")</f>
        <v/>
      </c>
    </row>
    <row r="458" spans="1:18" ht="20.100000000000001" customHeight="1">
      <c r="A458" s="126" t="str">
        <f t="shared" ref="A458" ca="1" si="626">INDIRECT("'update Helper'!C"&amp;Q458)</f>
        <v>a1VDm000000PgAwMAK</v>
      </c>
      <c r="B458" s="570">
        <v>8</v>
      </c>
      <c r="C458" s="572" t="str">
        <f ca="1">IFERROR(VLOOKUP(B458,'Outcome Indicators - Section C '!$A$9:$AC$70,29,FALSE),"")</f>
        <v>HIV O-6 Percentage of people who inject drugs reporting using sterile injecting equipment the last time they injected</v>
      </c>
      <c r="D458" s="574" t="str">
        <f ca="1">M458</f>
        <v/>
      </c>
      <c r="E458" s="574" t="str">
        <f ca="1">N458</f>
        <v/>
      </c>
      <c r="F458" s="127"/>
      <c r="G458" s="576" t="str">
        <f ca="1">IF(OR(INDIRECT("'update Helper'!E"&amp;Q458)="",F458&lt;&gt;0,F459&lt;&gt;0),IF(IFERROR((F458/F459),"")="","",(F458/F459)),INDIRECT("'update Helper'!E"&amp;Q458)/100)</f>
        <v/>
      </c>
      <c r="H458" s="539"/>
      <c r="I458" s="578"/>
      <c r="J458" s="532"/>
      <c r="K458" s="126">
        <f ca="1">IF(AND(EXACT(C458,C456),C456&lt;&gt;0),K456+1,0)</f>
        <v>1</v>
      </c>
      <c r="L458" s="126" t="str">
        <f ca="1">IF(C458&lt;&gt;"",C458&amp;"-"&amp;K458,"")</f>
        <v>HIV O-6 Percentage of people who inject drugs reporting using sterile injecting equipment the last time they injected-1</v>
      </c>
      <c r="M458" s="126" t="str">
        <f t="array" aca="1" ref="M458" ca="1">IFERROR(IF(INDEX('Disaggregation Records'!$E$83:$E$153,MATCH(RIGHT(L458,255),RIGHT('Disaggregation Records'!$D$83:$D$153,255),0))="","",INDEX('Disaggregation Records'!$E$83:$E$153,MATCH(RIGHT(L458,255),RIGHT('Disaggregation Records'!$D$83:$D$153,255),0))),"")</f>
        <v/>
      </c>
      <c r="N458" s="126" t="str">
        <f t="array" aca="1" ref="N458" ca="1">IFERROR(IF(INDEX('Disaggregation Records'!$F$83:$F$153,MATCH(RIGHT(L458,255),RIGHT('Disaggregation Records'!$D$83:$D$153,255),0))="","",INDEX('Disaggregation Records'!$F$83:$F$153,MATCH(RIGHT(L458,255),RIGHT('Disaggregation Records'!$D$83:$D$153,255),0))),"")</f>
        <v/>
      </c>
      <c r="O458" s="314" t="str">
        <f t="array" aca="1" ref="O458" ca="1">IFERROR(IF(INDEX('Disaggregation Records'!$H$83:$H$153,MATCH(RIGHT(L458,255),RIGHT('Disaggregation Records'!$D$83:$D$153,255),0))="","",INDEX('Disaggregation Records'!$H$83:$H$153,MATCH(RIGHT(L458,255),RIGHT('Disaggregation Records'!$D$83:$D$153,255),0))),"")</f>
        <v/>
      </c>
      <c r="P458" s="314"/>
      <c r="Q458" s="310">
        <f t="shared" ref="Q458" si="627">Q456+1</f>
        <v>1075</v>
      </c>
      <c r="R458" s="314" t="str" cm="1">
        <f t="array" aca="1" ref="R458" ca="1">IFERROR(IF(INDEX('Disaggregation Records'!$G$83:$G$153,MATCH(RIGHT(L458,255),RIGHT('Disaggregation Records'!$D$83:$D$153,255),0))="","",INDEX('Disaggregation Records'!$G$83:$G$153,MATCH(RIGHT(L458,255),RIGHT('Disaggregation Records'!$D$83:$D$153,255),0))),"")</f>
        <v/>
      </c>
    </row>
    <row r="459" spans="1:18" ht="20.100000000000001" customHeight="1">
      <c r="B459" s="571"/>
      <c r="C459" s="573"/>
      <c r="D459" s="575"/>
      <c r="E459" s="575"/>
      <c r="F459" s="128"/>
      <c r="G459" s="577"/>
      <c r="H459" s="540"/>
      <c r="I459" s="579"/>
      <c r="J459" s="533"/>
      <c r="K459" s="126"/>
      <c r="L459" s="126"/>
      <c r="M459" s="126"/>
      <c r="N459" s="126"/>
      <c r="O459" s="314"/>
      <c r="P459" s="314"/>
      <c r="Q459" s="310"/>
      <c r="R459" s="314" t="str" cm="1">
        <f t="array" ref="R459">IFERROR(IF(INDEX('Disaggregation Records'!$G$83:$G$153,MATCH(RIGHT(L459,255),RIGHT('Disaggregation Records'!$D$83:$D$153,255),0))="","",INDEX('Disaggregation Records'!$G$83:$G$153,MATCH(RIGHT(L459,255),RIGHT('Disaggregation Records'!$D$83:$D$153,255),0))),"")</f>
        <v/>
      </c>
    </row>
    <row r="460" spans="1:18" ht="20.100000000000001" customHeight="1">
      <c r="A460" s="126" t="str">
        <f t="shared" ref="A460" ca="1" si="628">INDIRECT("'update Helper'!C"&amp;Q460)</f>
        <v>a1VDm000000PgAxMAK</v>
      </c>
      <c r="B460" s="570">
        <v>8</v>
      </c>
      <c r="C460" s="572" t="str">
        <f ca="1">IFERROR(VLOOKUP(B460,'Outcome Indicators - Section C '!$A$9:$AC$70,29,FALSE),"")</f>
        <v>HIV O-6 Percentage of people who inject drugs reporting using sterile injecting equipment the last time they injected</v>
      </c>
      <c r="D460" s="574" t="str">
        <f ca="1">M460</f>
        <v/>
      </c>
      <c r="E460" s="574" t="str">
        <f ca="1">N460</f>
        <v/>
      </c>
      <c r="F460" s="127"/>
      <c r="G460" s="576" t="str">
        <f ca="1">IF(OR(INDIRECT("'update Helper'!E"&amp;Q460)="",F460&lt;&gt;0,F461&lt;&gt;0),IF(IFERROR((F460/F461),"")="","",(F460/F461)),INDIRECT("'update Helper'!E"&amp;Q460)/100)</f>
        <v/>
      </c>
      <c r="H460" s="539"/>
      <c r="I460" s="578"/>
      <c r="J460" s="532"/>
      <c r="K460" s="126">
        <f ca="1">IF(AND(EXACT(C460,C458),C458&lt;&gt;0),K458+1,0)</f>
        <v>2</v>
      </c>
      <c r="L460" s="126" t="str">
        <f ca="1">IF(C460&lt;&gt;"",C460&amp;"-"&amp;K460,"")</f>
        <v>HIV O-6 Percentage of people who inject drugs reporting using sterile injecting equipment the last time they injected-2</v>
      </c>
      <c r="M460" s="126" t="str">
        <f t="array" aca="1" ref="M460" ca="1">IFERROR(IF(INDEX('Disaggregation Records'!$E$83:$E$153,MATCH(RIGHT(L460,255),RIGHT('Disaggregation Records'!$D$83:$D$153,255),0))="","",INDEX('Disaggregation Records'!$E$83:$E$153,MATCH(RIGHT(L460,255),RIGHT('Disaggregation Records'!$D$83:$D$153,255),0))),"")</f>
        <v/>
      </c>
      <c r="N460" s="126" t="str">
        <f t="array" aca="1" ref="N460" ca="1">IFERROR(IF(INDEX('Disaggregation Records'!$F$83:$F$153,MATCH(RIGHT(L460,255),RIGHT('Disaggregation Records'!$D$83:$D$153,255),0))="","",INDEX('Disaggregation Records'!$F$83:$F$153,MATCH(RIGHT(L460,255),RIGHT('Disaggregation Records'!$D$83:$D$153,255),0))),"")</f>
        <v/>
      </c>
      <c r="O460" s="314" t="str">
        <f t="array" aca="1" ref="O460" ca="1">IFERROR(IF(INDEX('Disaggregation Records'!$H$83:$H$153,MATCH(RIGHT(L460,255),RIGHT('Disaggregation Records'!$D$83:$D$153,255),0))="","",INDEX('Disaggregation Records'!$H$83:$H$153,MATCH(RIGHT(L460,255),RIGHT('Disaggregation Records'!$D$83:$D$153,255),0))),"")</f>
        <v/>
      </c>
      <c r="P460" s="314"/>
      <c r="Q460" s="310">
        <f t="shared" ref="Q460" si="629">Q458+1</f>
        <v>1076</v>
      </c>
      <c r="R460" s="314" t="str" cm="1">
        <f t="array" aca="1" ref="R460" ca="1">IFERROR(IF(INDEX('Disaggregation Records'!$G$83:$G$153,MATCH(RIGHT(L460,255),RIGHT('Disaggregation Records'!$D$83:$D$153,255),0))="","",INDEX('Disaggregation Records'!$G$83:$G$153,MATCH(RIGHT(L460,255),RIGHT('Disaggregation Records'!$D$83:$D$153,255),0))),"")</f>
        <v/>
      </c>
    </row>
    <row r="461" spans="1:18" ht="20.100000000000001" customHeight="1">
      <c r="A461" s="126"/>
      <c r="B461" s="571"/>
      <c r="C461" s="573"/>
      <c r="D461" s="575"/>
      <c r="E461" s="575"/>
      <c r="F461" s="128"/>
      <c r="G461" s="577"/>
      <c r="H461" s="540"/>
      <c r="I461" s="579"/>
      <c r="J461" s="533"/>
      <c r="K461" s="126"/>
      <c r="L461" s="126"/>
      <c r="M461" s="126"/>
      <c r="N461" s="126"/>
      <c r="O461" s="314"/>
      <c r="P461" s="314"/>
      <c r="Q461" s="310"/>
      <c r="R461" s="314" t="str" cm="1">
        <f t="array" ref="R461">IFERROR(IF(INDEX('Disaggregation Records'!$G$83:$G$153,MATCH(RIGHT(L461,255),RIGHT('Disaggregation Records'!$D$83:$D$153,255),0))="","",INDEX('Disaggregation Records'!$G$83:$G$153,MATCH(RIGHT(L461,255),RIGHT('Disaggregation Records'!$D$83:$D$153,255),0))),"")</f>
        <v/>
      </c>
    </row>
    <row r="462" spans="1:18" ht="20.100000000000001" customHeight="1">
      <c r="A462" s="126" t="str">
        <f t="shared" ref="A462" ca="1" si="630">INDIRECT("'update Helper'!C"&amp;Q462)</f>
        <v>a1VDm000000PgAyMAK</v>
      </c>
      <c r="B462" s="570">
        <v>8</v>
      </c>
      <c r="C462" s="572" t="str">
        <f ca="1">IFERROR(VLOOKUP(B462,'Outcome Indicators - Section C '!$A$9:$AC$70,29,FALSE),"")</f>
        <v>HIV O-6 Percentage of people who inject drugs reporting using sterile injecting equipment the last time they injected</v>
      </c>
      <c r="D462" s="574" t="str">
        <f ca="1">M462</f>
        <v/>
      </c>
      <c r="E462" s="574" t="str">
        <f ca="1">N462</f>
        <v/>
      </c>
      <c r="F462" s="127"/>
      <c r="G462" s="576" t="str">
        <f ca="1">IF(OR(INDIRECT("'update Helper'!E"&amp;Q462)="",F462&lt;&gt;0,F463&lt;&gt;0),IF(IFERROR((F462/F463),"")="","",(F462/F463)),INDIRECT("'update Helper'!E"&amp;Q462)/100)</f>
        <v/>
      </c>
      <c r="H462" s="539"/>
      <c r="I462" s="578"/>
      <c r="J462" s="532"/>
      <c r="K462" s="126">
        <f ca="1">IF(AND(EXACT(C462,C460),C460&lt;&gt;0),K460+1,0)</f>
        <v>3</v>
      </c>
      <c r="L462" s="126" t="str">
        <f ca="1">IF(C462&lt;&gt;"",C462&amp;"-"&amp;K462,"")</f>
        <v>HIV O-6 Percentage of people who inject drugs reporting using sterile injecting equipment the last time they injected-3</v>
      </c>
      <c r="M462" s="126" t="str">
        <f t="array" aca="1" ref="M462" ca="1">IFERROR(IF(INDEX('Disaggregation Records'!$E$83:$E$153,MATCH(RIGHT(L462,255),RIGHT('Disaggregation Records'!$D$83:$D$153,255),0))="","",INDEX('Disaggregation Records'!$E$83:$E$153,MATCH(RIGHT(L462,255),RIGHT('Disaggregation Records'!$D$83:$D$153,255),0))),"")</f>
        <v/>
      </c>
      <c r="N462" s="126" t="str">
        <f t="array" aca="1" ref="N462" ca="1">IFERROR(IF(INDEX('Disaggregation Records'!$F$83:$F$153,MATCH(RIGHT(L462,255),RIGHT('Disaggregation Records'!$D$83:$D$153,255),0))="","",INDEX('Disaggregation Records'!$F$83:$F$153,MATCH(RIGHT(L462,255),RIGHT('Disaggregation Records'!$D$83:$D$153,255),0))),"")</f>
        <v/>
      </c>
      <c r="O462" s="314" t="str">
        <f t="array" aca="1" ref="O462" ca="1">IFERROR(IF(INDEX('Disaggregation Records'!$H$83:$H$153,MATCH(RIGHT(L462,255),RIGHT('Disaggregation Records'!$D$83:$D$153,255),0))="","",INDEX('Disaggregation Records'!$H$83:$H$153,MATCH(RIGHT(L462,255),RIGHT('Disaggregation Records'!$D$83:$D$153,255),0))),"")</f>
        <v/>
      </c>
      <c r="P462" s="314"/>
      <c r="Q462" s="310">
        <f t="shared" ref="Q462" si="631">Q460+1</f>
        <v>1077</v>
      </c>
      <c r="R462" s="314" t="str" cm="1">
        <f t="array" aca="1" ref="R462" ca="1">IFERROR(IF(INDEX('Disaggregation Records'!$G$83:$G$153,MATCH(RIGHT(L462,255),RIGHT('Disaggregation Records'!$D$83:$D$153,255),0))="","",INDEX('Disaggregation Records'!$G$83:$G$153,MATCH(RIGHT(L462,255),RIGHT('Disaggregation Records'!$D$83:$D$153,255),0))),"")</f>
        <v/>
      </c>
    </row>
    <row r="463" spans="1:18" ht="20.100000000000001" customHeight="1">
      <c r="B463" s="571"/>
      <c r="C463" s="573"/>
      <c r="D463" s="575"/>
      <c r="E463" s="575"/>
      <c r="F463" s="128"/>
      <c r="G463" s="577"/>
      <c r="H463" s="540"/>
      <c r="I463" s="579"/>
      <c r="J463" s="533"/>
      <c r="K463" s="126"/>
      <c r="L463" s="126"/>
      <c r="M463" s="126"/>
      <c r="N463" s="126"/>
      <c r="O463" s="314"/>
      <c r="P463" s="314"/>
      <c r="Q463" s="310"/>
      <c r="R463" s="314" t="str" cm="1">
        <f t="array" ref="R463">IFERROR(IF(INDEX('Disaggregation Records'!$G$83:$G$153,MATCH(RIGHT(L463,255),RIGHT('Disaggregation Records'!$D$83:$D$153,255),0))="","",INDEX('Disaggregation Records'!$G$83:$G$153,MATCH(RIGHT(L463,255),RIGHT('Disaggregation Records'!$D$83:$D$153,255),0))),"")</f>
        <v/>
      </c>
    </row>
    <row r="464" spans="1:18" ht="20.100000000000001" customHeight="1">
      <c r="A464" s="126" t="str">
        <f t="shared" ref="A464" ca="1" si="632">INDIRECT("'update Helper'!C"&amp;Q464)</f>
        <v>a1VDm000000PgAzMAK</v>
      </c>
      <c r="B464" s="570">
        <v>8</v>
      </c>
      <c r="C464" s="572" t="str">
        <f ca="1">IFERROR(VLOOKUP(B464,'Outcome Indicators - Section C '!$A$9:$AC$70,29,FALSE),"")</f>
        <v>HIV O-6 Percentage of people who inject drugs reporting using sterile injecting equipment the last time they injected</v>
      </c>
      <c r="D464" s="574" t="str">
        <f ca="1">M464</f>
        <v/>
      </c>
      <c r="E464" s="574" t="str">
        <f ca="1">N464</f>
        <v/>
      </c>
      <c r="F464" s="127"/>
      <c r="G464" s="576" t="str">
        <f ca="1">IF(OR(INDIRECT("'update Helper'!E"&amp;Q464)="",F464&lt;&gt;0,F465&lt;&gt;0),IF(IFERROR((F464/F465),"")="","",(F464/F465)),INDIRECT("'update Helper'!E"&amp;Q464)/100)</f>
        <v/>
      </c>
      <c r="H464" s="539"/>
      <c r="I464" s="578"/>
      <c r="J464" s="532"/>
      <c r="K464" s="126">
        <f ca="1">IF(AND(EXACT(C464,C462),C462&lt;&gt;0),K462+1,0)</f>
        <v>4</v>
      </c>
      <c r="L464" s="126" t="str">
        <f ca="1">IF(C464&lt;&gt;"",C464&amp;"-"&amp;K464,"")</f>
        <v>HIV O-6 Percentage of people who inject drugs reporting using sterile injecting equipment the last time they injected-4</v>
      </c>
      <c r="M464" s="126" t="str">
        <f t="array" aca="1" ref="M464" ca="1">IFERROR(IF(INDEX('Disaggregation Records'!$E$83:$E$153,MATCH(RIGHT(L464,255),RIGHT('Disaggregation Records'!$D$83:$D$153,255),0))="","",INDEX('Disaggregation Records'!$E$83:$E$153,MATCH(RIGHT(L464,255),RIGHT('Disaggregation Records'!$D$83:$D$153,255),0))),"")</f>
        <v/>
      </c>
      <c r="N464" s="126" t="str">
        <f t="array" aca="1" ref="N464" ca="1">IFERROR(IF(INDEX('Disaggregation Records'!$F$83:$F$153,MATCH(RIGHT(L464,255),RIGHT('Disaggregation Records'!$D$83:$D$153,255),0))="","",INDEX('Disaggregation Records'!$F$83:$F$153,MATCH(RIGHT(L464,255),RIGHT('Disaggregation Records'!$D$83:$D$153,255),0))),"")</f>
        <v/>
      </c>
      <c r="O464" s="314" t="str">
        <f t="array" aca="1" ref="O464" ca="1">IFERROR(IF(INDEX('Disaggregation Records'!$H$83:$H$153,MATCH(RIGHT(L464,255),RIGHT('Disaggregation Records'!$D$83:$D$153,255),0))="","",INDEX('Disaggregation Records'!$H$83:$H$153,MATCH(RIGHT(L464,255),RIGHT('Disaggregation Records'!$D$83:$D$153,255),0))),"")</f>
        <v/>
      </c>
      <c r="P464" s="314"/>
      <c r="Q464" s="310">
        <f t="shared" ref="Q464" si="633">Q462+1</f>
        <v>1078</v>
      </c>
      <c r="R464" s="314" t="str" cm="1">
        <f t="array" aca="1" ref="R464" ca="1">IFERROR(IF(INDEX('Disaggregation Records'!$G$83:$G$153,MATCH(RIGHT(L464,255),RIGHT('Disaggregation Records'!$D$83:$D$153,255),0))="","",INDEX('Disaggregation Records'!$G$83:$G$153,MATCH(RIGHT(L464,255),RIGHT('Disaggregation Records'!$D$83:$D$153,255),0))),"")</f>
        <v/>
      </c>
    </row>
    <row r="465" spans="1:18" ht="20.100000000000001" customHeight="1">
      <c r="A465" s="126"/>
      <c r="B465" s="571"/>
      <c r="C465" s="573"/>
      <c r="D465" s="575"/>
      <c r="E465" s="575"/>
      <c r="F465" s="128"/>
      <c r="G465" s="577"/>
      <c r="H465" s="540"/>
      <c r="I465" s="579"/>
      <c r="J465" s="533"/>
      <c r="K465" s="126"/>
      <c r="L465" s="126"/>
      <c r="M465" s="126"/>
      <c r="N465" s="126"/>
      <c r="O465" s="314"/>
      <c r="P465" s="314"/>
      <c r="Q465" s="310"/>
      <c r="R465" s="314" t="str" cm="1">
        <f t="array" ref="R465">IFERROR(IF(INDEX('Disaggregation Records'!$G$83:$G$153,MATCH(RIGHT(L465,255),RIGHT('Disaggregation Records'!$D$83:$D$153,255),0))="","",INDEX('Disaggregation Records'!$G$83:$G$153,MATCH(RIGHT(L465,255),RIGHT('Disaggregation Records'!$D$83:$D$153,255),0))),"")</f>
        <v/>
      </c>
    </row>
    <row r="466" spans="1:18" ht="20.100000000000001" customHeight="1">
      <c r="A466" s="126" t="str">
        <f t="shared" ref="A466" ca="1" si="634">INDIRECT("'update Helper'!C"&amp;Q466)</f>
        <v>a1VDm000000PgB0MAK</v>
      </c>
      <c r="B466" s="570">
        <v>8</v>
      </c>
      <c r="C466" s="572" t="str">
        <f ca="1">IFERROR(VLOOKUP(B466,'Outcome Indicators - Section C '!$A$9:$AC$70,29,FALSE),"")</f>
        <v>HIV O-6 Percentage of people who inject drugs reporting using sterile injecting equipment the last time they injected</v>
      </c>
      <c r="D466" s="574" t="str">
        <f ca="1">M466</f>
        <v/>
      </c>
      <c r="E466" s="574" t="str">
        <f ca="1">N466</f>
        <v/>
      </c>
      <c r="F466" s="127"/>
      <c r="G466" s="576" t="str">
        <f ca="1">IF(OR(INDIRECT("'update Helper'!E"&amp;Q466)="",F466&lt;&gt;0,F467&lt;&gt;0),IF(IFERROR((F466/F467),"")="","",(F466/F467)),INDIRECT("'update Helper'!E"&amp;Q466)/100)</f>
        <v/>
      </c>
      <c r="H466" s="539"/>
      <c r="I466" s="578"/>
      <c r="J466" s="532"/>
      <c r="K466" s="126">
        <f ca="1">IF(AND(EXACT(C466,C464),C464&lt;&gt;0),K464+1,0)</f>
        <v>5</v>
      </c>
      <c r="L466" s="126" t="str">
        <f ca="1">IF(C466&lt;&gt;"",C466&amp;"-"&amp;K466,"")</f>
        <v>HIV O-6 Percentage of people who inject drugs reporting using sterile injecting equipment the last time they injected-5</v>
      </c>
      <c r="M466" s="126" t="str">
        <f t="array" aca="1" ref="M466" ca="1">IFERROR(IF(INDEX('Disaggregation Records'!$E$83:$E$153,MATCH(RIGHT(L466,255),RIGHT('Disaggregation Records'!$D$83:$D$153,255),0))="","",INDEX('Disaggregation Records'!$E$83:$E$153,MATCH(RIGHT(L466,255),RIGHT('Disaggregation Records'!$D$83:$D$153,255),0))),"")</f>
        <v/>
      </c>
      <c r="N466" s="126" t="str">
        <f t="array" aca="1" ref="N466" ca="1">IFERROR(IF(INDEX('Disaggregation Records'!$F$83:$F$153,MATCH(RIGHT(L466,255),RIGHT('Disaggregation Records'!$D$83:$D$153,255),0))="","",INDEX('Disaggregation Records'!$F$83:$F$153,MATCH(RIGHT(L466,255),RIGHT('Disaggregation Records'!$D$83:$D$153,255),0))),"")</f>
        <v/>
      </c>
      <c r="O466" s="314" t="str">
        <f t="array" aca="1" ref="O466" ca="1">IFERROR(IF(INDEX('Disaggregation Records'!$H$83:$H$153,MATCH(RIGHT(L466,255),RIGHT('Disaggregation Records'!$D$83:$D$153,255),0))="","",INDEX('Disaggregation Records'!$H$83:$H$153,MATCH(RIGHT(L466,255),RIGHT('Disaggregation Records'!$D$83:$D$153,255),0))),"")</f>
        <v/>
      </c>
      <c r="P466" s="314"/>
      <c r="Q466" s="310">
        <f t="shared" ref="Q466" si="635">Q464+1</f>
        <v>1079</v>
      </c>
      <c r="R466" s="314" t="str" cm="1">
        <f t="array" aca="1" ref="R466" ca="1">IFERROR(IF(INDEX('Disaggregation Records'!$G$83:$G$153,MATCH(RIGHT(L466,255),RIGHT('Disaggregation Records'!$D$83:$D$153,255),0))="","",INDEX('Disaggregation Records'!$G$83:$G$153,MATCH(RIGHT(L466,255),RIGHT('Disaggregation Records'!$D$83:$D$153,255),0))),"")</f>
        <v/>
      </c>
    </row>
    <row r="467" spans="1:18" ht="20.100000000000001" customHeight="1">
      <c r="B467" s="571"/>
      <c r="C467" s="573"/>
      <c r="D467" s="575"/>
      <c r="E467" s="575"/>
      <c r="F467" s="128"/>
      <c r="G467" s="577"/>
      <c r="H467" s="540"/>
      <c r="I467" s="579"/>
      <c r="J467" s="533"/>
      <c r="K467" s="126"/>
      <c r="L467" s="126"/>
      <c r="M467" s="126"/>
      <c r="N467" s="126"/>
      <c r="O467" s="314"/>
      <c r="P467" s="314"/>
      <c r="Q467" s="310"/>
      <c r="R467" s="314" t="str" cm="1">
        <f t="array" ref="R467">IFERROR(IF(INDEX('Disaggregation Records'!$G$83:$G$153,MATCH(RIGHT(L467,255),RIGHT('Disaggregation Records'!$D$83:$D$153,255),0))="","",INDEX('Disaggregation Records'!$G$83:$G$153,MATCH(RIGHT(L467,255),RIGHT('Disaggregation Records'!$D$83:$D$153,255),0))),"")</f>
        <v/>
      </c>
    </row>
    <row r="468" spans="1:18" ht="20.100000000000001" customHeight="1">
      <c r="A468" s="126" t="str">
        <f t="shared" ref="A468" ca="1" si="636">INDIRECT("'update Helper'!C"&amp;Q468)</f>
        <v>a1VDm000000PgB1MAK</v>
      </c>
      <c r="B468" s="570">
        <v>8</v>
      </c>
      <c r="C468" s="572" t="str">
        <f ca="1">IFERROR(VLOOKUP(B468,'Outcome Indicators - Section C '!$A$9:$AC$70,29,FALSE),"")</f>
        <v>HIV O-6 Percentage of people who inject drugs reporting using sterile injecting equipment the last time they injected</v>
      </c>
      <c r="D468" s="574" t="str">
        <f ca="1">M468</f>
        <v/>
      </c>
      <c r="E468" s="574" t="str">
        <f ca="1">N468</f>
        <v/>
      </c>
      <c r="F468" s="127"/>
      <c r="G468" s="576" t="str">
        <f ca="1">IF(OR(INDIRECT("'update Helper'!E"&amp;Q468)="",F468&lt;&gt;0,F469&lt;&gt;0),IF(IFERROR((F468/F469),"")="","",(F468/F469)),INDIRECT("'update Helper'!E"&amp;Q468)/100)</f>
        <v/>
      </c>
      <c r="H468" s="539"/>
      <c r="I468" s="578"/>
      <c r="J468" s="532"/>
      <c r="K468" s="126">
        <f ca="1">IF(AND(EXACT(C468,C466),C466&lt;&gt;0),K466+1,0)</f>
        <v>6</v>
      </c>
      <c r="L468" s="126" t="str">
        <f ca="1">IF(C468&lt;&gt;"",C468&amp;"-"&amp;K468,"")</f>
        <v>HIV O-6 Percentage of people who inject drugs reporting using sterile injecting equipment the last time they injected-6</v>
      </c>
      <c r="M468" s="126" t="str">
        <f t="array" aca="1" ref="M468" ca="1">IFERROR(IF(INDEX('Disaggregation Records'!$E$83:$E$153,MATCH(RIGHT(L468,255),RIGHT('Disaggregation Records'!$D$83:$D$153,255),0))="","",INDEX('Disaggregation Records'!$E$83:$E$153,MATCH(RIGHT(L468,255),RIGHT('Disaggregation Records'!$D$83:$D$153,255),0))),"")</f>
        <v/>
      </c>
      <c r="N468" s="126" t="str">
        <f t="array" aca="1" ref="N468" ca="1">IFERROR(IF(INDEX('Disaggregation Records'!$F$83:$F$153,MATCH(RIGHT(L468,255),RIGHT('Disaggregation Records'!$D$83:$D$153,255),0))="","",INDEX('Disaggregation Records'!$F$83:$F$153,MATCH(RIGHT(L468,255),RIGHT('Disaggregation Records'!$D$83:$D$153,255),0))),"")</f>
        <v/>
      </c>
      <c r="O468" s="314" t="str">
        <f t="array" aca="1" ref="O468" ca="1">IFERROR(IF(INDEX('Disaggregation Records'!$H$83:$H$153,MATCH(RIGHT(L468,255),RIGHT('Disaggregation Records'!$D$83:$D$153,255),0))="","",INDEX('Disaggregation Records'!$H$83:$H$153,MATCH(RIGHT(L468,255),RIGHT('Disaggregation Records'!$D$83:$D$153,255),0))),"")</f>
        <v/>
      </c>
      <c r="P468" s="314"/>
      <c r="Q468" s="310">
        <f t="shared" ref="Q468" si="637">Q466+1</f>
        <v>1080</v>
      </c>
      <c r="R468" s="314" t="str" cm="1">
        <f t="array" aca="1" ref="R468" ca="1">IFERROR(IF(INDEX('Disaggregation Records'!$G$83:$G$153,MATCH(RIGHT(L468,255),RIGHT('Disaggregation Records'!$D$83:$D$153,255),0))="","",INDEX('Disaggregation Records'!$G$83:$G$153,MATCH(RIGHT(L468,255),RIGHT('Disaggregation Records'!$D$83:$D$153,255),0))),"")</f>
        <v/>
      </c>
    </row>
    <row r="469" spans="1:18" ht="20.100000000000001" customHeight="1">
      <c r="A469" s="126"/>
      <c r="B469" s="571"/>
      <c r="C469" s="573"/>
      <c r="D469" s="575"/>
      <c r="E469" s="575"/>
      <c r="F469" s="128"/>
      <c r="G469" s="577"/>
      <c r="H469" s="540"/>
      <c r="I469" s="579"/>
      <c r="J469" s="533"/>
      <c r="K469" s="126"/>
      <c r="L469" s="126"/>
      <c r="M469" s="126"/>
      <c r="N469" s="126"/>
      <c r="O469" s="314"/>
      <c r="P469" s="314"/>
      <c r="Q469" s="310"/>
      <c r="R469" s="314" t="str" cm="1">
        <f t="array" ref="R469">IFERROR(IF(INDEX('Disaggregation Records'!$G$83:$G$153,MATCH(RIGHT(L469,255),RIGHT('Disaggregation Records'!$D$83:$D$153,255),0))="","",INDEX('Disaggregation Records'!$G$83:$G$153,MATCH(RIGHT(L469,255),RIGHT('Disaggregation Records'!$D$83:$D$153,255),0))),"")</f>
        <v/>
      </c>
    </row>
    <row r="470" spans="1:18" ht="20.100000000000001" customHeight="1">
      <c r="A470" s="126" t="str">
        <f t="shared" ref="A470" ca="1" si="638">INDIRECT("'update Helper'!C"&amp;Q470)</f>
        <v>a1VDm000000PgB2MAK</v>
      </c>
      <c r="B470" s="570">
        <v>8</v>
      </c>
      <c r="C470" s="572" t="str">
        <f ca="1">IFERROR(VLOOKUP(B470,'Outcome Indicators - Section C '!$A$9:$AC$70,29,FALSE),"")</f>
        <v>HIV O-6 Percentage of people who inject drugs reporting using sterile injecting equipment the last time they injected</v>
      </c>
      <c r="D470" s="574" t="str">
        <f ca="1">M470</f>
        <v/>
      </c>
      <c r="E470" s="574" t="str">
        <f ca="1">N470</f>
        <v/>
      </c>
      <c r="F470" s="127"/>
      <c r="G470" s="576" t="str">
        <f ca="1">IF(OR(INDIRECT("'update Helper'!E"&amp;Q470)="",F470&lt;&gt;0,F471&lt;&gt;0),IF(IFERROR((F470/F471),"")="","",(F470/F471)),INDIRECT("'update Helper'!E"&amp;Q470)/100)</f>
        <v/>
      </c>
      <c r="H470" s="539"/>
      <c r="I470" s="578"/>
      <c r="J470" s="532"/>
      <c r="K470" s="126">
        <f ca="1">IF(AND(EXACT(C470,C468),C468&lt;&gt;0),K468+1,0)</f>
        <v>7</v>
      </c>
      <c r="L470" s="126" t="str">
        <f ca="1">IF(C470&lt;&gt;"",C470&amp;"-"&amp;K470,"")</f>
        <v>HIV O-6 Percentage of people who inject drugs reporting using sterile injecting equipment the last time they injected-7</v>
      </c>
      <c r="M470" s="126" t="str">
        <f t="array" aca="1" ref="M470" ca="1">IFERROR(IF(INDEX('Disaggregation Records'!$E$83:$E$153,MATCH(RIGHT(L470,255),RIGHT('Disaggregation Records'!$D$83:$D$153,255),0))="","",INDEX('Disaggregation Records'!$E$83:$E$153,MATCH(RIGHT(L470,255),RIGHT('Disaggregation Records'!$D$83:$D$153,255),0))),"")</f>
        <v/>
      </c>
      <c r="N470" s="126" t="str">
        <f t="array" aca="1" ref="N470" ca="1">IFERROR(IF(INDEX('Disaggregation Records'!$F$83:$F$153,MATCH(RIGHT(L470,255),RIGHT('Disaggregation Records'!$D$83:$D$153,255),0))="","",INDEX('Disaggregation Records'!$F$83:$F$153,MATCH(RIGHT(L470,255),RIGHT('Disaggregation Records'!$D$83:$D$153,255),0))),"")</f>
        <v/>
      </c>
      <c r="O470" s="314" t="str">
        <f t="array" aca="1" ref="O470" ca="1">IFERROR(IF(INDEX('Disaggregation Records'!$H$83:$H$153,MATCH(RIGHT(L470,255),RIGHT('Disaggregation Records'!$D$83:$D$153,255),0))="","",INDEX('Disaggregation Records'!$H$83:$H$153,MATCH(RIGHT(L470,255),RIGHT('Disaggregation Records'!$D$83:$D$153,255),0))),"")</f>
        <v/>
      </c>
      <c r="P470" s="314"/>
      <c r="Q470" s="310">
        <f t="shared" ref="Q470" si="639">Q468+1</f>
        <v>1081</v>
      </c>
      <c r="R470" s="314" t="str" cm="1">
        <f t="array" aca="1" ref="R470" ca="1">IFERROR(IF(INDEX('Disaggregation Records'!$G$83:$G$153,MATCH(RIGHT(L470,255),RIGHT('Disaggregation Records'!$D$83:$D$153,255),0))="","",INDEX('Disaggregation Records'!$G$83:$G$153,MATCH(RIGHT(L470,255),RIGHT('Disaggregation Records'!$D$83:$D$153,255),0))),"")</f>
        <v/>
      </c>
    </row>
    <row r="471" spans="1:18" ht="20.100000000000001" customHeight="1">
      <c r="B471" s="571"/>
      <c r="C471" s="573"/>
      <c r="D471" s="575"/>
      <c r="E471" s="575"/>
      <c r="F471" s="128"/>
      <c r="G471" s="577"/>
      <c r="H471" s="540"/>
      <c r="I471" s="579"/>
      <c r="J471" s="533"/>
      <c r="K471" s="126"/>
      <c r="L471" s="126"/>
      <c r="M471" s="126"/>
      <c r="N471" s="126"/>
      <c r="O471" s="314"/>
      <c r="P471" s="314"/>
      <c r="Q471" s="310"/>
      <c r="R471" s="314" t="str" cm="1">
        <f t="array" ref="R471">IFERROR(IF(INDEX('Disaggregation Records'!$G$83:$G$153,MATCH(RIGHT(L471,255),RIGHT('Disaggregation Records'!$D$83:$D$153,255),0))="","",INDEX('Disaggregation Records'!$G$83:$G$153,MATCH(RIGHT(L471,255),RIGHT('Disaggregation Records'!$D$83:$D$153,255),0))),"")</f>
        <v/>
      </c>
    </row>
    <row r="472" spans="1:18" ht="20.100000000000001" customHeight="1">
      <c r="A472" s="126" t="str">
        <f t="shared" ref="A472" ca="1" si="640">INDIRECT("'update Helper'!C"&amp;Q472)</f>
        <v>a1VDm000000PgB3MAK</v>
      </c>
      <c r="B472" s="570">
        <v>8</v>
      </c>
      <c r="C472" s="572" t="str">
        <f ca="1">IFERROR(VLOOKUP(B472,'Outcome Indicators - Section C '!$A$9:$AC$70,29,FALSE),"")</f>
        <v>HIV O-6 Percentage of people who inject drugs reporting using sterile injecting equipment the last time they injected</v>
      </c>
      <c r="D472" s="574" t="str">
        <f ca="1">M472</f>
        <v/>
      </c>
      <c r="E472" s="574" t="str">
        <f ca="1">N472</f>
        <v/>
      </c>
      <c r="F472" s="127"/>
      <c r="G472" s="576" t="str">
        <f ca="1">IF(OR(INDIRECT("'update Helper'!E"&amp;Q472)="",F472&lt;&gt;0,F473&lt;&gt;0),IF(IFERROR((F472/F473),"")="","",(F472/F473)),INDIRECT("'update Helper'!E"&amp;Q472)/100)</f>
        <v/>
      </c>
      <c r="H472" s="539"/>
      <c r="I472" s="578"/>
      <c r="J472" s="532"/>
      <c r="K472" s="126">
        <f ca="1">IF(AND(EXACT(C472,C470),C470&lt;&gt;0),K470+1,0)</f>
        <v>8</v>
      </c>
      <c r="L472" s="126" t="str">
        <f ca="1">IF(C472&lt;&gt;"",C472&amp;"-"&amp;K472,"")</f>
        <v>HIV O-6 Percentage of people who inject drugs reporting using sterile injecting equipment the last time they injected-8</v>
      </c>
      <c r="M472" s="126" t="str">
        <f t="array" aca="1" ref="M472" ca="1">IFERROR(IF(INDEX('Disaggregation Records'!$E$83:$E$153,MATCH(RIGHT(L472,255),RIGHT('Disaggregation Records'!$D$83:$D$153,255),0))="","",INDEX('Disaggregation Records'!$E$83:$E$153,MATCH(RIGHT(L472,255),RIGHT('Disaggregation Records'!$D$83:$D$153,255),0))),"")</f>
        <v/>
      </c>
      <c r="N472" s="126" t="str">
        <f t="array" aca="1" ref="N472" ca="1">IFERROR(IF(INDEX('Disaggregation Records'!$F$83:$F$153,MATCH(RIGHT(L472,255),RIGHT('Disaggregation Records'!$D$83:$D$153,255),0))="","",INDEX('Disaggregation Records'!$F$83:$F$153,MATCH(RIGHT(L472,255),RIGHT('Disaggregation Records'!$D$83:$D$153,255),0))),"")</f>
        <v/>
      </c>
      <c r="O472" s="314" t="str">
        <f t="array" aca="1" ref="O472" ca="1">IFERROR(IF(INDEX('Disaggregation Records'!$H$83:$H$153,MATCH(RIGHT(L472,255),RIGHT('Disaggregation Records'!$D$83:$D$153,255),0))="","",INDEX('Disaggregation Records'!$H$83:$H$153,MATCH(RIGHT(L472,255),RIGHT('Disaggregation Records'!$D$83:$D$153,255),0))),"")</f>
        <v/>
      </c>
      <c r="P472" s="314"/>
      <c r="Q472" s="310">
        <f t="shared" ref="Q472" si="641">Q470+1</f>
        <v>1082</v>
      </c>
      <c r="R472" s="314" t="str" cm="1">
        <f t="array" aca="1" ref="R472" ca="1">IFERROR(IF(INDEX('Disaggregation Records'!$G$83:$G$153,MATCH(RIGHT(L472,255),RIGHT('Disaggregation Records'!$D$83:$D$153,255),0))="","",INDEX('Disaggregation Records'!$G$83:$G$153,MATCH(RIGHT(L472,255),RIGHT('Disaggregation Records'!$D$83:$D$153,255),0))),"")</f>
        <v/>
      </c>
    </row>
    <row r="473" spans="1:18" ht="20.100000000000001" customHeight="1">
      <c r="A473" s="126"/>
      <c r="B473" s="571"/>
      <c r="C473" s="573"/>
      <c r="D473" s="575"/>
      <c r="E473" s="575"/>
      <c r="F473" s="128"/>
      <c r="G473" s="577"/>
      <c r="H473" s="540"/>
      <c r="I473" s="579"/>
      <c r="J473" s="533"/>
      <c r="K473" s="126"/>
      <c r="L473" s="126"/>
      <c r="M473" s="126"/>
      <c r="N473" s="126"/>
      <c r="O473" s="314"/>
      <c r="P473" s="314"/>
      <c r="Q473" s="310"/>
      <c r="R473" s="314" t="str" cm="1">
        <f t="array" ref="R473">IFERROR(IF(INDEX('Disaggregation Records'!$G$83:$G$153,MATCH(RIGHT(L473,255),RIGHT('Disaggregation Records'!$D$83:$D$153,255),0))="","",INDEX('Disaggregation Records'!$G$83:$G$153,MATCH(RIGHT(L473,255),RIGHT('Disaggregation Records'!$D$83:$D$153,255),0))),"")</f>
        <v/>
      </c>
    </row>
    <row r="474" spans="1:18" ht="20.100000000000001" customHeight="1">
      <c r="A474" s="126" t="str">
        <f t="shared" ref="A474" ca="1" si="642">INDIRECT("'update Helper'!C"&amp;Q474)</f>
        <v>a1VDm000000PgB4MAK</v>
      </c>
      <c r="B474" s="570">
        <v>8</v>
      </c>
      <c r="C474" s="572" t="str">
        <f ca="1">IFERROR(VLOOKUP(B474,'Outcome Indicators - Section C '!$A$9:$AC$70,29,FALSE),"")</f>
        <v>HIV O-6 Percentage of people who inject drugs reporting using sterile injecting equipment the last time they injected</v>
      </c>
      <c r="D474" s="574" t="str">
        <f ca="1">M474</f>
        <v/>
      </c>
      <c r="E474" s="574" t="str">
        <f ca="1">N474</f>
        <v/>
      </c>
      <c r="F474" s="127"/>
      <c r="G474" s="576" t="str">
        <f ca="1">IF(OR(INDIRECT("'update Helper'!E"&amp;Q474)="",F474&lt;&gt;0,F475&lt;&gt;0),IF(IFERROR((F474/F475),"")="","",(F474/F475)),INDIRECT("'update Helper'!E"&amp;Q474)/100)</f>
        <v/>
      </c>
      <c r="H474" s="539"/>
      <c r="I474" s="578"/>
      <c r="J474" s="532"/>
      <c r="K474" s="126">
        <f ca="1">IF(AND(EXACT(C474,C472),C472&lt;&gt;0),K472+1,0)</f>
        <v>9</v>
      </c>
      <c r="L474" s="126" t="str">
        <f ca="1">IF(C474&lt;&gt;"",C474&amp;"-"&amp;K474,"")</f>
        <v>HIV O-6 Percentage of people who inject drugs reporting using sterile injecting equipment the last time they injected-9</v>
      </c>
      <c r="M474" s="126" t="str">
        <f t="array" aca="1" ref="M474" ca="1">IFERROR(IF(INDEX('Disaggregation Records'!$E$83:$E$153,MATCH(RIGHT(L474,255),RIGHT('Disaggregation Records'!$D$83:$D$153,255),0))="","",INDEX('Disaggregation Records'!$E$83:$E$153,MATCH(RIGHT(L474,255),RIGHT('Disaggregation Records'!$D$83:$D$153,255),0))),"")</f>
        <v/>
      </c>
      <c r="N474" s="126" t="str">
        <f t="array" aca="1" ref="N474" ca="1">IFERROR(IF(INDEX('Disaggregation Records'!$F$83:$F$153,MATCH(RIGHT(L474,255),RIGHT('Disaggregation Records'!$D$83:$D$153,255),0))="","",INDEX('Disaggregation Records'!$F$83:$F$153,MATCH(RIGHT(L474,255),RIGHT('Disaggregation Records'!$D$83:$D$153,255),0))),"")</f>
        <v/>
      </c>
      <c r="O474" s="314" t="str">
        <f t="array" aca="1" ref="O474" ca="1">IFERROR(IF(INDEX('Disaggregation Records'!$H$83:$H$153,MATCH(RIGHT(L474,255),RIGHT('Disaggregation Records'!$D$83:$D$153,255),0))="","",INDEX('Disaggregation Records'!$H$83:$H$153,MATCH(RIGHT(L474,255),RIGHT('Disaggregation Records'!$D$83:$D$153,255),0))),"")</f>
        <v/>
      </c>
      <c r="P474" s="314"/>
      <c r="Q474" s="310">
        <f t="shared" ref="Q474" si="643">Q472+1</f>
        <v>1083</v>
      </c>
      <c r="R474" s="314" t="str" cm="1">
        <f t="array" aca="1" ref="R474" ca="1">IFERROR(IF(INDEX('Disaggregation Records'!$G$83:$G$153,MATCH(RIGHT(L474,255),RIGHT('Disaggregation Records'!$D$83:$D$153,255),0))="","",INDEX('Disaggregation Records'!$G$83:$G$153,MATCH(RIGHT(L474,255),RIGHT('Disaggregation Records'!$D$83:$D$153,255),0))),"")</f>
        <v/>
      </c>
    </row>
    <row r="475" spans="1:18" ht="20.100000000000001" customHeight="1">
      <c r="B475" s="571"/>
      <c r="C475" s="573"/>
      <c r="D475" s="575"/>
      <c r="E475" s="575"/>
      <c r="F475" s="128"/>
      <c r="G475" s="577"/>
      <c r="H475" s="540"/>
      <c r="I475" s="579"/>
      <c r="J475" s="533"/>
      <c r="K475" s="126"/>
      <c r="L475" s="126"/>
      <c r="M475" s="126"/>
      <c r="N475" s="126"/>
      <c r="O475" s="314"/>
      <c r="P475" s="314"/>
      <c r="Q475" s="310"/>
      <c r="R475" s="314" t="str" cm="1">
        <f t="array" ref="R475">IFERROR(IF(INDEX('Disaggregation Records'!$G$83:$G$153,MATCH(RIGHT(L475,255),RIGHT('Disaggregation Records'!$D$83:$D$153,255),0))="","",INDEX('Disaggregation Records'!$G$83:$G$153,MATCH(RIGHT(L475,255),RIGHT('Disaggregation Records'!$D$83:$D$153,255),0))),"")</f>
        <v/>
      </c>
    </row>
    <row r="476" spans="1:18" ht="20.100000000000001" customHeight="1">
      <c r="A476" s="126" t="str">
        <f t="shared" ref="A476" ca="1" si="644">INDIRECT("'update Helper'!C"&amp;Q476)</f>
        <v>a1VDm000000PgB5MAK</v>
      </c>
      <c r="B476" s="570">
        <v>9</v>
      </c>
      <c r="C476" s="572" t="str">
        <f ca="1">IFERROR(VLOOKUP(B476,'Outcome Indicators - Section C '!$A$9:$AC$70,29,FALSE),"")</f>
        <v>HIV O-11 Percentage of people living with HIV who know their HIV status at the end of the reporting period</v>
      </c>
      <c r="D476" s="574" t="str">
        <f ca="1">M476</f>
        <v>Age</v>
      </c>
      <c r="E476" s="574" t="str">
        <f ca="1">N476</f>
        <v>15+</v>
      </c>
      <c r="F476" s="127">
        <v>434899</v>
      </c>
      <c r="G476" s="576">
        <f ca="1">IF(OR(INDIRECT("'update Helper'!E"&amp;Q476)="",F476&lt;&gt;0,F477&lt;&gt;0),IF(IFERROR((F476/F477),"")="","",(F476/F477)),INDIRECT("'update Helper'!E"&amp;Q476)/100)</f>
        <v>0.90809225019053486</v>
      </c>
      <c r="H476" s="539">
        <v>2021</v>
      </c>
      <c r="I476" s="578" t="s">
        <v>2270</v>
      </c>
      <c r="J476" s="532"/>
      <c r="K476" s="126">
        <f ca="1">IF(AND(EXACT(C476,C474),C474&lt;&gt;0),K474+1,0)</f>
        <v>0</v>
      </c>
      <c r="L476" s="126" t="str">
        <f ca="1">IF(C476&lt;&gt;"",C476&amp;"-"&amp;K476,"")</f>
        <v>HIV O-11 Percentage of people living with HIV who know their HIV status at the end of the reporting period-0</v>
      </c>
      <c r="M476" s="126" t="str">
        <f t="array" aca="1" ref="M476" ca="1">IFERROR(IF(INDEX('Disaggregation Records'!$E$83:$E$153,MATCH(RIGHT(L476,255),RIGHT('Disaggregation Records'!$D$83:$D$153,255),0))="","",INDEX('Disaggregation Records'!$E$83:$E$153,MATCH(RIGHT(L476,255),RIGHT('Disaggregation Records'!$D$83:$D$153,255),0))),"")</f>
        <v>Age</v>
      </c>
      <c r="N476" s="126" t="str">
        <f t="array" aca="1" ref="N476" ca="1">IFERROR(IF(INDEX('Disaggregation Records'!$F$83:$F$153,MATCH(RIGHT(L476,255),RIGHT('Disaggregation Records'!$D$83:$D$153,255),0))="","",INDEX('Disaggregation Records'!$F$83:$F$153,MATCH(RIGHT(L476,255),RIGHT('Disaggregation Records'!$D$83:$D$153,255),0))),"")</f>
        <v>15+</v>
      </c>
      <c r="O476" s="314" t="str">
        <f t="array" aca="1" ref="O476" ca="1">IFERROR(IF(INDEX('Disaggregation Records'!$H$83:$H$153,MATCH(RIGHT(L476,255),RIGHT('Disaggregation Records'!$D$83:$D$153,255),0))="","",INDEX('Disaggregation Records'!$H$83:$H$153,MATCH(RIGHT(L476,255),RIGHT('Disaggregation Records'!$D$83:$D$153,255),0))),"")</f>
        <v>IDR-01103</v>
      </c>
      <c r="P476" s="314"/>
      <c r="Q476" s="310">
        <f t="shared" ref="Q476" si="645">Q474+1</f>
        <v>1084</v>
      </c>
      <c r="R476" s="314" t="str" cm="1">
        <f t="array" aca="1" ref="R476" ca="1">IFERROR(IF(INDEX('Disaggregation Records'!$G$83:$G$153,MATCH(RIGHT(L476,255),RIGHT('Disaggregation Records'!$D$83:$D$153,255),0))="","",INDEX('Disaggregation Records'!$G$83:$G$153,MATCH(RIGHT(L476,255),RIGHT('Disaggregation Records'!$D$83:$D$153,255),0))),"")</f>
        <v>a1LDm000000Cb0XMAS</v>
      </c>
    </row>
    <row r="477" spans="1:18" ht="20.100000000000001" customHeight="1">
      <c r="A477" s="126"/>
      <c r="B477" s="571"/>
      <c r="C477" s="573"/>
      <c r="D477" s="575"/>
      <c r="E477" s="575"/>
      <c r="F477" s="128">
        <v>478915</v>
      </c>
      <c r="G477" s="577"/>
      <c r="H477" s="540"/>
      <c r="I477" s="579"/>
      <c r="J477" s="533"/>
      <c r="K477" s="126"/>
      <c r="L477" s="126"/>
      <c r="M477" s="126"/>
      <c r="N477" s="126"/>
      <c r="O477" s="314"/>
      <c r="P477" s="314"/>
      <c r="Q477" s="310"/>
      <c r="R477" s="314" t="str" cm="1">
        <f t="array" ref="R477">IFERROR(IF(INDEX('Disaggregation Records'!$G$83:$G$153,MATCH(RIGHT(L477,255),RIGHT('Disaggregation Records'!$D$83:$D$153,255),0))="","",INDEX('Disaggregation Records'!$G$83:$G$153,MATCH(RIGHT(L477,255),RIGHT('Disaggregation Records'!$D$83:$D$153,255),0))),"")</f>
        <v/>
      </c>
    </row>
    <row r="478" spans="1:18" ht="20.100000000000001" customHeight="1">
      <c r="A478" s="126" t="str">
        <f t="shared" ref="A478" ca="1" si="646">INDIRECT("'update Helper'!C"&amp;Q478)</f>
        <v>a1VDm000000PgB6MAK</v>
      </c>
      <c r="B478" s="570">
        <v>9</v>
      </c>
      <c r="C478" s="572" t="str">
        <f ca="1">IFERROR(VLOOKUP(B478,'Outcome Indicators - Section C '!$A$9:$AC$70,29,FALSE),"")</f>
        <v>HIV O-11 Percentage of people living with HIV who know their HIV status at the end of the reporting period</v>
      </c>
      <c r="D478" s="574" t="str">
        <f ca="1">M478</f>
        <v>Age</v>
      </c>
      <c r="E478" s="574" t="str">
        <f ca="1">N478</f>
        <v>&lt;15</v>
      </c>
      <c r="F478" s="127">
        <v>24969</v>
      </c>
      <c r="G478" s="576">
        <f ca="1">IF(OR(INDIRECT("'update Helper'!E"&amp;Q478)="",F478&lt;&gt;0,F479&lt;&gt;0),IF(IFERROR((F478/F479),"")="","",(F478/F479)),INDIRECT("'update Helper'!E"&amp;Q478)/100)</f>
        <v>0.39687509934195886</v>
      </c>
      <c r="H478" s="539">
        <v>2021</v>
      </c>
      <c r="I478" s="578" t="s">
        <v>2270</v>
      </c>
      <c r="J478" s="532"/>
      <c r="K478" s="126">
        <f ca="1">IF(AND(EXACT(C478,C476),C476&lt;&gt;0),K476+1,0)</f>
        <v>1</v>
      </c>
      <c r="L478" s="126" t="str">
        <f ca="1">IF(C478&lt;&gt;"",C478&amp;"-"&amp;K478,"")</f>
        <v>HIV O-11 Percentage of people living with HIV who know their HIV status at the end of the reporting period-1</v>
      </c>
      <c r="M478" s="126" t="str">
        <f t="array" aca="1" ref="M478" ca="1">IFERROR(IF(INDEX('Disaggregation Records'!$E$83:$E$153,MATCH(RIGHT(L478,255),RIGHT('Disaggregation Records'!$D$83:$D$153,255),0))="","",INDEX('Disaggregation Records'!$E$83:$E$153,MATCH(RIGHT(L478,255),RIGHT('Disaggregation Records'!$D$83:$D$153,255),0))),"")</f>
        <v>Age</v>
      </c>
      <c r="N478" s="126" t="str">
        <f t="array" aca="1" ref="N478" ca="1">IFERROR(IF(INDEX('Disaggregation Records'!$F$83:$F$153,MATCH(RIGHT(L478,255),RIGHT('Disaggregation Records'!$D$83:$D$153,255),0))="","",INDEX('Disaggregation Records'!$F$83:$F$153,MATCH(RIGHT(L478,255),RIGHT('Disaggregation Records'!$D$83:$D$153,255),0))),"")</f>
        <v>&lt;15</v>
      </c>
      <c r="O478" s="314" t="str">
        <f t="array" aca="1" ref="O478" ca="1">IFERROR(IF(INDEX('Disaggregation Records'!$H$83:$H$153,MATCH(RIGHT(L478,255),RIGHT('Disaggregation Records'!$D$83:$D$153,255),0))="","",INDEX('Disaggregation Records'!$H$83:$H$153,MATCH(RIGHT(L478,255),RIGHT('Disaggregation Records'!$D$83:$D$153,255),0))),"")</f>
        <v>IDR-01102</v>
      </c>
      <c r="P478" s="314"/>
      <c r="Q478" s="310">
        <f t="shared" ref="Q478" si="647">Q476+1</f>
        <v>1085</v>
      </c>
      <c r="R478" s="314" t="str" cm="1">
        <f t="array" aca="1" ref="R478" ca="1">IFERROR(IF(INDEX('Disaggregation Records'!$G$83:$G$153,MATCH(RIGHT(L478,255),RIGHT('Disaggregation Records'!$D$83:$D$153,255),0))="","",INDEX('Disaggregation Records'!$G$83:$G$153,MATCH(RIGHT(L478,255),RIGHT('Disaggregation Records'!$D$83:$D$153,255),0))),"")</f>
        <v>a1LDm000000Cb0WMAS</v>
      </c>
    </row>
    <row r="479" spans="1:18" ht="20.100000000000001" customHeight="1">
      <c r="B479" s="571"/>
      <c r="C479" s="573"/>
      <c r="D479" s="575"/>
      <c r="E479" s="575"/>
      <c r="F479" s="128">
        <v>62914</v>
      </c>
      <c r="G479" s="577"/>
      <c r="H479" s="540"/>
      <c r="I479" s="579"/>
      <c r="J479" s="533"/>
      <c r="K479" s="126"/>
      <c r="L479" s="126"/>
      <c r="M479" s="126"/>
      <c r="N479" s="126"/>
      <c r="O479" s="314"/>
      <c r="P479" s="314"/>
      <c r="Q479" s="310"/>
      <c r="R479" s="314" t="str" cm="1">
        <f t="array" ref="R479">IFERROR(IF(INDEX('Disaggregation Records'!$G$83:$G$153,MATCH(RIGHT(L479,255),RIGHT('Disaggregation Records'!$D$83:$D$153,255),0))="","",INDEX('Disaggregation Records'!$G$83:$G$153,MATCH(RIGHT(L479,255),RIGHT('Disaggregation Records'!$D$83:$D$153,255),0))),"")</f>
        <v/>
      </c>
    </row>
    <row r="480" spans="1:18" ht="20.100000000000001" customHeight="1">
      <c r="A480" s="126" t="str">
        <f t="shared" ref="A480" ca="1" si="648">INDIRECT("'update Helper'!C"&amp;Q480)</f>
        <v>a1VDm000000PgB7MAK</v>
      </c>
      <c r="B480" s="570">
        <v>9</v>
      </c>
      <c r="C480" s="572" t="str">
        <f ca="1">IFERROR(VLOOKUP(B480,'Outcome Indicators - Section C '!$A$9:$AC$70,29,FALSE),"")</f>
        <v>HIV O-11 Percentage of people living with HIV who know their HIV status at the end of the reporting period</v>
      </c>
      <c r="D480" s="574" t="str">
        <f ca="1">M480</f>
        <v>Gender | Age</v>
      </c>
      <c r="E480" s="574" t="str">
        <f ca="1">N480</f>
        <v>Male 15+</v>
      </c>
      <c r="F480" s="127">
        <v>155956</v>
      </c>
      <c r="G480" s="576">
        <f ca="1">IF(OR(INDIRECT("'update Helper'!E"&amp;Q480)="",F480&lt;&gt;0,F481&lt;&gt;0),IF(IFERROR((F480/F481),"")="","",(F480/F481)),INDIRECT("'update Helper'!E"&amp;Q480)/100)</f>
        <v>0.3257124359094849</v>
      </c>
      <c r="H480" s="539">
        <v>2021</v>
      </c>
      <c r="I480" s="578" t="s">
        <v>2270</v>
      </c>
      <c r="J480" s="532"/>
      <c r="K480" s="126">
        <f ca="1">IF(AND(EXACT(C480,C478),C478&lt;&gt;0),K478+1,0)</f>
        <v>2</v>
      </c>
      <c r="L480" s="126" t="str">
        <f ca="1">IF(C480&lt;&gt;"",C480&amp;"-"&amp;K480,"")</f>
        <v>HIV O-11 Percentage of people living with HIV who know their HIV status at the end of the reporting period-2</v>
      </c>
      <c r="M480" s="126" t="str">
        <f t="array" aca="1" ref="M480" ca="1">IFERROR(IF(INDEX('Disaggregation Records'!$E$83:$E$153,MATCH(RIGHT(L480,255),RIGHT('Disaggregation Records'!$D$83:$D$153,255),0))="","",INDEX('Disaggregation Records'!$E$83:$E$153,MATCH(RIGHT(L480,255),RIGHT('Disaggregation Records'!$D$83:$D$153,255),0))),"")</f>
        <v>Gender | Age</v>
      </c>
      <c r="N480" s="126" t="str">
        <f t="array" aca="1" ref="N480" ca="1">IFERROR(IF(INDEX('Disaggregation Records'!$F$83:$F$153,MATCH(RIGHT(L480,255),RIGHT('Disaggregation Records'!$D$83:$D$153,255),0))="","",INDEX('Disaggregation Records'!$F$83:$F$153,MATCH(RIGHT(L480,255),RIGHT('Disaggregation Records'!$D$83:$D$153,255),0))),"")</f>
        <v>Male 15+</v>
      </c>
      <c r="O480" s="314" t="str">
        <f t="array" aca="1" ref="O480" ca="1">IFERROR(IF(INDEX('Disaggregation Records'!$H$83:$H$153,MATCH(RIGHT(L480,255),RIGHT('Disaggregation Records'!$D$83:$D$153,255),0))="","",INDEX('Disaggregation Records'!$H$83:$H$153,MATCH(RIGHT(L480,255),RIGHT('Disaggregation Records'!$D$83:$D$153,255),0))),"")</f>
        <v>IDR-01101</v>
      </c>
      <c r="P480" s="314"/>
      <c r="Q480" s="310">
        <f t="shared" ref="Q480" si="649">Q478+1</f>
        <v>1086</v>
      </c>
      <c r="R480" s="314" t="str" cm="1">
        <f t="array" aca="1" ref="R480" ca="1">IFERROR(IF(INDEX('Disaggregation Records'!$G$83:$G$153,MATCH(RIGHT(L480,255),RIGHT('Disaggregation Records'!$D$83:$D$153,255),0))="","",INDEX('Disaggregation Records'!$G$83:$G$153,MATCH(RIGHT(L480,255),RIGHT('Disaggregation Records'!$D$83:$D$153,255),0))),"")</f>
        <v>a1LDm000000Cb0VMAS</v>
      </c>
    </row>
    <row r="481" spans="1:18" ht="20.100000000000001" customHeight="1">
      <c r="A481" s="126"/>
      <c r="B481" s="571"/>
      <c r="C481" s="573"/>
      <c r="D481" s="575"/>
      <c r="E481" s="575"/>
      <c r="F481" s="128">
        <v>478815</v>
      </c>
      <c r="G481" s="577"/>
      <c r="H481" s="540"/>
      <c r="I481" s="579"/>
      <c r="J481" s="533"/>
      <c r="K481" s="126"/>
      <c r="L481" s="126"/>
      <c r="M481" s="126"/>
      <c r="N481" s="126"/>
      <c r="O481" s="314"/>
      <c r="P481" s="314"/>
      <c r="Q481" s="310"/>
      <c r="R481" s="314" t="str" cm="1">
        <f t="array" ref="R481">IFERROR(IF(INDEX('Disaggregation Records'!$G$83:$G$153,MATCH(RIGHT(L481,255),RIGHT('Disaggregation Records'!$D$83:$D$153,255),0))="","",INDEX('Disaggregation Records'!$G$83:$G$153,MATCH(RIGHT(L481,255),RIGHT('Disaggregation Records'!$D$83:$D$153,255),0))),"")</f>
        <v/>
      </c>
    </row>
    <row r="482" spans="1:18" ht="20.100000000000001" customHeight="1">
      <c r="A482" s="126" t="str">
        <f t="shared" ref="A482" ca="1" si="650">INDIRECT("'update Helper'!C"&amp;Q482)</f>
        <v>a1VDm000000PgB8MAK</v>
      </c>
      <c r="B482" s="570">
        <v>9</v>
      </c>
      <c r="C482" s="572" t="str">
        <f ca="1">IFERROR(VLOOKUP(B482,'Outcome Indicators - Section C '!$A$9:$AC$70,29,FALSE),"")</f>
        <v>HIV O-11 Percentage of people living with HIV who know their HIV status at the end of the reporting period</v>
      </c>
      <c r="D482" s="574" t="str">
        <f ca="1">M482</f>
        <v>Gender | Age</v>
      </c>
      <c r="E482" s="574" t="str">
        <f ca="1">N482</f>
        <v>Female 15+</v>
      </c>
      <c r="F482" s="127">
        <v>278942</v>
      </c>
      <c r="G482" s="576">
        <f ca="1">IF(OR(INDIRECT("'update Helper'!E"&amp;Q482)="",F482&lt;&gt;0,F483&lt;&gt;0),IF(IFERROR((F482/F483),"")="","",(F482/F483)),INDIRECT("'update Helper'!E"&amp;Q482)/100)</f>
        <v>0.58244573671737154</v>
      </c>
      <c r="H482" s="539">
        <v>2021</v>
      </c>
      <c r="I482" s="578" t="s">
        <v>2270</v>
      </c>
      <c r="J482" s="532"/>
      <c r="K482" s="126">
        <f ca="1">IF(AND(EXACT(C482,C480),C480&lt;&gt;0),K480+1,0)</f>
        <v>3</v>
      </c>
      <c r="L482" s="126" t="str">
        <f ca="1">IF(C482&lt;&gt;"",C482&amp;"-"&amp;K482,"")</f>
        <v>HIV O-11 Percentage of people living with HIV who know their HIV status at the end of the reporting period-3</v>
      </c>
      <c r="M482" s="126" t="str">
        <f t="array" aca="1" ref="M482" ca="1">IFERROR(IF(INDEX('Disaggregation Records'!$E$83:$E$153,MATCH(RIGHT(L482,255),RIGHT('Disaggregation Records'!$D$83:$D$153,255),0))="","",INDEX('Disaggregation Records'!$E$83:$E$153,MATCH(RIGHT(L482,255),RIGHT('Disaggregation Records'!$D$83:$D$153,255),0))),"")</f>
        <v>Gender | Age</v>
      </c>
      <c r="N482" s="126" t="str">
        <f t="array" aca="1" ref="N482" ca="1">IFERROR(IF(INDEX('Disaggregation Records'!$F$83:$F$153,MATCH(RIGHT(L482,255),RIGHT('Disaggregation Records'!$D$83:$D$153,255),0))="","",INDEX('Disaggregation Records'!$F$83:$F$153,MATCH(RIGHT(L482,255),RIGHT('Disaggregation Records'!$D$83:$D$153,255),0))),"")</f>
        <v>Female 15+</v>
      </c>
      <c r="O482" s="314" t="str">
        <f t="array" aca="1" ref="O482" ca="1">IFERROR(IF(INDEX('Disaggregation Records'!$H$83:$H$153,MATCH(RIGHT(L482,255),RIGHT('Disaggregation Records'!$D$83:$D$153,255),0))="","",INDEX('Disaggregation Records'!$H$83:$H$153,MATCH(RIGHT(L482,255),RIGHT('Disaggregation Records'!$D$83:$D$153,255),0))),"")</f>
        <v>IDR-01100</v>
      </c>
      <c r="P482" s="314"/>
      <c r="Q482" s="310">
        <f t="shared" ref="Q482" si="651">Q480+1</f>
        <v>1087</v>
      </c>
      <c r="R482" s="314" t="str" cm="1">
        <f t="array" aca="1" ref="R482" ca="1">IFERROR(IF(INDEX('Disaggregation Records'!$G$83:$G$153,MATCH(RIGHT(L482,255),RIGHT('Disaggregation Records'!$D$83:$D$153,255),0))="","",INDEX('Disaggregation Records'!$G$83:$G$153,MATCH(RIGHT(L482,255),RIGHT('Disaggregation Records'!$D$83:$D$153,255),0))),"")</f>
        <v>a1LDm000000Cb0UMAS</v>
      </c>
    </row>
    <row r="483" spans="1:18" ht="20.100000000000001" customHeight="1">
      <c r="B483" s="571"/>
      <c r="C483" s="573"/>
      <c r="D483" s="575"/>
      <c r="E483" s="575"/>
      <c r="F483" s="128">
        <v>478915</v>
      </c>
      <c r="G483" s="577"/>
      <c r="H483" s="540"/>
      <c r="I483" s="579"/>
      <c r="J483" s="533"/>
      <c r="K483" s="126"/>
      <c r="L483" s="126"/>
      <c r="M483" s="126"/>
      <c r="N483" s="126"/>
      <c r="O483" s="314"/>
      <c r="P483" s="314"/>
      <c r="Q483" s="310"/>
      <c r="R483" s="314" t="str" cm="1">
        <f t="array" ref="R483">IFERROR(IF(INDEX('Disaggregation Records'!$G$83:$G$153,MATCH(RIGHT(L483,255),RIGHT('Disaggregation Records'!$D$83:$D$153,255),0))="","",INDEX('Disaggregation Records'!$G$83:$G$153,MATCH(RIGHT(L483,255),RIGHT('Disaggregation Records'!$D$83:$D$153,255),0))),"")</f>
        <v/>
      </c>
    </row>
    <row r="484" spans="1:18" ht="20.100000000000001" customHeight="1">
      <c r="A484" s="126" t="str">
        <f t="shared" ref="A484" ca="1" si="652">INDIRECT("'update Helper'!C"&amp;Q484)</f>
        <v>a1VDm000000PgB9MAK</v>
      </c>
      <c r="B484" s="570">
        <v>9</v>
      </c>
      <c r="C484" s="572" t="str">
        <f ca="1">IFERROR(VLOOKUP(B484,'Outcome Indicators - Section C '!$A$9:$AC$70,29,FALSE),"")</f>
        <v>HIV O-11 Percentage of people living with HIV who know their HIV status at the end of the reporting period</v>
      </c>
      <c r="D484" s="574" t="str">
        <f ca="1">M484</f>
        <v/>
      </c>
      <c r="E484" s="574" t="str">
        <f ca="1">N484</f>
        <v/>
      </c>
      <c r="F484" s="127"/>
      <c r="G484" s="576" t="str">
        <f ca="1">IF(OR(INDIRECT("'update Helper'!E"&amp;Q484)="",F484&lt;&gt;0,F485&lt;&gt;0),IF(IFERROR((F484/F485),"")="","",(F484/F485)),INDIRECT("'update Helper'!E"&amp;Q484)/100)</f>
        <v/>
      </c>
      <c r="H484" s="539"/>
      <c r="I484" s="578"/>
      <c r="J484" s="532"/>
      <c r="K484" s="126">
        <f ca="1">IF(AND(EXACT(C484,C482),C482&lt;&gt;0),K482+1,0)</f>
        <v>4</v>
      </c>
      <c r="L484" s="126" t="str">
        <f ca="1">IF(C484&lt;&gt;"",C484&amp;"-"&amp;K484,"")</f>
        <v>HIV O-11 Percentage of people living with HIV who know their HIV status at the end of the reporting period-4</v>
      </c>
      <c r="M484" s="126" t="str">
        <f t="array" aca="1" ref="M484" ca="1">IFERROR(IF(INDEX('Disaggregation Records'!$E$83:$E$153,MATCH(RIGHT(L484,255),RIGHT('Disaggregation Records'!$D$83:$D$153,255),0))="","",INDEX('Disaggregation Records'!$E$83:$E$153,MATCH(RIGHT(L484,255),RIGHT('Disaggregation Records'!$D$83:$D$153,255),0))),"")</f>
        <v/>
      </c>
      <c r="N484" s="126" t="str">
        <f t="array" aca="1" ref="N484" ca="1">IFERROR(IF(INDEX('Disaggregation Records'!$F$83:$F$153,MATCH(RIGHT(L484,255),RIGHT('Disaggregation Records'!$D$83:$D$153,255),0))="","",INDEX('Disaggregation Records'!$F$83:$F$153,MATCH(RIGHT(L484,255),RIGHT('Disaggregation Records'!$D$83:$D$153,255),0))),"")</f>
        <v/>
      </c>
      <c r="O484" s="314" t="str">
        <f t="array" aca="1" ref="O484" ca="1">IFERROR(IF(INDEX('Disaggregation Records'!$H$83:$H$153,MATCH(RIGHT(L484,255),RIGHT('Disaggregation Records'!$D$83:$D$153,255),0))="","",INDEX('Disaggregation Records'!$H$83:$H$153,MATCH(RIGHT(L484,255),RIGHT('Disaggregation Records'!$D$83:$D$153,255),0))),"")</f>
        <v/>
      </c>
      <c r="P484" s="314"/>
      <c r="Q484" s="310">
        <f t="shared" ref="Q484" si="653">Q482+1</f>
        <v>1088</v>
      </c>
      <c r="R484" s="314" t="str" cm="1">
        <f t="array" aca="1" ref="R484" ca="1">IFERROR(IF(INDEX('Disaggregation Records'!$G$83:$G$153,MATCH(RIGHT(L484,255),RIGHT('Disaggregation Records'!$D$83:$D$153,255),0))="","",INDEX('Disaggregation Records'!$G$83:$G$153,MATCH(RIGHT(L484,255),RIGHT('Disaggregation Records'!$D$83:$D$153,255),0))),"")</f>
        <v/>
      </c>
    </row>
    <row r="485" spans="1:18" ht="20.100000000000001" customHeight="1">
      <c r="A485" s="126"/>
      <c r="B485" s="571"/>
      <c r="C485" s="573"/>
      <c r="D485" s="575"/>
      <c r="E485" s="575"/>
      <c r="F485" s="128"/>
      <c r="G485" s="577"/>
      <c r="H485" s="540"/>
      <c r="I485" s="579"/>
      <c r="J485" s="533"/>
      <c r="K485" s="126"/>
      <c r="L485" s="126"/>
      <c r="M485" s="126"/>
      <c r="N485" s="126"/>
      <c r="O485" s="314"/>
      <c r="P485" s="314"/>
      <c r="Q485" s="310"/>
      <c r="R485" s="314" t="str" cm="1">
        <f t="array" ref="R485">IFERROR(IF(INDEX('Disaggregation Records'!$G$83:$G$153,MATCH(RIGHT(L485,255),RIGHT('Disaggregation Records'!$D$83:$D$153,255),0))="","",INDEX('Disaggregation Records'!$G$83:$G$153,MATCH(RIGHT(L485,255),RIGHT('Disaggregation Records'!$D$83:$D$153,255),0))),"")</f>
        <v/>
      </c>
    </row>
    <row r="486" spans="1:18" ht="20.100000000000001" customHeight="1">
      <c r="A486" s="126" t="str">
        <f t="shared" ref="A486" ca="1" si="654">INDIRECT("'update Helper'!C"&amp;Q486)</f>
        <v>a1VDm000000PgBAMA0</v>
      </c>
      <c r="B486" s="570">
        <v>9</v>
      </c>
      <c r="C486" s="572" t="str">
        <f ca="1">IFERROR(VLOOKUP(B486,'Outcome Indicators - Section C '!$A$9:$AC$70,29,FALSE),"")</f>
        <v>HIV O-11 Percentage of people living with HIV who know their HIV status at the end of the reporting period</v>
      </c>
      <c r="D486" s="574" t="str">
        <f ca="1">M486</f>
        <v/>
      </c>
      <c r="E486" s="574" t="str">
        <f ca="1">N486</f>
        <v/>
      </c>
      <c r="F486" s="127"/>
      <c r="G486" s="576" t="str">
        <f ca="1">IF(OR(INDIRECT("'update Helper'!E"&amp;Q486)="",F486&lt;&gt;0,F487&lt;&gt;0),IF(IFERROR((F486/F487),"")="","",(F486/F487)),INDIRECT("'update Helper'!E"&amp;Q486)/100)</f>
        <v/>
      </c>
      <c r="H486" s="539"/>
      <c r="I486" s="578"/>
      <c r="J486" s="532"/>
      <c r="K486" s="126">
        <f ca="1">IF(AND(EXACT(C486,C484),C484&lt;&gt;0),K484+1,0)</f>
        <v>5</v>
      </c>
      <c r="L486" s="126" t="str">
        <f ca="1">IF(C486&lt;&gt;"",C486&amp;"-"&amp;K486,"")</f>
        <v>HIV O-11 Percentage of people living with HIV who know their HIV status at the end of the reporting period-5</v>
      </c>
      <c r="M486" s="126" t="str">
        <f t="array" aca="1" ref="M486" ca="1">IFERROR(IF(INDEX('Disaggregation Records'!$E$83:$E$153,MATCH(RIGHT(L486,255),RIGHT('Disaggregation Records'!$D$83:$D$153,255),0))="","",INDEX('Disaggregation Records'!$E$83:$E$153,MATCH(RIGHT(L486,255),RIGHT('Disaggregation Records'!$D$83:$D$153,255),0))),"")</f>
        <v/>
      </c>
      <c r="N486" s="126" t="str">
        <f t="array" aca="1" ref="N486" ca="1">IFERROR(IF(INDEX('Disaggregation Records'!$F$83:$F$153,MATCH(RIGHT(L486,255),RIGHT('Disaggregation Records'!$D$83:$D$153,255),0))="","",INDEX('Disaggregation Records'!$F$83:$F$153,MATCH(RIGHT(L486,255),RIGHT('Disaggregation Records'!$D$83:$D$153,255),0))),"")</f>
        <v/>
      </c>
      <c r="O486" s="314" t="str">
        <f t="array" aca="1" ref="O486" ca="1">IFERROR(IF(INDEX('Disaggregation Records'!$H$83:$H$153,MATCH(RIGHT(L486,255),RIGHT('Disaggregation Records'!$D$83:$D$153,255),0))="","",INDEX('Disaggregation Records'!$H$83:$H$153,MATCH(RIGHT(L486,255),RIGHT('Disaggregation Records'!$D$83:$D$153,255),0))),"")</f>
        <v/>
      </c>
      <c r="P486" s="314"/>
      <c r="Q486" s="310">
        <f t="shared" ref="Q486" si="655">Q484+1</f>
        <v>1089</v>
      </c>
      <c r="R486" s="314" t="str" cm="1">
        <f t="array" aca="1" ref="R486" ca="1">IFERROR(IF(INDEX('Disaggregation Records'!$G$83:$G$153,MATCH(RIGHT(L486,255),RIGHT('Disaggregation Records'!$D$83:$D$153,255),0))="","",INDEX('Disaggregation Records'!$G$83:$G$153,MATCH(RIGHT(L486,255),RIGHT('Disaggregation Records'!$D$83:$D$153,255),0))),"")</f>
        <v/>
      </c>
    </row>
    <row r="487" spans="1:18" ht="20.100000000000001" customHeight="1">
      <c r="B487" s="571"/>
      <c r="C487" s="573"/>
      <c r="D487" s="575"/>
      <c r="E487" s="575"/>
      <c r="F487" s="128"/>
      <c r="G487" s="577"/>
      <c r="H487" s="540"/>
      <c r="I487" s="579"/>
      <c r="J487" s="533"/>
      <c r="K487" s="126"/>
      <c r="L487" s="126"/>
      <c r="M487" s="126"/>
      <c r="N487" s="126"/>
      <c r="O487" s="314"/>
      <c r="P487" s="314"/>
      <c r="Q487" s="310"/>
      <c r="R487" s="314" t="str" cm="1">
        <f t="array" ref="R487">IFERROR(IF(INDEX('Disaggregation Records'!$G$83:$G$153,MATCH(RIGHT(L487,255),RIGHT('Disaggregation Records'!$D$83:$D$153,255),0))="","",INDEX('Disaggregation Records'!$G$83:$G$153,MATCH(RIGHT(L487,255),RIGHT('Disaggregation Records'!$D$83:$D$153,255),0))),"")</f>
        <v/>
      </c>
    </row>
    <row r="488" spans="1:18" ht="20.100000000000001" customHeight="1">
      <c r="A488" s="126" t="str">
        <f t="shared" ref="A488" ca="1" si="656">INDIRECT("'update Helper'!C"&amp;Q488)</f>
        <v>a1VDm000000PgBBMA0</v>
      </c>
      <c r="B488" s="570">
        <v>9</v>
      </c>
      <c r="C488" s="572" t="str">
        <f ca="1">IFERROR(VLOOKUP(B488,'Outcome Indicators - Section C '!$A$9:$AC$70,29,FALSE),"")</f>
        <v>HIV O-11 Percentage of people living with HIV who know their HIV status at the end of the reporting period</v>
      </c>
      <c r="D488" s="574" t="str">
        <f ca="1">M488</f>
        <v/>
      </c>
      <c r="E488" s="574" t="str">
        <f ca="1">N488</f>
        <v/>
      </c>
      <c r="F488" s="127"/>
      <c r="G488" s="576" t="str">
        <f ca="1">IF(OR(INDIRECT("'update Helper'!E"&amp;Q488)="",F488&lt;&gt;0,F489&lt;&gt;0),IF(IFERROR((F488/F489),"")="","",(F488/F489)),INDIRECT("'update Helper'!E"&amp;Q488)/100)</f>
        <v/>
      </c>
      <c r="H488" s="539"/>
      <c r="I488" s="578"/>
      <c r="J488" s="532"/>
      <c r="K488" s="126">
        <f ca="1">IF(AND(EXACT(C488,C486),C486&lt;&gt;0),K486+1,0)</f>
        <v>6</v>
      </c>
      <c r="L488" s="126" t="str">
        <f ca="1">IF(C488&lt;&gt;"",C488&amp;"-"&amp;K488,"")</f>
        <v>HIV O-11 Percentage of people living with HIV who know their HIV status at the end of the reporting period-6</v>
      </c>
      <c r="M488" s="126" t="str">
        <f t="array" aca="1" ref="M488" ca="1">IFERROR(IF(INDEX('Disaggregation Records'!$E$83:$E$153,MATCH(RIGHT(L488,255),RIGHT('Disaggregation Records'!$D$83:$D$153,255),0))="","",INDEX('Disaggregation Records'!$E$83:$E$153,MATCH(RIGHT(L488,255),RIGHT('Disaggregation Records'!$D$83:$D$153,255),0))),"")</f>
        <v/>
      </c>
      <c r="N488" s="126" t="str">
        <f t="array" aca="1" ref="N488" ca="1">IFERROR(IF(INDEX('Disaggregation Records'!$F$83:$F$153,MATCH(RIGHT(L488,255),RIGHT('Disaggregation Records'!$D$83:$D$153,255),0))="","",INDEX('Disaggregation Records'!$F$83:$F$153,MATCH(RIGHT(L488,255),RIGHT('Disaggregation Records'!$D$83:$D$153,255),0))),"")</f>
        <v/>
      </c>
      <c r="O488" s="314" t="str">
        <f t="array" aca="1" ref="O488" ca="1">IFERROR(IF(INDEX('Disaggregation Records'!$H$83:$H$153,MATCH(RIGHT(L488,255),RIGHT('Disaggregation Records'!$D$83:$D$153,255),0))="","",INDEX('Disaggregation Records'!$H$83:$H$153,MATCH(RIGHT(L488,255),RIGHT('Disaggregation Records'!$D$83:$D$153,255),0))),"")</f>
        <v/>
      </c>
      <c r="P488" s="314"/>
      <c r="Q488" s="310">
        <f t="shared" ref="Q488" si="657">Q486+1</f>
        <v>1090</v>
      </c>
      <c r="R488" s="314" t="str" cm="1">
        <f t="array" aca="1" ref="R488" ca="1">IFERROR(IF(INDEX('Disaggregation Records'!$G$83:$G$153,MATCH(RIGHT(L488,255),RIGHT('Disaggregation Records'!$D$83:$D$153,255),0))="","",INDEX('Disaggregation Records'!$G$83:$G$153,MATCH(RIGHT(L488,255),RIGHT('Disaggregation Records'!$D$83:$D$153,255),0))),"")</f>
        <v/>
      </c>
    </row>
    <row r="489" spans="1:18" ht="20.100000000000001" customHeight="1">
      <c r="A489" s="126"/>
      <c r="B489" s="571"/>
      <c r="C489" s="573"/>
      <c r="D489" s="575"/>
      <c r="E489" s="575"/>
      <c r="F489" s="128"/>
      <c r="G489" s="577"/>
      <c r="H489" s="540"/>
      <c r="I489" s="579"/>
      <c r="J489" s="533"/>
      <c r="K489" s="126"/>
      <c r="L489" s="126"/>
      <c r="M489" s="126"/>
      <c r="N489" s="126"/>
      <c r="O489" s="314"/>
      <c r="P489" s="314"/>
      <c r="Q489" s="310"/>
      <c r="R489" s="314" t="str" cm="1">
        <f t="array" ref="R489">IFERROR(IF(INDEX('Disaggregation Records'!$G$83:$G$153,MATCH(RIGHT(L489,255),RIGHT('Disaggregation Records'!$D$83:$D$153,255),0))="","",INDEX('Disaggregation Records'!$G$83:$G$153,MATCH(RIGHT(L489,255),RIGHT('Disaggregation Records'!$D$83:$D$153,255),0))),"")</f>
        <v/>
      </c>
    </row>
    <row r="490" spans="1:18" ht="20.100000000000001" customHeight="1">
      <c r="A490" s="126" t="str">
        <f t="shared" ref="A490" ca="1" si="658">INDIRECT("'update Helper'!C"&amp;Q490)</f>
        <v>a1VDm000000PgBCMA0</v>
      </c>
      <c r="B490" s="570">
        <v>9</v>
      </c>
      <c r="C490" s="572" t="str">
        <f ca="1">IFERROR(VLOOKUP(B490,'Outcome Indicators - Section C '!$A$9:$AC$70,29,FALSE),"")</f>
        <v>HIV O-11 Percentage of people living with HIV who know their HIV status at the end of the reporting period</v>
      </c>
      <c r="D490" s="574" t="str">
        <f ca="1">M490</f>
        <v/>
      </c>
      <c r="E490" s="574" t="str">
        <f ca="1">N490</f>
        <v/>
      </c>
      <c r="F490" s="127"/>
      <c r="G490" s="576" t="str">
        <f ca="1">IF(OR(INDIRECT("'update Helper'!E"&amp;Q490)="",F490&lt;&gt;0,F491&lt;&gt;0),IF(IFERROR((F490/F491),"")="","",(F490/F491)),INDIRECT("'update Helper'!E"&amp;Q490)/100)</f>
        <v/>
      </c>
      <c r="H490" s="539"/>
      <c r="I490" s="578"/>
      <c r="J490" s="532"/>
      <c r="K490" s="126">
        <f ca="1">IF(AND(EXACT(C490,C488),C488&lt;&gt;0),K488+1,0)</f>
        <v>7</v>
      </c>
      <c r="L490" s="126" t="str">
        <f ca="1">IF(C490&lt;&gt;"",C490&amp;"-"&amp;K490,"")</f>
        <v>HIV O-11 Percentage of people living with HIV who know their HIV status at the end of the reporting period-7</v>
      </c>
      <c r="M490" s="126" t="str">
        <f t="array" aca="1" ref="M490" ca="1">IFERROR(IF(INDEX('Disaggregation Records'!$E$83:$E$153,MATCH(RIGHT(L490,255),RIGHT('Disaggregation Records'!$D$83:$D$153,255),0))="","",INDEX('Disaggregation Records'!$E$83:$E$153,MATCH(RIGHT(L490,255),RIGHT('Disaggregation Records'!$D$83:$D$153,255),0))),"")</f>
        <v/>
      </c>
      <c r="N490" s="126" t="str">
        <f t="array" aca="1" ref="N490" ca="1">IFERROR(IF(INDEX('Disaggregation Records'!$F$83:$F$153,MATCH(RIGHT(L490,255),RIGHT('Disaggregation Records'!$D$83:$D$153,255),0))="","",INDEX('Disaggregation Records'!$F$83:$F$153,MATCH(RIGHT(L490,255),RIGHT('Disaggregation Records'!$D$83:$D$153,255),0))),"")</f>
        <v/>
      </c>
      <c r="O490" s="314" t="str">
        <f t="array" aca="1" ref="O490" ca="1">IFERROR(IF(INDEX('Disaggregation Records'!$H$83:$H$153,MATCH(RIGHT(L490,255),RIGHT('Disaggregation Records'!$D$83:$D$153,255),0))="","",INDEX('Disaggregation Records'!$H$83:$H$153,MATCH(RIGHT(L490,255),RIGHT('Disaggregation Records'!$D$83:$D$153,255),0))),"")</f>
        <v/>
      </c>
      <c r="P490" s="314"/>
      <c r="Q490" s="310">
        <f t="shared" ref="Q490" si="659">Q488+1</f>
        <v>1091</v>
      </c>
      <c r="R490" s="314" t="str" cm="1">
        <f t="array" aca="1" ref="R490" ca="1">IFERROR(IF(INDEX('Disaggregation Records'!$G$83:$G$153,MATCH(RIGHT(L490,255),RIGHT('Disaggregation Records'!$D$83:$D$153,255),0))="","",INDEX('Disaggregation Records'!$G$83:$G$153,MATCH(RIGHT(L490,255),RIGHT('Disaggregation Records'!$D$83:$D$153,255),0))),"")</f>
        <v/>
      </c>
    </row>
    <row r="491" spans="1:18" ht="20.100000000000001" customHeight="1">
      <c r="B491" s="571"/>
      <c r="C491" s="573"/>
      <c r="D491" s="575"/>
      <c r="E491" s="575"/>
      <c r="F491" s="128"/>
      <c r="G491" s="577"/>
      <c r="H491" s="540"/>
      <c r="I491" s="579"/>
      <c r="J491" s="533"/>
      <c r="K491" s="126"/>
      <c r="L491" s="126"/>
      <c r="M491" s="126"/>
      <c r="N491" s="126"/>
      <c r="O491" s="314"/>
      <c r="P491" s="314"/>
      <c r="Q491" s="310"/>
      <c r="R491" s="314" t="str" cm="1">
        <f t="array" ref="R491">IFERROR(IF(INDEX('Disaggregation Records'!$G$83:$G$153,MATCH(RIGHT(L491,255),RIGHT('Disaggregation Records'!$D$83:$D$153,255),0))="","",INDEX('Disaggregation Records'!$G$83:$G$153,MATCH(RIGHT(L491,255),RIGHT('Disaggregation Records'!$D$83:$D$153,255),0))),"")</f>
        <v/>
      </c>
    </row>
    <row r="492" spans="1:18" ht="20.100000000000001" customHeight="1">
      <c r="A492" s="126" t="str">
        <f t="shared" ref="A492" ca="1" si="660">INDIRECT("'update Helper'!C"&amp;Q492)</f>
        <v>a1VDm000000PgBDMA0</v>
      </c>
      <c r="B492" s="570">
        <v>9</v>
      </c>
      <c r="C492" s="572" t="str">
        <f ca="1">IFERROR(VLOOKUP(B492,'Outcome Indicators - Section C '!$A$9:$AC$70,29,FALSE),"")</f>
        <v>HIV O-11 Percentage of people living with HIV who know their HIV status at the end of the reporting period</v>
      </c>
      <c r="D492" s="574" t="str">
        <f ca="1">M492</f>
        <v/>
      </c>
      <c r="E492" s="574" t="str">
        <f ca="1">N492</f>
        <v/>
      </c>
      <c r="F492" s="127"/>
      <c r="G492" s="576" t="str">
        <f ca="1">IF(OR(INDIRECT("'update Helper'!E"&amp;Q492)="",F492&lt;&gt;0,F493&lt;&gt;0),IF(IFERROR((F492/F493),"")="","",(F492/F493)),INDIRECT("'update Helper'!E"&amp;Q492)/100)</f>
        <v/>
      </c>
      <c r="H492" s="539"/>
      <c r="I492" s="578"/>
      <c r="J492" s="532"/>
      <c r="K492" s="126">
        <f ca="1">IF(AND(EXACT(C492,C490),C490&lt;&gt;0),K490+1,0)</f>
        <v>8</v>
      </c>
      <c r="L492" s="126" t="str">
        <f ca="1">IF(C492&lt;&gt;"",C492&amp;"-"&amp;K492,"")</f>
        <v>HIV O-11 Percentage of people living with HIV who know their HIV status at the end of the reporting period-8</v>
      </c>
      <c r="M492" s="126" t="str">
        <f t="array" aca="1" ref="M492" ca="1">IFERROR(IF(INDEX('Disaggregation Records'!$E$83:$E$153,MATCH(RIGHT(L492,255),RIGHT('Disaggregation Records'!$D$83:$D$153,255),0))="","",INDEX('Disaggregation Records'!$E$83:$E$153,MATCH(RIGHT(L492,255),RIGHT('Disaggregation Records'!$D$83:$D$153,255),0))),"")</f>
        <v/>
      </c>
      <c r="N492" s="126" t="str">
        <f t="array" aca="1" ref="N492" ca="1">IFERROR(IF(INDEX('Disaggregation Records'!$F$83:$F$153,MATCH(RIGHT(L492,255),RIGHT('Disaggregation Records'!$D$83:$D$153,255),0))="","",INDEX('Disaggregation Records'!$F$83:$F$153,MATCH(RIGHT(L492,255),RIGHT('Disaggregation Records'!$D$83:$D$153,255),0))),"")</f>
        <v/>
      </c>
      <c r="O492" s="314" t="str">
        <f t="array" aca="1" ref="O492" ca="1">IFERROR(IF(INDEX('Disaggregation Records'!$H$83:$H$153,MATCH(RIGHT(L492,255),RIGHT('Disaggregation Records'!$D$83:$D$153,255),0))="","",INDEX('Disaggregation Records'!$H$83:$H$153,MATCH(RIGHT(L492,255),RIGHT('Disaggregation Records'!$D$83:$D$153,255),0))),"")</f>
        <v/>
      </c>
      <c r="P492" s="314"/>
      <c r="Q492" s="310">
        <f t="shared" ref="Q492" si="661">Q490+1</f>
        <v>1092</v>
      </c>
      <c r="R492" s="314" t="str" cm="1">
        <f t="array" aca="1" ref="R492" ca="1">IFERROR(IF(INDEX('Disaggregation Records'!$G$83:$G$153,MATCH(RIGHT(L492,255),RIGHT('Disaggregation Records'!$D$83:$D$153,255),0))="","",INDEX('Disaggregation Records'!$G$83:$G$153,MATCH(RIGHT(L492,255),RIGHT('Disaggregation Records'!$D$83:$D$153,255),0))),"")</f>
        <v/>
      </c>
    </row>
    <row r="493" spans="1:18" ht="20.100000000000001" customHeight="1">
      <c r="A493" s="126"/>
      <c r="B493" s="571"/>
      <c r="C493" s="573"/>
      <c r="D493" s="575"/>
      <c r="E493" s="575"/>
      <c r="F493" s="128"/>
      <c r="G493" s="577"/>
      <c r="H493" s="540"/>
      <c r="I493" s="579"/>
      <c r="J493" s="533"/>
      <c r="K493" s="126"/>
      <c r="L493" s="126"/>
      <c r="M493" s="126"/>
      <c r="N493" s="126"/>
      <c r="O493" s="314"/>
      <c r="P493" s="314"/>
      <c r="Q493" s="310"/>
      <c r="R493" s="314" t="str" cm="1">
        <f t="array" ref="R493">IFERROR(IF(INDEX('Disaggregation Records'!$G$83:$G$153,MATCH(RIGHT(L493,255),RIGHT('Disaggregation Records'!$D$83:$D$153,255),0))="","",INDEX('Disaggregation Records'!$G$83:$G$153,MATCH(RIGHT(L493,255),RIGHT('Disaggregation Records'!$D$83:$D$153,255),0))),"")</f>
        <v/>
      </c>
    </row>
    <row r="494" spans="1:18" ht="20.100000000000001" customHeight="1">
      <c r="A494" s="126" t="str">
        <f t="shared" ref="A494" ca="1" si="662">INDIRECT("'update Helper'!C"&amp;Q494)</f>
        <v>a1VDm000000PgBEMA0</v>
      </c>
      <c r="B494" s="570">
        <v>9</v>
      </c>
      <c r="C494" s="572" t="str">
        <f ca="1">IFERROR(VLOOKUP(B494,'Outcome Indicators - Section C '!$A$9:$AC$70,29,FALSE),"")</f>
        <v>HIV O-11 Percentage of people living with HIV who know their HIV status at the end of the reporting period</v>
      </c>
      <c r="D494" s="574" t="str">
        <f ca="1">M494</f>
        <v/>
      </c>
      <c r="E494" s="574" t="str">
        <f ca="1">N494</f>
        <v/>
      </c>
      <c r="F494" s="127"/>
      <c r="G494" s="576" t="str">
        <f ca="1">IF(OR(INDIRECT("'update Helper'!E"&amp;Q494)="",F494&lt;&gt;0,F495&lt;&gt;0),IF(IFERROR((F494/F495),"")="","",(F494/F495)),INDIRECT("'update Helper'!E"&amp;Q494)/100)</f>
        <v/>
      </c>
      <c r="H494" s="539"/>
      <c r="I494" s="578"/>
      <c r="J494" s="532"/>
      <c r="K494" s="126">
        <f ca="1">IF(AND(EXACT(C494,C492),C492&lt;&gt;0),K492+1,0)</f>
        <v>9</v>
      </c>
      <c r="L494" s="126" t="str">
        <f ca="1">IF(C494&lt;&gt;"",C494&amp;"-"&amp;K494,"")</f>
        <v>HIV O-11 Percentage of people living with HIV who know their HIV status at the end of the reporting period-9</v>
      </c>
      <c r="M494" s="126" t="str">
        <f t="array" aca="1" ref="M494" ca="1">IFERROR(IF(INDEX('Disaggregation Records'!$E$83:$E$153,MATCH(RIGHT(L494,255),RIGHT('Disaggregation Records'!$D$83:$D$153,255),0))="","",INDEX('Disaggregation Records'!$E$83:$E$153,MATCH(RIGHT(L494,255),RIGHT('Disaggregation Records'!$D$83:$D$153,255),0))),"")</f>
        <v/>
      </c>
      <c r="N494" s="126" t="str">
        <f t="array" aca="1" ref="N494" ca="1">IFERROR(IF(INDEX('Disaggregation Records'!$F$83:$F$153,MATCH(RIGHT(L494,255),RIGHT('Disaggregation Records'!$D$83:$D$153,255),0))="","",INDEX('Disaggregation Records'!$F$83:$F$153,MATCH(RIGHT(L494,255),RIGHT('Disaggregation Records'!$D$83:$D$153,255),0))),"")</f>
        <v/>
      </c>
      <c r="O494" s="314" t="str">
        <f t="array" aca="1" ref="O494" ca="1">IFERROR(IF(INDEX('Disaggregation Records'!$H$83:$H$153,MATCH(RIGHT(L494,255),RIGHT('Disaggregation Records'!$D$83:$D$153,255),0))="","",INDEX('Disaggregation Records'!$H$83:$H$153,MATCH(RIGHT(L494,255),RIGHT('Disaggregation Records'!$D$83:$D$153,255),0))),"")</f>
        <v/>
      </c>
      <c r="P494" s="314"/>
      <c r="Q494" s="310">
        <f t="shared" ref="Q494" si="663">Q492+1</f>
        <v>1093</v>
      </c>
      <c r="R494" s="314" t="str" cm="1">
        <f t="array" aca="1" ref="R494" ca="1">IFERROR(IF(INDEX('Disaggregation Records'!$G$83:$G$153,MATCH(RIGHT(L494,255),RIGHT('Disaggregation Records'!$D$83:$D$153,255),0))="","",INDEX('Disaggregation Records'!$G$83:$G$153,MATCH(RIGHT(L494,255),RIGHT('Disaggregation Records'!$D$83:$D$153,255),0))),"")</f>
        <v/>
      </c>
    </row>
    <row r="495" spans="1:18" ht="20.100000000000001" customHeight="1">
      <c r="B495" s="571"/>
      <c r="C495" s="573"/>
      <c r="D495" s="575"/>
      <c r="E495" s="575"/>
      <c r="F495" s="128"/>
      <c r="G495" s="577"/>
      <c r="H495" s="540"/>
      <c r="I495" s="579"/>
      <c r="J495" s="533"/>
      <c r="K495" s="126"/>
      <c r="L495" s="126"/>
      <c r="M495" s="126"/>
      <c r="N495" s="126"/>
      <c r="O495" s="314"/>
      <c r="P495" s="314"/>
      <c r="Q495" s="310"/>
      <c r="R495" s="314" t="str" cm="1">
        <f t="array" ref="R495">IFERROR(IF(INDEX('Disaggregation Records'!$G$83:$G$153,MATCH(RIGHT(L495,255),RIGHT('Disaggregation Records'!$D$83:$D$153,255),0))="","",INDEX('Disaggregation Records'!$G$83:$G$153,MATCH(RIGHT(L495,255),RIGHT('Disaggregation Records'!$D$83:$D$153,255),0))),"")</f>
        <v/>
      </c>
    </row>
    <row r="496" spans="1:18" ht="20.100000000000001" customHeight="1">
      <c r="A496" s="126" t="str">
        <f t="shared" ref="A496" ca="1" si="664">INDIRECT("'update Helper'!C"&amp;Q496)</f>
        <v>a1VDm000000PgBFMA0</v>
      </c>
      <c r="B496" s="570">
        <v>10</v>
      </c>
      <c r="C496" s="572" t="str">
        <f ca="1">IFERROR(VLOOKUP(B496,'Outcome Indicators - Section C '!$A$9:$AC$70,29,FALSE),"")</f>
        <v>HIV O-12 Percentage of people living with HIV and on ART who are virologically suppressed</v>
      </c>
      <c r="D496" s="574" t="str">
        <f ca="1">M496</f>
        <v>Age</v>
      </c>
      <c r="E496" s="574" t="str">
        <f ca="1">N496</f>
        <v>15+</v>
      </c>
      <c r="F496" s="127"/>
      <c r="G496" s="576" t="str">
        <f ca="1">IF(OR(INDIRECT("'update Helper'!E"&amp;Q496)="",F496&lt;&gt;0,F497&lt;&gt;0),IF(IFERROR((F496/F497),"")="","",(F496/F497)),INDIRECT("'update Helper'!E"&amp;Q496)/100)</f>
        <v/>
      </c>
      <c r="H496" s="539"/>
      <c r="I496" s="578"/>
      <c r="J496" s="532"/>
      <c r="K496" s="126">
        <f ca="1">IF(AND(EXACT(C496,C494),C494&lt;&gt;0),K494+1,0)</f>
        <v>0</v>
      </c>
      <c r="L496" s="126" t="str">
        <f ca="1">IF(C496&lt;&gt;"",C496&amp;"-"&amp;K496,"")</f>
        <v>HIV O-12 Percentage of people living with HIV and on ART who are virologically suppressed-0</v>
      </c>
      <c r="M496" s="126" t="str">
        <f t="array" aca="1" ref="M496" ca="1">IFERROR(IF(INDEX('Disaggregation Records'!$E$83:$E$153,MATCH(RIGHT(L496,255),RIGHT('Disaggregation Records'!$D$83:$D$153,255),0))="","",INDEX('Disaggregation Records'!$E$83:$E$153,MATCH(RIGHT(L496,255),RIGHT('Disaggregation Records'!$D$83:$D$153,255),0))),"")</f>
        <v>Age</v>
      </c>
      <c r="N496" s="126" t="str">
        <f t="array" aca="1" ref="N496" ca="1">IFERROR(IF(INDEX('Disaggregation Records'!$F$83:$F$153,MATCH(RIGHT(L496,255),RIGHT('Disaggregation Records'!$D$83:$D$153,255),0))="","",INDEX('Disaggregation Records'!$F$83:$F$153,MATCH(RIGHT(L496,255),RIGHT('Disaggregation Records'!$D$83:$D$153,255),0))),"")</f>
        <v>15+</v>
      </c>
      <c r="O496" s="314" t="str">
        <f t="array" aca="1" ref="O496" ca="1">IFERROR(IF(INDEX('Disaggregation Records'!$H$83:$H$153,MATCH(RIGHT(L496,255),RIGHT('Disaggregation Records'!$D$83:$D$153,255),0))="","",INDEX('Disaggregation Records'!$H$83:$H$153,MATCH(RIGHT(L496,255),RIGHT('Disaggregation Records'!$D$83:$D$153,255),0))),"")</f>
        <v>IDR-01111</v>
      </c>
      <c r="P496" s="314"/>
      <c r="Q496" s="310">
        <f t="shared" ref="Q496" si="665">Q494+1</f>
        <v>1094</v>
      </c>
      <c r="R496" s="314" t="str" cm="1">
        <f t="array" aca="1" ref="R496" ca="1">IFERROR(IF(INDEX('Disaggregation Records'!$G$83:$G$153,MATCH(RIGHT(L496,255),RIGHT('Disaggregation Records'!$D$83:$D$153,255),0))="","",INDEX('Disaggregation Records'!$G$83:$G$153,MATCH(RIGHT(L496,255),RIGHT('Disaggregation Records'!$D$83:$D$153,255),0))),"")</f>
        <v>a1LDm000000Cb0fMAC</v>
      </c>
    </row>
    <row r="497" spans="1:18" ht="20.100000000000001" customHeight="1">
      <c r="A497" s="126"/>
      <c r="B497" s="571"/>
      <c r="C497" s="573"/>
      <c r="D497" s="575"/>
      <c r="E497" s="575"/>
      <c r="F497" s="128"/>
      <c r="G497" s="577"/>
      <c r="H497" s="540"/>
      <c r="I497" s="579"/>
      <c r="J497" s="533"/>
      <c r="K497" s="126"/>
      <c r="L497" s="126"/>
      <c r="M497" s="126"/>
      <c r="N497" s="126"/>
      <c r="O497" s="314"/>
      <c r="P497" s="314"/>
      <c r="Q497" s="310"/>
      <c r="R497" s="314" t="str" cm="1">
        <f t="array" ref="R497">IFERROR(IF(INDEX('Disaggregation Records'!$G$83:$G$153,MATCH(RIGHT(L497,255),RIGHT('Disaggregation Records'!$D$83:$D$153,255),0))="","",INDEX('Disaggregation Records'!$G$83:$G$153,MATCH(RIGHT(L497,255),RIGHT('Disaggregation Records'!$D$83:$D$153,255),0))),"")</f>
        <v/>
      </c>
    </row>
    <row r="498" spans="1:18" ht="20.100000000000001" customHeight="1">
      <c r="A498" s="126" t="str">
        <f t="shared" ref="A498" ca="1" si="666">INDIRECT("'update Helper'!C"&amp;Q498)</f>
        <v>a1VDm000000PgBGMA0</v>
      </c>
      <c r="B498" s="570">
        <v>10</v>
      </c>
      <c r="C498" s="572" t="str">
        <f ca="1">IFERROR(VLOOKUP(B498,'Outcome Indicators - Section C '!$A$9:$AC$70,29,FALSE),"")</f>
        <v>HIV O-12 Percentage of people living with HIV and on ART who are virologically suppressed</v>
      </c>
      <c r="D498" s="574" t="str">
        <f ca="1">M498</f>
        <v>Age</v>
      </c>
      <c r="E498" s="574" t="str">
        <f ca="1">N498</f>
        <v>&lt;15</v>
      </c>
      <c r="F498" s="127"/>
      <c r="G498" s="576" t="str">
        <f ca="1">IF(OR(INDIRECT("'update Helper'!E"&amp;Q498)="",F498&lt;&gt;0,F499&lt;&gt;0),IF(IFERROR((F498/F499),"")="","",(F498/F499)),INDIRECT("'update Helper'!E"&amp;Q498)/100)</f>
        <v/>
      </c>
      <c r="H498" s="539"/>
      <c r="I498" s="578"/>
      <c r="J498" s="532"/>
      <c r="K498" s="126">
        <f ca="1">IF(AND(EXACT(C498,C496),C496&lt;&gt;0),K496+1,0)</f>
        <v>1</v>
      </c>
      <c r="L498" s="126" t="str">
        <f ca="1">IF(C498&lt;&gt;"",C498&amp;"-"&amp;K498,"")</f>
        <v>HIV O-12 Percentage of people living with HIV and on ART who are virologically suppressed-1</v>
      </c>
      <c r="M498" s="126" t="str">
        <f t="array" aca="1" ref="M498" ca="1">IFERROR(IF(INDEX('Disaggregation Records'!$E$83:$E$153,MATCH(RIGHT(L498,255),RIGHT('Disaggregation Records'!$D$83:$D$153,255),0))="","",INDEX('Disaggregation Records'!$E$83:$E$153,MATCH(RIGHT(L498,255),RIGHT('Disaggregation Records'!$D$83:$D$153,255),0))),"")</f>
        <v>Age</v>
      </c>
      <c r="N498" s="126" t="str">
        <f t="array" aca="1" ref="N498" ca="1">IFERROR(IF(INDEX('Disaggregation Records'!$F$83:$F$153,MATCH(RIGHT(L498,255),RIGHT('Disaggregation Records'!$D$83:$D$153,255),0))="","",INDEX('Disaggregation Records'!$F$83:$F$153,MATCH(RIGHT(L498,255),RIGHT('Disaggregation Records'!$D$83:$D$153,255),0))),"")</f>
        <v>&lt;15</v>
      </c>
      <c r="O498" s="314" t="str">
        <f t="array" aca="1" ref="O498" ca="1">IFERROR(IF(INDEX('Disaggregation Records'!$H$83:$H$153,MATCH(RIGHT(L498,255),RIGHT('Disaggregation Records'!$D$83:$D$153,255),0))="","",INDEX('Disaggregation Records'!$H$83:$H$153,MATCH(RIGHT(L498,255),RIGHT('Disaggregation Records'!$D$83:$D$153,255),0))),"")</f>
        <v>IDR-01110</v>
      </c>
      <c r="P498" s="314"/>
      <c r="Q498" s="310">
        <f t="shared" ref="Q498" si="667">Q496+1</f>
        <v>1095</v>
      </c>
      <c r="R498" s="314" t="str" cm="1">
        <f t="array" aca="1" ref="R498" ca="1">IFERROR(IF(INDEX('Disaggregation Records'!$G$83:$G$153,MATCH(RIGHT(L498,255),RIGHT('Disaggregation Records'!$D$83:$D$153,255),0))="","",INDEX('Disaggregation Records'!$G$83:$G$153,MATCH(RIGHT(L498,255),RIGHT('Disaggregation Records'!$D$83:$D$153,255),0))),"")</f>
        <v>a1LDm000000Cb0eMAC</v>
      </c>
    </row>
    <row r="499" spans="1:18" ht="20.100000000000001" customHeight="1">
      <c r="B499" s="571"/>
      <c r="C499" s="573"/>
      <c r="D499" s="575"/>
      <c r="E499" s="575"/>
      <c r="F499" s="128"/>
      <c r="G499" s="577"/>
      <c r="H499" s="540"/>
      <c r="I499" s="579"/>
      <c r="J499" s="533"/>
      <c r="K499" s="126"/>
      <c r="L499" s="126"/>
      <c r="M499" s="126"/>
      <c r="N499" s="126"/>
      <c r="O499" s="314"/>
      <c r="P499" s="314"/>
      <c r="Q499" s="310"/>
      <c r="R499" s="314" t="str" cm="1">
        <f t="array" ref="R499">IFERROR(IF(INDEX('Disaggregation Records'!$G$83:$G$153,MATCH(RIGHT(L499,255),RIGHT('Disaggregation Records'!$D$83:$D$153,255),0))="","",INDEX('Disaggregation Records'!$G$83:$G$153,MATCH(RIGHT(L499,255),RIGHT('Disaggregation Records'!$D$83:$D$153,255),0))),"")</f>
        <v/>
      </c>
    </row>
    <row r="500" spans="1:18" ht="20.100000000000001" customHeight="1">
      <c r="A500" s="126" t="str">
        <f t="shared" ref="A500" ca="1" si="668">INDIRECT("'update Helper'!C"&amp;Q500)</f>
        <v>a1VDm000000PgBHMA0</v>
      </c>
      <c r="B500" s="570">
        <v>10</v>
      </c>
      <c r="C500" s="572" t="str">
        <f ca="1">IFERROR(VLOOKUP(B500,'Outcome Indicators - Section C '!$A$9:$AC$70,29,FALSE),"")</f>
        <v>HIV O-12 Percentage of people living with HIV and on ART who are virologically suppressed</v>
      </c>
      <c r="D500" s="574" t="str">
        <f ca="1">M500</f>
        <v>Gender | Age</v>
      </c>
      <c r="E500" s="574" t="str">
        <f ca="1">N500</f>
        <v>Male 15+</v>
      </c>
      <c r="F500" s="127"/>
      <c r="G500" s="576" t="str">
        <f ca="1">IF(OR(INDIRECT("'update Helper'!E"&amp;Q500)="",F500&lt;&gt;0,F501&lt;&gt;0),IF(IFERROR((F500/F501),"")="","",(F500/F501)),INDIRECT("'update Helper'!E"&amp;Q500)/100)</f>
        <v/>
      </c>
      <c r="H500" s="539"/>
      <c r="I500" s="578"/>
      <c r="J500" s="532"/>
      <c r="K500" s="126">
        <f ca="1">IF(AND(EXACT(C500,C498),C498&lt;&gt;0),K498+1,0)</f>
        <v>2</v>
      </c>
      <c r="L500" s="126" t="str">
        <f ca="1">IF(C500&lt;&gt;"",C500&amp;"-"&amp;K500,"")</f>
        <v>HIV O-12 Percentage of people living with HIV and on ART who are virologically suppressed-2</v>
      </c>
      <c r="M500" s="126" t="str">
        <f t="array" aca="1" ref="M500" ca="1">IFERROR(IF(INDEX('Disaggregation Records'!$E$83:$E$153,MATCH(RIGHT(L500,255),RIGHT('Disaggregation Records'!$D$83:$D$153,255),0))="","",INDEX('Disaggregation Records'!$E$83:$E$153,MATCH(RIGHT(L500,255),RIGHT('Disaggregation Records'!$D$83:$D$153,255),0))),"")</f>
        <v>Gender | Age</v>
      </c>
      <c r="N500" s="126" t="str">
        <f t="array" aca="1" ref="N500" ca="1">IFERROR(IF(INDEX('Disaggregation Records'!$F$83:$F$153,MATCH(RIGHT(L500,255),RIGHT('Disaggregation Records'!$D$83:$D$153,255),0))="","",INDEX('Disaggregation Records'!$F$83:$F$153,MATCH(RIGHT(L500,255),RIGHT('Disaggregation Records'!$D$83:$D$153,255),0))),"")</f>
        <v>Male 15+</v>
      </c>
      <c r="O500" s="314" t="str">
        <f t="array" aca="1" ref="O500" ca="1">IFERROR(IF(INDEX('Disaggregation Records'!$H$83:$H$153,MATCH(RIGHT(L500,255),RIGHT('Disaggregation Records'!$D$83:$D$153,255),0))="","",INDEX('Disaggregation Records'!$H$83:$H$153,MATCH(RIGHT(L500,255),RIGHT('Disaggregation Records'!$D$83:$D$153,255),0))),"")</f>
        <v>IDR-01109</v>
      </c>
      <c r="P500" s="314"/>
      <c r="Q500" s="310">
        <f t="shared" ref="Q500" si="669">Q498+1</f>
        <v>1096</v>
      </c>
      <c r="R500" s="314" t="str" cm="1">
        <f t="array" aca="1" ref="R500" ca="1">IFERROR(IF(INDEX('Disaggregation Records'!$G$83:$G$153,MATCH(RIGHT(L500,255),RIGHT('Disaggregation Records'!$D$83:$D$153,255),0))="","",INDEX('Disaggregation Records'!$G$83:$G$153,MATCH(RIGHT(L500,255),RIGHT('Disaggregation Records'!$D$83:$D$153,255),0))),"")</f>
        <v>a1LDm000000Cb0dMAC</v>
      </c>
    </row>
    <row r="501" spans="1:18" ht="20.100000000000001" customHeight="1">
      <c r="A501" s="126"/>
      <c r="B501" s="571"/>
      <c r="C501" s="573"/>
      <c r="D501" s="575"/>
      <c r="E501" s="575"/>
      <c r="F501" s="128"/>
      <c r="G501" s="577"/>
      <c r="H501" s="540"/>
      <c r="I501" s="579"/>
      <c r="J501" s="533"/>
      <c r="K501" s="126"/>
      <c r="L501" s="126"/>
      <c r="M501" s="126"/>
      <c r="N501" s="126"/>
      <c r="O501" s="314"/>
      <c r="P501" s="314"/>
      <c r="Q501" s="310"/>
      <c r="R501" s="314" t="str" cm="1">
        <f t="array" ref="R501">IFERROR(IF(INDEX('Disaggregation Records'!$G$83:$G$153,MATCH(RIGHT(L501,255),RIGHT('Disaggregation Records'!$D$83:$D$153,255),0))="","",INDEX('Disaggregation Records'!$G$83:$G$153,MATCH(RIGHT(L501,255),RIGHT('Disaggregation Records'!$D$83:$D$153,255),0))),"")</f>
        <v/>
      </c>
    </row>
    <row r="502" spans="1:18" ht="20.100000000000001" customHeight="1">
      <c r="A502" s="126" t="str">
        <f t="shared" ref="A502" ca="1" si="670">INDIRECT("'update Helper'!C"&amp;Q502)</f>
        <v>a1VDm000000PgBIMA0</v>
      </c>
      <c r="B502" s="570">
        <v>10</v>
      </c>
      <c r="C502" s="572" t="str">
        <f ca="1">IFERROR(VLOOKUP(B502,'Outcome Indicators - Section C '!$A$9:$AC$70,29,FALSE),"")</f>
        <v>HIV O-12 Percentage of people living with HIV and on ART who are virologically suppressed</v>
      </c>
      <c r="D502" s="574" t="str">
        <f ca="1">M502</f>
        <v>Gender | Age</v>
      </c>
      <c r="E502" s="574" t="str">
        <f ca="1">N502</f>
        <v>Female 15+</v>
      </c>
      <c r="F502" s="127"/>
      <c r="G502" s="576" t="str">
        <f ca="1">IF(OR(INDIRECT("'update Helper'!E"&amp;Q502)="",F502&lt;&gt;0,F503&lt;&gt;0),IF(IFERROR((F502/F503),"")="","",(F502/F503)),INDIRECT("'update Helper'!E"&amp;Q502)/100)</f>
        <v/>
      </c>
      <c r="H502" s="539"/>
      <c r="I502" s="578"/>
      <c r="J502" s="532"/>
      <c r="K502" s="126">
        <f ca="1">IF(AND(EXACT(C502,C500),C500&lt;&gt;0),K500+1,0)</f>
        <v>3</v>
      </c>
      <c r="L502" s="126" t="str">
        <f ca="1">IF(C502&lt;&gt;"",C502&amp;"-"&amp;K502,"")</f>
        <v>HIV O-12 Percentage of people living with HIV and on ART who are virologically suppressed-3</v>
      </c>
      <c r="M502" s="126" t="str">
        <f t="array" aca="1" ref="M502" ca="1">IFERROR(IF(INDEX('Disaggregation Records'!$E$83:$E$153,MATCH(RIGHT(L502,255),RIGHT('Disaggregation Records'!$D$83:$D$153,255),0))="","",INDEX('Disaggregation Records'!$E$83:$E$153,MATCH(RIGHT(L502,255),RIGHT('Disaggregation Records'!$D$83:$D$153,255),0))),"")</f>
        <v>Gender | Age</v>
      </c>
      <c r="N502" s="126" t="str">
        <f t="array" aca="1" ref="N502" ca="1">IFERROR(IF(INDEX('Disaggregation Records'!$F$83:$F$153,MATCH(RIGHT(L502,255),RIGHT('Disaggregation Records'!$D$83:$D$153,255),0))="","",INDEX('Disaggregation Records'!$F$83:$F$153,MATCH(RIGHT(L502,255),RIGHT('Disaggregation Records'!$D$83:$D$153,255),0))),"")</f>
        <v>Female 15+</v>
      </c>
      <c r="O502" s="314" t="str">
        <f t="array" aca="1" ref="O502" ca="1">IFERROR(IF(INDEX('Disaggregation Records'!$H$83:$H$153,MATCH(RIGHT(L502,255),RIGHT('Disaggregation Records'!$D$83:$D$153,255),0))="","",INDEX('Disaggregation Records'!$H$83:$H$153,MATCH(RIGHT(L502,255),RIGHT('Disaggregation Records'!$D$83:$D$153,255),0))),"")</f>
        <v>IDR-01108</v>
      </c>
      <c r="P502" s="314"/>
      <c r="Q502" s="310">
        <f t="shared" ref="Q502" si="671">Q500+1</f>
        <v>1097</v>
      </c>
      <c r="R502" s="314" t="str" cm="1">
        <f t="array" aca="1" ref="R502" ca="1">IFERROR(IF(INDEX('Disaggregation Records'!$G$83:$G$153,MATCH(RIGHT(L502,255),RIGHT('Disaggregation Records'!$D$83:$D$153,255),0))="","",INDEX('Disaggregation Records'!$G$83:$G$153,MATCH(RIGHT(L502,255),RIGHT('Disaggregation Records'!$D$83:$D$153,255),0))),"")</f>
        <v>a1LDm000000Cb0cMAC</v>
      </c>
    </row>
    <row r="503" spans="1:18" ht="20.100000000000001" customHeight="1">
      <c r="B503" s="571"/>
      <c r="C503" s="573"/>
      <c r="D503" s="575"/>
      <c r="E503" s="575"/>
      <c r="F503" s="128"/>
      <c r="G503" s="577"/>
      <c r="H503" s="540"/>
      <c r="I503" s="579"/>
      <c r="J503" s="533"/>
      <c r="K503" s="126"/>
      <c r="L503" s="126"/>
      <c r="M503" s="126"/>
      <c r="N503" s="126"/>
      <c r="O503" s="314"/>
      <c r="P503" s="314"/>
      <c r="Q503" s="310"/>
      <c r="R503" s="314" t="str" cm="1">
        <f t="array" ref="R503">IFERROR(IF(INDEX('Disaggregation Records'!$G$83:$G$153,MATCH(RIGHT(L503,255),RIGHT('Disaggregation Records'!$D$83:$D$153,255),0))="","",INDEX('Disaggregation Records'!$G$83:$G$153,MATCH(RIGHT(L503,255),RIGHT('Disaggregation Records'!$D$83:$D$153,255),0))),"")</f>
        <v/>
      </c>
    </row>
    <row r="504" spans="1:18" ht="20.100000000000001" customHeight="1">
      <c r="A504" s="126" t="str">
        <f t="shared" ref="A504" ca="1" si="672">INDIRECT("'update Helper'!C"&amp;Q504)</f>
        <v>a1VDm000000PgBJMA0</v>
      </c>
      <c r="B504" s="570">
        <v>10</v>
      </c>
      <c r="C504" s="572" t="str">
        <f ca="1">IFERROR(VLOOKUP(B504,'Outcome Indicators - Section C '!$A$9:$AC$70,29,FALSE),"")</f>
        <v>HIV O-12 Percentage of people living with HIV and on ART who are virologically suppressed</v>
      </c>
      <c r="D504" s="574" t="str">
        <f ca="1">M504</f>
        <v/>
      </c>
      <c r="E504" s="574" t="str">
        <f ca="1">N504</f>
        <v/>
      </c>
      <c r="F504" s="127"/>
      <c r="G504" s="576" t="str">
        <f ca="1">IF(OR(INDIRECT("'update Helper'!E"&amp;Q504)="",F504&lt;&gt;0,F505&lt;&gt;0),IF(IFERROR((F504/F505),"")="","",(F504/F505)),INDIRECT("'update Helper'!E"&amp;Q504)/100)</f>
        <v/>
      </c>
      <c r="H504" s="539"/>
      <c r="I504" s="578"/>
      <c r="J504" s="532"/>
      <c r="K504" s="126">
        <f ca="1">IF(AND(EXACT(C504,C502),C502&lt;&gt;0),K502+1,0)</f>
        <v>4</v>
      </c>
      <c r="L504" s="126" t="str">
        <f ca="1">IF(C504&lt;&gt;"",C504&amp;"-"&amp;K504,"")</f>
        <v>HIV O-12 Percentage of people living with HIV and on ART who are virologically suppressed-4</v>
      </c>
      <c r="M504" s="126" t="str">
        <f t="array" aca="1" ref="M504" ca="1">IFERROR(IF(INDEX('Disaggregation Records'!$E$83:$E$153,MATCH(RIGHT(L504,255),RIGHT('Disaggregation Records'!$D$83:$D$153,255),0))="","",INDEX('Disaggregation Records'!$E$83:$E$153,MATCH(RIGHT(L504,255),RIGHT('Disaggregation Records'!$D$83:$D$153,255),0))),"")</f>
        <v/>
      </c>
      <c r="N504" s="126" t="str">
        <f t="array" aca="1" ref="N504" ca="1">IFERROR(IF(INDEX('Disaggregation Records'!$F$83:$F$153,MATCH(RIGHT(L504,255),RIGHT('Disaggregation Records'!$D$83:$D$153,255),0))="","",INDEX('Disaggregation Records'!$F$83:$F$153,MATCH(RIGHT(L504,255),RIGHT('Disaggregation Records'!$D$83:$D$153,255),0))),"")</f>
        <v/>
      </c>
      <c r="O504" s="314" t="str">
        <f t="array" aca="1" ref="O504" ca="1">IFERROR(IF(INDEX('Disaggregation Records'!$H$83:$H$153,MATCH(RIGHT(L504,255),RIGHT('Disaggregation Records'!$D$83:$D$153,255),0))="","",INDEX('Disaggregation Records'!$H$83:$H$153,MATCH(RIGHT(L504,255),RIGHT('Disaggregation Records'!$D$83:$D$153,255),0))),"")</f>
        <v/>
      </c>
      <c r="P504" s="314"/>
      <c r="Q504" s="310">
        <f t="shared" ref="Q504" si="673">Q502+1</f>
        <v>1098</v>
      </c>
      <c r="R504" s="314" t="str" cm="1">
        <f t="array" aca="1" ref="R504" ca="1">IFERROR(IF(INDEX('Disaggregation Records'!$G$83:$G$153,MATCH(RIGHT(L504,255),RIGHT('Disaggregation Records'!$D$83:$D$153,255),0))="","",INDEX('Disaggregation Records'!$G$83:$G$153,MATCH(RIGHT(L504,255),RIGHT('Disaggregation Records'!$D$83:$D$153,255),0))),"")</f>
        <v/>
      </c>
    </row>
    <row r="505" spans="1:18" ht="20.100000000000001" customHeight="1">
      <c r="A505" s="126"/>
      <c r="B505" s="571"/>
      <c r="C505" s="573"/>
      <c r="D505" s="575"/>
      <c r="E505" s="575"/>
      <c r="F505" s="128"/>
      <c r="G505" s="577"/>
      <c r="H505" s="540"/>
      <c r="I505" s="579"/>
      <c r="J505" s="533"/>
      <c r="K505" s="126"/>
      <c r="L505" s="126"/>
      <c r="M505" s="126"/>
      <c r="N505" s="126"/>
      <c r="O505" s="314"/>
      <c r="P505" s="314"/>
      <c r="Q505" s="310"/>
      <c r="R505" s="314" t="str" cm="1">
        <f t="array" ref="R505">IFERROR(IF(INDEX('Disaggregation Records'!$G$83:$G$153,MATCH(RIGHT(L505,255),RIGHT('Disaggregation Records'!$D$83:$D$153,255),0))="","",INDEX('Disaggregation Records'!$G$83:$G$153,MATCH(RIGHT(L505,255),RIGHT('Disaggregation Records'!$D$83:$D$153,255),0))),"")</f>
        <v/>
      </c>
    </row>
    <row r="506" spans="1:18" ht="20.100000000000001" customHeight="1">
      <c r="A506" s="126" t="str">
        <f t="shared" ref="A506" ca="1" si="674">INDIRECT("'update Helper'!C"&amp;Q506)</f>
        <v>a1VDm000000PgBKMA0</v>
      </c>
      <c r="B506" s="570">
        <v>10</v>
      </c>
      <c r="C506" s="572" t="str">
        <f ca="1">IFERROR(VLOOKUP(B506,'Outcome Indicators - Section C '!$A$9:$AC$70,29,FALSE),"")</f>
        <v>HIV O-12 Percentage of people living with HIV and on ART who are virologically suppressed</v>
      </c>
      <c r="D506" s="574" t="str">
        <f ca="1">M506</f>
        <v/>
      </c>
      <c r="E506" s="574" t="str">
        <f ca="1">N506</f>
        <v/>
      </c>
      <c r="F506" s="127"/>
      <c r="G506" s="576" t="str">
        <f ca="1">IF(OR(INDIRECT("'update Helper'!E"&amp;Q506)="",F506&lt;&gt;0,F507&lt;&gt;0),IF(IFERROR((F506/F507),"")="","",(F506/F507)),INDIRECT("'update Helper'!E"&amp;Q506)/100)</f>
        <v/>
      </c>
      <c r="H506" s="539"/>
      <c r="I506" s="578"/>
      <c r="J506" s="532"/>
      <c r="K506" s="126">
        <f ca="1">IF(AND(EXACT(C506,C504),C504&lt;&gt;0),K504+1,0)</f>
        <v>5</v>
      </c>
      <c r="L506" s="126" t="str">
        <f ca="1">IF(C506&lt;&gt;"",C506&amp;"-"&amp;K506,"")</f>
        <v>HIV O-12 Percentage of people living with HIV and on ART who are virologically suppressed-5</v>
      </c>
      <c r="M506" s="126" t="str">
        <f t="array" aca="1" ref="M506" ca="1">IFERROR(IF(INDEX('Disaggregation Records'!$E$83:$E$153,MATCH(RIGHT(L506,255),RIGHT('Disaggregation Records'!$D$83:$D$153,255),0))="","",INDEX('Disaggregation Records'!$E$83:$E$153,MATCH(RIGHT(L506,255),RIGHT('Disaggregation Records'!$D$83:$D$153,255),0))),"")</f>
        <v/>
      </c>
      <c r="N506" s="126" t="str">
        <f t="array" aca="1" ref="N506" ca="1">IFERROR(IF(INDEX('Disaggregation Records'!$F$83:$F$153,MATCH(RIGHT(L506,255),RIGHT('Disaggregation Records'!$D$83:$D$153,255),0))="","",INDEX('Disaggregation Records'!$F$83:$F$153,MATCH(RIGHT(L506,255),RIGHT('Disaggregation Records'!$D$83:$D$153,255),0))),"")</f>
        <v/>
      </c>
      <c r="O506" s="314" t="str">
        <f t="array" aca="1" ref="O506" ca="1">IFERROR(IF(INDEX('Disaggregation Records'!$H$83:$H$153,MATCH(RIGHT(L506,255),RIGHT('Disaggregation Records'!$D$83:$D$153,255),0))="","",INDEX('Disaggregation Records'!$H$83:$H$153,MATCH(RIGHT(L506,255),RIGHT('Disaggregation Records'!$D$83:$D$153,255),0))),"")</f>
        <v/>
      </c>
      <c r="P506" s="314"/>
      <c r="Q506" s="310">
        <f t="shared" ref="Q506" si="675">Q504+1</f>
        <v>1099</v>
      </c>
      <c r="R506" s="314" t="str" cm="1">
        <f t="array" aca="1" ref="R506" ca="1">IFERROR(IF(INDEX('Disaggregation Records'!$G$83:$G$153,MATCH(RIGHT(L506,255),RIGHT('Disaggregation Records'!$D$83:$D$153,255),0))="","",INDEX('Disaggregation Records'!$G$83:$G$153,MATCH(RIGHT(L506,255),RIGHT('Disaggregation Records'!$D$83:$D$153,255),0))),"")</f>
        <v/>
      </c>
    </row>
    <row r="507" spans="1:18" ht="20.100000000000001" customHeight="1">
      <c r="B507" s="571"/>
      <c r="C507" s="573"/>
      <c r="D507" s="575"/>
      <c r="E507" s="575"/>
      <c r="F507" s="128"/>
      <c r="G507" s="577"/>
      <c r="H507" s="540"/>
      <c r="I507" s="579"/>
      <c r="J507" s="533"/>
      <c r="K507" s="126"/>
      <c r="L507" s="126"/>
      <c r="M507" s="126"/>
      <c r="N507" s="126"/>
      <c r="O507" s="314"/>
      <c r="P507" s="314"/>
      <c r="Q507" s="310"/>
      <c r="R507" s="314" t="str" cm="1">
        <f t="array" ref="R507">IFERROR(IF(INDEX('Disaggregation Records'!$G$83:$G$153,MATCH(RIGHT(L507,255),RIGHT('Disaggregation Records'!$D$83:$D$153,255),0))="","",INDEX('Disaggregation Records'!$G$83:$G$153,MATCH(RIGHT(L507,255),RIGHT('Disaggregation Records'!$D$83:$D$153,255),0))),"")</f>
        <v/>
      </c>
    </row>
    <row r="508" spans="1:18" ht="20.100000000000001" customHeight="1">
      <c r="A508" s="126" t="str">
        <f t="shared" ref="A508" ca="1" si="676">INDIRECT("'update Helper'!C"&amp;Q508)</f>
        <v>a1VDm000000PgBLMA0</v>
      </c>
      <c r="B508" s="570">
        <v>10</v>
      </c>
      <c r="C508" s="572" t="str">
        <f ca="1">IFERROR(VLOOKUP(B508,'Outcome Indicators - Section C '!$A$9:$AC$70,29,FALSE),"")</f>
        <v>HIV O-12 Percentage of people living with HIV and on ART who are virologically suppressed</v>
      </c>
      <c r="D508" s="574" t="str">
        <f ca="1">M508</f>
        <v/>
      </c>
      <c r="E508" s="574" t="str">
        <f ca="1">N508</f>
        <v/>
      </c>
      <c r="F508" s="127"/>
      <c r="G508" s="576" t="str">
        <f ca="1">IF(OR(INDIRECT("'update Helper'!E"&amp;Q508)="",F508&lt;&gt;0,F509&lt;&gt;0),IF(IFERROR((F508/F509),"")="","",(F508/F509)),INDIRECT("'update Helper'!E"&amp;Q508)/100)</f>
        <v/>
      </c>
      <c r="H508" s="539"/>
      <c r="I508" s="578"/>
      <c r="J508" s="532"/>
      <c r="K508" s="126">
        <f ca="1">IF(AND(EXACT(C508,C506),C506&lt;&gt;0),K506+1,0)</f>
        <v>6</v>
      </c>
      <c r="L508" s="126" t="str">
        <f ca="1">IF(C508&lt;&gt;"",C508&amp;"-"&amp;K508,"")</f>
        <v>HIV O-12 Percentage of people living with HIV and on ART who are virologically suppressed-6</v>
      </c>
      <c r="M508" s="126" t="str">
        <f t="array" aca="1" ref="M508" ca="1">IFERROR(IF(INDEX('Disaggregation Records'!$E$83:$E$153,MATCH(RIGHT(L508,255),RIGHT('Disaggregation Records'!$D$83:$D$153,255),0))="","",INDEX('Disaggregation Records'!$E$83:$E$153,MATCH(RIGHT(L508,255),RIGHT('Disaggregation Records'!$D$83:$D$153,255),0))),"")</f>
        <v/>
      </c>
      <c r="N508" s="126" t="str">
        <f t="array" aca="1" ref="N508" ca="1">IFERROR(IF(INDEX('Disaggregation Records'!$F$83:$F$153,MATCH(RIGHT(L508,255),RIGHT('Disaggregation Records'!$D$83:$D$153,255),0))="","",INDEX('Disaggregation Records'!$F$83:$F$153,MATCH(RIGHT(L508,255),RIGHT('Disaggregation Records'!$D$83:$D$153,255),0))),"")</f>
        <v/>
      </c>
      <c r="O508" s="314" t="str">
        <f t="array" aca="1" ref="O508" ca="1">IFERROR(IF(INDEX('Disaggregation Records'!$H$83:$H$153,MATCH(RIGHT(L508,255),RIGHT('Disaggregation Records'!$D$83:$D$153,255),0))="","",INDEX('Disaggregation Records'!$H$83:$H$153,MATCH(RIGHT(L508,255),RIGHT('Disaggregation Records'!$D$83:$D$153,255),0))),"")</f>
        <v/>
      </c>
      <c r="P508" s="314"/>
      <c r="Q508" s="310">
        <f t="shared" ref="Q508" si="677">Q506+1</f>
        <v>1100</v>
      </c>
      <c r="R508" s="314" t="str" cm="1">
        <f t="array" aca="1" ref="R508" ca="1">IFERROR(IF(INDEX('Disaggregation Records'!$G$83:$G$153,MATCH(RIGHT(L508,255),RIGHT('Disaggregation Records'!$D$83:$D$153,255),0))="","",INDEX('Disaggregation Records'!$G$83:$G$153,MATCH(RIGHT(L508,255),RIGHT('Disaggregation Records'!$D$83:$D$153,255),0))),"")</f>
        <v/>
      </c>
    </row>
    <row r="509" spans="1:18" ht="20.100000000000001" customHeight="1">
      <c r="A509" s="126"/>
      <c r="B509" s="571"/>
      <c r="C509" s="573"/>
      <c r="D509" s="575"/>
      <c r="E509" s="575"/>
      <c r="F509" s="128"/>
      <c r="G509" s="577"/>
      <c r="H509" s="540"/>
      <c r="I509" s="579"/>
      <c r="J509" s="533"/>
      <c r="K509" s="126"/>
      <c r="L509" s="126"/>
      <c r="M509" s="126"/>
      <c r="N509" s="126"/>
      <c r="O509" s="314"/>
      <c r="P509" s="314"/>
      <c r="Q509" s="310"/>
      <c r="R509" s="314" t="str" cm="1">
        <f t="array" ref="R509">IFERROR(IF(INDEX('Disaggregation Records'!$G$83:$G$153,MATCH(RIGHT(L509,255),RIGHT('Disaggregation Records'!$D$83:$D$153,255),0))="","",INDEX('Disaggregation Records'!$G$83:$G$153,MATCH(RIGHT(L509,255),RIGHT('Disaggregation Records'!$D$83:$D$153,255),0))),"")</f>
        <v/>
      </c>
    </row>
    <row r="510" spans="1:18" ht="20.100000000000001" customHeight="1">
      <c r="A510" s="126" t="str">
        <f t="shared" ref="A510" ca="1" si="678">INDIRECT("'update Helper'!C"&amp;Q510)</f>
        <v>a1VDm000000PgBMMA0</v>
      </c>
      <c r="B510" s="570">
        <v>10</v>
      </c>
      <c r="C510" s="572" t="str">
        <f ca="1">IFERROR(VLOOKUP(B510,'Outcome Indicators - Section C '!$A$9:$AC$70,29,FALSE),"")</f>
        <v>HIV O-12 Percentage of people living with HIV and on ART who are virologically suppressed</v>
      </c>
      <c r="D510" s="574" t="str">
        <f ca="1">M510</f>
        <v/>
      </c>
      <c r="E510" s="574" t="str">
        <f ca="1">N510</f>
        <v/>
      </c>
      <c r="F510" s="127"/>
      <c r="G510" s="576" t="str">
        <f ca="1">IF(OR(INDIRECT("'update Helper'!E"&amp;Q510)="",F510&lt;&gt;0,F511&lt;&gt;0),IF(IFERROR((F510/F511),"")="","",(F510/F511)),INDIRECT("'update Helper'!E"&amp;Q510)/100)</f>
        <v/>
      </c>
      <c r="H510" s="539"/>
      <c r="I510" s="578"/>
      <c r="J510" s="532"/>
      <c r="K510" s="126">
        <f ca="1">IF(AND(EXACT(C510,C508),C508&lt;&gt;0),K508+1,0)</f>
        <v>7</v>
      </c>
      <c r="L510" s="126" t="str">
        <f ca="1">IF(C510&lt;&gt;"",C510&amp;"-"&amp;K510,"")</f>
        <v>HIV O-12 Percentage of people living with HIV and on ART who are virologically suppressed-7</v>
      </c>
      <c r="M510" s="126" t="str">
        <f t="array" aca="1" ref="M510" ca="1">IFERROR(IF(INDEX('Disaggregation Records'!$E$83:$E$153,MATCH(RIGHT(L510,255),RIGHT('Disaggregation Records'!$D$83:$D$153,255),0))="","",INDEX('Disaggregation Records'!$E$83:$E$153,MATCH(RIGHT(L510,255),RIGHT('Disaggregation Records'!$D$83:$D$153,255),0))),"")</f>
        <v/>
      </c>
      <c r="N510" s="126" t="str">
        <f t="array" aca="1" ref="N510" ca="1">IFERROR(IF(INDEX('Disaggregation Records'!$F$83:$F$153,MATCH(RIGHT(L510,255),RIGHT('Disaggregation Records'!$D$83:$D$153,255),0))="","",INDEX('Disaggregation Records'!$F$83:$F$153,MATCH(RIGHT(L510,255),RIGHT('Disaggregation Records'!$D$83:$D$153,255),0))),"")</f>
        <v/>
      </c>
      <c r="O510" s="314" t="str">
        <f t="array" aca="1" ref="O510" ca="1">IFERROR(IF(INDEX('Disaggregation Records'!$H$83:$H$153,MATCH(RIGHT(L510,255),RIGHT('Disaggregation Records'!$D$83:$D$153,255),0))="","",INDEX('Disaggregation Records'!$H$83:$H$153,MATCH(RIGHT(L510,255),RIGHT('Disaggregation Records'!$D$83:$D$153,255),0))),"")</f>
        <v/>
      </c>
      <c r="P510" s="314"/>
      <c r="Q510" s="310">
        <f t="shared" ref="Q510" si="679">Q508+1</f>
        <v>1101</v>
      </c>
      <c r="R510" s="314" t="str" cm="1">
        <f t="array" aca="1" ref="R510" ca="1">IFERROR(IF(INDEX('Disaggregation Records'!$G$83:$G$153,MATCH(RIGHT(L510,255),RIGHT('Disaggregation Records'!$D$83:$D$153,255),0))="","",INDEX('Disaggregation Records'!$G$83:$G$153,MATCH(RIGHT(L510,255),RIGHT('Disaggregation Records'!$D$83:$D$153,255),0))),"")</f>
        <v/>
      </c>
    </row>
    <row r="511" spans="1:18" ht="20.100000000000001" customHeight="1">
      <c r="B511" s="571"/>
      <c r="C511" s="573"/>
      <c r="D511" s="575"/>
      <c r="E511" s="575"/>
      <c r="F511" s="128"/>
      <c r="G511" s="577"/>
      <c r="H511" s="540"/>
      <c r="I511" s="579"/>
      <c r="J511" s="533"/>
      <c r="K511" s="126"/>
      <c r="L511" s="126"/>
      <c r="M511" s="126"/>
      <c r="N511" s="126"/>
      <c r="O511" s="314"/>
      <c r="P511" s="314"/>
      <c r="Q511" s="310"/>
      <c r="R511" s="314" t="str" cm="1">
        <f t="array" ref="R511">IFERROR(IF(INDEX('Disaggregation Records'!$G$83:$G$153,MATCH(RIGHT(L511,255),RIGHT('Disaggregation Records'!$D$83:$D$153,255),0))="","",INDEX('Disaggregation Records'!$G$83:$G$153,MATCH(RIGHT(L511,255),RIGHT('Disaggregation Records'!$D$83:$D$153,255),0))),"")</f>
        <v/>
      </c>
    </row>
    <row r="512" spans="1:18" ht="20.100000000000001" customHeight="1">
      <c r="A512" s="126" t="str">
        <f t="shared" ref="A512" ca="1" si="680">INDIRECT("'update Helper'!C"&amp;Q512)</f>
        <v>a1VDm000000PgBNMA0</v>
      </c>
      <c r="B512" s="570">
        <v>10</v>
      </c>
      <c r="C512" s="572" t="str">
        <f ca="1">IFERROR(VLOOKUP(B512,'Outcome Indicators - Section C '!$A$9:$AC$70,29,FALSE),"")</f>
        <v>HIV O-12 Percentage of people living with HIV and on ART who are virologically suppressed</v>
      </c>
      <c r="D512" s="574" t="str">
        <f ca="1">M512</f>
        <v/>
      </c>
      <c r="E512" s="574" t="str">
        <f ca="1">N512</f>
        <v/>
      </c>
      <c r="F512" s="127"/>
      <c r="G512" s="576" t="str">
        <f ca="1">IF(OR(INDIRECT("'update Helper'!E"&amp;Q512)="",F512&lt;&gt;0,F513&lt;&gt;0),IF(IFERROR((F512/F513),"")="","",(F512/F513)),INDIRECT("'update Helper'!E"&amp;Q512)/100)</f>
        <v/>
      </c>
      <c r="H512" s="539"/>
      <c r="I512" s="578"/>
      <c r="J512" s="532"/>
      <c r="K512" s="126">
        <f ca="1">IF(AND(EXACT(C512,C510),C510&lt;&gt;0),K510+1,0)</f>
        <v>8</v>
      </c>
      <c r="L512" s="126" t="str">
        <f ca="1">IF(C512&lt;&gt;"",C512&amp;"-"&amp;K512,"")</f>
        <v>HIV O-12 Percentage of people living with HIV and on ART who are virologically suppressed-8</v>
      </c>
      <c r="M512" s="126" t="str">
        <f t="array" aca="1" ref="M512" ca="1">IFERROR(IF(INDEX('Disaggregation Records'!$E$83:$E$153,MATCH(RIGHT(L512,255),RIGHT('Disaggregation Records'!$D$83:$D$153,255),0))="","",INDEX('Disaggregation Records'!$E$83:$E$153,MATCH(RIGHT(L512,255),RIGHT('Disaggregation Records'!$D$83:$D$153,255),0))),"")</f>
        <v/>
      </c>
      <c r="N512" s="126" t="str">
        <f t="array" aca="1" ref="N512" ca="1">IFERROR(IF(INDEX('Disaggregation Records'!$F$83:$F$153,MATCH(RIGHT(L512,255),RIGHT('Disaggregation Records'!$D$83:$D$153,255),0))="","",INDEX('Disaggregation Records'!$F$83:$F$153,MATCH(RIGHT(L512,255),RIGHT('Disaggregation Records'!$D$83:$D$153,255),0))),"")</f>
        <v/>
      </c>
      <c r="O512" s="314" t="str">
        <f t="array" aca="1" ref="O512" ca="1">IFERROR(IF(INDEX('Disaggregation Records'!$H$83:$H$153,MATCH(RIGHT(L512,255),RIGHT('Disaggregation Records'!$D$83:$D$153,255),0))="","",INDEX('Disaggregation Records'!$H$83:$H$153,MATCH(RIGHT(L512,255),RIGHT('Disaggregation Records'!$D$83:$D$153,255),0))),"")</f>
        <v/>
      </c>
      <c r="P512" s="314"/>
      <c r="Q512" s="310">
        <f t="shared" ref="Q512" si="681">Q510+1</f>
        <v>1102</v>
      </c>
      <c r="R512" s="314" t="str" cm="1">
        <f t="array" aca="1" ref="R512" ca="1">IFERROR(IF(INDEX('Disaggregation Records'!$G$83:$G$153,MATCH(RIGHT(L512,255),RIGHT('Disaggregation Records'!$D$83:$D$153,255),0))="","",INDEX('Disaggregation Records'!$G$83:$G$153,MATCH(RIGHT(L512,255),RIGHT('Disaggregation Records'!$D$83:$D$153,255),0))),"")</f>
        <v/>
      </c>
    </row>
    <row r="513" spans="1:18" ht="20.100000000000001" customHeight="1">
      <c r="A513" s="126"/>
      <c r="B513" s="571"/>
      <c r="C513" s="573"/>
      <c r="D513" s="575"/>
      <c r="E513" s="575"/>
      <c r="F513" s="128"/>
      <c r="G513" s="577"/>
      <c r="H513" s="540"/>
      <c r="I513" s="579"/>
      <c r="J513" s="533"/>
      <c r="K513" s="126"/>
      <c r="L513" s="126"/>
      <c r="M513" s="126"/>
      <c r="N513" s="126"/>
      <c r="O513" s="314"/>
      <c r="P513" s="314"/>
      <c r="Q513" s="310"/>
      <c r="R513" s="314" t="str" cm="1">
        <f t="array" ref="R513">IFERROR(IF(INDEX('Disaggregation Records'!$G$83:$G$153,MATCH(RIGHT(L513,255),RIGHT('Disaggregation Records'!$D$83:$D$153,255),0))="","",INDEX('Disaggregation Records'!$G$83:$G$153,MATCH(RIGHT(L513,255),RIGHT('Disaggregation Records'!$D$83:$D$153,255),0))),"")</f>
        <v/>
      </c>
    </row>
    <row r="514" spans="1:18" ht="20.100000000000001" customHeight="1">
      <c r="A514" s="126" t="str">
        <f t="shared" ref="A514" ca="1" si="682">INDIRECT("'update Helper'!C"&amp;Q514)</f>
        <v>a1VDm000000PgBOMA0</v>
      </c>
      <c r="B514" s="570">
        <v>10</v>
      </c>
      <c r="C514" s="572" t="str">
        <f ca="1">IFERROR(VLOOKUP(B514,'Outcome Indicators - Section C '!$A$9:$AC$70,29,FALSE),"")</f>
        <v>HIV O-12 Percentage of people living with HIV and on ART who are virologically suppressed</v>
      </c>
      <c r="D514" s="574" t="str">
        <f ca="1">M514</f>
        <v/>
      </c>
      <c r="E514" s="574" t="str">
        <f ca="1">N514</f>
        <v/>
      </c>
      <c r="F514" s="127"/>
      <c r="G514" s="576" t="str">
        <f ca="1">IF(OR(INDIRECT("'update Helper'!E"&amp;Q514)="",F514&lt;&gt;0,F515&lt;&gt;0),IF(IFERROR((F514/F515),"")="","",(F514/F515)),INDIRECT("'update Helper'!E"&amp;Q514)/100)</f>
        <v/>
      </c>
      <c r="H514" s="539"/>
      <c r="I514" s="578"/>
      <c r="J514" s="532"/>
      <c r="K514" s="126">
        <f ca="1">IF(AND(EXACT(C514,C512),C512&lt;&gt;0),K512+1,0)</f>
        <v>9</v>
      </c>
      <c r="L514" s="126" t="str">
        <f ca="1">IF(C514&lt;&gt;"",C514&amp;"-"&amp;K514,"")</f>
        <v>HIV O-12 Percentage of people living with HIV and on ART who are virologically suppressed-9</v>
      </c>
      <c r="M514" s="126" t="str">
        <f t="array" aca="1" ref="M514" ca="1">IFERROR(IF(INDEX('Disaggregation Records'!$E$83:$E$153,MATCH(RIGHT(L514,255),RIGHT('Disaggregation Records'!$D$83:$D$153,255),0))="","",INDEX('Disaggregation Records'!$E$83:$E$153,MATCH(RIGHT(L514,255),RIGHT('Disaggregation Records'!$D$83:$D$153,255),0))),"")</f>
        <v/>
      </c>
      <c r="N514" s="126" t="str">
        <f t="array" aca="1" ref="N514" ca="1">IFERROR(IF(INDEX('Disaggregation Records'!$F$83:$F$153,MATCH(RIGHT(L514,255),RIGHT('Disaggregation Records'!$D$83:$D$153,255),0))="","",INDEX('Disaggregation Records'!$F$83:$F$153,MATCH(RIGHT(L514,255),RIGHT('Disaggregation Records'!$D$83:$D$153,255),0))),"")</f>
        <v/>
      </c>
      <c r="O514" s="314" t="str">
        <f t="array" aca="1" ref="O514" ca="1">IFERROR(IF(INDEX('Disaggregation Records'!$H$83:$H$153,MATCH(RIGHT(L514,255),RIGHT('Disaggregation Records'!$D$83:$D$153,255),0))="","",INDEX('Disaggregation Records'!$H$83:$H$153,MATCH(RIGHT(L514,255),RIGHT('Disaggregation Records'!$D$83:$D$153,255),0))),"")</f>
        <v/>
      </c>
      <c r="P514" s="314"/>
      <c r="Q514" s="310">
        <f t="shared" ref="Q514" si="683">Q512+1</f>
        <v>1103</v>
      </c>
      <c r="R514" s="314" t="str" cm="1">
        <f t="array" aca="1" ref="R514" ca="1">IFERROR(IF(INDEX('Disaggregation Records'!$G$83:$G$153,MATCH(RIGHT(L514,255),RIGHT('Disaggregation Records'!$D$83:$D$153,255),0))="","",INDEX('Disaggregation Records'!$G$83:$G$153,MATCH(RIGHT(L514,255),RIGHT('Disaggregation Records'!$D$83:$D$153,255),0))),"")</f>
        <v/>
      </c>
    </row>
    <row r="515" spans="1:18" ht="20.100000000000001" customHeight="1">
      <c r="B515" s="571"/>
      <c r="C515" s="573"/>
      <c r="D515" s="575"/>
      <c r="E515" s="575"/>
      <c r="F515" s="128"/>
      <c r="G515" s="577"/>
      <c r="H515" s="540"/>
      <c r="I515" s="579"/>
      <c r="J515" s="533"/>
      <c r="K515" s="126"/>
      <c r="L515" s="126"/>
      <c r="M515" s="126"/>
      <c r="N515" s="126"/>
      <c r="O515" s="314"/>
      <c r="P515" s="314"/>
      <c r="Q515" s="310"/>
      <c r="R515" s="314" t="str" cm="1">
        <f t="array" ref="R515">IFERROR(IF(INDEX('Disaggregation Records'!$G$83:$G$153,MATCH(RIGHT(L515,255),RIGHT('Disaggregation Records'!$D$83:$D$153,255),0))="","",INDEX('Disaggregation Records'!$G$83:$G$153,MATCH(RIGHT(L515,255),RIGHT('Disaggregation Records'!$D$83:$D$153,255),0))),"")</f>
        <v/>
      </c>
    </row>
    <row r="516" spans="1:18" ht="20.100000000000001" customHeight="1">
      <c r="A516" s="126" t="str">
        <f t="shared" ref="A516" ca="1" si="684">INDIRECT("'update Helper'!C"&amp;Q516)</f>
        <v>a1VDm000000PgBPMA0</v>
      </c>
      <c r="B516" s="570">
        <v>11</v>
      </c>
      <c r="C516" s="572" t="str">
        <f ca="1">IFERROR(VLOOKUP(B516,'Outcome Indicators - Section C '!$A$9:$AC$70,29,FALSE),"")</f>
        <v>HIV O-16a Percentage of men who have sex with men who avoid health care because of stigma and discrimination</v>
      </c>
      <c r="D516" s="574" t="str">
        <f ca="1">M516</f>
        <v>Age</v>
      </c>
      <c r="E516" s="574" t="str">
        <f ca="1">N516</f>
        <v>25+</v>
      </c>
      <c r="F516" s="127"/>
      <c r="G516" s="576" t="str">
        <f ca="1">IF(OR(INDIRECT("'update Helper'!E"&amp;Q516)="",F516&lt;&gt;0,F517&lt;&gt;0),IF(IFERROR((F516/F517),"")="","",(F516/F517)),INDIRECT("'update Helper'!E"&amp;Q516)/100)</f>
        <v/>
      </c>
      <c r="H516" s="539"/>
      <c r="I516" s="578"/>
      <c r="J516" s="532"/>
      <c r="K516" s="126">
        <f ca="1">IF(AND(EXACT(C516,C514),C514&lt;&gt;0),K514+1,0)</f>
        <v>0</v>
      </c>
      <c r="L516" s="126" t="str">
        <f ca="1">IF(C516&lt;&gt;"",C516&amp;"-"&amp;K516,"")</f>
        <v>HIV O-16a Percentage of men who have sex with men who avoid health care because of stigma and discrimination-0</v>
      </c>
      <c r="M516" s="126" t="str">
        <f t="array" aca="1" ref="M516" ca="1">IFERROR(IF(INDEX('Disaggregation Records'!$E$83:$E$153,MATCH(RIGHT(L516,255),RIGHT('Disaggregation Records'!$D$83:$D$153,255),0))="","",INDEX('Disaggregation Records'!$E$83:$E$153,MATCH(RIGHT(L516,255),RIGHT('Disaggregation Records'!$D$83:$D$153,255),0))),"")</f>
        <v>Age</v>
      </c>
      <c r="N516" s="126" t="str">
        <f t="array" aca="1" ref="N516" ca="1">IFERROR(IF(INDEX('Disaggregation Records'!$F$83:$F$153,MATCH(RIGHT(L516,255),RIGHT('Disaggregation Records'!$D$83:$D$153,255),0))="","",INDEX('Disaggregation Records'!$F$83:$F$153,MATCH(RIGHT(L516,255),RIGHT('Disaggregation Records'!$D$83:$D$153,255),0))),"")</f>
        <v>25+</v>
      </c>
      <c r="O516" s="314" t="str">
        <f t="array" aca="1" ref="O516" ca="1">IFERROR(IF(INDEX('Disaggregation Records'!$H$83:$H$153,MATCH(RIGHT(L516,255),RIGHT('Disaggregation Records'!$D$83:$D$153,255),0))="","",INDEX('Disaggregation Records'!$H$83:$H$153,MATCH(RIGHT(L516,255),RIGHT('Disaggregation Records'!$D$83:$D$153,255),0))),"")</f>
        <v>IDR-01124</v>
      </c>
      <c r="P516" s="314"/>
      <c r="Q516" s="310">
        <f t="shared" ref="Q516" si="685">Q514+1</f>
        <v>1104</v>
      </c>
      <c r="R516" s="314" t="str" cm="1">
        <f t="array" aca="1" ref="R516" ca="1">IFERROR(IF(INDEX('Disaggregation Records'!$G$83:$G$153,MATCH(RIGHT(L516,255),RIGHT('Disaggregation Records'!$D$83:$D$153,255),0))="","",INDEX('Disaggregation Records'!$G$83:$G$153,MATCH(RIGHT(L516,255),RIGHT('Disaggregation Records'!$D$83:$D$153,255),0))),"")</f>
        <v>a1LDm000000Cb0sMAC</v>
      </c>
    </row>
    <row r="517" spans="1:18" ht="20.100000000000001" customHeight="1">
      <c r="A517" s="126"/>
      <c r="B517" s="571"/>
      <c r="C517" s="573"/>
      <c r="D517" s="575"/>
      <c r="E517" s="575"/>
      <c r="F517" s="128"/>
      <c r="G517" s="577"/>
      <c r="H517" s="540"/>
      <c r="I517" s="579"/>
      <c r="J517" s="533"/>
      <c r="K517" s="126"/>
      <c r="L517" s="126"/>
      <c r="M517" s="126"/>
      <c r="N517" s="126"/>
      <c r="O517" s="314"/>
      <c r="P517" s="314"/>
      <c r="Q517" s="310"/>
      <c r="R517" s="314" t="str" cm="1">
        <f t="array" ref="R517">IFERROR(IF(INDEX('Disaggregation Records'!$G$83:$G$153,MATCH(RIGHT(L517,255),RIGHT('Disaggregation Records'!$D$83:$D$153,255),0))="","",INDEX('Disaggregation Records'!$G$83:$G$153,MATCH(RIGHT(L517,255),RIGHT('Disaggregation Records'!$D$83:$D$153,255),0))),"")</f>
        <v/>
      </c>
    </row>
    <row r="518" spans="1:18" ht="20.100000000000001" customHeight="1">
      <c r="A518" s="126" t="str">
        <f t="shared" ref="A518" ca="1" si="686">INDIRECT("'update Helper'!C"&amp;Q518)</f>
        <v>a1VDm000000PgBQMA0</v>
      </c>
      <c r="B518" s="570">
        <v>11</v>
      </c>
      <c r="C518" s="572" t="str">
        <f ca="1">IFERROR(VLOOKUP(B518,'Outcome Indicators - Section C '!$A$9:$AC$70,29,FALSE),"")</f>
        <v>HIV O-16a Percentage of men who have sex with men who avoid health care because of stigma and discrimination</v>
      </c>
      <c r="D518" s="574" t="str">
        <f ca="1">M518</f>
        <v>Age</v>
      </c>
      <c r="E518" s="574" t="str">
        <f ca="1">N518</f>
        <v>&lt;25</v>
      </c>
      <c r="F518" s="127"/>
      <c r="G518" s="576" t="str">
        <f ca="1">IF(OR(INDIRECT("'update Helper'!E"&amp;Q518)="",F518&lt;&gt;0,F519&lt;&gt;0),IF(IFERROR((F518/F519),"")="","",(F518/F519)),INDIRECT("'update Helper'!E"&amp;Q518)/100)</f>
        <v/>
      </c>
      <c r="H518" s="539"/>
      <c r="I518" s="578"/>
      <c r="J518" s="532"/>
      <c r="K518" s="126">
        <f ca="1">IF(AND(EXACT(C518,C516),C516&lt;&gt;0),K516+1,0)</f>
        <v>1</v>
      </c>
      <c r="L518" s="126" t="str">
        <f ca="1">IF(C518&lt;&gt;"",C518&amp;"-"&amp;K518,"")</f>
        <v>HIV O-16a Percentage of men who have sex with men who avoid health care because of stigma and discrimination-1</v>
      </c>
      <c r="M518" s="126" t="str">
        <f t="array" aca="1" ref="M518" ca="1">IFERROR(IF(INDEX('Disaggregation Records'!$E$83:$E$153,MATCH(RIGHT(L518,255),RIGHT('Disaggregation Records'!$D$83:$D$153,255),0))="","",INDEX('Disaggregation Records'!$E$83:$E$153,MATCH(RIGHT(L518,255),RIGHT('Disaggregation Records'!$D$83:$D$153,255),0))),"")</f>
        <v>Age</v>
      </c>
      <c r="N518" s="126" t="str">
        <f t="array" aca="1" ref="N518" ca="1">IFERROR(IF(INDEX('Disaggregation Records'!$F$83:$F$153,MATCH(RIGHT(L518,255),RIGHT('Disaggregation Records'!$D$83:$D$153,255),0))="","",INDEX('Disaggregation Records'!$F$83:$F$153,MATCH(RIGHT(L518,255),RIGHT('Disaggregation Records'!$D$83:$D$153,255),0))),"")</f>
        <v>&lt;25</v>
      </c>
      <c r="O518" s="314" t="str">
        <f t="array" aca="1" ref="O518" ca="1">IFERROR(IF(INDEX('Disaggregation Records'!$H$83:$H$153,MATCH(RIGHT(L518,255),RIGHT('Disaggregation Records'!$D$83:$D$153,255),0))="","",INDEX('Disaggregation Records'!$H$83:$H$153,MATCH(RIGHT(L518,255),RIGHT('Disaggregation Records'!$D$83:$D$153,255),0))),"")</f>
        <v>IDR-01123</v>
      </c>
      <c r="P518" s="314"/>
      <c r="Q518" s="310">
        <f t="shared" ref="Q518" si="687">Q516+1</f>
        <v>1105</v>
      </c>
      <c r="R518" s="314" t="str" cm="1">
        <f t="array" aca="1" ref="R518" ca="1">IFERROR(IF(INDEX('Disaggregation Records'!$G$83:$G$153,MATCH(RIGHT(L518,255),RIGHT('Disaggregation Records'!$D$83:$D$153,255),0))="","",INDEX('Disaggregation Records'!$G$83:$G$153,MATCH(RIGHT(L518,255),RIGHT('Disaggregation Records'!$D$83:$D$153,255),0))),"")</f>
        <v>a1LDm000000Cb0rMAC</v>
      </c>
    </row>
    <row r="519" spans="1:18" ht="20.100000000000001" customHeight="1">
      <c r="B519" s="571"/>
      <c r="C519" s="573"/>
      <c r="D519" s="575"/>
      <c r="E519" s="575"/>
      <c r="F519" s="128"/>
      <c r="G519" s="577"/>
      <c r="H519" s="540"/>
      <c r="I519" s="579"/>
      <c r="J519" s="533"/>
      <c r="K519" s="126"/>
      <c r="L519" s="126"/>
      <c r="M519" s="126"/>
      <c r="N519" s="126"/>
      <c r="O519" s="314"/>
      <c r="P519" s="314"/>
      <c r="Q519" s="310"/>
      <c r="R519" s="314" t="str" cm="1">
        <f t="array" ref="R519">IFERROR(IF(INDEX('Disaggregation Records'!$G$83:$G$153,MATCH(RIGHT(L519,255),RIGHT('Disaggregation Records'!$D$83:$D$153,255),0))="","",INDEX('Disaggregation Records'!$G$83:$G$153,MATCH(RIGHT(L519,255),RIGHT('Disaggregation Records'!$D$83:$D$153,255),0))),"")</f>
        <v/>
      </c>
    </row>
    <row r="520" spans="1:18" ht="20.100000000000001" customHeight="1">
      <c r="A520" s="126" t="str">
        <f t="shared" ref="A520" ca="1" si="688">INDIRECT("'update Helper'!C"&amp;Q520)</f>
        <v>a1VDm000000PgBRMA0</v>
      </c>
      <c r="B520" s="570">
        <v>11</v>
      </c>
      <c r="C520" s="572" t="str">
        <f ca="1">IFERROR(VLOOKUP(B520,'Outcome Indicators - Section C '!$A$9:$AC$70,29,FALSE),"")</f>
        <v>HIV O-16a Percentage of men who have sex with men who avoid health care because of stigma and discrimination</v>
      </c>
      <c r="D520" s="574" t="str">
        <f ca="1">M520</f>
        <v/>
      </c>
      <c r="E520" s="574" t="str">
        <f ca="1">N520</f>
        <v/>
      </c>
      <c r="F520" s="127"/>
      <c r="G520" s="576" t="str">
        <f ca="1">IF(OR(INDIRECT("'update Helper'!E"&amp;Q520)="",F520&lt;&gt;0,F521&lt;&gt;0),IF(IFERROR((F520/F521),"")="","",(F520/F521)),INDIRECT("'update Helper'!E"&amp;Q520)/100)</f>
        <v/>
      </c>
      <c r="H520" s="539"/>
      <c r="I520" s="578"/>
      <c r="J520" s="532"/>
      <c r="K520" s="126">
        <f ca="1">IF(AND(EXACT(C520,C518),C518&lt;&gt;0),K518+1,0)</f>
        <v>2</v>
      </c>
      <c r="L520" s="126" t="str">
        <f ca="1">IF(C520&lt;&gt;"",C520&amp;"-"&amp;K520,"")</f>
        <v>HIV O-16a Percentage of men who have sex with men who avoid health care because of stigma and discrimination-2</v>
      </c>
      <c r="M520" s="126" t="str">
        <f t="array" aca="1" ref="M520" ca="1">IFERROR(IF(INDEX('Disaggregation Records'!$E$83:$E$153,MATCH(RIGHT(L520,255),RIGHT('Disaggregation Records'!$D$83:$D$153,255),0))="","",INDEX('Disaggregation Records'!$E$83:$E$153,MATCH(RIGHT(L520,255),RIGHT('Disaggregation Records'!$D$83:$D$153,255),0))),"")</f>
        <v/>
      </c>
      <c r="N520" s="126" t="str">
        <f t="array" aca="1" ref="N520" ca="1">IFERROR(IF(INDEX('Disaggregation Records'!$F$83:$F$153,MATCH(RIGHT(L520,255),RIGHT('Disaggregation Records'!$D$83:$D$153,255),0))="","",INDEX('Disaggregation Records'!$F$83:$F$153,MATCH(RIGHT(L520,255),RIGHT('Disaggregation Records'!$D$83:$D$153,255),0))),"")</f>
        <v/>
      </c>
      <c r="O520" s="314" t="str">
        <f t="array" aca="1" ref="O520" ca="1">IFERROR(IF(INDEX('Disaggregation Records'!$H$83:$H$153,MATCH(RIGHT(L520,255),RIGHT('Disaggregation Records'!$D$83:$D$153,255),0))="","",INDEX('Disaggregation Records'!$H$83:$H$153,MATCH(RIGHT(L520,255),RIGHT('Disaggregation Records'!$D$83:$D$153,255),0))),"")</f>
        <v/>
      </c>
      <c r="P520" s="314"/>
      <c r="Q520" s="310">
        <f t="shared" ref="Q520" si="689">Q518+1</f>
        <v>1106</v>
      </c>
      <c r="R520" s="314" t="str" cm="1">
        <f t="array" aca="1" ref="R520" ca="1">IFERROR(IF(INDEX('Disaggregation Records'!$G$83:$G$153,MATCH(RIGHT(L520,255),RIGHT('Disaggregation Records'!$D$83:$D$153,255),0))="","",INDEX('Disaggregation Records'!$G$83:$G$153,MATCH(RIGHT(L520,255),RIGHT('Disaggregation Records'!$D$83:$D$153,255),0))),"")</f>
        <v/>
      </c>
    </row>
    <row r="521" spans="1:18" ht="20.100000000000001" customHeight="1">
      <c r="A521" s="126"/>
      <c r="B521" s="571"/>
      <c r="C521" s="573"/>
      <c r="D521" s="575"/>
      <c r="E521" s="575"/>
      <c r="F521" s="128"/>
      <c r="G521" s="577"/>
      <c r="H521" s="540"/>
      <c r="I521" s="579"/>
      <c r="J521" s="533"/>
      <c r="K521" s="126"/>
      <c r="L521" s="126"/>
      <c r="M521" s="126"/>
      <c r="N521" s="126"/>
      <c r="O521" s="314"/>
      <c r="P521" s="314"/>
      <c r="Q521" s="310"/>
      <c r="R521" s="314" t="str" cm="1">
        <f t="array" ref="R521">IFERROR(IF(INDEX('Disaggregation Records'!$G$83:$G$153,MATCH(RIGHT(L521,255),RIGHT('Disaggregation Records'!$D$83:$D$153,255),0))="","",INDEX('Disaggregation Records'!$G$83:$G$153,MATCH(RIGHT(L521,255),RIGHT('Disaggregation Records'!$D$83:$D$153,255),0))),"")</f>
        <v/>
      </c>
    </row>
    <row r="522" spans="1:18" ht="20.100000000000001" customHeight="1">
      <c r="A522" s="126" t="str">
        <f t="shared" ref="A522" ca="1" si="690">INDIRECT("'update Helper'!C"&amp;Q522)</f>
        <v>a1VDm000000PgBSMA0</v>
      </c>
      <c r="B522" s="570">
        <v>11</v>
      </c>
      <c r="C522" s="572" t="str">
        <f ca="1">IFERROR(VLOOKUP(B522,'Outcome Indicators - Section C '!$A$9:$AC$70,29,FALSE),"")</f>
        <v>HIV O-16a Percentage of men who have sex with men who avoid health care because of stigma and discrimination</v>
      </c>
      <c r="D522" s="574" t="str">
        <f ca="1">M522</f>
        <v/>
      </c>
      <c r="E522" s="574" t="str">
        <f ca="1">N522</f>
        <v/>
      </c>
      <c r="F522" s="127"/>
      <c r="G522" s="576" t="str">
        <f ca="1">IF(OR(INDIRECT("'update Helper'!E"&amp;Q522)="",F522&lt;&gt;0,F523&lt;&gt;0),IF(IFERROR((F522/F523),"")="","",(F522/F523)),INDIRECT("'update Helper'!E"&amp;Q522)/100)</f>
        <v/>
      </c>
      <c r="H522" s="539"/>
      <c r="I522" s="578"/>
      <c r="J522" s="532"/>
      <c r="K522" s="126">
        <f ca="1">IF(AND(EXACT(C522,C520),C520&lt;&gt;0),K520+1,0)</f>
        <v>3</v>
      </c>
      <c r="L522" s="126" t="str">
        <f ca="1">IF(C522&lt;&gt;"",C522&amp;"-"&amp;K522,"")</f>
        <v>HIV O-16a Percentage of men who have sex with men who avoid health care because of stigma and discrimination-3</v>
      </c>
      <c r="M522" s="126" t="str">
        <f t="array" aca="1" ref="M522" ca="1">IFERROR(IF(INDEX('Disaggregation Records'!$E$83:$E$153,MATCH(RIGHT(L522,255),RIGHT('Disaggregation Records'!$D$83:$D$153,255),0))="","",INDEX('Disaggregation Records'!$E$83:$E$153,MATCH(RIGHT(L522,255),RIGHT('Disaggregation Records'!$D$83:$D$153,255),0))),"")</f>
        <v/>
      </c>
      <c r="N522" s="126" t="str">
        <f t="array" aca="1" ref="N522" ca="1">IFERROR(IF(INDEX('Disaggregation Records'!$F$83:$F$153,MATCH(RIGHT(L522,255),RIGHT('Disaggregation Records'!$D$83:$D$153,255),0))="","",INDEX('Disaggregation Records'!$F$83:$F$153,MATCH(RIGHT(L522,255),RIGHT('Disaggregation Records'!$D$83:$D$153,255),0))),"")</f>
        <v/>
      </c>
      <c r="O522" s="314" t="str">
        <f t="array" aca="1" ref="O522" ca="1">IFERROR(IF(INDEX('Disaggregation Records'!$H$83:$H$153,MATCH(RIGHT(L522,255),RIGHT('Disaggregation Records'!$D$83:$D$153,255),0))="","",INDEX('Disaggregation Records'!$H$83:$H$153,MATCH(RIGHT(L522,255),RIGHT('Disaggregation Records'!$D$83:$D$153,255),0))),"")</f>
        <v/>
      </c>
      <c r="P522" s="314"/>
      <c r="Q522" s="310">
        <f t="shared" ref="Q522" si="691">Q520+1</f>
        <v>1107</v>
      </c>
      <c r="R522" s="314" t="str" cm="1">
        <f t="array" aca="1" ref="R522" ca="1">IFERROR(IF(INDEX('Disaggregation Records'!$G$83:$G$153,MATCH(RIGHT(L522,255),RIGHT('Disaggregation Records'!$D$83:$D$153,255),0))="","",INDEX('Disaggregation Records'!$G$83:$G$153,MATCH(RIGHT(L522,255),RIGHT('Disaggregation Records'!$D$83:$D$153,255),0))),"")</f>
        <v/>
      </c>
    </row>
    <row r="523" spans="1:18" ht="20.100000000000001" customHeight="1">
      <c r="B523" s="571"/>
      <c r="C523" s="573"/>
      <c r="D523" s="575"/>
      <c r="E523" s="575"/>
      <c r="F523" s="128"/>
      <c r="G523" s="577"/>
      <c r="H523" s="540"/>
      <c r="I523" s="579"/>
      <c r="J523" s="533"/>
      <c r="K523" s="126"/>
      <c r="L523" s="126"/>
      <c r="M523" s="126"/>
      <c r="N523" s="126"/>
      <c r="O523" s="314"/>
      <c r="P523" s="314"/>
      <c r="Q523" s="310"/>
      <c r="R523" s="314" t="str" cm="1">
        <f t="array" ref="R523">IFERROR(IF(INDEX('Disaggregation Records'!$G$83:$G$153,MATCH(RIGHT(L523,255),RIGHT('Disaggregation Records'!$D$83:$D$153,255),0))="","",INDEX('Disaggregation Records'!$G$83:$G$153,MATCH(RIGHT(L523,255),RIGHT('Disaggregation Records'!$D$83:$D$153,255),0))),"")</f>
        <v/>
      </c>
    </row>
    <row r="524" spans="1:18" ht="20.100000000000001" customHeight="1">
      <c r="A524" s="126" t="str">
        <f t="shared" ref="A524" ca="1" si="692">INDIRECT("'update Helper'!C"&amp;Q524)</f>
        <v>a1VDm000000PgBTMA0</v>
      </c>
      <c r="B524" s="570">
        <v>11</v>
      </c>
      <c r="C524" s="572" t="str">
        <f ca="1">IFERROR(VLOOKUP(B524,'Outcome Indicators - Section C '!$A$9:$AC$70,29,FALSE),"")</f>
        <v>HIV O-16a Percentage of men who have sex with men who avoid health care because of stigma and discrimination</v>
      </c>
      <c r="D524" s="574" t="str">
        <f ca="1">M524</f>
        <v/>
      </c>
      <c r="E524" s="574" t="str">
        <f ca="1">N524</f>
        <v/>
      </c>
      <c r="F524" s="127"/>
      <c r="G524" s="576" t="str">
        <f ca="1">IF(OR(INDIRECT("'update Helper'!E"&amp;Q524)="",F524&lt;&gt;0,F525&lt;&gt;0),IF(IFERROR((F524/F525),"")="","",(F524/F525)),INDIRECT("'update Helper'!E"&amp;Q524)/100)</f>
        <v/>
      </c>
      <c r="H524" s="539"/>
      <c r="I524" s="578"/>
      <c r="J524" s="532"/>
      <c r="K524" s="126">
        <f ca="1">IF(AND(EXACT(C524,C522),C522&lt;&gt;0),K522+1,0)</f>
        <v>4</v>
      </c>
      <c r="L524" s="126" t="str">
        <f ca="1">IF(C524&lt;&gt;"",C524&amp;"-"&amp;K524,"")</f>
        <v>HIV O-16a Percentage of men who have sex with men who avoid health care because of stigma and discrimination-4</v>
      </c>
      <c r="M524" s="126" t="str">
        <f t="array" aca="1" ref="M524" ca="1">IFERROR(IF(INDEX('Disaggregation Records'!$E$83:$E$153,MATCH(RIGHT(L524,255),RIGHT('Disaggregation Records'!$D$83:$D$153,255),0))="","",INDEX('Disaggregation Records'!$E$83:$E$153,MATCH(RIGHT(L524,255),RIGHT('Disaggregation Records'!$D$83:$D$153,255),0))),"")</f>
        <v/>
      </c>
      <c r="N524" s="126" t="str">
        <f t="array" aca="1" ref="N524" ca="1">IFERROR(IF(INDEX('Disaggregation Records'!$F$83:$F$153,MATCH(RIGHT(L524,255),RIGHT('Disaggregation Records'!$D$83:$D$153,255),0))="","",INDEX('Disaggregation Records'!$F$83:$F$153,MATCH(RIGHT(L524,255),RIGHT('Disaggregation Records'!$D$83:$D$153,255),0))),"")</f>
        <v/>
      </c>
      <c r="O524" s="314" t="str">
        <f t="array" aca="1" ref="O524" ca="1">IFERROR(IF(INDEX('Disaggregation Records'!$H$83:$H$153,MATCH(RIGHT(L524,255),RIGHT('Disaggregation Records'!$D$83:$D$153,255),0))="","",INDEX('Disaggregation Records'!$H$83:$H$153,MATCH(RIGHT(L524,255),RIGHT('Disaggregation Records'!$D$83:$D$153,255),0))),"")</f>
        <v/>
      </c>
      <c r="P524" s="314"/>
      <c r="Q524" s="310">
        <f t="shared" ref="Q524" si="693">Q522+1</f>
        <v>1108</v>
      </c>
      <c r="R524" s="314" t="str" cm="1">
        <f t="array" aca="1" ref="R524" ca="1">IFERROR(IF(INDEX('Disaggregation Records'!$G$83:$G$153,MATCH(RIGHT(L524,255),RIGHT('Disaggregation Records'!$D$83:$D$153,255),0))="","",INDEX('Disaggregation Records'!$G$83:$G$153,MATCH(RIGHT(L524,255),RIGHT('Disaggregation Records'!$D$83:$D$153,255),0))),"")</f>
        <v/>
      </c>
    </row>
    <row r="525" spans="1:18" ht="20.100000000000001" customHeight="1">
      <c r="A525" s="126"/>
      <c r="B525" s="571"/>
      <c r="C525" s="573"/>
      <c r="D525" s="575"/>
      <c r="E525" s="575"/>
      <c r="F525" s="128"/>
      <c r="G525" s="577"/>
      <c r="H525" s="540"/>
      <c r="I525" s="579"/>
      <c r="J525" s="533"/>
      <c r="K525" s="126"/>
      <c r="L525" s="126"/>
      <c r="M525" s="126"/>
      <c r="N525" s="126"/>
      <c r="O525" s="314"/>
      <c r="P525" s="314"/>
      <c r="Q525" s="310"/>
      <c r="R525" s="314" t="str" cm="1">
        <f t="array" ref="R525">IFERROR(IF(INDEX('Disaggregation Records'!$G$83:$G$153,MATCH(RIGHT(L525,255),RIGHT('Disaggregation Records'!$D$83:$D$153,255),0))="","",INDEX('Disaggregation Records'!$G$83:$G$153,MATCH(RIGHT(L525,255),RIGHT('Disaggregation Records'!$D$83:$D$153,255),0))),"")</f>
        <v/>
      </c>
    </row>
    <row r="526" spans="1:18" ht="20.100000000000001" customHeight="1">
      <c r="A526" s="126" t="str">
        <f t="shared" ref="A526" ca="1" si="694">INDIRECT("'update Helper'!C"&amp;Q526)</f>
        <v>a1VDm000000PgBUMA0</v>
      </c>
      <c r="B526" s="570">
        <v>11</v>
      </c>
      <c r="C526" s="572" t="str">
        <f ca="1">IFERROR(VLOOKUP(B526,'Outcome Indicators - Section C '!$A$9:$AC$70,29,FALSE),"")</f>
        <v>HIV O-16a Percentage of men who have sex with men who avoid health care because of stigma and discrimination</v>
      </c>
      <c r="D526" s="574" t="str">
        <f ca="1">M526</f>
        <v/>
      </c>
      <c r="E526" s="574" t="str">
        <f ca="1">N526</f>
        <v/>
      </c>
      <c r="F526" s="127"/>
      <c r="G526" s="576" t="str">
        <f ca="1">IF(OR(INDIRECT("'update Helper'!E"&amp;Q526)="",F526&lt;&gt;0,F527&lt;&gt;0),IF(IFERROR((F526/F527),"")="","",(F526/F527)),INDIRECT("'update Helper'!E"&amp;Q526)/100)</f>
        <v/>
      </c>
      <c r="H526" s="539"/>
      <c r="I526" s="578"/>
      <c r="J526" s="532"/>
      <c r="K526" s="126">
        <f ca="1">IF(AND(EXACT(C526,C524),C524&lt;&gt;0),K524+1,0)</f>
        <v>5</v>
      </c>
      <c r="L526" s="126" t="str">
        <f ca="1">IF(C526&lt;&gt;"",C526&amp;"-"&amp;K526,"")</f>
        <v>HIV O-16a Percentage of men who have sex with men who avoid health care because of stigma and discrimination-5</v>
      </c>
      <c r="M526" s="126" t="str">
        <f t="array" aca="1" ref="M526" ca="1">IFERROR(IF(INDEX('Disaggregation Records'!$E$83:$E$153,MATCH(RIGHT(L526,255),RIGHT('Disaggregation Records'!$D$83:$D$153,255),0))="","",INDEX('Disaggregation Records'!$E$83:$E$153,MATCH(RIGHT(L526,255),RIGHT('Disaggregation Records'!$D$83:$D$153,255),0))),"")</f>
        <v/>
      </c>
      <c r="N526" s="126" t="str">
        <f t="array" aca="1" ref="N526" ca="1">IFERROR(IF(INDEX('Disaggregation Records'!$F$83:$F$153,MATCH(RIGHT(L526,255),RIGHT('Disaggregation Records'!$D$83:$D$153,255),0))="","",INDEX('Disaggregation Records'!$F$83:$F$153,MATCH(RIGHT(L526,255),RIGHT('Disaggregation Records'!$D$83:$D$153,255),0))),"")</f>
        <v/>
      </c>
      <c r="O526" s="314" t="str">
        <f t="array" aca="1" ref="O526" ca="1">IFERROR(IF(INDEX('Disaggregation Records'!$H$83:$H$153,MATCH(RIGHT(L526,255),RIGHT('Disaggregation Records'!$D$83:$D$153,255),0))="","",INDEX('Disaggregation Records'!$H$83:$H$153,MATCH(RIGHT(L526,255),RIGHT('Disaggregation Records'!$D$83:$D$153,255),0))),"")</f>
        <v/>
      </c>
      <c r="P526" s="314"/>
      <c r="Q526" s="310">
        <f t="shared" ref="Q526" si="695">Q524+1</f>
        <v>1109</v>
      </c>
      <c r="R526" s="314" t="str" cm="1">
        <f t="array" aca="1" ref="R526" ca="1">IFERROR(IF(INDEX('Disaggregation Records'!$G$83:$G$153,MATCH(RIGHT(L526,255),RIGHT('Disaggregation Records'!$D$83:$D$153,255),0))="","",INDEX('Disaggregation Records'!$G$83:$G$153,MATCH(RIGHT(L526,255),RIGHT('Disaggregation Records'!$D$83:$D$153,255),0))),"")</f>
        <v/>
      </c>
    </row>
    <row r="527" spans="1:18" ht="20.100000000000001" customHeight="1">
      <c r="B527" s="571"/>
      <c r="C527" s="573"/>
      <c r="D527" s="575"/>
      <c r="E527" s="575"/>
      <c r="F527" s="128"/>
      <c r="G527" s="577"/>
      <c r="H527" s="540"/>
      <c r="I527" s="579"/>
      <c r="J527" s="533"/>
      <c r="K527" s="126"/>
      <c r="L527" s="126"/>
      <c r="M527" s="126"/>
      <c r="N527" s="126"/>
      <c r="O527" s="314"/>
      <c r="P527" s="314"/>
      <c r="Q527" s="310"/>
      <c r="R527" s="314" t="str" cm="1">
        <f t="array" ref="R527">IFERROR(IF(INDEX('Disaggregation Records'!$G$83:$G$153,MATCH(RIGHT(L527,255),RIGHT('Disaggregation Records'!$D$83:$D$153,255),0))="","",INDEX('Disaggregation Records'!$G$83:$G$153,MATCH(RIGHT(L527,255),RIGHT('Disaggregation Records'!$D$83:$D$153,255),0))),"")</f>
        <v/>
      </c>
    </row>
    <row r="528" spans="1:18" ht="20.100000000000001" customHeight="1">
      <c r="A528" s="126" t="str">
        <f t="shared" ref="A528" ca="1" si="696">INDIRECT("'update Helper'!C"&amp;Q528)</f>
        <v>a1VDm000000PgBVMA0</v>
      </c>
      <c r="B528" s="570">
        <v>11</v>
      </c>
      <c r="C528" s="572" t="str">
        <f ca="1">IFERROR(VLOOKUP(B528,'Outcome Indicators - Section C '!$A$9:$AC$70,29,FALSE),"")</f>
        <v>HIV O-16a Percentage of men who have sex with men who avoid health care because of stigma and discrimination</v>
      </c>
      <c r="D528" s="574" t="str">
        <f ca="1">M528</f>
        <v/>
      </c>
      <c r="E528" s="574" t="str">
        <f ca="1">N528</f>
        <v/>
      </c>
      <c r="F528" s="127"/>
      <c r="G528" s="576" t="str">
        <f ca="1">IF(OR(INDIRECT("'update Helper'!E"&amp;Q528)="",F528&lt;&gt;0,F529&lt;&gt;0),IF(IFERROR((F528/F529),"")="","",(F528/F529)),INDIRECT("'update Helper'!E"&amp;Q528)/100)</f>
        <v/>
      </c>
      <c r="H528" s="539"/>
      <c r="I528" s="578"/>
      <c r="J528" s="532"/>
      <c r="K528" s="126">
        <f ca="1">IF(AND(EXACT(C528,C526),C526&lt;&gt;0),K526+1,0)</f>
        <v>6</v>
      </c>
      <c r="L528" s="126" t="str">
        <f ca="1">IF(C528&lt;&gt;"",C528&amp;"-"&amp;K528,"")</f>
        <v>HIV O-16a Percentage of men who have sex with men who avoid health care because of stigma and discrimination-6</v>
      </c>
      <c r="M528" s="126" t="str">
        <f t="array" aca="1" ref="M528" ca="1">IFERROR(IF(INDEX('Disaggregation Records'!$E$83:$E$153,MATCH(RIGHT(L528,255),RIGHT('Disaggregation Records'!$D$83:$D$153,255),0))="","",INDEX('Disaggregation Records'!$E$83:$E$153,MATCH(RIGHT(L528,255),RIGHT('Disaggregation Records'!$D$83:$D$153,255),0))),"")</f>
        <v/>
      </c>
      <c r="N528" s="126" t="str">
        <f t="array" aca="1" ref="N528" ca="1">IFERROR(IF(INDEX('Disaggregation Records'!$F$83:$F$153,MATCH(RIGHT(L528,255),RIGHT('Disaggregation Records'!$D$83:$D$153,255),0))="","",INDEX('Disaggregation Records'!$F$83:$F$153,MATCH(RIGHT(L528,255),RIGHT('Disaggregation Records'!$D$83:$D$153,255),0))),"")</f>
        <v/>
      </c>
      <c r="O528" s="314" t="str">
        <f t="array" aca="1" ref="O528" ca="1">IFERROR(IF(INDEX('Disaggregation Records'!$H$83:$H$153,MATCH(RIGHT(L528,255),RIGHT('Disaggregation Records'!$D$83:$D$153,255),0))="","",INDEX('Disaggregation Records'!$H$83:$H$153,MATCH(RIGHT(L528,255),RIGHT('Disaggregation Records'!$D$83:$D$153,255),0))),"")</f>
        <v/>
      </c>
      <c r="P528" s="314"/>
      <c r="Q528" s="310">
        <f t="shared" ref="Q528" si="697">Q526+1</f>
        <v>1110</v>
      </c>
      <c r="R528" s="314" t="str" cm="1">
        <f t="array" aca="1" ref="R528" ca="1">IFERROR(IF(INDEX('Disaggregation Records'!$G$83:$G$153,MATCH(RIGHT(L528,255),RIGHT('Disaggregation Records'!$D$83:$D$153,255),0))="","",INDEX('Disaggregation Records'!$G$83:$G$153,MATCH(RIGHT(L528,255),RIGHT('Disaggregation Records'!$D$83:$D$153,255),0))),"")</f>
        <v/>
      </c>
    </row>
    <row r="529" spans="1:18" ht="20.100000000000001" customHeight="1">
      <c r="A529" s="126"/>
      <c r="B529" s="571"/>
      <c r="C529" s="573"/>
      <c r="D529" s="575"/>
      <c r="E529" s="575"/>
      <c r="F529" s="128"/>
      <c r="G529" s="577"/>
      <c r="H529" s="540"/>
      <c r="I529" s="579"/>
      <c r="J529" s="533"/>
      <c r="K529" s="126"/>
      <c r="L529" s="126"/>
      <c r="M529" s="126"/>
      <c r="N529" s="126"/>
      <c r="O529" s="314"/>
      <c r="P529" s="314"/>
      <c r="Q529" s="310"/>
      <c r="R529" s="314" t="str" cm="1">
        <f t="array" ref="R529">IFERROR(IF(INDEX('Disaggregation Records'!$G$83:$G$153,MATCH(RIGHT(L529,255),RIGHT('Disaggregation Records'!$D$83:$D$153,255),0))="","",INDEX('Disaggregation Records'!$G$83:$G$153,MATCH(RIGHT(L529,255),RIGHT('Disaggregation Records'!$D$83:$D$153,255),0))),"")</f>
        <v/>
      </c>
    </row>
    <row r="530" spans="1:18" ht="20.100000000000001" customHeight="1">
      <c r="A530" s="126" t="str">
        <f t="shared" ref="A530" ca="1" si="698">INDIRECT("'update Helper'!C"&amp;Q530)</f>
        <v>a1VDm000000PgBWMA0</v>
      </c>
      <c r="B530" s="570">
        <v>11</v>
      </c>
      <c r="C530" s="572" t="str">
        <f ca="1">IFERROR(VLOOKUP(B530,'Outcome Indicators - Section C '!$A$9:$AC$70,29,FALSE),"")</f>
        <v>HIV O-16a Percentage of men who have sex with men who avoid health care because of stigma and discrimination</v>
      </c>
      <c r="D530" s="574" t="str">
        <f ca="1">M530</f>
        <v/>
      </c>
      <c r="E530" s="574" t="str">
        <f ca="1">N530</f>
        <v/>
      </c>
      <c r="F530" s="127"/>
      <c r="G530" s="576" t="str">
        <f ca="1">IF(OR(INDIRECT("'update Helper'!E"&amp;Q530)="",F530&lt;&gt;0,F531&lt;&gt;0),IF(IFERROR((F530/F531),"")="","",(F530/F531)),INDIRECT("'update Helper'!E"&amp;Q530)/100)</f>
        <v/>
      </c>
      <c r="H530" s="539"/>
      <c r="I530" s="578"/>
      <c r="J530" s="532"/>
      <c r="K530" s="126">
        <f ca="1">IF(AND(EXACT(C530,C528),C528&lt;&gt;0),K528+1,0)</f>
        <v>7</v>
      </c>
      <c r="L530" s="126" t="str">
        <f ca="1">IF(C530&lt;&gt;"",C530&amp;"-"&amp;K530,"")</f>
        <v>HIV O-16a Percentage of men who have sex with men who avoid health care because of stigma and discrimination-7</v>
      </c>
      <c r="M530" s="126" t="str">
        <f t="array" aca="1" ref="M530" ca="1">IFERROR(IF(INDEX('Disaggregation Records'!$E$83:$E$153,MATCH(RIGHT(L530,255),RIGHT('Disaggregation Records'!$D$83:$D$153,255),0))="","",INDEX('Disaggregation Records'!$E$83:$E$153,MATCH(RIGHT(L530,255),RIGHT('Disaggregation Records'!$D$83:$D$153,255),0))),"")</f>
        <v/>
      </c>
      <c r="N530" s="126" t="str">
        <f t="array" aca="1" ref="N530" ca="1">IFERROR(IF(INDEX('Disaggregation Records'!$F$83:$F$153,MATCH(RIGHT(L530,255),RIGHT('Disaggregation Records'!$D$83:$D$153,255),0))="","",INDEX('Disaggregation Records'!$F$83:$F$153,MATCH(RIGHT(L530,255),RIGHT('Disaggregation Records'!$D$83:$D$153,255),0))),"")</f>
        <v/>
      </c>
      <c r="O530" s="314" t="str">
        <f t="array" aca="1" ref="O530" ca="1">IFERROR(IF(INDEX('Disaggregation Records'!$H$83:$H$153,MATCH(RIGHT(L530,255),RIGHT('Disaggregation Records'!$D$83:$D$153,255),0))="","",INDEX('Disaggregation Records'!$H$83:$H$153,MATCH(RIGHT(L530,255),RIGHT('Disaggregation Records'!$D$83:$D$153,255),0))),"")</f>
        <v/>
      </c>
      <c r="P530" s="314"/>
      <c r="Q530" s="310">
        <f t="shared" ref="Q530" si="699">Q528+1</f>
        <v>1111</v>
      </c>
      <c r="R530" s="314" t="str" cm="1">
        <f t="array" aca="1" ref="R530" ca="1">IFERROR(IF(INDEX('Disaggregation Records'!$G$83:$G$153,MATCH(RIGHT(L530,255),RIGHT('Disaggregation Records'!$D$83:$D$153,255),0))="","",INDEX('Disaggregation Records'!$G$83:$G$153,MATCH(RIGHT(L530,255),RIGHT('Disaggregation Records'!$D$83:$D$153,255),0))),"")</f>
        <v/>
      </c>
    </row>
    <row r="531" spans="1:18" ht="20.100000000000001" customHeight="1">
      <c r="B531" s="571"/>
      <c r="C531" s="573"/>
      <c r="D531" s="575"/>
      <c r="E531" s="575"/>
      <c r="F531" s="128"/>
      <c r="G531" s="577"/>
      <c r="H531" s="540"/>
      <c r="I531" s="579"/>
      <c r="J531" s="533"/>
      <c r="K531" s="126"/>
      <c r="L531" s="126"/>
      <c r="M531" s="126"/>
      <c r="N531" s="126"/>
      <c r="O531" s="314"/>
      <c r="P531" s="314"/>
      <c r="Q531" s="310"/>
      <c r="R531" s="314" t="str" cm="1">
        <f t="array" ref="R531">IFERROR(IF(INDEX('Disaggregation Records'!$G$83:$G$153,MATCH(RIGHT(L531,255),RIGHT('Disaggregation Records'!$D$83:$D$153,255),0))="","",INDEX('Disaggregation Records'!$G$83:$G$153,MATCH(RIGHT(L531,255),RIGHT('Disaggregation Records'!$D$83:$D$153,255),0))),"")</f>
        <v/>
      </c>
    </row>
    <row r="532" spans="1:18" ht="20.100000000000001" customHeight="1">
      <c r="A532" s="126" t="str">
        <f t="shared" ref="A532" ca="1" si="700">INDIRECT("'update Helper'!C"&amp;Q532)</f>
        <v>a1VDm000000PgBXMA0</v>
      </c>
      <c r="B532" s="570">
        <v>11</v>
      </c>
      <c r="C532" s="572" t="str">
        <f ca="1">IFERROR(VLOOKUP(B532,'Outcome Indicators - Section C '!$A$9:$AC$70,29,FALSE),"")</f>
        <v>HIV O-16a Percentage of men who have sex with men who avoid health care because of stigma and discrimination</v>
      </c>
      <c r="D532" s="574" t="str">
        <f ca="1">M532</f>
        <v/>
      </c>
      <c r="E532" s="574" t="str">
        <f ca="1">N532</f>
        <v/>
      </c>
      <c r="F532" s="127"/>
      <c r="G532" s="576" t="str">
        <f ca="1">IF(OR(INDIRECT("'update Helper'!E"&amp;Q532)="",F532&lt;&gt;0,F533&lt;&gt;0),IF(IFERROR((F532/F533),"")="","",(F532/F533)),INDIRECT("'update Helper'!E"&amp;Q532)/100)</f>
        <v/>
      </c>
      <c r="H532" s="539"/>
      <c r="I532" s="578"/>
      <c r="J532" s="532"/>
      <c r="K532" s="126">
        <f ca="1">IF(AND(EXACT(C532,C530),C530&lt;&gt;0),K530+1,0)</f>
        <v>8</v>
      </c>
      <c r="L532" s="126" t="str">
        <f ca="1">IF(C532&lt;&gt;"",C532&amp;"-"&amp;K532,"")</f>
        <v>HIV O-16a Percentage of men who have sex with men who avoid health care because of stigma and discrimination-8</v>
      </c>
      <c r="M532" s="126" t="str">
        <f t="array" aca="1" ref="M532" ca="1">IFERROR(IF(INDEX('Disaggregation Records'!$E$83:$E$153,MATCH(RIGHT(L532,255),RIGHT('Disaggregation Records'!$D$83:$D$153,255),0))="","",INDEX('Disaggregation Records'!$E$83:$E$153,MATCH(RIGHT(L532,255),RIGHT('Disaggregation Records'!$D$83:$D$153,255),0))),"")</f>
        <v/>
      </c>
      <c r="N532" s="126" t="str">
        <f t="array" aca="1" ref="N532" ca="1">IFERROR(IF(INDEX('Disaggregation Records'!$F$83:$F$153,MATCH(RIGHT(L532,255),RIGHT('Disaggregation Records'!$D$83:$D$153,255),0))="","",INDEX('Disaggregation Records'!$F$83:$F$153,MATCH(RIGHT(L532,255),RIGHT('Disaggregation Records'!$D$83:$D$153,255),0))),"")</f>
        <v/>
      </c>
      <c r="O532" s="314" t="str">
        <f t="array" aca="1" ref="O532" ca="1">IFERROR(IF(INDEX('Disaggregation Records'!$H$83:$H$153,MATCH(RIGHT(L532,255),RIGHT('Disaggregation Records'!$D$83:$D$153,255),0))="","",INDEX('Disaggregation Records'!$H$83:$H$153,MATCH(RIGHT(L532,255),RIGHT('Disaggregation Records'!$D$83:$D$153,255),0))),"")</f>
        <v/>
      </c>
      <c r="P532" s="314"/>
      <c r="Q532" s="310">
        <f t="shared" ref="Q532" si="701">Q530+1</f>
        <v>1112</v>
      </c>
      <c r="R532" s="314" t="str" cm="1">
        <f t="array" aca="1" ref="R532" ca="1">IFERROR(IF(INDEX('Disaggregation Records'!$G$83:$G$153,MATCH(RIGHT(L532,255),RIGHT('Disaggregation Records'!$D$83:$D$153,255),0))="","",INDEX('Disaggregation Records'!$G$83:$G$153,MATCH(RIGHT(L532,255),RIGHT('Disaggregation Records'!$D$83:$D$153,255),0))),"")</f>
        <v/>
      </c>
    </row>
    <row r="533" spans="1:18" ht="20.100000000000001" customHeight="1">
      <c r="A533" s="126"/>
      <c r="B533" s="571"/>
      <c r="C533" s="573"/>
      <c r="D533" s="575"/>
      <c r="E533" s="575"/>
      <c r="F533" s="128"/>
      <c r="G533" s="577"/>
      <c r="H533" s="540"/>
      <c r="I533" s="579"/>
      <c r="J533" s="533"/>
      <c r="K533" s="126"/>
      <c r="L533" s="126"/>
      <c r="M533" s="126"/>
      <c r="N533" s="126"/>
      <c r="O533" s="314"/>
      <c r="P533" s="314"/>
      <c r="Q533" s="310"/>
      <c r="R533" s="314" t="str" cm="1">
        <f t="array" ref="R533">IFERROR(IF(INDEX('Disaggregation Records'!$G$83:$G$153,MATCH(RIGHT(L533,255),RIGHT('Disaggregation Records'!$D$83:$D$153,255),0))="","",INDEX('Disaggregation Records'!$G$83:$G$153,MATCH(RIGHT(L533,255),RIGHT('Disaggregation Records'!$D$83:$D$153,255),0))),"")</f>
        <v/>
      </c>
    </row>
    <row r="534" spans="1:18" ht="20.100000000000001" customHeight="1">
      <c r="A534" s="126" t="str">
        <f t="shared" ref="A534" ca="1" si="702">INDIRECT("'update Helper'!C"&amp;Q534)</f>
        <v>a1VDm000000PgBYMA0</v>
      </c>
      <c r="B534" s="570">
        <v>11</v>
      </c>
      <c r="C534" s="572" t="str">
        <f ca="1">IFERROR(VLOOKUP(B534,'Outcome Indicators - Section C '!$A$9:$AC$70,29,FALSE),"")</f>
        <v>HIV O-16a Percentage of men who have sex with men who avoid health care because of stigma and discrimination</v>
      </c>
      <c r="D534" s="574" t="str">
        <f ca="1">M534</f>
        <v/>
      </c>
      <c r="E534" s="574" t="str">
        <f ca="1">N534</f>
        <v/>
      </c>
      <c r="F534" s="127"/>
      <c r="G534" s="576" t="str">
        <f ca="1">IF(OR(INDIRECT("'update Helper'!E"&amp;Q534)="",F534&lt;&gt;0,F535&lt;&gt;0),IF(IFERROR((F534/F535),"")="","",(F534/F535)),INDIRECT("'update Helper'!E"&amp;Q534)/100)</f>
        <v/>
      </c>
      <c r="H534" s="539"/>
      <c r="I534" s="578"/>
      <c r="J534" s="532"/>
      <c r="K534" s="126">
        <f ca="1">IF(AND(EXACT(C534,C532),C532&lt;&gt;0),K532+1,0)</f>
        <v>9</v>
      </c>
      <c r="L534" s="126" t="str">
        <f ca="1">IF(C534&lt;&gt;"",C534&amp;"-"&amp;K534,"")</f>
        <v>HIV O-16a Percentage of men who have sex with men who avoid health care because of stigma and discrimination-9</v>
      </c>
      <c r="M534" s="126" t="str">
        <f t="array" aca="1" ref="M534" ca="1">IFERROR(IF(INDEX('Disaggregation Records'!$E$83:$E$153,MATCH(RIGHT(L534,255),RIGHT('Disaggregation Records'!$D$83:$D$153,255),0))="","",INDEX('Disaggregation Records'!$E$83:$E$153,MATCH(RIGHT(L534,255),RIGHT('Disaggregation Records'!$D$83:$D$153,255),0))),"")</f>
        <v/>
      </c>
      <c r="N534" s="126" t="str">
        <f t="array" aca="1" ref="N534" ca="1">IFERROR(IF(INDEX('Disaggregation Records'!$F$83:$F$153,MATCH(RIGHT(L534,255),RIGHT('Disaggregation Records'!$D$83:$D$153,255),0))="","",INDEX('Disaggregation Records'!$F$83:$F$153,MATCH(RIGHT(L534,255),RIGHT('Disaggregation Records'!$D$83:$D$153,255),0))),"")</f>
        <v/>
      </c>
      <c r="O534" s="314" t="str">
        <f t="array" aca="1" ref="O534" ca="1">IFERROR(IF(INDEX('Disaggregation Records'!$H$83:$H$153,MATCH(RIGHT(L534,255),RIGHT('Disaggregation Records'!$D$83:$D$153,255),0))="","",INDEX('Disaggregation Records'!$H$83:$H$153,MATCH(RIGHT(L534,255),RIGHT('Disaggregation Records'!$D$83:$D$153,255),0))),"")</f>
        <v/>
      </c>
      <c r="P534" s="314"/>
      <c r="Q534" s="310">
        <f t="shared" ref="Q534" si="703">Q532+1</f>
        <v>1113</v>
      </c>
      <c r="R534" s="314" t="str" cm="1">
        <f t="array" aca="1" ref="R534" ca="1">IFERROR(IF(INDEX('Disaggregation Records'!$G$83:$G$153,MATCH(RIGHT(L534,255),RIGHT('Disaggregation Records'!$D$83:$D$153,255),0))="","",INDEX('Disaggregation Records'!$G$83:$G$153,MATCH(RIGHT(L534,255),RIGHT('Disaggregation Records'!$D$83:$D$153,255),0))),"")</f>
        <v/>
      </c>
    </row>
    <row r="535" spans="1:18" ht="20.100000000000001" customHeight="1">
      <c r="B535" s="571"/>
      <c r="C535" s="573"/>
      <c r="D535" s="575"/>
      <c r="E535" s="575"/>
      <c r="F535" s="128"/>
      <c r="G535" s="577"/>
      <c r="H535" s="540"/>
      <c r="I535" s="579"/>
      <c r="J535" s="533"/>
      <c r="K535" s="126"/>
      <c r="L535" s="126"/>
      <c r="M535" s="126"/>
      <c r="N535" s="126"/>
      <c r="O535" s="314"/>
      <c r="P535" s="314"/>
      <c r="Q535" s="310"/>
      <c r="R535" s="314" t="str" cm="1">
        <f t="array" ref="R535">IFERROR(IF(INDEX('Disaggregation Records'!$G$83:$G$153,MATCH(RIGHT(L535,255),RIGHT('Disaggregation Records'!$D$83:$D$153,255),0))="","",INDEX('Disaggregation Records'!$G$83:$G$153,MATCH(RIGHT(L535,255),RIGHT('Disaggregation Records'!$D$83:$D$153,255),0))),"")</f>
        <v/>
      </c>
    </row>
    <row r="536" spans="1:18" ht="20.100000000000001" customHeight="1">
      <c r="A536" s="126" t="str">
        <f t="shared" ref="A536" ca="1" si="704">INDIRECT("'update Helper'!C"&amp;Q536)</f>
        <v>a1VDm000000PgBZMA0</v>
      </c>
      <c r="B536" s="570">
        <v>12</v>
      </c>
      <c r="C536" s="572" t="str">
        <f ca="1">IFERROR(VLOOKUP(B536,'Outcome Indicators - Section C '!$A$9:$AC$70,29,FALSE),"")</f>
        <v>HIV O-16b Percentage of transgender people who avoid health care because of stigma and discrimination</v>
      </c>
      <c r="D536" s="574" t="str">
        <f ca="1">M536</f>
        <v>Age</v>
      </c>
      <c r="E536" s="574" t="str">
        <f ca="1">N536</f>
        <v>25+</v>
      </c>
      <c r="F536" s="127"/>
      <c r="G536" s="576" t="str">
        <f ca="1">IF(OR(INDIRECT("'update Helper'!E"&amp;Q536)="",F536&lt;&gt;0,F537&lt;&gt;0),IF(IFERROR((F536/F537),"")="","",(F536/F537)),INDIRECT("'update Helper'!E"&amp;Q536)/100)</f>
        <v/>
      </c>
      <c r="H536" s="539"/>
      <c r="I536" s="578"/>
      <c r="J536" s="532"/>
      <c r="K536" s="126">
        <f ca="1">IF(AND(EXACT(C536,C534),C534&lt;&gt;0),K534+1,0)</f>
        <v>0</v>
      </c>
      <c r="L536" s="126" t="str">
        <f ca="1">IF(C536&lt;&gt;"",C536&amp;"-"&amp;K536,"")</f>
        <v>HIV O-16b Percentage of transgender people who avoid health care because of stigma and discrimination-0</v>
      </c>
      <c r="M536" s="126" t="str">
        <f t="array" aca="1" ref="M536" ca="1">IFERROR(IF(INDEX('Disaggregation Records'!$E$83:$E$153,MATCH(RIGHT(L536,255),RIGHT('Disaggregation Records'!$D$83:$D$153,255),0))="","",INDEX('Disaggregation Records'!$E$83:$E$153,MATCH(RIGHT(L536,255),RIGHT('Disaggregation Records'!$D$83:$D$153,255),0))),"")</f>
        <v>Age</v>
      </c>
      <c r="N536" s="126" t="str">
        <f t="array" aca="1" ref="N536" ca="1">IFERROR(IF(INDEX('Disaggregation Records'!$F$83:$F$153,MATCH(RIGHT(L536,255),RIGHT('Disaggregation Records'!$D$83:$D$153,255),0))="","",INDEX('Disaggregation Records'!$F$83:$F$153,MATCH(RIGHT(L536,255),RIGHT('Disaggregation Records'!$D$83:$D$153,255),0))),"")</f>
        <v>25+</v>
      </c>
      <c r="O536" s="314" t="str">
        <f t="array" aca="1" ref="O536" ca="1">IFERROR(IF(INDEX('Disaggregation Records'!$H$83:$H$153,MATCH(RIGHT(L536,255),RIGHT('Disaggregation Records'!$D$83:$D$153,255),0))="","",INDEX('Disaggregation Records'!$H$83:$H$153,MATCH(RIGHT(L536,255),RIGHT('Disaggregation Records'!$D$83:$D$153,255),0))),"")</f>
        <v>IDR-01126</v>
      </c>
      <c r="P536" s="314"/>
      <c r="Q536" s="310">
        <f t="shared" ref="Q536" si="705">Q534+1</f>
        <v>1114</v>
      </c>
      <c r="R536" s="314" t="str" cm="1">
        <f t="array" aca="1" ref="R536" ca="1">IFERROR(IF(INDEX('Disaggregation Records'!$G$83:$G$153,MATCH(RIGHT(L536,255),RIGHT('Disaggregation Records'!$D$83:$D$153,255),0))="","",INDEX('Disaggregation Records'!$G$83:$G$153,MATCH(RIGHT(L536,255),RIGHT('Disaggregation Records'!$D$83:$D$153,255),0))),"")</f>
        <v>a1LDm000000Cb0uMAC</v>
      </c>
    </row>
    <row r="537" spans="1:18" ht="20.100000000000001" customHeight="1">
      <c r="A537" s="126"/>
      <c r="B537" s="571"/>
      <c r="C537" s="573"/>
      <c r="D537" s="575"/>
      <c r="E537" s="575"/>
      <c r="F537" s="128"/>
      <c r="G537" s="577"/>
      <c r="H537" s="540"/>
      <c r="I537" s="579"/>
      <c r="J537" s="533"/>
      <c r="K537" s="126"/>
      <c r="L537" s="126"/>
      <c r="M537" s="126"/>
      <c r="N537" s="126"/>
      <c r="O537" s="314"/>
      <c r="P537" s="314"/>
      <c r="Q537" s="310"/>
      <c r="R537" s="314" t="str" cm="1">
        <f t="array" ref="R537">IFERROR(IF(INDEX('Disaggregation Records'!$G$83:$G$153,MATCH(RIGHT(L537,255),RIGHT('Disaggregation Records'!$D$83:$D$153,255),0))="","",INDEX('Disaggregation Records'!$G$83:$G$153,MATCH(RIGHT(L537,255),RIGHT('Disaggregation Records'!$D$83:$D$153,255),0))),"")</f>
        <v/>
      </c>
    </row>
    <row r="538" spans="1:18" ht="20.100000000000001" customHeight="1">
      <c r="A538" s="126" t="str">
        <f t="shared" ref="A538" ca="1" si="706">INDIRECT("'update Helper'!C"&amp;Q538)</f>
        <v>a1VDm000000PgBaMAK</v>
      </c>
      <c r="B538" s="570">
        <v>12</v>
      </c>
      <c r="C538" s="572" t="str">
        <f ca="1">IFERROR(VLOOKUP(B538,'Outcome Indicators - Section C '!$A$9:$AC$70,29,FALSE),"")</f>
        <v>HIV O-16b Percentage of transgender people who avoid health care because of stigma and discrimination</v>
      </c>
      <c r="D538" s="574" t="str">
        <f ca="1">M538</f>
        <v>Age</v>
      </c>
      <c r="E538" s="574" t="str">
        <f ca="1">N538</f>
        <v>&lt;25</v>
      </c>
      <c r="F538" s="127"/>
      <c r="G538" s="576" t="str">
        <f ca="1">IF(OR(INDIRECT("'update Helper'!E"&amp;Q538)="",F538&lt;&gt;0,F539&lt;&gt;0),IF(IFERROR((F538/F539),"")="","",(F538/F539)),INDIRECT("'update Helper'!E"&amp;Q538)/100)</f>
        <v/>
      </c>
      <c r="H538" s="539"/>
      <c r="I538" s="578"/>
      <c r="J538" s="532"/>
      <c r="K538" s="126">
        <f ca="1">IF(AND(EXACT(C538,C536),C536&lt;&gt;0),K536+1,0)</f>
        <v>1</v>
      </c>
      <c r="L538" s="126" t="str">
        <f ca="1">IF(C538&lt;&gt;"",C538&amp;"-"&amp;K538,"")</f>
        <v>HIV O-16b Percentage of transgender people who avoid health care because of stigma and discrimination-1</v>
      </c>
      <c r="M538" s="126" t="str">
        <f t="array" aca="1" ref="M538" ca="1">IFERROR(IF(INDEX('Disaggregation Records'!$E$83:$E$153,MATCH(RIGHT(L538,255),RIGHT('Disaggregation Records'!$D$83:$D$153,255),0))="","",INDEX('Disaggregation Records'!$E$83:$E$153,MATCH(RIGHT(L538,255),RIGHT('Disaggregation Records'!$D$83:$D$153,255),0))),"")</f>
        <v>Age</v>
      </c>
      <c r="N538" s="126" t="str">
        <f t="array" aca="1" ref="N538" ca="1">IFERROR(IF(INDEX('Disaggregation Records'!$F$83:$F$153,MATCH(RIGHT(L538,255),RIGHT('Disaggregation Records'!$D$83:$D$153,255),0))="","",INDEX('Disaggregation Records'!$F$83:$F$153,MATCH(RIGHT(L538,255),RIGHT('Disaggregation Records'!$D$83:$D$153,255),0))),"")</f>
        <v>&lt;25</v>
      </c>
      <c r="O538" s="314" t="str">
        <f t="array" aca="1" ref="O538" ca="1">IFERROR(IF(INDEX('Disaggregation Records'!$H$83:$H$153,MATCH(RIGHT(L538,255),RIGHT('Disaggregation Records'!$D$83:$D$153,255),0))="","",INDEX('Disaggregation Records'!$H$83:$H$153,MATCH(RIGHT(L538,255),RIGHT('Disaggregation Records'!$D$83:$D$153,255),0))),"")</f>
        <v>IDR-01125</v>
      </c>
      <c r="P538" s="314"/>
      <c r="Q538" s="310">
        <f t="shared" ref="Q538" si="707">Q536+1</f>
        <v>1115</v>
      </c>
      <c r="R538" s="314" t="str" cm="1">
        <f t="array" aca="1" ref="R538" ca="1">IFERROR(IF(INDEX('Disaggregation Records'!$G$83:$G$153,MATCH(RIGHT(L538,255),RIGHT('Disaggregation Records'!$D$83:$D$153,255),0))="","",INDEX('Disaggregation Records'!$G$83:$G$153,MATCH(RIGHT(L538,255),RIGHT('Disaggregation Records'!$D$83:$D$153,255),0))),"")</f>
        <v>a1LDm000000Cb0tMAC</v>
      </c>
    </row>
    <row r="539" spans="1:18" ht="20.100000000000001" customHeight="1">
      <c r="B539" s="571"/>
      <c r="C539" s="573"/>
      <c r="D539" s="575"/>
      <c r="E539" s="575"/>
      <c r="F539" s="128"/>
      <c r="G539" s="577"/>
      <c r="H539" s="540"/>
      <c r="I539" s="579"/>
      <c r="J539" s="533"/>
      <c r="K539" s="126"/>
      <c r="L539" s="126"/>
      <c r="M539" s="126"/>
      <c r="N539" s="126"/>
      <c r="O539" s="314"/>
      <c r="P539" s="314"/>
      <c r="Q539" s="310"/>
      <c r="R539" s="314" t="str" cm="1">
        <f t="array" ref="R539">IFERROR(IF(INDEX('Disaggregation Records'!$G$83:$G$153,MATCH(RIGHT(L539,255),RIGHT('Disaggregation Records'!$D$83:$D$153,255),0))="","",INDEX('Disaggregation Records'!$G$83:$G$153,MATCH(RIGHT(L539,255),RIGHT('Disaggregation Records'!$D$83:$D$153,255),0))),"")</f>
        <v/>
      </c>
    </row>
    <row r="540" spans="1:18" ht="20.100000000000001" customHeight="1">
      <c r="A540" s="126" t="str">
        <f t="shared" ref="A540" ca="1" si="708">INDIRECT("'update Helper'!C"&amp;Q540)</f>
        <v>a1VDm000000PgBbMAK</v>
      </c>
      <c r="B540" s="570">
        <v>12</v>
      </c>
      <c r="C540" s="572" t="str">
        <f ca="1">IFERROR(VLOOKUP(B540,'Outcome Indicators - Section C '!$A$9:$AC$70,29,FALSE),"")</f>
        <v>HIV O-16b Percentage of transgender people who avoid health care because of stigma and discrimination</v>
      </c>
      <c r="D540" s="574" t="str">
        <f ca="1">M540</f>
        <v/>
      </c>
      <c r="E540" s="574" t="str">
        <f ca="1">N540</f>
        <v/>
      </c>
      <c r="F540" s="127"/>
      <c r="G540" s="576" t="str">
        <f ca="1">IF(OR(INDIRECT("'update Helper'!E"&amp;Q540)="",F540&lt;&gt;0,F541&lt;&gt;0),IF(IFERROR((F540/F541),"")="","",(F540/F541)),INDIRECT("'update Helper'!E"&amp;Q540)/100)</f>
        <v/>
      </c>
      <c r="H540" s="539"/>
      <c r="I540" s="578"/>
      <c r="J540" s="532"/>
      <c r="K540" s="126">
        <f ca="1">IF(AND(EXACT(C540,C538),C538&lt;&gt;0),K538+1,0)</f>
        <v>2</v>
      </c>
      <c r="L540" s="126" t="str">
        <f ca="1">IF(C540&lt;&gt;"",C540&amp;"-"&amp;K540,"")</f>
        <v>HIV O-16b Percentage of transgender people who avoid health care because of stigma and discrimination-2</v>
      </c>
      <c r="M540" s="126" t="str">
        <f t="array" aca="1" ref="M540" ca="1">IFERROR(IF(INDEX('Disaggregation Records'!$E$83:$E$153,MATCH(RIGHT(L540,255),RIGHT('Disaggregation Records'!$D$83:$D$153,255),0))="","",INDEX('Disaggregation Records'!$E$83:$E$153,MATCH(RIGHT(L540,255),RIGHT('Disaggregation Records'!$D$83:$D$153,255),0))),"")</f>
        <v/>
      </c>
      <c r="N540" s="126" t="str">
        <f t="array" aca="1" ref="N540" ca="1">IFERROR(IF(INDEX('Disaggregation Records'!$F$83:$F$153,MATCH(RIGHT(L540,255),RIGHT('Disaggregation Records'!$D$83:$D$153,255),0))="","",INDEX('Disaggregation Records'!$F$83:$F$153,MATCH(RIGHT(L540,255),RIGHT('Disaggregation Records'!$D$83:$D$153,255),0))),"")</f>
        <v/>
      </c>
      <c r="O540" s="314" t="str">
        <f t="array" aca="1" ref="O540" ca="1">IFERROR(IF(INDEX('Disaggregation Records'!$H$83:$H$153,MATCH(RIGHT(L540,255),RIGHT('Disaggregation Records'!$D$83:$D$153,255),0))="","",INDEX('Disaggregation Records'!$H$83:$H$153,MATCH(RIGHT(L540,255),RIGHT('Disaggregation Records'!$D$83:$D$153,255),0))),"")</f>
        <v/>
      </c>
      <c r="P540" s="314"/>
      <c r="Q540" s="310">
        <f t="shared" ref="Q540" si="709">Q538+1</f>
        <v>1116</v>
      </c>
      <c r="R540" s="314" t="str" cm="1">
        <f t="array" aca="1" ref="R540" ca="1">IFERROR(IF(INDEX('Disaggregation Records'!$G$83:$G$153,MATCH(RIGHT(L540,255),RIGHT('Disaggregation Records'!$D$83:$D$153,255),0))="","",INDEX('Disaggregation Records'!$G$83:$G$153,MATCH(RIGHT(L540,255),RIGHT('Disaggregation Records'!$D$83:$D$153,255),0))),"")</f>
        <v/>
      </c>
    </row>
    <row r="541" spans="1:18" ht="20.100000000000001" customHeight="1">
      <c r="A541" s="126"/>
      <c r="B541" s="571"/>
      <c r="C541" s="573"/>
      <c r="D541" s="575"/>
      <c r="E541" s="575"/>
      <c r="F541" s="128"/>
      <c r="G541" s="577"/>
      <c r="H541" s="540"/>
      <c r="I541" s="579"/>
      <c r="J541" s="533"/>
      <c r="K541" s="126"/>
      <c r="L541" s="126"/>
      <c r="M541" s="126"/>
      <c r="N541" s="126"/>
      <c r="O541" s="314"/>
      <c r="P541" s="314"/>
      <c r="Q541" s="310"/>
      <c r="R541" s="314" t="str" cm="1">
        <f t="array" ref="R541">IFERROR(IF(INDEX('Disaggregation Records'!$G$83:$G$153,MATCH(RIGHT(L541,255),RIGHT('Disaggregation Records'!$D$83:$D$153,255),0))="","",INDEX('Disaggregation Records'!$G$83:$G$153,MATCH(RIGHT(L541,255),RIGHT('Disaggregation Records'!$D$83:$D$153,255),0))),"")</f>
        <v/>
      </c>
    </row>
    <row r="542" spans="1:18" ht="20.100000000000001" customHeight="1">
      <c r="A542" s="126" t="str">
        <f t="shared" ref="A542" ca="1" si="710">INDIRECT("'update Helper'!C"&amp;Q542)</f>
        <v>a1VDm000000PgBcMAK</v>
      </c>
      <c r="B542" s="570">
        <v>12</v>
      </c>
      <c r="C542" s="572" t="str">
        <f ca="1">IFERROR(VLOOKUP(B542,'Outcome Indicators - Section C '!$A$9:$AC$70,29,FALSE),"")</f>
        <v>HIV O-16b Percentage of transgender people who avoid health care because of stigma and discrimination</v>
      </c>
      <c r="D542" s="574" t="str">
        <f ca="1">M542</f>
        <v/>
      </c>
      <c r="E542" s="574" t="str">
        <f ca="1">N542</f>
        <v/>
      </c>
      <c r="F542" s="127"/>
      <c r="G542" s="576" t="str">
        <f ca="1">IF(OR(INDIRECT("'update Helper'!E"&amp;Q542)="",F542&lt;&gt;0,F543&lt;&gt;0),IF(IFERROR((F542/F543),"")="","",(F542/F543)),INDIRECT("'update Helper'!E"&amp;Q542)/100)</f>
        <v/>
      </c>
      <c r="H542" s="539"/>
      <c r="I542" s="578"/>
      <c r="J542" s="532"/>
      <c r="K542" s="126">
        <f ca="1">IF(AND(EXACT(C542,C540),C540&lt;&gt;0),K540+1,0)</f>
        <v>3</v>
      </c>
      <c r="L542" s="126" t="str">
        <f ca="1">IF(C542&lt;&gt;"",C542&amp;"-"&amp;K542,"")</f>
        <v>HIV O-16b Percentage of transgender people who avoid health care because of stigma and discrimination-3</v>
      </c>
      <c r="M542" s="126" t="str">
        <f t="array" aca="1" ref="M542" ca="1">IFERROR(IF(INDEX('Disaggregation Records'!$E$83:$E$153,MATCH(RIGHT(L542,255),RIGHT('Disaggregation Records'!$D$83:$D$153,255),0))="","",INDEX('Disaggregation Records'!$E$83:$E$153,MATCH(RIGHT(L542,255),RIGHT('Disaggregation Records'!$D$83:$D$153,255),0))),"")</f>
        <v/>
      </c>
      <c r="N542" s="126" t="str">
        <f t="array" aca="1" ref="N542" ca="1">IFERROR(IF(INDEX('Disaggregation Records'!$F$83:$F$153,MATCH(RIGHT(L542,255),RIGHT('Disaggregation Records'!$D$83:$D$153,255),0))="","",INDEX('Disaggregation Records'!$F$83:$F$153,MATCH(RIGHT(L542,255),RIGHT('Disaggregation Records'!$D$83:$D$153,255),0))),"")</f>
        <v/>
      </c>
      <c r="O542" s="314" t="str">
        <f t="array" aca="1" ref="O542" ca="1">IFERROR(IF(INDEX('Disaggregation Records'!$H$83:$H$153,MATCH(RIGHT(L542,255),RIGHT('Disaggregation Records'!$D$83:$D$153,255),0))="","",INDEX('Disaggregation Records'!$H$83:$H$153,MATCH(RIGHT(L542,255),RIGHT('Disaggregation Records'!$D$83:$D$153,255),0))),"")</f>
        <v/>
      </c>
      <c r="P542" s="314"/>
      <c r="Q542" s="310">
        <f t="shared" ref="Q542" si="711">Q540+1</f>
        <v>1117</v>
      </c>
      <c r="R542" s="314" t="str" cm="1">
        <f t="array" aca="1" ref="R542" ca="1">IFERROR(IF(INDEX('Disaggregation Records'!$G$83:$G$153,MATCH(RIGHT(L542,255),RIGHT('Disaggregation Records'!$D$83:$D$153,255),0))="","",INDEX('Disaggregation Records'!$G$83:$G$153,MATCH(RIGHT(L542,255),RIGHT('Disaggregation Records'!$D$83:$D$153,255),0))),"")</f>
        <v/>
      </c>
    </row>
    <row r="543" spans="1:18" ht="20.100000000000001" customHeight="1">
      <c r="B543" s="571"/>
      <c r="C543" s="573"/>
      <c r="D543" s="575"/>
      <c r="E543" s="575"/>
      <c r="F543" s="128"/>
      <c r="G543" s="577"/>
      <c r="H543" s="540"/>
      <c r="I543" s="579"/>
      <c r="J543" s="533"/>
      <c r="K543" s="126"/>
      <c r="L543" s="126"/>
      <c r="M543" s="126"/>
      <c r="N543" s="126"/>
      <c r="O543" s="314"/>
      <c r="P543" s="314"/>
      <c r="Q543" s="310"/>
      <c r="R543" s="314" t="str" cm="1">
        <f t="array" ref="R543">IFERROR(IF(INDEX('Disaggregation Records'!$G$83:$G$153,MATCH(RIGHT(L543,255),RIGHT('Disaggregation Records'!$D$83:$D$153,255),0))="","",INDEX('Disaggregation Records'!$G$83:$G$153,MATCH(RIGHT(L543,255),RIGHT('Disaggregation Records'!$D$83:$D$153,255),0))),"")</f>
        <v/>
      </c>
    </row>
    <row r="544" spans="1:18" ht="20.100000000000001" customHeight="1">
      <c r="A544" s="126" t="str">
        <f t="shared" ref="A544" ca="1" si="712">INDIRECT("'update Helper'!C"&amp;Q544)</f>
        <v>a1VDm000000PgBdMAK</v>
      </c>
      <c r="B544" s="570">
        <v>12</v>
      </c>
      <c r="C544" s="572" t="str">
        <f ca="1">IFERROR(VLOOKUP(B544,'Outcome Indicators - Section C '!$A$9:$AC$70,29,FALSE),"")</f>
        <v>HIV O-16b Percentage of transgender people who avoid health care because of stigma and discrimination</v>
      </c>
      <c r="D544" s="574" t="str">
        <f ca="1">M544</f>
        <v/>
      </c>
      <c r="E544" s="574" t="str">
        <f ca="1">N544</f>
        <v/>
      </c>
      <c r="F544" s="127"/>
      <c r="G544" s="576" t="str">
        <f ca="1">IF(OR(INDIRECT("'update Helper'!E"&amp;Q544)="",F544&lt;&gt;0,F545&lt;&gt;0),IF(IFERROR((F544/F545),"")="","",(F544/F545)),INDIRECT("'update Helper'!E"&amp;Q544)/100)</f>
        <v/>
      </c>
      <c r="H544" s="539"/>
      <c r="I544" s="578"/>
      <c r="J544" s="532"/>
      <c r="K544" s="126">
        <f ca="1">IF(AND(EXACT(C544,C542),C542&lt;&gt;0),K542+1,0)</f>
        <v>4</v>
      </c>
      <c r="L544" s="126" t="str">
        <f ca="1">IF(C544&lt;&gt;"",C544&amp;"-"&amp;K544,"")</f>
        <v>HIV O-16b Percentage of transgender people who avoid health care because of stigma and discrimination-4</v>
      </c>
      <c r="M544" s="126" t="str">
        <f t="array" aca="1" ref="M544" ca="1">IFERROR(IF(INDEX('Disaggregation Records'!$E$83:$E$153,MATCH(RIGHT(L544,255),RIGHT('Disaggregation Records'!$D$83:$D$153,255),0))="","",INDEX('Disaggregation Records'!$E$83:$E$153,MATCH(RIGHT(L544,255),RIGHT('Disaggregation Records'!$D$83:$D$153,255),0))),"")</f>
        <v/>
      </c>
      <c r="N544" s="126" t="str">
        <f t="array" aca="1" ref="N544" ca="1">IFERROR(IF(INDEX('Disaggregation Records'!$F$83:$F$153,MATCH(RIGHT(L544,255),RIGHT('Disaggregation Records'!$D$83:$D$153,255),0))="","",INDEX('Disaggregation Records'!$F$83:$F$153,MATCH(RIGHT(L544,255),RIGHT('Disaggregation Records'!$D$83:$D$153,255),0))),"")</f>
        <v/>
      </c>
      <c r="O544" s="314" t="str">
        <f t="array" aca="1" ref="O544" ca="1">IFERROR(IF(INDEX('Disaggregation Records'!$H$83:$H$153,MATCH(RIGHT(L544,255),RIGHT('Disaggregation Records'!$D$83:$D$153,255),0))="","",INDEX('Disaggregation Records'!$H$83:$H$153,MATCH(RIGHT(L544,255),RIGHT('Disaggregation Records'!$D$83:$D$153,255),0))),"")</f>
        <v/>
      </c>
      <c r="P544" s="314"/>
      <c r="Q544" s="310">
        <f t="shared" ref="Q544" si="713">Q542+1</f>
        <v>1118</v>
      </c>
      <c r="R544" s="314" t="str" cm="1">
        <f t="array" aca="1" ref="R544" ca="1">IFERROR(IF(INDEX('Disaggregation Records'!$G$83:$G$153,MATCH(RIGHT(L544,255),RIGHT('Disaggregation Records'!$D$83:$D$153,255),0))="","",INDEX('Disaggregation Records'!$G$83:$G$153,MATCH(RIGHT(L544,255),RIGHT('Disaggregation Records'!$D$83:$D$153,255),0))),"")</f>
        <v/>
      </c>
    </row>
    <row r="545" spans="1:18" ht="20.100000000000001" customHeight="1">
      <c r="A545" s="126"/>
      <c r="B545" s="571"/>
      <c r="C545" s="573"/>
      <c r="D545" s="575"/>
      <c r="E545" s="575"/>
      <c r="F545" s="128"/>
      <c r="G545" s="577"/>
      <c r="H545" s="540"/>
      <c r="I545" s="579"/>
      <c r="J545" s="533"/>
      <c r="K545" s="126"/>
      <c r="L545" s="126"/>
      <c r="M545" s="126"/>
      <c r="N545" s="126"/>
      <c r="O545" s="314"/>
      <c r="P545" s="314"/>
      <c r="Q545" s="310"/>
      <c r="R545" s="314" t="str" cm="1">
        <f t="array" ref="R545">IFERROR(IF(INDEX('Disaggregation Records'!$G$83:$G$153,MATCH(RIGHT(L545,255),RIGHT('Disaggregation Records'!$D$83:$D$153,255),0))="","",INDEX('Disaggregation Records'!$G$83:$G$153,MATCH(RIGHT(L545,255),RIGHT('Disaggregation Records'!$D$83:$D$153,255),0))),"")</f>
        <v/>
      </c>
    </row>
    <row r="546" spans="1:18" ht="20.100000000000001" customHeight="1">
      <c r="A546" s="126" t="str">
        <f t="shared" ref="A546" ca="1" si="714">INDIRECT("'update Helper'!C"&amp;Q546)</f>
        <v>a1VDm000000PgBeMAK</v>
      </c>
      <c r="B546" s="570">
        <v>12</v>
      </c>
      <c r="C546" s="572" t="str">
        <f ca="1">IFERROR(VLOOKUP(B546,'Outcome Indicators - Section C '!$A$9:$AC$70,29,FALSE),"")</f>
        <v>HIV O-16b Percentage of transgender people who avoid health care because of stigma and discrimination</v>
      </c>
      <c r="D546" s="574" t="str">
        <f ca="1">M546</f>
        <v/>
      </c>
      <c r="E546" s="574" t="str">
        <f ca="1">N546</f>
        <v/>
      </c>
      <c r="F546" s="127"/>
      <c r="G546" s="576" t="str">
        <f ca="1">IF(OR(INDIRECT("'update Helper'!E"&amp;Q546)="",F546&lt;&gt;0,F547&lt;&gt;0),IF(IFERROR((F546/F547),"")="","",(F546/F547)),INDIRECT("'update Helper'!E"&amp;Q546)/100)</f>
        <v/>
      </c>
      <c r="H546" s="539"/>
      <c r="I546" s="578"/>
      <c r="J546" s="532"/>
      <c r="K546" s="126">
        <f ca="1">IF(AND(EXACT(C546,C544),C544&lt;&gt;0),K544+1,0)</f>
        <v>5</v>
      </c>
      <c r="L546" s="126" t="str">
        <f ca="1">IF(C546&lt;&gt;"",C546&amp;"-"&amp;K546,"")</f>
        <v>HIV O-16b Percentage of transgender people who avoid health care because of stigma and discrimination-5</v>
      </c>
      <c r="M546" s="126" t="str">
        <f t="array" aca="1" ref="M546" ca="1">IFERROR(IF(INDEX('Disaggregation Records'!$E$83:$E$153,MATCH(RIGHT(L546,255),RIGHT('Disaggregation Records'!$D$83:$D$153,255),0))="","",INDEX('Disaggregation Records'!$E$83:$E$153,MATCH(RIGHT(L546,255),RIGHT('Disaggregation Records'!$D$83:$D$153,255),0))),"")</f>
        <v/>
      </c>
      <c r="N546" s="126" t="str">
        <f t="array" aca="1" ref="N546" ca="1">IFERROR(IF(INDEX('Disaggregation Records'!$F$83:$F$153,MATCH(RIGHT(L546,255),RIGHT('Disaggregation Records'!$D$83:$D$153,255),0))="","",INDEX('Disaggregation Records'!$F$83:$F$153,MATCH(RIGHT(L546,255),RIGHT('Disaggregation Records'!$D$83:$D$153,255),0))),"")</f>
        <v/>
      </c>
      <c r="O546" s="314" t="str">
        <f t="array" aca="1" ref="O546" ca="1">IFERROR(IF(INDEX('Disaggregation Records'!$H$83:$H$153,MATCH(RIGHT(L546,255),RIGHT('Disaggregation Records'!$D$83:$D$153,255),0))="","",INDEX('Disaggregation Records'!$H$83:$H$153,MATCH(RIGHT(L546,255),RIGHT('Disaggregation Records'!$D$83:$D$153,255),0))),"")</f>
        <v/>
      </c>
      <c r="P546" s="314"/>
      <c r="Q546" s="310">
        <f t="shared" ref="Q546" si="715">Q544+1</f>
        <v>1119</v>
      </c>
      <c r="R546" s="314" t="str" cm="1">
        <f t="array" aca="1" ref="R546" ca="1">IFERROR(IF(INDEX('Disaggregation Records'!$G$83:$G$153,MATCH(RIGHT(L546,255),RIGHT('Disaggregation Records'!$D$83:$D$153,255),0))="","",INDEX('Disaggregation Records'!$G$83:$G$153,MATCH(RIGHT(L546,255),RIGHT('Disaggregation Records'!$D$83:$D$153,255),0))),"")</f>
        <v/>
      </c>
    </row>
    <row r="547" spans="1:18" ht="20.100000000000001" customHeight="1">
      <c r="B547" s="571"/>
      <c r="C547" s="573"/>
      <c r="D547" s="575"/>
      <c r="E547" s="575"/>
      <c r="F547" s="128"/>
      <c r="G547" s="577"/>
      <c r="H547" s="540"/>
      <c r="I547" s="579"/>
      <c r="J547" s="533"/>
      <c r="K547" s="126"/>
      <c r="L547" s="126"/>
      <c r="M547" s="126"/>
      <c r="N547" s="126"/>
      <c r="O547" s="314"/>
      <c r="P547" s="314"/>
      <c r="Q547" s="310"/>
      <c r="R547" s="314" t="str" cm="1">
        <f t="array" ref="R547">IFERROR(IF(INDEX('Disaggregation Records'!$G$83:$G$153,MATCH(RIGHT(L547,255),RIGHT('Disaggregation Records'!$D$83:$D$153,255),0))="","",INDEX('Disaggregation Records'!$G$83:$G$153,MATCH(RIGHT(L547,255),RIGHT('Disaggregation Records'!$D$83:$D$153,255),0))),"")</f>
        <v/>
      </c>
    </row>
    <row r="548" spans="1:18" ht="20.100000000000001" customHeight="1">
      <c r="A548" s="126" t="str">
        <f t="shared" ref="A548" ca="1" si="716">INDIRECT("'update Helper'!C"&amp;Q548)</f>
        <v>a1VDm000000PgBfMAK</v>
      </c>
      <c r="B548" s="570">
        <v>12</v>
      </c>
      <c r="C548" s="572" t="str">
        <f ca="1">IFERROR(VLOOKUP(B548,'Outcome Indicators - Section C '!$A$9:$AC$70,29,FALSE),"")</f>
        <v>HIV O-16b Percentage of transgender people who avoid health care because of stigma and discrimination</v>
      </c>
      <c r="D548" s="574" t="str">
        <f ca="1">M548</f>
        <v/>
      </c>
      <c r="E548" s="574" t="str">
        <f ca="1">N548</f>
        <v/>
      </c>
      <c r="F548" s="127"/>
      <c r="G548" s="576" t="str">
        <f ca="1">IF(OR(INDIRECT("'update Helper'!E"&amp;Q548)="",F548&lt;&gt;0,F549&lt;&gt;0),IF(IFERROR((F548/F549),"")="","",(F548/F549)),INDIRECT("'update Helper'!E"&amp;Q548)/100)</f>
        <v/>
      </c>
      <c r="H548" s="539"/>
      <c r="I548" s="578"/>
      <c r="J548" s="532"/>
      <c r="K548" s="126">
        <f ca="1">IF(AND(EXACT(C548,C546),C546&lt;&gt;0),K546+1,0)</f>
        <v>6</v>
      </c>
      <c r="L548" s="126" t="str">
        <f ca="1">IF(C548&lt;&gt;"",C548&amp;"-"&amp;K548,"")</f>
        <v>HIV O-16b Percentage of transgender people who avoid health care because of stigma and discrimination-6</v>
      </c>
      <c r="M548" s="126" t="str">
        <f t="array" aca="1" ref="M548" ca="1">IFERROR(IF(INDEX('Disaggregation Records'!$E$83:$E$153,MATCH(RIGHT(L548,255),RIGHT('Disaggregation Records'!$D$83:$D$153,255),0))="","",INDEX('Disaggregation Records'!$E$83:$E$153,MATCH(RIGHT(L548,255),RIGHT('Disaggregation Records'!$D$83:$D$153,255),0))),"")</f>
        <v/>
      </c>
      <c r="N548" s="126" t="str">
        <f t="array" aca="1" ref="N548" ca="1">IFERROR(IF(INDEX('Disaggregation Records'!$F$83:$F$153,MATCH(RIGHT(L548,255),RIGHT('Disaggregation Records'!$D$83:$D$153,255),0))="","",INDEX('Disaggregation Records'!$F$83:$F$153,MATCH(RIGHT(L548,255),RIGHT('Disaggregation Records'!$D$83:$D$153,255),0))),"")</f>
        <v/>
      </c>
      <c r="O548" s="314" t="str">
        <f t="array" aca="1" ref="O548" ca="1">IFERROR(IF(INDEX('Disaggregation Records'!$H$83:$H$153,MATCH(RIGHT(L548,255),RIGHT('Disaggregation Records'!$D$83:$D$153,255),0))="","",INDEX('Disaggregation Records'!$H$83:$H$153,MATCH(RIGHT(L548,255),RIGHT('Disaggregation Records'!$D$83:$D$153,255),0))),"")</f>
        <v/>
      </c>
      <c r="P548" s="314"/>
      <c r="Q548" s="310">
        <f t="shared" ref="Q548" si="717">Q546+1</f>
        <v>1120</v>
      </c>
      <c r="R548" s="314" t="str" cm="1">
        <f t="array" aca="1" ref="R548" ca="1">IFERROR(IF(INDEX('Disaggregation Records'!$G$83:$G$153,MATCH(RIGHT(L548,255),RIGHT('Disaggregation Records'!$D$83:$D$153,255),0))="","",INDEX('Disaggregation Records'!$G$83:$G$153,MATCH(RIGHT(L548,255),RIGHT('Disaggregation Records'!$D$83:$D$153,255),0))),"")</f>
        <v/>
      </c>
    </row>
    <row r="549" spans="1:18" ht="20.100000000000001" customHeight="1">
      <c r="A549" s="126"/>
      <c r="B549" s="571"/>
      <c r="C549" s="573"/>
      <c r="D549" s="575"/>
      <c r="E549" s="575"/>
      <c r="F549" s="128"/>
      <c r="G549" s="577"/>
      <c r="H549" s="540"/>
      <c r="I549" s="579"/>
      <c r="J549" s="533"/>
      <c r="K549" s="126"/>
      <c r="L549" s="126"/>
      <c r="M549" s="126"/>
      <c r="N549" s="126"/>
      <c r="O549" s="314"/>
      <c r="P549" s="314"/>
      <c r="Q549" s="310"/>
      <c r="R549" s="314" t="str" cm="1">
        <f t="array" ref="R549">IFERROR(IF(INDEX('Disaggregation Records'!$G$83:$G$153,MATCH(RIGHT(L549,255),RIGHT('Disaggregation Records'!$D$83:$D$153,255),0))="","",INDEX('Disaggregation Records'!$G$83:$G$153,MATCH(RIGHT(L549,255),RIGHT('Disaggregation Records'!$D$83:$D$153,255),0))),"")</f>
        <v/>
      </c>
    </row>
    <row r="550" spans="1:18" ht="20.100000000000001" customHeight="1">
      <c r="A550" s="126" t="str">
        <f t="shared" ref="A550" ca="1" si="718">INDIRECT("'update Helper'!C"&amp;Q550)</f>
        <v>a1VDm000000PgBgMAK</v>
      </c>
      <c r="B550" s="570">
        <v>12</v>
      </c>
      <c r="C550" s="572" t="str">
        <f ca="1">IFERROR(VLOOKUP(B550,'Outcome Indicators - Section C '!$A$9:$AC$70,29,FALSE),"")</f>
        <v>HIV O-16b Percentage of transgender people who avoid health care because of stigma and discrimination</v>
      </c>
      <c r="D550" s="574" t="str">
        <f ca="1">M550</f>
        <v/>
      </c>
      <c r="E550" s="574" t="str">
        <f ca="1">N550</f>
        <v/>
      </c>
      <c r="F550" s="127"/>
      <c r="G550" s="576" t="str">
        <f ca="1">IF(OR(INDIRECT("'update Helper'!E"&amp;Q550)="",F550&lt;&gt;0,F551&lt;&gt;0),IF(IFERROR((F550/F551),"")="","",(F550/F551)),INDIRECT("'update Helper'!E"&amp;Q550)/100)</f>
        <v/>
      </c>
      <c r="H550" s="539"/>
      <c r="I550" s="578"/>
      <c r="J550" s="532"/>
      <c r="K550" s="126">
        <f ca="1">IF(AND(EXACT(C550,C548),C548&lt;&gt;0),K548+1,0)</f>
        <v>7</v>
      </c>
      <c r="L550" s="126" t="str">
        <f ca="1">IF(C550&lt;&gt;"",C550&amp;"-"&amp;K550,"")</f>
        <v>HIV O-16b Percentage of transgender people who avoid health care because of stigma and discrimination-7</v>
      </c>
      <c r="M550" s="126" t="str">
        <f t="array" aca="1" ref="M550" ca="1">IFERROR(IF(INDEX('Disaggregation Records'!$E$83:$E$153,MATCH(RIGHT(L550,255),RIGHT('Disaggregation Records'!$D$83:$D$153,255),0))="","",INDEX('Disaggregation Records'!$E$83:$E$153,MATCH(RIGHT(L550,255),RIGHT('Disaggregation Records'!$D$83:$D$153,255),0))),"")</f>
        <v/>
      </c>
      <c r="N550" s="126" t="str">
        <f t="array" aca="1" ref="N550" ca="1">IFERROR(IF(INDEX('Disaggregation Records'!$F$83:$F$153,MATCH(RIGHT(L550,255),RIGHT('Disaggregation Records'!$D$83:$D$153,255),0))="","",INDEX('Disaggregation Records'!$F$83:$F$153,MATCH(RIGHT(L550,255),RIGHT('Disaggregation Records'!$D$83:$D$153,255),0))),"")</f>
        <v/>
      </c>
      <c r="O550" s="314" t="str">
        <f t="array" aca="1" ref="O550" ca="1">IFERROR(IF(INDEX('Disaggregation Records'!$H$83:$H$153,MATCH(RIGHT(L550,255),RIGHT('Disaggregation Records'!$D$83:$D$153,255),0))="","",INDEX('Disaggregation Records'!$H$83:$H$153,MATCH(RIGHT(L550,255),RIGHT('Disaggregation Records'!$D$83:$D$153,255),0))),"")</f>
        <v/>
      </c>
      <c r="P550" s="314"/>
      <c r="Q550" s="310">
        <f t="shared" ref="Q550" si="719">Q548+1</f>
        <v>1121</v>
      </c>
      <c r="R550" s="314" t="str" cm="1">
        <f t="array" aca="1" ref="R550" ca="1">IFERROR(IF(INDEX('Disaggregation Records'!$G$83:$G$153,MATCH(RIGHT(L550,255),RIGHT('Disaggregation Records'!$D$83:$D$153,255),0))="","",INDEX('Disaggregation Records'!$G$83:$G$153,MATCH(RIGHT(L550,255),RIGHT('Disaggregation Records'!$D$83:$D$153,255),0))),"")</f>
        <v/>
      </c>
    </row>
    <row r="551" spans="1:18" ht="20.100000000000001" customHeight="1">
      <c r="B551" s="571"/>
      <c r="C551" s="573"/>
      <c r="D551" s="575"/>
      <c r="E551" s="575"/>
      <c r="F551" s="128"/>
      <c r="G551" s="577"/>
      <c r="H551" s="540"/>
      <c r="I551" s="579"/>
      <c r="J551" s="533"/>
      <c r="K551" s="126"/>
      <c r="L551" s="126"/>
      <c r="M551" s="126"/>
      <c r="N551" s="126"/>
      <c r="O551" s="314"/>
      <c r="P551" s="314"/>
      <c r="Q551" s="310"/>
      <c r="R551" s="314" t="str" cm="1">
        <f t="array" ref="R551">IFERROR(IF(INDEX('Disaggregation Records'!$G$83:$G$153,MATCH(RIGHT(L551,255),RIGHT('Disaggregation Records'!$D$83:$D$153,255),0))="","",INDEX('Disaggregation Records'!$G$83:$G$153,MATCH(RIGHT(L551,255),RIGHT('Disaggregation Records'!$D$83:$D$153,255),0))),"")</f>
        <v/>
      </c>
    </row>
    <row r="552" spans="1:18" ht="20.100000000000001" customHeight="1">
      <c r="A552" s="126" t="str">
        <f t="shared" ref="A552" ca="1" si="720">INDIRECT("'update Helper'!C"&amp;Q552)</f>
        <v>a1VDm000000PgBhMAK</v>
      </c>
      <c r="B552" s="570">
        <v>12</v>
      </c>
      <c r="C552" s="572" t="str">
        <f ca="1">IFERROR(VLOOKUP(B552,'Outcome Indicators - Section C '!$A$9:$AC$70,29,FALSE),"")</f>
        <v>HIV O-16b Percentage of transgender people who avoid health care because of stigma and discrimination</v>
      </c>
      <c r="D552" s="574" t="str">
        <f ca="1">M552</f>
        <v/>
      </c>
      <c r="E552" s="574" t="str">
        <f ca="1">N552</f>
        <v/>
      </c>
      <c r="F552" s="127"/>
      <c r="G552" s="576" t="str">
        <f ca="1">IF(OR(INDIRECT("'update Helper'!E"&amp;Q552)="",F552&lt;&gt;0,F553&lt;&gt;0),IF(IFERROR((F552/F553),"")="","",(F552/F553)),INDIRECT("'update Helper'!E"&amp;Q552)/100)</f>
        <v/>
      </c>
      <c r="H552" s="539"/>
      <c r="I552" s="578"/>
      <c r="J552" s="532"/>
      <c r="K552" s="126">
        <f ca="1">IF(AND(EXACT(C552,C550),C550&lt;&gt;0),K550+1,0)</f>
        <v>8</v>
      </c>
      <c r="L552" s="126" t="str">
        <f ca="1">IF(C552&lt;&gt;"",C552&amp;"-"&amp;K552,"")</f>
        <v>HIV O-16b Percentage of transgender people who avoid health care because of stigma and discrimination-8</v>
      </c>
      <c r="M552" s="126" t="str">
        <f t="array" aca="1" ref="M552" ca="1">IFERROR(IF(INDEX('Disaggregation Records'!$E$83:$E$153,MATCH(RIGHT(L552,255),RIGHT('Disaggregation Records'!$D$83:$D$153,255),0))="","",INDEX('Disaggregation Records'!$E$83:$E$153,MATCH(RIGHT(L552,255),RIGHT('Disaggregation Records'!$D$83:$D$153,255),0))),"")</f>
        <v/>
      </c>
      <c r="N552" s="126" t="str">
        <f t="array" aca="1" ref="N552" ca="1">IFERROR(IF(INDEX('Disaggregation Records'!$F$83:$F$153,MATCH(RIGHT(L552,255),RIGHT('Disaggregation Records'!$D$83:$D$153,255),0))="","",INDEX('Disaggregation Records'!$F$83:$F$153,MATCH(RIGHT(L552,255),RIGHT('Disaggregation Records'!$D$83:$D$153,255),0))),"")</f>
        <v/>
      </c>
      <c r="O552" s="314" t="str">
        <f t="array" aca="1" ref="O552" ca="1">IFERROR(IF(INDEX('Disaggregation Records'!$H$83:$H$153,MATCH(RIGHT(L552,255),RIGHT('Disaggregation Records'!$D$83:$D$153,255),0))="","",INDEX('Disaggregation Records'!$H$83:$H$153,MATCH(RIGHT(L552,255),RIGHT('Disaggregation Records'!$D$83:$D$153,255),0))),"")</f>
        <v/>
      </c>
      <c r="P552" s="314"/>
      <c r="Q552" s="310">
        <f t="shared" ref="Q552" si="721">Q550+1</f>
        <v>1122</v>
      </c>
      <c r="R552" s="314" t="str" cm="1">
        <f t="array" aca="1" ref="R552" ca="1">IFERROR(IF(INDEX('Disaggregation Records'!$G$83:$G$153,MATCH(RIGHT(L552,255),RIGHT('Disaggregation Records'!$D$83:$D$153,255),0))="","",INDEX('Disaggregation Records'!$G$83:$G$153,MATCH(RIGHT(L552,255),RIGHT('Disaggregation Records'!$D$83:$D$153,255),0))),"")</f>
        <v/>
      </c>
    </row>
    <row r="553" spans="1:18" ht="20.100000000000001" customHeight="1">
      <c r="A553" s="126"/>
      <c r="B553" s="571"/>
      <c r="C553" s="573"/>
      <c r="D553" s="575"/>
      <c r="E553" s="575"/>
      <c r="F553" s="128"/>
      <c r="G553" s="577"/>
      <c r="H553" s="540"/>
      <c r="I553" s="579"/>
      <c r="J553" s="533"/>
      <c r="K553" s="126"/>
      <c r="L553" s="126"/>
      <c r="M553" s="126"/>
      <c r="N553" s="126"/>
      <c r="O553" s="314"/>
      <c r="P553" s="314"/>
      <c r="Q553" s="310"/>
      <c r="R553" s="314" t="str" cm="1">
        <f t="array" ref="R553">IFERROR(IF(INDEX('Disaggregation Records'!$G$83:$G$153,MATCH(RIGHT(L553,255),RIGHT('Disaggregation Records'!$D$83:$D$153,255),0))="","",INDEX('Disaggregation Records'!$G$83:$G$153,MATCH(RIGHT(L553,255),RIGHT('Disaggregation Records'!$D$83:$D$153,255),0))),"")</f>
        <v/>
      </c>
    </row>
    <row r="554" spans="1:18" ht="20.100000000000001" customHeight="1">
      <c r="A554" s="126" t="str">
        <f t="shared" ref="A554" ca="1" si="722">INDIRECT("'update Helper'!C"&amp;Q554)</f>
        <v>a1VDm000000PgBiMAK</v>
      </c>
      <c r="B554" s="570">
        <v>12</v>
      </c>
      <c r="C554" s="572" t="str">
        <f ca="1">IFERROR(VLOOKUP(B554,'Outcome Indicators - Section C '!$A$9:$AC$70,29,FALSE),"")</f>
        <v>HIV O-16b Percentage of transgender people who avoid health care because of stigma and discrimination</v>
      </c>
      <c r="D554" s="574" t="str">
        <f ca="1">M554</f>
        <v/>
      </c>
      <c r="E554" s="574" t="str">
        <f ca="1">N554</f>
        <v/>
      </c>
      <c r="F554" s="127"/>
      <c r="G554" s="576" t="str">
        <f ca="1">IF(OR(INDIRECT("'update Helper'!E"&amp;Q554)="",F554&lt;&gt;0,F555&lt;&gt;0),IF(IFERROR((F554/F555),"")="","",(F554/F555)),INDIRECT("'update Helper'!E"&amp;Q554)/100)</f>
        <v/>
      </c>
      <c r="H554" s="539"/>
      <c r="I554" s="578"/>
      <c r="J554" s="532"/>
      <c r="K554" s="126">
        <f ca="1">IF(AND(EXACT(C554,C552),C552&lt;&gt;0),K552+1,0)</f>
        <v>9</v>
      </c>
      <c r="L554" s="126" t="str">
        <f ca="1">IF(C554&lt;&gt;"",C554&amp;"-"&amp;K554,"")</f>
        <v>HIV O-16b Percentage of transgender people who avoid health care because of stigma and discrimination-9</v>
      </c>
      <c r="M554" s="126" t="str">
        <f t="array" aca="1" ref="M554" ca="1">IFERROR(IF(INDEX('Disaggregation Records'!$E$83:$E$153,MATCH(RIGHT(L554,255),RIGHT('Disaggregation Records'!$D$83:$D$153,255),0))="","",INDEX('Disaggregation Records'!$E$83:$E$153,MATCH(RIGHT(L554,255),RIGHT('Disaggregation Records'!$D$83:$D$153,255),0))),"")</f>
        <v/>
      </c>
      <c r="N554" s="126" t="str">
        <f t="array" aca="1" ref="N554" ca="1">IFERROR(IF(INDEX('Disaggregation Records'!$F$83:$F$153,MATCH(RIGHT(L554,255),RIGHT('Disaggregation Records'!$D$83:$D$153,255),0))="","",INDEX('Disaggregation Records'!$F$83:$F$153,MATCH(RIGHT(L554,255),RIGHT('Disaggregation Records'!$D$83:$D$153,255),0))),"")</f>
        <v/>
      </c>
      <c r="O554" s="314" t="str">
        <f t="array" aca="1" ref="O554" ca="1">IFERROR(IF(INDEX('Disaggregation Records'!$H$83:$H$153,MATCH(RIGHT(L554,255),RIGHT('Disaggregation Records'!$D$83:$D$153,255),0))="","",INDEX('Disaggregation Records'!$H$83:$H$153,MATCH(RIGHT(L554,255),RIGHT('Disaggregation Records'!$D$83:$D$153,255),0))),"")</f>
        <v/>
      </c>
      <c r="P554" s="314"/>
      <c r="Q554" s="310">
        <f t="shared" ref="Q554" si="723">Q552+1</f>
        <v>1123</v>
      </c>
      <c r="R554" s="314" t="str" cm="1">
        <f t="array" aca="1" ref="R554" ca="1">IFERROR(IF(INDEX('Disaggregation Records'!$G$83:$G$153,MATCH(RIGHT(L554,255),RIGHT('Disaggregation Records'!$D$83:$D$153,255),0))="","",INDEX('Disaggregation Records'!$G$83:$G$153,MATCH(RIGHT(L554,255),RIGHT('Disaggregation Records'!$D$83:$D$153,255),0))),"")</f>
        <v/>
      </c>
    </row>
    <row r="555" spans="1:18" ht="20.100000000000001" customHeight="1">
      <c r="B555" s="571"/>
      <c r="C555" s="573"/>
      <c r="D555" s="575"/>
      <c r="E555" s="575"/>
      <c r="F555" s="128"/>
      <c r="G555" s="577"/>
      <c r="H555" s="540"/>
      <c r="I555" s="579"/>
      <c r="J555" s="533"/>
      <c r="K555" s="126"/>
      <c r="L555" s="126"/>
      <c r="M555" s="126"/>
      <c r="N555" s="126"/>
      <c r="O555" s="314"/>
      <c r="P555" s="314"/>
      <c r="Q555" s="310"/>
      <c r="R555" s="314" t="str" cm="1">
        <f t="array" ref="R555">IFERROR(IF(INDEX('Disaggregation Records'!$G$83:$G$153,MATCH(RIGHT(L555,255),RIGHT('Disaggregation Records'!$D$83:$D$153,255),0))="","",INDEX('Disaggregation Records'!$G$83:$G$153,MATCH(RIGHT(L555,255),RIGHT('Disaggregation Records'!$D$83:$D$153,255),0))),"")</f>
        <v/>
      </c>
    </row>
    <row r="556" spans="1:18" ht="20.100000000000001" customHeight="1">
      <c r="A556" s="126" t="str">
        <f t="shared" ref="A556" ca="1" si="724">INDIRECT("'update Helper'!C"&amp;Q556)</f>
        <v>a1VDm000000PgBjMAK</v>
      </c>
      <c r="B556" s="570">
        <v>13</v>
      </c>
      <c r="C556" s="572" t="str">
        <f ca="1">IFERROR(VLOOKUP(B556,'Outcome Indicators - Section C '!$A$9:$AC$70,29,FALSE),"")</f>
        <v>HIV O-16c Percentage of sex workers who avoid health care because of stigma and discrimination</v>
      </c>
      <c r="D556" s="574" t="str">
        <f ca="1">M556</f>
        <v>Age</v>
      </c>
      <c r="E556" s="574" t="str">
        <f ca="1">N556</f>
        <v>25+</v>
      </c>
      <c r="F556" s="127"/>
      <c r="G556" s="576" t="str">
        <f ca="1">IF(OR(INDIRECT("'update Helper'!E"&amp;Q556)="",F556&lt;&gt;0,F557&lt;&gt;0),IF(IFERROR((F556/F557),"")="","",(F556/F557)),INDIRECT("'update Helper'!E"&amp;Q556)/100)</f>
        <v/>
      </c>
      <c r="H556" s="539"/>
      <c r="I556" s="578"/>
      <c r="J556" s="532"/>
      <c r="K556" s="126">
        <f ca="1">IF(AND(EXACT(C556,C554),C554&lt;&gt;0),K554+1,0)</f>
        <v>0</v>
      </c>
      <c r="L556" s="126" t="str">
        <f ca="1">IF(C556&lt;&gt;"",C556&amp;"-"&amp;K556,"")</f>
        <v>HIV O-16c Percentage of sex workers who avoid health care because of stigma and discrimination-0</v>
      </c>
      <c r="M556" s="126" t="str">
        <f t="array" aca="1" ref="M556" ca="1">IFERROR(IF(INDEX('Disaggregation Records'!$E$83:$E$153,MATCH(RIGHT(L556,255),RIGHT('Disaggregation Records'!$D$83:$D$153,255),0))="","",INDEX('Disaggregation Records'!$E$83:$E$153,MATCH(RIGHT(L556,255),RIGHT('Disaggregation Records'!$D$83:$D$153,255),0))),"")</f>
        <v>Age</v>
      </c>
      <c r="N556" s="126" t="str">
        <f t="array" aca="1" ref="N556" ca="1">IFERROR(IF(INDEX('Disaggregation Records'!$F$83:$F$153,MATCH(RIGHT(L556,255),RIGHT('Disaggregation Records'!$D$83:$D$153,255),0))="","",INDEX('Disaggregation Records'!$F$83:$F$153,MATCH(RIGHT(L556,255),RIGHT('Disaggregation Records'!$D$83:$D$153,255),0))),"")</f>
        <v>25+</v>
      </c>
      <c r="O556" s="314" t="str">
        <f t="array" aca="1" ref="O556" ca="1">IFERROR(IF(INDEX('Disaggregation Records'!$H$83:$H$153,MATCH(RIGHT(L556,255),RIGHT('Disaggregation Records'!$D$83:$D$153,255),0))="","",INDEX('Disaggregation Records'!$H$83:$H$153,MATCH(RIGHT(L556,255),RIGHT('Disaggregation Records'!$D$83:$D$153,255),0))),"")</f>
        <v>IDR-01131</v>
      </c>
      <c r="P556" s="314"/>
      <c r="Q556" s="310">
        <f t="shared" ref="Q556" si="725">Q554+1</f>
        <v>1124</v>
      </c>
      <c r="R556" s="314" t="str" cm="1">
        <f t="array" aca="1" ref="R556" ca="1">IFERROR(IF(INDEX('Disaggregation Records'!$G$83:$G$153,MATCH(RIGHT(L556,255),RIGHT('Disaggregation Records'!$D$83:$D$153,255),0))="","",INDEX('Disaggregation Records'!$G$83:$G$153,MATCH(RIGHT(L556,255),RIGHT('Disaggregation Records'!$D$83:$D$153,255),0))),"")</f>
        <v>a1LDm000000Cb0zMAC</v>
      </c>
    </row>
    <row r="557" spans="1:18" ht="20.100000000000001" customHeight="1">
      <c r="A557" s="126"/>
      <c r="B557" s="571"/>
      <c r="C557" s="573"/>
      <c r="D557" s="575"/>
      <c r="E557" s="575"/>
      <c r="F557" s="128"/>
      <c r="G557" s="577"/>
      <c r="H557" s="540"/>
      <c r="I557" s="579"/>
      <c r="J557" s="533"/>
      <c r="K557" s="126"/>
      <c r="L557" s="126"/>
      <c r="M557" s="126"/>
      <c r="N557" s="126"/>
      <c r="O557" s="314"/>
      <c r="P557" s="314"/>
      <c r="Q557" s="310"/>
      <c r="R557" s="314" t="str" cm="1">
        <f t="array" ref="R557">IFERROR(IF(INDEX('Disaggregation Records'!$G$83:$G$153,MATCH(RIGHT(L557,255),RIGHT('Disaggregation Records'!$D$83:$D$153,255),0))="","",INDEX('Disaggregation Records'!$G$83:$G$153,MATCH(RIGHT(L557,255),RIGHT('Disaggregation Records'!$D$83:$D$153,255),0))),"")</f>
        <v/>
      </c>
    </row>
    <row r="558" spans="1:18" ht="20.100000000000001" customHeight="1">
      <c r="A558" s="126" t="str">
        <f t="shared" ref="A558" ca="1" si="726">INDIRECT("'update Helper'!C"&amp;Q558)</f>
        <v>a1VDm000000PgBkMAK</v>
      </c>
      <c r="B558" s="570">
        <v>13</v>
      </c>
      <c r="C558" s="572" t="str">
        <f ca="1">IFERROR(VLOOKUP(B558,'Outcome Indicators - Section C '!$A$9:$AC$70,29,FALSE),"")</f>
        <v>HIV O-16c Percentage of sex workers who avoid health care because of stigma and discrimination</v>
      </c>
      <c r="D558" s="574" t="str">
        <f ca="1">M558</f>
        <v>Age</v>
      </c>
      <c r="E558" s="574" t="str">
        <f ca="1">N558</f>
        <v>&lt;25</v>
      </c>
      <c r="F558" s="127"/>
      <c r="G558" s="576" t="str">
        <f ca="1">IF(OR(INDIRECT("'update Helper'!E"&amp;Q558)="",F558&lt;&gt;0,F559&lt;&gt;0),IF(IFERROR((F558/F559),"")="","",(F558/F559)),INDIRECT("'update Helper'!E"&amp;Q558)/100)</f>
        <v/>
      </c>
      <c r="H558" s="539"/>
      <c r="I558" s="578"/>
      <c r="J558" s="532"/>
      <c r="K558" s="126">
        <f ca="1">IF(AND(EXACT(C558,C556),C556&lt;&gt;0),K556+1,0)</f>
        <v>1</v>
      </c>
      <c r="L558" s="126" t="str">
        <f ca="1">IF(C558&lt;&gt;"",C558&amp;"-"&amp;K558,"")</f>
        <v>HIV O-16c Percentage of sex workers who avoid health care because of stigma and discrimination-1</v>
      </c>
      <c r="M558" s="126" t="str">
        <f t="array" aca="1" ref="M558" ca="1">IFERROR(IF(INDEX('Disaggregation Records'!$E$83:$E$153,MATCH(RIGHT(L558,255),RIGHT('Disaggregation Records'!$D$83:$D$153,255),0))="","",INDEX('Disaggregation Records'!$E$83:$E$153,MATCH(RIGHT(L558,255),RIGHT('Disaggregation Records'!$D$83:$D$153,255),0))),"")</f>
        <v>Age</v>
      </c>
      <c r="N558" s="126" t="str">
        <f t="array" aca="1" ref="N558" ca="1">IFERROR(IF(INDEX('Disaggregation Records'!$F$83:$F$153,MATCH(RIGHT(L558,255),RIGHT('Disaggregation Records'!$D$83:$D$153,255),0))="","",INDEX('Disaggregation Records'!$F$83:$F$153,MATCH(RIGHT(L558,255),RIGHT('Disaggregation Records'!$D$83:$D$153,255),0))),"")</f>
        <v>&lt;25</v>
      </c>
      <c r="O558" s="314" t="str">
        <f t="array" aca="1" ref="O558" ca="1">IFERROR(IF(INDEX('Disaggregation Records'!$H$83:$H$153,MATCH(RIGHT(L558,255),RIGHT('Disaggregation Records'!$D$83:$D$153,255),0))="","",INDEX('Disaggregation Records'!$H$83:$H$153,MATCH(RIGHT(L558,255),RIGHT('Disaggregation Records'!$D$83:$D$153,255),0))),"")</f>
        <v>IDR-01130</v>
      </c>
      <c r="P558" s="314"/>
      <c r="Q558" s="310">
        <f t="shared" ref="Q558" si="727">Q556+1</f>
        <v>1125</v>
      </c>
      <c r="R558" s="314" t="str" cm="1">
        <f t="array" aca="1" ref="R558" ca="1">IFERROR(IF(INDEX('Disaggregation Records'!$G$83:$G$153,MATCH(RIGHT(L558,255),RIGHT('Disaggregation Records'!$D$83:$D$153,255),0))="","",INDEX('Disaggregation Records'!$G$83:$G$153,MATCH(RIGHT(L558,255),RIGHT('Disaggregation Records'!$D$83:$D$153,255),0))),"")</f>
        <v>a1LDm000000Cb0yMAC</v>
      </c>
    </row>
    <row r="559" spans="1:18" ht="20.100000000000001" customHeight="1">
      <c r="B559" s="571"/>
      <c r="C559" s="573"/>
      <c r="D559" s="575"/>
      <c r="E559" s="575"/>
      <c r="F559" s="128"/>
      <c r="G559" s="577"/>
      <c r="H559" s="540"/>
      <c r="I559" s="579"/>
      <c r="J559" s="533"/>
      <c r="K559" s="126"/>
      <c r="L559" s="126"/>
      <c r="M559" s="126"/>
      <c r="N559" s="126"/>
      <c r="O559" s="314"/>
      <c r="P559" s="314"/>
      <c r="Q559" s="310"/>
      <c r="R559" s="314" t="str" cm="1">
        <f t="array" ref="R559">IFERROR(IF(INDEX('Disaggregation Records'!$G$83:$G$153,MATCH(RIGHT(L559,255),RIGHT('Disaggregation Records'!$D$83:$D$153,255),0))="","",INDEX('Disaggregation Records'!$G$83:$G$153,MATCH(RIGHT(L559,255),RIGHT('Disaggregation Records'!$D$83:$D$153,255),0))),"")</f>
        <v/>
      </c>
    </row>
    <row r="560" spans="1:18" ht="20.100000000000001" customHeight="1">
      <c r="A560" s="126" t="str">
        <f t="shared" ref="A560" ca="1" si="728">INDIRECT("'update Helper'!C"&amp;Q560)</f>
        <v>a1VDm000000PgBlMAK</v>
      </c>
      <c r="B560" s="570">
        <v>13</v>
      </c>
      <c r="C560" s="572" t="str">
        <f ca="1">IFERROR(VLOOKUP(B560,'Outcome Indicators - Section C '!$A$9:$AC$70,29,FALSE),"")</f>
        <v>HIV O-16c Percentage of sex workers who avoid health care because of stigma and discrimination</v>
      </c>
      <c r="D560" s="574" t="str">
        <f ca="1">M560</f>
        <v>Gender</v>
      </c>
      <c r="E560" s="574" t="str">
        <f ca="1">N560</f>
        <v>Transgender</v>
      </c>
      <c r="F560" s="127"/>
      <c r="G560" s="576" t="str">
        <f ca="1">IF(OR(INDIRECT("'update Helper'!E"&amp;Q560)="",F560&lt;&gt;0,F561&lt;&gt;0),IF(IFERROR((F560/F561),"")="","",(F560/F561)),INDIRECT("'update Helper'!E"&amp;Q560)/100)</f>
        <v/>
      </c>
      <c r="H560" s="539"/>
      <c r="I560" s="578"/>
      <c r="J560" s="532"/>
      <c r="K560" s="126">
        <f ca="1">IF(AND(EXACT(C560,C558),C558&lt;&gt;0),K558+1,0)</f>
        <v>2</v>
      </c>
      <c r="L560" s="126" t="str">
        <f ca="1">IF(C560&lt;&gt;"",C560&amp;"-"&amp;K560,"")</f>
        <v>HIV O-16c Percentage of sex workers who avoid health care because of stigma and discrimination-2</v>
      </c>
      <c r="M560" s="126" t="str">
        <f t="array" aca="1" ref="M560" ca="1">IFERROR(IF(INDEX('Disaggregation Records'!$E$83:$E$153,MATCH(RIGHT(L560,255),RIGHT('Disaggregation Records'!$D$83:$D$153,255),0))="","",INDEX('Disaggregation Records'!$E$83:$E$153,MATCH(RIGHT(L560,255),RIGHT('Disaggregation Records'!$D$83:$D$153,255),0))),"")</f>
        <v>Gender</v>
      </c>
      <c r="N560" s="126" t="str">
        <f t="array" aca="1" ref="N560" ca="1">IFERROR(IF(INDEX('Disaggregation Records'!$F$83:$F$153,MATCH(RIGHT(L560,255),RIGHT('Disaggregation Records'!$D$83:$D$153,255),0))="","",INDEX('Disaggregation Records'!$F$83:$F$153,MATCH(RIGHT(L560,255),RIGHT('Disaggregation Records'!$D$83:$D$153,255),0))),"")</f>
        <v>Transgender</v>
      </c>
      <c r="O560" s="314" t="str">
        <f t="array" aca="1" ref="O560" ca="1">IFERROR(IF(INDEX('Disaggregation Records'!$H$83:$H$153,MATCH(RIGHT(L560,255),RIGHT('Disaggregation Records'!$D$83:$D$153,255),0))="","",INDEX('Disaggregation Records'!$H$83:$H$153,MATCH(RIGHT(L560,255),RIGHT('Disaggregation Records'!$D$83:$D$153,255),0))),"")</f>
        <v>IDR-01129</v>
      </c>
      <c r="P560" s="314"/>
      <c r="Q560" s="310">
        <f t="shared" ref="Q560" si="729">Q558+1</f>
        <v>1126</v>
      </c>
      <c r="R560" s="314" t="str" cm="1">
        <f t="array" aca="1" ref="R560" ca="1">IFERROR(IF(INDEX('Disaggregation Records'!$G$83:$G$153,MATCH(RIGHT(L560,255),RIGHT('Disaggregation Records'!$D$83:$D$153,255),0))="","",INDEX('Disaggregation Records'!$G$83:$G$153,MATCH(RIGHT(L560,255),RIGHT('Disaggregation Records'!$D$83:$D$153,255),0))),"")</f>
        <v>a1LDm000000Cb0xMAC</v>
      </c>
    </row>
    <row r="561" spans="1:18" ht="20.100000000000001" customHeight="1">
      <c r="A561" s="126"/>
      <c r="B561" s="571"/>
      <c r="C561" s="573"/>
      <c r="D561" s="575"/>
      <c r="E561" s="575"/>
      <c r="F561" s="128"/>
      <c r="G561" s="577"/>
      <c r="H561" s="540"/>
      <c r="I561" s="579"/>
      <c r="J561" s="533"/>
      <c r="K561" s="126"/>
      <c r="L561" s="126"/>
      <c r="M561" s="126"/>
      <c r="N561" s="126"/>
      <c r="O561" s="314"/>
      <c r="P561" s="314"/>
      <c r="Q561" s="310"/>
      <c r="R561" s="314" t="str" cm="1">
        <f t="array" ref="R561">IFERROR(IF(INDEX('Disaggregation Records'!$G$83:$G$153,MATCH(RIGHT(L561,255),RIGHT('Disaggregation Records'!$D$83:$D$153,255),0))="","",INDEX('Disaggregation Records'!$G$83:$G$153,MATCH(RIGHT(L561,255),RIGHT('Disaggregation Records'!$D$83:$D$153,255),0))),"")</f>
        <v/>
      </c>
    </row>
    <row r="562" spans="1:18" ht="20.100000000000001" customHeight="1">
      <c r="A562" s="126" t="str">
        <f t="shared" ref="A562" ca="1" si="730">INDIRECT("'update Helper'!C"&amp;Q562)</f>
        <v>a1VDm000000PgBmMAK</v>
      </c>
      <c r="B562" s="570">
        <v>13</v>
      </c>
      <c r="C562" s="572" t="str">
        <f ca="1">IFERROR(VLOOKUP(B562,'Outcome Indicators - Section C '!$A$9:$AC$70,29,FALSE),"")</f>
        <v>HIV O-16c Percentage of sex workers who avoid health care because of stigma and discrimination</v>
      </c>
      <c r="D562" s="574" t="str">
        <f ca="1">M562</f>
        <v>Gender</v>
      </c>
      <c r="E562" s="574" t="str">
        <f ca="1">N562</f>
        <v>Male</v>
      </c>
      <c r="F562" s="127"/>
      <c r="G562" s="576" t="str">
        <f ca="1">IF(OR(INDIRECT("'update Helper'!E"&amp;Q562)="",F562&lt;&gt;0,F563&lt;&gt;0),IF(IFERROR((F562/F563),"")="","",(F562/F563)),INDIRECT("'update Helper'!E"&amp;Q562)/100)</f>
        <v/>
      </c>
      <c r="H562" s="539"/>
      <c r="I562" s="578"/>
      <c r="J562" s="532"/>
      <c r="K562" s="126">
        <f ca="1">IF(AND(EXACT(C562,C560),C560&lt;&gt;0),K560+1,0)</f>
        <v>3</v>
      </c>
      <c r="L562" s="126" t="str">
        <f ca="1">IF(C562&lt;&gt;"",C562&amp;"-"&amp;K562,"")</f>
        <v>HIV O-16c Percentage of sex workers who avoid health care because of stigma and discrimination-3</v>
      </c>
      <c r="M562" s="126" t="str">
        <f t="array" aca="1" ref="M562" ca="1">IFERROR(IF(INDEX('Disaggregation Records'!$E$83:$E$153,MATCH(RIGHT(L562,255),RIGHT('Disaggregation Records'!$D$83:$D$153,255),0))="","",INDEX('Disaggregation Records'!$E$83:$E$153,MATCH(RIGHT(L562,255),RIGHT('Disaggregation Records'!$D$83:$D$153,255),0))),"")</f>
        <v>Gender</v>
      </c>
      <c r="N562" s="126" t="str">
        <f t="array" aca="1" ref="N562" ca="1">IFERROR(IF(INDEX('Disaggregation Records'!$F$83:$F$153,MATCH(RIGHT(L562,255),RIGHT('Disaggregation Records'!$D$83:$D$153,255),0))="","",INDEX('Disaggregation Records'!$F$83:$F$153,MATCH(RIGHT(L562,255),RIGHT('Disaggregation Records'!$D$83:$D$153,255),0))),"")</f>
        <v>Male</v>
      </c>
      <c r="O562" s="314" t="str">
        <f t="array" aca="1" ref="O562" ca="1">IFERROR(IF(INDEX('Disaggregation Records'!$H$83:$H$153,MATCH(RIGHT(L562,255),RIGHT('Disaggregation Records'!$D$83:$D$153,255),0))="","",INDEX('Disaggregation Records'!$H$83:$H$153,MATCH(RIGHT(L562,255),RIGHT('Disaggregation Records'!$D$83:$D$153,255),0))),"")</f>
        <v>IDR-01128</v>
      </c>
      <c r="P562" s="314"/>
      <c r="Q562" s="310">
        <f t="shared" ref="Q562" si="731">Q560+1</f>
        <v>1127</v>
      </c>
      <c r="R562" s="314" t="str" cm="1">
        <f t="array" aca="1" ref="R562" ca="1">IFERROR(IF(INDEX('Disaggregation Records'!$G$83:$G$153,MATCH(RIGHT(L562,255),RIGHT('Disaggregation Records'!$D$83:$D$153,255),0))="","",INDEX('Disaggregation Records'!$G$83:$G$153,MATCH(RIGHT(L562,255),RIGHT('Disaggregation Records'!$D$83:$D$153,255),0))),"")</f>
        <v>a1LDm000000Cb0wMAC</v>
      </c>
    </row>
    <row r="563" spans="1:18" ht="20.100000000000001" customHeight="1">
      <c r="B563" s="571"/>
      <c r="C563" s="573"/>
      <c r="D563" s="575"/>
      <c r="E563" s="575"/>
      <c r="F563" s="128"/>
      <c r="G563" s="577"/>
      <c r="H563" s="540"/>
      <c r="I563" s="579"/>
      <c r="J563" s="533"/>
      <c r="K563" s="126"/>
      <c r="L563" s="126"/>
      <c r="M563" s="126"/>
      <c r="N563" s="126"/>
      <c r="O563" s="314"/>
      <c r="P563" s="314"/>
      <c r="Q563" s="310"/>
      <c r="R563" s="314" t="str" cm="1">
        <f t="array" ref="R563">IFERROR(IF(INDEX('Disaggregation Records'!$G$83:$G$153,MATCH(RIGHT(L563,255),RIGHT('Disaggregation Records'!$D$83:$D$153,255),0))="","",INDEX('Disaggregation Records'!$G$83:$G$153,MATCH(RIGHT(L563,255),RIGHT('Disaggregation Records'!$D$83:$D$153,255),0))),"")</f>
        <v/>
      </c>
    </row>
    <row r="564" spans="1:18" ht="20.100000000000001" customHeight="1">
      <c r="A564" s="126" t="str">
        <f t="shared" ref="A564" ca="1" si="732">INDIRECT("'update Helper'!C"&amp;Q564)</f>
        <v>a1VDm000000PgBnMAK</v>
      </c>
      <c r="B564" s="570">
        <v>13</v>
      </c>
      <c r="C564" s="572" t="str">
        <f ca="1">IFERROR(VLOOKUP(B564,'Outcome Indicators - Section C '!$A$9:$AC$70,29,FALSE),"")</f>
        <v>HIV O-16c Percentage of sex workers who avoid health care because of stigma and discrimination</v>
      </c>
      <c r="D564" s="574" t="str">
        <f ca="1">M564</f>
        <v>Gender</v>
      </c>
      <c r="E564" s="574" t="str">
        <f ca="1">N564</f>
        <v>Female</v>
      </c>
      <c r="F564" s="127"/>
      <c r="G564" s="576" t="str">
        <f ca="1">IF(OR(INDIRECT("'update Helper'!E"&amp;Q564)="",F564&lt;&gt;0,F565&lt;&gt;0),IF(IFERROR((F564/F565),"")="","",(F564/F565)),INDIRECT("'update Helper'!E"&amp;Q564)/100)</f>
        <v/>
      </c>
      <c r="H564" s="539"/>
      <c r="I564" s="578"/>
      <c r="J564" s="532"/>
      <c r="K564" s="126">
        <f ca="1">IF(AND(EXACT(C564,C562),C562&lt;&gt;0),K562+1,0)</f>
        <v>4</v>
      </c>
      <c r="L564" s="126" t="str">
        <f ca="1">IF(C564&lt;&gt;"",C564&amp;"-"&amp;K564,"")</f>
        <v>HIV O-16c Percentage of sex workers who avoid health care because of stigma and discrimination-4</v>
      </c>
      <c r="M564" s="126" t="str">
        <f t="array" aca="1" ref="M564" ca="1">IFERROR(IF(INDEX('Disaggregation Records'!$E$83:$E$153,MATCH(RIGHT(L564,255),RIGHT('Disaggregation Records'!$D$83:$D$153,255),0))="","",INDEX('Disaggregation Records'!$E$83:$E$153,MATCH(RIGHT(L564,255),RIGHT('Disaggregation Records'!$D$83:$D$153,255),0))),"")</f>
        <v>Gender</v>
      </c>
      <c r="N564" s="126" t="str">
        <f t="array" aca="1" ref="N564" ca="1">IFERROR(IF(INDEX('Disaggregation Records'!$F$83:$F$153,MATCH(RIGHT(L564,255),RIGHT('Disaggregation Records'!$D$83:$D$153,255),0))="","",INDEX('Disaggregation Records'!$F$83:$F$153,MATCH(RIGHT(L564,255),RIGHT('Disaggregation Records'!$D$83:$D$153,255),0))),"")</f>
        <v>Female</v>
      </c>
      <c r="O564" s="314" t="str">
        <f t="array" aca="1" ref="O564" ca="1">IFERROR(IF(INDEX('Disaggregation Records'!$H$83:$H$153,MATCH(RIGHT(L564,255),RIGHT('Disaggregation Records'!$D$83:$D$153,255),0))="","",INDEX('Disaggregation Records'!$H$83:$H$153,MATCH(RIGHT(L564,255),RIGHT('Disaggregation Records'!$D$83:$D$153,255),0))),"")</f>
        <v>IDR-01127</v>
      </c>
      <c r="P564" s="314"/>
      <c r="Q564" s="310">
        <f t="shared" ref="Q564" si="733">Q562+1</f>
        <v>1128</v>
      </c>
      <c r="R564" s="314" t="str" cm="1">
        <f t="array" aca="1" ref="R564" ca="1">IFERROR(IF(INDEX('Disaggregation Records'!$G$83:$G$153,MATCH(RIGHT(L564,255),RIGHT('Disaggregation Records'!$D$83:$D$153,255),0))="","",INDEX('Disaggregation Records'!$G$83:$G$153,MATCH(RIGHT(L564,255),RIGHT('Disaggregation Records'!$D$83:$D$153,255),0))),"")</f>
        <v>a1LDm000000Cb0vMAC</v>
      </c>
    </row>
    <row r="565" spans="1:18" ht="20.100000000000001" customHeight="1">
      <c r="A565" s="126"/>
      <c r="B565" s="571"/>
      <c r="C565" s="573"/>
      <c r="D565" s="575"/>
      <c r="E565" s="575"/>
      <c r="F565" s="128"/>
      <c r="G565" s="577"/>
      <c r="H565" s="540"/>
      <c r="I565" s="579"/>
      <c r="J565" s="533"/>
      <c r="K565" s="126"/>
      <c r="L565" s="126"/>
      <c r="M565" s="126"/>
      <c r="N565" s="126"/>
      <c r="O565" s="314"/>
      <c r="P565" s="314"/>
      <c r="Q565" s="310"/>
      <c r="R565" s="314" t="str" cm="1">
        <f t="array" ref="R565">IFERROR(IF(INDEX('Disaggregation Records'!$G$83:$G$153,MATCH(RIGHT(L565,255),RIGHT('Disaggregation Records'!$D$83:$D$153,255),0))="","",INDEX('Disaggregation Records'!$G$83:$G$153,MATCH(RIGHT(L565,255),RIGHT('Disaggregation Records'!$D$83:$D$153,255),0))),"")</f>
        <v/>
      </c>
    </row>
    <row r="566" spans="1:18" ht="20.100000000000001" customHeight="1">
      <c r="A566" s="126" t="str">
        <f t="shared" ref="A566" ca="1" si="734">INDIRECT("'update Helper'!C"&amp;Q566)</f>
        <v>a1VDm000000PgBoMAK</v>
      </c>
      <c r="B566" s="570">
        <v>13</v>
      </c>
      <c r="C566" s="572" t="str">
        <f ca="1">IFERROR(VLOOKUP(B566,'Outcome Indicators - Section C '!$A$9:$AC$70,29,FALSE),"")</f>
        <v>HIV O-16c Percentage of sex workers who avoid health care because of stigma and discrimination</v>
      </c>
      <c r="D566" s="574" t="str">
        <f ca="1">M566</f>
        <v/>
      </c>
      <c r="E566" s="574" t="str">
        <f ca="1">N566</f>
        <v/>
      </c>
      <c r="F566" s="127"/>
      <c r="G566" s="576" t="str">
        <f ca="1">IF(OR(INDIRECT("'update Helper'!E"&amp;Q566)="",F566&lt;&gt;0,F567&lt;&gt;0),IF(IFERROR((F566/F567),"")="","",(F566/F567)),INDIRECT("'update Helper'!E"&amp;Q566)/100)</f>
        <v/>
      </c>
      <c r="H566" s="539"/>
      <c r="I566" s="578"/>
      <c r="J566" s="532"/>
      <c r="K566" s="126">
        <f ca="1">IF(AND(EXACT(C566,C564),C564&lt;&gt;0),K564+1,0)</f>
        <v>5</v>
      </c>
      <c r="L566" s="126" t="str">
        <f ca="1">IF(C566&lt;&gt;"",C566&amp;"-"&amp;K566,"")</f>
        <v>HIV O-16c Percentage of sex workers who avoid health care because of stigma and discrimination-5</v>
      </c>
      <c r="M566" s="126" t="str">
        <f t="array" aca="1" ref="M566" ca="1">IFERROR(IF(INDEX('Disaggregation Records'!$E$83:$E$153,MATCH(RIGHT(L566,255),RIGHT('Disaggregation Records'!$D$83:$D$153,255),0))="","",INDEX('Disaggregation Records'!$E$83:$E$153,MATCH(RIGHT(L566,255),RIGHT('Disaggregation Records'!$D$83:$D$153,255),0))),"")</f>
        <v/>
      </c>
      <c r="N566" s="126" t="str">
        <f t="array" aca="1" ref="N566" ca="1">IFERROR(IF(INDEX('Disaggregation Records'!$F$83:$F$153,MATCH(RIGHT(L566,255),RIGHT('Disaggregation Records'!$D$83:$D$153,255),0))="","",INDEX('Disaggregation Records'!$F$83:$F$153,MATCH(RIGHT(L566,255),RIGHT('Disaggregation Records'!$D$83:$D$153,255),0))),"")</f>
        <v/>
      </c>
      <c r="O566" s="314" t="str">
        <f t="array" aca="1" ref="O566" ca="1">IFERROR(IF(INDEX('Disaggregation Records'!$H$83:$H$153,MATCH(RIGHT(L566,255),RIGHT('Disaggregation Records'!$D$83:$D$153,255),0))="","",INDEX('Disaggregation Records'!$H$83:$H$153,MATCH(RIGHT(L566,255),RIGHT('Disaggregation Records'!$D$83:$D$153,255),0))),"")</f>
        <v/>
      </c>
      <c r="P566" s="314"/>
      <c r="Q566" s="310">
        <f t="shared" ref="Q566" si="735">Q564+1</f>
        <v>1129</v>
      </c>
      <c r="R566" s="314" t="str" cm="1">
        <f t="array" aca="1" ref="R566" ca="1">IFERROR(IF(INDEX('Disaggregation Records'!$G$83:$G$153,MATCH(RIGHT(L566,255),RIGHT('Disaggregation Records'!$D$83:$D$153,255),0))="","",INDEX('Disaggregation Records'!$G$83:$G$153,MATCH(RIGHT(L566,255),RIGHT('Disaggregation Records'!$D$83:$D$153,255),0))),"")</f>
        <v/>
      </c>
    </row>
    <row r="567" spans="1:18" ht="20.100000000000001" customHeight="1">
      <c r="B567" s="571"/>
      <c r="C567" s="573"/>
      <c r="D567" s="575"/>
      <c r="E567" s="575"/>
      <c r="F567" s="128"/>
      <c r="G567" s="577"/>
      <c r="H567" s="540"/>
      <c r="I567" s="579"/>
      <c r="J567" s="533"/>
      <c r="K567" s="126"/>
      <c r="L567" s="126"/>
      <c r="M567" s="126"/>
      <c r="N567" s="126"/>
      <c r="O567" s="314"/>
      <c r="P567" s="314"/>
      <c r="Q567" s="310"/>
      <c r="R567" s="314" t="str" cm="1">
        <f t="array" ref="R567">IFERROR(IF(INDEX('Disaggregation Records'!$G$83:$G$153,MATCH(RIGHT(L567,255),RIGHT('Disaggregation Records'!$D$83:$D$153,255),0))="","",INDEX('Disaggregation Records'!$G$83:$G$153,MATCH(RIGHT(L567,255),RIGHT('Disaggregation Records'!$D$83:$D$153,255),0))),"")</f>
        <v/>
      </c>
    </row>
    <row r="568" spans="1:18" ht="20.100000000000001" customHeight="1">
      <c r="A568" s="126" t="str">
        <f t="shared" ref="A568" ca="1" si="736">INDIRECT("'update Helper'!C"&amp;Q568)</f>
        <v>a1VDm000000PgBpMAK</v>
      </c>
      <c r="B568" s="570">
        <v>13</v>
      </c>
      <c r="C568" s="572" t="str">
        <f ca="1">IFERROR(VLOOKUP(B568,'Outcome Indicators - Section C '!$A$9:$AC$70,29,FALSE),"")</f>
        <v>HIV O-16c Percentage of sex workers who avoid health care because of stigma and discrimination</v>
      </c>
      <c r="D568" s="574" t="str">
        <f ca="1">M568</f>
        <v/>
      </c>
      <c r="E568" s="574" t="str">
        <f ca="1">N568</f>
        <v/>
      </c>
      <c r="F568" s="127"/>
      <c r="G568" s="576" t="str">
        <f ca="1">IF(OR(INDIRECT("'update Helper'!E"&amp;Q568)="",F568&lt;&gt;0,F569&lt;&gt;0),IF(IFERROR((F568/F569),"")="","",(F568/F569)),INDIRECT("'update Helper'!E"&amp;Q568)/100)</f>
        <v/>
      </c>
      <c r="H568" s="539"/>
      <c r="I568" s="578"/>
      <c r="J568" s="532"/>
      <c r="K568" s="126">
        <f ca="1">IF(AND(EXACT(C568,C566),C566&lt;&gt;0),K566+1,0)</f>
        <v>6</v>
      </c>
      <c r="L568" s="126" t="str">
        <f ca="1">IF(C568&lt;&gt;"",C568&amp;"-"&amp;K568,"")</f>
        <v>HIV O-16c Percentage of sex workers who avoid health care because of stigma and discrimination-6</v>
      </c>
      <c r="M568" s="126" t="str">
        <f t="array" aca="1" ref="M568" ca="1">IFERROR(IF(INDEX('Disaggregation Records'!$E$83:$E$153,MATCH(RIGHT(L568,255),RIGHT('Disaggregation Records'!$D$83:$D$153,255),0))="","",INDEX('Disaggregation Records'!$E$83:$E$153,MATCH(RIGHT(L568,255),RIGHT('Disaggregation Records'!$D$83:$D$153,255),0))),"")</f>
        <v/>
      </c>
      <c r="N568" s="126" t="str">
        <f t="array" aca="1" ref="N568" ca="1">IFERROR(IF(INDEX('Disaggregation Records'!$F$83:$F$153,MATCH(RIGHT(L568,255),RIGHT('Disaggregation Records'!$D$83:$D$153,255),0))="","",INDEX('Disaggregation Records'!$F$83:$F$153,MATCH(RIGHT(L568,255),RIGHT('Disaggregation Records'!$D$83:$D$153,255),0))),"")</f>
        <v/>
      </c>
      <c r="O568" s="314" t="str">
        <f t="array" aca="1" ref="O568" ca="1">IFERROR(IF(INDEX('Disaggregation Records'!$H$83:$H$153,MATCH(RIGHT(L568,255),RIGHT('Disaggregation Records'!$D$83:$D$153,255),0))="","",INDEX('Disaggregation Records'!$H$83:$H$153,MATCH(RIGHT(L568,255),RIGHT('Disaggregation Records'!$D$83:$D$153,255),0))),"")</f>
        <v/>
      </c>
      <c r="P568" s="314"/>
      <c r="Q568" s="310">
        <f t="shared" ref="Q568" si="737">Q566+1</f>
        <v>1130</v>
      </c>
      <c r="R568" s="314" t="str" cm="1">
        <f t="array" aca="1" ref="R568" ca="1">IFERROR(IF(INDEX('Disaggregation Records'!$G$83:$G$153,MATCH(RIGHT(L568,255),RIGHT('Disaggregation Records'!$D$83:$D$153,255),0))="","",INDEX('Disaggregation Records'!$G$83:$G$153,MATCH(RIGHT(L568,255),RIGHT('Disaggregation Records'!$D$83:$D$153,255),0))),"")</f>
        <v/>
      </c>
    </row>
    <row r="569" spans="1:18" ht="20.100000000000001" customHeight="1">
      <c r="A569" s="126"/>
      <c r="B569" s="571"/>
      <c r="C569" s="573"/>
      <c r="D569" s="575"/>
      <c r="E569" s="575"/>
      <c r="F569" s="128"/>
      <c r="G569" s="577"/>
      <c r="H569" s="540"/>
      <c r="I569" s="579"/>
      <c r="J569" s="533"/>
      <c r="K569" s="126"/>
      <c r="L569" s="126"/>
      <c r="M569" s="126"/>
      <c r="N569" s="126"/>
      <c r="O569" s="314"/>
      <c r="P569" s="314"/>
      <c r="Q569" s="310"/>
      <c r="R569" s="314" t="str" cm="1">
        <f t="array" ref="R569">IFERROR(IF(INDEX('Disaggregation Records'!$G$83:$G$153,MATCH(RIGHT(L569,255),RIGHT('Disaggregation Records'!$D$83:$D$153,255),0))="","",INDEX('Disaggregation Records'!$G$83:$G$153,MATCH(RIGHT(L569,255),RIGHT('Disaggregation Records'!$D$83:$D$153,255),0))),"")</f>
        <v/>
      </c>
    </row>
    <row r="570" spans="1:18" ht="20.100000000000001" customHeight="1">
      <c r="A570" s="126" t="str">
        <f t="shared" ref="A570" ca="1" si="738">INDIRECT("'update Helper'!C"&amp;Q570)</f>
        <v>a1VDm000000PgBqMAK</v>
      </c>
      <c r="B570" s="570">
        <v>13</v>
      </c>
      <c r="C570" s="572" t="str">
        <f ca="1">IFERROR(VLOOKUP(B570,'Outcome Indicators - Section C '!$A$9:$AC$70,29,FALSE),"")</f>
        <v>HIV O-16c Percentage of sex workers who avoid health care because of stigma and discrimination</v>
      </c>
      <c r="D570" s="574" t="str">
        <f ca="1">M570</f>
        <v/>
      </c>
      <c r="E570" s="574" t="str">
        <f ca="1">N570</f>
        <v/>
      </c>
      <c r="F570" s="127"/>
      <c r="G570" s="576" t="str">
        <f ca="1">IF(OR(INDIRECT("'update Helper'!E"&amp;Q570)="",F570&lt;&gt;0,F571&lt;&gt;0),IF(IFERROR((F570/F571),"")="","",(F570/F571)),INDIRECT("'update Helper'!E"&amp;Q570)/100)</f>
        <v/>
      </c>
      <c r="H570" s="539"/>
      <c r="I570" s="578"/>
      <c r="J570" s="532"/>
      <c r="K570" s="126">
        <f ca="1">IF(AND(EXACT(C570,C568),C568&lt;&gt;0),K568+1,0)</f>
        <v>7</v>
      </c>
      <c r="L570" s="126" t="str">
        <f ca="1">IF(C570&lt;&gt;"",C570&amp;"-"&amp;K570,"")</f>
        <v>HIV O-16c Percentage of sex workers who avoid health care because of stigma and discrimination-7</v>
      </c>
      <c r="M570" s="126" t="str">
        <f t="array" aca="1" ref="M570" ca="1">IFERROR(IF(INDEX('Disaggregation Records'!$E$83:$E$153,MATCH(RIGHT(L570,255),RIGHT('Disaggregation Records'!$D$83:$D$153,255),0))="","",INDEX('Disaggregation Records'!$E$83:$E$153,MATCH(RIGHT(L570,255),RIGHT('Disaggregation Records'!$D$83:$D$153,255),0))),"")</f>
        <v/>
      </c>
      <c r="N570" s="126" t="str">
        <f t="array" aca="1" ref="N570" ca="1">IFERROR(IF(INDEX('Disaggregation Records'!$F$83:$F$153,MATCH(RIGHT(L570,255),RIGHT('Disaggregation Records'!$D$83:$D$153,255),0))="","",INDEX('Disaggregation Records'!$F$83:$F$153,MATCH(RIGHT(L570,255),RIGHT('Disaggregation Records'!$D$83:$D$153,255),0))),"")</f>
        <v/>
      </c>
      <c r="O570" s="314" t="str">
        <f t="array" aca="1" ref="O570" ca="1">IFERROR(IF(INDEX('Disaggregation Records'!$H$83:$H$153,MATCH(RIGHT(L570,255),RIGHT('Disaggregation Records'!$D$83:$D$153,255),0))="","",INDEX('Disaggregation Records'!$H$83:$H$153,MATCH(RIGHT(L570,255),RIGHT('Disaggregation Records'!$D$83:$D$153,255),0))),"")</f>
        <v/>
      </c>
      <c r="P570" s="314"/>
      <c r="Q570" s="310">
        <f t="shared" ref="Q570" si="739">Q568+1</f>
        <v>1131</v>
      </c>
      <c r="R570" s="314" t="str" cm="1">
        <f t="array" aca="1" ref="R570" ca="1">IFERROR(IF(INDEX('Disaggregation Records'!$G$83:$G$153,MATCH(RIGHT(L570,255),RIGHT('Disaggregation Records'!$D$83:$D$153,255),0))="","",INDEX('Disaggregation Records'!$G$83:$G$153,MATCH(RIGHT(L570,255),RIGHT('Disaggregation Records'!$D$83:$D$153,255),0))),"")</f>
        <v/>
      </c>
    </row>
    <row r="571" spans="1:18" ht="20.100000000000001" customHeight="1">
      <c r="B571" s="571"/>
      <c r="C571" s="573"/>
      <c r="D571" s="575"/>
      <c r="E571" s="575"/>
      <c r="F571" s="128"/>
      <c r="G571" s="577"/>
      <c r="H571" s="540"/>
      <c r="I571" s="579"/>
      <c r="J571" s="533"/>
      <c r="K571" s="126"/>
      <c r="L571" s="126"/>
      <c r="M571" s="126"/>
      <c r="N571" s="126"/>
      <c r="O571" s="314"/>
      <c r="P571" s="314"/>
      <c r="Q571" s="310"/>
      <c r="R571" s="314" t="str" cm="1">
        <f t="array" ref="R571">IFERROR(IF(INDEX('Disaggregation Records'!$G$83:$G$153,MATCH(RIGHT(L571,255),RIGHT('Disaggregation Records'!$D$83:$D$153,255),0))="","",INDEX('Disaggregation Records'!$G$83:$G$153,MATCH(RIGHT(L571,255),RIGHT('Disaggregation Records'!$D$83:$D$153,255),0))),"")</f>
        <v/>
      </c>
    </row>
    <row r="572" spans="1:18" ht="20.100000000000001" customHeight="1">
      <c r="A572" s="126" t="str">
        <f t="shared" ref="A572" ca="1" si="740">INDIRECT("'update Helper'!C"&amp;Q572)</f>
        <v>a1VDm000000PgBrMAK</v>
      </c>
      <c r="B572" s="570">
        <v>13</v>
      </c>
      <c r="C572" s="572" t="str">
        <f ca="1">IFERROR(VLOOKUP(B572,'Outcome Indicators - Section C '!$A$9:$AC$70,29,FALSE),"")</f>
        <v>HIV O-16c Percentage of sex workers who avoid health care because of stigma and discrimination</v>
      </c>
      <c r="D572" s="574" t="str">
        <f ca="1">M572</f>
        <v/>
      </c>
      <c r="E572" s="574" t="str">
        <f ca="1">N572</f>
        <v/>
      </c>
      <c r="F572" s="127"/>
      <c r="G572" s="576" t="str">
        <f ca="1">IF(OR(INDIRECT("'update Helper'!E"&amp;Q572)="",F572&lt;&gt;0,F573&lt;&gt;0),IF(IFERROR((F572/F573),"")="","",(F572/F573)),INDIRECT("'update Helper'!E"&amp;Q572)/100)</f>
        <v/>
      </c>
      <c r="H572" s="539"/>
      <c r="I572" s="578"/>
      <c r="J572" s="532"/>
      <c r="K572" s="126">
        <f ca="1">IF(AND(EXACT(C572,C570),C570&lt;&gt;0),K570+1,0)</f>
        <v>8</v>
      </c>
      <c r="L572" s="126" t="str">
        <f ca="1">IF(C572&lt;&gt;"",C572&amp;"-"&amp;K572,"")</f>
        <v>HIV O-16c Percentage of sex workers who avoid health care because of stigma and discrimination-8</v>
      </c>
      <c r="M572" s="126" t="str">
        <f t="array" aca="1" ref="M572" ca="1">IFERROR(IF(INDEX('Disaggregation Records'!$E$83:$E$153,MATCH(RIGHT(L572,255),RIGHT('Disaggregation Records'!$D$83:$D$153,255),0))="","",INDEX('Disaggregation Records'!$E$83:$E$153,MATCH(RIGHT(L572,255),RIGHT('Disaggregation Records'!$D$83:$D$153,255),0))),"")</f>
        <v/>
      </c>
      <c r="N572" s="126" t="str">
        <f t="array" aca="1" ref="N572" ca="1">IFERROR(IF(INDEX('Disaggregation Records'!$F$83:$F$153,MATCH(RIGHT(L572,255),RIGHT('Disaggregation Records'!$D$83:$D$153,255),0))="","",INDEX('Disaggregation Records'!$F$83:$F$153,MATCH(RIGHT(L572,255),RIGHT('Disaggregation Records'!$D$83:$D$153,255),0))),"")</f>
        <v/>
      </c>
      <c r="O572" s="314" t="str">
        <f t="array" aca="1" ref="O572" ca="1">IFERROR(IF(INDEX('Disaggregation Records'!$H$83:$H$153,MATCH(RIGHT(L572,255),RIGHT('Disaggregation Records'!$D$83:$D$153,255),0))="","",INDEX('Disaggregation Records'!$H$83:$H$153,MATCH(RIGHT(L572,255),RIGHT('Disaggregation Records'!$D$83:$D$153,255),0))),"")</f>
        <v/>
      </c>
      <c r="P572" s="314"/>
      <c r="Q572" s="310">
        <f t="shared" ref="Q572" si="741">Q570+1</f>
        <v>1132</v>
      </c>
      <c r="R572" s="314" t="str" cm="1">
        <f t="array" aca="1" ref="R572" ca="1">IFERROR(IF(INDEX('Disaggregation Records'!$G$83:$G$153,MATCH(RIGHT(L572,255),RIGHT('Disaggregation Records'!$D$83:$D$153,255),0))="","",INDEX('Disaggregation Records'!$G$83:$G$153,MATCH(RIGHT(L572,255),RIGHT('Disaggregation Records'!$D$83:$D$153,255),0))),"")</f>
        <v/>
      </c>
    </row>
    <row r="573" spans="1:18" ht="20.100000000000001" customHeight="1">
      <c r="A573" s="126"/>
      <c r="B573" s="571"/>
      <c r="C573" s="573"/>
      <c r="D573" s="575"/>
      <c r="E573" s="575"/>
      <c r="F573" s="128"/>
      <c r="G573" s="577"/>
      <c r="H573" s="540"/>
      <c r="I573" s="579"/>
      <c r="J573" s="533"/>
      <c r="K573" s="126"/>
      <c r="L573" s="126"/>
      <c r="M573" s="126"/>
      <c r="N573" s="126"/>
      <c r="O573" s="314"/>
      <c r="P573" s="314"/>
      <c r="Q573" s="310"/>
      <c r="R573" s="314" t="str" cm="1">
        <f t="array" ref="R573">IFERROR(IF(INDEX('Disaggregation Records'!$G$83:$G$153,MATCH(RIGHT(L573,255),RIGHT('Disaggregation Records'!$D$83:$D$153,255),0))="","",INDEX('Disaggregation Records'!$G$83:$G$153,MATCH(RIGHT(L573,255),RIGHT('Disaggregation Records'!$D$83:$D$153,255),0))),"")</f>
        <v/>
      </c>
    </row>
    <row r="574" spans="1:18" ht="20.100000000000001" customHeight="1">
      <c r="A574" s="126" t="str">
        <f t="shared" ref="A574" ca="1" si="742">INDIRECT("'update Helper'!C"&amp;Q574)</f>
        <v>a1VDm000000PgBsMAK</v>
      </c>
      <c r="B574" s="570">
        <v>13</v>
      </c>
      <c r="C574" s="572" t="str">
        <f ca="1">IFERROR(VLOOKUP(B574,'Outcome Indicators - Section C '!$A$9:$AC$70,29,FALSE),"")</f>
        <v>HIV O-16c Percentage of sex workers who avoid health care because of stigma and discrimination</v>
      </c>
      <c r="D574" s="574" t="str">
        <f ca="1">M574</f>
        <v/>
      </c>
      <c r="E574" s="574" t="str">
        <f ca="1">N574</f>
        <v/>
      </c>
      <c r="F574" s="127"/>
      <c r="G574" s="576" t="str">
        <f ca="1">IF(OR(INDIRECT("'update Helper'!E"&amp;Q574)="",F574&lt;&gt;0,F575&lt;&gt;0),IF(IFERROR((F574/F575),"")="","",(F574/F575)),INDIRECT("'update Helper'!E"&amp;Q574)/100)</f>
        <v/>
      </c>
      <c r="H574" s="539"/>
      <c r="I574" s="578"/>
      <c r="J574" s="532"/>
      <c r="K574" s="126">
        <f ca="1">IF(AND(EXACT(C574,C572),C572&lt;&gt;0),K572+1,0)</f>
        <v>9</v>
      </c>
      <c r="L574" s="126" t="str">
        <f ca="1">IF(C574&lt;&gt;"",C574&amp;"-"&amp;K574,"")</f>
        <v>HIV O-16c Percentage of sex workers who avoid health care because of stigma and discrimination-9</v>
      </c>
      <c r="M574" s="126" t="str">
        <f t="array" aca="1" ref="M574" ca="1">IFERROR(IF(INDEX('Disaggregation Records'!$E$83:$E$153,MATCH(RIGHT(L574,255),RIGHT('Disaggregation Records'!$D$83:$D$153,255),0))="","",INDEX('Disaggregation Records'!$E$83:$E$153,MATCH(RIGHT(L574,255),RIGHT('Disaggregation Records'!$D$83:$D$153,255),0))),"")</f>
        <v/>
      </c>
      <c r="N574" s="126" t="str">
        <f t="array" aca="1" ref="N574" ca="1">IFERROR(IF(INDEX('Disaggregation Records'!$F$83:$F$153,MATCH(RIGHT(L574,255),RIGHT('Disaggregation Records'!$D$83:$D$153,255),0))="","",INDEX('Disaggregation Records'!$F$83:$F$153,MATCH(RIGHT(L574,255),RIGHT('Disaggregation Records'!$D$83:$D$153,255),0))),"")</f>
        <v/>
      </c>
      <c r="O574" s="314" t="str">
        <f t="array" aca="1" ref="O574" ca="1">IFERROR(IF(INDEX('Disaggregation Records'!$H$83:$H$153,MATCH(RIGHT(L574,255),RIGHT('Disaggregation Records'!$D$83:$D$153,255),0))="","",INDEX('Disaggregation Records'!$H$83:$H$153,MATCH(RIGHT(L574,255),RIGHT('Disaggregation Records'!$D$83:$D$153,255),0))),"")</f>
        <v/>
      </c>
      <c r="P574" s="314"/>
      <c r="Q574" s="310">
        <f t="shared" ref="Q574" si="743">Q572+1</f>
        <v>1133</v>
      </c>
      <c r="R574" s="314" t="str" cm="1">
        <f t="array" aca="1" ref="R574" ca="1">IFERROR(IF(INDEX('Disaggregation Records'!$G$83:$G$153,MATCH(RIGHT(L574,255),RIGHT('Disaggregation Records'!$D$83:$D$153,255),0))="","",INDEX('Disaggregation Records'!$G$83:$G$153,MATCH(RIGHT(L574,255),RIGHT('Disaggregation Records'!$D$83:$D$153,255),0))),"")</f>
        <v/>
      </c>
    </row>
    <row r="575" spans="1:18" ht="20.100000000000001" customHeight="1">
      <c r="B575" s="571"/>
      <c r="C575" s="573"/>
      <c r="D575" s="575"/>
      <c r="E575" s="575"/>
      <c r="F575" s="128"/>
      <c r="G575" s="577"/>
      <c r="H575" s="540"/>
      <c r="I575" s="579"/>
      <c r="J575" s="533"/>
      <c r="K575" s="126"/>
      <c r="L575" s="126"/>
      <c r="M575" s="126"/>
      <c r="N575" s="126"/>
      <c r="O575" s="314"/>
      <c r="P575" s="314"/>
      <c r="Q575" s="310"/>
      <c r="R575" s="314" t="str" cm="1">
        <f t="array" ref="R575">IFERROR(IF(INDEX('Disaggregation Records'!$G$83:$G$153,MATCH(RIGHT(L575,255),RIGHT('Disaggregation Records'!$D$83:$D$153,255),0))="","",INDEX('Disaggregation Records'!$G$83:$G$153,MATCH(RIGHT(L575,255),RIGHT('Disaggregation Records'!$D$83:$D$153,255),0))),"")</f>
        <v/>
      </c>
    </row>
    <row r="576" spans="1:18" ht="20.100000000000001" customHeight="1">
      <c r="A576" s="126" t="str">
        <f t="shared" ref="A576" ca="1" si="744">INDIRECT("'update Helper'!C"&amp;Q576)</f>
        <v>a1VDm000000PgBtMAK</v>
      </c>
      <c r="B576" s="570">
        <v>14</v>
      </c>
      <c r="C576" s="572" t="str">
        <f ca="1">IFERROR(VLOOKUP(B576,'Outcome Indicators - Section C '!$A$9:$AC$70,29,FALSE),"")</f>
        <v>HIV O-16d Percentage of people who inject drugs who avoid health care because of stigma and discrimination</v>
      </c>
      <c r="D576" s="574" t="str">
        <f ca="1">M576</f>
        <v>Age</v>
      </c>
      <c r="E576" s="574" t="str">
        <f ca="1">N576</f>
        <v>25+</v>
      </c>
      <c r="F576" s="127"/>
      <c r="G576" s="576" t="str">
        <f ca="1">IF(OR(INDIRECT("'update Helper'!E"&amp;Q576)="",F576&lt;&gt;0,F577&lt;&gt;0),IF(IFERROR((F576/F577),"")="","",(F576/F577)),INDIRECT("'update Helper'!E"&amp;Q576)/100)</f>
        <v/>
      </c>
      <c r="H576" s="539"/>
      <c r="I576" s="578"/>
      <c r="J576" s="532"/>
      <c r="K576" s="126">
        <f ca="1">IF(AND(EXACT(C576,C574),C574&lt;&gt;0),K574+1,0)</f>
        <v>0</v>
      </c>
      <c r="L576" s="126" t="str">
        <f ca="1">IF(C576&lt;&gt;"",C576&amp;"-"&amp;K576,"")</f>
        <v>HIV O-16d Percentage of people who inject drugs who avoid health care because of stigma and discrimination-0</v>
      </c>
      <c r="M576" s="126" t="str">
        <f t="array" aca="1" ref="M576" ca="1">IFERROR(IF(INDEX('Disaggregation Records'!$E$83:$E$153,MATCH(RIGHT(L576,255),RIGHT('Disaggregation Records'!$D$83:$D$153,255),0))="","",INDEX('Disaggregation Records'!$E$83:$E$153,MATCH(RIGHT(L576,255),RIGHT('Disaggregation Records'!$D$83:$D$153,255),0))),"")</f>
        <v>Age</v>
      </c>
      <c r="N576" s="126" t="str">
        <f t="array" aca="1" ref="N576" ca="1">IFERROR(IF(INDEX('Disaggregation Records'!$F$83:$F$153,MATCH(RIGHT(L576,255),RIGHT('Disaggregation Records'!$D$83:$D$153,255),0))="","",INDEX('Disaggregation Records'!$F$83:$F$153,MATCH(RIGHT(L576,255),RIGHT('Disaggregation Records'!$D$83:$D$153,255),0))),"")</f>
        <v>25+</v>
      </c>
      <c r="O576" s="314" t="str">
        <f t="array" aca="1" ref="O576" ca="1">IFERROR(IF(INDEX('Disaggregation Records'!$H$83:$H$153,MATCH(RIGHT(L576,255),RIGHT('Disaggregation Records'!$D$83:$D$153,255),0))="","",INDEX('Disaggregation Records'!$H$83:$H$153,MATCH(RIGHT(L576,255),RIGHT('Disaggregation Records'!$D$83:$D$153,255),0))),"")</f>
        <v>IDR-01136</v>
      </c>
      <c r="P576" s="314"/>
      <c r="Q576" s="310">
        <f t="shared" ref="Q576" si="745">Q574+1</f>
        <v>1134</v>
      </c>
      <c r="R576" s="314" t="str" cm="1">
        <f t="array" aca="1" ref="R576" ca="1">IFERROR(IF(INDEX('Disaggregation Records'!$G$83:$G$153,MATCH(RIGHT(L576,255),RIGHT('Disaggregation Records'!$D$83:$D$153,255),0))="","",INDEX('Disaggregation Records'!$G$83:$G$153,MATCH(RIGHT(L576,255),RIGHT('Disaggregation Records'!$D$83:$D$153,255),0))),"")</f>
        <v>a1LDm000000Cb14MAC</v>
      </c>
    </row>
    <row r="577" spans="1:18" ht="20.100000000000001" customHeight="1">
      <c r="A577" s="126"/>
      <c r="B577" s="571"/>
      <c r="C577" s="573"/>
      <c r="D577" s="575"/>
      <c r="E577" s="575"/>
      <c r="F577" s="128"/>
      <c r="G577" s="577"/>
      <c r="H577" s="540"/>
      <c r="I577" s="579"/>
      <c r="J577" s="533"/>
      <c r="K577" s="126"/>
      <c r="L577" s="126"/>
      <c r="M577" s="126"/>
      <c r="N577" s="126"/>
      <c r="O577" s="314"/>
      <c r="P577" s="314"/>
      <c r="Q577" s="310"/>
      <c r="R577" s="314" t="str" cm="1">
        <f t="array" ref="R577">IFERROR(IF(INDEX('Disaggregation Records'!$G$83:$G$153,MATCH(RIGHT(L577,255),RIGHT('Disaggregation Records'!$D$83:$D$153,255),0))="","",INDEX('Disaggregation Records'!$G$83:$G$153,MATCH(RIGHT(L577,255),RIGHT('Disaggregation Records'!$D$83:$D$153,255),0))),"")</f>
        <v/>
      </c>
    </row>
    <row r="578" spans="1:18" ht="20.100000000000001" customHeight="1">
      <c r="A578" s="126" t="str">
        <f t="shared" ref="A578" ca="1" si="746">INDIRECT("'update Helper'!C"&amp;Q578)</f>
        <v>a1VDm000000PgBuMAK</v>
      </c>
      <c r="B578" s="570">
        <v>14</v>
      </c>
      <c r="C578" s="572" t="str">
        <f ca="1">IFERROR(VLOOKUP(B578,'Outcome Indicators - Section C '!$A$9:$AC$70,29,FALSE),"")</f>
        <v>HIV O-16d Percentage of people who inject drugs who avoid health care because of stigma and discrimination</v>
      </c>
      <c r="D578" s="574" t="str">
        <f ca="1">M578</f>
        <v>Age</v>
      </c>
      <c r="E578" s="574" t="str">
        <f ca="1">N578</f>
        <v>&lt;25</v>
      </c>
      <c r="F578" s="127"/>
      <c r="G578" s="576" t="str">
        <f ca="1">IF(OR(INDIRECT("'update Helper'!E"&amp;Q578)="",F578&lt;&gt;0,F579&lt;&gt;0),IF(IFERROR((F578/F579),"")="","",(F578/F579)),INDIRECT("'update Helper'!E"&amp;Q578)/100)</f>
        <v/>
      </c>
      <c r="H578" s="539"/>
      <c r="I578" s="578"/>
      <c r="J578" s="532"/>
      <c r="K578" s="126">
        <f ca="1">IF(AND(EXACT(C578,C576),C576&lt;&gt;0),K576+1,0)</f>
        <v>1</v>
      </c>
      <c r="L578" s="126" t="str">
        <f ca="1">IF(C578&lt;&gt;"",C578&amp;"-"&amp;K578,"")</f>
        <v>HIV O-16d Percentage of people who inject drugs who avoid health care because of stigma and discrimination-1</v>
      </c>
      <c r="M578" s="126" t="str">
        <f t="array" aca="1" ref="M578" ca="1">IFERROR(IF(INDEX('Disaggregation Records'!$E$83:$E$153,MATCH(RIGHT(L578,255),RIGHT('Disaggregation Records'!$D$83:$D$153,255),0))="","",INDEX('Disaggregation Records'!$E$83:$E$153,MATCH(RIGHT(L578,255),RIGHT('Disaggregation Records'!$D$83:$D$153,255),0))),"")</f>
        <v>Age</v>
      </c>
      <c r="N578" s="126" t="str">
        <f t="array" aca="1" ref="N578" ca="1">IFERROR(IF(INDEX('Disaggregation Records'!$F$83:$F$153,MATCH(RIGHT(L578,255),RIGHT('Disaggregation Records'!$D$83:$D$153,255),0))="","",INDEX('Disaggregation Records'!$F$83:$F$153,MATCH(RIGHT(L578,255),RIGHT('Disaggregation Records'!$D$83:$D$153,255),0))),"")</f>
        <v>&lt;25</v>
      </c>
      <c r="O578" s="314" t="str">
        <f t="array" aca="1" ref="O578" ca="1">IFERROR(IF(INDEX('Disaggregation Records'!$H$83:$H$153,MATCH(RIGHT(L578,255),RIGHT('Disaggregation Records'!$D$83:$D$153,255),0))="","",INDEX('Disaggregation Records'!$H$83:$H$153,MATCH(RIGHT(L578,255),RIGHT('Disaggregation Records'!$D$83:$D$153,255),0))),"")</f>
        <v>IDR-01135</v>
      </c>
      <c r="P578" s="314"/>
      <c r="Q578" s="310">
        <f t="shared" ref="Q578" si="747">Q576+1</f>
        <v>1135</v>
      </c>
      <c r="R578" s="314" t="str" cm="1">
        <f t="array" aca="1" ref="R578" ca="1">IFERROR(IF(INDEX('Disaggregation Records'!$G$83:$G$153,MATCH(RIGHT(L578,255),RIGHT('Disaggregation Records'!$D$83:$D$153,255),0))="","",INDEX('Disaggregation Records'!$G$83:$G$153,MATCH(RIGHT(L578,255),RIGHT('Disaggregation Records'!$D$83:$D$153,255),0))),"")</f>
        <v>a1LDm000000Cb13MAC</v>
      </c>
    </row>
    <row r="579" spans="1:18" ht="20.100000000000001" customHeight="1">
      <c r="B579" s="571"/>
      <c r="C579" s="573"/>
      <c r="D579" s="575"/>
      <c r="E579" s="575"/>
      <c r="F579" s="128"/>
      <c r="G579" s="577"/>
      <c r="H579" s="540"/>
      <c r="I579" s="579"/>
      <c r="J579" s="533"/>
      <c r="K579" s="126"/>
      <c r="L579" s="126"/>
      <c r="M579" s="126"/>
      <c r="N579" s="126"/>
      <c r="O579" s="314"/>
      <c r="P579" s="314"/>
      <c r="Q579" s="310"/>
      <c r="R579" s="314" t="str" cm="1">
        <f t="array" ref="R579">IFERROR(IF(INDEX('Disaggregation Records'!$G$83:$G$153,MATCH(RIGHT(L579,255),RIGHT('Disaggregation Records'!$D$83:$D$153,255),0))="","",INDEX('Disaggregation Records'!$G$83:$G$153,MATCH(RIGHT(L579,255),RIGHT('Disaggregation Records'!$D$83:$D$153,255),0))),"")</f>
        <v/>
      </c>
    </row>
    <row r="580" spans="1:18" ht="20.100000000000001" customHeight="1">
      <c r="A580" s="126" t="str">
        <f t="shared" ref="A580" ca="1" si="748">INDIRECT("'update Helper'!C"&amp;Q580)</f>
        <v>a1VDm000000PgBvMAK</v>
      </c>
      <c r="B580" s="570">
        <v>14</v>
      </c>
      <c r="C580" s="572" t="str">
        <f ca="1">IFERROR(VLOOKUP(B580,'Outcome Indicators - Section C '!$A$9:$AC$70,29,FALSE),"")</f>
        <v>HIV O-16d Percentage of people who inject drugs who avoid health care because of stigma and discrimination</v>
      </c>
      <c r="D580" s="574" t="str">
        <f ca="1">M580</f>
        <v>Gender</v>
      </c>
      <c r="E580" s="574" t="str">
        <f ca="1">N580</f>
        <v>Transgender</v>
      </c>
      <c r="F580" s="127"/>
      <c r="G580" s="576" t="str">
        <f ca="1">IF(OR(INDIRECT("'update Helper'!E"&amp;Q580)="",F580&lt;&gt;0,F581&lt;&gt;0),IF(IFERROR((F580/F581),"")="","",(F580/F581)),INDIRECT("'update Helper'!E"&amp;Q580)/100)</f>
        <v/>
      </c>
      <c r="H580" s="539"/>
      <c r="I580" s="578"/>
      <c r="J580" s="532"/>
      <c r="K580" s="126">
        <f ca="1">IF(AND(EXACT(C580,C578),C578&lt;&gt;0),K578+1,0)</f>
        <v>2</v>
      </c>
      <c r="L580" s="126" t="str">
        <f ca="1">IF(C580&lt;&gt;"",C580&amp;"-"&amp;K580,"")</f>
        <v>HIV O-16d Percentage of people who inject drugs who avoid health care because of stigma and discrimination-2</v>
      </c>
      <c r="M580" s="126" t="str">
        <f t="array" aca="1" ref="M580" ca="1">IFERROR(IF(INDEX('Disaggregation Records'!$E$83:$E$153,MATCH(RIGHT(L580,255),RIGHT('Disaggregation Records'!$D$83:$D$153,255),0))="","",INDEX('Disaggregation Records'!$E$83:$E$153,MATCH(RIGHT(L580,255),RIGHT('Disaggregation Records'!$D$83:$D$153,255),0))),"")</f>
        <v>Gender</v>
      </c>
      <c r="N580" s="126" t="str">
        <f t="array" aca="1" ref="N580" ca="1">IFERROR(IF(INDEX('Disaggregation Records'!$F$83:$F$153,MATCH(RIGHT(L580,255),RIGHT('Disaggregation Records'!$D$83:$D$153,255),0))="","",INDEX('Disaggregation Records'!$F$83:$F$153,MATCH(RIGHT(L580,255),RIGHT('Disaggregation Records'!$D$83:$D$153,255),0))),"")</f>
        <v>Transgender</v>
      </c>
      <c r="O580" s="314" t="str">
        <f t="array" aca="1" ref="O580" ca="1">IFERROR(IF(INDEX('Disaggregation Records'!$H$83:$H$153,MATCH(RIGHT(L580,255),RIGHT('Disaggregation Records'!$D$83:$D$153,255),0))="","",INDEX('Disaggregation Records'!$H$83:$H$153,MATCH(RIGHT(L580,255),RIGHT('Disaggregation Records'!$D$83:$D$153,255),0))),"")</f>
        <v>IDR-01134</v>
      </c>
      <c r="P580" s="314"/>
      <c r="Q580" s="310">
        <f t="shared" ref="Q580" si="749">Q578+1</f>
        <v>1136</v>
      </c>
      <c r="R580" s="314" t="str" cm="1">
        <f t="array" aca="1" ref="R580" ca="1">IFERROR(IF(INDEX('Disaggregation Records'!$G$83:$G$153,MATCH(RIGHT(L580,255),RIGHT('Disaggregation Records'!$D$83:$D$153,255),0))="","",INDEX('Disaggregation Records'!$G$83:$G$153,MATCH(RIGHT(L580,255),RIGHT('Disaggregation Records'!$D$83:$D$153,255),0))),"")</f>
        <v>a1LDm000000Cb12MAC</v>
      </c>
    </row>
    <row r="581" spans="1:18" ht="20.100000000000001" customHeight="1">
      <c r="A581" s="126"/>
      <c r="B581" s="571"/>
      <c r="C581" s="573"/>
      <c r="D581" s="575"/>
      <c r="E581" s="575"/>
      <c r="F581" s="128"/>
      <c r="G581" s="577"/>
      <c r="H581" s="540"/>
      <c r="I581" s="579"/>
      <c r="J581" s="533"/>
      <c r="K581" s="126"/>
      <c r="L581" s="126"/>
      <c r="M581" s="126"/>
      <c r="N581" s="126"/>
      <c r="O581" s="314"/>
      <c r="P581" s="314"/>
      <c r="Q581" s="310"/>
      <c r="R581" s="314" t="str" cm="1">
        <f t="array" ref="R581">IFERROR(IF(INDEX('Disaggregation Records'!$G$83:$G$153,MATCH(RIGHT(L581,255),RIGHT('Disaggregation Records'!$D$83:$D$153,255),0))="","",INDEX('Disaggregation Records'!$G$83:$G$153,MATCH(RIGHT(L581,255),RIGHT('Disaggregation Records'!$D$83:$D$153,255),0))),"")</f>
        <v/>
      </c>
    </row>
    <row r="582" spans="1:18" ht="20.100000000000001" customHeight="1">
      <c r="A582" s="126" t="str">
        <f t="shared" ref="A582" ca="1" si="750">INDIRECT("'update Helper'!C"&amp;Q582)</f>
        <v>a1VDm000000PgBwMAK</v>
      </c>
      <c r="B582" s="570">
        <v>14</v>
      </c>
      <c r="C582" s="572" t="str">
        <f ca="1">IFERROR(VLOOKUP(B582,'Outcome Indicators - Section C '!$A$9:$AC$70,29,FALSE),"")</f>
        <v>HIV O-16d Percentage of people who inject drugs who avoid health care because of stigma and discrimination</v>
      </c>
      <c r="D582" s="574" t="str">
        <f ca="1">M582</f>
        <v>Gender</v>
      </c>
      <c r="E582" s="574" t="str">
        <f ca="1">N582</f>
        <v>Male</v>
      </c>
      <c r="F582" s="127"/>
      <c r="G582" s="576" t="str">
        <f ca="1">IF(OR(INDIRECT("'update Helper'!E"&amp;Q582)="",F582&lt;&gt;0,F583&lt;&gt;0),IF(IFERROR((F582/F583),"")="","",(F582/F583)),INDIRECT("'update Helper'!E"&amp;Q582)/100)</f>
        <v/>
      </c>
      <c r="H582" s="539"/>
      <c r="I582" s="578"/>
      <c r="J582" s="532"/>
      <c r="K582" s="126">
        <f ca="1">IF(AND(EXACT(C582,C580),C580&lt;&gt;0),K580+1,0)</f>
        <v>3</v>
      </c>
      <c r="L582" s="126" t="str">
        <f ca="1">IF(C582&lt;&gt;"",C582&amp;"-"&amp;K582,"")</f>
        <v>HIV O-16d Percentage of people who inject drugs who avoid health care because of stigma and discrimination-3</v>
      </c>
      <c r="M582" s="126" t="str">
        <f t="array" aca="1" ref="M582" ca="1">IFERROR(IF(INDEX('Disaggregation Records'!$E$83:$E$153,MATCH(RIGHT(L582,255),RIGHT('Disaggregation Records'!$D$83:$D$153,255),0))="","",INDEX('Disaggregation Records'!$E$83:$E$153,MATCH(RIGHT(L582,255),RIGHT('Disaggregation Records'!$D$83:$D$153,255),0))),"")</f>
        <v>Gender</v>
      </c>
      <c r="N582" s="126" t="str">
        <f t="array" aca="1" ref="N582" ca="1">IFERROR(IF(INDEX('Disaggregation Records'!$F$83:$F$153,MATCH(RIGHT(L582,255),RIGHT('Disaggregation Records'!$D$83:$D$153,255),0))="","",INDEX('Disaggregation Records'!$F$83:$F$153,MATCH(RIGHT(L582,255),RIGHT('Disaggregation Records'!$D$83:$D$153,255),0))),"")</f>
        <v>Male</v>
      </c>
      <c r="O582" s="314" t="str">
        <f t="array" aca="1" ref="O582" ca="1">IFERROR(IF(INDEX('Disaggregation Records'!$H$83:$H$153,MATCH(RIGHT(L582,255),RIGHT('Disaggregation Records'!$D$83:$D$153,255),0))="","",INDEX('Disaggregation Records'!$H$83:$H$153,MATCH(RIGHT(L582,255),RIGHT('Disaggregation Records'!$D$83:$D$153,255),0))),"")</f>
        <v>IDR-01133</v>
      </c>
      <c r="P582" s="314"/>
      <c r="Q582" s="310">
        <f t="shared" ref="Q582" si="751">Q580+1</f>
        <v>1137</v>
      </c>
      <c r="R582" s="314" t="str" cm="1">
        <f t="array" aca="1" ref="R582" ca="1">IFERROR(IF(INDEX('Disaggregation Records'!$G$83:$G$153,MATCH(RIGHT(L582,255),RIGHT('Disaggregation Records'!$D$83:$D$153,255),0))="","",INDEX('Disaggregation Records'!$G$83:$G$153,MATCH(RIGHT(L582,255),RIGHT('Disaggregation Records'!$D$83:$D$153,255),0))),"")</f>
        <v>a1LDm000000Cb11MAC</v>
      </c>
    </row>
    <row r="583" spans="1:18" ht="20.100000000000001" customHeight="1">
      <c r="B583" s="571"/>
      <c r="C583" s="573"/>
      <c r="D583" s="575"/>
      <c r="E583" s="575"/>
      <c r="F583" s="128"/>
      <c r="G583" s="577"/>
      <c r="H583" s="540"/>
      <c r="I583" s="579"/>
      <c r="J583" s="533"/>
      <c r="K583" s="126"/>
      <c r="L583" s="126"/>
      <c r="M583" s="126"/>
      <c r="N583" s="126"/>
      <c r="O583" s="314"/>
      <c r="P583" s="314"/>
      <c r="Q583" s="310"/>
      <c r="R583" s="314" t="str" cm="1">
        <f t="array" ref="R583">IFERROR(IF(INDEX('Disaggregation Records'!$G$83:$G$153,MATCH(RIGHT(L583,255),RIGHT('Disaggregation Records'!$D$83:$D$153,255),0))="","",INDEX('Disaggregation Records'!$G$83:$G$153,MATCH(RIGHT(L583,255),RIGHT('Disaggregation Records'!$D$83:$D$153,255),0))),"")</f>
        <v/>
      </c>
    </row>
    <row r="584" spans="1:18" ht="20.100000000000001" customHeight="1">
      <c r="A584" s="126" t="str">
        <f t="shared" ref="A584" ca="1" si="752">INDIRECT("'update Helper'!C"&amp;Q584)</f>
        <v>a1VDm000000PgBxMAK</v>
      </c>
      <c r="B584" s="570">
        <v>14</v>
      </c>
      <c r="C584" s="572" t="str">
        <f ca="1">IFERROR(VLOOKUP(B584,'Outcome Indicators - Section C '!$A$9:$AC$70,29,FALSE),"")</f>
        <v>HIV O-16d Percentage of people who inject drugs who avoid health care because of stigma and discrimination</v>
      </c>
      <c r="D584" s="574" t="str">
        <f ca="1">M584</f>
        <v>Gender</v>
      </c>
      <c r="E584" s="574" t="str">
        <f ca="1">N584</f>
        <v>Female</v>
      </c>
      <c r="F584" s="127"/>
      <c r="G584" s="576" t="str">
        <f ca="1">IF(OR(INDIRECT("'update Helper'!E"&amp;Q584)="",F584&lt;&gt;0,F585&lt;&gt;0),IF(IFERROR((F584/F585),"")="","",(F584/F585)),INDIRECT("'update Helper'!E"&amp;Q584)/100)</f>
        <v/>
      </c>
      <c r="H584" s="539"/>
      <c r="I584" s="578"/>
      <c r="J584" s="532"/>
      <c r="K584" s="126">
        <f ca="1">IF(AND(EXACT(C584,C582),C582&lt;&gt;0),K582+1,0)</f>
        <v>4</v>
      </c>
      <c r="L584" s="126" t="str">
        <f ca="1">IF(C584&lt;&gt;"",C584&amp;"-"&amp;K584,"")</f>
        <v>HIV O-16d Percentage of people who inject drugs who avoid health care because of stigma and discrimination-4</v>
      </c>
      <c r="M584" s="126" t="str">
        <f t="array" aca="1" ref="M584" ca="1">IFERROR(IF(INDEX('Disaggregation Records'!$E$83:$E$153,MATCH(RIGHT(L584,255),RIGHT('Disaggregation Records'!$D$83:$D$153,255),0))="","",INDEX('Disaggregation Records'!$E$83:$E$153,MATCH(RIGHT(L584,255),RIGHT('Disaggregation Records'!$D$83:$D$153,255),0))),"")</f>
        <v>Gender</v>
      </c>
      <c r="N584" s="126" t="str">
        <f t="array" aca="1" ref="N584" ca="1">IFERROR(IF(INDEX('Disaggregation Records'!$F$83:$F$153,MATCH(RIGHT(L584,255),RIGHT('Disaggregation Records'!$D$83:$D$153,255),0))="","",INDEX('Disaggregation Records'!$F$83:$F$153,MATCH(RIGHT(L584,255),RIGHT('Disaggregation Records'!$D$83:$D$153,255),0))),"")</f>
        <v>Female</v>
      </c>
      <c r="O584" s="314" t="str">
        <f t="array" aca="1" ref="O584" ca="1">IFERROR(IF(INDEX('Disaggregation Records'!$H$83:$H$153,MATCH(RIGHT(L584,255),RIGHT('Disaggregation Records'!$D$83:$D$153,255),0))="","",INDEX('Disaggregation Records'!$H$83:$H$153,MATCH(RIGHT(L584,255),RIGHT('Disaggregation Records'!$D$83:$D$153,255),0))),"")</f>
        <v>IDR-01132</v>
      </c>
      <c r="P584" s="314"/>
      <c r="Q584" s="310">
        <f t="shared" ref="Q584" si="753">Q582+1</f>
        <v>1138</v>
      </c>
      <c r="R584" s="314" t="str" cm="1">
        <f t="array" aca="1" ref="R584" ca="1">IFERROR(IF(INDEX('Disaggregation Records'!$G$83:$G$153,MATCH(RIGHT(L584,255),RIGHT('Disaggregation Records'!$D$83:$D$153,255),0))="","",INDEX('Disaggregation Records'!$G$83:$G$153,MATCH(RIGHT(L584,255),RIGHT('Disaggregation Records'!$D$83:$D$153,255),0))),"")</f>
        <v>a1LDm000000Cb10MAC</v>
      </c>
    </row>
    <row r="585" spans="1:18" ht="20.100000000000001" customHeight="1">
      <c r="A585" s="126"/>
      <c r="B585" s="571"/>
      <c r="C585" s="573"/>
      <c r="D585" s="575"/>
      <c r="E585" s="575"/>
      <c r="F585" s="128"/>
      <c r="G585" s="577"/>
      <c r="H585" s="540"/>
      <c r="I585" s="579"/>
      <c r="J585" s="533"/>
      <c r="K585" s="126"/>
      <c r="L585" s="126"/>
      <c r="M585" s="126"/>
      <c r="N585" s="126"/>
      <c r="O585" s="314"/>
      <c r="P585" s="314"/>
      <c r="Q585" s="310"/>
      <c r="R585" s="314" t="str" cm="1">
        <f t="array" ref="R585">IFERROR(IF(INDEX('Disaggregation Records'!$G$83:$G$153,MATCH(RIGHT(L585,255),RIGHT('Disaggregation Records'!$D$83:$D$153,255),0))="","",INDEX('Disaggregation Records'!$G$83:$G$153,MATCH(RIGHT(L585,255),RIGHT('Disaggregation Records'!$D$83:$D$153,255),0))),"")</f>
        <v/>
      </c>
    </row>
    <row r="586" spans="1:18" ht="20.100000000000001" customHeight="1">
      <c r="A586" s="126" t="str">
        <f t="shared" ref="A586" ca="1" si="754">INDIRECT("'update Helper'!C"&amp;Q586)</f>
        <v>a1VDm000000PgByMAK</v>
      </c>
      <c r="B586" s="570">
        <v>14</v>
      </c>
      <c r="C586" s="572" t="str">
        <f ca="1">IFERROR(VLOOKUP(B586,'Outcome Indicators - Section C '!$A$9:$AC$70,29,FALSE),"")</f>
        <v>HIV O-16d Percentage of people who inject drugs who avoid health care because of stigma and discrimination</v>
      </c>
      <c r="D586" s="574" t="str">
        <f ca="1">M586</f>
        <v/>
      </c>
      <c r="E586" s="574" t="str">
        <f ca="1">N586</f>
        <v/>
      </c>
      <c r="F586" s="127"/>
      <c r="G586" s="576" t="str">
        <f ca="1">IF(OR(INDIRECT("'update Helper'!E"&amp;Q586)="",F586&lt;&gt;0,F587&lt;&gt;0),IF(IFERROR((F586/F587),"")="","",(F586/F587)),INDIRECT("'update Helper'!E"&amp;Q586)/100)</f>
        <v/>
      </c>
      <c r="H586" s="539"/>
      <c r="I586" s="578"/>
      <c r="J586" s="532"/>
      <c r="K586" s="126">
        <f ca="1">IF(AND(EXACT(C586,C584),C584&lt;&gt;0),K584+1,0)</f>
        <v>5</v>
      </c>
      <c r="L586" s="126" t="str">
        <f ca="1">IF(C586&lt;&gt;"",C586&amp;"-"&amp;K586,"")</f>
        <v>HIV O-16d Percentage of people who inject drugs who avoid health care because of stigma and discrimination-5</v>
      </c>
      <c r="M586" s="126" t="str">
        <f t="array" aca="1" ref="M586" ca="1">IFERROR(IF(INDEX('Disaggregation Records'!$E$83:$E$153,MATCH(RIGHT(L586,255),RIGHT('Disaggregation Records'!$D$83:$D$153,255),0))="","",INDEX('Disaggregation Records'!$E$83:$E$153,MATCH(RIGHT(L586,255),RIGHT('Disaggregation Records'!$D$83:$D$153,255),0))),"")</f>
        <v/>
      </c>
      <c r="N586" s="126" t="str">
        <f t="array" aca="1" ref="N586" ca="1">IFERROR(IF(INDEX('Disaggregation Records'!$F$83:$F$153,MATCH(RIGHT(L586,255),RIGHT('Disaggregation Records'!$D$83:$D$153,255),0))="","",INDEX('Disaggregation Records'!$F$83:$F$153,MATCH(RIGHT(L586,255),RIGHT('Disaggregation Records'!$D$83:$D$153,255),0))),"")</f>
        <v/>
      </c>
      <c r="O586" s="314" t="str">
        <f t="array" aca="1" ref="O586" ca="1">IFERROR(IF(INDEX('Disaggregation Records'!$H$83:$H$153,MATCH(RIGHT(L586,255),RIGHT('Disaggregation Records'!$D$83:$D$153,255),0))="","",INDEX('Disaggregation Records'!$H$83:$H$153,MATCH(RIGHT(L586,255),RIGHT('Disaggregation Records'!$D$83:$D$153,255),0))),"")</f>
        <v/>
      </c>
      <c r="P586" s="314"/>
      <c r="Q586" s="310">
        <f t="shared" ref="Q586" si="755">Q584+1</f>
        <v>1139</v>
      </c>
      <c r="R586" s="314" t="str" cm="1">
        <f t="array" aca="1" ref="R586" ca="1">IFERROR(IF(INDEX('Disaggregation Records'!$G$83:$G$153,MATCH(RIGHT(L586,255),RIGHT('Disaggregation Records'!$D$83:$D$153,255),0))="","",INDEX('Disaggregation Records'!$G$83:$G$153,MATCH(RIGHT(L586,255),RIGHT('Disaggregation Records'!$D$83:$D$153,255),0))),"")</f>
        <v/>
      </c>
    </row>
    <row r="587" spans="1:18" ht="20.100000000000001" customHeight="1">
      <c r="B587" s="571"/>
      <c r="C587" s="573"/>
      <c r="D587" s="575"/>
      <c r="E587" s="575"/>
      <c r="F587" s="128"/>
      <c r="G587" s="577"/>
      <c r="H587" s="540"/>
      <c r="I587" s="579"/>
      <c r="J587" s="533"/>
      <c r="K587" s="126"/>
      <c r="L587" s="126"/>
      <c r="M587" s="126"/>
      <c r="N587" s="126"/>
      <c r="O587" s="314"/>
      <c r="P587" s="314"/>
      <c r="Q587" s="310"/>
      <c r="R587" s="314" t="str" cm="1">
        <f t="array" ref="R587">IFERROR(IF(INDEX('Disaggregation Records'!$G$83:$G$153,MATCH(RIGHT(L587,255),RIGHT('Disaggregation Records'!$D$83:$D$153,255),0))="","",INDEX('Disaggregation Records'!$G$83:$G$153,MATCH(RIGHT(L587,255),RIGHT('Disaggregation Records'!$D$83:$D$153,255),0))),"")</f>
        <v/>
      </c>
    </row>
    <row r="588" spans="1:18" ht="20.100000000000001" customHeight="1">
      <c r="A588" s="126" t="str">
        <f t="shared" ref="A588" ca="1" si="756">INDIRECT("'update Helper'!C"&amp;Q588)</f>
        <v>a1VDm000000PgBzMAK</v>
      </c>
      <c r="B588" s="570">
        <v>14</v>
      </c>
      <c r="C588" s="572" t="str">
        <f ca="1">IFERROR(VLOOKUP(B588,'Outcome Indicators - Section C '!$A$9:$AC$70,29,FALSE),"")</f>
        <v>HIV O-16d Percentage of people who inject drugs who avoid health care because of stigma and discrimination</v>
      </c>
      <c r="D588" s="574" t="str">
        <f ca="1">M588</f>
        <v/>
      </c>
      <c r="E588" s="574" t="str">
        <f ca="1">N588</f>
        <v/>
      </c>
      <c r="F588" s="127"/>
      <c r="G588" s="576" t="str">
        <f ca="1">IF(OR(INDIRECT("'update Helper'!E"&amp;Q588)="",F588&lt;&gt;0,F589&lt;&gt;0),IF(IFERROR((F588/F589),"")="","",(F588/F589)),INDIRECT("'update Helper'!E"&amp;Q588)/100)</f>
        <v/>
      </c>
      <c r="H588" s="539"/>
      <c r="I588" s="578"/>
      <c r="J588" s="532"/>
      <c r="K588" s="126">
        <f ca="1">IF(AND(EXACT(C588,C586),C586&lt;&gt;0),K586+1,0)</f>
        <v>6</v>
      </c>
      <c r="L588" s="126" t="str">
        <f ca="1">IF(C588&lt;&gt;"",C588&amp;"-"&amp;K588,"")</f>
        <v>HIV O-16d Percentage of people who inject drugs who avoid health care because of stigma and discrimination-6</v>
      </c>
      <c r="M588" s="126" t="str">
        <f t="array" aca="1" ref="M588" ca="1">IFERROR(IF(INDEX('Disaggregation Records'!$E$83:$E$153,MATCH(RIGHT(L588,255),RIGHT('Disaggregation Records'!$D$83:$D$153,255),0))="","",INDEX('Disaggregation Records'!$E$83:$E$153,MATCH(RIGHT(L588,255),RIGHT('Disaggregation Records'!$D$83:$D$153,255),0))),"")</f>
        <v/>
      </c>
      <c r="N588" s="126" t="str">
        <f t="array" aca="1" ref="N588" ca="1">IFERROR(IF(INDEX('Disaggregation Records'!$F$83:$F$153,MATCH(RIGHT(L588,255),RIGHT('Disaggregation Records'!$D$83:$D$153,255),0))="","",INDEX('Disaggregation Records'!$F$83:$F$153,MATCH(RIGHT(L588,255),RIGHT('Disaggregation Records'!$D$83:$D$153,255),0))),"")</f>
        <v/>
      </c>
      <c r="O588" s="314" t="str">
        <f t="array" aca="1" ref="O588" ca="1">IFERROR(IF(INDEX('Disaggregation Records'!$H$83:$H$153,MATCH(RIGHT(L588,255),RIGHT('Disaggregation Records'!$D$83:$D$153,255),0))="","",INDEX('Disaggregation Records'!$H$83:$H$153,MATCH(RIGHT(L588,255),RIGHT('Disaggregation Records'!$D$83:$D$153,255),0))),"")</f>
        <v/>
      </c>
      <c r="P588" s="314"/>
      <c r="Q588" s="310">
        <f t="shared" ref="Q588" si="757">Q586+1</f>
        <v>1140</v>
      </c>
      <c r="R588" s="314" t="str" cm="1">
        <f t="array" aca="1" ref="R588" ca="1">IFERROR(IF(INDEX('Disaggregation Records'!$G$83:$G$153,MATCH(RIGHT(L588,255),RIGHT('Disaggregation Records'!$D$83:$D$153,255),0))="","",INDEX('Disaggregation Records'!$G$83:$G$153,MATCH(RIGHT(L588,255),RIGHT('Disaggregation Records'!$D$83:$D$153,255),0))),"")</f>
        <v/>
      </c>
    </row>
    <row r="589" spans="1:18" ht="20.100000000000001" customHeight="1">
      <c r="A589" s="126"/>
      <c r="B589" s="571"/>
      <c r="C589" s="573"/>
      <c r="D589" s="575"/>
      <c r="E589" s="575"/>
      <c r="F589" s="128"/>
      <c r="G589" s="577"/>
      <c r="H589" s="540"/>
      <c r="I589" s="579"/>
      <c r="J589" s="533"/>
      <c r="K589" s="126"/>
      <c r="L589" s="126"/>
      <c r="M589" s="126"/>
      <c r="N589" s="126"/>
      <c r="O589" s="314"/>
      <c r="P589" s="314"/>
      <c r="Q589" s="310"/>
      <c r="R589" s="314" t="str" cm="1">
        <f t="array" ref="R589">IFERROR(IF(INDEX('Disaggregation Records'!$G$83:$G$153,MATCH(RIGHT(L589,255),RIGHT('Disaggregation Records'!$D$83:$D$153,255),0))="","",INDEX('Disaggregation Records'!$G$83:$G$153,MATCH(RIGHT(L589,255),RIGHT('Disaggregation Records'!$D$83:$D$153,255),0))),"")</f>
        <v/>
      </c>
    </row>
    <row r="590" spans="1:18" ht="20.100000000000001" customHeight="1">
      <c r="A590" s="126" t="str">
        <f t="shared" ref="A590" ca="1" si="758">INDIRECT("'update Helper'!C"&amp;Q590)</f>
        <v>a1VDm000000PgC0MAK</v>
      </c>
      <c r="B590" s="570">
        <v>14</v>
      </c>
      <c r="C590" s="572" t="str">
        <f ca="1">IFERROR(VLOOKUP(B590,'Outcome Indicators - Section C '!$A$9:$AC$70,29,FALSE),"")</f>
        <v>HIV O-16d Percentage of people who inject drugs who avoid health care because of stigma and discrimination</v>
      </c>
      <c r="D590" s="574" t="str">
        <f ca="1">M590</f>
        <v/>
      </c>
      <c r="E590" s="574" t="str">
        <f ca="1">N590</f>
        <v/>
      </c>
      <c r="F590" s="127"/>
      <c r="G590" s="576" t="str">
        <f ca="1">IF(OR(INDIRECT("'update Helper'!E"&amp;Q590)="",F590&lt;&gt;0,F591&lt;&gt;0),IF(IFERROR((F590/F591),"")="","",(F590/F591)),INDIRECT("'update Helper'!E"&amp;Q590)/100)</f>
        <v/>
      </c>
      <c r="H590" s="539"/>
      <c r="I590" s="578"/>
      <c r="J590" s="532"/>
      <c r="K590" s="126">
        <f ca="1">IF(AND(EXACT(C590,C588),C588&lt;&gt;0),K588+1,0)</f>
        <v>7</v>
      </c>
      <c r="L590" s="126" t="str">
        <f ca="1">IF(C590&lt;&gt;"",C590&amp;"-"&amp;K590,"")</f>
        <v>HIV O-16d Percentage of people who inject drugs who avoid health care because of stigma and discrimination-7</v>
      </c>
      <c r="M590" s="126" t="str">
        <f t="array" aca="1" ref="M590" ca="1">IFERROR(IF(INDEX('Disaggregation Records'!$E$83:$E$153,MATCH(RIGHT(L590,255),RIGHT('Disaggregation Records'!$D$83:$D$153,255),0))="","",INDEX('Disaggregation Records'!$E$83:$E$153,MATCH(RIGHT(L590,255),RIGHT('Disaggregation Records'!$D$83:$D$153,255),0))),"")</f>
        <v/>
      </c>
      <c r="N590" s="126" t="str">
        <f t="array" aca="1" ref="N590" ca="1">IFERROR(IF(INDEX('Disaggregation Records'!$F$83:$F$153,MATCH(RIGHT(L590,255),RIGHT('Disaggregation Records'!$D$83:$D$153,255),0))="","",INDEX('Disaggregation Records'!$F$83:$F$153,MATCH(RIGHT(L590,255),RIGHT('Disaggregation Records'!$D$83:$D$153,255),0))),"")</f>
        <v/>
      </c>
      <c r="O590" s="314" t="str">
        <f t="array" aca="1" ref="O590" ca="1">IFERROR(IF(INDEX('Disaggregation Records'!$H$83:$H$153,MATCH(RIGHT(L590,255),RIGHT('Disaggregation Records'!$D$83:$D$153,255),0))="","",INDEX('Disaggregation Records'!$H$83:$H$153,MATCH(RIGHT(L590,255),RIGHT('Disaggregation Records'!$D$83:$D$153,255),0))),"")</f>
        <v/>
      </c>
      <c r="P590" s="314"/>
      <c r="Q590" s="310">
        <f t="shared" ref="Q590" si="759">Q588+1</f>
        <v>1141</v>
      </c>
      <c r="R590" s="314" t="str" cm="1">
        <f t="array" aca="1" ref="R590" ca="1">IFERROR(IF(INDEX('Disaggregation Records'!$G$83:$G$153,MATCH(RIGHT(L590,255),RIGHT('Disaggregation Records'!$D$83:$D$153,255),0))="","",INDEX('Disaggregation Records'!$G$83:$G$153,MATCH(RIGHT(L590,255),RIGHT('Disaggregation Records'!$D$83:$D$153,255),0))),"")</f>
        <v/>
      </c>
    </row>
    <row r="591" spans="1:18" ht="20.100000000000001" customHeight="1">
      <c r="B591" s="571"/>
      <c r="C591" s="573"/>
      <c r="D591" s="575"/>
      <c r="E591" s="575"/>
      <c r="F591" s="128"/>
      <c r="G591" s="577"/>
      <c r="H591" s="540"/>
      <c r="I591" s="579"/>
      <c r="J591" s="533"/>
      <c r="K591" s="126"/>
      <c r="L591" s="126"/>
      <c r="M591" s="126"/>
      <c r="N591" s="126"/>
      <c r="O591" s="314"/>
      <c r="P591" s="314"/>
      <c r="Q591" s="310"/>
      <c r="R591" s="314" t="str" cm="1">
        <f t="array" ref="R591">IFERROR(IF(INDEX('Disaggregation Records'!$G$83:$G$153,MATCH(RIGHT(L591,255),RIGHT('Disaggregation Records'!$D$83:$D$153,255),0))="","",INDEX('Disaggregation Records'!$G$83:$G$153,MATCH(RIGHT(L591,255),RIGHT('Disaggregation Records'!$D$83:$D$153,255),0))),"")</f>
        <v/>
      </c>
    </row>
    <row r="592" spans="1:18" ht="20.100000000000001" customHeight="1">
      <c r="A592" s="126" t="str">
        <f t="shared" ref="A592" ca="1" si="760">INDIRECT("'update Helper'!C"&amp;Q592)</f>
        <v>a1VDm000000PgC1MAK</v>
      </c>
      <c r="B592" s="570">
        <v>14</v>
      </c>
      <c r="C592" s="572" t="str">
        <f ca="1">IFERROR(VLOOKUP(B592,'Outcome Indicators - Section C '!$A$9:$AC$70,29,FALSE),"")</f>
        <v>HIV O-16d Percentage of people who inject drugs who avoid health care because of stigma and discrimination</v>
      </c>
      <c r="D592" s="574" t="str">
        <f ca="1">M592</f>
        <v/>
      </c>
      <c r="E592" s="574" t="str">
        <f ca="1">N592</f>
        <v/>
      </c>
      <c r="F592" s="127"/>
      <c r="G592" s="576" t="str">
        <f ca="1">IF(OR(INDIRECT("'update Helper'!E"&amp;Q592)="",F592&lt;&gt;0,F593&lt;&gt;0),IF(IFERROR((F592/F593),"")="","",(F592/F593)),INDIRECT("'update Helper'!E"&amp;Q592)/100)</f>
        <v/>
      </c>
      <c r="H592" s="539"/>
      <c r="I592" s="578"/>
      <c r="J592" s="532"/>
      <c r="K592" s="126">
        <f ca="1">IF(AND(EXACT(C592,C590),C590&lt;&gt;0),K590+1,0)</f>
        <v>8</v>
      </c>
      <c r="L592" s="126" t="str">
        <f ca="1">IF(C592&lt;&gt;"",C592&amp;"-"&amp;K592,"")</f>
        <v>HIV O-16d Percentage of people who inject drugs who avoid health care because of stigma and discrimination-8</v>
      </c>
      <c r="M592" s="126" t="str">
        <f t="array" aca="1" ref="M592" ca="1">IFERROR(IF(INDEX('Disaggregation Records'!$E$83:$E$153,MATCH(RIGHT(L592,255),RIGHT('Disaggregation Records'!$D$83:$D$153,255),0))="","",INDEX('Disaggregation Records'!$E$83:$E$153,MATCH(RIGHT(L592,255),RIGHT('Disaggregation Records'!$D$83:$D$153,255),0))),"")</f>
        <v/>
      </c>
      <c r="N592" s="126" t="str">
        <f t="array" aca="1" ref="N592" ca="1">IFERROR(IF(INDEX('Disaggregation Records'!$F$83:$F$153,MATCH(RIGHT(L592,255),RIGHT('Disaggregation Records'!$D$83:$D$153,255),0))="","",INDEX('Disaggregation Records'!$F$83:$F$153,MATCH(RIGHT(L592,255),RIGHT('Disaggregation Records'!$D$83:$D$153,255),0))),"")</f>
        <v/>
      </c>
      <c r="O592" s="314" t="str">
        <f t="array" aca="1" ref="O592" ca="1">IFERROR(IF(INDEX('Disaggregation Records'!$H$83:$H$153,MATCH(RIGHT(L592,255),RIGHT('Disaggregation Records'!$D$83:$D$153,255),0))="","",INDEX('Disaggregation Records'!$H$83:$H$153,MATCH(RIGHT(L592,255),RIGHT('Disaggregation Records'!$D$83:$D$153,255),0))),"")</f>
        <v/>
      </c>
      <c r="P592" s="314"/>
      <c r="Q592" s="310">
        <f t="shared" ref="Q592" si="761">Q590+1</f>
        <v>1142</v>
      </c>
      <c r="R592" s="314" t="str" cm="1">
        <f t="array" aca="1" ref="R592" ca="1">IFERROR(IF(INDEX('Disaggregation Records'!$G$83:$G$153,MATCH(RIGHT(L592,255),RIGHT('Disaggregation Records'!$D$83:$D$153,255),0))="","",INDEX('Disaggregation Records'!$G$83:$G$153,MATCH(RIGHT(L592,255),RIGHT('Disaggregation Records'!$D$83:$D$153,255),0))),"")</f>
        <v/>
      </c>
    </row>
    <row r="593" spans="1:18" ht="20.100000000000001" customHeight="1">
      <c r="A593" s="126"/>
      <c r="B593" s="571"/>
      <c r="C593" s="573"/>
      <c r="D593" s="575"/>
      <c r="E593" s="575"/>
      <c r="F593" s="128"/>
      <c r="G593" s="577"/>
      <c r="H593" s="540"/>
      <c r="I593" s="579"/>
      <c r="J593" s="533"/>
      <c r="K593" s="126"/>
      <c r="L593" s="126"/>
      <c r="M593" s="126"/>
      <c r="N593" s="126"/>
      <c r="O593" s="314"/>
      <c r="P593" s="314"/>
      <c r="Q593" s="310"/>
      <c r="R593" s="314" t="str" cm="1">
        <f t="array" ref="R593">IFERROR(IF(INDEX('Disaggregation Records'!$G$83:$G$153,MATCH(RIGHT(L593,255),RIGHT('Disaggregation Records'!$D$83:$D$153,255),0))="","",INDEX('Disaggregation Records'!$G$83:$G$153,MATCH(RIGHT(L593,255),RIGHT('Disaggregation Records'!$D$83:$D$153,255),0))),"")</f>
        <v/>
      </c>
    </row>
    <row r="594" spans="1:18" ht="20.100000000000001" customHeight="1">
      <c r="A594" s="126" t="str">
        <f t="shared" ref="A594" ca="1" si="762">INDIRECT("'update Helper'!C"&amp;Q594)</f>
        <v>a1VDm000000PgC2MAK</v>
      </c>
      <c r="B594" s="570">
        <v>14</v>
      </c>
      <c r="C594" s="572" t="str">
        <f ca="1">IFERROR(VLOOKUP(B594,'Outcome Indicators - Section C '!$A$9:$AC$70,29,FALSE),"")</f>
        <v>HIV O-16d Percentage of people who inject drugs who avoid health care because of stigma and discrimination</v>
      </c>
      <c r="D594" s="574" t="str">
        <f ca="1">M594</f>
        <v/>
      </c>
      <c r="E594" s="574" t="str">
        <f ca="1">N594</f>
        <v/>
      </c>
      <c r="F594" s="127"/>
      <c r="G594" s="576" t="str">
        <f ca="1">IF(OR(INDIRECT("'update Helper'!E"&amp;Q594)="",F594&lt;&gt;0,F595&lt;&gt;0),IF(IFERROR((F594/F595),"")="","",(F594/F595)),INDIRECT("'update Helper'!E"&amp;Q594)/100)</f>
        <v/>
      </c>
      <c r="H594" s="539"/>
      <c r="I594" s="578"/>
      <c r="J594" s="532"/>
      <c r="K594" s="126">
        <f ca="1">IF(AND(EXACT(C594,C592),C592&lt;&gt;0),K592+1,0)</f>
        <v>9</v>
      </c>
      <c r="L594" s="126" t="str">
        <f ca="1">IF(C594&lt;&gt;"",C594&amp;"-"&amp;K594,"")</f>
        <v>HIV O-16d Percentage of people who inject drugs who avoid health care because of stigma and discrimination-9</v>
      </c>
      <c r="M594" s="126" t="str">
        <f t="array" aca="1" ref="M594" ca="1">IFERROR(IF(INDEX('Disaggregation Records'!$E$83:$E$153,MATCH(RIGHT(L594,255),RIGHT('Disaggregation Records'!$D$83:$D$153,255),0))="","",INDEX('Disaggregation Records'!$E$83:$E$153,MATCH(RIGHT(L594,255),RIGHT('Disaggregation Records'!$D$83:$D$153,255),0))),"")</f>
        <v/>
      </c>
      <c r="N594" s="126" t="str">
        <f t="array" aca="1" ref="N594" ca="1">IFERROR(IF(INDEX('Disaggregation Records'!$F$83:$F$153,MATCH(RIGHT(L594,255),RIGHT('Disaggregation Records'!$D$83:$D$153,255),0))="","",INDEX('Disaggregation Records'!$F$83:$F$153,MATCH(RIGHT(L594,255),RIGHT('Disaggregation Records'!$D$83:$D$153,255),0))),"")</f>
        <v/>
      </c>
      <c r="O594" s="314" t="str">
        <f t="array" aca="1" ref="O594" ca="1">IFERROR(IF(INDEX('Disaggregation Records'!$H$83:$H$153,MATCH(RIGHT(L594,255),RIGHT('Disaggregation Records'!$D$83:$D$153,255),0))="","",INDEX('Disaggregation Records'!$H$83:$H$153,MATCH(RIGHT(L594,255),RIGHT('Disaggregation Records'!$D$83:$D$153,255),0))),"")</f>
        <v/>
      </c>
      <c r="P594" s="314"/>
      <c r="Q594" s="310">
        <f t="shared" ref="Q594" si="763">Q592+1</f>
        <v>1143</v>
      </c>
      <c r="R594" s="314" t="str" cm="1">
        <f t="array" aca="1" ref="R594" ca="1">IFERROR(IF(INDEX('Disaggregation Records'!$G$83:$G$153,MATCH(RIGHT(L594,255),RIGHT('Disaggregation Records'!$D$83:$D$153,255),0))="","",INDEX('Disaggregation Records'!$G$83:$G$153,MATCH(RIGHT(L594,255),RIGHT('Disaggregation Records'!$D$83:$D$153,255),0))),"")</f>
        <v/>
      </c>
    </row>
    <row r="595" spans="1:18" ht="20.100000000000001" customHeight="1">
      <c r="B595" s="571"/>
      <c r="C595" s="573"/>
      <c r="D595" s="575"/>
      <c r="E595" s="575"/>
      <c r="F595" s="128"/>
      <c r="G595" s="577"/>
      <c r="H595" s="540"/>
      <c r="I595" s="579"/>
      <c r="J595" s="533"/>
      <c r="K595" s="126"/>
      <c r="L595" s="126"/>
      <c r="M595" s="126"/>
      <c r="N595" s="126"/>
      <c r="O595" s="314"/>
      <c r="P595" s="314"/>
      <c r="Q595" s="310"/>
      <c r="R595" s="314" t="str" cm="1">
        <f t="array" ref="R595">IFERROR(IF(INDEX('Disaggregation Records'!$G$83:$G$153,MATCH(RIGHT(L595,255),RIGHT('Disaggregation Records'!$D$83:$D$153,255),0))="","",INDEX('Disaggregation Records'!$G$83:$G$153,MATCH(RIGHT(L595,255),RIGHT('Disaggregation Records'!$D$83:$D$153,255),0))),"")</f>
        <v/>
      </c>
    </row>
    <row r="596" spans="1:18" ht="20.100000000000001" customHeight="1">
      <c r="A596" s="126" t="str">
        <f t="shared" ref="A596" ca="1" si="764">INDIRECT("'update Helper'!C"&amp;Q596)</f>
        <v>a1VDm000000PgC3MAK</v>
      </c>
      <c r="B596" s="570">
        <v>15</v>
      </c>
      <c r="C596" s="572" t="str">
        <f ca="1">IFERROR(VLOOKUP(B596,'Outcome Indicators - Section C '!$A$9:$AC$70,29,FALSE),"")</f>
        <v>Number of female patients with all forms of TB notified (i.e., bacteriologically confirmed + clinically diagnosed); *includes only those with new and relapse TB.</v>
      </c>
      <c r="D596" s="574" t="str">
        <f ca="1">M596</f>
        <v/>
      </c>
      <c r="E596" s="574" t="str">
        <f ca="1">N596</f>
        <v/>
      </c>
      <c r="F596" s="127"/>
      <c r="G596" s="576" t="str">
        <f ca="1">IF(OR(INDIRECT("'update Helper'!E"&amp;Q596)="",F596&lt;&gt;0,F597&lt;&gt;0),IF(IFERROR((F596/F597),"")="","",(F596/F597)),INDIRECT("'update Helper'!E"&amp;Q596)/100)</f>
        <v/>
      </c>
      <c r="H596" s="539"/>
      <c r="I596" s="578"/>
      <c r="J596" s="532"/>
      <c r="K596" s="126">
        <f ca="1">IF(AND(EXACT(C596,C594),C594&lt;&gt;0),K594+1,0)</f>
        <v>0</v>
      </c>
      <c r="L596" s="126" t="str">
        <f ca="1">IF(C596&lt;&gt;"",C596&amp;"-"&amp;K596,"")</f>
        <v>Number of female patients with all forms of TB notified (i.e., bacteriologically confirmed + clinically diagnosed); *includes only those with new and relapse TB.-0</v>
      </c>
      <c r="M596" s="126" t="str">
        <f t="array" aca="1" ref="M596" ca="1">IFERROR(IF(INDEX('Disaggregation Records'!$E$83:$E$153,MATCH(RIGHT(L596,255),RIGHT('Disaggregation Records'!$D$83:$D$153,255),0))="","",INDEX('Disaggregation Records'!$E$83:$E$153,MATCH(RIGHT(L596,255),RIGHT('Disaggregation Records'!$D$83:$D$153,255),0))),"")</f>
        <v/>
      </c>
      <c r="N596" s="126" t="str">
        <f t="array" aca="1" ref="N596" ca="1">IFERROR(IF(INDEX('Disaggregation Records'!$F$83:$F$153,MATCH(RIGHT(L596,255),RIGHT('Disaggregation Records'!$D$83:$D$153,255),0))="","",INDEX('Disaggregation Records'!$F$83:$F$153,MATCH(RIGHT(L596,255),RIGHT('Disaggregation Records'!$D$83:$D$153,255),0))),"")</f>
        <v/>
      </c>
      <c r="O596" s="314" t="str">
        <f t="array" aca="1" ref="O596" ca="1">IFERROR(IF(INDEX('Disaggregation Records'!$H$83:$H$153,MATCH(RIGHT(L596,255),RIGHT('Disaggregation Records'!$D$83:$D$153,255),0))="","",INDEX('Disaggregation Records'!$H$83:$H$153,MATCH(RIGHT(L596,255),RIGHT('Disaggregation Records'!$D$83:$D$153,255),0))),"")</f>
        <v/>
      </c>
      <c r="P596" s="314"/>
      <c r="Q596" s="310">
        <f t="shared" ref="Q596" si="765">Q594+1</f>
        <v>1144</v>
      </c>
      <c r="R596" s="314" t="str" cm="1">
        <f t="array" aca="1" ref="R596" ca="1">IFERROR(IF(INDEX('Disaggregation Records'!$G$83:$G$153,MATCH(RIGHT(L596,255),RIGHT('Disaggregation Records'!$D$83:$D$153,255),0))="","",INDEX('Disaggregation Records'!$G$83:$G$153,MATCH(RIGHT(L596,255),RIGHT('Disaggregation Records'!$D$83:$D$153,255),0))),"")</f>
        <v/>
      </c>
    </row>
    <row r="597" spans="1:18" ht="20.100000000000001" customHeight="1">
      <c r="A597" s="126"/>
      <c r="B597" s="571"/>
      <c r="C597" s="573"/>
      <c r="D597" s="575"/>
      <c r="E597" s="575"/>
      <c r="F597" s="128"/>
      <c r="G597" s="577"/>
      <c r="H597" s="540"/>
      <c r="I597" s="579"/>
      <c r="J597" s="533"/>
      <c r="K597" s="126"/>
      <c r="L597" s="126"/>
      <c r="M597" s="126"/>
      <c r="N597" s="126"/>
      <c r="O597" s="314"/>
      <c r="P597" s="314"/>
      <c r="Q597" s="310"/>
      <c r="R597" s="314" t="str" cm="1">
        <f t="array" ref="R597">IFERROR(IF(INDEX('Disaggregation Records'!$G$83:$G$153,MATCH(RIGHT(L597,255),RIGHT('Disaggregation Records'!$D$83:$D$153,255),0))="","",INDEX('Disaggregation Records'!$G$83:$G$153,MATCH(RIGHT(L597,255),RIGHT('Disaggregation Records'!$D$83:$D$153,255),0))),"")</f>
        <v/>
      </c>
    </row>
    <row r="598" spans="1:18" ht="20.100000000000001" customHeight="1">
      <c r="A598" s="126" t="str">
        <f t="shared" ref="A598" ca="1" si="766">INDIRECT("'update Helper'!C"&amp;Q598)</f>
        <v>a1VDm000000PgC4MAK</v>
      </c>
      <c r="B598" s="570">
        <v>15</v>
      </c>
      <c r="C598" s="572" t="str">
        <f ca="1">IFERROR(VLOOKUP(B598,'Outcome Indicators - Section C '!$A$9:$AC$70,29,FALSE),"")</f>
        <v>Number of female patients with all forms of TB notified (i.e., bacteriologically confirmed + clinically diagnosed); *includes only those with new and relapse TB.</v>
      </c>
      <c r="D598" s="574" t="str">
        <f ca="1">M598</f>
        <v/>
      </c>
      <c r="E598" s="574" t="str">
        <f ca="1">N598</f>
        <v/>
      </c>
      <c r="F598" s="127"/>
      <c r="G598" s="576" t="str">
        <f ca="1">IF(OR(INDIRECT("'update Helper'!E"&amp;Q598)="",F598&lt;&gt;0,F599&lt;&gt;0),IF(IFERROR((F598/F599),"")="","",(F598/F599)),INDIRECT("'update Helper'!E"&amp;Q598)/100)</f>
        <v/>
      </c>
      <c r="H598" s="539"/>
      <c r="I598" s="578"/>
      <c r="J598" s="532"/>
      <c r="K598" s="126">
        <f ca="1">IF(AND(EXACT(C598,C596),C596&lt;&gt;0),K596+1,0)</f>
        <v>1</v>
      </c>
      <c r="L598" s="126" t="str">
        <f ca="1">IF(C598&lt;&gt;"",C598&amp;"-"&amp;K598,"")</f>
        <v>Number of female patients with all forms of TB notified (i.e., bacteriologically confirmed + clinically diagnosed); *includes only those with new and relapse TB.-1</v>
      </c>
      <c r="M598" s="126" t="str">
        <f t="array" aca="1" ref="M598" ca="1">IFERROR(IF(INDEX('Disaggregation Records'!$E$83:$E$153,MATCH(RIGHT(L598,255),RIGHT('Disaggregation Records'!$D$83:$D$153,255),0))="","",INDEX('Disaggregation Records'!$E$83:$E$153,MATCH(RIGHT(L598,255),RIGHT('Disaggregation Records'!$D$83:$D$153,255),0))),"")</f>
        <v/>
      </c>
      <c r="N598" s="126" t="str">
        <f t="array" aca="1" ref="N598" ca="1">IFERROR(IF(INDEX('Disaggregation Records'!$F$83:$F$153,MATCH(RIGHT(L598,255),RIGHT('Disaggregation Records'!$D$83:$D$153,255),0))="","",INDEX('Disaggregation Records'!$F$83:$F$153,MATCH(RIGHT(L598,255),RIGHT('Disaggregation Records'!$D$83:$D$153,255),0))),"")</f>
        <v/>
      </c>
      <c r="O598" s="314" t="str">
        <f t="array" aca="1" ref="O598" ca="1">IFERROR(IF(INDEX('Disaggregation Records'!$H$83:$H$153,MATCH(RIGHT(L598,255),RIGHT('Disaggregation Records'!$D$83:$D$153,255),0))="","",INDEX('Disaggregation Records'!$H$83:$H$153,MATCH(RIGHT(L598,255),RIGHT('Disaggregation Records'!$D$83:$D$153,255),0))),"")</f>
        <v/>
      </c>
      <c r="P598" s="314"/>
      <c r="Q598" s="310">
        <f t="shared" ref="Q598" si="767">Q596+1</f>
        <v>1145</v>
      </c>
      <c r="R598" s="314" t="str" cm="1">
        <f t="array" aca="1" ref="R598" ca="1">IFERROR(IF(INDEX('Disaggregation Records'!$G$83:$G$153,MATCH(RIGHT(L598,255),RIGHT('Disaggregation Records'!$D$83:$D$153,255),0))="","",INDEX('Disaggregation Records'!$G$83:$G$153,MATCH(RIGHT(L598,255),RIGHT('Disaggregation Records'!$D$83:$D$153,255),0))),"")</f>
        <v/>
      </c>
    </row>
    <row r="599" spans="1:18" ht="20.100000000000001" customHeight="1">
      <c r="B599" s="571"/>
      <c r="C599" s="573"/>
      <c r="D599" s="575"/>
      <c r="E599" s="575"/>
      <c r="F599" s="128"/>
      <c r="G599" s="577"/>
      <c r="H599" s="540"/>
      <c r="I599" s="579"/>
      <c r="J599" s="533"/>
      <c r="K599" s="126"/>
      <c r="L599" s="126"/>
      <c r="M599" s="126"/>
      <c r="N599" s="126"/>
      <c r="O599" s="314"/>
      <c r="P599" s="314"/>
      <c r="Q599" s="310"/>
      <c r="R599" s="314" t="str" cm="1">
        <f t="array" ref="R599">IFERROR(IF(INDEX('Disaggregation Records'!$G$83:$G$153,MATCH(RIGHT(L599,255),RIGHT('Disaggregation Records'!$D$83:$D$153,255),0))="","",INDEX('Disaggregation Records'!$G$83:$G$153,MATCH(RIGHT(L599,255),RIGHT('Disaggregation Records'!$D$83:$D$153,255),0))),"")</f>
        <v/>
      </c>
    </row>
    <row r="600" spans="1:18" ht="20.100000000000001" customHeight="1">
      <c r="A600" s="126" t="str">
        <f t="shared" ref="A600" ca="1" si="768">INDIRECT("'update Helper'!C"&amp;Q600)</f>
        <v>a1VDm000000PgC5MAK</v>
      </c>
      <c r="B600" s="570">
        <v>15</v>
      </c>
      <c r="C600" s="572" t="str">
        <f ca="1">IFERROR(VLOOKUP(B600,'Outcome Indicators - Section C '!$A$9:$AC$70,29,FALSE),"")</f>
        <v>Number of female patients with all forms of TB notified (i.e., bacteriologically confirmed + clinically diagnosed); *includes only those with new and relapse TB.</v>
      </c>
      <c r="D600" s="574" t="str">
        <f ca="1">M600</f>
        <v/>
      </c>
      <c r="E600" s="574" t="str">
        <f ca="1">N600</f>
        <v/>
      </c>
      <c r="F600" s="127"/>
      <c r="G600" s="576" t="str">
        <f ca="1">IF(OR(INDIRECT("'update Helper'!E"&amp;Q600)="",F600&lt;&gt;0,F601&lt;&gt;0),IF(IFERROR((F600/F601),"")="","",(F600/F601)),INDIRECT("'update Helper'!E"&amp;Q600)/100)</f>
        <v/>
      </c>
      <c r="H600" s="539"/>
      <c r="I600" s="578"/>
      <c r="J600" s="532"/>
      <c r="K600" s="126">
        <f ca="1">IF(AND(EXACT(C600,C598),C598&lt;&gt;0),K598+1,0)</f>
        <v>2</v>
      </c>
      <c r="L600" s="126" t="str">
        <f ca="1">IF(C600&lt;&gt;"",C600&amp;"-"&amp;K600,"")</f>
        <v>Number of female patients with all forms of TB notified (i.e., bacteriologically confirmed + clinically diagnosed); *includes only those with new and relapse TB.-2</v>
      </c>
      <c r="M600" s="126" t="str">
        <f t="array" aca="1" ref="M600" ca="1">IFERROR(IF(INDEX('Disaggregation Records'!$E$83:$E$153,MATCH(RIGHT(L600,255),RIGHT('Disaggregation Records'!$D$83:$D$153,255),0))="","",INDEX('Disaggregation Records'!$E$83:$E$153,MATCH(RIGHT(L600,255),RIGHT('Disaggregation Records'!$D$83:$D$153,255),0))),"")</f>
        <v/>
      </c>
      <c r="N600" s="126" t="str">
        <f t="array" aca="1" ref="N600" ca="1">IFERROR(IF(INDEX('Disaggregation Records'!$F$83:$F$153,MATCH(RIGHT(L600,255),RIGHT('Disaggregation Records'!$D$83:$D$153,255),0))="","",INDEX('Disaggregation Records'!$F$83:$F$153,MATCH(RIGHT(L600,255),RIGHT('Disaggregation Records'!$D$83:$D$153,255),0))),"")</f>
        <v/>
      </c>
      <c r="O600" s="314" t="str">
        <f t="array" aca="1" ref="O600" ca="1">IFERROR(IF(INDEX('Disaggregation Records'!$H$83:$H$153,MATCH(RIGHT(L600,255),RIGHT('Disaggregation Records'!$D$83:$D$153,255),0))="","",INDEX('Disaggregation Records'!$H$83:$H$153,MATCH(RIGHT(L600,255),RIGHT('Disaggregation Records'!$D$83:$D$153,255),0))),"")</f>
        <v/>
      </c>
      <c r="P600" s="314"/>
      <c r="Q600" s="310">
        <f t="shared" ref="Q600" si="769">Q598+1</f>
        <v>1146</v>
      </c>
      <c r="R600" s="314" t="str" cm="1">
        <f t="array" aca="1" ref="R600" ca="1">IFERROR(IF(INDEX('Disaggregation Records'!$G$83:$G$153,MATCH(RIGHT(L600,255),RIGHT('Disaggregation Records'!$D$83:$D$153,255),0))="","",INDEX('Disaggregation Records'!$G$83:$G$153,MATCH(RIGHT(L600,255),RIGHT('Disaggregation Records'!$D$83:$D$153,255),0))),"")</f>
        <v/>
      </c>
    </row>
    <row r="601" spans="1:18" ht="20.100000000000001" customHeight="1">
      <c r="A601" s="126"/>
      <c r="B601" s="571"/>
      <c r="C601" s="573"/>
      <c r="D601" s="575"/>
      <c r="E601" s="575"/>
      <c r="F601" s="128"/>
      <c r="G601" s="577"/>
      <c r="H601" s="540"/>
      <c r="I601" s="579"/>
      <c r="J601" s="533"/>
      <c r="K601" s="126"/>
      <c r="L601" s="126"/>
      <c r="M601" s="126"/>
      <c r="N601" s="126"/>
      <c r="O601" s="314"/>
      <c r="P601" s="314"/>
      <c r="Q601" s="310"/>
      <c r="R601" s="314" t="str" cm="1">
        <f t="array" ref="R601">IFERROR(IF(INDEX('Disaggregation Records'!$G$83:$G$153,MATCH(RIGHT(L601,255),RIGHT('Disaggregation Records'!$D$83:$D$153,255),0))="","",INDEX('Disaggregation Records'!$G$83:$G$153,MATCH(RIGHT(L601,255),RIGHT('Disaggregation Records'!$D$83:$D$153,255),0))),"")</f>
        <v/>
      </c>
    </row>
    <row r="602" spans="1:18" ht="20.100000000000001" customHeight="1">
      <c r="A602" s="126" t="str">
        <f t="shared" ref="A602" ca="1" si="770">INDIRECT("'update Helper'!C"&amp;Q602)</f>
        <v>a1VDm000000PgC6MAK</v>
      </c>
      <c r="B602" s="570">
        <v>15</v>
      </c>
      <c r="C602" s="572" t="str">
        <f ca="1">IFERROR(VLOOKUP(B602,'Outcome Indicators - Section C '!$A$9:$AC$70,29,FALSE),"")</f>
        <v>Number of female patients with all forms of TB notified (i.e., bacteriologically confirmed + clinically diagnosed); *includes only those with new and relapse TB.</v>
      </c>
      <c r="D602" s="574" t="str">
        <f ca="1">M602</f>
        <v/>
      </c>
      <c r="E602" s="574" t="str">
        <f ca="1">N602</f>
        <v/>
      </c>
      <c r="F602" s="127"/>
      <c r="G602" s="576" t="str">
        <f ca="1">IF(OR(INDIRECT("'update Helper'!E"&amp;Q602)="",F602&lt;&gt;0,F603&lt;&gt;0),IF(IFERROR((F602/F603),"")="","",(F602/F603)),INDIRECT("'update Helper'!E"&amp;Q602)/100)</f>
        <v/>
      </c>
      <c r="H602" s="539"/>
      <c r="I602" s="578"/>
      <c r="J602" s="532"/>
      <c r="K602" s="126">
        <f ca="1">IF(AND(EXACT(C602,C600),C600&lt;&gt;0),K600+1,0)</f>
        <v>3</v>
      </c>
      <c r="L602" s="126" t="str">
        <f ca="1">IF(C602&lt;&gt;"",C602&amp;"-"&amp;K602,"")</f>
        <v>Number of female patients with all forms of TB notified (i.e., bacteriologically confirmed + clinically diagnosed); *includes only those with new and relapse TB.-3</v>
      </c>
      <c r="M602" s="126" t="str">
        <f t="array" aca="1" ref="M602" ca="1">IFERROR(IF(INDEX('Disaggregation Records'!$E$83:$E$153,MATCH(RIGHT(L602,255),RIGHT('Disaggregation Records'!$D$83:$D$153,255),0))="","",INDEX('Disaggregation Records'!$E$83:$E$153,MATCH(RIGHT(L602,255),RIGHT('Disaggregation Records'!$D$83:$D$153,255),0))),"")</f>
        <v/>
      </c>
      <c r="N602" s="126" t="str">
        <f t="array" aca="1" ref="N602" ca="1">IFERROR(IF(INDEX('Disaggregation Records'!$F$83:$F$153,MATCH(RIGHT(L602,255),RIGHT('Disaggregation Records'!$D$83:$D$153,255),0))="","",INDEX('Disaggregation Records'!$F$83:$F$153,MATCH(RIGHT(L602,255),RIGHT('Disaggregation Records'!$D$83:$D$153,255),0))),"")</f>
        <v/>
      </c>
      <c r="O602" s="314" t="str">
        <f t="array" aca="1" ref="O602" ca="1">IFERROR(IF(INDEX('Disaggregation Records'!$H$83:$H$153,MATCH(RIGHT(L602,255),RIGHT('Disaggregation Records'!$D$83:$D$153,255),0))="","",INDEX('Disaggregation Records'!$H$83:$H$153,MATCH(RIGHT(L602,255),RIGHT('Disaggregation Records'!$D$83:$D$153,255),0))),"")</f>
        <v/>
      </c>
      <c r="P602" s="314"/>
      <c r="Q602" s="310">
        <f t="shared" ref="Q602" si="771">Q600+1</f>
        <v>1147</v>
      </c>
      <c r="R602" s="314" t="str" cm="1">
        <f t="array" aca="1" ref="R602" ca="1">IFERROR(IF(INDEX('Disaggregation Records'!$G$83:$G$153,MATCH(RIGHT(L602,255),RIGHT('Disaggregation Records'!$D$83:$D$153,255),0))="","",INDEX('Disaggregation Records'!$G$83:$G$153,MATCH(RIGHT(L602,255),RIGHT('Disaggregation Records'!$D$83:$D$153,255),0))),"")</f>
        <v/>
      </c>
    </row>
    <row r="603" spans="1:18" ht="20.100000000000001" customHeight="1">
      <c r="B603" s="571"/>
      <c r="C603" s="573"/>
      <c r="D603" s="575"/>
      <c r="E603" s="575"/>
      <c r="F603" s="128"/>
      <c r="G603" s="577"/>
      <c r="H603" s="540"/>
      <c r="I603" s="579"/>
      <c r="J603" s="533"/>
      <c r="K603" s="126"/>
      <c r="L603" s="126"/>
      <c r="M603" s="126"/>
      <c r="N603" s="126"/>
      <c r="O603" s="314"/>
      <c r="P603" s="314"/>
      <c r="Q603" s="310"/>
      <c r="R603" s="314" t="str" cm="1">
        <f t="array" ref="R603">IFERROR(IF(INDEX('Disaggregation Records'!$G$83:$G$153,MATCH(RIGHT(L603,255),RIGHT('Disaggregation Records'!$D$83:$D$153,255),0))="","",INDEX('Disaggregation Records'!$G$83:$G$153,MATCH(RIGHT(L603,255),RIGHT('Disaggregation Records'!$D$83:$D$153,255),0))),"")</f>
        <v/>
      </c>
    </row>
    <row r="604" spans="1:18" ht="20.100000000000001" customHeight="1">
      <c r="A604" s="126" t="str">
        <f t="shared" ref="A604" ca="1" si="772">INDIRECT("'update Helper'!C"&amp;Q604)</f>
        <v>a1VDm000000PgC7MAK</v>
      </c>
      <c r="B604" s="570">
        <v>15</v>
      </c>
      <c r="C604" s="572" t="str">
        <f ca="1">IFERROR(VLOOKUP(B604,'Outcome Indicators - Section C '!$A$9:$AC$70,29,FALSE),"")</f>
        <v>Number of female patients with all forms of TB notified (i.e., bacteriologically confirmed + clinically diagnosed); *includes only those with new and relapse TB.</v>
      </c>
      <c r="D604" s="574" t="str">
        <f ca="1">M604</f>
        <v/>
      </c>
      <c r="E604" s="574" t="str">
        <f ca="1">N604</f>
        <v/>
      </c>
      <c r="F604" s="127"/>
      <c r="G604" s="576" t="str">
        <f ca="1">IF(OR(INDIRECT("'update Helper'!E"&amp;Q604)="",F604&lt;&gt;0,F605&lt;&gt;0),IF(IFERROR((F604/F605),"")="","",(F604/F605)),INDIRECT("'update Helper'!E"&amp;Q604)/100)</f>
        <v/>
      </c>
      <c r="H604" s="539"/>
      <c r="I604" s="578"/>
      <c r="J604" s="532"/>
      <c r="K604" s="126">
        <f ca="1">IF(AND(EXACT(C604,C602),C602&lt;&gt;0),K602+1,0)</f>
        <v>4</v>
      </c>
      <c r="L604" s="126" t="str">
        <f ca="1">IF(C604&lt;&gt;"",C604&amp;"-"&amp;K604,"")</f>
        <v>Number of female patients with all forms of TB notified (i.e., bacteriologically confirmed + clinically diagnosed); *includes only those with new and relapse TB.-4</v>
      </c>
      <c r="M604" s="126" t="str">
        <f t="array" aca="1" ref="M604" ca="1">IFERROR(IF(INDEX('Disaggregation Records'!$E$83:$E$153,MATCH(RIGHT(L604,255),RIGHT('Disaggregation Records'!$D$83:$D$153,255),0))="","",INDEX('Disaggregation Records'!$E$83:$E$153,MATCH(RIGHT(L604,255),RIGHT('Disaggregation Records'!$D$83:$D$153,255),0))),"")</f>
        <v/>
      </c>
      <c r="N604" s="126" t="str">
        <f t="array" aca="1" ref="N604" ca="1">IFERROR(IF(INDEX('Disaggregation Records'!$F$83:$F$153,MATCH(RIGHT(L604,255),RIGHT('Disaggregation Records'!$D$83:$D$153,255),0))="","",INDEX('Disaggregation Records'!$F$83:$F$153,MATCH(RIGHT(L604,255),RIGHT('Disaggregation Records'!$D$83:$D$153,255),0))),"")</f>
        <v/>
      </c>
      <c r="O604" s="314" t="str">
        <f t="array" aca="1" ref="O604" ca="1">IFERROR(IF(INDEX('Disaggregation Records'!$H$83:$H$153,MATCH(RIGHT(L604,255),RIGHT('Disaggregation Records'!$D$83:$D$153,255),0))="","",INDEX('Disaggregation Records'!$H$83:$H$153,MATCH(RIGHT(L604,255),RIGHT('Disaggregation Records'!$D$83:$D$153,255),0))),"")</f>
        <v/>
      </c>
      <c r="P604" s="314"/>
      <c r="Q604" s="310">
        <f t="shared" ref="Q604" si="773">Q602+1</f>
        <v>1148</v>
      </c>
      <c r="R604" s="314" t="str" cm="1">
        <f t="array" aca="1" ref="R604" ca="1">IFERROR(IF(INDEX('Disaggregation Records'!$G$83:$G$153,MATCH(RIGHT(L604,255),RIGHT('Disaggregation Records'!$D$83:$D$153,255),0))="","",INDEX('Disaggregation Records'!$G$83:$G$153,MATCH(RIGHT(L604,255),RIGHT('Disaggregation Records'!$D$83:$D$153,255),0))),"")</f>
        <v/>
      </c>
    </row>
    <row r="605" spans="1:18" ht="20.100000000000001" customHeight="1">
      <c r="A605" s="126"/>
      <c r="B605" s="571"/>
      <c r="C605" s="573"/>
      <c r="D605" s="575"/>
      <c r="E605" s="575"/>
      <c r="F605" s="128"/>
      <c r="G605" s="577"/>
      <c r="H605" s="540"/>
      <c r="I605" s="579"/>
      <c r="J605" s="533"/>
      <c r="K605" s="126"/>
      <c r="L605" s="126"/>
      <c r="M605" s="126"/>
      <c r="N605" s="126"/>
      <c r="O605" s="314"/>
      <c r="P605" s="314"/>
      <c r="Q605" s="310"/>
      <c r="R605" s="314" t="str" cm="1">
        <f t="array" ref="R605">IFERROR(IF(INDEX('Disaggregation Records'!$G$83:$G$153,MATCH(RIGHT(L605,255),RIGHT('Disaggregation Records'!$D$83:$D$153,255),0))="","",INDEX('Disaggregation Records'!$G$83:$G$153,MATCH(RIGHT(L605,255),RIGHT('Disaggregation Records'!$D$83:$D$153,255),0))),"")</f>
        <v/>
      </c>
    </row>
    <row r="606" spans="1:18" ht="20.100000000000001" customHeight="1">
      <c r="A606" s="126" t="str">
        <f t="shared" ref="A606" ca="1" si="774">INDIRECT("'update Helper'!C"&amp;Q606)</f>
        <v>a1VDm000000PgC8MAK</v>
      </c>
      <c r="B606" s="570">
        <v>15</v>
      </c>
      <c r="C606" s="572" t="str">
        <f ca="1">IFERROR(VLOOKUP(B606,'Outcome Indicators - Section C '!$A$9:$AC$70,29,FALSE),"")</f>
        <v>Number of female patients with all forms of TB notified (i.e., bacteriologically confirmed + clinically diagnosed); *includes only those with new and relapse TB.</v>
      </c>
      <c r="D606" s="574" t="str">
        <f ca="1">M606</f>
        <v/>
      </c>
      <c r="E606" s="574" t="str">
        <f ca="1">N606</f>
        <v/>
      </c>
      <c r="F606" s="127"/>
      <c r="G606" s="576" t="str">
        <f ca="1">IF(OR(INDIRECT("'update Helper'!E"&amp;Q606)="",F606&lt;&gt;0,F607&lt;&gt;0),IF(IFERROR((F606/F607),"")="","",(F606/F607)),INDIRECT("'update Helper'!E"&amp;Q606)/100)</f>
        <v/>
      </c>
      <c r="H606" s="539"/>
      <c r="I606" s="578"/>
      <c r="J606" s="532"/>
      <c r="K606" s="126">
        <f ca="1">IF(AND(EXACT(C606,C604),C604&lt;&gt;0),K604+1,0)</f>
        <v>5</v>
      </c>
      <c r="L606" s="126" t="str">
        <f ca="1">IF(C606&lt;&gt;"",C606&amp;"-"&amp;K606,"")</f>
        <v>Number of female patients with all forms of TB notified (i.e., bacteriologically confirmed + clinically diagnosed); *includes only those with new and relapse TB.-5</v>
      </c>
      <c r="M606" s="126" t="str">
        <f t="array" aca="1" ref="M606" ca="1">IFERROR(IF(INDEX('Disaggregation Records'!$E$83:$E$153,MATCH(RIGHT(L606,255),RIGHT('Disaggregation Records'!$D$83:$D$153,255),0))="","",INDEX('Disaggregation Records'!$E$83:$E$153,MATCH(RIGHT(L606,255),RIGHT('Disaggregation Records'!$D$83:$D$153,255),0))),"")</f>
        <v/>
      </c>
      <c r="N606" s="126" t="str">
        <f t="array" aca="1" ref="N606" ca="1">IFERROR(IF(INDEX('Disaggregation Records'!$F$83:$F$153,MATCH(RIGHT(L606,255),RIGHT('Disaggregation Records'!$D$83:$D$153,255),0))="","",INDEX('Disaggregation Records'!$F$83:$F$153,MATCH(RIGHT(L606,255),RIGHT('Disaggregation Records'!$D$83:$D$153,255),0))),"")</f>
        <v/>
      </c>
      <c r="O606" s="314" t="str">
        <f t="array" aca="1" ref="O606" ca="1">IFERROR(IF(INDEX('Disaggregation Records'!$H$83:$H$153,MATCH(RIGHT(L606,255),RIGHT('Disaggregation Records'!$D$83:$D$153,255),0))="","",INDEX('Disaggregation Records'!$H$83:$H$153,MATCH(RIGHT(L606,255),RIGHT('Disaggregation Records'!$D$83:$D$153,255),0))),"")</f>
        <v/>
      </c>
      <c r="P606" s="314"/>
      <c r="Q606" s="310">
        <f t="shared" ref="Q606" si="775">Q604+1</f>
        <v>1149</v>
      </c>
      <c r="R606" s="314" t="str" cm="1">
        <f t="array" aca="1" ref="R606" ca="1">IFERROR(IF(INDEX('Disaggregation Records'!$G$83:$G$153,MATCH(RIGHT(L606,255),RIGHT('Disaggregation Records'!$D$83:$D$153,255),0))="","",INDEX('Disaggregation Records'!$G$83:$G$153,MATCH(RIGHT(L606,255),RIGHT('Disaggregation Records'!$D$83:$D$153,255),0))),"")</f>
        <v/>
      </c>
    </row>
    <row r="607" spans="1:18" ht="20.100000000000001" customHeight="1">
      <c r="B607" s="571"/>
      <c r="C607" s="573"/>
      <c r="D607" s="575"/>
      <c r="E607" s="575"/>
      <c r="F607" s="128"/>
      <c r="G607" s="577"/>
      <c r="H607" s="540"/>
      <c r="I607" s="579"/>
      <c r="J607" s="533"/>
      <c r="K607" s="126"/>
      <c r="L607" s="126"/>
      <c r="M607" s="126"/>
      <c r="N607" s="126"/>
      <c r="O607" s="314"/>
      <c r="P607" s="314"/>
      <c r="Q607" s="310"/>
      <c r="R607" s="314" t="str" cm="1">
        <f t="array" ref="R607">IFERROR(IF(INDEX('Disaggregation Records'!$G$83:$G$153,MATCH(RIGHT(L607,255),RIGHT('Disaggregation Records'!$D$83:$D$153,255),0))="","",INDEX('Disaggregation Records'!$G$83:$G$153,MATCH(RIGHT(L607,255),RIGHT('Disaggregation Records'!$D$83:$D$153,255),0))),"")</f>
        <v/>
      </c>
    </row>
    <row r="608" spans="1:18" ht="20.100000000000001" customHeight="1">
      <c r="A608" s="126" t="str">
        <f t="shared" ref="A608" ca="1" si="776">INDIRECT("'update Helper'!C"&amp;Q608)</f>
        <v>a1VDm000000PgC9MAK</v>
      </c>
      <c r="B608" s="570">
        <v>15</v>
      </c>
      <c r="C608" s="572" t="str">
        <f ca="1">IFERROR(VLOOKUP(B608,'Outcome Indicators - Section C '!$A$9:$AC$70,29,FALSE),"")</f>
        <v>Number of female patients with all forms of TB notified (i.e., bacteriologically confirmed + clinically diagnosed); *includes only those with new and relapse TB.</v>
      </c>
      <c r="D608" s="574" t="str">
        <f ca="1">M608</f>
        <v/>
      </c>
      <c r="E608" s="574" t="str">
        <f ca="1">N608</f>
        <v/>
      </c>
      <c r="F608" s="127"/>
      <c r="G608" s="576" t="str">
        <f ca="1">IF(OR(INDIRECT("'update Helper'!E"&amp;Q608)="",F608&lt;&gt;0,F609&lt;&gt;0),IF(IFERROR((F608/F609),"")="","",(F608/F609)),INDIRECT("'update Helper'!E"&amp;Q608)/100)</f>
        <v/>
      </c>
      <c r="H608" s="539"/>
      <c r="I608" s="578"/>
      <c r="J608" s="532"/>
      <c r="K608" s="126">
        <f ca="1">IF(AND(EXACT(C608,C606),C606&lt;&gt;0),K606+1,0)</f>
        <v>6</v>
      </c>
      <c r="L608" s="126" t="str">
        <f ca="1">IF(C608&lt;&gt;"",C608&amp;"-"&amp;K608,"")</f>
        <v>Number of female patients with all forms of TB notified (i.e., bacteriologically confirmed + clinically diagnosed); *includes only those with new and relapse TB.-6</v>
      </c>
      <c r="M608" s="126" t="str">
        <f t="array" aca="1" ref="M608" ca="1">IFERROR(IF(INDEX('Disaggregation Records'!$E$83:$E$153,MATCH(RIGHT(L608,255),RIGHT('Disaggregation Records'!$D$83:$D$153,255),0))="","",INDEX('Disaggregation Records'!$E$83:$E$153,MATCH(RIGHT(L608,255),RIGHT('Disaggregation Records'!$D$83:$D$153,255),0))),"")</f>
        <v/>
      </c>
      <c r="N608" s="126" t="str">
        <f t="array" aca="1" ref="N608" ca="1">IFERROR(IF(INDEX('Disaggregation Records'!$F$83:$F$153,MATCH(RIGHT(L608,255),RIGHT('Disaggregation Records'!$D$83:$D$153,255),0))="","",INDEX('Disaggregation Records'!$F$83:$F$153,MATCH(RIGHT(L608,255),RIGHT('Disaggregation Records'!$D$83:$D$153,255),0))),"")</f>
        <v/>
      </c>
      <c r="O608" s="314" t="str">
        <f t="array" aca="1" ref="O608" ca="1">IFERROR(IF(INDEX('Disaggregation Records'!$H$83:$H$153,MATCH(RIGHT(L608,255),RIGHT('Disaggregation Records'!$D$83:$D$153,255),0))="","",INDEX('Disaggregation Records'!$H$83:$H$153,MATCH(RIGHT(L608,255),RIGHT('Disaggregation Records'!$D$83:$D$153,255),0))),"")</f>
        <v/>
      </c>
      <c r="P608" s="314"/>
      <c r="Q608" s="310">
        <f t="shared" ref="Q608" si="777">Q606+1</f>
        <v>1150</v>
      </c>
      <c r="R608" s="314" t="str" cm="1">
        <f t="array" aca="1" ref="R608" ca="1">IFERROR(IF(INDEX('Disaggregation Records'!$G$83:$G$153,MATCH(RIGHT(L608,255),RIGHT('Disaggregation Records'!$D$83:$D$153,255),0))="","",INDEX('Disaggregation Records'!$G$83:$G$153,MATCH(RIGHT(L608,255),RIGHT('Disaggregation Records'!$D$83:$D$153,255),0))),"")</f>
        <v/>
      </c>
    </row>
    <row r="609" spans="1:18" ht="20.100000000000001" customHeight="1">
      <c r="A609" s="126"/>
      <c r="B609" s="571"/>
      <c r="C609" s="573"/>
      <c r="D609" s="575"/>
      <c r="E609" s="575"/>
      <c r="F609" s="128"/>
      <c r="G609" s="577"/>
      <c r="H609" s="540"/>
      <c r="I609" s="579"/>
      <c r="J609" s="533"/>
      <c r="K609" s="126"/>
      <c r="L609" s="126"/>
      <c r="M609" s="126"/>
      <c r="N609" s="126"/>
      <c r="O609" s="314"/>
      <c r="P609" s="314"/>
      <c r="Q609" s="310"/>
      <c r="R609" s="314" t="str" cm="1">
        <f t="array" ref="R609">IFERROR(IF(INDEX('Disaggregation Records'!$G$83:$G$153,MATCH(RIGHT(L609,255),RIGHT('Disaggregation Records'!$D$83:$D$153,255),0))="","",INDEX('Disaggregation Records'!$G$83:$G$153,MATCH(RIGHT(L609,255),RIGHT('Disaggregation Records'!$D$83:$D$153,255),0))),"")</f>
        <v/>
      </c>
    </row>
    <row r="610" spans="1:18" ht="20.100000000000001" customHeight="1">
      <c r="A610" s="126" t="str">
        <f t="shared" ref="A610" ca="1" si="778">INDIRECT("'update Helper'!C"&amp;Q610)</f>
        <v>a1VDm000000PgCAMA0</v>
      </c>
      <c r="B610" s="570">
        <v>15</v>
      </c>
      <c r="C610" s="572" t="str">
        <f ca="1">IFERROR(VLOOKUP(B610,'Outcome Indicators - Section C '!$A$9:$AC$70,29,FALSE),"")</f>
        <v>Number of female patients with all forms of TB notified (i.e., bacteriologically confirmed + clinically diagnosed); *includes only those with new and relapse TB.</v>
      </c>
      <c r="D610" s="574" t="str">
        <f ca="1">M610</f>
        <v/>
      </c>
      <c r="E610" s="574" t="str">
        <f ca="1">N610</f>
        <v/>
      </c>
      <c r="F610" s="127"/>
      <c r="G610" s="576" t="str">
        <f ca="1">IF(OR(INDIRECT("'update Helper'!E"&amp;Q610)="",F610&lt;&gt;0,F611&lt;&gt;0),IF(IFERROR((F610/F611),"")="","",(F610/F611)),INDIRECT("'update Helper'!E"&amp;Q610)/100)</f>
        <v/>
      </c>
      <c r="H610" s="539"/>
      <c r="I610" s="578"/>
      <c r="J610" s="532"/>
      <c r="K610" s="126">
        <f ca="1">IF(AND(EXACT(C610,C608),C608&lt;&gt;0),K608+1,0)</f>
        <v>7</v>
      </c>
      <c r="L610" s="126" t="str">
        <f ca="1">IF(C610&lt;&gt;"",C610&amp;"-"&amp;K610,"")</f>
        <v>Number of female patients with all forms of TB notified (i.e., bacteriologically confirmed + clinically diagnosed); *includes only those with new and relapse TB.-7</v>
      </c>
      <c r="M610" s="126" t="str">
        <f t="array" aca="1" ref="M610" ca="1">IFERROR(IF(INDEX('Disaggregation Records'!$E$83:$E$153,MATCH(RIGHT(L610,255),RIGHT('Disaggregation Records'!$D$83:$D$153,255),0))="","",INDEX('Disaggregation Records'!$E$83:$E$153,MATCH(RIGHT(L610,255),RIGHT('Disaggregation Records'!$D$83:$D$153,255),0))),"")</f>
        <v/>
      </c>
      <c r="N610" s="126" t="str">
        <f t="array" aca="1" ref="N610" ca="1">IFERROR(IF(INDEX('Disaggregation Records'!$F$83:$F$153,MATCH(RIGHT(L610,255),RIGHT('Disaggregation Records'!$D$83:$D$153,255),0))="","",INDEX('Disaggregation Records'!$F$83:$F$153,MATCH(RIGHT(L610,255),RIGHT('Disaggregation Records'!$D$83:$D$153,255),0))),"")</f>
        <v/>
      </c>
      <c r="O610" s="314" t="str">
        <f t="array" aca="1" ref="O610" ca="1">IFERROR(IF(INDEX('Disaggregation Records'!$H$83:$H$153,MATCH(RIGHT(L610,255),RIGHT('Disaggregation Records'!$D$83:$D$153,255),0))="","",INDEX('Disaggregation Records'!$H$83:$H$153,MATCH(RIGHT(L610,255),RIGHT('Disaggregation Records'!$D$83:$D$153,255),0))),"")</f>
        <v/>
      </c>
      <c r="P610" s="314"/>
      <c r="Q610" s="310">
        <f t="shared" ref="Q610" si="779">Q608+1</f>
        <v>1151</v>
      </c>
      <c r="R610" s="314" t="str" cm="1">
        <f t="array" aca="1" ref="R610" ca="1">IFERROR(IF(INDEX('Disaggregation Records'!$G$83:$G$153,MATCH(RIGHT(L610,255),RIGHT('Disaggregation Records'!$D$83:$D$153,255),0))="","",INDEX('Disaggregation Records'!$G$83:$G$153,MATCH(RIGHT(L610,255),RIGHT('Disaggregation Records'!$D$83:$D$153,255),0))),"")</f>
        <v/>
      </c>
    </row>
    <row r="611" spans="1:18" ht="20.100000000000001" customHeight="1">
      <c r="B611" s="571"/>
      <c r="C611" s="573"/>
      <c r="D611" s="575"/>
      <c r="E611" s="575"/>
      <c r="F611" s="128"/>
      <c r="G611" s="577"/>
      <c r="H611" s="540"/>
      <c r="I611" s="579"/>
      <c r="J611" s="533"/>
      <c r="K611" s="126"/>
      <c r="L611" s="126"/>
      <c r="M611" s="126"/>
      <c r="N611" s="126"/>
      <c r="O611" s="314"/>
      <c r="P611" s="314"/>
      <c r="Q611" s="310"/>
      <c r="R611" s="314" t="str" cm="1">
        <f t="array" ref="R611">IFERROR(IF(INDEX('Disaggregation Records'!$G$83:$G$153,MATCH(RIGHT(L611,255),RIGHT('Disaggregation Records'!$D$83:$D$153,255),0))="","",INDEX('Disaggregation Records'!$G$83:$G$153,MATCH(RIGHT(L611,255),RIGHT('Disaggregation Records'!$D$83:$D$153,255),0))),"")</f>
        <v/>
      </c>
    </row>
    <row r="612" spans="1:18" ht="20.100000000000001" customHeight="1">
      <c r="A612" s="126" t="str">
        <f t="shared" ref="A612" ca="1" si="780">INDIRECT("'update Helper'!C"&amp;Q612)</f>
        <v>a1VDm000000PgCBMA0</v>
      </c>
      <c r="B612" s="570">
        <v>15</v>
      </c>
      <c r="C612" s="572" t="str">
        <f ca="1">IFERROR(VLOOKUP(B612,'Outcome Indicators - Section C '!$A$9:$AC$70,29,FALSE),"")</f>
        <v>Number of female patients with all forms of TB notified (i.e., bacteriologically confirmed + clinically diagnosed); *includes only those with new and relapse TB.</v>
      </c>
      <c r="D612" s="574" t="str">
        <f ca="1">M612</f>
        <v/>
      </c>
      <c r="E612" s="574" t="str">
        <f ca="1">N612</f>
        <v/>
      </c>
      <c r="F612" s="127"/>
      <c r="G612" s="576" t="str">
        <f ca="1">IF(OR(INDIRECT("'update Helper'!E"&amp;Q612)="",F612&lt;&gt;0,F613&lt;&gt;0),IF(IFERROR((F612/F613),"")="","",(F612/F613)),INDIRECT("'update Helper'!E"&amp;Q612)/100)</f>
        <v/>
      </c>
      <c r="H612" s="539"/>
      <c r="I612" s="578"/>
      <c r="J612" s="532"/>
      <c r="K612" s="126">
        <f ca="1">IF(AND(EXACT(C612,C610),C610&lt;&gt;0),K610+1,0)</f>
        <v>8</v>
      </c>
      <c r="L612" s="126" t="str">
        <f ca="1">IF(C612&lt;&gt;"",C612&amp;"-"&amp;K612,"")</f>
        <v>Number of female patients with all forms of TB notified (i.e., bacteriologically confirmed + clinically diagnosed); *includes only those with new and relapse TB.-8</v>
      </c>
      <c r="M612" s="126" t="str">
        <f t="array" aca="1" ref="M612" ca="1">IFERROR(IF(INDEX('Disaggregation Records'!$E$83:$E$153,MATCH(RIGHT(L612,255),RIGHT('Disaggregation Records'!$D$83:$D$153,255),0))="","",INDEX('Disaggregation Records'!$E$83:$E$153,MATCH(RIGHT(L612,255),RIGHT('Disaggregation Records'!$D$83:$D$153,255),0))),"")</f>
        <v/>
      </c>
      <c r="N612" s="126" t="str">
        <f t="array" aca="1" ref="N612" ca="1">IFERROR(IF(INDEX('Disaggregation Records'!$F$83:$F$153,MATCH(RIGHT(L612,255),RIGHT('Disaggregation Records'!$D$83:$D$153,255),0))="","",INDEX('Disaggregation Records'!$F$83:$F$153,MATCH(RIGHT(L612,255),RIGHT('Disaggregation Records'!$D$83:$D$153,255),0))),"")</f>
        <v/>
      </c>
      <c r="O612" s="314" t="str">
        <f t="array" aca="1" ref="O612" ca="1">IFERROR(IF(INDEX('Disaggregation Records'!$H$83:$H$153,MATCH(RIGHT(L612,255),RIGHT('Disaggregation Records'!$D$83:$D$153,255),0))="","",INDEX('Disaggregation Records'!$H$83:$H$153,MATCH(RIGHT(L612,255),RIGHT('Disaggregation Records'!$D$83:$D$153,255),0))),"")</f>
        <v/>
      </c>
      <c r="P612" s="314"/>
      <c r="Q612" s="310">
        <f t="shared" ref="Q612" si="781">Q610+1</f>
        <v>1152</v>
      </c>
      <c r="R612" s="314" t="str" cm="1">
        <f t="array" aca="1" ref="R612" ca="1">IFERROR(IF(INDEX('Disaggregation Records'!$G$83:$G$153,MATCH(RIGHT(L612,255),RIGHT('Disaggregation Records'!$D$83:$D$153,255),0))="","",INDEX('Disaggregation Records'!$G$83:$G$153,MATCH(RIGHT(L612,255),RIGHT('Disaggregation Records'!$D$83:$D$153,255),0))),"")</f>
        <v/>
      </c>
    </row>
    <row r="613" spans="1:18" ht="20.100000000000001" customHeight="1">
      <c r="A613" s="126"/>
      <c r="B613" s="571"/>
      <c r="C613" s="573"/>
      <c r="D613" s="575"/>
      <c r="E613" s="575"/>
      <c r="F613" s="128"/>
      <c r="G613" s="577"/>
      <c r="H613" s="540"/>
      <c r="I613" s="579"/>
      <c r="J613" s="533"/>
      <c r="K613" s="126"/>
      <c r="L613" s="126"/>
      <c r="M613" s="126"/>
      <c r="N613" s="126"/>
      <c r="O613" s="314"/>
      <c r="P613" s="314"/>
      <c r="Q613" s="310"/>
      <c r="R613" s="314" t="str" cm="1">
        <f t="array" ref="R613">IFERROR(IF(INDEX('Disaggregation Records'!$G$83:$G$153,MATCH(RIGHT(L613,255),RIGHT('Disaggregation Records'!$D$83:$D$153,255),0))="","",INDEX('Disaggregation Records'!$G$83:$G$153,MATCH(RIGHT(L613,255),RIGHT('Disaggregation Records'!$D$83:$D$153,255),0))),"")</f>
        <v/>
      </c>
    </row>
    <row r="614" spans="1:18" ht="20.100000000000001" customHeight="1">
      <c r="A614" s="126" t="str">
        <f t="shared" ref="A614" ca="1" si="782">INDIRECT("'update Helper'!C"&amp;Q614)</f>
        <v>a1VDm000000PgCCMA0</v>
      </c>
      <c r="B614" s="570">
        <v>15</v>
      </c>
      <c r="C614" s="572" t="str">
        <f ca="1">IFERROR(VLOOKUP(B614,'Outcome Indicators - Section C '!$A$9:$AC$70,29,FALSE),"")</f>
        <v>Number of female patients with all forms of TB notified (i.e., bacteriologically confirmed + clinically diagnosed); *includes only those with new and relapse TB.</v>
      </c>
      <c r="D614" s="574" t="str">
        <f ca="1">M614</f>
        <v/>
      </c>
      <c r="E614" s="574" t="str">
        <f ca="1">N614</f>
        <v/>
      </c>
      <c r="F614" s="127"/>
      <c r="G614" s="576" t="str">
        <f ca="1">IF(OR(INDIRECT("'update Helper'!E"&amp;Q614)="",F614&lt;&gt;0,F615&lt;&gt;0),IF(IFERROR((F614/F615),"")="","",(F614/F615)),INDIRECT("'update Helper'!E"&amp;Q614)/100)</f>
        <v/>
      </c>
      <c r="H614" s="539"/>
      <c r="I614" s="578"/>
      <c r="J614" s="532"/>
      <c r="K614" s="126">
        <f ca="1">IF(AND(EXACT(C614,C612),C612&lt;&gt;0),K612+1,0)</f>
        <v>9</v>
      </c>
      <c r="L614" s="126" t="str">
        <f ca="1">IF(C614&lt;&gt;"",C614&amp;"-"&amp;K614,"")</f>
        <v>Number of female patients with all forms of TB notified (i.e., bacteriologically confirmed + clinically diagnosed); *includes only those with new and relapse TB.-9</v>
      </c>
      <c r="M614" s="126" t="str">
        <f t="array" aca="1" ref="M614" ca="1">IFERROR(IF(INDEX('Disaggregation Records'!$E$83:$E$153,MATCH(RIGHT(L614,255),RIGHT('Disaggregation Records'!$D$83:$D$153,255),0))="","",INDEX('Disaggregation Records'!$E$83:$E$153,MATCH(RIGHT(L614,255),RIGHT('Disaggregation Records'!$D$83:$D$153,255),0))),"")</f>
        <v/>
      </c>
      <c r="N614" s="126" t="str">
        <f t="array" aca="1" ref="N614" ca="1">IFERROR(IF(INDEX('Disaggregation Records'!$F$83:$F$153,MATCH(RIGHT(L614,255),RIGHT('Disaggregation Records'!$D$83:$D$153,255),0))="","",INDEX('Disaggregation Records'!$F$83:$F$153,MATCH(RIGHT(L614,255),RIGHT('Disaggregation Records'!$D$83:$D$153,255),0))),"")</f>
        <v/>
      </c>
      <c r="O614" s="314" t="str">
        <f t="array" aca="1" ref="O614" ca="1">IFERROR(IF(INDEX('Disaggregation Records'!$H$83:$H$153,MATCH(RIGHT(L614,255),RIGHT('Disaggregation Records'!$D$83:$D$153,255),0))="","",INDEX('Disaggregation Records'!$H$83:$H$153,MATCH(RIGHT(L614,255),RIGHT('Disaggregation Records'!$D$83:$D$153,255),0))),"")</f>
        <v/>
      </c>
      <c r="P614" s="314"/>
      <c r="Q614" s="310">
        <f t="shared" ref="Q614" si="783">Q612+1</f>
        <v>1153</v>
      </c>
      <c r="R614" s="314" t="str" cm="1">
        <f t="array" aca="1" ref="R614" ca="1">IFERROR(IF(INDEX('Disaggregation Records'!$G$83:$G$153,MATCH(RIGHT(L614,255),RIGHT('Disaggregation Records'!$D$83:$D$153,255),0))="","",INDEX('Disaggregation Records'!$G$83:$G$153,MATCH(RIGHT(L614,255),RIGHT('Disaggregation Records'!$D$83:$D$153,255),0))),"")</f>
        <v/>
      </c>
    </row>
    <row r="615" spans="1:18" ht="20.100000000000001" customHeight="1">
      <c r="B615" s="571"/>
      <c r="C615" s="573"/>
      <c r="D615" s="575"/>
      <c r="E615" s="575"/>
      <c r="F615" s="128"/>
      <c r="G615" s="577"/>
      <c r="H615" s="540"/>
      <c r="I615" s="579"/>
      <c r="J615" s="533"/>
      <c r="K615" s="126"/>
      <c r="L615" s="126"/>
      <c r="M615" s="126"/>
      <c r="N615" s="126"/>
      <c r="O615" s="314"/>
      <c r="P615" s="314"/>
      <c r="Q615" s="310"/>
      <c r="R615" s="314" t="str" cm="1">
        <f t="array" ref="R615">IFERROR(IF(INDEX('Disaggregation Records'!$G$83:$G$153,MATCH(RIGHT(L615,255),RIGHT('Disaggregation Records'!$D$83:$D$153,255),0))="","",INDEX('Disaggregation Records'!$G$83:$G$153,MATCH(RIGHT(L615,255),RIGHT('Disaggregation Records'!$D$83:$D$153,255),0))),"")</f>
        <v/>
      </c>
    </row>
    <row r="616" spans="1:18">
      <c r="B616" s="132"/>
      <c r="C616" s="132"/>
      <c r="D616" s="132"/>
      <c r="E616" s="132"/>
      <c r="K616" s="126"/>
      <c r="L616" s="126"/>
      <c r="M616" s="126"/>
      <c r="N616" s="126"/>
      <c r="O616" s="126"/>
      <c r="P616" s="126"/>
    </row>
    <row r="617" spans="1:18">
      <c r="B617" s="132"/>
      <c r="C617" s="132"/>
      <c r="D617" s="132"/>
      <c r="E617" s="132"/>
    </row>
    <row r="618" spans="1:18">
      <c r="B618" s="132"/>
      <c r="C618" s="132"/>
      <c r="D618" s="132"/>
      <c r="E618" s="132"/>
    </row>
    <row r="619" spans="1:18" ht="16.350000000000001" customHeight="1">
      <c r="B619" s="580" t="s">
        <v>2271</v>
      </c>
      <c r="C619" s="581"/>
      <c r="D619" s="581"/>
      <c r="E619" s="581"/>
      <c r="F619" s="581"/>
      <c r="G619" s="581"/>
      <c r="H619" s="581"/>
      <c r="I619" s="581"/>
      <c r="J619" s="581"/>
    </row>
    <row r="620" spans="1:18" ht="45" customHeight="1">
      <c r="B620" s="125" t="s">
        <v>2203</v>
      </c>
      <c r="C620" s="125" t="s">
        <v>2272</v>
      </c>
      <c r="D620" s="125" t="s">
        <v>2256</v>
      </c>
      <c r="E620" s="125" t="s">
        <v>2257</v>
      </c>
      <c r="F620" s="125" t="s">
        <v>767</v>
      </c>
      <c r="G620" s="125" t="s">
        <v>105</v>
      </c>
      <c r="H620" s="125" t="s">
        <v>768</v>
      </c>
      <c r="I620" s="125" t="s">
        <v>199</v>
      </c>
      <c r="J620" s="125" t="s">
        <v>176</v>
      </c>
      <c r="O620" s="316" t="s">
        <v>2258</v>
      </c>
      <c r="P620" s="312"/>
      <c r="Q620" s="312"/>
      <c r="R620" s="312" t="s">
        <v>2259</v>
      </c>
    </row>
    <row r="621" spans="1:18" s="126" customFormat="1" ht="20.100000000000001" customHeight="1">
      <c r="A621" s="126" t="str">
        <f t="shared" ref="A621" ca="1" si="784">INDIRECT("'update Helper'!C"&amp;Q621)</f>
        <v>a16Dm000000M3qBIAS</v>
      </c>
      <c r="B621" s="570">
        <v>1</v>
      </c>
      <c r="C621" s="572" t="str">
        <f ca="1">IFERROR(VLOOKUP(B621,'Coverage Indicators - Section D'!$A$9:$AO$94,41,FALSE),"")</f>
        <v>TBDT-1 Number of patients with of all forms of TB notified (i.e., bacteriologically confirmed + clinically diagnosed); *includes only those with new and relapse TB</v>
      </c>
      <c r="D621" s="574" t="str">
        <f ca="1">M621</f>
        <v>Age</v>
      </c>
      <c r="E621" s="574" t="str">
        <f ca="1">N621</f>
        <v>15+</v>
      </c>
      <c r="F621" s="127">
        <v>187489</v>
      </c>
      <c r="G621" s="576">
        <f ca="1">IF(OR(INDIRECT("'update Helper'!E"&amp;Q621)="",F621&lt;&gt;0,F622&lt;&gt;0),IF(IFERROR((F621/F622),"")="","",(F621/F622)),INDIRECT("'update Helper'!E"&amp;Q621)/100)</f>
        <v>0.87444964740121633</v>
      </c>
      <c r="H621" s="539">
        <v>2021</v>
      </c>
      <c r="I621" s="578" t="s">
        <v>780</v>
      </c>
      <c r="J621" s="532" t="s">
        <v>2273</v>
      </c>
      <c r="K621" s="126">
        <f ca="1">IF(AND(EXACT(C621,C619),C619&lt;&gt;0),K619+1,0)</f>
        <v>0</v>
      </c>
      <c r="L621" s="126" t="str">
        <f ca="1">IF(C621&lt;&gt;"",C621&amp;"-"&amp;K621,"")</f>
        <v>TBDT-1 Number of patients with of all forms of TB notified (i.e., bacteriologically confirmed + clinically diagnosed); *includes only those with new and relapse TB-0</v>
      </c>
      <c r="M621" s="126" t="str">
        <f t="array" aca="1" ref="M621" ca="1">IFERROR(IF(INDEX('Disaggregation Records'!$E$156:$E$517,MATCH(RIGHT(L621,255),RIGHT('Disaggregation Records'!$D$156:$D$517,255),0))="","",INDEX('Disaggregation Records'!$E$156:$E$517,MATCH(RIGHT(L621,255),RIGHT('Disaggregation Records'!$D$156:$D$517,255),0))),"")</f>
        <v>Age</v>
      </c>
      <c r="N621" s="126" t="str">
        <f t="array" aca="1" ref="N621" ca="1">IFERROR(IF(INDEX('Disaggregation Records'!$F$156:$F$517,MATCH(RIGHT(L621,255),RIGHT('Disaggregation Records'!$D$156:$D$517,255),0))="","",INDEX('Disaggregation Records'!$F$156:$F$517,MATCH(RIGHT(L621,255),RIGHT('Disaggregation Records'!$D$156:$D$517,255),0))),"")</f>
        <v>15+</v>
      </c>
      <c r="O621" s="314" t="str">
        <f t="array" aca="1" ref="O621" ca="1">IFERROR(IF(INDEX('Disaggregation Records'!$H$156:$H$517,MATCH(RIGHT(L621,255),RIGHT('Disaggregation Records'!$D$156:$D$517,255),0))="","",INDEX('Disaggregation Records'!$H$156:$H$517,MATCH(RIGHT(L621,255),RIGHT('Disaggregation Records'!$D$156:$D$517,255),0))),"")</f>
        <v>IDR-01318</v>
      </c>
      <c r="P621" s="314"/>
      <c r="Q621" s="314">
        <f>ROW(Coverage_Indicator_Disaggregation)+3</f>
        <v>1612</v>
      </c>
      <c r="R621" s="314" t="str" cm="1">
        <f t="array" aca="1" ref="R621" ca="1">IFERROR(IF(INDEX('Disaggregation Records'!$G$156:$G$517,MATCH(RIGHT(L621,255),RIGHT('Disaggregation Records'!$D$156:$D$517,255),0))="","",INDEX('Disaggregation Records'!$G$156:$G$517,MATCH(RIGHT(L621,255),RIGHT('Disaggregation Records'!$D$156:$D$517,255),0))),"")</f>
        <v>a1LDm000000Cb40MAC</v>
      </c>
    </row>
    <row r="622" spans="1:18" s="126" customFormat="1" ht="20.100000000000001" customHeight="1">
      <c r="B622" s="571"/>
      <c r="C622" s="573"/>
      <c r="D622" s="575"/>
      <c r="E622" s="575"/>
      <c r="F622" s="128">
        <v>214408</v>
      </c>
      <c r="G622" s="577"/>
      <c r="H622" s="540"/>
      <c r="I622" s="579"/>
      <c r="J622" s="533"/>
      <c r="O622" s="314"/>
      <c r="P622" s="314"/>
      <c r="Q622" s="314"/>
      <c r="R622" s="314" t="str" cm="1">
        <f t="array" ref="R622">IFERROR(IF(INDEX('Disaggregation Records'!$G$156:$G$517,MATCH(RIGHT(L622,255),RIGHT('Disaggregation Records'!$D$156:$D$517,255),0))="","",INDEX('Disaggregation Records'!$G$156:$G$517,MATCH(RIGHT(L622,255),RIGHT('Disaggregation Records'!$D$156:$D$517,255),0))),"")</f>
        <v/>
      </c>
    </row>
    <row r="623" spans="1:18" ht="20.100000000000001" customHeight="1">
      <c r="A623" s="126" t="str">
        <f t="shared" ref="A623" ca="1" si="785">INDIRECT("'update Helper'!C"&amp;Q623)</f>
        <v>a16Dm000000M3qCIAS</v>
      </c>
      <c r="B623" s="570">
        <v>1</v>
      </c>
      <c r="C623" s="572" t="str">
        <f ca="1">IFERROR(VLOOKUP(B623,'Coverage Indicators - Section D'!$A$9:$AO$94,41,FALSE),"")</f>
        <v>TBDT-1 Number of patients with of all forms of TB notified (i.e., bacteriologically confirmed + clinically diagnosed); *includes only those with new and relapse TB</v>
      </c>
      <c r="D623" s="574" t="str">
        <f ca="1">M623</f>
        <v>HIV status</v>
      </c>
      <c r="E623" s="574" t="str">
        <f t="shared" ref="E623" ca="1" si="786">N623</f>
        <v>Unknown</v>
      </c>
      <c r="F623" s="127">
        <v>47356</v>
      </c>
      <c r="G623" s="576">
        <f ca="1">IF(OR(INDIRECT("'update Helper'!E"&amp;Q623)="",F623&lt;&gt;0,F624&lt;&gt;0),IF(IFERROR((F623/F624),"")="","",(F623/F624)),INDIRECT("'update Helper'!E"&amp;Q623)/100)</f>
        <v>0.22086862430506324</v>
      </c>
      <c r="H623" s="539">
        <v>2021</v>
      </c>
      <c r="I623" s="578" t="s">
        <v>780</v>
      </c>
      <c r="J623" s="532" t="s">
        <v>2274</v>
      </c>
      <c r="K623" s="126">
        <f ca="1">IF(AND(EXACT(C623,C621),C621&lt;&gt;0),K621+1,0)</f>
        <v>1</v>
      </c>
      <c r="L623" s="126" t="str">
        <f t="shared" ref="L623" ca="1" si="787">IF(C623&lt;&gt;"",C623&amp;"-"&amp;K623,"")</f>
        <v>TBDT-1 Number of patients with of all forms of TB notified (i.e., bacteriologically confirmed + clinically diagnosed); *includes only those with new and relapse TB-1</v>
      </c>
      <c r="M623" s="126" t="str">
        <f t="array" aca="1" ref="M623" ca="1">IFERROR(IF(INDEX('Disaggregation Records'!$E$156:$E$517,MATCH(RIGHT(L623,255),RIGHT('Disaggregation Records'!$D$156:$D$517,255),0))="","",INDEX('Disaggregation Records'!$E$156:$E$517,MATCH(RIGHT(L623,255),RIGHT('Disaggregation Records'!$D$156:$D$517,255),0))),"")</f>
        <v>HIV status</v>
      </c>
      <c r="N623" s="126" t="str">
        <f t="array" aca="1" ref="N623" ca="1">IFERROR(IF(INDEX('Disaggregation Records'!$F$156:$F$517,MATCH(RIGHT(L623,255),RIGHT('Disaggregation Records'!$D$156:$D$517,255),0))="","",INDEX('Disaggregation Records'!$F$156:$F$517,MATCH(RIGHT(L623,255),RIGHT('Disaggregation Records'!$D$156:$D$517,255),0))),"")</f>
        <v>Unknown</v>
      </c>
      <c r="O623" s="314" t="str">
        <f t="array" aca="1" ref="O623" ca="1">IFERROR(IF(INDEX('Disaggregation Records'!$H$156:$H$517,MATCH(RIGHT(L623,255),RIGHT('Disaggregation Records'!$D$156:$D$517,255),0))="","",INDEX('Disaggregation Records'!$H$156:$H$517,MATCH(RIGHT(L623,255),RIGHT('Disaggregation Records'!$D$156:$D$517,255),0))),"")</f>
        <v>IDR-01317</v>
      </c>
      <c r="P623" s="314"/>
      <c r="Q623" s="310">
        <f>Q621+1</f>
        <v>1613</v>
      </c>
      <c r="R623" s="314" t="str" cm="1">
        <f t="array" aca="1" ref="R623" ca="1">IFERROR(IF(INDEX('Disaggregation Records'!$G$156:$G$517,MATCH(RIGHT(L623,255),RIGHT('Disaggregation Records'!$D$156:$D$517,255),0))="","",INDEX('Disaggregation Records'!$G$156:$G$517,MATCH(RIGHT(L623,255),RIGHT('Disaggregation Records'!$D$156:$D$517,255),0))),"")</f>
        <v>a1LDm000000Cb3zMAC</v>
      </c>
    </row>
    <row r="624" spans="1:18" ht="20.100000000000001" customHeight="1">
      <c r="B624" s="571"/>
      <c r="C624" s="573"/>
      <c r="D624" s="575"/>
      <c r="E624" s="575"/>
      <c r="F624" s="128">
        <v>214408</v>
      </c>
      <c r="G624" s="577"/>
      <c r="H624" s="540"/>
      <c r="I624" s="579"/>
      <c r="J624" s="533"/>
      <c r="K624" s="126"/>
      <c r="L624" s="126"/>
      <c r="M624" s="126"/>
      <c r="N624" s="126"/>
      <c r="O624" s="314"/>
      <c r="P624" s="314"/>
      <c r="Q624" s="310"/>
      <c r="R624" s="314" t="str" cm="1">
        <f t="array" ref="R624">IFERROR(IF(INDEX('Disaggregation Records'!$G$156:$G$517,MATCH(RIGHT(L624,255),RIGHT('Disaggregation Records'!$D$156:$D$517,255),0))="","",INDEX('Disaggregation Records'!$G$156:$G$517,MATCH(RIGHT(L624,255),RIGHT('Disaggregation Records'!$D$156:$D$517,255),0))),"")</f>
        <v/>
      </c>
    </row>
    <row r="625" spans="1:18" ht="20.100000000000001" customHeight="1">
      <c r="A625" s="126" t="str">
        <f t="shared" ref="A625:A685" ca="1" si="788">INDIRECT("'update Helper'!C"&amp;Q625)</f>
        <v>a16Dm000000M3qDIAS</v>
      </c>
      <c r="B625" s="570">
        <v>1</v>
      </c>
      <c r="C625" s="572" t="str">
        <f ca="1">IFERROR(VLOOKUP(B625,'Coverage Indicators - Section D'!$A$9:$AO$94,41,FALSE),"")</f>
        <v>TBDT-1 Number of patients with of all forms of TB notified (i.e., bacteriologically confirmed + clinically diagnosed); *includes only those with new and relapse TB</v>
      </c>
      <c r="D625" s="574" t="str">
        <f ca="1">M625</f>
        <v>Age</v>
      </c>
      <c r="E625" s="574" t="str">
        <f t="shared" ref="E625" ca="1" si="789">N625</f>
        <v>&lt;15</v>
      </c>
      <c r="F625" s="127">
        <v>26919</v>
      </c>
      <c r="G625" s="576">
        <f ca="1">IF(OR(INDIRECT("'update Helper'!E"&amp;Q625)="",F625&lt;&gt;0,F626&lt;&gt;0),IF(IFERROR((F625/F626),"")="","",(F625/F626)),INDIRECT("'update Helper'!E"&amp;Q625)/100)</f>
        <v>0.12555035259878364</v>
      </c>
      <c r="H625" s="539">
        <v>2021</v>
      </c>
      <c r="I625" s="578" t="s">
        <v>780</v>
      </c>
      <c r="J625" s="532" t="s">
        <v>2275</v>
      </c>
      <c r="K625" s="126">
        <f ca="1">IF(AND(EXACT(C625,C623),C623&lt;&gt;0),K623+1,0)</f>
        <v>2</v>
      </c>
      <c r="L625" s="126" t="str">
        <f t="shared" ref="L625" ca="1" si="790">IF(C625&lt;&gt;"",C625&amp;"-"&amp;K625,"")</f>
        <v>TBDT-1 Number of patients with of all forms of TB notified (i.e., bacteriologically confirmed + clinically diagnosed); *includes only those with new and relapse TB-2</v>
      </c>
      <c r="M625" s="126" t="str">
        <f t="array" aca="1" ref="M625" ca="1">IFERROR(IF(INDEX('Disaggregation Records'!$E$156:$E$517,MATCH(RIGHT(L625,255),RIGHT('Disaggregation Records'!$D$156:$D$517,255),0))="","",INDEX('Disaggregation Records'!$E$156:$E$517,MATCH(RIGHT(L625,255),RIGHT('Disaggregation Records'!$D$156:$D$517,255),0))),"")</f>
        <v>Age</v>
      </c>
      <c r="N625" s="126" t="str">
        <f t="array" aca="1" ref="N625" ca="1">IFERROR(IF(INDEX('Disaggregation Records'!$F$156:$F$517,MATCH(RIGHT(L625,255),RIGHT('Disaggregation Records'!$D$156:$D$517,255),0))="","",INDEX('Disaggregation Records'!$F$156:$F$517,MATCH(RIGHT(L625,255),RIGHT('Disaggregation Records'!$D$156:$D$517,255),0))),"")</f>
        <v>&lt;15</v>
      </c>
      <c r="O625" s="314" t="str">
        <f t="array" aca="1" ref="O625" ca="1">IFERROR(IF(INDEX('Disaggregation Records'!$H$156:$H$517,MATCH(RIGHT(L625,255),RIGHT('Disaggregation Records'!$D$156:$D$517,255),0))="","",INDEX('Disaggregation Records'!$H$156:$H$517,MATCH(RIGHT(L625,255),RIGHT('Disaggregation Records'!$D$156:$D$517,255),0))),"")</f>
        <v>IDR-01316</v>
      </c>
      <c r="P625" s="310"/>
      <c r="Q625" s="310">
        <f t="shared" ref="Q625" si="791">Q623+1</f>
        <v>1614</v>
      </c>
      <c r="R625" s="314" t="str" cm="1">
        <f t="array" aca="1" ref="R625" ca="1">IFERROR(IF(INDEX('Disaggregation Records'!$G$156:$G$517,MATCH(RIGHT(L625,255),RIGHT('Disaggregation Records'!$D$156:$D$517,255),0))="","",INDEX('Disaggregation Records'!$G$156:$G$517,MATCH(RIGHT(L625,255),RIGHT('Disaggregation Records'!$D$156:$D$517,255),0))),"")</f>
        <v>a1LDm000000Cb3yMAC</v>
      </c>
    </row>
    <row r="626" spans="1:18" ht="20.100000000000001" customHeight="1">
      <c r="A626" s="126"/>
      <c r="B626" s="571"/>
      <c r="C626" s="573"/>
      <c r="D626" s="575"/>
      <c r="E626" s="575"/>
      <c r="F626" s="128">
        <v>214408</v>
      </c>
      <c r="G626" s="577"/>
      <c r="H626" s="540"/>
      <c r="I626" s="579"/>
      <c r="J626" s="533"/>
      <c r="L626" s="126"/>
      <c r="N626" s="126"/>
      <c r="O626" s="314"/>
      <c r="P626" s="310"/>
      <c r="Q626" s="310"/>
      <c r="R626" s="314" t="str" cm="1">
        <f t="array" ref="R626">IFERROR(IF(INDEX('Disaggregation Records'!$G$156:$G$517,MATCH(RIGHT(L626,255),RIGHT('Disaggregation Records'!$D$156:$D$517,255),0))="","",INDEX('Disaggregation Records'!$G$156:$G$517,MATCH(RIGHT(L626,255),RIGHT('Disaggregation Records'!$D$156:$D$517,255),0))),"")</f>
        <v/>
      </c>
    </row>
    <row r="627" spans="1:18" ht="20.100000000000001" customHeight="1">
      <c r="A627" s="126" t="str">
        <f t="shared" ref="A627:A687" ca="1" si="792">INDIRECT("'update Helper'!C"&amp;Q627)</f>
        <v>a16Dm000000M3qEIAS</v>
      </c>
      <c r="B627" s="570">
        <v>1</v>
      </c>
      <c r="C627" s="572" t="str">
        <f ca="1">IFERROR(VLOOKUP(B627,'Coverage Indicators - Section D'!$A$9:$AO$94,41,FALSE),"")</f>
        <v>TBDT-1 Number of patients with of all forms of TB notified (i.e., bacteriologically confirmed + clinically diagnosed); *includes only those with new and relapse TB</v>
      </c>
      <c r="D627" s="574" t="str">
        <f ca="1">M627</f>
        <v>Gender</v>
      </c>
      <c r="E627" s="574" t="str">
        <f t="shared" ref="E627" ca="1" si="793">N627</f>
        <v>Male</v>
      </c>
      <c r="F627" s="127">
        <v>121367</v>
      </c>
      <c r="G627" s="576">
        <f ca="1">IF(OR(INDIRECT("'update Helper'!E"&amp;Q627)="",F627&lt;&gt;0,F628&lt;&gt;0),IF(IFERROR((F627/F628),"")="","",(F627/F628)),INDIRECT("'update Helper'!E"&amp;Q627)/100)</f>
        <v>0.56605630386925865</v>
      </c>
      <c r="H627" s="539">
        <v>2021</v>
      </c>
      <c r="I627" s="578" t="s">
        <v>780</v>
      </c>
      <c r="J627" s="532" t="s">
        <v>2276</v>
      </c>
      <c r="K627" s="126">
        <f ca="1">IF(AND(EXACT(C627,C625),C625&lt;&gt;0),K625+1,0)</f>
        <v>3</v>
      </c>
      <c r="L627" s="126" t="str">
        <f t="shared" ref="L627" ca="1" si="794">IF(C627&lt;&gt;"",C627&amp;"-"&amp;K627,"")</f>
        <v>TBDT-1 Number of patients with of all forms of TB notified (i.e., bacteriologically confirmed + clinically diagnosed); *includes only those with new and relapse TB-3</v>
      </c>
      <c r="M627" s="126" t="str">
        <f t="array" aca="1" ref="M627" ca="1">IFERROR(IF(INDEX('Disaggregation Records'!$E$156:$E$517,MATCH(RIGHT(L627,255),RIGHT('Disaggregation Records'!$D$156:$D$517,255),0))="","",INDEX('Disaggregation Records'!$E$156:$E$517,MATCH(RIGHT(L627,255),RIGHT('Disaggregation Records'!$D$156:$D$517,255),0))),"")</f>
        <v>Gender</v>
      </c>
      <c r="N627" s="126" t="str">
        <f t="array" aca="1" ref="N627" ca="1">IFERROR(IF(INDEX('Disaggregation Records'!$F$156:$F$517,MATCH(RIGHT(L627,255),RIGHT('Disaggregation Records'!$D$156:$D$517,255),0))="","",INDEX('Disaggregation Records'!$F$156:$F$517,MATCH(RIGHT(L627,255),RIGHT('Disaggregation Records'!$D$156:$D$517,255),0))),"")</f>
        <v>Male</v>
      </c>
      <c r="O627" s="314" t="str">
        <f t="array" aca="1" ref="O627" ca="1">IFERROR(IF(INDEX('Disaggregation Records'!$H$156:$H$517,MATCH(RIGHT(L627,255),RIGHT('Disaggregation Records'!$D$156:$D$517,255),0))="","",INDEX('Disaggregation Records'!$H$156:$H$517,MATCH(RIGHT(L627,255),RIGHT('Disaggregation Records'!$D$156:$D$517,255),0))),"")</f>
        <v>IDR-01315</v>
      </c>
      <c r="P627" s="310"/>
      <c r="Q627" s="310">
        <f t="shared" ref="Q627" si="795">Q625+1</f>
        <v>1615</v>
      </c>
      <c r="R627" s="314" t="str" cm="1">
        <f t="array" aca="1" ref="R627" ca="1">IFERROR(IF(INDEX('Disaggregation Records'!$G$156:$G$517,MATCH(RIGHT(L627,255),RIGHT('Disaggregation Records'!$D$156:$D$517,255),0))="","",INDEX('Disaggregation Records'!$G$156:$G$517,MATCH(RIGHT(L627,255),RIGHT('Disaggregation Records'!$D$156:$D$517,255),0))),"")</f>
        <v>a1LDm000000Cb3xMAC</v>
      </c>
    </row>
    <row r="628" spans="1:18" ht="20.100000000000001" customHeight="1">
      <c r="B628" s="571"/>
      <c r="C628" s="573"/>
      <c r="D628" s="575"/>
      <c r="E628" s="575"/>
      <c r="F628" s="128">
        <v>214408</v>
      </c>
      <c r="G628" s="577"/>
      <c r="H628" s="540"/>
      <c r="I628" s="579"/>
      <c r="J628" s="533"/>
      <c r="L628" s="126"/>
      <c r="N628" s="126"/>
      <c r="O628" s="314"/>
      <c r="P628" s="310"/>
      <c r="Q628" s="310"/>
      <c r="R628" s="314" t="str" cm="1">
        <f t="array" ref="R628">IFERROR(IF(INDEX('Disaggregation Records'!$G$156:$G$517,MATCH(RIGHT(L628,255),RIGHT('Disaggregation Records'!$D$156:$D$517,255),0))="","",INDEX('Disaggregation Records'!$G$156:$G$517,MATCH(RIGHT(L628,255),RIGHT('Disaggregation Records'!$D$156:$D$517,255),0))),"")</f>
        <v/>
      </c>
    </row>
    <row r="629" spans="1:18" ht="20.100000000000001" customHeight="1">
      <c r="A629" s="126" t="str">
        <f t="shared" ca="1" si="788"/>
        <v>a16Dm000000M3qFIAS</v>
      </c>
      <c r="B629" s="570">
        <v>1</v>
      </c>
      <c r="C629" s="572" t="str">
        <f ca="1">IFERROR(VLOOKUP(B629,'Coverage Indicators - Section D'!$A$9:$AO$94,41,FALSE),"")</f>
        <v>TBDT-1 Number of patients with of all forms of TB notified (i.e., bacteriologically confirmed + clinically diagnosed); *includes only those with new and relapse TB</v>
      </c>
      <c r="D629" s="574" t="str">
        <f ca="1">M629</f>
        <v>HIV status</v>
      </c>
      <c r="E629" s="574" t="str">
        <f t="shared" ref="E629" ca="1" si="796">N629</f>
        <v>Negative</v>
      </c>
      <c r="F629" s="127">
        <v>153679</v>
      </c>
      <c r="G629" s="576">
        <f ca="1">IF(OR(INDIRECT("'update Helper'!E"&amp;Q629)="",F629&lt;&gt;0,F630&lt;&gt;0),IF(IFERROR((F629/F630),"")="","",(F629/F630)),INDIRECT("'update Helper'!E"&amp;Q629)/100)</f>
        <v>0.71675963583448377</v>
      </c>
      <c r="H629" s="539">
        <v>2021</v>
      </c>
      <c r="I629" s="578" t="s">
        <v>2211</v>
      </c>
      <c r="J629" s="532" t="s">
        <v>2277</v>
      </c>
      <c r="K629" s="126">
        <f ca="1">IF(AND(EXACT(C629,C627),C627&lt;&gt;0),K627+1,0)</f>
        <v>4</v>
      </c>
      <c r="L629" s="126" t="str">
        <f t="shared" ref="L629" ca="1" si="797">IF(C629&lt;&gt;"",C629&amp;"-"&amp;K629,"")</f>
        <v>TBDT-1 Number of patients with of all forms of TB notified (i.e., bacteriologically confirmed + clinically diagnosed); *includes only those with new and relapse TB-4</v>
      </c>
      <c r="M629" s="126" t="str">
        <f t="array" aca="1" ref="M629" ca="1">IFERROR(IF(INDEX('Disaggregation Records'!$E$156:$E$517,MATCH(RIGHT(L629,255),RIGHT('Disaggregation Records'!$D$156:$D$517,255),0))="","",INDEX('Disaggregation Records'!$E$156:$E$517,MATCH(RIGHT(L629,255),RIGHT('Disaggregation Records'!$D$156:$D$517,255),0))),"")</f>
        <v>HIV status</v>
      </c>
      <c r="N629" s="126" t="str">
        <f t="array" aca="1" ref="N629" ca="1">IFERROR(IF(INDEX('Disaggregation Records'!$F$156:$F$517,MATCH(RIGHT(L629,255),RIGHT('Disaggregation Records'!$D$156:$D$517,255),0))="","",INDEX('Disaggregation Records'!$F$156:$F$517,MATCH(RIGHT(L629,255),RIGHT('Disaggregation Records'!$D$156:$D$517,255),0))),"")</f>
        <v>Negative</v>
      </c>
      <c r="O629" s="314" t="str">
        <f t="array" aca="1" ref="O629" ca="1">IFERROR(IF(INDEX('Disaggregation Records'!$H$156:$H$517,MATCH(RIGHT(L629,255),RIGHT('Disaggregation Records'!$D$156:$D$517,255),0))="","",INDEX('Disaggregation Records'!$H$156:$H$517,MATCH(RIGHT(L629,255),RIGHT('Disaggregation Records'!$D$156:$D$517,255),0))),"")</f>
        <v>IDR-01314</v>
      </c>
      <c r="P629" s="310"/>
      <c r="Q629" s="310">
        <f t="shared" ref="Q629" si="798">Q627+1</f>
        <v>1616</v>
      </c>
      <c r="R629" s="314" t="str" cm="1">
        <f t="array" aca="1" ref="R629" ca="1">IFERROR(IF(INDEX('Disaggregation Records'!$G$156:$G$517,MATCH(RIGHT(L629,255),RIGHT('Disaggregation Records'!$D$156:$D$517,255),0))="","",INDEX('Disaggregation Records'!$G$156:$G$517,MATCH(RIGHT(L629,255),RIGHT('Disaggregation Records'!$D$156:$D$517,255),0))),"")</f>
        <v>a1LDm000000Cb3wMAC</v>
      </c>
    </row>
    <row r="630" spans="1:18" ht="20.100000000000001" customHeight="1">
      <c r="A630" s="126"/>
      <c r="B630" s="571"/>
      <c r="C630" s="573"/>
      <c r="D630" s="575"/>
      <c r="E630" s="575"/>
      <c r="F630" s="128">
        <v>214408</v>
      </c>
      <c r="G630" s="577"/>
      <c r="H630" s="540"/>
      <c r="I630" s="579"/>
      <c r="J630" s="533"/>
      <c r="L630" s="126"/>
      <c r="N630" s="126"/>
      <c r="O630" s="314"/>
      <c r="P630" s="310"/>
      <c r="Q630" s="310"/>
      <c r="R630" s="314" t="str" cm="1">
        <f t="array" ref="R630">IFERROR(IF(INDEX('Disaggregation Records'!$G$156:$G$517,MATCH(RIGHT(L630,255),RIGHT('Disaggregation Records'!$D$156:$D$517,255),0))="","",INDEX('Disaggregation Records'!$G$156:$G$517,MATCH(RIGHT(L630,255),RIGHT('Disaggregation Records'!$D$156:$D$517,255),0))),"")</f>
        <v/>
      </c>
    </row>
    <row r="631" spans="1:18" ht="20.100000000000001" customHeight="1">
      <c r="A631" s="126" t="str">
        <f t="shared" ca="1" si="792"/>
        <v>a16Dm000000M3qGIAS</v>
      </c>
      <c r="B631" s="570">
        <v>1</v>
      </c>
      <c r="C631" s="572" t="str">
        <f ca="1">IFERROR(VLOOKUP(B631,'Coverage Indicators - Section D'!$A$9:$AO$94,41,FALSE),"")</f>
        <v>TBDT-1 Number of patients with of all forms of TB notified (i.e., bacteriologically confirmed + clinically diagnosed); *includes only those with new and relapse TB</v>
      </c>
      <c r="D631" s="574" t="str">
        <f ca="1">M631</f>
        <v>TB case definition</v>
      </c>
      <c r="E631" s="574" t="str">
        <f ca="1">N631</f>
        <v>Bacteriologically confirmed</v>
      </c>
      <c r="F631" s="127">
        <v>131846</v>
      </c>
      <c r="G631" s="576">
        <f ca="1">IF(OR(INDIRECT("'update Helper'!E"&amp;Q631)="",F631&lt;&gt;0,F632&lt;&gt;0),IF(IFERROR((F631/F632),"")="","",(F631/F632)),INDIRECT("'update Helper'!E"&amp;Q631)/100)</f>
        <v>0.61493041304428941</v>
      </c>
      <c r="H631" s="539">
        <v>2021</v>
      </c>
      <c r="I631" s="578" t="s">
        <v>780</v>
      </c>
      <c r="J631" s="532" t="s">
        <v>2278</v>
      </c>
      <c r="K631" s="126">
        <f ca="1">IF(AND(EXACT(C631,C629),C629&lt;&gt;0),K629+1,0)</f>
        <v>5</v>
      </c>
      <c r="L631" s="126" t="str">
        <f t="shared" ref="L631" ca="1" si="799">IF(C631&lt;&gt;"",C631&amp;"-"&amp;K631,"")</f>
        <v>TBDT-1 Number of patients with of all forms of TB notified (i.e., bacteriologically confirmed + clinically diagnosed); *includes only those with new and relapse TB-5</v>
      </c>
      <c r="M631" s="126" t="str">
        <f t="array" aca="1" ref="M631" ca="1">IFERROR(IF(INDEX('Disaggregation Records'!$E$156:$E$517,MATCH(RIGHT(L631,255),RIGHT('Disaggregation Records'!$D$156:$D$517,255),0))="","",INDEX('Disaggregation Records'!$E$156:$E$517,MATCH(RIGHT(L631,255),RIGHT('Disaggregation Records'!$D$156:$D$517,255),0))),"")</f>
        <v>TB case definition</v>
      </c>
      <c r="N631" s="126" t="str">
        <f t="array" aca="1" ref="N631" ca="1">IFERROR(IF(INDEX('Disaggregation Records'!$F$156:$F$517,MATCH(RIGHT(L631,255),RIGHT('Disaggregation Records'!$D$156:$D$517,255),0))="","",INDEX('Disaggregation Records'!$F$156:$F$517,MATCH(RIGHT(L631,255),RIGHT('Disaggregation Records'!$D$156:$D$517,255),0))),"")</f>
        <v>Bacteriologically confirmed</v>
      </c>
      <c r="O631" s="314" t="str">
        <f t="array" aca="1" ref="O631" ca="1">IFERROR(IF(INDEX('Disaggregation Records'!$H$156:$H$517,MATCH(RIGHT(L631,255),RIGHT('Disaggregation Records'!$D$156:$D$517,255),0))="","",INDEX('Disaggregation Records'!$H$156:$H$517,MATCH(RIGHT(L631,255),RIGHT('Disaggregation Records'!$D$156:$D$517,255),0))),"")</f>
        <v>IDR-01313</v>
      </c>
      <c r="P631" s="314"/>
      <c r="Q631" s="310">
        <f t="shared" ref="Q631" si="800">Q629+1</f>
        <v>1617</v>
      </c>
      <c r="R631" s="314" t="str" cm="1">
        <f t="array" aca="1" ref="R631" ca="1">IFERROR(IF(INDEX('Disaggregation Records'!$G$156:$G$517,MATCH(RIGHT(L631,255),RIGHT('Disaggregation Records'!$D$156:$D$517,255),0))="","",INDEX('Disaggregation Records'!$G$156:$G$517,MATCH(RIGHT(L631,255),RIGHT('Disaggregation Records'!$D$156:$D$517,255),0))),"")</f>
        <v>a1LDm000000Cb3vMAC</v>
      </c>
    </row>
    <row r="632" spans="1:18" ht="20.100000000000001" customHeight="1">
      <c r="B632" s="571"/>
      <c r="C632" s="573"/>
      <c r="D632" s="575"/>
      <c r="E632" s="575"/>
      <c r="F632" s="128">
        <v>214408</v>
      </c>
      <c r="G632" s="577"/>
      <c r="H632" s="540"/>
      <c r="I632" s="579"/>
      <c r="J632" s="533"/>
      <c r="K632" s="126"/>
      <c r="L632" s="126"/>
      <c r="M632" s="126"/>
      <c r="N632" s="126"/>
      <c r="O632" s="314"/>
      <c r="P632" s="314"/>
      <c r="Q632" s="310"/>
      <c r="R632" s="314" t="str" cm="1">
        <f t="array" ref="R632">IFERROR(IF(INDEX('Disaggregation Records'!$G$156:$G$517,MATCH(RIGHT(L632,255),RIGHT('Disaggregation Records'!$D$156:$D$517,255),0))="","",INDEX('Disaggregation Records'!$G$156:$G$517,MATCH(RIGHT(L632,255),RIGHT('Disaggregation Records'!$D$156:$D$517,255),0))),"")</f>
        <v/>
      </c>
    </row>
    <row r="633" spans="1:18" ht="20.100000000000001" customHeight="1">
      <c r="A633" s="126" t="str">
        <f t="shared" ca="1" si="788"/>
        <v>a16Dm000000M3qHIAS</v>
      </c>
      <c r="B633" s="570">
        <v>1</v>
      </c>
      <c r="C633" s="572" t="str">
        <f ca="1">IFERROR(VLOOKUP(B633,'Coverage Indicators - Section D'!$A$9:$AO$94,41,FALSE),"")</f>
        <v>TBDT-1 Number of patients with of all forms of TB notified (i.e., bacteriologically confirmed + clinically diagnosed); *includes only those with new and relapse TB</v>
      </c>
      <c r="D633" s="574" t="str">
        <f ca="1">M633</f>
        <v>Gender</v>
      </c>
      <c r="E633" s="574" t="str">
        <f ca="1">N633</f>
        <v>Female</v>
      </c>
      <c r="F633" s="127">
        <v>93041</v>
      </c>
      <c r="G633" s="576">
        <f ca="1">IF(OR(INDIRECT("'update Helper'!E"&amp;Q633)="",F633&lt;&gt;0,F634&lt;&gt;0),IF(IFERROR((F633/F634),"")="","",(F633/F634)),INDIRECT("'update Helper'!E"&amp;Q633)/100)</f>
        <v>0.43394369613074141</v>
      </c>
      <c r="H633" s="539">
        <v>2021</v>
      </c>
      <c r="I633" s="578" t="s">
        <v>780</v>
      </c>
      <c r="J633" s="532" t="s">
        <v>2279</v>
      </c>
      <c r="K633" s="126">
        <f ca="1">IF(AND(EXACT(C633,C631),C631&lt;&gt;0),K631+1,0)</f>
        <v>6</v>
      </c>
      <c r="L633" s="126" t="str">
        <f t="shared" ref="L633" ca="1" si="801">IF(C633&lt;&gt;"",C633&amp;"-"&amp;K633,"")</f>
        <v>TBDT-1 Number of patients with of all forms of TB notified (i.e., bacteriologically confirmed + clinically diagnosed); *includes only those with new and relapse TB-6</v>
      </c>
      <c r="M633" s="126" t="str">
        <f t="array" aca="1" ref="M633" ca="1">IFERROR(IF(INDEX('Disaggregation Records'!$E$156:$E$517,MATCH(RIGHT(L633,255),RIGHT('Disaggregation Records'!$D$156:$D$517,255),0))="","",INDEX('Disaggregation Records'!$E$156:$E$517,MATCH(RIGHT(L633,255),RIGHT('Disaggregation Records'!$D$156:$D$517,255),0))),"")</f>
        <v>Gender</v>
      </c>
      <c r="N633" s="126" t="str">
        <f t="array" aca="1" ref="N633" ca="1">IFERROR(IF(INDEX('Disaggregation Records'!$F$156:$F$517,MATCH(RIGHT(L633,255),RIGHT('Disaggregation Records'!$D$156:$D$517,255),0))="","",INDEX('Disaggregation Records'!$F$156:$F$517,MATCH(RIGHT(L633,255),RIGHT('Disaggregation Records'!$D$156:$D$517,255),0))),"")</f>
        <v>Female</v>
      </c>
      <c r="O633" s="314" t="str">
        <f t="array" aca="1" ref="O633" ca="1">IFERROR(IF(INDEX('Disaggregation Records'!$H$156:$H$517,MATCH(RIGHT(L633,255),RIGHT('Disaggregation Records'!$D$156:$D$517,255),0))="","",INDEX('Disaggregation Records'!$H$156:$H$517,MATCH(RIGHT(L633,255),RIGHT('Disaggregation Records'!$D$156:$D$517,255),0))),"")</f>
        <v>IDR-01312</v>
      </c>
      <c r="P633" s="314"/>
      <c r="Q633" s="310">
        <f t="shared" ref="Q633" si="802">Q631+1</f>
        <v>1618</v>
      </c>
      <c r="R633" s="314" t="str" cm="1">
        <f t="array" aca="1" ref="R633" ca="1">IFERROR(IF(INDEX('Disaggregation Records'!$G$156:$G$517,MATCH(RIGHT(L633,255),RIGHT('Disaggregation Records'!$D$156:$D$517,255),0))="","",INDEX('Disaggregation Records'!$G$156:$G$517,MATCH(RIGHT(L633,255),RIGHT('Disaggregation Records'!$D$156:$D$517,255),0))),"")</f>
        <v>a1LDm000000Cb3uMAC</v>
      </c>
    </row>
    <row r="634" spans="1:18" ht="20.100000000000001" customHeight="1">
      <c r="A634" s="126"/>
      <c r="B634" s="571"/>
      <c r="C634" s="573"/>
      <c r="D634" s="575"/>
      <c r="E634" s="575"/>
      <c r="F634" s="128">
        <v>214408</v>
      </c>
      <c r="G634" s="577"/>
      <c r="H634" s="540"/>
      <c r="I634" s="579"/>
      <c r="J634" s="533"/>
      <c r="K634" s="126"/>
      <c r="L634" s="126"/>
      <c r="M634" s="126"/>
      <c r="N634" s="126"/>
      <c r="O634" s="314"/>
      <c r="P634" s="314"/>
      <c r="Q634" s="310"/>
      <c r="R634" s="314" t="str" cm="1">
        <f t="array" ref="R634">IFERROR(IF(INDEX('Disaggregation Records'!$G$156:$G$517,MATCH(RIGHT(L634,255),RIGHT('Disaggregation Records'!$D$156:$D$517,255),0))="","",INDEX('Disaggregation Records'!$G$156:$G$517,MATCH(RIGHT(L634,255),RIGHT('Disaggregation Records'!$D$156:$D$517,255),0))),"")</f>
        <v/>
      </c>
    </row>
    <row r="635" spans="1:18" ht="20.100000000000001" customHeight="1">
      <c r="A635" s="126" t="str">
        <f t="shared" ca="1" si="792"/>
        <v>a16Dm000000M3qIIAS</v>
      </c>
      <c r="B635" s="570">
        <v>1</v>
      </c>
      <c r="C635" s="572" t="str">
        <f ca="1">IFERROR(VLOOKUP(B635,'Coverage Indicators - Section D'!$A$9:$AO$94,41,FALSE),"")</f>
        <v>TBDT-1 Number of patients with of all forms of TB notified (i.e., bacteriologically confirmed + clinically diagnosed); *includes only those with new and relapse TB</v>
      </c>
      <c r="D635" s="574" t="str">
        <f ca="1">M635</f>
        <v>HIV status</v>
      </c>
      <c r="E635" s="574" t="str">
        <f ca="1">N635</f>
        <v>Positive</v>
      </c>
      <c r="F635" s="127">
        <v>13373</v>
      </c>
      <c r="G635" s="576">
        <f ca="1">IF(OR(INDIRECT("'update Helper'!E"&amp;Q635)="",F635&lt;&gt;0,F636&lt;&gt;0),IF(IFERROR((F635/F636),"")="","",(F635/F636)),INDIRECT("'update Helper'!E"&amp;Q635)/100)</f>
        <v>6.2371739860452968E-2</v>
      </c>
      <c r="H635" s="539">
        <v>2021</v>
      </c>
      <c r="I635" s="578" t="s">
        <v>2211</v>
      </c>
      <c r="J635" s="532" t="s">
        <v>2280</v>
      </c>
      <c r="K635" s="126">
        <f ca="1">IF(AND(EXACT(C635,C633),C633&lt;&gt;0),K633+1,0)</f>
        <v>7</v>
      </c>
      <c r="L635" s="126" t="str">
        <f t="shared" ref="L635" ca="1" si="803">IF(C635&lt;&gt;"",C635&amp;"-"&amp;K635,"")</f>
        <v>TBDT-1 Number of patients with of all forms of TB notified (i.e., bacteriologically confirmed + clinically diagnosed); *includes only those with new and relapse TB-7</v>
      </c>
      <c r="M635" s="126" t="str">
        <f t="array" aca="1" ref="M635" ca="1">IFERROR(IF(INDEX('Disaggregation Records'!$E$156:$E$517,MATCH(RIGHT(L635,255),RIGHT('Disaggregation Records'!$D$156:$D$517,255),0))="","",INDEX('Disaggregation Records'!$E$156:$E$517,MATCH(RIGHT(L635,255),RIGHT('Disaggregation Records'!$D$156:$D$517,255),0))),"")</f>
        <v>HIV status</v>
      </c>
      <c r="N635" s="126" t="str">
        <f t="array" aca="1" ref="N635" ca="1">IFERROR(IF(INDEX('Disaggregation Records'!$F$156:$F$517,MATCH(RIGHT(L635,255),RIGHT('Disaggregation Records'!$D$156:$D$517,255),0))="","",INDEX('Disaggregation Records'!$F$156:$F$517,MATCH(RIGHT(L635,255),RIGHT('Disaggregation Records'!$D$156:$D$517,255),0))),"")</f>
        <v>Positive</v>
      </c>
      <c r="O635" s="314" t="str">
        <f t="array" aca="1" ref="O635" ca="1">IFERROR(IF(INDEX('Disaggregation Records'!$H$156:$H$517,MATCH(RIGHT(L635,255),RIGHT('Disaggregation Records'!$D$156:$D$517,255),0))="","",INDEX('Disaggregation Records'!$H$156:$H$517,MATCH(RIGHT(L635,255),RIGHT('Disaggregation Records'!$D$156:$D$517,255),0))),"")</f>
        <v>IDR-01311</v>
      </c>
      <c r="P635" s="310"/>
      <c r="Q635" s="310">
        <f t="shared" ref="Q635" si="804">Q633+1</f>
        <v>1619</v>
      </c>
      <c r="R635" s="314" t="str" cm="1">
        <f t="array" aca="1" ref="R635" ca="1">IFERROR(IF(INDEX('Disaggregation Records'!$G$156:$G$517,MATCH(RIGHT(L635,255),RIGHT('Disaggregation Records'!$D$156:$D$517,255),0))="","",INDEX('Disaggregation Records'!$G$156:$G$517,MATCH(RIGHT(L635,255),RIGHT('Disaggregation Records'!$D$156:$D$517,255),0))),"")</f>
        <v>a1LDm000000Cb3tMAC</v>
      </c>
    </row>
    <row r="636" spans="1:18" ht="20.100000000000001" customHeight="1">
      <c r="B636" s="571"/>
      <c r="C636" s="573"/>
      <c r="D636" s="575"/>
      <c r="E636" s="575"/>
      <c r="F636" s="128">
        <v>214408</v>
      </c>
      <c r="G636" s="577"/>
      <c r="H636" s="540"/>
      <c r="I636" s="579"/>
      <c r="J636" s="533"/>
      <c r="L636" s="126"/>
      <c r="N636" s="126"/>
      <c r="O636" s="314"/>
      <c r="P636" s="310"/>
      <c r="Q636" s="310"/>
      <c r="R636" s="314" t="str" cm="1">
        <f t="array" ref="R636">IFERROR(IF(INDEX('Disaggregation Records'!$G$156:$G$517,MATCH(RIGHT(L636,255),RIGHT('Disaggregation Records'!$D$156:$D$517,255),0))="","",INDEX('Disaggregation Records'!$G$156:$G$517,MATCH(RIGHT(L636,255),RIGHT('Disaggregation Records'!$D$156:$D$517,255),0))),"")</f>
        <v/>
      </c>
    </row>
    <row r="637" spans="1:18" ht="20.100000000000001" customHeight="1">
      <c r="A637" s="126" t="str">
        <f t="shared" ca="1" si="788"/>
        <v>a16Dm000000M3qJIAS</v>
      </c>
      <c r="B637" s="570">
        <v>1</v>
      </c>
      <c r="C637" s="572" t="str">
        <f ca="1">IFERROR(VLOOKUP(B637,'Coverage Indicators - Section D'!$A$9:$AO$94,41,FALSE),"")</f>
        <v>TBDT-1 Number of patients with of all forms of TB notified (i.e., bacteriologically confirmed + clinically diagnosed); *includes only those with new and relapse TB</v>
      </c>
      <c r="D637" s="574" t="str">
        <f ca="1">M637</f>
        <v/>
      </c>
      <c r="E637" s="574" t="str">
        <f ca="1">N637</f>
        <v/>
      </c>
      <c r="F637" s="127"/>
      <c r="G637" s="576" t="str">
        <f ca="1">IF(OR(INDIRECT("'update Helper'!E"&amp;Q637)="",F637&lt;&gt;0,F638&lt;&gt;0),IF(IFERROR((F637/F638),"")="","",(F637/F638)),INDIRECT("'update Helper'!E"&amp;Q637)/100)</f>
        <v/>
      </c>
      <c r="H637" s="539"/>
      <c r="I637" s="578"/>
      <c r="J637" s="532"/>
      <c r="K637" s="126">
        <f ca="1">IF(AND(EXACT(C637,C635),C635&lt;&gt;0),K635+1,0)</f>
        <v>8</v>
      </c>
      <c r="L637" s="126" t="str">
        <f t="shared" ref="L637" ca="1" si="805">IF(C637&lt;&gt;"",C637&amp;"-"&amp;K637,"")</f>
        <v>TBDT-1 Number of patients with of all forms of TB notified (i.e., bacteriologically confirmed + clinically diagnosed); *includes only those with new and relapse TB-8</v>
      </c>
      <c r="M637" s="126" t="str">
        <f t="array" aca="1" ref="M637" ca="1">IFERROR(IF(INDEX('Disaggregation Records'!$E$156:$E$517,MATCH(RIGHT(L637,255),RIGHT('Disaggregation Records'!$D$156:$D$517,255),0))="","",INDEX('Disaggregation Records'!$E$156:$E$517,MATCH(RIGHT(L637,255),RIGHT('Disaggregation Records'!$D$156:$D$517,255),0))),"")</f>
        <v/>
      </c>
      <c r="N637" s="126" t="str">
        <f t="array" aca="1" ref="N637" ca="1">IFERROR(IF(INDEX('Disaggregation Records'!$F$156:$F$517,MATCH(RIGHT(L637,255),RIGHT('Disaggregation Records'!$D$156:$D$517,255),0))="","",INDEX('Disaggregation Records'!$F$156:$F$517,MATCH(RIGHT(L637,255),RIGHT('Disaggregation Records'!$D$156:$D$517,255),0))),"")</f>
        <v/>
      </c>
      <c r="O637" s="314" t="str">
        <f t="array" aca="1" ref="O637" ca="1">IFERROR(IF(INDEX('Disaggregation Records'!$H$156:$H$517,MATCH(RIGHT(L637,255),RIGHT('Disaggregation Records'!$D$156:$D$517,255),0))="","",INDEX('Disaggregation Records'!$H$156:$H$517,MATCH(RIGHT(L637,255),RIGHT('Disaggregation Records'!$D$156:$D$517,255),0))),"")</f>
        <v/>
      </c>
      <c r="P637" s="310"/>
      <c r="Q637" s="310">
        <f t="shared" ref="Q637" si="806">Q635+1</f>
        <v>1620</v>
      </c>
      <c r="R637" s="314" t="str" cm="1">
        <f t="array" aca="1" ref="R637" ca="1">IFERROR(IF(INDEX('Disaggregation Records'!$G$156:$G$517,MATCH(RIGHT(L637,255),RIGHT('Disaggregation Records'!$D$156:$D$517,255),0))="","",INDEX('Disaggregation Records'!$G$156:$G$517,MATCH(RIGHT(L637,255),RIGHT('Disaggregation Records'!$D$156:$D$517,255),0))),"")</f>
        <v/>
      </c>
    </row>
    <row r="638" spans="1:18" ht="20.100000000000001" customHeight="1">
      <c r="A638" s="126"/>
      <c r="B638" s="571"/>
      <c r="C638" s="573"/>
      <c r="D638" s="575"/>
      <c r="E638" s="575"/>
      <c r="F638" s="128"/>
      <c r="G638" s="577"/>
      <c r="H638" s="540"/>
      <c r="I638" s="579"/>
      <c r="J638" s="533"/>
      <c r="L638" s="126"/>
      <c r="N638" s="126"/>
      <c r="O638" s="314"/>
      <c r="P638" s="310"/>
      <c r="Q638" s="310"/>
      <c r="R638" s="314" t="str" cm="1">
        <f t="array" ref="R638">IFERROR(IF(INDEX('Disaggregation Records'!$G$156:$G$517,MATCH(RIGHT(L638,255),RIGHT('Disaggregation Records'!$D$156:$D$517,255),0))="","",INDEX('Disaggregation Records'!$G$156:$G$517,MATCH(RIGHT(L638,255),RIGHT('Disaggregation Records'!$D$156:$D$517,255),0))),"")</f>
        <v/>
      </c>
    </row>
    <row r="639" spans="1:18" ht="20.100000000000001" customHeight="1">
      <c r="A639" s="126" t="str">
        <f t="shared" ca="1" si="792"/>
        <v>a16Dm000000M3qKIAS</v>
      </c>
      <c r="B639" s="570">
        <v>1</v>
      </c>
      <c r="C639" s="572" t="str">
        <f ca="1">IFERROR(VLOOKUP(B639,'Coverage Indicators - Section D'!$A$9:$AO$94,41,FALSE),"")</f>
        <v>TBDT-1 Number of patients with of all forms of TB notified (i.e., bacteriologically confirmed + clinically diagnosed); *includes only those with new and relapse TB</v>
      </c>
      <c r="D639" s="574" t="str">
        <f ca="1">M639</f>
        <v/>
      </c>
      <c r="E639" s="574" t="str">
        <f ca="1">N639</f>
        <v/>
      </c>
      <c r="F639" s="127"/>
      <c r="G639" s="576" t="str">
        <f ca="1">IF(OR(INDIRECT("'update Helper'!E"&amp;Q639)="",F639&lt;&gt;0,F640&lt;&gt;0),IF(IFERROR((F639/F640),"")="","",(F639/F640)),INDIRECT("'update Helper'!E"&amp;Q639)/100)</f>
        <v/>
      </c>
      <c r="H639" s="539"/>
      <c r="I639" s="578"/>
      <c r="J639" s="532"/>
      <c r="K639" s="126">
        <f ca="1">IF(AND(EXACT(C639,C637),C637&lt;&gt;0),K637+1,0)</f>
        <v>9</v>
      </c>
      <c r="L639" s="126" t="str">
        <f t="shared" ref="L639" ca="1" si="807">IF(C639&lt;&gt;"",C639&amp;"-"&amp;K639,"")</f>
        <v>TBDT-1 Number of patients with of all forms of TB notified (i.e., bacteriologically confirmed + clinically diagnosed); *includes only those with new and relapse TB-9</v>
      </c>
      <c r="M639" s="126" t="str">
        <f t="array" aca="1" ref="M639" ca="1">IFERROR(IF(INDEX('Disaggregation Records'!$E$156:$E$517,MATCH(RIGHT(L639,255),RIGHT('Disaggregation Records'!$D$156:$D$517,255),0))="","",INDEX('Disaggregation Records'!$E$156:$E$517,MATCH(RIGHT(L639,255),RIGHT('Disaggregation Records'!$D$156:$D$517,255),0))),"")</f>
        <v/>
      </c>
      <c r="N639" s="126" t="str">
        <f t="array" aca="1" ref="N639" ca="1">IFERROR(IF(INDEX('Disaggregation Records'!$F$156:$F$517,MATCH(RIGHT(L639,255),RIGHT('Disaggregation Records'!$D$156:$D$517,255),0))="","",INDEX('Disaggregation Records'!$F$156:$F$517,MATCH(RIGHT(L639,255),RIGHT('Disaggregation Records'!$D$156:$D$517,255),0))),"")</f>
        <v/>
      </c>
      <c r="O639" s="314" t="str">
        <f t="array" aca="1" ref="O639" ca="1">IFERROR(IF(INDEX('Disaggregation Records'!$H$156:$H$517,MATCH(RIGHT(L639,255),RIGHT('Disaggregation Records'!$D$156:$D$517,255),0))="","",INDEX('Disaggregation Records'!$H$156:$H$517,MATCH(RIGHT(L639,255),RIGHT('Disaggregation Records'!$D$156:$D$517,255),0))),"")</f>
        <v/>
      </c>
      <c r="P639" s="310"/>
      <c r="Q639" s="310">
        <f t="shared" ref="Q639" si="808">Q637+1</f>
        <v>1621</v>
      </c>
      <c r="R639" s="314" t="str" cm="1">
        <f t="array" aca="1" ref="R639" ca="1">IFERROR(IF(INDEX('Disaggregation Records'!$G$156:$G$517,MATCH(RIGHT(L639,255),RIGHT('Disaggregation Records'!$D$156:$D$517,255),0))="","",INDEX('Disaggregation Records'!$G$156:$G$517,MATCH(RIGHT(L639,255),RIGHT('Disaggregation Records'!$D$156:$D$517,255),0))),"")</f>
        <v/>
      </c>
    </row>
    <row r="640" spans="1:18" ht="20.100000000000001" customHeight="1">
      <c r="B640" s="571"/>
      <c r="C640" s="573"/>
      <c r="D640" s="575"/>
      <c r="E640" s="575"/>
      <c r="F640" s="128"/>
      <c r="G640" s="577"/>
      <c r="H640" s="540"/>
      <c r="I640" s="579"/>
      <c r="J640" s="533"/>
      <c r="L640" s="126"/>
      <c r="N640" s="126"/>
      <c r="O640" s="314"/>
      <c r="P640" s="310"/>
      <c r="Q640" s="310"/>
      <c r="R640" s="314" t="str" cm="1">
        <f t="array" ref="R640">IFERROR(IF(INDEX('Disaggregation Records'!$G$156:$G$517,MATCH(RIGHT(L640,255),RIGHT('Disaggregation Records'!$D$156:$D$517,255),0))="","",INDEX('Disaggregation Records'!$G$156:$G$517,MATCH(RIGHT(L640,255),RIGHT('Disaggregation Records'!$D$156:$D$517,255),0))),"")</f>
        <v/>
      </c>
    </row>
    <row r="641" spans="1:18" ht="20.100000000000001" customHeight="1">
      <c r="A641" s="126" t="str">
        <f t="shared" ca="1" si="788"/>
        <v>a16Dm000000M3qLIAS</v>
      </c>
      <c r="B641" s="570">
        <v>1</v>
      </c>
      <c r="C641" s="572" t="str">
        <f ca="1">IFERROR(VLOOKUP(B641,'Coverage Indicators - Section D'!$A$9:$AO$94,41,FALSE),"")</f>
        <v>TBDT-1 Number of patients with of all forms of TB notified (i.e., bacteriologically confirmed + clinically diagnosed); *includes only those with new and relapse TB</v>
      </c>
      <c r="D641" s="574" t="str">
        <f ca="1">M641</f>
        <v/>
      </c>
      <c r="E641" s="574" t="str">
        <f ca="1">N641</f>
        <v/>
      </c>
      <c r="F641" s="127"/>
      <c r="G641" s="576" t="str">
        <f ca="1">IF(OR(INDIRECT("'update Helper'!E"&amp;Q641)="",F641&lt;&gt;0,F642&lt;&gt;0),IF(IFERROR((F641/F642),"")="","",(F641/F642)),INDIRECT("'update Helper'!E"&amp;Q641)/100)</f>
        <v/>
      </c>
      <c r="H641" s="539"/>
      <c r="I641" s="578"/>
      <c r="J641" s="532"/>
      <c r="K641" s="126">
        <f ca="1">IF(AND(EXACT(C641,C639),C639&lt;&gt;0),K639+1,0)</f>
        <v>10</v>
      </c>
      <c r="L641" s="126" t="str">
        <f t="shared" ref="L641" ca="1" si="809">IF(C641&lt;&gt;"",C641&amp;"-"&amp;K641,"")</f>
        <v>TBDT-1 Number of patients with of all forms of TB notified (i.e., bacteriologically confirmed + clinically diagnosed); *includes only those with new and relapse TB-10</v>
      </c>
      <c r="M641" s="126" t="str">
        <f t="array" aca="1" ref="M641" ca="1">IFERROR(IF(INDEX('Disaggregation Records'!$E$156:$E$517,MATCH(RIGHT(L641,255),RIGHT('Disaggregation Records'!$D$156:$D$517,255),0))="","",INDEX('Disaggregation Records'!$E$156:$E$517,MATCH(RIGHT(L641,255),RIGHT('Disaggregation Records'!$D$156:$D$517,255),0))),"")</f>
        <v/>
      </c>
      <c r="N641" s="126" t="str">
        <f t="array" aca="1" ref="N641" ca="1">IFERROR(IF(INDEX('Disaggregation Records'!$F$156:$F$517,MATCH(RIGHT(L641,255),RIGHT('Disaggregation Records'!$D$156:$D$517,255),0))="","",INDEX('Disaggregation Records'!$F$156:$F$517,MATCH(RIGHT(L641,255),RIGHT('Disaggregation Records'!$D$156:$D$517,255),0))),"")</f>
        <v/>
      </c>
      <c r="O641" s="314" t="str">
        <f t="array" aca="1" ref="O641" ca="1">IFERROR(IF(INDEX('Disaggregation Records'!$H$156:$H$517,MATCH(RIGHT(L641,255),RIGHT('Disaggregation Records'!$D$156:$D$517,255),0))="","",INDEX('Disaggregation Records'!$H$156:$H$517,MATCH(RIGHT(L641,255),RIGHT('Disaggregation Records'!$D$156:$D$517,255),0))),"")</f>
        <v/>
      </c>
      <c r="P641" s="314"/>
      <c r="Q641" s="310">
        <f t="shared" ref="Q641" si="810">Q639+1</f>
        <v>1622</v>
      </c>
      <c r="R641" s="314" t="str" cm="1">
        <f t="array" aca="1" ref="R641" ca="1">IFERROR(IF(INDEX('Disaggregation Records'!$G$156:$G$517,MATCH(RIGHT(L641,255),RIGHT('Disaggregation Records'!$D$156:$D$517,255),0))="","",INDEX('Disaggregation Records'!$G$156:$G$517,MATCH(RIGHT(L641,255),RIGHT('Disaggregation Records'!$D$156:$D$517,255),0))),"")</f>
        <v/>
      </c>
    </row>
    <row r="642" spans="1:18" ht="20.100000000000001" customHeight="1">
      <c r="A642" s="126"/>
      <c r="B642" s="571"/>
      <c r="C642" s="573"/>
      <c r="D642" s="575"/>
      <c r="E642" s="575"/>
      <c r="F642" s="128"/>
      <c r="G642" s="577"/>
      <c r="H642" s="540"/>
      <c r="I642" s="579"/>
      <c r="J642" s="533"/>
      <c r="K642" s="126"/>
      <c r="L642" s="126"/>
      <c r="M642" s="126"/>
      <c r="N642" s="126"/>
      <c r="O642" s="314"/>
      <c r="P642" s="314"/>
      <c r="Q642" s="310"/>
      <c r="R642" s="314" t="str" cm="1">
        <f t="array" ref="R642">IFERROR(IF(INDEX('Disaggregation Records'!$G$156:$G$517,MATCH(RIGHT(L642,255),RIGHT('Disaggregation Records'!$D$156:$D$517,255),0))="","",INDEX('Disaggregation Records'!$G$156:$G$517,MATCH(RIGHT(L642,255),RIGHT('Disaggregation Records'!$D$156:$D$517,255),0))),"")</f>
        <v/>
      </c>
    </row>
    <row r="643" spans="1:18" ht="20.100000000000001" customHeight="1">
      <c r="A643" s="126" t="str">
        <f t="shared" ca="1" si="792"/>
        <v>a16Dm000000M3qMIAS</v>
      </c>
      <c r="B643" s="570">
        <v>1</v>
      </c>
      <c r="C643" s="572" t="str">
        <f ca="1">IFERROR(VLOOKUP(B643,'Coverage Indicators - Section D'!$A$9:$AO$94,41,FALSE),"")</f>
        <v>TBDT-1 Number of patients with of all forms of TB notified (i.e., bacteriologically confirmed + clinically diagnosed); *includes only those with new and relapse TB</v>
      </c>
      <c r="D643" s="574" t="str">
        <f ca="1">M643</f>
        <v/>
      </c>
      <c r="E643" s="574" t="str">
        <f ca="1">N643</f>
        <v/>
      </c>
      <c r="F643" s="127"/>
      <c r="G643" s="576" t="str">
        <f ca="1">IF(OR(INDIRECT("'update Helper'!E"&amp;Q643)="",F643&lt;&gt;0,F644&lt;&gt;0),IF(IFERROR((F643/F644),"")="","",(F643/F644)),INDIRECT("'update Helper'!E"&amp;Q643)/100)</f>
        <v/>
      </c>
      <c r="H643" s="539"/>
      <c r="I643" s="578"/>
      <c r="J643" s="532"/>
      <c r="K643" s="126">
        <f ca="1">IF(AND(EXACT(C643,C641),C641&lt;&gt;0),K641+1,0)</f>
        <v>11</v>
      </c>
      <c r="L643" s="126" t="str">
        <f t="shared" ref="L643" ca="1" si="811">IF(C643&lt;&gt;"",C643&amp;"-"&amp;K643,"")</f>
        <v>TBDT-1 Number of patients with of all forms of TB notified (i.e., bacteriologically confirmed + clinically diagnosed); *includes only those with new and relapse TB-11</v>
      </c>
      <c r="M643" s="126" t="str">
        <f t="array" aca="1" ref="M643" ca="1">IFERROR(IF(INDEX('Disaggregation Records'!$E$156:$E$517,MATCH(RIGHT(L643,255),RIGHT('Disaggregation Records'!$D$156:$D$517,255),0))="","",INDEX('Disaggregation Records'!$E$156:$E$517,MATCH(RIGHT(L643,255),RIGHT('Disaggregation Records'!$D$156:$D$517,255),0))),"")</f>
        <v/>
      </c>
      <c r="N643" s="126" t="str">
        <f t="array" aca="1" ref="N643" ca="1">IFERROR(IF(INDEX('Disaggregation Records'!$F$156:$F$517,MATCH(RIGHT(L643,255),RIGHT('Disaggregation Records'!$D$156:$D$517,255),0))="","",INDEX('Disaggregation Records'!$F$156:$F$517,MATCH(RIGHT(L643,255),RIGHT('Disaggregation Records'!$D$156:$D$517,255),0))),"")</f>
        <v/>
      </c>
      <c r="O643" s="314" t="str">
        <f t="array" aca="1" ref="O643" ca="1">IFERROR(IF(INDEX('Disaggregation Records'!$H$156:$H$517,MATCH(RIGHT(L643,255),RIGHT('Disaggregation Records'!$D$156:$D$517,255),0))="","",INDEX('Disaggregation Records'!$H$156:$H$517,MATCH(RIGHT(L643,255),RIGHT('Disaggregation Records'!$D$156:$D$517,255),0))),"")</f>
        <v/>
      </c>
      <c r="P643" s="314"/>
      <c r="Q643" s="310">
        <f t="shared" ref="Q643" si="812">Q641+1</f>
        <v>1623</v>
      </c>
      <c r="R643" s="314" t="str" cm="1">
        <f t="array" aca="1" ref="R643" ca="1">IFERROR(IF(INDEX('Disaggregation Records'!$G$156:$G$517,MATCH(RIGHT(L643,255),RIGHT('Disaggregation Records'!$D$156:$D$517,255),0))="","",INDEX('Disaggregation Records'!$G$156:$G$517,MATCH(RIGHT(L643,255),RIGHT('Disaggregation Records'!$D$156:$D$517,255),0))),"")</f>
        <v/>
      </c>
    </row>
    <row r="644" spans="1:18" ht="20.100000000000001" customHeight="1">
      <c r="B644" s="571"/>
      <c r="C644" s="573"/>
      <c r="D644" s="575"/>
      <c r="E644" s="575"/>
      <c r="F644" s="128"/>
      <c r="G644" s="577"/>
      <c r="H644" s="540"/>
      <c r="I644" s="579"/>
      <c r="J644" s="533"/>
      <c r="K644" s="126"/>
      <c r="L644" s="126"/>
      <c r="M644" s="126"/>
      <c r="N644" s="126"/>
      <c r="O644" s="314"/>
      <c r="P644" s="314"/>
      <c r="Q644" s="310"/>
      <c r="R644" s="314" t="str" cm="1">
        <f t="array" ref="R644">IFERROR(IF(INDEX('Disaggregation Records'!$G$156:$G$517,MATCH(RIGHT(L644,255),RIGHT('Disaggregation Records'!$D$156:$D$517,255),0))="","",INDEX('Disaggregation Records'!$G$156:$G$517,MATCH(RIGHT(L644,255),RIGHT('Disaggregation Records'!$D$156:$D$517,255),0))),"")</f>
        <v/>
      </c>
    </row>
    <row r="645" spans="1:18" ht="20.100000000000001" customHeight="1">
      <c r="A645" s="126" t="str">
        <f t="shared" ca="1" si="788"/>
        <v>a16Dm000000M3qNIAS</v>
      </c>
      <c r="B645" s="570">
        <v>1</v>
      </c>
      <c r="C645" s="572" t="str">
        <f ca="1">IFERROR(VLOOKUP(B645,'Coverage Indicators - Section D'!$A$9:$AO$94,41,FALSE),"")</f>
        <v>TBDT-1 Number of patients with of all forms of TB notified (i.e., bacteriologically confirmed + clinically diagnosed); *includes only those with new and relapse TB</v>
      </c>
      <c r="D645" s="574" t="str">
        <f ca="1">M645</f>
        <v/>
      </c>
      <c r="E645" s="574" t="str">
        <f ca="1">N645</f>
        <v/>
      </c>
      <c r="F645" s="127"/>
      <c r="G645" s="576" t="str">
        <f ca="1">IF(OR(INDIRECT("'update Helper'!E"&amp;Q645)="",F645&lt;&gt;0,F646&lt;&gt;0),IF(IFERROR((F645/F646),"")="","",(F645/F646)),INDIRECT("'update Helper'!E"&amp;Q645)/100)</f>
        <v/>
      </c>
      <c r="H645" s="539"/>
      <c r="I645" s="578"/>
      <c r="J645" s="532"/>
      <c r="K645" s="126">
        <f ca="1">IF(AND(EXACT(C645,C643),C643&lt;&gt;0),K643+1,0)</f>
        <v>12</v>
      </c>
      <c r="L645" s="126" t="str">
        <f t="shared" ref="L645" ca="1" si="813">IF(C645&lt;&gt;"",C645&amp;"-"&amp;K645,"")</f>
        <v>TBDT-1 Number of patients with of all forms of TB notified (i.e., bacteriologically confirmed + clinically diagnosed); *includes only those with new and relapse TB-12</v>
      </c>
      <c r="M645" s="126" t="str">
        <f t="array" aca="1" ref="M645" ca="1">IFERROR(IF(INDEX('Disaggregation Records'!$E$156:$E$517,MATCH(RIGHT(L645,255),RIGHT('Disaggregation Records'!$D$156:$D$517,255),0))="","",INDEX('Disaggregation Records'!$E$156:$E$517,MATCH(RIGHT(L645,255),RIGHT('Disaggregation Records'!$D$156:$D$517,255),0))),"")</f>
        <v/>
      </c>
      <c r="N645" s="126" t="str">
        <f t="array" aca="1" ref="N645" ca="1">IFERROR(IF(INDEX('Disaggregation Records'!$F$156:$F$517,MATCH(RIGHT(L645,255),RIGHT('Disaggregation Records'!$D$156:$D$517,255),0))="","",INDEX('Disaggregation Records'!$F$156:$F$517,MATCH(RIGHT(L645,255),RIGHT('Disaggregation Records'!$D$156:$D$517,255),0))),"")</f>
        <v/>
      </c>
      <c r="O645" s="314" t="str">
        <f t="array" aca="1" ref="O645" ca="1">IFERROR(IF(INDEX('Disaggregation Records'!$H$156:$H$517,MATCH(RIGHT(L645,255),RIGHT('Disaggregation Records'!$D$156:$D$517,255),0))="","",INDEX('Disaggregation Records'!$H$156:$H$517,MATCH(RIGHT(L645,255),RIGHT('Disaggregation Records'!$D$156:$D$517,255),0))),"")</f>
        <v/>
      </c>
      <c r="P645" s="310"/>
      <c r="Q645" s="310">
        <f t="shared" ref="Q645" si="814">Q643+1</f>
        <v>1624</v>
      </c>
      <c r="R645" s="314" t="str" cm="1">
        <f t="array" aca="1" ref="R645" ca="1">IFERROR(IF(INDEX('Disaggregation Records'!$G$156:$G$517,MATCH(RIGHT(L645,255),RIGHT('Disaggregation Records'!$D$156:$D$517,255),0))="","",INDEX('Disaggregation Records'!$G$156:$G$517,MATCH(RIGHT(L645,255),RIGHT('Disaggregation Records'!$D$156:$D$517,255),0))),"")</f>
        <v/>
      </c>
    </row>
    <row r="646" spans="1:18" ht="20.100000000000001" customHeight="1">
      <c r="A646" s="126"/>
      <c r="B646" s="571"/>
      <c r="C646" s="573"/>
      <c r="D646" s="575"/>
      <c r="E646" s="575"/>
      <c r="F646" s="128"/>
      <c r="G646" s="577"/>
      <c r="H646" s="540"/>
      <c r="I646" s="579"/>
      <c r="J646" s="533"/>
      <c r="L646" s="126"/>
      <c r="N646" s="126"/>
      <c r="O646" s="314"/>
      <c r="P646" s="310"/>
      <c r="Q646" s="310"/>
      <c r="R646" s="314" t="str" cm="1">
        <f t="array" ref="R646">IFERROR(IF(INDEX('Disaggregation Records'!$G$156:$G$517,MATCH(RIGHT(L646,255),RIGHT('Disaggregation Records'!$D$156:$D$517,255),0))="","",INDEX('Disaggregation Records'!$G$156:$G$517,MATCH(RIGHT(L646,255),RIGHT('Disaggregation Records'!$D$156:$D$517,255),0))),"")</f>
        <v/>
      </c>
    </row>
    <row r="647" spans="1:18" ht="20.100000000000001" customHeight="1">
      <c r="A647" s="126" t="str">
        <f t="shared" ca="1" si="792"/>
        <v>a16Dm000000M3qOIAS</v>
      </c>
      <c r="B647" s="570">
        <v>1</v>
      </c>
      <c r="C647" s="572" t="str">
        <f ca="1">IFERROR(VLOOKUP(B647,'Coverage Indicators - Section D'!$A$9:$AO$94,41,FALSE),"")</f>
        <v>TBDT-1 Number of patients with of all forms of TB notified (i.e., bacteriologically confirmed + clinically diagnosed); *includes only those with new and relapse TB</v>
      </c>
      <c r="D647" s="574" t="str">
        <f ca="1">M647</f>
        <v/>
      </c>
      <c r="E647" s="574" t="str">
        <f ca="1">N647</f>
        <v/>
      </c>
      <c r="F647" s="127"/>
      <c r="G647" s="576" t="str">
        <f ca="1">IF(OR(INDIRECT("'update Helper'!E"&amp;Q647)="",F647&lt;&gt;0,F648&lt;&gt;0),IF(IFERROR((F647/F648),"")="","",(F647/F648)),INDIRECT("'update Helper'!E"&amp;Q647)/100)</f>
        <v/>
      </c>
      <c r="H647" s="539"/>
      <c r="I647" s="578"/>
      <c r="J647" s="532"/>
      <c r="K647" s="126">
        <f ca="1">IF(AND(EXACT(C647,C645),C645&lt;&gt;0),K645+1,0)</f>
        <v>13</v>
      </c>
      <c r="L647" s="126" t="str">
        <f t="shared" ref="L647" ca="1" si="815">IF(C647&lt;&gt;"",C647&amp;"-"&amp;K647,"")</f>
        <v>TBDT-1 Number of patients with of all forms of TB notified (i.e., bacteriologically confirmed + clinically diagnosed); *includes only those with new and relapse TB-13</v>
      </c>
      <c r="M647" s="126" t="str">
        <f t="array" aca="1" ref="M647" ca="1">IFERROR(IF(INDEX('Disaggregation Records'!$E$156:$E$517,MATCH(RIGHT(L647,255),RIGHT('Disaggregation Records'!$D$156:$D$517,255),0))="","",INDEX('Disaggregation Records'!$E$156:$E$517,MATCH(RIGHT(L647,255),RIGHT('Disaggregation Records'!$D$156:$D$517,255),0))),"")</f>
        <v/>
      </c>
      <c r="N647" s="126" t="str">
        <f t="array" aca="1" ref="N647" ca="1">IFERROR(IF(INDEX('Disaggregation Records'!$F$156:$F$517,MATCH(RIGHT(L647,255),RIGHT('Disaggregation Records'!$D$156:$D$517,255),0))="","",INDEX('Disaggregation Records'!$F$156:$F$517,MATCH(RIGHT(L647,255),RIGHT('Disaggregation Records'!$D$156:$D$517,255),0))),"")</f>
        <v/>
      </c>
      <c r="O647" s="314" t="str">
        <f t="array" aca="1" ref="O647" ca="1">IFERROR(IF(INDEX('Disaggregation Records'!$H$156:$H$517,MATCH(RIGHT(L647,255),RIGHT('Disaggregation Records'!$D$156:$D$517,255),0))="","",INDEX('Disaggregation Records'!$H$156:$H$517,MATCH(RIGHT(L647,255),RIGHT('Disaggregation Records'!$D$156:$D$517,255),0))),"")</f>
        <v/>
      </c>
      <c r="P647" s="310"/>
      <c r="Q647" s="310">
        <f t="shared" ref="Q647" si="816">Q645+1</f>
        <v>1625</v>
      </c>
      <c r="R647" s="314" t="str" cm="1">
        <f t="array" aca="1" ref="R647" ca="1">IFERROR(IF(INDEX('Disaggregation Records'!$G$156:$G$517,MATCH(RIGHT(L647,255),RIGHT('Disaggregation Records'!$D$156:$D$517,255),0))="","",INDEX('Disaggregation Records'!$G$156:$G$517,MATCH(RIGHT(L647,255),RIGHT('Disaggregation Records'!$D$156:$D$517,255),0))),"")</f>
        <v/>
      </c>
    </row>
    <row r="648" spans="1:18" ht="20.100000000000001" customHeight="1">
      <c r="B648" s="571"/>
      <c r="C648" s="573"/>
      <c r="D648" s="575"/>
      <c r="E648" s="575"/>
      <c r="F648" s="128"/>
      <c r="G648" s="577"/>
      <c r="H648" s="540"/>
      <c r="I648" s="579"/>
      <c r="J648" s="533"/>
      <c r="L648" s="126"/>
      <c r="N648" s="126"/>
      <c r="O648" s="314"/>
      <c r="P648" s="310"/>
      <c r="Q648" s="310"/>
      <c r="R648" s="314" t="str" cm="1">
        <f t="array" ref="R648">IFERROR(IF(INDEX('Disaggregation Records'!$G$156:$G$517,MATCH(RIGHT(L648,255),RIGHT('Disaggregation Records'!$D$156:$D$517,255),0))="","",INDEX('Disaggregation Records'!$G$156:$G$517,MATCH(RIGHT(L648,255),RIGHT('Disaggregation Records'!$D$156:$D$517,255),0))),"")</f>
        <v/>
      </c>
    </row>
    <row r="649" spans="1:18" ht="20.100000000000001" customHeight="1">
      <c r="A649" s="126" t="str">
        <f t="shared" ca="1" si="788"/>
        <v>a16Dm000000M3qPIAS</v>
      </c>
      <c r="B649" s="570">
        <v>1</v>
      </c>
      <c r="C649" s="572" t="str">
        <f ca="1">IFERROR(VLOOKUP(B649,'Coverage Indicators - Section D'!$A$9:$AO$94,41,FALSE),"")</f>
        <v>TBDT-1 Number of patients with of all forms of TB notified (i.e., bacteriologically confirmed + clinically diagnosed); *includes only those with new and relapse TB</v>
      </c>
      <c r="D649" s="574" t="str">
        <f ca="1">M649</f>
        <v/>
      </c>
      <c r="E649" s="574" t="str">
        <f ca="1">N649</f>
        <v/>
      </c>
      <c r="F649" s="127"/>
      <c r="G649" s="576" t="str">
        <f ca="1">IF(OR(INDIRECT("'update Helper'!E"&amp;Q649)="",F649&lt;&gt;0,F650&lt;&gt;0),IF(IFERROR((F649/F650),"")="","",(F649/F650)),INDIRECT("'update Helper'!E"&amp;Q649)/100)</f>
        <v/>
      </c>
      <c r="H649" s="539"/>
      <c r="I649" s="578"/>
      <c r="J649" s="532"/>
      <c r="K649" s="126">
        <f ca="1">IF(AND(EXACT(C649,C647),C647&lt;&gt;0),K647+1,0)</f>
        <v>14</v>
      </c>
      <c r="L649" s="126" t="str">
        <f t="shared" ref="L649" ca="1" si="817">IF(C649&lt;&gt;"",C649&amp;"-"&amp;K649,"")</f>
        <v>TBDT-1 Number of patients with of all forms of TB notified (i.e., bacteriologically confirmed + clinically diagnosed); *includes only those with new and relapse TB-14</v>
      </c>
      <c r="M649" s="126" t="str">
        <f t="array" aca="1" ref="M649" ca="1">IFERROR(IF(INDEX('Disaggregation Records'!$E$156:$E$517,MATCH(RIGHT(L649,255),RIGHT('Disaggregation Records'!$D$156:$D$517,255),0))="","",INDEX('Disaggregation Records'!$E$156:$E$517,MATCH(RIGHT(L649,255),RIGHT('Disaggregation Records'!$D$156:$D$517,255),0))),"")</f>
        <v/>
      </c>
      <c r="N649" s="126" t="str">
        <f t="array" aca="1" ref="N649" ca="1">IFERROR(IF(INDEX('Disaggregation Records'!$F$156:$F$517,MATCH(RIGHT(L649,255),RIGHT('Disaggregation Records'!$D$156:$D$517,255),0))="","",INDEX('Disaggregation Records'!$F$156:$F$517,MATCH(RIGHT(L649,255),RIGHT('Disaggregation Records'!$D$156:$D$517,255),0))),"")</f>
        <v/>
      </c>
      <c r="O649" s="314" t="str">
        <f t="array" aca="1" ref="O649" ca="1">IFERROR(IF(INDEX('Disaggregation Records'!$H$156:$H$517,MATCH(RIGHT(L649,255),RIGHT('Disaggregation Records'!$D$156:$D$517,255),0))="","",INDEX('Disaggregation Records'!$H$156:$H$517,MATCH(RIGHT(L649,255),RIGHT('Disaggregation Records'!$D$156:$D$517,255),0))),"")</f>
        <v/>
      </c>
      <c r="P649" s="310"/>
      <c r="Q649" s="310">
        <f t="shared" ref="Q649" si="818">Q647+1</f>
        <v>1626</v>
      </c>
      <c r="R649" s="314" t="str" cm="1">
        <f t="array" aca="1" ref="R649" ca="1">IFERROR(IF(INDEX('Disaggregation Records'!$G$156:$G$517,MATCH(RIGHT(L649,255),RIGHT('Disaggregation Records'!$D$156:$D$517,255),0))="","",INDEX('Disaggregation Records'!$G$156:$G$517,MATCH(RIGHT(L649,255),RIGHT('Disaggregation Records'!$D$156:$D$517,255),0))),"")</f>
        <v/>
      </c>
    </row>
    <row r="650" spans="1:18" ht="20.100000000000001" customHeight="1">
      <c r="A650" s="126"/>
      <c r="B650" s="571"/>
      <c r="C650" s="573"/>
      <c r="D650" s="575"/>
      <c r="E650" s="575"/>
      <c r="F650" s="128"/>
      <c r="G650" s="577"/>
      <c r="H650" s="540"/>
      <c r="I650" s="579"/>
      <c r="J650" s="533"/>
      <c r="L650" s="126"/>
      <c r="N650" s="126"/>
      <c r="O650" s="314"/>
      <c r="P650" s="310"/>
      <c r="Q650" s="310"/>
      <c r="R650" s="314" t="str" cm="1">
        <f t="array" ref="R650">IFERROR(IF(INDEX('Disaggregation Records'!$G$156:$G$517,MATCH(RIGHT(L650,255),RIGHT('Disaggregation Records'!$D$156:$D$517,255),0))="","",INDEX('Disaggregation Records'!$G$156:$G$517,MATCH(RIGHT(L650,255),RIGHT('Disaggregation Records'!$D$156:$D$517,255),0))),"")</f>
        <v/>
      </c>
    </row>
    <row r="651" spans="1:18" ht="20.100000000000001" customHeight="1">
      <c r="A651" s="126" t="str">
        <f t="shared" ca="1" si="792"/>
        <v>a16Dm000000M3qQIAS</v>
      </c>
      <c r="B651" s="570">
        <v>1</v>
      </c>
      <c r="C651" s="572" t="str">
        <f ca="1">IFERROR(VLOOKUP(B651,'Coverage Indicators - Section D'!$A$9:$AO$94,41,FALSE),"")</f>
        <v>TBDT-1 Number of patients with of all forms of TB notified (i.e., bacteriologically confirmed + clinically diagnosed); *includes only those with new and relapse TB</v>
      </c>
      <c r="D651" s="574" t="str">
        <f ca="1">M651</f>
        <v/>
      </c>
      <c r="E651" s="574" t="str">
        <f ca="1">N651</f>
        <v/>
      </c>
      <c r="F651" s="127"/>
      <c r="G651" s="576" t="str">
        <f ca="1">IF(OR(INDIRECT("'update Helper'!E"&amp;Q651)="",F651&lt;&gt;0,F652&lt;&gt;0),IF(IFERROR((F651/F652),"")="","",(F651/F652)),INDIRECT("'update Helper'!E"&amp;Q651)/100)</f>
        <v/>
      </c>
      <c r="H651" s="539"/>
      <c r="I651" s="578"/>
      <c r="J651" s="532"/>
      <c r="K651" s="126">
        <f ca="1">IF(AND(EXACT(C651,C649),C649&lt;&gt;0),K649+1,0)</f>
        <v>15</v>
      </c>
      <c r="L651" s="126" t="str">
        <f t="shared" ref="L651" ca="1" si="819">IF(C651&lt;&gt;"",C651&amp;"-"&amp;K651,"")</f>
        <v>TBDT-1 Number of patients with of all forms of TB notified (i.e., bacteriologically confirmed + clinically diagnosed); *includes only those with new and relapse TB-15</v>
      </c>
      <c r="M651" s="126" t="str">
        <f t="array" aca="1" ref="M651" ca="1">IFERROR(IF(INDEX('Disaggregation Records'!$E$156:$E$517,MATCH(RIGHT(L651,255),RIGHT('Disaggregation Records'!$D$156:$D$517,255),0))="","",INDEX('Disaggregation Records'!$E$156:$E$517,MATCH(RIGHT(L651,255),RIGHT('Disaggregation Records'!$D$156:$D$517,255),0))),"")</f>
        <v/>
      </c>
      <c r="N651" s="126" t="str">
        <f t="array" aca="1" ref="N651" ca="1">IFERROR(IF(INDEX('Disaggregation Records'!$F$156:$F$517,MATCH(RIGHT(L651,255),RIGHT('Disaggregation Records'!$D$156:$D$517,255),0))="","",INDEX('Disaggregation Records'!$F$156:$F$517,MATCH(RIGHT(L651,255),RIGHT('Disaggregation Records'!$D$156:$D$517,255),0))),"")</f>
        <v/>
      </c>
      <c r="O651" s="314" t="str">
        <f t="array" aca="1" ref="O651" ca="1">IFERROR(IF(INDEX('Disaggregation Records'!$H$156:$H$517,MATCH(RIGHT(L651,255),RIGHT('Disaggregation Records'!$D$156:$D$517,255),0))="","",INDEX('Disaggregation Records'!$H$156:$H$517,MATCH(RIGHT(L651,255),RIGHT('Disaggregation Records'!$D$156:$D$517,255),0))),"")</f>
        <v/>
      </c>
      <c r="P651" s="314"/>
      <c r="Q651" s="310">
        <f t="shared" ref="Q651" si="820">Q649+1</f>
        <v>1627</v>
      </c>
      <c r="R651" s="314" t="str" cm="1">
        <f t="array" aca="1" ref="R651" ca="1">IFERROR(IF(INDEX('Disaggregation Records'!$G$156:$G$517,MATCH(RIGHT(L651,255),RIGHT('Disaggregation Records'!$D$156:$D$517,255),0))="","",INDEX('Disaggregation Records'!$G$156:$G$517,MATCH(RIGHT(L651,255),RIGHT('Disaggregation Records'!$D$156:$D$517,255),0))),"")</f>
        <v/>
      </c>
    </row>
    <row r="652" spans="1:18" ht="20.100000000000001" customHeight="1">
      <c r="B652" s="571"/>
      <c r="C652" s="573"/>
      <c r="D652" s="575"/>
      <c r="E652" s="575"/>
      <c r="F652" s="128"/>
      <c r="G652" s="577"/>
      <c r="H652" s="540"/>
      <c r="I652" s="579"/>
      <c r="J652" s="533"/>
      <c r="K652" s="126"/>
      <c r="L652" s="126"/>
      <c r="M652" s="126"/>
      <c r="N652" s="126"/>
      <c r="O652" s="314"/>
      <c r="P652" s="314"/>
      <c r="Q652" s="310"/>
      <c r="R652" s="314" t="str" cm="1">
        <f t="array" ref="R652">IFERROR(IF(INDEX('Disaggregation Records'!$G$156:$G$517,MATCH(RIGHT(L652,255),RIGHT('Disaggregation Records'!$D$156:$D$517,255),0))="","",INDEX('Disaggregation Records'!$G$156:$G$517,MATCH(RIGHT(L652,255),RIGHT('Disaggregation Records'!$D$156:$D$517,255),0))),"")</f>
        <v/>
      </c>
    </row>
    <row r="653" spans="1:18" ht="20.100000000000001" customHeight="1">
      <c r="A653" s="126" t="str">
        <f t="shared" ca="1" si="788"/>
        <v>a16Dm000000M3qRIAS</v>
      </c>
      <c r="B653" s="570">
        <v>1</v>
      </c>
      <c r="C653" s="572" t="str">
        <f ca="1">IFERROR(VLOOKUP(B653,'Coverage Indicators - Section D'!$A$9:$AO$94,41,FALSE),"")</f>
        <v>TBDT-1 Number of patients with of all forms of TB notified (i.e., bacteriologically confirmed + clinically diagnosed); *includes only those with new and relapse TB</v>
      </c>
      <c r="D653" s="574" t="str">
        <f ca="1">M653</f>
        <v/>
      </c>
      <c r="E653" s="574" t="str">
        <f ca="1">N653</f>
        <v/>
      </c>
      <c r="F653" s="127"/>
      <c r="G653" s="576" t="str">
        <f ca="1">IF(OR(INDIRECT("'update Helper'!E"&amp;Q653)="",F653&lt;&gt;0,F654&lt;&gt;0),IF(IFERROR((F653/F654),"")="","",(F653/F654)),INDIRECT("'update Helper'!E"&amp;Q653)/100)</f>
        <v/>
      </c>
      <c r="H653" s="539"/>
      <c r="I653" s="578"/>
      <c r="J653" s="532"/>
      <c r="K653" s="126">
        <f ca="1">IF(AND(EXACT(C653,C651),C651&lt;&gt;0),K651+1,0)</f>
        <v>16</v>
      </c>
      <c r="L653" s="126" t="str">
        <f t="shared" ref="L653" ca="1" si="821">IF(C653&lt;&gt;"",C653&amp;"-"&amp;K653,"")</f>
        <v>TBDT-1 Number of patients with of all forms of TB notified (i.e., bacteriologically confirmed + clinically diagnosed); *includes only those with new and relapse TB-16</v>
      </c>
      <c r="M653" s="126" t="str">
        <f t="array" aca="1" ref="M653" ca="1">IFERROR(IF(INDEX('Disaggregation Records'!$E$156:$E$517,MATCH(RIGHT(L653,255),RIGHT('Disaggregation Records'!$D$156:$D$517,255),0))="","",INDEX('Disaggregation Records'!$E$156:$E$517,MATCH(RIGHT(L653,255),RIGHT('Disaggregation Records'!$D$156:$D$517,255),0))),"")</f>
        <v/>
      </c>
      <c r="N653" s="126" t="str">
        <f t="array" aca="1" ref="N653" ca="1">IFERROR(IF(INDEX('Disaggregation Records'!$F$156:$F$517,MATCH(RIGHT(L653,255),RIGHT('Disaggregation Records'!$D$156:$D$517,255),0))="","",INDEX('Disaggregation Records'!$F$156:$F$517,MATCH(RIGHT(L653,255),RIGHT('Disaggregation Records'!$D$156:$D$517,255),0))),"")</f>
        <v/>
      </c>
      <c r="O653" s="314" t="str">
        <f t="array" aca="1" ref="O653" ca="1">IFERROR(IF(INDEX('Disaggregation Records'!$H$156:$H$517,MATCH(RIGHT(L653,255),RIGHT('Disaggregation Records'!$D$156:$D$517,255),0))="","",INDEX('Disaggregation Records'!$H$156:$H$517,MATCH(RIGHT(L653,255),RIGHT('Disaggregation Records'!$D$156:$D$517,255),0))),"")</f>
        <v/>
      </c>
      <c r="P653" s="314"/>
      <c r="Q653" s="310">
        <f t="shared" ref="Q653" si="822">Q651+1</f>
        <v>1628</v>
      </c>
      <c r="R653" s="314" t="str" cm="1">
        <f t="array" aca="1" ref="R653" ca="1">IFERROR(IF(INDEX('Disaggregation Records'!$G$156:$G$517,MATCH(RIGHT(L653,255),RIGHT('Disaggregation Records'!$D$156:$D$517,255),0))="","",INDEX('Disaggregation Records'!$G$156:$G$517,MATCH(RIGHT(L653,255),RIGHT('Disaggregation Records'!$D$156:$D$517,255),0))),"")</f>
        <v/>
      </c>
    </row>
    <row r="654" spans="1:18" ht="20.100000000000001" customHeight="1">
      <c r="A654" s="126"/>
      <c r="B654" s="571"/>
      <c r="C654" s="573"/>
      <c r="D654" s="575"/>
      <c r="E654" s="575"/>
      <c r="F654" s="128"/>
      <c r="G654" s="577"/>
      <c r="H654" s="540"/>
      <c r="I654" s="579"/>
      <c r="J654" s="533"/>
      <c r="K654" s="126"/>
      <c r="L654" s="126"/>
      <c r="M654" s="126"/>
      <c r="N654" s="126"/>
      <c r="O654" s="314"/>
      <c r="P654" s="314"/>
      <c r="Q654" s="310"/>
      <c r="R654" s="314" t="str" cm="1">
        <f t="array" ref="R654">IFERROR(IF(INDEX('Disaggregation Records'!$G$156:$G$517,MATCH(RIGHT(L654,255),RIGHT('Disaggregation Records'!$D$156:$D$517,255),0))="","",INDEX('Disaggregation Records'!$G$156:$G$517,MATCH(RIGHT(L654,255),RIGHT('Disaggregation Records'!$D$156:$D$517,255),0))),"")</f>
        <v/>
      </c>
    </row>
    <row r="655" spans="1:18" ht="20.100000000000001" customHeight="1">
      <c r="A655" s="126" t="str">
        <f t="shared" ca="1" si="792"/>
        <v>a16Dm000000M3qSIAS</v>
      </c>
      <c r="B655" s="570">
        <v>1</v>
      </c>
      <c r="C655" s="572" t="str">
        <f ca="1">IFERROR(VLOOKUP(B655,'Coverage Indicators - Section D'!$A$9:$AO$94,41,FALSE),"")</f>
        <v>TBDT-1 Number of patients with of all forms of TB notified (i.e., bacteriologically confirmed + clinically diagnosed); *includes only those with new and relapse TB</v>
      </c>
      <c r="D655" s="574" t="str">
        <f ca="1">M655</f>
        <v/>
      </c>
      <c r="E655" s="574" t="str">
        <f ca="1">N655</f>
        <v/>
      </c>
      <c r="F655" s="127"/>
      <c r="G655" s="576" t="str">
        <f ca="1">IF(OR(INDIRECT("'update Helper'!E"&amp;Q655)="",F655&lt;&gt;0,F656&lt;&gt;0),IF(IFERROR((F655/F656),"")="","",(F655/F656)),INDIRECT("'update Helper'!E"&amp;Q655)/100)</f>
        <v/>
      </c>
      <c r="H655" s="539"/>
      <c r="I655" s="578"/>
      <c r="J655" s="532"/>
      <c r="K655" s="126">
        <f ca="1">IF(AND(EXACT(C655,C653),C653&lt;&gt;0),K653+1,0)</f>
        <v>17</v>
      </c>
      <c r="L655" s="126" t="str">
        <f t="shared" ref="L655" ca="1" si="823">IF(C655&lt;&gt;"",C655&amp;"-"&amp;K655,"")</f>
        <v>TBDT-1 Number of patients with of all forms of TB notified (i.e., bacteriologically confirmed + clinically diagnosed); *includes only those with new and relapse TB-17</v>
      </c>
      <c r="M655" s="126" t="str">
        <f t="array" aca="1" ref="M655" ca="1">IFERROR(IF(INDEX('Disaggregation Records'!$E$156:$E$517,MATCH(RIGHT(L655,255),RIGHT('Disaggregation Records'!$D$156:$D$517,255),0))="","",INDEX('Disaggregation Records'!$E$156:$E$517,MATCH(RIGHT(L655,255),RIGHT('Disaggregation Records'!$D$156:$D$517,255),0))),"")</f>
        <v/>
      </c>
      <c r="N655" s="126" t="str">
        <f t="array" aca="1" ref="N655" ca="1">IFERROR(IF(INDEX('Disaggregation Records'!$F$156:$F$517,MATCH(RIGHT(L655,255),RIGHT('Disaggregation Records'!$D$156:$D$517,255),0))="","",INDEX('Disaggregation Records'!$F$156:$F$517,MATCH(RIGHT(L655,255),RIGHT('Disaggregation Records'!$D$156:$D$517,255),0))),"")</f>
        <v/>
      </c>
      <c r="O655" s="314" t="str">
        <f t="array" aca="1" ref="O655" ca="1">IFERROR(IF(INDEX('Disaggregation Records'!$H$156:$H$517,MATCH(RIGHT(L655,255),RIGHT('Disaggregation Records'!$D$156:$D$517,255),0))="","",INDEX('Disaggregation Records'!$H$156:$H$517,MATCH(RIGHT(L655,255),RIGHT('Disaggregation Records'!$D$156:$D$517,255),0))),"")</f>
        <v/>
      </c>
      <c r="P655" s="310"/>
      <c r="Q655" s="310">
        <f t="shared" ref="Q655" si="824">Q653+1</f>
        <v>1629</v>
      </c>
      <c r="R655" s="314" t="str" cm="1">
        <f t="array" aca="1" ref="R655" ca="1">IFERROR(IF(INDEX('Disaggregation Records'!$G$156:$G$517,MATCH(RIGHT(L655,255),RIGHT('Disaggregation Records'!$D$156:$D$517,255),0))="","",INDEX('Disaggregation Records'!$G$156:$G$517,MATCH(RIGHT(L655,255),RIGHT('Disaggregation Records'!$D$156:$D$517,255),0))),"")</f>
        <v/>
      </c>
    </row>
    <row r="656" spans="1:18" ht="20.100000000000001" customHeight="1">
      <c r="B656" s="571"/>
      <c r="C656" s="573"/>
      <c r="D656" s="575"/>
      <c r="E656" s="575"/>
      <c r="F656" s="128"/>
      <c r="G656" s="577"/>
      <c r="H656" s="540"/>
      <c r="I656" s="579"/>
      <c r="J656" s="533"/>
      <c r="L656" s="126"/>
      <c r="N656" s="126"/>
      <c r="O656" s="314"/>
      <c r="P656" s="310"/>
      <c r="Q656" s="310"/>
      <c r="R656" s="314" t="str" cm="1">
        <f t="array" ref="R656">IFERROR(IF(INDEX('Disaggregation Records'!$G$156:$G$517,MATCH(RIGHT(L656,255),RIGHT('Disaggregation Records'!$D$156:$D$517,255),0))="","",INDEX('Disaggregation Records'!$G$156:$G$517,MATCH(RIGHT(L656,255),RIGHT('Disaggregation Records'!$D$156:$D$517,255),0))),"")</f>
        <v/>
      </c>
    </row>
    <row r="657" spans="1:18" ht="20.100000000000001" customHeight="1">
      <c r="A657" s="126" t="str">
        <f t="shared" ca="1" si="788"/>
        <v>a16Dm000000M3qTIAS</v>
      </c>
      <c r="B657" s="570">
        <v>1</v>
      </c>
      <c r="C657" s="572" t="str">
        <f ca="1">IFERROR(VLOOKUP(B657,'Coverage Indicators - Section D'!$A$9:$AO$94,41,FALSE),"")</f>
        <v>TBDT-1 Number of patients with of all forms of TB notified (i.e., bacteriologically confirmed + clinically diagnosed); *includes only those with new and relapse TB</v>
      </c>
      <c r="D657" s="574" t="str">
        <f ca="1">M657</f>
        <v/>
      </c>
      <c r="E657" s="574" t="str">
        <f ca="1">N657</f>
        <v/>
      </c>
      <c r="F657" s="127"/>
      <c r="G657" s="576" t="str">
        <f ca="1">IF(OR(INDIRECT("'update Helper'!E"&amp;Q657)="",F657&lt;&gt;0,F658&lt;&gt;0),IF(IFERROR((F657/F658),"")="","",(F657/F658)),INDIRECT("'update Helper'!E"&amp;Q657)/100)</f>
        <v/>
      </c>
      <c r="H657" s="539"/>
      <c r="I657" s="578"/>
      <c r="J657" s="532"/>
      <c r="K657" s="126">
        <f ca="1">IF(AND(EXACT(C657,C655),C655&lt;&gt;0),K655+1,0)</f>
        <v>18</v>
      </c>
      <c r="L657" s="126" t="str">
        <f t="shared" ref="L657" ca="1" si="825">IF(C657&lt;&gt;"",C657&amp;"-"&amp;K657,"")</f>
        <v>TBDT-1 Number of patients with of all forms of TB notified (i.e., bacteriologically confirmed + clinically diagnosed); *includes only those with new and relapse TB-18</v>
      </c>
      <c r="M657" s="126" t="str">
        <f t="array" aca="1" ref="M657" ca="1">IFERROR(IF(INDEX('Disaggregation Records'!$E$156:$E$517,MATCH(RIGHT(L657,255),RIGHT('Disaggregation Records'!$D$156:$D$517,255),0))="","",INDEX('Disaggregation Records'!$E$156:$E$517,MATCH(RIGHT(L657,255),RIGHT('Disaggregation Records'!$D$156:$D$517,255),0))),"")</f>
        <v/>
      </c>
      <c r="N657" s="126" t="str">
        <f t="array" aca="1" ref="N657" ca="1">IFERROR(IF(INDEX('Disaggregation Records'!$F$156:$F$517,MATCH(RIGHT(L657,255),RIGHT('Disaggregation Records'!$D$156:$D$517,255),0))="","",INDEX('Disaggregation Records'!$F$156:$F$517,MATCH(RIGHT(L657,255),RIGHT('Disaggregation Records'!$D$156:$D$517,255),0))),"")</f>
        <v/>
      </c>
      <c r="O657" s="314" t="str">
        <f t="array" aca="1" ref="O657" ca="1">IFERROR(IF(INDEX('Disaggregation Records'!$H$156:$H$517,MATCH(RIGHT(L657,255),RIGHT('Disaggregation Records'!$D$156:$D$517,255),0))="","",INDEX('Disaggregation Records'!$H$156:$H$517,MATCH(RIGHT(L657,255),RIGHT('Disaggregation Records'!$D$156:$D$517,255),0))),"")</f>
        <v/>
      </c>
      <c r="P657" s="310"/>
      <c r="Q657" s="310">
        <f t="shared" ref="Q657" si="826">Q655+1</f>
        <v>1630</v>
      </c>
      <c r="R657" s="314" t="str" cm="1">
        <f t="array" aca="1" ref="R657" ca="1">IFERROR(IF(INDEX('Disaggregation Records'!$G$156:$G$517,MATCH(RIGHT(L657,255),RIGHT('Disaggregation Records'!$D$156:$D$517,255),0))="","",INDEX('Disaggregation Records'!$G$156:$G$517,MATCH(RIGHT(L657,255),RIGHT('Disaggregation Records'!$D$156:$D$517,255),0))),"")</f>
        <v/>
      </c>
    </row>
    <row r="658" spans="1:18" ht="20.100000000000001" customHeight="1">
      <c r="A658" s="126"/>
      <c r="B658" s="571"/>
      <c r="C658" s="573"/>
      <c r="D658" s="575"/>
      <c r="E658" s="575"/>
      <c r="F658" s="128"/>
      <c r="G658" s="577"/>
      <c r="H658" s="540"/>
      <c r="I658" s="579"/>
      <c r="J658" s="533"/>
      <c r="L658" s="126"/>
      <c r="N658" s="126"/>
      <c r="O658" s="314"/>
      <c r="P658" s="310"/>
      <c r="Q658" s="310"/>
      <c r="R658" s="314" t="str" cm="1">
        <f t="array" ref="R658">IFERROR(IF(INDEX('Disaggregation Records'!$G$156:$G$517,MATCH(RIGHT(L658,255),RIGHT('Disaggregation Records'!$D$156:$D$517,255),0))="","",INDEX('Disaggregation Records'!$G$156:$G$517,MATCH(RIGHT(L658,255),RIGHT('Disaggregation Records'!$D$156:$D$517,255),0))),"")</f>
        <v/>
      </c>
    </row>
    <row r="659" spans="1:18" ht="20.100000000000001" customHeight="1">
      <c r="A659" s="126" t="str">
        <f t="shared" ca="1" si="792"/>
        <v>a16Dm000000M3qUIAS</v>
      </c>
      <c r="B659" s="570">
        <v>1</v>
      </c>
      <c r="C659" s="572" t="str">
        <f ca="1">IFERROR(VLOOKUP(B659,'Coverage Indicators - Section D'!$A$9:$AO$94,41,FALSE),"")</f>
        <v>TBDT-1 Number of patients with of all forms of TB notified (i.e., bacteriologically confirmed + clinically diagnosed); *includes only those with new and relapse TB</v>
      </c>
      <c r="D659" s="574" t="str">
        <f ca="1">M659</f>
        <v/>
      </c>
      <c r="E659" s="574" t="str">
        <f ca="1">N659</f>
        <v/>
      </c>
      <c r="F659" s="127"/>
      <c r="G659" s="576" t="str">
        <f ca="1">IF(OR(INDIRECT("'update Helper'!E"&amp;Q659)="",F659&lt;&gt;0,F660&lt;&gt;0),IF(IFERROR((F659/F660),"")="","",(F659/F660)),INDIRECT("'update Helper'!E"&amp;Q659)/100)</f>
        <v/>
      </c>
      <c r="H659" s="539"/>
      <c r="I659" s="578"/>
      <c r="J659" s="532"/>
      <c r="K659" s="126">
        <f ca="1">IF(AND(EXACT(C659,C657),C657&lt;&gt;0),K657+1,0)</f>
        <v>19</v>
      </c>
      <c r="L659" s="126" t="str">
        <f t="shared" ref="L659" ca="1" si="827">IF(C659&lt;&gt;"",C659&amp;"-"&amp;K659,"")</f>
        <v>TBDT-1 Number of patients with of all forms of TB notified (i.e., bacteriologically confirmed + clinically diagnosed); *includes only those with new and relapse TB-19</v>
      </c>
      <c r="M659" s="126" t="str">
        <f t="array" aca="1" ref="M659" ca="1">IFERROR(IF(INDEX('Disaggregation Records'!$E$156:$E$517,MATCH(RIGHT(L659,255),RIGHT('Disaggregation Records'!$D$156:$D$517,255),0))="","",INDEX('Disaggregation Records'!$E$156:$E$517,MATCH(RIGHT(L659,255),RIGHT('Disaggregation Records'!$D$156:$D$517,255),0))),"")</f>
        <v/>
      </c>
      <c r="N659" s="126" t="str">
        <f t="array" aca="1" ref="N659" ca="1">IFERROR(IF(INDEX('Disaggregation Records'!$F$156:$F$517,MATCH(RIGHT(L659,255),RIGHT('Disaggregation Records'!$D$156:$D$517,255),0))="","",INDEX('Disaggregation Records'!$F$156:$F$517,MATCH(RIGHT(L659,255),RIGHT('Disaggregation Records'!$D$156:$D$517,255),0))),"")</f>
        <v/>
      </c>
      <c r="O659" s="314" t="str">
        <f t="array" aca="1" ref="O659" ca="1">IFERROR(IF(INDEX('Disaggregation Records'!$H$156:$H$517,MATCH(RIGHT(L659,255),RIGHT('Disaggregation Records'!$D$156:$D$517,255),0))="","",INDEX('Disaggregation Records'!$H$156:$H$517,MATCH(RIGHT(L659,255),RIGHT('Disaggregation Records'!$D$156:$D$517,255),0))),"")</f>
        <v/>
      </c>
      <c r="P659" s="310"/>
      <c r="Q659" s="310">
        <f t="shared" ref="Q659" si="828">Q657+1</f>
        <v>1631</v>
      </c>
      <c r="R659" s="314" t="str" cm="1">
        <f t="array" aca="1" ref="R659" ca="1">IFERROR(IF(INDEX('Disaggregation Records'!$G$156:$G$517,MATCH(RIGHT(L659,255),RIGHT('Disaggregation Records'!$D$156:$D$517,255),0))="","",INDEX('Disaggregation Records'!$G$156:$G$517,MATCH(RIGHT(L659,255),RIGHT('Disaggregation Records'!$D$156:$D$517,255),0))),"")</f>
        <v/>
      </c>
    </row>
    <row r="660" spans="1:18" ht="20.100000000000001" customHeight="1">
      <c r="B660" s="571"/>
      <c r="C660" s="573"/>
      <c r="D660" s="575"/>
      <c r="E660" s="575"/>
      <c r="F660" s="128"/>
      <c r="G660" s="577"/>
      <c r="H660" s="540"/>
      <c r="I660" s="579"/>
      <c r="J660" s="533"/>
      <c r="L660" s="126"/>
      <c r="N660" s="126"/>
      <c r="O660" s="314"/>
      <c r="P660" s="310"/>
      <c r="Q660" s="310"/>
      <c r="R660" s="314" t="str" cm="1">
        <f t="array" ref="R660">IFERROR(IF(INDEX('Disaggregation Records'!$G$156:$G$517,MATCH(RIGHT(L660,255),RIGHT('Disaggregation Records'!$D$156:$D$517,255),0))="","",INDEX('Disaggregation Records'!$G$156:$G$517,MATCH(RIGHT(L660,255),RIGHT('Disaggregation Records'!$D$156:$D$517,255),0))),"")</f>
        <v/>
      </c>
    </row>
    <row r="661" spans="1:18" ht="20.100000000000001" customHeight="1">
      <c r="A661" s="126" t="str">
        <f t="shared" ca="1" si="788"/>
        <v>a16Dm000000M3qVIAS</v>
      </c>
      <c r="B661" s="570">
        <v>2</v>
      </c>
      <c r="C661" s="572" t="str">
        <f ca="1">IFERROR(VLOOKUP(B661,'Coverage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61" s="574" t="str">
        <f ca="1">M661</f>
        <v>Age</v>
      </c>
      <c r="E661" s="574" t="str">
        <f ca="1">N661</f>
        <v>15+</v>
      </c>
      <c r="F661" s="127"/>
      <c r="G661" s="576" t="str">
        <f ca="1">IF(OR(INDIRECT("'update Helper'!E"&amp;Q661)="",F661&lt;&gt;0,F662&lt;&gt;0),IF(IFERROR((F661/F662),"")="","",(F661/F662)),INDIRECT("'update Helper'!E"&amp;Q661)/100)</f>
        <v/>
      </c>
      <c r="H661" s="539"/>
      <c r="I661" s="578" t="s">
        <v>2281</v>
      </c>
      <c r="J661" s="532" t="s">
        <v>2282</v>
      </c>
      <c r="K661" s="126">
        <f ca="1">IF(AND(EXACT(C661,C659),C659&lt;&gt;0),K659+1,0)</f>
        <v>0</v>
      </c>
      <c r="L661" s="126" t="str">
        <f t="shared" ref="L661" ca="1" si="829">IF(C661&lt;&gt;"",C661&amp;"-"&amp;K661,"")</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TB-0</v>
      </c>
      <c r="M661" s="126" t="str">
        <f t="array" aca="1" ref="M661" ca="1">IFERROR(IF(INDEX('Disaggregation Records'!$E$156:$E$517,MATCH(RIGHT(L661,255),RIGHT('Disaggregation Records'!$D$156:$D$517,255),0))="","",INDEX('Disaggregation Records'!$E$156:$E$517,MATCH(RIGHT(L661,255),RIGHT('Disaggregation Records'!$D$156:$D$517,255),0))),"")</f>
        <v>Age</v>
      </c>
      <c r="N661" s="126" t="str">
        <f t="array" aca="1" ref="N661" ca="1">IFERROR(IF(INDEX('Disaggregation Records'!$F$156:$F$517,MATCH(RIGHT(L661,255),RIGHT('Disaggregation Records'!$D$156:$D$517,255),0))="","",INDEX('Disaggregation Records'!$F$156:$F$517,MATCH(RIGHT(L661,255),RIGHT('Disaggregation Records'!$D$156:$D$517,255),0))),"")</f>
        <v>15+</v>
      </c>
      <c r="O661" s="314" t="str">
        <f t="array" aca="1" ref="O661" ca="1">IFERROR(IF(INDEX('Disaggregation Records'!$H$156:$H$517,MATCH(RIGHT(L661,255),RIGHT('Disaggregation Records'!$D$156:$D$517,255),0))="","",INDEX('Disaggregation Records'!$H$156:$H$517,MATCH(RIGHT(L661,255),RIGHT('Disaggregation Records'!$D$156:$D$517,255),0))),"")</f>
        <v>IDR-01330</v>
      </c>
      <c r="P661" s="314"/>
      <c r="Q661" s="310">
        <f t="shared" ref="Q661" si="830">Q659+1</f>
        <v>1632</v>
      </c>
      <c r="R661" s="314" t="str" cm="1">
        <f t="array" aca="1" ref="R661" ca="1">IFERROR(IF(INDEX('Disaggregation Records'!$G$156:$G$517,MATCH(RIGHT(L661,255),RIGHT('Disaggregation Records'!$D$156:$D$517,255),0))="","",INDEX('Disaggregation Records'!$G$156:$G$517,MATCH(RIGHT(L661,255),RIGHT('Disaggregation Records'!$D$156:$D$517,255),0))),"")</f>
        <v>a1LDm000000Cb4CMAS</v>
      </c>
    </row>
    <row r="662" spans="1:18" ht="20.100000000000001" customHeight="1">
      <c r="A662" s="126"/>
      <c r="B662" s="571"/>
      <c r="C662" s="573"/>
      <c r="D662" s="575"/>
      <c r="E662" s="575"/>
      <c r="F662" s="128"/>
      <c r="G662" s="577"/>
      <c r="H662" s="540"/>
      <c r="I662" s="579"/>
      <c r="J662" s="533"/>
      <c r="K662" s="126"/>
      <c r="L662" s="126"/>
      <c r="M662" s="126"/>
      <c r="N662" s="126"/>
      <c r="O662" s="314"/>
      <c r="P662" s="314"/>
      <c r="Q662" s="310"/>
      <c r="R662" s="314" t="str" cm="1">
        <f t="array" ref="R662">IFERROR(IF(INDEX('Disaggregation Records'!$G$156:$G$517,MATCH(RIGHT(L662,255),RIGHT('Disaggregation Records'!$D$156:$D$517,255),0))="","",INDEX('Disaggregation Records'!$G$156:$G$517,MATCH(RIGHT(L662,255),RIGHT('Disaggregation Records'!$D$156:$D$517,255),0))),"")</f>
        <v/>
      </c>
    </row>
    <row r="663" spans="1:18" ht="20.100000000000001" customHeight="1">
      <c r="A663" s="126" t="str">
        <f t="shared" ca="1" si="792"/>
        <v>a16Dm000000M3qWIAS</v>
      </c>
      <c r="B663" s="570">
        <v>2</v>
      </c>
      <c r="C663" s="572" t="str">
        <f ca="1">IFERROR(VLOOKUP(B663,'Coverage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63" s="574" t="str">
        <f ca="1">M663</f>
        <v>HIV status</v>
      </c>
      <c r="E663" s="574" t="str">
        <f ca="1">N663</f>
        <v>Unknown</v>
      </c>
      <c r="F663" s="127"/>
      <c r="G663" s="576" t="str">
        <f ca="1">IF(OR(INDIRECT("'update Helper'!E"&amp;Q663)="",F663&lt;&gt;0,F664&lt;&gt;0),IF(IFERROR((F663/F664),"")="","",(F663/F664)),INDIRECT("'update Helper'!E"&amp;Q663)/100)</f>
        <v/>
      </c>
      <c r="H663" s="539"/>
      <c r="I663" s="578" t="s">
        <v>2281</v>
      </c>
      <c r="J663" s="532" t="s">
        <v>2282</v>
      </c>
      <c r="K663" s="126">
        <f ca="1">IF(AND(EXACT(C663,C661),C661&lt;&gt;0),K661+1,0)</f>
        <v>1</v>
      </c>
      <c r="L663" s="126" t="str">
        <f t="shared" ref="L663" ca="1" si="831">IF(C663&lt;&gt;"",C663&amp;"-"&amp;K663,"")</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v>
      </c>
      <c r="M663" s="126" t="str">
        <f t="array" aca="1" ref="M663" ca="1">IFERROR(IF(INDEX('Disaggregation Records'!$E$156:$E$517,MATCH(RIGHT(L663,255),RIGHT('Disaggregation Records'!$D$156:$D$517,255),0))="","",INDEX('Disaggregation Records'!$E$156:$E$517,MATCH(RIGHT(L663,255),RIGHT('Disaggregation Records'!$D$156:$D$517,255),0))),"")</f>
        <v>HIV status</v>
      </c>
      <c r="N663" s="126" t="str">
        <f t="array" aca="1" ref="N663" ca="1">IFERROR(IF(INDEX('Disaggregation Records'!$F$156:$F$517,MATCH(RIGHT(L663,255),RIGHT('Disaggregation Records'!$D$156:$D$517,255),0))="","",INDEX('Disaggregation Records'!$F$156:$F$517,MATCH(RIGHT(L663,255),RIGHT('Disaggregation Records'!$D$156:$D$517,255),0))),"")</f>
        <v>Unknown</v>
      </c>
      <c r="O663" s="314" t="str">
        <f t="array" aca="1" ref="O663" ca="1">IFERROR(IF(INDEX('Disaggregation Records'!$H$156:$H$517,MATCH(RIGHT(L663,255),RIGHT('Disaggregation Records'!$D$156:$D$517,255),0))="","",INDEX('Disaggregation Records'!$H$156:$H$517,MATCH(RIGHT(L663,255),RIGHT('Disaggregation Records'!$D$156:$D$517,255),0))),"")</f>
        <v>IDR-01329</v>
      </c>
      <c r="P663" s="314"/>
      <c r="Q663" s="310">
        <f t="shared" ref="Q663" si="832">Q661+1</f>
        <v>1633</v>
      </c>
      <c r="R663" s="314" t="str" cm="1">
        <f t="array" aca="1" ref="R663" ca="1">IFERROR(IF(INDEX('Disaggregation Records'!$G$156:$G$517,MATCH(RIGHT(L663,255),RIGHT('Disaggregation Records'!$D$156:$D$517,255),0))="","",INDEX('Disaggregation Records'!$G$156:$G$517,MATCH(RIGHT(L663,255),RIGHT('Disaggregation Records'!$D$156:$D$517,255),0))),"")</f>
        <v>a1LDm000000Cb4BMAS</v>
      </c>
    </row>
    <row r="664" spans="1:18" ht="20.100000000000001" customHeight="1">
      <c r="B664" s="571"/>
      <c r="C664" s="573"/>
      <c r="D664" s="575"/>
      <c r="E664" s="575"/>
      <c r="F664" s="128"/>
      <c r="G664" s="577"/>
      <c r="H664" s="540"/>
      <c r="I664" s="579"/>
      <c r="J664" s="533"/>
      <c r="K664" s="126"/>
      <c r="L664" s="126"/>
      <c r="M664" s="126"/>
      <c r="N664" s="126"/>
      <c r="O664" s="314"/>
      <c r="P664" s="314"/>
      <c r="Q664" s="310"/>
      <c r="R664" s="314" t="str" cm="1">
        <f t="array" ref="R664">IFERROR(IF(INDEX('Disaggregation Records'!$G$156:$G$517,MATCH(RIGHT(L664,255),RIGHT('Disaggregation Records'!$D$156:$D$517,255),0))="","",INDEX('Disaggregation Records'!$G$156:$G$517,MATCH(RIGHT(L664,255),RIGHT('Disaggregation Records'!$D$156:$D$517,255),0))),"")</f>
        <v/>
      </c>
    </row>
    <row r="665" spans="1:18" ht="20.100000000000001" customHeight="1">
      <c r="A665" s="126" t="str">
        <f t="shared" ca="1" si="788"/>
        <v>a16Dm000000M3qXIAS</v>
      </c>
      <c r="B665" s="570">
        <v>2</v>
      </c>
      <c r="C665" s="572" t="str">
        <f ca="1">IFERROR(VLOOKUP(B665,'Coverage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65" s="574" t="str">
        <f ca="1">M665</f>
        <v>Age</v>
      </c>
      <c r="E665" s="574" t="str">
        <f ca="1">N665</f>
        <v>&lt;15</v>
      </c>
      <c r="F665" s="127">
        <v>20276</v>
      </c>
      <c r="G665" s="576">
        <f ca="1">IF(OR(INDIRECT("'update Helper'!E"&amp;Q665)="",F665&lt;&gt;0,F666&lt;&gt;0),IF(IFERROR((F665/F666),"")="","",(F665/F666)),INDIRECT("'update Helper'!E"&amp;Q665)/100)</f>
        <v>0.9075284218064632</v>
      </c>
      <c r="H665" s="539">
        <v>2021</v>
      </c>
      <c r="I665" s="578" t="s">
        <v>2211</v>
      </c>
      <c r="J665" s="532" t="s">
        <v>2283</v>
      </c>
      <c r="K665" s="126">
        <f ca="1">IF(AND(EXACT(C665,C663),C663&lt;&gt;0),K663+1,0)</f>
        <v>2</v>
      </c>
      <c r="L665" s="126" t="str">
        <f t="shared" ref="L665" ca="1" si="833">IF(C665&lt;&gt;"",C665&amp;"-"&amp;K665,"")</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TB-2</v>
      </c>
      <c r="M665" s="126" t="str">
        <f t="array" aca="1" ref="M665" ca="1">IFERROR(IF(INDEX('Disaggregation Records'!$E$156:$E$517,MATCH(RIGHT(L665,255),RIGHT('Disaggregation Records'!$D$156:$D$517,255),0))="","",INDEX('Disaggregation Records'!$E$156:$E$517,MATCH(RIGHT(L665,255),RIGHT('Disaggregation Records'!$D$156:$D$517,255),0))),"")</f>
        <v>Age</v>
      </c>
      <c r="N665" s="126" t="str">
        <f t="array" aca="1" ref="N665" ca="1">IFERROR(IF(INDEX('Disaggregation Records'!$F$156:$F$517,MATCH(RIGHT(L665,255),RIGHT('Disaggregation Records'!$D$156:$D$517,255),0))="","",INDEX('Disaggregation Records'!$F$156:$F$517,MATCH(RIGHT(L665,255),RIGHT('Disaggregation Records'!$D$156:$D$517,255),0))),"")</f>
        <v>&lt;15</v>
      </c>
      <c r="O665" s="314" t="str">
        <f t="array" aca="1" ref="O665" ca="1">IFERROR(IF(INDEX('Disaggregation Records'!$H$156:$H$517,MATCH(RIGHT(L665,255),RIGHT('Disaggregation Records'!$D$156:$D$517,255),0))="","",INDEX('Disaggregation Records'!$H$156:$H$517,MATCH(RIGHT(L665,255),RIGHT('Disaggregation Records'!$D$156:$D$517,255),0))),"")</f>
        <v>IDR-01328</v>
      </c>
      <c r="P665" s="310"/>
      <c r="Q665" s="310">
        <f t="shared" ref="Q665" si="834">Q663+1</f>
        <v>1634</v>
      </c>
      <c r="R665" s="314" t="str" cm="1">
        <f t="array" aca="1" ref="R665" ca="1">IFERROR(IF(INDEX('Disaggregation Records'!$G$156:$G$517,MATCH(RIGHT(L665,255),RIGHT('Disaggregation Records'!$D$156:$D$517,255),0))="","",INDEX('Disaggregation Records'!$G$156:$G$517,MATCH(RIGHT(L665,255),RIGHT('Disaggregation Records'!$D$156:$D$517,255),0))),"")</f>
        <v>a1LDm000000Cb4AMAS</v>
      </c>
    </row>
    <row r="666" spans="1:18" ht="20.100000000000001" customHeight="1">
      <c r="A666" s="126"/>
      <c r="B666" s="571"/>
      <c r="C666" s="573"/>
      <c r="D666" s="575"/>
      <c r="E666" s="575"/>
      <c r="F666" s="128">
        <v>22342</v>
      </c>
      <c r="G666" s="577"/>
      <c r="H666" s="540"/>
      <c r="I666" s="579"/>
      <c r="J666" s="533"/>
      <c r="L666" s="126"/>
      <c r="N666" s="126"/>
      <c r="O666" s="314"/>
      <c r="P666" s="310"/>
      <c r="Q666" s="310"/>
      <c r="R666" s="314" t="str" cm="1">
        <f t="array" ref="R666">IFERROR(IF(INDEX('Disaggregation Records'!$G$156:$G$517,MATCH(RIGHT(L666,255),RIGHT('Disaggregation Records'!$D$156:$D$517,255),0))="","",INDEX('Disaggregation Records'!$G$156:$G$517,MATCH(RIGHT(L666,255),RIGHT('Disaggregation Records'!$D$156:$D$517,255),0))),"")</f>
        <v/>
      </c>
    </row>
    <row r="667" spans="1:18" ht="20.100000000000001" customHeight="1">
      <c r="A667" s="126" t="str">
        <f t="shared" ca="1" si="792"/>
        <v>a16Dm000000M3qYIAS</v>
      </c>
      <c r="B667" s="570">
        <v>2</v>
      </c>
      <c r="C667" s="572" t="str">
        <f ca="1">IFERROR(VLOOKUP(B667,'Coverage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67" s="574" t="str">
        <f ca="1">M667</f>
        <v>Gender</v>
      </c>
      <c r="E667" s="574" t="str">
        <f ca="1">N667</f>
        <v>Male</v>
      </c>
      <c r="F667" s="127"/>
      <c r="G667" s="576" t="str">
        <f ca="1">IF(OR(INDIRECT("'update Helper'!E"&amp;Q667)="",F667&lt;&gt;0,F668&lt;&gt;0),IF(IFERROR((F667/F668),"")="","",(F667/F668)),INDIRECT("'update Helper'!E"&amp;Q667)/100)</f>
        <v/>
      </c>
      <c r="H667" s="539"/>
      <c r="I667" s="578" t="s">
        <v>2281</v>
      </c>
      <c r="J667" s="532" t="s">
        <v>2282</v>
      </c>
      <c r="K667" s="126">
        <f ca="1">IF(AND(EXACT(C667,C665),C665&lt;&gt;0),K665+1,0)</f>
        <v>3</v>
      </c>
      <c r="L667" s="126" t="str">
        <f t="shared" ref="L667" ca="1" si="835">IF(C667&lt;&gt;"",C667&amp;"-"&amp;K667,"")</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TB-3</v>
      </c>
      <c r="M667" s="126" t="str">
        <f t="array" aca="1" ref="M667" ca="1">IFERROR(IF(INDEX('Disaggregation Records'!$E$156:$E$517,MATCH(RIGHT(L667,255),RIGHT('Disaggregation Records'!$D$156:$D$517,255),0))="","",INDEX('Disaggregation Records'!$E$156:$E$517,MATCH(RIGHT(L667,255),RIGHT('Disaggregation Records'!$D$156:$D$517,255),0))),"")</f>
        <v>Gender</v>
      </c>
      <c r="N667" s="126" t="str">
        <f t="array" aca="1" ref="N667" ca="1">IFERROR(IF(INDEX('Disaggregation Records'!$F$156:$F$517,MATCH(RIGHT(L667,255),RIGHT('Disaggregation Records'!$D$156:$D$517,255),0))="","",INDEX('Disaggregation Records'!$F$156:$F$517,MATCH(RIGHT(L667,255),RIGHT('Disaggregation Records'!$D$156:$D$517,255),0))),"")</f>
        <v>Male</v>
      </c>
      <c r="O667" s="314" t="str">
        <f t="array" aca="1" ref="O667" ca="1">IFERROR(IF(INDEX('Disaggregation Records'!$H$156:$H$517,MATCH(RIGHT(L667,255),RIGHT('Disaggregation Records'!$D$156:$D$517,255),0))="","",INDEX('Disaggregation Records'!$H$156:$H$517,MATCH(RIGHT(L667,255),RIGHT('Disaggregation Records'!$D$156:$D$517,255),0))),"")</f>
        <v>IDR-01327</v>
      </c>
      <c r="P667" s="310"/>
      <c r="Q667" s="310">
        <f t="shared" ref="Q667" si="836">Q665+1</f>
        <v>1635</v>
      </c>
      <c r="R667" s="314" t="str" cm="1">
        <f t="array" aca="1" ref="R667" ca="1">IFERROR(IF(INDEX('Disaggregation Records'!$G$156:$G$517,MATCH(RIGHT(L667,255),RIGHT('Disaggregation Records'!$D$156:$D$517,255),0))="","",INDEX('Disaggregation Records'!$G$156:$G$517,MATCH(RIGHT(L667,255),RIGHT('Disaggregation Records'!$D$156:$D$517,255),0))),"")</f>
        <v>a1LDm000000Cb49MAC</v>
      </c>
    </row>
    <row r="668" spans="1:18" ht="20.100000000000001" customHeight="1">
      <c r="B668" s="571"/>
      <c r="C668" s="573"/>
      <c r="D668" s="575"/>
      <c r="E668" s="575"/>
      <c r="F668" s="128"/>
      <c r="G668" s="577"/>
      <c r="H668" s="540"/>
      <c r="I668" s="579"/>
      <c r="J668" s="533"/>
      <c r="L668" s="126"/>
      <c r="N668" s="126"/>
      <c r="O668" s="314"/>
      <c r="P668" s="310"/>
      <c r="Q668" s="310"/>
      <c r="R668" s="314" t="str" cm="1">
        <f t="array" ref="R668">IFERROR(IF(INDEX('Disaggregation Records'!$G$156:$G$517,MATCH(RIGHT(L668,255),RIGHT('Disaggregation Records'!$D$156:$D$517,255),0))="","",INDEX('Disaggregation Records'!$G$156:$G$517,MATCH(RIGHT(L668,255),RIGHT('Disaggregation Records'!$D$156:$D$517,255),0))),"")</f>
        <v/>
      </c>
    </row>
    <row r="669" spans="1:18" ht="20.100000000000001" customHeight="1">
      <c r="A669" s="126" t="str">
        <f t="shared" ca="1" si="788"/>
        <v>a16Dm000000M3qZIAS</v>
      </c>
      <c r="B669" s="570">
        <v>2</v>
      </c>
      <c r="C669" s="572" t="str">
        <f ca="1">IFERROR(VLOOKUP(B669,'Coverage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69" s="574" t="str">
        <f ca="1">M669</f>
        <v>HIV status</v>
      </c>
      <c r="E669" s="574" t="str">
        <f ca="1">N669</f>
        <v>Negative</v>
      </c>
      <c r="F669" s="127"/>
      <c r="G669" s="576" t="str">
        <f ca="1">IF(OR(INDIRECT("'update Helper'!E"&amp;Q669)="",F669&lt;&gt;0,F670&lt;&gt;0),IF(IFERROR((F669/F670),"")="","",(F669/F670)),INDIRECT("'update Helper'!E"&amp;Q669)/100)</f>
        <v/>
      </c>
      <c r="H669" s="539"/>
      <c r="I669" s="578" t="s">
        <v>2281</v>
      </c>
      <c r="J669" s="532" t="s">
        <v>2282</v>
      </c>
      <c r="K669" s="126">
        <f ca="1">IF(AND(EXACT(C669,C667),C667&lt;&gt;0),K667+1,0)</f>
        <v>4</v>
      </c>
      <c r="L669" s="126" t="str">
        <f t="shared" ref="L669" ca="1" si="837">IF(C669&lt;&gt;"",C669&amp;"-"&amp;K669,"")</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TB-4</v>
      </c>
      <c r="M669" s="126" t="str">
        <f t="array" aca="1" ref="M669" ca="1">IFERROR(IF(INDEX('Disaggregation Records'!$E$156:$E$517,MATCH(RIGHT(L669,255),RIGHT('Disaggregation Records'!$D$156:$D$517,255),0))="","",INDEX('Disaggregation Records'!$E$156:$E$517,MATCH(RIGHT(L669,255),RIGHT('Disaggregation Records'!$D$156:$D$517,255),0))),"")</f>
        <v>HIV status</v>
      </c>
      <c r="N669" s="126" t="str">
        <f t="array" aca="1" ref="N669" ca="1">IFERROR(IF(INDEX('Disaggregation Records'!$F$156:$F$517,MATCH(RIGHT(L669,255),RIGHT('Disaggregation Records'!$D$156:$D$517,255),0))="","",INDEX('Disaggregation Records'!$F$156:$F$517,MATCH(RIGHT(L669,255),RIGHT('Disaggregation Records'!$D$156:$D$517,255),0))),"")</f>
        <v>Negative</v>
      </c>
      <c r="O669" s="314" t="str">
        <f t="array" aca="1" ref="O669" ca="1">IFERROR(IF(INDEX('Disaggregation Records'!$H$156:$H$517,MATCH(RIGHT(L669,255),RIGHT('Disaggregation Records'!$D$156:$D$517,255),0))="","",INDEX('Disaggregation Records'!$H$156:$H$517,MATCH(RIGHT(L669,255),RIGHT('Disaggregation Records'!$D$156:$D$517,255),0))),"")</f>
        <v>IDR-01326</v>
      </c>
      <c r="P669" s="310"/>
      <c r="Q669" s="310">
        <f t="shared" ref="Q669" si="838">Q667+1</f>
        <v>1636</v>
      </c>
      <c r="R669" s="314" t="str" cm="1">
        <f t="array" aca="1" ref="R669" ca="1">IFERROR(IF(INDEX('Disaggregation Records'!$G$156:$G$517,MATCH(RIGHT(L669,255),RIGHT('Disaggregation Records'!$D$156:$D$517,255),0))="","",INDEX('Disaggregation Records'!$G$156:$G$517,MATCH(RIGHT(L669,255),RIGHT('Disaggregation Records'!$D$156:$D$517,255),0))),"")</f>
        <v>a1LDm000000Cb48MAC</v>
      </c>
    </row>
    <row r="670" spans="1:18" ht="20.100000000000001" customHeight="1">
      <c r="A670" s="126"/>
      <c r="B670" s="571"/>
      <c r="C670" s="573"/>
      <c r="D670" s="575"/>
      <c r="E670" s="575"/>
      <c r="F670" s="128"/>
      <c r="G670" s="577"/>
      <c r="H670" s="540"/>
      <c r="I670" s="579"/>
      <c r="J670" s="533"/>
      <c r="L670" s="126"/>
      <c r="N670" s="126"/>
      <c r="O670" s="314"/>
      <c r="P670" s="310"/>
      <c r="Q670" s="310"/>
      <c r="R670" s="314" t="str" cm="1">
        <f t="array" ref="R670">IFERROR(IF(INDEX('Disaggregation Records'!$G$156:$G$517,MATCH(RIGHT(L670,255),RIGHT('Disaggregation Records'!$D$156:$D$517,255),0))="","",INDEX('Disaggregation Records'!$G$156:$G$517,MATCH(RIGHT(L670,255),RIGHT('Disaggregation Records'!$D$156:$D$517,255),0))),"")</f>
        <v/>
      </c>
    </row>
    <row r="671" spans="1:18" ht="20.100000000000001" customHeight="1">
      <c r="A671" s="126" t="str">
        <f t="shared" ca="1" si="792"/>
        <v>a16Dm000000M3qaIAC</v>
      </c>
      <c r="B671" s="570">
        <v>2</v>
      </c>
      <c r="C671" s="572" t="str">
        <f ca="1">IFERROR(VLOOKUP(B671,'Coverage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71" s="574" t="str">
        <f ca="1">M671</f>
        <v>Gender</v>
      </c>
      <c r="E671" s="574" t="str">
        <f ca="1">N671</f>
        <v>Female</v>
      </c>
      <c r="F671" s="127"/>
      <c r="G671" s="576" t="str">
        <f ca="1">IF(OR(INDIRECT("'update Helper'!E"&amp;Q671)="",F671&lt;&gt;0,F672&lt;&gt;0),IF(IFERROR((F671/F672),"")="","",(F671/F672)),INDIRECT("'update Helper'!E"&amp;Q671)/100)</f>
        <v/>
      </c>
      <c r="H671" s="539"/>
      <c r="I671" s="578" t="s">
        <v>2281</v>
      </c>
      <c r="J671" s="532" t="s">
        <v>2282</v>
      </c>
      <c r="K671" s="126">
        <f ca="1">IF(AND(EXACT(C671,C669),C669&lt;&gt;0),K669+1,0)</f>
        <v>5</v>
      </c>
      <c r="L671" s="126" t="str">
        <f t="shared" ref="L671" ca="1" si="839">IF(C671&lt;&gt;"",C671&amp;"-"&amp;K671,"")</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TB-5</v>
      </c>
      <c r="M671" s="126" t="str">
        <f t="array" aca="1" ref="M671" ca="1">IFERROR(IF(INDEX('Disaggregation Records'!$E$156:$E$517,MATCH(RIGHT(L671,255),RIGHT('Disaggregation Records'!$D$156:$D$517,255),0))="","",INDEX('Disaggregation Records'!$E$156:$E$517,MATCH(RIGHT(L671,255),RIGHT('Disaggregation Records'!$D$156:$D$517,255),0))),"")</f>
        <v>Gender</v>
      </c>
      <c r="N671" s="126" t="str">
        <f t="array" aca="1" ref="N671" ca="1">IFERROR(IF(INDEX('Disaggregation Records'!$F$156:$F$517,MATCH(RIGHT(L671,255),RIGHT('Disaggregation Records'!$D$156:$D$517,255),0))="","",INDEX('Disaggregation Records'!$F$156:$F$517,MATCH(RIGHT(L671,255),RIGHT('Disaggregation Records'!$D$156:$D$517,255),0))),"")</f>
        <v>Female</v>
      </c>
      <c r="O671" s="314" t="str">
        <f t="array" aca="1" ref="O671" ca="1">IFERROR(IF(INDEX('Disaggregation Records'!$H$156:$H$517,MATCH(RIGHT(L671,255),RIGHT('Disaggregation Records'!$D$156:$D$517,255),0))="","",INDEX('Disaggregation Records'!$H$156:$H$517,MATCH(RIGHT(L671,255),RIGHT('Disaggregation Records'!$D$156:$D$517,255),0))),"")</f>
        <v>IDR-01325</v>
      </c>
      <c r="P671" s="314"/>
      <c r="Q671" s="310">
        <f t="shared" ref="Q671" si="840">Q669+1</f>
        <v>1637</v>
      </c>
      <c r="R671" s="314" t="str" cm="1">
        <f t="array" aca="1" ref="R671" ca="1">IFERROR(IF(INDEX('Disaggregation Records'!$G$156:$G$517,MATCH(RIGHT(L671,255),RIGHT('Disaggregation Records'!$D$156:$D$517,255),0))="","",INDEX('Disaggregation Records'!$G$156:$G$517,MATCH(RIGHT(L671,255),RIGHT('Disaggregation Records'!$D$156:$D$517,255),0))),"")</f>
        <v>a1LDm000000Cb47MAC</v>
      </c>
    </row>
    <row r="672" spans="1:18" ht="20.100000000000001" customHeight="1">
      <c r="B672" s="571"/>
      <c r="C672" s="573"/>
      <c r="D672" s="575"/>
      <c r="E672" s="575"/>
      <c r="F672" s="128"/>
      <c r="G672" s="577"/>
      <c r="H672" s="540"/>
      <c r="I672" s="579"/>
      <c r="J672" s="533"/>
      <c r="K672" s="126"/>
      <c r="L672" s="126"/>
      <c r="M672" s="126"/>
      <c r="N672" s="126"/>
      <c r="O672" s="314"/>
      <c r="P672" s="314"/>
      <c r="Q672" s="310"/>
      <c r="R672" s="314" t="str" cm="1">
        <f t="array" ref="R672">IFERROR(IF(INDEX('Disaggregation Records'!$G$156:$G$517,MATCH(RIGHT(L672,255),RIGHT('Disaggregation Records'!$D$156:$D$517,255),0))="","",INDEX('Disaggregation Records'!$G$156:$G$517,MATCH(RIGHT(L672,255),RIGHT('Disaggregation Records'!$D$156:$D$517,255),0))),"")</f>
        <v/>
      </c>
    </row>
    <row r="673" spans="1:18" ht="20.100000000000001" customHeight="1">
      <c r="A673" s="126" t="str">
        <f t="shared" ca="1" si="788"/>
        <v>a16Dm000000M3qbIAC</v>
      </c>
      <c r="B673" s="570">
        <v>2</v>
      </c>
      <c r="C673" s="572" t="str">
        <f ca="1">IFERROR(VLOOKUP(B673,'Coverage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73" s="574" t="str">
        <f ca="1">M673</f>
        <v>HIV status</v>
      </c>
      <c r="E673" s="574" t="str">
        <f ca="1">N673</f>
        <v>Positive</v>
      </c>
      <c r="F673" s="127">
        <v>8875</v>
      </c>
      <c r="G673" s="576">
        <f ca="1">IF(OR(INDIRECT("'update Helper'!E"&amp;Q673)="",F673&lt;&gt;0,F674&lt;&gt;0),IF(IFERROR((F673/F674),"")="","",(F673/F674)),INDIRECT("'update Helper'!E"&amp;Q673)/100)</f>
        <v>0.73706502782160954</v>
      </c>
      <c r="H673" s="539">
        <v>2021</v>
      </c>
      <c r="I673" s="578" t="s">
        <v>2211</v>
      </c>
      <c r="J673" s="532" t="s">
        <v>2284</v>
      </c>
      <c r="K673" s="126">
        <f ca="1">IF(AND(EXACT(C673,C671),C671&lt;&gt;0),K671+1,0)</f>
        <v>6</v>
      </c>
      <c r="L673" s="126" t="str">
        <f t="shared" ref="L673" ca="1" si="841">IF(C673&lt;&gt;"",C673&amp;"-"&amp;K673,"")</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TB-6</v>
      </c>
      <c r="M673" s="126" t="str">
        <f t="array" aca="1" ref="M673" ca="1">IFERROR(IF(INDEX('Disaggregation Records'!$E$156:$E$517,MATCH(RIGHT(L673,255),RIGHT('Disaggregation Records'!$D$156:$D$517,255),0))="","",INDEX('Disaggregation Records'!$E$156:$E$517,MATCH(RIGHT(L673,255),RIGHT('Disaggregation Records'!$D$156:$D$517,255),0))),"")</f>
        <v>HIV status</v>
      </c>
      <c r="N673" s="126" t="str">
        <f t="array" aca="1" ref="N673" ca="1">IFERROR(IF(INDEX('Disaggregation Records'!$F$156:$F$517,MATCH(RIGHT(L673,255),RIGHT('Disaggregation Records'!$D$156:$D$517,255),0))="","",INDEX('Disaggregation Records'!$F$156:$F$517,MATCH(RIGHT(L673,255),RIGHT('Disaggregation Records'!$D$156:$D$517,255),0))),"")</f>
        <v>Positive</v>
      </c>
      <c r="O673" s="314" t="str">
        <f t="array" aca="1" ref="O673" ca="1">IFERROR(IF(INDEX('Disaggregation Records'!$H$156:$H$517,MATCH(RIGHT(L673,255),RIGHT('Disaggregation Records'!$D$156:$D$517,255),0))="","",INDEX('Disaggregation Records'!$H$156:$H$517,MATCH(RIGHT(L673,255),RIGHT('Disaggregation Records'!$D$156:$D$517,255),0))),"")</f>
        <v>IDR-01324</v>
      </c>
      <c r="P673" s="314"/>
      <c r="Q673" s="310">
        <f t="shared" ref="Q673" si="842">Q671+1</f>
        <v>1638</v>
      </c>
      <c r="R673" s="314" t="str" cm="1">
        <f t="array" aca="1" ref="R673" ca="1">IFERROR(IF(INDEX('Disaggregation Records'!$G$156:$G$517,MATCH(RIGHT(L673,255),RIGHT('Disaggregation Records'!$D$156:$D$517,255),0))="","",INDEX('Disaggregation Records'!$G$156:$G$517,MATCH(RIGHT(L673,255),RIGHT('Disaggregation Records'!$D$156:$D$517,255),0))),"")</f>
        <v>a1LDm000000Cb46MAC</v>
      </c>
    </row>
    <row r="674" spans="1:18" ht="20.100000000000001" customHeight="1">
      <c r="A674" s="126"/>
      <c r="B674" s="571"/>
      <c r="C674" s="573"/>
      <c r="D674" s="575"/>
      <c r="E674" s="575"/>
      <c r="F674" s="128">
        <v>12041</v>
      </c>
      <c r="G674" s="577"/>
      <c r="H674" s="540"/>
      <c r="I674" s="579"/>
      <c r="J674" s="533"/>
      <c r="K674" s="126"/>
      <c r="L674" s="126"/>
      <c r="M674" s="126"/>
      <c r="N674" s="126"/>
      <c r="O674" s="314"/>
      <c r="P674" s="314"/>
      <c r="Q674" s="310"/>
      <c r="R674" s="314" t="str" cm="1">
        <f t="array" ref="R674">IFERROR(IF(INDEX('Disaggregation Records'!$G$156:$G$517,MATCH(RIGHT(L674,255),RIGHT('Disaggregation Records'!$D$156:$D$517,255),0))="","",INDEX('Disaggregation Records'!$G$156:$G$517,MATCH(RIGHT(L674,255),RIGHT('Disaggregation Records'!$D$156:$D$517,255),0))),"")</f>
        <v/>
      </c>
    </row>
    <row r="675" spans="1:18" ht="20.100000000000001" customHeight="1">
      <c r="A675" s="126" t="str">
        <f t="shared" ca="1" si="792"/>
        <v>a16Dm000000M3qcIAC</v>
      </c>
      <c r="B675" s="570">
        <v>2</v>
      </c>
      <c r="C675" s="572" t="str">
        <f ca="1">IFERROR(VLOOKUP(B675,'Coverage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75" s="574" t="str">
        <f ca="1">M675</f>
        <v/>
      </c>
      <c r="E675" s="574" t="str">
        <f ca="1">N675</f>
        <v/>
      </c>
      <c r="F675" s="127"/>
      <c r="G675" s="576" t="str">
        <f ca="1">IF(OR(INDIRECT("'update Helper'!E"&amp;Q675)="",F675&lt;&gt;0,F676&lt;&gt;0),IF(IFERROR((F675/F676),"")="","",(F675/F676)),INDIRECT("'update Helper'!E"&amp;Q675)/100)</f>
        <v/>
      </c>
      <c r="H675" s="539"/>
      <c r="I675" s="578"/>
      <c r="J675" s="532"/>
      <c r="K675" s="126">
        <f ca="1">IF(AND(EXACT(C675,C673),C673&lt;&gt;0),K673+1,0)</f>
        <v>7</v>
      </c>
      <c r="L675" s="126" t="str">
        <f t="shared" ref="L675" ca="1" si="843">IF(C675&lt;&gt;"",C675&amp;"-"&amp;K675,"")</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TB-7</v>
      </c>
      <c r="M675" s="126" t="str">
        <f t="array" aca="1" ref="M675" ca="1">IFERROR(IF(INDEX('Disaggregation Records'!$E$156:$E$517,MATCH(RIGHT(L675,255),RIGHT('Disaggregation Records'!$D$156:$D$517,255),0))="","",INDEX('Disaggregation Records'!$E$156:$E$517,MATCH(RIGHT(L675,255),RIGHT('Disaggregation Records'!$D$156:$D$517,255),0))),"")</f>
        <v/>
      </c>
      <c r="N675" s="126" t="str">
        <f t="array" aca="1" ref="N675" ca="1">IFERROR(IF(INDEX('Disaggregation Records'!$F$156:$F$517,MATCH(RIGHT(L675,255),RIGHT('Disaggregation Records'!$D$156:$D$517,255),0))="","",INDEX('Disaggregation Records'!$F$156:$F$517,MATCH(RIGHT(L675,255),RIGHT('Disaggregation Records'!$D$156:$D$517,255),0))),"")</f>
        <v/>
      </c>
      <c r="O675" s="314" t="str">
        <f t="array" aca="1" ref="O675" ca="1">IFERROR(IF(INDEX('Disaggregation Records'!$H$156:$H$517,MATCH(RIGHT(L675,255),RIGHT('Disaggregation Records'!$D$156:$D$517,255),0))="","",INDEX('Disaggregation Records'!$H$156:$H$517,MATCH(RIGHT(L675,255),RIGHT('Disaggregation Records'!$D$156:$D$517,255),0))),"")</f>
        <v/>
      </c>
      <c r="P675" s="310"/>
      <c r="Q675" s="310">
        <f t="shared" ref="Q675" si="844">Q673+1</f>
        <v>1639</v>
      </c>
      <c r="R675" s="314" t="str" cm="1">
        <f t="array" aca="1" ref="R675" ca="1">IFERROR(IF(INDEX('Disaggregation Records'!$G$156:$G$517,MATCH(RIGHT(L675,255),RIGHT('Disaggregation Records'!$D$156:$D$517,255),0))="","",INDEX('Disaggregation Records'!$G$156:$G$517,MATCH(RIGHT(L675,255),RIGHT('Disaggregation Records'!$D$156:$D$517,255),0))),"")</f>
        <v/>
      </c>
    </row>
    <row r="676" spans="1:18" ht="20.100000000000001" customHeight="1">
      <c r="B676" s="571"/>
      <c r="C676" s="573"/>
      <c r="D676" s="575"/>
      <c r="E676" s="575"/>
      <c r="F676" s="128"/>
      <c r="G676" s="577"/>
      <c r="H676" s="540"/>
      <c r="I676" s="579"/>
      <c r="J676" s="533"/>
      <c r="L676" s="126"/>
      <c r="N676" s="126"/>
      <c r="O676" s="314"/>
      <c r="P676" s="310"/>
      <c r="Q676" s="310"/>
      <c r="R676" s="314" t="str" cm="1">
        <f t="array" ref="R676">IFERROR(IF(INDEX('Disaggregation Records'!$G$156:$G$517,MATCH(RIGHT(L676,255),RIGHT('Disaggregation Records'!$D$156:$D$517,255),0))="","",INDEX('Disaggregation Records'!$G$156:$G$517,MATCH(RIGHT(L676,255),RIGHT('Disaggregation Records'!$D$156:$D$517,255),0))),"")</f>
        <v/>
      </c>
    </row>
    <row r="677" spans="1:18" ht="20.100000000000001" customHeight="1">
      <c r="A677" s="126" t="str">
        <f t="shared" ca="1" si="788"/>
        <v>a16Dm000000M3qdIAC</v>
      </c>
      <c r="B677" s="570">
        <v>2</v>
      </c>
      <c r="C677" s="572" t="str">
        <f ca="1">IFERROR(VLOOKUP(B677,'Coverage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77" s="574" t="str">
        <f ca="1">M677</f>
        <v/>
      </c>
      <c r="E677" s="574" t="str">
        <f ca="1">N677</f>
        <v/>
      </c>
      <c r="F677" s="127"/>
      <c r="G677" s="576" t="str">
        <f ca="1">IF(OR(INDIRECT("'update Helper'!E"&amp;Q677)="",F677&lt;&gt;0,F678&lt;&gt;0),IF(IFERROR((F677/F678),"")="","",(F677/F678)),INDIRECT("'update Helper'!E"&amp;Q677)/100)</f>
        <v/>
      </c>
      <c r="H677" s="539"/>
      <c r="I677" s="578"/>
      <c r="J677" s="532"/>
      <c r="K677" s="126">
        <f ca="1">IF(AND(EXACT(C677,C675),C675&lt;&gt;0),K675+1,0)</f>
        <v>8</v>
      </c>
      <c r="L677" s="126" t="str">
        <f t="shared" ref="L677" ca="1" si="845">IF(C677&lt;&gt;"",C677&amp;"-"&amp;K677,"")</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TB-8</v>
      </c>
      <c r="M677" s="126" t="str">
        <f t="array" aca="1" ref="M677" ca="1">IFERROR(IF(INDEX('Disaggregation Records'!$E$156:$E$517,MATCH(RIGHT(L677,255),RIGHT('Disaggregation Records'!$D$156:$D$517,255),0))="","",INDEX('Disaggregation Records'!$E$156:$E$517,MATCH(RIGHT(L677,255),RIGHT('Disaggregation Records'!$D$156:$D$517,255),0))),"")</f>
        <v/>
      </c>
      <c r="N677" s="126" t="str">
        <f t="array" aca="1" ref="N677" ca="1">IFERROR(IF(INDEX('Disaggregation Records'!$F$156:$F$517,MATCH(RIGHT(L677,255),RIGHT('Disaggregation Records'!$D$156:$D$517,255),0))="","",INDEX('Disaggregation Records'!$F$156:$F$517,MATCH(RIGHT(L677,255),RIGHT('Disaggregation Records'!$D$156:$D$517,255),0))),"")</f>
        <v/>
      </c>
      <c r="O677" s="314" t="str">
        <f t="array" aca="1" ref="O677" ca="1">IFERROR(IF(INDEX('Disaggregation Records'!$H$156:$H$517,MATCH(RIGHT(L677,255),RIGHT('Disaggregation Records'!$D$156:$D$517,255),0))="","",INDEX('Disaggregation Records'!$H$156:$H$517,MATCH(RIGHT(L677,255),RIGHT('Disaggregation Records'!$D$156:$D$517,255),0))),"")</f>
        <v/>
      </c>
      <c r="P677" s="310"/>
      <c r="Q677" s="310">
        <f t="shared" ref="Q677" si="846">Q675+1</f>
        <v>1640</v>
      </c>
      <c r="R677" s="314" t="str" cm="1">
        <f t="array" aca="1" ref="R677" ca="1">IFERROR(IF(INDEX('Disaggregation Records'!$G$156:$G$517,MATCH(RIGHT(L677,255),RIGHT('Disaggregation Records'!$D$156:$D$517,255),0))="","",INDEX('Disaggregation Records'!$G$156:$G$517,MATCH(RIGHT(L677,255),RIGHT('Disaggregation Records'!$D$156:$D$517,255),0))),"")</f>
        <v/>
      </c>
    </row>
    <row r="678" spans="1:18" ht="20.100000000000001" customHeight="1">
      <c r="A678" s="126"/>
      <c r="B678" s="571"/>
      <c r="C678" s="573"/>
      <c r="D678" s="575"/>
      <c r="E678" s="575"/>
      <c r="F678" s="128"/>
      <c r="G678" s="577"/>
      <c r="H678" s="540"/>
      <c r="I678" s="579"/>
      <c r="J678" s="533"/>
      <c r="L678" s="126"/>
      <c r="N678" s="126"/>
      <c r="O678" s="314"/>
      <c r="P678" s="310"/>
      <c r="Q678" s="310"/>
      <c r="R678" s="314" t="str" cm="1">
        <f t="array" ref="R678">IFERROR(IF(INDEX('Disaggregation Records'!$G$156:$G$517,MATCH(RIGHT(L678,255),RIGHT('Disaggregation Records'!$D$156:$D$517,255),0))="","",INDEX('Disaggregation Records'!$G$156:$G$517,MATCH(RIGHT(L678,255),RIGHT('Disaggregation Records'!$D$156:$D$517,255),0))),"")</f>
        <v/>
      </c>
    </row>
    <row r="679" spans="1:18" ht="20.100000000000001" customHeight="1">
      <c r="A679" s="126" t="str">
        <f t="shared" ca="1" si="792"/>
        <v>a16Dm000000M3qeIAC</v>
      </c>
      <c r="B679" s="570">
        <v>2</v>
      </c>
      <c r="C679" s="572" t="str">
        <f ca="1">IFERROR(VLOOKUP(B679,'Coverage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79" s="574" t="str">
        <f ca="1">M679</f>
        <v/>
      </c>
      <c r="E679" s="574" t="str">
        <f ca="1">N679</f>
        <v/>
      </c>
      <c r="F679" s="127"/>
      <c r="G679" s="576" t="str">
        <f ca="1">IF(OR(INDIRECT("'update Helper'!E"&amp;Q679)="",F679&lt;&gt;0,F680&lt;&gt;0),IF(IFERROR((F679/F680),"")="","",(F679/F680)),INDIRECT("'update Helper'!E"&amp;Q679)/100)</f>
        <v/>
      </c>
      <c r="H679" s="539"/>
      <c r="I679" s="578"/>
      <c r="J679" s="532"/>
      <c r="K679" s="126">
        <f ca="1">IF(AND(EXACT(C679,C677),C677&lt;&gt;0),K677+1,0)</f>
        <v>9</v>
      </c>
      <c r="L679" s="126" t="str">
        <f t="shared" ref="L679" ca="1" si="847">IF(C679&lt;&gt;"",C679&amp;"-"&amp;K679,"")</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TB-9</v>
      </c>
      <c r="M679" s="126" t="str">
        <f t="array" aca="1" ref="M679" ca="1">IFERROR(IF(INDEX('Disaggregation Records'!$E$156:$E$517,MATCH(RIGHT(L679,255),RIGHT('Disaggregation Records'!$D$156:$D$517,255),0))="","",INDEX('Disaggregation Records'!$E$156:$E$517,MATCH(RIGHT(L679,255),RIGHT('Disaggregation Records'!$D$156:$D$517,255),0))),"")</f>
        <v/>
      </c>
      <c r="N679" s="126" t="str">
        <f t="array" aca="1" ref="N679" ca="1">IFERROR(IF(INDEX('Disaggregation Records'!$F$156:$F$517,MATCH(RIGHT(L679,255),RIGHT('Disaggregation Records'!$D$156:$D$517,255),0))="","",INDEX('Disaggregation Records'!$F$156:$F$517,MATCH(RIGHT(L679,255),RIGHT('Disaggregation Records'!$D$156:$D$517,255),0))),"")</f>
        <v/>
      </c>
      <c r="O679" s="314" t="str">
        <f t="array" aca="1" ref="O679" ca="1">IFERROR(IF(INDEX('Disaggregation Records'!$H$156:$H$517,MATCH(RIGHT(L679,255),RIGHT('Disaggregation Records'!$D$156:$D$517,255),0))="","",INDEX('Disaggregation Records'!$H$156:$H$517,MATCH(RIGHT(L679,255),RIGHT('Disaggregation Records'!$D$156:$D$517,255),0))),"")</f>
        <v/>
      </c>
      <c r="P679" s="310"/>
      <c r="Q679" s="310">
        <f t="shared" ref="Q679" si="848">Q677+1</f>
        <v>1641</v>
      </c>
      <c r="R679" s="314" t="str" cm="1">
        <f t="array" aca="1" ref="R679" ca="1">IFERROR(IF(INDEX('Disaggregation Records'!$G$156:$G$517,MATCH(RIGHT(L679,255),RIGHT('Disaggregation Records'!$D$156:$D$517,255),0))="","",INDEX('Disaggregation Records'!$G$156:$G$517,MATCH(RIGHT(L679,255),RIGHT('Disaggregation Records'!$D$156:$D$517,255),0))),"")</f>
        <v/>
      </c>
    </row>
    <row r="680" spans="1:18" ht="20.100000000000001" customHeight="1">
      <c r="B680" s="571"/>
      <c r="C680" s="573"/>
      <c r="D680" s="575"/>
      <c r="E680" s="575"/>
      <c r="F680" s="128"/>
      <c r="G680" s="577"/>
      <c r="H680" s="540"/>
      <c r="I680" s="579"/>
      <c r="J680" s="533"/>
      <c r="L680" s="126"/>
      <c r="N680" s="126"/>
      <c r="O680" s="314"/>
      <c r="P680" s="310"/>
      <c r="Q680" s="310"/>
      <c r="R680" s="314" t="str" cm="1">
        <f t="array" ref="R680">IFERROR(IF(INDEX('Disaggregation Records'!$G$156:$G$517,MATCH(RIGHT(L680,255),RIGHT('Disaggregation Records'!$D$156:$D$517,255),0))="","",INDEX('Disaggregation Records'!$G$156:$G$517,MATCH(RIGHT(L680,255),RIGHT('Disaggregation Records'!$D$156:$D$517,255),0))),"")</f>
        <v/>
      </c>
    </row>
    <row r="681" spans="1:18" ht="20.100000000000001" customHeight="1">
      <c r="A681" s="126" t="str">
        <f t="shared" ca="1" si="788"/>
        <v>a16Dm000000M3qfIAC</v>
      </c>
      <c r="B681" s="570">
        <v>2</v>
      </c>
      <c r="C681" s="572" t="str">
        <f ca="1">IFERROR(VLOOKUP(B681,'Coverage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81" s="574" t="str">
        <f ca="1">M681</f>
        <v/>
      </c>
      <c r="E681" s="574" t="str">
        <f ca="1">N681</f>
        <v/>
      </c>
      <c r="F681" s="127"/>
      <c r="G681" s="576" t="str">
        <f ca="1">IF(OR(INDIRECT("'update Helper'!E"&amp;Q681)="",F681&lt;&gt;0,F682&lt;&gt;0),IF(IFERROR((F681/F682),"")="","",(F681/F682)),INDIRECT("'update Helper'!E"&amp;Q681)/100)</f>
        <v/>
      </c>
      <c r="H681" s="539"/>
      <c r="I681" s="578"/>
      <c r="J681" s="532"/>
      <c r="K681" s="126">
        <f ca="1">IF(AND(EXACT(C681,C679),C679&lt;&gt;0),K679+1,0)</f>
        <v>10</v>
      </c>
      <c r="L681" s="126" t="str">
        <f t="shared" ref="L681" ca="1" si="849">IF(C681&lt;&gt;"",C681&amp;"-"&amp;K681,"")</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TB-10</v>
      </c>
      <c r="M681" s="126" t="str">
        <f t="array" aca="1" ref="M681" ca="1">IFERROR(IF(INDEX('Disaggregation Records'!$E$156:$E$517,MATCH(RIGHT(L681,255),RIGHT('Disaggregation Records'!$D$156:$D$517,255),0))="","",INDEX('Disaggregation Records'!$E$156:$E$517,MATCH(RIGHT(L681,255),RIGHT('Disaggregation Records'!$D$156:$D$517,255),0))),"")</f>
        <v/>
      </c>
      <c r="N681" s="126" t="str">
        <f t="array" aca="1" ref="N681" ca="1">IFERROR(IF(INDEX('Disaggregation Records'!$F$156:$F$517,MATCH(RIGHT(L681,255),RIGHT('Disaggregation Records'!$D$156:$D$517,255),0))="","",INDEX('Disaggregation Records'!$F$156:$F$517,MATCH(RIGHT(L681,255),RIGHT('Disaggregation Records'!$D$156:$D$517,255),0))),"")</f>
        <v/>
      </c>
      <c r="O681" s="314" t="str">
        <f t="array" aca="1" ref="O681" ca="1">IFERROR(IF(INDEX('Disaggregation Records'!$H$156:$H$517,MATCH(RIGHT(L681,255),RIGHT('Disaggregation Records'!$D$156:$D$517,255),0))="","",INDEX('Disaggregation Records'!$H$156:$H$517,MATCH(RIGHT(L681,255),RIGHT('Disaggregation Records'!$D$156:$D$517,255),0))),"")</f>
        <v/>
      </c>
      <c r="P681" s="314"/>
      <c r="Q681" s="310">
        <f t="shared" ref="Q681" si="850">Q679+1</f>
        <v>1642</v>
      </c>
      <c r="R681" s="314" t="str" cm="1">
        <f t="array" aca="1" ref="R681" ca="1">IFERROR(IF(INDEX('Disaggregation Records'!$G$156:$G$517,MATCH(RIGHT(L681,255),RIGHT('Disaggregation Records'!$D$156:$D$517,255),0))="","",INDEX('Disaggregation Records'!$G$156:$G$517,MATCH(RIGHT(L681,255),RIGHT('Disaggregation Records'!$D$156:$D$517,255),0))),"")</f>
        <v/>
      </c>
    </row>
    <row r="682" spans="1:18" ht="20.100000000000001" customHeight="1">
      <c r="A682" s="126"/>
      <c r="B682" s="571"/>
      <c r="C682" s="573"/>
      <c r="D682" s="575"/>
      <c r="E682" s="575"/>
      <c r="F682" s="128"/>
      <c r="G682" s="577"/>
      <c r="H682" s="540"/>
      <c r="I682" s="579"/>
      <c r="J682" s="533"/>
      <c r="K682" s="126"/>
      <c r="L682" s="126"/>
      <c r="M682" s="126"/>
      <c r="N682" s="126"/>
      <c r="O682" s="314"/>
      <c r="P682" s="314"/>
      <c r="Q682" s="310"/>
      <c r="R682" s="314" t="str" cm="1">
        <f t="array" ref="R682">IFERROR(IF(INDEX('Disaggregation Records'!$G$156:$G$517,MATCH(RIGHT(L682,255),RIGHT('Disaggregation Records'!$D$156:$D$517,255),0))="","",INDEX('Disaggregation Records'!$G$156:$G$517,MATCH(RIGHT(L682,255),RIGHT('Disaggregation Records'!$D$156:$D$517,255),0))),"")</f>
        <v/>
      </c>
    </row>
    <row r="683" spans="1:18" ht="20.100000000000001" customHeight="1">
      <c r="A683" s="126" t="str">
        <f t="shared" ca="1" si="792"/>
        <v>a16Dm000000M3qgIAC</v>
      </c>
      <c r="B683" s="570">
        <v>2</v>
      </c>
      <c r="C683" s="572" t="str">
        <f ca="1">IFERROR(VLOOKUP(B683,'Coverage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83" s="574" t="str">
        <f ca="1">M683</f>
        <v/>
      </c>
      <c r="E683" s="574" t="str">
        <f ca="1">N683</f>
        <v/>
      </c>
      <c r="F683" s="127"/>
      <c r="G683" s="576" t="str">
        <f ca="1">IF(OR(INDIRECT("'update Helper'!E"&amp;Q683)="",F683&lt;&gt;0,F684&lt;&gt;0),IF(IFERROR((F683/F684),"")="","",(F683/F684)),INDIRECT("'update Helper'!E"&amp;Q683)/100)</f>
        <v/>
      </c>
      <c r="H683" s="539"/>
      <c r="I683" s="578"/>
      <c r="J683" s="532"/>
      <c r="K683" s="126">
        <f ca="1">IF(AND(EXACT(C683,C681),C681&lt;&gt;0),K681+1,0)</f>
        <v>11</v>
      </c>
      <c r="L683" s="126" t="str">
        <f t="shared" ref="L683" ca="1" si="851">IF(C683&lt;&gt;"",C683&amp;"-"&amp;K683,"")</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TB-11</v>
      </c>
      <c r="M683" s="126" t="str">
        <f t="array" aca="1" ref="M683" ca="1">IFERROR(IF(INDEX('Disaggregation Records'!$E$156:$E$517,MATCH(RIGHT(L683,255),RIGHT('Disaggregation Records'!$D$156:$D$517,255),0))="","",INDEX('Disaggregation Records'!$E$156:$E$517,MATCH(RIGHT(L683,255),RIGHT('Disaggregation Records'!$D$156:$D$517,255),0))),"")</f>
        <v/>
      </c>
      <c r="N683" s="126" t="str">
        <f t="array" aca="1" ref="N683" ca="1">IFERROR(IF(INDEX('Disaggregation Records'!$F$156:$F$517,MATCH(RIGHT(L683,255),RIGHT('Disaggregation Records'!$D$156:$D$517,255),0))="","",INDEX('Disaggregation Records'!$F$156:$F$517,MATCH(RIGHT(L683,255),RIGHT('Disaggregation Records'!$D$156:$D$517,255),0))),"")</f>
        <v/>
      </c>
      <c r="O683" s="314" t="str">
        <f t="array" aca="1" ref="O683" ca="1">IFERROR(IF(INDEX('Disaggregation Records'!$H$156:$H$517,MATCH(RIGHT(L683,255),RIGHT('Disaggregation Records'!$D$156:$D$517,255),0))="","",INDEX('Disaggregation Records'!$H$156:$H$517,MATCH(RIGHT(L683,255),RIGHT('Disaggregation Records'!$D$156:$D$517,255),0))),"")</f>
        <v/>
      </c>
      <c r="P683" s="314"/>
      <c r="Q683" s="310">
        <f t="shared" ref="Q683" si="852">Q681+1</f>
        <v>1643</v>
      </c>
      <c r="R683" s="314" t="str" cm="1">
        <f t="array" aca="1" ref="R683" ca="1">IFERROR(IF(INDEX('Disaggregation Records'!$G$156:$G$517,MATCH(RIGHT(L683,255),RIGHT('Disaggregation Records'!$D$156:$D$517,255),0))="","",INDEX('Disaggregation Records'!$G$156:$G$517,MATCH(RIGHT(L683,255),RIGHT('Disaggregation Records'!$D$156:$D$517,255),0))),"")</f>
        <v/>
      </c>
    </row>
    <row r="684" spans="1:18" ht="20.100000000000001" customHeight="1">
      <c r="B684" s="571"/>
      <c r="C684" s="573"/>
      <c r="D684" s="575"/>
      <c r="E684" s="575"/>
      <c r="F684" s="128"/>
      <c r="G684" s="577"/>
      <c r="H684" s="540"/>
      <c r="I684" s="579"/>
      <c r="J684" s="533"/>
      <c r="K684" s="126"/>
      <c r="L684" s="126"/>
      <c r="M684" s="126"/>
      <c r="N684" s="126"/>
      <c r="O684" s="314"/>
      <c r="P684" s="314"/>
      <c r="Q684" s="310"/>
      <c r="R684" s="314" t="str" cm="1">
        <f t="array" ref="R684">IFERROR(IF(INDEX('Disaggregation Records'!$G$156:$G$517,MATCH(RIGHT(L684,255),RIGHT('Disaggregation Records'!$D$156:$D$517,255),0))="","",INDEX('Disaggregation Records'!$G$156:$G$517,MATCH(RIGHT(L684,255),RIGHT('Disaggregation Records'!$D$156:$D$517,255),0))),"")</f>
        <v/>
      </c>
    </row>
    <row r="685" spans="1:18" ht="20.100000000000001" customHeight="1">
      <c r="A685" s="126" t="str">
        <f t="shared" ca="1" si="788"/>
        <v>a16Dm000000M3qhIAC</v>
      </c>
      <c r="B685" s="570">
        <v>2</v>
      </c>
      <c r="C685" s="572" t="str">
        <f ca="1">IFERROR(VLOOKUP(B685,'Coverage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85" s="574" t="str">
        <f ca="1">M685</f>
        <v/>
      </c>
      <c r="E685" s="574" t="str">
        <f ca="1">N685</f>
        <v/>
      </c>
      <c r="F685" s="127"/>
      <c r="G685" s="576" t="str">
        <f ca="1">IF(OR(INDIRECT("'update Helper'!E"&amp;Q685)="",F685&lt;&gt;0,F686&lt;&gt;0),IF(IFERROR((F685/F686),"")="","",(F685/F686)),INDIRECT("'update Helper'!E"&amp;Q685)/100)</f>
        <v/>
      </c>
      <c r="H685" s="539"/>
      <c r="I685" s="578"/>
      <c r="J685" s="532"/>
      <c r="K685" s="126">
        <f ca="1">IF(AND(EXACT(C685,C683),C683&lt;&gt;0),K683+1,0)</f>
        <v>12</v>
      </c>
      <c r="L685" s="126" t="str">
        <f t="shared" ref="L685" ca="1" si="853">IF(C685&lt;&gt;"",C685&amp;"-"&amp;K685,"")</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TB-12</v>
      </c>
      <c r="M685" s="126" t="str">
        <f t="array" aca="1" ref="M685" ca="1">IFERROR(IF(INDEX('Disaggregation Records'!$E$156:$E$517,MATCH(RIGHT(L685,255),RIGHT('Disaggregation Records'!$D$156:$D$517,255),0))="","",INDEX('Disaggregation Records'!$E$156:$E$517,MATCH(RIGHT(L685,255),RIGHT('Disaggregation Records'!$D$156:$D$517,255),0))),"")</f>
        <v/>
      </c>
      <c r="N685" s="126" t="str">
        <f t="array" aca="1" ref="N685" ca="1">IFERROR(IF(INDEX('Disaggregation Records'!$F$156:$F$517,MATCH(RIGHT(L685,255),RIGHT('Disaggregation Records'!$D$156:$D$517,255),0))="","",INDEX('Disaggregation Records'!$F$156:$F$517,MATCH(RIGHT(L685,255),RIGHT('Disaggregation Records'!$D$156:$D$517,255),0))),"")</f>
        <v/>
      </c>
      <c r="O685" s="314" t="str">
        <f t="array" aca="1" ref="O685" ca="1">IFERROR(IF(INDEX('Disaggregation Records'!$H$156:$H$517,MATCH(RIGHT(L685,255),RIGHT('Disaggregation Records'!$D$156:$D$517,255),0))="","",INDEX('Disaggregation Records'!$H$156:$H$517,MATCH(RIGHT(L685,255),RIGHT('Disaggregation Records'!$D$156:$D$517,255),0))),"")</f>
        <v/>
      </c>
      <c r="P685" s="310"/>
      <c r="Q685" s="310">
        <f t="shared" ref="Q685" si="854">Q683+1</f>
        <v>1644</v>
      </c>
      <c r="R685" s="314" t="str" cm="1">
        <f t="array" aca="1" ref="R685" ca="1">IFERROR(IF(INDEX('Disaggregation Records'!$G$156:$G$517,MATCH(RIGHT(L685,255),RIGHT('Disaggregation Records'!$D$156:$D$517,255),0))="","",INDEX('Disaggregation Records'!$G$156:$G$517,MATCH(RIGHT(L685,255),RIGHT('Disaggregation Records'!$D$156:$D$517,255),0))),"")</f>
        <v/>
      </c>
    </row>
    <row r="686" spans="1:18" ht="20.100000000000001" customHeight="1">
      <c r="A686" s="126"/>
      <c r="B686" s="571"/>
      <c r="C686" s="573"/>
      <c r="D686" s="575"/>
      <c r="E686" s="575"/>
      <c r="F686" s="128"/>
      <c r="G686" s="577"/>
      <c r="H686" s="540"/>
      <c r="I686" s="579"/>
      <c r="J686" s="533"/>
      <c r="L686" s="126"/>
      <c r="N686" s="126"/>
      <c r="O686" s="314"/>
      <c r="P686" s="310"/>
      <c r="Q686" s="310"/>
      <c r="R686" s="314" t="str" cm="1">
        <f t="array" ref="R686">IFERROR(IF(INDEX('Disaggregation Records'!$G$156:$G$517,MATCH(RIGHT(L686,255),RIGHT('Disaggregation Records'!$D$156:$D$517,255),0))="","",INDEX('Disaggregation Records'!$G$156:$G$517,MATCH(RIGHT(L686,255),RIGHT('Disaggregation Records'!$D$156:$D$517,255),0))),"")</f>
        <v/>
      </c>
    </row>
    <row r="687" spans="1:18" ht="20.100000000000001" customHeight="1">
      <c r="A687" s="126" t="str">
        <f t="shared" ca="1" si="792"/>
        <v>a16Dm000000M3qiIAC</v>
      </c>
      <c r="B687" s="570">
        <v>2</v>
      </c>
      <c r="C687" s="572" t="str">
        <f ca="1">IFERROR(VLOOKUP(B687,'Coverage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87" s="574" t="str">
        <f ca="1">M687</f>
        <v/>
      </c>
      <c r="E687" s="574" t="str">
        <f ca="1">N687</f>
        <v/>
      </c>
      <c r="F687" s="127"/>
      <c r="G687" s="576" t="str">
        <f ca="1">IF(OR(INDIRECT("'update Helper'!E"&amp;Q687)="",F687&lt;&gt;0,F688&lt;&gt;0),IF(IFERROR((F687/F688),"")="","",(F687/F688)),INDIRECT("'update Helper'!E"&amp;Q687)/100)</f>
        <v/>
      </c>
      <c r="H687" s="539"/>
      <c r="I687" s="578"/>
      <c r="J687" s="532"/>
      <c r="K687" s="126">
        <f ca="1">IF(AND(EXACT(C687,C685),C685&lt;&gt;0),K685+1,0)</f>
        <v>13</v>
      </c>
      <c r="L687" s="126" t="str">
        <f t="shared" ref="L687" ca="1" si="855">IF(C687&lt;&gt;"",C687&amp;"-"&amp;K687,"")</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TB-13</v>
      </c>
      <c r="M687" s="126" t="str">
        <f t="array" aca="1" ref="M687" ca="1">IFERROR(IF(INDEX('Disaggregation Records'!$E$156:$E$517,MATCH(RIGHT(L687,255),RIGHT('Disaggregation Records'!$D$156:$D$517,255),0))="","",INDEX('Disaggregation Records'!$E$156:$E$517,MATCH(RIGHT(L687,255),RIGHT('Disaggregation Records'!$D$156:$D$517,255),0))),"")</f>
        <v/>
      </c>
      <c r="N687" s="126" t="str">
        <f t="array" aca="1" ref="N687" ca="1">IFERROR(IF(INDEX('Disaggregation Records'!$F$156:$F$517,MATCH(RIGHT(L687,255),RIGHT('Disaggregation Records'!$D$156:$D$517,255),0))="","",INDEX('Disaggregation Records'!$F$156:$F$517,MATCH(RIGHT(L687,255),RIGHT('Disaggregation Records'!$D$156:$D$517,255),0))),"")</f>
        <v/>
      </c>
      <c r="O687" s="314" t="str">
        <f t="array" aca="1" ref="O687" ca="1">IFERROR(IF(INDEX('Disaggregation Records'!$H$156:$H$517,MATCH(RIGHT(L687,255),RIGHT('Disaggregation Records'!$D$156:$D$517,255),0))="","",INDEX('Disaggregation Records'!$H$156:$H$517,MATCH(RIGHT(L687,255),RIGHT('Disaggregation Records'!$D$156:$D$517,255),0))),"")</f>
        <v/>
      </c>
      <c r="P687" s="310"/>
      <c r="Q687" s="310">
        <f t="shared" ref="Q687" si="856">Q685+1</f>
        <v>1645</v>
      </c>
      <c r="R687" s="314" t="str" cm="1">
        <f t="array" aca="1" ref="R687" ca="1">IFERROR(IF(INDEX('Disaggregation Records'!$G$156:$G$517,MATCH(RIGHT(L687,255),RIGHT('Disaggregation Records'!$D$156:$D$517,255),0))="","",INDEX('Disaggregation Records'!$G$156:$G$517,MATCH(RIGHT(L687,255),RIGHT('Disaggregation Records'!$D$156:$D$517,255),0))),"")</f>
        <v/>
      </c>
    </row>
    <row r="688" spans="1:18" ht="20.100000000000001" customHeight="1">
      <c r="B688" s="571"/>
      <c r="C688" s="573"/>
      <c r="D688" s="575"/>
      <c r="E688" s="575"/>
      <c r="F688" s="128"/>
      <c r="G688" s="577"/>
      <c r="H688" s="540"/>
      <c r="I688" s="579"/>
      <c r="J688" s="533"/>
      <c r="L688" s="126"/>
      <c r="N688" s="126"/>
      <c r="O688" s="314"/>
      <c r="P688" s="310"/>
      <c r="Q688" s="310"/>
      <c r="R688" s="314" t="str" cm="1">
        <f t="array" ref="R688">IFERROR(IF(INDEX('Disaggregation Records'!$G$156:$G$517,MATCH(RIGHT(L688,255),RIGHT('Disaggregation Records'!$D$156:$D$517,255),0))="","",INDEX('Disaggregation Records'!$G$156:$G$517,MATCH(RIGHT(L688,255),RIGHT('Disaggregation Records'!$D$156:$D$517,255),0))),"")</f>
        <v/>
      </c>
    </row>
    <row r="689" spans="1:18" ht="20.100000000000001" customHeight="1">
      <c r="A689" s="126" t="str">
        <f t="shared" ref="A689:A749" ca="1" si="857">INDIRECT("'update Helper'!C"&amp;Q689)</f>
        <v>a16Dm000000M3qjIAC</v>
      </c>
      <c r="B689" s="570">
        <v>2</v>
      </c>
      <c r="C689" s="572" t="str">
        <f ca="1">IFERROR(VLOOKUP(B689,'Coverage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89" s="574" t="str">
        <f ca="1">M689</f>
        <v/>
      </c>
      <c r="E689" s="574" t="str">
        <f ca="1">N689</f>
        <v/>
      </c>
      <c r="F689" s="127"/>
      <c r="G689" s="576" t="str">
        <f ca="1">IF(OR(INDIRECT("'update Helper'!E"&amp;Q689)="",F689&lt;&gt;0,F690&lt;&gt;0),IF(IFERROR((F689/F690),"")="","",(F689/F690)),INDIRECT("'update Helper'!E"&amp;Q689)/100)</f>
        <v/>
      </c>
      <c r="H689" s="539"/>
      <c r="I689" s="578"/>
      <c r="J689" s="532"/>
      <c r="K689" s="126">
        <f ca="1">IF(AND(EXACT(C689,C687),C687&lt;&gt;0),K687+1,0)</f>
        <v>14</v>
      </c>
      <c r="L689" s="126" t="str">
        <f t="shared" ref="L689" ca="1" si="858">IF(C689&lt;&gt;"",C689&amp;"-"&amp;K689,"")</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TB-14</v>
      </c>
      <c r="M689" s="126" t="str">
        <f t="array" aca="1" ref="M689" ca="1">IFERROR(IF(INDEX('Disaggregation Records'!$E$156:$E$517,MATCH(RIGHT(L689,255),RIGHT('Disaggregation Records'!$D$156:$D$517,255),0))="","",INDEX('Disaggregation Records'!$E$156:$E$517,MATCH(RIGHT(L689,255),RIGHT('Disaggregation Records'!$D$156:$D$517,255),0))),"")</f>
        <v/>
      </c>
      <c r="N689" s="126" t="str">
        <f t="array" aca="1" ref="N689" ca="1">IFERROR(IF(INDEX('Disaggregation Records'!$F$156:$F$517,MATCH(RIGHT(L689,255),RIGHT('Disaggregation Records'!$D$156:$D$517,255),0))="","",INDEX('Disaggregation Records'!$F$156:$F$517,MATCH(RIGHT(L689,255),RIGHT('Disaggregation Records'!$D$156:$D$517,255),0))),"")</f>
        <v/>
      </c>
      <c r="O689" s="314" t="str">
        <f t="array" aca="1" ref="O689" ca="1">IFERROR(IF(INDEX('Disaggregation Records'!$H$156:$H$517,MATCH(RIGHT(L689,255),RIGHT('Disaggregation Records'!$D$156:$D$517,255),0))="","",INDEX('Disaggregation Records'!$H$156:$H$517,MATCH(RIGHT(L689,255),RIGHT('Disaggregation Records'!$D$156:$D$517,255),0))),"")</f>
        <v/>
      </c>
      <c r="P689" s="310"/>
      <c r="Q689" s="310">
        <f t="shared" ref="Q689" si="859">Q687+1</f>
        <v>1646</v>
      </c>
      <c r="R689" s="314" t="str" cm="1">
        <f t="array" aca="1" ref="R689" ca="1">IFERROR(IF(INDEX('Disaggregation Records'!$G$156:$G$517,MATCH(RIGHT(L689,255),RIGHT('Disaggregation Records'!$D$156:$D$517,255),0))="","",INDEX('Disaggregation Records'!$G$156:$G$517,MATCH(RIGHT(L689,255),RIGHT('Disaggregation Records'!$D$156:$D$517,255),0))),"")</f>
        <v/>
      </c>
    </row>
    <row r="690" spans="1:18" ht="20.100000000000001" customHeight="1">
      <c r="A690" s="126"/>
      <c r="B690" s="571"/>
      <c r="C690" s="573"/>
      <c r="D690" s="575"/>
      <c r="E690" s="575"/>
      <c r="F690" s="128"/>
      <c r="G690" s="577"/>
      <c r="H690" s="540"/>
      <c r="I690" s="579"/>
      <c r="J690" s="533"/>
      <c r="L690" s="126"/>
      <c r="N690" s="126"/>
      <c r="O690" s="314"/>
      <c r="P690" s="310"/>
      <c r="Q690" s="310"/>
      <c r="R690" s="314" t="str" cm="1">
        <f t="array" ref="R690">IFERROR(IF(INDEX('Disaggregation Records'!$G$156:$G$517,MATCH(RIGHT(L690,255),RIGHT('Disaggregation Records'!$D$156:$D$517,255),0))="","",INDEX('Disaggregation Records'!$G$156:$G$517,MATCH(RIGHT(L690,255),RIGHT('Disaggregation Records'!$D$156:$D$517,255),0))),"")</f>
        <v/>
      </c>
    </row>
    <row r="691" spans="1:18" ht="20.100000000000001" customHeight="1">
      <c r="A691" s="126" t="str">
        <f t="shared" ref="A691:A751" ca="1" si="860">INDIRECT("'update Helper'!C"&amp;Q691)</f>
        <v>a16Dm000000M3qkIAC</v>
      </c>
      <c r="B691" s="570">
        <v>2</v>
      </c>
      <c r="C691" s="572" t="str">
        <f ca="1">IFERROR(VLOOKUP(B691,'Coverage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91" s="574" t="str">
        <f ca="1">M691</f>
        <v/>
      </c>
      <c r="E691" s="574" t="str">
        <f ca="1">N691</f>
        <v/>
      </c>
      <c r="F691" s="127"/>
      <c r="G691" s="576" t="str">
        <f ca="1">IF(OR(INDIRECT("'update Helper'!E"&amp;Q691)="",F691&lt;&gt;0,F692&lt;&gt;0),IF(IFERROR((F691/F692),"")="","",(F691/F692)),INDIRECT("'update Helper'!E"&amp;Q691)/100)</f>
        <v/>
      </c>
      <c r="H691" s="539"/>
      <c r="I691" s="578"/>
      <c r="J691" s="532"/>
      <c r="K691" s="126">
        <f ca="1">IF(AND(EXACT(C691,C689),C689&lt;&gt;0),K689+1,0)</f>
        <v>15</v>
      </c>
      <c r="L691" s="126" t="str">
        <f t="shared" ref="L691" ca="1" si="861">IF(C691&lt;&gt;"",C691&amp;"-"&amp;K691,"")</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TB-15</v>
      </c>
      <c r="M691" s="126" t="str">
        <f t="array" aca="1" ref="M691" ca="1">IFERROR(IF(INDEX('Disaggregation Records'!$E$156:$E$517,MATCH(RIGHT(L691,255),RIGHT('Disaggregation Records'!$D$156:$D$517,255),0))="","",INDEX('Disaggregation Records'!$E$156:$E$517,MATCH(RIGHT(L691,255),RIGHT('Disaggregation Records'!$D$156:$D$517,255),0))),"")</f>
        <v/>
      </c>
      <c r="N691" s="126" t="str">
        <f t="array" aca="1" ref="N691" ca="1">IFERROR(IF(INDEX('Disaggregation Records'!$F$156:$F$517,MATCH(RIGHT(L691,255),RIGHT('Disaggregation Records'!$D$156:$D$517,255),0))="","",INDEX('Disaggregation Records'!$F$156:$F$517,MATCH(RIGHT(L691,255),RIGHT('Disaggregation Records'!$D$156:$D$517,255),0))),"")</f>
        <v/>
      </c>
      <c r="O691" s="314" t="str">
        <f t="array" aca="1" ref="O691" ca="1">IFERROR(IF(INDEX('Disaggregation Records'!$H$156:$H$517,MATCH(RIGHT(L691,255),RIGHT('Disaggregation Records'!$D$156:$D$517,255),0))="","",INDEX('Disaggregation Records'!$H$156:$H$517,MATCH(RIGHT(L691,255),RIGHT('Disaggregation Records'!$D$156:$D$517,255),0))),"")</f>
        <v/>
      </c>
      <c r="P691" s="314"/>
      <c r="Q691" s="310">
        <f t="shared" ref="Q691" si="862">Q689+1</f>
        <v>1647</v>
      </c>
      <c r="R691" s="314" t="str" cm="1">
        <f t="array" aca="1" ref="R691" ca="1">IFERROR(IF(INDEX('Disaggregation Records'!$G$156:$G$517,MATCH(RIGHT(L691,255),RIGHT('Disaggregation Records'!$D$156:$D$517,255),0))="","",INDEX('Disaggregation Records'!$G$156:$G$517,MATCH(RIGHT(L691,255),RIGHT('Disaggregation Records'!$D$156:$D$517,255),0))),"")</f>
        <v/>
      </c>
    </row>
    <row r="692" spans="1:18" ht="20.100000000000001" customHeight="1">
      <c r="B692" s="571"/>
      <c r="C692" s="573"/>
      <c r="D692" s="575"/>
      <c r="E692" s="575"/>
      <c r="F692" s="128"/>
      <c r="G692" s="577"/>
      <c r="H692" s="540"/>
      <c r="I692" s="579"/>
      <c r="J692" s="533"/>
      <c r="K692" s="126"/>
      <c r="L692" s="126"/>
      <c r="M692" s="126"/>
      <c r="N692" s="126"/>
      <c r="O692" s="314"/>
      <c r="P692" s="314"/>
      <c r="Q692" s="310"/>
      <c r="R692" s="314" t="str" cm="1">
        <f t="array" ref="R692">IFERROR(IF(INDEX('Disaggregation Records'!$G$156:$G$517,MATCH(RIGHT(L692,255),RIGHT('Disaggregation Records'!$D$156:$D$517,255),0))="","",INDEX('Disaggregation Records'!$G$156:$G$517,MATCH(RIGHT(L692,255),RIGHT('Disaggregation Records'!$D$156:$D$517,255),0))),"")</f>
        <v/>
      </c>
    </row>
    <row r="693" spans="1:18" ht="20.100000000000001" customHeight="1">
      <c r="A693" s="126" t="str">
        <f t="shared" ca="1" si="857"/>
        <v>a16Dm000000M3qlIAC</v>
      </c>
      <c r="B693" s="570">
        <v>2</v>
      </c>
      <c r="C693" s="572" t="str">
        <f ca="1">IFERROR(VLOOKUP(B693,'Coverage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93" s="574" t="str">
        <f ca="1">M693</f>
        <v/>
      </c>
      <c r="E693" s="574" t="str">
        <f ca="1">N693</f>
        <v/>
      </c>
      <c r="F693" s="127"/>
      <c r="G693" s="576" t="str">
        <f ca="1">IF(OR(INDIRECT("'update Helper'!E"&amp;Q693)="",F693&lt;&gt;0,F694&lt;&gt;0),IF(IFERROR((F693/F694),"")="","",(F693/F694)),INDIRECT("'update Helper'!E"&amp;Q693)/100)</f>
        <v/>
      </c>
      <c r="H693" s="539"/>
      <c r="I693" s="578"/>
      <c r="J693" s="532"/>
      <c r="K693" s="126">
        <f ca="1">IF(AND(EXACT(C693,C691),C691&lt;&gt;0),K691+1,0)</f>
        <v>16</v>
      </c>
      <c r="L693" s="126" t="str">
        <f t="shared" ref="L693" ca="1" si="863">IF(C693&lt;&gt;"",C693&amp;"-"&amp;K693,"")</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TB-16</v>
      </c>
      <c r="M693" s="126" t="str">
        <f t="array" aca="1" ref="M693" ca="1">IFERROR(IF(INDEX('Disaggregation Records'!$E$156:$E$517,MATCH(RIGHT(L693,255),RIGHT('Disaggregation Records'!$D$156:$D$517,255),0))="","",INDEX('Disaggregation Records'!$E$156:$E$517,MATCH(RIGHT(L693,255),RIGHT('Disaggregation Records'!$D$156:$D$517,255),0))),"")</f>
        <v/>
      </c>
      <c r="N693" s="126" t="str">
        <f t="array" aca="1" ref="N693" ca="1">IFERROR(IF(INDEX('Disaggregation Records'!$F$156:$F$517,MATCH(RIGHT(L693,255),RIGHT('Disaggregation Records'!$D$156:$D$517,255),0))="","",INDEX('Disaggregation Records'!$F$156:$F$517,MATCH(RIGHT(L693,255),RIGHT('Disaggregation Records'!$D$156:$D$517,255),0))),"")</f>
        <v/>
      </c>
      <c r="O693" s="314" t="str">
        <f t="array" aca="1" ref="O693" ca="1">IFERROR(IF(INDEX('Disaggregation Records'!$H$156:$H$517,MATCH(RIGHT(L693,255),RIGHT('Disaggregation Records'!$D$156:$D$517,255),0))="","",INDEX('Disaggregation Records'!$H$156:$H$517,MATCH(RIGHT(L693,255),RIGHT('Disaggregation Records'!$D$156:$D$517,255),0))),"")</f>
        <v/>
      </c>
      <c r="P693" s="314"/>
      <c r="Q693" s="310">
        <f t="shared" ref="Q693" si="864">Q691+1</f>
        <v>1648</v>
      </c>
      <c r="R693" s="314" t="str" cm="1">
        <f t="array" aca="1" ref="R693" ca="1">IFERROR(IF(INDEX('Disaggregation Records'!$G$156:$G$517,MATCH(RIGHT(L693,255),RIGHT('Disaggregation Records'!$D$156:$D$517,255),0))="","",INDEX('Disaggregation Records'!$G$156:$G$517,MATCH(RIGHT(L693,255),RIGHT('Disaggregation Records'!$D$156:$D$517,255),0))),"")</f>
        <v/>
      </c>
    </row>
    <row r="694" spans="1:18" ht="20.100000000000001" customHeight="1">
      <c r="A694" s="126"/>
      <c r="B694" s="571"/>
      <c r="C694" s="573"/>
      <c r="D694" s="575"/>
      <c r="E694" s="575"/>
      <c r="F694" s="128"/>
      <c r="G694" s="577"/>
      <c r="H694" s="540"/>
      <c r="I694" s="579"/>
      <c r="J694" s="533"/>
      <c r="K694" s="126"/>
      <c r="L694" s="126"/>
      <c r="M694" s="126"/>
      <c r="N694" s="126"/>
      <c r="O694" s="314"/>
      <c r="P694" s="314"/>
      <c r="Q694" s="310"/>
      <c r="R694" s="314" t="str" cm="1">
        <f t="array" ref="R694">IFERROR(IF(INDEX('Disaggregation Records'!$G$156:$G$517,MATCH(RIGHT(L694,255),RIGHT('Disaggregation Records'!$D$156:$D$517,255),0))="","",INDEX('Disaggregation Records'!$G$156:$G$517,MATCH(RIGHT(L694,255),RIGHT('Disaggregation Records'!$D$156:$D$517,255),0))),"")</f>
        <v/>
      </c>
    </row>
    <row r="695" spans="1:18" ht="20.100000000000001" customHeight="1">
      <c r="A695" s="126" t="str">
        <f t="shared" ca="1" si="860"/>
        <v>a16Dm000000M3qmIAC</v>
      </c>
      <c r="B695" s="570">
        <v>2</v>
      </c>
      <c r="C695" s="572" t="str">
        <f ca="1">IFERROR(VLOOKUP(B695,'Coverage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95" s="574" t="str">
        <f ca="1">M695</f>
        <v/>
      </c>
      <c r="E695" s="574" t="str">
        <f ca="1">N695</f>
        <v/>
      </c>
      <c r="F695" s="127"/>
      <c r="G695" s="576" t="str">
        <f ca="1">IF(OR(INDIRECT("'update Helper'!E"&amp;Q695)="",F695&lt;&gt;0,F696&lt;&gt;0),IF(IFERROR((F695/F696),"")="","",(F695/F696)),INDIRECT("'update Helper'!E"&amp;Q695)/100)</f>
        <v/>
      </c>
      <c r="H695" s="539"/>
      <c r="I695" s="578"/>
      <c r="J695" s="532"/>
      <c r="K695" s="126">
        <f ca="1">IF(AND(EXACT(C695,C693),C693&lt;&gt;0),K693+1,0)</f>
        <v>17</v>
      </c>
      <c r="L695" s="126" t="str">
        <f t="shared" ref="L695" ca="1" si="865">IF(C695&lt;&gt;"",C695&amp;"-"&amp;K695,"")</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TB-17</v>
      </c>
      <c r="M695" s="126" t="str">
        <f t="array" aca="1" ref="M695" ca="1">IFERROR(IF(INDEX('Disaggregation Records'!$E$156:$E$517,MATCH(RIGHT(L695,255),RIGHT('Disaggregation Records'!$D$156:$D$517,255),0))="","",INDEX('Disaggregation Records'!$E$156:$E$517,MATCH(RIGHT(L695,255),RIGHT('Disaggregation Records'!$D$156:$D$517,255),0))),"")</f>
        <v/>
      </c>
      <c r="N695" s="126" t="str">
        <f t="array" aca="1" ref="N695" ca="1">IFERROR(IF(INDEX('Disaggregation Records'!$F$156:$F$517,MATCH(RIGHT(L695,255),RIGHT('Disaggregation Records'!$D$156:$D$517,255),0))="","",INDEX('Disaggregation Records'!$F$156:$F$517,MATCH(RIGHT(L695,255),RIGHT('Disaggregation Records'!$D$156:$D$517,255),0))),"")</f>
        <v/>
      </c>
      <c r="O695" s="314" t="str">
        <f t="array" aca="1" ref="O695" ca="1">IFERROR(IF(INDEX('Disaggregation Records'!$H$156:$H$517,MATCH(RIGHT(L695,255),RIGHT('Disaggregation Records'!$D$156:$D$517,255),0))="","",INDEX('Disaggregation Records'!$H$156:$H$517,MATCH(RIGHT(L695,255),RIGHT('Disaggregation Records'!$D$156:$D$517,255),0))),"")</f>
        <v/>
      </c>
      <c r="P695" s="310"/>
      <c r="Q695" s="310">
        <f t="shared" ref="Q695" si="866">Q693+1</f>
        <v>1649</v>
      </c>
      <c r="R695" s="314" t="str" cm="1">
        <f t="array" aca="1" ref="R695" ca="1">IFERROR(IF(INDEX('Disaggregation Records'!$G$156:$G$517,MATCH(RIGHT(L695,255),RIGHT('Disaggregation Records'!$D$156:$D$517,255),0))="","",INDEX('Disaggregation Records'!$G$156:$G$517,MATCH(RIGHT(L695,255),RIGHT('Disaggregation Records'!$D$156:$D$517,255),0))),"")</f>
        <v/>
      </c>
    </row>
    <row r="696" spans="1:18" ht="20.100000000000001" customHeight="1">
      <c r="B696" s="571"/>
      <c r="C696" s="573"/>
      <c r="D696" s="575"/>
      <c r="E696" s="575"/>
      <c r="F696" s="128"/>
      <c r="G696" s="577"/>
      <c r="H696" s="540"/>
      <c r="I696" s="579"/>
      <c r="J696" s="533"/>
      <c r="L696" s="126"/>
      <c r="N696" s="126"/>
      <c r="O696" s="314"/>
      <c r="P696" s="310"/>
      <c r="Q696" s="310"/>
      <c r="R696" s="314" t="str" cm="1">
        <f t="array" ref="R696">IFERROR(IF(INDEX('Disaggregation Records'!$G$156:$G$517,MATCH(RIGHT(L696,255),RIGHT('Disaggregation Records'!$D$156:$D$517,255),0))="","",INDEX('Disaggregation Records'!$G$156:$G$517,MATCH(RIGHT(L696,255),RIGHT('Disaggregation Records'!$D$156:$D$517,255),0))),"")</f>
        <v/>
      </c>
    </row>
    <row r="697" spans="1:18" ht="20.100000000000001" customHeight="1">
      <c r="A697" s="126" t="str">
        <f t="shared" ca="1" si="857"/>
        <v>a16Dm000000M3qnIAC</v>
      </c>
      <c r="B697" s="570">
        <v>2</v>
      </c>
      <c r="C697" s="572" t="str">
        <f ca="1">IFERROR(VLOOKUP(B697,'Coverage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97" s="574" t="str">
        <f ca="1">M697</f>
        <v/>
      </c>
      <c r="E697" s="574" t="str">
        <f ca="1">N697</f>
        <v/>
      </c>
      <c r="F697" s="127"/>
      <c r="G697" s="576" t="str">
        <f ca="1">IF(OR(INDIRECT("'update Helper'!E"&amp;Q697)="",F697&lt;&gt;0,F698&lt;&gt;0),IF(IFERROR((F697/F698),"")="","",(F697/F698)),INDIRECT("'update Helper'!E"&amp;Q697)/100)</f>
        <v/>
      </c>
      <c r="H697" s="539"/>
      <c r="I697" s="578"/>
      <c r="J697" s="532"/>
      <c r="K697" s="126">
        <f ca="1">IF(AND(EXACT(C697,C695),C695&lt;&gt;0),K695+1,0)</f>
        <v>18</v>
      </c>
      <c r="L697" s="126" t="str">
        <f t="shared" ref="L697" ca="1" si="867">IF(C697&lt;&gt;"",C697&amp;"-"&amp;K697,"")</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TB-18</v>
      </c>
      <c r="M697" s="126" t="str">
        <f t="array" aca="1" ref="M697" ca="1">IFERROR(IF(INDEX('Disaggregation Records'!$E$156:$E$517,MATCH(RIGHT(L697,255),RIGHT('Disaggregation Records'!$D$156:$D$517,255),0))="","",INDEX('Disaggregation Records'!$E$156:$E$517,MATCH(RIGHT(L697,255),RIGHT('Disaggregation Records'!$D$156:$D$517,255),0))),"")</f>
        <v/>
      </c>
      <c r="N697" s="126" t="str">
        <f t="array" aca="1" ref="N697" ca="1">IFERROR(IF(INDEX('Disaggregation Records'!$F$156:$F$517,MATCH(RIGHT(L697,255),RIGHT('Disaggregation Records'!$D$156:$D$517,255),0))="","",INDEX('Disaggregation Records'!$F$156:$F$517,MATCH(RIGHT(L697,255),RIGHT('Disaggregation Records'!$D$156:$D$517,255),0))),"")</f>
        <v/>
      </c>
      <c r="O697" s="314" t="str">
        <f t="array" aca="1" ref="O697" ca="1">IFERROR(IF(INDEX('Disaggregation Records'!$H$156:$H$517,MATCH(RIGHT(L697,255),RIGHT('Disaggregation Records'!$D$156:$D$517,255),0))="","",INDEX('Disaggregation Records'!$H$156:$H$517,MATCH(RIGHT(L697,255),RIGHT('Disaggregation Records'!$D$156:$D$517,255),0))),"")</f>
        <v/>
      </c>
      <c r="P697" s="310"/>
      <c r="Q697" s="310">
        <f t="shared" ref="Q697" si="868">Q695+1</f>
        <v>1650</v>
      </c>
      <c r="R697" s="314" t="str" cm="1">
        <f t="array" aca="1" ref="R697" ca="1">IFERROR(IF(INDEX('Disaggregation Records'!$G$156:$G$517,MATCH(RIGHT(L697,255),RIGHT('Disaggregation Records'!$D$156:$D$517,255),0))="","",INDEX('Disaggregation Records'!$G$156:$G$517,MATCH(RIGHT(L697,255),RIGHT('Disaggregation Records'!$D$156:$D$517,255),0))),"")</f>
        <v/>
      </c>
    </row>
    <row r="698" spans="1:18" ht="20.100000000000001" customHeight="1">
      <c r="A698" s="126"/>
      <c r="B698" s="571"/>
      <c r="C698" s="573"/>
      <c r="D698" s="575"/>
      <c r="E698" s="575"/>
      <c r="F698" s="128"/>
      <c r="G698" s="577"/>
      <c r="H698" s="540"/>
      <c r="I698" s="579"/>
      <c r="J698" s="533"/>
      <c r="L698" s="126"/>
      <c r="N698" s="126"/>
      <c r="O698" s="314"/>
      <c r="P698" s="310"/>
      <c r="Q698" s="310"/>
      <c r="R698" s="314" t="str" cm="1">
        <f t="array" ref="R698">IFERROR(IF(INDEX('Disaggregation Records'!$G$156:$G$517,MATCH(RIGHT(L698,255),RIGHT('Disaggregation Records'!$D$156:$D$517,255),0))="","",INDEX('Disaggregation Records'!$G$156:$G$517,MATCH(RIGHT(L698,255),RIGHT('Disaggregation Records'!$D$156:$D$517,255),0))),"")</f>
        <v/>
      </c>
    </row>
    <row r="699" spans="1:18" ht="20.100000000000001" customHeight="1">
      <c r="A699" s="126" t="str">
        <f t="shared" ca="1" si="860"/>
        <v>a16Dm000000M3qoIAC</v>
      </c>
      <c r="B699" s="570">
        <v>2</v>
      </c>
      <c r="C699" s="572" t="str">
        <f ca="1">IFERROR(VLOOKUP(B699,'Coverage Indicators - Section D'!$A$9:$AO$94,41,FALSE),"")</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99" s="574" t="str">
        <f ca="1">M699</f>
        <v/>
      </c>
      <c r="E699" s="574" t="str">
        <f ca="1">N699</f>
        <v/>
      </c>
      <c r="F699" s="127"/>
      <c r="G699" s="576" t="str">
        <f ca="1">IF(OR(INDIRECT("'update Helper'!E"&amp;Q699)="",F699&lt;&gt;0,F700&lt;&gt;0),IF(IFERROR((F699/F700),"")="","",(F699/F700)),INDIRECT("'update Helper'!E"&amp;Q699)/100)</f>
        <v/>
      </c>
      <c r="H699" s="539"/>
      <c r="I699" s="578"/>
      <c r="J699" s="532"/>
      <c r="K699" s="126">
        <f ca="1">IF(AND(EXACT(C699,C697),C697&lt;&gt;0),K697+1,0)</f>
        <v>19</v>
      </c>
      <c r="L699" s="126" t="str">
        <f t="shared" ref="L699" ca="1" si="869">IF(C699&lt;&gt;"",C699&amp;"-"&amp;K699,"")</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TB-19</v>
      </c>
      <c r="M699" s="126" t="str">
        <f t="array" aca="1" ref="M699" ca="1">IFERROR(IF(INDEX('Disaggregation Records'!$E$156:$E$517,MATCH(RIGHT(L699,255),RIGHT('Disaggregation Records'!$D$156:$D$517,255),0))="","",INDEX('Disaggregation Records'!$E$156:$E$517,MATCH(RIGHT(L699,255),RIGHT('Disaggregation Records'!$D$156:$D$517,255),0))),"")</f>
        <v/>
      </c>
      <c r="N699" s="126" t="str">
        <f t="array" aca="1" ref="N699" ca="1">IFERROR(IF(INDEX('Disaggregation Records'!$F$156:$F$517,MATCH(RIGHT(L699,255),RIGHT('Disaggregation Records'!$D$156:$D$517,255),0))="","",INDEX('Disaggregation Records'!$F$156:$F$517,MATCH(RIGHT(L699,255),RIGHT('Disaggregation Records'!$D$156:$D$517,255),0))),"")</f>
        <v/>
      </c>
      <c r="O699" s="314" t="str">
        <f t="array" aca="1" ref="O699" ca="1">IFERROR(IF(INDEX('Disaggregation Records'!$H$156:$H$517,MATCH(RIGHT(L699,255),RIGHT('Disaggregation Records'!$D$156:$D$517,255),0))="","",INDEX('Disaggregation Records'!$H$156:$H$517,MATCH(RIGHT(L699,255),RIGHT('Disaggregation Records'!$D$156:$D$517,255),0))),"")</f>
        <v/>
      </c>
      <c r="P699" s="310"/>
      <c r="Q699" s="310">
        <f t="shared" ref="Q699" si="870">Q697+1</f>
        <v>1651</v>
      </c>
      <c r="R699" s="314" t="str" cm="1">
        <f t="array" aca="1" ref="R699" ca="1">IFERROR(IF(INDEX('Disaggregation Records'!$G$156:$G$517,MATCH(RIGHT(L699,255),RIGHT('Disaggregation Records'!$D$156:$D$517,255),0))="","",INDEX('Disaggregation Records'!$G$156:$G$517,MATCH(RIGHT(L699,255),RIGHT('Disaggregation Records'!$D$156:$D$517,255),0))),"")</f>
        <v/>
      </c>
    </row>
    <row r="700" spans="1:18" ht="20.100000000000001" customHeight="1">
      <c r="B700" s="571"/>
      <c r="C700" s="573"/>
      <c r="D700" s="575"/>
      <c r="E700" s="575"/>
      <c r="F700" s="128"/>
      <c r="G700" s="577"/>
      <c r="H700" s="540"/>
      <c r="I700" s="579"/>
      <c r="J700" s="533"/>
      <c r="L700" s="126"/>
      <c r="N700" s="126"/>
      <c r="O700" s="314"/>
      <c r="P700" s="310"/>
      <c r="Q700" s="310"/>
      <c r="R700" s="314" t="str" cm="1">
        <f t="array" ref="R700">IFERROR(IF(INDEX('Disaggregation Records'!$G$156:$G$517,MATCH(RIGHT(L700,255),RIGHT('Disaggregation Records'!$D$156:$D$517,255),0))="","",INDEX('Disaggregation Records'!$G$156:$G$517,MATCH(RIGHT(L700,255),RIGHT('Disaggregation Records'!$D$156:$D$517,255),0))),"")</f>
        <v/>
      </c>
    </row>
    <row r="701" spans="1:18" ht="20.100000000000001" customHeight="1">
      <c r="A701" s="126" t="str">
        <f t="shared" ca="1" si="857"/>
        <v>a16Dm000000M3qpIAC</v>
      </c>
      <c r="B701" s="570">
        <v>3</v>
      </c>
      <c r="C701" s="572" t="str">
        <f ca="1">IFERROR(VLOOKUP(B701,'Coverage Indicators - Section D'!$A$9:$AO$94,41,FALSE),"")</f>
        <v>TBDT-4 Percentage of new and relapse TB patients tested using WHO recommended rapid diagnostic tests at the time of diagnosis</v>
      </c>
      <c r="D701" s="574" t="str">
        <f ca="1">M701</f>
        <v>Provider type</v>
      </c>
      <c r="E701" s="574" t="str">
        <f ca="1">N701</f>
        <v>Private</v>
      </c>
      <c r="F701" s="127"/>
      <c r="G701" s="576" t="str">
        <f ca="1">IF(OR(INDIRECT("'update Helper'!E"&amp;Q701)="",F701&lt;&gt;0,F702&lt;&gt;0),IF(IFERROR((F701/F702),"")="","",(F701/F702)),INDIRECT("'update Helper'!E"&amp;Q701)/100)</f>
        <v/>
      </c>
      <c r="H701" s="539">
        <v>2021</v>
      </c>
      <c r="I701" s="578" t="s">
        <v>2281</v>
      </c>
      <c r="J701" s="532" t="s">
        <v>2282</v>
      </c>
      <c r="K701" s="126">
        <f ca="1">IF(AND(EXACT(C701,C699),C699&lt;&gt;0),K699+1,0)</f>
        <v>0</v>
      </c>
      <c r="L701" s="126" t="str">
        <f t="shared" ref="L701" ca="1" si="871">IF(C701&lt;&gt;"",C701&amp;"-"&amp;K701,"")</f>
        <v>TBDT-4 Percentage of new and relapse TB patients tested using WHO recommended rapid diagnostic tests at the time of diagnosis-0</v>
      </c>
      <c r="M701" s="126" t="str">
        <f t="array" aca="1" ref="M701" ca="1">IFERROR(IF(INDEX('Disaggregation Records'!$E$156:$E$517,MATCH(RIGHT(L701,255),RIGHT('Disaggregation Records'!$D$156:$D$517,255),0))="","",INDEX('Disaggregation Records'!$E$156:$E$517,MATCH(RIGHT(L701,255),RIGHT('Disaggregation Records'!$D$156:$D$517,255),0))),"")</f>
        <v>Provider type</v>
      </c>
      <c r="N701" s="126" t="str">
        <f t="array" aca="1" ref="N701" ca="1">IFERROR(IF(INDEX('Disaggregation Records'!$F$156:$F$517,MATCH(RIGHT(L701,255),RIGHT('Disaggregation Records'!$D$156:$D$517,255),0))="","",INDEX('Disaggregation Records'!$F$156:$F$517,MATCH(RIGHT(L701,255),RIGHT('Disaggregation Records'!$D$156:$D$517,255),0))),"")</f>
        <v>Private</v>
      </c>
      <c r="O701" s="314" t="str">
        <f t="array" aca="1" ref="O701" ca="1">IFERROR(IF(INDEX('Disaggregation Records'!$H$156:$H$517,MATCH(RIGHT(L701,255),RIGHT('Disaggregation Records'!$D$156:$D$517,255),0))="","",INDEX('Disaggregation Records'!$H$156:$H$517,MATCH(RIGHT(L701,255),RIGHT('Disaggregation Records'!$D$156:$D$517,255),0))),"")</f>
        <v>IDR-01323</v>
      </c>
      <c r="P701" s="314"/>
      <c r="Q701" s="310">
        <f t="shared" ref="Q701" si="872">Q699+1</f>
        <v>1652</v>
      </c>
      <c r="R701" s="314" t="str" cm="1">
        <f t="array" aca="1" ref="R701" ca="1">IFERROR(IF(INDEX('Disaggregation Records'!$G$156:$G$517,MATCH(RIGHT(L701,255),RIGHT('Disaggregation Records'!$D$156:$D$517,255),0))="","",INDEX('Disaggregation Records'!$G$156:$G$517,MATCH(RIGHT(L701,255),RIGHT('Disaggregation Records'!$D$156:$D$517,255),0))),"")</f>
        <v>a1LDm000000Cb45MAC</v>
      </c>
    </row>
    <row r="702" spans="1:18" ht="20.100000000000001" customHeight="1">
      <c r="A702" s="126"/>
      <c r="B702" s="571"/>
      <c r="C702" s="573"/>
      <c r="D702" s="575"/>
      <c r="E702" s="575"/>
      <c r="F702" s="128"/>
      <c r="G702" s="577"/>
      <c r="H702" s="540"/>
      <c r="I702" s="579"/>
      <c r="J702" s="533"/>
      <c r="K702" s="126"/>
      <c r="L702" s="126"/>
      <c r="M702" s="126"/>
      <c r="N702" s="126"/>
      <c r="O702" s="314"/>
      <c r="P702" s="314"/>
      <c r="Q702" s="310"/>
      <c r="R702" s="314" t="str" cm="1">
        <f t="array" ref="R702">IFERROR(IF(INDEX('Disaggregation Records'!$G$156:$G$517,MATCH(RIGHT(L702,255),RIGHT('Disaggregation Records'!$D$156:$D$517,255),0))="","",INDEX('Disaggregation Records'!$G$156:$G$517,MATCH(RIGHT(L702,255),RIGHT('Disaggregation Records'!$D$156:$D$517,255),0))),"")</f>
        <v/>
      </c>
    </row>
    <row r="703" spans="1:18" ht="20.100000000000001" customHeight="1">
      <c r="A703" s="126" t="str">
        <f t="shared" ca="1" si="860"/>
        <v>a16Dm000000M3qqIAC</v>
      </c>
      <c r="B703" s="570">
        <v>3</v>
      </c>
      <c r="C703" s="572" t="str">
        <f ca="1">IFERROR(VLOOKUP(B703,'Coverage Indicators - Section D'!$A$9:$AO$94,41,FALSE),"")</f>
        <v>TBDT-4 Percentage of new and relapse TB patients tested using WHO recommended rapid diagnostic tests at the time of diagnosis</v>
      </c>
      <c r="D703" s="574" t="str">
        <f ca="1">M703</f>
        <v>Provider type</v>
      </c>
      <c r="E703" s="574" t="str">
        <f ca="1">N703</f>
        <v>Public</v>
      </c>
      <c r="F703" s="127"/>
      <c r="G703" s="576" t="str">
        <f ca="1">IF(OR(INDIRECT("'update Helper'!E"&amp;Q703)="",F703&lt;&gt;0,F704&lt;&gt;0),IF(IFERROR((F703/F704),"")="","",(F703/F704)),INDIRECT("'update Helper'!E"&amp;Q703)/100)</f>
        <v/>
      </c>
      <c r="H703" s="539">
        <v>2021</v>
      </c>
      <c r="I703" s="578" t="s">
        <v>2281</v>
      </c>
      <c r="J703" s="532" t="s">
        <v>2282</v>
      </c>
      <c r="K703" s="126">
        <f ca="1">IF(AND(EXACT(C703,C701),C701&lt;&gt;0),K701+1,0)</f>
        <v>1</v>
      </c>
      <c r="L703" s="126" t="str">
        <f t="shared" ref="L703" ca="1" si="873">IF(C703&lt;&gt;"",C703&amp;"-"&amp;K703,"")</f>
        <v>TBDT-4 Percentage of new and relapse TB patients tested using WHO recommended rapid diagnostic tests at the time of diagnosis-1</v>
      </c>
      <c r="M703" s="126" t="str">
        <f t="array" aca="1" ref="M703" ca="1">IFERROR(IF(INDEX('Disaggregation Records'!$E$156:$E$517,MATCH(RIGHT(L703,255),RIGHT('Disaggregation Records'!$D$156:$D$517,255),0))="","",INDEX('Disaggregation Records'!$E$156:$E$517,MATCH(RIGHT(L703,255),RIGHT('Disaggregation Records'!$D$156:$D$517,255),0))),"")</f>
        <v>Provider type</v>
      </c>
      <c r="N703" s="126" t="str">
        <f t="array" aca="1" ref="N703" ca="1">IFERROR(IF(INDEX('Disaggregation Records'!$F$156:$F$517,MATCH(RIGHT(L703,255),RIGHT('Disaggregation Records'!$D$156:$D$517,255),0))="","",INDEX('Disaggregation Records'!$F$156:$F$517,MATCH(RIGHT(L703,255),RIGHT('Disaggregation Records'!$D$156:$D$517,255),0))),"")</f>
        <v>Public</v>
      </c>
      <c r="O703" s="314" t="str">
        <f t="array" aca="1" ref="O703" ca="1">IFERROR(IF(INDEX('Disaggregation Records'!$H$156:$H$517,MATCH(RIGHT(L703,255),RIGHT('Disaggregation Records'!$D$156:$D$517,255),0))="","",INDEX('Disaggregation Records'!$H$156:$H$517,MATCH(RIGHT(L703,255),RIGHT('Disaggregation Records'!$D$156:$D$517,255),0))),"")</f>
        <v>IDR-01322</v>
      </c>
      <c r="P703" s="314"/>
      <c r="Q703" s="310">
        <f t="shared" ref="Q703" si="874">Q701+1</f>
        <v>1653</v>
      </c>
      <c r="R703" s="314" t="str" cm="1">
        <f t="array" aca="1" ref="R703" ca="1">IFERROR(IF(INDEX('Disaggregation Records'!$G$156:$G$517,MATCH(RIGHT(L703,255),RIGHT('Disaggregation Records'!$D$156:$D$517,255),0))="","",INDEX('Disaggregation Records'!$G$156:$G$517,MATCH(RIGHT(L703,255),RIGHT('Disaggregation Records'!$D$156:$D$517,255),0))),"")</f>
        <v>a1LDm000000Cb44MAC</v>
      </c>
    </row>
    <row r="704" spans="1:18" ht="20.100000000000001" customHeight="1">
      <c r="B704" s="571"/>
      <c r="C704" s="573"/>
      <c r="D704" s="575"/>
      <c r="E704" s="575"/>
      <c r="F704" s="128"/>
      <c r="G704" s="577"/>
      <c r="H704" s="540"/>
      <c r="I704" s="579"/>
      <c r="J704" s="533"/>
      <c r="K704" s="126"/>
      <c r="L704" s="126"/>
      <c r="M704" s="126"/>
      <c r="N704" s="126"/>
      <c r="O704" s="314"/>
      <c r="P704" s="314"/>
      <c r="Q704" s="310"/>
      <c r="R704" s="314" t="str" cm="1">
        <f t="array" ref="R704">IFERROR(IF(INDEX('Disaggregation Records'!$G$156:$G$517,MATCH(RIGHT(L704,255),RIGHT('Disaggregation Records'!$D$156:$D$517,255),0))="","",INDEX('Disaggregation Records'!$G$156:$G$517,MATCH(RIGHT(L704,255),RIGHT('Disaggregation Records'!$D$156:$D$517,255),0))),"")</f>
        <v/>
      </c>
    </row>
    <row r="705" spans="1:18" ht="20.100000000000001" customHeight="1">
      <c r="A705" s="126" t="str">
        <f t="shared" ca="1" si="857"/>
        <v>a16Dm000000M3qrIAC</v>
      </c>
      <c r="B705" s="570">
        <v>3</v>
      </c>
      <c r="C705" s="572" t="str">
        <f ca="1">IFERROR(VLOOKUP(B705,'Coverage Indicators - Section D'!$A$9:$AO$94,41,FALSE),"")</f>
        <v>TBDT-4 Percentage of new and relapse TB patients tested using WHO recommended rapid diagnostic tests at the time of diagnosis</v>
      </c>
      <c r="D705" s="574" t="str">
        <f ca="1">M705</f>
        <v/>
      </c>
      <c r="E705" s="574" t="str">
        <f ca="1">N705</f>
        <v/>
      </c>
      <c r="F705" s="127"/>
      <c r="G705" s="576" t="str">
        <f ca="1">IF(OR(INDIRECT("'update Helper'!E"&amp;Q705)="",F705&lt;&gt;0,F706&lt;&gt;0),IF(IFERROR((F705/F706),"")="","",(F705/F706)),INDIRECT("'update Helper'!E"&amp;Q705)/100)</f>
        <v/>
      </c>
      <c r="H705" s="539"/>
      <c r="I705" s="578"/>
      <c r="J705" s="532"/>
      <c r="K705" s="126">
        <f ca="1">IF(AND(EXACT(C705,C703),C703&lt;&gt;0),K703+1,0)</f>
        <v>2</v>
      </c>
      <c r="L705" s="126" t="str">
        <f t="shared" ref="L705" ca="1" si="875">IF(C705&lt;&gt;"",C705&amp;"-"&amp;K705,"")</f>
        <v>TBDT-4 Percentage of new and relapse TB patients tested using WHO recommended rapid diagnostic tests at the time of diagnosis-2</v>
      </c>
      <c r="M705" s="126" t="str">
        <f t="array" aca="1" ref="M705" ca="1">IFERROR(IF(INDEX('Disaggregation Records'!$E$156:$E$517,MATCH(RIGHT(L705,255),RIGHT('Disaggregation Records'!$D$156:$D$517,255),0))="","",INDEX('Disaggregation Records'!$E$156:$E$517,MATCH(RIGHT(L705,255),RIGHT('Disaggregation Records'!$D$156:$D$517,255),0))),"")</f>
        <v/>
      </c>
      <c r="N705" s="126" t="str">
        <f t="array" aca="1" ref="N705" ca="1">IFERROR(IF(INDEX('Disaggregation Records'!$F$156:$F$517,MATCH(RIGHT(L705,255),RIGHT('Disaggregation Records'!$D$156:$D$517,255),0))="","",INDEX('Disaggregation Records'!$F$156:$F$517,MATCH(RIGHT(L705,255),RIGHT('Disaggregation Records'!$D$156:$D$517,255),0))),"")</f>
        <v/>
      </c>
      <c r="O705" s="314" t="str">
        <f t="array" aca="1" ref="O705" ca="1">IFERROR(IF(INDEX('Disaggregation Records'!$H$156:$H$517,MATCH(RIGHT(L705,255),RIGHT('Disaggregation Records'!$D$156:$D$517,255),0))="","",INDEX('Disaggregation Records'!$H$156:$H$517,MATCH(RIGHT(L705,255),RIGHT('Disaggregation Records'!$D$156:$D$517,255),0))),"")</f>
        <v/>
      </c>
      <c r="P705" s="310"/>
      <c r="Q705" s="310">
        <f t="shared" ref="Q705" si="876">Q703+1</f>
        <v>1654</v>
      </c>
      <c r="R705" s="314" t="str" cm="1">
        <f t="array" aca="1" ref="R705" ca="1">IFERROR(IF(INDEX('Disaggregation Records'!$G$156:$G$517,MATCH(RIGHT(L705,255),RIGHT('Disaggregation Records'!$D$156:$D$517,255),0))="","",INDEX('Disaggregation Records'!$G$156:$G$517,MATCH(RIGHT(L705,255),RIGHT('Disaggregation Records'!$D$156:$D$517,255),0))),"")</f>
        <v/>
      </c>
    </row>
    <row r="706" spans="1:18" ht="20.100000000000001" customHeight="1">
      <c r="A706" s="126"/>
      <c r="B706" s="571"/>
      <c r="C706" s="573"/>
      <c r="D706" s="575"/>
      <c r="E706" s="575"/>
      <c r="F706" s="128"/>
      <c r="G706" s="577"/>
      <c r="H706" s="540"/>
      <c r="I706" s="579"/>
      <c r="J706" s="533"/>
      <c r="L706" s="126"/>
      <c r="N706" s="126"/>
      <c r="O706" s="314"/>
      <c r="P706" s="310"/>
      <c r="Q706" s="310"/>
      <c r="R706" s="314" t="str" cm="1">
        <f t="array" ref="R706">IFERROR(IF(INDEX('Disaggregation Records'!$G$156:$G$517,MATCH(RIGHT(L706,255),RIGHT('Disaggregation Records'!$D$156:$D$517,255),0))="","",INDEX('Disaggregation Records'!$G$156:$G$517,MATCH(RIGHT(L706,255),RIGHT('Disaggregation Records'!$D$156:$D$517,255),0))),"")</f>
        <v/>
      </c>
    </row>
    <row r="707" spans="1:18" ht="20.100000000000001" customHeight="1">
      <c r="A707" s="126" t="str">
        <f t="shared" ca="1" si="860"/>
        <v>a16Dm000000M3qsIAC</v>
      </c>
      <c r="B707" s="570">
        <v>3</v>
      </c>
      <c r="C707" s="572" t="str">
        <f ca="1">IFERROR(VLOOKUP(B707,'Coverage Indicators - Section D'!$A$9:$AO$94,41,FALSE),"")</f>
        <v>TBDT-4 Percentage of new and relapse TB patients tested using WHO recommended rapid diagnostic tests at the time of diagnosis</v>
      </c>
      <c r="D707" s="574" t="str">
        <f ca="1">M707</f>
        <v/>
      </c>
      <c r="E707" s="574" t="str">
        <f ca="1">N707</f>
        <v/>
      </c>
      <c r="F707" s="127"/>
      <c r="G707" s="576" t="str">
        <f ca="1">IF(OR(INDIRECT("'update Helper'!E"&amp;Q707)="",F707&lt;&gt;0,F708&lt;&gt;0),IF(IFERROR((F707/F708),"")="","",(F707/F708)),INDIRECT("'update Helper'!E"&amp;Q707)/100)</f>
        <v/>
      </c>
      <c r="H707" s="539"/>
      <c r="I707" s="578"/>
      <c r="J707" s="532"/>
      <c r="K707" s="126">
        <f ca="1">IF(AND(EXACT(C707,C705),C705&lt;&gt;0),K705+1,0)</f>
        <v>3</v>
      </c>
      <c r="L707" s="126" t="str">
        <f t="shared" ref="L707" ca="1" si="877">IF(C707&lt;&gt;"",C707&amp;"-"&amp;K707,"")</f>
        <v>TBDT-4 Percentage of new and relapse TB patients tested using WHO recommended rapid diagnostic tests at the time of diagnosis-3</v>
      </c>
      <c r="M707" s="126" t="str">
        <f t="array" aca="1" ref="M707" ca="1">IFERROR(IF(INDEX('Disaggregation Records'!$E$156:$E$517,MATCH(RIGHT(L707,255),RIGHT('Disaggregation Records'!$D$156:$D$517,255),0))="","",INDEX('Disaggregation Records'!$E$156:$E$517,MATCH(RIGHT(L707,255),RIGHT('Disaggregation Records'!$D$156:$D$517,255),0))),"")</f>
        <v/>
      </c>
      <c r="N707" s="126" t="str">
        <f t="array" aca="1" ref="N707" ca="1">IFERROR(IF(INDEX('Disaggregation Records'!$F$156:$F$517,MATCH(RIGHT(L707,255),RIGHT('Disaggregation Records'!$D$156:$D$517,255),0))="","",INDEX('Disaggregation Records'!$F$156:$F$517,MATCH(RIGHT(L707,255),RIGHT('Disaggregation Records'!$D$156:$D$517,255),0))),"")</f>
        <v/>
      </c>
      <c r="O707" s="314" t="str">
        <f t="array" aca="1" ref="O707" ca="1">IFERROR(IF(INDEX('Disaggregation Records'!$H$156:$H$517,MATCH(RIGHT(L707,255),RIGHT('Disaggregation Records'!$D$156:$D$517,255),0))="","",INDEX('Disaggregation Records'!$H$156:$H$517,MATCH(RIGHT(L707,255),RIGHT('Disaggregation Records'!$D$156:$D$517,255),0))),"")</f>
        <v/>
      </c>
      <c r="P707" s="310"/>
      <c r="Q707" s="310">
        <f t="shared" ref="Q707" si="878">Q705+1</f>
        <v>1655</v>
      </c>
      <c r="R707" s="314" t="str" cm="1">
        <f t="array" aca="1" ref="R707" ca="1">IFERROR(IF(INDEX('Disaggregation Records'!$G$156:$G$517,MATCH(RIGHT(L707,255),RIGHT('Disaggregation Records'!$D$156:$D$517,255),0))="","",INDEX('Disaggregation Records'!$G$156:$G$517,MATCH(RIGHT(L707,255),RIGHT('Disaggregation Records'!$D$156:$D$517,255),0))),"")</f>
        <v/>
      </c>
    </row>
    <row r="708" spans="1:18" ht="20.100000000000001" customHeight="1">
      <c r="B708" s="571"/>
      <c r="C708" s="573"/>
      <c r="D708" s="575"/>
      <c r="E708" s="575"/>
      <c r="F708" s="128"/>
      <c r="G708" s="577"/>
      <c r="H708" s="540"/>
      <c r="I708" s="579"/>
      <c r="J708" s="533"/>
      <c r="L708" s="126"/>
      <c r="N708" s="126"/>
      <c r="O708" s="314"/>
      <c r="P708" s="310"/>
      <c r="Q708" s="310"/>
      <c r="R708" s="314" t="str" cm="1">
        <f t="array" ref="R708">IFERROR(IF(INDEX('Disaggregation Records'!$G$156:$G$517,MATCH(RIGHT(L708,255),RIGHT('Disaggregation Records'!$D$156:$D$517,255),0))="","",INDEX('Disaggregation Records'!$G$156:$G$517,MATCH(RIGHT(L708,255),RIGHT('Disaggregation Records'!$D$156:$D$517,255),0))),"")</f>
        <v/>
      </c>
    </row>
    <row r="709" spans="1:18" ht="20.100000000000001" customHeight="1">
      <c r="A709" s="126" t="str">
        <f t="shared" ca="1" si="857"/>
        <v>a16Dm000000M3qtIAC</v>
      </c>
      <c r="B709" s="570">
        <v>3</v>
      </c>
      <c r="C709" s="572" t="str">
        <f ca="1">IFERROR(VLOOKUP(B709,'Coverage Indicators - Section D'!$A$9:$AO$94,41,FALSE),"")</f>
        <v>TBDT-4 Percentage of new and relapse TB patients tested using WHO recommended rapid diagnostic tests at the time of diagnosis</v>
      </c>
      <c r="D709" s="574" t="str">
        <f ca="1">M709</f>
        <v/>
      </c>
      <c r="E709" s="574" t="str">
        <f ca="1">N709</f>
        <v/>
      </c>
      <c r="F709" s="127"/>
      <c r="G709" s="576" t="str">
        <f ca="1">IF(OR(INDIRECT("'update Helper'!E"&amp;Q709)="",F709&lt;&gt;0,F710&lt;&gt;0),IF(IFERROR((F709/F710),"")="","",(F709/F710)),INDIRECT("'update Helper'!E"&amp;Q709)/100)</f>
        <v/>
      </c>
      <c r="H709" s="539"/>
      <c r="I709" s="578"/>
      <c r="J709" s="532"/>
      <c r="K709" s="126">
        <f ca="1">IF(AND(EXACT(C709,C707),C707&lt;&gt;0),K707+1,0)</f>
        <v>4</v>
      </c>
      <c r="L709" s="126" t="str">
        <f t="shared" ref="L709" ca="1" si="879">IF(C709&lt;&gt;"",C709&amp;"-"&amp;K709,"")</f>
        <v>TBDT-4 Percentage of new and relapse TB patients tested using WHO recommended rapid diagnostic tests at the time of diagnosis-4</v>
      </c>
      <c r="M709" s="126" t="str">
        <f t="array" aca="1" ref="M709" ca="1">IFERROR(IF(INDEX('Disaggregation Records'!$E$156:$E$517,MATCH(RIGHT(L709,255),RIGHT('Disaggregation Records'!$D$156:$D$517,255),0))="","",INDEX('Disaggregation Records'!$E$156:$E$517,MATCH(RIGHT(L709,255),RIGHT('Disaggregation Records'!$D$156:$D$517,255),0))),"")</f>
        <v/>
      </c>
      <c r="N709" s="126" t="str">
        <f t="array" aca="1" ref="N709" ca="1">IFERROR(IF(INDEX('Disaggregation Records'!$F$156:$F$517,MATCH(RIGHT(L709,255),RIGHT('Disaggregation Records'!$D$156:$D$517,255),0))="","",INDEX('Disaggregation Records'!$F$156:$F$517,MATCH(RIGHT(L709,255),RIGHT('Disaggregation Records'!$D$156:$D$517,255),0))),"")</f>
        <v/>
      </c>
      <c r="O709" s="314" t="str">
        <f t="array" aca="1" ref="O709" ca="1">IFERROR(IF(INDEX('Disaggregation Records'!$H$156:$H$517,MATCH(RIGHT(L709,255),RIGHT('Disaggregation Records'!$D$156:$D$517,255),0))="","",INDEX('Disaggregation Records'!$H$156:$H$517,MATCH(RIGHT(L709,255),RIGHT('Disaggregation Records'!$D$156:$D$517,255),0))),"")</f>
        <v/>
      </c>
      <c r="P709" s="310"/>
      <c r="Q709" s="310">
        <f t="shared" ref="Q709" si="880">Q707+1</f>
        <v>1656</v>
      </c>
      <c r="R709" s="314" t="str" cm="1">
        <f t="array" aca="1" ref="R709" ca="1">IFERROR(IF(INDEX('Disaggregation Records'!$G$156:$G$517,MATCH(RIGHT(L709,255),RIGHT('Disaggregation Records'!$D$156:$D$517,255),0))="","",INDEX('Disaggregation Records'!$G$156:$G$517,MATCH(RIGHT(L709,255),RIGHT('Disaggregation Records'!$D$156:$D$517,255),0))),"")</f>
        <v/>
      </c>
    </row>
    <row r="710" spans="1:18" ht="20.100000000000001" customHeight="1">
      <c r="A710" s="126"/>
      <c r="B710" s="571"/>
      <c r="C710" s="573"/>
      <c r="D710" s="575"/>
      <c r="E710" s="575"/>
      <c r="F710" s="128"/>
      <c r="G710" s="577"/>
      <c r="H710" s="540"/>
      <c r="I710" s="579"/>
      <c r="J710" s="533"/>
      <c r="L710" s="126"/>
      <c r="N710" s="126"/>
      <c r="O710" s="314"/>
      <c r="P710" s="310"/>
      <c r="Q710" s="310"/>
      <c r="R710" s="314" t="str" cm="1">
        <f t="array" ref="R710">IFERROR(IF(INDEX('Disaggregation Records'!$G$156:$G$517,MATCH(RIGHT(L710,255),RIGHT('Disaggregation Records'!$D$156:$D$517,255),0))="","",INDEX('Disaggregation Records'!$G$156:$G$517,MATCH(RIGHT(L710,255),RIGHT('Disaggregation Records'!$D$156:$D$517,255),0))),"")</f>
        <v/>
      </c>
    </row>
    <row r="711" spans="1:18" ht="20.100000000000001" customHeight="1">
      <c r="A711" s="126" t="str">
        <f t="shared" ca="1" si="860"/>
        <v>a16Dm000000M3quIAC</v>
      </c>
      <c r="B711" s="570">
        <v>3</v>
      </c>
      <c r="C711" s="572" t="str">
        <f ca="1">IFERROR(VLOOKUP(B711,'Coverage Indicators - Section D'!$A$9:$AO$94,41,FALSE),"")</f>
        <v>TBDT-4 Percentage of new and relapse TB patients tested using WHO recommended rapid diagnostic tests at the time of diagnosis</v>
      </c>
      <c r="D711" s="574" t="str">
        <f ca="1">M711</f>
        <v/>
      </c>
      <c r="E711" s="574" t="str">
        <f ca="1">N711</f>
        <v/>
      </c>
      <c r="F711" s="127"/>
      <c r="G711" s="576" t="str">
        <f ca="1">IF(OR(INDIRECT("'update Helper'!E"&amp;Q711)="",F711&lt;&gt;0,F712&lt;&gt;0),IF(IFERROR((F711/F712),"")="","",(F711/F712)),INDIRECT("'update Helper'!E"&amp;Q711)/100)</f>
        <v/>
      </c>
      <c r="H711" s="539"/>
      <c r="I711" s="578"/>
      <c r="J711" s="532"/>
      <c r="K711" s="126">
        <f ca="1">IF(AND(EXACT(C711,C709),C709&lt;&gt;0),K709+1,0)</f>
        <v>5</v>
      </c>
      <c r="L711" s="126" t="str">
        <f t="shared" ref="L711" ca="1" si="881">IF(C711&lt;&gt;"",C711&amp;"-"&amp;K711,"")</f>
        <v>TBDT-4 Percentage of new and relapse TB patients tested using WHO recommended rapid diagnostic tests at the time of diagnosis-5</v>
      </c>
      <c r="M711" s="126" t="str">
        <f t="array" aca="1" ref="M711" ca="1">IFERROR(IF(INDEX('Disaggregation Records'!$E$156:$E$517,MATCH(RIGHT(L711,255),RIGHT('Disaggregation Records'!$D$156:$D$517,255),0))="","",INDEX('Disaggregation Records'!$E$156:$E$517,MATCH(RIGHT(L711,255),RIGHT('Disaggregation Records'!$D$156:$D$517,255),0))),"")</f>
        <v/>
      </c>
      <c r="N711" s="126" t="str">
        <f t="array" aca="1" ref="N711" ca="1">IFERROR(IF(INDEX('Disaggregation Records'!$F$156:$F$517,MATCH(RIGHT(L711,255),RIGHT('Disaggregation Records'!$D$156:$D$517,255),0))="","",INDEX('Disaggregation Records'!$F$156:$F$517,MATCH(RIGHT(L711,255),RIGHT('Disaggregation Records'!$D$156:$D$517,255),0))),"")</f>
        <v/>
      </c>
      <c r="O711" s="314" t="str">
        <f t="array" aca="1" ref="O711" ca="1">IFERROR(IF(INDEX('Disaggregation Records'!$H$156:$H$517,MATCH(RIGHT(L711,255),RIGHT('Disaggregation Records'!$D$156:$D$517,255),0))="","",INDEX('Disaggregation Records'!$H$156:$H$517,MATCH(RIGHT(L711,255),RIGHT('Disaggregation Records'!$D$156:$D$517,255),0))),"")</f>
        <v/>
      </c>
      <c r="P711" s="314"/>
      <c r="Q711" s="310">
        <f t="shared" ref="Q711" si="882">Q709+1</f>
        <v>1657</v>
      </c>
      <c r="R711" s="314" t="str" cm="1">
        <f t="array" aca="1" ref="R711" ca="1">IFERROR(IF(INDEX('Disaggregation Records'!$G$156:$G$517,MATCH(RIGHT(L711,255),RIGHT('Disaggregation Records'!$D$156:$D$517,255),0))="","",INDEX('Disaggregation Records'!$G$156:$G$517,MATCH(RIGHT(L711,255),RIGHT('Disaggregation Records'!$D$156:$D$517,255),0))),"")</f>
        <v/>
      </c>
    </row>
    <row r="712" spans="1:18" ht="20.100000000000001" customHeight="1">
      <c r="B712" s="571"/>
      <c r="C712" s="573"/>
      <c r="D712" s="575"/>
      <c r="E712" s="575"/>
      <c r="F712" s="128"/>
      <c r="G712" s="577"/>
      <c r="H712" s="540"/>
      <c r="I712" s="579"/>
      <c r="J712" s="533"/>
      <c r="K712" s="126"/>
      <c r="L712" s="126"/>
      <c r="M712" s="126"/>
      <c r="N712" s="126"/>
      <c r="O712" s="314"/>
      <c r="P712" s="314"/>
      <c r="Q712" s="310"/>
      <c r="R712" s="314" t="str" cm="1">
        <f t="array" ref="R712">IFERROR(IF(INDEX('Disaggregation Records'!$G$156:$G$517,MATCH(RIGHT(L712,255),RIGHT('Disaggregation Records'!$D$156:$D$517,255),0))="","",INDEX('Disaggregation Records'!$G$156:$G$517,MATCH(RIGHT(L712,255),RIGHT('Disaggregation Records'!$D$156:$D$517,255),0))),"")</f>
        <v/>
      </c>
    </row>
    <row r="713" spans="1:18" ht="20.100000000000001" customHeight="1">
      <c r="A713" s="126" t="str">
        <f t="shared" ca="1" si="857"/>
        <v>a16Dm000000M3qvIAC</v>
      </c>
      <c r="B713" s="570">
        <v>3</v>
      </c>
      <c r="C713" s="572" t="str">
        <f ca="1">IFERROR(VLOOKUP(B713,'Coverage Indicators - Section D'!$A$9:$AO$94,41,FALSE),"")</f>
        <v>TBDT-4 Percentage of new and relapse TB patients tested using WHO recommended rapid diagnostic tests at the time of diagnosis</v>
      </c>
      <c r="D713" s="574" t="str">
        <f ca="1">M713</f>
        <v/>
      </c>
      <c r="E713" s="574" t="str">
        <f ca="1">N713</f>
        <v/>
      </c>
      <c r="F713" s="127"/>
      <c r="G713" s="576" t="str">
        <f ca="1">IF(OR(INDIRECT("'update Helper'!E"&amp;Q713)="",F713&lt;&gt;0,F714&lt;&gt;0),IF(IFERROR((F713/F714),"")="","",(F713/F714)),INDIRECT("'update Helper'!E"&amp;Q713)/100)</f>
        <v/>
      </c>
      <c r="H713" s="539"/>
      <c r="I713" s="578"/>
      <c r="J713" s="532"/>
      <c r="K713" s="126">
        <f ca="1">IF(AND(EXACT(C713,C711),C711&lt;&gt;0),K711+1,0)</f>
        <v>6</v>
      </c>
      <c r="L713" s="126" t="str">
        <f t="shared" ref="L713" ca="1" si="883">IF(C713&lt;&gt;"",C713&amp;"-"&amp;K713,"")</f>
        <v>TBDT-4 Percentage of new and relapse TB patients tested using WHO recommended rapid diagnostic tests at the time of diagnosis-6</v>
      </c>
      <c r="M713" s="126" t="str">
        <f t="array" aca="1" ref="M713" ca="1">IFERROR(IF(INDEX('Disaggregation Records'!$E$156:$E$517,MATCH(RIGHT(L713,255),RIGHT('Disaggregation Records'!$D$156:$D$517,255),0))="","",INDEX('Disaggregation Records'!$E$156:$E$517,MATCH(RIGHT(L713,255),RIGHT('Disaggregation Records'!$D$156:$D$517,255),0))),"")</f>
        <v/>
      </c>
      <c r="N713" s="126" t="str">
        <f t="array" aca="1" ref="N713" ca="1">IFERROR(IF(INDEX('Disaggregation Records'!$F$156:$F$517,MATCH(RIGHT(L713,255),RIGHT('Disaggregation Records'!$D$156:$D$517,255),0))="","",INDEX('Disaggregation Records'!$F$156:$F$517,MATCH(RIGHT(L713,255),RIGHT('Disaggregation Records'!$D$156:$D$517,255),0))),"")</f>
        <v/>
      </c>
      <c r="O713" s="314" t="str">
        <f t="array" aca="1" ref="O713" ca="1">IFERROR(IF(INDEX('Disaggregation Records'!$H$156:$H$517,MATCH(RIGHT(L713,255),RIGHT('Disaggregation Records'!$D$156:$D$517,255),0))="","",INDEX('Disaggregation Records'!$H$156:$H$517,MATCH(RIGHT(L713,255),RIGHT('Disaggregation Records'!$D$156:$D$517,255),0))),"")</f>
        <v/>
      </c>
      <c r="P713" s="314"/>
      <c r="Q713" s="310">
        <f t="shared" ref="Q713" si="884">Q711+1</f>
        <v>1658</v>
      </c>
      <c r="R713" s="314" t="str" cm="1">
        <f t="array" aca="1" ref="R713" ca="1">IFERROR(IF(INDEX('Disaggregation Records'!$G$156:$G$517,MATCH(RIGHT(L713,255),RIGHT('Disaggregation Records'!$D$156:$D$517,255),0))="","",INDEX('Disaggregation Records'!$G$156:$G$517,MATCH(RIGHT(L713,255),RIGHT('Disaggregation Records'!$D$156:$D$517,255),0))),"")</f>
        <v/>
      </c>
    </row>
    <row r="714" spans="1:18" ht="20.100000000000001" customHeight="1">
      <c r="A714" s="126"/>
      <c r="B714" s="571"/>
      <c r="C714" s="573"/>
      <c r="D714" s="575"/>
      <c r="E714" s="575"/>
      <c r="F714" s="128"/>
      <c r="G714" s="577"/>
      <c r="H714" s="540"/>
      <c r="I714" s="579"/>
      <c r="J714" s="533"/>
      <c r="K714" s="126"/>
      <c r="L714" s="126"/>
      <c r="M714" s="126"/>
      <c r="N714" s="126"/>
      <c r="O714" s="314"/>
      <c r="P714" s="314"/>
      <c r="Q714" s="310"/>
      <c r="R714" s="314" t="str" cm="1">
        <f t="array" ref="R714">IFERROR(IF(INDEX('Disaggregation Records'!$G$156:$G$517,MATCH(RIGHT(L714,255),RIGHT('Disaggregation Records'!$D$156:$D$517,255),0))="","",INDEX('Disaggregation Records'!$G$156:$G$517,MATCH(RIGHT(L714,255),RIGHT('Disaggregation Records'!$D$156:$D$517,255),0))),"")</f>
        <v/>
      </c>
    </row>
    <row r="715" spans="1:18" ht="20.100000000000001" customHeight="1">
      <c r="A715" s="126" t="str">
        <f t="shared" ca="1" si="860"/>
        <v>a16Dm000000M3qwIAC</v>
      </c>
      <c r="B715" s="570">
        <v>3</v>
      </c>
      <c r="C715" s="572" t="str">
        <f ca="1">IFERROR(VLOOKUP(B715,'Coverage Indicators - Section D'!$A$9:$AO$94,41,FALSE),"")</f>
        <v>TBDT-4 Percentage of new and relapse TB patients tested using WHO recommended rapid diagnostic tests at the time of diagnosis</v>
      </c>
      <c r="D715" s="574" t="str">
        <f ca="1">M715</f>
        <v/>
      </c>
      <c r="E715" s="574" t="str">
        <f ca="1">N715</f>
        <v/>
      </c>
      <c r="F715" s="127"/>
      <c r="G715" s="576" t="str">
        <f ca="1">IF(OR(INDIRECT("'update Helper'!E"&amp;Q715)="",F715&lt;&gt;0,F716&lt;&gt;0),IF(IFERROR((F715/F716),"")="","",(F715/F716)),INDIRECT("'update Helper'!E"&amp;Q715)/100)</f>
        <v/>
      </c>
      <c r="H715" s="539"/>
      <c r="I715" s="578"/>
      <c r="J715" s="532"/>
      <c r="K715" s="126">
        <f ca="1">IF(AND(EXACT(C715,C713),C713&lt;&gt;0),K713+1,0)</f>
        <v>7</v>
      </c>
      <c r="L715" s="126" t="str">
        <f t="shared" ref="L715" ca="1" si="885">IF(C715&lt;&gt;"",C715&amp;"-"&amp;K715,"")</f>
        <v>TBDT-4 Percentage of new and relapse TB patients tested using WHO recommended rapid diagnostic tests at the time of diagnosis-7</v>
      </c>
      <c r="M715" s="126" t="str">
        <f t="array" aca="1" ref="M715" ca="1">IFERROR(IF(INDEX('Disaggregation Records'!$E$156:$E$517,MATCH(RIGHT(L715,255),RIGHT('Disaggregation Records'!$D$156:$D$517,255),0))="","",INDEX('Disaggregation Records'!$E$156:$E$517,MATCH(RIGHT(L715,255),RIGHT('Disaggregation Records'!$D$156:$D$517,255),0))),"")</f>
        <v/>
      </c>
      <c r="N715" s="126" t="str">
        <f t="array" aca="1" ref="N715" ca="1">IFERROR(IF(INDEX('Disaggregation Records'!$F$156:$F$517,MATCH(RIGHT(L715,255),RIGHT('Disaggregation Records'!$D$156:$D$517,255),0))="","",INDEX('Disaggregation Records'!$F$156:$F$517,MATCH(RIGHT(L715,255),RIGHT('Disaggregation Records'!$D$156:$D$517,255),0))),"")</f>
        <v/>
      </c>
      <c r="O715" s="314" t="str">
        <f t="array" aca="1" ref="O715" ca="1">IFERROR(IF(INDEX('Disaggregation Records'!$H$156:$H$517,MATCH(RIGHT(L715,255),RIGHT('Disaggregation Records'!$D$156:$D$517,255),0))="","",INDEX('Disaggregation Records'!$H$156:$H$517,MATCH(RIGHT(L715,255),RIGHT('Disaggregation Records'!$D$156:$D$517,255),0))),"")</f>
        <v/>
      </c>
      <c r="P715" s="310"/>
      <c r="Q715" s="310">
        <f t="shared" ref="Q715" si="886">Q713+1</f>
        <v>1659</v>
      </c>
      <c r="R715" s="314" t="str" cm="1">
        <f t="array" aca="1" ref="R715" ca="1">IFERROR(IF(INDEX('Disaggregation Records'!$G$156:$G$517,MATCH(RIGHT(L715,255),RIGHT('Disaggregation Records'!$D$156:$D$517,255),0))="","",INDEX('Disaggregation Records'!$G$156:$G$517,MATCH(RIGHT(L715,255),RIGHT('Disaggregation Records'!$D$156:$D$517,255),0))),"")</f>
        <v/>
      </c>
    </row>
    <row r="716" spans="1:18" ht="20.100000000000001" customHeight="1">
      <c r="B716" s="571"/>
      <c r="C716" s="573"/>
      <c r="D716" s="575"/>
      <c r="E716" s="575"/>
      <c r="F716" s="128"/>
      <c r="G716" s="577"/>
      <c r="H716" s="540"/>
      <c r="I716" s="579"/>
      <c r="J716" s="533"/>
      <c r="L716" s="126"/>
      <c r="N716" s="126"/>
      <c r="O716" s="314"/>
      <c r="P716" s="310"/>
      <c r="Q716" s="310"/>
      <c r="R716" s="314" t="str" cm="1">
        <f t="array" ref="R716">IFERROR(IF(INDEX('Disaggregation Records'!$G$156:$G$517,MATCH(RIGHT(L716,255),RIGHT('Disaggregation Records'!$D$156:$D$517,255),0))="","",INDEX('Disaggregation Records'!$G$156:$G$517,MATCH(RIGHT(L716,255),RIGHT('Disaggregation Records'!$D$156:$D$517,255),0))),"")</f>
        <v/>
      </c>
    </row>
    <row r="717" spans="1:18" ht="20.100000000000001" customHeight="1">
      <c r="A717" s="126" t="str">
        <f t="shared" ca="1" si="857"/>
        <v>a16Dm000000M3qxIAC</v>
      </c>
      <c r="B717" s="570">
        <v>3</v>
      </c>
      <c r="C717" s="572" t="str">
        <f ca="1">IFERROR(VLOOKUP(B717,'Coverage Indicators - Section D'!$A$9:$AO$94,41,FALSE),"")</f>
        <v>TBDT-4 Percentage of new and relapse TB patients tested using WHO recommended rapid diagnostic tests at the time of diagnosis</v>
      </c>
      <c r="D717" s="574" t="str">
        <f ca="1">M717</f>
        <v/>
      </c>
      <c r="E717" s="574" t="str">
        <f ca="1">N717</f>
        <v/>
      </c>
      <c r="F717" s="127"/>
      <c r="G717" s="576" t="str">
        <f ca="1">IF(OR(INDIRECT("'update Helper'!E"&amp;Q717)="",F717&lt;&gt;0,F718&lt;&gt;0),IF(IFERROR((F717/F718),"")="","",(F717/F718)),INDIRECT("'update Helper'!E"&amp;Q717)/100)</f>
        <v/>
      </c>
      <c r="H717" s="539"/>
      <c r="I717" s="578"/>
      <c r="J717" s="532"/>
      <c r="K717" s="126">
        <f ca="1">IF(AND(EXACT(C717,C715),C715&lt;&gt;0),K715+1,0)</f>
        <v>8</v>
      </c>
      <c r="L717" s="126" t="str">
        <f t="shared" ref="L717" ca="1" si="887">IF(C717&lt;&gt;"",C717&amp;"-"&amp;K717,"")</f>
        <v>TBDT-4 Percentage of new and relapse TB patients tested using WHO recommended rapid diagnostic tests at the time of diagnosis-8</v>
      </c>
      <c r="M717" s="126" t="str">
        <f t="array" aca="1" ref="M717" ca="1">IFERROR(IF(INDEX('Disaggregation Records'!$E$156:$E$517,MATCH(RIGHT(L717,255),RIGHT('Disaggregation Records'!$D$156:$D$517,255),0))="","",INDEX('Disaggregation Records'!$E$156:$E$517,MATCH(RIGHT(L717,255),RIGHT('Disaggregation Records'!$D$156:$D$517,255),0))),"")</f>
        <v/>
      </c>
      <c r="N717" s="126" t="str">
        <f t="array" aca="1" ref="N717" ca="1">IFERROR(IF(INDEX('Disaggregation Records'!$F$156:$F$517,MATCH(RIGHT(L717,255),RIGHT('Disaggregation Records'!$D$156:$D$517,255),0))="","",INDEX('Disaggregation Records'!$F$156:$F$517,MATCH(RIGHT(L717,255),RIGHT('Disaggregation Records'!$D$156:$D$517,255),0))),"")</f>
        <v/>
      </c>
      <c r="O717" s="314" t="str">
        <f t="array" aca="1" ref="O717" ca="1">IFERROR(IF(INDEX('Disaggregation Records'!$H$156:$H$517,MATCH(RIGHT(L717,255),RIGHT('Disaggregation Records'!$D$156:$D$517,255),0))="","",INDEX('Disaggregation Records'!$H$156:$H$517,MATCH(RIGHT(L717,255),RIGHT('Disaggregation Records'!$D$156:$D$517,255),0))),"")</f>
        <v/>
      </c>
      <c r="P717" s="310"/>
      <c r="Q717" s="310">
        <f t="shared" ref="Q717" si="888">Q715+1</f>
        <v>1660</v>
      </c>
      <c r="R717" s="314" t="str" cm="1">
        <f t="array" aca="1" ref="R717" ca="1">IFERROR(IF(INDEX('Disaggregation Records'!$G$156:$G$517,MATCH(RIGHT(L717,255),RIGHT('Disaggregation Records'!$D$156:$D$517,255),0))="","",INDEX('Disaggregation Records'!$G$156:$G$517,MATCH(RIGHT(L717,255),RIGHT('Disaggregation Records'!$D$156:$D$517,255),0))),"")</f>
        <v/>
      </c>
    </row>
    <row r="718" spans="1:18" ht="20.100000000000001" customHeight="1">
      <c r="A718" s="126"/>
      <c r="B718" s="571"/>
      <c r="C718" s="573"/>
      <c r="D718" s="575"/>
      <c r="E718" s="575"/>
      <c r="F718" s="128"/>
      <c r="G718" s="577"/>
      <c r="H718" s="540"/>
      <c r="I718" s="579"/>
      <c r="J718" s="533"/>
      <c r="L718" s="126"/>
      <c r="N718" s="126"/>
      <c r="O718" s="314"/>
      <c r="P718" s="310"/>
      <c r="Q718" s="310"/>
      <c r="R718" s="314" t="str" cm="1">
        <f t="array" ref="R718">IFERROR(IF(INDEX('Disaggregation Records'!$G$156:$G$517,MATCH(RIGHT(L718,255),RIGHT('Disaggregation Records'!$D$156:$D$517,255),0))="","",INDEX('Disaggregation Records'!$G$156:$G$517,MATCH(RIGHT(L718,255),RIGHT('Disaggregation Records'!$D$156:$D$517,255),0))),"")</f>
        <v/>
      </c>
    </row>
    <row r="719" spans="1:18" ht="20.100000000000001" customHeight="1">
      <c r="A719" s="126" t="str">
        <f t="shared" ca="1" si="860"/>
        <v>a16Dm000000M3qyIAC</v>
      </c>
      <c r="B719" s="570">
        <v>3</v>
      </c>
      <c r="C719" s="572" t="str">
        <f ca="1">IFERROR(VLOOKUP(B719,'Coverage Indicators - Section D'!$A$9:$AO$94,41,FALSE),"")</f>
        <v>TBDT-4 Percentage of new and relapse TB patients tested using WHO recommended rapid diagnostic tests at the time of diagnosis</v>
      </c>
      <c r="D719" s="574" t="str">
        <f ca="1">M719</f>
        <v/>
      </c>
      <c r="E719" s="574" t="str">
        <f ca="1">N719</f>
        <v/>
      </c>
      <c r="F719" s="127"/>
      <c r="G719" s="576" t="str">
        <f ca="1">IF(OR(INDIRECT("'update Helper'!E"&amp;Q719)="",F719&lt;&gt;0,F720&lt;&gt;0),IF(IFERROR((F719/F720),"")="","",(F719/F720)),INDIRECT("'update Helper'!E"&amp;Q719)/100)</f>
        <v/>
      </c>
      <c r="H719" s="539"/>
      <c r="I719" s="578"/>
      <c r="J719" s="532"/>
      <c r="K719" s="126">
        <f ca="1">IF(AND(EXACT(C719,C717),C717&lt;&gt;0),K717+1,0)</f>
        <v>9</v>
      </c>
      <c r="L719" s="126" t="str">
        <f t="shared" ref="L719" ca="1" si="889">IF(C719&lt;&gt;"",C719&amp;"-"&amp;K719,"")</f>
        <v>TBDT-4 Percentage of new and relapse TB patients tested using WHO recommended rapid diagnostic tests at the time of diagnosis-9</v>
      </c>
      <c r="M719" s="126" t="str">
        <f t="array" aca="1" ref="M719" ca="1">IFERROR(IF(INDEX('Disaggregation Records'!$E$156:$E$517,MATCH(RIGHT(L719,255),RIGHT('Disaggregation Records'!$D$156:$D$517,255),0))="","",INDEX('Disaggregation Records'!$E$156:$E$517,MATCH(RIGHT(L719,255),RIGHT('Disaggregation Records'!$D$156:$D$517,255),0))),"")</f>
        <v/>
      </c>
      <c r="N719" s="126" t="str">
        <f t="array" aca="1" ref="N719" ca="1">IFERROR(IF(INDEX('Disaggregation Records'!$F$156:$F$517,MATCH(RIGHT(L719,255),RIGHT('Disaggregation Records'!$D$156:$D$517,255),0))="","",INDEX('Disaggregation Records'!$F$156:$F$517,MATCH(RIGHT(L719,255),RIGHT('Disaggregation Records'!$D$156:$D$517,255),0))),"")</f>
        <v/>
      </c>
      <c r="O719" s="314" t="str">
        <f t="array" aca="1" ref="O719" ca="1">IFERROR(IF(INDEX('Disaggregation Records'!$H$156:$H$517,MATCH(RIGHT(L719,255),RIGHT('Disaggregation Records'!$D$156:$D$517,255),0))="","",INDEX('Disaggregation Records'!$H$156:$H$517,MATCH(RIGHT(L719,255),RIGHT('Disaggregation Records'!$D$156:$D$517,255),0))),"")</f>
        <v/>
      </c>
      <c r="P719" s="310"/>
      <c r="Q719" s="310">
        <f t="shared" ref="Q719" si="890">Q717+1</f>
        <v>1661</v>
      </c>
      <c r="R719" s="314" t="str" cm="1">
        <f t="array" aca="1" ref="R719" ca="1">IFERROR(IF(INDEX('Disaggregation Records'!$G$156:$G$517,MATCH(RIGHT(L719,255),RIGHT('Disaggregation Records'!$D$156:$D$517,255),0))="","",INDEX('Disaggregation Records'!$G$156:$G$517,MATCH(RIGHT(L719,255),RIGHT('Disaggregation Records'!$D$156:$D$517,255),0))),"")</f>
        <v/>
      </c>
    </row>
    <row r="720" spans="1:18" ht="20.100000000000001" customHeight="1">
      <c r="B720" s="571"/>
      <c r="C720" s="573"/>
      <c r="D720" s="575"/>
      <c r="E720" s="575"/>
      <c r="F720" s="128"/>
      <c r="G720" s="577"/>
      <c r="H720" s="540"/>
      <c r="I720" s="579"/>
      <c r="J720" s="533"/>
      <c r="L720" s="126"/>
      <c r="N720" s="126"/>
      <c r="O720" s="314"/>
      <c r="P720" s="310"/>
      <c r="Q720" s="310"/>
      <c r="R720" s="314" t="str" cm="1">
        <f t="array" ref="R720">IFERROR(IF(INDEX('Disaggregation Records'!$G$156:$G$517,MATCH(RIGHT(L720,255),RIGHT('Disaggregation Records'!$D$156:$D$517,255),0))="","",INDEX('Disaggregation Records'!$G$156:$G$517,MATCH(RIGHT(L720,255),RIGHT('Disaggregation Records'!$D$156:$D$517,255),0))),"")</f>
        <v/>
      </c>
    </row>
    <row r="721" spans="1:18" ht="20.100000000000001" customHeight="1">
      <c r="A721" s="126" t="str">
        <f t="shared" ca="1" si="857"/>
        <v>a16Dm000000M3qzIAC</v>
      </c>
      <c r="B721" s="570">
        <v>3</v>
      </c>
      <c r="C721" s="572" t="str">
        <f ca="1">IFERROR(VLOOKUP(B721,'Coverage Indicators - Section D'!$A$9:$AO$94,41,FALSE),"")</f>
        <v>TBDT-4 Percentage of new and relapse TB patients tested using WHO recommended rapid diagnostic tests at the time of diagnosis</v>
      </c>
      <c r="D721" s="574" t="str">
        <f ca="1">M721</f>
        <v/>
      </c>
      <c r="E721" s="574" t="str">
        <f ca="1">N721</f>
        <v/>
      </c>
      <c r="F721" s="127"/>
      <c r="G721" s="576" t="str">
        <f ca="1">IF(OR(INDIRECT("'update Helper'!E"&amp;Q721)="",F721&lt;&gt;0,F722&lt;&gt;0),IF(IFERROR((F721/F722),"")="","",(F721/F722)),INDIRECT("'update Helper'!E"&amp;Q721)/100)</f>
        <v/>
      </c>
      <c r="H721" s="539"/>
      <c r="I721" s="578"/>
      <c r="J721" s="532"/>
      <c r="K721" s="126">
        <f ca="1">IF(AND(EXACT(C721,C719),C719&lt;&gt;0),K719+1,0)</f>
        <v>10</v>
      </c>
      <c r="L721" s="126" t="str">
        <f t="shared" ref="L721" ca="1" si="891">IF(C721&lt;&gt;"",C721&amp;"-"&amp;K721,"")</f>
        <v>TBDT-4 Percentage of new and relapse TB patients tested using WHO recommended rapid diagnostic tests at the time of diagnosis-10</v>
      </c>
      <c r="M721" s="126" t="str">
        <f t="array" aca="1" ref="M721" ca="1">IFERROR(IF(INDEX('Disaggregation Records'!$E$156:$E$517,MATCH(RIGHT(L721,255),RIGHT('Disaggregation Records'!$D$156:$D$517,255),0))="","",INDEX('Disaggregation Records'!$E$156:$E$517,MATCH(RIGHT(L721,255),RIGHT('Disaggregation Records'!$D$156:$D$517,255),0))),"")</f>
        <v/>
      </c>
      <c r="N721" s="126" t="str">
        <f t="array" aca="1" ref="N721" ca="1">IFERROR(IF(INDEX('Disaggregation Records'!$F$156:$F$517,MATCH(RIGHT(L721,255),RIGHT('Disaggregation Records'!$D$156:$D$517,255),0))="","",INDEX('Disaggregation Records'!$F$156:$F$517,MATCH(RIGHT(L721,255),RIGHT('Disaggregation Records'!$D$156:$D$517,255),0))),"")</f>
        <v/>
      </c>
      <c r="O721" s="314" t="str">
        <f t="array" aca="1" ref="O721" ca="1">IFERROR(IF(INDEX('Disaggregation Records'!$H$156:$H$517,MATCH(RIGHT(L721,255),RIGHT('Disaggregation Records'!$D$156:$D$517,255),0))="","",INDEX('Disaggregation Records'!$H$156:$H$517,MATCH(RIGHT(L721,255),RIGHT('Disaggregation Records'!$D$156:$D$517,255),0))),"")</f>
        <v/>
      </c>
      <c r="P721" s="314"/>
      <c r="Q721" s="310">
        <f t="shared" ref="Q721" si="892">Q719+1</f>
        <v>1662</v>
      </c>
      <c r="R721" s="314" t="str" cm="1">
        <f t="array" aca="1" ref="R721" ca="1">IFERROR(IF(INDEX('Disaggregation Records'!$G$156:$G$517,MATCH(RIGHT(L721,255),RIGHT('Disaggregation Records'!$D$156:$D$517,255),0))="","",INDEX('Disaggregation Records'!$G$156:$G$517,MATCH(RIGHT(L721,255),RIGHT('Disaggregation Records'!$D$156:$D$517,255),0))),"")</f>
        <v/>
      </c>
    </row>
    <row r="722" spans="1:18" ht="20.100000000000001" customHeight="1">
      <c r="A722" s="126"/>
      <c r="B722" s="571"/>
      <c r="C722" s="573"/>
      <c r="D722" s="575"/>
      <c r="E722" s="575"/>
      <c r="F722" s="128"/>
      <c r="G722" s="577"/>
      <c r="H722" s="540"/>
      <c r="I722" s="579"/>
      <c r="J722" s="533"/>
      <c r="K722" s="126"/>
      <c r="L722" s="126"/>
      <c r="M722" s="126"/>
      <c r="N722" s="126"/>
      <c r="O722" s="314"/>
      <c r="P722" s="314"/>
      <c r="Q722" s="310"/>
      <c r="R722" s="314" t="str" cm="1">
        <f t="array" ref="R722">IFERROR(IF(INDEX('Disaggregation Records'!$G$156:$G$517,MATCH(RIGHT(L722,255),RIGHT('Disaggregation Records'!$D$156:$D$517,255),0))="","",INDEX('Disaggregation Records'!$G$156:$G$517,MATCH(RIGHT(L722,255),RIGHT('Disaggregation Records'!$D$156:$D$517,255),0))),"")</f>
        <v/>
      </c>
    </row>
    <row r="723" spans="1:18" ht="20.100000000000001" customHeight="1">
      <c r="A723" s="126" t="str">
        <f t="shared" ca="1" si="860"/>
        <v>a16Dm000000M3r0IAC</v>
      </c>
      <c r="B723" s="570">
        <v>3</v>
      </c>
      <c r="C723" s="572" t="str">
        <f ca="1">IFERROR(VLOOKUP(B723,'Coverage Indicators - Section D'!$A$9:$AO$94,41,FALSE),"")</f>
        <v>TBDT-4 Percentage of new and relapse TB patients tested using WHO recommended rapid diagnostic tests at the time of diagnosis</v>
      </c>
      <c r="D723" s="574" t="str">
        <f ca="1">M723</f>
        <v/>
      </c>
      <c r="E723" s="574" t="str">
        <f ca="1">N723</f>
        <v/>
      </c>
      <c r="F723" s="127"/>
      <c r="G723" s="576" t="str">
        <f ca="1">IF(OR(INDIRECT("'update Helper'!E"&amp;Q723)="",F723&lt;&gt;0,F724&lt;&gt;0),IF(IFERROR((F723/F724),"")="","",(F723/F724)),INDIRECT("'update Helper'!E"&amp;Q723)/100)</f>
        <v/>
      </c>
      <c r="H723" s="539"/>
      <c r="I723" s="578"/>
      <c r="J723" s="532"/>
      <c r="K723" s="126">
        <f ca="1">IF(AND(EXACT(C723,C721),C721&lt;&gt;0),K721+1,0)</f>
        <v>11</v>
      </c>
      <c r="L723" s="126" t="str">
        <f t="shared" ref="L723" ca="1" si="893">IF(C723&lt;&gt;"",C723&amp;"-"&amp;K723,"")</f>
        <v>TBDT-4 Percentage of new and relapse TB patients tested using WHO recommended rapid diagnostic tests at the time of diagnosis-11</v>
      </c>
      <c r="M723" s="126" t="str">
        <f t="array" aca="1" ref="M723" ca="1">IFERROR(IF(INDEX('Disaggregation Records'!$E$156:$E$517,MATCH(RIGHT(L723,255),RIGHT('Disaggregation Records'!$D$156:$D$517,255),0))="","",INDEX('Disaggregation Records'!$E$156:$E$517,MATCH(RIGHT(L723,255),RIGHT('Disaggregation Records'!$D$156:$D$517,255),0))),"")</f>
        <v/>
      </c>
      <c r="N723" s="126" t="str">
        <f t="array" aca="1" ref="N723" ca="1">IFERROR(IF(INDEX('Disaggregation Records'!$F$156:$F$517,MATCH(RIGHT(L723,255),RIGHT('Disaggregation Records'!$D$156:$D$517,255),0))="","",INDEX('Disaggregation Records'!$F$156:$F$517,MATCH(RIGHT(L723,255),RIGHT('Disaggregation Records'!$D$156:$D$517,255),0))),"")</f>
        <v/>
      </c>
      <c r="O723" s="314" t="str">
        <f t="array" aca="1" ref="O723" ca="1">IFERROR(IF(INDEX('Disaggregation Records'!$H$156:$H$517,MATCH(RIGHT(L723,255),RIGHT('Disaggregation Records'!$D$156:$D$517,255),0))="","",INDEX('Disaggregation Records'!$H$156:$H$517,MATCH(RIGHT(L723,255),RIGHT('Disaggregation Records'!$D$156:$D$517,255),0))),"")</f>
        <v/>
      </c>
      <c r="P723" s="314"/>
      <c r="Q723" s="310">
        <f t="shared" ref="Q723" si="894">Q721+1</f>
        <v>1663</v>
      </c>
      <c r="R723" s="314" t="str" cm="1">
        <f t="array" aca="1" ref="R723" ca="1">IFERROR(IF(INDEX('Disaggregation Records'!$G$156:$G$517,MATCH(RIGHT(L723,255),RIGHT('Disaggregation Records'!$D$156:$D$517,255),0))="","",INDEX('Disaggregation Records'!$G$156:$G$517,MATCH(RIGHT(L723,255),RIGHT('Disaggregation Records'!$D$156:$D$517,255),0))),"")</f>
        <v/>
      </c>
    </row>
    <row r="724" spans="1:18" ht="20.100000000000001" customHeight="1">
      <c r="B724" s="571"/>
      <c r="C724" s="573"/>
      <c r="D724" s="575"/>
      <c r="E724" s="575"/>
      <c r="F724" s="128"/>
      <c r="G724" s="577"/>
      <c r="H724" s="540"/>
      <c r="I724" s="579"/>
      <c r="J724" s="533"/>
      <c r="K724" s="126"/>
      <c r="L724" s="126"/>
      <c r="M724" s="126"/>
      <c r="N724" s="126"/>
      <c r="O724" s="314"/>
      <c r="P724" s="314"/>
      <c r="Q724" s="310"/>
      <c r="R724" s="314" t="str" cm="1">
        <f t="array" ref="R724">IFERROR(IF(INDEX('Disaggregation Records'!$G$156:$G$517,MATCH(RIGHT(L724,255),RIGHT('Disaggregation Records'!$D$156:$D$517,255),0))="","",INDEX('Disaggregation Records'!$G$156:$G$517,MATCH(RIGHT(L724,255),RIGHT('Disaggregation Records'!$D$156:$D$517,255),0))),"")</f>
        <v/>
      </c>
    </row>
    <row r="725" spans="1:18" ht="20.100000000000001" customHeight="1">
      <c r="A725" s="126" t="str">
        <f t="shared" ca="1" si="857"/>
        <v>a16Dm000000M3r1IAC</v>
      </c>
      <c r="B725" s="570">
        <v>3</v>
      </c>
      <c r="C725" s="572" t="str">
        <f ca="1">IFERROR(VLOOKUP(B725,'Coverage Indicators - Section D'!$A$9:$AO$94,41,FALSE),"")</f>
        <v>TBDT-4 Percentage of new and relapse TB patients tested using WHO recommended rapid diagnostic tests at the time of diagnosis</v>
      </c>
      <c r="D725" s="574" t="str">
        <f ca="1">M725</f>
        <v/>
      </c>
      <c r="E725" s="574" t="str">
        <f ca="1">N725</f>
        <v/>
      </c>
      <c r="F725" s="127"/>
      <c r="G725" s="576" t="str">
        <f ca="1">IF(OR(INDIRECT("'update Helper'!E"&amp;Q725)="",F725&lt;&gt;0,F726&lt;&gt;0),IF(IFERROR((F725/F726),"")="","",(F725/F726)),INDIRECT("'update Helper'!E"&amp;Q725)/100)</f>
        <v/>
      </c>
      <c r="H725" s="539"/>
      <c r="I725" s="578"/>
      <c r="J725" s="532"/>
      <c r="K725" s="126">
        <f ca="1">IF(AND(EXACT(C725,C723),C723&lt;&gt;0),K723+1,0)</f>
        <v>12</v>
      </c>
      <c r="L725" s="126" t="str">
        <f t="shared" ref="L725" ca="1" si="895">IF(C725&lt;&gt;"",C725&amp;"-"&amp;K725,"")</f>
        <v>TBDT-4 Percentage of new and relapse TB patients tested using WHO recommended rapid diagnostic tests at the time of diagnosis-12</v>
      </c>
      <c r="M725" s="126" t="str">
        <f t="array" aca="1" ref="M725" ca="1">IFERROR(IF(INDEX('Disaggregation Records'!$E$156:$E$517,MATCH(RIGHT(L725,255),RIGHT('Disaggregation Records'!$D$156:$D$517,255),0))="","",INDEX('Disaggregation Records'!$E$156:$E$517,MATCH(RIGHT(L725,255),RIGHT('Disaggregation Records'!$D$156:$D$517,255),0))),"")</f>
        <v/>
      </c>
      <c r="N725" s="126" t="str">
        <f t="array" aca="1" ref="N725" ca="1">IFERROR(IF(INDEX('Disaggregation Records'!$F$156:$F$517,MATCH(RIGHT(L725,255),RIGHT('Disaggregation Records'!$D$156:$D$517,255),0))="","",INDEX('Disaggregation Records'!$F$156:$F$517,MATCH(RIGHT(L725,255),RIGHT('Disaggregation Records'!$D$156:$D$517,255),0))),"")</f>
        <v/>
      </c>
      <c r="O725" s="314" t="str">
        <f t="array" aca="1" ref="O725" ca="1">IFERROR(IF(INDEX('Disaggregation Records'!$H$156:$H$517,MATCH(RIGHT(L725,255),RIGHT('Disaggregation Records'!$D$156:$D$517,255),0))="","",INDEX('Disaggregation Records'!$H$156:$H$517,MATCH(RIGHT(L725,255),RIGHT('Disaggregation Records'!$D$156:$D$517,255),0))),"")</f>
        <v/>
      </c>
      <c r="P725" s="310"/>
      <c r="Q725" s="310">
        <f t="shared" ref="Q725" si="896">Q723+1</f>
        <v>1664</v>
      </c>
      <c r="R725" s="314" t="str" cm="1">
        <f t="array" aca="1" ref="R725" ca="1">IFERROR(IF(INDEX('Disaggregation Records'!$G$156:$G$517,MATCH(RIGHT(L725,255),RIGHT('Disaggregation Records'!$D$156:$D$517,255),0))="","",INDEX('Disaggregation Records'!$G$156:$G$517,MATCH(RIGHT(L725,255),RIGHT('Disaggregation Records'!$D$156:$D$517,255),0))),"")</f>
        <v/>
      </c>
    </row>
    <row r="726" spans="1:18" ht="20.100000000000001" customHeight="1">
      <c r="A726" s="126"/>
      <c r="B726" s="571"/>
      <c r="C726" s="573"/>
      <c r="D726" s="575"/>
      <c r="E726" s="575"/>
      <c r="F726" s="128"/>
      <c r="G726" s="577"/>
      <c r="H726" s="540"/>
      <c r="I726" s="579"/>
      <c r="J726" s="533"/>
      <c r="L726" s="126"/>
      <c r="N726" s="126"/>
      <c r="O726" s="314"/>
      <c r="P726" s="310"/>
      <c r="Q726" s="310"/>
      <c r="R726" s="314" t="str" cm="1">
        <f t="array" ref="R726">IFERROR(IF(INDEX('Disaggregation Records'!$G$156:$G$517,MATCH(RIGHT(L726,255),RIGHT('Disaggregation Records'!$D$156:$D$517,255),0))="","",INDEX('Disaggregation Records'!$G$156:$G$517,MATCH(RIGHT(L726,255),RIGHT('Disaggregation Records'!$D$156:$D$517,255),0))),"")</f>
        <v/>
      </c>
    </row>
    <row r="727" spans="1:18" ht="20.100000000000001" customHeight="1">
      <c r="A727" s="126" t="str">
        <f t="shared" ca="1" si="860"/>
        <v>a16Dm000000M3r2IAC</v>
      </c>
      <c r="B727" s="570">
        <v>3</v>
      </c>
      <c r="C727" s="572" t="str">
        <f ca="1">IFERROR(VLOOKUP(B727,'Coverage Indicators - Section D'!$A$9:$AO$94,41,FALSE),"")</f>
        <v>TBDT-4 Percentage of new and relapse TB patients tested using WHO recommended rapid diagnostic tests at the time of diagnosis</v>
      </c>
      <c r="D727" s="574" t="str">
        <f ca="1">M727</f>
        <v/>
      </c>
      <c r="E727" s="574" t="str">
        <f ca="1">N727</f>
        <v/>
      </c>
      <c r="F727" s="127"/>
      <c r="G727" s="576" t="str">
        <f ca="1">IF(OR(INDIRECT("'update Helper'!E"&amp;Q727)="",F727&lt;&gt;0,F728&lt;&gt;0),IF(IFERROR((F727/F728),"")="","",(F727/F728)),INDIRECT("'update Helper'!E"&amp;Q727)/100)</f>
        <v/>
      </c>
      <c r="H727" s="539"/>
      <c r="I727" s="578"/>
      <c r="J727" s="532"/>
      <c r="K727" s="126">
        <f ca="1">IF(AND(EXACT(C727,C725),C725&lt;&gt;0),K725+1,0)</f>
        <v>13</v>
      </c>
      <c r="L727" s="126" t="str">
        <f t="shared" ref="L727" ca="1" si="897">IF(C727&lt;&gt;"",C727&amp;"-"&amp;K727,"")</f>
        <v>TBDT-4 Percentage of new and relapse TB patients tested using WHO recommended rapid diagnostic tests at the time of diagnosis-13</v>
      </c>
      <c r="M727" s="126" t="str">
        <f t="array" aca="1" ref="M727" ca="1">IFERROR(IF(INDEX('Disaggregation Records'!$E$156:$E$517,MATCH(RIGHT(L727,255),RIGHT('Disaggregation Records'!$D$156:$D$517,255),0))="","",INDEX('Disaggregation Records'!$E$156:$E$517,MATCH(RIGHT(L727,255),RIGHT('Disaggregation Records'!$D$156:$D$517,255),0))),"")</f>
        <v/>
      </c>
      <c r="N727" s="126" t="str">
        <f t="array" aca="1" ref="N727" ca="1">IFERROR(IF(INDEX('Disaggregation Records'!$F$156:$F$517,MATCH(RIGHT(L727,255),RIGHT('Disaggregation Records'!$D$156:$D$517,255),0))="","",INDEX('Disaggregation Records'!$F$156:$F$517,MATCH(RIGHT(L727,255),RIGHT('Disaggregation Records'!$D$156:$D$517,255),0))),"")</f>
        <v/>
      </c>
      <c r="O727" s="314" t="str">
        <f t="array" aca="1" ref="O727" ca="1">IFERROR(IF(INDEX('Disaggregation Records'!$H$156:$H$517,MATCH(RIGHT(L727,255),RIGHT('Disaggregation Records'!$D$156:$D$517,255),0))="","",INDEX('Disaggregation Records'!$H$156:$H$517,MATCH(RIGHT(L727,255),RIGHT('Disaggregation Records'!$D$156:$D$517,255),0))),"")</f>
        <v/>
      </c>
      <c r="P727" s="310"/>
      <c r="Q727" s="310">
        <f t="shared" ref="Q727" si="898">Q725+1</f>
        <v>1665</v>
      </c>
      <c r="R727" s="314" t="str" cm="1">
        <f t="array" aca="1" ref="R727" ca="1">IFERROR(IF(INDEX('Disaggregation Records'!$G$156:$G$517,MATCH(RIGHT(L727,255),RIGHT('Disaggregation Records'!$D$156:$D$517,255),0))="","",INDEX('Disaggregation Records'!$G$156:$G$517,MATCH(RIGHT(L727,255),RIGHT('Disaggregation Records'!$D$156:$D$517,255),0))),"")</f>
        <v/>
      </c>
    </row>
    <row r="728" spans="1:18" ht="20.100000000000001" customHeight="1">
      <c r="B728" s="571"/>
      <c r="C728" s="573"/>
      <c r="D728" s="575"/>
      <c r="E728" s="575"/>
      <c r="F728" s="128"/>
      <c r="G728" s="577"/>
      <c r="H728" s="540"/>
      <c r="I728" s="579"/>
      <c r="J728" s="533"/>
      <c r="L728" s="126"/>
      <c r="N728" s="126"/>
      <c r="O728" s="314"/>
      <c r="P728" s="310"/>
      <c r="Q728" s="310"/>
      <c r="R728" s="314" t="str" cm="1">
        <f t="array" ref="R728">IFERROR(IF(INDEX('Disaggregation Records'!$G$156:$G$517,MATCH(RIGHT(L728,255),RIGHT('Disaggregation Records'!$D$156:$D$517,255),0))="","",INDEX('Disaggregation Records'!$G$156:$G$517,MATCH(RIGHT(L728,255),RIGHT('Disaggregation Records'!$D$156:$D$517,255),0))),"")</f>
        <v/>
      </c>
    </row>
    <row r="729" spans="1:18" ht="20.100000000000001" customHeight="1">
      <c r="A729" s="126" t="str">
        <f t="shared" ca="1" si="857"/>
        <v>a16Dm000000M3r3IAC</v>
      </c>
      <c r="B729" s="570">
        <v>3</v>
      </c>
      <c r="C729" s="572" t="str">
        <f ca="1">IFERROR(VLOOKUP(B729,'Coverage Indicators - Section D'!$A$9:$AO$94,41,FALSE),"")</f>
        <v>TBDT-4 Percentage of new and relapse TB patients tested using WHO recommended rapid diagnostic tests at the time of diagnosis</v>
      </c>
      <c r="D729" s="574" t="str">
        <f ca="1">M729</f>
        <v/>
      </c>
      <c r="E729" s="574" t="str">
        <f ca="1">N729</f>
        <v/>
      </c>
      <c r="F729" s="127"/>
      <c r="G729" s="576" t="str">
        <f ca="1">IF(OR(INDIRECT("'update Helper'!E"&amp;Q729)="",F729&lt;&gt;0,F730&lt;&gt;0),IF(IFERROR((F729/F730),"")="","",(F729/F730)),INDIRECT("'update Helper'!E"&amp;Q729)/100)</f>
        <v/>
      </c>
      <c r="H729" s="539"/>
      <c r="I729" s="578"/>
      <c r="J729" s="532"/>
      <c r="K729" s="126">
        <f ca="1">IF(AND(EXACT(C729,C727),C727&lt;&gt;0),K727+1,0)</f>
        <v>14</v>
      </c>
      <c r="L729" s="126" t="str">
        <f t="shared" ref="L729" ca="1" si="899">IF(C729&lt;&gt;"",C729&amp;"-"&amp;K729,"")</f>
        <v>TBDT-4 Percentage of new and relapse TB patients tested using WHO recommended rapid diagnostic tests at the time of diagnosis-14</v>
      </c>
      <c r="M729" s="126" t="str">
        <f t="array" aca="1" ref="M729" ca="1">IFERROR(IF(INDEX('Disaggregation Records'!$E$156:$E$517,MATCH(RIGHT(L729,255),RIGHT('Disaggregation Records'!$D$156:$D$517,255),0))="","",INDEX('Disaggregation Records'!$E$156:$E$517,MATCH(RIGHT(L729,255),RIGHT('Disaggregation Records'!$D$156:$D$517,255),0))),"")</f>
        <v/>
      </c>
      <c r="N729" s="126" t="str">
        <f t="array" aca="1" ref="N729" ca="1">IFERROR(IF(INDEX('Disaggregation Records'!$F$156:$F$517,MATCH(RIGHT(L729,255),RIGHT('Disaggregation Records'!$D$156:$D$517,255),0))="","",INDEX('Disaggregation Records'!$F$156:$F$517,MATCH(RIGHT(L729,255),RIGHT('Disaggregation Records'!$D$156:$D$517,255),0))),"")</f>
        <v/>
      </c>
      <c r="O729" s="314" t="str">
        <f t="array" aca="1" ref="O729" ca="1">IFERROR(IF(INDEX('Disaggregation Records'!$H$156:$H$517,MATCH(RIGHT(L729,255),RIGHT('Disaggregation Records'!$D$156:$D$517,255),0))="","",INDEX('Disaggregation Records'!$H$156:$H$517,MATCH(RIGHT(L729,255),RIGHT('Disaggregation Records'!$D$156:$D$517,255),0))),"")</f>
        <v/>
      </c>
      <c r="P729" s="310"/>
      <c r="Q729" s="310">
        <f t="shared" ref="Q729" si="900">Q727+1</f>
        <v>1666</v>
      </c>
      <c r="R729" s="314" t="str" cm="1">
        <f t="array" aca="1" ref="R729" ca="1">IFERROR(IF(INDEX('Disaggregation Records'!$G$156:$G$517,MATCH(RIGHT(L729,255),RIGHT('Disaggregation Records'!$D$156:$D$517,255),0))="","",INDEX('Disaggregation Records'!$G$156:$G$517,MATCH(RIGHT(L729,255),RIGHT('Disaggregation Records'!$D$156:$D$517,255),0))),"")</f>
        <v/>
      </c>
    </row>
    <row r="730" spans="1:18" ht="20.100000000000001" customHeight="1">
      <c r="A730" s="126"/>
      <c r="B730" s="571"/>
      <c r="C730" s="573"/>
      <c r="D730" s="575"/>
      <c r="E730" s="575"/>
      <c r="F730" s="128"/>
      <c r="G730" s="577"/>
      <c r="H730" s="540"/>
      <c r="I730" s="579"/>
      <c r="J730" s="533"/>
      <c r="L730" s="126"/>
      <c r="N730" s="126"/>
      <c r="O730" s="314"/>
      <c r="P730" s="310"/>
      <c r="Q730" s="310"/>
      <c r="R730" s="314" t="str" cm="1">
        <f t="array" ref="R730">IFERROR(IF(INDEX('Disaggregation Records'!$G$156:$G$517,MATCH(RIGHT(L730,255),RIGHT('Disaggregation Records'!$D$156:$D$517,255),0))="","",INDEX('Disaggregation Records'!$G$156:$G$517,MATCH(RIGHT(L730,255),RIGHT('Disaggregation Records'!$D$156:$D$517,255),0))),"")</f>
        <v/>
      </c>
    </row>
    <row r="731" spans="1:18" ht="20.100000000000001" customHeight="1">
      <c r="A731" s="126" t="str">
        <f t="shared" ca="1" si="860"/>
        <v>a16Dm000000M3r4IAC</v>
      </c>
      <c r="B731" s="570">
        <v>3</v>
      </c>
      <c r="C731" s="572" t="str">
        <f ca="1">IFERROR(VLOOKUP(B731,'Coverage Indicators - Section D'!$A$9:$AO$94,41,FALSE),"")</f>
        <v>TBDT-4 Percentage of new and relapse TB patients tested using WHO recommended rapid diagnostic tests at the time of diagnosis</v>
      </c>
      <c r="D731" s="574" t="str">
        <f ca="1">M731</f>
        <v/>
      </c>
      <c r="E731" s="574" t="str">
        <f ca="1">N731</f>
        <v/>
      </c>
      <c r="F731" s="127"/>
      <c r="G731" s="576" t="str">
        <f ca="1">IF(OR(INDIRECT("'update Helper'!E"&amp;Q731)="",F731&lt;&gt;0,F732&lt;&gt;0),IF(IFERROR((F731/F732),"")="","",(F731/F732)),INDIRECT("'update Helper'!E"&amp;Q731)/100)</f>
        <v/>
      </c>
      <c r="H731" s="539"/>
      <c r="I731" s="578"/>
      <c r="J731" s="532"/>
      <c r="K731" s="126">
        <f ca="1">IF(AND(EXACT(C731,C729),C729&lt;&gt;0),K729+1,0)</f>
        <v>15</v>
      </c>
      <c r="L731" s="126" t="str">
        <f t="shared" ref="L731" ca="1" si="901">IF(C731&lt;&gt;"",C731&amp;"-"&amp;K731,"")</f>
        <v>TBDT-4 Percentage of new and relapse TB patients tested using WHO recommended rapid diagnostic tests at the time of diagnosis-15</v>
      </c>
      <c r="M731" s="126" t="str">
        <f t="array" aca="1" ref="M731" ca="1">IFERROR(IF(INDEX('Disaggregation Records'!$E$156:$E$517,MATCH(RIGHT(L731,255),RIGHT('Disaggregation Records'!$D$156:$D$517,255),0))="","",INDEX('Disaggregation Records'!$E$156:$E$517,MATCH(RIGHT(L731,255),RIGHT('Disaggregation Records'!$D$156:$D$517,255),0))),"")</f>
        <v/>
      </c>
      <c r="N731" s="126" t="str">
        <f t="array" aca="1" ref="N731" ca="1">IFERROR(IF(INDEX('Disaggregation Records'!$F$156:$F$517,MATCH(RIGHT(L731,255),RIGHT('Disaggregation Records'!$D$156:$D$517,255),0))="","",INDEX('Disaggregation Records'!$F$156:$F$517,MATCH(RIGHT(L731,255),RIGHT('Disaggregation Records'!$D$156:$D$517,255),0))),"")</f>
        <v/>
      </c>
      <c r="O731" s="314" t="str">
        <f t="array" aca="1" ref="O731" ca="1">IFERROR(IF(INDEX('Disaggregation Records'!$H$156:$H$517,MATCH(RIGHT(L731,255),RIGHT('Disaggregation Records'!$D$156:$D$517,255),0))="","",INDEX('Disaggregation Records'!$H$156:$H$517,MATCH(RIGHT(L731,255),RIGHT('Disaggregation Records'!$D$156:$D$517,255),0))),"")</f>
        <v/>
      </c>
      <c r="P731" s="314"/>
      <c r="Q731" s="310">
        <f t="shared" ref="Q731" si="902">Q729+1</f>
        <v>1667</v>
      </c>
      <c r="R731" s="314" t="str" cm="1">
        <f t="array" aca="1" ref="R731" ca="1">IFERROR(IF(INDEX('Disaggregation Records'!$G$156:$G$517,MATCH(RIGHT(L731,255),RIGHT('Disaggregation Records'!$D$156:$D$517,255),0))="","",INDEX('Disaggregation Records'!$G$156:$G$517,MATCH(RIGHT(L731,255),RIGHT('Disaggregation Records'!$D$156:$D$517,255),0))),"")</f>
        <v/>
      </c>
    </row>
    <row r="732" spans="1:18" ht="20.100000000000001" customHeight="1">
      <c r="B732" s="571"/>
      <c r="C732" s="573"/>
      <c r="D732" s="575"/>
      <c r="E732" s="575"/>
      <c r="F732" s="128"/>
      <c r="G732" s="577"/>
      <c r="H732" s="540"/>
      <c r="I732" s="579"/>
      <c r="J732" s="533"/>
      <c r="K732" s="126"/>
      <c r="L732" s="126"/>
      <c r="M732" s="126"/>
      <c r="N732" s="126"/>
      <c r="O732" s="314"/>
      <c r="P732" s="314"/>
      <c r="Q732" s="310"/>
      <c r="R732" s="314" t="str" cm="1">
        <f t="array" ref="R732">IFERROR(IF(INDEX('Disaggregation Records'!$G$156:$G$517,MATCH(RIGHT(L732,255),RIGHT('Disaggregation Records'!$D$156:$D$517,255),0))="","",INDEX('Disaggregation Records'!$G$156:$G$517,MATCH(RIGHT(L732,255),RIGHT('Disaggregation Records'!$D$156:$D$517,255),0))),"")</f>
        <v/>
      </c>
    </row>
    <row r="733" spans="1:18" ht="20.100000000000001" customHeight="1">
      <c r="A733" s="126" t="str">
        <f t="shared" ca="1" si="857"/>
        <v>a16Dm000000M3r5IAC</v>
      </c>
      <c r="B733" s="570">
        <v>3</v>
      </c>
      <c r="C733" s="572" t="str">
        <f ca="1">IFERROR(VLOOKUP(B733,'Coverage Indicators - Section D'!$A$9:$AO$94,41,FALSE),"")</f>
        <v>TBDT-4 Percentage of new and relapse TB patients tested using WHO recommended rapid diagnostic tests at the time of diagnosis</v>
      </c>
      <c r="D733" s="574" t="str">
        <f ca="1">M733</f>
        <v/>
      </c>
      <c r="E733" s="574" t="str">
        <f ca="1">N733</f>
        <v/>
      </c>
      <c r="F733" s="127"/>
      <c r="G733" s="576" t="str">
        <f ca="1">IF(OR(INDIRECT("'update Helper'!E"&amp;Q733)="",F733&lt;&gt;0,F734&lt;&gt;0),IF(IFERROR((F733/F734),"")="","",(F733/F734)),INDIRECT("'update Helper'!E"&amp;Q733)/100)</f>
        <v/>
      </c>
      <c r="H733" s="539"/>
      <c r="I733" s="578"/>
      <c r="J733" s="532"/>
      <c r="K733" s="126">
        <f ca="1">IF(AND(EXACT(C733,C731),C731&lt;&gt;0),K731+1,0)</f>
        <v>16</v>
      </c>
      <c r="L733" s="126" t="str">
        <f t="shared" ref="L733" ca="1" si="903">IF(C733&lt;&gt;"",C733&amp;"-"&amp;K733,"")</f>
        <v>TBDT-4 Percentage of new and relapse TB patients tested using WHO recommended rapid diagnostic tests at the time of diagnosis-16</v>
      </c>
      <c r="M733" s="126" t="str">
        <f t="array" aca="1" ref="M733" ca="1">IFERROR(IF(INDEX('Disaggregation Records'!$E$156:$E$517,MATCH(RIGHT(L733,255),RIGHT('Disaggregation Records'!$D$156:$D$517,255),0))="","",INDEX('Disaggregation Records'!$E$156:$E$517,MATCH(RIGHT(L733,255),RIGHT('Disaggregation Records'!$D$156:$D$517,255),0))),"")</f>
        <v/>
      </c>
      <c r="N733" s="126" t="str">
        <f t="array" aca="1" ref="N733" ca="1">IFERROR(IF(INDEX('Disaggregation Records'!$F$156:$F$517,MATCH(RIGHT(L733,255),RIGHT('Disaggregation Records'!$D$156:$D$517,255),0))="","",INDEX('Disaggregation Records'!$F$156:$F$517,MATCH(RIGHT(L733,255),RIGHT('Disaggregation Records'!$D$156:$D$517,255),0))),"")</f>
        <v/>
      </c>
      <c r="O733" s="314" t="str">
        <f t="array" aca="1" ref="O733" ca="1">IFERROR(IF(INDEX('Disaggregation Records'!$H$156:$H$517,MATCH(RIGHT(L733,255),RIGHT('Disaggregation Records'!$D$156:$D$517,255),0))="","",INDEX('Disaggregation Records'!$H$156:$H$517,MATCH(RIGHT(L733,255),RIGHT('Disaggregation Records'!$D$156:$D$517,255),0))),"")</f>
        <v/>
      </c>
      <c r="P733" s="314"/>
      <c r="Q733" s="310">
        <f t="shared" ref="Q733" si="904">Q731+1</f>
        <v>1668</v>
      </c>
      <c r="R733" s="314" t="str" cm="1">
        <f t="array" aca="1" ref="R733" ca="1">IFERROR(IF(INDEX('Disaggregation Records'!$G$156:$G$517,MATCH(RIGHT(L733,255),RIGHT('Disaggregation Records'!$D$156:$D$517,255),0))="","",INDEX('Disaggregation Records'!$G$156:$G$517,MATCH(RIGHT(L733,255),RIGHT('Disaggregation Records'!$D$156:$D$517,255),0))),"")</f>
        <v/>
      </c>
    </row>
    <row r="734" spans="1:18" ht="20.100000000000001" customHeight="1">
      <c r="A734" s="126"/>
      <c r="B734" s="571"/>
      <c r="C734" s="573"/>
      <c r="D734" s="575"/>
      <c r="E734" s="575"/>
      <c r="F734" s="128"/>
      <c r="G734" s="577"/>
      <c r="H734" s="540"/>
      <c r="I734" s="579"/>
      <c r="J734" s="533"/>
      <c r="K734" s="126"/>
      <c r="L734" s="126"/>
      <c r="M734" s="126"/>
      <c r="N734" s="126"/>
      <c r="O734" s="314"/>
      <c r="P734" s="314"/>
      <c r="Q734" s="310"/>
      <c r="R734" s="314" t="str" cm="1">
        <f t="array" ref="R734">IFERROR(IF(INDEX('Disaggregation Records'!$G$156:$G$517,MATCH(RIGHT(L734,255),RIGHT('Disaggregation Records'!$D$156:$D$517,255),0))="","",INDEX('Disaggregation Records'!$G$156:$G$517,MATCH(RIGHT(L734,255),RIGHT('Disaggregation Records'!$D$156:$D$517,255),0))),"")</f>
        <v/>
      </c>
    </row>
    <row r="735" spans="1:18" ht="20.100000000000001" customHeight="1">
      <c r="A735" s="126" t="str">
        <f t="shared" ca="1" si="860"/>
        <v>a16Dm000000M3r6IAC</v>
      </c>
      <c r="B735" s="570">
        <v>3</v>
      </c>
      <c r="C735" s="572" t="str">
        <f ca="1">IFERROR(VLOOKUP(B735,'Coverage Indicators - Section D'!$A$9:$AO$94,41,FALSE),"")</f>
        <v>TBDT-4 Percentage of new and relapse TB patients tested using WHO recommended rapid diagnostic tests at the time of diagnosis</v>
      </c>
      <c r="D735" s="574" t="str">
        <f ca="1">M735</f>
        <v/>
      </c>
      <c r="E735" s="574" t="str">
        <f ca="1">N735</f>
        <v/>
      </c>
      <c r="F735" s="127"/>
      <c r="G735" s="576" t="str">
        <f ca="1">IF(OR(INDIRECT("'update Helper'!E"&amp;Q735)="",F735&lt;&gt;0,F736&lt;&gt;0),IF(IFERROR((F735/F736),"")="","",(F735/F736)),INDIRECT("'update Helper'!E"&amp;Q735)/100)</f>
        <v/>
      </c>
      <c r="H735" s="539"/>
      <c r="I735" s="578"/>
      <c r="J735" s="532"/>
      <c r="K735" s="126">
        <f ca="1">IF(AND(EXACT(C735,C733),C733&lt;&gt;0),K733+1,0)</f>
        <v>17</v>
      </c>
      <c r="L735" s="126" t="str">
        <f t="shared" ref="L735" ca="1" si="905">IF(C735&lt;&gt;"",C735&amp;"-"&amp;K735,"")</f>
        <v>TBDT-4 Percentage of new and relapse TB patients tested using WHO recommended rapid diagnostic tests at the time of diagnosis-17</v>
      </c>
      <c r="M735" s="126" t="str">
        <f t="array" aca="1" ref="M735" ca="1">IFERROR(IF(INDEX('Disaggregation Records'!$E$156:$E$517,MATCH(RIGHT(L735,255),RIGHT('Disaggregation Records'!$D$156:$D$517,255),0))="","",INDEX('Disaggregation Records'!$E$156:$E$517,MATCH(RIGHT(L735,255),RIGHT('Disaggregation Records'!$D$156:$D$517,255),0))),"")</f>
        <v/>
      </c>
      <c r="N735" s="126" t="str">
        <f t="array" aca="1" ref="N735" ca="1">IFERROR(IF(INDEX('Disaggregation Records'!$F$156:$F$517,MATCH(RIGHT(L735,255),RIGHT('Disaggregation Records'!$D$156:$D$517,255),0))="","",INDEX('Disaggregation Records'!$F$156:$F$517,MATCH(RIGHT(L735,255),RIGHT('Disaggregation Records'!$D$156:$D$517,255),0))),"")</f>
        <v/>
      </c>
      <c r="O735" s="314" t="str">
        <f t="array" aca="1" ref="O735" ca="1">IFERROR(IF(INDEX('Disaggregation Records'!$H$156:$H$517,MATCH(RIGHT(L735,255),RIGHT('Disaggregation Records'!$D$156:$D$517,255),0))="","",INDEX('Disaggregation Records'!$H$156:$H$517,MATCH(RIGHT(L735,255),RIGHT('Disaggregation Records'!$D$156:$D$517,255),0))),"")</f>
        <v/>
      </c>
      <c r="P735" s="310"/>
      <c r="Q735" s="310">
        <f t="shared" ref="Q735" si="906">Q733+1</f>
        <v>1669</v>
      </c>
      <c r="R735" s="314" t="str" cm="1">
        <f t="array" aca="1" ref="R735" ca="1">IFERROR(IF(INDEX('Disaggregation Records'!$G$156:$G$517,MATCH(RIGHT(L735,255),RIGHT('Disaggregation Records'!$D$156:$D$517,255),0))="","",INDEX('Disaggregation Records'!$G$156:$G$517,MATCH(RIGHT(L735,255),RIGHT('Disaggregation Records'!$D$156:$D$517,255),0))),"")</f>
        <v/>
      </c>
    </row>
    <row r="736" spans="1:18" ht="20.100000000000001" customHeight="1">
      <c r="B736" s="571"/>
      <c r="C736" s="573"/>
      <c r="D736" s="575"/>
      <c r="E736" s="575"/>
      <c r="F736" s="128"/>
      <c r="G736" s="577"/>
      <c r="H736" s="540"/>
      <c r="I736" s="579"/>
      <c r="J736" s="533"/>
      <c r="L736" s="126"/>
      <c r="N736" s="126"/>
      <c r="O736" s="314"/>
      <c r="P736" s="310"/>
      <c r="Q736" s="310"/>
      <c r="R736" s="314" t="str" cm="1">
        <f t="array" ref="R736">IFERROR(IF(INDEX('Disaggregation Records'!$G$156:$G$517,MATCH(RIGHT(L736,255),RIGHT('Disaggregation Records'!$D$156:$D$517,255),0))="","",INDEX('Disaggregation Records'!$G$156:$G$517,MATCH(RIGHT(L736,255),RIGHT('Disaggregation Records'!$D$156:$D$517,255),0))),"")</f>
        <v/>
      </c>
    </row>
    <row r="737" spans="1:18" ht="20.100000000000001" customHeight="1">
      <c r="A737" s="126" t="str">
        <f t="shared" ca="1" si="857"/>
        <v>a16Dm000000M3r7IAC</v>
      </c>
      <c r="B737" s="570">
        <v>3</v>
      </c>
      <c r="C737" s="572" t="str">
        <f ca="1">IFERROR(VLOOKUP(B737,'Coverage Indicators - Section D'!$A$9:$AO$94,41,FALSE),"")</f>
        <v>TBDT-4 Percentage of new and relapse TB patients tested using WHO recommended rapid diagnostic tests at the time of diagnosis</v>
      </c>
      <c r="D737" s="574" t="str">
        <f ca="1">M737</f>
        <v/>
      </c>
      <c r="E737" s="574" t="str">
        <f ca="1">N737</f>
        <v/>
      </c>
      <c r="F737" s="127"/>
      <c r="G737" s="576" t="str">
        <f ca="1">IF(OR(INDIRECT("'update Helper'!E"&amp;Q737)="",F737&lt;&gt;0,F738&lt;&gt;0),IF(IFERROR((F737/F738),"")="","",(F737/F738)),INDIRECT("'update Helper'!E"&amp;Q737)/100)</f>
        <v/>
      </c>
      <c r="H737" s="539"/>
      <c r="I737" s="578"/>
      <c r="J737" s="532"/>
      <c r="K737" s="126">
        <f ca="1">IF(AND(EXACT(C737,C735),C735&lt;&gt;0),K735+1,0)</f>
        <v>18</v>
      </c>
      <c r="L737" s="126" t="str">
        <f t="shared" ref="L737" ca="1" si="907">IF(C737&lt;&gt;"",C737&amp;"-"&amp;K737,"")</f>
        <v>TBDT-4 Percentage of new and relapse TB patients tested using WHO recommended rapid diagnostic tests at the time of diagnosis-18</v>
      </c>
      <c r="M737" s="126" t="str">
        <f t="array" aca="1" ref="M737" ca="1">IFERROR(IF(INDEX('Disaggregation Records'!$E$156:$E$517,MATCH(RIGHT(L737,255),RIGHT('Disaggregation Records'!$D$156:$D$517,255),0))="","",INDEX('Disaggregation Records'!$E$156:$E$517,MATCH(RIGHT(L737,255),RIGHT('Disaggregation Records'!$D$156:$D$517,255),0))),"")</f>
        <v/>
      </c>
      <c r="N737" s="126" t="str">
        <f t="array" aca="1" ref="N737" ca="1">IFERROR(IF(INDEX('Disaggregation Records'!$F$156:$F$517,MATCH(RIGHT(L737,255),RIGHT('Disaggregation Records'!$D$156:$D$517,255),0))="","",INDEX('Disaggregation Records'!$F$156:$F$517,MATCH(RIGHT(L737,255),RIGHT('Disaggregation Records'!$D$156:$D$517,255),0))),"")</f>
        <v/>
      </c>
      <c r="O737" s="314" t="str">
        <f t="array" aca="1" ref="O737" ca="1">IFERROR(IF(INDEX('Disaggregation Records'!$H$156:$H$517,MATCH(RIGHT(L737,255),RIGHT('Disaggregation Records'!$D$156:$D$517,255),0))="","",INDEX('Disaggregation Records'!$H$156:$H$517,MATCH(RIGHT(L737,255),RIGHT('Disaggregation Records'!$D$156:$D$517,255),0))),"")</f>
        <v/>
      </c>
      <c r="P737" s="310"/>
      <c r="Q737" s="310">
        <f t="shared" ref="Q737" si="908">Q735+1</f>
        <v>1670</v>
      </c>
      <c r="R737" s="314" t="str" cm="1">
        <f t="array" aca="1" ref="R737" ca="1">IFERROR(IF(INDEX('Disaggregation Records'!$G$156:$G$517,MATCH(RIGHT(L737,255),RIGHT('Disaggregation Records'!$D$156:$D$517,255),0))="","",INDEX('Disaggregation Records'!$G$156:$G$517,MATCH(RIGHT(L737,255),RIGHT('Disaggregation Records'!$D$156:$D$517,255),0))),"")</f>
        <v/>
      </c>
    </row>
    <row r="738" spans="1:18" ht="20.100000000000001" customHeight="1">
      <c r="A738" s="126"/>
      <c r="B738" s="571"/>
      <c r="C738" s="573"/>
      <c r="D738" s="575"/>
      <c r="E738" s="575"/>
      <c r="F738" s="128"/>
      <c r="G738" s="577"/>
      <c r="H738" s="540"/>
      <c r="I738" s="579"/>
      <c r="J738" s="533"/>
      <c r="L738" s="126"/>
      <c r="N738" s="126"/>
      <c r="O738" s="314"/>
      <c r="P738" s="310"/>
      <c r="Q738" s="310"/>
      <c r="R738" s="314" t="str" cm="1">
        <f t="array" ref="R738">IFERROR(IF(INDEX('Disaggregation Records'!$G$156:$G$517,MATCH(RIGHT(L738,255),RIGHT('Disaggregation Records'!$D$156:$D$517,255),0))="","",INDEX('Disaggregation Records'!$G$156:$G$517,MATCH(RIGHT(L738,255),RIGHT('Disaggregation Records'!$D$156:$D$517,255),0))),"")</f>
        <v/>
      </c>
    </row>
    <row r="739" spans="1:18" ht="20.100000000000001" customHeight="1">
      <c r="A739" s="126" t="str">
        <f t="shared" ca="1" si="860"/>
        <v>a16Dm000000M3r8IAC</v>
      </c>
      <c r="B739" s="570">
        <v>3</v>
      </c>
      <c r="C739" s="572" t="str">
        <f ca="1">IFERROR(VLOOKUP(B739,'Coverage Indicators - Section D'!$A$9:$AO$94,41,FALSE),"")</f>
        <v>TBDT-4 Percentage of new and relapse TB patients tested using WHO recommended rapid diagnostic tests at the time of diagnosis</v>
      </c>
      <c r="D739" s="574" t="str">
        <f ca="1">M739</f>
        <v/>
      </c>
      <c r="E739" s="574" t="str">
        <f ca="1">N739</f>
        <v/>
      </c>
      <c r="F739" s="127"/>
      <c r="G739" s="576" t="str">
        <f ca="1">IF(OR(INDIRECT("'update Helper'!E"&amp;Q739)="",F739&lt;&gt;0,F740&lt;&gt;0),IF(IFERROR((F739/F740),"")="","",(F739/F740)),INDIRECT("'update Helper'!E"&amp;Q739)/100)</f>
        <v/>
      </c>
      <c r="H739" s="539"/>
      <c r="I739" s="578"/>
      <c r="J739" s="532"/>
      <c r="K739" s="126">
        <f ca="1">IF(AND(EXACT(C739,C737),C737&lt;&gt;0),K737+1,0)</f>
        <v>19</v>
      </c>
      <c r="L739" s="126" t="str">
        <f t="shared" ref="L739" ca="1" si="909">IF(C739&lt;&gt;"",C739&amp;"-"&amp;K739,"")</f>
        <v>TBDT-4 Percentage of new and relapse TB patients tested using WHO recommended rapid diagnostic tests at the time of diagnosis-19</v>
      </c>
      <c r="M739" s="126" t="str">
        <f t="array" aca="1" ref="M739" ca="1">IFERROR(IF(INDEX('Disaggregation Records'!$E$156:$E$517,MATCH(RIGHT(L739,255),RIGHT('Disaggregation Records'!$D$156:$D$517,255),0))="","",INDEX('Disaggregation Records'!$E$156:$E$517,MATCH(RIGHT(L739,255),RIGHT('Disaggregation Records'!$D$156:$D$517,255),0))),"")</f>
        <v/>
      </c>
      <c r="N739" s="126" t="str">
        <f t="array" aca="1" ref="N739" ca="1">IFERROR(IF(INDEX('Disaggregation Records'!$F$156:$F$517,MATCH(RIGHT(L739,255),RIGHT('Disaggregation Records'!$D$156:$D$517,255),0))="","",INDEX('Disaggregation Records'!$F$156:$F$517,MATCH(RIGHT(L739,255),RIGHT('Disaggregation Records'!$D$156:$D$517,255),0))),"")</f>
        <v/>
      </c>
      <c r="O739" s="314" t="str">
        <f t="array" aca="1" ref="O739" ca="1">IFERROR(IF(INDEX('Disaggregation Records'!$H$156:$H$517,MATCH(RIGHT(L739,255),RIGHT('Disaggregation Records'!$D$156:$D$517,255),0))="","",INDEX('Disaggregation Records'!$H$156:$H$517,MATCH(RIGHT(L739,255),RIGHT('Disaggregation Records'!$D$156:$D$517,255),0))),"")</f>
        <v/>
      </c>
      <c r="P739" s="310"/>
      <c r="Q739" s="310">
        <f t="shared" ref="Q739" si="910">Q737+1</f>
        <v>1671</v>
      </c>
      <c r="R739" s="314" t="str" cm="1">
        <f t="array" aca="1" ref="R739" ca="1">IFERROR(IF(INDEX('Disaggregation Records'!$G$156:$G$517,MATCH(RIGHT(L739,255),RIGHT('Disaggregation Records'!$D$156:$D$517,255),0))="","",INDEX('Disaggregation Records'!$G$156:$G$517,MATCH(RIGHT(L739,255),RIGHT('Disaggregation Records'!$D$156:$D$517,255),0))),"")</f>
        <v/>
      </c>
    </row>
    <row r="740" spans="1:18" ht="20.100000000000001" customHeight="1">
      <c r="B740" s="571"/>
      <c r="C740" s="573"/>
      <c r="D740" s="575"/>
      <c r="E740" s="575"/>
      <c r="F740" s="128"/>
      <c r="G740" s="577"/>
      <c r="H740" s="540"/>
      <c r="I740" s="579"/>
      <c r="J740" s="533"/>
      <c r="L740" s="126"/>
      <c r="N740" s="126"/>
      <c r="O740" s="314"/>
      <c r="P740" s="310"/>
      <c r="Q740" s="310"/>
      <c r="R740" s="314" t="str" cm="1">
        <f t="array" ref="R740">IFERROR(IF(INDEX('Disaggregation Records'!$G$156:$G$517,MATCH(RIGHT(L740,255),RIGHT('Disaggregation Records'!$D$156:$D$517,255),0))="","",INDEX('Disaggregation Records'!$G$156:$G$517,MATCH(RIGHT(L740,255),RIGHT('Disaggregation Records'!$D$156:$D$517,255),0))),"")</f>
        <v/>
      </c>
    </row>
    <row r="741" spans="1:18" ht="20.100000000000001" customHeight="1">
      <c r="A741" s="126" t="str">
        <f t="shared" ca="1" si="857"/>
        <v>a16Dm000000M3r9IAC</v>
      </c>
      <c r="B741" s="570">
        <v>4</v>
      </c>
      <c r="C741" s="572" t="str">
        <f ca="1">IFERROR(VLOOKUP(B741,'Coverage Indicators - Section D'!$A$9:$AO$94,41,FALSE),"")</f>
        <v>DRTB-2 Number of people with confirmed RR-TB and/or MDR-TB notified</v>
      </c>
      <c r="D741" s="574" t="str">
        <f ca="1">M741</f>
        <v>Age</v>
      </c>
      <c r="E741" s="574" t="str">
        <f ca="1">N741</f>
        <v>15+</v>
      </c>
      <c r="F741" s="127">
        <v>984</v>
      </c>
      <c r="G741" s="576">
        <f ca="1">IF(OR(INDIRECT("'update Helper'!E"&amp;Q741)="",F741&lt;&gt;0,F742&lt;&gt;0),IF(IFERROR((F741/F742),"")="","",(F741/F742)),INDIRECT("'update Helper'!E"&amp;Q741)/100)</f>
        <v>0.79611650485436891</v>
      </c>
      <c r="H741" s="539">
        <v>2021</v>
      </c>
      <c r="I741" s="578" t="s">
        <v>2285</v>
      </c>
      <c r="J741" s="532" t="s">
        <v>2286</v>
      </c>
      <c r="K741" s="126">
        <f ca="1">IF(AND(EXACT(C741,C739),C739&lt;&gt;0),K739+1,0)</f>
        <v>0</v>
      </c>
      <c r="L741" s="126" t="str">
        <f t="shared" ref="L741" ca="1" si="911">IF(C741&lt;&gt;"",C741&amp;"-"&amp;K741,"")</f>
        <v>DRTB-2 Number of people with confirmed RR-TB and/or MDR-TB notified-0</v>
      </c>
      <c r="M741" s="126" t="str">
        <f t="array" aca="1" ref="M741" ca="1">IFERROR(IF(INDEX('Disaggregation Records'!$E$156:$E$517,MATCH(RIGHT(L741,255),RIGHT('Disaggregation Records'!$D$156:$D$517,255),0))="","",INDEX('Disaggregation Records'!$E$156:$E$517,MATCH(RIGHT(L741,255),RIGHT('Disaggregation Records'!$D$156:$D$517,255),0))),"")</f>
        <v>Age</v>
      </c>
      <c r="N741" s="126" t="str">
        <f t="array" aca="1" ref="N741" ca="1">IFERROR(IF(INDEX('Disaggregation Records'!$F$156:$F$517,MATCH(RIGHT(L741,255),RIGHT('Disaggregation Records'!$D$156:$D$517,255),0))="","",INDEX('Disaggregation Records'!$F$156:$F$517,MATCH(RIGHT(L741,255),RIGHT('Disaggregation Records'!$D$156:$D$517,255),0))),"")</f>
        <v>15+</v>
      </c>
      <c r="O741" s="314" t="str">
        <f t="array" aca="1" ref="O741" ca="1">IFERROR(IF(INDEX('Disaggregation Records'!$H$156:$H$517,MATCH(RIGHT(L741,255),RIGHT('Disaggregation Records'!$D$156:$D$517,255),0))="","",INDEX('Disaggregation Records'!$H$156:$H$517,MATCH(RIGHT(L741,255),RIGHT('Disaggregation Records'!$D$156:$D$517,255),0))),"")</f>
        <v>IDR-01378</v>
      </c>
      <c r="P741" s="314"/>
      <c r="Q741" s="310">
        <f t="shared" ref="Q741" si="912">Q739+1</f>
        <v>1672</v>
      </c>
      <c r="R741" s="314" t="str" cm="1">
        <f t="array" aca="1" ref="R741" ca="1">IFERROR(IF(INDEX('Disaggregation Records'!$G$156:$G$517,MATCH(RIGHT(L741,255),RIGHT('Disaggregation Records'!$D$156:$D$517,255),0))="","",INDEX('Disaggregation Records'!$G$156:$G$517,MATCH(RIGHT(L741,255),RIGHT('Disaggregation Records'!$D$156:$D$517,255),0))),"")</f>
        <v>a1LDm000000Cb4yMAC</v>
      </c>
    </row>
    <row r="742" spans="1:18" ht="20.100000000000001" customHeight="1">
      <c r="A742" s="126"/>
      <c r="B742" s="571"/>
      <c r="C742" s="573"/>
      <c r="D742" s="575"/>
      <c r="E742" s="575"/>
      <c r="F742" s="128">
        <v>1236</v>
      </c>
      <c r="G742" s="577"/>
      <c r="H742" s="540"/>
      <c r="I742" s="579"/>
      <c r="J742" s="533"/>
      <c r="K742" s="126"/>
      <c r="L742" s="126"/>
      <c r="M742" s="126"/>
      <c r="N742" s="126"/>
      <c r="O742" s="314"/>
      <c r="P742" s="314"/>
      <c r="Q742" s="310"/>
      <c r="R742" s="314" t="str" cm="1">
        <f t="array" ref="R742">IFERROR(IF(INDEX('Disaggregation Records'!$G$156:$G$517,MATCH(RIGHT(L742,255),RIGHT('Disaggregation Records'!$D$156:$D$517,255),0))="","",INDEX('Disaggregation Records'!$G$156:$G$517,MATCH(RIGHT(L742,255),RIGHT('Disaggregation Records'!$D$156:$D$517,255),0))),"")</f>
        <v/>
      </c>
    </row>
    <row r="743" spans="1:18" ht="20.100000000000001" customHeight="1">
      <c r="A743" s="126" t="str">
        <f t="shared" ca="1" si="860"/>
        <v>a16Dm000000M3rAIAS</v>
      </c>
      <c r="B743" s="570">
        <v>4</v>
      </c>
      <c r="C743" s="572" t="str">
        <f ca="1">IFERROR(VLOOKUP(B743,'Coverage Indicators - Section D'!$A$9:$AO$94,41,FALSE),"")</f>
        <v>DRTB-2 Number of people with confirmed RR-TB and/or MDR-TB notified</v>
      </c>
      <c r="D743" s="574" t="str">
        <f ca="1">M743</f>
        <v>HIV status</v>
      </c>
      <c r="E743" s="574" t="str">
        <f ca="1">N743</f>
        <v>Unknown</v>
      </c>
      <c r="F743" s="127">
        <v>443</v>
      </c>
      <c r="G743" s="576">
        <f ca="1">IF(OR(INDIRECT("'update Helper'!E"&amp;Q743)="",F743&lt;&gt;0,F744&lt;&gt;0),IF(IFERROR((F743/F744),"")="","",(F743/F744)),INDIRECT("'update Helper'!E"&amp;Q743)/100)</f>
        <v>0.35841423948220064</v>
      </c>
      <c r="H743" s="539">
        <v>2021</v>
      </c>
      <c r="I743" s="578" t="s">
        <v>2285</v>
      </c>
      <c r="J743" s="532" t="s">
        <v>2287</v>
      </c>
      <c r="K743" s="126">
        <f ca="1">IF(AND(EXACT(C743,C741),C741&lt;&gt;0),K741+1,0)</f>
        <v>1</v>
      </c>
      <c r="L743" s="126" t="str">
        <f t="shared" ref="L743" ca="1" si="913">IF(C743&lt;&gt;"",C743&amp;"-"&amp;K743,"")</f>
        <v>DRTB-2 Number of people with confirmed RR-TB and/or MDR-TB notified-1</v>
      </c>
      <c r="M743" s="126" t="str">
        <f t="array" aca="1" ref="M743" ca="1">IFERROR(IF(INDEX('Disaggregation Records'!$E$156:$E$517,MATCH(RIGHT(L743,255),RIGHT('Disaggregation Records'!$D$156:$D$517,255),0))="","",INDEX('Disaggregation Records'!$E$156:$E$517,MATCH(RIGHT(L743,255),RIGHT('Disaggregation Records'!$D$156:$D$517,255),0))),"")</f>
        <v>HIV status</v>
      </c>
      <c r="N743" s="126" t="str">
        <f t="array" aca="1" ref="N743" ca="1">IFERROR(IF(INDEX('Disaggregation Records'!$F$156:$F$517,MATCH(RIGHT(L743,255),RIGHT('Disaggregation Records'!$D$156:$D$517,255),0))="","",INDEX('Disaggregation Records'!$F$156:$F$517,MATCH(RIGHT(L743,255),RIGHT('Disaggregation Records'!$D$156:$D$517,255),0))),"")</f>
        <v>Unknown</v>
      </c>
      <c r="O743" s="314" t="str">
        <f t="array" aca="1" ref="O743" ca="1">IFERROR(IF(INDEX('Disaggregation Records'!$H$156:$H$517,MATCH(RIGHT(L743,255),RIGHT('Disaggregation Records'!$D$156:$D$517,255),0))="","",INDEX('Disaggregation Records'!$H$156:$H$517,MATCH(RIGHT(L743,255),RIGHT('Disaggregation Records'!$D$156:$D$517,255),0))),"")</f>
        <v>IDR-01377</v>
      </c>
      <c r="P743" s="314"/>
      <c r="Q743" s="310">
        <f t="shared" ref="Q743" si="914">Q741+1</f>
        <v>1673</v>
      </c>
      <c r="R743" s="314" t="str" cm="1">
        <f t="array" aca="1" ref="R743" ca="1">IFERROR(IF(INDEX('Disaggregation Records'!$G$156:$G$517,MATCH(RIGHT(L743,255),RIGHT('Disaggregation Records'!$D$156:$D$517,255),0))="","",INDEX('Disaggregation Records'!$G$156:$G$517,MATCH(RIGHT(L743,255),RIGHT('Disaggregation Records'!$D$156:$D$517,255),0))),"")</f>
        <v>a1LDm000000Cb4xMAC</v>
      </c>
    </row>
    <row r="744" spans="1:18" ht="20.100000000000001" customHeight="1">
      <c r="B744" s="571"/>
      <c r="C744" s="573"/>
      <c r="D744" s="575"/>
      <c r="E744" s="575"/>
      <c r="F744" s="128">
        <v>1236</v>
      </c>
      <c r="G744" s="577"/>
      <c r="H744" s="540"/>
      <c r="I744" s="579"/>
      <c r="J744" s="533"/>
      <c r="K744" s="126"/>
      <c r="L744" s="126"/>
      <c r="M744" s="126"/>
      <c r="N744" s="126"/>
      <c r="O744" s="314"/>
      <c r="P744" s="314"/>
      <c r="Q744" s="310"/>
      <c r="R744" s="314" t="str" cm="1">
        <f t="array" ref="R744">IFERROR(IF(INDEX('Disaggregation Records'!$G$156:$G$517,MATCH(RIGHT(L744,255),RIGHT('Disaggregation Records'!$D$156:$D$517,255),0))="","",INDEX('Disaggregation Records'!$G$156:$G$517,MATCH(RIGHT(L744,255),RIGHT('Disaggregation Records'!$D$156:$D$517,255),0))),"")</f>
        <v/>
      </c>
    </row>
    <row r="745" spans="1:18" ht="20.100000000000001" customHeight="1">
      <c r="A745" s="126" t="str">
        <f t="shared" ca="1" si="857"/>
        <v>a16Dm000000M3rBIAS</v>
      </c>
      <c r="B745" s="570">
        <v>4</v>
      </c>
      <c r="C745" s="572" t="str">
        <f ca="1">IFERROR(VLOOKUP(B745,'Coverage Indicators - Section D'!$A$9:$AO$94,41,FALSE),"")</f>
        <v>DRTB-2 Number of people with confirmed RR-TB and/or MDR-TB notified</v>
      </c>
      <c r="D745" s="574" t="str">
        <f ca="1">M745</f>
        <v>Age</v>
      </c>
      <c r="E745" s="574" t="str">
        <f ca="1">N745</f>
        <v>&lt;15</v>
      </c>
      <c r="F745" s="127">
        <v>36</v>
      </c>
      <c r="G745" s="576">
        <f ca="1">IF(OR(INDIRECT("'update Helper'!E"&amp;Q745)="",F745&lt;&gt;0,F746&lt;&gt;0),IF(IFERROR((F745/F746),"")="","",(F745/F746)),INDIRECT("'update Helper'!E"&amp;Q745)/100)</f>
        <v>2.9126213592233011E-2</v>
      </c>
      <c r="H745" s="539">
        <v>2021</v>
      </c>
      <c r="I745" s="578" t="s">
        <v>2285</v>
      </c>
      <c r="J745" s="532" t="s">
        <v>2288</v>
      </c>
      <c r="K745" s="126">
        <f ca="1">IF(AND(EXACT(C745,C743),C743&lt;&gt;0),K743+1,0)</f>
        <v>2</v>
      </c>
      <c r="L745" s="126" t="str">
        <f t="shared" ref="L745" ca="1" si="915">IF(C745&lt;&gt;"",C745&amp;"-"&amp;K745,"")</f>
        <v>DRTB-2 Number of people with confirmed RR-TB and/or MDR-TB notified-2</v>
      </c>
      <c r="M745" s="126" t="str">
        <f t="array" aca="1" ref="M745" ca="1">IFERROR(IF(INDEX('Disaggregation Records'!$E$156:$E$517,MATCH(RIGHT(L745,255),RIGHT('Disaggregation Records'!$D$156:$D$517,255),0))="","",INDEX('Disaggregation Records'!$E$156:$E$517,MATCH(RIGHT(L745,255),RIGHT('Disaggregation Records'!$D$156:$D$517,255),0))),"")</f>
        <v>Age</v>
      </c>
      <c r="N745" s="126" t="str">
        <f t="array" aca="1" ref="N745" ca="1">IFERROR(IF(INDEX('Disaggregation Records'!$F$156:$F$517,MATCH(RIGHT(L745,255),RIGHT('Disaggregation Records'!$D$156:$D$517,255),0))="","",INDEX('Disaggregation Records'!$F$156:$F$517,MATCH(RIGHT(L745,255),RIGHT('Disaggregation Records'!$D$156:$D$517,255),0))),"")</f>
        <v>&lt;15</v>
      </c>
      <c r="O745" s="314" t="str">
        <f t="array" aca="1" ref="O745" ca="1">IFERROR(IF(INDEX('Disaggregation Records'!$H$156:$H$517,MATCH(RIGHT(L745,255),RIGHT('Disaggregation Records'!$D$156:$D$517,255),0))="","",INDEX('Disaggregation Records'!$H$156:$H$517,MATCH(RIGHT(L745,255),RIGHT('Disaggregation Records'!$D$156:$D$517,255),0))),"")</f>
        <v>IDR-01376</v>
      </c>
      <c r="P745" s="310"/>
      <c r="Q745" s="310">
        <f t="shared" ref="Q745" si="916">Q743+1</f>
        <v>1674</v>
      </c>
      <c r="R745" s="314" t="str" cm="1">
        <f t="array" aca="1" ref="R745" ca="1">IFERROR(IF(INDEX('Disaggregation Records'!$G$156:$G$517,MATCH(RIGHT(L745,255),RIGHT('Disaggregation Records'!$D$156:$D$517,255),0))="","",INDEX('Disaggregation Records'!$G$156:$G$517,MATCH(RIGHT(L745,255),RIGHT('Disaggregation Records'!$D$156:$D$517,255),0))),"")</f>
        <v>a1LDm000000Cb4wMAC</v>
      </c>
    </row>
    <row r="746" spans="1:18" ht="20.100000000000001" customHeight="1">
      <c r="A746" s="126"/>
      <c r="B746" s="571"/>
      <c r="C746" s="573"/>
      <c r="D746" s="575"/>
      <c r="E746" s="575"/>
      <c r="F746" s="128">
        <v>1236</v>
      </c>
      <c r="G746" s="577"/>
      <c r="H746" s="540"/>
      <c r="I746" s="579"/>
      <c r="J746" s="533"/>
      <c r="L746" s="126"/>
      <c r="N746" s="126"/>
      <c r="O746" s="314"/>
      <c r="P746" s="310"/>
      <c r="Q746" s="310"/>
      <c r="R746" s="314" t="str" cm="1">
        <f t="array" ref="R746">IFERROR(IF(INDEX('Disaggregation Records'!$G$156:$G$517,MATCH(RIGHT(L746,255),RIGHT('Disaggregation Records'!$D$156:$D$517,255),0))="","",INDEX('Disaggregation Records'!$G$156:$G$517,MATCH(RIGHT(L746,255),RIGHT('Disaggregation Records'!$D$156:$D$517,255),0))),"")</f>
        <v/>
      </c>
    </row>
    <row r="747" spans="1:18" ht="20.100000000000001" customHeight="1">
      <c r="A747" s="126" t="str">
        <f t="shared" ca="1" si="860"/>
        <v>a16Dm000000M3rCIAS</v>
      </c>
      <c r="B747" s="570">
        <v>4</v>
      </c>
      <c r="C747" s="572" t="str">
        <f ca="1">IFERROR(VLOOKUP(B747,'Coverage Indicators - Section D'!$A$9:$AO$94,41,FALSE),"")</f>
        <v>DRTB-2 Number of people with confirmed RR-TB and/or MDR-TB notified</v>
      </c>
      <c r="D747" s="574" t="str">
        <f ca="1">M747</f>
        <v>Gender</v>
      </c>
      <c r="E747" s="574" t="str">
        <f ca="1">N747</f>
        <v>Male</v>
      </c>
      <c r="F747" s="127">
        <v>756</v>
      </c>
      <c r="G747" s="576">
        <f ca="1">IF(OR(INDIRECT("'update Helper'!E"&amp;Q747)="",F747&lt;&gt;0,F748&lt;&gt;0),IF(IFERROR((F747/F748),"")="","",(F747/F748)),INDIRECT("'update Helper'!E"&amp;Q747)/100)</f>
        <v>0.61165048543689315</v>
      </c>
      <c r="H747" s="539">
        <v>2021</v>
      </c>
      <c r="I747" s="578" t="s">
        <v>2285</v>
      </c>
      <c r="J747" s="532" t="s">
        <v>2289</v>
      </c>
      <c r="K747" s="126">
        <f ca="1">IF(AND(EXACT(C747,C745),C745&lt;&gt;0),K745+1,0)</f>
        <v>3</v>
      </c>
      <c r="L747" s="126" t="str">
        <f t="shared" ref="L747" ca="1" si="917">IF(C747&lt;&gt;"",C747&amp;"-"&amp;K747,"")</f>
        <v>DRTB-2 Number of people with confirmed RR-TB and/or MDR-TB notified-3</v>
      </c>
      <c r="M747" s="126" t="str">
        <f t="array" aca="1" ref="M747" ca="1">IFERROR(IF(INDEX('Disaggregation Records'!$E$156:$E$517,MATCH(RIGHT(L747,255),RIGHT('Disaggregation Records'!$D$156:$D$517,255),0))="","",INDEX('Disaggregation Records'!$E$156:$E$517,MATCH(RIGHT(L747,255),RIGHT('Disaggregation Records'!$D$156:$D$517,255),0))),"")</f>
        <v>Gender</v>
      </c>
      <c r="N747" s="126" t="str">
        <f t="array" aca="1" ref="N747" ca="1">IFERROR(IF(INDEX('Disaggregation Records'!$F$156:$F$517,MATCH(RIGHT(L747,255),RIGHT('Disaggregation Records'!$D$156:$D$517,255),0))="","",INDEX('Disaggregation Records'!$F$156:$F$517,MATCH(RIGHT(L747,255),RIGHT('Disaggregation Records'!$D$156:$D$517,255),0))),"")</f>
        <v>Male</v>
      </c>
      <c r="O747" s="314" t="str">
        <f t="array" aca="1" ref="O747" ca="1">IFERROR(IF(INDEX('Disaggregation Records'!$H$156:$H$517,MATCH(RIGHT(L747,255),RIGHT('Disaggregation Records'!$D$156:$D$517,255),0))="","",INDEX('Disaggregation Records'!$H$156:$H$517,MATCH(RIGHT(L747,255),RIGHT('Disaggregation Records'!$D$156:$D$517,255),0))),"")</f>
        <v>IDR-01375</v>
      </c>
      <c r="P747" s="310"/>
      <c r="Q747" s="310">
        <f t="shared" ref="Q747" si="918">Q745+1</f>
        <v>1675</v>
      </c>
      <c r="R747" s="314" t="str" cm="1">
        <f t="array" aca="1" ref="R747" ca="1">IFERROR(IF(INDEX('Disaggregation Records'!$G$156:$G$517,MATCH(RIGHT(L747,255),RIGHT('Disaggregation Records'!$D$156:$D$517,255),0))="","",INDEX('Disaggregation Records'!$G$156:$G$517,MATCH(RIGHT(L747,255),RIGHT('Disaggregation Records'!$D$156:$D$517,255),0))),"")</f>
        <v>a1LDm000000Cb4vMAC</v>
      </c>
    </row>
    <row r="748" spans="1:18" ht="20.100000000000001" customHeight="1">
      <c r="B748" s="571"/>
      <c r="C748" s="573"/>
      <c r="D748" s="575"/>
      <c r="E748" s="575"/>
      <c r="F748" s="128">
        <v>1236</v>
      </c>
      <c r="G748" s="577"/>
      <c r="H748" s="540"/>
      <c r="I748" s="579"/>
      <c r="J748" s="533"/>
      <c r="L748" s="126"/>
      <c r="N748" s="126"/>
      <c r="O748" s="314"/>
      <c r="P748" s="310"/>
      <c r="Q748" s="310"/>
      <c r="R748" s="314" t="str" cm="1">
        <f t="array" ref="R748">IFERROR(IF(INDEX('Disaggregation Records'!$G$156:$G$517,MATCH(RIGHT(L748,255),RIGHT('Disaggregation Records'!$D$156:$D$517,255),0))="","",INDEX('Disaggregation Records'!$G$156:$G$517,MATCH(RIGHT(L748,255),RIGHT('Disaggregation Records'!$D$156:$D$517,255),0))),"")</f>
        <v/>
      </c>
    </row>
    <row r="749" spans="1:18" ht="20.100000000000001" customHeight="1">
      <c r="A749" s="126" t="str">
        <f t="shared" ca="1" si="857"/>
        <v>a16Dm000000M3rDIAS</v>
      </c>
      <c r="B749" s="570">
        <v>4</v>
      </c>
      <c r="C749" s="572" t="str">
        <f ca="1">IFERROR(VLOOKUP(B749,'Coverage Indicators - Section D'!$A$9:$AO$94,41,FALSE),"")</f>
        <v>DRTB-2 Number of people with confirmed RR-TB and/or MDR-TB notified</v>
      </c>
      <c r="D749" s="574" t="str">
        <f ca="1">M749</f>
        <v>HIV status</v>
      </c>
      <c r="E749" s="574" t="str">
        <f ca="1">N749</f>
        <v>Negative</v>
      </c>
      <c r="F749" s="127">
        <v>740</v>
      </c>
      <c r="G749" s="576">
        <f ca="1">IF(OR(INDIRECT("'update Helper'!E"&amp;Q749)="",F749&lt;&gt;0,F750&lt;&gt;0),IF(IFERROR((F749/F750),"")="","",(F749/F750)),INDIRECT("'update Helper'!E"&amp;Q749)/100)</f>
        <v>0.59870550161812297</v>
      </c>
      <c r="H749" s="539">
        <v>2021</v>
      </c>
      <c r="I749" s="578" t="s">
        <v>2285</v>
      </c>
      <c r="J749" s="532" t="s">
        <v>2290</v>
      </c>
      <c r="K749" s="126">
        <f ca="1">IF(AND(EXACT(C749,C747),C747&lt;&gt;0),K747+1,0)</f>
        <v>4</v>
      </c>
      <c r="L749" s="126" t="str">
        <f t="shared" ref="L749" ca="1" si="919">IF(C749&lt;&gt;"",C749&amp;"-"&amp;K749,"")</f>
        <v>DRTB-2 Number of people with confirmed RR-TB and/or MDR-TB notified-4</v>
      </c>
      <c r="M749" s="126" t="str">
        <f t="array" aca="1" ref="M749" ca="1">IFERROR(IF(INDEX('Disaggregation Records'!$E$156:$E$517,MATCH(RIGHT(L749,255),RIGHT('Disaggregation Records'!$D$156:$D$517,255),0))="","",INDEX('Disaggregation Records'!$E$156:$E$517,MATCH(RIGHT(L749,255),RIGHT('Disaggregation Records'!$D$156:$D$517,255),0))),"")</f>
        <v>HIV status</v>
      </c>
      <c r="N749" s="126" t="str">
        <f t="array" aca="1" ref="N749" ca="1">IFERROR(IF(INDEX('Disaggregation Records'!$F$156:$F$517,MATCH(RIGHT(L749,255),RIGHT('Disaggregation Records'!$D$156:$D$517,255),0))="","",INDEX('Disaggregation Records'!$F$156:$F$517,MATCH(RIGHT(L749,255),RIGHT('Disaggregation Records'!$D$156:$D$517,255),0))),"")</f>
        <v>Negative</v>
      </c>
      <c r="O749" s="314" t="str">
        <f t="array" aca="1" ref="O749" ca="1">IFERROR(IF(INDEX('Disaggregation Records'!$H$156:$H$517,MATCH(RIGHT(L749,255),RIGHT('Disaggregation Records'!$D$156:$D$517,255),0))="","",INDEX('Disaggregation Records'!$H$156:$H$517,MATCH(RIGHT(L749,255),RIGHT('Disaggregation Records'!$D$156:$D$517,255),0))),"")</f>
        <v>IDR-01374</v>
      </c>
      <c r="P749" s="310"/>
      <c r="Q749" s="310">
        <f t="shared" ref="Q749" si="920">Q747+1</f>
        <v>1676</v>
      </c>
      <c r="R749" s="314" t="str" cm="1">
        <f t="array" aca="1" ref="R749" ca="1">IFERROR(IF(INDEX('Disaggregation Records'!$G$156:$G$517,MATCH(RIGHT(L749,255),RIGHT('Disaggregation Records'!$D$156:$D$517,255),0))="","",INDEX('Disaggregation Records'!$G$156:$G$517,MATCH(RIGHT(L749,255),RIGHT('Disaggregation Records'!$D$156:$D$517,255),0))),"")</f>
        <v>a1LDm000000Cb4uMAC</v>
      </c>
    </row>
    <row r="750" spans="1:18" ht="20.100000000000001" customHeight="1">
      <c r="A750" s="126"/>
      <c r="B750" s="571"/>
      <c r="C750" s="573"/>
      <c r="D750" s="575"/>
      <c r="E750" s="575"/>
      <c r="F750" s="128">
        <v>1236</v>
      </c>
      <c r="G750" s="577"/>
      <c r="H750" s="540"/>
      <c r="I750" s="579"/>
      <c r="J750" s="533"/>
      <c r="L750" s="126"/>
      <c r="N750" s="126"/>
      <c r="O750" s="314"/>
      <c r="P750" s="310"/>
      <c r="Q750" s="310"/>
      <c r="R750" s="314" t="str" cm="1">
        <f t="array" ref="R750">IFERROR(IF(INDEX('Disaggregation Records'!$G$156:$G$517,MATCH(RIGHT(L750,255),RIGHT('Disaggregation Records'!$D$156:$D$517,255),0))="","",INDEX('Disaggregation Records'!$G$156:$G$517,MATCH(RIGHT(L750,255),RIGHT('Disaggregation Records'!$D$156:$D$517,255),0))),"")</f>
        <v/>
      </c>
    </row>
    <row r="751" spans="1:18" ht="20.100000000000001" customHeight="1">
      <c r="A751" s="126" t="str">
        <f t="shared" ca="1" si="860"/>
        <v>a16Dm000000M3rEIAS</v>
      </c>
      <c r="B751" s="570">
        <v>4</v>
      </c>
      <c r="C751" s="572" t="str">
        <f ca="1">IFERROR(VLOOKUP(B751,'Coverage Indicators - Section D'!$A$9:$AO$94,41,FALSE),"")</f>
        <v>DRTB-2 Number of people with confirmed RR-TB and/or MDR-TB notified</v>
      </c>
      <c r="D751" s="574" t="str">
        <f ca="1">M751</f>
        <v>Gender</v>
      </c>
      <c r="E751" s="574" t="str">
        <f ca="1">N751</f>
        <v>Female</v>
      </c>
      <c r="F751" s="127">
        <v>480</v>
      </c>
      <c r="G751" s="576">
        <f ca="1">IF(OR(INDIRECT("'update Helper'!E"&amp;Q751)="",F751&lt;&gt;0,F752&lt;&gt;0),IF(IFERROR((F751/F752),"")="","",(F751/F752)),INDIRECT("'update Helper'!E"&amp;Q751)/100)</f>
        <v>0.38834951456310679</v>
      </c>
      <c r="H751" s="539">
        <v>2021</v>
      </c>
      <c r="I751" s="578" t="s">
        <v>2285</v>
      </c>
      <c r="J751" s="532" t="s">
        <v>2291</v>
      </c>
      <c r="K751" s="126">
        <f ca="1">IF(AND(EXACT(C751,C749),C749&lt;&gt;0),K749+1,0)</f>
        <v>5</v>
      </c>
      <c r="L751" s="126" t="str">
        <f t="shared" ref="L751" ca="1" si="921">IF(C751&lt;&gt;"",C751&amp;"-"&amp;K751,"")</f>
        <v>DRTB-2 Number of people with confirmed RR-TB and/or MDR-TB notified-5</v>
      </c>
      <c r="M751" s="126" t="str">
        <f t="array" aca="1" ref="M751" ca="1">IFERROR(IF(INDEX('Disaggregation Records'!$E$156:$E$517,MATCH(RIGHT(L751,255),RIGHT('Disaggregation Records'!$D$156:$D$517,255),0))="","",INDEX('Disaggregation Records'!$E$156:$E$517,MATCH(RIGHT(L751,255),RIGHT('Disaggregation Records'!$D$156:$D$517,255),0))),"")</f>
        <v>Gender</v>
      </c>
      <c r="N751" s="126" t="str">
        <f t="array" aca="1" ref="N751" ca="1">IFERROR(IF(INDEX('Disaggregation Records'!$F$156:$F$517,MATCH(RIGHT(L751,255),RIGHT('Disaggregation Records'!$D$156:$D$517,255),0))="","",INDEX('Disaggregation Records'!$F$156:$F$517,MATCH(RIGHT(L751,255),RIGHT('Disaggregation Records'!$D$156:$D$517,255),0))),"")</f>
        <v>Female</v>
      </c>
      <c r="O751" s="314" t="str">
        <f t="array" aca="1" ref="O751" ca="1">IFERROR(IF(INDEX('Disaggregation Records'!$H$156:$H$517,MATCH(RIGHT(L751,255),RIGHT('Disaggregation Records'!$D$156:$D$517,255),0))="","",INDEX('Disaggregation Records'!$H$156:$H$517,MATCH(RIGHT(L751,255),RIGHT('Disaggregation Records'!$D$156:$D$517,255),0))),"")</f>
        <v>IDR-01373</v>
      </c>
      <c r="P751" s="314"/>
      <c r="Q751" s="310">
        <f t="shared" ref="Q751" si="922">Q749+1</f>
        <v>1677</v>
      </c>
      <c r="R751" s="314" t="str" cm="1">
        <f t="array" aca="1" ref="R751" ca="1">IFERROR(IF(INDEX('Disaggregation Records'!$G$156:$G$517,MATCH(RIGHT(L751,255),RIGHT('Disaggregation Records'!$D$156:$D$517,255),0))="","",INDEX('Disaggregation Records'!$G$156:$G$517,MATCH(RIGHT(L751,255),RIGHT('Disaggregation Records'!$D$156:$D$517,255),0))),"")</f>
        <v>a1LDm000000Cb4tMAC</v>
      </c>
    </row>
    <row r="752" spans="1:18" ht="20.100000000000001" customHeight="1">
      <c r="B752" s="571"/>
      <c r="C752" s="573"/>
      <c r="D752" s="575"/>
      <c r="E752" s="575"/>
      <c r="F752" s="128">
        <v>1236</v>
      </c>
      <c r="G752" s="577"/>
      <c r="H752" s="540"/>
      <c r="I752" s="579"/>
      <c r="J752" s="533"/>
      <c r="K752" s="126"/>
      <c r="L752" s="126"/>
      <c r="M752" s="126"/>
      <c r="N752" s="126"/>
      <c r="O752" s="314"/>
      <c r="P752" s="314"/>
      <c r="Q752" s="310"/>
      <c r="R752" s="314" t="str" cm="1">
        <f t="array" ref="R752">IFERROR(IF(INDEX('Disaggregation Records'!$G$156:$G$517,MATCH(RIGHT(L752,255),RIGHT('Disaggregation Records'!$D$156:$D$517,255),0))="","",INDEX('Disaggregation Records'!$G$156:$G$517,MATCH(RIGHT(L752,255),RIGHT('Disaggregation Records'!$D$156:$D$517,255),0))),"")</f>
        <v/>
      </c>
    </row>
    <row r="753" spans="1:18" ht="20.100000000000001" customHeight="1">
      <c r="A753" s="126" t="str">
        <f t="shared" ref="A753:A813" ca="1" si="923">INDIRECT("'update Helper'!C"&amp;Q753)</f>
        <v>a16Dm000000M3rFIAS</v>
      </c>
      <c r="B753" s="570">
        <v>4</v>
      </c>
      <c r="C753" s="572" t="str">
        <f ca="1">IFERROR(VLOOKUP(B753,'Coverage Indicators - Section D'!$A$9:$AO$94,41,FALSE),"")</f>
        <v>DRTB-2 Number of people with confirmed RR-TB and/or MDR-TB notified</v>
      </c>
      <c r="D753" s="574" t="str">
        <f ca="1">M753</f>
        <v>HIV status</v>
      </c>
      <c r="E753" s="574" t="str">
        <f ca="1">N753</f>
        <v>Positive</v>
      </c>
      <c r="F753" s="127">
        <v>53</v>
      </c>
      <c r="G753" s="576">
        <f ca="1">IF(OR(INDIRECT("'update Helper'!E"&amp;Q753)="",F753&lt;&gt;0,F754&lt;&gt;0),IF(IFERROR((F753/F754),"")="","",(F753/F754)),INDIRECT("'update Helper'!E"&amp;Q753)/100)</f>
        <v>4.2880258899676373E-2</v>
      </c>
      <c r="H753" s="539">
        <v>2021</v>
      </c>
      <c r="I753" s="578" t="s">
        <v>2285</v>
      </c>
      <c r="J753" s="532" t="s">
        <v>2292</v>
      </c>
      <c r="K753" s="126">
        <f ca="1">IF(AND(EXACT(C753,C751),C751&lt;&gt;0),K751+1,0)</f>
        <v>6</v>
      </c>
      <c r="L753" s="126" t="str">
        <f t="shared" ref="L753" ca="1" si="924">IF(C753&lt;&gt;"",C753&amp;"-"&amp;K753,"")</f>
        <v>DRTB-2 Number of people with confirmed RR-TB and/or MDR-TB notified-6</v>
      </c>
      <c r="M753" s="126" t="str">
        <f t="array" aca="1" ref="M753" ca="1">IFERROR(IF(INDEX('Disaggregation Records'!$E$156:$E$517,MATCH(RIGHT(L753,255),RIGHT('Disaggregation Records'!$D$156:$D$517,255),0))="","",INDEX('Disaggregation Records'!$E$156:$E$517,MATCH(RIGHT(L753,255),RIGHT('Disaggregation Records'!$D$156:$D$517,255),0))),"")</f>
        <v>HIV status</v>
      </c>
      <c r="N753" s="126" t="str">
        <f t="array" aca="1" ref="N753" ca="1">IFERROR(IF(INDEX('Disaggregation Records'!$F$156:$F$517,MATCH(RIGHT(L753,255),RIGHT('Disaggregation Records'!$D$156:$D$517,255),0))="","",INDEX('Disaggregation Records'!$F$156:$F$517,MATCH(RIGHT(L753,255),RIGHT('Disaggregation Records'!$D$156:$D$517,255),0))),"")</f>
        <v>Positive</v>
      </c>
      <c r="O753" s="314" t="str">
        <f t="array" aca="1" ref="O753" ca="1">IFERROR(IF(INDEX('Disaggregation Records'!$H$156:$H$517,MATCH(RIGHT(L753,255),RIGHT('Disaggregation Records'!$D$156:$D$517,255),0))="","",INDEX('Disaggregation Records'!$H$156:$H$517,MATCH(RIGHT(L753,255),RIGHT('Disaggregation Records'!$D$156:$D$517,255),0))),"")</f>
        <v>IDR-01372</v>
      </c>
      <c r="P753" s="314"/>
      <c r="Q753" s="310">
        <f t="shared" ref="Q753" si="925">Q751+1</f>
        <v>1678</v>
      </c>
      <c r="R753" s="314" t="str" cm="1">
        <f t="array" aca="1" ref="R753" ca="1">IFERROR(IF(INDEX('Disaggregation Records'!$G$156:$G$517,MATCH(RIGHT(L753,255),RIGHT('Disaggregation Records'!$D$156:$D$517,255),0))="","",INDEX('Disaggregation Records'!$G$156:$G$517,MATCH(RIGHT(L753,255),RIGHT('Disaggregation Records'!$D$156:$D$517,255),0))),"")</f>
        <v>a1LDm000000Cb4sMAC</v>
      </c>
    </row>
    <row r="754" spans="1:18" ht="20.100000000000001" customHeight="1">
      <c r="A754" s="126"/>
      <c r="B754" s="571"/>
      <c r="C754" s="573"/>
      <c r="D754" s="575"/>
      <c r="E754" s="575"/>
      <c r="F754" s="128">
        <v>1236</v>
      </c>
      <c r="G754" s="577"/>
      <c r="H754" s="540"/>
      <c r="I754" s="579"/>
      <c r="J754" s="533"/>
      <c r="K754" s="126"/>
      <c r="L754" s="126"/>
      <c r="M754" s="126"/>
      <c r="N754" s="126"/>
      <c r="O754" s="314"/>
      <c r="P754" s="314"/>
      <c r="Q754" s="310"/>
      <c r="R754" s="314" t="str" cm="1">
        <f t="array" ref="R754">IFERROR(IF(INDEX('Disaggregation Records'!$G$156:$G$517,MATCH(RIGHT(L754,255),RIGHT('Disaggregation Records'!$D$156:$D$517,255),0))="","",INDEX('Disaggregation Records'!$G$156:$G$517,MATCH(RIGHT(L754,255),RIGHT('Disaggregation Records'!$D$156:$D$517,255),0))),"")</f>
        <v/>
      </c>
    </row>
    <row r="755" spans="1:18" ht="20.100000000000001" customHeight="1">
      <c r="A755" s="126" t="str">
        <f t="shared" ref="A755:A815" ca="1" si="926">INDIRECT("'update Helper'!C"&amp;Q755)</f>
        <v>a16Dm000000M3rGIAS</v>
      </c>
      <c r="B755" s="570">
        <v>4</v>
      </c>
      <c r="C755" s="572" t="str">
        <f ca="1">IFERROR(VLOOKUP(B755,'Coverage Indicators - Section D'!$A$9:$AO$94,41,FALSE),"")</f>
        <v>DRTB-2 Number of people with confirmed RR-TB and/or MDR-TB notified</v>
      </c>
      <c r="D755" s="574" t="str">
        <f ca="1">M755</f>
        <v/>
      </c>
      <c r="E755" s="574" t="str">
        <f ca="1">N755</f>
        <v/>
      </c>
      <c r="F755" s="127"/>
      <c r="G755" s="576" t="str">
        <f ca="1">IF(OR(INDIRECT("'update Helper'!E"&amp;Q755)="",F755&lt;&gt;0,F756&lt;&gt;0),IF(IFERROR((F755/F756),"")="","",(F755/F756)),INDIRECT("'update Helper'!E"&amp;Q755)/100)</f>
        <v/>
      </c>
      <c r="H755" s="539"/>
      <c r="I755" s="578"/>
      <c r="J755" s="532"/>
      <c r="K755" s="126">
        <f ca="1">IF(AND(EXACT(C755,C753),C753&lt;&gt;0),K753+1,0)</f>
        <v>7</v>
      </c>
      <c r="L755" s="126" t="str">
        <f t="shared" ref="L755" ca="1" si="927">IF(C755&lt;&gt;"",C755&amp;"-"&amp;K755,"")</f>
        <v>DRTB-2 Number of people with confirmed RR-TB and/or MDR-TB notified-7</v>
      </c>
      <c r="M755" s="126" t="str">
        <f t="array" aca="1" ref="M755" ca="1">IFERROR(IF(INDEX('Disaggregation Records'!$E$156:$E$517,MATCH(RIGHT(L755,255),RIGHT('Disaggregation Records'!$D$156:$D$517,255),0))="","",INDEX('Disaggregation Records'!$E$156:$E$517,MATCH(RIGHT(L755,255),RIGHT('Disaggregation Records'!$D$156:$D$517,255),0))),"")</f>
        <v/>
      </c>
      <c r="N755" s="126" t="str">
        <f t="array" aca="1" ref="N755" ca="1">IFERROR(IF(INDEX('Disaggregation Records'!$F$156:$F$517,MATCH(RIGHT(L755,255),RIGHT('Disaggregation Records'!$D$156:$D$517,255),0))="","",INDEX('Disaggregation Records'!$F$156:$F$517,MATCH(RIGHT(L755,255),RIGHT('Disaggregation Records'!$D$156:$D$517,255),0))),"")</f>
        <v/>
      </c>
      <c r="O755" s="314" t="str">
        <f t="array" aca="1" ref="O755" ca="1">IFERROR(IF(INDEX('Disaggregation Records'!$H$156:$H$517,MATCH(RIGHT(L755,255),RIGHT('Disaggregation Records'!$D$156:$D$517,255),0))="","",INDEX('Disaggregation Records'!$H$156:$H$517,MATCH(RIGHT(L755,255),RIGHT('Disaggregation Records'!$D$156:$D$517,255),0))),"")</f>
        <v/>
      </c>
      <c r="P755" s="310"/>
      <c r="Q755" s="310">
        <f t="shared" ref="Q755" si="928">Q753+1</f>
        <v>1679</v>
      </c>
      <c r="R755" s="314" t="str" cm="1">
        <f t="array" aca="1" ref="R755" ca="1">IFERROR(IF(INDEX('Disaggregation Records'!$G$156:$G$517,MATCH(RIGHT(L755,255),RIGHT('Disaggregation Records'!$D$156:$D$517,255),0))="","",INDEX('Disaggregation Records'!$G$156:$G$517,MATCH(RIGHT(L755,255),RIGHT('Disaggregation Records'!$D$156:$D$517,255),0))),"")</f>
        <v/>
      </c>
    </row>
    <row r="756" spans="1:18" ht="20.100000000000001" customHeight="1">
      <c r="B756" s="571"/>
      <c r="C756" s="573"/>
      <c r="D756" s="575"/>
      <c r="E756" s="575"/>
      <c r="F756" s="128"/>
      <c r="G756" s="577"/>
      <c r="H756" s="540"/>
      <c r="I756" s="579"/>
      <c r="J756" s="533"/>
      <c r="L756" s="126"/>
      <c r="N756" s="126"/>
      <c r="O756" s="314"/>
      <c r="P756" s="310"/>
      <c r="Q756" s="310"/>
      <c r="R756" s="314" t="str" cm="1">
        <f t="array" ref="R756">IFERROR(IF(INDEX('Disaggregation Records'!$G$156:$G$517,MATCH(RIGHT(L756,255),RIGHT('Disaggregation Records'!$D$156:$D$517,255),0))="","",INDEX('Disaggregation Records'!$G$156:$G$517,MATCH(RIGHT(L756,255),RIGHT('Disaggregation Records'!$D$156:$D$517,255),0))),"")</f>
        <v/>
      </c>
    </row>
    <row r="757" spans="1:18" ht="20.100000000000001" customHeight="1">
      <c r="A757" s="126" t="str">
        <f t="shared" ca="1" si="923"/>
        <v>a16Dm000000M3rHIAS</v>
      </c>
      <c r="B757" s="570">
        <v>4</v>
      </c>
      <c r="C757" s="572" t="str">
        <f ca="1">IFERROR(VLOOKUP(B757,'Coverage Indicators - Section D'!$A$9:$AO$94,41,FALSE),"")</f>
        <v>DRTB-2 Number of people with confirmed RR-TB and/or MDR-TB notified</v>
      </c>
      <c r="D757" s="574" t="str">
        <f ca="1">M757</f>
        <v/>
      </c>
      <c r="E757" s="574" t="str">
        <f ca="1">N757</f>
        <v/>
      </c>
      <c r="F757" s="127"/>
      <c r="G757" s="576" t="str">
        <f ca="1">IF(OR(INDIRECT("'update Helper'!E"&amp;Q757)="",F757&lt;&gt;0,F758&lt;&gt;0),IF(IFERROR((F757/F758),"")="","",(F757/F758)),INDIRECT("'update Helper'!E"&amp;Q757)/100)</f>
        <v/>
      </c>
      <c r="H757" s="539"/>
      <c r="I757" s="578"/>
      <c r="J757" s="532"/>
      <c r="K757" s="126">
        <f ca="1">IF(AND(EXACT(C757,C755),C755&lt;&gt;0),K755+1,0)</f>
        <v>8</v>
      </c>
      <c r="L757" s="126" t="str">
        <f t="shared" ref="L757" ca="1" si="929">IF(C757&lt;&gt;"",C757&amp;"-"&amp;K757,"")</f>
        <v>DRTB-2 Number of people with confirmed RR-TB and/or MDR-TB notified-8</v>
      </c>
      <c r="M757" s="126" t="str">
        <f t="array" aca="1" ref="M757" ca="1">IFERROR(IF(INDEX('Disaggregation Records'!$E$156:$E$517,MATCH(RIGHT(L757,255),RIGHT('Disaggregation Records'!$D$156:$D$517,255),0))="","",INDEX('Disaggregation Records'!$E$156:$E$517,MATCH(RIGHT(L757,255),RIGHT('Disaggregation Records'!$D$156:$D$517,255),0))),"")</f>
        <v/>
      </c>
      <c r="N757" s="126" t="str">
        <f t="array" aca="1" ref="N757" ca="1">IFERROR(IF(INDEX('Disaggregation Records'!$F$156:$F$517,MATCH(RIGHT(L757,255),RIGHT('Disaggregation Records'!$D$156:$D$517,255),0))="","",INDEX('Disaggregation Records'!$F$156:$F$517,MATCH(RIGHT(L757,255),RIGHT('Disaggregation Records'!$D$156:$D$517,255),0))),"")</f>
        <v/>
      </c>
      <c r="O757" s="314" t="str">
        <f t="array" aca="1" ref="O757" ca="1">IFERROR(IF(INDEX('Disaggregation Records'!$H$156:$H$517,MATCH(RIGHT(L757,255),RIGHT('Disaggregation Records'!$D$156:$D$517,255),0))="","",INDEX('Disaggregation Records'!$H$156:$H$517,MATCH(RIGHT(L757,255),RIGHT('Disaggregation Records'!$D$156:$D$517,255),0))),"")</f>
        <v/>
      </c>
      <c r="P757" s="310"/>
      <c r="Q757" s="310">
        <f t="shared" ref="Q757" si="930">Q755+1</f>
        <v>1680</v>
      </c>
      <c r="R757" s="314" t="str" cm="1">
        <f t="array" aca="1" ref="R757" ca="1">IFERROR(IF(INDEX('Disaggregation Records'!$G$156:$G$517,MATCH(RIGHT(L757,255),RIGHT('Disaggregation Records'!$D$156:$D$517,255),0))="","",INDEX('Disaggregation Records'!$G$156:$G$517,MATCH(RIGHT(L757,255),RIGHT('Disaggregation Records'!$D$156:$D$517,255),0))),"")</f>
        <v/>
      </c>
    </row>
    <row r="758" spans="1:18" ht="20.100000000000001" customHeight="1">
      <c r="A758" s="126"/>
      <c r="B758" s="571"/>
      <c r="C758" s="573"/>
      <c r="D758" s="575"/>
      <c r="E758" s="575"/>
      <c r="F758" s="128"/>
      <c r="G758" s="577"/>
      <c r="H758" s="540"/>
      <c r="I758" s="579"/>
      <c r="J758" s="533"/>
      <c r="L758" s="126"/>
      <c r="N758" s="126"/>
      <c r="O758" s="314"/>
      <c r="P758" s="310"/>
      <c r="Q758" s="310"/>
      <c r="R758" s="314" t="str" cm="1">
        <f t="array" ref="R758">IFERROR(IF(INDEX('Disaggregation Records'!$G$156:$G$517,MATCH(RIGHT(L758,255),RIGHT('Disaggregation Records'!$D$156:$D$517,255),0))="","",INDEX('Disaggregation Records'!$G$156:$G$517,MATCH(RIGHT(L758,255),RIGHT('Disaggregation Records'!$D$156:$D$517,255),0))),"")</f>
        <v/>
      </c>
    </row>
    <row r="759" spans="1:18" ht="20.100000000000001" customHeight="1">
      <c r="A759" s="126" t="str">
        <f t="shared" ca="1" si="926"/>
        <v>a16Dm000000M3rIIAS</v>
      </c>
      <c r="B759" s="570">
        <v>4</v>
      </c>
      <c r="C759" s="572" t="str">
        <f ca="1">IFERROR(VLOOKUP(B759,'Coverage Indicators - Section D'!$A$9:$AO$94,41,FALSE),"")</f>
        <v>DRTB-2 Number of people with confirmed RR-TB and/or MDR-TB notified</v>
      </c>
      <c r="D759" s="574" t="str">
        <f ca="1">M759</f>
        <v/>
      </c>
      <c r="E759" s="574" t="str">
        <f ca="1">N759</f>
        <v/>
      </c>
      <c r="F759" s="127"/>
      <c r="G759" s="576" t="str">
        <f ca="1">IF(OR(INDIRECT("'update Helper'!E"&amp;Q759)="",F759&lt;&gt;0,F760&lt;&gt;0),IF(IFERROR((F759/F760),"")="","",(F759/F760)),INDIRECT("'update Helper'!E"&amp;Q759)/100)</f>
        <v/>
      </c>
      <c r="H759" s="539"/>
      <c r="I759" s="578"/>
      <c r="J759" s="532"/>
      <c r="K759" s="126">
        <f ca="1">IF(AND(EXACT(C759,C757),C757&lt;&gt;0),K757+1,0)</f>
        <v>9</v>
      </c>
      <c r="L759" s="126" t="str">
        <f t="shared" ref="L759" ca="1" si="931">IF(C759&lt;&gt;"",C759&amp;"-"&amp;K759,"")</f>
        <v>DRTB-2 Number of people with confirmed RR-TB and/or MDR-TB notified-9</v>
      </c>
      <c r="M759" s="126" t="str">
        <f t="array" aca="1" ref="M759" ca="1">IFERROR(IF(INDEX('Disaggregation Records'!$E$156:$E$517,MATCH(RIGHT(L759,255),RIGHT('Disaggregation Records'!$D$156:$D$517,255),0))="","",INDEX('Disaggregation Records'!$E$156:$E$517,MATCH(RIGHT(L759,255),RIGHT('Disaggregation Records'!$D$156:$D$517,255),0))),"")</f>
        <v/>
      </c>
      <c r="N759" s="126" t="str">
        <f t="array" aca="1" ref="N759" ca="1">IFERROR(IF(INDEX('Disaggregation Records'!$F$156:$F$517,MATCH(RIGHT(L759,255),RIGHT('Disaggregation Records'!$D$156:$D$517,255),0))="","",INDEX('Disaggregation Records'!$F$156:$F$517,MATCH(RIGHT(L759,255),RIGHT('Disaggregation Records'!$D$156:$D$517,255),0))),"")</f>
        <v/>
      </c>
      <c r="O759" s="314" t="str">
        <f t="array" aca="1" ref="O759" ca="1">IFERROR(IF(INDEX('Disaggregation Records'!$H$156:$H$517,MATCH(RIGHT(L759,255),RIGHT('Disaggregation Records'!$D$156:$D$517,255),0))="","",INDEX('Disaggregation Records'!$H$156:$H$517,MATCH(RIGHT(L759,255),RIGHT('Disaggregation Records'!$D$156:$D$517,255),0))),"")</f>
        <v/>
      </c>
      <c r="P759" s="310"/>
      <c r="Q759" s="310">
        <f t="shared" ref="Q759" si="932">Q757+1</f>
        <v>1681</v>
      </c>
      <c r="R759" s="314" t="str" cm="1">
        <f t="array" aca="1" ref="R759" ca="1">IFERROR(IF(INDEX('Disaggregation Records'!$G$156:$G$517,MATCH(RIGHT(L759,255),RIGHT('Disaggregation Records'!$D$156:$D$517,255),0))="","",INDEX('Disaggregation Records'!$G$156:$G$517,MATCH(RIGHT(L759,255),RIGHT('Disaggregation Records'!$D$156:$D$517,255),0))),"")</f>
        <v/>
      </c>
    </row>
    <row r="760" spans="1:18" ht="20.100000000000001" customHeight="1">
      <c r="B760" s="571"/>
      <c r="C760" s="573"/>
      <c r="D760" s="575"/>
      <c r="E760" s="575"/>
      <c r="F760" s="128"/>
      <c r="G760" s="577"/>
      <c r="H760" s="540"/>
      <c r="I760" s="579"/>
      <c r="J760" s="533"/>
      <c r="L760" s="126"/>
      <c r="N760" s="126"/>
      <c r="O760" s="314"/>
      <c r="P760" s="310"/>
      <c r="Q760" s="310"/>
      <c r="R760" s="314" t="str" cm="1">
        <f t="array" ref="R760">IFERROR(IF(INDEX('Disaggregation Records'!$G$156:$G$517,MATCH(RIGHT(L760,255),RIGHT('Disaggregation Records'!$D$156:$D$517,255),0))="","",INDEX('Disaggregation Records'!$G$156:$G$517,MATCH(RIGHT(L760,255),RIGHT('Disaggregation Records'!$D$156:$D$517,255),0))),"")</f>
        <v/>
      </c>
    </row>
    <row r="761" spans="1:18" ht="20.100000000000001" customHeight="1">
      <c r="A761" s="126" t="str">
        <f t="shared" ca="1" si="923"/>
        <v>a16Dm000000M3rJIAS</v>
      </c>
      <c r="B761" s="570">
        <v>4</v>
      </c>
      <c r="C761" s="572" t="str">
        <f ca="1">IFERROR(VLOOKUP(B761,'Coverage Indicators - Section D'!$A$9:$AO$94,41,FALSE),"")</f>
        <v>DRTB-2 Number of people with confirmed RR-TB and/or MDR-TB notified</v>
      </c>
      <c r="D761" s="574" t="str">
        <f ca="1">M761</f>
        <v/>
      </c>
      <c r="E761" s="574" t="str">
        <f ca="1">N761</f>
        <v/>
      </c>
      <c r="F761" s="127"/>
      <c r="G761" s="576" t="str">
        <f ca="1">IF(OR(INDIRECT("'update Helper'!E"&amp;Q761)="",F761&lt;&gt;0,F762&lt;&gt;0),IF(IFERROR((F761/F762),"")="","",(F761/F762)),INDIRECT("'update Helper'!E"&amp;Q761)/100)</f>
        <v/>
      </c>
      <c r="H761" s="539"/>
      <c r="I761" s="578"/>
      <c r="J761" s="532"/>
      <c r="K761" s="126">
        <f ca="1">IF(AND(EXACT(C761,C759),C759&lt;&gt;0),K759+1,0)</f>
        <v>10</v>
      </c>
      <c r="L761" s="126" t="str">
        <f t="shared" ref="L761" ca="1" si="933">IF(C761&lt;&gt;"",C761&amp;"-"&amp;K761,"")</f>
        <v>DRTB-2 Number of people with confirmed RR-TB and/or MDR-TB notified-10</v>
      </c>
      <c r="M761" s="126" t="str">
        <f t="array" aca="1" ref="M761" ca="1">IFERROR(IF(INDEX('Disaggregation Records'!$E$156:$E$517,MATCH(RIGHT(L761,255),RIGHT('Disaggregation Records'!$D$156:$D$517,255),0))="","",INDEX('Disaggregation Records'!$E$156:$E$517,MATCH(RIGHT(L761,255),RIGHT('Disaggregation Records'!$D$156:$D$517,255),0))),"")</f>
        <v/>
      </c>
      <c r="N761" s="126" t="str">
        <f t="array" aca="1" ref="N761" ca="1">IFERROR(IF(INDEX('Disaggregation Records'!$F$156:$F$517,MATCH(RIGHT(L761,255),RIGHT('Disaggregation Records'!$D$156:$D$517,255),0))="","",INDEX('Disaggregation Records'!$F$156:$F$517,MATCH(RIGHT(L761,255),RIGHT('Disaggregation Records'!$D$156:$D$517,255),0))),"")</f>
        <v/>
      </c>
      <c r="O761" s="314" t="str">
        <f t="array" aca="1" ref="O761" ca="1">IFERROR(IF(INDEX('Disaggregation Records'!$H$156:$H$517,MATCH(RIGHT(L761,255),RIGHT('Disaggregation Records'!$D$156:$D$517,255),0))="","",INDEX('Disaggregation Records'!$H$156:$H$517,MATCH(RIGHT(L761,255),RIGHT('Disaggregation Records'!$D$156:$D$517,255),0))),"")</f>
        <v/>
      </c>
      <c r="P761" s="314"/>
      <c r="Q761" s="310">
        <f t="shared" ref="Q761" si="934">Q759+1</f>
        <v>1682</v>
      </c>
      <c r="R761" s="314" t="str" cm="1">
        <f t="array" aca="1" ref="R761" ca="1">IFERROR(IF(INDEX('Disaggregation Records'!$G$156:$G$517,MATCH(RIGHT(L761,255),RIGHT('Disaggregation Records'!$D$156:$D$517,255),0))="","",INDEX('Disaggregation Records'!$G$156:$G$517,MATCH(RIGHT(L761,255),RIGHT('Disaggregation Records'!$D$156:$D$517,255),0))),"")</f>
        <v/>
      </c>
    </row>
    <row r="762" spans="1:18" ht="20.100000000000001" customHeight="1">
      <c r="A762" s="126"/>
      <c r="B762" s="571"/>
      <c r="C762" s="573"/>
      <c r="D762" s="575"/>
      <c r="E762" s="575"/>
      <c r="F762" s="128"/>
      <c r="G762" s="577"/>
      <c r="H762" s="540"/>
      <c r="I762" s="579"/>
      <c r="J762" s="533"/>
      <c r="K762" s="126"/>
      <c r="L762" s="126"/>
      <c r="M762" s="126"/>
      <c r="N762" s="126"/>
      <c r="O762" s="314"/>
      <c r="P762" s="314"/>
      <c r="Q762" s="310"/>
      <c r="R762" s="314" t="str" cm="1">
        <f t="array" ref="R762">IFERROR(IF(INDEX('Disaggregation Records'!$G$156:$G$517,MATCH(RIGHT(L762,255),RIGHT('Disaggregation Records'!$D$156:$D$517,255),0))="","",INDEX('Disaggregation Records'!$G$156:$G$517,MATCH(RIGHT(L762,255),RIGHT('Disaggregation Records'!$D$156:$D$517,255),0))),"")</f>
        <v/>
      </c>
    </row>
    <row r="763" spans="1:18" ht="20.100000000000001" customHeight="1">
      <c r="A763" s="126" t="str">
        <f t="shared" ca="1" si="926"/>
        <v>a16Dm000000M3rKIAS</v>
      </c>
      <c r="B763" s="570">
        <v>4</v>
      </c>
      <c r="C763" s="572" t="str">
        <f ca="1">IFERROR(VLOOKUP(B763,'Coverage Indicators - Section D'!$A$9:$AO$94,41,FALSE),"")</f>
        <v>DRTB-2 Number of people with confirmed RR-TB and/or MDR-TB notified</v>
      </c>
      <c r="D763" s="574" t="str">
        <f ca="1">M763</f>
        <v/>
      </c>
      <c r="E763" s="574" t="str">
        <f ca="1">N763</f>
        <v/>
      </c>
      <c r="F763" s="127"/>
      <c r="G763" s="576" t="str">
        <f ca="1">IF(OR(INDIRECT("'update Helper'!E"&amp;Q763)="",F763&lt;&gt;0,F764&lt;&gt;0),IF(IFERROR((F763/F764),"")="","",(F763/F764)),INDIRECT("'update Helper'!E"&amp;Q763)/100)</f>
        <v/>
      </c>
      <c r="H763" s="539"/>
      <c r="I763" s="578"/>
      <c r="J763" s="532"/>
      <c r="K763" s="126">
        <f ca="1">IF(AND(EXACT(C763,C761),C761&lt;&gt;0),K761+1,0)</f>
        <v>11</v>
      </c>
      <c r="L763" s="126" t="str">
        <f t="shared" ref="L763" ca="1" si="935">IF(C763&lt;&gt;"",C763&amp;"-"&amp;K763,"")</f>
        <v>DRTB-2 Number of people with confirmed RR-TB and/or MDR-TB notified-11</v>
      </c>
      <c r="M763" s="126" t="str">
        <f t="array" aca="1" ref="M763" ca="1">IFERROR(IF(INDEX('Disaggregation Records'!$E$156:$E$517,MATCH(RIGHT(L763,255),RIGHT('Disaggregation Records'!$D$156:$D$517,255),0))="","",INDEX('Disaggregation Records'!$E$156:$E$517,MATCH(RIGHT(L763,255),RIGHT('Disaggregation Records'!$D$156:$D$517,255),0))),"")</f>
        <v/>
      </c>
      <c r="N763" s="126" t="str">
        <f t="array" aca="1" ref="N763" ca="1">IFERROR(IF(INDEX('Disaggregation Records'!$F$156:$F$517,MATCH(RIGHT(L763,255),RIGHT('Disaggregation Records'!$D$156:$D$517,255),0))="","",INDEX('Disaggregation Records'!$F$156:$F$517,MATCH(RIGHT(L763,255),RIGHT('Disaggregation Records'!$D$156:$D$517,255),0))),"")</f>
        <v/>
      </c>
      <c r="O763" s="314" t="str">
        <f t="array" aca="1" ref="O763" ca="1">IFERROR(IF(INDEX('Disaggregation Records'!$H$156:$H$517,MATCH(RIGHT(L763,255),RIGHT('Disaggregation Records'!$D$156:$D$517,255),0))="","",INDEX('Disaggregation Records'!$H$156:$H$517,MATCH(RIGHT(L763,255),RIGHT('Disaggregation Records'!$D$156:$D$517,255),0))),"")</f>
        <v/>
      </c>
      <c r="P763" s="314"/>
      <c r="Q763" s="310">
        <f t="shared" ref="Q763" si="936">Q761+1</f>
        <v>1683</v>
      </c>
      <c r="R763" s="314" t="str" cm="1">
        <f t="array" aca="1" ref="R763" ca="1">IFERROR(IF(INDEX('Disaggregation Records'!$G$156:$G$517,MATCH(RIGHT(L763,255),RIGHT('Disaggregation Records'!$D$156:$D$517,255),0))="","",INDEX('Disaggregation Records'!$G$156:$G$517,MATCH(RIGHT(L763,255),RIGHT('Disaggregation Records'!$D$156:$D$517,255),0))),"")</f>
        <v/>
      </c>
    </row>
    <row r="764" spans="1:18" ht="20.100000000000001" customHeight="1">
      <c r="B764" s="571"/>
      <c r="C764" s="573"/>
      <c r="D764" s="575"/>
      <c r="E764" s="575"/>
      <c r="F764" s="128"/>
      <c r="G764" s="577"/>
      <c r="H764" s="540"/>
      <c r="I764" s="579"/>
      <c r="J764" s="533"/>
      <c r="K764" s="126"/>
      <c r="L764" s="126"/>
      <c r="M764" s="126"/>
      <c r="N764" s="126"/>
      <c r="O764" s="314"/>
      <c r="P764" s="314"/>
      <c r="Q764" s="310"/>
      <c r="R764" s="314" t="str" cm="1">
        <f t="array" ref="R764">IFERROR(IF(INDEX('Disaggregation Records'!$G$156:$G$517,MATCH(RIGHT(L764,255),RIGHT('Disaggregation Records'!$D$156:$D$517,255),0))="","",INDEX('Disaggregation Records'!$G$156:$G$517,MATCH(RIGHT(L764,255),RIGHT('Disaggregation Records'!$D$156:$D$517,255),0))),"")</f>
        <v/>
      </c>
    </row>
    <row r="765" spans="1:18" ht="20.100000000000001" customHeight="1">
      <c r="A765" s="126" t="str">
        <f t="shared" ca="1" si="923"/>
        <v>a16Dm000000M3rLIAS</v>
      </c>
      <c r="B765" s="570">
        <v>4</v>
      </c>
      <c r="C765" s="572" t="str">
        <f ca="1">IFERROR(VLOOKUP(B765,'Coverage Indicators - Section D'!$A$9:$AO$94,41,FALSE),"")</f>
        <v>DRTB-2 Number of people with confirmed RR-TB and/or MDR-TB notified</v>
      </c>
      <c r="D765" s="574" t="str">
        <f ca="1">M765</f>
        <v/>
      </c>
      <c r="E765" s="574" t="str">
        <f ca="1">N765</f>
        <v/>
      </c>
      <c r="F765" s="127"/>
      <c r="G765" s="576" t="str">
        <f ca="1">IF(OR(INDIRECT("'update Helper'!E"&amp;Q765)="",F765&lt;&gt;0,F766&lt;&gt;0),IF(IFERROR((F765/F766),"")="","",(F765/F766)),INDIRECT("'update Helper'!E"&amp;Q765)/100)</f>
        <v/>
      </c>
      <c r="H765" s="539"/>
      <c r="I765" s="578"/>
      <c r="J765" s="532"/>
      <c r="K765" s="126">
        <f ca="1">IF(AND(EXACT(C765,C763),C763&lt;&gt;0),K763+1,0)</f>
        <v>12</v>
      </c>
      <c r="L765" s="126" t="str">
        <f t="shared" ref="L765" ca="1" si="937">IF(C765&lt;&gt;"",C765&amp;"-"&amp;K765,"")</f>
        <v>DRTB-2 Number of people with confirmed RR-TB and/or MDR-TB notified-12</v>
      </c>
      <c r="M765" s="126" t="str">
        <f t="array" aca="1" ref="M765" ca="1">IFERROR(IF(INDEX('Disaggregation Records'!$E$156:$E$517,MATCH(RIGHT(L765,255),RIGHT('Disaggregation Records'!$D$156:$D$517,255),0))="","",INDEX('Disaggregation Records'!$E$156:$E$517,MATCH(RIGHT(L765,255),RIGHT('Disaggregation Records'!$D$156:$D$517,255),0))),"")</f>
        <v/>
      </c>
      <c r="N765" s="126" t="str">
        <f t="array" aca="1" ref="N765" ca="1">IFERROR(IF(INDEX('Disaggregation Records'!$F$156:$F$517,MATCH(RIGHT(L765,255),RIGHT('Disaggregation Records'!$D$156:$D$517,255),0))="","",INDEX('Disaggregation Records'!$F$156:$F$517,MATCH(RIGHT(L765,255),RIGHT('Disaggregation Records'!$D$156:$D$517,255),0))),"")</f>
        <v/>
      </c>
      <c r="O765" s="314" t="str">
        <f t="array" aca="1" ref="O765" ca="1">IFERROR(IF(INDEX('Disaggregation Records'!$H$156:$H$517,MATCH(RIGHT(L765,255),RIGHT('Disaggregation Records'!$D$156:$D$517,255),0))="","",INDEX('Disaggregation Records'!$H$156:$H$517,MATCH(RIGHT(L765,255),RIGHT('Disaggregation Records'!$D$156:$D$517,255),0))),"")</f>
        <v/>
      </c>
      <c r="P765" s="310"/>
      <c r="Q765" s="310">
        <f t="shared" ref="Q765" si="938">Q763+1</f>
        <v>1684</v>
      </c>
      <c r="R765" s="314" t="str" cm="1">
        <f t="array" aca="1" ref="R765" ca="1">IFERROR(IF(INDEX('Disaggregation Records'!$G$156:$G$517,MATCH(RIGHT(L765,255),RIGHT('Disaggregation Records'!$D$156:$D$517,255),0))="","",INDEX('Disaggregation Records'!$G$156:$G$517,MATCH(RIGHT(L765,255),RIGHT('Disaggregation Records'!$D$156:$D$517,255),0))),"")</f>
        <v/>
      </c>
    </row>
    <row r="766" spans="1:18" ht="20.100000000000001" customHeight="1">
      <c r="A766" s="126"/>
      <c r="B766" s="571"/>
      <c r="C766" s="573"/>
      <c r="D766" s="575"/>
      <c r="E766" s="575"/>
      <c r="F766" s="128"/>
      <c r="G766" s="577"/>
      <c r="H766" s="540"/>
      <c r="I766" s="579"/>
      <c r="J766" s="533"/>
      <c r="L766" s="126"/>
      <c r="N766" s="126"/>
      <c r="O766" s="314"/>
      <c r="P766" s="310"/>
      <c r="Q766" s="310"/>
      <c r="R766" s="314" t="str" cm="1">
        <f t="array" ref="R766">IFERROR(IF(INDEX('Disaggregation Records'!$G$156:$G$517,MATCH(RIGHT(L766,255),RIGHT('Disaggregation Records'!$D$156:$D$517,255),0))="","",INDEX('Disaggregation Records'!$G$156:$G$517,MATCH(RIGHT(L766,255),RIGHT('Disaggregation Records'!$D$156:$D$517,255),0))),"")</f>
        <v/>
      </c>
    </row>
    <row r="767" spans="1:18" ht="20.100000000000001" customHeight="1">
      <c r="A767" s="126" t="str">
        <f t="shared" ca="1" si="926"/>
        <v>a16Dm000000M3rMIAS</v>
      </c>
      <c r="B767" s="570">
        <v>4</v>
      </c>
      <c r="C767" s="572" t="str">
        <f ca="1">IFERROR(VLOOKUP(B767,'Coverage Indicators - Section D'!$A$9:$AO$94,41,FALSE),"")</f>
        <v>DRTB-2 Number of people with confirmed RR-TB and/or MDR-TB notified</v>
      </c>
      <c r="D767" s="574" t="str">
        <f ca="1">M767</f>
        <v/>
      </c>
      <c r="E767" s="574" t="str">
        <f ca="1">N767</f>
        <v/>
      </c>
      <c r="F767" s="127"/>
      <c r="G767" s="576" t="str">
        <f ca="1">IF(OR(INDIRECT("'update Helper'!E"&amp;Q767)="",F767&lt;&gt;0,F768&lt;&gt;0),IF(IFERROR((F767/F768),"")="","",(F767/F768)),INDIRECT("'update Helper'!E"&amp;Q767)/100)</f>
        <v/>
      </c>
      <c r="H767" s="539"/>
      <c r="I767" s="578"/>
      <c r="J767" s="532"/>
      <c r="K767" s="126">
        <f ca="1">IF(AND(EXACT(C767,C765),C765&lt;&gt;0),K765+1,0)</f>
        <v>13</v>
      </c>
      <c r="L767" s="126" t="str">
        <f t="shared" ref="L767" ca="1" si="939">IF(C767&lt;&gt;"",C767&amp;"-"&amp;K767,"")</f>
        <v>DRTB-2 Number of people with confirmed RR-TB and/or MDR-TB notified-13</v>
      </c>
      <c r="M767" s="126" t="str">
        <f t="array" aca="1" ref="M767" ca="1">IFERROR(IF(INDEX('Disaggregation Records'!$E$156:$E$517,MATCH(RIGHT(L767,255),RIGHT('Disaggregation Records'!$D$156:$D$517,255),0))="","",INDEX('Disaggregation Records'!$E$156:$E$517,MATCH(RIGHT(L767,255),RIGHT('Disaggregation Records'!$D$156:$D$517,255),0))),"")</f>
        <v/>
      </c>
      <c r="N767" s="126" t="str">
        <f t="array" aca="1" ref="N767" ca="1">IFERROR(IF(INDEX('Disaggregation Records'!$F$156:$F$517,MATCH(RIGHT(L767,255),RIGHT('Disaggregation Records'!$D$156:$D$517,255),0))="","",INDEX('Disaggregation Records'!$F$156:$F$517,MATCH(RIGHT(L767,255),RIGHT('Disaggregation Records'!$D$156:$D$517,255),0))),"")</f>
        <v/>
      </c>
      <c r="O767" s="314" t="str">
        <f t="array" aca="1" ref="O767" ca="1">IFERROR(IF(INDEX('Disaggregation Records'!$H$156:$H$517,MATCH(RIGHT(L767,255),RIGHT('Disaggregation Records'!$D$156:$D$517,255),0))="","",INDEX('Disaggregation Records'!$H$156:$H$517,MATCH(RIGHT(L767,255),RIGHT('Disaggregation Records'!$D$156:$D$517,255),0))),"")</f>
        <v/>
      </c>
      <c r="P767" s="310"/>
      <c r="Q767" s="310">
        <f t="shared" ref="Q767" si="940">Q765+1</f>
        <v>1685</v>
      </c>
      <c r="R767" s="314" t="str" cm="1">
        <f t="array" aca="1" ref="R767" ca="1">IFERROR(IF(INDEX('Disaggregation Records'!$G$156:$G$517,MATCH(RIGHT(L767,255),RIGHT('Disaggregation Records'!$D$156:$D$517,255),0))="","",INDEX('Disaggregation Records'!$G$156:$G$517,MATCH(RIGHT(L767,255),RIGHT('Disaggregation Records'!$D$156:$D$517,255),0))),"")</f>
        <v/>
      </c>
    </row>
    <row r="768" spans="1:18" ht="20.100000000000001" customHeight="1">
      <c r="B768" s="571"/>
      <c r="C768" s="573"/>
      <c r="D768" s="575"/>
      <c r="E768" s="575"/>
      <c r="F768" s="128"/>
      <c r="G768" s="577"/>
      <c r="H768" s="540"/>
      <c r="I768" s="579"/>
      <c r="J768" s="533"/>
      <c r="L768" s="126"/>
      <c r="N768" s="126"/>
      <c r="O768" s="314"/>
      <c r="P768" s="310"/>
      <c r="Q768" s="310"/>
      <c r="R768" s="314" t="str" cm="1">
        <f t="array" ref="R768">IFERROR(IF(INDEX('Disaggregation Records'!$G$156:$G$517,MATCH(RIGHT(L768,255),RIGHT('Disaggregation Records'!$D$156:$D$517,255),0))="","",INDEX('Disaggregation Records'!$G$156:$G$517,MATCH(RIGHT(L768,255),RIGHT('Disaggregation Records'!$D$156:$D$517,255),0))),"")</f>
        <v/>
      </c>
    </row>
    <row r="769" spans="1:18" ht="20.100000000000001" customHeight="1">
      <c r="A769" s="126" t="str">
        <f t="shared" ca="1" si="923"/>
        <v>a16Dm000000M3rNIAS</v>
      </c>
      <c r="B769" s="570">
        <v>4</v>
      </c>
      <c r="C769" s="572" t="str">
        <f ca="1">IFERROR(VLOOKUP(B769,'Coverage Indicators - Section D'!$A$9:$AO$94,41,FALSE),"")</f>
        <v>DRTB-2 Number of people with confirmed RR-TB and/or MDR-TB notified</v>
      </c>
      <c r="D769" s="574" t="str">
        <f ca="1">M769</f>
        <v/>
      </c>
      <c r="E769" s="574" t="str">
        <f ca="1">N769</f>
        <v/>
      </c>
      <c r="F769" s="127"/>
      <c r="G769" s="576" t="str">
        <f ca="1">IF(OR(INDIRECT("'update Helper'!E"&amp;Q769)="",F769&lt;&gt;0,F770&lt;&gt;0),IF(IFERROR((F769/F770),"")="","",(F769/F770)),INDIRECT("'update Helper'!E"&amp;Q769)/100)</f>
        <v/>
      </c>
      <c r="H769" s="539"/>
      <c r="I769" s="578"/>
      <c r="J769" s="532"/>
      <c r="K769" s="126">
        <f ca="1">IF(AND(EXACT(C769,C767),C767&lt;&gt;0),K767+1,0)</f>
        <v>14</v>
      </c>
      <c r="L769" s="126" t="str">
        <f t="shared" ref="L769" ca="1" si="941">IF(C769&lt;&gt;"",C769&amp;"-"&amp;K769,"")</f>
        <v>DRTB-2 Number of people with confirmed RR-TB and/or MDR-TB notified-14</v>
      </c>
      <c r="M769" s="126" t="str">
        <f t="array" aca="1" ref="M769" ca="1">IFERROR(IF(INDEX('Disaggregation Records'!$E$156:$E$517,MATCH(RIGHT(L769,255),RIGHT('Disaggregation Records'!$D$156:$D$517,255),0))="","",INDEX('Disaggregation Records'!$E$156:$E$517,MATCH(RIGHT(L769,255),RIGHT('Disaggregation Records'!$D$156:$D$517,255),0))),"")</f>
        <v/>
      </c>
      <c r="N769" s="126" t="str">
        <f t="array" aca="1" ref="N769" ca="1">IFERROR(IF(INDEX('Disaggregation Records'!$F$156:$F$517,MATCH(RIGHT(L769,255),RIGHT('Disaggregation Records'!$D$156:$D$517,255),0))="","",INDEX('Disaggregation Records'!$F$156:$F$517,MATCH(RIGHT(L769,255),RIGHT('Disaggregation Records'!$D$156:$D$517,255),0))),"")</f>
        <v/>
      </c>
      <c r="O769" s="314" t="str">
        <f t="array" aca="1" ref="O769" ca="1">IFERROR(IF(INDEX('Disaggregation Records'!$H$156:$H$517,MATCH(RIGHT(L769,255),RIGHT('Disaggregation Records'!$D$156:$D$517,255),0))="","",INDEX('Disaggregation Records'!$H$156:$H$517,MATCH(RIGHT(L769,255),RIGHT('Disaggregation Records'!$D$156:$D$517,255),0))),"")</f>
        <v/>
      </c>
      <c r="P769" s="310"/>
      <c r="Q769" s="310">
        <f t="shared" ref="Q769" si="942">Q767+1</f>
        <v>1686</v>
      </c>
      <c r="R769" s="314" t="str" cm="1">
        <f t="array" aca="1" ref="R769" ca="1">IFERROR(IF(INDEX('Disaggregation Records'!$G$156:$G$517,MATCH(RIGHT(L769,255),RIGHT('Disaggregation Records'!$D$156:$D$517,255),0))="","",INDEX('Disaggregation Records'!$G$156:$G$517,MATCH(RIGHT(L769,255),RIGHT('Disaggregation Records'!$D$156:$D$517,255),0))),"")</f>
        <v/>
      </c>
    </row>
    <row r="770" spans="1:18" ht="20.100000000000001" customHeight="1">
      <c r="A770" s="126"/>
      <c r="B770" s="571"/>
      <c r="C770" s="573"/>
      <c r="D770" s="575"/>
      <c r="E770" s="575"/>
      <c r="F770" s="128"/>
      <c r="G770" s="577"/>
      <c r="H770" s="540"/>
      <c r="I770" s="579"/>
      <c r="J770" s="533"/>
      <c r="L770" s="126"/>
      <c r="N770" s="126"/>
      <c r="O770" s="314"/>
      <c r="P770" s="310"/>
      <c r="Q770" s="310"/>
      <c r="R770" s="314" t="str" cm="1">
        <f t="array" ref="R770">IFERROR(IF(INDEX('Disaggregation Records'!$G$156:$G$517,MATCH(RIGHT(L770,255),RIGHT('Disaggregation Records'!$D$156:$D$517,255),0))="","",INDEX('Disaggregation Records'!$G$156:$G$517,MATCH(RIGHT(L770,255),RIGHT('Disaggregation Records'!$D$156:$D$517,255),0))),"")</f>
        <v/>
      </c>
    </row>
    <row r="771" spans="1:18" ht="20.100000000000001" customHeight="1">
      <c r="A771" s="126" t="str">
        <f t="shared" ca="1" si="926"/>
        <v>a16Dm000000M3rOIAS</v>
      </c>
      <c r="B771" s="570">
        <v>4</v>
      </c>
      <c r="C771" s="572" t="str">
        <f ca="1">IFERROR(VLOOKUP(B771,'Coverage Indicators - Section D'!$A$9:$AO$94,41,FALSE),"")</f>
        <v>DRTB-2 Number of people with confirmed RR-TB and/or MDR-TB notified</v>
      </c>
      <c r="D771" s="574" t="str">
        <f ca="1">M771</f>
        <v/>
      </c>
      <c r="E771" s="574" t="str">
        <f ca="1">N771</f>
        <v/>
      </c>
      <c r="F771" s="127"/>
      <c r="G771" s="576" t="str">
        <f ca="1">IF(OR(INDIRECT("'update Helper'!E"&amp;Q771)="",F771&lt;&gt;0,F772&lt;&gt;0),IF(IFERROR((F771/F772),"")="","",(F771/F772)),INDIRECT("'update Helper'!E"&amp;Q771)/100)</f>
        <v/>
      </c>
      <c r="H771" s="539"/>
      <c r="I771" s="578"/>
      <c r="J771" s="532"/>
      <c r="K771" s="126">
        <f ca="1">IF(AND(EXACT(C771,C769),C769&lt;&gt;0),K769+1,0)</f>
        <v>15</v>
      </c>
      <c r="L771" s="126" t="str">
        <f t="shared" ref="L771" ca="1" si="943">IF(C771&lt;&gt;"",C771&amp;"-"&amp;K771,"")</f>
        <v>DRTB-2 Number of people with confirmed RR-TB and/or MDR-TB notified-15</v>
      </c>
      <c r="M771" s="126" t="str">
        <f t="array" aca="1" ref="M771" ca="1">IFERROR(IF(INDEX('Disaggregation Records'!$E$156:$E$517,MATCH(RIGHT(L771,255),RIGHT('Disaggregation Records'!$D$156:$D$517,255),0))="","",INDEX('Disaggregation Records'!$E$156:$E$517,MATCH(RIGHT(L771,255),RIGHT('Disaggregation Records'!$D$156:$D$517,255),0))),"")</f>
        <v/>
      </c>
      <c r="N771" s="126" t="str">
        <f t="array" aca="1" ref="N771" ca="1">IFERROR(IF(INDEX('Disaggregation Records'!$F$156:$F$517,MATCH(RIGHT(L771,255),RIGHT('Disaggregation Records'!$D$156:$D$517,255),0))="","",INDEX('Disaggregation Records'!$F$156:$F$517,MATCH(RIGHT(L771,255),RIGHT('Disaggregation Records'!$D$156:$D$517,255),0))),"")</f>
        <v/>
      </c>
      <c r="O771" s="314" t="str">
        <f t="array" aca="1" ref="O771" ca="1">IFERROR(IF(INDEX('Disaggregation Records'!$H$156:$H$517,MATCH(RIGHT(L771,255),RIGHT('Disaggregation Records'!$D$156:$D$517,255),0))="","",INDEX('Disaggregation Records'!$H$156:$H$517,MATCH(RIGHT(L771,255),RIGHT('Disaggregation Records'!$D$156:$D$517,255),0))),"")</f>
        <v/>
      </c>
      <c r="P771" s="314"/>
      <c r="Q771" s="310">
        <f t="shared" ref="Q771" si="944">Q769+1</f>
        <v>1687</v>
      </c>
      <c r="R771" s="314" t="str" cm="1">
        <f t="array" aca="1" ref="R771" ca="1">IFERROR(IF(INDEX('Disaggregation Records'!$G$156:$G$517,MATCH(RIGHT(L771,255),RIGHT('Disaggregation Records'!$D$156:$D$517,255),0))="","",INDEX('Disaggregation Records'!$G$156:$G$517,MATCH(RIGHT(L771,255),RIGHT('Disaggregation Records'!$D$156:$D$517,255),0))),"")</f>
        <v/>
      </c>
    </row>
    <row r="772" spans="1:18" ht="20.100000000000001" customHeight="1">
      <c r="B772" s="571"/>
      <c r="C772" s="573"/>
      <c r="D772" s="575"/>
      <c r="E772" s="575"/>
      <c r="F772" s="128"/>
      <c r="G772" s="577"/>
      <c r="H772" s="540"/>
      <c r="I772" s="579"/>
      <c r="J772" s="533"/>
      <c r="K772" s="126"/>
      <c r="L772" s="126"/>
      <c r="M772" s="126"/>
      <c r="N772" s="126"/>
      <c r="O772" s="314"/>
      <c r="P772" s="314"/>
      <c r="Q772" s="310"/>
      <c r="R772" s="314" t="str" cm="1">
        <f t="array" ref="R772">IFERROR(IF(INDEX('Disaggregation Records'!$G$156:$G$517,MATCH(RIGHT(L772,255),RIGHT('Disaggregation Records'!$D$156:$D$517,255),0))="","",INDEX('Disaggregation Records'!$G$156:$G$517,MATCH(RIGHT(L772,255),RIGHT('Disaggregation Records'!$D$156:$D$517,255),0))),"")</f>
        <v/>
      </c>
    </row>
    <row r="773" spans="1:18" ht="20.100000000000001" customHeight="1">
      <c r="A773" s="126" t="str">
        <f t="shared" ca="1" si="923"/>
        <v>a16Dm000000M3rPIAS</v>
      </c>
      <c r="B773" s="570">
        <v>4</v>
      </c>
      <c r="C773" s="572" t="str">
        <f ca="1">IFERROR(VLOOKUP(B773,'Coverage Indicators - Section D'!$A$9:$AO$94,41,FALSE),"")</f>
        <v>DRTB-2 Number of people with confirmed RR-TB and/or MDR-TB notified</v>
      </c>
      <c r="D773" s="574" t="str">
        <f ca="1">M773</f>
        <v/>
      </c>
      <c r="E773" s="574" t="str">
        <f ca="1">N773</f>
        <v/>
      </c>
      <c r="F773" s="127"/>
      <c r="G773" s="576" t="str">
        <f ca="1">IF(OR(INDIRECT("'update Helper'!E"&amp;Q773)="",F773&lt;&gt;0,F774&lt;&gt;0),IF(IFERROR((F773/F774),"")="","",(F773/F774)),INDIRECT("'update Helper'!E"&amp;Q773)/100)</f>
        <v/>
      </c>
      <c r="H773" s="539"/>
      <c r="I773" s="578"/>
      <c r="J773" s="532"/>
      <c r="K773" s="126">
        <f ca="1">IF(AND(EXACT(C773,C771),C771&lt;&gt;0),K771+1,0)</f>
        <v>16</v>
      </c>
      <c r="L773" s="126" t="str">
        <f t="shared" ref="L773" ca="1" si="945">IF(C773&lt;&gt;"",C773&amp;"-"&amp;K773,"")</f>
        <v>DRTB-2 Number of people with confirmed RR-TB and/or MDR-TB notified-16</v>
      </c>
      <c r="M773" s="126" t="str">
        <f t="array" aca="1" ref="M773" ca="1">IFERROR(IF(INDEX('Disaggregation Records'!$E$156:$E$517,MATCH(RIGHT(L773,255),RIGHT('Disaggregation Records'!$D$156:$D$517,255),0))="","",INDEX('Disaggregation Records'!$E$156:$E$517,MATCH(RIGHT(L773,255),RIGHT('Disaggregation Records'!$D$156:$D$517,255),0))),"")</f>
        <v/>
      </c>
      <c r="N773" s="126" t="str">
        <f t="array" aca="1" ref="N773" ca="1">IFERROR(IF(INDEX('Disaggregation Records'!$F$156:$F$517,MATCH(RIGHT(L773,255),RIGHT('Disaggregation Records'!$D$156:$D$517,255),0))="","",INDEX('Disaggregation Records'!$F$156:$F$517,MATCH(RIGHT(L773,255),RIGHT('Disaggregation Records'!$D$156:$D$517,255),0))),"")</f>
        <v/>
      </c>
      <c r="O773" s="314" t="str">
        <f t="array" aca="1" ref="O773" ca="1">IFERROR(IF(INDEX('Disaggregation Records'!$H$156:$H$517,MATCH(RIGHT(L773,255),RIGHT('Disaggregation Records'!$D$156:$D$517,255),0))="","",INDEX('Disaggregation Records'!$H$156:$H$517,MATCH(RIGHT(L773,255),RIGHT('Disaggregation Records'!$D$156:$D$517,255),0))),"")</f>
        <v/>
      </c>
      <c r="P773" s="314"/>
      <c r="Q773" s="310">
        <f t="shared" ref="Q773" si="946">Q771+1</f>
        <v>1688</v>
      </c>
      <c r="R773" s="314" t="str" cm="1">
        <f t="array" aca="1" ref="R773" ca="1">IFERROR(IF(INDEX('Disaggregation Records'!$G$156:$G$517,MATCH(RIGHT(L773,255),RIGHT('Disaggregation Records'!$D$156:$D$517,255),0))="","",INDEX('Disaggregation Records'!$G$156:$G$517,MATCH(RIGHT(L773,255),RIGHT('Disaggregation Records'!$D$156:$D$517,255),0))),"")</f>
        <v/>
      </c>
    </row>
    <row r="774" spans="1:18" ht="20.100000000000001" customHeight="1">
      <c r="A774" s="126"/>
      <c r="B774" s="571"/>
      <c r="C774" s="573"/>
      <c r="D774" s="575"/>
      <c r="E774" s="575"/>
      <c r="F774" s="128"/>
      <c r="G774" s="577"/>
      <c r="H774" s="540"/>
      <c r="I774" s="579"/>
      <c r="J774" s="533"/>
      <c r="K774" s="126"/>
      <c r="L774" s="126"/>
      <c r="M774" s="126"/>
      <c r="N774" s="126"/>
      <c r="O774" s="314"/>
      <c r="P774" s="314"/>
      <c r="Q774" s="310"/>
      <c r="R774" s="314" t="str" cm="1">
        <f t="array" ref="R774">IFERROR(IF(INDEX('Disaggregation Records'!$G$156:$G$517,MATCH(RIGHT(L774,255),RIGHT('Disaggregation Records'!$D$156:$D$517,255),0))="","",INDEX('Disaggregation Records'!$G$156:$G$517,MATCH(RIGHT(L774,255),RIGHT('Disaggregation Records'!$D$156:$D$517,255),0))),"")</f>
        <v/>
      </c>
    </row>
    <row r="775" spans="1:18" ht="20.100000000000001" customHeight="1">
      <c r="A775" s="126" t="str">
        <f t="shared" ca="1" si="926"/>
        <v>a16Dm000000M3rQIAS</v>
      </c>
      <c r="B775" s="570">
        <v>4</v>
      </c>
      <c r="C775" s="572" t="str">
        <f ca="1">IFERROR(VLOOKUP(B775,'Coverage Indicators - Section D'!$A$9:$AO$94,41,FALSE),"")</f>
        <v>DRTB-2 Number of people with confirmed RR-TB and/or MDR-TB notified</v>
      </c>
      <c r="D775" s="574" t="str">
        <f ca="1">M775</f>
        <v/>
      </c>
      <c r="E775" s="574" t="str">
        <f ca="1">N775</f>
        <v/>
      </c>
      <c r="F775" s="127"/>
      <c r="G775" s="576" t="str">
        <f ca="1">IF(OR(INDIRECT("'update Helper'!E"&amp;Q775)="",F775&lt;&gt;0,F776&lt;&gt;0),IF(IFERROR((F775/F776),"")="","",(F775/F776)),INDIRECT("'update Helper'!E"&amp;Q775)/100)</f>
        <v/>
      </c>
      <c r="H775" s="539"/>
      <c r="I775" s="578"/>
      <c r="J775" s="532"/>
      <c r="K775" s="126">
        <f ca="1">IF(AND(EXACT(C775,C773),C773&lt;&gt;0),K773+1,0)</f>
        <v>17</v>
      </c>
      <c r="L775" s="126" t="str">
        <f t="shared" ref="L775" ca="1" si="947">IF(C775&lt;&gt;"",C775&amp;"-"&amp;K775,"")</f>
        <v>DRTB-2 Number of people with confirmed RR-TB and/or MDR-TB notified-17</v>
      </c>
      <c r="M775" s="126" t="str">
        <f t="array" aca="1" ref="M775" ca="1">IFERROR(IF(INDEX('Disaggregation Records'!$E$156:$E$517,MATCH(RIGHT(L775,255),RIGHT('Disaggregation Records'!$D$156:$D$517,255),0))="","",INDEX('Disaggregation Records'!$E$156:$E$517,MATCH(RIGHT(L775,255),RIGHT('Disaggregation Records'!$D$156:$D$517,255),0))),"")</f>
        <v/>
      </c>
      <c r="N775" s="126" t="str">
        <f t="array" aca="1" ref="N775" ca="1">IFERROR(IF(INDEX('Disaggregation Records'!$F$156:$F$517,MATCH(RIGHT(L775,255),RIGHT('Disaggregation Records'!$D$156:$D$517,255),0))="","",INDEX('Disaggregation Records'!$F$156:$F$517,MATCH(RIGHT(L775,255),RIGHT('Disaggregation Records'!$D$156:$D$517,255),0))),"")</f>
        <v/>
      </c>
      <c r="O775" s="314" t="str">
        <f t="array" aca="1" ref="O775" ca="1">IFERROR(IF(INDEX('Disaggregation Records'!$H$156:$H$517,MATCH(RIGHT(L775,255),RIGHT('Disaggregation Records'!$D$156:$D$517,255),0))="","",INDEX('Disaggregation Records'!$H$156:$H$517,MATCH(RIGHT(L775,255),RIGHT('Disaggregation Records'!$D$156:$D$517,255),0))),"")</f>
        <v/>
      </c>
      <c r="P775" s="310"/>
      <c r="Q775" s="310">
        <f t="shared" ref="Q775" si="948">Q773+1</f>
        <v>1689</v>
      </c>
      <c r="R775" s="314" t="str" cm="1">
        <f t="array" aca="1" ref="R775" ca="1">IFERROR(IF(INDEX('Disaggregation Records'!$G$156:$G$517,MATCH(RIGHT(L775,255),RIGHT('Disaggregation Records'!$D$156:$D$517,255),0))="","",INDEX('Disaggregation Records'!$G$156:$G$517,MATCH(RIGHT(L775,255),RIGHT('Disaggregation Records'!$D$156:$D$517,255),0))),"")</f>
        <v/>
      </c>
    </row>
    <row r="776" spans="1:18" ht="20.100000000000001" customHeight="1">
      <c r="B776" s="571"/>
      <c r="C776" s="573"/>
      <c r="D776" s="575"/>
      <c r="E776" s="575"/>
      <c r="F776" s="128"/>
      <c r="G776" s="577"/>
      <c r="H776" s="540"/>
      <c r="I776" s="579"/>
      <c r="J776" s="533"/>
      <c r="L776" s="126"/>
      <c r="N776" s="126"/>
      <c r="O776" s="314"/>
      <c r="P776" s="310"/>
      <c r="Q776" s="310"/>
      <c r="R776" s="314" t="str" cm="1">
        <f t="array" ref="R776">IFERROR(IF(INDEX('Disaggregation Records'!$G$156:$G$517,MATCH(RIGHT(L776,255),RIGHT('Disaggregation Records'!$D$156:$D$517,255),0))="","",INDEX('Disaggregation Records'!$G$156:$G$517,MATCH(RIGHT(L776,255),RIGHT('Disaggregation Records'!$D$156:$D$517,255),0))),"")</f>
        <v/>
      </c>
    </row>
    <row r="777" spans="1:18" ht="20.100000000000001" customHeight="1">
      <c r="A777" s="126" t="str">
        <f t="shared" ca="1" si="923"/>
        <v>a16Dm000000M3rRIAS</v>
      </c>
      <c r="B777" s="570">
        <v>4</v>
      </c>
      <c r="C777" s="572" t="str">
        <f ca="1">IFERROR(VLOOKUP(B777,'Coverage Indicators - Section D'!$A$9:$AO$94,41,FALSE),"")</f>
        <v>DRTB-2 Number of people with confirmed RR-TB and/or MDR-TB notified</v>
      </c>
      <c r="D777" s="574" t="str">
        <f ca="1">M777</f>
        <v/>
      </c>
      <c r="E777" s="574" t="str">
        <f ca="1">N777</f>
        <v/>
      </c>
      <c r="F777" s="127"/>
      <c r="G777" s="576" t="str">
        <f ca="1">IF(OR(INDIRECT("'update Helper'!E"&amp;Q777)="",F777&lt;&gt;0,F778&lt;&gt;0),IF(IFERROR((F777/F778),"")="","",(F777/F778)),INDIRECT("'update Helper'!E"&amp;Q777)/100)</f>
        <v/>
      </c>
      <c r="H777" s="539"/>
      <c r="I777" s="578"/>
      <c r="J777" s="532"/>
      <c r="K777" s="126">
        <f ca="1">IF(AND(EXACT(C777,C775),C775&lt;&gt;0),K775+1,0)</f>
        <v>18</v>
      </c>
      <c r="L777" s="126" t="str">
        <f t="shared" ref="L777" ca="1" si="949">IF(C777&lt;&gt;"",C777&amp;"-"&amp;K777,"")</f>
        <v>DRTB-2 Number of people with confirmed RR-TB and/or MDR-TB notified-18</v>
      </c>
      <c r="M777" s="126" t="str">
        <f t="array" aca="1" ref="M777" ca="1">IFERROR(IF(INDEX('Disaggregation Records'!$E$156:$E$517,MATCH(RIGHT(L777,255),RIGHT('Disaggregation Records'!$D$156:$D$517,255),0))="","",INDEX('Disaggregation Records'!$E$156:$E$517,MATCH(RIGHT(L777,255),RIGHT('Disaggregation Records'!$D$156:$D$517,255),0))),"")</f>
        <v/>
      </c>
      <c r="N777" s="126" t="str">
        <f t="array" aca="1" ref="N777" ca="1">IFERROR(IF(INDEX('Disaggregation Records'!$F$156:$F$517,MATCH(RIGHT(L777,255),RIGHT('Disaggregation Records'!$D$156:$D$517,255),0))="","",INDEX('Disaggregation Records'!$F$156:$F$517,MATCH(RIGHT(L777,255),RIGHT('Disaggregation Records'!$D$156:$D$517,255),0))),"")</f>
        <v/>
      </c>
      <c r="O777" s="314" t="str">
        <f t="array" aca="1" ref="O777" ca="1">IFERROR(IF(INDEX('Disaggregation Records'!$H$156:$H$517,MATCH(RIGHT(L777,255),RIGHT('Disaggregation Records'!$D$156:$D$517,255),0))="","",INDEX('Disaggregation Records'!$H$156:$H$517,MATCH(RIGHT(L777,255),RIGHT('Disaggregation Records'!$D$156:$D$517,255),0))),"")</f>
        <v/>
      </c>
      <c r="P777" s="310"/>
      <c r="Q777" s="310">
        <f t="shared" ref="Q777" si="950">Q775+1</f>
        <v>1690</v>
      </c>
      <c r="R777" s="314" t="str" cm="1">
        <f t="array" aca="1" ref="R777" ca="1">IFERROR(IF(INDEX('Disaggregation Records'!$G$156:$G$517,MATCH(RIGHT(L777,255),RIGHT('Disaggregation Records'!$D$156:$D$517,255),0))="","",INDEX('Disaggregation Records'!$G$156:$G$517,MATCH(RIGHT(L777,255),RIGHT('Disaggregation Records'!$D$156:$D$517,255),0))),"")</f>
        <v/>
      </c>
    </row>
    <row r="778" spans="1:18" ht="20.100000000000001" customHeight="1">
      <c r="A778" s="126"/>
      <c r="B778" s="571"/>
      <c r="C778" s="573"/>
      <c r="D778" s="575"/>
      <c r="E778" s="575"/>
      <c r="F778" s="128"/>
      <c r="G778" s="577"/>
      <c r="H778" s="540"/>
      <c r="I778" s="579"/>
      <c r="J778" s="533"/>
      <c r="L778" s="126"/>
      <c r="N778" s="126"/>
      <c r="O778" s="314"/>
      <c r="P778" s="310"/>
      <c r="Q778" s="310"/>
      <c r="R778" s="314" t="str" cm="1">
        <f t="array" ref="R778">IFERROR(IF(INDEX('Disaggregation Records'!$G$156:$G$517,MATCH(RIGHT(L778,255),RIGHT('Disaggregation Records'!$D$156:$D$517,255),0))="","",INDEX('Disaggregation Records'!$G$156:$G$517,MATCH(RIGHT(L778,255),RIGHT('Disaggregation Records'!$D$156:$D$517,255),0))),"")</f>
        <v/>
      </c>
    </row>
    <row r="779" spans="1:18" ht="20.100000000000001" customHeight="1">
      <c r="A779" s="126" t="str">
        <f t="shared" ca="1" si="926"/>
        <v>a16Dm000000M3rSIAS</v>
      </c>
      <c r="B779" s="570">
        <v>4</v>
      </c>
      <c r="C779" s="572" t="str">
        <f ca="1">IFERROR(VLOOKUP(B779,'Coverage Indicators - Section D'!$A$9:$AO$94,41,FALSE),"")</f>
        <v>DRTB-2 Number of people with confirmed RR-TB and/or MDR-TB notified</v>
      </c>
      <c r="D779" s="574" t="str">
        <f ca="1">M779</f>
        <v/>
      </c>
      <c r="E779" s="574" t="str">
        <f ca="1">N779</f>
        <v/>
      </c>
      <c r="F779" s="127"/>
      <c r="G779" s="576" t="str">
        <f ca="1">IF(OR(INDIRECT("'update Helper'!E"&amp;Q779)="",F779&lt;&gt;0,F780&lt;&gt;0),IF(IFERROR((F779/F780),"")="","",(F779/F780)),INDIRECT("'update Helper'!E"&amp;Q779)/100)</f>
        <v/>
      </c>
      <c r="H779" s="539"/>
      <c r="I779" s="578"/>
      <c r="J779" s="532"/>
      <c r="K779" s="126">
        <f ca="1">IF(AND(EXACT(C779,C777),C777&lt;&gt;0),K777+1,0)</f>
        <v>19</v>
      </c>
      <c r="L779" s="126" t="str">
        <f t="shared" ref="L779" ca="1" si="951">IF(C779&lt;&gt;"",C779&amp;"-"&amp;K779,"")</f>
        <v>DRTB-2 Number of people with confirmed RR-TB and/or MDR-TB notified-19</v>
      </c>
      <c r="M779" s="126" t="str">
        <f t="array" aca="1" ref="M779" ca="1">IFERROR(IF(INDEX('Disaggregation Records'!$E$156:$E$517,MATCH(RIGHT(L779,255),RIGHT('Disaggregation Records'!$D$156:$D$517,255),0))="","",INDEX('Disaggregation Records'!$E$156:$E$517,MATCH(RIGHT(L779,255),RIGHT('Disaggregation Records'!$D$156:$D$517,255),0))),"")</f>
        <v/>
      </c>
      <c r="N779" s="126" t="str">
        <f t="array" aca="1" ref="N779" ca="1">IFERROR(IF(INDEX('Disaggregation Records'!$F$156:$F$517,MATCH(RIGHT(L779,255),RIGHT('Disaggregation Records'!$D$156:$D$517,255),0))="","",INDEX('Disaggregation Records'!$F$156:$F$517,MATCH(RIGHT(L779,255),RIGHT('Disaggregation Records'!$D$156:$D$517,255),0))),"")</f>
        <v/>
      </c>
      <c r="O779" s="314" t="str">
        <f t="array" aca="1" ref="O779" ca="1">IFERROR(IF(INDEX('Disaggregation Records'!$H$156:$H$517,MATCH(RIGHT(L779,255),RIGHT('Disaggregation Records'!$D$156:$D$517,255),0))="","",INDEX('Disaggregation Records'!$H$156:$H$517,MATCH(RIGHT(L779,255),RIGHT('Disaggregation Records'!$D$156:$D$517,255),0))),"")</f>
        <v/>
      </c>
      <c r="P779" s="310"/>
      <c r="Q779" s="310">
        <f t="shared" ref="Q779" si="952">Q777+1</f>
        <v>1691</v>
      </c>
      <c r="R779" s="314" t="str" cm="1">
        <f t="array" aca="1" ref="R779" ca="1">IFERROR(IF(INDEX('Disaggregation Records'!$G$156:$G$517,MATCH(RIGHT(L779,255),RIGHT('Disaggregation Records'!$D$156:$D$517,255),0))="","",INDEX('Disaggregation Records'!$G$156:$G$517,MATCH(RIGHT(L779,255),RIGHT('Disaggregation Records'!$D$156:$D$517,255),0))),"")</f>
        <v/>
      </c>
    </row>
    <row r="780" spans="1:18" ht="20.100000000000001" customHeight="1">
      <c r="B780" s="571"/>
      <c r="C780" s="573"/>
      <c r="D780" s="575"/>
      <c r="E780" s="575"/>
      <c r="F780" s="128"/>
      <c r="G780" s="577"/>
      <c r="H780" s="540"/>
      <c r="I780" s="579"/>
      <c r="J780" s="533"/>
      <c r="L780" s="126"/>
      <c r="N780" s="126"/>
      <c r="O780" s="314"/>
      <c r="P780" s="310"/>
      <c r="Q780" s="310"/>
      <c r="R780" s="314" t="str" cm="1">
        <f t="array" ref="R780">IFERROR(IF(INDEX('Disaggregation Records'!$G$156:$G$517,MATCH(RIGHT(L780,255),RIGHT('Disaggregation Records'!$D$156:$D$517,255),0))="","",INDEX('Disaggregation Records'!$G$156:$G$517,MATCH(RIGHT(L780,255),RIGHT('Disaggregation Records'!$D$156:$D$517,255),0))),"")</f>
        <v/>
      </c>
    </row>
    <row r="781" spans="1:18" ht="20.100000000000001" customHeight="1">
      <c r="A781" s="126" t="str">
        <f t="shared" ca="1" si="923"/>
        <v>a16Dm000000M3rTIAS</v>
      </c>
      <c r="B781" s="570">
        <v>5</v>
      </c>
      <c r="C781" s="572" t="str">
        <f ca="1">IFERROR(VLOOKUP(B781,'Coverage Indicators - Section D'!$A$9:$AO$94,41,FALSE),"")</f>
        <v>DRTB-3 Percentage of people with confirmed RR-TB and/or MDR-TB that began second-line treatment</v>
      </c>
      <c r="D781" s="574" t="str">
        <f ca="1">M781</f>
        <v>Age</v>
      </c>
      <c r="E781" s="574" t="str">
        <f ca="1">N781</f>
        <v>15+</v>
      </c>
      <c r="F781" s="127">
        <v>1072</v>
      </c>
      <c r="G781" s="576">
        <f ca="1">IF(OR(INDIRECT("'update Helper'!E"&amp;Q781)="",F781&lt;&gt;0,F782&lt;&gt;0),IF(IFERROR((F781/F782),"")="","",(F781/F782)),INDIRECT("'update Helper'!E"&amp;Q781)/100)</f>
        <v>0.8673139158576052</v>
      </c>
      <c r="H781" s="539">
        <v>2021</v>
      </c>
      <c r="I781" s="578" t="s">
        <v>2285</v>
      </c>
      <c r="J781" s="532" t="s">
        <v>2293</v>
      </c>
      <c r="K781" s="126">
        <f ca="1">IF(AND(EXACT(C781,C779),C779&lt;&gt;0),K779+1,0)</f>
        <v>0</v>
      </c>
      <c r="L781" s="126" t="str">
        <f t="shared" ref="L781" ca="1" si="953">IF(C781&lt;&gt;"",C781&amp;"-"&amp;K781,"")</f>
        <v>DRTB-3 Percentage of people with confirmed RR-TB and/or MDR-TB that began second-line treatment-0</v>
      </c>
      <c r="M781" s="126" t="str">
        <f t="array" aca="1" ref="M781" ca="1">IFERROR(IF(INDEX('Disaggregation Records'!$E$156:$E$517,MATCH(RIGHT(L781,255),RIGHT('Disaggregation Records'!$D$156:$D$517,255),0))="","",INDEX('Disaggregation Records'!$E$156:$E$517,MATCH(RIGHT(L781,255),RIGHT('Disaggregation Records'!$D$156:$D$517,255),0))),"")</f>
        <v>Age</v>
      </c>
      <c r="N781" s="126" t="str">
        <f t="array" aca="1" ref="N781" ca="1">IFERROR(IF(INDEX('Disaggregation Records'!$F$156:$F$517,MATCH(RIGHT(L781,255),RIGHT('Disaggregation Records'!$D$156:$D$517,255),0))="","",INDEX('Disaggregation Records'!$F$156:$F$517,MATCH(RIGHT(L781,255),RIGHT('Disaggregation Records'!$D$156:$D$517,255),0))),"")</f>
        <v>15+</v>
      </c>
      <c r="O781" s="314" t="str">
        <f t="array" aca="1" ref="O781" ca="1">IFERROR(IF(INDEX('Disaggregation Records'!$H$156:$H$517,MATCH(RIGHT(L781,255),RIGHT('Disaggregation Records'!$D$156:$D$517,255),0))="","",INDEX('Disaggregation Records'!$H$156:$H$517,MATCH(RIGHT(L781,255),RIGHT('Disaggregation Records'!$D$156:$D$517,255),0))),"")</f>
        <v>IDR-01384</v>
      </c>
      <c r="P781" s="314"/>
      <c r="Q781" s="310">
        <f t="shared" ref="Q781" si="954">Q779+1</f>
        <v>1692</v>
      </c>
      <c r="R781" s="314" t="str" cm="1">
        <f t="array" aca="1" ref="R781" ca="1">IFERROR(IF(INDEX('Disaggregation Records'!$G$156:$G$517,MATCH(RIGHT(L781,255),RIGHT('Disaggregation Records'!$D$156:$D$517,255),0))="","",INDEX('Disaggregation Records'!$G$156:$G$517,MATCH(RIGHT(L781,255),RIGHT('Disaggregation Records'!$D$156:$D$517,255),0))),"")</f>
        <v>a1LDm000000Cb54MAC</v>
      </c>
    </row>
    <row r="782" spans="1:18" ht="20.100000000000001" customHeight="1">
      <c r="A782" s="126"/>
      <c r="B782" s="571"/>
      <c r="C782" s="573"/>
      <c r="D782" s="575"/>
      <c r="E782" s="575"/>
      <c r="F782" s="128">
        <v>1236</v>
      </c>
      <c r="G782" s="577"/>
      <c r="H782" s="540"/>
      <c r="I782" s="579"/>
      <c r="J782" s="533"/>
      <c r="K782" s="126"/>
      <c r="L782" s="126"/>
      <c r="M782" s="126"/>
      <c r="N782" s="126"/>
      <c r="O782" s="314"/>
      <c r="P782" s="314"/>
      <c r="Q782" s="310"/>
      <c r="R782" s="314" t="str" cm="1">
        <f t="array" ref="R782">IFERROR(IF(INDEX('Disaggregation Records'!$G$156:$G$517,MATCH(RIGHT(L782,255),RIGHT('Disaggregation Records'!$D$156:$D$517,255),0))="","",INDEX('Disaggregation Records'!$G$156:$G$517,MATCH(RIGHT(L782,255),RIGHT('Disaggregation Records'!$D$156:$D$517,255),0))),"")</f>
        <v/>
      </c>
    </row>
    <row r="783" spans="1:18" ht="20.100000000000001" customHeight="1">
      <c r="A783" s="126" t="str">
        <f t="shared" ca="1" si="926"/>
        <v>a16Dm000000M3rUIAS</v>
      </c>
      <c r="B783" s="570">
        <v>5</v>
      </c>
      <c r="C783" s="572" t="str">
        <f ca="1">IFERROR(VLOOKUP(B783,'Coverage Indicators - Section D'!$A$9:$AO$94,41,FALSE),"")</f>
        <v>DRTB-3 Percentage of people with confirmed RR-TB and/or MDR-TB that began second-line treatment</v>
      </c>
      <c r="D783" s="574" t="str">
        <f ca="1">M783</f>
        <v>Age</v>
      </c>
      <c r="E783" s="574" t="str">
        <f ca="1">N783</f>
        <v>&lt;15</v>
      </c>
      <c r="F783" s="127">
        <v>53</v>
      </c>
      <c r="G783" s="576">
        <f ca="1">IF(OR(INDIRECT("'update Helper'!E"&amp;Q783)="",F783&lt;&gt;0,F784&lt;&gt;0),IF(IFERROR((F783/F784),"")="","",(F783/F784)),INDIRECT("'update Helper'!E"&amp;Q783)/100)</f>
        <v>4.2880258899676373E-2</v>
      </c>
      <c r="H783" s="539">
        <v>2021</v>
      </c>
      <c r="I783" s="578" t="s">
        <v>2285</v>
      </c>
      <c r="J783" s="532" t="s">
        <v>2294</v>
      </c>
      <c r="K783" s="126">
        <f ca="1">IF(AND(EXACT(C783,C781),C781&lt;&gt;0),K781+1,0)</f>
        <v>1</v>
      </c>
      <c r="L783" s="126" t="str">
        <f t="shared" ref="L783" ca="1" si="955">IF(C783&lt;&gt;"",C783&amp;"-"&amp;K783,"")</f>
        <v>DRTB-3 Percentage of people with confirmed RR-TB and/or MDR-TB that began second-line treatment-1</v>
      </c>
      <c r="M783" s="126" t="str">
        <f t="array" aca="1" ref="M783" ca="1">IFERROR(IF(INDEX('Disaggregation Records'!$E$156:$E$517,MATCH(RIGHT(L783,255),RIGHT('Disaggregation Records'!$D$156:$D$517,255),0))="","",INDEX('Disaggregation Records'!$E$156:$E$517,MATCH(RIGHT(L783,255),RIGHT('Disaggregation Records'!$D$156:$D$517,255),0))),"")</f>
        <v>Age</v>
      </c>
      <c r="N783" s="126" t="str">
        <f t="array" aca="1" ref="N783" ca="1">IFERROR(IF(INDEX('Disaggregation Records'!$F$156:$F$517,MATCH(RIGHT(L783,255),RIGHT('Disaggregation Records'!$D$156:$D$517,255),0))="","",INDEX('Disaggregation Records'!$F$156:$F$517,MATCH(RIGHT(L783,255),RIGHT('Disaggregation Records'!$D$156:$D$517,255),0))),"")</f>
        <v>&lt;15</v>
      </c>
      <c r="O783" s="314" t="str">
        <f t="array" aca="1" ref="O783" ca="1">IFERROR(IF(INDEX('Disaggregation Records'!$H$156:$H$517,MATCH(RIGHT(L783,255),RIGHT('Disaggregation Records'!$D$156:$D$517,255),0))="","",INDEX('Disaggregation Records'!$H$156:$H$517,MATCH(RIGHT(L783,255),RIGHT('Disaggregation Records'!$D$156:$D$517,255),0))),"")</f>
        <v>IDR-01383</v>
      </c>
      <c r="P783" s="314"/>
      <c r="Q783" s="310">
        <f t="shared" ref="Q783" si="956">Q781+1</f>
        <v>1693</v>
      </c>
      <c r="R783" s="314" t="str" cm="1">
        <f t="array" aca="1" ref="R783" ca="1">IFERROR(IF(INDEX('Disaggregation Records'!$G$156:$G$517,MATCH(RIGHT(L783,255),RIGHT('Disaggregation Records'!$D$156:$D$517,255),0))="","",INDEX('Disaggregation Records'!$G$156:$G$517,MATCH(RIGHT(L783,255),RIGHT('Disaggregation Records'!$D$156:$D$517,255),0))),"")</f>
        <v>a1LDm000000Cb53MAC</v>
      </c>
    </row>
    <row r="784" spans="1:18" ht="20.100000000000001" customHeight="1">
      <c r="B784" s="571"/>
      <c r="C784" s="573"/>
      <c r="D784" s="575"/>
      <c r="E784" s="575"/>
      <c r="F784" s="128">
        <v>1236</v>
      </c>
      <c r="G784" s="577"/>
      <c r="H784" s="540"/>
      <c r="I784" s="579"/>
      <c r="J784" s="533"/>
      <c r="K784" s="126"/>
      <c r="L784" s="126"/>
      <c r="M784" s="126"/>
      <c r="N784" s="126"/>
      <c r="O784" s="314"/>
      <c r="P784" s="314"/>
      <c r="Q784" s="310"/>
      <c r="R784" s="314" t="str" cm="1">
        <f t="array" ref="R784">IFERROR(IF(INDEX('Disaggregation Records'!$G$156:$G$517,MATCH(RIGHT(L784,255),RIGHT('Disaggregation Records'!$D$156:$D$517,255),0))="","",INDEX('Disaggregation Records'!$G$156:$G$517,MATCH(RIGHT(L784,255),RIGHT('Disaggregation Records'!$D$156:$D$517,255),0))),"")</f>
        <v/>
      </c>
    </row>
    <row r="785" spans="1:18" ht="20.100000000000001" customHeight="1">
      <c r="A785" s="126" t="str">
        <f t="shared" ca="1" si="923"/>
        <v>a16Dm000000M3rVIAS</v>
      </c>
      <c r="B785" s="570">
        <v>5</v>
      </c>
      <c r="C785" s="572" t="str">
        <f ca="1">IFERROR(VLOOKUP(B785,'Coverage Indicators - Section D'!$A$9:$AO$94,41,FALSE),"")</f>
        <v>DRTB-3 Percentage of people with confirmed RR-TB and/or MDR-TB that began second-line treatment</v>
      </c>
      <c r="D785" s="574" t="str">
        <f ca="1">M785</f>
        <v>Gender</v>
      </c>
      <c r="E785" s="574" t="str">
        <f ca="1">N785</f>
        <v>Male</v>
      </c>
      <c r="F785" s="127">
        <v>686</v>
      </c>
      <c r="G785" s="576">
        <f ca="1">IF(OR(INDIRECT("'update Helper'!E"&amp;Q785)="",F785&lt;&gt;0,F786&lt;&gt;0),IF(IFERROR((F785/F786),"")="","",(F785/F786)),INDIRECT("'update Helper'!E"&amp;Q785)/100)</f>
        <v>0.55501618122977348</v>
      </c>
      <c r="H785" s="539">
        <v>2021</v>
      </c>
      <c r="I785" s="578" t="s">
        <v>2285</v>
      </c>
      <c r="J785" s="532" t="s">
        <v>2295</v>
      </c>
      <c r="K785" s="126">
        <f ca="1">IF(AND(EXACT(C785,C783),C783&lt;&gt;0),K783+1,0)</f>
        <v>2</v>
      </c>
      <c r="L785" s="126" t="str">
        <f t="shared" ref="L785" ca="1" si="957">IF(C785&lt;&gt;"",C785&amp;"-"&amp;K785,"")</f>
        <v>DRTB-3 Percentage of people with confirmed RR-TB and/or MDR-TB that began second-line treatment-2</v>
      </c>
      <c r="M785" s="126" t="str">
        <f t="array" aca="1" ref="M785" ca="1">IFERROR(IF(INDEX('Disaggregation Records'!$E$156:$E$517,MATCH(RIGHT(L785,255),RIGHT('Disaggregation Records'!$D$156:$D$517,255),0))="","",INDEX('Disaggregation Records'!$E$156:$E$517,MATCH(RIGHT(L785,255),RIGHT('Disaggregation Records'!$D$156:$D$517,255),0))),"")</f>
        <v>Gender</v>
      </c>
      <c r="N785" s="126" t="str">
        <f t="array" aca="1" ref="N785" ca="1">IFERROR(IF(INDEX('Disaggregation Records'!$F$156:$F$517,MATCH(RIGHT(L785,255),RIGHT('Disaggregation Records'!$D$156:$D$517,255),0))="","",INDEX('Disaggregation Records'!$F$156:$F$517,MATCH(RIGHT(L785,255),RIGHT('Disaggregation Records'!$D$156:$D$517,255),0))),"")</f>
        <v>Male</v>
      </c>
      <c r="O785" s="314" t="str">
        <f t="array" aca="1" ref="O785" ca="1">IFERROR(IF(INDEX('Disaggregation Records'!$H$156:$H$517,MATCH(RIGHT(L785,255),RIGHT('Disaggregation Records'!$D$156:$D$517,255),0))="","",INDEX('Disaggregation Records'!$H$156:$H$517,MATCH(RIGHT(L785,255),RIGHT('Disaggregation Records'!$D$156:$D$517,255),0))),"")</f>
        <v>IDR-01382</v>
      </c>
      <c r="P785" s="310"/>
      <c r="Q785" s="310">
        <f t="shared" ref="Q785" si="958">Q783+1</f>
        <v>1694</v>
      </c>
      <c r="R785" s="314" t="str" cm="1">
        <f t="array" aca="1" ref="R785" ca="1">IFERROR(IF(INDEX('Disaggregation Records'!$G$156:$G$517,MATCH(RIGHT(L785,255),RIGHT('Disaggregation Records'!$D$156:$D$517,255),0))="","",INDEX('Disaggregation Records'!$G$156:$G$517,MATCH(RIGHT(L785,255),RIGHT('Disaggregation Records'!$D$156:$D$517,255),0))),"")</f>
        <v>a1LDm000000Cb52MAC</v>
      </c>
    </row>
    <row r="786" spans="1:18" ht="20.100000000000001" customHeight="1">
      <c r="A786" s="126"/>
      <c r="B786" s="571"/>
      <c r="C786" s="573"/>
      <c r="D786" s="575"/>
      <c r="E786" s="575"/>
      <c r="F786" s="128">
        <v>1236</v>
      </c>
      <c r="G786" s="577"/>
      <c r="H786" s="540"/>
      <c r="I786" s="579"/>
      <c r="J786" s="533"/>
      <c r="L786" s="126"/>
      <c r="N786" s="126"/>
      <c r="O786" s="314"/>
      <c r="P786" s="310"/>
      <c r="Q786" s="310"/>
      <c r="R786" s="314" t="str" cm="1">
        <f t="array" ref="R786">IFERROR(IF(INDEX('Disaggregation Records'!$G$156:$G$517,MATCH(RIGHT(L786,255),RIGHT('Disaggregation Records'!$D$156:$D$517,255),0))="","",INDEX('Disaggregation Records'!$G$156:$G$517,MATCH(RIGHT(L786,255),RIGHT('Disaggregation Records'!$D$156:$D$517,255),0))),"")</f>
        <v/>
      </c>
    </row>
    <row r="787" spans="1:18" ht="20.100000000000001" customHeight="1">
      <c r="A787" s="126" t="str">
        <f t="shared" ca="1" si="926"/>
        <v>a16Dm000000M3rWIAS</v>
      </c>
      <c r="B787" s="570">
        <v>5</v>
      </c>
      <c r="C787" s="572" t="str">
        <f ca="1">IFERROR(VLOOKUP(B787,'Coverage Indicators - Section D'!$A$9:$AO$94,41,FALSE),"")</f>
        <v>DRTB-3 Percentage of people with confirmed RR-TB and/or MDR-TB that began second-line treatment</v>
      </c>
      <c r="D787" s="574" t="str">
        <f ca="1">M787</f>
        <v>Treatment regimen</v>
      </c>
      <c r="E787" s="574" t="str">
        <f ca="1">N787</f>
        <v>Longer individualized</v>
      </c>
      <c r="F787" s="127">
        <v>5</v>
      </c>
      <c r="G787" s="576">
        <f ca="1">IF(OR(INDIRECT("'update Helper'!E"&amp;Q787)="",F787&lt;&gt;0,F788&lt;&gt;0),IF(IFERROR((F787/F788),"")="","",(F787/F788)),INDIRECT("'update Helper'!E"&amp;Q787)/100)</f>
        <v>4.0453074433656954E-3</v>
      </c>
      <c r="H787" s="539">
        <v>2021</v>
      </c>
      <c r="I787" s="578" t="s">
        <v>2285</v>
      </c>
      <c r="J787" s="532" t="s">
        <v>2296</v>
      </c>
      <c r="K787" s="126">
        <f ca="1">IF(AND(EXACT(C787,C785),C785&lt;&gt;0),K785+1,0)</f>
        <v>3</v>
      </c>
      <c r="L787" s="126" t="str">
        <f t="shared" ref="L787" ca="1" si="959">IF(C787&lt;&gt;"",C787&amp;"-"&amp;K787,"")</f>
        <v>DRTB-3 Percentage of people with confirmed RR-TB and/or MDR-TB that began second-line treatment-3</v>
      </c>
      <c r="M787" s="126" t="str">
        <f t="array" aca="1" ref="M787" ca="1">IFERROR(IF(INDEX('Disaggregation Records'!$E$156:$E$517,MATCH(RIGHT(L787,255),RIGHT('Disaggregation Records'!$D$156:$D$517,255),0))="","",INDEX('Disaggregation Records'!$E$156:$E$517,MATCH(RIGHT(L787,255),RIGHT('Disaggregation Records'!$D$156:$D$517,255),0))),"")</f>
        <v>Treatment regimen</v>
      </c>
      <c r="N787" s="126" t="str">
        <f t="array" aca="1" ref="N787" ca="1">IFERROR(IF(INDEX('Disaggregation Records'!$F$156:$F$517,MATCH(RIGHT(L787,255),RIGHT('Disaggregation Records'!$D$156:$D$517,255),0))="","",INDEX('Disaggregation Records'!$F$156:$F$517,MATCH(RIGHT(L787,255),RIGHT('Disaggregation Records'!$D$156:$D$517,255),0))),"")</f>
        <v>Longer individualized</v>
      </c>
      <c r="O787" s="314" t="str">
        <f t="array" aca="1" ref="O787" ca="1">IFERROR(IF(INDEX('Disaggregation Records'!$H$156:$H$517,MATCH(RIGHT(L787,255),RIGHT('Disaggregation Records'!$D$156:$D$517,255),0))="","",INDEX('Disaggregation Records'!$H$156:$H$517,MATCH(RIGHT(L787,255),RIGHT('Disaggregation Records'!$D$156:$D$517,255),0))),"")</f>
        <v>IDR-01381</v>
      </c>
      <c r="P787" s="310"/>
      <c r="Q787" s="310">
        <f t="shared" ref="Q787" si="960">Q785+1</f>
        <v>1695</v>
      </c>
      <c r="R787" s="314" t="str" cm="1">
        <f t="array" aca="1" ref="R787" ca="1">IFERROR(IF(INDEX('Disaggregation Records'!$G$156:$G$517,MATCH(RIGHT(L787,255),RIGHT('Disaggregation Records'!$D$156:$D$517,255),0))="","",INDEX('Disaggregation Records'!$G$156:$G$517,MATCH(RIGHT(L787,255),RIGHT('Disaggregation Records'!$D$156:$D$517,255),0))),"")</f>
        <v>a1LDm000000Cb51MAC</v>
      </c>
    </row>
    <row r="788" spans="1:18" ht="20.100000000000001" customHeight="1">
      <c r="B788" s="571"/>
      <c r="C788" s="573"/>
      <c r="D788" s="575"/>
      <c r="E788" s="575"/>
      <c r="F788" s="128">
        <v>1236</v>
      </c>
      <c r="G788" s="577"/>
      <c r="H788" s="540"/>
      <c r="I788" s="579"/>
      <c r="J788" s="533"/>
      <c r="L788" s="126"/>
      <c r="N788" s="126"/>
      <c r="O788" s="314"/>
      <c r="P788" s="310"/>
      <c r="Q788" s="310"/>
      <c r="R788" s="314" t="str" cm="1">
        <f t="array" ref="R788">IFERROR(IF(INDEX('Disaggregation Records'!$G$156:$G$517,MATCH(RIGHT(L788,255),RIGHT('Disaggregation Records'!$D$156:$D$517,255),0))="","",INDEX('Disaggregation Records'!$G$156:$G$517,MATCH(RIGHT(L788,255),RIGHT('Disaggregation Records'!$D$156:$D$517,255),0))),"")</f>
        <v/>
      </c>
    </row>
    <row r="789" spans="1:18" ht="20.100000000000001" customHeight="1">
      <c r="A789" s="126" t="str">
        <f t="shared" ca="1" si="923"/>
        <v>a16Dm000000M3rXIAS</v>
      </c>
      <c r="B789" s="570">
        <v>5</v>
      </c>
      <c r="C789" s="572" t="str">
        <f ca="1">IFERROR(VLOOKUP(B789,'Coverage Indicators - Section D'!$A$9:$AO$94,41,FALSE),"")</f>
        <v>DRTB-3 Percentage of people with confirmed RR-TB and/or MDR-TB that began second-line treatment</v>
      </c>
      <c r="D789" s="574" t="str">
        <f ca="1">M789</f>
        <v>Gender</v>
      </c>
      <c r="E789" s="574" t="str">
        <f ca="1">N789</f>
        <v>Female</v>
      </c>
      <c r="F789" s="127">
        <v>480</v>
      </c>
      <c r="G789" s="576">
        <f ca="1">IF(OR(INDIRECT("'update Helper'!E"&amp;Q789)="",F789&lt;&gt;0,F790&lt;&gt;0),IF(IFERROR((F789/F790),"")="","",(F789/F790)),INDIRECT("'update Helper'!E"&amp;Q789)/100)</f>
        <v>0.38834951456310679</v>
      </c>
      <c r="H789" s="539">
        <v>2021</v>
      </c>
      <c r="I789" s="578" t="s">
        <v>2285</v>
      </c>
      <c r="J789" s="532" t="s">
        <v>2297</v>
      </c>
      <c r="K789" s="126">
        <f ca="1">IF(AND(EXACT(C789,C787),C787&lt;&gt;0),K787+1,0)</f>
        <v>4</v>
      </c>
      <c r="L789" s="126" t="str">
        <f t="shared" ref="L789" ca="1" si="961">IF(C789&lt;&gt;"",C789&amp;"-"&amp;K789,"")</f>
        <v>DRTB-3 Percentage of people with confirmed RR-TB and/or MDR-TB that began second-line treatment-4</v>
      </c>
      <c r="M789" s="126" t="str">
        <f t="array" aca="1" ref="M789" ca="1">IFERROR(IF(INDEX('Disaggregation Records'!$E$156:$E$517,MATCH(RIGHT(L789,255),RIGHT('Disaggregation Records'!$D$156:$D$517,255),0))="","",INDEX('Disaggregation Records'!$E$156:$E$517,MATCH(RIGHT(L789,255),RIGHT('Disaggregation Records'!$D$156:$D$517,255),0))),"")</f>
        <v>Gender</v>
      </c>
      <c r="N789" s="126" t="str">
        <f t="array" aca="1" ref="N789" ca="1">IFERROR(IF(INDEX('Disaggregation Records'!$F$156:$F$517,MATCH(RIGHT(L789,255),RIGHT('Disaggregation Records'!$D$156:$D$517,255),0))="","",INDEX('Disaggregation Records'!$F$156:$F$517,MATCH(RIGHT(L789,255),RIGHT('Disaggregation Records'!$D$156:$D$517,255),0))),"")</f>
        <v>Female</v>
      </c>
      <c r="O789" s="314" t="str">
        <f t="array" aca="1" ref="O789" ca="1">IFERROR(IF(INDEX('Disaggregation Records'!$H$156:$H$517,MATCH(RIGHT(L789,255),RIGHT('Disaggregation Records'!$D$156:$D$517,255),0))="","",INDEX('Disaggregation Records'!$H$156:$H$517,MATCH(RIGHT(L789,255),RIGHT('Disaggregation Records'!$D$156:$D$517,255),0))),"")</f>
        <v>IDR-01380</v>
      </c>
      <c r="P789" s="310"/>
      <c r="Q789" s="310">
        <f t="shared" ref="Q789" si="962">Q787+1</f>
        <v>1696</v>
      </c>
      <c r="R789" s="314" t="str" cm="1">
        <f t="array" aca="1" ref="R789" ca="1">IFERROR(IF(INDEX('Disaggregation Records'!$G$156:$G$517,MATCH(RIGHT(L789,255),RIGHT('Disaggregation Records'!$D$156:$D$517,255),0))="","",INDEX('Disaggregation Records'!$G$156:$G$517,MATCH(RIGHT(L789,255),RIGHT('Disaggregation Records'!$D$156:$D$517,255),0))),"")</f>
        <v>a1LDm000000Cb50MAC</v>
      </c>
    </row>
    <row r="790" spans="1:18" ht="20.100000000000001" customHeight="1">
      <c r="A790" s="126"/>
      <c r="B790" s="571"/>
      <c r="C790" s="573"/>
      <c r="D790" s="575"/>
      <c r="E790" s="575"/>
      <c r="F790" s="128">
        <v>1236</v>
      </c>
      <c r="G790" s="577"/>
      <c r="H790" s="540"/>
      <c r="I790" s="579"/>
      <c r="J790" s="533"/>
      <c r="L790" s="126"/>
      <c r="N790" s="126"/>
      <c r="O790" s="314"/>
      <c r="P790" s="310"/>
      <c r="Q790" s="310"/>
      <c r="R790" s="314" t="str" cm="1">
        <f t="array" ref="R790">IFERROR(IF(INDEX('Disaggregation Records'!$G$156:$G$517,MATCH(RIGHT(L790,255),RIGHT('Disaggregation Records'!$D$156:$D$517,255),0))="","",INDEX('Disaggregation Records'!$G$156:$G$517,MATCH(RIGHT(L790,255),RIGHT('Disaggregation Records'!$D$156:$D$517,255),0))),"")</f>
        <v/>
      </c>
    </row>
    <row r="791" spans="1:18" ht="20.100000000000001" customHeight="1">
      <c r="A791" s="126" t="str">
        <f t="shared" ca="1" si="926"/>
        <v>a16Dm000000M3rYIAS</v>
      </c>
      <c r="B791" s="570">
        <v>5</v>
      </c>
      <c r="C791" s="572" t="str">
        <f ca="1">IFERROR(VLOOKUP(B791,'Coverage Indicators - Section D'!$A$9:$AO$94,41,FALSE),"")</f>
        <v>DRTB-3 Percentage of people with confirmed RR-TB and/or MDR-TB that began second-line treatment</v>
      </c>
      <c r="D791" s="574" t="str">
        <f ca="1">M791</f>
        <v>Treatment regimen</v>
      </c>
      <c r="E791" s="574" t="str">
        <f ca="1">N791</f>
        <v>Shorter 6-9 month</v>
      </c>
      <c r="F791" s="127">
        <v>1120</v>
      </c>
      <c r="G791" s="576">
        <f ca="1">IF(OR(INDIRECT("'update Helper'!E"&amp;Q791)="",F791&lt;&gt;0,F792&lt;&gt;0),IF(IFERROR((F791/F792),"")="","",(F791/F792)),INDIRECT("'update Helper'!E"&amp;Q791)/100)</f>
        <v>0.90614886731391586</v>
      </c>
      <c r="H791" s="539">
        <v>2021</v>
      </c>
      <c r="I791" s="578" t="s">
        <v>2285</v>
      </c>
      <c r="J791" s="532" t="s">
        <v>2298</v>
      </c>
      <c r="K791" s="126">
        <f ca="1">IF(AND(EXACT(C791,C789),C789&lt;&gt;0),K789+1,0)</f>
        <v>5</v>
      </c>
      <c r="L791" s="126" t="str">
        <f t="shared" ref="L791" ca="1" si="963">IF(C791&lt;&gt;"",C791&amp;"-"&amp;K791,"")</f>
        <v>DRTB-3 Percentage of people with confirmed RR-TB and/or MDR-TB that began second-line treatment-5</v>
      </c>
      <c r="M791" s="126" t="str">
        <f t="array" aca="1" ref="M791" ca="1">IFERROR(IF(INDEX('Disaggregation Records'!$E$156:$E$517,MATCH(RIGHT(L791,255),RIGHT('Disaggregation Records'!$D$156:$D$517,255),0))="","",INDEX('Disaggregation Records'!$E$156:$E$517,MATCH(RIGHT(L791,255),RIGHT('Disaggregation Records'!$D$156:$D$517,255),0))),"")</f>
        <v>Treatment regimen</v>
      </c>
      <c r="N791" s="126" t="str">
        <f t="array" aca="1" ref="N791" ca="1">IFERROR(IF(INDEX('Disaggregation Records'!$F$156:$F$517,MATCH(RIGHT(L791,255),RIGHT('Disaggregation Records'!$D$156:$D$517,255),0))="","",INDEX('Disaggregation Records'!$F$156:$F$517,MATCH(RIGHT(L791,255),RIGHT('Disaggregation Records'!$D$156:$D$517,255),0))),"")</f>
        <v>Shorter 6-9 month</v>
      </c>
      <c r="O791" s="314" t="str">
        <f t="array" aca="1" ref="O791" ca="1">IFERROR(IF(INDEX('Disaggregation Records'!$H$156:$H$517,MATCH(RIGHT(L791,255),RIGHT('Disaggregation Records'!$D$156:$D$517,255),0))="","",INDEX('Disaggregation Records'!$H$156:$H$517,MATCH(RIGHT(L791,255),RIGHT('Disaggregation Records'!$D$156:$D$517,255),0))),"")</f>
        <v>IDR-01379</v>
      </c>
      <c r="P791" s="314"/>
      <c r="Q791" s="310">
        <f t="shared" ref="Q791" si="964">Q789+1</f>
        <v>1697</v>
      </c>
      <c r="R791" s="314" t="str" cm="1">
        <f t="array" aca="1" ref="R791" ca="1">IFERROR(IF(INDEX('Disaggregation Records'!$G$156:$G$517,MATCH(RIGHT(L791,255),RIGHT('Disaggregation Records'!$D$156:$D$517,255),0))="","",INDEX('Disaggregation Records'!$G$156:$G$517,MATCH(RIGHT(L791,255),RIGHT('Disaggregation Records'!$D$156:$D$517,255),0))),"")</f>
        <v>a1LDm000000Cb4zMAC</v>
      </c>
    </row>
    <row r="792" spans="1:18" ht="20.100000000000001" customHeight="1">
      <c r="B792" s="571"/>
      <c r="C792" s="573"/>
      <c r="D792" s="575"/>
      <c r="E792" s="575"/>
      <c r="F792" s="128">
        <v>1236</v>
      </c>
      <c r="G792" s="577"/>
      <c r="H792" s="540"/>
      <c r="I792" s="579"/>
      <c r="J792" s="533"/>
      <c r="K792" s="126"/>
      <c r="L792" s="126"/>
      <c r="M792" s="126"/>
      <c r="N792" s="126"/>
      <c r="O792" s="314"/>
      <c r="P792" s="314"/>
      <c r="Q792" s="310"/>
      <c r="R792" s="314" t="str" cm="1">
        <f t="array" ref="R792">IFERROR(IF(INDEX('Disaggregation Records'!$G$156:$G$517,MATCH(RIGHT(L792,255),RIGHT('Disaggregation Records'!$D$156:$D$517,255),0))="","",INDEX('Disaggregation Records'!$G$156:$G$517,MATCH(RIGHT(L792,255),RIGHT('Disaggregation Records'!$D$156:$D$517,255),0))),"")</f>
        <v/>
      </c>
    </row>
    <row r="793" spans="1:18" ht="20.100000000000001" customHeight="1">
      <c r="A793" s="126" t="str">
        <f t="shared" ca="1" si="923"/>
        <v>a16Dm000000M3rZIAS</v>
      </c>
      <c r="B793" s="570">
        <v>5</v>
      </c>
      <c r="C793" s="572" t="str">
        <f ca="1">IFERROR(VLOOKUP(B793,'Coverage Indicators - Section D'!$A$9:$AO$94,41,FALSE),"")</f>
        <v>DRTB-3 Percentage of people with confirmed RR-TB and/or MDR-TB that began second-line treatment</v>
      </c>
      <c r="D793" s="574" t="str">
        <f ca="1">M793</f>
        <v/>
      </c>
      <c r="E793" s="574" t="str">
        <f ca="1">N793</f>
        <v/>
      </c>
      <c r="F793" s="127"/>
      <c r="G793" s="576" t="str">
        <f ca="1">IF(OR(INDIRECT("'update Helper'!E"&amp;Q793)="",F793&lt;&gt;0,F794&lt;&gt;0),IF(IFERROR((F793/F794),"")="","",(F793/F794)),INDIRECT("'update Helper'!E"&amp;Q793)/100)</f>
        <v/>
      </c>
      <c r="H793" s="539"/>
      <c r="I793" s="578"/>
      <c r="J793" s="532"/>
      <c r="K793" s="126">
        <f ca="1">IF(AND(EXACT(C793,C791),C791&lt;&gt;0),K791+1,0)</f>
        <v>6</v>
      </c>
      <c r="L793" s="126" t="str">
        <f t="shared" ref="L793" ca="1" si="965">IF(C793&lt;&gt;"",C793&amp;"-"&amp;K793,"")</f>
        <v>DRTB-3 Percentage of people with confirmed RR-TB and/or MDR-TB that began second-line treatment-6</v>
      </c>
      <c r="M793" s="126" t="str">
        <f t="array" aca="1" ref="M793" ca="1">IFERROR(IF(INDEX('Disaggregation Records'!$E$156:$E$517,MATCH(RIGHT(L793,255),RIGHT('Disaggregation Records'!$D$156:$D$517,255),0))="","",INDEX('Disaggregation Records'!$E$156:$E$517,MATCH(RIGHT(L793,255),RIGHT('Disaggregation Records'!$D$156:$D$517,255),0))),"")</f>
        <v/>
      </c>
      <c r="N793" s="126" t="str">
        <f t="array" aca="1" ref="N793" ca="1">IFERROR(IF(INDEX('Disaggregation Records'!$F$156:$F$517,MATCH(RIGHT(L793,255),RIGHT('Disaggregation Records'!$D$156:$D$517,255),0))="","",INDEX('Disaggregation Records'!$F$156:$F$517,MATCH(RIGHT(L793,255),RIGHT('Disaggregation Records'!$D$156:$D$517,255),0))),"")</f>
        <v/>
      </c>
      <c r="O793" s="314" t="str">
        <f t="array" aca="1" ref="O793" ca="1">IFERROR(IF(INDEX('Disaggregation Records'!$H$156:$H$517,MATCH(RIGHT(L793,255),RIGHT('Disaggregation Records'!$D$156:$D$517,255),0))="","",INDEX('Disaggregation Records'!$H$156:$H$517,MATCH(RIGHT(L793,255),RIGHT('Disaggregation Records'!$D$156:$D$517,255),0))),"")</f>
        <v/>
      </c>
      <c r="P793" s="314"/>
      <c r="Q793" s="310">
        <f t="shared" ref="Q793" si="966">Q791+1</f>
        <v>1698</v>
      </c>
      <c r="R793" s="314" t="str" cm="1">
        <f t="array" aca="1" ref="R793" ca="1">IFERROR(IF(INDEX('Disaggregation Records'!$G$156:$G$517,MATCH(RIGHT(L793,255),RIGHT('Disaggregation Records'!$D$156:$D$517,255),0))="","",INDEX('Disaggregation Records'!$G$156:$G$517,MATCH(RIGHT(L793,255),RIGHT('Disaggregation Records'!$D$156:$D$517,255),0))),"")</f>
        <v/>
      </c>
    </row>
    <row r="794" spans="1:18" ht="20.100000000000001" customHeight="1">
      <c r="A794" s="126"/>
      <c r="B794" s="571"/>
      <c r="C794" s="573"/>
      <c r="D794" s="575"/>
      <c r="E794" s="575"/>
      <c r="F794" s="128"/>
      <c r="G794" s="577"/>
      <c r="H794" s="540"/>
      <c r="I794" s="579"/>
      <c r="J794" s="533"/>
      <c r="K794" s="126"/>
      <c r="L794" s="126"/>
      <c r="M794" s="126"/>
      <c r="N794" s="126"/>
      <c r="O794" s="314"/>
      <c r="P794" s="314"/>
      <c r="Q794" s="310"/>
      <c r="R794" s="314" t="str" cm="1">
        <f t="array" ref="R794">IFERROR(IF(INDEX('Disaggregation Records'!$G$156:$G$517,MATCH(RIGHT(L794,255),RIGHT('Disaggregation Records'!$D$156:$D$517,255),0))="","",INDEX('Disaggregation Records'!$G$156:$G$517,MATCH(RIGHT(L794,255),RIGHT('Disaggregation Records'!$D$156:$D$517,255),0))),"")</f>
        <v/>
      </c>
    </row>
    <row r="795" spans="1:18" ht="20.100000000000001" customHeight="1">
      <c r="A795" s="126" t="str">
        <f t="shared" ca="1" si="926"/>
        <v>a16Dm000000M3raIAC</v>
      </c>
      <c r="B795" s="570">
        <v>5</v>
      </c>
      <c r="C795" s="572" t="str">
        <f ca="1">IFERROR(VLOOKUP(B795,'Coverage Indicators - Section D'!$A$9:$AO$94,41,FALSE),"")</f>
        <v>DRTB-3 Percentage of people with confirmed RR-TB and/or MDR-TB that began second-line treatment</v>
      </c>
      <c r="D795" s="574" t="str">
        <f ca="1">M795</f>
        <v/>
      </c>
      <c r="E795" s="574" t="str">
        <f ca="1">N795</f>
        <v/>
      </c>
      <c r="F795" s="127"/>
      <c r="G795" s="576" t="str">
        <f ca="1">IF(OR(INDIRECT("'update Helper'!E"&amp;Q795)="",F795&lt;&gt;0,F796&lt;&gt;0),IF(IFERROR((F795/F796),"")="","",(F795/F796)),INDIRECT("'update Helper'!E"&amp;Q795)/100)</f>
        <v/>
      </c>
      <c r="H795" s="539"/>
      <c r="I795" s="578"/>
      <c r="J795" s="532"/>
      <c r="K795" s="126">
        <f ca="1">IF(AND(EXACT(C795,C793),C793&lt;&gt;0),K793+1,0)</f>
        <v>7</v>
      </c>
      <c r="L795" s="126" t="str">
        <f t="shared" ref="L795" ca="1" si="967">IF(C795&lt;&gt;"",C795&amp;"-"&amp;K795,"")</f>
        <v>DRTB-3 Percentage of people with confirmed RR-TB and/or MDR-TB that began second-line treatment-7</v>
      </c>
      <c r="M795" s="126" t="str">
        <f t="array" aca="1" ref="M795" ca="1">IFERROR(IF(INDEX('Disaggregation Records'!$E$156:$E$517,MATCH(RIGHT(L795,255),RIGHT('Disaggregation Records'!$D$156:$D$517,255),0))="","",INDEX('Disaggregation Records'!$E$156:$E$517,MATCH(RIGHT(L795,255),RIGHT('Disaggregation Records'!$D$156:$D$517,255),0))),"")</f>
        <v/>
      </c>
      <c r="N795" s="126" t="str">
        <f t="array" aca="1" ref="N795" ca="1">IFERROR(IF(INDEX('Disaggregation Records'!$F$156:$F$517,MATCH(RIGHT(L795,255),RIGHT('Disaggregation Records'!$D$156:$D$517,255),0))="","",INDEX('Disaggregation Records'!$F$156:$F$517,MATCH(RIGHT(L795,255),RIGHT('Disaggregation Records'!$D$156:$D$517,255),0))),"")</f>
        <v/>
      </c>
      <c r="O795" s="314" t="str">
        <f t="array" aca="1" ref="O795" ca="1">IFERROR(IF(INDEX('Disaggregation Records'!$H$156:$H$517,MATCH(RIGHT(L795,255),RIGHT('Disaggregation Records'!$D$156:$D$517,255),0))="","",INDEX('Disaggregation Records'!$H$156:$H$517,MATCH(RIGHT(L795,255),RIGHT('Disaggregation Records'!$D$156:$D$517,255),0))),"")</f>
        <v/>
      </c>
      <c r="P795" s="310"/>
      <c r="Q795" s="310">
        <f t="shared" ref="Q795" si="968">Q793+1</f>
        <v>1699</v>
      </c>
      <c r="R795" s="314" t="str" cm="1">
        <f t="array" aca="1" ref="R795" ca="1">IFERROR(IF(INDEX('Disaggregation Records'!$G$156:$G$517,MATCH(RIGHT(L795,255),RIGHT('Disaggregation Records'!$D$156:$D$517,255),0))="","",INDEX('Disaggregation Records'!$G$156:$G$517,MATCH(RIGHT(L795,255),RIGHT('Disaggregation Records'!$D$156:$D$517,255),0))),"")</f>
        <v/>
      </c>
    </row>
    <row r="796" spans="1:18" ht="20.100000000000001" customHeight="1">
      <c r="B796" s="571"/>
      <c r="C796" s="573"/>
      <c r="D796" s="575"/>
      <c r="E796" s="575"/>
      <c r="F796" s="128"/>
      <c r="G796" s="577"/>
      <c r="H796" s="540"/>
      <c r="I796" s="579"/>
      <c r="J796" s="533"/>
      <c r="L796" s="126"/>
      <c r="N796" s="126"/>
      <c r="O796" s="314"/>
      <c r="P796" s="310"/>
      <c r="Q796" s="310"/>
      <c r="R796" s="314" t="str" cm="1">
        <f t="array" ref="R796">IFERROR(IF(INDEX('Disaggregation Records'!$G$156:$G$517,MATCH(RIGHT(L796,255),RIGHT('Disaggregation Records'!$D$156:$D$517,255),0))="","",INDEX('Disaggregation Records'!$G$156:$G$517,MATCH(RIGHT(L796,255),RIGHT('Disaggregation Records'!$D$156:$D$517,255),0))),"")</f>
        <v/>
      </c>
    </row>
    <row r="797" spans="1:18" ht="20.100000000000001" customHeight="1">
      <c r="A797" s="126" t="str">
        <f t="shared" ca="1" si="923"/>
        <v>a16Dm000000M3rbIAC</v>
      </c>
      <c r="B797" s="570">
        <v>5</v>
      </c>
      <c r="C797" s="572" t="str">
        <f ca="1">IFERROR(VLOOKUP(B797,'Coverage Indicators - Section D'!$A$9:$AO$94,41,FALSE),"")</f>
        <v>DRTB-3 Percentage of people with confirmed RR-TB and/or MDR-TB that began second-line treatment</v>
      </c>
      <c r="D797" s="574" t="str">
        <f ca="1">M797</f>
        <v/>
      </c>
      <c r="E797" s="574" t="str">
        <f ca="1">N797</f>
        <v/>
      </c>
      <c r="F797" s="127"/>
      <c r="G797" s="576" t="str">
        <f ca="1">IF(OR(INDIRECT("'update Helper'!E"&amp;Q797)="",F797&lt;&gt;0,F798&lt;&gt;0),IF(IFERROR((F797/F798),"")="","",(F797/F798)),INDIRECT("'update Helper'!E"&amp;Q797)/100)</f>
        <v/>
      </c>
      <c r="H797" s="539"/>
      <c r="I797" s="578"/>
      <c r="J797" s="532"/>
      <c r="K797" s="126">
        <f ca="1">IF(AND(EXACT(C797,C795),C795&lt;&gt;0),K795+1,0)</f>
        <v>8</v>
      </c>
      <c r="L797" s="126" t="str">
        <f t="shared" ref="L797" ca="1" si="969">IF(C797&lt;&gt;"",C797&amp;"-"&amp;K797,"")</f>
        <v>DRTB-3 Percentage of people with confirmed RR-TB and/or MDR-TB that began second-line treatment-8</v>
      </c>
      <c r="M797" s="126" t="str">
        <f t="array" aca="1" ref="M797" ca="1">IFERROR(IF(INDEX('Disaggregation Records'!$E$156:$E$517,MATCH(RIGHT(L797,255),RIGHT('Disaggregation Records'!$D$156:$D$517,255),0))="","",INDEX('Disaggregation Records'!$E$156:$E$517,MATCH(RIGHT(L797,255),RIGHT('Disaggregation Records'!$D$156:$D$517,255),0))),"")</f>
        <v/>
      </c>
      <c r="N797" s="126" t="str">
        <f t="array" aca="1" ref="N797" ca="1">IFERROR(IF(INDEX('Disaggregation Records'!$F$156:$F$517,MATCH(RIGHT(L797,255),RIGHT('Disaggregation Records'!$D$156:$D$517,255),0))="","",INDEX('Disaggregation Records'!$F$156:$F$517,MATCH(RIGHT(L797,255),RIGHT('Disaggregation Records'!$D$156:$D$517,255),0))),"")</f>
        <v/>
      </c>
      <c r="O797" s="314" t="str">
        <f t="array" aca="1" ref="O797" ca="1">IFERROR(IF(INDEX('Disaggregation Records'!$H$156:$H$517,MATCH(RIGHT(L797,255),RIGHT('Disaggregation Records'!$D$156:$D$517,255),0))="","",INDEX('Disaggregation Records'!$H$156:$H$517,MATCH(RIGHT(L797,255),RIGHT('Disaggregation Records'!$D$156:$D$517,255),0))),"")</f>
        <v/>
      </c>
      <c r="P797" s="310"/>
      <c r="Q797" s="310">
        <f t="shared" ref="Q797" si="970">Q795+1</f>
        <v>1700</v>
      </c>
      <c r="R797" s="314" t="str" cm="1">
        <f t="array" aca="1" ref="R797" ca="1">IFERROR(IF(INDEX('Disaggregation Records'!$G$156:$G$517,MATCH(RIGHT(L797,255),RIGHT('Disaggregation Records'!$D$156:$D$517,255),0))="","",INDEX('Disaggregation Records'!$G$156:$G$517,MATCH(RIGHT(L797,255),RIGHT('Disaggregation Records'!$D$156:$D$517,255),0))),"")</f>
        <v/>
      </c>
    </row>
    <row r="798" spans="1:18" ht="20.100000000000001" customHeight="1">
      <c r="A798" s="126"/>
      <c r="B798" s="571"/>
      <c r="C798" s="573"/>
      <c r="D798" s="575"/>
      <c r="E798" s="575"/>
      <c r="F798" s="128"/>
      <c r="G798" s="577"/>
      <c r="H798" s="540"/>
      <c r="I798" s="579"/>
      <c r="J798" s="533"/>
      <c r="L798" s="126"/>
      <c r="N798" s="126"/>
      <c r="O798" s="314"/>
      <c r="P798" s="310"/>
      <c r="Q798" s="310"/>
      <c r="R798" s="314" t="str" cm="1">
        <f t="array" ref="R798">IFERROR(IF(INDEX('Disaggregation Records'!$G$156:$G$517,MATCH(RIGHT(L798,255),RIGHT('Disaggregation Records'!$D$156:$D$517,255),0))="","",INDEX('Disaggregation Records'!$G$156:$G$517,MATCH(RIGHT(L798,255),RIGHT('Disaggregation Records'!$D$156:$D$517,255),0))),"")</f>
        <v/>
      </c>
    </row>
    <row r="799" spans="1:18" ht="20.100000000000001" customHeight="1">
      <c r="A799" s="126" t="str">
        <f t="shared" ca="1" si="926"/>
        <v>a16Dm000000M3rcIAC</v>
      </c>
      <c r="B799" s="570">
        <v>5</v>
      </c>
      <c r="C799" s="572" t="str">
        <f ca="1">IFERROR(VLOOKUP(B799,'Coverage Indicators - Section D'!$A$9:$AO$94,41,FALSE),"")</f>
        <v>DRTB-3 Percentage of people with confirmed RR-TB and/or MDR-TB that began second-line treatment</v>
      </c>
      <c r="D799" s="574" t="str">
        <f ca="1">M799</f>
        <v/>
      </c>
      <c r="E799" s="574" t="str">
        <f ca="1">N799</f>
        <v/>
      </c>
      <c r="F799" s="127"/>
      <c r="G799" s="576" t="str">
        <f ca="1">IF(OR(INDIRECT("'update Helper'!E"&amp;Q799)="",F799&lt;&gt;0,F800&lt;&gt;0),IF(IFERROR((F799/F800),"")="","",(F799/F800)),INDIRECT("'update Helper'!E"&amp;Q799)/100)</f>
        <v/>
      </c>
      <c r="H799" s="539"/>
      <c r="I799" s="578"/>
      <c r="J799" s="532"/>
      <c r="K799" s="126">
        <f ca="1">IF(AND(EXACT(C799,C797),C797&lt;&gt;0),K797+1,0)</f>
        <v>9</v>
      </c>
      <c r="L799" s="126" t="str">
        <f t="shared" ref="L799" ca="1" si="971">IF(C799&lt;&gt;"",C799&amp;"-"&amp;K799,"")</f>
        <v>DRTB-3 Percentage of people with confirmed RR-TB and/or MDR-TB that began second-line treatment-9</v>
      </c>
      <c r="M799" s="126" t="str">
        <f t="array" aca="1" ref="M799" ca="1">IFERROR(IF(INDEX('Disaggregation Records'!$E$156:$E$517,MATCH(RIGHT(L799,255),RIGHT('Disaggregation Records'!$D$156:$D$517,255),0))="","",INDEX('Disaggregation Records'!$E$156:$E$517,MATCH(RIGHT(L799,255),RIGHT('Disaggregation Records'!$D$156:$D$517,255),0))),"")</f>
        <v/>
      </c>
      <c r="N799" s="126" t="str">
        <f t="array" aca="1" ref="N799" ca="1">IFERROR(IF(INDEX('Disaggregation Records'!$F$156:$F$517,MATCH(RIGHT(L799,255),RIGHT('Disaggregation Records'!$D$156:$D$517,255),0))="","",INDEX('Disaggregation Records'!$F$156:$F$517,MATCH(RIGHT(L799,255),RIGHT('Disaggregation Records'!$D$156:$D$517,255),0))),"")</f>
        <v/>
      </c>
      <c r="O799" s="314" t="str">
        <f t="array" aca="1" ref="O799" ca="1">IFERROR(IF(INDEX('Disaggregation Records'!$H$156:$H$517,MATCH(RIGHT(L799,255),RIGHT('Disaggregation Records'!$D$156:$D$517,255),0))="","",INDEX('Disaggregation Records'!$H$156:$H$517,MATCH(RIGHT(L799,255),RIGHT('Disaggregation Records'!$D$156:$D$517,255),0))),"")</f>
        <v/>
      </c>
      <c r="P799" s="310"/>
      <c r="Q799" s="310">
        <f t="shared" ref="Q799" si="972">Q797+1</f>
        <v>1701</v>
      </c>
      <c r="R799" s="314" t="str" cm="1">
        <f t="array" aca="1" ref="R799" ca="1">IFERROR(IF(INDEX('Disaggregation Records'!$G$156:$G$517,MATCH(RIGHT(L799,255),RIGHT('Disaggregation Records'!$D$156:$D$517,255),0))="","",INDEX('Disaggregation Records'!$G$156:$G$517,MATCH(RIGHT(L799,255),RIGHT('Disaggregation Records'!$D$156:$D$517,255),0))),"")</f>
        <v/>
      </c>
    </row>
    <row r="800" spans="1:18" ht="20.100000000000001" customHeight="1">
      <c r="B800" s="571"/>
      <c r="C800" s="573"/>
      <c r="D800" s="575"/>
      <c r="E800" s="575"/>
      <c r="F800" s="128"/>
      <c r="G800" s="577"/>
      <c r="H800" s="540"/>
      <c r="I800" s="579"/>
      <c r="J800" s="533"/>
      <c r="L800" s="126"/>
      <c r="N800" s="126"/>
      <c r="O800" s="314"/>
      <c r="P800" s="310"/>
      <c r="Q800" s="310"/>
      <c r="R800" s="314" t="str" cm="1">
        <f t="array" ref="R800">IFERROR(IF(INDEX('Disaggregation Records'!$G$156:$G$517,MATCH(RIGHT(L800,255),RIGHT('Disaggregation Records'!$D$156:$D$517,255),0))="","",INDEX('Disaggregation Records'!$G$156:$G$517,MATCH(RIGHT(L800,255),RIGHT('Disaggregation Records'!$D$156:$D$517,255),0))),"")</f>
        <v/>
      </c>
    </row>
    <row r="801" spans="1:18" ht="20.100000000000001" customHeight="1">
      <c r="A801" s="126" t="str">
        <f t="shared" ca="1" si="923"/>
        <v>a16Dm000000M3rdIAC</v>
      </c>
      <c r="B801" s="570">
        <v>5</v>
      </c>
      <c r="C801" s="572" t="str">
        <f ca="1">IFERROR(VLOOKUP(B801,'Coverage Indicators - Section D'!$A$9:$AO$94,41,FALSE),"")</f>
        <v>DRTB-3 Percentage of people with confirmed RR-TB and/or MDR-TB that began second-line treatment</v>
      </c>
      <c r="D801" s="574" t="str">
        <f ca="1">M801</f>
        <v/>
      </c>
      <c r="E801" s="574" t="str">
        <f ca="1">N801</f>
        <v/>
      </c>
      <c r="F801" s="127"/>
      <c r="G801" s="576" t="str">
        <f ca="1">IF(OR(INDIRECT("'update Helper'!E"&amp;Q801)="",F801&lt;&gt;0,F802&lt;&gt;0),IF(IFERROR((F801/F802),"")="","",(F801/F802)),INDIRECT("'update Helper'!E"&amp;Q801)/100)</f>
        <v/>
      </c>
      <c r="H801" s="539"/>
      <c r="I801" s="578"/>
      <c r="J801" s="532"/>
      <c r="K801" s="126">
        <f ca="1">IF(AND(EXACT(C801,C799),C799&lt;&gt;0),K799+1,0)</f>
        <v>10</v>
      </c>
      <c r="L801" s="126" t="str">
        <f t="shared" ref="L801" ca="1" si="973">IF(C801&lt;&gt;"",C801&amp;"-"&amp;K801,"")</f>
        <v>DRTB-3 Percentage of people with confirmed RR-TB and/or MDR-TB that began second-line treatment-10</v>
      </c>
      <c r="M801" s="126" t="str">
        <f t="array" aca="1" ref="M801" ca="1">IFERROR(IF(INDEX('Disaggregation Records'!$E$156:$E$517,MATCH(RIGHT(L801,255),RIGHT('Disaggregation Records'!$D$156:$D$517,255),0))="","",INDEX('Disaggregation Records'!$E$156:$E$517,MATCH(RIGHT(L801,255),RIGHT('Disaggregation Records'!$D$156:$D$517,255),0))),"")</f>
        <v/>
      </c>
      <c r="N801" s="126" t="str">
        <f t="array" aca="1" ref="N801" ca="1">IFERROR(IF(INDEX('Disaggregation Records'!$F$156:$F$517,MATCH(RIGHT(L801,255),RIGHT('Disaggregation Records'!$D$156:$D$517,255),0))="","",INDEX('Disaggregation Records'!$F$156:$F$517,MATCH(RIGHT(L801,255),RIGHT('Disaggregation Records'!$D$156:$D$517,255),0))),"")</f>
        <v/>
      </c>
      <c r="O801" s="314" t="str">
        <f t="array" aca="1" ref="O801" ca="1">IFERROR(IF(INDEX('Disaggregation Records'!$H$156:$H$517,MATCH(RIGHT(L801,255),RIGHT('Disaggregation Records'!$D$156:$D$517,255),0))="","",INDEX('Disaggregation Records'!$H$156:$H$517,MATCH(RIGHT(L801,255),RIGHT('Disaggregation Records'!$D$156:$D$517,255),0))),"")</f>
        <v/>
      </c>
      <c r="P801" s="314"/>
      <c r="Q801" s="310">
        <f t="shared" ref="Q801" si="974">Q799+1</f>
        <v>1702</v>
      </c>
      <c r="R801" s="314" t="str" cm="1">
        <f t="array" aca="1" ref="R801" ca="1">IFERROR(IF(INDEX('Disaggregation Records'!$G$156:$G$517,MATCH(RIGHT(L801,255),RIGHT('Disaggregation Records'!$D$156:$D$517,255),0))="","",INDEX('Disaggregation Records'!$G$156:$G$517,MATCH(RIGHT(L801,255),RIGHT('Disaggregation Records'!$D$156:$D$517,255),0))),"")</f>
        <v/>
      </c>
    </row>
    <row r="802" spans="1:18" ht="20.100000000000001" customHeight="1">
      <c r="A802" s="126"/>
      <c r="B802" s="571"/>
      <c r="C802" s="573"/>
      <c r="D802" s="575"/>
      <c r="E802" s="575"/>
      <c r="F802" s="128"/>
      <c r="G802" s="577"/>
      <c r="H802" s="540"/>
      <c r="I802" s="579"/>
      <c r="J802" s="533"/>
      <c r="K802" s="126"/>
      <c r="L802" s="126"/>
      <c r="M802" s="126"/>
      <c r="N802" s="126"/>
      <c r="O802" s="314"/>
      <c r="P802" s="314"/>
      <c r="Q802" s="310"/>
      <c r="R802" s="314" t="str" cm="1">
        <f t="array" ref="R802">IFERROR(IF(INDEX('Disaggregation Records'!$G$156:$G$517,MATCH(RIGHT(L802,255),RIGHT('Disaggregation Records'!$D$156:$D$517,255),0))="","",INDEX('Disaggregation Records'!$G$156:$G$517,MATCH(RIGHT(L802,255),RIGHT('Disaggregation Records'!$D$156:$D$517,255),0))),"")</f>
        <v/>
      </c>
    </row>
    <row r="803" spans="1:18" ht="20.100000000000001" customHeight="1">
      <c r="A803" s="126" t="str">
        <f t="shared" ca="1" si="926"/>
        <v>a16Dm000000M3reIAC</v>
      </c>
      <c r="B803" s="570">
        <v>5</v>
      </c>
      <c r="C803" s="572" t="str">
        <f ca="1">IFERROR(VLOOKUP(B803,'Coverage Indicators - Section D'!$A$9:$AO$94,41,FALSE),"")</f>
        <v>DRTB-3 Percentage of people with confirmed RR-TB and/or MDR-TB that began second-line treatment</v>
      </c>
      <c r="D803" s="574" t="str">
        <f ca="1">M803</f>
        <v/>
      </c>
      <c r="E803" s="574" t="str">
        <f ca="1">N803</f>
        <v/>
      </c>
      <c r="F803" s="127"/>
      <c r="G803" s="576" t="str">
        <f ca="1">IF(OR(INDIRECT("'update Helper'!E"&amp;Q803)="",F803&lt;&gt;0,F804&lt;&gt;0),IF(IFERROR((F803/F804),"")="","",(F803/F804)),INDIRECT("'update Helper'!E"&amp;Q803)/100)</f>
        <v/>
      </c>
      <c r="H803" s="539"/>
      <c r="I803" s="578"/>
      <c r="J803" s="532"/>
      <c r="K803" s="126">
        <f ca="1">IF(AND(EXACT(C803,C801),C801&lt;&gt;0),K801+1,0)</f>
        <v>11</v>
      </c>
      <c r="L803" s="126" t="str">
        <f t="shared" ref="L803" ca="1" si="975">IF(C803&lt;&gt;"",C803&amp;"-"&amp;K803,"")</f>
        <v>DRTB-3 Percentage of people with confirmed RR-TB and/or MDR-TB that began second-line treatment-11</v>
      </c>
      <c r="M803" s="126" t="str">
        <f t="array" aca="1" ref="M803" ca="1">IFERROR(IF(INDEX('Disaggregation Records'!$E$156:$E$517,MATCH(RIGHT(L803,255),RIGHT('Disaggregation Records'!$D$156:$D$517,255),0))="","",INDEX('Disaggregation Records'!$E$156:$E$517,MATCH(RIGHT(L803,255),RIGHT('Disaggregation Records'!$D$156:$D$517,255),0))),"")</f>
        <v/>
      </c>
      <c r="N803" s="126" t="str">
        <f t="array" aca="1" ref="N803" ca="1">IFERROR(IF(INDEX('Disaggregation Records'!$F$156:$F$517,MATCH(RIGHT(L803,255),RIGHT('Disaggregation Records'!$D$156:$D$517,255),0))="","",INDEX('Disaggregation Records'!$F$156:$F$517,MATCH(RIGHT(L803,255),RIGHT('Disaggregation Records'!$D$156:$D$517,255),0))),"")</f>
        <v/>
      </c>
      <c r="O803" s="314" t="str">
        <f t="array" aca="1" ref="O803" ca="1">IFERROR(IF(INDEX('Disaggregation Records'!$H$156:$H$517,MATCH(RIGHT(L803,255),RIGHT('Disaggregation Records'!$D$156:$D$517,255),0))="","",INDEX('Disaggregation Records'!$H$156:$H$517,MATCH(RIGHT(L803,255),RIGHT('Disaggregation Records'!$D$156:$D$517,255),0))),"")</f>
        <v/>
      </c>
      <c r="P803" s="314"/>
      <c r="Q803" s="310">
        <f t="shared" ref="Q803" si="976">Q801+1</f>
        <v>1703</v>
      </c>
      <c r="R803" s="314" t="str" cm="1">
        <f t="array" aca="1" ref="R803" ca="1">IFERROR(IF(INDEX('Disaggregation Records'!$G$156:$G$517,MATCH(RIGHT(L803,255),RIGHT('Disaggregation Records'!$D$156:$D$517,255),0))="","",INDEX('Disaggregation Records'!$G$156:$G$517,MATCH(RIGHT(L803,255),RIGHT('Disaggregation Records'!$D$156:$D$517,255),0))),"")</f>
        <v/>
      </c>
    </row>
    <row r="804" spans="1:18" ht="20.100000000000001" customHeight="1">
      <c r="B804" s="571"/>
      <c r="C804" s="573"/>
      <c r="D804" s="575"/>
      <c r="E804" s="575"/>
      <c r="F804" s="128"/>
      <c r="G804" s="577"/>
      <c r="H804" s="540"/>
      <c r="I804" s="579"/>
      <c r="J804" s="533"/>
      <c r="K804" s="126"/>
      <c r="L804" s="126"/>
      <c r="M804" s="126"/>
      <c r="N804" s="126"/>
      <c r="O804" s="314"/>
      <c r="P804" s="314"/>
      <c r="Q804" s="310"/>
      <c r="R804" s="314" t="str" cm="1">
        <f t="array" ref="R804">IFERROR(IF(INDEX('Disaggregation Records'!$G$156:$G$517,MATCH(RIGHT(L804,255),RIGHT('Disaggregation Records'!$D$156:$D$517,255),0))="","",INDEX('Disaggregation Records'!$G$156:$G$517,MATCH(RIGHT(L804,255),RIGHT('Disaggregation Records'!$D$156:$D$517,255),0))),"")</f>
        <v/>
      </c>
    </row>
    <row r="805" spans="1:18" ht="20.100000000000001" customHeight="1">
      <c r="A805" s="126" t="str">
        <f t="shared" ca="1" si="923"/>
        <v>a16Dm000000M3rfIAC</v>
      </c>
      <c r="B805" s="570">
        <v>5</v>
      </c>
      <c r="C805" s="572" t="str">
        <f ca="1">IFERROR(VLOOKUP(B805,'Coverage Indicators - Section D'!$A$9:$AO$94,41,FALSE),"")</f>
        <v>DRTB-3 Percentage of people with confirmed RR-TB and/or MDR-TB that began second-line treatment</v>
      </c>
      <c r="D805" s="574" t="str">
        <f ca="1">M805</f>
        <v/>
      </c>
      <c r="E805" s="574" t="str">
        <f ca="1">N805</f>
        <v/>
      </c>
      <c r="F805" s="127"/>
      <c r="G805" s="576" t="str">
        <f ca="1">IF(OR(INDIRECT("'update Helper'!E"&amp;Q805)="",F805&lt;&gt;0,F806&lt;&gt;0),IF(IFERROR((F805/F806),"")="","",(F805/F806)),INDIRECT("'update Helper'!E"&amp;Q805)/100)</f>
        <v/>
      </c>
      <c r="H805" s="539"/>
      <c r="I805" s="578"/>
      <c r="J805" s="532"/>
      <c r="K805" s="126">
        <f ca="1">IF(AND(EXACT(C805,C803),C803&lt;&gt;0),K803+1,0)</f>
        <v>12</v>
      </c>
      <c r="L805" s="126" t="str">
        <f t="shared" ref="L805" ca="1" si="977">IF(C805&lt;&gt;"",C805&amp;"-"&amp;K805,"")</f>
        <v>DRTB-3 Percentage of people with confirmed RR-TB and/or MDR-TB that began second-line treatment-12</v>
      </c>
      <c r="M805" s="126" t="str">
        <f t="array" aca="1" ref="M805" ca="1">IFERROR(IF(INDEX('Disaggregation Records'!$E$156:$E$517,MATCH(RIGHT(L805,255),RIGHT('Disaggregation Records'!$D$156:$D$517,255),0))="","",INDEX('Disaggregation Records'!$E$156:$E$517,MATCH(RIGHT(L805,255),RIGHT('Disaggregation Records'!$D$156:$D$517,255),0))),"")</f>
        <v/>
      </c>
      <c r="N805" s="126" t="str">
        <f t="array" aca="1" ref="N805" ca="1">IFERROR(IF(INDEX('Disaggregation Records'!$F$156:$F$517,MATCH(RIGHT(L805,255),RIGHT('Disaggregation Records'!$D$156:$D$517,255),0))="","",INDEX('Disaggregation Records'!$F$156:$F$517,MATCH(RIGHT(L805,255),RIGHT('Disaggregation Records'!$D$156:$D$517,255),0))),"")</f>
        <v/>
      </c>
      <c r="O805" s="314" t="str">
        <f t="array" aca="1" ref="O805" ca="1">IFERROR(IF(INDEX('Disaggregation Records'!$H$156:$H$517,MATCH(RIGHT(L805,255),RIGHT('Disaggregation Records'!$D$156:$D$517,255),0))="","",INDEX('Disaggregation Records'!$H$156:$H$517,MATCH(RIGHT(L805,255),RIGHT('Disaggregation Records'!$D$156:$D$517,255),0))),"")</f>
        <v/>
      </c>
      <c r="P805" s="310"/>
      <c r="Q805" s="310">
        <f t="shared" ref="Q805" si="978">Q803+1</f>
        <v>1704</v>
      </c>
      <c r="R805" s="314" t="str" cm="1">
        <f t="array" aca="1" ref="R805" ca="1">IFERROR(IF(INDEX('Disaggregation Records'!$G$156:$G$517,MATCH(RIGHT(L805,255),RIGHT('Disaggregation Records'!$D$156:$D$517,255),0))="","",INDEX('Disaggregation Records'!$G$156:$G$517,MATCH(RIGHT(L805,255),RIGHT('Disaggregation Records'!$D$156:$D$517,255),0))),"")</f>
        <v/>
      </c>
    </row>
    <row r="806" spans="1:18" ht="20.100000000000001" customHeight="1">
      <c r="A806" s="126"/>
      <c r="B806" s="571"/>
      <c r="C806" s="573"/>
      <c r="D806" s="575"/>
      <c r="E806" s="575"/>
      <c r="F806" s="128"/>
      <c r="G806" s="577"/>
      <c r="H806" s="540"/>
      <c r="I806" s="579"/>
      <c r="J806" s="533"/>
      <c r="L806" s="126"/>
      <c r="N806" s="126"/>
      <c r="O806" s="314"/>
      <c r="P806" s="310"/>
      <c r="Q806" s="310"/>
      <c r="R806" s="314" t="str" cm="1">
        <f t="array" ref="R806">IFERROR(IF(INDEX('Disaggregation Records'!$G$156:$G$517,MATCH(RIGHT(L806,255),RIGHT('Disaggregation Records'!$D$156:$D$517,255),0))="","",INDEX('Disaggregation Records'!$G$156:$G$517,MATCH(RIGHT(L806,255),RIGHT('Disaggregation Records'!$D$156:$D$517,255),0))),"")</f>
        <v/>
      </c>
    </row>
    <row r="807" spans="1:18" ht="20.100000000000001" customHeight="1">
      <c r="A807" s="126" t="str">
        <f t="shared" ca="1" si="926"/>
        <v>a16Dm000000M3rgIAC</v>
      </c>
      <c r="B807" s="570">
        <v>5</v>
      </c>
      <c r="C807" s="572" t="str">
        <f ca="1">IFERROR(VLOOKUP(B807,'Coverage Indicators - Section D'!$A$9:$AO$94,41,FALSE),"")</f>
        <v>DRTB-3 Percentage of people with confirmed RR-TB and/or MDR-TB that began second-line treatment</v>
      </c>
      <c r="D807" s="574" t="str">
        <f ca="1">M807</f>
        <v/>
      </c>
      <c r="E807" s="574" t="str">
        <f ca="1">N807</f>
        <v/>
      </c>
      <c r="F807" s="127"/>
      <c r="G807" s="576" t="str">
        <f ca="1">IF(OR(INDIRECT("'update Helper'!E"&amp;Q807)="",F807&lt;&gt;0,F808&lt;&gt;0),IF(IFERROR((F807/F808),"")="","",(F807/F808)),INDIRECT("'update Helper'!E"&amp;Q807)/100)</f>
        <v/>
      </c>
      <c r="H807" s="539"/>
      <c r="I807" s="578"/>
      <c r="J807" s="532"/>
      <c r="K807" s="126">
        <f ca="1">IF(AND(EXACT(C807,C805),C805&lt;&gt;0),K805+1,0)</f>
        <v>13</v>
      </c>
      <c r="L807" s="126" t="str">
        <f t="shared" ref="L807" ca="1" si="979">IF(C807&lt;&gt;"",C807&amp;"-"&amp;K807,"")</f>
        <v>DRTB-3 Percentage of people with confirmed RR-TB and/or MDR-TB that began second-line treatment-13</v>
      </c>
      <c r="M807" s="126" t="str">
        <f t="array" aca="1" ref="M807" ca="1">IFERROR(IF(INDEX('Disaggregation Records'!$E$156:$E$517,MATCH(RIGHT(L807,255),RIGHT('Disaggregation Records'!$D$156:$D$517,255),0))="","",INDEX('Disaggregation Records'!$E$156:$E$517,MATCH(RIGHT(L807,255),RIGHT('Disaggregation Records'!$D$156:$D$517,255),0))),"")</f>
        <v/>
      </c>
      <c r="N807" s="126" t="str">
        <f t="array" aca="1" ref="N807" ca="1">IFERROR(IF(INDEX('Disaggregation Records'!$F$156:$F$517,MATCH(RIGHT(L807,255),RIGHT('Disaggregation Records'!$D$156:$D$517,255),0))="","",INDEX('Disaggregation Records'!$F$156:$F$517,MATCH(RIGHT(L807,255),RIGHT('Disaggregation Records'!$D$156:$D$517,255),0))),"")</f>
        <v/>
      </c>
      <c r="O807" s="314" t="str">
        <f t="array" aca="1" ref="O807" ca="1">IFERROR(IF(INDEX('Disaggregation Records'!$H$156:$H$517,MATCH(RIGHT(L807,255),RIGHT('Disaggregation Records'!$D$156:$D$517,255),0))="","",INDEX('Disaggregation Records'!$H$156:$H$517,MATCH(RIGHT(L807,255),RIGHT('Disaggregation Records'!$D$156:$D$517,255),0))),"")</f>
        <v/>
      </c>
      <c r="P807" s="310"/>
      <c r="Q807" s="310">
        <f t="shared" ref="Q807" si="980">Q805+1</f>
        <v>1705</v>
      </c>
      <c r="R807" s="314" t="str" cm="1">
        <f t="array" aca="1" ref="R807" ca="1">IFERROR(IF(INDEX('Disaggregation Records'!$G$156:$G$517,MATCH(RIGHT(L807,255),RIGHT('Disaggregation Records'!$D$156:$D$517,255),0))="","",INDEX('Disaggregation Records'!$G$156:$G$517,MATCH(RIGHT(L807,255),RIGHT('Disaggregation Records'!$D$156:$D$517,255),0))),"")</f>
        <v/>
      </c>
    </row>
    <row r="808" spans="1:18" ht="20.100000000000001" customHeight="1">
      <c r="B808" s="571"/>
      <c r="C808" s="573"/>
      <c r="D808" s="575"/>
      <c r="E808" s="575"/>
      <c r="F808" s="128"/>
      <c r="G808" s="577"/>
      <c r="H808" s="540"/>
      <c r="I808" s="579"/>
      <c r="J808" s="533"/>
      <c r="L808" s="126"/>
      <c r="N808" s="126"/>
      <c r="O808" s="314"/>
      <c r="P808" s="310"/>
      <c r="Q808" s="310"/>
      <c r="R808" s="314" t="str" cm="1">
        <f t="array" ref="R808">IFERROR(IF(INDEX('Disaggregation Records'!$G$156:$G$517,MATCH(RIGHT(L808,255),RIGHT('Disaggregation Records'!$D$156:$D$517,255),0))="","",INDEX('Disaggregation Records'!$G$156:$G$517,MATCH(RIGHT(L808,255),RIGHT('Disaggregation Records'!$D$156:$D$517,255),0))),"")</f>
        <v/>
      </c>
    </row>
    <row r="809" spans="1:18" ht="20.100000000000001" customHeight="1">
      <c r="A809" s="126" t="str">
        <f t="shared" ca="1" si="923"/>
        <v>a16Dm000000M3rhIAC</v>
      </c>
      <c r="B809" s="570">
        <v>5</v>
      </c>
      <c r="C809" s="572" t="str">
        <f ca="1">IFERROR(VLOOKUP(B809,'Coverage Indicators - Section D'!$A$9:$AO$94,41,FALSE),"")</f>
        <v>DRTB-3 Percentage of people with confirmed RR-TB and/or MDR-TB that began second-line treatment</v>
      </c>
      <c r="D809" s="574" t="str">
        <f ca="1">M809</f>
        <v/>
      </c>
      <c r="E809" s="574" t="str">
        <f ca="1">N809</f>
        <v/>
      </c>
      <c r="F809" s="127"/>
      <c r="G809" s="576" t="str">
        <f ca="1">IF(OR(INDIRECT("'update Helper'!E"&amp;Q809)="",F809&lt;&gt;0,F810&lt;&gt;0),IF(IFERROR((F809/F810),"")="","",(F809/F810)),INDIRECT("'update Helper'!E"&amp;Q809)/100)</f>
        <v/>
      </c>
      <c r="H809" s="539"/>
      <c r="I809" s="578"/>
      <c r="J809" s="532"/>
      <c r="K809" s="126">
        <f ca="1">IF(AND(EXACT(C809,C807),C807&lt;&gt;0),K807+1,0)</f>
        <v>14</v>
      </c>
      <c r="L809" s="126" t="str">
        <f t="shared" ref="L809" ca="1" si="981">IF(C809&lt;&gt;"",C809&amp;"-"&amp;K809,"")</f>
        <v>DRTB-3 Percentage of people with confirmed RR-TB and/or MDR-TB that began second-line treatment-14</v>
      </c>
      <c r="M809" s="126" t="str">
        <f t="array" aca="1" ref="M809" ca="1">IFERROR(IF(INDEX('Disaggregation Records'!$E$156:$E$517,MATCH(RIGHT(L809,255),RIGHT('Disaggregation Records'!$D$156:$D$517,255),0))="","",INDEX('Disaggregation Records'!$E$156:$E$517,MATCH(RIGHT(L809,255),RIGHT('Disaggregation Records'!$D$156:$D$517,255),0))),"")</f>
        <v/>
      </c>
      <c r="N809" s="126" t="str">
        <f t="array" aca="1" ref="N809" ca="1">IFERROR(IF(INDEX('Disaggregation Records'!$F$156:$F$517,MATCH(RIGHT(L809,255),RIGHT('Disaggregation Records'!$D$156:$D$517,255),0))="","",INDEX('Disaggregation Records'!$F$156:$F$517,MATCH(RIGHT(L809,255),RIGHT('Disaggregation Records'!$D$156:$D$517,255),0))),"")</f>
        <v/>
      </c>
      <c r="O809" s="314" t="str">
        <f t="array" aca="1" ref="O809" ca="1">IFERROR(IF(INDEX('Disaggregation Records'!$H$156:$H$517,MATCH(RIGHT(L809,255),RIGHT('Disaggregation Records'!$D$156:$D$517,255),0))="","",INDEX('Disaggregation Records'!$H$156:$H$517,MATCH(RIGHT(L809,255),RIGHT('Disaggregation Records'!$D$156:$D$517,255),0))),"")</f>
        <v/>
      </c>
      <c r="P809" s="310"/>
      <c r="Q809" s="310">
        <f t="shared" ref="Q809" si="982">Q807+1</f>
        <v>1706</v>
      </c>
      <c r="R809" s="314" t="str" cm="1">
        <f t="array" aca="1" ref="R809" ca="1">IFERROR(IF(INDEX('Disaggregation Records'!$G$156:$G$517,MATCH(RIGHT(L809,255),RIGHT('Disaggregation Records'!$D$156:$D$517,255),0))="","",INDEX('Disaggregation Records'!$G$156:$G$517,MATCH(RIGHT(L809,255),RIGHT('Disaggregation Records'!$D$156:$D$517,255),0))),"")</f>
        <v/>
      </c>
    </row>
    <row r="810" spans="1:18" ht="20.100000000000001" customHeight="1">
      <c r="A810" s="126"/>
      <c r="B810" s="571"/>
      <c r="C810" s="573"/>
      <c r="D810" s="575"/>
      <c r="E810" s="575"/>
      <c r="F810" s="128"/>
      <c r="G810" s="577"/>
      <c r="H810" s="540"/>
      <c r="I810" s="579"/>
      <c r="J810" s="533"/>
      <c r="L810" s="126"/>
      <c r="N810" s="126"/>
      <c r="O810" s="314"/>
      <c r="P810" s="310"/>
      <c r="Q810" s="310"/>
      <c r="R810" s="314" t="str" cm="1">
        <f t="array" ref="R810">IFERROR(IF(INDEX('Disaggregation Records'!$G$156:$G$517,MATCH(RIGHT(L810,255),RIGHT('Disaggregation Records'!$D$156:$D$517,255),0))="","",INDEX('Disaggregation Records'!$G$156:$G$517,MATCH(RIGHT(L810,255),RIGHT('Disaggregation Records'!$D$156:$D$517,255),0))),"")</f>
        <v/>
      </c>
    </row>
    <row r="811" spans="1:18" ht="20.100000000000001" customHeight="1">
      <c r="A811" s="126" t="str">
        <f t="shared" ca="1" si="926"/>
        <v>a16Dm000000M3riIAC</v>
      </c>
      <c r="B811" s="570">
        <v>5</v>
      </c>
      <c r="C811" s="572" t="str">
        <f ca="1">IFERROR(VLOOKUP(B811,'Coverage Indicators - Section D'!$A$9:$AO$94,41,FALSE),"")</f>
        <v>DRTB-3 Percentage of people with confirmed RR-TB and/or MDR-TB that began second-line treatment</v>
      </c>
      <c r="D811" s="574" t="str">
        <f ca="1">M811</f>
        <v/>
      </c>
      <c r="E811" s="574" t="str">
        <f ca="1">N811</f>
        <v/>
      </c>
      <c r="F811" s="127"/>
      <c r="G811" s="576" t="str">
        <f ca="1">IF(OR(INDIRECT("'update Helper'!E"&amp;Q811)="",F811&lt;&gt;0,F812&lt;&gt;0),IF(IFERROR((F811/F812),"")="","",(F811/F812)),INDIRECT("'update Helper'!E"&amp;Q811)/100)</f>
        <v/>
      </c>
      <c r="H811" s="539"/>
      <c r="I811" s="578"/>
      <c r="J811" s="532"/>
      <c r="K811" s="126">
        <f ca="1">IF(AND(EXACT(C811,C809),C809&lt;&gt;0),K809+1,0)</f>
        <v>15</v>
      </c>
      <c r="L811" s="126" t="str">
        <f t="shared" ref="L811" ca="1" si="983">IF(C811&lt;&gt;"",C811&amp;"-"&amp;K811,"")</f>
        <v>DRTB-3 Percentage of people with confirmed RR-TB and/or MDR-TB that began second-line treatment-15</v>
      </c>
      <c r="M811" s="126" t="str">
        <f t="array" aca="1" ref="M811" ca="1">IFERROR(IF(INDEX('Disaggregation Records'!$E$156:$E$517,MATCH(RIGHT(L811,255),RIGHT('Disaggregation Records'!$D$156:$D$517,255),0))="","",INDEX('Disaggregation Records'!$E$156:$E$517,MATCH(RIGHT(L811,255),RIGHT('Disaggregation Records'!$D$156:$D$517,255),0))),"")</f>
        <v/>
      </c>
      <c r="N811" s="126" t="str">
        <f t="array" aca="1" ref="N811" ca="1">IFERROR(IF(INDEX('Disaggregation Records'!$F$156:$F$517,MATCH(RIGHT(L811,255),RIGHT('Disaggregation Records'!$D$156:$D$517,255),0))="","",INDEX('Disaggregation Records'!$F$156:$F$517,MATCH(RIGHT(L811,255),RIGHT('Disaggregation Records'!$D$156:$D$517,255),0))),"")</f>
        <v/>
      </c>
      <c r="O811" s="314" t="str">
        <f t="array" aca="1" ref="O811" ca="1">IFERROR(IF(INDEX('Disaggregation Records'!$H$156:$H$517,MATCH(RIGHT(L811,255),RIGHT('Disaggregation Records'!$D$156:$D$517,255),0))="","",INDEX('Disaggregation Records'!$H$156:$H$517,MATCH(RIGHT(L811,255),RIGHT('Disaggregation Records'!$D$156:$D$517,255),0))),"")</f>
        <v/>
      </c>
      <c r="P811" s="314"/>
      <c r="Q811" s="310">
        <f t="shared" ref="Q811" si="984">Q809+1</f>
        <v>1707</v>
      </c>
      <c r="R811" s="314" t="str" cm="1">
        <f t="array" aca="1" ref="R811" ca="1">IFERROR(IF(INDEX('Disaggregation Records'!$G$156:$G$517,MATCH(RIGHT(L811,255),RIGHT('Disaggregation Records'!$D$156:$D$517,255),0))="","",INDEX('Disaggregation Records'!$G$156:$G$517,MATCH(RIGHT(L811,255),RIGHT('Disaggregation Records'!$D$156:$D$517,255),0))),"")</f>
        <v/>
      </c>
    </row>
    <row r="812" spans="1:18" ht="20.100000000000001" customHeight="1">
      <c r="B812" s="571"/>
      <c r="C812" s="573"/>
      <c r="D812" s="575"/>
      <c r="E812" s="575"/>
      <c r="F812" s="128"/>
      <c r="G812" s="577"/>
      <c r="H812" s="540"/>
      <c r="I812" s="579"/>
      <c r="J812" s="533"/>
      <c r="K812" s="126"/>
      <c r="L812" s="126"/>
      <c r="M812" s="126"/>
      <c r="N812" s="126"/>
      <c r="O812" s="314"/>
      <c r="P812" s="314"/>
      <c r="Q812" s="310"/>
      <c r="R812" s="314" t="str" cm="1">
        <f t="array" ref="R812">IFERROR(IF(INDEX('Disaggregation Records'!$G$156:$G$517,MATCH(RIGHT(L812,255),RIGHT('Disaggregation Records'!$D$156:$D$517,255),0))="","",INDEX('Disaggregation Records'!$G$156:$G$517,MATCH(RIGHT(L812,255),RIGHT('Disaggregation Records'!$D$156:$D$517,255),0))),"")</f>
        <v/>
      </c>
    </row>
    <row r="813" spans="1:18" ht="20.100000000000001" customHeight="1">
      <c r="A813" s="126" t="str">
        <f t="shared" ca="1" si="923"/>
        <v>a16Dm000000M3rjIAC</v>
      </c>
      <c r="B813" s="570">
        <v>5</v>
      </c>
      <c r="C813" s="572" t="str">
        <f ca="1">IFERROR(VLOOKUP(B813,'Coverage Indicators - Section D'!$A$9:$AO$94,41,FALSE),"")</f>
        <v>DRTB-3 Percentage of people with confirmed RR-TB and/or MDR-TB that began second-line treatment</v>
      </c>
      <c r="D813" s="574" t="str">
        <f ca="1">M813</f>
        <v/>
      </c>
      <c r="E813" s="574" t="str">
        <f ca="1">N813</f>
        <v/>
      </c>
      <c r="F813" s="127"/>
      <c r="G813" s="576" t="str">
        <f ca="1">IF(OR(INDIRECT("'update Helper'!E"&amp;Q813)="",F813&lt;&gt;0,F814&lt;&gt;0),IF(IFERROR((F813/F814),"")="","",(F813/F814)),INDIRECT("'update Helper'!E"&amp;Q813)/100)</f>
        <v/>
      </c>
      <c r="H813" s="539"/>
      <c r="I813" s="578"/>
      <c r="J813" s="532"/>
      <c r="K813" s="126">
        <f ca="1">IF(AND(EXACT(C813,C811),C811&lt;&gt;0),K811+1,0)</f>
        <v>16</v>
      </c>
      <c r="L813" s="126" t="str">
        <f t="shared" ref="L813" ca="1" si="985">IF(C813&lt;&gt;"",C813&amp;"-"&amp;K813,"")</f>
        <v>DRTB-3 Percentage of people with confirmed RR-TB and/or MDR-TB that began second-line treatment-16</v>
      </c>
      <c r="M813" s="126" t="str">
        <f t="array" aca="1" ref="M813" ca="1">IFERROR(IF(INDEX('Disaggregation Records'!$E$156:$E$517,MATCH(RIGHT(L813,255),RIGHT('Disaggregation Records'!$D$156:$D$517,255),0))="","",INDEX('Disaggregation Records'!$E$156:$E$517,MATCH(RIGHT(L813,255),RIGHT('Disaggregation Records'!$D$156:$D$517,255),0))),"")</f>
        <v/>
      </c>
      <c r="N813" s="126" t="str">
        <f t="array" aca="1" ref="N813" ca="1">IFERROR(IF(INDEX('Disaggregation Records'!$F$156:$F$517,MATCH(RIGHT(L813,255),RIGHT('Disaggregation Records'!$D$156:$D$517,255),0))="","",INDEX('Disaggregation Records'!$F$156:$F$517,MATCH(RIGHT(L813,255),RIGHT('Disaggregation Records'!$D$156:$D$517,255),0))),"")</f>
        <v/>
      </c>
      <c r="O813" s="314" t="str">
        <f t="array" aca="1" ref="O813" ca="1">IFERROR(IF(INDEX('Disaggregation Records'!$H$156:$H$517,MATCH(RIGHT(L813,255),RIGHT('Disaggregation Records'!$D$156:$D$517,255),0))="","",INDEX('Disaggregation Records'!$H$156:$H$517,MATCH(RIGHT(L813,255),RIGHT('Disaggregation Records'!$D$156:$D$517,255),0))),"")</f>
        <v/>
      </c>
      <c r="P813" s="314"/>
      <c r="Q813" s="310">
        <f t="shared" ref="Q813" si="986">Q811+1</f>
        <v>1708</v>
      </c>
      <c r="R813" s="314" t="str" cm="1">
        <f t="array" aca="1" ref="R813" ca="1">IFERROR(IF(INDEX('Disaggregation Records'!$G$156:$G$517,MATCH(RIGHT(L813,255),RIGHT('Disaggregation Records'!$D$156:$D$517,255),0))="","",INDEX('Disaggregation Records'!$G$156:$G$517,MATCH(RIGHT(L813,255),RIGHT('Disaggregation Records'!$D$156:$D$517,255),0))),"")</f>
        <v/>
      </c>
    </row>
    <row r="814" spans="1:18" ht="20.100000000000001" customHeight="1">
      <c r="A814" s="126"/>
      <c r="B814" s="571"/>
      <c r="C814" s="573"/>
      <c r="D814" s="575"/>
      <c r="E814" s="575"/>
      <c r="F814" s="128"/>
      <c r="G814" s="577"/>
      <c r="H814" s="540"/>
      <c r="I814" s="579"/>
      <c r="J814" s="533"/>
      <c r="K814" s="126"/>
      <c r="L814" s="126"/>
      <c r="M814" s="126"/>
      <c r="N814" s="126"/>
      <c r="O814" s="314"/>
      <c r="P814" s="314"/>
      <c r="Q814" s="310"/>
      <c r="R814" s="314" t="str" cm="1">
        <f t="array" ref="R814">IFERROR(IF(INDEX('Disaggregation Records'!$G$156:$G$517,MATCH(RIGHT(L814,255),RIGHT('Disaggregation Records'!$D$156:$D$517,255),0))="","",INDEX('Disaggregation Records'!$G$156:$G$517,MATCH(RIGHT(L814,255),RIGHT('Disaggregation Records'!$D$156:$D$517,255),0))),"")</f>
        <v/>
      </c>
    </row>
    <row r="815" spans="1:18" ht="20.100000000000001" customHeight="1">
      <c r="A815" s="126" t="str">
        <f t="shared" ca="1" si="926"/>
        <v>a16Dm000000M3rkIAC</v>
      </c>
      <c r="B815" s="570">
        <v>5</v>
      </c>
      <c r="C815" s="572" t="str">
        <f ca="1">IFERROR(VLOOKUP(B815,'Coverage Indicators - Section D'!$A$9:$AO$94,41,FALSE),"")</f>
        <v>DRTB-3 Percentage of people with confirmed RR-TB and/or MDR-TB that began second-line treatment</v>
      </c>
      <c r="D815" s="574" t="str">
        <f ca="1">M815</f>
        <v/>
      </c>
      <c r="E815" s="574" t="str">
        <f ca="1">N815</f>
        <v/>
      </c>
      <c r="F815" s="127"/>
      <c r="G815" s="576" t="str">
        <f ca="1">IF(OR(INDIRECT("'update Helper'!E"&amp;Q815)="",F815&lt;&gt;0,F816&lt;&gt;0),IF(IFERROR((F815/F816),"")="","",(F815/F816)),INDIRECT("'update Helper'!E"&amp;Q815)/100)</f>
        <v/>
      </c>
      <c r="H815" s="539"/>
      <c r="I815" s="578"/>
      <c r="J815" s="532"/>
      <c r="K815" s="126">
        <f ca="1">IF(AND(EXACT(C815,C813),C813&lt;&gt;0),K813+1,0)</f>
        <v>17</v>
      </c>
      <c r="L815" s="126" t="str">
        <f t="shared" ref="L815" ca="1" si="987">IF(C815&lt;&gt;"",C815&amp;"-"&amp;K815,"")</f>
        <v>DRTB-3 Percentage of people with confirmed RR-TB and/or MDR-TB that began second-line treatment-17</v>
      </c>
      <c r="M815" s="126" t="str">
        <f t="array" aca="1" ref="M815" ca="1">IFERROR(IF(INDEX('Disaggregation Records'!$E$156:$E$517,MATCH(RIGHT(L815,255),RIGHT('Disaggregation Records'!$D$156:$D$517,255),0))="","",INDEX('Disaggregation Records'!$E$156:$E$517,MATCH(RIGHT(L815,255),RIGHT('Disaggregation Records'!$D$156:$D$517,255),0))),"")</f>
        <v/>
      </c>
      <c r="N815" s="126" t="str">
        <f t="array" aca="1" ref="N815" ca="1">IFERROR(IF(INDEX('Disaggregation Records'!$F$156:$F$517,MATCH(RIGHT(L815,255),RIGHT('Disaggregation Records'!$D$156:$D$517,255),0))="","",INDEX('Disaggregation Records'!$F$156:$F$517,MATCH(RIGHT(L815,255),RIGHT('Disaggregation Records'!$D$156:$D$517,255),0))),"")</f>
        <v/>
      </c>
      <c r="O815" s="314" t="str">
        <f t="array" aca="1" ref="O815" ca="1">IFERROR(IF(INDEX('Disaggregation Records'!$H$156:$H$517,MATCH(RIGHT(L815,255),RIGHT('Disaggregation Records'!$D$156:$D$517,255),0))="","",INDEX('Disaggregation Records'!$H$156:$H$517,MATCH(RIGHT(L815,255),RIGHT('Disaggregation Records'!$D$156:$D$517,255),0))),"")</f>
        <v/>
      </c>
      <c r="P815" s="310"/>
      <c r="Q815" s="310">
        <f t="shared" ref="Q815" si="988">Q813+1</f>
        <v>1709</v>
      </c>
      <c r="R815" s="314" t="str" cm="1">
        <f t="array" aca="1" ref="R815" ca="1">IFERROR(IF(INDEX('Disaggregation Records'!$G$156:$G$517,MATCH(RIGHT(L815,255),RIGHT('Disaggregation Records'!$D$156:$D$517,255),0))="","",INDEX('Disaggregation Records'!$G$156:$G$517,MATCH(RIGHT(L815,255),RIGHT('Disaggregation Records'!$D$156:$D$517,255),0))),"")</f>
        <v/>
      </c>
    </row>
    <row r="816" spans="1:18" ht="20.100000000000001" customHeight="1">
      <c r="B816" s="571"/>
      <c r="C816" s="573"/>
      <c r="D816" s="575"/>
      <c r="E816" s="575"/>
      <c r="F816" s="128"/>
      <c r="G816" s="577"/>
      <c r="H816" s="540"/>
      <c r="I816" s="579"/>
      <c r="J816" s="533"/>
      <c r="L816" s="126"/>
      <c r="N816" s="126"/>
      <c r="O816" s="314"/>
      <c r="P816" s="310"/>
      <c r="Q816" s="310"/>
      <c r="R816" s="314" t="str" cm="1">
        <f t="array" ref="R816">IFERROR(IF(INDEX('Disaggregation Records'!$G$156:$G$517,MATCH(RIGHT(L816,255),RIGHT('Disaggregation Records'!$D$156:$D$517,255),0))="","",INDEX('Disaggregation Records'!$G$156:$G$517,MATCH(RIGHT(L816,255),RIGHT('Disaggregation Records'!$D$156:$D$517,255),0))),"")</f>
        <v/>
      </c>
    </row>
    <row r="817" spans="1:18" ht="20.100000000000001" customHeight="1">
      <c r="A817" s="126" t="str">
        <f t="shared" ref="A817:A877" ca="1" si="989">INDIRECT("'update Helper'!C"&amp;Q817)</f>
        <v>a16Dm000000M3rlIAC</v>
      </c>
      <c r="B817" s="570">
        <v>5</v>
      </c>
      <c r="C817" s="572" t="str">
        <f ca="1">IFERROR(VLOOKUP(B817,'Coverage Indicators - Section D'!$A$9:$AO$94,41,FALSE),"")</f>
        <v>DRTB-3 Percentage of people with confirmed RR-TB and/or MDR-TB that began second-line treatment</v>
      </c>
      <c r="D817" s="574" t="str">
        <f ca="1">M817</f>
        <v/>
      </c>
      <c r="E817" s="574" t="str">
        <f ca="1">N817</f>
        <v/>
      </c>
      <c r="F817" s="127"/>
      <c r="G817" s="576" t="str">
        <f ca="1">IF(OR(INDIRECT("'update Helper'!E"&amp;Q817)="",F817&lt;&gt;0,F818&lt;&gt;0),IF(IFERROR((F817/F818),"")="","",(F817/F818)),INDIRECT("'update Helper'!E"&amp;Q817)/100)</f>
        <v/>
      </c>
      <c r="H817" s="539"/>
      <c r="I817" s="578"/>
      <c r="J817" s="532"/>
      <c r="K817" s="126">
        <f ca="1">IF(AND(EXACT(C817,C815),C815&lt;&gt;0),K815+1,0)</f>
        <v>18</v>
      </c>
      <c r="L817" s="126" t="str">
        <f t="shared" ref="L817" ca="1" si="990">IF(C817&lt;&gt;"",C817&amp;"-"&amp;K817,"")</f>
        <v>DRTB-3 Percentage of people with confirmed RR-TB and/or MDR-TB that began second-line treatment-18</v>
      </c>
      <c r="M817" s="126" t="str">
        <f t="array" aca="1" ref="M817" ca="1">IFERROR(IF(INDEX('Disaggregation Records'!$E$156:$E$517,MATCH(RIGHT(L817,255),RIGHT('Disaggregation Records'!$D$156:$D$517,255),0))="","",INDEX('Disaggregation Records'!$E$156:$E$517,MATCH(RIGHT(L817,255),RIGHT('Disaggregation Records'!$D$156:$D$517,255),0))),"")</f>
        <v/>
      </c>
      <c r="N817" s="126" t="str">
        <f t="array" aca="1" ref="N817" ca="1">IFERROR(IF(INDEX('Disaggregation Records'!$F$156:$F$517,MATCH(RIGHT(L817,255),RIGHT('Disaggregation Records'!$D$156:$D$517,255),0))="","",INDEX('Disaggregation Records'!$F$156:$F$517,MATCH(RIGHT(L817,255),RIGHT('Disaggregation Records'!$D$156:$D$517,255),0))),"")</f>
        <v/>
      </c>
      <c r="O817" s="314" t="str">
        <f t="array" aca="1" ref="O817" ca="1">IFERROR(IF(INDEX('Disaggregation Records'!$H$156:$H$517,MATCH(RIGHT(L817,255),RIGHT('Disaggregation Records'!$D$156:$D$517,255),0))="","",INDEX('Disaggregation Records'!$H$156:$H$517,MATCH(RIGHT(L817,255),RIGHT('Disaggregation Records'!$D$156:$D$517,255),0))),"")</f>
        <v/>
      </c>
      <c r="P817" s="310"/>
      <c r="Q817" s="310">
        <f t="shared" ref="Q817" si="991">Q815+1</f>
        <v>1710</v>
      </c>
      <c r="R817" s="314" t="str" cm="1">
        <f t="array" aca="1" ref="R817" ca="1">IFERROR(IF(INDEX('Disaggregation Records'!$G$156:$G$517,MATCH(RIGHT(L817,255),RIGHT('Disaggregation Records'!$D$156:$D$517,255),0))="","",INDEX('Disaggregation Records'!$G$156:$G$517,MATCH(RIGHT(L817,255),RIGHT('Disaggregation Records'!$D$156:$D$517,255),0))),"")</f>
        <v/>
      </c>
    </row>
    <row r="818" spans="1:18" ht="20.100000000000001" customHeight="1">
      <c r="A818" s="126"/>
      <c r="B818" s="571"/>
      <c r="C818" s="573"/>
      <c r="D818" s="575"/>
      <c r="E818" s="575"/>
      <c r="F818" s="128"/>
      <c r="G818" s="577"/>
      <c r="H818" s="540"/>
      <c r="I818" s="579"/>
      <c r="J818" s="533"/>
      <c r="L818" s="126"/>
      <c r="N818" s="126"/>
      <c r="O818" s="314"/>
      <c r="P818" s="310"/>
      <c r="Q818" s="310"/>
      <c r="R818" s="314" t="str" cm="1">
        <f t="array" ref="R818">IFERROR(IF(INDEX('Disaggregation Records'!$G$156:$G$517,MATCH(RIGHT(L818,255),RIGHT('Disaggregation Records'!$D$156:$D$517,255),0))="","",INDEX('Disaggregation Records'!$G$156:$G$517,MATCH(RIGHT(L818,255),RIGHT('Disaggregation Records'!$D$156:$D$517,255),0))),"")</f>
        <v/>
      </c>
    </row>
    <row r="819" spans="1:18" ht="20.100000000000001" customHeight="1">
      <c r="A819" s="126" t="str">
        <f t="shared" ref="A819:A879" ca="1" si="992">INDIRECT("'update Helper'!C"&amp;Q819)</f>
        <v>a16Dm000000M3rmIAC</v>
      </c>
      <c r="B819" s="570">
        <v>5</v>
      </c>
      <c r="C819" s="572" t="str">
        <f ca="1">IFERROR(VLOOKUP(B819,'Coverage Indicators - Section D'!$A$9:$AO$94,41,FALSE),"")</f>
        <v>DRTB-3 Percentage of people with confirmed RR-TB and/or MDR-TB that began second-line treatment</v>
      </c>
      <c r="D819" s="574" t="str">
        <f ca="1">M819</f>
        <v/>
      </c>
      <c r="E819" s="574" t="str">
        <f ca="1">N819</f>
        <v/>
      </c>
      <c r="F819" s="127"/>
      <c r="G819" s="576" t="str">
        <f ca="1">IF(OR(INDIRECT("'update Helper'!E"&amp;Q819)="",F819&lt;&gt;0,F820&lt;&gt;0),IF(IFERROR((F819/F820),"")="","",(F819/F820)),INDIRECT("'update Helper'!E"&amp;Q819)/100)</f>
        <v/>
      </c>
      <c r="H819" s="539"/>
      <c r="I819" s="578"/>
      <c r="J819" s="532"/>
      <c r="K819" s="126">
        <f ca="1">IF(AND(EXACT(C819,C817),C817&lt;&gt;0),K817+1,0)</f>
        <v>19</v>
      </c>
      <c r="L819" s="126" t="str">
        <f t="shared" ref="L819" ca="1" si="993">IF(C819&lt;&gt;"",C819&amp;"-"&amp;K819,"")</f>
        <v>DRTB-3 Percentage of people with confirmed RR-TB and/or MDR-TB that began second-line treatment-19</v>
      </c>
      <c r="M819" s="126" t="str">
        <f t="array" aca="1" ref="M819" ca="1">IFERROR(IF(INDEX('Disaggregation Records'!$E$156:$E$517,MATCH(RIGHT(L819,255),RIGHT('Disaggregation Records'!$D$156:$D$517,255),0))="","",INDEX('Disaggregation Records'!$E$156:$E$517,MATCH(RIGHT(L819,255),RIGHT('Disaggregation Records'!$D$156:$D$517,255),0))),"")</f>
        <v/>
      </c>
      <c r="N819" s="126" t="str">
        <f t="array" aca="1" ref="N819" ca="1">IFERROR(IF(INDEX('Disaggregation Records'!$F$156:$F$517,MATCH(RIGHT(L819,255),RIGHT('Disaggregation Records'!$D$156:$D$517,255),0))="","",INDEX('Disaggregation Records'!$F$156:$F$517,MATCH(RIGHT(L819,255),RIGHT('Disaggregation Records'!$D$156:$D$517,255),0))),"")</f>
        <v/>
      </c>
      <c r="O819" s="314" t="str">
        <f t="array" aca="1" ref="O819" ca="1">IFERROR(IF(INDEX('Disaggregation Records'!$H$156:$H$517,MATCH(RIGHT(L819,255),RIGHT('Disaggregation Records'!$D$156:$D$517,255),0))="","",INDEX('Disaggregation Records'!$H$156:$H$517,MATCH(RIGHT(L819,255),RIGHT('Disaggregation Records'!$D$156:$D$517,255),0))),"")</f>
        <v/>
      </c>
      <c r="P819" s="310"/>
      <c r="Q819" s="310">
        <f t="shared" ref="Q819" si="994">Q817+1</f>
        <v>1711</v>
      </c>
      <c r="R819" s="314" t="str" cm="1">
        <f t="array" aca="1" ref="R819" ca="1">IFERROR(IF(INDEX('Disaggregation Records'!$G$156:$G$517,MATCH(RIGHT(L819,255),RIGHT('Disaggregation Records'!$D$156:$D$517,255),0))="","",INDEX('Disaggregation Records'!$G$156:$G$517,MATCH(RIGHT(L819,255),RIGHT('Disaggregation Records'!$D$156:$D$517,255),0))),"")</f>
        <v/>
      </c>
    </row>
    <row r="820" spans="1:18" ht="20.100000000000001" customHeight="1">
      <c r="B820" s="571"/>
      <c r="C820" s="573"/>
      <c r="D820" s="575"/>
      <c r="E820" s="575"/>
      <c r="F820" s="128"/>
      <c r="G820" s="577"/>
      <c r="H820" s="540"/>
      <c r="I820" s="579"/>
      <c r="J820" s="533"/>
      <c r="L820" s="126"/>
      <c r="N820" s="126"/>
      <c r="O820" s="314"/>
      <c r="P820" s="310"/>
      <c r="Q820" s="310"/>
      <c r="R820" s="314" t="str" cm="1">
        <f t="array" ref="R820">IFERROR(IF(INDEX('Disaggregation Records'!$G$156:$G$517,MATCH(RIGHT(L820,255),RIGHT('Disaggregation Records'!$D$156:$D$517,255),0))="","",INDEX('Disaggregation Records'!$G$156:$G$517,MATCH(RIGHT(L820,255),RIGHT('Disaggregation Records'!$D$156:$D$517,255),0))),"")</f>
        <v/>
      </c>
    </row>
    <row r="821" spans="1:18" ht="20.100000000000001" customHeight="1">
      <c r="A821" s="126" t="str">
        <f t="shared" ca="1" si="989"/>
        <v>a16Dm000000M3rnIAC</v>
      </c>
      <c r="B821" s="570">
        <v>6</v>
      </c>
      <c r="C821" s="572" t="str">
        <f ca="1">IFERROR(VLOOKUP(B821,'Coverage Indicators - Section D'!$A$9:$AO$94,41,FALSE),"")</f>
        <v>TBP-1 Number of people in contact with TB patients who began preventive therapy</v>
      </c>
      <c r="D821" s="574" t="str">
        <f ca="1">M821</f>
        <v>Age</v>
      </c>
      <c r="E821" s="574" t="str">
        <f ca="1">N821</f>
        <v>15+</v>
      </c>
      <c r="F821" s="127"/>
      <c r="G821" s="576" t="str">
        <f ca="1">IF(OR(INDIRECT("'update Helper'!E"&amp;Q821)="",F821&lt;&gt;0,F822&lt;&gt;0),IF(IFERROR((F821/F822),"")="","",(F821/F822)),INDIRECT("'update Helper'!E"&amp;Q821)/100)</f>
        <v/>
      </c>
      <c r="H821" s="539"/>
      <c r="I821" s="578" t="s">
        <v>2281</v>
      </c>
      <c r="J821" s="532" t="s">
        <v>2282</v>
      </c>
      <c r="K821" s="126">
        <f ca="1">IF(AND(EXACT(C821,C819),C819&lt;&gt;0),K819+1,0)</f>
        <v>0</v>
      </c>
      <c r="L821" s="126" t="str">
        <f t="shared" ref="L821" ca="1" si="995">IF(C821&lt;&gt;"",C821&amp;"-"&amp;K821,"")</f>
        <v>TBP-1 Number of people in contact with TB patients who began preventive therapy-0</v>
      </c>
      <c r="M821" s="126" t="str">
        <f t="array" aca="1" ref="M821" ca="1">IFERROR(IF(INDEX('Disaggregation Records'!$E$156:$E$517,MATCH(RIGHT(L821,255),RIGHT('Disaggregation Records'!$D$156:$D$517,255),0))="","",INDEX('Disaggregation Records'!$E$156:$E$517,MATCH(RIGHT(L821,255),RIGHT('Disaggregation Records'!$D$156:$D$517,255),0))),"")</f>
        <v>Age</v>
      </c>
      <c r="N821" s="126" t="str">
        <f t="array" aca="1" ref="N821" ca="1">IFERROR(IF(INDEX('Disaggregation Records'!$F$156:$F$517,MATCH(RIGHT(L821,255),RIGHT('Disaggregation Records'!$D$156:$D$517,255),0))="","",INDEX('Disaggregation Records'!$F$156:$F$517,MATCH(RIGHT(L821,255),RIGHT('Disaggregation Records'!$D$156:$D$517,255),0))),"")</f>
        <v>15+</v>
      </c>
      <c r="O821" s="314" t="str">
        <f t="array" aca="1" ref="O821" ca="1">IFERROR(IF(INDEX('Disaggregation Records'!$H$156:$H$517,MATCH(RIGHT(L821,255),RIGHT('Disaggregation Records'!$D$156:$D$517,255),0))="","",INDEX('Disaggregation Records'!$H$156:$H$517,MATCH(RIGHT(L821,255),RIGHT('Disaggregation Records'!$D$156:$D$517,255),0))),"")</f>
        <v>IDR-01343</v>
      </c>
      <c r="P821" s="314"/>
      <c r="Q821" s="310">
        <f t="shared" ref="Q821" si="996">Q819+1</f>
        <v>1712</v>
      </c>
      <c r="R821" s="314" t="str" cm="1">
        <f t="array" aca="1" ref="R821" ca="1">IFERROR(IF(INDEX('Disaggregation Records'!$G$156:$G$517,MATCH(RIGHT(L821,255),RIGHT('Disaggregation Records'!$D$156:$D$517,255),0))="","",INDEX('Disaggregation Records'!$G$156:$G$517,MATCH(RIGHT(L821,255),RIGHT('Disaggregation Records'!$D$156:$D$517,255),0))),"")</f>
        <v>a1LDm000000Cb4PMAS</v>
      </c>
    </row>
    <row r="822" spans="1:18" ht="20.100000000000001" customHeight="1">
      <c r="A822" s="126"/>
      <c r="B822" s="571"/>
      <c r="C822" s="573"/>
      <c r="D822" s="575"/>
      <c r="E822" s="575"/>
      <c r="F822" s="128"/>
      <c r="G822" s="577"/>
      <c r="H822" s="540"/>
      <c r="I822" s="579"/>
      <c r="J822" s="533"/>
      <c r="K822" s="126"/>
      <c r="L822" s="126"/>
      <c r="M822" s="126"/>
      <c r="N822" s="126"/>
      <c r="O822" s="314"/>
      <c r="P822" s="314"/>
      <c r="Q822" s="310"/>
      <c r="R822" s="314" t="str" cm="1">
        <f t="array" ref="R822">IFERROR(IF(INDEX('Disaggregation Records'!$G$156:$G$517,MATCH(RIGHT(L822,255),RIGHT('Disaggregation Records'!$D$156:$D$517,255),0))="","",INDEX('Disaggregation Records'!$G$156:$G$517,MATCH(RIGHT(L822,255),RIGHT('Disaggregation Records'!$D$156:$D$517,255),0))),"")</f>
        <v/>
      </c>
    </row>
    <row r="823" spans="1:18" ht="20.100000000000001" customHeight="1">
      <c r="A823" s="126" t="str">
        <f t="shared" ca="1" si="992"/>
        <v>a16Dm000000M3roIAC</v>
      </c>
      <c r="B823" s="570">
        <v>6</v>
      </c>
      <c r="C823" s="572" t="str">
        <f ca="1">IFERROR(VLOOKUP(B823,'Coverage Indicators - Section D'!$A$9:$AO$94,41,FALSE),"")</f>
        <v>TBP-1 Number of people in contact with TB patients who began preventive therapy</v>
      </c>
      <c r="D823" s="574" t="str">
        <f ca="1">M823</f>
        <v>TPT regimen</v>
      </c>
      <c r="E823" s="574" t="str">
        <f ca="1">N823</f>
        <v>6H</v>
      </c>
      <c r="F823" s="127"/>
      <c r="G823" s="576" t="str">
        <f ca="1">IF(OR(INDIRECT("'update Helper'!E"&amp;Q823)="",F823&lt;&gt;0,F824&lt;&gt;0),IF(IFERROR((F823/F824),"")="","",(F823/F824)),INDIRECT("'update Helper'!E"&amp;Q823)/100)</f>
        <v/>
      </c>
      <c r="H823" s="539"/>
      <c r="I823" s="578" t="s">
        <v>2281</v>
      </c>
      <c r="J823" s="532" t="s">
        <v>2282</v>
      </c>
      <c r="K823" s="126">
        <f ca="1">IF(AND(EXACT(C823,C821),C821&lt;&gt;0),K821+1,0)</f>
        <v>1</v>
      </c>
      <c r="L823" s="126" t="str">
        <f t="shared" ref="L823" ca="1" si="997">IF(C823&lt;&gt;"",C823&amp;"-"&amp;K823,"")</f>
        <v>TBP-1 Number of people in contact with TB patients who began preventive therapy-1</v>
      </c>
      <c r="M823" s="126" t="str">
        <f t="array" aca="1" ref="M823" ca="1">IFERROR(IF(INDEX('Disaggregation Records'!$E$156:$E$517,MATCH(RIGHT(L823,255),RIGHT('Disaggregation Records'!$D$156:$D$517,255),0))="","",INDEX('Disaggregation Records'!$E$156:$E$517,MATCH(RIGHT(L823,255),RIGHT('Disaggregation Records'!$D$156:$D$517,255),0))),"")</f>
        <v>TPT regimen</v>
      </c>
      <c r="N823" s="126" t="str">
        <f t="array" aca="1" ref="N823" ca="1">IFERROR(IF(INDEX('Disaggregation Records'!$F$156:$F$517,MATCH(RIGHT(L823,255),RIGHT('Disaggregation Records'!$D$156:$D$517,255),0))="","",INDEX('Disaggregation Records'!$F$156:$F$517,MATCH(RIGHT(L823,255),RIGHT('Disaggregation Records'!$D$156:$D$517,255),0))),"")</f>
        <v>6H</v>
      </c>
      <c r="O823" s="314" t="str">
        <f t="array" aca="1" ref="O823" ca="1">IFERROR(IF(INDEX('Disaggregation Records'!$H$156:$H$517,MATCH(RIGHT(L823,255),RIGHT('Disaggregation Records'!$D$156:$D$517,255),0))="","",INDEX('Disaggregation Records'!$H$156:$H$517,MATCH(RIGHT(L823,255),RIGHT('Disaggregation Records'!$D$156:$D$517,255),0))),"")</f>
        <v>IDR-01342</v>
      </c>
      <c r="P823" s="314"/>
      <c r="Q823" s="310">
        <f t="shared" ref="Q823" si="998">Q821+1</f>
        <v>1713</v>
      </c>
      <c r="R823" s="314" t="str" cm="1">
        <f t="array" aca="1" ref="R823" ca="1">IFERROR(IF(INDEX('Disaggregation Records'!$G$156:$G$517,MATCH(RIGHT(L823,255),RIGHT('Disaggregation Records'!$D$156:$D$517,255),0))="","",INDEX('Disaggregation Records'!$G$156:$G$517,MATCH(RIGHT(L823,255),RIGHT('Disaggregation Records'!$D$156:$D$517,255),0))),"")</f>
        <v>a1LDm000000Cb4OMAS</v>
      </c>
    </row>
    <row r="824" spans="1:18" ht="20.100000000000001" customHeight="1">
      <c r="B824" s="571"/>
      <c r="C824" s="573"/>
      <c r="D824" s="575"/>
      <c r="E824" s="575"/>
      <c r="F824" s="128"/>
      <c r="G824" s="577"/>
      <c r="H824" s="540"/>
      <c r="I824" s="579"/>
      <c r="J824" s="533"/>
      <c r="K824" s="126"/>
      <c r="L824" s="126"/>
      <c r="M824" s="126"/>
      <c r="N824" s="126"/>
      <c r="O824" s="314"/>
      <c r="P824" s="314"/>
      <c r="Q824" s="310"/>
      <c r="R824" s="314" t="str" cm="1">
        <f t="array" ref="R824">IFERROR(IF(INDEX('Disaggregation Records'!$G$156:$G$517,MATCH(RIGHT(L824,255),RIGHT('Disaggregation Records'!$D$156:$D$517,255),0))="","",INDEX('Disaggregation Records'!$G$156:$G$517,MATCH(RIGHT(L824,255),RIGHT('Disaggregation Records'!$D$156:$D$517,255),0))),"")</f>
        <v/>
      </c>
    </row>
    <row r="825" spans="1:18" ht="20.100000000000001" customHeight="1">
      <c r="A825" s="126" t="str">
        <f t="shared" ca="1" si="989"/>
        <v>a16Dm000000M3rpIAC</v>
      </c>
      <c r="B825" s="570">
        <v>6</v>
      </c>
      <c r="C825" s="572" t="str">
        <f ca="1">IFERROR(VLOOKUP(B825,'Coverage Indicators - Section D'!$A$9:$AO$94,41,FALSE),"")</f>
        <v>TBP-1 Number of people in contact with TB patients who began preventive therapy</v>
      </c>
      <c r="D825" s="574" t="str">
        <f ca="1">M825</f>
        <v>TPT regimen</v>
      </c>
      <c r="E825" s="574" t="str">
        <f ca="1">N825</f>
        <v>3RH</v>
      </c>
      <c r="F825" s="127"/>
      <c r="G825" s="576" t="str">
        <f ca="1">IF(OR(INDIRECT("'update Helper'!E"&amp;Q825)="",F825&lt;&gt;0,F826&lt;&gt;0),IF(IFERROR((F825/F826),"")="","",(F825/F826)),INDIRECT("'update Helper'!E"&amp;Q825)/100)</f>
        <v/>
      </c>
      <c r="H825" s="539"/>
      <c r="I825" s="578" t="s">
        <v>2281</v>
      </c>
      <c r="J825" s="532" t="s">
        <v>2282</v>
      </c>
      <c r="K825" s="126">
        <f ca="1">IF(AND(EXACT(C825,C823),C823&lt;&gt;0),K823+1,0)</f>
        <v>2</v>
      </c>
      <c r="L825" s="126" t="str">
        <f t="shared" ref="L825" ca="1" si="999">IF(C825&lt;&gt;"",C825&amp;"-"&amp;K825,"")</f>
        <v>TBP-1 Number of people in contact with TB patients who began preventive therapy-2</v>
      </c>
      <c r="M825" s="126" t="str">
        <f t="array" aca="1" ref="M825" ca="1">IFERROR(IF(INDEX('Disaggregation Records'!$E$156:$E$517,MATCH(RIGHT(L825,255),RIGHT('Disaggregation Records'!$D$156:$D$517,255),0))="","",INDEX('Disaggregation Records'!$E$156:$E$517,MATCH(RIGHT(L825,255),RIGHT('Disaggregation Records'!$D$156:$D$517,255),0))),"")</f>
        <v>TPT regimen</v>
      </c>
      <c r="N825" s="126" t="str">
        <f t="array" aca="1" ref="N825" ca="1">IFERROR(IF(INDEX('Disaggregation Records'!$F$156:$F$517,MATCH(RIGHT(L825,255),RIGHT('Disaggregation Records'!$D$156:$D$517,255),0))="","",INDEX('Disaggregation Records'!$F$156:$F$517,MATCH(RIGHT(L825,255),RIGHT('Disaggregation Records'!$D$156:$D$517,255),0))),"")</f>
        <v>3RH</v>
      </c>
      <c r="O825" s="314" t="str">
        <f t="array" aca="1" ref="O825" ca="1">IFERROR(IF(INDEX('Disaggregation Records'!$H$156:$H$517,MATCH(RIGHT(L825,255),RIGHT('Disaggregation Records'!$D$156:$D$517,255),0))="","",INDEX('Disaggregation Records'!$H$156:$H$517,MATCH(RIGHT(L825,255),RIGHT('Disaggregation Records'!$D$156:$D$517,255),0))),"")</f>
        <v>IDR-01341</v>
      </c>
      <c r="P825" s="310"/>
      <c r="Q825" s="310">
        <f t="shared" ref="Q825" si="1000">Q823+1</f>
        <v>1714</v>
      </c>
      <c r="R825" s="314" t="str" cm="1">
        <f t="array" aca="1" ref="R825" ca="1">IFERROR(IF(INDEX('Disaggregation Records'!$G$156:$G$517,MATCH(RIGHT(L825,255),RIGHT('Disaggregation Records'!$D$156:$D$517,255),0))="","",INDEX('Disaggregation Records'!$G$156:$G$517,MATCH(RIGHT(L825,255),RIGHT('Disaggregation Records'!$D$156:$D$517,255),0))),"")</f>
        <v>a1LDm000000Cb4NMAS</v>
      </c>
    </row>
    <row r="826" spans="1:18" ht="20.100000000000001" customHeight="1">
      <c r="A826" s="126"/>
      <c r="B826" s="571"/>
      <c r="C826" s="573"/>
      <c r="D826" s="575"/>
      <c r="E826" s="575"/>
      <c r="F826" s="128"/>
      <c r="G826" s="577"/>
      <c r="H826" s="540"/>
      <c r="I826" s="579"/>
      <c r="J826" s="533"/>
      <c r="L826" s="126"/>
      <c r="N826" s="126"/>
      <c r="O826" s="314"/>
      <c r="P826" s="310"/>
      <c r="Q826" s="310"/>
      <c r="R826" s="314" t="str" cm="1">
        <f t="array" ref="R826">IFERROR(IF(INDEX('Disaggregation Records'!$G$156:$G$517,MATCH(RIGHT(L826,255),RIGHT('Disaggregation Records'!$D$156:$D$517,255),0))="","",INDEX('Disaggregation Records'!$G$156:$G$517,MATCH(RIGHT(L826,255),RIGHT('Disaggregation Records'!$D$156:$D$517,255),0))),"")</f>
        <v/>
      </c>
    </row>
    <row r="827" spans="1:18" ht="20.100000000000001" customHeight="1">
      <c r="A827" s="126" t="str">
        <f t="shared" ca="1" si="992"/>
        <v>a16Dm000000M3rqIAC</v>
      </c>
      <c r="B827" s="570">
        <v>6</v>
      </c>
      <c r="C827" s="572" t="str">
        <f ca="1">IFERROR(VLOOKUP(B827,'Coverage Indicators - Section D'!$A$9:$AO$94,41,FALSE),"")</f>
        <v>TBP-1 Number of people in contact with TB patients who began preventive therapy</v>
      </c>
      <c r="D827" s="574" t="str">
        <f ca="1">M827</f>
        <v>TPT regimen</v>
      </c>
      <c r="E827" s="574" t="str">
        <f ca="1">N827</f>
        <v>RIF</v>
      </c>
      <c r="F827" s="127"/>
      <c r="G827" s="576" t="str">
        <f ca="1">IF(OR(INDIRECT("'update Helper'!E"&amp;Q827)="",F827&lt;&gt;0,F828&lt;&gt;0),IF(IFERROR((F827/F828),"")="","",(F827/F828)),INDIRECT("'update Helper'!E"&amp;Q827)/100)</f>
        <v/>
      </c>
      <c r="H827" s="539"/>
      <c r="I827" s="578" t="s">
        <v>2281</v>
      </c>
      <c r="J827" s="532" t="s">
        <v>2282</v>
      </c>
      <c r="K827" s="126">
        <f ca="1">IF(AND(EXACT(C827,C825),C825&lt;&gt;0),K825+1,0)</f>
        <v>3</v>
      </c>
      <c r="L827" s="126" t="str">
        <f t="shared" ref="L827" ca="1" si="1001">IF(C827&lt;&gt;"",C827&amp;"-"&amp;K827,"")</f>
        <v>TBP-1 Number of people in contact with TB patients who began preventive therapy-3</v>
      </c>
      <c r="M827" s="126" t="str">
        <f t="array" aca="1" ref="M827" ca="1">IFERROR(IF(INDEX('Disaggregation Records'!$E$156:$E$517,MATCH(RIGHT(L827,255),RIGHT('Disaggregation Records'!$D$156:$D$517,255),0))="","",INDEX('Disaggregation Records'!$E$156:$E$517,MATCH(RIGHT(L827,255),RIGHT('Disaggregation Records'!$D$156:$D$517,255),0))),"")</f>
        <v>TPT regimen</v>
      </c>
      <c r="N827" s="126" t="str">
        <f t="array" aca="1" ref="N827" ca="1">IFERROR(IF(INDEX('Disaggregation Records'!$F$156:$F$517,MATCH(RIGHT(L827,255),RIGHT('Disaggregation Records'!$D$156:$D$517,255),0))="","",INDEX('Disaggregation Records'!$F$156:$F$517,MATCH(RIGHT(L827,255),RIGHT('Disaggregation Records'!$D$156:$D$517,255),0))),"")</f>
        <v>RIF</v>
      </c>
      <c r="O827" s="314" t="str">
        <f t="array" aca="1" ref="O827" ca="1">IFERROR(IF(INDEX('Disaggregation Records'!$H$156:$H$517,MATCH(RIGHT(L827,255),RIGHT('Disaggregation Records'!$D$156:$D$517,255),0))="","",INDEX('Disaggregation Records'!$H$156:$H$517,MATCH(RIGHT(L827,255),RIGHT('Disaggregation Records'!$D$156:$D$517,255),0))),"")</f>
        <v>IDR-01340</v>
      </c>
      <c r="P827" s="310"/>
      <c r="Q827" s="310">
        <f t="shared" ref="Q827" si="1002">Q825+1</f>
        <v>1715</v>
      </c>
      <c r="R827" s="314" t="str" cm="1">
        <f t="array" aca="1" ref="R827" ca="1">IFERROR(IF(INDEX('Disaggregation Records'!$G$156:$G$517,MATCH(RIGHT(L827,255),RIGHT('Disaggregation Records'!$D$156:$D$517,255),0))="","",INDEX('Disaggregation Records'!$G$156:$G$517,MATCH(RIGHT(L827,255),RIGHT('Disaggregation Records'!$D$156:$D$517,255),0))),"")</f>
        <v>a1LDm000000Cb4MMAS</v>
      </c>
    </row>
    <row r="828" spans="1:18" ht="20.100000000000001" customHeight="1">
      <c r="B828" s="571"/>
      <c r="C828" s="573"/>
      <c r="D828" s="575"/>
      <c r="E828" s="575"/>
      <c r="F828" s="128"/>
      <c r="G828" s="577"/>
      <c r="H828" s="540"/>
      <c r="I828" s="579"/>
      <c r="J828" s="533"/>
      <c r="L828" s="126"/>
      <c r="N828" s="126"/>
      <c r="O828" s="314"/>
      <c r="P828" s="310"/>
      <c r="Q828" s="310"/>
      <c r="R828" s="314" t="str" cm="1">
        <f t="array" ref="R828">IFERROR(IF(INDEX('Disaggregation Records'!$G$156:$G$517,MATCH(RIGHT(L828,255),RIGHT('Disaggregation Records'!$D$156:$D$517,255),0))="","",INDEX('Disaggregation Records'!$G$156:$G$517,MATCH(RIGHT(L828,255),RIGHT('Disaggregation Records'!$D$156:$D$517,255),0))),"")</f>
        <v/>
      </c>
    </row>
    <row r="829" spans="1:18" ht="20.100000000000001" customHeight="1">
      <c r="A829" s="126" t="str">
        <f t="shared" ca="1" si="989"/>
        <v>a16Dm000000M3rrIAC</v>
      </c>
      <c r="B829" s="570">
        <v>6</v>
      </c>
      <c r="C829" s="572" t="str">
        <f ca="1">IFERROR(VLOOKUP(B829,'Coverage Indicators - Section D'!$A$9:$AO$94,41,FALSE),"")</f>
        <v>TBP-1 Number of people in contact with TB patients who began preventive therapy</v>
      </c>
      <c r="D829" s="574" t="str">
        <f ca="1">M829</f>
        <v>HIV status</v>
      </c>
      <c r="E829" s="574" t="str">
        <f ca="1">N829</f>
        <v>Unknown</v>
      </c>
      <c r="F829" s="127"/>
      <c r="G829" s="576" t="str">
        <f ca="1">IF(OR(INDIRECT("'update Helper'!E"&amp;Q829)="",F829&lt;&gt;0,F830&lt;&gt;0),IF(IFERROR((F829/F830),"")="","",(F829/F830)),INDIRECT("'update Helper'!E"&amp;Q829)/100)</f>
        <v/>
      </c>
      <c r="H829" s="539"/>
      <c r="I829" s="578" t="s">
        <v>2281</v>
      </c>
      <c r="J829" s="532" t="s">
        <v>2282</v>
      </c>
      <c r="K829" s="126">
        <f ca="1">IF(AND(EXACT(C829,C827),C827&lt;&gt;0),K827+1,0)</f>
        <v>4</v>
      </c>
      <c r="L829" s="126" t="str">
        <f t="shared" ref="L829" ca="1" si="1003">IF(C829&lt;&gt;"",C829&amp;"-"&amp;K829,"")</f>
        <v>TBP-1 Number of people in contact with TB patients who began preventive therapy-4</v>
      </c>
      <c r="M829" s="126" t="str">
        <f t="array" aca="1" ref="M829" ca="1">IFERROR(IF(INDEX('Disaggregation Records'!$E$156:$E$517,MATCH(RIGHT(L829,255),RIGHT('Disaggregation Records'!$D$156:$D$517,255),0))="","",INDEX('Disaggregation Records'!$E$156:$E$517,MATCH(RIGHT(L829,255),RIGHT('Disaggregation Records'!$D$156:$D$517,255),0))),"")</f>
        <v>HIV status</v>
      </c>
      <c r="N829" s="126" t="str">
        <f t="array" aca="1" ref="N829" ca="1">IFERROR(IF(INDEX('Disaggregation Records'!$F$156:$F$517,MATCH(RIGHT(L829,255),RIGHT('Disaggregation Records'!$D$156:$D$517,255),0))="","",INDEX('Disaggregation Records'!$F$156:$F$517,MATCH(RIGHT(L829,255),RIGHT('Disaggregation Records'!$D$156:$D$517,255),0))),"")</f>
        <v>Unknown</v>
      </c>
      <c r="O829" s="314" t="str">
        <f t="array" aca="1" ref="O829" ca="1">IFERROR(IF(INDEX('Disaggregation Records'!$H$156:$H$517,MATCH(RIGHT(L829,255),RIGHT('Disaggregation Records'!$D$156:$D$517,255),0))="","",INDEX('Disaggregation Records'!$H$156:$H$517,MATCH(RIGHT(L829,255),RIGHT('Disaggregation Records'!$D$156:$D$517,255),0))),"")</f>
        <v>IDR-01339</v>
      </c>
      <c r="P829" s="310"/>
      <c r="Q829" s="310">
        <f t="shared" ref="Q829" si="1004">Q827+1</f>
        <v>1716</v>
      </c>
      <c r="R829" s="314" t="str" cm="1">
        <f t="array" aca="1" ref="R829" ca="1">IFERROR(IF(INDEX('Disaggregation Records'!$G$156:$G$517,MATCH(RIGHT(L829,255),RIGHT('Disaggregation Records'!$D$156:$D$517,255),0))="","",INDEX('Disaggregation Records'!$G$156:$G$517,MATCH(RIGHT(L829,255),RIGHT('Disaggregation Records'!$D$156:$D$517,255),0))),"")</f>
        <v>a1LDm000000Cb4LMAS</v>
      </c>
    </row>
    <row r="830" spans="1:18" ht="20.100000000000001" customHeight="1">
      <c r="A830" s="126"/>
      <c r="B830" s="571"/>
      <c r="C830" s="573"/>
      <c r="D830" s="575"/>
      <c r="E830" s="575"/>
      <c r="F830" s="128"/>
      <c r="G830" s="577"/>
      <c r="H830" s="540"/>
      <c r="I830" s="579"/>
      <c r="J830" s="533"/>
      <c r="L830" s="126"/>
      <c r="N830" s="126"/>
      <c r="O830" s="314"/>
      <c r="P830" s="310"/>
      <c r="Q830" s="310"/>
      <c r="R830" s="314" t="str" cm="1">
        <f t="array" ref="R830">IFERROR(IF(INDEX('Disaggregation Records'!$G$156:$G$517,MATCH(RIGHT(L830,255),RIGHT('Disaggregation Records'!$D$156:$D$517,255),0))="","",INDEX('Disaggregation Records'!$G$156:$G$517,MATCH(RIGHT(L830,255),RIGHT('Disaggregation Records'!$D$156:$D$517,255),0))),"")</f>
        <v/>
      </c>
    </row>
    <row r="831" spans="1:18" ht="20.100000000000001" customHeight="1">
      <c r="A831" s="126" t="str">
        <f t="shared" ca="1" si="992"/>
        <v>a16Dm000000M3rsIAC</v>
      </c>
      <c r="B831" s="570">
        <v>6</v>
      </c>
      <c r="C831" s="572" t="str">
        <f ca="1">IFERROR(VLOOKUP(B831,'Coverage Indicators - Section D'!$A$9:$AO$94,41,FALSE),"")</f>
        <v>TBP-1 Number of people in contact with TB patients who began preventive therapy</v>
      </c>
      <c r="D831" s="574" t="str">
        <f ca="1">M831</f>
        <v>HIV status</v>
      </c>
      <c r="E831" s="574" t="str">
        <f ca="1">N831</f>
        <v>Negative</v>
      </c>
      <c r="F831" s="127"/>
      <c r="G831" s="576" t="str">
        <f ca="1">IF(OR(INDIRECT("'update Helper'!E"&amp;Q831)="",F831&lt;&gt;0,F832&lt;&gt;0),IF(IFERROR((F831/F832),"")="","",(F831/F832)),INDIRECT("'update Helper'!E"&amp;Q831)/100)</f>
        <v/>
      </c>
      <c r="H831" s="539"/>
      <c r="I831" s="578" t="s">
        <v>2281</v>
      </c>
      <c r="J831" s="532" t="s">
        <v>2282</v>
      </c>
      <c r="K831" s="126">
        <f ca="1">IF(AND(EXACT(C831,C829),C829&lt;&gt;0),K829+1,0)</f>
        <v>5</v>
      </c>
      <c r="L831" s="126" t="str">
        <f t="shared" ref="L831" ca="1" si="1005">IF(C831&lt;&gt;"",C831&amp;"-"&amp;K831,"")</f>
        <v>TBP-1 Number of people in contact with TB patients who began preventive therapy-5</v>
      </c>
      <c r="M831" s="126" t="str">
        <f t="array" aca="1" ref="M831" ca="1">IFERROR(IF(INDEX('Disaggregation Records'!$E$156:$E$517,MATCH(RIGHT(L831,255),RIGHT('Disaggregation Records'!$D$156:$D$517,255),0))="","",INDEX('Disaggregation Records'!$E$156:$E$517,MATCH(RIGHT(L831,255),RIGHT('Disaggregation Records'!$D$156:$D$517,255),0))),"")</f>
        <v>HIV status</v>
      </c>
      <c r="N831" s="126" t="str">
        <f t="array" aca="1" ref="N831" ca="1">IFERROR(IF(INDEX('Disaggregation Records'!$F$156:$F$517,MATCH(RIGHT(L831,255),RIGHT('Disaggregation Records'!$D$156:$D$517,255),0))="","",INDEX('Disaggregation Records'!$F$156:$F$517,MATCH(RIGHT(L831,255),RIGHT('Disaggregation Records'!$D$156:$D$517,255),0))),"")</f>
        <v>Negative</v>
      </c>
      <c r="O831" s="314" t="str">
        <f t="array" aca="1" ref="O831" ca="1">IFERROR(IF(INDEX('Disaggregation Records'!$H$156:$H$517,MATCH(RIGHT(L831,255),RIGHT('Disaggregation Records'!$D$156:$D$517,255),0))="","",INDEX('Disaggregation Records'!$H$156:$H$517,MATCH(RIGHT(L831,255),RIGHT('Disaggregation Records'!$D$156:$D$517,255),0))),"")</f>
        <v>IDR-01338</v>
      </c>
      <c r="P831" s="314"/>
      <c r="Q831" s="310">
        <f t="shared" ref="Q831" si="1006">Q829+1</f>
        <v>1717</v>
      </c>
      <c r="R831" s="314" t="str" cm="1">
        <f t="array" aca="1" ref="R831" ca="1">IFERROR(IF(INDEX('Disaggregation Records'!$G$156:$G$517,MATCH(RIGHT(L831,255),RIGHT('Disaggregation Records'!$D$156:$D$517,255),0))="","",INDEX('Disaggregation Records'!$G$156:$G$517,MATCH(RIGHT(L831,255),RIGHT('Disaggregation Records'!$D$156:$D$517,255),0))),"")</f>
        <v>a1LDm000000Cb4KMAS</v>
      </c>
    </row>
    <row r="832" spans="1:18" ht="20.100000000000001" customHeight="1">
      <c r="B832" s="571"/>
      <c r="C832" s="573"/>
      <c r="D832" s="575"/>
      <c r="E832" s="575"/>
      <c r="F832" s="128"/>
      <c r="G832" s="577"/>
      <c r="H832" s="540"/>
      <c r="I832" s="579"/>
      <c r="J832" s="533"/>
      <c r="K832" s="126"/>
      <c r="L832" s="126"/>
      <c r="M832" s="126"/>
      <c r="N832" s="126"/>
      <c r="O832" s="314"/>
      <c r="P832" s="314"/>
      <c r="Q832" s="310"/>
      <c r="R832" s="314" t="str" cm="1">
        <f t="array" ref="R832">IFERROR(IF(INDEX('Disaggregation Records'!$G$156:$G$517,MATCH(RIGHT(L832,255),RIGHT('Disaggregation Records'!$D$156:$D$517,255),0))="","",INDEX('Disaggregation Records'!$G$156:$G$517,MATCH(RIGHT(L832,255),RIGHT('Disaggregation Records'!$D$156:$D$517,255),0))),"")</f>
        <v/>
      </c>
    </row>
    <row r="833" spans="1:18" ht="20.100000000000001" customHeight="1">
      <c r="A833" s="126" t="str">
        <f t="shared" ca="1" si="989"/>
        <v>a16Dm000000M3rtIAC</v>
      </c>
      <c r="B833" s="570">
        <v>6</v>
      </c>
      <c r="C833" s="572" t="str">
        <f ca="1">IFERROR(VLOOKUP(B833,'Coverage Indicators - Section D'!$A$9:$AO$94,41,FALSE),"")</f>
        <v>TBP-1 Number of people in contact with TB patients who began preventive therapy</v>
      </c>
      <c r="D833" s="574" t="str">
        <f ca="1">M833</f>
        <v>Provider type</v>
      </c>
      <c r="E833" s="574" t="str">
        <f ca="1">N833</f>
        <v>Private</v>
      </c>
      <c r="F833" s="127"/>
      <c r="G833" s="576" t="str">
        <f ca="1">IF(OR(INDIRECT("'update Helper'!E"&amp;Q833)="",F833&lt;&gt;0,F834&lt;&gt;0),IF(IFERROR((F833/F834),"")="","",(F833/F834)),INDIRECT("'update Helper'!E"&amp;Q833)/100)</f>
        <v/>
      </c>
      <c r="H833" s="539"/>
      <c r="I833" s="578" t="s">
        <v>2281</v>
      </c>
      <c r="J833" s="532" t="s">
        <v>2282</v>
      </c>
      <c r="K833" s="126">
        <f ca="1">IF(AND(EXACT(C833,C831),C831&lt;&gt;0),K831+1,0)</f>
        <v>6</v>
      </c>
      <c r="L833" s="126" t="str">
        <f t="shared" ref="L833" ca="1" si="1007">IF(C833&lt;&gt;"",C833&amp;"-"&amp;K833,"")</f>
        <v>TBP-1 Number of people in contact with TB patients who began preventive therapy-6</v>
      </c>
      <c r="M833" s="126" t="str">
        <f t="array" aca="1" ref="M833" ca="1">IFERROR(IF(INDEX('Disaggregation Records'!$E$156:$E$517,MATCH(RIGHT(L833,255),RIGHT('Disaggregation Records'!$D$156:$D$517,255),0))="","",INDEX('Disaggregation Records'!$E$156:$E$517,MATCH(RIGHT(L833,255),RIGHT('Disaggregation Records'!$D$156:$D$517,255),0))),"")</f>
        <v>Provider type</v>
      </c>
      <c r="N833" s="126" t="str">
        <f t="array" aca="1" ref="N833" ca="1">IFERROR(IF(INDEX('Disaggregation Records'!$F$156:$F$517,MATCH(RIGHT(L833,255),RIGHT('Disaggregation Records'!$D$156:$D$517,255),0))="","",INDEX('Disaggregation Records'!$F$156:$F$517,MATCH(RIGHT(L833,255),RIGHT('Disaggregation Records'!$D$156:$D$517,255),0))),"")</f>
        <v>Private</v>
      </c>
      <c r="O833" s="314" t="str">
        <f t="array" aca="1" ref="O833" ca="1">IFERROR(IF(INDEX('Disaggregation Records'!$H$156:$H$517,MATCH(RIGHT(L833,255),RIGHT('Disaggregation Records'!$D$156:$D$517,255),0))="","",INDEX('Disaggregation Records'!$H$156:$H$517,MATCH(RIGHT(L833,255),RIGHT('Disaggregation Records'!$D$156:$D$517,255),0))),"")</f>
        <v>IDR-01337</v>
      </c>
      <c r="P833" s="314"/>
      <c r="Q833" s="310">
        <f t="shared" ref="Q833" si="1008">Q831+1</f>
        <v>1718</v>
      </c>
      <c r="R833" s="314" t="str" cm="1">
        <f t="array" aca="1" ref="R833" ca="1">IFERROR(IF(INDEX('Disaggregation Records'!$G$156:$G$517,MATCH(RIGHT(L833,255),RIGHT('Disaggregation Records'!$D$156:$D$517,255),0))="","",INDEX('Disaggregation Records'!$G$156:$G$517,MATCH(RIGHT(L833,255),RIGHT('Disaggregation Records'!$D$156:$D$517,255),0))),"")</f>
        <v>a1LDm000000Cb4JMAS</v>
      </c>
    </row>
    <row r="834" spans="1:18" ht="20.100000000000001" customHeight="1">
      <c r="A834" s="126"/>
      <c r="B834" s="571"/>
      <c r="C834" s="573"/>
      <c r="D834" s="575"/>
      <c r="E834" s="575"/>
      <c r="F834" s="128"/>
      <c r="G834" s="577"/>
      <c r="H834" s="540"/>
      <c r="I834" s="579"/>
      <c r="J834" s="533"/>
      <c r="K834" s="126"/>
      <c r="L834" s="126"/>
      <c r="M834" s="126"/>
      <c r="N834" s="126"/>
      <c r="O834" s="314"/>
      <c r="P834" s="314"/>
      <c r="Q834" s="310"/>
      <c r="R834" s="314" t="str" cm="1">
        <f t="array" ref="R834">IFERROR(IF(INDEX('Disaggregation Records'!$G$156:$G$517,MATCH(RIGHT(L834,255),RIGHT('Disaggregation Records'!$D$156:$D$517,255),0))="","",INDEX('Disaggregation Records'!$G$156:$G$517,MATCH(RIGHT(L834,255),RIGHT('Disaggregation Records'!$D$156:$D$517,255),0))),"")</f>
        <v/>
      </c>
    </row>
    <row r="835" spans="1:18" ht="20.100000000000001" customHeight="1">
      <c r="A835" s="126" t="str">
        <f t="shared" ca="1" si="992"/>
        <v>a16Dm000000M3ruIAC</v>
      </c>
      <c r="B835" s="570">
        <v>6</v>
      </c>
      <c r="C835" s="572" t="str">
        <f ca="1">IFERROR(VLOOKUP(B835,'Coverage Indicators - Section D'!$A$9:$AO$94,41,FALSE),"")</f>
        <v>TBP-1 Number of people in contact with TB patients who began preventive therapy</v>
      </c>
      <c r="D835" s="574" t="str">
        <f ca="1">M835</f>
        <v>Age</v>
      </c>
      <c r="E835" s="574" t="str">
        <f ca="1">N835</f>
        <v>5-14</v>
      </c>
      <c r="F835" s="127"/>
      <c r="G835" s="576" t="str">
        <f ca="1">IF(OR(INDIRECT("'update Helper'!E"&amp;Q835)="",F835&lt;&gt;0,F836&lt;&gt;0),IF(IFERROR((F835/F836),"")="","",(F835/F836)),INDIRECT("'update Helper'!E"&amp;Q835)/100)</f>
        <v/>
      </c>
      <c r="H835" s="539"/>
      <c r="I835" s="578" t="s">
        <v>2281</v>
      </c>
      <c r="J835" s="532" t="s">
        <v>2282</v>
      </c>
      <c r="K835" s="126">
        <f ca="1">IF(AND(EXACT(C835,C833),C833&lt;&gt;0),K833+1,0)</f>
        <v>7</v>
      </c>
      <c r="L835" s="126" t="str">
        <f t="shared" ref="L835" ca="1" si="1009">IF(C835&lt;&gt;"",C835&amp;"-"&amp;K835,"")</f>
        <v>TBP-1 Number of people in contact with TB patients who began preventive therapy-7</v>
      </c>
      <c r="M835" s="126" t="str">
        <f t="array" aca="1" ref="M835" ca="1">IFERROR(IF(INDEX('Disaggregation Records'!$E$156:$E$517,MATCH(RIGHT(L835,255),RIGHT('Disaggregation Records'!$D$156:$D$517,255),0))="","",INDEX('Disaggregation Records'!$E$156:$E$517,MATCH(RIGHT(L835,255),RIGHT('Disaggregation Records'!$D$156:$D$517,255),0))),"")</f>
        <v>Age</v>
      </c>
      <c r="N835" s="126" t="str">
        <f t="array" aca="1" ref="N835" ca="1">IFERROR(IF(INDEX('Disaggregation Records'!$F$156:$F$517,MATCH(RIGHT(L835,255),RIGHT('Disaggregation Records'!$D$156:$D$517,255),0))="","",INDEX('Disaggregation Records'!$F$156:$F$517,MATCH(RIGHT(L835,255),RIGHT('Disaggregation Records'!$D$156:$D$517,255),0))),"")</f>
        <v>5-14</v>
      </c>
      <c r="O835" s="314" t="str">
        <f t="array" aca="1" ref="O835" ca="1">IFERROR(IF(INDEX('Disaggregation Records'!$H$156:$H$517,MATCH(RIGHT(L835,255),RIGHT('Disaggregation Records'!$D$156:$D$517,255),0))="","",INDEX('Disaggregation Records'!$H$156:$H$517,MATCH(RIGHT(L835,255),RIGHT('Disaggregation Records'!$D$156:$D$517,255),0))),"")</f>
        <v>IDR-01336</v>
      </c>
      <c r="P835" s="310"/>
      <c r="Q835" s="310">
        <f t="shared" ref="Q835" si="1010">Q833+1</f>
        <v>1719</v>
      </c>
      <c r="R835" s="314" t="str" cm="1">
        <f t="array" aca="1" ref="R835" ca="1">IFERROR(IF(INDEX('Disaggregation Records'!$G$156:$G$517,MATCH(RIGHT(L835,255),RIGHT('Disaggregation Records'!$D$156:$D$517,255),0))="","",INDEX('Disaggregation Records'!$G$156:$G$517,MATCH(RIGHT(L835,255),RIGHT('Disaggregation Records'!$D$156:$D$517,255),0))),"")</f>
        <v>a1LDm000000Cb4IMAS</v>
      </c>
    </row>
    <row r="836" spans="1:18" ht="20.100000000000001" customHeight="1">
      <c r="B836" s="571"/>
      <c r="C836" s="573"/>
      <c r="D836" s="575"/>
      <c r="E836" s="575"/>
      <c r="F836" s="128"/>
      <c r="G836" s="577"/>
      <c r="H836" s="540"/>
      <c r="I836" s="579"/>
      <c r="J836" s="533"/>
      <c r="L836" s="126"/>
      <c r="N836" s="126"/>
      <c r="O836" s="314"/>
      <c r="P836" s="310"/>
      <c r="Q836" s="310"/>
      <c r="R836" s="314" t="str" cm="1">
        <f t="array" ref="R836">IFERROR(IF(INDEX('Disaggregation Records'!$G$156:$G$517,MATCH(RIGHT(L836,255),RIGHT('Disaggregation Records'!$D$156:$D$517,255),0))="","",INDEX('Disaggregation Records'!$G$156:$G$517,MATCH(RIGHT(L836,255),RIGHT('Disaggregation Records'!$D$156:$D$517,255),0))),"")</f>
        <v/>
      </c>
    </row>
    <row r="837" spans="1:18" ht="20.100000000000001" customHeight="1">
      <c r="A837" s="126" t="str">
        <f t="shared" ca="1" si="989"/>
        <v>a16Dm000000M3rvIAC</v>
      </c>
      <c r="B837" s="570">
        <v>6</v>
      </c>
      <c r="C837" s="572" t="str">
        <f ca="1">IFERROR(VLOOKUP(B837,'Coverage Indicators - Section D'!$A$9:$AO$94,41,FALSE),"")</f>
        <v>TBP-1 Number of people in contact with TB patients who began preventive therapy</v>
      </c>
      <c r="D837" s="574" t="str">
        <f ca="1">M837</f>
        <v>TPT regimen</v>
      </c>
      <c r="E837" s="574" t="str">
        <f ca="1">N837</f>
        <v>1HP</v>
      </c>
      <c r="F837" s="127"/>
      <c r="G837" s="576" t="str">
        <f ca="1">IF(OR(INDIRECT("'update Helper'!E"&amp;Q837)="",F837&lt;&gt;0,F838&lt;&gt;0),IF(IFERROR((F837/F838),"")="","",(F837/F838)),INDIRECT("'update Helper'!E"&amp;Q837)/100)</f>
        <v/>
      </c>
      <c r="H837" s="539"/>
      <c r="I837" s="578" t="s">
        <v>2281</v>
      </c>
      <c r="J837" s="532" t="s">
        <v>2282</v>
      </c>
      <c r="K837" s="126">
        <f ca="1">IF(AND(EXACT(C837,C835),C835&lt;&gt;0),K835+1,0)</f>
        <v>8</v>
      </c>
      <c r="L837" s="126" t="str">
        <f t="shared" ref="L837" ca="1" si="1011">IF(C837&lt;&gt;"",C837&amp;"-"&amp;K837,"")</f>
        <v>TBP-1 Number of people in contact with TB patients who began preventive therapy-8</v>
      </c>
      <c r="M837" s="126" t="str">
        <f t="array" aca="1" ref="M837" ca="1">IFERROR(IF(INDEX('Disaggregation Records'!$E$156:$E$517,MATCH(RIGHT(L837,255),RIGHT('Disaggregation Records'!$D$156:$D$517,255),0))="","",INDEX('Disaggregation Records'!$E$156:$E$517,MATCH(RIGHT(L837,255),RIGHT('Disaggregation Records'!$D$156:$D$517,255),0))),"")</f>
        <v>TPT regimen</v>
      </c>
      <c r="N837" s="126" t="str">
        <f t="array" aca="1" ref="N837" ca="1">IFERROR(IF(INDEX('Disaggregation Records'!$F$156:$F$517,MATCH(RIGHT(L837,255),RIGHT('Disaggregation Records'!$D$156:$D$517,255),0))="","",INDEX('Disaggregation Records'!$F$156:$F$517,MATCH(RIGHT(L837,255),RIGHT('Disaggregation Records'!$D$156:$D$517,255),0))),"")</f>
        <v>1HP</v>
      </c>
      <c r="O837" s="314" t="str">
        <f t="array" aca="1" ref="O837" ca="1">IFERROR(IF(INDEX('Disaggregation Records'!$H$156:$H$517,MATCH(RIGHT(L837,255),RIGHT('Disaggregation Records'!$D$156:$D$517,255),0))="","",INDEX('Disaggregation Records'!$H$156:$H$517,MATCH(RIGHT(L837,255),RIGHT('Disaggregation Records'!$D$156:$D$517,255),0))),"")</f>
        <v>IDR-01335</v>
      </c>
      <c r="P837" s="310"/>
      <c r="Q837" s="310">
        <f t="shared" ref="Q837" si="1012">Q835+1</f>
        <v>1720</v>
      </c>
      <c r="R837" s="314" t="str" cm="1">
        <f t="array" aca="1" ref="R837" ca="1">IFERROR(IF(INDEX('Disaggregation Records'!$G$156:$G$517,MATCH(RIGHT(L837,255),RIGHT('Disaggregation Records'!$D$156:$D$517,255),0))="","",INDEX('Disaggregation Records'!$G$156:$G$517,MATCH(RIGHT(L837,255),RIGHT('Disaggregation Records'!$D$156:$D$517,255),0))),"")</f>
        <v>a1LDm000000Cb4HMAS</v>
      </c>
    </row>
    <row r="838" spans="1:18" ht="20.100000000000001" customHeight="1">
      <c r="A838" s="126"/>
      <c r="B838" s="571"/>
      <c r="C838" s="573"/>
      <c r="D838" s="575"/>
      <c r="E838" s="575"/>
      <c r="F838" s="128"/>
      <c r="G838" s="577"/>
      <c r="H838" s="540"/>
      <c r="I838" s="579"/>
      <c r="J838" s="533"/>
      <c r="L838" s="126"/>
      <c r="N838" s="126"/>
      <c r="O838" s="314"/>
      <c r="P838" s="310"/>
      <c r="Q838" s="310"/>
      <c r="R838" s="314" t="str" cm="1">
        <f t="array" ref="R838">IFERROR(IF(INDEX('Disaggregation Records'!$G$156:$G$517,MATCH(RIGHT(L838,255),RIGHT('Disaggregation Records'!$D$156:$D$517,255),0))="","",INDEX('Disaggregation Records'!$G$156:$G$517,MATCH(RIGHT(L838,255),RIGHT('Disaggregation Records'!$D$156:$D$517,255),0))),"")</f>
        <v/>
      </c>
    </row>
    <row r="839" spans="1:18" ht="20.100000000000001" customHeight="1">
      <c r="A839" s="126" t="str">
        <f t="shared" ca="1" si="992"/>
        <v>a16Dm000000M3rwIAC</v>
      </c>
      <c r="B839" s="570">
        <v>6</v>
      </c>
      <c r="C839" s="572" t="str">
        <f ca="1">IFERROR(VLOOKUP(B839,'Coverage Indicators - Section D'!$A$9:$AO$94,41,FALSE),"")</f>
        <v>TBP-1 Number of people in contact with TB patients who began preventive therapy</v>
      </c>
      <c r="D839" s="574" t="str">
        <f ca="1">M839</f>
        <v>TPT regimen</v>
      </c>
      <c r="E839" s="574" t="str">
        <f ca="1">N839</f>
        <v>3HP</v>
      </c>
      <c r="F839" s="127"/>
      <c r="G839" s="576" t="str">
        <f ca="1">IF(OR(INDIRECT("'update Helper'!E"&amp;Q839)="",F839&lt;&gt;0,F840&lt;&gt;0),IF(IFERROR((F839/F840),"")="","",(F839/F840)),INDIRECT("'update Helper'!E"&amp;Q839)/100)</f>
        <v/>
      </c>
      <c r="H839" s="539"/>
      <c r="I839" s="578" t="s">
        <v>2281</v>
      </c>
      <c r="J839" s="532" t="s">
        <v>2282</v>
      </c>
      <c r="K839" s="126">
        <f ca="1">IF(AND(EXACT(C839,C837),C837&lt;&gt;0),K837+1,0)</f>
        <v>9</v>
      </c>
      <c r="L839" s="126" t="str">
        <f t="shared" ref="L839" ca="1" si="1013">IF(C839&lt;&gt;"",C839&amp;"-"&amp;K839,"")</f>
        <v>TBP-1 Number of people in contact with TB patients who began preventive therapy-9</v>
      </c>
      <c r="M839" s="126" t="str">
        <f t="array" aca="1" ref="M839" ca="1">IFERROR(IF(INDEX('Disaggregation Records'!$E$156:$E$517,MATCH(RIGHT(L839,255),RIGHT('Disaggregation Records'!$D$156:$D$517,255),0))="","",INDEX('Disaggregation Records'!$E$156:$E$517,MATCH(RIGHT(L839,255),RIGHT('Disaggregation Records'!$D$156:$D$517,255),0))),"")</f>
        <v>TPT regimen</v>
      </c>
      <c r="N839" s="126" t="str">
        <f t="array" aca="1" ref="N839" ca="1">IFERROR(IF(INDEX('Disaggregation Records'!$F$156:$F$517,MATCH(RIGHT(L839,255),RIGHT('Disaggregation Records'!$D$156:$D$517,255),0))="","",INDEX('Disaggregation Records'!$F$156:$F$517,MATCH(RIGHT(L839,255),RIGHT('Disaggregation Records'!$D$156:$D$517,255),0))),"")</f>
        <v>3HP</v>
      </c>
      <c r="O839" s="314" t="str">
        <f t="array" aca="1" ref="O839" ca="1">IFERROR(IF(INDEX('Disaggregation Records'!$H$156:$H$517,MATCH(RIGHT(L839,255),RIGHT('Disaggregation Records'!$D$156:$D$517,255),0))="","",INDEX('Disaggregation Records'!$H$156:$H$517,MATCH(RIGHT(L839,255),RIGHT('Disaggregation Records'!$D$156:$D$517,255),0))),"")</f>
        <v>IDR-01334</v>
      </c>
      <c r="P839" s="310"/>
      <c r="Q839" s="310">
        <f t="shared" ref="Q839" si="1014">Q837+1</f>
        <v>1721</v>
      </c>
      <c r="R839" s="314" t="str" cm="1">
        <f t="array" aca="1" ref="R839" ca="1">IFERROR(IF(INDEX('Disaggregation Records'!$G$156:$G$517,MATCH(RIGHT(L839,255),RIGHT('Disaggregation Records'!$D$156:$D$517,255),0))="","",INDEX('Disaggregation Records'!$G$156:$G$517,MATCH(RIGHT(L839,255),RIGHT('Disaggregation Records'!$D$156:$D$517,255),0))),"")</f>
        <v>a1LDm000000Cb4GMAS</v>
      </c>
    </row>
    <row r="840" spans="1:18" ht="20.100000000000001" customHeight="1">
      <c r="B840" s="571"/>
      <c r="C840" s="573"/>
      <c r="D840" s="575"/>
      <c r="E840" s="575"/>
      <c r="F840" s="128"/>
      <c r="G840" s="577"/>
      <c r="H840" s="540"/>
      <c r="I840" s="579"/>
      <c r="J840" s="533"/>
      <c r="L840" s="126"/>
      <c r="N840" s="126"/>
      <c r="O840" s="314"/>
      <c r="P840" s="310"/>
      <c r="Q840" s="310"/>
      <c r="R840" s="314" t="str" cm="1">
        <f t="array" ref="R840">IFERROR(IF(INDEX('Disaggregation Records'!$G$156:$G$517,MATCH(RIGHT(L840,255),RIGHT('Disaggregation Records'!$D$156:$D$517,255),0))="","",INDEX('Disaggregation Records'!$G$156:$G$517,MATCH(RIGHT(L840,255),RIGHT('Disaggregation Records'!$D$156:$D$517,255),0))),"")</f>
        <v/>
      </c>
    </row>
    <row r="841" spans="1:18" ht="20.100000000000001" customHeight="1">
      <c r="A841" s="126" t="str">
        <f t="shared" ca="1" si="989"/>
        <v>a16Dm000000M3rxIAC</v>
      </c>
      <c r="B841" s="570">
        <v>6</v>
      </c>
      <c r="C841" s="572" t="str">
        <f ca="1">IFERROR(VLOOKUP(B841,'Coverage Indicators - Section D'!$A$9:$AO$94,41,FALSE),"")</f>
        <v>TBP-1 Number of people in contact with TB patients who began preventive therapy</v>
      </c>
      <c r="D841" s="574" t="str">
        <f ca="1">M841</f>
        <v>Age</v>
      </c>
      <c r="E841" s="574" t="str">
        <f ca="1">N841</f>
        <v>&lt;5</v>
      </c>
      <c r="F841" s="127">
        <v>59419</v>
      </c>
      <c r="G841" s="576" t="str">
        <f ca="1">IF(OR(INDIRECT("'update Helper'!E"&amp;Q841)="",F841&lt;&gt;0,F842&lt;&gt;0),IF(IFERROR((F841/F842),"")="","",(F841/F842)),INDIRECT("'update Helper'!E"&amp;Q841)/100)</f>
        <v/>
      </c>
      <c r="H841" s="539">
        <v>2021</v>
      </c>
      <c r="I841" s="578" t="s">
        <v>780</v>
      </c>
      <c r="J841" s="532" t="s">
        <v>2282</v>
      </c>
      <c r="K841" s="126">
        <f ca="1">IF(AND(EXACT(C841,C839),C839&lt;&gt;0),K839+1,0)</f>
        <v>10</v>
      </c>
      <c r="L841" s="126" t="str">
        <f t="shared" ref="L841" ca="1" si="1015">IF(C841&lt;&gt;"",C841&amp;"-"&amp;K841,"")</f>
        <v>TBP-1 Number of people in contact with TB patients who began preventive therapy-10</v>
      </c>
      <c r="M841" s="126" t="str">
        <f t="array" aca="1" ref="M841" ca="1">IFERROR(IF(INDEX('Disaggregation Records'!$E$156:$E$517,MATCH(RIGHT(L841,255),RIGHT('Disaggregation Records'!$D$156:$D$517,255),0))="","",INDEX('Disaggregation Records'!$E$156:$E$517,MATCH(RIGHT(L841,255),RIGHT('Disaggregation Records'!$D$156:$D$517,255),0))),"")</f>
        <v>Age</v>
      </c>
      <c r="N841" s="126" t="str">
        <f t="array" aca="1" ref="N841" ca="1">IFERROR(IF(INDEX('Disaggregation Records'!$F$156:$F$517,MATCH(RIGHT(L841,255),RIGHT('Disaggregation Records'!$D$156:$D$517,255),0))="","",INDEX('Disaggregation Records'!$F$156:$F$517,MATCH(RIGHT(L841,255),RIGHT('Disaggregation Records'!$D$156:$D$517,255),0))),"")</f>
        <v>&lt;5</v>
      </c>
      <c r="O841" s="314" t="str">
        <f t="array" aca="1" ref="O841" ca="1">IFERROR(IF(INDEX('Disaggregation Records'!$H$156:$H$517,MATCH(RIGHT(L841,255),RIGHT('Disaggregation Records'!$D$156:$D$517,255),0))="","",INDEX('Disaggregation Records'!$H$156:$H$517,MATCH(RIGHT(L841,255),RIGHT('Disaggregation Records'!$D$156:$D$517,255),0))),"")</f>
        <v>IDR-01333</v>
      </c>
      <c r="P841" s="314"/>
      <c r="Q841" s="310">
        <f t="shared" ref="Q841" si="1016">Q839+1</f>
        <v>1722</v>
      </c>
      <c r="R841" s="314" t="str" cm="1">
        <f t="array" aca="1" ref="R841" ca="1">IFERROR(IF(INDEX('Disaggregation Records'!$G$156:$G$517,MATCH(RIGHT(L841,255),RIGHT('Disaggregation Records'!$D$156:$D$517,255),0))="","",INDEX('Disaggregation Records'!$G$156:$G$517,MATCH(RIGHT(L841,255),RIGHT('Disaggregation Records'!$D$156:$D$517,255),0))),"")</f>
        <v>a1LDm000000Cb4FMAS</v>
      </c>
    </row>
    <row r="842" spans="1:18" ht="20.100000000000001" customHeight="1">
      <c r="A842" s="126"/>
      <c r="B842" s="571"/>
      <c r="C842" s="573"/>
      <c r="D842" s="575"/>
      <c r="E842" s="575"/>
      <c r="F842" s="128"/>
      <c r="G842" s="577"/>
      <c r="H842" s="540"/>
      <c r="I842" s="579"/>
      <c r="J842" s="533"/>
      <c r="K842" s="126"/>
      <c r="L842" s="126"/>
      <c r="M842" s="126"/>
      <c r="N842" s="126"/>
      <c r="O842" s="314"/>
      <c r="P842" s="314"/>
      <c r="Q842" s="310"/>
      <c r="R842" s="314" t="str" cm="1">
        <f t="array" ref="R842">IFERROR(IF(INDEX('Disaggregation Records'!$G$156:$G$517,MATCH(RIGHT(L842,255),RIGHT('Disaggregation Records'!$D$156:$D$517,255),0))="","",INDEX('Disaggregation Records'!$G$156:$G$517,MATCH(RIGHT(L842,255),RIGHT('Disaggregation Records'!$D$156:$D$517,255),0))),"")</f>
        <v/>
      </c>
    </row>
    <row r="843" spans="1:18" ht="20.100000000000001" customHeight="1">
      <c r="A843" s="126" t="str">
        <f t="shared" ca="1" si="992"/>
        <v>a16Dm000000M3ryIAC</v>
      </c>
      <c r="B843" s="570">
        <v>6</v>
      </c>
      <c r="C843" s="572" t="str">
        <f ca="1">IFERROR(VLOOKUP(B843,'Coverage Indicators - Section D'!$A$9:$AO$94,41,FALSE),"")</f>
        <v>TBP-1 Number of people in contact with TB patients who began preventive therapy</v>
      </c>
      <c r="D843" s="574" t="str">
        <f ca="1">M843</f>
        <v>Provider type</v>
      </c>
      <c r="E843" s="574" t="str">
        <f ca="1">N843</f>
        <v>Public</v>
      </c>
      <c r="F843" s="127"/>
      <c r="G843" s="576" t="str">
        <f ca="1">IF(OR(INDIRECT("'update Helper'!E"&amp;Q843)="",F843&lt;&gt;0,F844&lt;&gt;0),IF(IFERROR((F843/F844),"")="","",(F843/F844)),INDIRECT("'update Helper'!E"&amp;Q843)/100)</f>
        <v/>
      </c>
      <c r="H843" s="539"/>
      <c r="I843" s="578" t="s">
        <v>2281</v>
      </c>
      <c r="J843" s="532" t="s">
        <v>2282</v>
      </c>
      <c r="K843" s="126">
        <f ca="1">IF(AND(EXACT(C843,C841),C841&lt;&gt;0),K841+1,0)</f>
        <v>11</v>
      </c>
      <c r="L843" s="126" t="str">
        <f t="shared" ref="L843" ca="1" si="1017">IF(C843&lt;&gt;"",C843&amp;"-"&amp;K843,"")</f>
        <v>TBP-1 Number of people in contact with TB patients who began preventive therapy-11</v>
      </c>
      <c r="M843" s="126" t="str">
        <f t="array" aca="1" ref="M843" ca="1">IFERROR(IF(INDEX('Disaggregation Records'!$E$156:$E$517,MATCH(RIGHT(L843,255),RIGHT('Disaggregation Records'!$D$156:$D$517,255),0))="","",INDEX('Disaggregation Records'!$E$156:$E$517,MATCH(RIGHT(L843,255),RIGHT('Disaggregation Records'!$D$156:$D$517,255),0))),"")</f>
        <v>Provider type</v>
      </c>
      <c r="N843" s="126" t="str">
        <f t="array" aca="1" ref="N843" ca="1">IFERROR(IF(INDEX('Disaggregation Records'!$F$156:$F$517,MATCH(RIGHT(L843,255),RIGHT('Disaggregation Records'!$D$156:$D$517,255),0))="","",INDEX('Disaggregation Records'!$F$156:$F$517,MATCH(RIGHT(L843,255),RIGHT('Disaggregation Records'!$D$156:$D$517,255),0))),"")</f>
        <v>Public</v>
      </c>
      <c r="O843" s="314" t="str">
        <f t="array" aca="1" ref="O843" ca="1">IFERROR(IF(INDEX('Disaggregation Records'!$H$156:$H$517,MATCH(RIGHT(L843,255),RIGHT('Disaggregation Records'!$D$156:$D$517,255),0))="","",INDEX('Disaggregation Records'!$H$156:$H$517,MATCH(RIGHT(L843,255),RIGHT('Disaggregation Records'!$D$156:$D$517,255),0))),"")</f>
        <v>IDR-01332</v>
      </c>
      <c r="P843" s="314"/>
      <c r="Q843" s="310">
        <f t="shared" ref="Q843" si="1018">Q841+1</f>
        <v>1723</v>
      </c>
      <c r="R843" s="314" t="str" cm="1">
        <f t="array" aca="1" ref="R843" ca="1">IFERROR(IF(INDEX('Disaggregation Records'!$G$156:$G$517,MATCH(RIGHT(L843,255),RIGHT('Disaggregation Records'!$D$156:$D$517,255),0))="","",INDEX('Disaggregation Records'!$G$156:$G$517,MATCH(RIGHT(L843,255),RIGHT('Disaggregation Records'!$D$156:$D$517,255),0))),"")</f>
        <v>a1LDm000000Cb4EMAS</v>
      </c>
    </row>
    <row r="844" spans="1:18" ht="20.100000000000001" customHeight="1">
      <c r="B844" s="571"/>
      <c r="C844" s="573"/>
      <c r="D844" s="575"/>
      <c r="E844" s="575"/>
      <c r="F844" s="128"/>
      <c r="G844" s="577"/>
      <c r="H844" s="540"/>
      <c r="I844" s="579"/>
      <c r="J844" s="533"/>
      <c r="K844" s="126"/>
      <c r="L844" s="126"/>
      <c r="M844" s="126"/>
      <c r="N844" s="126"/>
      <c r="O844" s="314"/>
      <c r="P844" s="314"/>
      <c r="Q844" s="310"/>
      <c r="R844" s="314" t="str" cm="1">
        <f t="array" ref="R844">IFERROR(IF(INDEX('Disaggregation Records'!$G$156:$G$517,MATCH(RIGHT(L844,255),RIGHT('Disaggregation Records'!$D$156:$D$517,255),0))="","",INDEX('Disaggregation Records'!$G$156:$G$517,MATCH(RIGHT(L844,255),RIGHT('Disaggregation Records'!$D$156:$D$517,255),0))),"")</f>
        <v/>
      </c>
    </row>
    <row r="845" spans="1:18" ht="20.100000000000001" customHeight="1">
      <c r="A845" s="126" t="str">
        <f t="shared" ca="1" si="989"/>
        <v>a16Dm000000M3rzIAC</v>
      </c>
      <c r="B845" s="570">
        <v>6</v>
      </c>
      <c r="C845" s="572" t="str">
        <f ca="1">IFERROR(VLOOKUP(B845,'Coverage Indicators - Section D'!$A$9:$AO$94,41,FALSE),"")</f>
        <v>TBP-1 Number of people in contact with TB patients who began preventive therapy</v>
      </c>
      <c r="D845" s="574" t="str">
        <f ca="1">M845</f>
        <v>HIV status</v>
      </c>
      <c r="E845" s="574" t="str">
        <f ca="1">N845</f>
        <v>Positive</v>
      </c>
      <c r="F845" s="127"/>
      <c r="G845" s="576" t="str">
        <f ca="1">IF(OR(INDIRECT("'update Helper'!E"&amp;Q845)="",F845&lt;&gt;0,F846&lt;&gt;0),IF(IFERROR((F845/F846),"")="","",(F845/F846)),INDIRECT("'update Helper'!E"&amp;Q845)/100)</f>
        <v/>
      </c>
      <c r="H845" s="539"/>
      <c r="I845" s="578" t="s">
        <v>2281</v>
      </c>
      <c r="J845" s="532" t="s">
        <v>2282</v>
      </c>
      <c r="K845" s="126">
        <f ca="1">IF(AND(EXACT(C845,C843),C843&lt;&gt;0),K843+1,0)</f>
        <v>12</v>
      </c>
      <c r="L845" s="126" t="str">
        <f t="shared" ref="L845" ca="1" si="1019">IF(C845&lt;&gt;"",C845&amp;"-"&amp;K845,"")</f>
        <v>TBP-1 Number of people in contact with TB patients who began preventive therapy-12</v>
      </c>
      <c r="M845" s="126" t="str">
        <f t="array" aca="1" ref="M845" ca="1">IFERROR(IF(INDEX('Disaggregation Records'!$E$156:$E$517,MATCH(RIGHT(L845,255),RIGHT('Disaggregation Records'!$D$156:$D$517,255),0))="","",INDEX('Disaggregation Records'!$E$156:$E$517,MATCH(RIGHT(L845,255),RIGHT('Disaggregation Records'!$D$156:$D$517,255),0))),"")</f>
        <v>HIV status</v>
      </c>
      <c r="N845" s="126" t="str">
        <f t="array" aca="1" ref="N845" ca="1">IFERROR(IF(INDEX('Disaggregation Records'!$F$156:$F$517,MATCH(RIGHT(L845,255),RIGHT('Disaggregation Records'!$D$156:$D$517,255),0))="","",INDEX('Disaggregation Records'!$F$156:$F$517,MATCH(RIGHT(L845,255),RIGHT('Disaggregation Records'!$D$156:$D$517,255),0))),"")</f>
        <v>Positive</v>
      </c>
      <c r="O845" s="314" t="str">
        <f t="array" aca="1" ref="O845" ca="1">IFERROR(IF(INDEX('Disaggregation Records'!$H$156:$H$517,MATCH(RIGHT(L845,255),RIGHT('Disaggregation Records'!$D$156:$D$517,255),0))="","",INDEX('Disaggregation Records'!$H$156:$H$517,MATCH(RIGHT(L845,255),RIGHT('Disaggregation Records'!$D$156:$D$517,255),0))),"")</f>
        <v>IDR-01331</v>
      </c>
      <c r="P845" s="310"/>
      <c r="Q845" s="310">
        <f t="shared" ref="Q845" si="1020">Q843+1</f>
        <v>1724</v>
      </c>
      <c r="R845" s="314" t="str" cm="1">
        <f t="array" aca="1" ref="R845" ca="1">IFERROR(IF(INDEX('Disaggregation Records'!$G$156:$G$517,MATCH(RIGHT(L845,255),RIGHT('Disaggregation Records'!$D$156:$D$517,255),0))="","",INDEX('Disaggregation Records'!$G$156:$G$517,MATCH(RIGHT(L845,255),RIGHT('Disaggregation Records'!$D$156:$D$517,255),0))),"")</f>
        <v>a1LDm000000Cb4DMAS</v>
      </c>
    </row>
    <row r="846" spans="1:18" ht="20.100000000000001" customHeight="1">
      <c r="A846" s="126"/>
      <c r="B846" s="571"/>
      <c r="C846" s="573"/>
      <c r="D846" s="575"/>
      <c r="E846" s="575"/>
      <c r="F846" s="128"/>
      <c r="G846" s="577"/>
      <c r="H846" s="540"/>
      <c r="I846" s="579"/>
      <c r="J846" s="533"/>
      <c r="L846" s="126"/>
      <c r="N846" s="126"/>
      <c r="O846" s="314"/>
      <c r="P846" s="310"/>
      <c r="Q846" s="310"/>
      <c r="R846" s="314" t="str" cm="1">
        <f t="array" ref="R846">IFERROR(IF(INDEX('Disaggregation Records'!$G$156:$G$517,MATCH(RIGHT(L846,255),RIGHT('Disaggregation Records'!$D$156:$D$517,255),0))="","",INDEX('Disaggregation Records'!$G$156:$G$517,MATCH(RIGHT(L846,255),RIGHT('Disaggregation Records'!$D$156:$D$517,255),0))),"")</f>
        <v/>
      </c>
    </row>
    <row r="847" spans="1:18" ht="20.100000000000001" customHeight="1">
      <c r="A847" s="126" t="str">
        <f t="shared" ca="1" si="992"/>
        <v>a16Dm000000M3s0IAC</v>
      </c>
      <c r="B847" s="570">
        <v>6</v>
      </c>
      <c r="C847" s="572" t="str">
        <f ca="1">IFERROR(VLOOKUP(B847,'Coverage Indicators - Section D'!$A$9:$AO$94,41,FALSE),"")</f>
        <v>TBP-1 Number of people in contact with TB patients who began preventive therapy</v>
      </c>
      <c r="D847" s="574" t="str">
        <f ca="1">M847</f>
        <v/>
      </c>
      <c r="E847" s="574" t="str">
        <f ca="1">N847</f>
        <v/>
      </c>
      <c r="F847" s="127"/>
      <c r="G847" s="576" t="str">
        <f ca="1">IF(OR(INDIRECT("'update Helper'!E"&amp;Q847)="",F847&lt;&gt;0,F848&lt;&gt;0),IF(IFERROR((F847/F848),"")="","",(F847/F848)),INDIRECT("'update Helper'!E"&amp;Q847)/100)</f>
        <v/>
      </c>
      <c r="H847" s="539"/>
      <c r="I847" s="578"/>
      <c r="J847" s="532"/>
      <c r="K847" s="126">
        <f ca="1">IF(AND(EXACT(C847,C845),C845&lt;&gt;0),K845+1,0)</f>
        <v>13</v>
      </c>
      <c r="L847" s="126" t="str">
        <f t="shared" ref="L847" ca="1" si="1021">IF(C847&lt;&gt;"",C847&amp;"-"&amp;K847,"")</f>
        <v>TBP-1 Number of people in contact with TB patients who began preventive therapy-13</v>
      </c>
      <c r="M847" s="126" t="str">
        <f t="array" aca="1" ref="M847" ca="1">IFERROR(IF(INDEX('Disaggregation Records'!$E$156:$E$517,MATCH(RIGHT(L847,255),RIGHT('Disaggregation Records'!$D$156:$D$517,255),0))="","",INDEX('Disaggregation Records'!$E$156:$E$517,MATCH(RIGHT(L847,255),RIGHT('Disaggregation Records'!$D$156:$D$517,255),0))),"")</f>
        <v/>
      </c>
      <c r="N847" s="126" t="str">
        <f t="array" aca="1" ref="N847" ca="1">IFERROR(IF(INDEX('Disaggregation Records'!$F$156:$F$517,MATCH(RIGHT(L847,255),RIGHT('Disaggregation Records'!$D$156:$D$517,255),0))="","",INDEX('Disaggregation Records'!$F$156:$F$517,MATCH(RIGHT(L847,255),RIGHT('Disaggregation Records'!$D$156:$D$517,255),0))),"")</f>
        <v/>
      </c>
      <c r="O847" s="314" t="str">
        <f t="array" aca="1" ref="O847" ca="1">IFERROR(IF(INDEX('Disaggregation Records'!$H$156:$H$517,MATCH(RIGHT(L847,255),RIGHT('Disaggregation Records'!$D$156:$D$517,255),0))="","",INDEX('Disaggregation Records'!$H$156:$H$517,MATCH(RIGHT(L847,255),RIGHT('Disaggregation Records'!$D$156:$D$517,255),0))),"")</f>
        <v/>
      </c>
      <c r="P847" s="310"/>
      <c r="Q847" s="310">
        <f t="shared" ref="Q847" si="1022">Q845+1</f>
        <v>1725</v>
      </c>
      <c r="R847" s="314" t="str" cm="1">
        <f t="array" aca="1" ref="R847" ca="1">IFERROR(IF(INDEX('Disaggregation Records'!$G$156:$G$517,MATCH(RIGHT(L847,255),RIGHT('Disaggregation Records'!$D$156:$D$517,255),0))="","",INDEX('Disaggregation Records'!$G$156:$G$517,MATCH(RIGHT(L847,255),RIGHT('Disaggregation Records'!$D$156:$D$517,255),0))),"")</f>
        <v/>
      </c>
    </row>
    <row r="848" spans="1:18" ht="20.100000000000001" customHeight="1">
      <c r="B848" s="571"/>
      <c r="C848" s="573"/>
      <c r="D848" s="575"/>
      <c r="E848" s="575"/>
      <c r="F848" s="128"/>
      <c r="G848" s="577"/>
      <c r="H848" s="540"/>
      <c r="I848" s="579"/>
      <c r="J848" s="533"/>
      <c r="L848" s="126"/>
      <c r="N848" s="126"/>
      <c r="O848" s="314"/>
      <c r="P848" s="310"/>
      <c r="Q848" s="310"/>
      <c r="R848" s="314" t="str" cm="1">
        <f t="array" ref="R848">IFERROR(IF(INDEX('Disaggregation Records'!$G$156:$G$517,MATCH(RIGHT(L848,255),RIGHT('Disaggregation Records'!$D$156:$D$517,255),0))="","",INDEX('Disaggregation Records'!$G$156:$G$517,MATCH(RIGHT(L848,255),RIGHT('Disaggregation Records'!$D$156:$D$517,255),0))),"")</f>
        <v/>
      </c>
    </row>
    <row r="849" spans="1:18" ht="20.100000000000001" customHeight="1">
      <c r="A849" s="126" t="str">
        <f t="shared" ca="1" si="989"/>
        <v>a16Dm000000M3s1IAC</v>
      </c>
      <c r="B849" s="570">
        <v>6</v>
      </c>
      <c r="C849" s="572" t="str">
        <f ca="1">IFERROR(VLOOKUP(B849,'Coverage Indicators - Section D'!$A$9:$AO$94,41,FALSE),"")</f>
        <v>TBP-1 Number of people in contact with TB patients who began preventive therapy</v>
      </c>
      <c r="D849" s="574" t="str">
        <f ca="1">M849</f>
        <v/>
      </c>
      <c r="E849" s="574" t="str">
        <f ca="1">N849</f>
        <v/>
      </c>
      <c r="F849" s="127"/>
      <c r="G849" s="576" t="str">
        <f ca="1">IF(OR(INDIRECT("'update Helper'!E"&amp;Q849)="",F849&lt;&gt;0,F850&lt;&gt;0),IF(IFERROR((F849/F850),"")="","",(F849/F850)),INDIRECT("'update Helper'!E"&amp;Q849)/100)</f>
        <v/>
      </c>
      <c r="H849" s="539"/>
      <c r="I849" s="578"/>
      <c r="J849" s="532"/>
      <c r="K849" s="126">
        <f ca="1">IF(AND(EXACT(C849,C847),C847&lt;&gt;0),K847+1,0)</f>
        <v>14</v>
      </c>
      <c r="L849" s="126" t="str">
        <f t="shared" ref="L849" ca="1" si="1023">IF(C849&lt;&gt;"",C849&amp;"-"&amp;K849,"")</f>
        <v>TBP-1 Number of people in contact with TB patients who began preventive therapy-14</v>
      </c>
      <c r="M849" s="126" t="str">
        <f t="array" aca="1" ref="M849" ca="1">IFERROR(IF(INDEX('Disaggregation Records'!$E$156:$E$517,MATCH(RIGHT(L849,255),RIGHT('Disaggregation Records'!$D$156:$D$517,255),0))="","",INDEX('Disaggregation Records'!$E$156:$E$517,MATCH(RIGHT(L849,255),RIGHT('Disaggregation Records'!$D$156:$D$517,255),0))),"")</f>
        <v/>
      </c>
      <c r="N849" s="126" t="str">
        <f t="array" aca="1" ref="N849" ca="1">IFERROR(IF(INDEX('Disaggregation Records'!$F$156:$F$517,MATCH(RIGHT(L849,255),RIGHT('Disaggregation Records'!$D$156:$D$517,255),0))="","",INDEX('Disaggregation Records'!$F$156:$F$517,MATCH(RIGHT(L849,255),RIGHT('Disaggregation Records'!$D$156:$D$517,255),0))),"")</f>
        <v/>
      </c>
      <c r="O849" s="314" t="str">
        <f t="array" aca="1" ref="O849" ca="1">IFERROR(IF(INDEX('Disaggregation Records'!$H$156:$H$517,MATCH(RIGHT(L849,255),RIGHT('Disaggregation Records'!$D$156:$D$517,255),0))="","",INDEX('Disaggregation Records'!$H$156:$H$517,MATCH(RIGHT(L849,255),RIGHT('Disaggregation Records'!$D$156:$D$517,255),0))),"")</f>
        <v/>
      </c>
      <c r="P849" s="310"/>
      <c r="Q849" s="310">
        <f t="shared" ref="Q849" si="1024">Q847+1</f>
        <v>1726</v>
      </c>
      <c r="R849" s="314" t="str" cm="1">
        <f t="array" aca="1" ref="R849" ca="1">IFERROR(IF(INDEX('Disaggregation Records'!$G$156:$G$517,MATCH(RIGHT(L849,255),RIGHT('Disaggregation Records'!$D$156:$D$517,255),0))="","",INDEX('Disaggregation Records'!$G$156:$G$517,MATCH(RIGHT(L849,255),RIGHT('Disaggregation Records'!$D$156:$D$517,255),0))),"")</f>
        <v/>
      </c>
    </row>
    <row r="850" spans="1:18" ht="20.100000000000001" customHeight="1">
      <c r="A850" s="126"/>
      <c r="B850" s="571"/>
      <c r="C850" s="573"/>
      <c r="D850" s="575"/>
      <c r="E850" s="575"/>
      <c r="F850" s="128"/>
      <c r="G850" s="577"/>
      <c r="H850" s="540"/>
      <c r="I850" s="579"/>
      <c r="J850" s="533"/>
      <c r="L850" s="126"/>
      <c r="N850" s="126"/>
      <c r="O850" s="314"/>
      <c r="P850" s="310"/>
      <c r="Q850" s="310"/>
      <c r="R850" s="314" t="str" cm="1">
        <f t="array" ref="R850">IFERROR(IF(INDEX('Disaggregation Records'!$G$156:$G$517,MATCH(RIGHT(L850,255),RIGHT('Disaggregation Records'!$D$156:$D$517,255),0))="","",INDEX('Disaggregation Records'!$G$156:$G$517,MATCH(RIGHT(L850,255),RIGHT('Disaggregation Records'!$D$156:$D$517,255),0))),"")</f>
        <v/>
      </c>
    </row>
    <row r="851" spans="1:18" ht="20.100000000000001" customHeight="1">
      <c r="A851" s="126" t="str">
        <f t="shared" ca="1" si="992"/>
        <v>a16Dm000000M3s2IAC</v>
      </c>
      <c r="B851" s="570">
        <v>6</v>
      </c>
      <c r="C851" s="572" t="str">
        <f ca="1">IFERROR(VLOOKUP(B851,'Coverage Indicators - Section D'!$A$9:$AO$94,41,FALSE),"")</f>
        <v>TBP-1 Number of people in contact with TB patients who began preventive therapy</v>
      </c>
      <c r="D851" s="574" t="str">
        <f ca="1">M851</f>
        <v/>
      </c>
      <c r="E851" s="574" t="str">
        <f ca="1">N851</f>
        <v/>
      </c>
      <c r="F851" s="127"/>
      <c r="G851" s="576" t="str">
        <f ca="1">IF(OR(INDIRECT("'update Helper'!E"&amp;Q851)="",F851&lt;&gt;0,F852&lt;&gt;0),IF(IFERROR((F851/F852),"")="","",(F851/F852)),INDIRECT("'update Helper'!E"&amp;Q851)/100)</f>
        <v/>
      </c>
      <c r="H851" s="539"/>
      <c r="I851" s="578"/>
      <c r="J851" s="532"/>
      <c r="K851" s="126">
        <f ca="1">IF(AND(EXACT(C851,C849),C849&lt;&gt;0),K849+1,0)</f>
        <v>15</v>
      </c>
      <c r="L851" s="126" t="str">
        <f t="shared" ref="L851" ca="1" si="1025">IF(C851&lt;&gt;"",C851&amp;"-"&amp;K851,"")</f>
        <v>TBP-1 Number of people in contact with TB patients who began preventive therapy-15</v>
      </c>
      <c r="M851" s="126" t="str">
        <f t="array" aca="1" ref="M851" ca="1">IFERROR(IF(INDEX('Disaggregation Records'!$E$156:$E$517,MATCH(RIGHT(L851,255),RIGHT('Disaggregation Records'!$D$156:$D$517,255),0))="","",INDEX('Disaggregation Records'!$E$156:$E$517,MATCH(RIGHT(L851,255),RIGHT('Disaggregation Records'!$D$156:$D$517,255),0))),"")</f>
        <v/>
      </c>
      <c r="N851" s="126" t="str">
        <f t="array" aca="1" ref="N851" ca="1">IFERROR(IF(INDEX('Disaggregation Records'!$F$156:$F$517,MATCH(RIGHT(L851,255),RIGHT('Disaggregation Records'!$D$156:$D$517,255),0))="","",INDEX('Disaggregation Records'!$F$156:$F$517,MATCH(RIGHT(L851,255),RIGHT('Disaggregation Records'!$D$156:$D$517,255),0))),"")</f>
        <v/>
      </c>
      <c r="O851" s="314" t="str">
        <f t="array" aca="1" ref="O851" ca="1">IFERROR(IF(INDEX('Disaggregation Records'!$H$156:$H$517,MATCH(RIGHT(L851,255),RIGHT('Disaggregation Records'!$D$156:$D$517,255),0))="","",INDEX('Disaggregation Records'!$H$156:$H$517,MATCH(RIGHT(L851,255),RIGHT('Disaggregation Records'!$D$156:$D$517,255),0))),"")</f>
        <v/>
      </c>
      <c r="P851" s="314"/>
      <c r="Q851" s="310">
        <f t="shared" ref="Q851" si="1026">Q849+1</f>
        <v>1727</v>
      </c>
      <c r="R851" s="314" t="str" cm="1">
        <f t="array" aca="1" ref="R851" ca="1">IFERROR(IF(INDEX('Disaggregation Records'!$G$156:$G$517,MATCH(RIGHT(L851,255),RIGHT('Disaggregation Records'!$D$156:$D$517,255),0))="","",INDEX('Disaggregation Records'!$G$156:$G$517,MATCH(RIGHT(L851,255),RIGHT('Disaggregation Records'!$D$156:$D$517,255),0))),"")</f>
        <v/>
      </c>
    </row>
    <row r="852" spans="1:18" ht="20.100000000000001" customHeight="1">
      <c r="B852" s="571"/>
      <c r="C852" s="573"/>
      <c r="D852" s="575"/>
      <c r="E852" s="575"/>
      <c r="F852" s="128"/>
      <c r="G852" s="577"/>
      <c r="H852" s="540"/>
      <c r="I852" s="579"/>
      <c r="J852" s="533"/>
      <c r="K852" s="126"/>
      <c r="L852" s="126"/>
      <c r="M852" s="126"/>
      <c r="N852" s="126"/>
      <c r="O852" s="314"/>
      <c r="P852" s="314"/>
      <c r="Q852" s="310"/>
      <c r="R852" s="314" t="str" cm="1">
        <f t="array" ref="R852">IFERROR(IF(INDEX('Disaggregation Records'!$G$156:$G$517,MATCH(RIGHT(L852,255),RIGHT('Disaggregation Records'!$D$156:$D$517,255),0))="","",INDEX('Disaggregation Records'!$G$156:$G$517,MATCH(RIGHT(L852,255),RIGHT('Disaggregation Records'!$D$156:$D$517,255),0))),"")</f>
        <v/>
      </c>
    </row>
    <row r="853" spans="1:18" ht="20.100000000000001" customHeight="1">
      <c r="A853" s="126" t="str">
        <f t="shared" ca="1" si="989"/>
        <v>a16Dm000000M3s3IAC</v>
      </c>
      <c r="B853" s="570">
        <v>6</v>
      </c>
      <c r="C853" s="572" t="str">
        <f ca="1">IFERROR(VLOOKUP(B853,'Coverage Indicators - Section D'!$A$9:$AO$94,41,FALSE),"")</f>
        <v>TBP-1 Number of people in contact with TB patients who began preventive therapy</v>
      </c>
      <c r="D853" s="574" t="str">
        <f ca="1">M853</f>
        <v/>
      </c>
      <c r="E853" s="574" t="str">
        <f ca="1">N853</f>
        <v/>
      </c>
      <c r="F853" s="127"/>
      <c r="G853" s="576" t="str">
        <f ca="1">IF(OR(INDIRECT("'update Helper'!E"&amp;Q853)="",F853&lt;&gt;0,F854&lt;&gt;0),IF(IFERROR((F853/F854),"")="","",(F853/F854)),INDIRECT("'update Helper'!E"&amp;Q853)/100)</f>
        <v/>
      </c>
      <c r="H853" s="539"/>
      <c r="I853" s="578"/>
      <c r="J853" s="532"/>
      <c r="K853" s="126">
        <f ca="1">IF(AND(EXACT(C853,C851),C851&lt;&gt;0),K851+1,0)</f>
        <v>16</v>
      </c>
      <c r="L853" s="126" t="str">
        <f t="shared" ref="L853" ca="1" si="1027">IF(C853&lt;&gt;"",C853&amp;"-"&amp;K853,"")</f>
        <v>TBP-1 Number of people in contact with TB patients who began preventive therapy-16</v>
      </c>
      <c r="M853" s="126" t="str">
        <f t="array" aca="1" ref="M853" ca="1">IFERROR(IF(INDEX('Disaggregation Records'!$E$156:$E$517,MATCH(RIGHT(L853,255),RIGHT('Disaggregation Records'!$D$156:$D$517,255),0))="","",INDEX('Disaggregation Records'!$E$156:$E$517,MATCH(RIGHT(L853,255),RIGHT('Disaggregation Records'!$D$156:$D$517,255),0))),"")</f>
        <v/>
      </c>
      <c r="N853" s="126" t="str">
        <f t="array" aca="1" ref="N853" ca="1">IFERROR(IF(INDEX('Disaggregation Records'!$F$156:$F$517,MATCH(RIGHT(L853,255),RIGHT('Disaggregation Records'!$D$156:$D$517,255),0))="","",INDEX('Disaggregation Records'!$F$156:$F$517,MATCH(RIGHT(L853,255),RIGHT('Disaggregation Records'!$D$156:$D$517,255),0))),"")</f>
        <v/>
      </c>
      <c r="O853" s="314" t="str">
        <f t="array" aca="1" ref="O853" ca="1">IFERROR(IF(INDEX('Disaggregation Records'!$H$156:$H$517,MATCH(RIGHT(L853,255),RIGHT('Disaggregation Records'!$D$156:$D$517,255),0))="","",INDEX('Disaggregation Records'!$H$156:$H$517,MATCH(RIGHT(L853,255),RIGHT('Disaggregation Records'!$D$156:$D$517,255),0))),"")</f>
        <v/>
      </c>
      <c r="P853" s="314"/>
      <c r="Q853" s="310">
        <f t="shared" ref="Q853" si="1028">Q851+1</f>
        <v>1728</v>
      </c>
      <c r="R853" s="314" t="str" cm="1">
        <f t="array" aca="1" ref="R853" ca="1">IFERROR(IF(INDEX('Disaggregation Records'!$G$156:$G$517,MATCH(RIGHT(L853,255),RIGHT('Disaggregation Records'!$D$156:$D$517,255),0))="","",INDEX('Disaggregation Records'!$G$156:$G$517,MATCH(RIGHT(L853,255),RIGHT('Disaggregation Records'!$D$156:$D$517,255),0))),"")</f>
        <v/>
      </c>
    </row>
    <row r="854" spans="1:18" ht="20.100000000000001" customHeight="1">
      <c r="A854" s="126"/>
      <c r="B854" s="571"/>
      <c r="C854" s="573"/>
      <c r="D854" s="575"/>
      <c r="E854" s="575"/>
      <c r="F854" s="128"/>
      <c r="G854" s="577"/>
      <c r="H854" s="540"/>
      <c r="I854" s="579"/>
      <c r="J854" s="533"/>
      <c r="K854" s="126"/>
      <c r="L854" s="126"/>
      <c r="M854" s="126"/>
      <c r="N854" s="126"/>
      <c r="O854" s="314"/>
      <c r="P854" s="314"/>
      <c r="Q854" s="310"/>
      <c r="R854" s="314" t="str" cm="1">
        <f t="array" ref="R854">IFERROR(IF(INDEX('Disaggregation Records'!$G$156:$G$517,MATCH(RIGHT(L854,255),RIGHT('Disaggregation Records'!$D$156:$D$517,255),0))="","",INDEX('Disaggregation Records'!$G$156:$G$517,MATCH(RIGHT(L854,255),RIGHT('Disaggregation Records'!$D$156:$D$517,255),0))),"")</f>
        <v/>
      </c>
    </row>
    <row r="855" spans="1:18" ht="20.100000000000001" customHeight="1">
      <c r="A855" s="126" t="str">
        <f t="shared" ca="1" si="992"/>
        <v>a16Dm000000M3s4IAC</v>
      </c>
      <c r="B855" s="570">
        <v>6</v>
      </c>
      <c r="C855" s="572" t="str">
        <f ca="1">IFERROR(VLOOKUP(B855,'Coverage Indicators - Section D'!$A$9:$AO$94,41,FALSE),"")</f>
        <v>TBP-1 Number of people in contact with TB patients who began preventive therapy</v>
      </c>
      <c r="D855" s="574" t="str">
        <f ca="1">M855</f>
        <v/>
      </c>
      <c r="E855" s="574" t="str">
        <f ca="1">N855</f>
        <v/>
      </c>
      <c r="F855" s="127"/>
      <c r="G855" s="576" t="str">
        <f ca="1">IF(OR(INDIRECT("'update Helper'!E"&amp;Q855)="",F855&lt;&gt;0,F856&lt;&gt;0),IF(IFERROR((F855/F856),"")="","",(F855/F856)),INDIRECT("'update Helper'!E"&amp;Q855)/100)</f>
        <v/>
      </c>
      <c r="H855" s="539"/>
      <c r="I855" s="578"/>
      <c r="J855" s="532"/>
      <c r="K855" s="126">
        <f ca="1">IF(AND(EXACT(C855,C853),C853&lt;&gt;0),K853+1,0)</f>
        <v>17</v>
      </c>
      <c r="L855" s="126" t="str">
        <f t="shared" ref="L855" ca="1" si="1029">IF(C855&lt;&gt;"",C855&amp;"-"&amp;K855,"")</f>
        <v>TBP-1 Number of people in contact with TB patients who began preventive therapy-17</v>
      </c>
      <c r="M855" s="126" t="str">
        <f t="array" aca="1" ref="M855" ca="1">IFERROR(IF(INDEX('Disaggregation Records'!$E$156:$E$517,MATCH(RIGHT(L855,255),RIGHT('Disaggregation Records'!$D$156:$D$517,255),0))="","",INDEX('Disaggregation Records'!$E$156:$E$517,MATCH(RIGHT(L855,255),RIGHT('Disaggregation Records'!$D$156:$D$517,255),0))),"")</f>
        <v/>
      </c>
      <c r="N855" s="126" t="str">
        <f t="array" aca="1" ref="N855" ca="1">IFERROR(IF(INDEX('Disaggregation Records'!$F$156:$F$517,MATCH(RIGHT(L855,255),RIGHT('Disaggregation Records'!$D$156:$D$517,255),0))="","",INDEX('Disaggregation Records'!$F$156:$F$517,MATCH(RIGHT(L855,255),RIGHT('Disaggregation Records'!$D$156:$D$517,255),0))),"")</f>
        <v/>
      </c>
      <c r="O855" s="314" t="str">
        <f t="array" aca="1" ref="O855" ca="1">IFERROR(IF(INDEX('Disaggregation Records'!$H$156:$H$517,MATCH(RIGHT(L855,255),RIGHT('Disaggregation Records'!$D$156:$D$517,255),0))="","",INDEX('Disaggregation Records'!$H$156:$H$517,MATCH(RIGHT(L855,255),RIGHT('Disaggregation Records'!$D$156:$D$517,255),0))),"")</f>
        <v/>
      </c>
      <c r="P855" s="310"/>
      <c r="Q855" s="310">
        <f t="shared" ref="Q855" si="1030">Q853+1</f>
        <v>1729</v>
      </c>
      <c r="R855" s="314" t="str" cm="1">
        <f t="array" aca="1" ref="R855" ca="1">IFERROR(IF(INDEX('Disaggregation Records'!$G$156:$G$517,MATCH(RIGHT(L855,255),RIGHT('Disaggregation Records'!$D$156:$D$517,255),0))="","",INDEX('Disaggregation Records'!$G$156:$G$517,MATCH(RIGHT(L855,255),RIGHT('Disaggregation Records'!$D$156:$D$517,255),0))),"")</f>
        <v/>
      </c>
    </row>
    <row r="856" spans="1:18" ht="20.100000000000001" customHeight="1">
      <c r="B856" s="571"/>
      <c r="C856" s="573"/>
      <c r="D856" s="575"/>
      <c r="E856" s="575"/>
      <c r="F856" s="128"/>
      <c r="G856" s="577"/>
      <c r="H856" s="540"/>
      <c r="I856" s="579"/>
      <c r="J856" s="533"/>
      <c r="L856" s="126"/>
      <c r="N856" s="126"/>
      <c r="O856" s="314"/>
      <c r="P856" s="310"/>
      <c r="Q856" s="310"/>
      <c r="R856" s="314" t="str" cm="1">
        <f t="array" ref="R856">IFERROR(IF(INDEX('Disaggregation Records'!$G$156:$G$517,MATCH(RIGHT(L856,255),RIGHT('Disaggregation Records'!$D$156:$D$517,255),0))="","",INDEX('Disaggregation Records'!$G$156:$G$517,MATCH(RIGHT(L856,255),RIGHT('Disaggregation Records'!$D$156:$D$517,255),0))),"")</f>
        <v/>
      </c>
    </row>
    <row r="857" spans="1:18" ht="20.100000000000001" customHeight="1">
      <c r="A857" s="126" t="str">
        <f t="shared" ca="1" si="989"/>
        <v>a16Dm000000M3s5IAC</v>
      </c>
      <c r="B857" s="570">
        <v>6</v>
      </c>
      <c r="C857" s="572" t="str">
        <f ca="1">IFERROR(VLOOKUP(B857,'Coverage Indicators - Section D'!$A$9:$AO$94,41,FALSE),"")</f>
        <v>TBP-1 Number of people in contact with TB patients who began preventive therapy</v>
      </c>
      <c r="D857" s="574" t="str">
        <f ca="1">M857</f>
        <v/>
      </c>
      <c r="E857" s="574" t="str">
        <f ca="1">N857</f>
        <v/>
      </c>
      <c r="F857" s="127"/>
      <c r="G857" s="576" t="str">
        <f ca="1">IF(OR(INDIRECT("'update Helper'!E"&amp;Q857)="",F857&lt;&gt;0,F858&lt;&gt;0),IF(IFERROR((F857/F858),"")="","",(F857/F858)),INDIRECT("'update Helper'!E"&amp;Q857)/100)</f>
        <v/>
      </c>
      <c r="H857" s="539"/>
      <c r="I857" s="578"/>
      <c r="J857" s="532"/>
      <c r="K857" s="126">
        <f ca="1">IF(AND(EXACT(C857,C855),C855&lt;&gt;0),K855+1,0)</f>
        <v>18</v>
      </c>
      <c r="L857" s="126" t="str">
        <f t="shared" ref="L857" ca="1" si="1031">IF(C857&lt;&gt;"",C857&amp;"-"&amp;K857,"")</f>
        <v>TBP-1 Number of people in contact with TB patients who began preventive therapy-18</v>
      </c>
      <c r="M857" s="126" t="str">
        <f t="array" aca="1" ref="M857" ca="1">IFERROR(IF(INDEX('Disaggregation Records'!$E$156:$E$517,MATCH(RIGHT(L857,255),RIGHT('Disaggregation Records'!$D$156:$D$517,255),0))="","",INDEX('Disaggregation Records'!$E$156:$E$517,MATCH(RIGHT(L857,255),RIGHT('Disaggregation Records'!$D$156:$D$517,255),0))),"")</f>
        <v/>
      </c>
      <c r="N857" s="126" t="str">
        <f t="array" aca="1" ref="N857" ca="1">IFERROR(IF(INDEX('Disaggregation Records'!$F$156:$F$517,MATCH(RIGHT(L857,255),RIGHT('Disaggregation Records'!$D$156:$D$517,255),0))="","",INDEX('Disaggregation Records'!$F$156:$F$517,MATCH(RIGHT(L857,255),RIGHT('Disaggregation Records'!$D$156:$D$517,255),0))),"")</f>
        <v/>
      </c>
      <c r="O857" s="314" t="str">
        <f t="array" aca="1" ref="O857" ca="1">IFERROR(IF(INDEX('Disaggregation Records'!$H$156:$H$517,MATCH(RIGHT(L857,255),RIGHT('Disaggregation Records'!$D$156:$D$517,255),0))="","",INDEX('Disaggregation Records'!$H$156:$H$517,MATCH(RIGHT(L857,255),RIGHT('Disaggregation Records'!$D$156:$D$517,255),0))),"")</f>
        <v/>
      </c>
      <c r="P857" s="310"/>
      <c r="Q857" s="310">
        <f t="shared" ref="Q857" si="1032">Q855+1</f>
        <v>1730</v>
      </c>
      <c r="R857" s="314" t="str" cm="1">
        <f t="array" aca="1" ref="R857" ca="1">IFERROR(IF(INDEX('Disaggregation Records'!$G$156:$G$517,MATCH(RIGHT(L857,255),RIGHT('Disaggregation Records'!$D$156:$D$517,255),0))="","",INDEX('Disaggregation Records'!$G$156:$G$517,MATCH(RIGHT(L857,255),RIGHT('Disaggregation Records'!$D$156:$D$517,255),0))),"")</f>
        <v/>
      </c>
    </row>
    <row r="858" spans="1:18" ht="20.100000000000001" customHeight="1">
      <c r="A858" s="126"/>
      <c r="B858" s="571"/>
      <c r="C858" s="573"/>
      <c r="D858" s="575"/>
      <c r="E858" s="575"/>
      <c r="F858" s="128"/>
      <c r="G858" s="577"/>
      <c r="H858" s="540"/>
      <c r="I858" s="579"/>
      <c r="J858" s="533"/>
      <c r="L858" s="126"/>
      <c r="N858" s="126"/>
      <c r="O858" s="314"/>
      <c r="P858" s="310"/>
      <c r="Q858" s="310"/>
      <c r="R858" s="314" t="str" cm="1">
        <f t="array" ref="R858">IFERROR(IF(INDEX('Disaggregation Records'!$G$156:$G$517,MATCH(RIGHT(L858,255),RIGHT('Disaggregation Records'!$D$156:$D$517,255),0))="","",INDEX('Disaggregation Records'!$G$156:$G$517,MATCH(RIGHT(L858,255),RIGHT('Disaggregation Records'!$D$156:$D$517,255),0))),"")</f>
        <v/>
      </c>
    </row>
    <row r="859" spans="1:18" ht="20.100000000000001" customHeight="1">
      <c r="A859" s="126" t="str">
        <f t="shared" ca="1" si="992"/>
        <v>a16Dm000000M3s6IAC</v>
      </c>
      <c r="B859" s="570">
        <v>6</v>
      </c>
      <c r="C859" s="572" t="str">
        <f ca="1">IFERROR(VLOOKUP(B859,'Coverage Indicators - Section D'!$A$9:$AO$94,41,FALSE),"")</f>
        <v>TBP-1 Number of people in contact with TB patients who began preventive therapy</v>
      </c>
      <c r="D859" s="574" t="str">
        <f ca="1">M859</f>
        <v/>
      </c>
      <c r="E859" s="574" t="str">
        <f ca="1">N859</f>
        <v/>
      </c>
      <c r="F859" s="127"/>
      <c r="G859" s="576" t="str">
        <f ca="1">IF(OR(INDIRECT("'update Helper'!E"&amp;Q859)="",F859&lt;&gt;0,F860&lt;&gt;0),IF(IFERROR((F859/F860),"")="","",(F859/F860)),INDIRECT("'update Helper'!E"&amp;Q859)/100)</f>
        <v/>
      </c>
      <c r="H859" s="539"/>
      <c r="I859" s="578"/>
      <c r="J859" s="532"/>
      <c r="K859" s="126">
        <f ca="1">IF(AND(EXACT(C859,C857),C857&lt;&gt;0),K857+1,0)</f>
        <v>19</v>
      </c>
      <c r="L859" s="126" t="str">
        <f t="shared" ref="L859" ca="1" si="1033">IF(C859&lt;&gt;"",C859&amp;"-"&amp;K859,"")</f>
        <v>TBP-1 Number of people in contact with TB patients who began preventive therapy-19</v>
      </c>
      <c r="M859" s="126" t="str">
        <f t="array" aca="1" ref="M859" ca="1">IFERROR(IF(INDEX('Disaggregation Records'!$E$156:$E$517,MATCH(RIGHT(L859,255),RIGHT('Disaggregation Records'!$D$156:$D$517,255),0))="","",INDEX('Disaggregation Records'!$E$156:$E$517,MATCH(RIGHT(L859,255),RIGHT('Disaggregation Records'!$D$156:$D$517,255),0))),"")</f>
        <v/>
      </c>
      <c r="N859" s="126" t="str">
        <f t="array" aca="1" ref="N859" ca="1">IFERROR(IF(INDEX('Disaggregation Records'!$F$156:$F$517,MATCH(RIGHT(L859,255),RIGHT('Disaggregation Records'!$D$156:$D$517,255),0))="","",INDEX('Disaggregation Records'!$F$156:$F$517,MATCH(RIGHT(L859,255),RIGHT('Disaggregation Records'!$D$156:$D$517,255),0))),"")</f>
        <v/>
      </c>
      <c r="O859" s="314" t="str">
        <f t="array" aca="1" ref="O859" ca="1">IFERROR(IF(INDEX('Disaggregation Records'!$H$156:$H$517,MATCH(RIGHT(L859,255),RIGHT('Disaggregation Records'!$D$156:$D$517,255),0))="","",INDEX('Disaggregation Records'!$H$156:$H$517,MATCH(RIGHT(L859,255),RIGHT('Disaggregation Records'!$D$156:$D$517,255),0))),"")</f>
        <v/>
      </c>
      <c r="P859" s="310"/>
      <c r="Q859" s="310">
        <f t="shared" ref="Q859" si="1034">Q857+1</f>
        <v>1731</v>
      </c>
      <c r="R859" s="314" t="str" cm="1">
        <f t="array" aca="1" ref="R859" ca="1">IFERROR(IF(INDEX('Disaggregation Records'!$G$156:$G$517,MATCH(RIGHT(L859,255),RIGHT('Disaggregation Records'!$D$156:$D$517,255),0))="","",INDEX('Disaggregation Records'!$G$156:$G$517,MATCH(RIGHT(L859,255),RIGHT('Disaggregation Records'!$D$156:$D$517,255),0))),"")</f>
        <v/>
      </c>
    </row>
    <row r="860" spans="1:18" ht="20.100000000000001" customHeight="1">
      <c r="B860" s="571"/>
      <c r="C860" s="573"/>
      <c r="D860" s="575"/>
      <c r="E860" s="575"/>
      <c r="F860" s="128"/>
      <c r="G860" s="577"/>
      <c r="H860" s="540"/>
      <c r="I860" s="579"/>
      <c r="J860" s="533"/>
      <c r="L860" s="126"/>
      <c r="N860" s="126"/>
      <c r="O860" s="314"/>
      <c r="P860" s="310"/>
      <c r="Q860" s="310"/>
      <c r="R860" s="314" t="str" cm="1">
        <f t="array" ref="R860">IFERROR(IF(INDEX('Disaggregation Records'!$G$156:$G$517,MATCH(RIGHT(L860,255),RIGHT('Disaggregation Records'!$D$156:$D$517,255),0))="","",INDEX('Disaggregation Records'!$G$156:$G$517,MATCH(RIGHT(L860,255),RIGHT('Disaggregation Records'!$D$156:$D$517,255),0))),"")</f>
        <v/>
      </c>
    </row>
    <row r="861" spans="1:18" ht="20.100000000000001" customHeight="1">
      <c r="A861" s="126" t="str">
        <f t="shared" ca="1" si="989"/>
        <v>a16Dm000000M3s7IAC</v>
      </c>
      <c r="B861" s="570">
        <v>7</v>
      </c>
      <c r="C861" s="572" t="str">
        <f ca="1">IFERROR(VLOOKUP(B861,'Coverage Indicators - Section D'!$A$9:$AO$94,41,FALSE),"")</f>
        <v>KVP-1 Number of people with TB (all forms) notified among prisoners; *includes only those with new and relapse TB</v>
      </c>
      <c r="D861" s="574" t="str">
        <f ca="1">M861</f>
        <v/>
      </c>
      <c r="E861" s="574" t="str">
        <f ca="1">N861</f>
        <v/>
      </c>
      <c r="F861" s="127"/>
      <c r="G861" s="576" t="str">
        <f ca="1">IF(OR(INDIRECT("'update Helper'!E"&amp;Q861)="",F861&lt;&gt;0,F862&lt;&gt;0),IF(IFERROR((F861/F862),"")="","",(F861/F862)),INDIRECT("'update Helper'!E"&amp;Q861)/100)</f>
        <v/>
      </c>
      <c r="H861" s="539"/>
      <c r="I861" s="578"/>
      <c r="J861" s="532"/>
      <c r="K861" s="126">
        <f ca="1">IF(AND(EXACT(C861,C859),C859&lt;&gt;0),K859+1,0)</f>
        <v>0</v>
      </c>
      <c r="L861" s="126" t="str">
        <f t="shared" ref="L861" ca="1" si="1035">IF(C861&lt;&gt;"",C861&amp;"-"&amp;K861,"")</f>
        <v>KVP-1 Number of people with TB (all forms) notified among prisoners; *includes only those with new and relapse TB-0</v>
      </c>
      <c r="M861" s="126" t="str">
        <f t="array" aca="1" ref="M861" ca="1">IFERROR(IF(INDEX('Disaggregation Records'!$E$156:$E$517,MATCH(RIGHT(L861,255),RIGHT('Disaggregation Records'!$D$156:$D$517,255),0))="","",INDEX('Disaggregation Records'!$E$156:$E$517,MATCH(RIGHT(L861,255),RIGHT('Disaggregation Records'!$D$156:$D$517,255),0))),"")</f>
        <v/>
      </c>
      <c r="N861" s="126" t="str">
        <f t="array" aca="1" ref="N861" ca="1">IFERROR(IF(INDEX('Disaggregation Records'!$F$156:$F$517,MATCH(RIGHT(L861,255),RIGHT('Disaggregation Records'!$D$156:$D$517,255),0))="","",INDEX('Disaggregation Records'!$F$156:$F$517,MATCH(RIGHT(L861,255),RIGHT('Disaggregation Records'!$D$156:$D$517,255),0))),"")</f>
        <v/>
      </c>
      <c r="O861" s="314" t="str">
        <f t="array" aca="1" ref="O861" ca="1">IFERROR(IF(INDEX('Disaggregation Records'!$H$156:$H$517,MATCH(RIGHT(L861,255),RIGHT('Disaggregation Records'!$D$156:$D$517,255),0))="","",INDEX('Disaggregation Records'!$H$156:$H$517,MATCH(RIGHT(L861,255),RIGHT('Disaggregation Records'!$D$156:$D$517,255),0))),"")</f>
        <v/>
      </c>
      <c r="P861" s="314"/>
      <c r="Q861" s="310">
        <f t="shared" ref="Q861" si="1036">Q859+1</f>
        <v>1732</v>
      </c>
      <c r="R861" s="314" t="str" cm="1">
        <f t="array" aca="1" ref="R861" ca="1">IFERROR(IF(INDEX('Disaggregation Records'!$G$156:$G$517,MATCH(RIGHT(L861,255),RIGHT('Disaggregation Records'!$D$156:$D$517,255),0))="","",INDEX('Disaggregation Records'!$G$156:$G$517,MATCH(RIGHT(L861,255),RIGHT('Disaggregation Records'!$D$156:$D$517,255),0))),"")</f>
        <v/>
      </c>
    </row>
    <row r="862" spans="1:18" ht="20.100000000000001" customHeight="1">
      <c r="A862" s="126"/>
      <c r="B862" s="571"/>
      <c r="C862" s="573"/>
      <c r="D862" s="575"/>
      <c r="E862" s="575"/>
      <c r="F862" s="128"/>
      <c r="G862" s="577"/>
      <c r="H862" s="540"/>
      <c r="I862" s="579"/>
      <c r="J862" s="533"/>
      <c r="K862" s="126"/>
      <c r="L862" s="126"/>
      <c r="M862" s="126"/>
      <c r="N862" s="126"/>
      <c r="O862" s="314"/>
      <c r="P862" s="314"/>
      <c r="Q862" s="310"/>
      <c r="R862" s="314" t="str" cm="1">
        <f t="array" ref="R862">IFERROR(IF(INDEX('Disaggregation Records'!$G$156:$G$517,MATCH(RIGHT(L862,255),RIGHT('Disaggregation Records'!$D$156:$D$517,255),0))="","",INDEX('Disaggregation Records'!$G$156:$G$517,MATCH(RIGHT(L862,255),RIGHT('Disaggregation Records'!$D$156:$D$517,255),0))),"")</f>
        <v/>
      </c>
    </row>
    <row r="863" spans="1:18" ht="20.100000000000001" customHeight="1">
      <c r="A863" s="126" t="str">
        <f t="shared" ca="1" si="992"/>
        <v>a16Dm000000M3s8IAC</v>
      </c>
      <c r="B863" s="570">
        <v>7</v>
      </c>
      <c r="C863" s="572" t="str">
        <f ca="1">IFERROR(VLOOKUP(B863,'Coverage Indicators - Section D'!$A$9:$AO$94,41,FALSE),"")</f>
        <v>KVP-1 Number of people with TB (all forms) notified among prisoners; *includes only those with new and relapse TB</v>
      </c>
      <c r="D863" s="574" t="str">
        <f ca="1">M863</f>
        <v/>
      </c>
      <c r="E863" s="574" t="str">
        <f ca="1">N863</f>
        <v/>
      </c>
      <c r="F863" s="127"/>
      <c r="G863" s="576" t="str">
        <f ca="1">IF(OR(INDIRECT("'update Helper'!E"&amp;Q863)="",F863&lt;&gt;0,F864&lt;&gt;0),IF(IFERROR((F863/F864),"")="","",(F863/F864)),INDIRECT("'update Helper'!E"&amp;Q863)/100)</f>
        <v/>
      </c>
      <c r="H863" s="539"/>
      <c r="I863" s="578"/>
      <c r="J863" s="532"/>
      <c r="K863" s="126">
        <f ca="1">IF(AND(EXACT(C863,C861),C861&lt;&gt;0),K861+1,0)</f>
        <v>1</v>
      </c>
      <c r="L863" s="126" t="str">
        <f t="shared" ref="L863" ca="1" si="1037">IF(C863&lt;&gt;"",C863&amp;"-"&amp;K863,"")</f>
        <v>KVP-1 Number of people with TB (all forms) notified among prisoners; *includes only those with new and relapse TB-1</v>
      </c>
      <c r="M863" s="126" t="str">
        <f t="array" aca="1" ref="M863" ca="1">IFERROR(IF(INDEX('Disaggregation Records'!$E$156:$E$517,MATCH(RIGHT(L863,255),RIGHT('Disaggregation Records'!$D$156:$D$517,255),0))="","",INDEX('Disaggregation Records'!$E$156:$E$517,MATCH(RIGHT(L863,255),RIGHT('Disaggregation Records'!$D$156:$D$517,255),0))),"")</f>
        <v/>
      </c>
      <c r="N863" s="126" t="str">
        <f t="array" aca="1" ref="N863" ca="1">IFERROR(IF(INDEX('Disaggregation Records'!$F$156:$F$517,MATCH(RIGHT(L863,255),RIGHT('Disaggregation Records'!$D$156:$D$517,255),0))="","",INDEX('Disaggregation Records'!$F$156:$F$517,MATCH(RIGHT(L863,255),RIGHT('Disaggregation Records'!$D$156:$D$517,255),0))),"")</f>
        <v/>
      </c>
      <c r="O863" s="314" t="str">
        <f t="array" aca="1" ref="O863" ca="1">IFERROR(IF(INDEX('Disaggregation Records'!$H$156:$H$517,MATCH(RIGHT(L863,255),RIGHT('Disaggregation Records'!$D$156:$D$517,255),0))="","",INDEX('Disaggregation Records'!$H$156:$H$517,MATCH(RIGHT(L863,255),RIGHT('Disaggregation Records'!$D$156:$D$517,255),0))),"")</f>
        <v/>
      </c>
      <c r="P863" s="314"/>
      <c r="Q863" s="310">
        <f t="shared" ref="Q863" si="1038">Q861+1</f>
        <v>1733</v>
      </c>
      <c r="R863" s="314" t="str" cm="1">
        <f t="array" aca="1" ref="R863" ca="1">IFERROR(IF(INDEX('Disaggregation Records'!$G$156:$G$517,MATCH(RIGHT(L863,255),RIGHT('Disaggregation Records'!$D$156:$D$517,255),0))="","",INDEX('Disaggregation Records'!$G$156:$G$517,MATCH(RIGHT(L863,255),RIGHT('Disaggregation Records'!$D$156:$D$517,255),0))),"")</f>
        <v/>
      </c>
    </row>
    <row r="864" spans="1:18" ht="20.100000000000001" customHeight="1">
      <c r="B864" s="571"/>
      <c r="C864" s="573"/>
      <c r="D864" s="575"/>
      <c r="E864" s="575"/>
      <c r="F864" s="128"/>
      <c r="G864" s="577"/>
      <c r="H864" s="540"/>
      <c r="I864" s="579"/>
      <c r="J864" s="533"/>
      <c r="K864" s="126"/>
      <c r="L864" s="126"/>
      <c r="M864" s="126"/>
      <c r="N864" s="126"/>
      <c r="O864" s="314"/>
      <c r="P864" s="314"/>
      <c r="Q864" s="310"/>
      <c r="R864" s="314" t="str" cm="1">
        <f t="array" ref="R864">IFERROR(IF(INDEX('Disaggregation Records'!$G$156:$G$517,MATCH(RIGHT(L864,255),RIGHT('Disaggregation Records'!$D$156:$D$517,255),0))="","",INDEX('Disaggregation Records'!$G$156:$G$517,MATCH(RIGHT(L864,255),RIGHT('Disaggregation Records'!$D$156:$D$517,255),0))),"")</f>
        <v/>
      </c>
    </row>
    <row r="865" spans="1:18" ht="20.100000000000001" customHeight="1">
      <c r="A865" s="126" t="str">
        <f t="shared" ca="1" si="989"/>
        <v>a16Dm000000M3s9IAC</v>
      </c>
      <c r="B865" s="570">
        <v>7</v>
      </c>
      <c r="C865" s="572" t="str">
        <f ca="1">IFERROR(VLOOKUP(B865,'Coverage Indicators - Section D'!$A$9:$AO$94,41,FALSE),"")</f>
        <v>KVP-1 Number of people with TB (all forms) notified among prisoners; *includes only those with new and relapse TB</v>
      </c>
      <c r="D865" s="574" t="str">
        <f ca="1">M865</f>
        <v/>
      </c>
      <c r="E865" s="574" t="str">
        <f ca="1">N865</f>
        <v/>
      </c>
      <c r="F865" s="127"/>
      <c r="G865" s="576" t="str">
        <f ca="1">IF(OR(INDIRECT("'update Helper'!E"&amp;Q865)="",F865&lt;&gt;0,F866&lt;&gt;0),IF(IFERROR((F865/F866),"")="","",(F865/F866)),INDIRECT("'update Helper'!E"&amp;Q865)/100)</f>
        <v/>
      </c>
      <c r="H865" s="539"/>
      <c r="I865" s="578"/>
      <c r="J865" s="532"/>
      <c r="K865" s="126">
        <f ca="1">IF(AND(EXACT(C865,C863),C863&lt;&gt;0),K863+1,0)</f>
        <v>2</v>
      </c>
      <c r="L865" s="126" t="str">
        <f t="shared" ref="L865" ca="1" si="1039">IF(C865&lt;&gt;"",C865&amp;"-"&amp;K865,"")</f>
        <v>KVP-1 Number of people with TB (all forms) notified among prisoners; *includes only those with new and relapse TB-2</v>
      </c>
      <c r="M865" s="126" t="str">
        <f t="array" aca="1" ref="M865" ca="1">IFERROR(IF(INDEX('Disaggregation Records'!$E$156:$E$517,MATCH(RIGHT(L865,255),RIGHT('Disaggregation Records'!$D$156:$D$517,255),0))="","",INDEX('Disaggregation Records'!$E$156:$E$517,MATCH(RIGHT(L865,255),RIGHT('Disaggregation Records'!$D$156:$D$517,255),0))),"")</f>
        <v/>
      </c>
      <c r="N865" s="126" t="str">
        <f t="array" aca="1" ref="N865" ca="1">IFERROR(IF(INDEX('Disaggregation Records'!$F$156:$F$517,MATCH(RIGHT(L865,255),RIGHT('Disaggregation Records'!$D$156:$D$517,255),0))="","",INDEX('Disaggregation Records'!$F$156:$F$517,MATCH(RIGHT(L865,255),RIGHT('Disaggregation Records'!$D$156:$D$517,255),0))),"")</f>
        <v/>
      </c>
      <c r="O865" s="314" t="str">
        <f t="array" aca="1" ref="O865" ca="1">IFERROR(IF(INDEX('Disaggregation Records'!$H$156:$H$517,MATCH(RIGHT(L865,255),RIGHT('Disaggregation Records'!$D$156:$D$517,255),0))="","",INDEX('Disaggregation Records'!$H$156:$H$517,MATCH(RIGHT(L865,255),RIGHT('Disaggregation Records'!$D$156:$D$517,255),0))),"")</f>
        <v/>
      </c>
      <c r="P865" s="310"/>
      <c r="Q865" s="310">
        <f t="shared" ref="Q865" si="1040">Q863+1</f>
        <v>1734</v>
      </c>
      <c r="R865" s="314" t="str" cm="1">
        <f t="array" aca="1" ref="R865" ca="1">IFERROR(IF(INDEX('Disaggregation Records'!$G$156:$G$517,MATCH(RIGHT(L865,255),RIGHT('Disaggregation Records'!$D$156:$D$517,255),0))="","",INDEX('Disaggregation Records'!$G$156:$G$517,MATCH(RIGHT(L865,255),RIGHT('Disaggregation Records'!$D$156:$D$517,255),0))),"")</f>
        <v/>
      </c>
    </row>
    <row r="866" spans="1:18" ht="20.100000000000001" customHeight="1">
      <c r="A866" s="126"/>
      <c r="B866" s="571"/>
      <c r="C866" s="573"/>
      <c r="D866" s="575"/>
      <c r="E866" s="575"/>
      <c r="F866" s="128"/>
      <c r="G866" s="577"/>
      <c r="H866" s="540"/>
      <c r="I866" s="579"/>
      <c r="J866" s="533"/>
      <c r="L866" s="126"/>
      <c r="N866" s="126"/>
      <c r="O866" s="314"/>
      <c r="P866" s="310"/>
      <c r="Q866" s="310"/>
      <c r="R866" s="314" t="str" cm="1">
        <f t="array" ref="R866">IFERROR(IF(INDEX('Disaggregation Records'!$G$156:$G$517,MATCH(RIGHT(L866,255),RIGHT('Disaggregation Records'!$D$156:$D$517,255),0))="","",INDEX('Disaggregation Records'!$G$156:$G$517,MATCH(RIGHT(L866,255),RIGHT('Disaggregation Records'!$D$156:$D$517,255),0))),"")</f>
        <v/>
      </c>
    </row>
    <row r="867" spans="1:18" ht="20.100000000000001" customHeight="1">
      <c r="A867" s="126" t="str">
        <f t="shared" ca="1" si="992"/>
        <v>a16Dm000000M3sAIAS</v>
      </c>
      <c r="B867" s="570">
        <v>7</v>
      </c>
      <c r="C867" s="572" t="str">
        <f ca="1">IFERROR(VLOOKUP(B867,'Coverage Indicators - Section D'!$A$9:$AO$94,41,FALSE),"")</f>
        <v>KVP-1 Number of people with TB (all forms) notified among prisoners; *includes only those with new and relapse TB</v>
      </c>
      <c r="D867" s="574" t="str">
        <f ca="1">M867</f>
        <v/>
      </c>
      <c r="E867" s="574" t="str">
        <f ca="1">N867</f>
        <v/>
      </c>
      <c r="F867" s="127"/>
      <c r="G867" s="576" t="str">
        <f ca="1">IF(OR(INDIRECT("'update Helper'!E"&amp;Q867)="",F867&lt;&gt;0,F868&lt;&gt;0),IF(IFERROR((F867/F868),"")="","",(F867/F868)),INDIRECT("'update Helper'!E"&amp;Q867)/100)</f>
        <v/>
      </c>
      <c r="H867" s="539"/>
      <c r="I867" s="578"/>
      <c r="J867" s="532"/>
      <c r="K867" s="126">
        <f ca="1">IF(AND(EXACT(C867,C865),C865&lt;&gt;0),K865+1,0)</f>
        <v>3</v>
      </c>
      <c r="L867" s="126" t="str">
        <f t="shared" ref="L867" ca="1" si="1041">IF(C867&lt;&gt;"",C867&amp;"-"&amp;K867,"")</f>
        <v>KVP-1 Number of people with TB (all forms) notified among prisoners; *includes only those with new and relapse TB-3</v>
      </c>
      <c r="M867" s="126" t="str">
        <f t="array" aca="1" ref="M867" ca="1">IFERROR(IF(INDEX('Disaggregation Records'!$E$156:$E$517,MATCH(RIGHT(L867,255),RIGHT('Disaggregation Records'!$D$156:$D$517,255),0))="","",INDEX('Disaggregation Records'!$E$156:$E$517,MATCH(RIGHT(L867,255),RIGHT('Disaggregation Records'!$D$156:$D$517,255),0))),"")</f>
        <v/>
      </c>
      <c r="N867" s="126" t="str">
        <f t="array" aca="1" ref="N867" ca="1">IFERROR(IF(INDEX('Disaggregation Records'!$F$156:$F$517,MATCH(RIGHT(L867,255),RIGHT('Disaggregation Records'!$D$156:$D$517,255),0))="","",INDEX('Disaggregation Records'!$F$156:$F$517,MATCH(RIGHT(L867,255),RIGHT('Disaggregation Records'!$D$156:$D$517,255),0))),"")</f>
        <v/>
      </c>
      <c r="O867" s="314" t="str">
        <f t="array" aca="1" ref="O867" ca="1">IFERROR(IF(INDEX('Disaggregation Records'!$H$156:$H$517,MATCH(RIGHT(L867,255),RIGHT('Disaggregation Records'!$D$156:$D$517,255),0))="","",INDEX('Disaggregation Records'!$H$156:$H$517,MATCH(RIGHT(L867,255),RIGHT('Disaggregation Records'!$D$156:$D$517,255),0))),"")</f>
        <v/>
      </c>
      <c r="P867" s="310"/>
      <c r="Q867" s="310">
        <f t="shared" ref="Q867" si="1042">Q865+1</f>
        <v>1735</v>
      </c>
      <c r="R867" s="314" t="str" cm="1">
        <f t="array" aca="1" ref="R867" ca="1">IFERROR(IF(INDEX('Disaggregation Records'!$G$156:$G$517,MATCH(RIGHT(L867,255),RIGHT('Disaggregation Records'!$D$156:$D$517,255),0))="","",INDEX('Disaggregation Records'!$G$156:$G$517,MATCH(RIGHT(L867,255),RIGHT('Disaggregation Records'!$D$156:$D$517,255),0))),"")</f>
        <v/>
      </c>
    </row>
    <row r="868" spans="1:18" ht="20.100000000000001" customHeight="1">
      <c r="B868" s="571"/>
      <c r="C868" s="573"/>
      <c r="D868" s="575"/>
      <c r="E868" s="575"/>
      <c r="F868" s="128"/>
      <c r="G868" s="577"/>
      <c r="H868" s="540"/>
      <c r="I868" s="579"/>
      <c r="J868" s="533"/>
      <c r="L868" s="126"/>
      <c r="N868" s="126"/>
      <c r="O868" s="314"/>
      <c r="P868" s="310"/>
      <c r="Q868" s="310"/>
      <c r="R868" s="314" t="str" cm="1">
        <f t="array" ref="R868">IFERROR(IF(INDEX('Disaggregation Records'!$G$156:$G$517,MATCH(RIGHT(L868,255),RIGHT('Disaggregation Records'!$D$156:$D$517,255),0))="","",INDEX('Disaggregation Records'!$G$156:$G$517,MATCH(RIGHT(L868,255),RIGHT('Disaggregation Records'!$D$156:$D$517,255),0))),"")</f>
        <v/>
      </c>
    </row>
    <row r="869" spans="1:18" ht="20.100000000000001" customHeight="1">
      <c r="A869" s="126" t="str">
        <f t="shared" ca="1" si="989"/>
        <v>a16Dm000000M3sBIAS</v>
      </c>
      <c r="B869" s="570">
        <v>7</v>
      </c>
      <c r="C869" s="572" t="str">
        <f ca="1">IFERROR(VLOOKUP(B869,'Coverage Indicators - Section D'!$A$9:$AO$94,41,FALSE),"")</f>
        <v>KVP-1 Number of people with TB (all forms) notified among prisoners; *includes only those with new and relapse TB</v>
      </c>
      <c r="D869" s="574" t="str">
        <f ca="1">M869</f>
        <v/>
      </c>
      <c r="E869" s="574" t="str">
        <f ca="1">N869</f>
        <v/>
      </c>
      <c r="F869" s="127"/>
      <c r="G869" s="576" t="str">
        <f ca="1">IF(OR(INDIRECT("'update Helper'!E"&amp;Q869)="",F869&lt;&gt;0,F870&lt;&gt;0),IF(IFERROR((F869/F870),"")="","",(F869/F870)),INDIRECT("'update Helper'!E"&amp;Q869)/100)</f>
        <v/>
      </c>
      <c r="H869" s="539"/>
      <c r="I869" s="578"/>
      <c r="J869" s="532"/>
      <c r="K869" s="126">
        <f ca="1">IF(AND(EXACT(C869,C867),C867&lt;&gt;0),K867+1,0)</f>
        <v>4</v>
      </c>
      <c r="L869" s="126" t="str">
        <f t="shared" ref="L869" ca="1" si="1043">IF(C869&lt;&gt;"",C869&amp;"-"&amp;K869,"")</f>
        <v>KVP-1 Number of people with TB (all forms) notified among prisoners; *includes only those with new and relapse TB-4</v>
      </c>
      <c r="M869" s="126" t="str">
        <f t="array" aca="1" ref="M869" ca="1">IFERROR(IF(INDEX('Disaggregation Records'!$E$156:$E$517,MATCH(RIGHT(L869,255),RIGHT('Disaggregation Records'!$D$156:$D$517,255),0))="","",INDEX('Disaggregation Records'!$E$156:$E$517,MATCH(RIGHT(L869,255),RIGHT('Disaggregation Records'!$D$156:$D$517,255),0))),"")</f>
        <v/>
      </c>
      <c r="N869" s="126" t="str">
        <f t="array" aca="1" ref="N869" ca="1">IFERROR(IF(INDEX('Disaggregation Records'!$F$156:$F$517,MATCH(RIGHT(L869,255),RIGHT('Disaggregation Records'!$D$156:$D$517,255),0))="","",INDEX('Disaggregation Records'!$F$156:$F$517,MATCH(RIGHT(L869,255),RIGHT('Disaggregation Records'!$D$156:$D$517,255),0))),"")</f>
        <v/>
      </c>
      <c r="O869" s="314" t="str">
        <f t="array" aca="1" ref="O869" ca="1">IFERROR(IF(INDEX('Disaggregation Records'!$H$156:$H$517,MATCH(RIGHT(L869,255),RIGHT('Disaggregation Records'!$D$156:$D$517,255),0))="","",INDEX('Disaggregation Records'!$H$156:$H$517,MATCH(RIGHT(L869,255),RIGHT('Disaggregation Records'!$D$156:$D$517,255),0))),"")</f>
        <v/>
      </c>
      <c r="P869" s="310"/>
      <c r="Q869" s="310">
        <f t="shared" ref="Q869" si="1044">Q867+1</f>
        <v>1736</v>
      </c>
      <c r="R869" s="314" t="str" cm="1">
        <f t="array" aca="1" ref="R869" ca="1">IFERROR(IF(INDEX('Disaggregation Records'!$G$156:$G$517,MATCH(RIGHT(L869,255),RIGHT('Disaggregation Records'!$D$156:$D$517,255),0))="","",INDEX('Disaggregation Records'!$G$156:$G$517,MATCH(RIGHT(L869,255),RIGHT('Disaggregation Records'!$D$156:$D$517,255),0))),"")</f>
        <v/>
      </c>
    </row>
    <row r="870" spans="1:18" ht="20.100000000000001" customHeight="1">
      <c r="A870" s="126"/>
      <c r="B870" s="571"/>
      <c r="C870" s="573"/>
      <c r="D870" s="575"/>
      <c r="E870" s="575"/>
      <c r="F870" s="128"/>
      <c r="G870" s="577"/>
      <c r="H870" s="540"/>
      <c r="I870" s="579"/>
      <c r="J870" s="533"/>
      <c r="L870" s="126"/>
      <c r="N870" s="126"/>
      <c r="O870" s="314"/>
      <c r="P870" s="310"/>
      <c r="Q870" s="310"/>
      <c r="R870" s="314" t="str" cm="1">
        <f t="array" ref="R870">IFERROR(IF(INDEX('Disaggregation Records'!$G$156:$G$517,MATCH(RIGHT(L870,255),RIGHT('Disaggregation Records'!$D$156:$D$517,255),0))="","",INDEX('Disaggregation Records'!$G$156:$G$517,MATCH(RIGHT(L870,255),RIGHT('Disaggregation Records'!$D$156:$D$517,255),0))),"")</f>
        <v/>
      </c>
    </row>
    <row r="871" spans="1:18" ht="20.100000000000001" customHeight="1">
      <c r="A871" s="126" t="str">
        <f t="shared" ca="1" si="992"/>
        <v>a16Dm000000M3sCIAS</v>
      </c>
      <c r="B871" s="570">
        <v>7</v>
      </c>
      <c r="C871" s="572" t="str">
        <f ca="1">IFERROR(VLOOKUP(B871,'Coverage Indicators - Section D'!$A$9:$AO$94,41,FALSE),"")</f>
        <v>KVP-1 Number of people with TB (all forms) notified among prisoners; *includes only those with new and relapse TB</v>
      </c>
      <c r="D871" s="574" t="str">
        <f ca="1">M871</f>
        <v/>
      </c>
      <c r="E871" s="574" t="str">
        <f ca="1">N871</f>
        <v/>
      </c>
      <c r="F871" s="127"/>
      <c r="G871" s="576" t="str">
        <f ca="1">IF(OR(INDIRECT("'update Helper'!E"&amp;Q871)="",F871&lt;&gt;0,F872&lt;&gt;0),IF(IFERROR((F871/F872),"")="","",(F871/F872)),INDIRECT("'update Helper'!E"&amp;Q871)/100)</f>
        <v/>
      </c>
      <c r="H871" s="539"/>
      <c r="I871" s="578"/>
      <c r="J871" s="532"/>
      <c r="K871" s="126">
        <f ca="1">IF(AND(EXACT(C871,C869),C869&lt;&gt;0),K869+1,0)</f>
        <v>5</v>
      </c>
      <c r="L871" s="126" t="str">
        <f t="shared" ref="L871" ca="1" si="1045">IF(C871&lt;&gt;"",C871&amp;"-"&amp;K871,"")</f>
        <v>KVP-1 Number of people with TB (all forms) notified among prisoners; *includes only those with new and relapse TB-5</v>
      </c>
      <c r="M871" s="126" t="str">
        <f t="array" aca="1" ref="M871" ca="1">IFERROR(IF(INDEX('Disaggregation Records'!$E$156:$E$517,MATCH(RIGHT(L871,255),RIGHT('Disaggregation Records'!$D$156:$D$517,255),0))="","",INDEX('Disaggregation Records'!$E$156:$E$517,MATCH(RIGHT(L871,255),RIGHT('Disaggregation Records'!$D$156:$D$517,255),0))),"")</f>
        <v/>
      </c>
      <c r="N871" s="126" t="str">
        <f t="array" aca="1" ref="N871" ca="1">IFERROR(IF(INDEX('Disaggregation Records'!$F$156:$F$517,MATCH(RIGHT(L871,255),RIGHT('Disaggregation Records'!$D$156:$D$517,255),0))="","",INDEX('Disaggregation Records'!$F$156:$F$517,MATCH(RIGHT(L871,255),RIGHT('Disaggregation Records'!$D$156:$D$517,255),0))),"")</f>
        <v/>
      </c>
      <c r="O871" s="314" t="str">
        <f t="array" aca="1" ref="O871" ca="1">IFERROR(IF(INDEX('Disaggregation Records'!$H$156:$H$517,MATCH(RIGHT(L871,255),RIGHT('Disaggregation Records'!$D$156:$D$517,255),0))="","",INDEX('Disaggregation Records'!$H$156:$H$517,MATCH(RIGHT(L871,255),RIGHT('Disaggregation Records'!$D$156:$D$517,255),0))),"")</f>
        <v/>
      </c>
      <c r="P871" s="314"/>
      <c r="Q871" s="310">
        <f t="shared" ref="Q871" si="1046">Q869+1</f>
        <v>1737</v>
      </c>
      <c r="R871" s="314" t="str" cm="1">
        <f t="array" aca="1" ref="R871" ca="1">IFERROR(IF(INDEX('Disaggregation Records'!$G$156:$G$517,MATCH(RIGHT(L871,255),RIGHT('Disaggregation Records'!$D$156:$D$517,255),0))="","",INDEX('Disaggregation Records'!$G$156:$G$517,MATCH(RIGHT(L871,255),RIGHT('Disaggregation Records'!$D$156:$D$517,255),0))),"")</f>
        <v/>
      </c>
    </row>
    <row r="872" spans="1:18" ht="20.100000000000001" customHeight="1">
      <c r="B872" s="571"/>
      <c r="C872" s="573"/>
      <c r="D872" s="575"/>
      <c r="E872" s="575"/>
      <c r="F872" s="128"/>
      <c r="G872" s="577"/>
      <c r="H872" s="540"/>
      <c r="I872" s="579"/>
      <c r="J872" s="533"/>
      <c r="K872" s="126"/>
      <c r="L872" s="126"/>
      <c r="M872" s="126"/>
      <c r="N872" s="126"/>
      <c r="O872" s="314"/>
      <c r="P872" s="314"/>
      <c r="Q872" s="310"/>
      <c r="R872" s="314" t="str" cm="1">
        <f t="array" ref="R872">IFERROR(IF(INDEX('Disaggregation Records'!$G$156:$G$517,MATCH(RIGHT(L872,255),RIGHT('Disaggregation Records'!$D$156:$D$517,255),0))="","",INDEX('Disaggregation Records'!$G$156:$G$517,MATCH(RIGHT(L872,255),RIGHT('Disaggregation Records'!$D$156:$D$517,255),0))),"")</f>
        <v/>
      </c>
    </row>
    <row r="873" spans="1:18" ht="20.100000000000001" customHeight="1">
      <c r="A873" s="126" t="str">
        <f t="shared" ca="1" si="989"/>
        <v>a16Dm000000M3sDIAS</v>
      </c>
      <c r="B873" s="570">
        <v>7</v>
      </c>
      <c r="C873" s="572" t="str">
        <f ca="1">IFERROR(VLOOKUP(B873,'Coverage Indicators - Section D'!$A$9:$AO$94,41,FALSE),"")</f>
        <v>KVP-1 Number of people with TB (all forms) notified among prisoners; *includes only those with new and relapse TB</v>
      </c>
      <c r="D873" s="574" t="str">
        <f ca="1">M873</f>
        <v/>
      </c>
      <c r="E873" s="574" t="str">
        <f ca="1">N873</f>
        <v/>
      </c>
      <c r="F873" s="127"/>
      <c r="G873" s="576" t="str">
        <f ca="1">IF(OR(INDIRECT("'update Helper'!E"&amp;Q873)="",F873&lt;&gt;0,F874&lt;&gt;0),IF(IFERROR((F873/F874),"")="","",(F873/F874)),INDIRECT("'update Helper'!E"&amp;Q873)/100)</f>
        <v/>
      </c>
      <c r="H873" s="539"/>
      <c r="I873" s="578"/>
      <c r="J873" s="532"/>
      <c r="K873" s="126">
        <f ca="1">IF(AND(EXACT(C873,C871),C871&lt;&gt;0),K871+1,0)</f>
        <v>6</v>
      </c>
      <c r="L873" s="126" t="str">
        <f t="shared" ref="L873" ca="1" si="1047">IF(C873&lt;&gt;"",C873&amp;"-"&amp;K873,"")</f>
        <v>KVP-1 Number of people with TB (all forms) notified among prisoners; *includes only those with new and relapse TB-6</v>
      </c>
      <c r="M873" s="126" t="str">
        <f t="array" aca="1" ref="M873" ca="1">IFERROR(IF(INDEX('Disaggregation Records'!$E$156:$E$517,MATCH(RIGHT(L873,255),RIGHT('Disaggregation Records'!$D$156:$D$517,255),0))="","",INDEX('Disaggregation Records'!$E$156:$E$517,MATCH(RIGHT(L873,255),RIGHT('Disaggregation Records'!$D$156:$D$517,255),0))),"")</f>
        <v/>
      </c>
      <c r="N873" s="126" t="str">
        <f t="array" aca="1" ref="N873" ca="1">IFERROR(IF(INDEX('Disaggregation Records'!$F$156:$F$517,MATCH(RIGHT(L873,255),RIGHT('Disaggregation Records'!$D$156:$D$517,255),0))="","",INDEX('Disaggregation Records'!$F$156:$F$517,MATCH(RIGHT(L873,255),RIGHT('Disaggregation Records'!$D$156:$D$517,255),0))),"")</f>
        <v/>
      </c>
      <c r="O873" s="314" t="str">
        <f t="array" aca="1" ref="O873" ca="1">IFERROR(IF(INDEX('Disaggregation Records'!$H$156:$H$517,MATCH(RIGHT(L873,255),RIGHT('Disaggregation Records'!$D$156:$D$517,255),0))="","",INDEX('Disaggregation Records'!$H$156:$H$517,MATCH(RIGHT(L873,255),RIGHT('Disaggregation Records'!$D$156:$D$517,255),0))),"")</f>
        <v/>
      </c>
      <c r="P873" s="314"/>
      <c r="Q873" s="310">
        <f t="shared" ref="Q873" si="1048">Q871+1</f>
        <v>1738</v>
      </c>
      <c r="R873" s="314" t="str" cm="1">
        <f t="array" aca="1" ref="R873" ca="1">IFERROR(IF(INDEX('Disaggregation Records'!$G$156:$G$517,MATCH(RIGHT(L873,255),RIGHT('Disaggregation Records'!$D$156:$D$517,255),0))="","",INDEX('Disaggregation Records'!$G$156:$G$517,MATCH(RIGHT(L873,255),RIGHT('Disaggregation Records'!$D$156:$D$517,255),0))),"")</f>
        <v/>
      </c>
    </row>
    <row r="874" spans="1:18" ht="20.100000000000001" customHeight="1">
      <c r="A874" s="126"/>
      <c r="B874" s="571"/>
      <c r="C874" s="573"/>
      <c r="D874" s="575"/>
      <c r="E874" s="575"/>
      <c r="F874" s="128"/>
      <c r="G874" s="577"/>
      <c r="H874" s="540"/>
      <c r="I874" s="579"/>
      <c r="J874" s="533"/>
      <c r="K874" s="126"/>
      <c r="L874" s="126"/>
      <c r="M874" s="126"/>
      <c r="N874" s="126"/>
      <c r="O874" s="314"/>
      <c r="P874" s="314"/>
      <c r="Q874" s="310"/>
      <c r="R874" s="314" t="str" cm="1">
        <f t="array" ref="R874">IFERROR(IF(INDEX('Disaggregation Records'!$G$156:$G$517,MATCH(RIGHT(L874,255),RIGHT('Disaggregation Records'!$D$156:$D$517,255),0))="","",INDEX('Disaggregation Records'!$G$156:$G$517,MATCH(RIGHT(L874,255),RIGHT('Disaggregation Records'!$D$156:$D$517,255),0))),"")</f>
        <v/>
      </c>
    </row>
    <row r="875" spans="1:18" ht="20.100000000000001" customHeight="1">
      <c r="A875" s="126" t="str">
        <f t="shared" ca="1" si="992"/>
        <v>a16Dm000000M3sEIAS</v>
      </c>
      <c r="B875" s="570">
        <v>7</v>
      </c>
      <c r="C875" s="572" t="str">
        <f ca="1">IFERROR(VLOOKUP(B875,'Coverage Indicators - Section D'!$A$9:$AO$94,41,FALSE),"")</f>
        <v>KVP-1 Number of people with TB (all forms) notified among prisoners; *includes only those with new and relapse TB</v>
      </c>
      <c r="D875" s="574" t="str">
        <f ca="1">M875</f>
        <v/>
      </c>
      <c r="E875" s="574" t="str">
        <f ca="1">N875</f>
        <v/>
      </c>
      <c r="F875" s="127"/>
      <c r="G875" s="576" t="str">
        <f ca="1">IF(OR(INDIRECT("'update Helper'!E"&amp;Q875)="",F875&lt;&gt;0,F876&lt;&gt;0),IF(IFERROR((F875/F876),"")="","",(F875/F876)),INDIRECT("'update Helper'!E"&amp;Q875)/100)</f>
        <v/>
      </c>
      <c r="H875" s="539"/>
      <c r="I875" s="578"/>
      <c r="J875" s="532"/>
      <c r="K875" s="126">
        <f ca="1">IF(AND(EXACT(C875,C873),C873&lt;&gt;0),K873+1,0)</f>
        <v>7</v>
      </c>
      <c r="L875" s="126" t="str">
        <f t="shared" ref="L875" ca="1" si="1049">IF(C875&lt;&gt;"",C875&amp;"-"&amp;K875,"")</f>
        <v>KVP-1 Number of people with TB (all forms) notified among prisoners; *includes only those with new and relapse TB-7</v>
      </c>
      <c r="M875" s="126" t="str">
        <f t="array" aca="1" ref="M875" ca="1">IFERROR(IF(INDEX('Disaggregation Records'!$E$156:$E$517,MATCH(RIGHT(L875,255),RIGHT('Disaggregation Records'!$D$156:$D$517,255),0))="","",INDEX('Disaggregation Records'!$E$156:$E$517,MATCH(RIGHT(L875,255),RIGHT('Disaggregation Records'!$D$156:$D$517,255),0))),"")</f>
        <v/>
      </c>
      <c r="N875" s="126" t="str">
        <f t="array" aca="1" ref="N875" ca="1">IFERROR(IF(INDEX('Disaggregation Records'!$F$156:$F$517,MATCH(RIGHT(L875,255),RIGHT('Disaggregation Records'!$D$156:$D$517,255),0))="","",INDEX('Disaggregation Records'!$F$156:$F$517,MATCH(RIGHT(L875,255),RIGHT('Disaggregation Records'!$D$156:$D$517,255),0))),"")</f>
        <v/>
      </c>
      <c r="O875" s="314" t="str">
        <f t="array" aca="1" ref="O875" ca="1">IFERROR(IF(INDEX('Disaggregation Records'!$H$156:$H$517,MATCH(RIGHT(L875,255),RIGHT('Disaggregation Records'!$D$156:$D$517,255),0))="","",INDEX('Disaggregation Records'!$H$156:$H$517,MATCH(RIGHT(L875,255),RIGHT('Disaggregation Records'!$D$156:$D$517,255),0))),"")</f>
        <v/>
      </c>
      <c r="P875" s="310"/>
      <c r="Q875" s="310">
        <f t="shared" ref="Q875" si="1050">Q873+1</f>
        <v>1739</v>
      </c>
      <c r="R875" s="314" t="str" cm="1">
        <f t="array" aca="1" ref="R875" ca="1">IFERROR(IF(INDEX('Disaggregation Records'!$G$156:$G$517,MATCH(RIGHT(L875,255),RIGHT('Disaggregation Records'!$D$156:$D$517,255),0))="","",INDEX('Disaggregation Records'!$G$156:$G$517,MATCH(RIGHT(L875,255),RIGHT('Disaggregation Records'!$D$156:$D$517,255),0))),"")</f>
        <v/>
      </c>
    </row>
    <row r="876" spans="1:18" ht="20.100000000000001" customHeight="1">
      <c r="B876" s="571"/>
      <c r="C876" s="573"/>
      <c r="D876" s="575"/>
      <c r="E876" s="575"/>
      <c r="F876" s="128"/>
      <c r="G876" s="577"/>
      <c r="H876" s="540"/>
      <c r="I876" s="579"/>
      <c r="J876" s="533"/>
      <c r="L876" s="126"/>
      <c r="N876" s="126"/>
      <c r="O876" s="314"/>
      <c r="P876" s="310"/>
      <c r="Q876" s="310"/>
      <c r="R876" s="314" t="str" cm="1">
        <f t="array" ref="R876">IFERROR(IF(INDEX('Disaggregation Records'!$G$156:$G$517,MATCH(RIGHT(L876,255),RIGHT('Disaggregation Records'!$D$156:$D$517,255),0))="","",INDEX('Disaggregation Records'!$G$156:$G$517,MATCH(RIGHT(L876,255),RIGHT('Disaggregation Records'!$D$156:$D$517,255),0))),"")</f>
        <v/>
      </c>
    </row>
    <row r="877" spans="1:18" ht="20.100000000000001" customHeight="1">
      <c r="A877" s="126" t="str">
        <f t="shared" ca="1" si="989"/>
        <v>a16Dm000000M3sFIAS</v>
      </c>
      <c r="B877" s="570">
        <v>7</v>
      </c>
      <c r="C877" s="572" t="str">
        <f ca="1">IFERROR(VLOOKUP(B877,'Coverage Indicators - Section D'!$A$9:$AO$94,41,FALSE),"")</f>
        <v>KVP-1 Number of people with TB (all forms) notified among prisoners; *includes only those with new and relapse TB</v>
      </c>
      <c r="D877" s="574" t="str">
        <f ca="1">M877</f>
        <v/>
      </c>
      <c r="E877" s="574" t="str">
        <f ca="1">N877</f>
        <v/>
      </c>
      <c r="F877" s="127"/>
      <c r="G877" s="576" t="str">
        <f ca="1">IF(OR(INDIRECT("'update Helper'!E"&amp;Q877)="",F877&lt;&gt;0,F878&lt;&gt;0),IF(IFERROR((F877/F878),"")="","",(F877/F878)),INDIRECT("'update Helper'!E"&amp;Q877)/100)</f>
        <v/>
      </c>
      <c r="H877" s="539"/>
      <c r="I877" s="578"/>
      <c r="J877" s="532"/>
      <c r="K877" s="126">
        <f ca="1">IF(AND(EXACT(C877,C875),C875&lt;&gt;0),K875+1,0)</f>
        <v>8</v>
      </c>
      <c r="L877" s="126" t="str">
        <f t="shared" ref="L877" ca="1" si="1051">IF(C877&lt;&gt;"",C877&amp;"-"&amp;K877,"")</f>
        <v>KVP-1 Number of people with TB (all forms) notified among prisoners; *includes only those with new and relapse TB-8</v>
      </c>
      <c r="M877" s="126" t="str">
        <f t="array" aca="1" ref="M877" ca="1">IFERROR(IF(INDEX('Disaggregation Records'!$E$156:$E$517,MATCH(RIGHT(L877,255),RIGHT('Disaggregation Records'!$D$156:$D$517,255),0))="","",INDEX('Disaggregation Records'!$E$156:$E$517,MATCH(RIGHT(L877,255),RIGHT('Disaggregation Records'!$D$156:$D$517,255),0))),"")</f>
        <v/>
      </c>
      <c r="N877" s="126" t="str">
        <f t="array" aca="1" ref="N877" ca="1">IFERROR(IF(INDEX('Disaggregation Records'!$F$156:$F$517,MATCH(RIGHT(L877,255),RIGHT('Disaggregation Records'!$D$156:$D$517,255),0))="","",INDEX('Disaggregation Records'!$F$156:$F$517,MATCH(RIGHT(L877,255),RIGHT('Disaggregation Records'!$D$156:$D$517,255),0))),"")</f>
        <v/>
      </c>
      <c r="O877" s="314" t="str">
        <f t="array" aca="1" ref="O877" ca="1">IFERROR(IF(INDEX('Disaggregation Records'!$H$156:$H$517,MATCH(RIGHT(L877,255),RIGHT('Disaggregation Records'!$D$156:$D$517,255),0))="","",INDEX('Disaggregation Records'!$H$156:$H$517,MATCH(RIGHT(L877,255),RIGHT('Disaggregation Records'!$D$156:$D$517,255),0))),"")</f>
        <v/>
      </c>
      <c r="P877" s="310"/>
      <c r="Q877" s="310">
        <f t="shared" ref="Q877" si="1052">Q875+1</f>
        <v>1740</v>
      </c>
      <c r="R877" s="314" t="str" cm="1">
        <f t="array" aca="1" ref="R877" ca="1">IFERROR(IF(INDEX('Disaggregation Records'!$G$156:$G$517,MATCH(RIGHT(L877,255),RIGHT('Disaggregation Records'!$D$156:$D$517,255),0))="","",INDEX('Disaggregation Records'!$G$156:$G$517,MATCH(RIGHT(L877,255),RIGHT('Disaggregation Records'!$D$156:$D$517,255),0))),"")</f>
        <v/>
      </c>
    </row>
    <row r="878" spans="1:18" ht="20.100000000000001" customHeight="1">
      <c r="A878" s="126"/>
      <c r="B878" s="571"/>
      <c r="C878" s="573"/>
      <c r="D878" s="575"/>
      <c r="E878" s="575"/>
      <c r="F878" s="128"/>
      <c r="G878" s="577"/>
      <c r="H878" s="540"/>
      <c r="I878" s="579"/>
      <c r="J878" s="533"/>
      <c r="L878" s="126"/>
      <c r="N878" s="126"/>
      <c r="O878" s="314"/>
      <c r="P878" s="310"/>
      <c r="Q878" s="310"/>
      <c r="R878" s="314" t="str" cm="1">
        <f t="array" ref="R878">IFERROR(IF(INDEX('Disaggregation Records'!$G$156:$G$517,MATCH(RIGHT(L878,255),RIGHT('Disaggregation Records'!$D$156:$D$517,255),0))="","",INDEX('Disaggregation Records'!$G$156:$G$517,MATCH(RIGHT(L878,255),RIGHT('Disaggregation Records'!$D$156:$D$517,255),0))),"")</f>
        <v/>
      </c>
    </row>
    <row r="879" spans="1:18" ht="20.100000000000001" customHeight="1">
      <c r="A879" s="126" t="str">
        <f t="shared" ca="1" si="992"/>
        <v>a16Dm000000M3sGIAS</v>
      </c>
      <c r="B879" s="570">
        <v>7</v>
      </c>
      <c r="C879" s="572" t="str">
        <f ca="1">IFERROR(VLOOKUP(B879,'Coverage Indicators - Section D'!$A$9:$AO$94,41,FALSE),"")</f>
        <v>KVP-1 Number of people with TB (all forms) notified among prisoners; *includes only those with new and relapse TB</v>
      </c>
      <c r="D879" s="574" t="str">
        <f ca="1">M879</f>
        <v/>
      </c>
      <c r="E879" s="574" t="str">
        <f ca="1">N879</f>
        <v/>
      </c>
      <c r="F879" s="127"/>
      <c r="G879" s="576" t="str">
        <f ca="1">IF(OR(INDIRECT("'update Helper'!E"&amp;Q879)="",F879&lt;&gt;0,F880&lt;&gt;0),IF(IFERROR((F879/F880),"")="","",(F879/F880)),INDIRECT("'update Helper'!E"&amp;Q879)/100)</f>
        <v/>
      </c>
      <c r="H879" s="539"/>
      <c r="I879" s="578"/>
      <c r="J879" s="532"/>
      <c r="K879" s="126">
        <f ca="1">IF(AND(EXACT(C879,C877),C877&lt;&gt;0),K877+1,0)</f>
        <v>9</v>
      </c>
      <c r="L879" s="126" t="str">
        <f t="shared" ref="L879" ca="1" si="1053">IF(C879&lt;&gt;"",C879&amp;"-"&amp;K879,"")</f>
        <v>KVP-1 Number of people with TB (all forms) notified among prisoners; *includes only those with new and relapse TB-9</v>
      </c>
      <c r="M879" s="126" t="str">
        <f t="array" aca="1" ref="M879" ca="1">IFERROR(IF(INDEX('Disaggregation Records'!$E$156:$E$517,MATCH(RIGHT(L879,255),RIGHT('Disaggregation Records'!$D$156:$D$517,255),0))="","",INDEX('Disaggregation Records'!$E$156:$E$517,MATCH(RIGHT(L879,255),RIGHT('Disaggregation Records'!$D$156:$D$517,255),0))),"")</f>
        <v/>
      </c>
      <c r="N879" s="126" t="str">
        <f t="array" aca="1" ref="N879" ca="1">IFERROR(IF(INDEX('Disaggregation Records'!$F$156:$F$517,MATCH(RIGHT(L879,255),RIGHT('Disaggregation Records'!$D$156:$D$517,255),0))="","",INDEX('Disaggregation Records'!$F$156:$F$517,MATCH(RIGHT(L879,255),RIGHT('Disaggregation Records'!$D$156:$D$517,255),0))),"")</f>
        <v/>
      </c>
      <c r="O879" s="314" t="str">
        <f t="array" aca="1" ref="O879" ca="1">IFERROR(IF(INDEX('Disaggregation Records'!$H$156:$H$517,MATCH(RIGHT(L879,255),RIGHT('Disaggregation Records'!$D$156:$D$517,255),0))="","",INDEX('Disaggregation Records'!$H$156:$H$517,MATCH(RIGHT(L879,255),RIGHT('Disaggregation Records'!$D$156:$D$517,255),0))),"")</f>
        <v/>
      </c>
      <c r="P879" s="310"/>
      <c r="Q879" s="310">
        <f t="shared" ref="Q879" si="1054">Q877+1</f>
        <v>1741</v>
      </c>
      <c r="R879" s="314" t="str" cm="1">
        <f t="array" aca="1" ref="R879" ca="1">IFERROR(IF(INDEX('Disaggregation Records'!$G$156:$G$517,MATCH(RIGHT(L879,255),RIGHT('Disaggregation Records'!$D$156:$D$517,255),0))="","",INDEX('Disaggregation Records'!$G$156:$G$517,MATCH(RIGHT(L879,255),RIGHT('Disaggregation Records'!$D$156:$D$517,255),0))),"")</f>
        <v/>
      </c>
    </row>
    <row r="880" spans="1:18" ht="20.100000000000001" customHeight="1">
      <c r="B880" s="571"/>
      <c r="C880" s="573"/>
      <c r="D880" s="575"/>
      <c r="E880" s="575"/>
      <c r="F880" s="128"/>
      <c r="G880" s="577"/>
      <c r="H880" s="540"/>
      <c r="I880" s="579"/>
      <c r="J880" s="533"/>
      <c r="L880" s="126"/>
      <c r="N880" s="126"/>
      <c r="O880" s="314"/>
      <c r="P880" s="310"/>
      <c r="Q880" s="310"/>
      <c r="R880" s="314" t="str" cm="1">
        <f t="array" ref="R880">IFERROR(IF(INDEX('Disaggregation Records'!$G$156:$G$517,MATCH(RIGHT(L880,255),RIGHT('Disaggregation Records'!$D$156:$D$517,255),0))="","",INDEX('Disaggregation Records'!$G$156:$G$517,MATCH(RIGHT(L880,255),RIGHT('Disaggregation Records'!$D$156:$D$517,255),0))),"")</f>
        <v/>
      </c>
    </row>
    <row r="881" spans="1:18" ht="20.100000000000001" customHeight="1">
      <c r="A881" s="126" t="str">
        <f t="shared" ref="A881:A941" ca="1" si="1055">INDIRECT("'update Helper'!C"&amp;Q881)</f>
        <v>a16Dm000000M3sHIAS</v>
      </c>
      <c r="B881" s="570">
        <v>7</v>
      </c>
      <c r="C881" s="572" t="str">
        <f ca="1">IFERROR(VLOOKUP(B881,'Coverage Indicators - Section D'!$A$9:$AO$94,41,FALSE),"")</f>
        <v>KVP-1 Number of people with TB (all forms) notified among prisoners; *includes only those with new and relapse TB</v>
      </c>
      <c r="D881" s="574" t="str">
        <f ca="1">M881</f>
        <v/>
      </c>
      <c r="E881" s="574" t="str">
        <f ca="1">N881</f>
        <v/>
      </c>
      <c r="F881" s="127"/>
      <c r="G881" s="576" t="str">
        <f ca="1">IF(OR(INDIRECT("'update Helper'!E"&amp;Q881)="",F881&lt;&gt;0,F882&lt;&gt;0),IF(IFERROR((F881/F882),"")="","",(F881/F882)),INDIRECT("'update Helper'!E"&amp;Q881)/100)</f>
        <v/>
      </c>
      <c r="H881" s="539"/>
      <c r="I881" s="578"/>
      <c r="J881" s="532"/>
      <c r="K881" s="126">
        <f ca="1">IF(AND(EXACT(C881,C879),C879&lt;&gt;0),K879+1,0)</f>
        <v>10</v>
      </c>
      <c r="L881" s="126" t="str">
        <f t="shared" ref="L881" ca="1" si="1056">IF(C881&lt;&gt;"",C881&amp;"-"&amp;K881,"")</f>
        <v>KVP-1 Number of people with TB (all forms) notified among prisoners; *includes only those with new and relapse TB-10</v>
      </c>
      <c r="M881" s="126" t="str">
        <f t="array" aca="1" ref="M881" ca="1">IFERROR(IF(INDEX('Disaggregation Records'!$E$156:$E$517,MATCH(RIGHT(L881,255),RIGHT('Disaggregation Records'!$D$156:$D$517,255),0))="","",INDEX('Disaggregation Records'!$E$156:$E$517,MATCH(RIGHT(L881,255),RIGHT('Disaggregation Records'!$D$156:$D$517,255),0))),"")</f>
        <v/>
      </c>
      <c r="N881" s="126" t="str">
        <f t="array" aca="1" ref="N881" ca="1">IFERROR(IF(INDEX('Disaggregation Records'!$F$156:$F$517,MATCH(RIGHT(L881,255),RIGHT('Disaggregation Records'!$D$156:$D$517,255),0))="","",INDEX('Disaggregation Records'!$F$156:$F$517,MATCH(RIGHT(L881,255),RIGHT('Disaggregation Records'!$D$156:$D$517,255),0))),"")</f>
        <v/>
      </c>
      <c r="O881" s="314" t="str">
        <f t="array" aca="1" ref="O881" ca="1">IFERROR(IF(INDEX('Disaggregation Records'!$H$156:$H$517,MATCH(RIGHT(L881,255),RIGHT('Disaggregation Records'!$D$156:$D$517,255),0))="","",INDEX('Disaggregation Records'!$H$156:$H$517,MATCH(RIGHT(L881,255),RIGHT('Disaggregation Records'!$D$156:$D$517,255),0))),"")</f>
        <v/>
      </c>
      <c r="P881" s="314"/>
      <c r="Q881" s="310">
        <f t="shared" ref="Q881" si="1057">Q879+1</f>
        <v>1742</v>
      </c>
      <c r="R881" s="314" t="str" cm="1">
        <f t="array" aca="1" ref="R881" ca="1">IFERROR(IF(INDEX('Disaggregation Records'!$G$156:$G$517,MATCH(RIGHT(L881,255),RIGHT('Disaggregation Records'!$D$156:$D$517,255),0))="","",INDEX('Disaggregation Records'!$G$156:$G$517,MATCH(RIGHT(L881,255),RIGHT('Disaggregation Records'!$D$156:$D$517,255),0))),"")</f>
        <v/>
      </c>
    </row>
    <row r="882" spans="1:18" ht="20.100000000000001" customHeight="1">
      <c r="A882" s="126"/>
      <c r="B882" s="571"/>
      <c r="C882" s="573"/>
      <c r="D882" s="575"/>
      <c r="E882" s="575"/>
      <c r="F882" s="128"/>
      <c r="G882" s="577"/>
      <c r="H882" s="540"/>
      <c r="I882" s="579"/>
      <c r="J882" s="533"/>
      <c r="K882" s="126"/>
      <c r="L882" s="126"/>
      <c r="M882" s="126"/>
      <c r="N882" s="126"/>
      <c r="O882" s="314"/>
      <c r="P882" s="314"/>
      <c r="Q882" s="310"/>
      <c r="R882" s="314" t="str" cm="1">
        <f t="array" ref="R882">IFERROR(IF(INDEX('Disaggregation Records'!$G$156:$G$517,MATCH(RIGHT(L882,255),RIGHT('Disaggregation Records'!$D$156:$D$517,255),0))="","",INDEX('Disaggregation Records'!$G$156:$G$517,MATCH(RIGHT(L882,255),RIGHT('Disaggregation Records'!$D$156:$D$517,255),0))),"")</f>
        <v/>
      </c>
    </row>
    <row r="883" spans="1:18" ht="20.100000000000001" customHeight="1">
      <c r="A883" s="126" t="str">
        <f t="shared" ref="A883:A943" ca="1" si="1058">INDIRECT("'update Helper'!C"&amp;Q883)</f>
        <v>a16Dm000000M3sIIAS</v>
      </c>
      <c r="B883" s="570">
        <v>7</v>
      </c>
      <c r="C883" s="572" t="str">
        <f ca="1">IFERROR(VLOOKUP(B883,'Coverage Indicators - Section D'!$A$9:$AO$94,41,FALSE),"")</f>
        <v>KVP-1 Number of people with TB (all forms) notified among prisoners; *includes only those with new and relapse TB</v>
      </c>
      <c r="D883" s="574" t="str">
        <f ca="1">M883</f>
        <v/>
      </c>
      <c r="E883" s="574" t="str">
        <f ca="1">N883</f>
        <v/>
      </c>
      <c r="F883" s="127"/>
      <c r="G883" s="576" t="str">
        <f ca="1">IF(OR(INDIRECT("'update Helper'!E"&amp;Q883)="",F883&lt;&gt;0,F884&lt;&gt;0),IF(IFERROR((F883/F884),"")="","",(F883/F884)),INDIRECT("'update Helper'!E"&amp;Q883)/100)</f>
        <v/>
      </c>
      <c r="H883" s="539"/>
      <c r="I883" s="578"/>
      <c r="J883" s="532"/>
      <c r="K883" s="126">
        <f ca="1">IF(AND(EXACT(C883,C881),C881&lt;&gt;0),K881+1,0)</f>
        <v>11</v>
      </c>
      <c r="L883" s="126" t="str">
        <f t="shared" ref="L883" ca="1" si="1059">IF(C883&lt;&gt;"",C883&amp;"-"&amp;K883,"")</f>
        <v>KVP-1 Number of people with TB (all forms) notified among prisoners; *includes only those with new and relapse TB-11</v>
      </c>
      <c r="M883" s="126" t="str">
        <f t="array" aca="1" ref="M883" ca="1">IFERROR(IF(INDEX('Disaggregation Records'!$E$156:$E$517,MATCH(RIGHT(L883,255),RIGHT('Disaggregation Records'!$D$156:$D$517,255),0))="","",INDEX('Disaggregation Records'!$E$156:$E$517,MATCH(RIGHT(L883,255),RIGHT('Disaggregation Records'!$D$156:$D$517,255),0))),"")</f>
        <v/>
      </c>
      <c r="N883" s="126" t="str">
        <f t="array" aca="1" ref="N883" ca="1">IFERROR(IF(INDEX('Disaggregation Records'!$F$156:$F$517,MATCH(RIGHT(L883,255),RIGHT('Disaggregation Records'!$D$156:$D$517,255),0))="","",INDEX('Disaggregation Records'!$F$156:$F$517,MATCH(RIGHT(L883,255),RIGHT('Disaggregation Records'!$D$156:$D$517,255),0))),"")</f>
        <v/>
      </c>
      <c r="O883" s="314" t="str">
        <f t="array" aca="1" ref="O883" ca="1">IFERROR(IF(INDEX('Disaggregation Records'!$H$156:$H$517,MATCH(RIGHT(L883,255),RIGHT('Disaggregation Records'!$D$156:$D$517,255),0))="","",INDEX('Disaggregation Records'!$H$156:$H$517,MATCH(RIGHT(L883,255),RIGHT('Disaggregation Records'!$D$156:$D$517,255),0))),"")</f>
        <v/>
      </c>
      <c r="P883" s="314"/>
      <c r="Q883" s="310">
        <f t="shared" ref="Q883" si="1060">Q881+1</f>
        <v>1743</v>
      </c>
      <c r="R883" s="314" t="str" cm="1">
        <f t="array" aca="1" ref="R883" ca="1">IFERROR(IF(INDEX('Disaggregation Records'!$G$156:$G$517,MATCH(RIGHT(L883,255),RIGHT('Disaggregation Records'!$D$156:$D$517,255),0))="","",INDEX('Disaggregation Records'!$G$156:$G$517,MATCH(RIGHT(L883,255),RIGHT('Disaggregation Records'!$D$156:$D$517,255),0))),"")</f>
        <v/>
      </c>
    </row>
    <row r="884" spans="1:18" ht="20.100000000000001" customHeight="1">
      <c r="B884" s="571"/>
      <c r="C884" s="573"/>
      <c r="D884" s="575"/>
      <c r="E884" s="575"/>
      <c r="F884" s="128"/>
      <c r="G884" s="577"/>
      <c r="H884" s="540"/>
      <c r="I884" s="579"/>
      <c r="J884" s="533"/>
      <c r="K884" s="126"/>
      <c r="L884" s="126"/>
      <c r="M884" s="126"/>
      <c r="N884" s="126"/>
      <c r="O884" s="314"/>
      <c r="P884" s="314"/>
      <c r="Q884" s="310"/>
      <c r="R884" s="314" t="str" cm="1">
        <f t="array" ref="R884">IFERROR(IF(INDEX('Disaggregation Records'!$G$156:$G$517,MATCH(RIGHT(L884,255),RIGHT('Disaggregation Records'!$D$156:$D$517,255),0))="","",INDEX('Disaggregation Records'!$G$156:$G$517,MATCH(RIGHT(L884,255),RIGHT('Disaggregation Records'!$D$156:$D$517,255),0))),"")</f>
        <v/>
      </c>
    </row>
    <row r="885" spans="1:18" ht="20.100000000000001" customHeight="1">
      <c r="A885" s="126" t="str">
        <f t="shared" ca="1" si="1055"/>
        <v>a16Dm000000M3sJIAS</v>
      </c>
      <c r="B885" s="570">
        <v>7</v>
      </c>
      <c r="C885" s="572" t="str">
        <f ca="1">IFERROR(VLOOKUP(B885,'Coverage Indicators - Section D'!$A$9:$AO$94,41,FALSE),"")</f>
        <v>KVP-1 Number of people with TB (all forms) notified among prisoners; *includes only those with new and relapse TB</v>
      </c>
      <c r="D885" s="574" t="str">
        <f ca="1">M885</f>
        <v/>
      </c>
      <c r="E885" s="574" t="str">
        <f ca="1">N885</f>
        <v/>
      </c>
      <c r="F885" s="127"/>
      <c r="G885" s="576" t="str">
        <f ca="1">IF(OR(INDIRECT("'update Helper'!E"&amp;Q885)="",F885&lt;&gt;0,F886&lt;&gt;0),IF(IFERROR((F885/F886),"")="","",(F885/F886)),INDIRECT("'update Helper'!E"&amp;Q885)/100)</f>
        <v/>
      </c>
      <c r="H885" s="539"/>
      <c r="I885" s="578"/>
      <c r="J885" s="532"/>
      <c r="K885" s="126">
        <f ca="1">IF(AND(EXACT(C885,C883),C883&lt;&gt;0),K883+1,0)</f>
        <v>12</v>
      </c>
      <c r="L885" s="126" t="str">
        <f t="shared" ref="L885" ca="1" si="1061">IF(C885&lt;&gt;"",C885&amp;"-"&amp;K885,"")</f>
        <v>KVP-1 Number of people with TB (all forms) notified among prisoners; *includes only those with new and relapse TB-12</v>
      </c>
      <c r="M885" s="126" t="str">
        <f t="array" aca="1" ref="M885" ca="1">IFERROR(IF(INDEX('Disaggregation Records'!$E$156:$E$517,MATCH(RIGHT(L885,255),RIGHT('Disaggregation Records'!$D$156:$D$517,255),0))="","",INDEX('Disaggregation Records'!$E$156:$E$517,MATCH(RIGHT(L885,255),RIGHT('Disaggregation Records'!$D$156:$D$517,255),0))),"")</f>
        <v/>
      </c>
      <c r="N885" s="126" t="str">
        <f t="array" aca="1" ref="N885" ca="1">IFERROR(IF(INDEX('Disaggregation Records'!$F$156:$F$517,MATCH(RIGHT(L885,255),RIGHT('Disaggregation Records'!$D$156:$D$517,255),0))="","",INDEX('Disaggregation Records'!$F$156:$F$517,MATCH(RIGHT(L885,255),RIGHT('Disaggregation Records'!$D$156:$D$517,255),0))),"")</f>
        <v/>
      </c>
      <c r="O885" s="314" t="str">
        <f t="array" aca="1" ref="O885" ca="1">IFERROR(IF(INDEX('Disaggregation Records'!$H$156:$H$517,MATCH(RIGHT(L885,255),RIGHT('Disaggregation Records'!$D$156:$D$517,255),0))="","",INDEX('Disaggregation Records'!$H$156:$H$517,MATCH(RIGHT(L885,255),RIGHT('Disaggregation Records'!$D$156:$D$517,255),0))),"")</f>
        <v/>
      </c>
      <c r="P885" s="310"/>
      <c r="Q885" s="310">
        <f t="shared" ref="Q885" si="1062">Q883+1</f>
        <v>1744</v>
      </c>
      <c r="R885" s="314" t="str" cm="1">
        <f t="array" aca="1" ref="R885" ca="1">IFERROR(IF(INDEX('Disaggregation Records'!$G$156:$G$517,MATCH(RIGHT(L885,255),RIGHT('Disaggregation Records'!$D$156:$D$517,255),0))="","",INDEX('Disaggregation Records'!$G$156:$G$517,MATCH(RIGHT(L885,255),RIGHT('Disaggregation Records'!$D$156:$D$517,255),0))),"")</f>
        <v/>
      </c>
    </row>
    <row r="886" spans="1:18" ht="20.100000000000001" customHeight="1">
      <c r="A886" s="126"/>
      <c r="B886" s="571"/>
      <c r="C886" s="573"/>
      <c r="D886" s="575"/>
      <c r="E886" s="575"/>
      <c r="F886" s="128"/>
      <c r="G886" s="577"/>
      <c r="H886" s="540"/>
      <c r="I886" s="579"/>
      <c r="J886" s="533"/>
      <c r="L886" s="126"/>
      <c r="N886" s="126"/>
      <c r="O886" s="314"/>
      <c r="P886" s="310"/>
      <c r="Q886" s="310"/>
      <c r="R886" s="314" t="str" cm="1">
        <f t="array" ref="R886">IFERROR(IF(INDEX('Disaggregation Records'!$G$156:$G$517,MATCH(RIGHT(L886,255),RIGHT('Disaggregation Records'!$D$156:$D$517,255),0))="","",INDEX('Disaggregation Records'!$G$156:$G$517,MATCH(RIGHT(L886,255),RIGHT('Disaggregation Records'!$D$156:$D$517,255),0))),"")</f>
        <v/>
      </c>
    </row>
    <row r="887" spans="1:18" ht="20.100000000000001" customHeight="1">
      <c r="A887" s="126" t="str">
        <f t="shared" ca="1" si="1058"/>
        <v>a16Dm000000M3sKIAS</v>
      </c>
      <c r="B887" s="570">
        <v>7</v>
      </c>
      <c r="C887" s="572" t="str">
        <f ca="1">IFERROR(VLOOKUP(B887,'Coverage Indicators - Section D'!$A$9:$AO$94,41,FALSE),"")</f>
        <v>KVP-1 Number of people with TB (all forms) notified among prisoners; *includes only those with new and relapse TB</v>
      </c>
      <c r="D887" s="574" t="str">
        <f ca="1">M887</f>
        <v/>
      </c>
      <c r="E887" s="574" t="str">
        <f ca="1">N887</f>
        <v/>
      </c>
      <c r="F887" s="127"/>
      <c r="G887" s="576" t="str">
        <f ca="1">IF(OR(INDIRECT("'update Helper'!E"&amp;Q887)="",F887&lt;&gt;0,F888&lt;&gt;0),IF(IFERROR((F887/F888),"")="","",(F887/F888)),INDIRECT("'update Helper'!E"&amp;Q887)/100)</f>
        <v/>
      </c>
      <c r="H887" s="539"/>
      <c r="I887" s="578"/>
      <c r="J887" s="532"/>
      <c r="K887" s="126">
        <f ca="1">IF(AND(EXACT(C887,C885),C885&lt;&gt;0),K885+1,0)</f>
        <v>13</v>
      </c>
      <c r="L887" s="126" t="str">
        <f t="shared" ref="L887" ca="1" si="1063">IF(C887&lt;&gt;"",C887&amp;"-"&amp;K887,"")</f>
        <v>KVP-1 Number of people with TB (all forms) notified among prisoners; *includes only those with new and relapse TB-13</v>
      </c>
      <c r="M887" s="126" t="str">
        <f t="array" aca="1" ref="M887" ca="1">IFERROR(IF(INDEX('Disaggregation Records'!$E$156:$E$517,MATCH(RIGHT(L887,255),RIGHT('Disaggregation Records'!$D$156:$D$517,255),0))="","",INDEX('Disaggregation Records'!$E$156:$E$517,MATCH(RIGHT(L887,255),RIGHT('Disaggregation Records'!$D$156:$D$517,255),0))),"")</f>
        <v/>
      </c>
      <c r="N887" s="126" t="str">
        <f t="array" aca="1" ref="N887" ca="1">IFERROR(IF(INDEX('Disaggregation Records'!$F$156:$F$517,MATCH(RIGHT(L887,255),RIGHT('Disaggregation Records'!$D$156:$D$517,255),0))="","",INDEX('Disaggregation Records'!$F$156:$F$517,MATCH(RIGHT(L887,255),RIGHT('Disaggregation Records'!$D$156:$D$517,255),0))),"")</f>
        <v/>
      </c>
      <c r="O887" s="314" t="str">
        <f t="array" aca="1" ref="O887" ca="1">IFERROR(IF(INDEX('Disaggregation Records'!$H$156:$H$517,MATCH(RIGHT(L887,255),RIGHT('Disaggregation Records'!$D$156:$D$517,255),0))="","",INDEX('Disaggregation Records'!$H$156:$H$517,MATCH(RIGHT(L887,255),RIGHT('Disaggregation Records'!$D$156:$D$517,255),0))),"")</f>
        <v/>
      </c>
      <c r="P887" s="310"/>
      <c r="Q887" s="310">
        <f t="shared" ref="Q887" si="1064">Q885+1</f>
        <v>1745</v>
      </c>
      <c r="R887" s="314" t="str" cm="1">
        <f t="array" aca="1" ref="R887" ca="1">IFERROR(IF(INDEX('Disaggregation Records'!$G$156:$G$517,MATCH(RIGHT(L887,255),RIGHT('Disaggregation Records'!$D$156:$D$517,255),0))="","",INDEX('Disaggregation Records'!$G$156:$G$517,MATCH(RIGHT(L887,255),RIGHT('Disaggregation Records'!$D$156:$D$517,255),0))),"")</f>
        <v/>
      </c>
    </row>
    <row r="888" spans="1:18" ht="20.100000000000001" customHeight="1">
      <c r="B888" s="571"/>
      <c r="C888" s="573"/>
      <c r="D888" s="575"/>
      <c r="E888" s="575"/>
      <c r="F888" s="128"/>
      <c r="G888" s="577"/>
      <c r="H888" s="540"/>
      <c r="I888" s="579"/>
      <c r="J888" s="533"/>
      <c r="L888" s="126"/>
      <c r="N888" s="126"/>
      <c r="O888" s="314"/>
      <c r="P888" s="310"/>
      <c r="Q888" s="310"/>
      <c r="R888" s="314" t="str" cm="1">
        <f t="array" ref="R888">IFERROR(IF(INDEX('Disaggregation Records'!$G$156:$G$517,MATCH(RIGHT(L888,255),RIGHT('Disaggregation Records'!$D$156:$D$517,255),0))="","",INDEX('Disaggregation Records'!$G$156:$G$517,MATCH(RIGHT(L888,255),RIGHT('Disaggregation Records'!$D$156:$D$517,255),0))),"")</f>
        <v/>
      </c>
    </row>
    <row r="889" spans="1:18" ht="20.100000000000001" customHeight="1">
      <c r="A889" s="126" t="str">
        <f t="shared" ca="1" si="1055"/>
        <v>a16Dm000000M3sLIAS</v>
      </c>
      <c r="B889" s="570">
        <v>7</v>
      </c>
      <c r="C889" s="572" t="str">
        <f ca="1">IFERROR(VLOOKUP(B889,'Coverage Indicators - Section D'!$A$9:$AO$94,41,FALSE),"")</f>
        <v>KVP-1 Number of people with TB (all forms) notified among prisoners; *includes only those with new and relapse TB</v>
      </c>
      <c r="D889" s="574" t="str">
        <f ca="1">M889</f>
        <v/>
      </c>
      <c r="E889" s="574" t="str">
        <f ca="1">N889</f>
        <v/>
      </c>
      <c r="F889" s="127"/>
      <c r="G889" s="576" t="str">
        <f ca="1">IF(OR(INDIRECT("'update Helper'!E"&amp;Q889)="",F889&lt;&gt;0,F890&lt;&gt;0),IF(IFERROR((F889/F890),"")="","",(F889/F890)),INDIRECT("'update Helper'!E"&amp;Q889)/100)</f>
        <v/>
      </c>
      <c r="H889" s="539"/>
      <c r="I889" s="578"/>
      <c r="J889" s="532"/>
      <c r="K889" s="126">
        <f ca="1">IF(AND(EXACT(C889,C887),C887&lt;&gt;0),K887+1,0)</f>
        <v>14</v>
      </c>
      <c r="L889" s="126" t="str">
        <f t="shared" ref="L889" ca="1" si="1065">IF(C889&lt;&gt;"",C889&amp;"-"&amp;K889,"")</f>
        <v>KVP-1 Number of people with TB (all forms) notified among prisoners; *includes only those with new and relapse TB-14</v>
      </c>
      <c r="M889" s="126" t="str">
        <f t="array" aca="1" ref="M889" ca="1">IFERROR(IF(INDEX('Disaggregation Records'!$E$156:$E$517,MATCH(RIGHT(L889,255),RIGHT('Disaggregation Records'!$D$156:$D$517,255),0))="","",INDEX('Disaggregation Records'!$E$156:$E$517,MATCH(RIGHT(L889,255),RIGHT('Disaggregation Records'!$D$156:$D$517,255),0))),"")</f>
        <v/>
      </c>
      <c r="N889" s="126" t="str">
        <f t="array" aca="1" ref="N889" ca="1">IFERROR(IF(INDEX('Disaggregation Records'!$F$156:$F$517,MATCH(RIGHT(L889,255),RIGHT('Disaggregation Records'!$D$156:$D$517,255),0))="","",INDEX('Disaggregation Records'!$F$156:$F$517,MATCH(RIGHT(L889,255),RIGHT('Disaggregation Records'!$D$156:$D$517,255),0))),"")</f>
        <v/>
      </c>
      <c r="O889" s="314" t="str">
        <f t="array" aca="1" ref="O889" ca="1">IFERROR(IF(INDEX('Disaggregation Records'!$H$156:$H$517,MATCH(RIGHT(L889,255),RIGHT('Disaggregation Records'!$D$156:$D$517,255),0))="","",INDEX('Disaggregation Records'!$H$156:$H$517,MATCH(RIGHT(L889,255),RIGHT('Disaggregation Records'!$D$156:$D$517,255),0))),"")</f>
        <v/>
      </c>
      <c r="P889" s="310"/>
      <c r="Q889" s="310">
        <f t="shared" ref="Q889" si="1066">Q887+1</f>
        <v>1746</v>
      </c>
      <c r="R889" s="314" t="str" cm="1">
        <f t="array" aca="1" ref="R889" ca="1">IFERROR(IF(INDEX('Disaggregation Records'!$G$156:$G$517,MATCH(RIGHT(L889,255),RIGHT('Disaggregation Records'!$D$156:$D$517,255),0))="","",INDEX('Disaggregation Records'!$G$156:$G$517,MATCH(RIGHT(L889,255),RIGHT('Disaggregation Records'!$D$156:$D$517,255),0))),"")</f>
        <v/>
      </c>
    </row>
    <row r="890" spans="1:18" ht="20.100000000000001" customHeight="1">
      <c r="A890" s="126"/>
      <c r="B890" s="571"/>
      <c r="C890" s="573"/>
      <c r="D890" s="575"/>
      <c r="E890" s="575"/>
      <c r="F890" s="128"/>
      <c r="G890" s="577"/>
      <c r="H890" s="540"/>
      <c r="I890" s="579"/>
      <c r="J890" s="533"/>
      <c r="L890" s="126"/>
      <c r="N890" s="126"/>
      <c r="O890" s="314"/>
      <c r="P890" s="310"/>
      <c r="Q890" s="310"/>
      <c r="R890" s="314" t="str" cm="1">
        <f t="array" ref="R890">IFERROR(IF(INDEX('Disaggregation Records'!$G$156:$G$517,MATCH(RIGHT(L890,255),RIGHT('Disaggregation Records'!$D$156:$D$517,255),0))="","",INDEX('Disaggregation Records'!$G$156:$G$517,MATCH(RIGHT(L890,255),RIGHT('Disaggregation Records'!$D$156:$D$517,255),0))),"")</f>
        <v/>
      </c>
    </row>
    <row r="891" spans="1:18" ht="20.100000000000001" customHeight="1">
      <c r="A891" s="126" t="str">
        <f t="shared" ca="1" si="1058"/>
        <v>a16Dm000000M3sMIAS</v>
      </c>
      <c r="B891" s="570">
        <v>7</v>
      </c>
      <c r="C891" s="572" t="str">
        <f ca="1">IFERROR(VLOOKUP(B891,'Coverage Indicators - Section D'!$A$9:$AO$94,41,FALSE),"")</f>
        <v>KVP-1 Number of people with TB (all forms) notified among prisoners; *includes only those with new and relapse TB</v>
      </c>
      <c r="D891" s="574" t="str">
        <f ca="1">M891</f>
        <v/>
      </c>
      <c r="E891" s="574" t="str">
        <f ca="1">N891</f>
        <v/>
      </c>
      <c r="F891" s="127"/>
      <c r="G891" s="576" t="str">
        <f ca="1">IF(OR(INDIRECT("'update Helper'!E"&amp;Q891)="",F891&lt;&gt;0,F892&lt;&gt;0),IF(IFERROR((F891/F892),"")="","",(F891/F892)),INDIRECT("'update Helper'!E"&amp;Q891)/100)</f>
        <v/>
      </c>
      <c r="H891" s="539"/>
      <c r="I891" s="578"/>
      <c r="J891" s="532"/>
      <c r="K891" s="126">
        <f ca="1">IF(AND(EXACT(C891,C889),C889&lt;&gt;0),K889+1,0)</f>
        <v>15</v>
      </c>
      <c r="L891" s="126" t="str">
        <f t="shared" ref="L891" ca="1" si="1067">IF(C891&lt;&gt;"",C891&amp;"-"&amp;K891,"")</f>
        <v>KVP-1 Number of people with TB (all forms) notified among prisoners; *includes only those with new and relapse TB-15</v>
      </c>
      <c r="M891" s="126" t="str">
        <f t="array" aca="1" ref="M891" ca="1">IFERROR(IF(INDEX('Disaggregation Records'!$E$156:$E$517,MATCH(RIGHT(L891,255),RIGHT('Disaggregation Records'!$D$156:$D$517,255),0))="","",INDEX('Disaggregation Records'!$E$156:$E$517,MATCH(RIGHT(L891,255),RIGHT('Disaggregation Records'!$D$156:$D$517,255),0))),"")</f>
        <v/>
      </c>
      <c r="N891" s="126" t="str">
        <f t="array" aca="1" ref="N891" ca="1">IFERROR(IF(INDEX('Disaggregation Records'!$F$156:$F$517,MATCH(RIGHT(L891,255),RIGHT('Disaggregation Records'!$D$156:$D$517,255),0))="","",INDEX('Disaggregation Records'!$F$156:$F$517,MATCH(RIGHT(L891,255),RIGHT('Disaggregation Records'!$D$156:$D$517,255),0))),"")</f>
        <v/>
      </c>
      <c r="O891" s="314" t="str">
        <f t="array" aca="1" ref="O891" ca="1">IFERROR(IF(INDEX('Disaggregation Records'!$H$156:$H$517,MATCH(RIGHT(L891,255),RIGHT('Disaggregation Records'!$D$156:$D$517,255),0))="","",INDEX('Disaggregation Records'!$H$156:$H$517,MATCH(RIGHT(L891,255),RIGHT('Disaggregation Records'!$D$156:$D$517,255),0))),"")</f>
        <v/>
      </c>
      <c r="P891" s="314"/>
      <c r="Q891" s="310">
        <f t="shared" ref="Q891" si="1068">Q889+1</f>
        <v>1747</v>
      </c>
      <c r="R891" s="314" t="str" cm="1">
        <f t="array" aca="1" ref="R891" ca="1">IFERROR(IF(INDEX('Disaggregation Records'!$G$156:$G$517,MATCH(RIGHT(L891,255),RIGHT('Disaggregation Records'!$D$156:$D$517,255),0))="","",INDEX('Disaggregation Records'!$G$156:$G$517,MATCH(RIGHT(L891,255),RIGHT('Disaggregation Records'!$D$156:$D$517,255),0))),"")</f>
        <v/>
      </c>
    </row>
    <row r="892" spans="1:18" ht="20.100000000000001" customHeight="1">
      <c r="B892" s="571"/>
      <c r="C892" s="573"/>
      <c r="D892" s="575"/>
      <c r="E892" s="575"/>
      <c r="F892" s="128"/>
      <c r="G892" s="577"/>
      <c r="H892" s="540"/>
      <c r="I892" s="579"/>
      <c r="J892" s="533"/>
      <c r="K892" s="126"/>
      <c r="L892" s="126"/>
      <c r="M892" s="126"/>
      <c r="N892" s="126"/>
      <c r="O892" s="314"/>
      <c r="P892" s="314"/>
      <c r="Q892" s="310"/>
      <c r="R892" s="314" t="str" cm="1">
        <f t="array" ref="R892">IFERROR(IF(INDEX('Disaggregation Records'!$G$156:$G$517,MATCH(RIGHT(L892,255),RIGHT('Disaggregation Records'!$D$156:$D$517,255),0))="","",INDEX('Disaggregation Records'!$G$156:$G$517,MATCH(RIGHT(L892,255),RIGHT('Disaggregation Records'!$D$156:$D$517,255),0))),"")</f>
        <v/>
      </c>
    </row>
    <row r="893" spans="1:18" ht="20.100000000000001" customHeight="1">
      <c r="A893" s="126" t="str">
        <f t="shared" ca="1" si="1055"/>
        <v>a16Dm000000M3sNIAS</v>
      </c>
      <c r="B893" s="570">
        <v>7</v>
      </c>
      <c r="C893" s="572" t="str">
        <f ca="1">IFERROR(VLOOKUP(B893,'Coverage Indicators - Section D'!$A$9:$AO$94,41,FALSE),"")</f>
        <v>KVP-1 Number of people with TB (all forms) notified among prisoners; *includes only those with new and relapse TB</v>
      </c>
      <c r="D893" s="574" t="str">
        <f ca="1">M893</f>
        <v/>
      </c>
      <c r="E893" s="574" t="str">
        <f ca="1">N893</f>
        <v/>
      </c>
      <c r="F893" s="127"/>
      <c r="G893" s="576" t="str">
        <f ca="1">IF(OR(INDIRECT("'update Helper'!E"&amp;Q893)="",F893&lt;&gt;0,F894&lt;&gt;0),IF(IFERROR((F893/F894),"")="","",(F893/F894)),INDIRECT("'update Helper'!E"&amp;Q893)/100)</f>
        <v/>
      </c>
      <c r="H893" s="539"/>
      <c r="I893" s="578"/>
      <c r="J893" s="532"/>
      <c r="K893" s="126">
        <f ca="1">IF(AND(EXACT(C893,C891),C891&lt;&gt;0),K891+1,0)</f>
        <v>16</v>
      </c>
      <c r="L893" s="126" t="str">
        <f t="shared" ref="L893" ca="1" si="1069">IF(C893&lt;&gt;"",C893&amp;"-"&amp;K893,"")</f>
        <v>KVP-1 Number of people with TB (all forms) notified among prisoners; *includes only those with new and relapse TB-16</v>
      </c>
      <c r="M893" s="126" t="str">
        <f t="array" aca="1" ref="M893" ca="1">IFERROR(IF(INDEX('Disaggregation Records'!$E$156:$E$517,MATCH(RIGHT(L893,255),RIGHT('Disaggregation Records'!$D$156:$D$517,255),0))="","",INDEX('Disaggregation Records'!$E$156:$E$517,MATCH(RIGHT(L893,255),RIGHT('Disaggregation Records'!$D$156:$D$517,255),0))),"")</f>
        <v/>
      </c>
      <c r="N893" s="126" t="str">
        <f t="array" aca="1" ref="N893" ca="1">IFERROR(IF(INDEX('Disaggregation Records'!$F$156:$F$517,MATCH(RIGHT(L893,255),RIGHT('Disaggregation Records'!$D$156:$D$517,255),0))="","",INDEX('Disaggregation Records'!$F$156:$F$517,MATCH(RIGHT(L893,255),RIGHT('Disaggregation Records'!$D$156:$D$517,255),0))),"")</f>
        <v/>
      </c>
      <c r="O893" s="314" t="str">
        <f t="array" aca="1" ref="O893" ca="1">IFERROR(IF(INDEX('Disaggregation Records'!$H$156:$H$517,MATCH(RIGHT(L893,255),RIGHT('Disaggregation Records'!$D$156:$D$517,255),0))="","",INDEX('Disaggregation Records'!$H$156:$H$517,MATCH(RIGHT(L893,255),RIGHT('Disaggregation Records'!$D$156:$D$517,255),0))),"")</f>
        <v/>
      </c>
      <c r="P893" s="314"/>
      <c r="Q893" s="310">
        <f t="shared" ref="Q893" si="1070">Q891+1</f>
        <v>1748</v>
      </c>
      <c r="R893" s="314" t="str" cm="1">
        <f t="array" aca="1" ref="R893" ca="1">IFERROR(IF(INDEX('Disaggregation Records'!$G$156:$G$517,MATCH(RIGHT(L893,255),RIGHT('Disaggregation Records'!$D$156:$D$517,255),0))="","",INDEX('Disaggregation Records'!$G$156:$G$517,MATCH(RIGHT(L893,255),RIGHT('Disaggregation Records'!$D$156:$D$517,255),0))),"")</f>
        <v/>
      </c>
    </row>
    <row r="894" spans="1:18" ht="20.100000000000001" customHeight="1">
      <c r="A894" s="126"/>
      <c r="B894" s="571"/>
      <c r="C894" s="573"/>
      <c r="D894" s="575"/>
      <c r="E894" s="575"/>
      <c r="F894" s="128"/>
      <c r="G894" s="577"/>
      <c r="H894" s="540"/>
      <c r="I894" s="579"/>
      <c r="J894" s="533"/>
      <c r="K894" s="126"/>
      <c r="L894" s="126"/>
      <c r="M894" s="126"/>
      <c r="N894" s="126"/>
      <c r="O894" s="314"/>
      <c r="P894" s="314"/>
      <c r="Q894" s="310"/>
      <c r="R894" s="314" t="str" cm="1">
        <f t="array" ref="R894">IFERROR(IF(INDEX('Disaggregation Records'!$G$156:$G$517,MATCH(RIGHT(L894,255),RIGHT('Disaggregation Records'!$D$156:$D$517,255),0))="","",INDEX('Disaggregation Records'!$G$156:$G$517,MATCH(RIGHT(L894,255),RIGHT('Disaggregation Records'!$D$156:$D$517,255),0))),"")</f>
        <v/>
      </c>
    </row>
    <row r="895" spans="1:18" ht="20.100000000000001" customHeight="1">
      <c r="A895" s="126" t="str">
        <f t="shared" ca="1" si="1058"/>
        <v>a16Dm000000M3sOIAS</v>
      </c>
      <c r="B895" s="570">
        <v>7</v>
      </c>
      <c r="C895" s="572" t="str">
        <f ca="1">IFERROR(VLOOKUP(B895,'Coverage Indicators - Section D'!$A$9:$AO$94,41,FALSE),"")</f>
        <v>KVP-1 Number of people with TB (all forms) notified among prisoners; *includes only those with new and relapse TB</v>
      </c>
      <c r="D895" s="574" t="str">
        <f ca="1">M895</f>
        <v/>
      </c>
      <c r="E895" s="574" t="str">
        <f ca="1">N895</f>
        <v/>
      </c>
      <c r="F895" s="127"/>
      <c r="G895" s="576" t="str">
        <f ca="1">IF(OR(INDIRECT("'update Helper'!E"&amp;Q895)="",F895&lt;&gt;0,F896&lt;&gt;0),IF(IFERROR((F895/F896),"")="","",(F895/F896)),INDIRECT("'update Helper'!E"&amp;Q895)/100)</f>
        <v/>
      </c>
      <c r="H895" s="539"/>
      <c r="I895" s="578"/>
      <c r="J895" s="532"/>
      <c r="K895" s="126">
        <f ca="1">IF(AND(EXACT(C895,C893),C893&lt;&gt;0),K893+1,0)</f>
        <v>17</v>
      </c>
      <c r="L895" s="126" t="str">
        <f t="shared" ref="L895" ca="1" si="1071">IF(C895&lt;&gt;"",C895&amp;"-"&amp;K895,"")</f>
        <v>KVP-1 Number of people with TB (all forms) notified among prisoners; *includes only those with new and relapse TB-17</v>
      </c>
      <c r="M895" s="126" t="str">
        <f t="array" aca="1" ref="M895" ca="1">IFERROR(IF(INDEX('Disaggregation Records'!$E$156:$E$517,MATCH(RIGHT(L895,255),RIGHT('Disaggregation Records'!$D$156:$D$517,255),0))="","",INDEX('Disaggregation Records'!$E$156:$E$517,MATCH(RIGHT(L895,255),RIGHT('Disaggregation Records'!$D$156:$D$517,255),0))),"")</f>
        <v/>
      </c>
      <c r="N895" s="126" t="str">
        <f t="array" aca="1" ref="N895" ca="1">IFERROR(IF(INDEX('Disaggregation Records'!$F$156:$F$517,MATCH(RIGHT(L895,255),RIGHT('Disaggregation Records'!$D$156:$D$517,255),0))="","",INDEX('Disaggregation Records'!$F$156:$F$517,MATCH(RIGHT(L895,255),RIGHT('Disaggregation Records'!$D$156:$D$517,255),0))),"")</f>
        <v/>
      </c>
      <c r="O895" s="314" t="str">
        <f t="array" aca="1" ref="O895" ca="1">IFERROR(IF(INDEX('Disaggregation Records'!$H$156:$H$517,MATCH(RIGHT(L895,255),RIGHT('Disaggregation Records'!$D$156:$D$517,255),0))="","",INDEX('Disaggregation Records'!$H$156:$H$517,MATCH(RIGHT(L895,255),RIGHT('Disaggregation Records'!$D$156:$D$517,255),0))),"")</f>
        <v/>
      </c>
      <c r="P895" s="310"/>
      <c r="Q895" s="310">
        <f t="shared" ref="Q895" si="1072">Q893+1</f>
        <v>1749</v>
      </c>
      <c r="R895" s="314" t="str" cm="1">
        <f t="array" aca="1" ref="R895" ca="1">IFERROR(IF(INDEX('Disaggregation Records'!$G$156:$G$517,MATCH(RIGHT(L895,255),RIGHT('Disaggregation Records'!$D$156:$D$517,255),0))="","",INDEX('Disaggregation Records'!$G$156:$G$517,MATCH(RIGHT(L895,255),RIGHT('Disaggregation Records'!$D$156:$D$517,255),0))),"")</f>
        <v/>
      </c>
    </row>
    <row r="896" spans="1:18" ht="20.100000000000001" customHeight="1">
      <c r="B896" s="571"/>
      <c r="C896" s="573"/>
      <c r="D896" s="575"/>
      <c r="E896" s="575"/>
      <c r="F896" s="128"/>
      <c r="G896" s="577"/>
      <c r="H896" s="540"/>
      <c r="I896" s="579"/>
      <c r="J896" s="533"/>
      <c r="L896" s="126"/>
      <c r="N896" s="126"/>
      <c r="O896" s="314"/>
      <c r="P896" s="310"/>
      <c r="Q896" s="310"/>
      <c r="R896" s="314" t="str" cm="1">
        <f t="array" ref="R896">IFERROR(IF(INDEX('Disaggregation Records'!$G$156:$G$517,MATCH(RIGHT(L896,255),RIGHT('Disaggregation Records'!$D$156:$D$517,255),0))="","",INDEX('Disaggregation Records'!$G$156:$G$517,MATCH(RIGHT(L896,255),RIGHT('Disaggregation Records'!$D$156:$D$517,255),0))),"")</f>
        <v/>
      </c>
    </row>
    <row r="897" spans="1:18" ht="20.100000000000001" customHeight="1">
      <c r="A897" s="126" t="str">
        <f t="shared" ca="1" si="1055"/>
        <v>a16Dm000000M3sPIAS</v>
      </c>
      <c r="B897" s="570">
        <v>7</v>
      </c>
      <c r="C897" s="572" t="str">
        <f ca="1">IFERROR(VLOOKUP(B897,'Coverage Indicators - Section D'!$A$9:$AO$94,41,FALSE),"")</f>
        <v>KVP-1 Number of people with TB (all forms) notified among prisoners; *includes only those with new and relapse TB</v>
      </c>
      <c r="D897" s="574" t="str">
        <f ca="1">M897</f>
        <v/>
      </c>
      <c r="E897" s="574" t="str">
        <f ca="1">N897</f>
        <v/>
      </c>
      <c r="F897" s="127"/>
      <c r="G897" s="576" t="str">
        <f ca="1">IF(OR(INDIRECT("'update Helper'!E"&amp;Q897)="",F897&lt;&gt;0,F898&lt;&gt;0),IF(IFERROR((F897/F898),"")="","",(F897/F898)),INDIRECT("'update Helper'!E"&amp;Q897)/100)</f>
        <v/>
      </c>
      <c r="H897" s="539"/>
      <c r="I897" s="578"/>
      <c r="J897" s="532"/>
      <c r="K897" s="126">
        <f ca="1">IF(AND(EXACT(C897,C895),C895&lt;&gt;0),K895+1,0)</f>
        <v>18</v>
      </c>
      <c r="L897" s="126" t="str">
        <f t="shared" ref="L897" ca="1" si="1073">IF(C897&lt;&gt;"",C897&amp;"-"&amp;K897,"")</f>
        <v>KVP-1 Number of people with TB (all forms) notified among prisoners; *includes only those with new and relapse TB-18</v>
      </c>
      <c r="M897" s="126" t="str">
        <f t="array" aca="1" ref="M897" ca="1">IFERROR(IF(INDEX('Disaggregation Records'!$E$156:$E$517,MATCH(RIGHT(L897,255),RIGHT('Disaggregation Records'!$D$156:$D$517,255),0))="","",INDEX('Disaggregation Records'!$E$156:$E$517,MATCH(RIGHT(L897,255),RIGHT('Disaggregation Records'!$D$156:$D$517,255),0))),"")</f>
        <v/>
      </c>
      <c r="N897" s="126" t="str">
        <f t="array" aca="1" ref="N897" ca="1">IFERROR(IF(INDEX('Disaggregation Records'!$F$156:$F$517,MATCH(RIGHT(L897,255),RIGHT('Disaggregation Records'!$D$156:$D$517,255),0))="","",INDEX('Disaggregation Records'!$F$156:$F$517,MATCH(RIGHT(L897,255),RIGHT('Disaggregation Records'!$D$156:$D$517,255),0))),"")</f>
        <v/>
      </c>
      <c r="O897" s="314" t="str">
        <f t="array" aca="1" ref="O897" ca="1">IFERROR(IF(INDEX('Disaggregation Records'!$H$156:$H$517,MATCH(RIGHT(L897,255),RIGHT('Disaggregation Records'!$D$156:$D$517,255),0))="","",INDEX('Disaggregation Records'!$H$156:$H$517,MATCH(RIGHT(L897,255),RIGHT('Disaggregation Records'!$D$156:$D$517,255),0))),"")</f>
        <v/>
      </c>
      <c r="P897" s="310"/>
      <c r="Q897" s="310">
        <f t="shared" ref="Q897" si="1074">Q895+1</f>
        <v>1750</v>
      </c>
      <c r="R897" s="314" t="str" cm="1">
        <f t="array" aca="1" ref="R897" ca="1">IFERROR(IF(INDEX('Disaggregation Records'!$G$156:$G$517,MATCH(RIGHT(L897,255),RIGHT('Disaggregation Records'!$D$156:$D$517,255),0))="","",INDEX('Disaggregation Records'!$G$156:$G$517,MATCH(RIGHT(L897,255),RIGHT('Disaggregation Records'!$D$156:$D$517,255),0))),"")</f>
        <v/>
      </c>
    </row>
    <row r="898" spans="1:18" ht="20.100000000000001" customHeight="1">
      <c r="A898" s="126"/>
      <c r="B898" s="571"/>
      <c r="C898" s="573"/>
      <c r="D898" s="575"/>
      <c r="E898" s="575"/>
      <c r="F898" s="128"/>
      <c r="G898" s="577"/>
      <c r="H898" s="540"/>
      <c r="I898" s="579"/>
      <c r="J898" s="533"/>
      <c r="L898" s="126"/>
      <c r="N898" s="126"/>
      <c r="O898" s="314"/>
      <c r="P898" s="310"/>
      <c r="Q898" s="310"/>
      <c r="R898" s="314" t="str" cm="1">
        <f t="array" ref="R898">IFERROR(IF(INDEX('Disaggregation Records'!$G$156:$G$517,MATCH(RIGHT(L898,255),RIGHT('Disaggregation Records'!$D$156:$D$517,255),0))="","",INDEX('Disaggregation Records'!$G$156:$G$517,MATCH(RIGHT(L898,255),RIGHT('Disaggregation Records'!$D$156:$D$517,255),0))),"")</f>
        <v/>
      </c>
    </row>
    <row r="899" spans="1:18" ht="20.100000000000001" customHeight="1">
      <c r="A899" s="126" t="str">
        <f t="shared" ca="1" si="1058"/>
        <v>a16Dm000000M3sQIAS</v>
      </c>
      <c r="B899" s="570">
        <v>7</v>
      </c>
      <c r="C899" s="572" t="str">
        <f ca="1">IFERROR(VLOOKUP(B899,'Coverage Indicators - Section D'!$A$9:$AO$94,41,FALSE),"")</f>
        <v>KVP-1 Number of people with TB (all forms) notified among prisoners; *includes only those with new and relapse TB</v>
      </c>
      <c r="D899" s="574" t="str">
        <f ca="1">M899</f>
        <v/>
      </c>
      <c r="E899" s="574" t="str">
        <f ca="1">N899</f>
        <v/>
      </c>
      <c r="F899" s="127"/>
      <c r="G899" s="576" t="str">
        <f ca="1">IF(OR(INDIRECT("'update Helper'!E"&amp;Q899)="",F899&lt;&gt;0,F900&lt;&gt;0),IF(IFERROR((F899/F900),"")="","",(F899/F900)),INDIRECT("'update Helper'!E"&amp;Q899)/100)</f>
        <v/>
      </c>
      <c r="H899" s="539"/>
      <c r="I899" s="578"/>
      <c r="J899" s="532"/>
      <c r="K899" s="126">
        <f ca="1">IF(AND(EXACT(C899,C897),C897&lt;&gt;0),K897+1,0)</f>
        <v>19</v>
      </c>
      <c r="L899" s="126" t="str">
        <f t="shared" ref="L899" ca="1" si="1075">IF(C899&lt;&gt;"",C899&amp;"-"&amp;K899,"")</f>
        <v>KVP-1 Number of people with TB (all forms) notified among prisoners; *includes only those with new and relapse TB-19</v>
      </c>
      <c r="M899" s="126" t="str">
        <f t="array" aca="1" ref="M899" ca="1">IFERROR(IF(INDEX('Disaggregation Records'!$E$156:$E$517,MATCH(RIGHT(L899,255),RIGHT('Disaggregation Records'!$D$156:$D$517,255),0))="","",INDEX('Disaggregation Records'!$E$156:$E$517,MATCH(RIGHT(L899,255),RIGHT('Disaggregation Records'!$D$156:$D$517,255),0))),"")</f>
        <v/>
      </c>
      <c r="N899" s="126" t="str">
        <f t="array" aca="1" ref="N899" ca="1">IFERROR(IF(INDEX('Disaggregation Records'!$F$156:$F$517,MATCH(RIGHT(L899,255),RIGHT('Disaggregation Records'!$D$156:$D$517,255),0))="","",INDEX('Disaggregation Records'!$F$156:$F$517,MATCH(RIGHT(L899,255),RIGHT('Disaggregation Records'!$D$156:$D$517,255),0))),"")</f>
        <v/>
      </c>
      <c r="O899" s="314" t="str">
        <f t="array" aca="1" ref="O899" ca="1">IFERROR(IF(INDEX('Disaggregation Records'!$H$156:$H$517,MATCH(RIGHT(L899,255),RIGHT('Disaggregation Records'!$D$156:$D$517,255),0))="","",INDEX('Disaggregation Records'!$H$156:$H$517,MATCH(RIGHT(L899,255),RIGHT('Disaggregation Records'!$D$156:$D$517,255),0))),"")</f>
        <v/>
      </c>
      <c r="P899" s="310"/>
      <c r="Q899" s="310">
        <f t="shared" ref="Q899" si="1076">Q897+1</f>
        <v>1751</v>
      </c>
      <c r="R899" s="314" t="str" cm="1">
        <f t="array" aca="1" ref="R899" ca="1">IFERROR(IF(INDEX('Disaggregation Records'!$G$156:$G$517,MATCH(RIGHT(L899,255),RIGHT('Disaggregation Records'!$D$156:$D$517,255),0))="","",INDEX('Disaggregation Records'!$G$156:$G$517,MATCH(RIGHT(L899,255),RIGHT('Disaggregation Records'!$D$156:$D$517,255),0))),"")</f>
        <v/>
      </c>
    </row>
    <row r="900" spans="1:18" ht="20.100000000000001" customHeight="1">
      <c r="B900" s="571"/>
      <c r="C900" s="573"/>
      <c r="D900" s="575"/>
      <c r="E900" s="575"/>
      <c r="F900" s="128"/>
      <c r="G900" s="577"/>
      <c r="H900" s="540"/>
      <c r="I900" s="579"/>
      <c r="J900" s="533"/>
      <c r="L900" s="126"/>
      <c r="N900" s="126"/>
      <c r="O900" s="314"/>
      <c r="P900" s="310"/>
      <c r="Q900" s="310"/>
      <c r="R900" s="314" t="str" cm="1">
        <f t="array" ref="R900">IFERROR(IF(INDEX('Disaggregation Records'!$G$156:$G$517,MATCH(RIGHT(L900,255),RIGHT('Disaggregation Records'!$D$156:$D$517,255),0))="","",INDEX('Disaggregation Records'!$G$156:$G$517,MATCH(RIGHT(L900,255),RIGHT('Disaggregation Records'!$D$156:$D$517,255),0))),"")</f>
        <v/>
      </c>
    </row>
    <row r="901" spans="1:18" ht="20.100000000000001" customHeight="1">
      <c r="A901" s="126" t="str">
        <f t="shared" ca="1" si="1055"/>
        <v>a16Dm000000M3sRIAS</v>
      </c>
      <c r="B901" s="570">
        <v>8</v>
      </c>
      <c r="C901" s="572" t="str">
        <f ca="1">IFERROR(VLOOKUP(B901,'Coverage Indicators - Section D'!$A$9:$AO$94,41,FALSE),"")</f>
        <v>KVP-2 Number of people with TB (all forms) notified among key affected populations/high risk groups (other than prisoners); *includes only those with new and relapse</v>
      </c>
      <c r="D901" s="574" t="str">
        <f ca="1">M901</f>
        <v/>
      </c>
      <c r="E901" s="574" t="str">
        <f ca="1">N901</f>
        <v/>
      </c>
      <c r="F901" s="127"/>
      <c r="G901" s="576" t="str">
        <f ca="1">IF(OR(INDIRECT("'update Helper'!E"&amp;Q901)="",F901&lt;&gt;0,F902&lt;&gt;0),IF(IFERROR((F901/F902),"")="","",(F901/F902)),INDIRECT("'update Helper'!E"&amp;Q901)/100)</f>
        <v/>
      </c>
      <c r="H901" s="539"/>
      <c r="I901" s="578"/>
      <c r="J901" s="532"/>
      <c r="K901" s="126">
        <f ca="1">IF(AND(EXACT(C901,C899),C899&lt;&gt;0),K899+1,0)</f>
        <v>0</v>
      </c>
      <c r="L901" s="126" t="str">
        <f t="shared" ref="L901" ca="1" si="1077">IF(C901&lt;&gt;"",C901&amp;"-"&amp;K901,"")</f>
        <v>KVP-2 Number of people with TB (all forms) notified among key affected populations/high risk groups (other than prisoners); *includes only those with new and relapse-0</v>
      </c>
      <c r="M901" s="126" t="str">
        <f t="array" aca="1" ref="M901" ca="1">IFERROR(IF(INDEX('Disaggregation Records'!$E$156:$E$517,MATCH(RIGHT(L901,255),RIGHT('Disaggregation Records'!$D$156:$D$517,255),0))="","",INDEX('Disaggregation Records'!$E$156:$E$517,MATCH(RIGHT(L901,255),RIGHT('Disaggregation Records'!$D$156:$D$517,255),0))),"")</f>
        <v/>
      </c>
      <c r="N901" s="126" t="str">
        <f t="array" aca="1" ref="N901" ca="1">IFERROR(IF(INDEX('Disaggregation Records'!$F$156:$F$517,MATCH(RIGHT(L901,255),RIGHT('Disaggregation Records'!$D$156:$D$517,255),0))="","",INDEX('Disaggregation Records'!$F$156:$F$517,MATCH(RIGHT(L901,255),RIGHT('Disaggregation Records'!$D$156:$D$517,255),0))),"")</f>
        <v/>
      </c>
      <c r="O901" s="314" t="str">
        <f t="array" aca="1" ref="O901" ca="1">IFERROR(IF(INDEX('Disaggregation Records'!$H$156:$H$517,MATCH(RIGHT(L901,255),RIGHT('Disaggregation Records'!$D$156:$D$517,255),0))="","",INDEX('Disaggregation Records'!$H$156:$H$517,MATCH(RIGHT(L901,255),RIGHT('Disaggregation Records'!$D$156:$D$517,255),0))),"")</f>
        <v/>
      </c>
      <c r="P901" s="314"/>
      <c r="Q901" s="310">
        <f t="shared" ref="Q901" si="1078">Q899+1</f>
        <v>1752</v>
      </c>
      <c r="R901" s="314" t="str" cm="1">
        <f t="array" aca="1" ref="R901" ca="1">IFERROR(IF(INDEX('Disaggregation Records'!$G$156:$G$517,MATCH(RIGHT(L901,255),RIGHT('Disaggregation Records'!$D$156:$D$517,255),0))="","",INDEX('Disaggregation Records'!$G$156:$G$517,MATCH(RIGHT(L901,255),RIGHT('Disaggregation Records'!$D$156:$D$517,255),0))),"")</f>
        <v/>
      </c>
    </row>
    <row r="902" spans="1:18" ht="20.100000000000001" customHeight="1">
      <c r="A902" s="126"/>
      <c r="B902" s="571"/>
      <c r="C902" s="573"/>
      <c r="D902" s="575"/>
      <c r="E902" s="575"/>
      <c r="F902" s="128"/>
      <c r="G902" s="577"/>
      <c r="H902" s="540"/>
      <c r="I902" s="579"/>
      <c r="J902" s="533"/>
      <c r="K902" s="126"/>
      <c r="L902" s="126"/>
      <c r="M902" s="126"/>
      <c r="N902" s="126"/>
      <c r="O902" s="314"/>
      <c r="P902" s="314"/>
      <c r="Q902" s="310"/>
      <c r="R902" s="314" t="str" cm="1">
        <f t="array" ref="R902">IFERROR(IF(INDEX('Disaggregation Records'!$G$156:$G$517,MATCH(RIGHT(L902,255),RIGHT('Disaggregation Records'!$D$156:$D$517,255),0))="","",INDEX('Disaggregation Records'!$G$156:$G$517,MATCH(RIGHT(L902,255),RIGHT('Disaggregation Records'!$D$156:$D$517,255),0))),"")</f>
        <v/>
      </c>
    </row>
    <row r="903" spans="1:18" ht="20.100000000000001" customHeight="1">
      <c r="A903" s="126" t="str">
        <f t="shared" ca="1" si="1058"/>
        <v>a16Dm000000M3sSIAS</v>
      </c>
      <c r="B903" s="570">
        <v>8</v>
      </c>
      <c r="C903" s="572" t="str">
        <f ca="1">IFERROR(VLOOKUP(B903,'Coverage Indicators - Section D'!$A$9:$AO$94,41,FALSE),"")</f>
        <v>KVP-2 Number of people with TB (all forms) notified among key affected populations/high risk groups (other than prisoners); *includes only those with new and relapse</v>
      </c>
      <c r="D903" s="574" t="str">
        <f ca="1">M903</f>
        <v/>
      </c>
      <c r="E903" s="574" t="str">
        <f ca="1">N903</f>
        <v/>
      </c>
      <c r="F903" s="127"/>
      <c r="G903" s="576" t="str">
        <f ca="1">IF(OR(INDIRECT("'update Helper'!E"&amp;Q903)="",F903&lt;&gt;0,F904&lt;&gt;0),IF(IFERROR((F903/F904),"")="","",(F903/F904)),INDIRECT("'update Helper'!E"&amp;Q903)/100)</f>
        <v/>
      </c>
      <c r="H903" s="539"/>
      <c r="I903" s="578"/>
      <c r="J903" s="532"/>
      <c r="K903" s="126">
        <f ca="1">IF(AND(EXACT(C903,C901),C901&lt;&gt;0),K901+1,0)</f>
        <v>1</v>
      </c>
      <c r="L903" s="126" t="str">
        <f t="shared" ref="L903" ca="1" si="1079">IF(C903&lt;&gt;"",C903&amp;"-"&amp;K903,"")</f>
        <v>KVP-2 Number of people with TB (all forms) notified among key affected populations/high risk groups (other than prisoners); *includes only those with new and relapse-1</v>
      </c>
      <c r="M903" s="126" t="str">
        <f t="array" aca="1" ref="M903" ca="1">IFERROR(IF(INDEX('Disaggregation Records'!$E$156:$E$517,MATCH(RIGHT(L903,255),RIGHT('Disaggregation Records'!$D$156:$D$517,255),0))="","",INDEX('Disaggregation Records'!$E$156:$E$517,MATCH(RIGHT(L903,255),RIGHT('Disaggregation Records'!$D$156:$D$517,255),0))),"")</f>
        <v/>
      </c>
      <c r="N903" s="126" t="str">
        <f t="array" aca="1" ref="N903" ca="1">IFERROR(IF(INDEX('Disaggregation Records'!$F$156:$F$517,MATCH(RIGHT(L903,255),RIGHT('Disaggregation Records'!$D$156:$D$517,255),0))="","",INDEX('Disaggregation Records'!$F$156:$F$517,MATCH(RIGHT(L903,255),RIGHT('Disaggregation Records'!$D$156:$D$517,255),0))),"")</f>
        <v/>
      </c>
      <c r="O903" s="314" t="str">
        <f t="array" aca="1" ref="O903" ca="1">IFERROR(IF(INDEX('Disaggregation Records'!$H$156:$H$517,MATCH(RIGHT(L903,255),RIGHT('Disaggregation Records'!$D$156:$D$517,255),0))="","",INDEX('Disaggregation Records'!$H$156:$H$517,MATCH(RIGHT(L903,255),RIGHT('Disaggregation Records'!$D$156:$D$517,255),0))),"")</f>
        <v/>
      </c>
      <c r="P903" s="314"/>
      <c r="Q903" s="310">
        <f t="shared" ref="Q903" si="1080">Q901+1</f>
        <v>1753</v>
      </c>
      <c r="R903" s="314" t="str" cm="1">
        <f t="array" aca="1" ref="R903" ca="1">IFERROR(IF(INDEX('Disaggregation Records'!$G$156:$G$517,MATCH(RIGHT(L903,255),RIGHT('Disaggregation Records'!$D$156:$D$517,255),0))="","",INDEX('Disaggregation Records'!$G$156:$G$517,MATCH(RIGHT(L903,255),RIGHT('Disaggregation Records'!$D$156:$D$517,255),0))),"")</f>
        <v/>
      </c>
    </row>
    <row r="904" spans="1:18" ht="20.100000000000001" customHeight="1">
      <c r="B904" s="571"/>
      <c r="C904" s="573"/>
      <c r="D904" s="575"/>
      <c r="E904" s="575"/>
      <c r="F904" s="128"/>
      <c r="G904" s="577"/>
      <c r="H904" s="540"/>
      <c r="I904" s="579"/>
      <c r="J904" s="533"/>
      <c r="K904" s="126"/>
      <c r="L904" s="126"/>
      <c r="M904" s="126"/>
      <c r="N904" s="126"/>
      <c r="O904" s="314"/>
      <c r="P904" s="314"/>
      <c r="Q904" s="310"/>
      <c r="R904" s="314" t="str" cm="1">
        <f t="array" ref="R904">IFERROR(IF(INDEX('Disaggregation Records'!$G$156:$G$517,MATCH(RIGHT(L904,255),RIGHT('Disaggregation Records'!$D$156:$D$517,255),0))="","",INDEX('Disaggregation Records'!$G$156:$G$517,MATCH(RIGHT(L904,255),RIGHT('Disaggregation Records'!$D$156:$D$517,255),0))),"")</f>
        <v/>
      </c>
    </row>
    <row r="905" spans="1:18" ht="20.100000000000001" customHeight="1">
      <c r="A905" s="126" t="str">
        <f t="shared" ca="1" si="1055"/>
        <v>a16Dm000000M3sTIAS</v>
      </c>
      <c r="B905" s="570">
        <v>8</v>
      </c>
      <c r="C905" s="572" t="str">
        <f ca="1">IFERROR(VLOOKUP(B905,'Coverage Indicators - Section D'!$A$9:$AO$94,41,FALSE),"")</f>
        <v>KVP-2 Number of people with TB (all forms) notified among key affected populations/high risk groups (other than prisoners); *includes only those with new and relapse</v>
      </c>
      <c r="D905" s="574" t="str">
        <f ca="1">M905</f>
        <v/>
      </c>
      <c r="E905" s="574" t="str">
        <f ca="1">N905</f>
        <v/>
      </c>
      <c r="F905" s="127"/>
      <c r="G905" s="576" t="str">
        <f ca="1">IF(OR(INDIRECT("'update Helper'!E"&amp;Q905)="",F905&lt;&gt;0,F906&lt;&gt;0),IF(IFERROR((F905/F906),"")="","",(F905/F906)),INDIRECT("'update Helper'!E"&amp;Q905)/100)</f>
        <v/>
      </c>
      <c r="H905" s="539"/>
      <c r="I905" s="578"/>
      <c r="J905" s="532"/>
      <c r="K905" s="126">
        <f ca="1">IF(AND(EXACT(C905,C903),C903&lt;&gt;0),K903+1,0)</f>
        <v>2</v>
      </c>
      <c r="L905" s="126" t="str">
        <f t="shared" ref="L905" ca="1" si="1081">IF(C905&lt;&gt;"",C905&amp;"-"&amp;K905,"")</f>
        <v>KVP-2 Number of people with TB (all forms) notified among key affected populations/high risk groups (other than prisoners); *includes only those with new and relapse-2</v>
      </c>
      <c r="M905" s="126" t="str">
        <f t="array" aca="1" ref="M905" ca="1">IFERROR(IF(INDEX('Disaggregation Records'!$E$156:$E$517,MATCH(RIGHT(L905,255),RIGHT('Disaggregation Records'!$D$156:$D$517,255),0))="","",INDEX('Disaggregation Records'!$E$156:$E$517,MATCH(RIGHT(L905,255),RIGHT('Disaggregation Records'!$D$156:$D$517,255),0))),"")</f>
        <v/>
      </c>
      <c r="N905" s="126" t="str">
        <f t="array" aca="1" ref="N905" ca="1">IFERROR(IF(INDEX('Disaggregation Records'!$F$156:$F$517,MATCH(RIGHT(L905,255),RIGHT('Disaggregation Records'!$D$156:$D$517,255),0))="","",INDEX('Disaggregation Records'!$F$156:$F$517,MATCH(RIGHT(L905,255),RIGHT('Disaggregation Records'!$D$156:$D$517,255),0))),"")</f>
        <v/>
      </c>
      <c r="O905" s="314" t="str">
        <f t="array" aca="1" ref="O905" ca="1">IFERROR(IF(INDEX('Disaggregation Records'!$H$156:$H$517,MATCH(RIGHT(L905,255),RIGHT('Disaggregation Records'!$D$156:$D$517,255),0))="","",INDEX('Disaggregation Records'!$H$156:$H$517,MATCH(RIGHT(L905,255),RIGHT('Disaggregation Records'!$D$156:$D$517,255),0))),"")</f>
        <v/>
      </c>
      <c r="P905" s="310"/>
      <c r="Q905" s="310">
        <f t="shared" ref="Q905" si="1082">Q903+1</f>
        <v>1754</v>
      </c>
      <c r="R905" s="314" t="str" cm="1">
        <f t="array" aca="1" ref="R905" ca="1">IFERROR(IF(INDEX('Disaggregation Records'!$G$156:$G$517,MATCH(RIGHT(L905,255),RIGHT('Disaggregation Records'!$D$156:$D$517,255),0))="","",INDEX('Disaggregation Records'!$G$156:$G$517,MATCH(RIGHT(L905,255),RIGHT('Disaggregation Records'!$D$156:$D$517,255),0))),"")</f>
        <v/>
      </c>
    </row>
    <row r="906" spans="1:18" ht="20.100000000000001" customHeight="1">
      <c r="A906" s="126"/>
      <c r="B906" s="571"/>
      <c r="C906" s="573"/>
      <c r="D906" s="575"/>
      <c r="E906" s="575"/>
      <c r="F906" s="128"/>
      <c r="G906" s="577"/>
      <c r="H906" s="540"/>
      <c r="I906" s="579"/>
      <c r="J906" s="533"/>
      <c r="L906" s="126"/>
      <c r="N906" s="126"/>
      <c r="O906" s="314"/>
      <c r="P906" s="310"/>
      <c r="Q906" s="310"/>
      <c r="R906" s="314" t="str" cm="1">
        <f t="array" ref="R906">IFERROR(IF(INDEX('Disaggregation Records'!$G$156:$G$517,MATCH(RIGHT(L906,255),RIGHT('Disaggregation Records'!$D$156:$D$517,255),0))="","",INDEX('Disaggregation Records'!$G$156:$G$517,MATCH(RIGHT(L906,255),RIGHT('Disaggregation Records'!$D$156:$D$517,255),0))),"")</f>
        <v/>
      </c>
    </row>
    <row r="907" spans="1:18" ht="20.100000000000001" customHeight="1">
      <c r="A907" s="126" t="str">
        <f t="shared" ca="1" si="1058"/>
        <v>a16Dm000000M3sUIAS</v>
      </c>
      <c r="B907" s="570">
        <v>8</v>
      </c>
      <c r="C907" s="572" t="str">
        <f ca="1">IFERROR(VLOOKUP(B907,'Coverage Indicators - Section D'!$A$9:$AO$94,41,FALSE),"")</f>
        <v>KVP-2 Number of people with TB (all forms) notified among key affected populations/high risk groups (other than prisoners); *includes only those with new and relapse</v>
      </c>
      <c r="D907" s="574" t="str">
        <f ca="1">M907</f>
        <v/>
      </c>
      <c r="E907" s="574" t="str">
        <f ca="1">N907</f>
        <v/>
      </c>
      <c r="F907" s="127"/>
      <c r="G907" s="576" t="str">
        <f ca="1">IF(OR(INDIRECT("'update Helper'!E"&amp;Q907)="",F907&lt;&gt;0,F908&lt;&gt;0),IF(IFERROR((F907/F908),"")="","",(F907/F908)),INDIRECT("'update Helper'!E"&amp;Q907)/100)</f>
        <v/>
      </c>
      <c r="H907" s="539"/>
      <c r="I907" s="578"/>
      <c r="J907" s="532"/>
      <c r="K907" s="126">
        <f ca="1">IF(AND(EXACT(C907,C905),C905&lt;&gt;0),K905+1,0)</f>
        <v>3</v>
      </c>
      <c r="L907" s="126" t="str">
        <f t="shared" ref="L907" ca="1" si="1083">IF(C907&lt;&gt;"",C907&amp;"-"&amp;K907,"")</f>
        <v>KVP-2 Number of people with TB (all forms) notified among key affected populations/high risk groups (other than prisoners); *includes only those with new and relapse-3</v>
      </c>
      <c r="M907" s="126" t="str">
        <f t="array" aca="1" ref="M907" ca="1">IFERROR(IF(INDEX('Disaggregation Records'!$E$156:$E$517,MATCH(RIGHT(L907,255),RIGHT('Disaggregation Records'!$D$156:$D$517,255),0))="","",INDEX('Disaggregation Records'!$E$156:$E$517,MATCH(RIGHT(L907,255),RIGHT('Disaggregation Records'!$D$156:$D$517,255),0))),"")</f>
        <v/>
      </c>
      <c r="N907" s="126" t="str">
        <f t="array" aca="1" ref="N907" ca="1">IFERROR(IF(INDEX('Disaggregation Records'!$F$156:$F$517,MATCH(RIGHT(L907,255),RIGHT('Disaggregation Records'!$D$156:$D$517,255),0))="","",INDEX('Disaggregation Records'!$F$156:$F$517,MATCH(RIGHT(L907,255),RIGHT('Disaggregation Records'!$D$156:$D$517,255),0))),"")</f>
        <v/>
      </c>
      <c r="O907" s="314" t="str">
        <f t="array" aca="1" ref="O907" ca="1">IFERROR(IF(INDEX('Disaggregation Records'!$H$156:$H$517,MATCH(RIGHT(L907,255),RIGHT('Disaggregation Records'!$D$156:$D$517,255),0))="","",INDEX('Disaggregation Records'!$H$156:$H$517,MATCH(RIGHT(L907,255),RIGHT('Disaggregation Records'!$D$156:$D$517,255),0))),"")</f>
        <v/>
      </c>
      <c r="P907" s="310"/>
      <c r="Q907" s="310">
        <f t="shared" ref="Q907" si="1084">Q905+1</f>
        <v>1755</v>
      </c>
      <c r="R907" s="314" t="str" cm="1">
        <f t="array" aca="1" ref="R907" ca="1">IFERROR(IF(INDEX('Disaggregation Records'!$G$156:$G$517,MATCH(RIGHT(L907,255),RIGHT('Disaggregation Records'!$D$156:$D$517,255),0))="","",INDEX('Disaggregation Records'!$G$156:$G$517,MATCH(RIGHT(L907,255),RIGHT('Disaggregation Records'!$D$156:$D$517,255),0))),"")</f>
        <v/>
      </c>
    </row>
    <row r="908" spans="1:18" ht="20.100000000000001" customHeight="1">
      <c r="B908" s="571"/>
      <c r="C908" s="573"/>
      <c r="D908" s="575"/>
      <c r="E908" s="575"/>
      <c r="F908" s="128"/>
      <c r="G908" s="577"/>
      <c r="H908" s="540"/>
      <c r="I908" s="579"/>
      <c r="J908" s="533"/>
      <c r="L908" s="126"/>
      <c r="N908" s="126"/>
      <c r="O908" s="314"/>
      <c r="P908" s="310"/>
      <c r="Q908" s="310"/>
      <c r="R908" s="314" t="str" cm="1">
        <f t="array" ref="R908">IFERROR(IF(INDEX('Disaggregation Records'!$G$156:$G$517,MATCH(RIGHT(L908,255),RIGHT('Disaggregation Records'!$D$156:$D$517,255),0))="","",INDEX('Disaggregation Records'!$G$156:$G$517,MATCH(RIGHT(L908,255),RIGHT('Disaggregation Records'!$D$156:$D$517,255),0))),"")</f>
        <v/>
      </c>
    </row>
    <row r="909" spans="1:18" ht="20.100000000000001" customHeight="1">
      <c r="A909" s="126" t="str">
        <f t="shared" ca="1" si="1055"/>
        <v>a16Dm000000M3sVIAS</v>
      </c>
      <c r="B909" s="570">
        <v>8</v>
      </c>
      <c r="C909" s="572" t="str">
        <f ca="1">IFERROR(VLOOKUP(B909,'Coverage Indicators - Section D'!$A$9:$AO$94,41,FALSE),"")</f>
        <v>KVP-2 Number of people with TB (all forms) notified among key affected populations/high risk groups (other than prisoners); *includes only those with new and relapse</v>
      </c>
      <c r="D909" s="574" t="str">
        <f ca="1">M909</f>
        <v/>
      </c>
      <c r="E909" s="574" t="str">
        <f ca="1">N909</f>
        <v/>
      </c>
      <c r="F909" s="127"/>
      <c r="G909" s="576" t="str">
        <f ca="1">IF(OR(INDIRECT("'update Helper'!E"&amp;Q909)="",F909&lt;&gt;0,F910&lt;&gt;0),IF(IFERROR((F909/F910),"")="","",(F909/F910)),INDIRECT("'update Helper'!E"&amp;Q909)/100)</f>
        <v/>
      </c>
      <c r="H909" s="539"/>
      <c r="I909" s="578"/>
      <c r="J909" s="532"/>
      <c r="K909" s="126">
        <f ca="1">IF(AND(EXACT(C909,C907),C907&lt;&gt;0),K907+1,0)</f>
        <v>4</v>
      </c>
      <c r="L909" s="126" t="str">
        <f t="shared" ref="L909" ca="1" si="1085">IF(C909&lt;&gt;"",C909&amp;"-"&amp;K909,"")</f>
        <v>KVP-2 Number of people with TB (all forms) notified among key affected populations/high risk groups (other than prisoners); *includes only those with new and relapse-4</v>
      </c>
      <c r="M909" s="126" t="str">
        <f t="array" aca="1" ref="M909" ca="1">IFERROR(IF(INDEX('Disaggregation Records'!$E$156:$E$517,MATCH(RIGHT(L909,255),RIGHT('Disaggregation Records'!$D$156:$D$517,255),0))="","",INDEX('Disaggregation Records'!$E$156:$E$517,MATCH(RIGHT(L909,255),RIGHT('Disaggregation Records'!$D$156:$D$517,255),0))),"")</f>
        <v/>
      </c>
      <c r="N909" s="126" t="str">
        <f t="array" aca="1" ref="N909" ca="1">IFERROR(IF(INDEX('Disaggregation Records'!$F$156:$F$517,MATCH(RIGHT(L909,255),RIGHT('Disaggregation Records'!$D$156:$D$517,255),0))="","",INDEX('Disaggregation Records'!$F$156:$F$517,MATCH(RIGHT(L909,255),RIGHT('Disaggregation Records'!$D$156:$D$517,255),0))),"")</f>
        <v/>
      </c>
      <c r="O909" s="314" t="str">
        <f t="array" aca="1" ref="O909" ca="1">IFERROR(IF(INDEX('Disaggregation Records'!$H$156:$H$517,MATCH(RIGHT(L909,255),RIGHT('Disaggregation Records'!$D$156:$D$517,255),0))="","",INDEX('Disaggregation Records'!$H$156:$H$517,MATCH(RIGHT(L909,255),RIGHT('Disaggregation Records'!$D$156:$D$517,255),0))),"")</f>
        <v/>
      </c>
      <c r="P909" s="310"/>
      <c r="Q909" s="310">
        <f t="shared" ref="Q909" si="1086">Q907+1</f>
        <v>1756</v>
      </c>
      <c r="R909" s="314" t="str" cm="1">
        <f t="array" aca="1" ref="R909" ca="1">IFERROR(IF(INDEX('Disaggregation Records'!$G$156:$G$517,MATCH(RIGHT(L909,255),RIGHT('Disaggregation Records'!$D$156:$D$517,255),0))="","",INDEX('Disaggregation Records'!$G$156:$G$517,MATCH(RIGHT(L909,255),RIGHT('Disaggregation Records'!$D$156:$D$517,255),0))),"")</f>
        <v/>
      </c>
    </row>
    <row r="910" spans="1:18" ht="20.100000000000001" customHeight="1">
      <c r="A910" s="126"/>
      <c r="B910" s="571"/>
      <c r="C910" s="573"/>
      <c r="D910" s="575"/>
      <c r="E910" s="575"/>
      <c r="F910" s="128"/>
      <c r="G910" s="577"/>
      <c r="H910" s="540"/>
      <c r="I910" s="579"/>
      <c r="J910" s="533"/>
      <c r="L910" s="126"/>
      <c r="N910" s="126"/>
      <c r="O910" s="314"/>
      <c r="P910" s="310"/>
      <c r="Q910" s="310"/>
      <c r="R910" s="314" t="str" cm="1">
        <f t="array" ref="R910">IFERROR(IF(INDEX('Disaggregation Records'!$G$156:$G$517,MATCH(RIGHT(L910,255),RIGHT('Disaggregation Records'!$D$156:$D$517,255),0))="","",INDEX('Disaggregation Records'!$G$156:$G$517,MATCH(RIGHT(L910,255),RIGHT('Disaggregation Records'!$D$156:$D$517,255),0))),"")</f>
        <v/>
      </c>
    </row>
    <row r="911" spans="1:18" ht="20.100000000000001" customHeight="1">
      <c r="A911" s="126" t="str">
        <f t="shared" ca="1" si="1058"/>
        <v>a16Dm000000M3sWIAS</v>
      </c>
      <c r="B911" s="570">
        <v>8</v>
      </c>
      <c r="C911" s="572" t="str">
        <f ca="1">IFERROR(VLOOKUP(B911,'Coverage Indicators - Section D'!$A$9:$AO$94,41,FALSE),"")</f>
        <v>KVP-2 Number of people with TB (all forms) notified among key affected populations/high risk groups (other than prisoners); *includes only those with new and relapse</v>
      </c>
      <c r="D911" s="574" t="str">
        <f ca="1">M911</f>
        <v/>
      </c>
      <c r="E911" s="574" t="str">
        <f ca="1">N911</f>
        <v/>
      </c>
      <c r="F911" s="127"/>
      <c r="G911" s="576" t="str">
        <f ca="1">IF(OR(INDIRECT("'update Helper'!E"&amp;Q911)="",F911&lt;&gt;0,F912&lt;&gt;0),IF(IFERROR((F911/F912),"")="","",(F911/F912)),INDIRECT("'update Helper'!E"&amp;Q911)/100)</f>
        <v/>
      </c>
      <c r="H911" s="539"/>
      <c r="I911" s="578"/>
      <c r="J911" s="532"/>
      <c r="K911" s="126">
        <f ca="1">IF(AND(EXACT(C911,C909),C909&lt;&gt;0),K909+1,0)</f>
        <v>5</v>
      </c>
      <c r="L911" s="126" t="str">
        <f t="shared" ref="L911" ca="1" si="1087">IF(C911&lt;&gt;"",C911&amp;"-"&amp;K911,"")</f>
        <v>KVP-2 Number of people with TB (all forms) notified among key affected populations/high risk groups (other than prisoners); *includes only those with new and relapse-5</v>
      </c>
      <c r="M911" s="126" t="str">
        <f t="array" aca="1" ref="M911" ca="1">IFERROR(IF(INDEX('Disaggregation Records'!$E$156:$E$517,MATCH(RIGHT(L911,255),RIGHT('Disaggregation Records'!$D$156:$D$517,255),0))="","",INDEX('Disaggregation Records'!$E$156:$E$517,MATCH(RIGHT(L911,255),RIGHT('Disaggregation Records'!$D$156:$D$517,255),0))),"")</f>
        <v/>
      </c>
      <c r="N911" s="126" t="str">
        <f t="array" aca="1" ref="N911" ca="1">IFERROR(IF(INDEX('Disaggregation Records'!$F$156:$F$517,MATCH(RIGHT(L911,255),RIGHT('Disaggregation Records'!$D$156:$D$517,255),0))="","",INDEX('Disaggregation Records'!$F$156:$F$517,MATCH(RIGHT(L911,255),RIGHT('Disaggregation Records'!$D$156:$D$517,255),0))),"")</f>
        <v/>
      </c>
      <c r="O911" s="314" t="str">
        <f t="array" aca="1" ref="O911" ca="1">IFERROR(IF(INDEX('Disaggregation Records'!$H$156:$H$517,MATCH(RIGHT(L911,255),RIGHT('Disaggregation Records'!$D$156:$D$517,255),0))="","",INDEX('Disaggregation Records'!$H$156:$H$517,MATCH(RIGHT(L911,255),RIGHT('Disaggregation Records'!$D$156:$D$517,255),0))),"")</f>
        <v/>
      </c>
      <c r="P911" s="314"/>
      <c r="Q911" s="310">
        <f t="shared" ref="Q911" si="1088">Q909+1</f>
        <v>1757</v>
      </c>
      <c r="R911" s="314" t="str" cm="1">
        <f t="array" aca="1" ref="R911" ca="1">IFERROR(IF(INDEX('Disaggregation Records'!$G$156:$G$517,MATCH(RIGHT(L911,255),RIGHT('Disaggregation Records'!$D$156:$D$517,255),0))="","",INDEX('Disaggregation Records'!$G$156:$G$517,MATCH(RIGHT(L911,255),RIGHT('Disaggregation Records'!$D$156:$D$517,255),0))),"")</f>
        <v/>
      </c>
    </row>
    <row r="912" spans="1:18" ht="20.100000000000001" customHeight="1">
      <c r="B912" s="571"/>
      <c r="C912" s="573"/>
      <c r="D912" s="575"/>
      <c r="E912" s="575"/>
      <c r="F912" s="128"/>
      <c r="G912" s="577"/>
      <c r="H912" s="540"/>
      <c r="I912" s="579"/>
      <c r="J912" s="533"/>
      <c r="K912" s="126"/>
      <c r="L912" s="126"/>
      <c r="M912" s="126"/>
      <c r="N912" s="126"/>
      <c r="O912" s="314"/>
      <c r="P912" s="314"/>
      <c r="Q912" s="310"/>
      <c r="R912" s="314" t="str" cm="1">
        <f t="array" ref="R912">IFERROR(IF(INDEX('Disaggregation Records'!$G$156:$G$517,MATCH(RIGHT(L912,255),RIGHT('Disaggregation Records'!$D$156:$D$517,255),0))="","",INDEX('Disaggregation Records'!$G$156:$G$517,MATCH(RIGHT(L912,255),RIGHT('Disaggregation Records'!$D$156:$D$517,255),0))),"")</f>
        <v/>
      </c>
    </row>
    <row r="913" spans="1:18" ht="20.100000000000001" customHeight="1">
      <c r="A913" s="126" t="str">
        <f t="shared" ca="1" si="1055"/>
        <v>a16Dm000000M3sXIAS</v>
      </c>
      <c r="B913" s="570">
        <v>8</v>
      </c>
      <c r="C913" s="572" t="str">
        <f ca="1">IFERROR(VLOOKUP(B913,'Coverage Indicators - Section D'!$A$9:$AO$94,41,FALSE),"")</f>
        <v>KVP-2 Number of people with TB (all forms) notified among key affected populations/high risk groups (other than prisoners); *includes only those with new and relapse</v>
      </c>
      <c r="D913" s="574" t="str">
        <f ca="1">M913</f>
        <v/>
      </c>
      <c r="E913" s="574" t="str">
        <f ca="1">N913</f>
        <v/>
      </c>
      <c r="F913" s="127"/>
      <c r="G913" s="576" t="str">
        <f ca="1">IF(OR(INDIRECT("'update Helper'!E"&amp;Q913)="",F913&lt;&gt;0,F914&lt;&gt;0),IF(IFERROR((F913/F914),"")="","",(F913/F914)),INDIRECT("'update Helper'!E"&amp;Q913)/100)</f>
        <v/>
      </c>
      <c r="H913" s="539"/>
      <c r="I913" s="578"/>
      <c r="J913" s="532"/>
      <c r="K913" s="126">
        <f ca="1">IF(AND(EXACT(C913,C911),C911&lt;&gt;0),K911+1,0)</f>
        <v>6</v>
      </c>
      <c r="L913" s="126" t="str">
        <f t="shared" ref="L913" ca="1" si="1089">IF(C913&lt;&gt;"",C913&amp;"-"&amp;K913,"")</f>
        <v>KVP-2 Number of people with TB (all forms) notified among key affected populations/high risk groups (other than prisoners); *includes only those with new and relapse-6</v>
      </c>
      <c r="M913" s="126" t="str">
        <f t="array" aca="1" ref="M913" ca="1">IFERROR(IF(INDEX('Disaggregation Records'!$E$156:$E$517,MATCH(RIGHT(L913,255),RIGHT('Disaggregation Records'!$D$156:$D$517,255),0))="","",INDEX('Disaggregation Records'!$E$156:$E$517,MATCH(RIGHT(L913,255),RIGHT('Disaggregation Records'!$D$156:$D$517,255),0))),"")</f>
        <v/>
      </c>
      <c r="N913" s="126" t="str">
        <f t="array" aca="1" ref="N913" ca="1">IFERROR(IF(INDEX('Disaggregation Records'!$F$156:$F$517,MATCH(RIGHT(L913,255),RIGHT('Disaggregation Records'!$D$156:$D$517,255),0))="","",INDEX('Disaggregation Records'!$F$156:$F$517,MATCH(RIGHT(L913,255),RIGHT('Disaggregation Records'!$D$156:$D$517,255),0))),"")</f>
        <v/>
      </c>
      <c r="O913" s="314" t="str">
        <f t="array" aca="1" ref="O913" ca="1">IFERROR(IF(INDEX('Disaggregation Records'!$H$156:$H$517,MATCH(RIGHT(L913,255),RIGHT('Disaggregation Records'!$D$156:$D$517,255),0))="","",INDEX('Disaggregation Records'!$H$156:$H$517,MATCH(RIGHT(L913,255),RIGHT('Disaggregation Records'!$D$156:$D$517,255),0))),"")</f>
        <v/>
      </c>
      <c r="P913" s="314"/>
      <c r="Q913" s="310">
        <f t="shared" ref="Q913" si="1090">Q911+1</f>
        <v>1758</v>
      </c>
      <c r="R913" s="314" t="str" cm="1">
        <f t="array" aca="1" ref="R913" ca="1">IFERROR(IF(INDEX('Disaggregation Records'!$G$156:$G$517,MATCH(RIGHT(L913,255),RIGHT('Disaggregation Records'!$D$156:$D$517,255),0))="","",INDEX('Disaggregation Records'!$G$156:$G$517,MATCH(RIGHT(L913,255),RIGHT('Disaggregation Records'!$D$156:$D$517,255),0))),"")</f>
        <v/>
      </c>
    </row>
    <row r="914" spans="1:18" ht="20.100000000000001" customHeight="1">
      <c r="A914" s="126"/>
      <c r="B914" s="571"/>
      <c r="C914" s="573"/>
      <c r="D914" s="575"/>
      <c r="E914" s="575"/>
      <c r="F914" s="128"/>
      <c r="G914" s="577"/>
      <c r="H914" s="540"/>
      <c r="I914" s="579"/>
      <c r="J914" s="533"/>
      <c r="K914" s="126"/>
      <c r="L914" s="126"/>
      <c r="M914" s="126"/>
      <c r="N914" s="126"/>
      <c r="O914" s="314"/>
      <c r="P914" s="314"/>
      <c r="Q914" s="310"/>
      <c r="R914" s="314" t="str" cm="1">
        <f t="array" ref="R914">IFERROR(IF(INDEX('Disaggregation Records'!$G$156:$G$517,MATCH(RIGHT(L914,255),RIGHT('Disaggregation Records'!$D$156:$D$517,255),0))="","",INDEX('Disaggregation Records'!$G$156:$G$517,MATCH(RIGHT(L914,255),RIGHT('Disaggregation Records'!$D$156:$D$517,255),0))),"")</f>
        <v/>
      </c>
    </row>
    <row r="915" spans="1:18" ht="20.100000000000001" customHeight="1">
      <c r="A915" s="126" t="str">
        <f t="shared" ca="1" si="1058"/>
        <v>a16Dm000000M3sYIAS</v>
      </c>
      <c r="B915" s="570">
        <v>8</v>
      </c>
      <c r="C915" s="572" t="str">
        <f ca="1">IFERROR(VLOOKUP(B915,'Coverage Indicators - Section D'!$A$9:$AO$94,41,FALSE),"")</f>
        <v>KVP-2 Number of people with TB (all forms) notified among key affected populations/high risk groups (other than prisoners); *includes only those with new and relapse</v>
      </c>
      <c r="D915" s="574" t="str">
        <f ca="1">M915</f>
        <v/>
      </c>
      <c r="E915" s="574" t="str">
        <f ca="1">N915</f>
        <v/>
      </c>
      <c r="F915" s="127"/>
      <c r="G915" s="576" t="str">
        <f ca="1">IF(OR(INDIRECT("'update Helper'!E"&amp;Q915)="",F915&lt;&gt;0,F916&lt;&gt;0),IF(IFERROR((F915/F916),"")="","",(F915/F916)),INDIRECT("'update Helper'!E"&amp;Q915)/100)</f>
        <v/>
      </c>
      <c r="H915" s="539"/>
      <c r="I915" s="578"/>
      <c r="J915" s="532"/>
      <c r="K915" s="126">
        <f ca="1">IF(AND(EXACT(C915,C913),C913&lt;&gt;0),K913+1,0)</f>
        <v>7</v>
      </c>
      <c r="L915" s="126" t="str">
        <f t="shared" ref="L915" ca="1" si="1091">IF(C915&lt;&gt;"",C915&amp;"-"&amp;K915,"")</f>
        <v>KVP-2 Number of people with TB (all forms) notified among key affected populations/high risk groups (other than prisoners); *includes only those with new and relapse-7</v>
      </c>
      <c r="M915" s="126" t="str">
        <f t="array" aca="1" ref="M915" ca="1">IFERROR(IF(INDEX('Disaggregation Records'!$E$156:$E$517,MATCH(RIGHT(L915,255),RIGHT('Disaggregation Records'!$D$156:$D$517,255),0))="","",INDEX('Disaggregation Records'!$E$156:$E$517,MATCH(RIGHT(L915,255),RIGHT('Disaggregation Records'!$D$156:$D$517,255),0))),"")</f>
        <v/>
      </c>
      <c r="N915" s="126" t="str">
        <f t="array" aca="1" ref="N915" ca="1">IFERROR(IF(INDEX('Disaggregation Records'!$F$156:$F$517,MATCH(RIGHT(L915,255),RIGHT('Disaggregation Records'!$D$156:$D$517,255),0))="","",INDEX('Disaggregation Records'!$F$156:$F$517,MATCH(RIGHT(L915,255),RIGHT('Disaggregation Records'!$D$156:$D$517,255),0))),"")</f>
        <v/>
      </c>
      <c r="O915" s="314" t="str">
        <f t="array" aca="1" ref="O915" ca="1">IFERROR(IF(INDEX('Disaggregation Records'!$H$156:$H$517,MATCH(RIGHT(L915,255),RIGHT('Disaggregation Records'!$D$156:$D$517,255),0))="","",INDEX('Disaggregation Records'!$H$156:$H$517,MATCH(RIGHT(L915,255),RIGHT('Disaggregation Records'!$D$156:$D$517,255),0))),"")</f>
        <v/>
      </c>
      <c r="P915" s="310"/>
      <c r="Q915" s="310">
        <f t="shared" ref="Q915" si="1092">Q913+1</f>
        <v>1759</v>
      </c>
      <c r="R915" s="314" t="str" cm="1">
        <f t="array" aca="1" ref="R915" ca="1">IFERROR(IF(INDEX('Disaggregation Records'!$G$156:$G$517,MATCH(RIGHT(L915,255),RIGHT('Disaggregation Records'!$D$156:$D$517,255),0))="","",INDEX('Disaggregation Records'!$G$156:$G$517,MATCH(RIGHT(L915,255),RIGHT('Disaggregation Records'!$D$156:$D$517,255),0))),"")</f>
        <v/>
      </c>
    </row>
    <row r="916" spans="1:18" ht="20.100000000000001" customHeight="1">
      <c r="B916" s="571"/>
      <c r="C916" s="573"/>
      <c r="D916" s="575"/>
      <c r="E916" s="575"/>
      <c r="F916" s="128"/>
      <c r="G916" s="577"/>
      <c r="H916" s="540"/>
      <c r="I916" s="579"/>
      <c r="J916" s="533"/>
      <c r="L916" s="126"/>
      <c r="N916" s="126"/>
      <c r="O916" s="314"/>
      <c r="P916" s="310"/>
      <c r="Q916" s="310"/>
      <c r="R916" s="314" t="str" cm="1">
        <f t="array" ref="R916">IFERROR(IF(INDEX('Disaggregation Records'!$G$156:$G$517,MATCH(RIGHT(L916,255),RIGHT('Disaggregation Records'!$D$156:$D$517,255),0))="","",INDEX('Disaggregation Records'!$G$156:$G$517,MATCH(RIGHT(L916,255),RIGHT('Disaggregation Records'!$D$156:$D$517,255),0))),"")</f>
        <v/>
      </c>
    </row>
    <row r="917" spans="1:18" ht="20.100000000000001" customHeight="1">
      <c r="A917" s="126" t="str">
        <f t="shared" ca="1" si="1055"/>
        <v>a16Dm000000M3sZIAS</v>
      </c>
      <c r="B917" s="570">
        <v>8</v>
      </c>
      <c r="C917" s="572" t="str">
        <f ca="1">IFERROR(VLOOKUP(B917,'Coverage Indicators - Section D'!$A$9:$AO$94,41,FALSE),"")</f>
        <v>KVP-2 Number of people with TB (all forms) notified among key affected populations/high risk groups (other than prisoners); *includes only those with new and relapse</v>
      </c>
      <c r="D917" s="574" t="str">
        <f ca="1">M917</f>
        <v/>
      </c>
      <c r="E917" s="574" t="str">
        <f ca="1">N917</f>
        <v/>
      </c>
      <c r="F917" s="127"/>
      <c r="G917" s="576" t="str">
        <f ca="1">IF(OR(INDIRECT("'update Helper'!E"&amp;Q917)="",F917&lt;&gt;0,F918&lt;&gt;0),IF(IFERROR((F917/F918),"")="","",(F917/F918)),INDIRECT("'update Helper'!E"&amp;Q917)/100)</f>
        <v/>
      </c>
      <c r="H917" s="539"/>
      <c r="I917" s="578"/>
      <c r="J917" s="532"/>
      <c r="K917" s="126">
        <f ca="1">IF(AND(EXACT(C917,C915),C915&lt;&gt;0),K915+1,0)</f>
        <v>8</v>
      </c>
      <c r="L917" s="126" t="str">
        <f t="shared" ref="L917" ca="1" si="1093">IF(C917&lt;&gt;"",C917&amp;"-"&amp;K917,"")</f>
        <v>KVP-2 Number of people with TB (all forms) notified among key affected populations/high risk groups (other than prisoners); *includes only those with new and relapse-8</v>
      </c>
      <c r="M917" s="126" t="str">
        <f t="array" aca="1" ref="M917" ca="1">IFERROR(IF(INDEX('Disaggregation Records'!$E$156:$E$517,MATCH(RIGHT(L917,255),RIGHT('Disaggregation Records'!$D$156:$D$517,255),0))="","",INDEX('Disaggregation Records'!$E$156:$E$517,MATCH(RIGHT(L917,255),RIGHT('Disaggregation Records'!$D$156:$D$517,255),0))),"")</f>
        <v/>
      </c>
      <c r="N917" s="126" t="str">
        <f t="array" aca="1" ref="N917" ca="1">IFERROR(IF(INDEX('Disaggregation Records'!$F$156:$F$517,MATCH(RIGHT(L917,255),RIGHT('Disaggregation Records'!$D$156:$D$517,255),0))="","",INDEX('Disaggregation Records'!$F$156:$F$517,MATCH(RIGHT(L917,255),RIGHT('Disaggregation Records'!$D$156:$D$517,255),0))),"")</f>
        <v/>
      </c>
      <c r="O917" s="314" t="str">
        <f t="array" aca="1" ref="O917" ca="1">IFERROR(IF(INDEX('Disaggregation Records'!$H$156:$H$517,MATCH(RIGHT(L917,255),RIGHT('Disaggregation Records'!$D$156:$D$517,255),0))="","",INDEX('Disaggregation Records'!$H$156:$H$517,MATCH(RIGHT(L917,255),RIGHT('Disaggregation Records'!$D$156:$D$517,255),0))),"")</f>
        <v/>
      </c>
      <c r="P917" s="310"/>
      <c r="Q917" s="310">
        <f t="shared" ref="Q917" si="1094">Q915+1</f>
        <v>1760</v>
      </c>
      <c r="R917" s="314" t="str" cm="1">
        <f t="array" aca="1" ref="R917" ca="1">IFERROR(IF(INDEX('Disaggregation Records'!$G$156:$G$517,MATCH(RIGHT(L917,255),RIGHT('Disaggregation Records'!$D$156:$D$517,255),0))="","",INDEX('Disaggregation Records'!$G$156:$G$517,MATCH(RIGHT(L917,255),RIGHT('Disaggregation Records'!$D$156:$D$517,255),0))),"")</f>
        <v/>
      </c>
    </row>
    <row r="918" spans="1:18" ht="20.100000000000001" customHeight="1">
      <c r="A918" s="126"/>
      <c r="B918" s="571"/>
      <c r="C918" s="573"/>
      <c r="D918" s="575"/>
      <c r="E918" s="575"/>
      <c r="F918" s="128"/>
      <c r="G918" s="577"/>
      <c r="H918" s="540"/>
      <c r="I918" s="579"/>
      <c r="J918" s="533"/>
      <c r="L918" s="126"/>
      <c r="N918" s="126"/>
      <c r="O918" s="314"/>
      <c r="P918" s="310"/>
      <c r="Q918" s="310"/>
      <c r="R918" s="314" t="str" cm="1">
        <f t="array" ref="R918">IFERROR(IF(INDEX('Disaggregation Records'!$G$156:$G$517,MATCH(RIGHT(L918,255),RIGHT('Disaggregation Records'!$D$156:$D$517,255),0))="","",INDEX('Disaggregation Records'!$G$156:$G$517,MATCH(RIGHT(L918,255),RIGHT('Disaggregation Records'!$D$156:$D$517,255),0))),"")</f>
        <v/>
      </c>
    </row>
    <row r="919" spans="1:18" ht="20.100000000000001" customHeight="1">
      <c r="A919" s="126" t="str">
        <f t="shared" ca="1" si="1058"/>
        <v>a16Dm000000M3saIAC</v>
      </c>
      <c r="B919" s="570">
        <v>8</v>
      </c>
      <c r="C919" s="572" t="str">
        <f ca="1">IFERROR(VLOOKUP(B919,'Coverage Indicators - Section D'!$A$9:$AO$94,41,FALSE),"")</f>
        <v>KVP-2 Number of people with TB (all forms) notified among key affected populations/high risk groups (other than prisoners); *includes only those with new and relapse</v>
      </c>
      <c r="D919" s="574" t="str">
        <f ca="1">M919</f>
        <v/>
      </c>
      <c r="E919" s="574" t="str">
        <f ca="1">N919</f>
        <v/>
      </c>
      <c r="F919" s="127"/>
      <c r="G919" s="576" t="str">
        <f ca="1">IF(OR(INDIRECT("'update Helper'!E"&amp;Q919)="",F919&lt;&gt;0,F920&lt;&gt;0),IF(IFERROR((F919/F920),"")="","",(F919/F920)),INDIRECT("'update Helper'!E"&amp;Q919)/100)</f>
        <v/>
      </c>
      <c r="H919" s="539"/>
      <c r="I919" s="578"/>
      <c r="J919" s="532"/>
      <c r="K919" s="126">
        <f ca="1">IF(AND(EXACT(C919,C917),C917&lt;&gt;0),K917+1,0)</f>
        <v>9</v>
      </c>
      <c r="L919" s="126" t="str">
        <f t="shared" ref="L919" ca="1" si="1095">IF(C919&lt;&gt;"",C919&amp;"-"&amp;K919,"")</f>
        <v>KVP-2 Number of people with TB (all forms) notified among key affected populations/high risk groups (other than prisoners); *includes only those with new and relapse-9</v>
      </c>
      <c r="M919" s="126" t="str">
        <f t="array" aca="1" ref="M919" ca="1">IFERROR(IF(INDEX('Disaggregation Records'!$E$156:$E$517,MATCH(RIGHT(L919,255),RIGHT('Disaggregation Records'!$D$156:$D$517,255),0))="","",INDEX('Disaggregation Records'!$E$156:$E$517,MATCH(RIGHT(L919,255),RIGHT('Disaggregation Records'!$D$156:$D$517,255),0))),"")</f>
        <v/>
      </c>
      <c r="N919" s="126" t="str">
        <f t="array" aca="1" ref="N919" ca="1">IFERROR(IF(INDEX('Disaggregation Records'!$F$156:$F$517,MATCH(RIGHT(L919,255),RIGHT('Disaggregation Records'!$D$156:$D$517,255),0))="","",INDEX('Disaggregation Records'!$F$156:$F$517,MATCH(RIGHT(L919,255),RIGHT('Disaggregation Records'!$D$156:$D$517,255),0))),"")</f>
        <v/>
      </c>
      <c r="O919" s="314" t="str">
        <f t="array" aca="1" ref="O919" ca="1">IFERROR(IF(INDEX('Disaggregation Records'!$H$156:$H$517,MATCH(RIGHT(L919,255),RIGHT('Disaggregation Records'!$D$156:$D$517,255),0))="","",INDEX('Disaggregation Records'!$H$156:$H$517,MATCH(RIGHT(L919,255),RIGHT('Disaggregation Records'!$D$156:$D$517,255),0))),"")</f>
        <v/>
      </c>
      <c r="P919" s="310"/>
      <c r="Q919" s="310">
        <f t="shared" ref="Q919" si="1096">Q917+1</f>
        <v>1761</v>
      </c>
      <c r="R919" s="314" t="str" cm="1">
        <f t="array" aca="1" ref="R919" ca="1">IFERROR(IF(INDEX('Disaggregation Records'!$G$156:$G$517,MATCH(RIGHT(L919,255),RIGHT('Disaggregation Records'!$D$156:$D$517,255),0))="","",INDEX('Disaggregation Records'!$G$156:$G$517,MATCH(RIGHT(L919,255),RIGHT('Disaggregation Records'!$D$156:$D$517,255),0))),"")</f>
        <v/>
      </c>
    </row>
    <row r="920" spans="1:18" ht="20.100000000000001" customHeight="1">
      <c r="B920" s="571"/>
      <c r="C920" s="573"/>
      <c r="D920" s="575"/>
      <c r="E920" s="575"/>
      <c r="F920" s="128"/>
      <c r="G920" s="577"/>
      <c r="H920" s="540"/>
      <c r="I920" s="579"/>
      <c r="J920" s="533"/>
      <c r="L920" s="126"/>
      <c r="N920" s="126"/>
      <c r="O920" s="314"/>
      <c r="P920" s="310"/>
      <c r="Q920" s="310"/>
      <c r="R920" s="314" t="str" cm="1">
        <f t="array" ref="R920">IFERROR(IF(INDEX('Disaggregation Records'!$G$156:$G$517,MATCH(RIGHT(L920,255),RIGHT('Disaggregation Records'!$D$156:$D$517,255),0))="","",INDEX('Disaggregation Records'!$G$156:$G$517,MATCH(RIGHT(L920,255),RIGHT('Disaggregation Records'!$D$156:$D$517,255),0))),"")</f>
        <v/>
      </c>
    </row>
    <row r="921" spans="1:18" ht="20.100000000000001" customHeight="1">
      <c r="A921" s="126" t="str">
        <f t="shared" ca="1" si="1055"/>
        <v>a16Dm000000M3sbIAC</v>
      </c>
      <c r="B921" s="570">
        <v>8</v>
      </c>
      <c r="C921" s="572" t="str">
        <f ca="1">IFERROR(VLOOKUP(B921,'Coverage Indicators - Section D'!$A$9:$AO$94,41,FALSE),"")</f>
        <v>KVP-2 Number of people with TB (all forms) notified among key affected populations/high risk groups (other than prisoners); *includes only those with new and relapse</v>
      </c>
      <c r="D921" s="574" t="str">
        <f ca="1">M921</f>
        <v/>
      </c>
      <c r="E921" s="574" t="str">
        <f ca="1">N921</f>
        <v/>
      </c>
      <c r="F921" s="127"/>
      <c r="G921" s="576" t="str">
        <f ca="1">IF(OR(INDIRECT("'update Helper'!E"&amp;Q921)="",F921&lt;&gt;0,F922&lt;&gt;0),IF(IFERROR((F921/F922),"")="","",(F921/F922)),INDIRECT("'update Helper'!E"&amp;Q921)/100)</f>
        <v/>
      </c>
      <c r="H921" s="539"/>
      <c r="I921" s="578"/>
      <c r="J921" s="532"/>
      <c r="K921" s="126">
        <f ca="1">IF(AND(EXACT(C921,C919),C919&lt;&gt;0),K919+1,0)</f>
        <v>10</v>
      </c>
      <c r="L921" s="126" t="str">
        <f t="shared" ref="L921" ca="1" si="1097">IF(C921&lt;&gt;"",C921&amp;"-"&amp;K921,"")</f>
        <v>KVP-2 Number of people with TB (all forms) notified among key affected populations/high risk groups (other than prisoners); *includes only those with new and relapse-10</v>
      </c>
      <c r="M921" s="126" t="str">
        <f t="array" aca="1" ref="M921" ca="1">IFERROR(IF(INDEX('Disaggregation Records'!$E$156:$E$517,MATCH(RIGHT(L921,255),RIGHT('Disaggregation Records'!$D$156:$D$517,255),0))="","",INDEX('Disaggregation Records'!$E$156:$E$517,MATCH(RIGHT(L921,255),RIGHT('Disaggregation Records'!$D$156:$D$517,255),0))),"")</f>
        <v/>
      </c>
      <c r="N921" s="126" t="str">
        <f t="array" aca="1" ref="N921" ca="1">IFERROR(IF(INDEX('Disaggregation Records'!$F$156:$F$517,MATCH(RIGHT(L921,255),RIGHT('Disaggregation Records'!$D$156:$D$517,255),0))="","",INDEX('Disaggregation Records'!$F$156:$F$517,MATCH(RIGHT(L921,255),RIGHT('Disaggregation Records'!$D$156:$D$517,255),0))),"")</f>
        <v/>
      </c>
      <c r="O921" s="314" t="str">
        <f t="array" aca="1" ref="O921" ca="1">IFERROR(IF(INDEX('Disaggregation Records'!$H$156:$H$517,MATCH(RIGHT(L921,255),RIGHT('Disaggregation Records'!$D$156:$D$517,255),0))="","",INDEX('Disaggregation Records'!$H$156:$H$517,MATCH(RIGHT(L921,255),RIGHT('Disaggregation Records'!$D$156:$D$517,255),0))),"")</f>
        <v/>
      </c>
      <c r="P921" s="314"/>
      <c r="Q921" s="310">
        <f t="shared" ref="Q921" si="1098">Q919+1</f>
        <v>1762</v>
      </c>
      <c r="R921" s="314" t="str" cm="1">
        <f t="array" aca="1" ref="R921" ca="1">IFERROR(IF(INDEX('Disaggregation Records'!$G$156:$G$517,MATCH(RIGHT(L921,255),RIGHT('Disaggregation Records'!$D$156:$D$517,255),0))="","",INDEX('Disaggregation Records'!$G$156:$G$517,MATCH(RIGHT(L921,255),RIGHT('Disaggregation Records'!$D$156:$D$517,255),0))),"")</f>
        <v/>
      </c>
    </row>
    <row r="922" spans="1:18" ht="20.100000000000001" customHeight="1">
      <c r="A922" s="126"/>
      <c r="B922" s="571"/>
      <c r="C922" s="573"/>
      <c r="D922" s="575"/>
      <c r="E922" s="575"/>
      <c r="F922" s="128"/>
      <c r="G922" s="577"/>
      <c r="H922" s="540"/>
      <c r="I922" s="579"/>
      <c r="J922" s="533"/>
      <c r="K922" s="126"/>
      <c r="L922" s="126"/>
      <c r="M922" s="126"/>
      <c r="N922" s="126"/>
      <c r="O922" s="314"/>
      <c r="P922" s="314"/>
      <c r="Q922" s="310"/>
      <c r="R922" s="314" t="str" cm="1">
        <f t="array" ref="R922">IFERROR(IF(INDEX('Disaggregation Records'!$G$156:$G$517,MATCH(RIGHT(L922,255),RIGHT('Disaggregation Records'!$D$156:$D$517,255),0))="","",INDEX('Disaggregation Records'!$G$156:$G$517,MATCH(RIGHT(L922,255),RIGHT('Disaggregation Records'!$D$156:$D$517,255),0))),"")</f>
        <v/>
      </c>
    </row>
    <row r="923" spans="1:18" ht="20.100000000000001" customHeight="1">
      <c r="A923" s="126" t="str">
        <f t="shared" ca="1" si="1058"/>
        <v>a16Dm000000M3scIAC</v>
      </c>
      <c r="B923" s="570">
        <v>8</v>
      </c>
      <c r="C923" s="572" t="str">
        <f ca="1">IFERROR(VLOOKUP(B923,'Coverage Indicators - Section D'!$A$9:$AO$94,41,FALSE),"")</f>
        <v>KVP-2 Number of people with TB (all forms) notified among key affected populations/high risk groups (other than prisoners); *includes only those with new and relapse</v>
      </c>
      <c r="D923" s="574" t="str">
        <f ca="1">M923</f>
        <v/>
      </c>
      <c r="E923" s="574" t="str">
        <f ca="1">N923</f>
        <v/>
      </c>
      <c r="F923" s="127"/>
      <c r="G923" s="576" t="str">
        <f ca="1">IF(OR(INDIRECT("'update Helper'!E"&amp;Q923)="",F923&lt;&gt;0,F924&lt;&gt;0),IF(IFERROR((F923/F924),"")="","",(F923/F924)),INDIRECT("'update Helper'!E"&amp;Q923)/100)</f>
        <v/>
      </c>
      <c r="H923" s="539"/>
      <c r="I923" s="578"/>
      <c r="J923" s="532"/>
      <c r="K923" s="126">
        <f ca="1">IF(AND(EXACT(C923,C921),C921&lt;&gt;0),K921+1,0)</f>
        <v>11</v>
      </c>
      <c r="L923" s="126" t="str">
        <f t="shared" ref="L923" ca="1" si="1099">IF(C923&lt;&gt;"",C923&amp;"-"&amp;K923,"")</f>
        <v>KVP-2 Number of people with TB (all forms) notified among key affected populations/high risk groups (other than prisoners); *includes only those with new and relapse-11</v>
      </c>
      <c r="M923" s="126" t="str">
        <f t="array" aca="1" ref="M923" ca="1">IFERROR(IF(INDEX('Disaggregation Records'!$E$156:$E$517,MATCH(RIGHT(L923,255),RIGHT('Disaggregation Records'!$D$156:$D$517,255),0))="","",INDEX('Disaggregation Records'!$E$156:$E$517,MATCH(RIGHT(L923,255),RIGHT('Disaggregation Records'!$D$156:$D$517,255),0))),"")</f>
        <v/>
      </c>
      <c r="N923" s="126" t="str">
        <f t="array" aca="1" ref="N923" ca="1">IFERROR(IF(INDEX('Disaggregation Records'!$F$156:$F$517,MATCH(RIGHT(L923,255),RIGHT('Disaggregation Records'!$D$156:$D$517,255),0))="","",INDEX('Disaggregation Records'!$F$156:$F$517,MATCH(RIGHT(L923,255),RIGHT('Disaggregation Records'!$D$156:$D$517,255),0))),"")</f>
        <v/>
      </c>
      <c r="O923" s="314" t="str">
        <f t="array" aca="1" ref="O923" ca="1">IFERROR(IF(INDEX('Disaggregation Records'!$H$156:$H$517,MATCH(RIGHT(L923,255),RIGHT('Disaggregation Records'!$D$156:$D$517,255),0))="","",INDEX('Disaggregation Records'!$H$156:$H$517,MATCH(RIGHT(L923,255),RIGHT('Disaggregation Records'!$D$156:$D$517,255),0))),"")</f>
        <v/>
      </c>
      <c r="P923" s="314"/>
      <c r="Q923" s="310">
        <f t="shared" ref="Q923" si="1100">Q921+1</f>
        <v>1763</v>
      </c>
      <c r="R923" s="314" t="str" cm="1">
        <f t="array" aca="1" ref="R923" ca="1">IFERROR(IF(INDEX('Disaggregation Records'!$G$156:$G$517,MATCH(RIGHT(L923,255),RIGHT('Disaggregation Records'!$D$156:$D$517,255),0))="","",INDEX('Disaggregation Records'!$G$156:$G$517,MATCH(RIGHT(L923,255),RIGHT('Disaggregation Records'!$D$156:$D$517,255),0))),"")</f>
        <v/>
      </c>
    </row>
    <row r="924" spans="1:18" ht="20.100000000000001" customHeight="1">
      <c r="B924" s="571"/>
      <c r="C924" s="573"/>
      <c r="D924" s="575"/>
      <c r="E924" s="575"/>
      <c r="F924" s="128"/>
      <c r="G924" s="577"/>
      <c r="H924" s="540"/>
      <c r="I924" s="579"/>
      <c r="J924" s="533"/>
      <c r="K924" s="126"/>
      <c r="L924" s="126"/>
      <c r="M924" s="126"/>
      <c r="N924" s="126"/>
      <c r="O924" s="314"/>
      <c r="P924" s="314"/>
      <c r="Q924" s="310"/>
      <c r="R924" s="314" t="str" cm="1">
        <f t="array" ref="R924">IFERROR(IF(INDEX('Disaggregation Records'!$G$156:$G$517,MATCH(RIGHT(L924,255),RIGHT('Disaggregation Records'!$D$156:$D$517,255),0))="","",INDEX('Disaggregation Records'!$G$156:$G$517,MATCH(RIGHT(L924,255),RIGHT('Disaggregation Records'!$D$156:$D$517,255),0))),"")</f>
        <v/>
      </c>
    </row>
    <row r="925" spans="1:18" ht="20.100000000000001" customHeight="1">
      <c r="A925" s="126" t="str">
        <f t="shared" ca="1" si="1055"/>
        <v>a16Dm000000M3sdIAC</v>
      </c>
      <c r="B925" s="570">
        <v>8</v>
      </c>
      <c r="C925" s="572" t="str">
        <f ca="1">IFERROR(VLOOKUP(B925,'Coverage Indicators - Section D'!$A$9:$AO$94,41,FALSE),"")</f>
        <v>KVP-2 Number of people with TB (all forms) notified among key affected populations/high risk groups (other than prisoners); *includes only those with new and relapse</v>
      </c>
      <c r="D925" s="574" t="str">
        <f ca="1">M925</f>
        <v/>
      </c>
      <c r="E925" s="574" t="str">
        <f ca="1">N925</f>
        <v/>
      </c>
      <c r="F925" s="127"/>
      <c r="G925" s="576" t="str">
        <f ca="1">IF(OR(INDIRECT("'update Helper'!E"&amp;Q925)="",F925&lt;&gt;0,F926&lt;&gt;0),IF(IFERROR((F925/F926),"")="","",(F925/F926)),INDIRECT("'update Helper'!E"&amp;Q925)/100)</f>
        <v/>
      </c>
      <c r="H925" s="539"/>
      <c r="I925" s="578"/>
      <c r="J925" s="532"/>
      <c r="K925" s="126">
        <f ca="1">IF(AND(EXACT(C925,C923),C923&lt;&gt;0),K923+1,0)</f>
        <v>12</v>
      </c>
      <c r="L925" s="126" t="str">
        <f t="shared" ref="L925" ca="1" si="1101">IF(C925&lt;&gt;"",C925&amp;"-"&amp;K925,"")</f>
        <v>KVP-2 Number of people with TB (all forms) notified among key affected populations/high risk groups (other than prisoners); *includes only those with new and relapse-12</v>
      </c>
      <c r="M925" s="126" t="str">
        <f t="array" aca="1" ref="M925" ca="1">IFERROR(IF(INDEX('Disaggregation Records'!$E$156:$E$517,MATCH(RIGHT(L925,255),RIGHT('Disaggregation Records'!$D$156:$D$517,255),0))="","",INDEX('Disaggregation Records'!$E$156:$E$517,MATCH(RIGHT(L925,255),RIGHT('Disaggregation Records'!$D$156:$D$517,255),0))),"")</f>
        <v/>
      </c>
      <c r="N925" s="126" t="str">
        <f t="array" aca="1" ref="N925" ca="1">IFERROR(IF(INDEX('Disaggregation Records'!$F$156:$F$517,MATCH(RIGHT(L925,255),RIGHT('Disaggregation Records'!$D$156:$D$517,255),0))="","",INDEX('Disaggregation Records'!$F$156:$F$517,MATCH(RIGHT(L925,255),RIGHT('Disaggregation Records'!$D$156:$D$517,255),0))),"")</f>
        <v/>
      </c>
      <c r="O925" s="314" t="str">
        <f t="array" aca="1" ref="O925" ca="1">IFERROR(IF(INDEX('Disaggregation Records'!$H$156:$H$517,MATCH(RIGHT(L925,255),RIGHT('Disaggregation Records'!$D$156:$D$517,255),0))="","",INDEX('Disaggregation Records'!$H$156:$H$517,MATCH(RIGHT(L925,255),RIGHT('Disaggregation Records'!$D$156:$D$517,255),0))),"")</f>
        <v/>
      </c>
      <c r="P925" s="310"/>
      <c r="Q925" s="310">
        <f t="shared" ref="Q925" si="1102">Q923+1</f>
        <v>1764</v>
      </c>
      <c r="R925" s="314" t="str" cm="1">
        <f t="array" aca="1" ref="R925" ca="1">IFERROR(IF(INDEX('Disaggregation Records'!$G$156:$G$517,MATCH(RIGHT(L925,255),RIGHT('Disaggregation Records'!$D$156:$D$517,255),0))="","",INDEX('Disaggregation Records'!$G$156:$G$517,MATCH(RIGHT(L925,255),RIGHT('Disaggregation Records'!$D$156:$D$517,255),0))),"")</f>
        <v/>
      </c>
    </row>
    <row r="926" spans="1:18" ht="20.100000000000001" customHeight="1">
      <c r="A926" s="126"/>
      <c r="B926" s="571"/>
      <c r="C926" s="573"/>
      <c r="D926" s="575"/>
      <c r="E926" s="575"/>
      <c r="F926" s="128"/>
      <c r="G926" s="577"/>
      <c r="H926" s="540"/>
      <c r="I926" s="579"/>
      <c r="J926" s="533"/>
      <c r="L926" s="126"/>
      <c r="N926" s="126"/>
      <c r="O926" s="314"/>
      <c r="P926" s="310"/>
      <c r="Q926" s="310"/>
      <c r="R926" s="314" t="str" cm="1">
        <f t="array" ref="R926">IFERROR(IF(INDEX('Disaggregation Records'!$G$156:$G$517,MATCH(RIGHT(L926,255),RIGHT('Disaggregation Records'!$D$156:$D$517,255),0))="","",INDEX('Disaggregation Records'!$G$156:$G$517,MATCH(RIGHT(L926,255),RIGHT('Disaggregation Records'!$D$156:$D$517,255),0))),"")</f>
        <v/>
      </c>
    </row>
    <row r="927" spans="1:18" ht="20.100000000000001" customHeight="1">
      <c r="A927" s="126" t="str">
        <f t="shared" ca="1" si="1058"/>
        <v>a16Dm000000M3seIAC</v>
      </c>
      <c r="B927" s="570">
        <v>8</v>
      </c>
      <c r="C927" s="572" t="str">
        <f ca="1">IFERROR(VLOOKUP(B927,'Coverage Indicators - Section D'!$A$9:$AO$94,41,FALSE),"")</f>
        <v>KVP-2 Number of people with TB (all forms) notified among key affected populations/high risk groups (other than prisoners); *includes only those with new and relapse</v>
      </c>
      <c r="D927" s="574" t="str">
        <f ca="1">M927</f>
        <v/>
      </c>
      <c r="E927" s="574" t="str">
        <f ca="1">N927</f>
        <v/>
      </c>
      <c r="F927" s="127"/>
      <c r="G927" s="576" t="str">
        <f ca="1">IF(OR(INDIRECT("'update Helper'!E"&amp;Q927)="",F927&lt;&gt;0,F928&lt;&gt;0),IF(IFERROR((F927/F928),"")="","",(F927/F928)),INDIRECT("'update Helper'!E"&amp;Q927)/100)</f>
        <v/>
      </c>
      <c r="H927" s="539"/>
      <c r="I927" s="578"/>
      <c r="J927" s="532"/>
      <c r="K927" s="126">
        <f ca="1">IF(AND(EXACT(C927,C925),C925&lt;&gt;0),K925+1,0)</f>
        <v>13</v>
      </c>
      <c r="L927" s="126" t="str">
        <f t="shared" ref="L927" ca="1" si="1103">IF(C927&lt;&gt;"",C927&amp;"-"&amp;K927,"")</f>
        <v>KVP-2 Number of people with TB (all forms) notified among key affected populations/high risk groups (other than prisoners); *includes only those with new and relapse-13</v>
      </c>
      <c r="M927" s="126" t="str">
        <f t="array" aca="1" ref="M927" ca="1">IFERROR(IF(INDEX('Disaggregation Records'!$E$156:$E$517,MATCH(RIGHT(L927,255),RIGHT('Disaggregation Records'!$D$156:$D$517,255),0))="","",INDEX('Disaggregation Records'!$E$156:$E$517,MATCH(RIGHT(L927,255),RIGHT('Disaggregation Records'!$D$156:$D$517,255),0))),"")</f>
        <v/>
      </c>
      <c r="N927" s="126" t="str">
        <f t="array" aca="1" ref="N927" ca="1">IFERROR(IF(INDEX('Disaggregation Records'!$F$156:$F$517,MATCH(RIGHT(L927,255),RIGHT('Disaggregation Records'!$D$156:$D$517,255),0))="","",INDEX('Disaggregation Records'!$F$156:$F$517,MATCH(RIGHT(L927,255),RIGHT('Disaggregation Records'!$D$156:$D$517,255),0))),"")</f>
        <v/>
      </c>
      <c r="O927" s="314" t="str">
        <f t="array" aca="1" ref="O927" ca="1">IFERROR(IF(INDEX('Disaggregation Records'!$H$156:$H$517,MATCH(RIGHT(L927,255),RIGHT('Disaggregation Records'!$D$156:$D$517,255),0))="","",INDEX('Disaggregation Records'!$H$156:$H$517,MATCH(RIGHT(L927,255),RIGHT('Disaggregation Records'!$D$156:$D$517,255),0))),"")</f>
        <v/>
      </c>
      <c r="P927" s="310"/>
      <c r="Q927" s="310">
        <f t="shared" ref="Q927" si="1104">Q925+1</f>
        <v>1765</v>
      </c>
      <c r="R927" s="314" t="str" cm="1">
        <f t="array" aca="1" ref="R927" ca="1">IFERROR(IF(INDEX('Disaggregation Records'!$G$156:$G$517,MATCH(RIGHT(L927,255),RIGHT('Disaggregation Records'!$D$156:$D$517,255),0))="","",INDEX('Disaggregation Records'!$G$156:$G$517,MATCH(RIGHT(L927,255),RIGHT('Disaggregation Records'!$D$156:$D$517,255),0))),"")</f>
        <v/>
      </c>
    </row>
    <row r="928" spans="1:18" ht="20.100000000000001" customHeight="1">
      <c r="B928" s="571"/>
      <c r="C928" s="573"/>
      <c r="D928" s="575"/>
      <c r="E928" s="575"/>
      <c r="F928" s="128"/>
      <c r="G928" s="577"/>
      <c r="H928" s="540"/>
      <c r="I928" s="579"/>
      <c r="J928" s="533"/>
      <c r="L928" s="126"/>
      <c r="N928" s="126"/>
      <c r="O928" s="314"/>
      <c r="P928" s="310"/>
      <c r="Q928" s="310"/>
      <c r="R928" s="314" t="str" cm="1">
        <f t="array" ref="R928">IFERROR(IF(INDEX('Disaggregation Records'!$G$156:$G$517,MATCH(RIGHT(L928,255),RIGHT('Disaggregation Records'!$D$156:$D$517,255),0))="","",INDEX('Disaggregation Records'!$G$156:$G$517,MATCH(RIGHT(L928,255),RIGHT('Disaggregation Records'!$D$156:$D$517,255),0))),"")</f>
        <v/>
      </c>
    </row>
    <row r="929" spans="1:18" ht="20.100000000000001" customHeight="1">
      <c r="A929" s="126" t="str">
        <f t="shared" ca="1" si="1055"/>
        <v>a16Dm000000M3sfIAC</v>
      </c>
      <c r="B929" s="570">
        <v>8</v>
      </c>
      <c r="C929" s="572" t="str">
        <f ca="1">IFERROR(VLOOKUP(B929,'Coverage Indicators - Section D'!$A$9:$AO$94,41,FALSE),"")</f>
        <v>KVP-2 Number of people with TB (all forms) notified among key affected populations/high risk groups (other than prisoners); *includes only those with new and relapse</v>
      </c>
      <c r="D929" s="574" t="str">
        <f ca="1">M929</f>
        <v/>
      </c>
      <c r="E929" s="574" t="str">
        <f ca="1">N929</f>
        <v/>
      </c>
      <c r="F929" s="127"/>
      <c r="G929" s="576" t="str">
        <f ca="1">IF(OR(INDIRECT("'update Helper'!E"&amp;Q929)="",F929&lt;&gt;0,F930&lt;&gt;0),IF(IFERROR((F929/F930),"")="","",(F929/F930)),INDIRECT("'update Helper'!E"&amp;Q929)/100)</f>
        <v/>
      </c>
      <c r="H929" s="539"/>
      <c r="I929" s="578"/>
      <c r="J929" s="532"/>
      <c r="K929" s="126">
        <f ca="1">IF(AND(EXACT(C929,C927),C927&lt;&gt;0),K927+1,0)</f>
        <v>14</v>
      </c>
      <c r="L929" s="126" t="str">
        <f t="shared" ref="L929" ca="1" si="1105">IF(C929&lt;&gt;"",C929&amp;"-"&amp;K929,"")</f>
        <v>KVP-2 Number of people with TB (all forms) notified among key affected populations/high risk groups (other than prisoners); *includes only those with new and relapse-14</v>
      </c>
      <c r="M929" s="126" t="str">
        <f t="array" aca="1" ref="M929" ca="1">IFERROR(IF(INDEX('Disaggregation Records'!$E$156:$E$517,MATCH(RIGHT(L929,255),RIGHT('Disaggregation Records'!$D$156:$D$517,255),0))="","",INDEX('Disaggregation Records'!$E$156:$E$517,MATCH(RIGHT(L929,255),RIGHT('Disaggregation Records'!$D$156:$D$517,255),0))),"")</f>
        <v/>
      </c>
      <c r="N929" s="126" t="str">
        <f t="array" aca="1" ref="N929" ca="1">IFERROR(IF(INDEX('Disaggregation Records'!$F$156:$F$517,MATCH(RIGHT(L929,255),RIGHT('Disaggregation Records'!$D$156:$D$517,255),0))="","",INDEX('Disaggregation Records'!$F$156:$F$517,MATCH(RIGHT(L929,255),RIGHT('Disaggregation Records'!$D$156:$D$517,255),0))),"")</f>
        <v/>
      </c>
      <c r="O929" s="314" t="str">
        <f t="array" aca="1" ref="O929" ca="1">IFERROR(IF(INDEX('Disaggregation Records'!$H$156:$H$517,MATCH(RIGHT(L929,255),RIGHT('Disaggregation Records'!$D$156:$D$517,255),0))="","",INDEX('Disaggregation Records'!$H$156:$H$517,MATCH(RIGHT(L929,255),RIGHT('Disaggregation Records'!$D$156:$D$517,255),0))),"")</f>
        <v/>
      </c>
      <c r="P929" s="310"/>
      <c r="Q929" s="310">
        <f t="shared" ref="Q929" si="1106">Q927+1</f>
        <v>1766</v>
      </c>
      <c r="R929" s="314" t="str" cm="1">
        <f t="array" aca="1" ref="R929" ca="1">IFERROR(IF(INDEX('Disaggregation Records'!$G$156:$G$517,MATCH(RIGHT(L929,255),RIGHT('Disaggregation Records'!$D$156:$D$517,255),0))="","",INDEX('Disaggregation Records'!$G$156:$G$517,MATCH(RIGHT(L929,255),RIGHT('Disaggregation Records'!$D$156:$D$517,255),0))),"")</f>
        <v/>
      </c>
    </row>
    <row r="930" spans="1:18" ht="20.100000000000001" customHeight="1">
      <c r="A930" s="126"/>
      <c r="B930" s="571"/>
      <c r="C930" s="573"/>
      <c r="D930" s="575"/>
      <c r="E930" s="575"/>
      <c r="F930" s="128"/>
      <c r="G930" s="577"/>
      <c r="H930" s="540"/>
      <c r="I930" s="579"/>
      <c r="J930" s="533"/>
      <c r="L930" s="126"/>
      <c r="N930" s="126"/>
      <c r="O930" s="314"/>
      <c r="P930" s="310"/>
      <c r="Q930" s="310"/>
      <c r="R930" s="314" t="str" cm="1">
        <f t="array" ref="R930">IFERROR(IF(INDEX('Disaggregation Records'!$G$156:$G$517,MATCH(RIGHT(L930,255),RIGHT('Disaggregation Records'!$D$156:$D$517,255),0))="","",INDEX('Disaggregation Records'!$G$156:$G$517,MATCH(RIGHT(L930,255),RIGHT('Disaggregation Records'!$D$156:$D$517,255),0))),"")</f>
        <v/>
      </c>
    </row>
    <row r="931" spans="1:18" ht="20.100000000000001" customHeight="1">
      <c r="A931" s="126" t="str">
        <f t="shared" ca="1" si="1058"/>
        <v>a16Dm000000M3sgIAC</v>
      </c>
      <c r="B931" s="570">
        <v>8</v>
      </c>
      <c r="C931" s="572" t="str">
        <f ca="1">IFERROR(VLOOKUP(B931,'Coverage Indicators - Section D'!$A$9:$AO$94,41,FALSE),"")</f>
        <v>KVP-2 Number of people with TB (all forms) notified among key affected populations/high risk groups (other than prisoners); *includes only those with new and relapse</v>
      </c>
      <c r="D931" s="574" t="str">
        <f ca="1">M931</f>
        <v/>
      </c>
      <c r="E931" s="574" t="str">
        <f ca="1">N931</f>
        <v/>
      </c>
      <c r="F931" s="127"/>
      <c r="G931" s="576" t="str">
        <f ca="1">IF(OR(INDIRECT("'update Helper'!E"&amp;Q931)="",F931&lt;&gt;0,F932&lt;&gt;0),IF(IFERROR((F931/F932),"")="","",(F931/F932)),INDIRECT("'update Helper'!E"&amp;Q931)/100)</f>
        <v/>
      </c>
      <c r="H931" s="539"/>
      <c r="I931" s="578"/>
      <c r="J931" s="532"/>
      <c r="K931" s="126">
        <f ca="1">IF(AND(EXACT(C931,C929),C929&lt;&gt;0),K929+1,0)</f>
        <v>15</v>
      </c>
      <c r="L931" s="126" t="str">
        <f t="shared" ref="L931" ca="1" si="1107">IF(C931&lt;&gt;"",C931&amp;"-"&amp;K931,"")</f>
        <v>KVP-2 Number of people with TB (all forms) notified among key affected populations/high risk groups (other than prisoners); *includes only those with new and relapse-15</v>
      </c>
      <c r="M931" s="126" t="str">
        <f t="array" aca="1" ref="M931" ca="1">IFERROR(IF(INDEX('Disaggregation Records'!$E$156:$E$517,MATCH(RIGHT(L931,255),RIGHT('Disaggregation Records'!$D$156:$D$517,255),0))="","",INDEX('Disaggregation Records'!$E$156:$E$517,MATCH(RIGHT(L931,255),RIGHT('Disaggregation Records'!$D$156:$D$517,255),0))),"")</f>
        <v/>
      </c>
      <c r="N931" s="126" t="str">
        <f t="array" aca="1" ref="N931" ca="1">IFERROR(IF(INDEX('Disaggregation Records'!$F$156:$F$517,MATCH(RIGHT(L931,255),RIGHT('Disaggregation Records'!$D$156:$D$517,255),0))="","",INDEX('Disaggregation Records'!$F$156:$F$517,MATCH(RIGHT(L931,255),RIGHT('Disaggregation Records'!$D$156:$D$517,255),0))),"")</f>
        <v/>
      </c>
      <c r="O931" s="314" t="str">
        <f t="array" aca="1" ref="O931" ca="1">IFERROR(IF(INDEX('Disaggregation Records'!$H$156:$H$517,MATCH(RIGHT(L931,255),RIGHT('Disaggregation Records'!$D$156:$D$517,255),0))="","",INDEX('Disaggregation Records'!$H$156:$H$517,MATCH(RIGHT(L931,255),RIGHT('Disaggregation Records'!$D$156:$D$517,255),0))),"")</f>
        <v/>
      </c>
      <c r="P931" s="314"/>
      <c r="Q931" s="310">
        <f t="shared" ref="Q931" si="1108">Q929+1</f>
        <v>1767</v>
      </c>
      <c r="R931" s="314" t="str" cm="1">
        <f t="array" aca="1" ref="R931" ca="1">IFERROR(IF(INDEX('Disaggregation Records'!$G$156:$G$517,MATCH(RIGHT(L931,255),RIGHT('Disaggregation Records'!$D$156:$D$517,255),0))="","",INDEX('Disaggregation Records'!$G$156:$G$517,MATCH(RIGHT(L931,255),RIGHT('Disaggregation Records'!$D$156:$D$517,255),0))),"")</f>
        <v/>
      </c>
    </row>
    <row r="932" spans="1:18" ht="20.100000000000001" customHeight="1">
      <c r="B932" s="571"/>
      <c r="C932" s="573"/>
      <c r="D932" s="575"/>
      <c r="E932" s="575"/>
      <c r="F932" s="128"/>
      <c r="G932" s="577"/>
      <c r="H932" s="540"/>
      <c r="I932" s="579"/>
      <c r="J932" s="533"/>
      <c r="K932" s="126"/>
      <c r="L932" s="126"/>
      <c r="M932" s="126"/>
      <c r="N932" s="126"/>
      <c r="O932" s="314"/>
      <c r="P932" s="314"/>
      <c r="Q932" s="310"/>
      <c r="R932" s="314" t="str" cm="1">
        <f t="array" ref="R932">IFERROR(IF(INDEX('Disaggregation Records'!$G$156:$G$517,MATCH(RIGHT(L932,255),RIGHT('Disaggregation Records'!$D$156:$D$517,255),0))="","",INDEX('Disaggregation Records'!$G$156:$G$517,MATCH(RIGHT(L932,255),RIGHT('Disaggregation Records'!$D$156:$D$517,255),0))),"")</f>
        <v/>
      </c>
    </row>
    <row r="933" spans="1:18" ht="20.100000000000001" customHeight="1">
      <c r="A933" s="126" t="str">
        <f t="shared" ca="1" si="1055"/>
        <v>a16Dm000000M3shIAC</v>
      </c>
      <c r="B933" s="570">
        <v>8</v>
      </c>
      <c r="C933" s="572" t="str">
        <f ca="1">IFERROR(VLOOKUP(B933,'Coverage Indicators - Section D'!$A$9:$AO$94,41,FALSE),"")</f>
        <v>KVP-2 Number of people with TB (all forms) notified among key affected populations/high risk groups (other than prisoners); *includes only those with new and relapse</v>
      </c>
      <c r="D933" s="574" t="str">
        <f ca="1">M933</f>
        <v/>
      </c>
      <c r="E933" s="574" t="str">
        <f ca="1">N933</f>
        <v/>
      </c>
      <c r="F933" s="127"/>
      <c r="G933" s="576" t="str">
        <f ca="1">IF(OR(INDIRECT("'update Helper'!E"&amp;Q933)="",F933&lt;&gt;0,F934&lt;&gt;0),IF(IFERROR((F933/F934),"")="","",(F933/F934)),INDIRECT("'update Helper'!E"&amp;Q933)/100)</f>
        <v/>
      </c>
      <c r="H933" s="539"/>
      <c r="I933" s="578"/>
      <c r="J933" s="532"/>
      <c r="K933" s="126">
        <f ca="1">IF(AND(EXACT(C933,C931),C931&lt;&gt;0),K931+1,0)</f>
        <v>16</v>
      </c>
      <c r="L933" s="126" t="str">
        <f t="shared" ref="L933" ca="1" si="1109">IF(C933&lt;&gt;"",C933&amp;"-"&amp;K933,"")</f>
        <v>KVP-2 Number of people with TB (all forms) notified among key affected populations/high risk groups (other than prisoners); *includes only those with new and relapse-16</v>
      </c>
      <c r="M933" s="126" t="str">
        <f t="array" aca="1" ref="M933" ca="1">IFERROR(IF(INDEX('Disaggregation Records'!$E$156:$E$517,MATCH(RIGHT(L933,255),RIGHT('Disaggregation Records'!$D$156:$D$517,255),0))="","",INDEX('Disaggregation Records'!$E$156:$E$517,MATCH(RIGHT(L933,255),RIGHT('Disaggregation Records'!$D$156:$D$517,255),0))),"")</f>
        <v/>
      </c>
      <c r="N933" s="126" t="str">
        <f t="array" aca="1" ref="N933" ca="1">IFERROR(IF(INDEX('Disaggregation Records'!$F$156:$F$517,MATCH(RIGHT(L933,255),RIGHT('Disaggregation Records'!$D$156:$D$517,255),0))="","",INDEX('Disaggregation Records'!$F$156:$F$517,MATCH(RIGHT(L933,255),RIGHT('Disaggregation Records'!$D$156:$D$517,255),0))),"")</f>
        <v/>
      </c>
      <c r="O933" s="314" t="str">
        <f t="array" aca="1" ref="O933" ca="1">IFERROR(IF(INDEX('Disaggregation Records'!$H$156:$H$517,MATCH(RIGHT(L933,255),RIGHT('Disaggregation Records'!$D$156:$D$517,255),0))="","",INDEX('Disaggregation Records'!$H$156:$H$517,MATCH(RIGHT(L933,255),RIGHT('Disaggregation Records'!$D$156:$D$517,255),0))),"")</f>
        <v/>
      </c>
      <c r="P933" s="314"/>
      <c r="Q933" s="310">
        <f t="shared" ref="Q933" si="1110">Q931+1</f>
        <v>1768</v>
      </c>
      <c r="R933" s="314" t="str" cm="1">
        <f t="array" aca="1" ref="R933" ca="1">IFERROR(IF(INDEX('Disaggregation Records'!$G$156:$G$517,MATCH(RIGHT(L933,255),RIGHT('Disaggregation Records'!$D$156:$D$517,255),0))="","",INDEX('Disaggregation Records'!$G$156:$G$517,MATCH(RIGHT(L933,255),RIGHT('Disaggregation Records'!$D$156:$D$517,255),0))),"")</f>
        <v/>
      </c>
    </row>
    <row r="934" spans="1:18" ht="20.100000000000001" customHeight="1">
      <c r="A934" s="126"/>
      <c r="B934" s="571"/>
      <c r="C934" s="573"/>
      <c r="D934" s="575"/>
      <c r="E934" s="575"/>
      <c r="F934" s="128"/>
      <c r="G934" s="577"/>
      <c r="H934" s="540"/>
      <c r="I934" s="579"/>
      <c r="J934" s="533"/>
      <c r="K934" s="126"/>
      <c r="L934" s="126"/>
      <c r="M934" s="126"/>
      <c r="N934" s="126"/>
      <c r="O934" s="314"/>
      <c r="P934" s="314"/>
      <c r="Q934" s="310"/>
      <c r="R934" s="314" t="str" cm="1">
        <f t="array" ref="R934">IFERROR(IF(INDEX('Disaggregation Records'!$G$156:$G$517,MATCH(RIGHT(L934,255),RIGHT('Disaggregation Records'!$D$156:$D$517,255),0))="","",INDEX('Disaggregation Records'!$G$156:$G$517,MATCH(RIGHT(L934,255),RIGHT('Disaggregation Records'!$D$156:$D$517,255),0))),"")</f>
        <v/>
      </c>
    </row>
    <row r="935" spans="1:18" ht="20.100000000000001" customHeight="1">
      <c r="A935" s="126" t="str">
        <f t="shared" ca="1" si="1058"/>
        <v>a16Dm000000M3siIAC</v>
      </c>
      <c r="B935" s="570">
        <v>8</v>
      </c>
      <c r="C935" s="572" t="str">
        <f ca="1">IFERROR(VLOOKUP(B935,'Coverage Indicators - Section D'!$A$9:$AO$94,41,FALSE),"")</f>
        <v>KVP-2 Number of people with TB (all forms) notified among key affected populations/high risk groups (other than prisoners); *includes only those with new and relapse</v>
      </c>
      <c r="D935" s="574" t="str">
        <f ca="1">M935</f>
        <v/>
      </c>
      <c r="E935" s="574" t="str">
        <f ca="1">N935</f>
        <v/>
      </c>
      <c r="F935" s="127"/>
      <c r="G935" s="576" t="str">
        <f ca="1">IF(OR(INDIRECT("'update Helper'!E"&amp;Q935)="",F935&lt;&gt;0,F936&lt;&gt;0),IF(IFERROR((F935/F936),"")="","",(F935/F936)),INDIRECT("'update Helper'!E"&amp;Q935)/100)</f>
        <v/>
      </c>
      <c r="H935" s="539"/>
      <c r="I935" s="578"/>
      <c r="J935" s="532"/>
      <c r="K935" s="126">
        <f ca="1">IF(AND(EXACT(C935,C933),C933&lt;&gt;0),K933+1,0)</f>
        <v>17</v>
      </c>
      <c r="L935" s="126" t="str">
        <f t="shared" ref="L935" ca="1" si="1111">IF(C935&lt;&gt;"",C935&amp;"-"&amp;K935,"")</f>
        <v>KVP-2 Number of people with TB (all forms) notified among key affected populations/high risk groups (other than prisoners); *includes only those with new and relapse-17</v>
      </c>
      <c r="M935" s="126" t="str">
        <f t="array" aca="1" ref="M935" ca="1">IFERROR(IF(INDEX('Disaggregation Records'!$E$156:$E$517,MATCH(RIGHT(L935,255),RIGHT('Disaggregation Records'!$D$156:$D$517,255),0))="","",INDEX('Disaggregation Records'!$E$156:$E$517,MATCH(RIGHT(L935,255),RIGHT('Disaggregation Records'!$D$156:$D$517,255),0))),"")</f>
        <v/>
      </c>
      <c r="N935" s="126" t="str">
        <f t="array" aca="1" ref="N935" ca="1">IFERROR(IF(INDEX('Disaggregation Records'!$F$156:$F$517,MATCH(RIGHT(L935,255),RIGHT('Disaggregation Records'!$D$156:$D$517,255),0))="","",INDEX('Disaggregation Records'!$F$156:$F$517,MATCH(RIGHT(L935,255),RIGHT('Disaggregation Records'!$D$156:$D$517,255),0))),"")</f>
        <v/>
      </c>
      <c r="O935" s="314" t="str">
        <f t="array" aca="1" ref="O935" ca="1">IFERROR(IF(INDEX('Disaggregation Records'!$H$156:$H$517,MATCH(RIGHT(L935,255),RIGHT('Disaggregation Records'!$D$156:$D$517,255),0))="","",INDEX('Disaggregation Records'!$H$156:$H$517,MATCH(RIGHT(L935,255),RIGHT('Disaggregation Records'!$D$156:$D$517,255),0))),"")</f>
        <v/>
      </c>
      <c r="P935" s="310"/>
      <c r="Q935" s="310">
        <f t="shared" ref="Q935" si="1112">Q933+1</f>
        <v>1769</v>
      </c>
      <c r="R935" s="314" t="str" cm="1">
        <f t="array" aca="1" ref="R935" ca="1">IFERROR(IF(INDEX('Disaggregation Records'!$G$156:$G$517,MATCH(RIGHT(L935,255),RIGHT('Disaggregation Records'!$D$156:$D$517,255),0))="","",INDEX('Disaggregation Records'!$G$156:$G$517,MATCH(RIGHT(L935,255),RIGHT('Disaggregation Records'!$D$156:$D$517,255),0))),"")</f>
        <v/>
      </c>
    </row>
    <row r="936" spans="1:18" ht="20.100000000000001" customHeight="1">
      <c r="B936" s="571"/>
      <c r="C936" s="573"/>
      <c r="D936" s="575"/>
      <c r="E936" s="575"/>
      <c r="F936" s="128"/>
      <c r="G936" s="577"/>
      <c r="H936" s="540"/>
      <c r="I936" s="579"/>
      <c r="J936" s="533"/>
      <c r="L936" s="126"/>
      <c r="N936" s="126"/>
      <c r="O936" s="314"/>
      <c r="P936" s="310"/>
      <c r="Q936" s="310"/>
      <c r="R936" s="314" t="str" cm="1">
        <f t="array" ref="R936">IFERROR(IF(INDEX('Disaggregation Records'!$G$156:$G$517,MATCH(RIGHT(L936,255),RIGHT('Disaggregation Records'!$D$156:$D$517,255),0))="","",INDEX('Disaggregation Records'!$G$156:$G$517,MATCH(RIGHT(L936,255),RIGHT('Disaggregation Records'!$D$156:$D$517,255),0))),"")</f>
        <v/>
      </c>
    </row>
    <row r="937" spans="1:18" ht="20.100000000000001" customHeight="1">
      <c r="A937" s="126" t="str">
        <f t="shared" ca="1" si="1055"/>
        <v>a16Dm000000M3sjIAC</v>
      </c>
      <c r="B937" s="570">
        <v>8</v>
      </c>
      <c r="C937" s="572" t="str">
        <f ca="1">IFERROR(VLOOKUP(B937,'Coverage Indicators - Section D'!$A$9:$AO$94,41,FALSE),"")</f>
        <v>KVP-2 Number of people with TB (all forms) notified among key affected populations/high risk groups (other than prisoners); *includes only those with new and relapse</v>
      </c>
      <c r="D937" s="574" t="str">
        <f ca="1">M937</f>
        <v/>
      </c>
      <c r="E937" s="574" t="str">
        <f ca="1">N937</f>
        <v/>
      </c>
      <c r="F937" s="127"/>
      <c r="G937" s="576" t="str">
        <f ca="1">IF(OR(INDIRECT("'update Helper'!E"&amp;Q937)="",F937&lt;&gt;0,F938&lt;&gt;0),IF(IFERROR((F937/F938),"")="","",(F937/F938)),INDIRECT("'update Helper'!E"&amp;Q937)/100)</f>
        <v/>
      </c>
      <c r="H937" s="539"/>
      <c r="I937" s="578"/>
      <c r="J937" s="532"/>
      <c r="K937" s="126">
        <f ca="1">IF(AND(EXACT(C937,C935),C935&lt;&gt;0),K935+1,0)</f>
        <v>18</v>
      </c>
      <c r="L937" s="126" t="str">
        <f t="shared" ref="L937" ca="1" si="1113">IF(C937&lt;&gt;"",C937&amp;"-"&amp;K937,"")</f>
        <v>KVP-2 Number of people with TB (all forms) notified among key affected populations/high risk groups (other than prisoners); *includes only those with new and relapse-18</v>
      </c>
      <c r="M937" s="126" t="str">
        <f t="array" aca="1" ref="M937" ca="1">IFERROR(IF(INDEX('Disaggregation Records'!$E$156:$E$517,MATCH(RIGHT(L937,255),RIGHT('Disaggregation Records'!$D$156:$D$517,255),0))="","",INDEX('Disaggregation Records'!$E$156:$E$517,MATCH(RIGHT(L937,255),RIGHT('Disaggregation Records'!$D$156:$D$517,255),0))),"")</f>
        <v/>
      </c>
      <c r="N937" s="126" t="str">
        <f t="array" aca="1" ref="N937" ca="1">IFERROR(IF(INDEX('Disaggregation Records'!$F$156:$F$517,MATCH(RIGHT(L937,255),RIGHT('Disaggregation Records'!$D$156:$D$517,255),0))="","",INDEX('Disaggregation Records'!$F$156:$F$517,MATCH(RIGHT(L937,255),RIGHT('Disaggregation Records'!$D$156:$D$517,255),0))),"")</f>
        <v/>
      </c>
      <c r="O937" s="314" t="str">
        <f t="array" aca="1" ref="O937" ca="1">IFERROR(IF(INDEX('Disaggregation Records'!$H$156:$H$517,MATCH(RIGHT(L937,255),RIGHT('Disaggregation Records'!$D$156:$D$517,255),0))="","",INDEX('Disaggregation Records'!$H$156:$H$517,MATCH(RIGHT(L937,255),RIGHT('Disaggregation Records'!$D$156:$D$517,255),0))),"")</f>
        <v/>
      </c>
      <c r="P937" s="310"/>
      <c r="Q937" s="310">
        <f t="shared" ref="Q937" si="1114">Q935+1</f>
        <v>1770</v>
      </c>
      <c r="R937" s="314" t="str" cm="1">
        <f t="array" aca="1" ref="R937" ca="1">IFERROR(IF(INDEX('Disaggregation Records'!$G$156:$G$517,MATCH(RIGHT(L937,255),RIGHT('Disaggregation Records'!$D$156:$D$517,255),0))="","",INDEX('Disaggregation Records'!$G$156:$G$517,MATCH(RIGHT(L937,255),RIGHT('Disaggregation Records'!$D$156:$D$517,255),0))),"")</f>
        <v/>
      </c>
    </row>
    <row r="938" spans="1:18" ht="20.100000000000001" customHeight="1">
      <c r="A938" s="126"/>
      <c r="B938" s="571"/>
      <c r="C938" s="573"/>
      <c r="D938" s="575"/>
      <c r="E938" s="575"/>
      <c r="F938" s="128"/>
      <c r="G938" s="577"/>
      <c r="H938" s="540"/>
      <c r="I938" s="579"/>
      <c r="J938" s="533"/>
      <c r="L938" s="126"/>
      <c r="N938" s="126"/>
      <c r="O938" s="314"/>
      <c r="P938" s="310"/>
      <c r="Q938" s="310"/>
      <c r="R938" s="314" t="str" cm="1">
        <f t="array" ref="R938">IFERROR(IF(INDEX('Disaggregation Records'!$G$156:$G$517,MATCH(RIGHT(L938,255),RIGHT('Disaggregation Records'!$D$156:$D$517,255),0))="","",INDEX('Disaggregation Records'!$G$156:$G$517,MATCH(RIGHT(L938,255),RIGHT('Disaggregation Records'!$D$156:$D$517,255),0))),"")</f>
        <v/>
      </c>
    </row>
    <row r="939" spans="1:18" ht="20.100000000000001" customHeight="1">
      <c r="A939" s="126" t="str">
        <f t="shared" ca="1" si="1058"/>
        <v>a16Dm000000M3skIAC</v>
      </c>
      <c r="B939" s="570">
        <v>8</v>
      </c>
      <c r="C939" s="572" t="str">
        <f ca="1">IFERROR(VLOOKUP(B939,'Coverage Indicators - Section D'!$A$9:$AO$94,41,FALSE),"")</f>
        <v>KVP-2 Number of people with TB (all forms) notified among key affected populations/high risk groups (other than prisoners); *includes only those with new and relapse</v>
      </c>
      <c r="D939" s="574" t="str">
        <f ca="1">M939</f>
        <v/>
      </c>
      <c r="E939" s="574" t="str">
        <f ca="1">N939</f>
        <v/>
      </c>
      <c r="F939" s="127"/>
      <c r="G939" s="576" t="str">
        <f ca="1">IF(OR(INDIRECT("'update Helper'!E"&amp;Q939)="",F939&lt;&gt;0,F940&lt;&gt;0),IF(IFERROR((F939/F940),"")="","",(F939/F940)),INDIRECT("'update Helper'!E"&amp;Q939)/100)</f>
        <v/>
      </c>
      <c r="H939" s="539"/>
      <c r="I939" s="578"/>
      <c r="J939" s="532"/>
      <c r="K939" s="126">
        <f ca="1">IF(AND(EXACT(C939,C937),C937&lt;&gt;0),K937+1,0)</f>
        <v>19</v>
      </c>
      <c r="L939" s="126" t="str">
        <f t="shared" ref="L939" ca="1" si="1115">IF(C939&lt;&gt;"",C939&amp;"-"&amp;K939,"")</f>
        <v>KVP-2 Number of people with TB (all forms) notified among key affected populations/high risk groups (other than prisoners); *includes only those with new and relapse-19</v>
      </c>
      <c r="M939" s="126" t="str">
        <f t="array" aca="1" ref="M939" ca="1">IFERROR(IF(INDEX('Disaggregation Records'!$E$156:$E$517,MATCH(RIGHT(L939,255),RIGHT('Disaggregation Records'!$D$156:$D$517,255),0))="","",INDEX('Disaggregation Records'!$E$156:$E$517,MATCH(RIGHT(L939,255),RIGHT('Disaggregation Records'!$D$156:$D$517,255),0))),"")</f>
        <v/>
      </c>
      <c r="N939" s="126" t="str">
        <f t="array" aca="1" ref="N939" ca="1">IFERROR(IF(INDEX('Disaggregation Records'!$F$156:$F$517,MATCH(RIGHT(L939,255),RIGHT('Disaggregation Records'!$D$156:$D$517,255),0))="","",INDEX('Disaggregation Records'!$F$156:$F$517,MATCH(RIGHT(L939,255),RIGHT('Disaggregation Records'!$D$156:$D$517,255),0))),"")</f>
        <v/>
      </c>
      <c r="O939" s="314" t="str">
        <f t="array" aca="1" ref="O939" ca="1">IFERROR(IF(INDEX('Disaggregation Records'!$H$156:$H$517,MATCH(RIGHT(L939,255),RIGHT('Disaggregation Records'!$D$156:$D$517,255),0))="","",INDEX('Disaggregation Records'!$H$156:$H$517,MATCH(RIGHT(L939,255),RIGHT('Disaggregation Records'!$D$156:$D$517,255),0))),"")</f>
        <v/>
      </c>
      <c r="P939" s="310"/>
      <c r="Q939" s="310">
        <f t="shared" ref="Q939" si="1116">Q937+1</f>
        <v>1771</v>
      </c>
      <c r="R939" s="314" t="str" cm="1">
        <f t="array" aca="1" ref="R939" ca="1">IFERROR(IF(INDEX('Disaggregation Records'!$G$156:$G$517,MATCH(RIGHT(L939,255),RIGHT('Disaggregation Records'!$D$156:$D$517,255),0))="","",INDEX('Disaggregation Records'!$G$156:$G$517,MATCH(RIGHT(L939,255),RIGHT('Disaggregation Records'!$D$156:$D$517,255),0))),"")</f>
        <v/>
      </c>
    </row>
    <row r="940" spans="1:18" ht="20.100000000000001" customHeight="1">
      <c r="B940" s="571"/>
      <c r="C940" s="573"/>
      <c r="D940" s="575"/>
      <c r="E940" s="575"/>
      <c r="F940" s="128"/>
      <c r="G940" s="577"/>
      <c r="H940" s="540"/>
      <c r="I940" s="579"/>
      <c r="J940" s="533"/>
      <c r="L940" s="126"/>
      <c r="N940" s="126"/>
      <c r="O940" s="314"/>
      <c r="P940" s="310"/>
      <c r="Q940" s="310"/>
      <c r="R940" s="314" t="str" cm="1">
        <f t="array" ref="R940">IFERROR(IF(INDEX('Disaggregation Records'!$G$156:$G$517,MATCH(RIGHT(L940,255),RIGHT('Disaggregation Records'!$D$156:$D$517,255),0))="","",INDEX('Disaggregation Records'!$G$156:$G$517,MATCH(RIGHT(L940,255),RIGHT('Disaggregation Records'!$D$156:$D$517,255),0))),"")</f>
        <v/>
      </c>
    </row>
    <row r="941" spans="1:18" ht="20.100000000000001" customHeight="1">
      <c r="A941" s="126" t="str">
        <f t="shared" ca="1" si="1055"/>
        <v>a16Dm000000M3slIAC</v>
      </c>
      <c r="B941" s="570">
        <v>9</v>
      </c>
      <c r="C941" s="572" t="str">
        <f ca="1">IFERROR(VLOOKUP(B941,'Coverage Indicators - Section D'!$A$9:$AO$94,41,FALSE),"")</f>
        <v>TB/HIV-5 Percentage of registered new and relapse TB patients with documented HIV status</v>
      </c>
      <c r="D941" s="574" t="str">
        <f ca="1">M941</f>
        <v>Age</v>
      </c>
      <c r="E941" s="574" t="str">
        <f ca="1">N941</f>
        <v>15+</v>
      </c>
      <c r="F941" s="127"/>
      <c r="G941" s="576" t="str">
        <f ca="1">IF(OR(INDIRECT("'update Helper'!E"&amp;Q941)="",F941&lt;&gt;0,F942&lt;&gt;0),IF(IFERROR((F941/F942),"")="","",(F941/F942)),INDIRECT("'update Helper'!E"&amp;Q941)/100)</f>
        <v/>
      </c>
      <c r="H941" s="539"/>
      <c r="I941" s="578" t="s">
        <v>2281</v>
      </c>
      <c r="J941" s="532" t="s">
        <v>2282</v>
      </c>
      <c r="K941" s="126">
        <f ca="1">IF(AND(EXACT(C941,C939),C939&lt;&gt;0),K939+1,0)</f>
        <v>0</v>
      </c>
      <c r="L941" s="126" t="str">
        <f t="shared" ref="L941" ca="1" si="1117">IF(C941&lt;&gt;"",C941&amp;"-"&amp;K941,"")</f>
        <v>TB/HIV-5 Percentage of registered new and relapse TB patients with documented HIV status-0</v>
      </c>
      <c r="M941" s="126" t="str">
        <f t="array" aca="1" ref="M941" ca="1">IFERROR(IF(INDEX('Disaggregation Records'!$E$156:$E$517,MATCH(RIGHT(L941,255),RIGHT('Disaggregation Records'!$D$156:$D$517,255),0))="","",INDEX('Disaggregation Records'!$E$156:$E$517,MATCH(RIGHT(L941,255),RIGHT('Disaggregation Records'!$D$156:$D$517,255),0))),"")</f>
        <v>Age</v>
      </c>
      <c r="N941" s="126" t="str">
        <f t="array" aca="1" ref="N941" ca="1">IFERROR(IF(INDEX('Disaggregation Records'!$F$156:$F$517,MATCH(RIGHT(L941,255),RIGHT('Disaggregation Records'!$D$156:$D$517,255),0))="","",INDEX('Disaggregation Records'!$F$156:$F$517,MATCH(RIGHT(L941,255),RIGHT('Disaggregation Records'!$D$156:$D$517,255),0))),"")</f>
        <v>15+</v>
      </c>
      <c r="O941" s="314" t="str">
        <f t="array" aca="1" ref="O941" ca="1">IFERROR(IF(INDEX('Disaggregation Records'!$H$156:$H$517,MATCH(RIGHT(L941,255),RIGHT('Disaggregation Records'!$D$156:$D$517,255),0))="","",INDEX('Disaggregation Records'!$H$156:$H$517,MATCH(RIGHT(L941,255),RIGHT('Disaggregation Records'!$D$156:$D$517,255),0))),"")</f>
        <v>IDR-01356</v>
      </c>
      <c r="P941" s="314"/>
      <c r="Q941" s="310">
        <f t="shared" ref="Q941" si="1118">Q939+1</f>
        <v>1772</v>
      </c>
      <c r="R941" s="314" t="str" cm="1">
        <f t="array" aca="1" ref="R941" ca="1">IFERROR(IF(INDEX('Disaggregation Records'!$G$156:$G$517,MATCH(RIGHT(L941,255),RIGHT('Disaggregation Records'!$D$156:$D$517,255),0))="","",INDEX('Disaggregation Records'!$G$156:$G$517,MATCH(RIGHT(L941,255),RIGHT('Disaggregation Records'!$D$156:$D$517,255),0))),"")</f>
        <v>a1LDm000000Cb4cMAC</v>
      </c>
    </row>
    <row r="942" spans="1:18" ht="20.100000000000001" customHeight="1">
      <c r="A942" s="126"/>
      <c r="B942" s="571"/>
      <c r="C942" s="573"/>
      <c r="D942" s="575"/>
      <c r="E942" s="575"/>
      <c r="F942" s="128"/>
      <c r="G942" s="577"/>
      <c r="H942" s="540"/>
      <c r="I942" s="579"/>
      <c r="J942" s="533"/>
      <c r="K942" s="126"/>
      <c r="L942" s="126"/>
      <c r="M942" s="126"/>
      <c r="N942" s="126"/>
      <c r="O942" s="314"/>
      <c r="P942" s="314"/>
      <c r="Q942" s="310"/>
      <c r="R942" s="314" t="str" cm="1">
        <f t="array" ref="R942">IFERROR(IF(INDEX('Disaggregation Records'!$G$156:$G$517,MATCH(RIGHT(L942,255),RIGHT('Disaggregation Records'!$D$156:$D$517,255),0))="","",INDEX('Disaggregation Records'!$G$156:$G$517,MATCH(RIGHT(L942,255),RIGHT('Disaggregation Records'!$D$156:$D$517,255),0))),"")</f>
        <v/>
      </c>
    </row>
    <row r="943" spans="1:18" ht="20.100000000000001" customHeight="1">
      <c r="A943" s="126" t="str">
        <f t="shared" ca="1" si="1058"/>
        <v>a16Dm000000M3smIAC</v>
      </c>
      <c r="B943" s="570">
        <v>9</v>
      </c>
      <c r="C943" s="572" t="str">
        <f ca="1">IFERROR(VLOOKUP(B943,'Coverage Indicators - Section D'!$A$9:$AO$94,41,FALSE),"")</f>
        <v>TB/HIV-5 Percentage of registered new and relapse TB patients with documented HIV status</v>
      </c>
      <c r="D943" s="574" t="str">
        <f ca="1">M943</f>
        <v>HIV status</v>
      </c>
      <c r="E943" s="574" t="str">
        <f ca="1">N943</f>
        <v>Unknown</v>
      </c>
      <c r="F943" s="127"/>
      <c r="G943" s="576" t="str">
        <f ca="1">IF(OR(INDIRECT("'update Helper'!E"&amp;Q943)="",F943&lt;&gt;0,F944&lt;&gt;0),IF(IFERROR((F943/F944),"")="","",(F943/F944)),INDIRECT("'update Helper'!E"&amp;Q943)/100)</f>
        <v/>
      </c>
      <c r="H943" s="539"/>
      <c r="I943" s="578" t="s">
        <v>2281</v>
      </c>
      <c r="J943" s="532" t="s">
        <v>2282</v>
      </c>
      <c r="K943" s="126">
        <f ca="1">IF(AND(EXACT(C943,C941),C941&lt;&gt;0),K941+1,0)</f>
        <v>1</v>
      </c>
      <c r="L943" s="126" t="str">
        <f t="shared" ref="L943" ca="1" si="1119">IF(C943&lt;&gt;"",C943&amp;"-"&amp;K943,"")</f>
        <v>TB/HIV-5 Percentage of registered new and relapse TB patients with documented HIV status-1</v>
      </c>
      <c r="M943" s="126" t="str">
        <f t="array" aca="1" ref="M943" ca="1">IFERROR(IF(INDEX('Disaggregation Records'!$E$156:$E$517,MATCH(RIGHT(L943,255),RIGHT('Disaggregation Records'!$D$156:$D$517,255),0))="","",INDEX('Disaggregation Records'!$E$156:$E$517,MATCH(RIGHT(L943,255),RIGHT('Disaggregation Records'!$D$156:$D$517,255),0))),"")</f>
        <v>HIV status</v>
      </c>
      <c r="N943" s="126" t="str">
        <f t="array" aca="1" ref="N943" ca="1">IFERROR(IF(INDEX('Disaggregation Records'!$F$156:$F$517,MATCH(RIGHT(L943,255),RIGHT('Disaggregation Records'!$D$156:$D$517,255),0))="","",INDEX('Disaggregation Records'!$F$156:$F$517,MATCH(RIGHT(L943,255),RIGHT('Disaggregation Records'!$D$156:$D$517,255),0))),"")</f>
        <v>Unknown</v>
      </c>
      <c r="O943" s="314" t="str">
        <f t="array" aca="1" ref="O943" ca="1">IFERROR(IF(INDEX('Disaggregation Records'!$H$156:$H$517,MATCH(RIGHT(L943,255),RIGHT('Disaggregation Records'!$D$156:$D$517,255),0))="","",INDEX('Disaggregation Records'!$H$156:$H$517,MATCH(RIGHT(L943,255),RIGHT('Disaggregation Records'!$D$156:$D$517,255),0))),"")</f>
        <v>IDR-01355</v>
      </c>
      <c r="P943" s="314"/>
      <c r="Q943" s="310">
        <f t="shared" ref="Q943" si="1120">Q941+1</f>
        <v>1773</v>
      </c>
      <c r="R943" s="314" t="str" cm="1">
        <f t="array" aca="1" ref="R943" ca="1">IFERROR(IF(INDEX('Disaggregation Records'!$G$156:$G$517,MATCH(RIGHT(L943,255),RIGHT('Disaggregation Records'!$D$156:$D$517,255),0))="","",INDEX('Disaggregation Records'!$G$156:$G$517,MATCH(RIGHT(L943,255),RIGHT('Disaggregation Records'!$D$156:$D$517,255),0))),"")</f>
        <v>a1LDm000000Cb4bMAC</v>
      </c>
    </row>
    <row r="944" spans="1:18" ht="20.100000000000001" customHeight="1">
      <c r="B944" s="571"/>
      <c r="C944" s="573"/>
      <c r="D944" s="575"/>
      <c r="E944" s="575"/>
      <c r="F944" s="128"/>
      <c r="G944" s="577"/>
      <c r="H944" s="540"/>
      <c r="I944" s="579"/>
      <c r="J944" s="533"/>
      <c r="K944" s="126"/>
      <c r="L944" s="126"/>
      <c r="M944" s="126"/>
      <c r="N944" s="126"/>
      <c r="O944" s="314"/>
      <c r="P944" s="314"/>
      <c r="Q944" s="310"/>
      <c r="R944" s="314" t="str" cm="1">
        <f t="array" ref="R944">IFERROR(IF(INDEX('Disaggregation Records'!$G$156:$G$517,MATCH(RIGHT(L944,255),RIGHT('Disaggregation Records'!$D$156:$D$517,255),0))="","",INDEX('Disaggregation Records'!$G$156:$G$517,MATCH(RIGHT(L944,255),RIGHT('Disaggregation Records'!$D$156:$D$517,255),0))),"")</f>
        <v/>
      </c>
    </row>
    <row r="945" spans="1:18" ht="20.100000000000001" customHeight="1">
      <c r="A945" s="126" t="str">
        <f t="shared" ref="A945:A1005" ca="1" si="1121">INDIRECT("'update Helper'!C"&amp;Q945)</f>
        <v>a16Dm000000M3snIAC</v>
      </c>
      <c r="B945" s="570">
        <v>9</v>
      </c>
      <c r="C945" s="572" t="str">
        <f ca="1">IFERROR(VLOOKUP(B945,'Coverage Indicators - Section D'!$A$9:$AO$94,41,FALSE),"")</f>
        <v>TB/HIV-5 Percentage of registered new and relapse TB patients with documented HIV status</v>
      </c>
      <c r="D945" s="574" t="str">
        <f ca="1">M945</f>
        <v>Gender</v>
      </c>
      <c r="E945" s="574" t="str">
        <f ca="1">N945</f>
        <v>Male</v>
      </c>
      <c r="F945" s="127"/>
      <c r="G945" s="576" t="str">
        <f ca="1">IF(OR(INDIRECT("'update Helper'!E"&amp;Q945)="",F945&lt;&gt;0,F946&lt;&gt;0),IF(IFERROR((F945/F946),"")="","",(F945/F946)),INDIRECT("'update Helper'!E"&amp;Q945)/100)</f>
        <v/>
      </c>
      <c r="H945" s="539"/>
      <c r="I945" s="578" t="s">
        <v>2281</v>
      </c>
      <c r="J945" s="532" t="s">
        <v>2282</v>
      </c>
      <c r="K945" s="126">
        <f ca="1">IF(AND(EXACT(C945,C943),C943&lt;&gt;0),K943+1,0)</f>
        <v>2</v>
      </c>
      <c r="L945" s="126" t="str">
        <f t="shared" ref="L945" ca="1" si="1122">IF(C945&lt;&gt;"",C945&amp;"-"&amp;K945,"")</f>
        <v>TB/HIV-5 Percentage of registered new and relapse TB patients with documented HIV status-2</v>
      </c>
      <c r="M945" s="126" t="str">
        <f t="array" aca="1" ref="M945" ca="1">IFERROR(IF(INDEX('Disaggregation Records'!$E$156:$E$517,MATCH(RIGHT(L945,255),RIGHT('Disaggregation Records'!$D$156:$D$517,255),0))="","",INDEX('Disaggregation Records'!$E$156:$E$517,MATCH(RIGHT(L945,255),RIGHT('Disaggregation Records'!$D$156:$D$517,255),0))),"")</f>
        <v>Gender</v>
      </c>
      <c r="N945" s="126" t="str">
        <f t="array" aca="1" ref="N945" ca="1">IFERROR(IF(INDEX('Disaggregation Records'!$F$156:$F$517,MATCH(RIGHT(L945,255),RIGHT('Disaggregation Records'!$D$156:$D$517,255),0))="","",INDEX('Disaggregation Records'!$F$156:$F$517,MATCH(RIGHT(L945,255),RIGHT('Disaggregation Records'!$D$156:$D$517,255),0))),"")</f>
        <v>Male</v>
      </c>
      <c r="O945" s="314" t="str">
        <f t="array" aca="1" ref="O945" ca="1">IFERROR(IF(INDEX('Disaggregation Records'!$H$156:$H$517,MATCH(RIGHT(L945,255),RIGHT('Disaggregation Records'!$D$156:$D$517,255),0))="","",INDEX('Disaggregation Records'!$H$156:$H$517,MATCH(RIGHT(L945,255),RIGHT('Disaggregation Records'!$D$156:$D$517,255),0))),"")</f>
        <v>IDR-01354</v>
      </c>
      <c r="P945" s="310"/>
      <c r="Q945" s="310">
        <f t="shared" ref="Q945" si="1123">Q943+1</f>
        <v>1774</v>
      </c>
      <c r="R945" s="314" t="str" cm="1">
        <f t="array" aca="1" ref="R945" ca="1">IFERROR(IF(INDEX('Disaggregation Records'!$G$156:$G$517,MATCH(RIGHT(L945,255),RIGHT('Disaggregation Records'!$D$156:$D$517,255),0))="","",INDEX('Disaggregation Records'!$G$156:$G$517,MATCH(RIGHT(L945,255),RIGHT('Disaggregation Records'!$D$156:$D$517,255),0))),"")</f>
        <v>a1LDm000000Cb4aMAC</v>
      </c>
    </row>
    <row r="946" spans="1:18" ht="20.100000000000001" customHeight="1">
      <c r="A946" s="126"/>
      <c r="B946" s="571"/>
      <c r="C946" s="573"/>
      <c r="D946" s="575"/>
      <c r="E946" s="575"/>
      <c r="F946" s="128"/>
      <c r="G946" s="577"/>
      <c r="H946" s="540"/>
      <c r="I946" s="579"/>
      <c r="J946" s="533"/>
      <c r="L946" s="126"/>
      <c r="N946" s="126"/>
      <c r="O946" s="314"/>
      <c r="P946" s="310"/>
      <c r="Q946" s="310"/>
      <c r="R946" s="314" t="str" cm="1">
        <f t="array" ref="R946">IFERROR(IF(INDEX('Disaggregation Records'!$G$156:$G$517,MATCH(RIGHT(L946,255),RIGHT('Disaggregation Records'!$D$156:$D$517,255),0))="","",INDEX('Disaggregation Records'!$G$156:$G$517,MATCH(RIGHT(L946,255),RIGHT('Disaggregation Records'!$D$156:$D$517,255),0))),"")</f>
        <v/>
      </c>
    </row>
    <row r="947" spans="1:18" ht="20.100000000000001" customHeight="1">
      <c r="A947" s="126" t="str">
        <f t="shared" ref="A947:A1007" ca="1" si="1124">INDIRECT("'update Helper'!C"&amp;Q947)</f>
        <v>a16Dm000000M3soIAC</v>
      </c>
      <c r="B947" s="570">
        <v>9</v>
      </c>
      <c r="C947" s="572" t="str">
        <f ca="1">IFERROR(VLOOKUP(B947,'Coverage Indicators - Section D'!$A$9:$AO$94,41,FALSE),"")</f>
        <v>TB/HIV-5 Percentage of registered new and relapse TB patients with documented HIV status</v>
      </c>
      <c r="D947" s="574" t="str">
        <f ca="1">M947</f>
        <v>HIV status</v>
      </c>
      <c r="E947" s="574" t="str">
        <f ca="1">N947</f>
        <v>Negative</v>
      </c>
      <c r="F947" s="127">
        <v>153679</v>
      </c>
      <c r="G947" s="576">
        <f ca="1">IF(OR(INDIRECT("'update Helper'!E"&amp;Q947)="",F947&lt;&gt;0,F948&lt;&gt;0),IF(IFERROR((F947/F948),"")="","",(F947/F948)),INDIRECT("'update Helper'!E"&amp;Q947)/100)</f>
        <v>0.91994708234561695</v>
      </c>
      <c r="H947" s="539"/>
      <c r="I947" s="578" t="s">
        <v>780</v>
      </c>
      <c r="J947" s="532" t="s">
        <v>2299</v>
      </c>
      <c r="K947" s="126">
        <f ca="1">IF(AND(EXACT(C947,C945),C945&lt;&gt;0),K945+1,0)</f>
        <v>3</v>
      </c>
      <c r="L947" s="126" t="str">
        <f t="shared" ref="L947" ca="1" si="1125">IF(C947&lt;&gt;"",C947&amp;"-"&amp;K947,"")</f>
        <v>TB/HIV-5 Percentage of registered new and relapse TB patients with documented HIV status-3</v>
      </c>
      <c r="M947" s="126" t="str">
        <f t="array" aca="1" ref="M947" ca="1">IFERROR(IF(INDEX('Disaggregation Records'!$E$156:$E$517,MATCH(RIGHT(L947,255),RIGHT('Disaggregation Records'!$D$156:$D$517,255),0))="","",INDEX('Disaggregation Records'!$E$156:$E$517,MATCH(RIGHT(L947,255),RIGHT('Disaggregation Records'!$D$156:$D$517,255),0))),"")</f>
        <v>HIV status</v>
      </c>
      <c r="N947" s="126" t="str">
        <f t="array" aca="1" ref="N947" ca="1">IFERROR(IF(INDEX('Disaggregation Records'!$F$156:$F$517,MATCH(RIGHT(L947,255),RIGHT('Disaggregation Records'!$D$156:$D$517,255),0))="","",INDEX('Disaggregation Records'!$F$156:$F$517,MATCH(RIGHT(L947,255),RIGHT('Disaggregation Records'!$D$156:$D$517,255),0))),"")</f>
        <v>Negative</v>
      </c>
      <c r="O947" s="314" t="str">
        <f t="array" aca="1" ref="O947" ca="1">IFERROR(IF(INDEX('Disaggregation Records'!$H$156:$H$517,MATCH(RIGHT(L947,255),RIGHT('Disaggregation Records'!$D$156:$D$517,255),0))="","",INDEX('Disaggregation Records'!$H$156:$H$517,MATCH(RIGHT(L947,255),RIGHT('Disaggregation Records'!$D$156:$D$517,255),0))),"")</f>
        <v>IDR-01353</v>
      </c>
      <c r="P947" s="310"/>
      <c r="Q947" s="310">
        <f t="shared" ref="Q947" si="1126">Q945+1</f>
        <v>1775</v>
      </c>
      <c r="R947" s="314" t="str" cm="1">
        <f t="array" aca="1" ref="R947" ca="1">IFERROR(IF(INDEX('Disaggregation Records'!$G$156:$G$517,MATCH(RIGHT(L947,255),RIGHT('Disaggregation Records'!$D$156:$D$517,255),0))="","",INDEX('Disaggregation Records'!$G$156:$G$517,MATCH(RIGHT(L947,255),RIGHT('Disaggregation Records'!$D$156:$D$517,255),0))),"")</f>
        <v>a1LDm000000Cb4ZMAS</v>
      </c>
    </row>
    <row r="948" spans="1:18" ht="20.100000000000001" customHeight="1">
      <c r="B948" s="571"/>
      <c r="C948" s="573"/>
      <c r="D948" s="575"/>
      <c r="E948" s="575"/>
      <c r="F948" s="128">
        <v>167052</v>
      </c>
      <c r="G948" s="577"/>
      <c r="H948" s="540"/>
      <c r="I948" s="579"/>
      <c r="J948" s="533"/>
      <c r="L948" s="126"/>
      <c r="N948" s="126"/>
      <c r="O948" s="314"/>
      <c r="P948" s="310"/>
      <c r="Q948" s="310"/>
      <c r="R948" s="314" t="str" cm="1">
        <f t="array" ref="R948">IFERROR(IF(INDEX('Disaggregation Records'!$G$156:$G$517,MATCH(RIGHT(L948,255),RIGHT('Disaggregation Records'!$D$156:$D$517,255),0))="","",INDEX('Disaggregation Records'!$G$156:$G$517,MATCH(RIGHT(L948,255),RIGHT('Disaggregation Records'!$D$156:$D$517,255),0))),"")</f>
        <v/>
      </c>
    </row>
    <row r="949" spans="1:18" ht="20.100000000000001" customHeight="1">
      <c r="A949" s="126" t="str">
        <f t="shared" ca="1" si="1121"/>
        <v>a16Dm000000M3spIAC</v>
      </c>
      <c r="B949" s="570">
        <v>9</v>
      </c>
      <c r="C949" s="572" t="str">
        <f ca="1">IFERROR(VLOOKUP(B949,'Coverage Indicators - Section D'!$A$9:$AO$94,41,FALSE),"")</f>
        <v>TB/HIV-5 Percentage of registered new and relapse TB patients with documented HIV status</v>
      </c>
      <c r="D949" s="574" t="str">
        <f ca="1">M949</f>
        <v>Age</v>
      </c>
      <c r="E949" s="574" t="str">
        <f ca="1">N949</f>
        <v>5-14</v>
      </c>
      <c r="F949" s="127"/>
      <c r="G949" s="576" t="str">
        <f ca="1">IF(OR(INDIRECT("'update Helper'!E"&amp;Q949)="",F949&lt;&gt;0,F950&lt;&gt;0),IF(IFERROR((F949/F950),"")="","",(F949/F950)),INDIRECT("'update Helper'!E"&amp;Q949)/100)</f>
        <v/>
      </c>
      <c r="H949" s="539"/>
      <c r="I949" s="578" t="s">
        <v>2281</v>
      </c>
      <c r="J949" s="532" t="s">
        <v>2282</v>
      </c>
      <c r="K949" s="126">
        <f ca="1">IF(AND(EXACT(C949,C947),C947&lt;&gt;0),K947+1,0)</f>
        <v>4</v>
      </c>
      <c r="L949" s="126" t="str">
        <f t="shared" ref="L949" ca="1" si="1127">IF(C949&lt;&gt;"",C949&amp;"-"&amp;K949,"")</f>
        <v>TB/HIV-5 Percentage of registered new and relapse TB patients with documented HIV status-4</v>
      </c>
      <c r="M949" s="126" t="str">
        <f t="array" aca="1" ref="M949" ca="1">IFERROR(IF(INDEX('Disaggregation Records'!$E$156:$E$517,MATCH(RIGHT(L949,255),RIGHT('Disaggregation Records'!$D$156:$D$517,255),0))="","",INDEX('Disaggregation Records'!$E$156:$E$517,MATCH(RIGHT(L949,255),RIGHT('Disaggregation Records'!$D$156:$D$517,255),0))),"")</f>
        <v>Age</v>
      </c>
      <c r="N949" s="126" t="str">
        <f t="array" aca="1" ref="N949" ca="1">IFERROR(IF(INDEX('Disaggregation Records'!$F$156:$F$517,MATCH(RIGHT(L949,255),RIGHT('Disaggregation Records'!$D$156:$D$517,255),0))="","",INDEX('Disaggregation Records'!$F$156:$F$517,MATCH(RIGHT(L949,255),RIGHT('Disaggregation Records'!$D$156:$D$517,255),0))),"")</f>
        <v>5-14</v>
      </c>
      <c r="O949" s="314" t="str">
        <f t="array" aca="1" ref="O949" ca="1">IFERROR(IF(INDEX('Disaggregation Records'!$H$156:$H$517,MATCH(RIGHT(L949,255),RIGHT('Disaggregation Records'!$D$156:$D$517,255),0))="","",INDEX('Disaggregation Records'!$H$156:$H$517,MATCH(RIGHT(L949,255),RIGHT('Disaggregation Records'!$D$156:$D$517,255),0))),"")</f>
        <v>IDR-01352</v>
      </c>
      <c r="P949" s="310"/>
      <c r="Q949" s="310">
        <f t="shared" ref="Q949" si="1128">Q947+1</f>
        <v>1776</v>
      </c>
      <c r="R949" s="314" t="str" cm="1">
        <f t="array" aca="1" ref="R949" ca="1">IFERROR(IF(INDEX('Disaggregation Records'!$G$156:$G$517,MATCH(RIGHT(L949,255),RIGHT('Disaggregation Records'!$D$156:$D$517,255),0))="","",INDEX('Disaggregation Records'!$G$156:$G$517,MATCH(RIGHT(L949,255),RIGHT('Disaggregation Records'!$D$156:$D$517,255),0))),"")</f>
        <v>a1LDm000000Cb4YMAS</v>
      </c>
    </row>
    <row r="950" spans="1:18" ht="20.100000000000001" customHeight="1">
      <c r="A950" s="126"/>
      <c r="B950" s="571"/>
      <c r="C950" s="573"/>
      <c r="D950" s="575"/>
      <c r="E950" s="575"/>
      <c r="F950" s="128"/>
      <c r="G950" s="577"/>
      <c r="H950" s="540"/>
      <c r="I950" s="579"/>
      <c r="J950" s="533"/>
      <c r="L950" s="126"/>
      <c r="N950" s="126"/>
      <c r="O950" s="314"/>
      <c r="P950" s="310"/>
      <c r="Q950" s="310"/>
      <c r="R950" s="314" t="str" cm="1">
        <f t="array" ref="R950">IFERROR(IF(INDEX('Disaggregation Records'!$G$156:$G$517,MATCH(RIGHT(L950,255),RIGHT('Disaggregation Records'!$D$156:$D$517,255),0))="","",INDEX('Disaggregation Records'!$G$156:$G$517,MATCH(RIGHT(L950,255),RIGHT('Disaggregation Records'!$D$156:$D$517,255),0))),"")</f>
        <v/>
      </c>
    </row>
    <row r="951" spans="1:18" ht="20.100000000000001" customHeight="1">
      <c r="A951" s="126" t="str">
        <f t="shared" ca="1" si="1124"/>
        <v>a16Dm000000M3sqIAC</v>
      </c>
      <c r="B951" s="570">
        <v>9</v>
      </c>
      <c r="C951" s="572" t="str">
        <f ca="1">IFERROR(VLOOKUP(B951,'Coverage Indicators - Section D'!$A$9:$AO$94,41,FALSE),"")</f>
        <v>TB/HIV-5 Percentage of registered new and relapse TB patients with documented HIV status</v>
      </c>
      <c r="D951" s="574" t="str">
        <f ca="1">M951</f>
        <v>Age</v>
      </c>
      <c r="E951" s="574" t="str">
        <f ca="1">N951</f>
        <v>&lt;5</v>
      </c>
      <c r="F951" s="127"/>
      <c r="G951" s="576" t="str">
        <f ca="1">IF(OR(INDIRECT("'update Helper'!E"&amp;Q951)="",F951&lt;&gt;0,F952&lt;&gt;0),IF(IFERROR((F951/F952),"")="","",(F951/F952)),INDIRECT("'update Helper'!E"&amp;Q951)/100)</f>
        <v/>
      </c>
      <c r="H951" s="539"/>
      <c r="I951" s="578" t="s">
        <v>2281</v>
      </c>
      <c r="J951" s="532" t="s">
        <v>2282</v>
      </c>
      <c r="K951" s="126">
        <f ca="1">IF(AND(EXACT(C951,C949),C949&lt;&gt;0),K949+1,0)</f>
        <v>5</v>
      </c>
      <c r="L951" s="126" t="str">
        <f t="shared" ref="L951" ca="1" si="1129">IF(C951&lt;&gt;"",C951&amp;"-"&amp;K951,"")</f>
        <v>TB/HIV-5 Percentage of registered new and relapse TB patients with documented HIV status-5</v>
      </c>
      <c r="M951" s="126" t="str">
        <f t="array" aca="1" ref="M951" ca="1">IFERROR(IF(INDEX('Disaggregation Records'!$E$156:$E$517,MATCH(RIGHT(L951,255),RIGHT('Disaggregation Records'!$D$156:$D$517,255),0))="","",INDEX('Disaggregation Records'!$E$156:$E$517,MATCH(RIGHT(L951,255),RIGHT('Disaggregation Records'!$D$156:$D$517,255),0))),"")</f>
        <v>Age</v>
      </c>
      <c r="N951" s="126" t="str">
        <f t="array" aca="1" ref="N951" ca="1">IFERROR(IF(INDEX('Disaggregation Records'!$F$156:$F$517,MATCH(RIGHT(L951,255),RIGHT('Disaggregation Records'!$D$156:$D$517,255),0))="","",INDEX('Disaggregation Records'!$F$156:$F$517,MATCH(RIGHT(L951,255),RIGHT('Disaggregation Records'!$D$156:$D$517,255),0))),"")</f>
        <v>&lt;5</v>
      </c>
      <c r="O951" s="314" t="str">
        <f t="array" aca="1" ref="O951" ca="1">IFERROR(IF(INDEX('Disaggregation Records'!$H$156:$H$517,MATCH(RIGHT(L951,255),RIGHT('Disaggregation Records'!$D$156:$D$517,255),0))="","",INDEX('Disaggregation Records'!$H$156:$H$517,MATCH(RIGHT(L951,255),RIGHT('Disaggregation Records'!$D$156:$D$517,255),0))),"")</f>
        <v>IDR-01351</v>
      </c>
      <c r="P951" s="314"/>
      <c r="Q951" s="310">
        <f t="shared" ref="Q951" si="1130">Q949+1</f>
        <v>1777</v>
      </c>
      <c r="R951" s="314" t="str" cm="1">
        <f t="array" aca="1" ref="R951" ca="1">IFERROR(IF(INDEX('Disaggregation Records'!$G$156:$G$517,MATCH(RIGHT(L951,255),RIGHT('Disaggregation Records'!$D$156:$D$517,255),0))="","",INDEX('Disaggregation Records'!$G$156:$G$517,MATCH(RIGHT(L951,255),RIGHT('Disaggregation Records'!$D$156:$D$517,255),0))),"")</f>
        <v>a1LDm000000Cb4XMAS</v>
      </c>
    </row>
    <row r="952" spans="1:18" ht="20.100000000000001" customHeight="1">
      <c r="B952" s="571"/>
      <c r="C952" s="573"/>
      <c r="D952" s="575"/>
      <c r="E952" s="575"/>
      <c r="F952" s="128"/>
      <c r="G952" s="577"/>
      <c r="H952" s="540"/>
      <c r="I952" s="579"/>
      <c r="J952" s="533"/>
      <c r="K952" s="126"/>
      <c r="L952" s="126"/>
      <c r="M952" s="126"/>
      <c r="N952" s="126"/>
      <c r="O952" s="314"/>
      <c r="P952" s="314"/>
      <c r="Q952" s="310"/>
      <c r="R952" s="314" t="str" cm="1">
        <f t="array" ref="R952">IFERROR(IF(INDEX('Disaggregation Records'!$G$156:$G$517,MATCH(RIGHT(L952,255),RIGHT('Disaggregation Records'!$D$156:$D$517,255),0))="","",INDEX('Disaggregation Records'!$G$156:$G$517,MATCH(RIGHT(L952,255),RIGHT('Disaggregation Records'!$D$156:$D$517,255),0))),"")</f>
        <v/>
      </c>
    </row>
    <row r="953" spans="1:18" ht="20.100000000000001" customHeight="1">
      <c r="A953" s="126" t="str">
        <f t="shared" ca="1" si="1121"/>
        <v>a16Dm000000M3srIAC</v>
      </c>
      <c r="B953" s="570">
        <v>9</v>
      </c>
      <c r="C953" s="572" t="str">
        <f ca="1">IFERROR(VLOOKUP(B953,'Coverage Indicators - Section D'!$A$9:$AO$94,41,FALSE),"")</f>
        <v>TB/HIV-5 Percentage of registered new and relapse TB patients with documented HIV status</v>
      </c>
      <c r="D953" s="574" t="str">
        <f ca="1">M953</f>
        <v>HIV status</v>
      </c>
      <c r="E953" s="574" t="str">
        <f ca="1">N953</f>
        <v>Positive</v>
      </c>
      <c r="F953" s="127">
        <v>13373</v>
      </c>
      <c r="G953" s="576">
        <f ca="1">IF(OR(INDIRECT("'update Helper'!E"&amp;Q953)="",F953&lt;&gt;0,F954&lt;&gt;0),IF(IFERROR((F953/F954),"")="","",(F953/F954)),INDIRECT("'update Helper'!E"&amp;Q953)/100)</f>
        <v>8.0052917654383063E-2</v>
      </c>
      <c r="H953" s="539">
        <v>2021</v>
      </c>
      <c r="I953" s="578" t="s">
        <v>780</v>
      </c>
      <c r="J953" s="532" t="s">
        <v>2300</v>
      </c>
      <c r="K953" s="126">
        <f ca="1">IF(AND(EXACT(C953,C951),C951&lt;&gt;0),K951+1,0)</f>
        <v>6</v>
      </c>
      <c r="L953" s="126" t="str">
        <f t="shared" ref="L953" ca="1" si="1131">IF(C953&lt;&gt;"",C953&amp;"-"&amp;K953,"")</f>
        <v>TB/HIV-5 Percentage of registered new and relapse TB patients with documented HIV status-6</v>
      </c>
      <c r="M953" s="126" t="str">
        <f t="array" aca="1" ref="M953" ca="1">IFERROR(IF(INDEX('Disaggregation Records'!$E$156:$E$517,MATCH(RIGHT(L953,255),RIGHT('Disaggregation Records'!$D$156:$D$517,255),0))="","",INDEX('Disaggregation Records'!$E$156:$E$517,MATCH(RIGHT(L953,255),RIGHT('Disaggregation Records'!$D$156:$D$517,255),0))),"")</f>
        <v>HIV status</v>
      </c>
      <c r="N953" s="126" t="str">
        <f t="array" aca="1" ref="N953" ca="1">IFERROR(IF(INDEX('Disaggregation Records'!$F$156:$F$517,MATCH(RIGHT(L953,255),RIGHT('Disaggregation Records'!$D$156:$D$517,255),0))="","",INDEX('Disaggregation Records'!$F$156:$F$517,MATCH(RIGHT(L953,255),RIGHT('Disaggregation Records'!$D$156:$D$517,255),0))),"")</f>
        <v>Positive</v>
      </c>
      <c r="O953" s="314" t="str">
        <f t="array" aca="1" ref="O953" ca="1">IFERROR(IF(INDEX('Disaggregation Records'!$H$156:$H$517,MATCH(RIGHT(L953,255),RIGHT('Disaggregation Records'!$D$156:$D$517,255),0))="","",INDEX('Disaggregation Records'!$H$156:$H$517,MATCH(RIGHT(L953,255),RIGHT('Disaggregation Records'!$D$156:$D$517,255),0))),"")</f>
        <v>IDR-01350</v>
      </c>
      <c r="P953" s="314"/>
      <c r="Q953" s="310">
        <f t="shared" ref="Q953" si="1132">Q951+1</f>
        <v>1778</v>
      </c>
      <c r="R953" s="314" t="str" cm="1">
        <f t="array" aca="1" ref="R953" ca="1">IFERROR(IF(INDEX('Disaggregation Records'!$G$156:$G$517,MATCH(RIGHT(L953,255),RIGHT('Disaggregation Records'!$D$156:$D$517,255),0))="","",INDEX('Disaggregation Records'!$G$156:$G$517,MATCH(RIGHT(L953,255),RIGHT('Disaggregation Records'!$D$156:$D$517,255),0))),"")</f>
        <v>a1LDm000000Cb4WMAS</v>
      </c>
    </row>
    <row r="954" spans="1:18" ht="20.100000000000001" customHeight="1">
      <c r="A954" s="126"/>
      <c r="B954" s="571"/>
      <c r="C954" s="573"/>
      <c r="D954" s="575"/>
      <c r="E954" s="575"/>
      <c r="F954" s="128">
        <v>167052</v>
      </c>
      <c r="G954" s="577"/>
      <c r="H954" s="540"/>
      <c r="I954" s="579"/>
      <c r="J954" s="533"/>
      <c r="K954" s="126"/>
      <c r="L954" s="126"/>
      <c r="M954" s="126"/>
      <c r="N954" s="126"/>
      <c r="O954" s="314"/>
      <c r="P954" s="314"/>
      <c r="Q954" s="310"/>
      <c r="R954" s="314" t="str" cm="1">
        <f t="array" ref="R954">IFERROR(IF(INDEX('Disaggregation Records'!$G$156:$G$517,MATCH(RIGHT(L954,255),RIGHT('Disaggregation Records'!$D$156:$D$517,255),0))="","",INDEX('Disaggregation Records'!$G$156:$G$517,MATCH(RIGHT(L954,255),RIGHT('Disaggregation Records'!$D$156:$D$517,255),0))),"")</f>
        <v/>
      </c>
    </row>
    <row r="955" spans="1:18" ht="20.100000000000001" customHeight="1">
      <c r="A955" s="126" t="str">
        <f t="shared" ca="1" si="1124"/>
        <v>a16Dm000000M3ssIAC</v>
      </c>
      <c r="B955" s="570">
        <v>9</v>
      </c>
      <c r="C955" s="572" t="str">
        <f ca="1">IFERROR(VLOOKUP(B955,'Coverage Indicators - Section D'!$A$9:$AO$94,41,FALSE),"")</f>
        <v>TB/HIV-5 Percentage of registered new and relapse TB patients with documented HIV status</v>
      </c>
      <c r="D955" s="574" t="str">
        <f ca="1">M955</f>
        <v>Gender</v>
      </c>
      <c r="E955" s="574" t="str">
        <f ca="1">N955</f>
        <v>Female</v>
      </c>
      <c r="F955" s="127"/>
      <c r="G955" s="576" t="str">
        <f ca="1">IF(OR(INDIRECT("'update Helper'!E"&amp;Q955)="",F955&lt;&gt;0,F956&lt;&gt;0),IF(IFERROR((F955/F956),"")="","",(F955/F956)),INDIRECT("'update Helper'!E"&amp;Q955)/100)</f>
        <v/>
      </c>
      <c r="H955" s="539"/>
      <c r="I955" s="578" t="s">
        <v>2281</v>
      </c>
      <c r="J955" s="532" t="s">
        <v>2282</v>
      </c>
      <c r="K955" s="126">
        <f ca="1">IF(AND(EXACT(C955,C953),C953&lt;&gt;0),K953+1,0)</f>
        <v>7</v>
      </c>
      <c r="L955" s="126" t="str">
        <f t="shared" ref="L955" ca="1" si="1133">IF(C955&lt;&gt;"",C955&amp;"-"&amp;K955,"")</f>
        <v>TB/HIV-5 Percentage of registered new and relapse TB patients with documented HIV status-7</v>
      </c>
      <c r="M955" s="126" t="str">
        <f t="array" aca="1" ref="M955" ca="1">IFERROR(IF(INDEX('Disaggregation Records'!$E$156:$E$517,MATCH(RIGHT(L955,255),RIGHT('Disaggregation Records'!$D$156:$D$517,255),0))="","",INDEX('Disaggregation Records'!$E$156:$E$517,MATCH(RIGHT(L955,255),RIGHT('Disaggregation Records'!$D$156:$D$517,255),0))),"")</f>
        <v>Gender</v>
      </c>
      <c r="N955" s="126" t="str">
        <f t="array" aca="1" ref="N955" ca="1">IFERROR(IF(INDEX('Disaggregation Records'!$F$156:$F$517,MATCH(RIGHT(L955,255),RIGHT('Disaggregation Records'!$D$156:$D$517,255),0))="","",INDEX('Disaggregation Records'!$F$156:$F$517,MATCH(RIGHT(L955,255),RIGHT('Disaggregation Records'!$D$156:$D$517,255),0))),"")</f>
        <v>Female</v>
      </c>
      <c r="O955" s="314" t="str">
        <f t="array" aca="1" ref="O955" ca="1">IFERROR(IF(INDEX('Disaggregation Records'!$H$156:$H$517,MATCH(RIGHT(L955,255),RIGHT('Disaggregation Records'!$D$156:$D$517,255),0))="","",INDEX('Disaggregation Records'!$H$156:$H$517,MATCH(RIGHT(L955,255),RIGHT('Disaggregation Records'!$D$156:$D$517,255),0))),"")</f>
        <v>IDR-01349</v>
      </c>
      <c r="P955" s="310"/>
      <c r="Q955" s="310">
        <f t="shared" ref="Q955" si="1134">Q953+1</f>
        <v>1779</v>
      </c>
      <c r="R955" s="314" t="str" cm="1">
        <f t="array" aca="1" ref="R955" ca="1">IFERROR(IF(INDEX('Disaggregation Records'!$G$156:$G$517,MATCH(RIGHT(L955,255),RIGHT('Disaggregation Records'!$D$156:$D$517,255),0))="","",INDEX('Disaggregation Records'!$G$156:$G$517,MATCH(RIGHT(L955,255),RIGHT('Disaggregation Records'!$D$156:$D$517,255),0))),"")</f>
        <v>a1LDm000000Cb4VMAS</v>
      </c>
    </row>
    <row r="956" spans="1:18" ht="20.100000000000001" customHeight="1">
      <c r="B956" s="571"/>
      <c r="C956" s="573"/>
      <c r="D956" s="575"/>
      <c r="E956" s="575"/>
      <c r="F956" s="128"/>
      <c r="G956" s="577"/>
      <c r="H956" s="540"/>
      <c r="I956" s="579"/>
      <c r="J956" s="533"/>
      <c r="L956" s="126"/>
      <c r="N956" s="126"/>
      <c r="O956" s="314"/>
      <c r="P956" s="310"/>
      <c r="Q956" s="310"/>
      <c r="R956" s="314" t="str" cm="1">
        <f t="array" ref="R956">IFERROR(IF(INDEX('Disaggregation Records'!$G$156:$G$517,MATCH(RIGHT(L956,255),RIGHT('Disaggregation Records'!$D$156:$D$517,255),0))="","",INDEX('Disaggregation Records'!$G$156:$G$517,MATCH(RIGHT(L956,255),RIGHT('Disaggregation Records'!$D$156:$D$517,255),0))),"")</f>
        <v/>
      </c>
    </row>
    <row r="957" spans="1:18" ht="20.100000000000001" customHeight="1">
      <c r="A957" s="126" t="str">
        <f t="shared" ca="1" si="1121"/>
        <v>a16Dm000000M3stIAC</v>
      </c>
      <c r="B957" s="570">
        <v>9</v>
      </c>
      <c r="C957" s="572" t="str">
        <f ca="1">IFERROR(VLOOKUP(B957,'Coverage Indicators - Section D'!$A$9:$AO$94,41,FALSE),"")</f>
        <v>TB/HIV-5 Percentage of registered new and relapse TB patients with documented HIV status</v>
      </c>
      <c r="D957" s="574" t="str">
        <f ca="1">M957</f>
        <v/>
      </c>
      <c r="E957" s="574" t="str">
        <f ca="1">N957</f>
        <v/>
      </c>
      <c r="F957" s="127"/>
      <c r="G957" s="576" t="str">
        <f ca="1">IF(OR(INDIRECT("'update Helper'!E"&amp;Q957)="",F957&lt;&gt;0,F958&lt;&gt;0),IF(IFERROR((F957/F958),"")="","",(F957/F958)),INDIRECT("'update Helper'!E"&amp;Q957)/100)</f>
        <v/>
      </c>
      <c r="H957" s="539"/>
      <c r="I957" s="578"/>
      <c r="J957" s="532"/>
      <c r="K957" s="126">
        <f ca="1">IF(AND(EXACT(C957,C955),C955&lt;&gt;0),K955+1,0)</f>
        <v>8</v>
      </c>
      <c r="L957" s="126" t="str">
        <f t="shared" ref="L957" ca="1" si="1135">IF(C957&lt;&gt;"",C957&amp;"-"&amp;K957,"")</f>
        <v>TB/HIV-5 Percentage of registered new and relapse TB patients with documented HIV status-8</v>
      </c>
      <c r="M957" s="126" t="str">
        <f t="array" aca="1" ref="M957" ca="1">IFERROR(IF(INDEX('Disaggregation Records'!$E$156:$E$517,MATCH(RIGHT(L957,255),RIGHT('Disaggregation Records'!$D$156:$D$517,255),0))="","",INDEX('Disaggregation Records'!$E$156:$E$517,MATCH(RIGHT(L957,255),RIGHT('Disaggregation Records'!$D$156:$D$517,255),0))),"")</f>
        <v/>
      </c>
      <c r="N957" s="126" t="str">
        <f t="array" aca="1" ref="N957" ca="1">IFERROR(IF(INDEX('Disaggregation Records'!$F$156:$F$517,MATCH(RIGHT(L957,255),RIGHT('Disaggregation Records'!$D$156:$D$517,255),0))="","",INDEX('Disaggregation Records'!$F$156:$F$517,MATCH(RIGHT(L957,255),RIGHT('Disaggregation Records'!$D$156:$D$517,255),0))),"")</f>
        <v/>
      </c>
      <c r="O957" s="314" t="str">
        <f t="array" aca="1" ref="O957" ca="1">IFERROR(IF(INDEX('Disaggregation Records'!$H$156:$H$517,MATCH(RIGHT(L957,255),RIGHT('Disaggregation Records'!$D$156:$D$517,255),0))="","",INDEX('Disaggregation Records'!$H$156:$H$517,MATCH(RIGHT(L957,255),RIGHT('Disaggregation Records'!$D$156:$D$517,255),0))),"")</f>
        <v/>
      </c>
      <c r="P957" s="310"/>
      <c r="Q957" s="310">
        <f t="shared" ref="Q957" si="1136">Q955+1</f>
        <v>1780</v>
      </c>
      <c r="R957" s="314" t="str" cm="1">
        <f t="array" aca="1" ref="R957" ca="1">IFERROR(IF(INDEX('Disaggregation Records'!$G$156:$G$517,MATCH(RIGHT(L957,255),RIGHT('Disaggregation Records'!$D$156:$D$517,255),0))="","",INDEX('Disaggregation Records'!$G$156:$G$517,MATCH(RIGHT(L957,255),RIGHT('Disaggregation Records'!$D$156:$D$517,255),0))),"")</f>
        <v/>
      </c>
    </row>
    <row r="958" spans="1:18" ht="20.100000000000001" customHeight="1">
      <c r="A958" s="126"/>
      <c r="B958" s="571"/>
      <c r="C958" s="573"/>
      <c r="D958" s="575"/>
      <c r="E958" s="575"/>
      <c r="F958" s="128"/>
      <c r="G958" s="577"/>
      <c r="H958" s="540"/>
      <c r="I958" s="579"/>
      <c r="J958" s="533"/>
      <c r="L958" s="126"/>
      <c r="N958" s="126"/>
      <c r="O958" s="314"/>
      <c r="P958" s="310"/>
      <c r="Q958" s="310"/>
      <c r="R958" s="314" t="str" cm="1">
        <f t="array" ref="R958">IFERROR(IF(INDEX('Disaggregation Records'!$G$156:$G$517,MATCH(RIGHT(L958,255),RIGHT('Disaggregation Records'!$D$156:$D$517,255),0))="","",INDEX('Disaggregation Records'!$G$156:$G$517,MATCH(RIGHT(L958,255),RIGHT('Disaggregation Records'!$D$156:$D$517,255),0))),"")</f>
        <v/>
      </c>
    </row>
    <row r="959" spans="1:18" ht="20.100000000000001" customHeight="1">
      <c r="A959" s="126" t="str">
        <f t="shared" ca="1" si="1124"/>
        <v>a16Dm000000M3suIAC</v>
      </c>
      <c r="B959" s="570">
        <v>9</v>
      </c>
      <c r="C959" s="572" t="str">
        <f ca="1">IFERROR(VLOOKUP(B959,'Coverage Indicators - Section D'!$A$9:$AO$94,41,FALSE),"")</f>
        <v>TB/HIV-5 Percentage of registered new and relapse TB patients with documented HIV status</v>
      </c>
      <c r="D959" s="574" t="str">
        <f ca="1">M959</f>
        <v/>
      </c>
      <c r="E959" s="574" t="str">
        <f ca="1">N959</f>
        <v/>
      </c>
      <c r="F959" s="127"/>
      <c r="G959" s="576" t="str">
        <f ca="1">IF(OR(INDIRECT("'update Helper'!E"&amp;Q959)="",F959&lt;&gt;0,F960&lt;&gt;0),IF(IFERROR((F959/F960),"")="","",(F959/F960)),INDIRECT("'update Helper'!E"&amp;Q959)/100)</f>
        <v/>
      </c>
      <c r="H959" s="539"/>
      <c r="I959" s="578"/>
      <c r="J959" s="532"/>
      <c r="K959" s="126">
        <f ca="1">IF(AND(EXACT(C959,C957),C957&lt;&gt;0),K957+1,0)</f>
        <v>9</v>
      </c>
      <c r="L959" s="126" t="str">
        <f t="shared" ref="L959" ca="1" si="1137">IF(C959&lt;&gt;"",C959&amp;"-"&amp;K959,"")</f>
        <v>TB/HIV-5 Percentage of registered new and relapse TB patients with documented HIV status-9</v>
      </c>
      <c r="M959" s="126" t="str">
        <f t="array" aca="1" ref="M959" ca="1">IFERROR(IF(INDEX('Disaggregation Records'!$E$156:$E$517,MATCH(RIGHT(L959,255),RIGHT('Disaggregation Records'!$D$156:$D$517,255),0))="","",INDEX('Disaggregation Records'!$E$156:$E$517,MATCH(RIGHT(L959,255),RIGHT('Disaggregation Records'!$D$156:$D$517,255),0))),"")</f>
        <v/>
      </c>
      <c r="N959" s="126" t="str">
        <f t="array" aca="1" ref="N959" ca="1">IFERROR(IF(INDEX('Disaggregation Records'!$F$156:$F$517,MATCH(RIGHT(L959,255),RIGHT('Disaggregation Records'!$D$156:$D$517,255),0))="","",INDEX('Disaggregation Records'!$F$156:$F$517,MATCH(RIGHT(L959,255),RIGHT('Disaggregation Records'!$D$156:$D$517,255),0))),"")</f>
        <v/>
      </c>
      <c r="O959" s="314" t="str">
        <f t="array" aca="1" ref="O959" ca="1">IFERROR(IF(INDEX('Disaggregation Records'!$H$156:$H$517,MATCH(RIGHT(L959,255),RIGHT('Disaggregation Records'!$D$156:$D$517,255),0))="","",INDEX('Disaggregation Records'!$H$156:$H$517,MATCH(RIGHT(L959,255),RIGHT('Disaggregation Records'!$D$156:$D$517,255),0))),"")</f>
        <v/>
      </c>
      <c r="P959" s="310"/>
      <c r="Q959" s="310">
        <f t="shared" ref="Q959" si="1138">Q957+1</f>
        <v>1781</v>
      </c>
      <c r="R959" s="314" t="str" cm="1">
        <f t="array" aca="1" ref="R959" ca="1">IFERROR(IF(INDEX('Disaggregation Records'!$G$156:$G$517,MATCH(RIGHT(L959,255),RIGHT('Disaggregation Records'!$D$156:$D$517,255),0))="","",INDEX('Disaggregation Records'!$G$156:$G$517,MATCH(RIGHT(L959,255),RIGHT('Disaggregation Records'!$D$156:$D$517,255),0))),"")</f>
        <v/>
      </c>
    </row>
    <row r="960" spans="1:18" ht="20.100000000000001" customHeight="1">
      <c r="B960" s="571"/>
      <c r="C960" s="573"/>
      <c r="D960" s="575"/>
      <c r="E960" s="575"/>
      <c r="F960" s="128"/>
      <c r="G960" s="577"/>
      <c r="H960" s="540"/>
      <c r="I960" s="579"/>
      <c r="J960" s="533"/>
      <c r="L960" s="126"/>
      <c r="N960" s="126"/>
      <c r="O960" s="314"/>
      <c r="P960" s="310"/>
      <c r="Q960" s="310"/>
      <c r="R960" s="314" t="str" cm="1">
        <f t="array" ref="R960">IFERROR(IF(INDEX('Disaggregation Records'!$G$156:$G$517,MATCH(RIGHT(L960,255),RIGHT('Disaggregation Records'!$D$156:$D$517,255),0))="","",INDEX('Disaggregation Records'!$G$156:$G$517,MATCH(RIGHT(L960,255),RIGHT('Disaggregation Records'!$D$156:$D$517,255),0))),"")</f>
        <v/>
      </c>
    </row>
    <row r="961" spans="1:18" ht="20.100000000000001" customHeight="1">
      <c r="A961" s="126" t="str">
        <f t="shared" ca="1" si="1121"/>
        <v>a16Dm000000M3svIAC</v>
      </c>
      <c r="B961" s="570">
        <v>9</v>
      </c>
      <c r="C961" s="572" t="str">
        <f ca="1">IFERROR(VLOOKUP(B961,'Coverage Indicators - Section D'!$A$9:$AO$94,41,FALSE),"")</f>
        <v>TB/HIV-5 Percentage of registered new and relapse TB patients with documented HIV status</v>
      </c>
      <c r="D961" s="574" t="str">
        <f ca="1">M961</f>
        <v/>
      </c>
      <c r="E961" s="574" t="str">
        <f ca="1">N961</f>
        <v/>
      </c>
      <c r="F961" s="127"/>
      <c r="G961" s="576" t="str">
        <f ca="1">IF(OR(INDIRECT("'update Helper'!E"&amp;Q961)="",F961&lt;&gt;0,F962&lt;&gt;0),IF(IFERROR((F961/F962),"")="","",(F961/F962)),INDIRECT("'update Helper'!E"&amp;Q961)/100)</f>
        <v/>
      </c>
      <c r="H961" s="539"/>
      <c r="I961" s="578"/>
      <c r="J961" s="532"/>
      <c r="K961" s="126">
        <f ca="1">IF(AND(EXACT(C961,C959),C959&lt;&gt;0),K959+1,0)</f>
        <v>10</v>
      </c>
      <c r="L961" s="126" t="str">
        <f t="shared" ref="L961" ca="1" si="1139">IF(C961&lt;&gt;"",C961&amp;"-"&amp;K961,"")</f>
        <v>TB/HIV-5 Percentage of registered new and relapse TB patients with documented HIV status-10</v>
      </c>
      <c r="M961" s="126" t="str">
        <f t="array" aca="1" ref="M961" ca="1">IFERROR(IF(INDEX('Disaggregation Records'!$E$156:$E$517,MATCH(RIGHT(L961,255),RIGHT('Disaggregation Records'!$D$156:$D$517,255),0))="","",INDEX('Disaggregation Records'!$E$156:$E$517,MATCH(RIGHT(L961,255),RIGHT('Disaggregation Records'!$D$156:$D$517,255),0))),"")</f>
        <v/>
      </c>
      <c r="N961" s="126" t="str">
        <f t="array" aca="1" ref="N961" ca="1">IFERROR(IF(INDEX('Disaggregation Records'!$F$156:$F$517,MATCH(RIGHT(L961,255),RIGHT('Disaggregation Records'!$D$156:$D$517,255),0))="","",INDEX('Disaggregation Records'!$F$156:$F$517,MATCH(RIGHT(L961,255),RIGHT('Disaggregation Records'!$D$156:$D$517,255),0))),"")</f>
        <v/>
      </c>
      <c r="O961" s="314" t="str">
        <f t="array" aca="1" ref="O961" ca="1">IFERROR(IF(INDEX('Disaggregation Records'!$H$156:$H$517,MATCH(RIGHT(L961,255),RIGHT('Disaggregation Records'!$D$156:$D$517,255),0))="","",INDEX('Disaggregation Records'!$H$156:$H$517,MATCH(RIGHT(L961,255),RIGHT('Disaggregation Records'!$D$156:$D$517,255),0))),"")</f>
        <v/>
      </c>
      <c r="P961" s="314"/>
      <c r="Q961" s="310">
        <f t="shared" ref="Q961" si="1140">Q959+1</f>
        <v>1782</v>
      </c>
      <c r="R961" s="314" t="str" cm="1">
        <f t="array" aca="1" ref="R961" ca="1">IFERROR(IF(INDEX('Disaggregation Records'!$G$156:$G$517,MATCH(RIGHT(L961,255),RIGHT('Disaggregation Records'!$D$156:$D$517,255),0))="","",INDEX('Disaggregation Records'!$G$156:$G$517,MATCH(RIGHT(L961,255),RIGHT('Disaggregation Records'!$D$156:$D$517,255),0))),"")</f>
        <v/>
      </c>
    </row>
    <row r="962" spans="1:18" ht="20.100000000000001" customHeight="1">
      <c r="A962" s="126"/>
      <c r="B962" s="571"/>
      <c r="C962" s="573"/>
      <c r="D962" s="575"/>
      <c r="E962" s="575"/>
      <c r="F962" s="128"/>
      <c r="G962" s="577"/>
      <c r="H962" s="540"/>
      <c r="I962" s="579"/>
      <c r="J962" s="533"/>
      <c r="K962" s="126"/>
      <c r="L962" s="126"/>
      <c r="M962" s="126"/>
      <c r="N962" s="126"/>
      <c r="O962" s="314"/>
      <c r="P962" s="314"/>
      <c r="Q962" s="310"/>
      <c r="R962" s="314" t="str" cm="1">
        <f t="array" ref="R962">IFERROR(IF(INDEX('Disaggregation Records'!$G$156:$G$517,MATCH(RIGHT(L962,255),RIGHT('Disaggregation Records'!$D$156:$D$517,255),0))="","",INDEX('Disaggregation Records'!$G$156:$G$517,MATCH(RIGHT(L962,255),RIGHT('Disaggregation Records'!$D$156:$D$517,255),0))),"")</f>
        <v/>
      </c>
    </row>
    <row r="963" spans="1:18" ht="20.100000000000001" customHeight="1">
      <c r="A963" s="126" t="str">
        <f t="shared" ca="1" si="1124"/>
        <v>a16Dm000000M3swIAC</v>
      </c>
      <c r="B963" s="570">
        <v>9</v>
      </c>
      <c r="C963" s="572" t="str">
        <f ca="1">IFERROR(VLOOKUP(B963,'Coverage Indicators - Section D'!$A$9:$AO$94,41,FALSE),"")</f>
        <v>TB/HIV-5 Percentage of registered new and relapse TB patients with documented HIV status</v>
      </c>
      <c r="D963" s="574" t="str">
        <f ca="1">M963</f>
        <v/>
      </c>
      <c r="E963" s="574" t="str">
        <f ca="1">N963</f>
        <v/>
      </c>
      <c r="F963" s="127"/>
      <c r="G963" s="576" t="str">
        <f ca="1">IF(OR(INDIRECT("'update Helper'!E"&amp;Q963)="",F963&lt;&gt;0,F964&lt;&gt;0),IF(IFERROR((F963/F964),"")="","",(F963/F964)),INDIRECT("'update Helper'!E"&amp;Q963)/100)</f>
        <v/>
      </c>
      <c r="H963" s="539"/>
      <c r="I963" s="578"/>
      <c r="J963" s="532"/>
      <c r="K963" s="126">
        <f ca="1">IF(AND(EXACT(C963,C961),C961&lt;&gt;0),K961+1,0)</f>
        <v>11</v>
      </c>
      <c r="L963" s="126" t="str">
        <f t="shared" ref="L963" ca="1" si="1141">IF(C963&lt;&gt;"",C963&amp;"-"&amp;K963,"")</f>
        <v>TB/HIV-5 Percentage of registered new and relapse TB patients with documented HIV status-11</v>
      </c>
      <c r="M963" s="126" t="str">
        <f t="array" aca="1" ref="M963" ca="1">IFERROR(IF(INDEX('Disaggregation Records'!$E$156:$E$517,MATCH(RIGHT(L963,255),RIGHT('Disaggregation Records'!$D$156:$D$517,255),0))="","",INDEX('Disaggregation Records'!$E$156:$E$517,MATCH(RIGHT(L963,255),RIGHT('Disaggregation Records'!$D$156:$D$517,255),0))),"")</f>
        <v/>
      </c>
      <c r="N963" s="126" t="str">
        <f t="array" aca="1" ref="N963" ca="1">IFERROR(IF(INDEX('Disaggregation Records'!$F$156:$F$517,MATCH(RIGHT(L963,255),RIGHT('Disaggregation Records'!$D$156:$D$517,255),0))="","",INDEX('Disaggregation Records'!$F$156:$F$517,MATCH(RIGHT(L963,255),RIGHT('Disaggregation Records'!$D$156:$D$517,255),0))),"")</f>
        <v/>
      </c>
      <c r="O963" s="314" t="str">
        <f t="array" aca="1" ref="O963" ca="1">IFERROR(IF(INDEX('Disaggregation Records'!$H$156:$H$517,MATCH(RIGHT(L963,255),RIGHT('Disaggregation Records'!$D$156:$D$517,255),0))="","",INDEX('Disaggregation Records'!$H$156:$H$517,MATCH(RIGHT(L963,255),RIGHT('Disaggregation Records'!$D$156:$D$517,255),0))),"")</f>
        <v/>
      </c>
      <c r="P963" s="314"/>
      <c r="Q963" s="310">
        <f t="shared" ref="Q963" si="1142">Q961+1</f>
        <v>1783</v>
      </c>
      <c r="R963" s="314" t="str" cm="1">
        <f t="array" aca="1" ref="R963" ca="1">IFERROR(IF(INDEX('Disaggregation Records'!$G$156:$G$517,MATCH(RIGHT(L963,255),RIGHT('Disaggregation Records'!$D$156:$D$517,255),0))="","",INDEX('Disaggregation Records'!$G$156:$G$517,MATCH(RIGHT(L963,255),RIGHT('Disaggregation Records'!$D$156:$D$517,255),0))),"")</f>
        <v/>
      </c>
    </row>
    <row r="964" spans="1:18" ht="20.100000000000001" customHeight="1">
      <c r="B964" s="571"/>
      <c r="C964" s="573"/>
      <c r="D964" s="575"/>
      <c r="E964" s="575"/>
      <c r="F964" s="128"/>
      <c r="G964" s="577"/>
      <c r="H964" s="540"/>
      <c r="I964" s="579"/>
      <c r="J964" s="533"/>
      <c r="K964" s="126"/>
      <c r="L964" s="126"/>
      <c r="M964" s="126"/>
      <c r="N964" s="126"/>
      <c r="O964" s="314"/>
      <c r="P964" s="314"/>
      <c r="Q964" s="310"/>
      <c r="R964" s="314" t="str" cm="1">
        <f t="array" ref="R964">IFERROR(IF(INDEX('Disaggregation Records'!$G$156:$G$517,MATCH(RIGHT(L964,255),RIGHT('Disaggregation Records'!$D$156:$D$517,255),0))="","",INDEX('Disaggregation Records'!$G$156:$G$517,MATCH(RIGHT(L964,255),RIGHT('Disaggregation Records'!$D$156:$D$517,255),0))),"")</f>
        <v/>
      </c>
    </row>
    <row r="965" spans="1:18" ht="20.100000000000001" customHeight="1">
      <c r="A965" s="126" t="str">
        <f t="shared" ca="1" si="1121"/>
        <v>a16Dm000000M3sxIAC</v>
      </c>
      <c r="B965" s="570">
        <v>9</v>
      </c>
      <c r="C965" s="572" t="str">
        <f ca="1">IFERROR(VLOOKUP(B965,'Coverage Indicators - Section D'!$A$9:$AO$94,41,FALSE),"")</f>
        <v>TB/HIV-5 Percentage of registered new and relapse TB patients with documented HIV status</v>
      </c>
      <c r="D965" s="574" t="str">
        <f ca="1">M965</f>
        <v/>
      </c>
      <c r="E965" s="574" t="str">
        <f ca="1">N965</f>
        <v/>
      </c>
      <c r="F965" s="127"/>
      <c r="G965" s="576" t="str">
        <f ca="1">IF(OR(INDIRECT("'update Helper'!E"&amp;Q965)="",F965&lt;&gt;0,F966&lt;&gt;0),IF(IFERROR((F965/F966),"")="","",(F965/F966)),INDIRECT("'update Helper'!E"&amp;Q965)/100)</f>
        <v/>
      </c>
      <c r="H965" s="539"/>
      <c r="I965" s="578"/>
      <c r="J965" s="532"/>
      <c r="K965" s="126">
        <f ca="1">IF(AND(EXACT(C965,C963),C963&lt;&gt;0),K963+1,0)</f>
        <v>12</v>
      </c>
      <c r="L965" s="126" t="str">
        <f t="shared" ref="L965" ca="1" si="1143">IF(C965&lt;&gt;"",C965&amp;"-"&amp;K965,"")</f>
        <v>TB/HIV-5 Percentage of registered new and relapse TB patients with documented HIV status-12</v>
      </c>
      <c r="M965" s="126" t="str">
        <f t="array" aca="1" ref="M965" ca="1">IFERROR(IF(INDEX('Disaggregation Records'!$E$156:$E$517,MATCH(RIGHT(L965,255),RIGHT('Disaggregation Records'!$D$156:$D$517,255),0))="","",INDEX('Disaggregation Records'!$E$156:$E$517,MATCH(RIGHT(L965,255),RIGHT('Disaggregation Records'!$D$156:$D$517,255),0))),"")</f>
        <v/>
      </c>
      <c r="N965" s="126" t="str">
        <f t="array" aca="1" ref="N965" ca="1">IFERROR(IF(INDEX('Disaggregation Records'!$F$156:$F$517,MATCH(RIGHT(L965,255),RIGHT('Disaggregation Records'!$D$156:$D$517,255),0))="","",INDEX('Disaggregation Records'!$F$156:$F$517,MATCH(RIGHT(L965,255),RIGHT('Disaggregation Records'!$D$156:$D$517,255),0))),"")</f>
        <v/>
      </c>
      <c r="O965" s="314" t="str">
        <f t="array" aca="1" ref="O965" ca="1">IFERROR(IF(INDEX('Disaggregation Records'!$H$156:$H$517,MATCH(RIGHT(L965,255),RIGHT('Disaggregation Records'!$D$156:$D$517,255),0))="","",INDEX('Disaggregation Records'!$H$156:$H$517,MATCH(RIGHT(L965,255),RIGHT('Disaggregation Records'!$D$156:$D$517,255),0))),"")</f>
        <v/>
      </c>
      <c r="P965" s="310"/>
      <c r="Q965" s="310">
        <f t="shared" ref="Q965" si="1144">Q963+1</f>
        <v>1784</v>
      </c>
      <c r="R965" s="314" t="str" cm="1">
        <f t="array" aca="1" ref="R965" ca="1">IFERROR(IF(INDEX('Disaggregation Records'!$G$156:$G$517,MATCH(RIGHT(L965,255),RIGHT('Disaggregation Records'!$D$156:$D$517,255),0))="","",INDEX('Disaggregation Records'!$G$156:$G$517,MATCH(RIGHT(L965,255),RIGHT('Disaggregation Records'!$D$156:$D$517,255),0))),"")</f>
        <v/>
      </c>
    </row>
    <row r="966" spans="1:18" ht="20.100000000000001" customHeight="1">
      <c r="A966" s="126"/>
      <c r="B966" s="571"/>
      <c r="C966" s="573"/>
      <c r="D966" s="575"/>
      <c r="E966" s="575"/>
      <c r="F966" s="128"/>
      <c r="G966" s="577"/>
      <c r="H966" s="540"/>
      <c r="I966" s="579"/>
      <c r="J966" s="533"/>
      <c r="L966" s="126"/>
      <c r="N966" s="126"/>
      <c r="O966" s="314"/>
      <c r="P966" s="310"/>
      <c r="Q966" s="310"/>
      <c r="R966" s="314" t="str" cm="1">
        <f t="array" ref="R966">IFERROR(IF(INDEX('Disaggregation Records'!$G$156:$G$517,MATCH(RIGHT(L966,255),RIGHT('Disaggregation Records'!$D$156:$D$517,255),0))="","",INDEX('Disaggregation Records'!$G$156:$G$517,MATCH(RIGHT(L966,255),RIGHT('Disaggregation Records'!$D$156:$D$517,255),0))),"")</f>
        <v/>
      </c>
    </row>
    <row r="967" spans="1:18" ht="20.100000000000001" customHeight="1">
      <c r="A967" s="126" t="str">
        <f t="shared" ca="1" si="1124"/>
        <v>a16Dm000000M3syIAC</v>
      </c>
      <c r="B967" s="570">
        <v>9</v>
      </c>
      <c r="C967" s="572" t="str">
        <f ca="1">IFERROR(VLOOKUP(B967,'Coverage Indicators - Section D'!$A$9:$AO$94,41,FALSE),"")</f>
        <v>TB/HIV-5 Percentage of registered new and relapse TB patients with documented HIV status</v>
      </c>
      <c r="D967" s="574" t="str">
        <f ca="1">M967</f>
        <v/>
      </c>
      <c r="E967" s="574" t="str">
        <f ca="1">N967</f>
        <v/>
      </c>
      <c r="F967" s="127"/>
      <c r="G967" s="576" t="str">
        <f ca="1">IF(OR(INDIRECT("'update Helper'!E"&amp;Q967)="",F967&lt;&gt;0,F968&lt;&gt;0),IF(IFERROR((F967/F968),"")="","",(F967/F968)),INDIRECT("'update Helper'!E"&amp;Q967)/100)</f>
        <v/>
      </c>
      <c r="H967" s="539"/>
      <c r="I967" s="578"/>
      <c r="J967" s="532"/>
      <c r="K967" s="126">
        <f ca="1">IF(AND(EXACT(C967,C965),C965&lt;&gt;0),K965+1,0)</f>
        <v>13</v>
      </c>
      <c r="L967" s="126" t="str">
        <f t="shared" ref="L967" ca="1" si="1145">IF(C967&lt;&gt;"",C967&amp;"-"&amp;K967,"")</f>
        <v>TB/HIV-5 Percentage of registered new and relapse TB patients with documented HIV status-13</v>
      </c>
      <c r="M967" s="126" t="str">
        <f t="array" aca="1" ref="M967" ca="1">IFERROR(IF(INDEX('Disaggregation Records'!$E$156:$E$517,MATCH(RIGHT(L967,255),RIGHT('Disaggregation Records'!$D$156:$D$517,255),0))="","",INDEX('Disaggregation Records'!$E$156:$E$517,MATCH(RIGHT(L967,255),RIGHT('Disaggregation Records'!$D$156:$D$517,255),0))),"")</f>
        <v/>
      </c>
      <c r="N967" s="126" t="str">
        <f t="array" aca="1" ref="N967" ca="1">IFERROR(IF(INDEX('Disaggregation Records'!$F$156:$F$517,MATCH(RIGHT(L967,255),RIGHT('Disaggregation Records'!$D$156:$D$517,255),0))="","",INDEX('Disaggregation Records'!$F$156:$F$517,MATCH(RIGHT(L967,255),RIGHT('Disaggregation Records'!$D$156:$D$517,255),0))),"")</f>
        <v/>
      </c>
      <c r="O967" s="314" t="str">
        <f t="array" aca="1" ref="O967" ca="1">IFERROR(IF(INDEX('Disaggregation Records'!$H$156:$H$517,MATCH(RIGHT(L967,255),RIGHT('Disaggregation Records'!$D$156:$D$517,255),0))="","",INDEX('Disaggregation Records'!$H$156:$H$517,MATCH(RIGHT(L967,255),RIGHT('Disaggregation Records'!$D$156:$D$517,255),0))),"")</f>
        <v/>
      </c>
      <c r="P967" s="310"/>
      <c r="Q967" s="310">
        <f t="shared" ref="Q967" si="1146">Q965+1</f>
        <v>1785</v>
      </c>
      <c r="R967" s="314" t="str" cm="1">
        <f t="array" aca="1" ref="R967" ca="1">IFERROR(IF(INDEX('Disaggregation Records'!$G$156:$G$517,MATCH(RIGHT(L967,255),RIGHT('Disaggregation Records'!$D$156:$D$517,255),0))="","",INDEX('Disaggregation Records'!$G$156:$G$517,MATCH(RIGHT(L967,255),RIGHT('Disaggregation Records'!$D$156:$D$517,255),0))),"")</f>
        <v/>
      </c>
    </row>
    <row r="968" spans="1:18" ht="20.100000000000001" customHeight="1">
      <c r="B968" s="571"/>
      <c r="C968" s="573"/>
      <c r="D968" s="575"/>
      <c r="E968" s="575"/>
      <c r="F968" s="128"/>
      <c r="G968" s="577"/>
      <c r="H968" s="540"/>
      <c r="I968" s="579"/>
      <c r="J968" s="533"/>
      <c r="L968" s="126"/>
      <c r="N968" s="126"/>
      <c r="O968" s="314"/>
      <c r="P968" s="310"/>
      <c r="Q968" s="310"/>
      <c r="R968" s="314" t="str" cm="1">
        <f t="array" ref="R968">IFERROR(IF(INDEX('Disaggregation Records'!$G$156:$G$517,MATCH(RIGHT(L968,255),RIGHT('Disaggregation Records'!$D$156:$D$517,255),0))="","",INDEX('Disaggregation Records'!$G$156:$G$517,MATCH(RIGHT(L968,255),RIGHT('Disaggregation Records'!$D$156:$D$517,255),0))),"")</f>
        <v/>
      </c>
    </row>
    <row r="969" spans="1:18" ht="20.100000000000001" customHeight="1">
      <c r="A969" s="126" t="str">
        <f t="shared" ca="1" si="1121"/>
        <v>a16Dm000000M3szIAC</v>
      </c>
      <c r="B969" s="570">
        <v>9</v>
      </c>
      <c r="C969" s="572" t="str">
        <f ca="1">IFERROR(VLOOKUP(B969,'Coverage Indicators - Section D'!$A$9:$AO$94,41,FALSE),"")</f>
        <v>TB/HIV-5 Percentage of registered new and relapse TB patients with documented HIV status</v>
      </c>
      <c r="D969" s="574" t="str">
        <f ca="1">M969</f>
        <v/>
      </c>
      <c r="E969" s="574" t="str">
        <f ca="1">N969</f>
        <v/>
      </c>
      <c r="F969" s="127"/>
      <c r="G969" s="576" t="str">
        <f ca="1">IF(OR(INDIRECT("'update Helper'!E"&amp;Q969)="",F969&lt;&gt;0,F970&lt;&gt;0),IF(IFERROR((F969/F970),"")="","",(F969/F970)),INDIRECT("'update Helper'!E"&amp;Q969)/100)</f>
        <v/>
      </c>
      <c r="H969" s="539"/>
      <c r="I969" s="578"/>
      <c r="J969" s="532"/>
      <c r="K969" s="126">
        <f ca="1">IF(AND(EXACT(C969,C967),C967&lt;&gt;0),K967+1,0)</f>
        <v>14</v>
      </c>
      <c r="L969" s="126" t="str">
        <f t="shared" ref="L969" ca="1" si="1147">IF(C969&lt;&gt;"",C969&amp;"-"&amp;K969,"")</f>
        <v>TB/HIV-5 Percentage of registered new and relapse TB patients with documented HIV status-14</v>
      </c>
      <c r="M969" s="126" t="str">
        <f t="array" aca="1" ref="M969" ca="1">IFERROR(IF(INDEX('Disaggregation Records'!$E$156:$E$517,MATCH(RIGHT(L969,255),RIGHT('Disaggregation Records'!$D$156:$D$517,255),0))="","",INDEX('Disaggregation Records'!$E$156:$E$517,MATCH(RIGHT(L969,255),RIGHT('Disaggregation Records'!$D$156:$D$517,255),0))),"")</f>
        <v/>
      </c>
      <c r="N969" s="126" t="str">
        <f t="array" aca="1" ref="N969" ca="1">IFERROR(IF(INDEX('Disaggregation Records'!$F$156:$F$517,MATCH(RIGHT(L969,255),RIGHT('Disaggregation Records'!$D$156:$D$517,255),0))="","",INDEX('Disaggregation Records'!$F$156:$F$517,MATCH(RIGHT(L969,255),RIGHT('Disaggregation Records'!$D$156:$D$517,255),0))),"")</f>
        <v/>
      </c>
      <c r="O969" s="314" t="str">
        <f t="array" aca="1" ref="O969" ca="1">IFERROR(IF(INDEX('Disaggregation Records'!$H$156:$H$517,MATCH(RIGHT(L969,255),RIGHT('Disaggregation Records'!$D$156:$D$517,255),0))="","",INDEX('Disaggregation Records'!$H$156:$H$517,MATCH(RIGHT(L969,255),RIGHT('Disaggregation Records'!$D$156:$D$517,255),0))),"")</f>
        <v/>
      </c>
      <c r="P969" s="310"/>
      <c r="Q969" s="310">
        <f t="shared" ref="Q969" si="1148">Q967+1</f>
        <v>1786</v>
      </c>
      <c r="R969" s="314" t="str" cm="1">
        <f t="array" aca="1" ref="R969" ca="1">IFERROR(IF(INDEX('Disaggregation Records'!$G$156:$G$517,MATCH(RIGHT(L969,255),RIGHT('Disaggregation Records'!$D$156:$D$517,255),0))="","",INDEX('Disaggregation Records'!$G$156:$G$517,MATCH(RIGHT(L969,255),RIGHT('Disaggregation Records'!$D$156:$D$517,255),0))),"")</f>
        <v/>
      </c>
    </row>
    <row r="970" spans="1:18" ht="20.100000000000001" customHeight="1">
      <c r="A970" s="126"/>
      <c r="B970" s="571"/>
      <c r="C970" s="573"/>
      <c r="D970" s="575"/>
      <c r="E970" s="575"/>
      <c r="F970" s="128"/>
      <c r="G970" s="577"/>
      <c r="H970" s="540"/>
      <c r="I970" s="579"/>
      <c r="J970" s="533"/>
      <c r="L970" s="126"/>
      <c r="N970" s="126"/>
      <c r="O970" s="314"/>
      <c r="P970" s="310"/>
      <c r="Q970" s="310"/>
      <c r="R970" s="314" t="str" cm="1">
        <f t="array" ref="R970">IFERROR(IF(INDEX('Disaggregation Records'!$G$156:$G$517,MATCH(RIGHT(L970,255),RIGHT('Disaggregation Records'!$D$156:$D$517,255),0))="","",INDEX('Disaggregation Records'!$G$156:$G$517,MATCH(RIGHT(L970,255),RIGHT('Disaggregation Records'!$D$156:$D$517,255),0))),"")</f>
        <v/>
      </c>
    </row>
    <row r="971" spans="1:18" ht="20.100000000000001" customHeight="1">
      <c r="A971" s="126" t="str">
        <f t="shared" ca="1" si="1124"/>
        <v>a16Dm000000M3t0IAC</v>
      </c>
      <c r="B971" s="570">
        <v>9</v>
      </c>
      <c r="C971" s="572" t="str">
        <f ca="1">IFERROR(VLOOKUP(B971,'Coverage Indicators - Section D'!$A$9:$AO$94,41,FALSE),"")</f>
        <v>TB/HIV-5 Percentage of registered new and relapse TB patients with documented HIV status</v>
      </c>
      <c r="D971" s="574" t="str">
        <f ca="1">M971</f>
        <v/>
      </c>
      <c r="E971" s="574" t="str">
        <f ca="1">N971</f>
        <v/>
      </c>
      <c r="F971" s="127"/>
      <c r="G971" s="576" t="str">
        <f ca="1">IF(OR(INDIRECT("'update Helper'!E"&amp;Q971)="",F971&lt;&gt;0,F972&lt;&gt;0),IF(IFERROR((F971/F972),"")="","",(F971/F972)),INDIRECT("'update Helper'!E"&amp;Q971)/100)</f>
        <v/>
      </c>
      <c r="H971" s="539"/>
      <c r="I971" s="578"/>
      <c r="J971" s="532"/>
      <c r="K971" s="126">
        <f ca="1">IF(AND(EXACT(C971,C969),C969&lt;&gt;0),K969+1,0)</f>
        <v>15</v>
      </c>
      <c r="L971" s="126" t="str">
        <f t="shared" ref="L971" ca="1" si="1149">IF(C971&lt;&gt;"",C971&amp;"-"&amp;K971,"")</f>
        <v>TB/HIV-5 Percentage of registered new and relapse TB patients with documented HIV status-15</v>
      </c>
      <c r="M971" s="126" t="str">
        <f t="array" aca="1" ref="M971" ca="1">IFERROR(IF(INDEX('Disaggregation Records'!$E$156:$E$517,MATCH(RIGHT(L971,255),RIGHT('Disaggregation Records'!$D$156:$D$517,255),0))="","",INDEX('Disaggregation Records'!$E$156:$E$517,MATCH(RIGHT(L971,255),RIGHT('Disaggregation Records'!$D$156:$D$517,255),0))),"")</f>
        <v/>
      </c>
      <c r="N971" s="126" t="str">
        <f t="array" aca="1" ref="N971" ca="1">IFERROR(IF(INDEX('Disaggregation Records'!$F$156:$F$517,MATCH(RIGHT(L971,255),RIGHT('Disaggregation Records'!$D$156:$D$517,255),0))="","",INDEX('Disaggregation Records'!$F$156:$F$517,MATCH(RIGHT(L971,255),RIGHT('Disaggregation Records'!$D$156:$D$517,255),0))),"")</f>
        <v/>
      </c>
      <c r="O971" s="314" t="str">
        <f t="array" aca="1" ref="O971" ca="1">IFERROR(IF(INDEX('Disaggregation Records'!$H$156:$H$517,MATCH(RIGHT(L971,255),RIGHT('Disaggregation Records'!$D$156:$D$517,255),0))="","",INDEX('Disaggregation Records'!$H$156:$H$517,MATCH(RIGHT(L971,255),RIGHT('Disaggregation Records'!$D$156:$D$517,255),0))),"")</f>
        <v/>
      </c>
      <c r="P971" s="314"/>
      <c r="Q971" s="310">
        <f t="shared" ref="Q971" si="1150">Q969+1</f>
        <v>1787</v>
      </c>
      <c r="R971" s="314" t="str" cm="1">
        <f t="array" aca="1" ref="R971" ca="1">IFERROR(IF(INDEX('Disaggregation Records'!$G$156:$G$517,MATCH(RIGHT(L971,255),RIGHT('Disaggregation Records'!$D$156:$D$517,255),0))="","",INDEX('Disaggregation Records'!$G$156:$G$517,MATCH(RIGHT(L971,255),RIGHT('Disaggregation Records'!$D$156:$D$517,255),0))),"")</f>
        <v/>
      </c>
    </row>
    <row r="972" spans="1:18" ht="20.100000000000001" customHeight="1">
      <c r="B972" s="571"/>
      <c r="C972" s="573"/>
      <c r="D972" s="575"/>
      <c r="E972" s="575"/>
      <c r="F972" s="128"/>
      <c r="G972" s="577"/>
      <c r="H972" s="540"/>
      <c r="I972" s="579"/>
      <c r="J972" s="533"/>
      <c r="K972" s="126"/>
      <c r="L972" s="126"/>
      <c r="M972" s="126"/>
      <c r="N972" s="126"/>
      <c r="O972" s="314"/>
      <c r="P972" s="314"/>
      <c r="Q972" s="310"/>
      <c r="R972" s="314" t="str" cm="1">
        <f t="array" ref="R972">IFERROR(IF(INDEX('Disaggregation Records'!$G$156:$G$517,MATCH(RIGHT(L972,255),RIGHT('Disaggregation Records'!$D$156:$D$517,255),0))="","",INDEX('Disaggregation Records'!$G$156:$G$517,MATCH(RIGHT(L972,255),RIGHT('Disaggregation Records'!$D$156:$D$517,255),0))),"")</f>
        <v/>
      </c>
    </row>
    <row r="973" spans="1:18" ht="20.100000000000001" customHeight="1">
      <c r="A973" s="126" t="str">
        <f t="shared" ca="1" si="1121"/>
        <v>a16Dm000000M3t1IAC</v>
      </c>
      <c r="B973" s="570">
        <v>9</v>
      </c>
      <c r="C973" s="572" t="str">
        <f ca="1">IFERROR(VLOOKUP(B973,'Coverage Indicators - Section D'!$A$9:$AO$94,41,FALSE),"")</f>
        <v>TB/HIV-5 Percentage of registered new and relapse TB patients with documented HIV status</v>
      </c>
      <c r="D973" s="574" t="str">
        <f ca="1">M973</f>
        <v/>
      </c>
      <c r="E973" s="574" t="str">
        <f ca="1">N973</f>
        <v/>
      </c>
      <c r="F973" s="127"/>
      <c r="G973" s="576" t="str">
        <f ca="1">IF(OR(INDIRECT("'update Helper'!E"&amp;Q973)="",F973&lt;&gt;0,F974&lt;&gt;0),IF(IFERROR((F973/F974),"")="","",(F973/F974)),INDIRECT("'update Helper'!E"&amp;Q973)/100)</f>
        <v/>
      </c>
      <c r="H973" s="539"/>
      <c r="I973" s="578"/>
      <c r="J973" s="532"/>
      <c r="K973" s="126">
        <f ca="1">IF(AND(EXACT(C973,C971),C971&lt;&gt;0),K971+1,0)</f>
        <v>16</v>
      </c>
      <c r="L973" s="126" t="str">
        <f t="shared" ref="L973" ca="1" si="1151">IF(C973&lt;&gt;"",C973&amp;"-"&amp;K973,"")</f>
        <v>TB/HIV-5 Percentage of registered new and relapse TB patients with documented HIV status-16</v>
      </c>
      <c r="M973" s="126" t="str">
        <f t="array" aca="1" ref="M973" ca="1">IFERROR(IF(INDEX('Disaggregation Records'!$E$156:$E$517,MATCH(RIGHT(L973,255),RIGHT('Disaggregation Records'!$D$156:$D$517,255),0))="","",INDEX('Disaggregation Records'!$E$156:$E$517,MATCH(RIGHT(L973,255),RIGHT('Disaggregation Records'!$D$156:$D$517,255),0))),"")</f>
        <v/>
      </c>
      <c r="N973" s="126" t="str">
        <f t="array" aca="1" ref="N973" ca="1">IFERROR(IF(INDEX('Disaggregation Records'!$F$156:$F$517,MATCH(RIGHT(L973,255),RIGHT('Disaggregation Records'!$D$156:$D$517,255),0))="","",INDEX('Disaggregation Records'!$F$156:$F$517,MATCH(RIGHT(L973,255),RIGHT('Disaggregation Records'!$D$156:$D$517,255),0))),"")</f>
        <v/>
      </c>
      <c r="O973" s="314" t="str">
        <f t="array" aca="1" ref="O973" ca="1">IFERROR(IF(INDEX('Disaggregation Records'!$H$156:$H$517,MATCH(RIGHT(L973,255),RIGHT('Disaggregation Records'!$D$156:$D$517,255),0))="","",INDEX('Disaggregation Records'!$H$156:$H$517,MATCH(RIGHT(L973,255),RIGHT('Disaggregation Records'!$D$156:$D$517,255),0))),"")</f>
        <v/>
      </c>
      <c r="P973" s="314"/>
      <c r="Q973" s="310">
        <f t="shared" ref="Q973" si="1152">Q971+1</f>
        <v>1788</v>
      </c>
      <c r="R973" s="314" t="str" cm="1">
        <f t="array" aca="1" ref="R973" ca="1">IFERROR(IF(INDEX('Disaggregation Records'!$G$156:$G$517,MATCH(RIGHT(L973,255),RIGHT('Disaggregation Records'!$D$156:$D$517,255),0))="","",INDEX('Disaggregation Records'!$G$156:$G$517,MATCH(RIGHT(L973,255),RIGHT('Disaggregation Records'!$D$156:$D$517,255),0))),"")</f>
        <v/>
      </c>
    </row>
    <row r="974" spans="1:18" ht="20.100000000000001" customHeight="1">
      <c r="A974" s="126"/>
      <c r="B974" s="571"/>
      <c r="C974" s="573"/>
      <c r="D974" s="575"/>
      <c r="E974" s="575"/>
      <c r="F974" s="128"/>
      <c r="G974" s="577"/>
      <c r="H974" s="540"/>
      <c r="I974" s="579"/>
      <c r="J974" s="533"/>
      <c r="K974" s="126"/>
      <c r="L974" s="126"/>
      <c r="M974" s="126"/>
      <c r="N974" s="126"/>
      <c r="O974" s="314"/>
      <c r="P974" s="314"/>
      <c r="Q974" s="310"/>
      <c r="R974" s="314" t="str" cm="1">
        <f t="array" ref="R974">IFERROR(IF(INDEX('Disaggregation Records'!$G$156:$G$517,MATCH(RIGHT(L974,255),RIGHT('Disaggregation Records'!$D$156:$D$517,255),0))="","",INDEX('Disaggregation Records'!$G$156:$G$517,MATCH(RIGHT(L974,255),RIGHT('Disaggregation Records'!$D$156:$D$517,255),0))),"")</f>
        <v/>
      </c>
    </row>
    <row r="975" spans="1:18" ht="20.100000000000001" customHeight="1">
      <c r="A975" s="126" t="str">
        <f t="shared" ca="1" si="1124"/>
        <v>a16Dm000000M3t2IAC</v>
      </c>
      <c r="B975" s="570">
        <v>9</v>
      </c>
      <c r="C975" s="572" t="str">
        <f ca="1">IFERROR(VLOOKUP(B975,'Coverage Indicators - Section D'!$A$9:$AO$94,41,FALSE),"")</f>
        <v>TB/HIV-5 Percentage of registered new and relapse TB patients with documented HIV status</v>
      </c>
      <c r="D975" s="574" t="str">
        <f ca="1">M975</f>
        <v/>
      </c>
      <c r="E975" s="574" t="str">
        <f ca="1">N975</f>
        <v/>
      </c>
      <c r="F975" s="127"/>
      <c r="G975" s="576" t="str">
        <f ca="1">IF(OR(INDIRECT("'update Helper'!E"&amp;Q975)="",F975&lt;&gt;0,F976&lt;&gt;0),IF(IFERROR((F975/F976),"")="","",(F975/F976)),INDIRECT("'update Helper'!E"&amp;Q975)/100)</f>
        <v/>
      </c>
      <c r="H975" s="539"/>
      <c r="I975" s="578"/>
      <c r="J975" s="532"/>
      <c r="K975" s="126">
        <f ca="1">IF(AND(EXACT(C975,C973),C973&lt;&gt;0),K973+1,0)</f>
        <v>17</v>
      </c>
      <c r="L975" s="126" t="str">
        <f t="shared" ref="L975" ca="1" si="1153">IF(C975&lt;&gt;"",C975&amp;"-"&amp;K975,"")</f>
        <v>TB/HIV-5 Percentage of registered new and relapse TB patients with documented HIV status-17</v>
      </c>
      <c r="M975" s="126" t="str">
        <f t="array" aca="1" ref="M975" ca="1">IFERROR(IF(INDEX('Disaggregation Records'!$E$156:$E$517,MATCH(RIGHT(L975,255),RIGHT('Disaggregation Records'!$D$156:$D$517,255),0))="","",INDEX('Disaggregation Records'!$E$156:$E$517,MATCH(RIGHT(L975,255),RIGHT('Disaggregation Records'!$D$156:$D$517,255),0))),"")</f>
        <v/>
      </c>
      <c r="N975" s="126" t="str">
        <f t="array" aca="1" ref="N975" ca="1">IFERROR(IF(INDEX('Disaggregation Records'!$F$156:$F$517,MATCH(RIGHT(L975,255),RIGHT('Disaggregation Records'!$D$156:$D$517,255),0))="","",INDEX('Disaggregation Records'!$F$156:$F$517,MATCH(RIGHT(L975,255),RIGHT('Disaggregation Records'!$D$156:$D$517,255),0))),"")</f>
        <v/>
      </c>
      <c r="O975" s="314" t="str">
        <f t="array" aca="1" ref="O975" ca="1">IFERROR(IF(INDEX('Disaggregation Records'!$H$156:$H$517,MATCH(RIGHT(L975,255),RIGHT('Disaggregation Records'!$D$156:$D$517,255),0))="","",INDEX('Disaggregation Records'!$H$156:$H$517,MATCH(RIGHT(L975,255),RIGHT('Disaggregation Records'!$D$156:$D$517,255),0))),"")</f>
        <v/>
      </c>
      <c r="P975" s="310"/>
      <c r="Q975" s="310">
        <f t="shared" ref="Q975" si="1154">Q973+1</f>
        <v>1789</v>
      </c>
      <c r="R975" s="314" t="str" cm="1">
        <f t="array" aca="1" ref="R975" ca="1">IFERROR(IF(INDEX('Disaggregation Records'!$G$156:$G$517,MATCH(RIGHT(L975,255),RIGHT('Disaggregation Records'!$D$156:$D$517,255),0))="","",INDEX('Disaggregation Records'!$G$156:$G$517,MATCH(RIGHT(L975,255),RIGHT('Disaggregation Records'!$D$156:$D$517,255),0))),"")</f>
        <v/>
      </c>
    </row>
    <row r="976" spans="1:18" ht="20.100000000000001" customHeight="1">
      <c r="B976" s="571"/>
      <c r="C976" s="573"/>
      <c r="D976" s="575"/>
      <c r="E976" s="575"/>
      <c r="F976" s="128"/>
      <c r="G976" s="577"/>
      <c r="H976" s="540"/>
      <c r="I976" s="579"/>
      <c r="J976" s="533"/>
      <c r="L976" s="126"/>
      <c r="N976" s="126"/>
      <c r="O976" s="314"/>
      <c r="P976" s="310"/>
      <c r="Q976" s="310"/>
      <c r="R976" s="314" t="str" cm="1">
        <f t="array" ref="R976">IFERROR(IF(INDEX('Disaggregation Records'!$G$156:$G$517,MATCH(RIGHT(L976,255),RIGHT('Disaggregation Records'!$D$156:$D$517,255),0))="","",INDEX('Disaggregation Records'!$G$156:$G$517,MATCH(RIGHT(L976,255),RIGHT('Disaggregation Records'!$D$156:$D$517,255),0))),"")</f>
        <v/>
      </c>
    </row>
    <row r="977" spans="1:18" ht="20.100000000000001" customHeight="1">
      <c r="A977" s="126" t="str">
        <f t="shared" ca="1" si="1121"/>
        <v>a16Dm000000M3t3IAC</v>
      </c>
      <c r="B977" s="570">
        <v>9</v>
      </c>
      <c r="C977" s="572" t="str">
        <f ca="1">IFERROR(VLOOKUP(B977,'Coverage Indicators - Section D'!$A$9:$AO$94,41,FALSE),"")</f>
        <v>TB/HIV-5 Percentage of registered new and relapse TB patients with documented HIV status</v>
      </c>
      <c r="D977" s="574" t="str">
        <f ca="1">M977</f>
        <v/>
      </c>
      <c r="E977" s="574" t="str">
        <f ca="1">N977</f>
        <v/>
      </c>
      <c r="F977" s="127"/>
      <c r="G977" s="576" t="str">
        <f ca="1">IF(OR(INDIRECT("'update Helper'!E"&amp;Q977)="",F977&lt;&gt;0,F978&lt;&gt;0),IF(IFERROR((F977/F978),"")="","",(F977/F978)),INDIRECT("'update Helper'!E"&amp;Q977)/100)</f>
        <v/>
      </c>
      <c r="H977" s="539"/>
      <c r="I977" s="578"/>
      <c r="J977" s="532"/>
      <c r="K977" s="126">
        <f ca="1">IF(AND(EXACT(C977,C975),C975&lt;&gt;0),K975+1,0)</f>
        <v>18</v>
      </c>
      <c r="L977" s="126" t="str">
        <f t="shared" ref="L977" ca="1" si="1155">IF(C977&lt;&gt;"",C977&amp;"-"&amp;K977,"")</f>
        <v>TB/HIV-5 Percentage of registered new and relapse TB patients with documented HIV status-18</v>
      </c>
      <c r="M977" s="126" t="str">
        <f t="array" aca="1" ref="M977" ca="1">IFERROR(IF(INDEX('Disaggregation Records'!$E$156:$E$517,MATCH(RIGHT(L977,255),RIGHT('Disaggregation Records'!$D$156:$D$517,255),0))="","",INDEX('Disaggregation Records'!$E$156:$E$517,MATCH(RIGHT(L977,255),RIGHT('Disaggregation Records'!$D$156:$D$517,255),0))),"")</f>
        <v/>
      </c>
      <c r="N977" s="126" t="str">
        <f t="array" aca="1" ref="N977" ca="1">IFERROR(IF(INDEX('Disaggregation Records'!$F$156:$F$517,MATCH(RIGHT(L977,255),RIGHT('Disaggregation Records'!$D$156:$D$517,255),0))="","",INDEX('Disaggregation Records'!$F$156:$F$517,MATCH(RIGHT(L977,255),RIGHT('Disaggregation Records'!$D$156:$D$517,255),0))),"")</f>
        <v/>
      </c>
      <c r="O977" s="314" t="str">
        <f t="array" aca="1" ref="O977" ca="1">IFERROR(IF(INDEX('Disaggregation Records'!$H$156:$H$517,MATCH(RIGHT(L977,255),RIGHT('Disaggregation Records'!$D$156:$D$517,255),0))="","",INDEX('Disaggregation Records'!$H$156:$H$517,MATCH(RIGHT(L977,255),RIGHT('Disaggregation Records'!$D$156:$D$517,255),0))),"")</f>
        <v/>
      </c>
      <c r="P977" s="310"/>
      <c r="Q977" s="310">
        <f t="shared" ref="Q977" si="1156">Q975+1</f>
        <v>1790</v>
      </c>
      <c r="R977" s="314" t="str" cm="1">
        <f t="array" aca="1" ref="R977" ca="1">IFERROR(IF(INDEX('Disaggregation Records'!$G$156:$G$517,MATCH(RIGHT(L977,255),RIGHT('Disaggregation Records'!$D$156:$D$517,255),0))="","",INDEX('Disaggregation Records'!$G$156:$G$517,MATCH(RIGHT(L977,255),RIGHT('Disaggregation Records'!$D$156:$D$517,255),0))),"")</f>
        <v/>
      </c>
    </row>
    <row r="978" spans="1:18" ht="20.100000000000001" customHeight="1">
      <c r="A978" s="126"/>
      <c r="B978" s="571"/>
      <c r="C978" s="573"/>
      <c r="D978" s="575"/>
      <c r="E978" s="575"/>
      <c r="F978" s="128"/>
      <c r="G978" s="577"/>
      <c r="H978" s="540"/>
      <c r="I978" s="579"/>
      <c r="J978" s="533"/>
      <c r="L978" s="126"/>
      <c r="N978" s="126"/>
      <c r="O978" s="314"/>
      <c r="P978" s="310"/>
      <c r="Q978" s="310"/>
      <c r="R978" s="314" t="str" cm="1">
        <f t="array" ref="R978">IFERROR(IF(INDEX('Disaggregation Records'!$G$156:$G$517,MATCH(RIGHT(L978,255),RIGHT('Disaggregation Records'!$D$156:$D$517,255),0))="","",INDEX('Disaggregation Records'!$G$156:$G$517,MATCH(RIGHT(L978,255),RIGHT('Disaggregation Records'!$D$156:$D$517,255),0))),"")</f>
        <v/>
      </c>
    </row>
    <row r="979" spans="1:18" ht="20.100000000000001" customHeight="1">
      <c r="A979" s="126" t="str">
        <f t="shared" ca="1" si="1124"/>
        <v>a16Dm000000M3t4IAC</v>
      </c>
      <c r="B979" s="570">
        <v>9</v>
      </c>
      <c r="C979" s="572" t="str">
        <f ca="1">IFERROR(VLOOKUP(B979,'Coverage Indicators - Section D'!$A$9:$AO$94,41,FALSE),"")</f>
        <v>TB/HIV-5 Percentage of registered new and relapse TB patients with documented HIV status</v>
      </c>
      <c r="D979" s="574" t="str">
        <f ca="1">M979</f>
        <v/>
      </c>
      <c r="E979" s="574" t="str">
        <f ca="1">N979</f>
        <v/>
      </c>
      <c r="F979" s="127"/>
      <c r="G979" s="576" t="str">
        <f ca="1">IF(OR(INDIRECT("'update Helper'!E"&amp;Q979)="",F979&lt;&gt;0,F980&lt;&gt;0),IF(IFERROR((F979/F980),"")="","",(F979/F980)),INDIRECT("'update Helper'!E"&amp;Q979)/100)</f>
        <v/>
      </c>
      <c r="H979" s="539"/>
      <c r="I979" s="578"/>
      <c r="J979" s="532"/>
      <c r="K979" s="126">
        <f ca="1">IF(AND(EXACT(C979,C977),C977&lt;&gt;0),K977+1,0)</f>
        <v>19</v>
      </c>
      <c r="L979" s="126" t="str">
        <f t="shared" ref="L979" ca="1" si="1157">IF(C979&lt;&gt;"",C979&amp;"-"&amp;K979,"")</f>
        <v>TB/HIV-5 Percentage of registered new and relapse TB patients with documented HIV status-19</v>
      </c>
      <c r="M979" s="126" t="str">
        <f t="array" aca="1" ref="M979" ca="1">IFERROR(IF(INDEX('Disaggregation Records'!$E$156:$E$517,MATCH(RIGHT(L979,255),RIGHT('Disaggregation Records'!$D$156:$D$517,255),0))="","",INDEX('Disaggregation Records'!$E$156:$E$517,MATCH(RIGHT(L979,255),RIGHT('Disaggregation Records'!$D$156:$D$517,255),0))),"")</f>
        <v/>
      </c>
      <c r="N979" s="126" t="str">
        <f t="array" aca="1" ref="N979" ca="1">IFERROR(IF(INDEX('Disaggregation Records'!$F$156:$F$517,MATCH(RIGHT(L979,255),RIGHT('Disaggregation Records'!$D$156:$D$517,255),0))="","",INDEX('Disaggregation Records'!$F$156:$F$517,MATCH(RIGHT(L979,255),RIGHT('Disaggregation Records'!$D$156:$D$517,255),0))),"")</f>
        <v/>
      </c>
      <c r="O979" s="314" t="str">
        <f t="array" aca="1" ref="O979" ca="1">IFERROR(IF(INDEX('Disaggregation Records'!$H$156:$H$517,MATCH(RIGHT(L979,255),RIGHT('Disaggregation Records'!$D$156:$D$517,255),0))="","",INDEX('Disaggregation Records'!$H$156:$H$517,MATCH(RIGHT(L979,255),RIGHT('Disaggregation Records'!$D$156:$D$517,255),0))),"")</f>
        <v/>
      </c>
      <c r="P979" s="310"/>
      <c r="Q979" s="310">
        <f t="shared" ref="Q979" si="1158">Q977+1</f>
        <v>1791</v>
      </c>
      <c r="R979" s="314" t="str" cm="1">
        <f t="array" aca="1" ref="R979" ca="1">IFERROR(IF(INDEX('Disaggregation Records'!$G$156:$G$517,MATCH(RIGHT(L979,255),RIGHT('Disaggregation Records'!$D$156:$D$517,255),0))="","",INDEX('Disaggregation Records'!$G$156:$G$517,MATCH(RIGHT(L979,255),RIGHT('Disaggregation Records'!$D$156:$D$517,255),0))),"")</f>
        <v/>
      </c>
    </row>
    <row r="980" spans="1:18" ht="20.100000000000001" customHeight="1">
      <c r="B980" s="571"/>
      <c r="C980" s="573"/>
      <c r="D980" s="575"/>
      <c r="E980" s="575"/>
      <c r="F980" s="128"/>
      <c r="G980" s="577"/>
      <c r="H980" s="540"/>
      <c r="I980" s="579"/>
      <c r="J980" s="533"/>
      <c r="L980" s="126"/>
      <c r="N980" s="126"/>
      <c r="O980" s="314"/>
      <c r="P980" s="310"/>
      <c r="Q980" s="310"/>
      <c r="R980" s="314" t="str" cm="1">
        <f t="array" ref="R980">IFERROR(IF(INDEX('Disaggregation Records'!$G$156:$G$517,MATCH(RIGHT(L980,255),RIGHT('Disaggregation Records'!$D$156:$D$517,255),0))="","",INDEX('Disaggregation Records'!$G$156:$G$517,MATCH(RIGHT(L980,255),RIGHT('Disaggregation Records'!$D$156:$D$517,255),0))),"")</f>
        <v/>
      </c>
    </row>
    <row r="981" spans="1:18" ht="20.100000000000001" customHeight="1">
      <c r="A981" s="126" t="str">
        <f t="shared" ca="1" si="1121"/>
        <v>a16Dm000000M3t5IAC</v>
      </c>
      <c r="B981" s="570">
        <v>10</v>
      </c>
      <c r="C981" s="572" t="str">
        <f ca="1">IFERROR(VLOOKUP(B981,'Coverage Indicators - Section D'!$A$9:$AO$94,41,FALSE),"")</f>
        <v>TB/HIV-6 Percentage of HIV-positive new and relapse TB patients on ART during TB treatment</v>
      </c>
      <c r="D981" s="574" t="str">
        <f ca="1">M981</f>
        <v>Age</v>
      </c>
      <c r="E981" s="574" t="str">
        <f ca="1">N981</f>
        <v>15+</v>
      </c>
      <c r="F981" s="127"/>
      <c r="G981" s="576" t="str">
        <f ca="1">IF(OR(INDIRECT("'update Helper'!E"&amp;Q981)="",F981&lt;&gt;0,F982&lt;&gt;0),IF(IFERROR((F981/F982),"")="","",(F981/F982)),INDIRECT("'update Helper'!E"&amp;Q981)/100)</f>
        <v/>
      </c>
      <c r="H981" s="539"/>
      <c r="I981" s="578" t="s">
        <v>2281</v>
      </c>
      <c r="J981" s="532" t="s">
        <v>2282</v>
      </c>
      <c r="K981" s="126">
        <f ca="1">IF(AND(EXACT(C981,C979),C979&lt;&gt;0),K979+1,0)</f>
        <v>0</v>
      </c>
      <c r="L981" s="126" t="str">
        <f t="shared" ref="L981" ca="1" si="1159">IF(C981&lt;&gt;"",C981&amp;"-"&amp;K981,"")</f>
        <v>TB/HIV-6 Percentage of HIV-positive new and relapse TB patients on ART during TB treatment-0</v>
      </c>
      <c r="M981" s="126" t="str">
        <f t="array" aca="1" ref="M981" ca="1">IFERROR(IF(INDEX('Disaggregation Records'!$E$156:$E$517,MATCH(RIGHT(L981,255),RIGHT('Disaggregation Records'!$D$156:$D$517,255),0))="","",INDEX('Disaggregation Records'!$E$156:$E$517,MATCH(RIGHT(L981,255),RIGHT('Disaggregation Records'!$D$156:$D$517,255),0))),"")</f>
        <v>Age</v>
      </c>
      <c r="N981" s="126" t="str">
        <f t="array" aca="1" ref="N981" ca="1">IFERROR(IF(INDEX('Disaggregation Records'!$F$156:$F$517,MATCH(RIGHT(L981,255),RIGHT('Disaggregation Records'!$D$156:$D$517,255),0))="","",INDEX('Disaggregation Records'!$F$156:$F$517,MATCH(RIGHT(L981,255),RIGHT('Disaggregation Records'!$D$156:$D$517,255),0))),"")</f>
        <v>15+</v>
      </c>
      <c r="O981" s="314" t="str">
        <f t="array" aca="1" ref="O981" ca="1">IFERROR(IF(INDEX('Disaggregation Records'!$H$156:$H$517,MATCH(RIGHT(L981,255),RIGHT('Disaggregation Records'!$D$156:$D$517,255),0))="","",INDEX('Disaggregation Records'!$H$156:$H$517,MATCH(RIGHT(L981,255),RIGHT('Disaggregation Records'!$D$156:$D$517,255),0))),"")</f>
        <v>IDR-01361</v>
      </c>
      <c r="P981" s="314"/>
      <c r="Q981" s="310">
        <f t="shared" ref="Q981" si="1160">Q979+1</f>
        <v>1792</v>
      </c>
      <c r="R981" s="314" t="str" cm="1">
        <f t="array" aca="1" ref="R981" ca="1">IFERROR(IF(INDEX('Disaggregation Records'!$G$156:$G$517,MATCH(RIGHT(L981,255),RIGHT('Disaggregation Records'!$D$156:$D$517,255),0))="","",INDEX('Disaggregation Records'!$G$156:$G$517,MATCH(RIGHT(L981,255),RIGHT('Disaggregation Records'!$D$156:$D$517,255),0))),"")</f>
        <v>a1LDm000000Cb4hMAC</v>
      </c>
    </row>
    <row r="982" spans="1:18" ht="20.100000000000001" customHeight="1">
      <c r="A982" s="126"/>
      <c r="B982" s="571"/>
      <c r="C982" s="573"/>
      <c r="D982" s="575"/>
      <c r="E982" s="575"/>
      <c r="F982" s="128"/>
      <c r="G982" s="577"/>
      <c r="H982" s="540"/>
      <c r="I982" s="579"/>
      <c r="J982" s="533"/>
      <c r="K982" s="126"/>
      <c r="L982" s="126"/>
      <c r="M982" s="126"/>
      <c r="N982" s="126"/>
      <c r="O982" s="314"/>
      <c r="P982" s="314"/>
      <c r="Q982" s="310"/>
      <c r="R982" s="314" t="str" cm="1">
        <f t="array" ref="R982">IFERROR(IF(INDEX('Disaggregation Records'!$G$156:$G$517,MATCH(RIGHT(L982,255),RIGHT('Disaggregation Records'!$D$156:$D$517,255),0))="","",INDEX('Disaggregation Records'!$G$156:$G$517,MATCH(RIGHT(L982,255),RIGHT('Disaggregation Records'!$D$156:$D$517,255),0))),"")</f>
        <v/>
      </c>
    </row>
    <row r="983" spans="1:18" ht="20.100000000000001" customHeight="1">
      <c r="A983" s="126" t="str">
        <f t="shared" ca="1" si="1124"/>
        <v>a16Dm000000M3t6IAC</v>
      </c>
      <c r="B983" s="570">
        <v>10</v>
      </c>
      <c r="C983" s="572" t="str">
        <f ca="1">IFERROR(VLOOKUP(B983,'Coverage Indicators - Section D'!$A$9:$AO$94,41,FALSE),"")</f>
        <v>TB/HIV-6 Percentage of HIV-positive new and relapse TB patients on ART during TB treatment</v>
      </c>
      <c r="D983" s="574" t="str">
        <f ca="1">M983</f>
        <v>Gender</v>
      </c>
      <c r="E983" s="574" t="str">
        <f ca="1">N983</f>
        <v>Male</v>
      </c>
      <c r="F983" s="127"/>
      <c r="G983" s="576" t="str">
        <f ca="1">IF(OR(INDIRECT("'update Helper'!E"&amp;Q983)="",F983&lt;&gt;0,F984&lt;&gt;0),IF(IFERROR((F983/F984),"")="","",(F983/F984)),INDIRECT("'update Helper'!E"&amp;Q983)/100)</f>
        <v/>
      </c>
      <c r="H983" s="539"/>
      <c r="I983" s="578" t="s">
        <v>2281</v>
      </c>
      <c r="J983" s="532" t="s">
        <v>2282</v>
      </c>
      <c r="K983" s="126">
        <f ca="1">IF(AND(EXACT(C983,C981),C981&lt;&gt;0),K981+1,0)</f>
        <v>1</v>
      </c>
      <c r="L983" s="126" t="str">
        <f t="shared" ref="L983" ca="1" si="1161">IF(C983&lt;&gt;"",C983&amp;"-"&amp;K983,"")</f>
        <v>TB/HIV-6 Percentage of HIV-positive new and relapse TB patients on ART during TB treatment-1</v>
      </c>
      <c r="M983" s="126" t="str">
        <f t="array" aca="1" ref="M983" ca="1">IFERROR(IF(INDEX('Disaggregation Records'!$E$156:$E$517,MATCH(RIGHT(L983,255),RIGHT('Disaggregation Records'!$D$156:$D$517,255),0))="","",INDEX('Disaggregation Records'!$E$156:$E$517,MATCH(RIGHT(L983,255),RIGHT('Disaggregation Records'!$D$156:$D$517,255),0))),"")</f>
        <v>Gender</v>
      </c>
      <c r="N983" s="126" t="str">
        <f t="array" aca="1" ref="N983" ca="1">IFERROR(IF(INDEX('Disaggregation Records'!$F$156:$F$517,MATCH(RIGHT(L983,255),RIGHT('Disaggregation Records'!$D$156:$D$517,255),0))="","",INDEX('Disaggregation Records'!$F$156:$F$517,MATCH(RIGHT(L983,255),RIGHT('Disaggregation Records'!$D$156:$D$517,255),0))),"")</f>
        <v>Male</v>
      </c>
      <c r="O983" s="314" t="str">
        <f t="array" aca="1" ref="O983" ca="1">IFERROR(IF(INDEX('Disaggregation Records'!$H$156:$H$517,MATCH(RIGHT(L983,255),RIGHT('Disaggregation Records'!$D$156:$D$517,255),0))="","",INDEX('Disaggregation Records'!$H$156:$H$517,MATCH(RIGHT(L983,255),RIGHT('Disaggregation Records'!$D$156:$D$517,255),0))),"")</f>
        <v>IDR-01360</v>
      </c>
      <c r="P983" s="314"/>
      <c r="Q983" s="310">
        <f t="shared" ref="Q983" si="1162">Q981+1</f>
        <v>1793</v>
      </c>
      <c r="R983" s="314" t="str" cm="1">
        <f t="array" aca="1" ref="R983" ca="1">IFERROR(IF(INDEX('Disaggregation Records'!$G$156:$G$517,MATCH(RIGHT(L983,255),RIGHT('Disaggregation Records'!$D$156:$D$517,255),0))="","",INDEX('Disaggregation Records'!$G$156:$G$517,MATCH(RIGHT(L983,255),RIGHT('Disaggregation Records'!$D$156:$D$517,255),0))),"")</f>
        <v>a1LDm000000Cb4gMAC</v>
      </c>
    </row>
    <row r="984" spans="1:18" ht="20.100000000000001" customHeight="1">
      <c r="B984" s="571"/>
      <c r="C984" s="573"/>
      <c r="D984" s="575"/>
      <c r="E984" s="575"/>
      <c r="F984" s="128"/>
      <c r="G984" s="577"/>
      <c r="H984" s="540"/>
      <c r="I984" s="579"/>
      <c r="J984" s="533"/>
      <c r="K984" s="126"/>
      <c r="L984" s="126"/>
      <c r="M984" s="126"/>
      <c r="N984" s="126"/>
      <c r="O984" s="314"/>
      <c r="P984" s="314"/>
      <c r="Q984" s="310"/>
      <c r="R984" s="314" t="str" cm="1">
        <f t="array" ref="R984">IFERROR(IF(INDEX('Disaggregation Records'!$G$156:$G$517,MATCH(RIGHT(L984,255),RIGHT('Disaggregation Records'!$D$156:$D$517,255),0))="","",INDEX('Disaggregation Records'!$G$156:$G$517,MATCH(RIGHT(L984,255),RIGHT('Disaggregation Records'!$D$156:$D$517,255),0))),"")</f>
        <v/>
      </c>
    </row>
    <row r="985" spans="1:18" ht="20.100000000000001" customHeight="1">
      <c r="A985" s="126" t="str">
        <f t="shared" ca="1" si="1121"/>
        <v>a16Dm000000M3t7IAC</v>
      </c>
      <c r="B985" s="570">
        <v>10</v>
      </c>
      <c r="C985" s="572" t="str">
        <f ca="1">IFERROR(VLOOKUP(B985,'Coverage Indicators - Section D'!$A$9:$AO$94,41,FALSE),"")</f>
        <v>TB/HIV-6 Percentage of HIV-positive new and relapse TB patients on ART during TB treatment</v>
      </c>
      <c r="D985" s="574" t="str">
        <f ca="1">M985</f>
        <v>Age</v>
      </c>
      <c r="E985" s="574" t="str">
        <f ca="1">N985</f>
        <v>5-14</v>
      </c>
      <c r="F985" s="127"/>
      <c r="G985" s="576" t="str">
        <f ca="1">IF(OR(INDIRECT("'update Helper'!E"&amp;Q985)="",F985&lt;&gt;0,F986&lt;&gt;0),IF(IFERROR((F985/F986),"")="","",(F985/F986)),INDIRECT("'update Helper'!E"&amp;Q985)/100)</f>
        <v/>
      </c>
      <c r="H985" s="539"/>
      <c r="I985" s="578" t="s">
        <v>2281</v>
      </c>
      <c r="J985" s="532" t="s">
        <v>2282</v>
      </c>
      <c r="K985" s="126">
        <f ca="1">IF(AND(EXACT(C985,C983),C983&lt;&gt;0),K983+1,0)</f>
        <v>2</v>
      </c>
      <c r="L985" s="126" t="str">
        <f t="shared" ref="L985" ca="1" si="1163">IF(C985&lt;&gt;"",C985&amp;"-"&amp;K985,"")</f>
        <v>TB/HIV-6 Percentage of HIV-positive new and relapse TB patients on ART during TB treatment-2</v>
      </c>
      <c r="M985" s="126" t="str">
        <f t="array" aca="1" ref="M985" ca="1">IFERROR(IF(INDEX('Disaggregation Records'!$E$156:$E$517,MATCH(RIGHT(L985,255),RIGHT('Disaggregation Records'!$D$156:$D$517,255),0))="","",INDEX('Disaggregation Records'!$E$156:$E$517,MATCH(RIGHT(L985,255),RIGHT('Disaggregation Records'!$D$156:$D$517,255),0))),"")</f>
        <v>Age</v>
      </c>
      <c r="N985" s="126" t="str">
        <f t="array" aca="1" ref="N985" ca="1">IFERROR(IF(INDEX('Disaggregation Records'!$F$156:$F$517,MATCH(RIGHT(L985,255),RIGHT('Disaggregation Records'!$D$156:$D$517,255),0))="","",INDEX('Disaggregation Records'!$F$156:$F$517,MATCH(RIGHT(L985,255),RIGHT('Disaggregation Records'!$D$156:$D$517,255),0))),"")</f>
        <v>5-14</v>
      </c>
      <c r="O985" s="314" t="str">
        <f t="array" aca="1" ref="O985" ca="1">IFERROR(IF(INDEX('Disaggregation Records'!$H$156:$H$517,MATCH(RIGHT(L985,255),RIGHT('Disaggregation Records'!$D$156:$D$517,255),0))="","",INDEX('Disaggregation Records'!$H$156:$H$517,MATCH(RIGHT(L985,255),RIGHT('Disaggregation Records'!$D$156:$D$517,255),0))),"")</f>
        <v>IDR-01359</v>
      </c>
      <c r="P985" s="310"/>
      <c r="Q985" s="310">
        <f t="shared" ref="Q985" si="1164">Q983+1</f>
        <v>1794</v>
      </c>
      <c r="R985" s="314" t="str" cm="1">
        <f t="array" aca="1" ref="R985" ca="1">IFERROR(IF(INDEX('Disaggregation Records'!$G$156:$G$517,MATCH(RIGHT(L985,255),RIGHT('Disaggregation Records'!$D$156:$D$517,255),0))="","",INDEX('Disaggregation Records'!$G$156:$G$517,MATCH(RIGHT(L985,255),RIGHT('Disaggregation Records'!$D$156:$D$517,255),0))),"")</f>
        <v>a1LDm000000Cb4fMAC</v>
      </c>
    </row>
    <row r="986" spans="1:18" ht="20.100000000000001" customHeight="1">
      <c r="A986" s="126"/>
      <c r="B986" s="571"/>
      <c r="C986" s="573"/>
      <c r="D986" s="575"/>
      <c r="E986" s="575"/>
      <c r="F986" s="128"/>
      <c r="G986" s="577"/>
      <c r="H986" s="540"/>
      <c r="I986" s="579"/>
      <c r="J986" s="533"/>
      <c r="L986" s="126"/>
      <c r="N986" s="126"/>
      <c r="O986" s="314"/>
      <c r="P986" s="310"/>
      <c r="Q986" s="310"/>
      <c r="R986" s="314" t="str" cm="1">
        <f t="array" ref="R986">IFERROR(IF(INDEX('Disaggregation Records'!$G$156:$G$517,MATCH(RIGHT(L986,255),RIGHT('Disaggregation Records'!$D$156:$D$517,255),0))="","",INDEX('Disaggregation Records'!$G$156:$G$517,MATCH(RIGHT(L986,255),RIGHT('Disaggregation Records'!$D$156:$D$517,255),0))),"")</f>
        <v/>
      </c>
    </row>
    <row r="987" spans="1:18" ht="20.100000000000001" customHeight="1">
      <c r="A987" s="126" t="str">
        <f t="shared" ca="1" si="1124"/>
        <v>a16Dm000000M3t8IAC</v>
      </c>
      <c r="B987" s="570">
        <v>10</v>
      </c>
      <c r="C987" s="572" t="str">
        <f ca="1">IFERROR(VLOOKUP(B987,'Coverage Indicators - Section D'!$A$9:$AO$94,41,FALSE),"")</f>
        <v>TB/HIV-6 Percentage of HIV-positive new and relapse TB patients on ART during TB treatment</v>
      </c>
      <c r="D987" s="574" t="str">
        <f ca="1">M987</f>
        <v>Age</v>
      </c>
      <c r="E987" s="574" t="str">
        <f ca="1">N987</f>
        <v>&lt;5</v>
      </c>
      <c r="F987" s="127"/>
      <c r="G987" s="576" t="str">
        <f ca="1">IF(OR(INDIRECT("'update Helper'!E"&amp;Q987)="",F987&lt;&gt;0,F988&lt;&gt;0),IF(IFERROR((F987/F988),"")="","",(F987/F988)),INDIRECT("'update Helper'!E"&amp;Q987)/100)</f>
        <v/>
      </c>
      <c r="H987" s="539"/>
      <c r="I987" s="578" t="s">
        <v>2281</v>
      </c>
      <c r="J987" s="532" t="s">
        <v>2282</v>
      </c>
      <c r="K987" s="126">
        <f ca="1">IF(AND(EXACT(C987,C985),C985&lt;&gt;0),K985+1,0)</f>
        <v>3</v>
      </c>
      <c r="L987" s="126" t="str">
        <f t="shared" ref="L987" ca="1" si="1165">IF(C987&lt;&gt;"",C987&amp;"-"&amp;K987,"")</f>
        <v>TB/HIV-6 Percentage of HIV-positive new and relapse TB patients on ART during TB treatment-3</v>
      </c>
      <c r="M987" s="126" t="str">
        <f t="array" aca="1" ref="M987" ca="1">IFERROR(IF(INDEX('Disaggregation Records'!$E$156:$E$517,MATCH(RIGHT(L987,255),RIGHT('Disaggregation Records'!$D$156:$D$517,255),0))="","",INDEX('Disaggregation Records'!$E$156:$E$517,MATCH(RIGHT(L987,255),RIGHT('Disaggregation Records'!$D$156:$D$517,255),0))),"")</f>
        <v>Age</v>
      </c>
      <c r="N987" s="126" t="str">
        <f t="array" aca="1" ref="N987" ca="1">IFERROR(IF(INDEX('Disaggregation Records'!$F$156:$F$517,MATCH(RIGHT(L987,255),RIGHT('Disaggregation Records'!$D$156:$D$517,255),0))="","",INDEX('Disaggregation Records'!$F$156:$F$517,MATCH(RIGHT(L987,255),RIGHT('Disaggregation Records'!$D$156:$D$517,255),0))),"")</f>
        <v>&lt;5</v>
      </c>
      <c r="O987" s="314" t="str">
        <f t="array" aca="1" ref="O987" ca="1">IFERROR(IF(INDEX('Disaggregation Records'!$H$156:$H$517,MATCH(RIGHT(L987,255),RIGHT('Disaggregation Records'!$D$156:$D$517,255),0))="","",INDEX('Disaggregation Records'!$H$156:$H$517,MATCH(RIGHT(L987,255),RIGHT('Disaggregation Records'!$D$156:$D$517,255),0))),"")</f>
        <v>IDR-01358</v>
      </c>
      <c r="P987" s="310"/>
      <c r="Q987" s="310">
        <f t="shared" ref="Q987" si="1166">Q985+1</f>
        <v>1795</v>
      </c>
      <c r="R987" s="314" t="str" cm="1">
        <f t="array" aca="1" ref="R987" ca="1">IFERROR(IF(INDEX('Disaggregation Records'!$G$156:$G$517,MATCH(RIGHT(L987,255),RIGHT('Disaggregation Records'!$D$156:$D$517,255),0))="","",INDEX('Disaggregation Records'!$G$156:$G$517,MATCH(RIGHT(L987,255),RIGHT('Disaggregation Records'!$D$156:$D$517,255),0))),"")</f>
        <v>a1LDm000000Cb4eMAC</v>
      </c>
    </row>
    <row r="988" spans="1:18" ht="20.100000000000001" customHeight="1">
      <c r="B988" s="571"/>
      <c r="C988" s="573"/>
      <c r="D988" s="575"/>
      <c r="E988" s="575"/>
      <c r="F988" s="128"/>
      <c r="G988" s="577"/>
      <c r="H988" s="540"/>
      <c r="I988" s="579"/>
      <c r="J988" s="533"/>
      <c r="L988" s="126"/>
      <c r="N988" s="126"/>
      <c r="O988" s="314"/>
      <c r="P988" s="310"/>
      <c r="Q988" s="310"/>
      <c r="R988" s="314" t="str" cm="1">
        <f t="array" ref="R988">IFERROR(IF(INDEX('Disaggregation Records'!$G$156:$G$517,MATCH(RIGHT(L988,255),RIGHT('Disaggregation Records'!$D$156:$D$517,255),0))="","",INDEX('Disaggregation Records'!$G$156:$G$517,MATCH(RIGHT(L988,255),RIGHT('Disaggregation Records'!$D$156:$D$517,255),0))),"")</f>
        <v/>
      </c>
    </row>
    <row r="989" spans="1:18" ht="20.100000000000001" customHeight="1">
      <c r="A989" s="126" t="str">
        <f t="shared" ca="1" si="1121"/>
        <v>a16Dm000000M3t9IAC</v>
      </c>
      <c r="B989" s="570">
        <v>10</v>
      </c>
      <c r="C989" s="572" t="str">
        <f ca="1">IFERROR(VLOOKUP(B989,'Coverage Indicators - Section D'!$A$9:$AO$94,41,FALSE),"")</f>
        <v>TB/HIV-6 Percentage of HIV-positive new and relapse TB patients on ART during TB treatment</v>
      </c>
      <c r="D989" s="574" t="str">
        <f ca="1">M989</f>
        <v>Gender</v>
      </c>
      <c r="E989" s="574" t="str">
        <f ca="1">N989</f>
        <v>Female</v>
      </c>
      <c r="F989" s="127"/>
      <c r="G989" s="576" t="str">
        <f ca="1">IF(OR(INDIRECT("'update Helper'!E"&amp;Q989)="",F989&lt;&gt;0,F990&lt;&gt;0),IF(IFERROR((F989/F990),"")="","",(F989/F990)),INDIRECT("'update Helper'!E"&amp;Q989)/100)</f>
        <v/>
      </c>
      <c r="H989" s="539"/>
      <c r="I989" s="578" t="s">
        <v>2281</v>
      </c>
      <c r="J989" s="532" t="s">
        <v>2282</v>
      </c>
      <c r="K989" s="126">
        <f ca="1">IF(AND(EXACT(C989,C987),C987&lt;&gt;0),K987+1,0)</f>
        <v>4</v>
      </c>
      <c r="L989" s="126" t="str">
        <f t="shared" ref="L989" ca="1" si="1167">IF(C989&lt;&gt;"",C989&amp;"-"&amp;K989,"")</f>
        <v>TB/HIV-6 Percentage of HIV-positive new and relapse TB patients on ART during TB treatment-4</v>
      </c>
      <c r="M989" s="126" t="str">
        <f t="array" aca="1" ref="M989" ca="1">IFERROR(IF(INDEX('Disaggregation Records'!$E$156:$E$517,MATCH(RIGHT(L989,255),RIGHT('Disaggregation Records'!$D$156:$D$517,255),0))="","",INDEX('Disaggregation Records'!$E$156:$E$517,MATCH(RIGHT(L989,255),RIGHT('Disaggregation Records'!$D$156:$D$517,255),0))),"")</f>
        <v>Gender</v>
      </c>
      <c r="N989" s="126" t="str">
        <f t="array" aca="1" ref="N989" ca="1">IFERROR(IF(INDEX('Disaggregation Records'!$F$156:$F$517,MATCH(RIGHT(L989,255),RIGHT('Disaggregation Records'!$D$156:$D$517,255),0))="","",INDEX('Disaggregation Records'!$F$156:$F$517,MATCH(RIGHT(L989,255),RIGHT('Disaggregation Records'!$D$156:$D$517,255),0))),"")</f>
        <v>Female</v>
      </c>
      <c r="O989" s="314" t="str">
        <f t="array" aca="1" ref="O989" ca="1">IFERROR(IF(INDEX('Disaggregation Records'!$H$156:$H$517,MATCH(RIGHT(L989,255),RIGHT('Disaggregation Records'!$D$156:$D$517,255),0))="","",INDEX('Disaggregation Records'!$H$156:$H$517,MATCH(RIGHT(L989,255),RIGHT('Disaggregation Records'!$D$156:$D$517,255),0))),"")</f>
        <v>IDR-01357</v>
      </c>
      <c r="P989" s="310"/>
      <c r="Q989" s="310">
        <f t="shared" ref="Q989" si="1168">Q987+1</f>
        <v>1796</v>
      </c>
      <c r="R989" s="314" t="str" cm="1">
        <f t="array" aca="1" ref="R989" ca="1">IFERROR(IF(INDEX('Disaggregation Records'!$G$156:$G$517,MATCH(RIGHT(L989,255),RIGHT('Disaggregation Records'!$D$156:$D$517,255),0))="","",INDEX('Disaggregation Records'!$G$156:$G$517,MATCH(RIGHT(L989,255),RIGHT('Disaggregation Records'!$D$156:$D$517,255),0))),"")</f>
        <v>a1LDm000000Cb4dMAC</v>
      </c>
    </row>
    <row r="990" spans="1:18" ht="20.100000000000001" customHeight="1">
      <c r="A990" s="126"/>
      <c r="B990" s="571"/>
      <c r="C990" s="573"/>
      <c r="D990" s="575"/>
      <c r="E990" s="575"/>
      <c r="F990" s="128"/>
      <c r="G990" s="577"/>
      <c r="H990" s="540"/>
      <c r="I990" s="579"/>
      <c r="J990" s="533"/>
      <c r="L990" s="126"/>
      <c r="N990" s="126"/>
      <c r="O990" s="314"/>
      <c r="P990" s="310"/>
      <c r="Q990" s="310"/>
      <c r="R990" s="314" t="str" cm="1">
        <f t="array" ref="R990">IFERROR(IF(INDEX('Disaggregation Records'!$G$156:$G$517,MATCH(RIGHT(L990,255),RIGHT('Disaggregation Records'!$D$156:$D$517,255),0))="","",INDEX('Disaggregation Records'!$G$156:$G$517,MATCH(RIGHT(L990,255),RIGHT('Disaggregation Records'!$D$156:$D$517,255),0))),"")</f>
        <v/>
      </c>
    </row>
    <row r="991" spans="1:18" ht="20.100000000000001" customHeight="1">
      <c r="A991" s="126" t="str">
        <f t="shared" ca="1" si="1124"/>
        <v>a16Dm000000M3tAIAS</v>
      </c>
      <c r="B991" s="570">
        <v>10</v>
      </c>
      <c r="C991" s="572" t="str">
        <f ca="1">IFERROR(VLOOKUP(B991,'Coverage Indicators - Section D'!$A$9:$AO$94,41,FALSE),"")</f>
        <v>TB/HIV-6 Percentage of HIV-positive new and relapse TB patients on ART during TB treatment</v>
      </c>
      <c r="D991" s="574" t="str">
        <f ca="1">M991</f>
        <v/>
      </c>
      <c r="E991" s="574" t="str">
        <f ca="1">N991</f>
        <v/>
      </c>
      <c r="F991" s="127"/>
      <c r="G991" s="576" t="str">
        <f ca="1">IF(OR(INDIRECT("'update Helper'!E"&amp;Q991)="",F991&lt;&gt;0,F992&lt;&gt;0),IF(IFERROR((F991/F992),"")="","",(F991/F992)),INDIRECT("'update Helper'!E"&amp;Q991)/100)</f>
        <v/>
      </c>
      <c r="H991" s="539"/>
      <c r="I991" s="578"/>
      <c r="J991" s="532"/>
      <c r="K991" s="126">
        <f ca="1">IF(AND(EXACT(C991,C989),C989&lt;&gt;0),K989+1,0)</f>
        <v>5</v>
      </c>
      <c r="L991" s="126" t="str">
        <f t="shared" ref="L991" ca="1" si="1169">IF(C991&lt;&gt;"",C991&amp;"-"&amp;K991,"")</f>
        <v>TB/HIV-6 Percentage of HIV-positive new and relapse TB patients on ART during TB treatment-5</v>
      </c>
      <c r="M991" s="126" t="str">
        <f t="array" aca="1" ref="M991" ca="1">IFERROR(IF(INDEX('Disaggregation Records'!$E$156:$E$517,MATCH(RIGHT(L991,255),RIGHT('Disaggregation Records'!$D$156:$D$517,255),0))="","",INDEX('Disaggregation Records'!$E$156:$E$517,MATCH(RIGHT(L991,255),RIGHT('Disaggregation Records'!$D$156:$D$517,255),0))),"")</f>
        <v/>
      </c>
      <c r="N991" s="126" t="str">
        <f t="array" aca="1" ref="N991" ca="1">IFERROR(IF(INDEX('Disaggregation Records'!$F$156:$F$517,MATCH(RIGHT(L991,255),RIGHT('Disaggregation Records'!$D$156:$D$517,255),0))="","",INDEX('Disaggregation Records'!$F$156:$F$517,MATCH(RIGHT(L991,255),RIGHT('Disaggregation Records'!$D$156:$D$517,255),0))),"")</f>
        <v/>
      </c>
      <c r="O991" s="314" t="str">
        <f t="array" aca="1" ref="O991" ca="1">IFERROR(IF(INDEX('Disaggregation Records'!$H$156:$H$517,MATCH(RIGHT(L991,255),RIGHT('Disaggregation Records'!$D$156:$D$517,255),0))="","",INDEX('Disaggregation Records'!$H$156:$H$517,MATCH(RIGHT(L991,255),RIGHT('Disaggregation Records'!$D$156:$D$517,255),0))),"")</f>
        <v/>
      </c>
      <c r="P991" s="314"/>
      <c r="Q991" s="310">
        <f t="shared" ref="Q991" si="1170">Q989+1</f>
        <v>1797</v>
      </c>
      <c r="R991" s="314" t="str" cm="1">
        <f t="array" aca="1" ref="R991" ca="1">IFERROR(IF(INDEX('Disaggregation Records'!$G$156:$G$517,MATCH(RIGHT(L991,255),RIGHT('Disaggregation Records'!$D$156:$D$517,255),0))="","",INDEX('Disaggregation Records'!$G$156:$G$517,MATCH(RIGHT(L991,255),RIGHT('Disaggregation Records'!$D$156:$D$517,255),0))),"")</f>
        <v/>
      </c>
    </row>
    <row r="992" spans="1:18" ht="20.100000000000001" customHeight="1">
      <c r="B992" s="571"/>
      <c r="C992" s="573"/>
      <c r="D992" s="575"/>
      <c r="E992" s="575"/>
      <c r="F992" s="128"/>
      <c r="G992" s="577"/>
      <c r="H992" s="540"/>
      <c r="I992" s="579"/>
      <c r="J992" s="533"/>
      <c r="K992" s="126"/>
      <c r="L992" s="126"/>
      <c r="M992" s="126"/>
      <c r="N992" s="126"/>
      <c r="O992" s="314"/>
      <c r="P992" s="314"/>
      <c r="Q992" s="310"/>
      <c r="R992" s="314" t="str" cm="1">
        <f t="array" ref="R992">IFERROR(IF(INDEX('Disaggregation Records'!$G$156:$G$517,MATCH(RIGHT(L992,255),RIGHT('Disaggregation Records'!$D$156:$D$517,255),0))="","",INDEX('Disaggregation Records'!$G$156:$G$517,MATCH(RIGHT(L992,255),RIGHT('Disaggregation Records'!$D$156:$D$517,255),0))),"")</f>
        <v/>
      </c>
    </row>
    <row r="993" spans="1:18" ht="20.100000000000001" customHeight="1">
      <c r="A993" s="126" t="str">
        <f t="shared" ca="1" si="1121"/>
        <v>a16Dm000000M3tBIAS</v>
      </c>
      <c r="B993" s="570">
        <v>10</v>
      </c>
      <c r="C993" s="572" t="str">
        <f ca="1">IFERROR(VLOOKUP(B993,'Coverage Indicators - Section D'!$A$9:$AO$94,41,FALSE),"")</f>
        <v>TB/HIV-6 Percentage of HIV-positive new and relapse TB patients on ART during TB treatment</v>
      </c>
      <c r="D993" s="574" t="str">
        <f ca="1">M993</f>
        <v/>
      </c>
      <c r="E993" s="574" t="str">
        <f ca="1">N993</f>
        <v/>
      </c>
      <c r="F993" s="127"/>
      <c r="G993" s="576" t="str">
        <f ca="1">IF(OR(INDIRECT("'update Helper'!E"&amp;Q993)="",F993&lt;&gt;0,F994&lt;&gt;0),IF(IFERROR((F993/F994),"")="","",(F993/F994)),INDIRECT("'update Helper'!E"&amp;Q993)/100)</f>
        <v/>
      </c>
      <c r="H993" s="539"/>
      <c r="I993" s="578"/>
      <c r="J993" s="532"/>
      <c r="K993" s="126">
        <f ca="1">IF(AND(EXACT(C993,C991),C991&lt;&gt;0),K991+1,0)</f>
        <v>6</v>
      </c>
      <c r="L993" s="126" t="str">
        <f t="shared" ref="L993" ca="1" si="1171">IF(C993&lt;&gt;"",C993&amp;"-"&amp;K993,"")</f>
        <v>TB/HIV-6 Percentage of HIV-positive new and relapse TB patients on ART during TB treatment-6</v>
      </c>
      <c r="M993" s="126" t="str">
        <f t="array" aca="1" ref="M993" ca="1">IFERROR(IF(INDEX('Disaggregation Records'!$E$156:$E$517,MATCH(RIGHT(L993,255),RIGHT('Disaggregation Records'!$D$156:$D$517,255),0))="","",INDEX('Disaggregation Records'!$E$156:$E$517,MATCH(RIGHT(L993,255),RIGHT('Disaggregation Records'!$D$156:$D$517,255),0))),"")</f>
        <v/>
      </c>
      <c r="N993" s="126" t="str">
        <f t="array" aca="1" ref="N993" ca="1">IFERROR(IF(INDEX('Disaggregation Records'!$F$156:$F$517,MATCH(RIGHT(L993,255),RIGHT('Disaggregation Records'!$D$156:$D$517,255),0))="","",INDEX('Disaggregation Records'!$F$156:$F$517,MATCH(RIGHT(L993,255),RIGHT('Disaggregation Records'!$D$156:$D$517,255),0))),"")</f>
        <v/>
      </c>
      <c r="O993" s="314" t="str">
        <f t="array" aca="1" ref="O993" ca="1">IFERROR(IF(INDEX('Disaggregation Records'!$H$156:$H$517,MATCH(RIGHT(L993,255),RIGHT('Disaggregation Records'!$D$156:$D$517,255),0))="","",INDEX('Disaggregation Records'!$H$156:$H$517,MATCH(RIGHT(L993,255),RIGHT('Disaggregation Records'!$D$156:$D$517,255),0))),"")</f>
        <v/>
      </c>
      <c r="P993" s="314"/>
      <c r="Q993" s="310">
        <f t="shared" ref="Q993" si="1172">Q991+1</f>
        <v>1798</v>
      </c>
      <c r="R993" s="314" t="str" cm="1">
        <f t="array" aca="1" ref="R993" ca="1">IFERROR(IF(INDEX('Disaggregation Records'!$G$156:$G$517,MATCH(RIGHT(L993,255),RIGHT('Disaggregation Records'!$D$156:$D$517,255),0))="","",INDEX('Disaggregation Records'!$G$156:$G$517,MATCH(RIGHT(L993,255),RIGHT('Disaggregation Records'!$D$156:$D$517,255),0))),"")</f>
        <v/>
      </c>
    </row>
    <row r="994" spans="1:18" ht="20.100000000000001" customHeight="1">
      <c r="A994" s="126"/>
      <c r="B994" s="571"/>
      <c r="C994" s="573"/>
      <c r="D994" s="575"/>
      <c r="E994" s="575"/>
      <c r="F994" s="128"/>
      <c r="G994" s="577"/>
      <c r="H994" s="540"/>
      <c r="I994" s="579"/>
      <c r="J994" s="533"/>
      <c r="K994" s="126"/>
      <c r="L994" s="126"/>
      <c r="M994" s="126"/>
      <c r="N994" s="126"/>
      <c r="O994" s="314"/>
      <c r="P994" s="314"/>
      <c r="Q994" s="310"/>
      <c r="R994" s="314" t="str" cm="1">
        <f t="array" ref="R994">IFERROR(IF(INDEX('Disaggregation Records'!$G$156:$G$517,MATCH(RIGHT(L994,255),RIGHT('Disaggregation Records'!$D$156:$D$517,255),0))="","",INDEX('Disaggregation Records'!$G$156:$G$517,MATCH(RIGHT(L994,255),RIGHT('Disaggregation Records'!$D$156:$D$517,255),0))),"")</f>
        <v/>
      </c>
    </row>
    <row r="995" spans="1:18" ht="20.100000000000001" customHeight="1">
      <c r="A995" s="126" t="str">
        <f t="shared" ca="1" si="1124"/>
        <v>a16Dm000000M3tCIAS</v>
      </c>
      <c r="B995" s="570">
        <v>10</v>
      </c>
      <c r="C995" s="572" t="str">
        <f ca="1">IFERROR(VLOOKUP(B995,'Coverage Indicators - Section D'!$A$9:$AO$94,41,FALSE),"")</f>
        <v>TB/HIV-6 Percentage of HIV-positive new and relapse TB patients on ART during TB treatment</v>
      </c>
      <c r="D995" s="574" t="str">
        <f ca="1">M995</f>
        <v/>
      </c>
      <c r="E995" s="574" t="str">
        <f ca="1">N995</f>
        <v/>
      </c>
      <c r="F995" s="127"/>
      <c r="G995" s="576" t="str">
        <f ca="1">IF(OR(INDIRECT("'update Helper'!E"&amp;Q995)="",F995&lt;&gt;0,F996&lt;&gt;0),IF(IFERROR((F995/F996),"")="","",(F995/F996)),INDIRECT("'update Helper'!E"&amp;Q995)/100)</f>
        <v/>
      </c>
      <c r="H995" s="539"/>
      <c r="I995" s="578"/>
      <c r="J995" s="532"/>
      <c r="K995" s="126">
        <f ca="1">IF(AND(EXACT(C995,C993),C993&lt;&gt;0),K993+1,0)</f>
        <v>7</v>
      </c>
      <c r="L995" s="126" t="str">
        <f t="shared" ref="L995" ca="1" si="1173">IF(C995&lt;&gt;"",C995&amp;"-"&amp;K995,"")</f>
        <v>TB/HIV-6 Percentage of HIV-positive new and relapse TB patients on ART during TB treatment-7</v>
      </c>
      <c r="M995" s="126" t="str">
        <f t="array" aca="1" ref="M995" ca="1">IFERROR(IF(INDEX('Disaggregation Records'!$E$156:$E$517,MATCH(RIGHT(L995,255),RIGHT('Disaggregation Records'!$D$156:$D$517,255),0))="","",INDEX('Disaggregation Records'!$E$156:$E$517,MATCH(RIGHT(L995,255),RIGHT('Disaggregation Records'!$D$156:$D$517,255),0))),"")</f>
        <v/>
      </c>
      <c r="N995" s="126" t="str">
        <f t="array" aca="1" ref="N995" ca="1">IFERROR(IF(INDEX('Disaggregation Records'!$F$156:$F$517,MATCH(RIGHT(L995,255),RIGHT('Disaggregation Records'!$D$156:$D$517,255),0))="","",INDEX('Disaggregation Records'!$F$156:$F$517,MATCH(RIGHT(L995,255),RIGHT('Disaggregation Records'!$D$156:$D$517,255),0))),"")</f>
        <v/>
      </c>
      <c r="O995" s="314" t="str">
        <f t="array" aca="1" ref="O995" ca="1">IFERROR(IF(INDEX('Disaggregation Records'!$H$156:$H$517,MATCH(RIGHT(L995,255),RIGHT('Disaggregation Records'!$D$156:$D$517,255),0))="","",INDEX('Disaggregation Records'!$H$156:$H$517,MATCH(RIGHT(L995,255),RIGHT('Disaggregation Records'!$D$156:$D$517,255),0))),"")</f>
        <v/>
      </c>
      <c r="P995" s="310"/>
      <c r="Q995" s="310">
        <f t="shared" ref="Q995" si="1174">Q993+1</f>
        <v>1799</v>
      </c>
      <c r="R995" s="314" t="str" cm="1">
        <f t="array" aca="1" ref="R995" ca="1">IFERROR(IF(INDEX('Disaggregation Records'!$G$156:$G$517,MATCH(RIGHT(L995,255),RIGHT('Disaggregation Records'!$D$156:$D$517,255),0))="","",INDEX('Disaggregation Records'!$G$156:$G$517,MATCH(RIGHT(L995,255),RIGHT('Disaggregation Records'!$D$156:$D$517,255),0))),"")</f>
        <v/>
      </c>
    </row>
    <row r="996" spans="1:18" ht="20.100000000000001" customHeight="1">
      <c r="B996" s="571"/>
      <c r="C996" s="573"/>
      <c r="D996" s="575"/>
      <c r="E996" s="575"/>
      <c r="F996" s="128"/>
      <c r="G996" s="577"/>
      <c r="H996" s="540"/>
      <c r="I996" s="579"/>
      <c r="J996" s="533"/>
      <c r="L996" s="126"/>
      <c r="N996" s="126"/>
      <c r="O996" s="314"/>
      <c r="P996" s="310"/>
      <c r="Q996" s="310"/>
      <c r="R996" s="314" t="str" cm="1">
        <f t="array" ref="R996">IFERROR(IF(INDEX('Disaggregation Records'!$G$156:$G$517,MATCH(RIGHT(L996,255),RIGHT('Disaggregation Records'!$D$156:$D$517,255),0))="","",INDEX('Disaggregation Records'!$G$156:$G$517,MATCH(RIGHT(L996,255),RIGHT('Disaggregation Records'!$D$156:$D$517,255),0))),"")</f>
        <v/>
      </c>
    </row>
    <row r="997" spans="1:18" ht="20.100000000000001" customHeight="1">
      <c r="A997" s="126" t="str">
        <f t="shared" ca="1" si="1121"/>
        <v>a16Dm000000M3tDIAS</v>
      </c>
      <c r="B997" s="570">
        <v>10</v>
      </c>
      <c r="C997" s="572" t="str">
        <f ca="1">IFERROR(VLOOKUP(B997,'Coverage Indicators - Section D'!$A$9:$AO$94,41,FALSE),"")</f>
        <v>TB/HIV-6 Percentage of HIV-positive new and relapse TB patients on ART during TB treatment</v>
      </c>
      <c r="D997" s="574" t="str">
        <f ca="1">M997</f>
        <v/>
      </c>
      <c r="E997" s="574" t="str">
        <f ca="1">N997</f>
        <v/>
      </c>
      <c r="F997" s="127"/>
      <c r="G997" s="576" t="str">
        <f ca="1">IF(OR(INDIRECT("'update Helper'!E"&amp;Q997)="",F997&lt;&gt;0,F998&lt;&gt;0),IF(IFERROR((F997/F998),"")="","",(F997/F998)),INDIRECT("'update Helper'!E"&amp;Q997)/100)</f>
        <v/>
      </c>
      <c r="H997" s="539"/>
      <c r="I997" s="578"/>
      <c r="J997" s="532"/>
      <c r="K997" s="126">
        <f ca="1">IF(AND(EXACT(C997,C995),C995&lt;&gt;0),K995+1,0)</f>
        <v>8</v>
      </c>
      <c r="L997" s="126" t="str">
        <f t="shared" ref="L997" ca="1" si="1175">IF(C997&lt;&gt;"",C997&amp;"-"&amp;K997,"")</f>
        <v>TB/HIV-6 Percentage of HIV-positive new and relapse TB patients on ART during TB treatment-8</v>
      </c>
      <c r="M997" s="126" t="str">
        <f t="array" aca="1" ref="M997" ca="1">IFERROR(IF(INDEX('Disaggregation Records'!$E$156:$E$517,MATCH(RIGHT(L997,255),RIGHT('Disaggregation Records'!$D$156:$D$517,255),0))="","",INDEX('Disaggregation Records'!$E$156:$E$517,MATCH(RIGHT(L997,255),RIGHT('Disaggregation Records'!$D$156:$D$517,255),0))),"")</f>
        <v/>
      </c>
      <c r="N997" s="126" t="str">
        <f t="array" aca="1" ref="N997" ca="1">IFERROR(IF(INDEX('Disaggregation Records'!$F$156:$F$517,MATCH(RIGHT(L997,255),RIGHT('Disaggregation Records'!$D$156:$D$517,255),0))="","",INDEX('Disaggregation Records'!$F$156:$F$517,MATCH(RIGHT(L997,255),RIGHT('Disaggregation Records'!$D$156:$D$517,255),0))),"")</f>
        <v/>
      </c>
      <c r="O997" s="314" t="str">
        <f t="array" aca="1" ref="O997" ca="1">IFERROR(IF(INDEX('Disaggregation Records'!$H$156:$H$517,MATCH(RIGHT(L997,255),RIGHT('Disaggregation Records'!$D$156:$D$517,255),0))="","",INDEX('Disaggregation Records'!$H$156:$H$517,MATCH(RIGHT(L997,255),RIGHT('Disaggregation Records'!$D$156:$D$517,255),0))),"")</f>
        <v/>
      </c>
      <c r="P997" s="310"/>
      <c r="Q997" s="310">
        <f t="shared" ref="Q997" si="1176">Q995+1</f>
        <v>1800</v>
      </c>
      <c r="R997" s="314" t="str" cm="1">
        <f t="array" aca="1" ref="R997" ca="1">IFERROR(IF(INDEX('Disaggregation Records'!$G$156:$G$517,MATCH(RIGHT(L997,255),RIGHT('Disaggregation Records'!$D$156:$D$517,255),0))="","",INDEX('Disaggregation Records'!$G$156:$G$517,MATCH(RIGHT(L997,255),RIGHT('Disaggregation Records'!$D$156:$D$517,255),0))),"")</f>
        <v/>
      </c>
    </row>
    <row r="998" spans="1:18" ht="20.100000000000001" customHeight="1">
      <c r="A998" s="126"/>
      <c r="B998" s="571"/>
      <c r="C998" s="573"/>
      <c r="D998" s="575"/>
      <c r="E998" s="575"/>
      <c r="F998" s="128"/>
      <c r="G998" s="577"/>
      <c r="H998" s="540"/>
      <c r="I998" s="579"/>
      <c r="J998" s="533"/>
      <c r="L998" s="126"/>
      <c r="N998" s="126"/>
      <c r="O998" s="314"/>
      <c r="P998" s="310"/>
      <c r="Q998" s="310"/>
      <c r="R998" s="314" t="str" cm="1">
        <f t="array" ref="R998">IFERROR(IF(INDEX('Disaggregation Records'!$G$156:$G$517,MATCH(RIGHT(L998,255),RIGHT('Disaggregation Records'!$D$156:$D$517,255),0))="","",INDEX('Disaggregation Records'!$G$156:$G$517,MATCH(RIGHT(L998,255),RIGHT('Disaggregation Records'!$D$156:$D$517,255),0))),"")</f>
        <v/>
      </c>
    </row>
    <row r="999" spans="1:18" ht="20.100000000000001" customHeight="1">
      <c r="A999" s="126" t="str">
        <f t="shared" ca="1" si="1124"/>
        <v>a16Dm000000M3tEIAS</v>
      </c>
      <c r="B999" s="570">
        <v>10</v>
      </c>
      <c r="C999" s="572" t="str">
        <f ca="1">IFERROR(VLOOKUP(B999,'Coverage Indicators - Section D'!$A$9:$AO$94,41,FALSE),"")</f>
        <v>TB/HIV-6 Percentage of HIV-positive new and relapse TB patients on ART during TB treatment</v>
      </c>
      <c r="D999" s="574" t="str">
        <f ca="1">M999</f>
        <v/>
      </c>
      <c r="E999" s="574" t="str">
        <f ca="1">N999</f>
        <v/>
      </c>
      <c r="F999" s="127"/>
      <c r="G999" s="576" t="str">
        <f ca="1">IF(OR(INDIRECT("'update Helper'!E"&amp;Q999)="",F999&lt;&gt;0,F1000&lt;&gt;0),IF(IFERROR((F999/F1000),"")="","",(F999/F1000)),INDIRECT("'update Helper'!E"&amp;Q999)/100)</f>
        <v/>
      </c>
      <c r="H999" s="539"/>
      <c r="I999" s="578"/>
      <c r="J999" s="532"/>
      <c r="K999" s="126">
        <f ca="1">IF(AND(EXACT(C999,C997),C997&lt;&gt;0),K997+1,0)</f>
        <v>9</v>
      </c>
      <c r="L999" s="126" t="str">
        <f t="shared" ref="L999" ca="1" si="1177">IF(C999&lt;&gt;"",C999&amp;"-"&amp;K999,"")</f>
        <v>TB/HIV-6 Percentage of HIV-positive new and relapse TB patients on ART during TB treatment-9</v>
      </c>
      <c r="M999" s="126" t="str">
        <f t="array" aca="1" ref="M999" ca="1">IFERROR(IF(INDEX('Disaggregation Records'!$E$156:$E$517,MATCH(RIGHT(L999,255),RIGHT('Disaggregation Records'!$D$156:$D$517,255),0))="","",INDEX('Disaggregation Records'!$E$156:$E$517,MATCH(RIGHT(L999,255),RIGHT('Disaggregation Records'!$D$156:$D$517,255),0))),"")</f>
        <v/>
      </c>
      <c r="N999" s="126" t="str">
        <f t="array" aca="1" ref="N999" ca="1">IFERROR(IF(INDEX('Disaggregation Records'!$F$156:$F$517,MATCH(RIGHT(L999,255),RIGHT('Disaggregation Records'!$D$156:$D$517,255),0))="","",INDEX('Disaggregation Records'!$F$156:$F$517,MATCH(RIGHT(L999,255),RIGHT('Disaggregation Records'!$D$156:$D$517,255),0))),"")</f>
        <v/>
      </c>
      <c r="O999" s="314" t="str">
        <f t="array" aca="1" ref="O999" ca="1">IFERROR(IF(INDEX('Disaggregation Records'!$H$156:$H$517,MATCH(RIGHT(L999,255),RIGHT('Disaggregation Records'!$D$156:$D$517,255),0))="","",INDEX('Disaggregation Records'!$H$156:$H$517,MATCH(RIGHT(L999,255),RIGHT('Disaggregation Records'!$D$156:$D$517,255),0))),"")</f>
        <v/>
      </c>
      <c r="P999" s="310"/>
      <c r="Q999" s="310">
        <f t="shared" ref="Q999" si="1178">Q997+1</f>
        <v>1801</v>
      </c>
      <c r="R999" s="314" t="str" cm="1">
        <f t="array" aca="1" ref="R999" ca="1">IFERROR(IF(INDEX('Disaggregation Records'!$G$156:$G$517,MATCH(RIGHT(L999,255),RIGHT('Disaggregation Records'!$D$156:$D$517,255),0))="","",INDEX('Disaggregation Records'!$G$156:$G$517,MATCH(RIGHT(L999,255),RIGHT('Disaggregation Records'!$D$156:$D$517,255),0))),"")</f>
        <v/>
      </c>
    </row>
    <row r="1000" spans="1:18" ht="20.100000000000001" customHeight="1">
      <c r="B1000" s="571"/>
      <c r="C1000" s="573"/>
      <c r="D1000" s="575"/>
      <c r="E1000" s="575"/>
      <c r="F1000" s="128"/>
      <c r="G1000" s="577"/>
      <c r="H1000" s="540"/>
      <c r="I1000" s="579"/>
      <c r="J1000" s="533"/>
      <c r="L1000" s="126"/>
      <c r="N1000" s="126"/>
      <c r="O1000" s="314"/>
      <c r="P1000" s="310"/>
      <c r="Q1000" s="310"/>
      <c r="R1000" s="314" t="str" cm="1">
        <f t="array" ref="R1000">IFERROR(IF(INDEX('Disaggregation Records'!$G$156:$G$517,MATCH(RIGHT(L1000,255),RIGHT('Disaggregation Records'!$D$156:$D$517,255),0))="","",INDEX('Disaggregation Records'!$G$156:$G$517,MATCH(RIGHT(L1000,255),RIGHT('Disaggregation Records'!$D$156:$D$517,255),0))),"")</f>
        <v/>
      </c>
    </row>
    <row r="1001" spans="1:18" ht="20.100000000000001" customHeight="1">
      <c r="A1001" s="126" t="str">
        <f t="shared" ca="1" si="1121"/>
        <v>a16Dm000000M3tFIAS</v>
      </c>
      <c r="B1001" s="570">
        <v>10</v>
      </c>
      <c r="C1001" s="572" t="str">
        <f ca="1">IFERROR(VLOOKUP(B1001,'Coverage Indicators - Section D'!$A$9:$AO$94,41,FALSE),"")</f>
        <v>TB/HIV-6 Percentage of HIV-positive new and relapse TB patients on ART during TB treatment</v>
      </c>
      <c r="D1001" s="574" t="str">
        <f ca="1">M1001</f>
        <v/>
      </c>
      <c r="E1001" s="574" t="str">
        <f ca="1">N1001</f>
        <v/>
      </c>
      <c r="F1001" s="127"/>
      <c r="G1001" s="576" t="str">
        <f ca="1">IF(OR(INDIRECT("'update Helper'!E"&amp;Q1001)="",F1001&lt;&gt;0,F1002&lt;&gt;0),IF(IFERROR((F1001/F1002),"")="","",(F1001/F1002)),INDIRECT("'update Helper'!E"&amp;Q1001)/100)</f>
        <v/>
      </c>
      <c r="H1001" s="539"/>
      <c r="I1001" s="578"/>
      <c r="J1001" s="532"/>
      <c r="K1001" s="126">
        <f ca="1">IF(AND(EXACT(C1001,C999),C999&lt;&gt;0),K999+1,0)</f>
        <v>10</v>
      </c>
      <c r="L1001" s="126" t="str">
        <f t="shared" ref="L1001" ca="1" si="1179">IF(C1001&lt;&gt;"",C1001&amp;"-"&amp;K1001,"")</f>
        <v>TB/HIV-6 Percentage of HIV-positive new and relapse TB patients on ART during TB treatment-10</v>
      </c>
      <c r="M1001" s="126" t="str">
        <f t="array" aca="1" ref="M1001" ca="1">IFERROR(IF(INDEX('Disaggregation Records'!$E$156:$E$517,MATCH(RIGHT(L1001,255),RIGHT('Disaggregation Records'!$D$156:$D$517,255),0))="","",INDEX('Disaggregation Records'!$E$156:$E$517,MATCH(RIGHT(L1001,255),RIGHT('Disaggregation Records'!$D$156:$D$517,255),0))),"")</f>
        <v/>
      </c>
      <c r="N1001" s="126" t="str">
        <f t="array" aca="1" ref="N1001" ca="1">IFERROR(IF(INDEX('Disaggregation Records'!$F$156:$F$517,MATCH(RIGHT(L1001,255),RIGHT('Disaggregation Records'!$D$156:$D$517,255),0))="","",INDEX('Disaggregation Records'!$F$156:$F$517,MATCH(RIGHT(L1001,255),RIGHT('Disaggregation Records'!$D$156:$D$517,255),0))),"")</f>
        <v/>
      </c>
      <c r="O1001" s="314" t="str">
        <f t="array" aca="1" ref="O1001" ca="1">IFERROR(IF(INDEX('Disaggregation Records'!$H$156:$H$517,MATCH(RIGHT(L1001,255),RIGHT('Disaggregation Records'!$D$156:$D$517,255),0))="","",INDEX('Disaggregation Records'!$H$156:$H$517,MATCH(RIGHT(L1001,255),RIGHT('Disaggregation Records'!$D$156:$D$517,255),0))),"")</f>
        <v/>
      </c>
      <c r="P1001" s="314"/>
      <c r="Q1001" s="310">
        <f t="shared" ref="Q1001" si="1180">Q999+1</f>
        <v>1802</v>
      </c>
      <c r="R1001" s="314" t="str" cm="1">
        <f t="array" aca="1" ref="R1001" ca="1">IFERROR(IF(INDEX('Disaggregation Records'!$G$156:$G$517,MATCH(RIGHT(L1001,255),RIGHT('Disaggregation Records'!$D$156:$D$517,255),0))="","",INDEX('Disaggregation Records'!$G$156:$G$517,MATCH(RIGHT(L1001,255),RIGHT('Disaggregation Records'!$D$156:$D$517,255),0))),"")</f>
        <v/>
      </c>
    </row>
    <row r="1002" spans="1:18" ht="20.100000000000001" customHeight="1">
      <c r="A1002" s="126"/>
      <c r="B1002" s="571"/>
      <c r="C1002" s="573"/>
      <c r="D1002" s="575"/>
      <c r="E1002" s="575"/>
      <c r="F1002" s="128"/>
      <c r="G1002" s="577"/>
      <c r="H1002" s="540"/>
      <c r="I1002" s="579"/>
      <c r="J1002" s="533"/>
      <c r="K1002" s="126"/>
      <c r="L1002" s="126"/>
      <c r="M1002" s="126"/>
      <c r="N1002" s="126"/>
      <c r="O1002" s="314"/>
      <c r="P1002" s="314"/>
      <c r="Q1002" s="310"/>
      <c r="R1002" s="314" t="str" cm="1">
        <f t="array" ref="R1002">IFERROR(IF(INDEX('Disaggregation Records'!$G$156:$G$517,MATCH(RIGHT(L1002,255),RIGHT('Disaggregation Records'!$D$156:$D$517,255),0))="","",INDEX('Disaggregation Records'!$G$156:$G$517,MATCH(RIGHT(L1002,255),RIGHT('Disaggregation Records'!$D$156:$D$517,255),0))),"")</f>
        <v/>
      </c>
    </row>
    <row r="1003" spans="1:18" ht="20.100000000000001" customHeight="1">
      <c r="A1003" s="126" t="str">
        <f t="shared" ca="1" si="1124"/>
        <v>a16Dm000000M3tGIAS</v>
      </c>
      <c r="B1003" s="570">
        <v>10</v>
      </c>
      <c r="C1003" s="572" t="str">
        <f ca="1">IFERROR(VLOOKUP(B1003,'Coverage Indicators - Section D'!$A$9:$AO$94,41,FALSE),"")</f>
        <v>TB/HIV-6 Percentage of HIV-positive new and relapse TB patients on ART during TB treatment</v>
      </c>
      <c r="D1003" s="574" t="str">
        <f ca="1">M1003</f>
        <v/>
      </c>
      <c r="E1003" s="574" t="str">
        <f ca="1">N1003</f>
        <v/>
      </c>
      <c r="F1003" s="127"/>
      <c r="G1003" s="576" t="str">
        <f ca="1">IF(OR(INDIRECT("'update Helper'!E"&amp;Q1003)="",F1003&lt;&gt;0,F1004&lt;&gt;0),IF(IFERROR((F1003/F1004),"")="","",(F1003/F1004)),INDIRECT("'update Helper'!E"&amp;Q1003)/100)</f>
        <v/>
      </c>
      <c r="H1003" s="539"/>
      <c r="I1003" s="578"/>
      <c r="J1003" s="532"/>
      <c r="K1003" s="126">
        <f ca="1">IF(AND(EXACT(C1003,C1001),C1001&lt;&gt;0),K1001+1,0)</f>
        <v>11</v>
      </c>
      <c r="L1003" s="126" t="str">
        <f t="shared" ref="L1003" ca="1" si="1181">IF(C1003&lt;&gt;"",C1003&amp;"-"&amp;K1003,"")</f>
        <v>TB/HIV-6 Percentage of HIV-positive new and relapse TB patients on ART during TB treatment-11</v>
      </c>
      <c r="M1003" s="126" t="str">
        <f t="array" aca="1" ref="M1003" ca="1">IFERROR(IF(INDEX('Disaggregation Records'!$E$156:$E$517,MATCH(RIGHT(L1003,255),RIGHT('Disaggregation Records'!$D$156:$D$517,255),0))="","",INDEX('Disaggregation Records'!$E$156:$E$517,MATCH(RIGHT(L1003,255),RIGHT('Disaggregation Records'!$D$156:$D$517,255),0))),"")</f>
        <v/>
      </c>
      <c r="N1003" s="126" t="str">
        <f t="array" aca="1" ref="N1003" ca="1">IFERROR(IF(INDEX('Disaggregation Records'!$F$156:$F$517,MATCH(RIGHT(L1003,255),RIGHT('Disaggregation Records'!$D$156:$D$517,255),0))="","",INDEX('Disaggregation Records'!$F$156:$F$517,MATCH(RIGHT(L1003,255),RIGHT('Disaggregation Records'!$D$156:$D$517,255),0))),"")</f>
        <v/>
      </c>
      <c r="O1003" s="314" t="str">
        <f t="array" aca="1" ref="O1003" ca="1">IFERROR(IF(INDEX('Disaggregation Records'!$H$156:$H$517,MATCH(RIGHT(L1003,255),RIGHT('Disaggregation Records'!$D$156:$D$517,255),0))="","",INDEX('Disaggregation Records'!$H$156:$H$517,MATCH(RIGHT(L1003,255),RIGHT('Disaggregation Records'!$D$156:$D$517,255),0))),"")</f>
        <v/>
      </c>
      <c r="P1003" s="314"/>
      <c r="Q1003" s="310">
        <f t="shared" ref="Q1003" si="1182">Q1001+1</f>
        <v>1803</v>
      </c>
      <c r="R1003" s="314" t="str" cm="1">
        <f t="array" aca="1" ref="R1003" ca="1">IFERROR(IF(INDEX('Disaggregation Records'!$G$156:$G$517,MATCH(RIGHT(L1003,255),RIGHT('Disaggregation Records'!$D$156:$D$517,255),0))="","",INDEX('Disaggregation Records'!$G$156:$G$517,MATCH(RIGHT(L1003,255),RIGHT('Disaggregation Records'!$D$156:$D$517,255),0))),"")</f>
        <v/>
      </c>
    </row>
    <row r="1004" spans="1:18" ht="20.100000000000001" customHeight="1">
      <c r="B1004" s="571"/>
      <c r="C1004" s="573"/>
      <c r="D1004" s="575"/>
      <c r="E1004" s="575"/>
      <c r="F1004" s="128"/>
      <c r="G1004" s="577"/>
      <c r="H1004" s="540"/>
      <c r="I1004" s="579"/>
      <c r="J1004" s="533"/>
      <c r="K1004" s="126"/>
      <c r="L1004" s="126"/>
      <c r="M1004" s="126"/>
      <c r="N1004" s="126"/>
      <c r="O1004" s="314"/>
      <c r="P1004" s="314"/>
      <c r="Q1004" s="310"/>
      <c r="R1004" s="314" t="str" cm="1">
        <f t="array" ref="R1004">IFERROR(IF(INDEX('Disaggregation Records'!$G$156:$G$517,MATCH(RIGHT(L1004,255),RIGHT('Disaggregation Records'!$D$156:$D$517,255),0))="","",INDEX('Disaggregation Records'!$G$156:$G$517,MATCH(RIGHT(L1004,255),RIGHT('Disaggregation Records'!$D$156:$D$517,255),0))),"")</f>
        <v/>
      </c>
    </row>
    <row r="1005" spans="1:18" ht="20.100000000000001" customHeight="1">
      <c r="A1005" s="126" t="str">
        <f t="shared" ca="1" si="1121"/>
        <v>a16Dm000000M3tHIAS</v>
      </c>
      <c r="B1005" s="570">
        <v>10</v>
      </c>
      <c r="C1005" s="572" t="str">
        <f ca="1">IFERROR(VLOOKUP(B1005,'Coverage Indicators - Section D'!$A$9:$AO$94,41,FALSE),"")</f>
        <v>TB/HIV-6 Percentage of HIV-positive new and relapse TB patients on ART during TB treatment</v>
      </c>
      <c r="D1005" s="574" t="str">
        <f ca="1">M1005</f>
        <v/>
      </c>
      <c r="E1005" s="574" t="str">
        <f ca="1">N1005</f>
        <v/>
      </c>
      <c r="F1005" s="127"/>
      <c r="G1005" s="576" t="str">
        <f ca="1">IF(OR(INDIRECT("'update Helper'!E"&amp;Q1005)="",F1005&lt;&gt;0,F1006&lt;&gt;0),IF(IFERROR((F1005/F1006),"")="","",(F1005/F1006)),INDIRECT("'update Helper'!E"&amp;Q1005)/100)</f>
        <v/>
      </c>
      <c r="H1005" s="539"/>
      <c r="I1005" s="578"/>
      <c r="J1005" s="532"/>
      <c r="K1005" s="126">
        <f ca="1">IF(AND(EXACT(C1005,C1003),C1003&lt;&gt;0),K1003+1,0)</f>
        <v>12</v>
      </c>
      <c r="L1005" s="126" t="str">
        <f t="shared" ref="L1005" ca="1" si="1183">IF(C1005&lt;&gt;"",C1005&amp;"-"&amp;K1005,"")</f>
        <v>TB/HIV-6 Percentage of HIV-positive new and relapse TB patients on ART during TB treatment-12</v>
      </c>
      <c r="M1005" s="126" t="str">
        <f t="array" aca="1" ref="M1005" ca="1">IFERROR(IF(INDEX('Disaggregation Records'!$E$156:$E$517,MATCH(RIGHT(L1005,255),RIGHT('Disaggregation Records'!$D$156:$D$517,255),0))="","",INDEX('Disaggregation Records'!$E$156:$E$517,MATCH(RIGHT(L1005,255),RIGHT('Disaggregation Records'!$D$156:$D$517,255),0))),"")</f>
        <v/>
      </c>
      <c r="N1005" s="126" t="str">
        <f t="array" aca="1" ref="N1005" ca="1">IFERROR(IF(INDEX('Disaggregation Records'!$F$156:$F$517,MATCH(RIGHT(L1005,255),RIGHT('Disaggregation Records'!$D$156:$D$517,255),0))="","",INDEX('Disaggregation Records'!$F$156:$F$517,MATCH(RIGHT(L1005,255),RIGHT('Disaggregation Records'!$D$156:$D$517,255),0))),"")</f>
        <v/>
      </c>
      <c r="O1005" s="314" t="str">
        <f t="array" aca="1" ref="O1005" ca="1">IFERROR(IF(INDEX('Disaggregation Records'!$H$156:$H$517,MATCH(RIGHT(L1005,255),RIGHT('Disaggregation Records'!$D$156:$D$517,255),0))="","",INDEX('Disaggregation Records'!$H$156:$H$517,MATCH(RIGHT(L1005,255),RIGHT('Disaggregation Records'!$D$156:$D$517,255),0))),"")</f>
        <v/>
      </c>
      <c r="P1005" s="310"/>
      <c r="Q1005" s="310">
        <f t="shared" ref="Q1005" si="1184">Q1003+1</f>
        <v>1804</v>
      </c>
      <c r="R1005" s="314" t="str" cm="1">
        <f t="array" aca="1" ref="R1005" ca="1">IFERROR(IF(INDEX('Disaggregation Records'!$G$156:$G$517,MATCH(RIGHT(L1005,255),RIGHT('Disaggregation Records'!$D$156:$D$517,255),0))="","",INDEX('Disaggregation Records'!$G$156:$G$517,MATCH(RIGHT(L1005,255),RIGHT('Disaggregation Records'!$D$156:$D$517,255),0))),"")</f>
        <v/>
      </c>
    </row>
    <row r="1006" spans="1:18" ht="20.100000000000001" customHeight="1">
      <c r="A1006" s="126"/>
      <c r="B1006" s="571"/>
      <c r="C1006" s="573"/>
      <c r="D1006" s="575"/>
      <c r="E1006" s="575"/>
      <c r="F1006" s="128"/>
      <c r="G1006" s="577"/>
      <c r="H1006" s="540"/>
      <c r="I1006" s="579"/>
      <c r="J1006" s="533"/>
      <c r="L1006" s="126"/>
      <c r="N1006" s="126"/>
      <c r="O1006" s="314"/>
      <c r="P1006" s="310"/>
      <c r="Q1006" s="310"/>
      <c r="R1006" s="314" t="str" cm="1">
        <f t="array" ref="R1006">IFERROR(IF(INDEX('Disaggregation Records'!$G$156:$G$517,MATCH(RIGHT(L1006,255),RIGHT('Disaggregation Records'!$D$156:$D$517,255),0))="","",INDEX('Disaggregation Records'!$G$156:$G$517,MATCH(RIGHT(L1006,255),RIGHT('Disaggregation Records'!$D$156:$D$517,255),0))),"")</f>
        <v/>
      </c>
    </row>
    <row r="1007" spans="1:18" ht="20.100000000000001" customHeight="1">
      <c r="A1007" s="126" t="str">
        <f t="shared" ca="1" si="1124"/>
        <v>a16Dm000000M3tIIAS</v>
      </c>
      <c r="B1007" s="570">
        <v>10</v>
      </c>
      <c r="C1007" s="572" t="str">
        <f ca="1">IFERROR(VLOOKUP(B1007,'Coverage Indicators - Section D'!$A$9:$AO$94,41,FALSE),"")</f>
        <v>TB/HIV-6 Percentage of HIV-positive new and relapse TB patients on ART during TB treatment</v>
      </c>
      <c r="D1007" s="574" t="str">
        <f ca="1">M1007</f>
        <v/>
      </c>
      <c r="E1007" s="574" t="str">
        <f ca="1">N1007</f>
        <v/>
      </c>
      <c r="F1007" s="127"/>
      <c r="G1007" s="576" t="str">
        <f ca="1">IF(OR(INDIRECT("'update Helper'!E"&amp;Q1007)="",F1007&lt;&gt;0,F1008&lt;&gt;0),IF(IFERROR((F1007/F1008),"")="","",(F1007/F1008)),INDIRECT("'update Helper'!E"&amp;Q1007)/100)</f>
        <v/>
      </c>
      <c r="H1007" s="539"/>
      <c r="I1007" s="578"/>
      <c r="J1007" s="532"/>
      <c r="K1007" s="126">
        <f ca="1">IF(AND(EXACT(C1007,C1005),C1005&lt;&gt;0),K1005+1,0)</f>
        <v>13</v>
      </c>
      <c r="L1007" s="126" t="str">
        <f t="shared" ref="L1007" ca="1" si="1185">IF(C1007&lt;&gt;"",C1007&amp;"-"&amp;K1007,"")</f>
        <v>TB/HIV-6 Percentage of HIV-positive new and relapse TB patients on ART during TB treatment-13</v>
      </c>
      <c r="M1007" s="126" t="str">
        <f t="array" aca="1" ref="M1007" ca="1">IFERROR(IF(INDEX('Disaggregation Records'!$E$156:$E$517,MATCH(RIGHT(L1007,255),RIGHT('Disaggregation Records'!$D$156:$D$517,255),0))="","",INDEX('Disaggregation Records'!$E$156:$E$517,MATCH(RIGHT(L1007,255),RIGHT('Disaggregation Records'!$D$156:$D$517,255),0))),"")</f>
        <v/>
      </c>
      <c r="N1007" s="126" t="str">
        <f t="array" aca="1" ref="N1007" ca="1">IFERROR(IF(INDEX('Disaggregation Records'!$F$156:$F$517,MATCH(RIGHT(L1007,255),RIGHT('Disaggregation Records'!$D$156:$D$517,255),0))="","",INDEX('Disaggregation Records'!$F$156:$F$517,MATCH(RIGHT(L1007,255),RIGHT('Disaggregation Records'!$D$156:$D$517,255),0))),"")</f>
        <v/>
      </c>
      <c r="O1007" s="314" t="str">
        <f t="array" aca="1" ref="O1007" ca="1">IFERROR(IF(INDEX('Disaggregation Records'!$H$156:$H$517,MATCH(RIGHT(L1007,255),RIGHT('Disaggregation Records'!$D$156:$D$517,255),0))="","",INDEX('Disaggregation Records'!$H$156:$H$517,MATCH(RIGHT(L1007,255),RIGHT('Disaggregation Records'!$D$156:$D$517,255),0))),"")</f>
        <v/>
      </c>
      <c r="P1007" s="310"/>
      <c r="Q1007" s="310">
        <f t="shared" ref="Q1007" si="1186">Q1005+1</f>
        <v>1805</v>
      </c>
      <c r="R1007" s="314" t="str" cm="1">
        <f t="array" aca="1" ref="R1007" ca="1">IFERROR(IF(INDEX('Disaggregation Records'!$G$156:$G$517,MATCH(RIGHT(L1007,255),RIGHT('Disaggregation Records'!$D$156:$D$517,255),0))="","",INDEX('Disaggregation Records'!$G$156:$G$517,MATCH(RIGHT(L1007,255),RIGHT('Disaggregation Records'!$D$156:$D$517,255),0))),"")</f>
        <v/>
      </c>
    </row>
    <row r="1008" spans="1:18" ht="20.100000000000001" customHeight="1">
      <c r="B1008" s="571"/>
      <c r="C1008" s="573"/>
      <c r="D1008" s="575"/>
      <c r="E1008" s="575"/>
      <c r="F1008" s="128"/>
      <c r="G1008" s="577"/>
      <c r="H1008" s="540"/>
      <c r="I1008" s="579"/>
      <c r="J1008" s="533"/>
      <c r="L1008" s="126"/>
      <c r="N1008" s="126"/>
      <c r="O1008" s="314"/>
      <c r="P1008" s="310"/>
      <c r="Q1008" s="310"/>
      <c r="R1008" s="314" t="str" cm="1">
        <f t="array" ref="R1008">IFERROR(IF(INDEX('Disaggregation Records'!$G$156:$G$517,MATCH(RIGHT(L1008,255),RIGHT('Disaggregation Records'!$D$156:$D$517,255),0))="","",INDEX('Disaggregation Records'!$G$156:$G$517,MATCH(RIGHT(L1008,255),RIGHT('Disaggregation Records'!$D$156:$D$517,255),0))),"")</f>
        <v/>
      </c>
    </row>
    <row r="1009" spans="1:18" ht="20.100000000000001" customHeight="1">
      <c r="A1009" s="126" t="str">
        <f t="shared" ref="A1009:A1069" ca="1" si="1187">INDIRECT("'update Helper'!C"&amp;Q1009)</f>
        <v>a16Dm000000M3tJIAS</v>
      </c>
      <c r="B1009" s="570">
        <v>10</v>
      </c>
      <c r="C1009" s="572" t="str">
        <f ca="1">IFERROR(VLOOKUP(B1009,'Coverage Indicators - Section D'!$A$9:$AO$94,41,FALSE),"")</f>
        <v>TB/HIV-6 Percentage of HIV-positive new and relapse TB patients on ART during TB treatment</v>
      </c>
      <c r="D1009" s="574" t="str">
        <f ca="1">M1009</f>
        <v/>
      </c>
      <c r="E1009" s="574" t="str">
        <f ca="1">N1009</f>
        <v/>
      </c>
      <c r="F1009" s="127"/>
      <c r="G1009" s="576" t="str">
        <f ca="1">IF(OR(INDIRECT("'update Helper'!E"&amp;Q1009)="",F1009&lt;&gt;0,F1010&lt;&gt;0),IF(IFERROR((F1009/F1010),"")="","",(F1009/F1010)),INDIRECT("'update Helper'!E"&amp;Q1009)/100)</f>
        <v/>
      </c>
      <c r="H1009" s="539"/>
      <c r="I1009" s="578"/>
      <c r="J1009" s="532"/>
      <c r="K1009" s="126">
        <f ca="1">IF(AND(EXACT(C1009,C1007),C1007&lt;&gt;0),K1007+1,0)</f>
        <v>14</v>
      </c>
      <c r="L1009" s="126" t="str">
        <f t="shared" ref="L1009" ca="1" si="1188">IF(C1009&lt;&gt;"",C1009&amp;"-"&amp;K1009,"")</f>
        <v>TB/HIV-6 Percentage of HIV-positive new and relapse TB patients on ART during TB treatment-14</v>
      </c>
      <c r="M1009" s="126" t="str">
        <f t="array" aca="1" ref="M1009" ca="1">IFERROR(IF(INDEX('Disaggregation Records'!$E$156:$E$517,MATCH(RIGHT(L1009,255),RIGHT('Disaggregation Records'!$D$156:$D$517,255),0))="","",INDEX('Disaggregation Records'!$E$156:$E$517,MATCH(RIGHT(L1009,255),RIGHT('Disaggregation Records'!$D$156:$D$517,255),0))),"")</f>
        <v/>
      </c>
      <c r="N1009" s="126" t="str">
        <f t="array" aca="1" ref="N1009" ca="1">IFERROR(IF(INDEX('Disaggregation Records'!$F$156:$F$517,MATCH(RIGHT(L1009,255),RIGHT('Disaggregation Records'!$D$156:$D$517,255),0))="","",INDEX('Disaggregation Records'!$F$156:$F$517,MATCH(RIGHT(L1009,255),RIGHT('Disaggregation Records'!$D$156:$D$517,255),0))),"")</f>
        <v/>
      </c>
      <c r="O1009" s="314" t="str">
        <f t="array" aca="1" ref="O1009" ca="1">IFERROR(IF(INDEX('Disaggregation Records'!$H$156:$H$517,MATCH(RIGHT(L1009,255),RIGHT('Disaggregation Records'!$D$156:$D$517,255),0))="","",INDEX('Disaggregation Records'!$H$156:$H$517,MATCH(RIGHT(L1009,255),RIGHT('Disaggregation Records'!$D$156:$D$517,255),0))),"")</f>
        <v/>
      </c>
      <c r="P1009" s="310"/>
      <c r="Q1009" s="310">
        <f t="shared" ref="Q1009" si="1189">Q1007+1</f>
        <v>1806</v>
      </c>
      <c r="R1009" s="314" t="str" cm="1">
        <f t="array" aca="1" ref="R1009" ca="1">IFERROR(IF(INDEX('Disaggregation Records'!$G$156:$G$517,MATCH(RIGHT(L1009,255),RIGHT('Disaggregation Records'!$D$156:$D$517,255),0))="","",INDEX('Disaggregation Records'!$G$156:$G$517,MATCH(RIGHT(L1009,255),RIGHT('Disaggregation Records'!$D$156:$D$517,255),0))),"")</f>
        <v/>
      </c>
    </row>
    <row r="1010" spans="1:18" ht="20.100000000000001" customHeight="1">
      <c r="A1010" s="126"/>
      <c r="B1010" s="571"/>
      <c r="C1010" s="573"/>
      <c r="D1010" s="575"/>
      <c r="E1010" s="575"/>
      <c r="F1010" s="128"/>
      <c r="G1010" s="577"/>
      <c r="H1010" s="540"/>
      <c r="I1010" s="579"/>
      <c r="J1010" s="533"/>
      <c r="L1010" s="126"/>
      <c r="N1010" s="126"/>
      <c r="O1010" s="314"/>
      <c r="P1010" s="310"/>
      <c r="Q1010" s="310"/>
      <c r="R1010" s="314" t="str" cm="1">
        <f t="array" ref="R1010">IFERROR(IF(INDEX('Disaggregation Records'!$G$156:$G$517,MATCH(RIGHT(L1010,255),RIGHT('Disaggregation Records'!$D$156:$D$517,255),0))="","",INDEX('Disaggregation Records'!$G$156:$G$517,MATCH(RIGHT(L1010,255),RIGHT('Disaggregation Records'!$D$156:$D$517,255),0))),"")</f>
        <v/>
      </c>
    </row>
    <row r="1011" spans="1:18" ht="20.100000000000001" customHeight="1">
      <c r="A1011" s="126" t="str">
        <f t="shared" ref="A1011:A1071" ca="1" si="1190">INDIRECT("'update Helper'!C"&amp;Q1011)</f>
        <v>a16Dm000000M3tKIAS</v>
      </c>
      <c r="B1011" s="570">
        <v>10</v>
      </c>
      <c r="C1011" s="572" t="str">
        <f ca="1">IFERROR(VLOOKUP(B1011,'Coverage Indicators - Section D'!$A$9:$AO$94,41,FALSE),"")</f>
        <v>TB/HIV-6 Percentage of HIV-positive new and relapse TB patients on ART during TB treatment</v>
      </c>
      <c r="D1011" s="574" t="str">
        <f ca="1">M1011</f>
        <v/>
      </c>
      <c r="E1011" s="574" t="str">
        <f ca="1">N1011</f>
        <v/>
      </c>
      <c r="F1011" s="127"/>
      <c r="G1011" s="576" t="str">
        <f ca="1">IF(OR(INDIRECT("'update Helper'!E"&amp;Q1011)="",F1011&lt;&gt;0,F1012&lt;&gt;0),IF(IFERROR((F1011/F1012),"")="","",(F1011/F1012)),INDIRECT("'update Helper'!E"&amp;Q1011)/100)</f>
        <v/>
      </c>
      <c r="H1011" s="539"/>
      <c r="I1011" s="578"/>
      <c r="J1011" s="532"/>
      <c r="K1011" s="126">
        <f ca="1">IF(AND(EXACT(C1011,C1009),C1009&lt;&gt;0),K1009+1,0)</f>
        <v>15</v>
      </c>
      <c r="L1011" s="126" t="str">
        <f t="shared" ref="L1011" ca="1" si="1191">IF(C1011&lt;&gt;"",C1011&amp;"-"&amp;K1011,"")</f>
        <v>TB/HIV-6 Percentage of HIV-positive new and relapse TB patients on ART during TB treatment-15</v>
      </c>
      <c r="M1011" s="126" t="str">
        <f t="array" aca="1" ref="M1011" ca="1">IFERROR(IF(INDEX('Disaggregation Records'!$E$156:$E$517,MATCH(RIGHT(L1011,255),RIGHT('Disaggregation Records'!$D$156:$D$517,255),0))="","",INDEX('Disaggregation Records'!$E$156:$E$517,MATCH(RIGHT(L1011,255),RIGHT('Disaggregation Records'!$D$156:$D$517,255),0))),"")</f>
        <v/>
      </c>
      <c r="N1011" s="126" t="str">
        <f t="array" aca="1" ref="N1011" ca="1">IFERROR(IF(INDEX('Disaggregation Records'!$F$156:$F$517,MATCH(RIGHT(L1011,255),RIGHT('Disaggregation Records'!$D$156:$D$517,255),0))="","",INDEX('Disaggregation Records'!$F$156:$F$517,MATCH(RIGHT(L1011,255),RIGHT('Disaggregation Records'!$D$156:$D$517,255),0))),"")</f>
        <v/>
      </c>
      <c r="O1011" s="314" t="str">
        <f t="array" aca="1" ref="O1011" ca="1">IFERROR(IF(INDEX('Disaggregation Records'!$H$156:$H$517,MATCH(RIGHT(L1011,255),RIGHT('Disaggregation Records'!$D$156:$D$517,255),0))="","",INDEX('Disaggregation Records'!$H$156:$H$517,MATCH(RIGHT(L1011,255),RIGHT('Disaggregation Records'!$D$156:$D$517,255),0))),"")</f>
        <v/>
      </c>
      <c r="P1011" s="314"/>
      <c r="Q1011" s="310">
        <f t="shared" ref="Q1011" si="1192">Q1009+1</f>
        <v>1807</v>
      </c>
      <c r="R1011" s="314" t="str" cm="1">
        <f t="array" aca="1" ref="R1011" ca="1">IFERROR(IF(INDEX('Disaggregation Records'!$G$156:$G$517,MATCH(RIGHT(L1011,255),RIGHT('Disaggregation Records'!$D$156:$D$517,255),0))="","",INDEX('Disaggregation Records'!$G$156:$G$517,MATCH(RIGHT(L1011,255),RIGHT('Disaggregation Records'!$D$156:$D$517,255),0))),"")</f>
        <v/>
      </c>
    </row>
    <row r="1012" spans="1:18" ht="20.100000000000001" customHeight="1">
      <c r="B1012" s="571"/>
      <c r="C1012" s="573"/>
      <c r="D1012" s="575"/>
      <c r="E1012" s="575"/>
      <c r="F1012" s="128"/>
      <c r="G1012" s="577"/>
      <c r="H1012" s="540"/>
      <c r="I1012" s="579"/>
      <c r="J1012" s="533"/>
      <c r="K1012" s="126"/>
      <c r="L1012" s="126"/>
      <c r="M1012" s="126"/>
      <c r="N1012" s="126"/>
      <c r="O1012" s="314"/>
      <c r="P1012" s="314"/>
      <c r="Q1012" s="310"/>
      <c r="R1012" s="314" t="str" cm="1">
        <f t="array" ref="R1012">IFERROR(IF(INDEX('Disaggregation Records'!$G$156:$G$517,MATCH(RIGHT(L1012,255),RIGHT('Disaggregation Records'!$D$156:$D$517,255),0))="","",INDEX('Disaggregation Records'!$G$156:$G$517,MATCH(RIGHT(L1012,255),RIGHT('Disaggregation Records'!$D$156:$D$517,255),0))),"")</f>
        <v/>
      </c>
    </row>
    <row r="1013" spans="1:18" ht="20.100000000000001" customHeight="1">
      <c r="A1013" s="126" t="str">
        <f t="shared" ca="1" si="1187"/>
        <v>a16Dm000000M3tLIAS</v>
      </c>
      <c r="B1013" s="570">
        <v>10</v>
      </c>
      <c r="C1013" s="572" t="str">
        <f ca="1">IFERROR(VLOOKUP(B1013,'Coverage Indicators - Section D'!$A$9:$AO$94,41,FALSE),"")</f>
        <v>TB/HIV-6 Percentage of HIV-positive new and relapse TB patients on ART during TB treatment</v>
      </c>
      <c r="D1013" s="574" t="str">
        <f ca="1">M1013</f>
        <v/>
      </c>
      <c r="E1013" s="574" t="str">
        <f ca="1">N1013</f>
        <v/>
      </c>
      <c r="F1013" s="127"/>
      <c r="G1013" s="576" t="str">
        <f ca="1">IF(OR(INDIRECT("'update Helper'!E"&amp;Q1013)="",F1013&lt;&gt;0,F1014&lt;&gt;0),IF(IFERROR((F1013/F1014),"")="","",(F1013/F1014)),INDIRECT("'update Helper'!E"&amp;Q1013)/100)</f>
        <v/>
      </c>
      <c r="H1013" s="539"/>
      <c r="I1013" s="578"/>
      <c r="J1013" s="532"/>
      <c r="K1013" s="126">
        <f ca="1">IF(AND(EXACT(C1013,C1011),C1011&lt;&gt;0),K1011+1,0)</f>
        <v>16</v>
      </c>
      <c r="L1013" s="126" t="str">
        <f t="shared" ref="L1013" ca="1" si="1193">IF(C1013&lt;&gt;"",C1013&amp;"-"&amp;K1013,"")</f>
        <v>TB/HIV-6 Percentage of HIV-positive new and relapse TB patients on ART during TB treatment-16</v>
      </c>
      <c r="M1013" s="126" t="str">
        <f t="array" aca="1" ref="M1013" ca="1">IFERROR(IF(INDEX('Disaggregation Records'!$E$156:$E$517,MATCH(RIGHT(L1013,255),RIGHT('Disaggregation Records'!$D$156:$D$517,255),0))="","",INDEX('Disaggregation Records'!$E$156:$E$517,MATCH(RIGHT(L1013,255),RIGHT('Disaggregation Records'!$D$156:$D$517,255),0))),"")</f>
        <v/>
      </c>
      <c r="N1013" s="126" t="str">
        <f t="array" aca="1" ref="N1013" ca="1">IFERROR(IF(INDEX('Disaggregation Records'!$F$156:$F$517,MATCH(RIGHT(L1013,255),RIGHT('Disaggregation Records'!$D$156:$D$517,255),0))="","",INDEX('Disaggregation Records'!$F$156:$F$517,MATCH(RIGHT(L1013,255),RIGHT('Disaggregation Records'!$D$156:$D$517,255),0))),"")</f>
        <v/>
      </c>
      <c r="O1013" s="314" t="str">
        <f t="array" aca="1" ref="O1013" ca="1">IFERROR(IF(INDEX('Disaggregation Records'!$H$156:$H$517,MATCH(RIGHT(L1013,255),RIGHT('Disaggregation Records'!$D$156:$D$517,255),0))="","",INDEX('Disaggregation Records'!$H$156:$H$517,MATCH(RIGHT(L1013,255),RIGHT('Disaggregation Records'!$D$156:$D$517,255),0))),"")</f>
        <v/>
      </c>
      <c r="P1013" s="314"/>
      <c r="Q1013" s="310">
        <f t="shared" ref="Q1013" si="1194">Q1011+1</f>
        <v>1808</v>
      </c>
      <c r="R1013" s="314" t="str" cm="1">
        <f t="array" aca="1" ref="R1013" ca="1">IFERROR(IF(INDEX('Disaggregation Records'!$G$156:$G$517,MATCH(RIGHT(L1013,255),RIGHT('Disaggregation Records'!$D$156:$D$517,255),0))="","",INDEX('Disaggregation Records'!$G$156:$G$517,MATCH(RIGHT(L1013,255),RIGHT('Disaggregation Records'!$D$156:$D$517,255),0))),"")</f>
        <v/>
      </c>
    </row>
    <row r="1014" spans="1:18" ht="20.100000000000001" customHeight="1">
      <c r="A1014" s="126"/>
      <c r="B1014" s="571"/>
      <c r="C1014" s="573"/>
      <c r="D1014" s="575"/>
      <c r="E1014" s="575"/>
      <c r="F1014" s="128"/>
      <c r="G1014" s="577"/>
      <c r="H1014" s="540"/>
      <c r="I1014" s="579"/>
      <c r="J1014" s="533"/>
      <c r="K1014" s="126"/>
      <c r="L1014" s="126"/>
      <c r="M1014" s="126"/>
      <c r="N1014" s="126"/>
      <c r="O1014" s="314"/>
      <c r="P1014" s="314"/>
      <c r="Q1014" s="310"/>
      <c r="R1014" s="314" t="str" cm="1">
        <f t="array" ref="R1014">IFERROR(IF(INDEX('Disaggregation Records'!$G$156:$G$517,MATCH(RIGHT(L1014,255),RIGHT('Disaggregation Records'!$D$156:$D$517,255),0))="","",INDEX('Disaggregation Records'!$G$156:$G$517,MATCH(RIGHT(L1014,255),RIGHT('Disaggregation Records'!$D$156:$D$517,255),0))),"")</f>
        <v/>
      </c>
    </row>
    <row r="1015" spans="1:18" ht="20.100000000000001" customHeight="1">
      <c r="A1015" s="126" t="str">
        <f t="shared" ca="1" si="1190"/>
        <v>a16Dm000000M3tMIAS</v>
      </c>
      <c r="B1015" s="570">
        <v>10</v>
      </c>
      <c r="C1015" s="572" t="str">
        <f ca="1">IFERROR(VLOOKUP(B1015,'Coverage Indicators - Section D'!$A$9:$AO$94,41,FALSE),"")</f>
        <v>TB/HIV-6 Percentage of HIV-positive new and relapse TB patients on ART during TB treatment</v>
      </c>
      <c r="D1015" s="574" t="str">
        <f ca="1">M1015</f>
        <v/>
      </c>
      <c r="E1015" s="574" t="str">
        <f ca="1">N1015</f>
        <v/>
      </c>
      <c r="F1015" s="127"/>
      <c r="G1015" s="576" t="str">
        <f ca="1">IF(OR(INDIRECT("'update Helper'!E"&amp;Q1015)="",F1015&lt;&gt;0,F1016&lt;&gt;0),IF(IFERROR((F1015/F1016),"")="","",(F1015/F1016)),INDIRECT("'update Helper'!E"&amp;Q1015)/100)</f>
        <v/>
      </c>
      <c r="H1015" s="539"/>
      <c r="I1015" s="578"/>
      <c r="J1015" s="532"/>
      <c r="K1015" s="126">
        <f ca="1">IF(AND(EXACT(C1015,C1013),C1013&lt;&gt;0),K1013+1,0)</f>
        <v>17</v>
      </c>
      <c r="L1015" s="126" t="str">
        <f t="shared" ref="L1015" ca="1" si="1195">IF(C1015&lt;&gt;"",C1015&amp;"-"&amp;K1015,"")</f>
        <v>TB/HIV-6 Percentage of HIV-positive new and relapse TB patients on ART during TB treatment-17</v>
      </c>
      <c r="M1015" s="126" t="str">
        <f t="array" aca="1" ref="M1015" ca="1">IFERROR(IF(INDEX('Disaggregation Records'!$E$156:$E$517,MATCH(RIGHT(L1015,255),RIGHT('Disaggregation Records'!$D$156:$D$517,255),0))="","",INDEX('Disaggregation Records'!$E$156:$E$517,MATCH(RIGHT(L1015,255),RIGHT('Disaggregation Records'!$D$156:$D$517,255),0))),"")</f>
        <v/>
      </c>
      <c r="N1015" s="126" t="str">
        <f t="array" aca="1" ref="N1015" ca="1">IFERROR(IF(INDEX('Disaggregation Records'!$F$156:$F$517,MATCH(RIGHT(L1015,255),RIGHT('Disaggregation Records'!$D$156:$D$517,255),0))="","",INDEX('Disaggregation Records'!$F$156:$F$517,MATCH(RIGHT(L1015,255),RIGHT('Disaggregation Records'!$D$156:$D$517,255),0))),"")</f>
        <v/>
      </c>
      <c r="O1015" s="314" t="str">
        <f t="array" aca="1" ref="O1015" ca="1">IFERROR(IF(INDEX('Disaggregation Records'!$H$156:$H$517,MATCH(RIGHT(L1015,255),RIGHT('Disaggregation Records'!$D$156:$D$517,255),0))="","",INDEX('Disaggregation Records'!$H$156:$H$517,MATCH(RIGHT(L1015,255),RIGHT('Disaggregation Records'!$D$156:$D$517,255),0))),"")</f>
        <v/>
      </c>
      <c r="P1015" s="310"/>
      <c r="Q1015" s="310">
        <f t="shared" ref="Q1015" si="1196">Q1013+1</f>
        <v>1809</v>
      </c>
      <c r="R1015" s="314" t="str" cm="1">
        <f t="array" aca="1" ref="R1015" ca="1">IFERROR(IF(INDEX('Disaggregation Records'!$G$156:$G$517,MATCH(RIGHT(L1015,255),RIGHT('Disaggregation Records'!$D$156:$D$517,255),0))="","",INDEX('Disaggregation Records'!$G$156:$G$517,MATCH(RIGHT(L1015,255),RIGHT('Disaggregation Records'!$D$156:$D$517,255),0))),"")</f>
        <v/>
      </c>
    </row>
    <row r="1016" spans="1:18" ht="20.100000000000001" customHeight="1">
      <c r="B1016" s="571"/>
      <c r="C1016" s="573"/>
      <c r="D1016" s="575"/>
      <c r="E1016" s="575"/>
      <c r="F1016" s="128"/>
      <c r="G1016" s="577"/>
      <c r="H1016" s="540"/>
      <c r="I1016" s="579"/>
      <c r="J1016" s="533"/>
      <c r="L1016" s="126"/>
      <c r="N1016" s="126"/>
      <c r="O1016" s="314"/>
      <c r="P1016" s="310"/>
      <c r="Q1016" s="310"/>
      <c r="R1016" s="314" t="str" cm="1">
        <f t="array" ref="R1016">IFERROR(IF(INDEX('Disaggregation Records'!$G$156:$G$517,MATCH(RIGHT(L1016,255),RIGHT('Disaggregation Records'!$D$156:$D$517,255),0))="","",INDEX('Disaggregation Records'!$G$156:$G$517,MATCH(RIGHT(L1016,255),RIGHT('Disaggregation Records'!$D$156:$D$517,255),0))),"")</f>
        <v/>
      </c>
    </row>
    <row r="1017" spans="1:18" ht="20.100000000000001" customHeight="1">
      <c r="A1017" s="126" t="str">
        <f t="shared" ca="1" si="1187"/>
        <v>a16Dm000000M3tNIAS</v>
      </c>
      <c r="B1017" s="570">
        <v>10</v>
      </c>
      <c r="C1017" s="572" t="str">
        <f ca="1">IFERROR(VLOOKUP(B1017,'Coverage Indicators - Section D'!$A$9:$AO$94,41,FALSE),"")</f>
        <v>TB/HIV-6 Percentage of HIV-positive new and relapse TB patients on ART during TB treatment</v>
      </c>
      <c r="D1017" s="574" t="str">
        <f ca="1">M1017</f>
        <v/>
      </c>
      <c r="E1017" s="574" t="str">
        <f ca="1">N1017</f>
        <v/>
      </c>
      <c r="F1017" s="127"/>
      <c r="G1017" s="576" t="str">
        <f ca="1">IF(OR(INDIRECT("'update Helper'!E"&amp;Q1017)="",F1017&lt;&gt;0,F1018&lt;&gt;0),IF(IFERROR((F1017/F1018),"")="","",(F1017/F1018)),INDIRECT("'update Helper'!E"&amp;Q1017)/100)</f>
        <v/>
      </c>
      <c r="H1017" s="539"/>
      <c r="I1017" s="578"/>
      <c r="J1017" s="532"/>
      <c r="K1017" s="126">
        <f ca="1">IF(AND(EXACT(C1017,C1015),C1015&lt;&gt;0),K1015+1,0)</f>
        <v>18</v>
      </c>
      <c r="L1017" s="126" t="str">
        <f t="shared" ref="L1017" ca="1" si="1197">IF(C1017&lt;&gt;"",C1017&amp;"-"&amp;K1017,"")</f>
        <v>TB/HIV-6 Percentage of HIV-positive new and relapse TB patients on ART during TB treatment-18</v>
      </c>
      <c r="M1017" s="126" t="str">
        <f t="array" aca="1" ref="M1017" ca="1">IFERROR(IF(INDEX('Disaggregation Records'!$E$156:$E$517,MATCH(RIGHT(L1017,255),RIGHT('Disaggregation Records'!$D$156:$D$517,255),0))="","",INDEX('Disaggregation Records'!$E$156:$E$517,MATCH(RIGHT(L1017,255),RIGHT('Disaggregation Records'!$D$156:$D$517,255),0))),"")</f>
        <v/>
      </c>
      <c r="N1017" s="126" t="str">
        <f t="array" aca="1" ref="N1017" ca="1">IFERROR(IF(INDEX('Disaggregation Records'!$F$156:$F$517,MATCH(RIGHT(L1017,255),RIGHT('Disaggregation Records'!$D$156:$D$517,255),0))="","",INDEX('Disaggregation Records'!$F$156:$F$517,MATCH(RIGHT(L1017,255),RIGHT('Disaggregation Records'!$D$156:$D$517,255),0))),"")</f>
        <v/>
      </c>
      <c r="O1017" s="314" t="str">
        <f t="array" aca="1" ref="O1017" ca="1">IFERROR(IF(INDEX('Disaggregation Records'!$H$156:$H$517,MATCH(RIGHT(L1017,255),RIGHT('Disaggregation Records'!$D$156:$D$517,255),0))="","",INDEX('Disaggregation Records'!$H$156:$H$517,MATCH(RIGHT(L1017,255),RIGHT('Disaggregation Records'!$D$156:$D$517,255),0))),"")</f>
        <v/>
      </c>
      <c r="P1017" s="310"/>
      <c r="Q1017" s="310">
        <f t="shared" ref="Q1017" si="1198">Q1015+1</f>
        <v>1810</v>
      </c>
      <c r="R1017" s="314" t="str" cm="1">
        <f t="array" aca="1" ref="R1017" ca="1">IFERROR(IF(INDEX('Disaggregation Records'!$G$156:$G$517,MATCH(RIGHT(L1017,255),RIGHT('Disaggregation Records'!$D$156:$D$517,255),0))="","",INDEX('Disaggregation Records'!$G$156:$G$517,MATCH(RIGHT(L1017,255),RIGHT('Disaggregation Records'!$D$156:$D$517,255),0))),"")</f>
        <v/>
      </c>
    </row>
    <row r="1018" spans="1:18" ht="20.100000000000001" customHeight="1">
      <c r="A1018" s="126"/>
      <c r="B1018" s="571"/>
      <c r="C1018" s="573"/>
      <c r="D1018" s="575"/>
      <c r="E1018" s="575"/>
      <c r="F1018" s="128"/>
      <c r="G1018" s="577"/>
      <c r="H1018" s="540"/>
      <c r="I1018" s="579"/>
      <c r="J1018" s="533"/>
      <c r="L1018" s="126"/>
      <c r="N1018" s="126"/>
      <c r="O1018" s="314"/>
      <c r="P1018" s="310"/>
      <c r="Q1018" s="310"/>
      <c r="R1018" s="314" t="str" cm="1">
        <f t="array" ref="R1018">IFERROR(IF(INDEX('Disaggregation Records'!$G$156:$G$517,MATCH(RIGHT(L1018,255),RIGHT('Disaggregation Records'!$D$156:$D$517,255),0))="","",INDEX('Disaggregation Records'!$G$156:$G$517,MATCH(RIGHT(L1018,255),RIGHT('Disaggregation Records'!$D$156:$D$517,255),0))),"")</f>
        <v/>
      </c>
    </row>
    <row r="1019" spans="1:18" ht="20.100000000000001" customHeight="1">
      <c r="A1019" s="126" t="str">
        <f t="shared" ca="1" si="1190"/>
        <v>a16Dm000000M3tOIAS</v>
      </c>
      <c r="B1019" s="570">
        <v>10</v>
      </c>
      <c r="C1019" s="572" t="str">
        <f ca="1">IFERROR(VLOOKUP(B1019,'Coverage Indicators - Section D'!$A$9:$AO$94,41,FALSE),"")</f>
        <v>TB/HIV-6 Percentage of HIV-positive new and relapse TB patients on ART during TB treatment</v>
      </c>
      <c r="D1019" s="574" t="str">
        <f ca="1">M1019</f>
        <v/>
      </c>
      <c r="E1019" s="574" t="str">
        <f ca="1">N1019</f>
        <v/>
      </c>
      <c r="F1019" s="127"/>
      <c r="G1019" s="576" t="str">
        <f ca="1">IF(OR(INDIRECT("'update Helper'!E"&amp;Q1019)="",F1019&lt;&gt;0,F1020&lt;&gt;0),IF(IFERROR((F1019/F1020),"")="","",(F1019/F1020)),INDIRECT("'update Helper'!E"&amp;Q1019)/100)</f>
        <v/>
      </c>
      <c r="H1019" s="539"/>
      <c r="I1019" s="578"/>
      <c r="J1019" s="532"/>
      <c r="K1019" s="126">
        <f ca="1">IF(AND(EXACT(C1019,C1017),C1017&lt;&gt;0),K1017+1,0)</f>
        <v>19</v>
      </c>
      <c r="L1019" s="126" t="str">
        <f t="shared" ref="L1019" ca="1" si="1199">IF(C1019&lt;&gt;"",C1019&amp;"-"&amp;K1019,"")</f>
        <v>TB/HIV-6 Percentage of HIV-positive new and relapse TB patients on ART during TB treatment-19</v>
      </c>
      <c r="M1019" s="126" t="str">
        <f t="array" aca="1" ref="M1019" ca="1">IFERROR(IF(INDEX('Disaggregation Records'!$E$156:$E$517,MATCH(RIGHT(L1019,255),RIGHT('Disaggregation Records'!$D$156:$D$517,255),0))="","",INDEX('Disaggregation Records'!$E$156:$E$517,MATCH(RIGHT(L1019,255),RIGHT('Disaggregation Records'!$D$156:$D$517,255),0))),"")</f>
        <v/>
      </c>
      <c r="N1019" s="126" t="str">
        <f t="array" aca="1" ref="N1019" ca="1">IFERROR(IF(INDEX('Disaggregation Records'!$F$156:$F$517,MATCH(RIGHT(L1019,255),RIGHT('Disaggregation Records'!$D$156:$D$517,255),0))="","",INDEX('Disaggregation Records'!$F$156:$F$517,MATCH(RIGHT(L1019,255),RIGHT('Disaggregation Records'!$D$156:$D$517,255),0))),"")</f>
        <v/>
      </c>
      <c r="O1019" s="314" t="str">
        <f t="array" aca="1" ref="O1019" ca="1">IFERROR(IF(INDEX('Disaggregation Records'!$H$156:$H$517,MATCH(RIGHT(L1019,255),RIGHT('Disaggregation Records'!$D$156:$D$517,255),0))="","",INDEX('Disaggregation Records'!$H$156:$H$517,MATCH(RIGHT(L1019,255),RIGHT('Disaggregation Records'!$D$156:$D$517,255),0))),"")</f>
        <v/>
      </c>
      <c r="P1019" s="310"/>
      <c r="Q1019" s="310">
        <f t="shared" ref="Q1019" si="1200">Q1017+1</f>
        <v>1811</v>
      </c>
      <c r="R1019" s="314" t="str" cm="1">
        <f t="array" aca="1" ref="R1019" ca="1">IFERROR(IF(INDEX('Disaggregation Records'!$G$156:$G$517,MATCH(RIGHT(L1019,255),RIGHT('Disaggregation Records'!$D$156:$D$517,255),0))="","",INDEX('Disaggregation Records'!$G$156:$G$517,MATCH(RIGHT(L1019,255),RIGHT('Disaggregation Records'!$D$156:$D$517,255),0))),"")</f>
        <v/>
      </c>
    </row>
    <row r="1020" spans="1:18" ht="20.100000000000001" customHeight="1">
      <c r="B1020" s="571"/>
      <c r="C1020" s="573"/>
      <c r="D1020" s="575"/>
      <c r="E1020" s="575"/>
      <c r="F1020" s="128"/>
      <c r="G1020" s="577"/>
      <c r="H1020" s="540"/>
      <c r="I1020" s="579"/>
      <c r="J1020" s="533"/>
      <c r="L1020" s="126"/>
      <c r="N1020" s="126"/>
      <c r="O1020" s="314"/>
      <c r="P1020" s="310"/>
      <c r="Q1020" s="310"/>
      <c r="R1020" s="314" t="str" cm="1">
        <f t="array" ref="R1020">IFERROR(IF(INDEX('Disaggregation Records'!$G$156:$G$517,MATCH(RIGHT(L1020,255),RIGHT('Disaggregation Records'!$D$156:$D$517,255),0))="","",INDEX('Disaggregation Records'!$G$156:$G$517,MATCH(RIGHT(L1020,255),RIGHT('Disaggregation Records'!$D$156:$D$517,255),0))),"")</f>
        <v/>
      </c>
    </row>
    <row r="1021" spans="1:18" ht="20.100000000000001" customHeight="1">
      <c r="A1021" s="126" t="str">
        <f t="shared" ca="1" si="1187"/>
        <v>a16Dm000000M3tPIAS</v>
      </c>
      <c r="B1021" s="570">
        <v>11</v>
      </c>
      <c r="C1021" s="572" t="str">
        <f ca="1">IFERROR(VLOOKUP(B1021,'Coverage Indicators - Section D'!$A$9:$AO$94,41,FALSE),"")</f>
        <v>DRTB-9 Treatment success rate of RR-TB and/or MDR-TB: Percentage of patients with RR and/or MDR-TB successfully treated</v>
      </c>
      <c r="D1021" s="574" t="str">
        <f ca="1">M1021</f>
        <v>Age</v>
      </c>
      <c r="E1021" s="574" t="str">
        <f ca="1">N1021</f>
        <v>15+</v>
      </c>
      <c r="F1021" s="127"/>
      <c r="G1021" s="576" t="str">
        <f ca="1">IF(OR(INDIRECT("'update Helper'!E"&amp;Q1021)="",F1021&lt;&gt;0,F1022&lt;&gt;0),IF(IFERROR((F1021/F1022),"")="","",(F1021/F1022)),INDIRECT("'update Helper'!E"&amp;Q1021)/100)</f>
        <v/>
      </c>
      <c r="H1021" s="539"/>
      <c r="I1021" s="578"/>
      <c r="J1021" s="532"/>
      <c r="K1021" s="126">
        <f ca="1">IF(AND(EXACT(C1021,C1019),C1019&lt;&gt;0),K1019+1,0)</f>
        <v>0</v>
      </c>
      <c r="L1021" s="126" t="str">
        <f t="shared" ref="L1021" ca="1" si="1201">IF(C1021&lt;&gt;"",C1021&amp;"-"&amp;K1021,"")</f>
        <v>DRTB-9 Treatment success rate of RR-TB and/or MDR-TB: Percentage of patients with RR and/or MDR-TB successfully treated-0</v>
      </c>
      <c r="M1021" s="126" t="str">
        <f t="array" aca="1" ref="M1021" ca="1">IFERROR(IF(INDEX('Disaggregation Records'!$E$156:$E$517,MATCH(RIGHT(L1021,255),RIGHT('Disaggregation Records'!$D$156:$D$517,255),0))="","",INDEX('Disaggregation Records'!$E$156:$E$517,MATCH(RIGHT(L1021,255),RIGHT('Disaggregation Records'!$D$156:$D$517,255),0))),"")</f>
        <v>Age</v>
      </c>
      <c r="N1021" s="126" t="str">
        <f t="array" aca="1" ref="N1021" ca="1">IFERROR(IF(INDEX('Disaggregation Records'!$F$156:$F$517,MATCH(RIGHT(L1021,255),RIGHT('Disaggregation Records'!$D$156:$D$517,255),0))="","",INDEX('Disaggregation Records'!$F$156:$F$517,MATCH(RIGHT(L1021,255),RIGHT('Disaggregation Records'!$D$156:$D$517,255),0))),"")</f>
        <v>15+</v>
      </c>
      <c r="O1021" s="314" t="str">
        <f t="array" aca="1" ref="O1021" ca="1">IFERROR(IF(INDEX('Disaggregation Records'!$H$156:$H$517,MATCH(RIGHT(L1021,255),RIGHT('Disaggregation Records'!$D$156:$D$517,255),0))="","",INDEX('Disaggregation Records'!$H$156:$H$517,MATCH(RIGHT(L1021,255),RIGHT('Disaggregation Records'!$D$156:$D$517,255),0))),"")</f>
        <v>IDR-01395</v>
      </c>
      <c r="P1021" s="314"/>
      <c r="Q1021" s="310">
        <f t="shared" ref="Q1021" si="1202">Q1019+1</f>
        <v>1812</v>
      </c>
      <c r="R1021" s="314" t="str" cm="1">
        <f t="array" aca="1" ref="R1021" ca="1">IFERROR(IF(INDEX('Disaggregation Records'!$G$156:$G$517,MATCH(RIGHT(L1021,255),RIGHT('Disaggregation Records'!$D$156:$D$517,255),0))="","",INDEX('Disaggregation Records'!$G$156:$G$517,MATCH(RIGHT(L1021,255),RIGHT('Disaggregation Records'!$D$156:$D$517,255),0))),"")</f>
        <v>a1LDm000000Cb5FMAS</v>
      </c>
    </row>
    <row r="1022" spans="1:18" ht="20.100000000000001" customHeight="1">
      <c r="A1022" s="126"/>
      <c r="B1022" s="571"/>
      <c r="C1022" s="573"/>
      <c r="D1022" s="575"/>
      <c r="E1022" s="575"/>
      <c r="F1022" s="128"/>
      <c r="G1022" s="577"/>
      <c r="H1022" s="540"/>
      <c r="I1022" s="579"/>
      <c r="J1022" s="533"/>
      <c r="K1022" s="126"/>
      <c r="L1022" s="126"/>
      <c r="M1022" s="126"/>
      <c r="N1022" s="126"/>
      <c r="O1022" s="314"/>
      <c r="P1022" s="314"/>
      <c r="Q1022" s="310"/>
      <c r="R1022" s="314" t="str" cm="1">
        <f t="array" ref="R1022">IFERROR(IF(INDEX('Disaggregation Records'!$G$156:$G$517,MATCH(RIGHT(L1022,255),RIGHT('Disaggregation Records'!$D$156:$D$517,255),0))="","",INDEX('Disaggregation Records'!$G$156:$G$517,MATCH(RIGHT(L1022,255),RIGHT('Disaggregation Records'!$D$156:$D$517,255),0))),"")</f>
        <v/>
      </c>
    </row>
    <row r="1023" spans="1:18" ht="20.100000000000001" customHeight="1">
      <c r="A1023" s="126" t="str">
        <f t="shared" ca="1" si="1190"/>
        <v>a16Dm000000M3tQIAS</v>
      </c>
      <c r="B1023" s="570">
        <v>11</v>
      </c>
      <c r="C1023" s="572" t="str">
        <f ca="1">IFERROR(VLOOKUP(B1023,'Coverage Indicators - Section D'!$A$9:$AO$94,41,FALSE),"")</f>
        <v>DRTB-9 Treatment success rate of RR-TB and/or MDR-TB: Percentage of patients with RR and/or MDR-TB successfully treated</v>
      </c>
      <c r="D1023" s="574" t="str">
        <f ca="1">M1023</f>
        <v>Age</v>
      </c>
      <c r="E1023" s="574" t="str">
        <f ca="1">N1023</f>
        <v>&lt;15</v>
      </c>
      <c r="F1023" s="127"/>
      <c r="G1023" s="576" t="str">
        <f ca="1">IF(OR(INDIRECT("'update Helper'!E"&amp;Q1023)="",F1023&lt;&gt;0,F1024&lt;&gt;0),IF(IFERROR((F1023/F1024),"")="","",(F1023/F1024)),INDIRECT("'update Helper'!E"&amp;Q1023)/100)</f>
        <v/>
      </c>
      <c r="H1023" s="539"/>
      <c r="I1023" s="578"/>
      <c r="J1023" s="532"/>
      <c r="K1023" s="126">
        <f ca="1">IF(AND(EXACT(C1023,C1021),C1021&lt;&gt;0),K1021+1,0)</f>
        <v>1</v>
      </c>
      <c r="L1023" s="126" t="str">
        <f t="shared" ref="L1023" ca="1" si="1203">IF(C1023&lt;&gt;"",C1023&amp;"-"&amp;K1023,"")</f>
        <v>DRTB-9 Treatment success rate of RR-TB and/or MDR-TB: Percentage of patients with RR and/or MDR-TB successfully treated-1</v>
      </c>
      <c r="M1023" s="126" t="str">
        <f t="array" aca="1" ref="M1023" ca="1">IFERROR(IF(INDEX('Disaggregation Records'!$E$156:$E$517,MATCH(RIGHT(L1023,255),RIGHT('Disaggregation Records'!$D$156:$D$517,255),0))="","",INDEX('Disaggregation Records'!$E$156:$E$517,MATCH(RIGHT(L1023,255),RIGHT('Disaggregation Records'!$D$156:$D$517,255),0))),"")</f>
        <v>Age</v>
      </c>
      <c r="N1023" s="126" t="str">
        <f t="array" aca="1" ref="N1023" ca="1">IFERROR(IF(INDEX('Disaggregation Records'!$F$156:$F$517,MATCH(RIGHT(L1023,255),RIGHT('Disaggregation Records'!$D$156:$D$517,255),0))="","",INDEX('Disaggregation Records'!$F$156:$F$517,MATCH(RIGHT(L1023,255),RIGHT('Disaggregation Records'!$D$156:$D$517,255),0))),"")</f>
        <v>&lt;15</v>
      </c>
      <c r="O1023" s="314" t="str">
        <f t="array" aca="1" ref="O1023" ca="1">IFERROR(IF(INDEX('Disaggregation Records'!$H$156:$H$517,MATCH(RIGHT(L1023,255),RIGHT('Disaggregation Records'!$D$156:$D$517,255),0))="","",INDEX('Disaggregation Records'!$H$156:$H$517,MATCH(RIGHT(L1023,255),RIGHT('Disaggregation Records'!$D$156:$D$517,255),0))),"")</f>
        <v>IDR-01394</v>
      </c>
      <c r="P1023" s="314"/>
      <c r="Q1023" s="310">
        <f t="shared" ref="Q1023" si="1204">Q1021+1</f>
        <v>1813</v>
      </c>
      <c r="R1023" s="314" t="str" cm="1">
        <f t="array" aca="1" ref="R1023" ca="1">IFERROR(IF(INDEX('Disaggregation Records'!$G$156:$G$517,MATCH(RIGHT(L1023,255),RIGHT('Disaggregation Records'!$D$156:$D$517,255),0))="","",INDEX('Disaggregation Records'!$G$156:$G$517,MATCH(RIGHT(L1023,255),RIGHT('Disaggregation Records'!$D$156:$D$517,255),0))),"")</f>
        <v>a1LDm000000Cb5EMAS</v>
      </c>
    </row>
    <row r="1024" spans="1:18" ht="20.100000000000001" customHeight="1">
      <c r="B1024" s="571"/>
      <c r="C1024" s="573"/>
      <c r="D1024" s="575"/>
      <c r="E1024" s="575"/>
      <c r="F1024" s="128"/>
      <c r="G1024" s="577"/>
      <c r="H1024" s="540"/>
      <c r="I1024" s="579"/>
      <c r="J1024" s="533"/>
      <c r="K1024" s="126"/>
      <c r="L1024" s="126"/>
      <c r="M1024" s="126"/>
      <c r="N1024" s="126"/>
      <c r="O1024" s="314"/>
      <c r="P1024" s="314"/>
      <c r="Q1024" s="310"/>
      <c r="R1024" s="314" t="str" cm="1">
        <f t="array" ref="R1024">IFERROR(IF(INDEX('Disaggregation Records'!$G$156:$G$517,MATCH(RIGHT(L1024,255),RIGHT('Disaggregation Records'!$D$156:$D$517,255),0))="","",INDEX('Disaggregation Records'!$G$156:$G$517,MATCH(RIGHT(L1024,255),RIGHT('Disaggregation Records'!$D$156:$D$517,255),0))),"")</f>
        <v/>
      </c>
    </row>
    <row r="1025" spans="1:18" ht="20.100000000000001" customHeight="1">
      <c r="A1025" s="126" t="str">
        <f t="shared" ca="1" si="1187"/>
        <v>a16Dm000000M3tRIAS</v>
      </c>
      <c r="B1025" s="570">
        <v>11</v>
      </c>
      <c r="C1025" s="572" t="str">
        <f ca="1">IFERROR(VLOOKUP(B1025,'Coverage Indicators - Section D'!$A$9:$AO$94,41,FALSE),"")</f>
        <v>DRTB-9 Treatment success rate of RR-TB and/or MDR-TB: Percentage of patients with RR and/or MDR-TB successfully treated</v>
      </c>
      <c r="D1025" s="574" t="str">
        <f ca="1">M1025</f>
        <v>HIV status</v>
      </c>
      <c r="E1025" s="574" t="str">
        <f ca="1">N1025</f>
        <v>Unknown</v>
      </c>
      <c r="F1025" s="127"/>
      <c r="G1025" s="576" t="str">
        <f ca="1">IF(OR(INDIRECT("'update Helper'!E"&amp;Q1025)="",F1025&lt;&gt;0,F1026&lt;&gt;0),IF(IFERROR((F1025/F1026),"")="","",(F1025/F1026)),INDIRECT("'update Helper'!E"&amp;Q1025)/100)</f>
        <v/>
      </c>
      <c r="H1025" s="539"/>
      <c r="I1025" s="578"/>
      <c r="J1025" s="532"/>
      <c r="K1025" s="126">
        <f ca="1">IF(AND(EXACT(C1025,C1023),C1023&lt;&gt;0),K1023+1,0)</f>
        <v>2</v>
      </c>
      <c r="L1025" s="126" t="str">
        <f t="shared" ref="L1025" ca="1" si="1205">IF(C1025&lt;&gt;"",C1025&amp;"-"&amp;K1025,"")</f>
        <v>DRTB-9 Treatment success rate of RR-TB and/or MDR-TB: Percentage of patients with RR and/or MDR-TB successfully treated-2</v>
      </c>
      <c r="M1025" s="126" t="str">
        <f t="array" aca="1" ref="M1025" ca="1">IFERROR(IF(INDEX('Disaggregation Records'!$E$156:$E$517,MATCH(RIGHT(L1025,255),RIGHT('Disaggregation Records'!$D$156:$D$517,255),0))="","",INDEX('Disaggregation Records'!$E$156:$E$517,MATCH(RIGHT(L1025,255),RIGHT('Disaggregation Records'!$D$156:$D$517,255),0))),"")</f>
        <v>HIV status</v>
      </c>
      <c r="N1025" s="126" t="str">
        <f t="array" aca="1" ref="N1025" ca="1">IFERROR(IF(INDEX('Disaggregation Records'!$F$156:$F$517,MATCH(RIGHT(L1025,255),RIGHT('Disaggregation Records'!$D$156:$D$517,255),0))="","",INDEX('Disaggregation Records'!$F$156:$F$517,MATCH(RIGHT(L1025,255),RIGHT('Disaggregation Records'!$D$156:$D$517,255),0))),"")</f>
        <v>Unknown</v>
      </c>
      <c r="O1025" s="314" t="str">
        <f t="array" aca="1" ref="O1025" ca="1">IFERROR(IF(INDEX('Disaggregation Records'!$H$156:$H$517,MATCH(RIGHT(L1025,255),RIGHT('Disaggregation Records'!$D$156:$D$517,255),0))="","",INDEX('Disaggregation Records'!$H$156:$H$517,MATCH(RIGHT(L1025,255),RIGHT('Disaggregation Records'!$D$156:$D$517,255),0))),"")</f>
        <v>IDR-01393</v>
      </c>
      <c r="P1025" s="310"/>
      <c r="Q1025" s="310">
        <f t="shared" ref="Q1025" si="1206">Q1023+1</f>
        <v>1814</v>
      </c>
      <c r="R1025" s="314" t="str" cm="1">
        <f t="array" aca="1" ref="R1025" ca="1">IFERROR(IF(INDEX('Disaggregation Records'!$G$156:$G$517,MATCH(RIGHT(L1025,255),RIGHT('Disaggregation Records'!$D$156:$D$517,255),0))="","",INDEX('Disaggregation Records'!$G$156:$G$517,MATCH(RIGHT(L1025,255),RIGHT('Disaggregation Records'!$D$156:$D$517,255),0))),"")</f>
        <v>a1LDm000000Cb5DMAS</v>
      </c>
    </row>
    <row r="1026" spans="1:18" ht="20.100000000000001" customHeight="1">
      <c r="A1026" s="126"/>
      <c r="B1026" s="571"/>
      <c r="C1026" s="573"/>
      <c r="D1026" s="575"/>
      <c r="E1026" s="575"/>
      <c r="F1026" s="128"/>
      <c r="G1026" s="577"/>
      <c r="H1026" s="540"/>
      <c r="I1026" s="579"/>
      <c r="J1026" s="533"/>
      <c r="L1026" s="126"/>
      <c r="N1026" s="126"/>
      <c r="O1026" s="314"/>
      <c r="P1026" s="310"/>
      <c r="Q1026" s="310"/>
      <c r="R1026" s="314" t="str" cm="1">
        <f t="array" ref="R1026">IFERROR(IF(INDEX('Disaggregation Records'!$G$156:$G$517,MATCH(RIGHT(L1026,255),RIGHT('Disaggregation Records'!$D$156:$D$517,255),0))="","",INDEX('Disaggregation Records'!$G$156:$G$517,MATCH(RIGHT(L1026,255),RIGHT('Disaggregation Records'!$D$156:$D$517,255),0))),"")</f>
        <v/>
      </c>
    </row>
    <row r="1027" spans="1:18" ht="20.100000000000001" customHeight="1">
      <c r="A1027" s="126" t="str">
        <f t="shared" ca="1" si="1190"/>
        <v>a16Dm000000M3tSIAS</v>
      </c>
      <c r="B1027" s="570">
        <v>11</v>
      </c>
      <c r="C1027" s="572" t="str">
        <f ca="1">IFERROR(VLOOKUP(B1027,'Coverage Indicators - Section D'!$A$9:$AO$94,41,FALSE),"")</f>
        <v>DRTB-9 Treatment success rate of RR-TB and/or MDR-TB: Percentage of patients with RR and/or MDR-TB successfully treated</v>
      </c>
      <c r="D1027" s="574" t="str">
        <f ca="1">M1027</f>
        <v>Treatment regimen</v>
      </c>
      <c r="E1027" s="574" t="str">
        <f ca="1">N1027</f>
        <v>Longer individualized</v>
      </c>
      <c r="F1027" s="127"/>
      <c r="G1027" s="576" t="str">
        <f ca="1">IF(OR(INDIRECT("'update Helper'!E"&amp;Q1027)="",F1027&lt;&gt;0,F1028&lt;&gt;0),IF(IFERROR((F1027/F1028),"")="","",(F1027/F1028)),INDIRECT("'update Helper'!E"&amp;Q1027)/100)</f>
        <v/>
      </c>
      <c r="H1027" s="539"/>
      <c r="I1027" s="578"/>
      <c r="J1027" s="532"/>
      <c r="K1027" s="126">
        <f ca="1">IF(AND(EXACT(C1027,C1025),C1025&lt;&gt;0),K1025+1,0)</f>
        <v>3</v>
      </c>
      <c r="L1027" s="126" t="str">
        <f t="shared" ref="L1027" ca="1" si="1207">IF(C1027&lt;&gt;"",C1027&amp;"-"&amp;K1027,"")</f>
        <v>DRTB-9 Treatment success rate of RR-TB and/or MDR-TB: Percentage of patients with RR and/or MDR-TB successfully treated-3</v>
      </c>
      <c r="M1027" s="126" t="str">
        <f t="array" aca="1" ref="M1027" ca="1">IFERROR(IF(INDEX('Disaggregation Records'!$E$156:$E$517,MATCH(RIGHT(L1027,255),RIGHT('Disaggregation Records'!$D$156:$D$517,255),0))="","",INDEX('Disaggregation Records'!$E$156:$E$517,MATCH(RIGHT(L1027,255),RIGHT('Disaggregation Records'!$D$156:$D$517,255),0))),"")</f>
        <v>Treatment regimen</v>
      </c>
      <c r="N1027" s="126" t="str">
        <f t="array" aca="1" ref="N1027" ca="1">IFERROR(IF(INDEX('Disaggregation Records'!$F$156:$F$517,MATCH(RIGHT(L1027,255),RIGHT('Disaggregation Records'!$D$156:$D$517,255),0))="","",INDEX('Disaggregation Records'!$F$156:$F$517,MATCH(RIGHT(L1027,255),RIGHT('Disaggregation Records'!$D$156:$D$517,255),0))),"")</f>
        <v>Longer individualized</v>
      </c>
      <c r="O1027" s="314" t="str">
        <f t="array" aca="1" ref="O1027" ca="1">IFERROR(IF(INDEX('Disaggregation Records'!$H$156:$H$517,MATCH(RIGHT(L1027,255),RIGHT('Disaggregation Records'!$D$156:$D$517,255),0))="","",INDEX('Disaggregation Records'!$H$156:$H$517,MATCH(RIGHT(L1027,255),RIGHT('Disaggregation Records'!$D$156:$D$517,255),0))),"")</f>
        <v>IDR-01392</v>
      </c>
      <c r="P1027" s="310"/>
      <c r="Q1027" s="310">
        <f t="shared" ref="Q1027" si="1208">Q1025+1</f>
        <v>1815</v>
      </c>
      <c r="R1027" s="314" t="str" cm="1">
        <f t="array" aca="1" ref="R1027" ca="1">IFERROR(IF(INDEX('Disaggregation Records'!$G$156:$G$517,MATCH(RIGHT(L1027,255),RIGHT('Disaggregation Records'!$D$156:$D$517,255),0))="","",INDEX('Disaggregation Records'!$G$156:$G$517,MATCH(RIGHT(L1027,255),RIGHT('Disaggregation Records'!$D$156:$D$517,255),0))),"")</f>
        <v>a1LDm000000Cb5CMAS</v>
      </c>
    </row>
    <row r="1028" spans="1:18" ht="20.100000000000001" customHeight="1">
      <c r="B1028" s="571"/>
      <c r="C1028" s="573"/>
      <c r="D1028" s="575"/>
      <c r="E1028" s="575"/>
      <c r="F1028" s="128"/>
      <c r="G1028" s="577"/>
      <c r="H1028" s="540"/>
      <c r="I1028" s="579"/>
      <c r="J1028" s="533"/>
      <c r="L1028" s="126"/>
      <c r="N1028" s="126"/>
      <c r="O1028" s="314"/>
      <c r="P1028" s="310"/>
      <c r="Q1028" s="310"/>
      <c r="R1028" s="314" t="str" cm="1">
        <f t="array" ref="R1028">IFERROR(IF(INDEX('Disaggregation Records'!$G$156:$G$517,MATCH(RIGHT(L1028,255),RIGHT('Disaggregation Records'!$D$156:$D$517,255),0))="","",INDEX('Disaggregation Records'!$G$156:$G$517,MATCH(RIGHT(L1028,255),RIGHT('Disaggregation Records'!$D$156:$D$517,255),0))),"")</f>
        <v/>
      </c>
    </row>
    <row r="1029" spans="1:18" ht="20.100000000000001" customHeight="1">
      <c r="A1029" s="126" t="str">
        <f t="shared" ca="1" si="1187"/>
        <v>a16Dm000000M3tTIAS</v>
      </c>
      <c r="B1029" s="570">
        <v>11</v>
      </c>
      <c r="C1029" s="572" t="str">
        <f ca="1">IFERROR(VLOOKUP(B1029,'Coverage Indicators - Section D'!$A$9:$AO$94,41,FALSE),"")</f>
        <v>DRTB-9 Treatment success rate of RR-TB and/or MDR-TB: Percentage of patients with RR and/or MDR-TB successfully treated</v>
      </c>
      <c r="D1029" s="574" t="str">
        <f ca="1">M1029</f>
        <v>HIV status</v>
      </c>
      <c r="E1029" s="574" t="str">
        <f ca="1">N1029</f>
        <v>Negative</v>
      </c>
      <c r="F1029" s="127"/>
      <c r="G1029" s="576" t="str">
        <f ca="1">IF(OR(INDIRECT("'update Helper'!E"&amp;Q1029)="",F1029&lt;&gt;0,F1030&lt;&gt;0),IF(IFERROR((F1029/F1030),"")="","",(F1029/F1030)),INDIRECT("'update Helper'!E"&amp;Q1029)/100)</f>
        <v/>
      </c>
      <c r="H1029" s="539"/>
      <c r="I1029" s="578"/>
      <c r="J1029" s="532"/>
      <c r="K1029" s="126">
        <f ca="1">IF(AND(EXACT(C1029,C1027),C1027&lt;&gt;0),K1027+1,0)</f>
        <v>4</v>
      </c>
      <c r="L1029" s="126" t="str">
        <f t="shared" ref="L1029" ca="1" si="1209">IF(C1029&lt;&gt;"",C1029&amp;"-"&amp;K1029,"")</f>
        <v>DRTB-9 Treatment success rate of RR-TB and/or MDR-TB: Percentage of patients with RR and/or MDR-TB successfully treated-4</v>
      </c>
      <c r="M1029" s="126" t="str">
        <f t="array" aca="1" ref="M1029" ca="1">IFERROR(IF(INDEX('Disaggregation Records'!$E$156:$E$517,MATCH(RIGHT(L1029,255),RIGHT('Disaggregation Records'!$D$156:$D$517,255),0))="","",INDEX('Disaggregation Records'!$E$156:$E$517,MATCH(RIGHT(L1029,255),RIGHT('Disaggregation Records'!$D$156:$D$517,255),0))),"")</f>
        <v>HIV status</v>
      </c>
      <c r="N1029" s="126" t="str">
        <f t="array" aca="1" ref="N1029" ca="1">IFERROR(IF(INDEX('Disaggregation Records'!$F$156:$F$517,MATCH(RIGHT(L1029,255),RIGHT('Disaggregation Records'!$D$156:$D$517,255),0))="","",INDEX('Disaggregation Records'!$F$156:$F$517,MATCH(RIGHT(L1029,255),RIGHT('Disaggregation Records'!$D$156:$D$517,255),0))),"")</f>
        <v>Negative</v>
      </c>
      <c r="O1029" s="314" t="str">
        <f t="array" aca="1" ref="O1029" ca="1">IFERROR(IF(INDEX('Disaggregation Records'!$H$156:$H$517,MATCH(RIGHT(L1029,255),RIGHT('Disaggregation Records'!$D$156:$D$517,255),0))="","",INDEX('Disaggregation Records'!$H$156:$H$517,MATCH(RIGHT(L1029,255),RIGHT('Disaggregation Records'!$D$156:$D$517,255),0))),"")</f>
        <v>IDR-01391</v>
      </c>
      <c r="P1029" s="310"/>
      <c r="Q1029" s="310">
        <f t="shared" ref="Q1029" si="1210">Q1027+1</f>
        <v>1816</v>
      </c>
      <c r="R1029" s="314" t="str" cm="1">
        <f t="array" aca="1" ref="R1029" ca="1">IFERROR(IF(INDEX('Disaggregation Records'!$G$156:$G$517,MATCH(RIGHT(L1029,255),RIGHT('Disaggregation Records'!$D$156:$D$517,255),0))="","",INDEX('Disaggregation Records'!$G$156:$G$517,MATCH(RIGHT(L1029,255),RIGHT('Disaggregation Records'!$D$156:$D$517,255),0))),"")</f>
        <v>a1LDm000000Cb5BMAS</v>
      </c>
    </row>
    <row r="1030" spans="1:18" ht="20.100000000000001" customHeight="1">
      <c r="A1030" s="126"/>
      <c r="B1030" s="571"/>
      <c r="C1030" s="573"/>
      <c r="D1030" s="575"/>
      <c r="E1030" s="575"/>
      <c r="F1030" s="128"/>
      <c r="G1030" s="577"/>
      <c r="H1030" s="540"/>
      <c r="I1030" s="579"/>
      <c r="J1030" s="533"/>
      <c r="L1030" s="126"/>
      <c r="N1030" s="126"/>
      <c r="O1030" s="314"/>
      <c r="P1030" s="310"/>
      <c r="Q1030" s="310"/>
      <c r="R1030" s="314" t="str" cm="1">
        <f t="array" ref="R1030">IFERROR(IF(INDEX('Disaggregation Records'!$G$156:$G$517,MATCH(RIGHT(L1030,255),RIGHT('Disaggregation Records'!$D$156:$D$517,255),0))="","",INDEX('Disaggregation Records'!$G$156:$G$517,MATCH(RIGHT(L1030,255),RIGHT('Disaggregation Records'!$D$156:$D$517,255),0))),"")</f>
        <v/>
      </c>
    </row>
    <row r="1031" spans="1:18" ht="20.100000000000001" customHeight="1">
      <c r="A1031" s="126" t="str">
        <f t="shared" ca="1" si="1190"/>
        <v>a16Dm000000M3tUIAS</v>
      </c>
      <c r="B1031" s="570">
        <v>11</v>
      </c>
      <c r="C1031" s="572" t="str">
        <f ca="1">IFERROR(VLOOKUP(B1031,'Coverage Indicators - Section D'!$A$9:$AO$94,41,FALSE),"")</f>
        <v>DRTB-9 Treatment success rate of RR-TB and/or MDR-TB: Percentage of patients with RR and/or MDR-TB successfully treated</v>
      </c>
      <c r="D1031" s="574" t="str">
        <f ca="1">M1031</f>
        <v>Gender</v>
      </c>
      <c r="E1031" s="574" t="str">
        <f ca="1">N1031</f>
        <v>Male</v>
      </c>
      <c r="F1031" s="127"/>
      <c r="G1031" s="576" t="str">
        <f ca="1">IF(OR(INDIRECT("'update Helper'!E"&amp;Q1031)="",F1031&lt;&gt;0,F1032&lt;&gt;0),IF(IFERROR((F1031/F1032),"")="","",(F1031/F1032)),INDIRECT("'update Helper'!E"&amp;Q1031)/100)</f>
        <v/>
      </c>
      <c r="H1031" s="539"/>
      <c r="I1031" s="578"/>
      <c r="J1031" s="532"/>
      <c r="K1031" s="126">
        <f ca="1">IF(AND(EXACT(C1031,C1029),C1029&lt;&gt;0),K1029+1,0)</f>
        <v>5</v>
      </c>
      <c r="L1031" s="126" t="str">
        <f t="shared" ref="L1031" ca="1" si="1211">IF(C1031&lt;&gt;"",C1031&amp;"-"&amp;K1031,"")</f>
        <v>DRTB-9 Treatment success rate of RR-TB and/or MDR-TB: Percentage of patients with RR and/or MDR-TB successfully treated-5</v>
      </c>
      <c r="M1031" s="126" t="str">
        <f t="array" aca="1" ref="M1031" ca="1">IFERROR(IF(INDEX('Disaggregation Records'!$E$156:$E$517,MATCH(RIGHT(L1031,255),RIGHT('Disaggregation Records'!$D$156:$D$517,255),0))="","",INDEX('Disaggregation Records'!$E$156:$E$517,MATCH(RIGHT(L1031,255),RIGHT('Disaggregation Records'!$D$156:$D$517,255),0))),"")</f>
        <v>Gender</v>
      </c>
      <c r="N1031" s="126" t="str">
        <f t="array" aca="1" ref="N1031" ca="1">IFERROR(IF(INDEX('Disaggregation Records'!$F$156:$F$517,MATCH(RIGHT(L1031,255),RIGHT('Disaggregation Records'!$D$156:$D$517,255),0))="","",INDEX('Disaggregation Records'!$F$156:$F$517,MATCH(RIGHT(L1031,255),RIGHT('Disaggregation Records'!$D$156:$D$517,255),0))),"")</f>
        <v>Male</v>
      </c>
      <c r="O1031" s="314" t="str">
        <f t="array" aca="1" ref="O1031" ca="1">IFERROR(IF(INDEX('Disaggregation Records'!$H$156:$H$517,MATCH(RIGHT(L1031,255),RIGHT('Disaggregation Records'!$D$156:$D$517,255),0))="","",INDEX('Disaggregation Records'!$H$156:$H$517,MATCH(RIGHT(L1031,255),RIGHT('Disaggregation Records'!$D$156:$D$517,255),0))),"")</f>
        <v>IDR-01390</v>
      </c>
      <c r="P1031" s="314"/>
      <c r="Q1031" s="310">
        <f t="shared" ref="Q1031" si="1212">Q1029+1</f>
        <v>1817</v>
      </c>
      <c r="R1031" s="314" t="str" cm="1">
        <f t="array" aca="1" ref="R1031" ca="1">IFERROR(IF(INDEX('Disaggregation Records'!$G$156:$G$517,MATCH(RIGHT(L1031,255),RIGHT('Disaggregation Records'!$D$156:$D$517,255),0))="","",INDEX('Disaggregation Records'!$G$156:$G$517,MATCH(RIGHT(L1031,255),RIGHT('Disaggregation Records'!$D$156:$D$517,255),0))),"")</f>
        <v>a1LDm000000Cb5AMAS</v>
      </c>
    </row>
    <row r="1032" spans="1:18" ht="20.100000000000001" customHeight="1">
      <c r="B1032" s="571"/>
      <c r="C1032" s="573"/>
      <c r="D1032" s="575"/>
      <c r="E1032" s="575"/>
      <c r="F1032" s="128"/>
      <c r="G1032" s="577"/>
      <c r="H1032" s="540"/>
      <c r="I1032" s="579"/>
      <c r="J1032" s="533"/>
      <c r="K1032" s="126"/>
      <c r="L1032" s="126"/>
      <c r="M1032" s="126"/>
      <c r="N1032" s="126"/>
      <c r="O1032" s="314"/>
      <c r="P1032" s="314"/>
      <c r="Q1032" s="310"/>
      <c r="R1032" s="314" t="str" cm="1">
        <f t="array" ref="R1032">IFERROR(IF(INDEX('Disaggregation Records'!$G$156:$G$517,MATCH(RIGHT(L1032,255),RIGHT('Disaggregation Records'!$D$156:$D$517,255),0))="","",INDEX('Disaggregation Records'!$G$156:$G$517,MATCH(RIGHT(L1032,255),RIGHT('Disaggregation Records'!$D$156:$D$517,255),0))),"")</f>
        <v/>
      </c>
    </row>
    <row r="1033" spans="1:18" ht="20.100000000000001" customHeight="1">
      <c r="A1033" s="126" t="str">
        <f t="shared" ca="1" si="1187"/>
        <v>a16Dm000000M3tVIAS</v>
      </c>
      <c r="B1033" s="570">
        <v>11</v>
      </c>
      <c r="C1033" s="572" t="str">
        <f ca="1">IFERROR(VLOOKUP(B1033,'Coverage Indicators - Section D'!$A$9:$AO$94,41,FALSE),"")</f>
        <v>DRTB-9 Treatment success rate of RR-TB and/or MDR-TB: Percentage of patients with RR and/or MDR-TB successfully treated</v>
      </c>
      <c r="D1033" s="574" t="str">
        <f ca="1">M1033</f>
        <v>Provider type</v>
      </c>
      <c r="E1033" s="574" t="str">
        <f ca="1">N1033</f>
        <v>Private</v>
      </c>
      <c r="F1033" s="127"/>
      <c r="G1033" s="576" t="str">
        <f ca="1">IF(OR(INDIRECT("'update Helper'!E"&amp;Q1033)="",F1033&lt;&gt;0,F1034&lt;&gt;0),IF(IFERROR((F1033/F1034),"")="","",(F1033/F1034)),INDIRECT("'update Helper'!E"&amp;Q1033)/100)</f>
        <v/>
      </c>
      <c r="H1033" s="539"/>
      <c r="I1033" s="578"/>
      <c r="J1033" s="532"/>
      <c r="K1033" s="126">
        <f ca="1">IF(AND(EXACT(C1033,C1031),C1031&lt;&gt;0),K1031+1,0)</f>
        <v>6</v>
      </c>
      <c r="L1033" s="126" t="str">
        <f t="shared" ref="L1033" ca="1" si="1213">IF(C1033&lt;&gt;"",C1033&amp;"-"&amp;K1033,"")</f>
        <v>DRTB-9 Treatment success rate of RR-TB and/or MDR-TB: Percentage of patients with RR and/or MDR-TB successfully treated-6</v>
      </c>
      <c r="M1033" s="126" t="str">
        <f t="array" aca="1" ref="M1033" ca="1">IFERROR(IF(INDEX('Disaggregation Records'!$E$156:$E$517,MATCH(RIGHT(L1033,255),RIGHT('Disaggregation Records'!$D$156:$D$517,255),0))="","",INDEX('Disaggregation Records'!$E$156:$E$517,MATCH(RIGHT(L1033,255),RIGHT('Disaggregation Records'!$D$156:$D$517,255),0))),"")</f>
        <v>Provider type</v>
      </c>
      <c r="N1033" s="126" t="str">
        <f t="array" aca="1" ref="N1033" ca="1">IFERROR(IF(INDEX('Disaggregation Records'!$F$156:$F$517,MATCH(RIGHT(L1033,255),RIGHT('Disaggregation Records'!$D$156:$D$517,255),0))="","",INDEX('Disaggregation Records'!$F$156:$F$517,MATCH(RIGHT(L1033,255),RIGHT('Disaggregation Records'!$D$156:$D$517,255),0))),"")</f>
        <v>Private</v>
      </c>
      <c r="O1033" s="314" t="str">
        <f t="array" aca="1" ref="O1033" ca="1">IFERROR(IF(INDEX('Disaggregation Records'!$H$156:$H$517,MATCH(RIGHT(L1033,255),RIGHT('Disaggregation Records'!$D$156:$D$517,255),0))="","",INDEX('Disaggregation Records'!$H$156:$H$517,MATCH(RIGHT(L1033,255),RIGHT('Disaggregation Records'!$D$156:$D$517,255),0))),"")</f>
        <v>IDR-01389</v>
      </c>
      <c r="P1033" s="314"/>
      <c r="Q1033" s="310">
        <f t="shared" ref="Q1033" si="1214">Q1031+1</f>
        <v>1818</v>
      </c>
      <c r="R1033" s="314" t="str" cm="1">
        <f t="array" aca="1" ref="R1033" ca="1">IFERROR(IF(INDEX('Disaggregation Records'!$G$156:$G$517,MATCH(RIGHT(L1033,255),RIGHT('Disaggregation Records'!$D$156:$D$517,255),0))="","",INDEX('Disaggregation Records'!$G$156:$G$517,MATCH(RIGHT(L1033,255),RIGHT('Disaggregation Records'!$D$156:$D$517,255),0))),"")</f>
        <v>a1LDm000000Cb59MAC</v>
      </c>
    </row>
    <row r="1034" spans="1:18" ht="20.100000000000001" customHeight="1">
      <c r="A1034" s="126"/>
      <c r="B1034" s="571"/>
      <c r="C1034" s="573"/>
      <c r="D1034" s="575"/>
      <c r="E1034" s="575"/>
      <c r="F1034" s="128"/>
      <c r="G1034" s="577"/>
      <c r="H1034" s="540"/>
      <c r="I1034" s="579"/>
      <c r="J1034" s="533"/>
      <c r="K1034" s="126"/>
      <c r="L1034" s="126"/>
      <c r="M1034" s="126"/>
      <c r="N1034" s="126"/>
      <c r="O1034" s="314"/>
      <c r="P1034" s="314"/>
      <c r="Q1034" s="310"/>
      <c r="R1034" s="314" t="str" cm="1">
        <f t="array" ref="R1034">IFERROR(IF(INDEX('Disaggregation Records'!$G$156:$G$517,MATCH(RIGHT(L1034,255),RIGHT('Disaggregation Records'!$D$156:$D$517,255),0))="","",INDEX('Disaggregation Records'!$G$156:$G$517,MATCH(RIGHT(L1034,255),RIGHT('Disaggregation Records'!$D$156:$D$517,255),0))),"")</f>
        <v/>
      </c>
    </row>
    <row r="1035" spans="1:18" ht="20.100000000000001" customHeight="1">
      <c r="A1035" s="126" t="str">
        <f t="shared" ca="1" si="1190"/>
        <v>a16Dm000000M3tWIAS</v>
      </c>
      <c r="B1035" s="570">
        <v>11</v>
      </c>
      <c r="C1035" s="572" t="str">
        <f ca="1">IFERROR(VLOOKUP(B1035,'Coverage Indicators - Section D'!$A$9:$AO$94,41,FALSE),"")</f>
        <v>DRTB-9 Treatment success rate of RR-TB and/or MDR-TB: Percentage of patients with RR and/or MDR-TB successfully treated</v>
      </c>
      <c r="D1035" s="574" t="str">
        <f ca="1">M1035</f>
        <v>Provider type</v>
      </c>
      <c r="E1035" s="574" t="str">
        <f ca="1">N1035</f>
        <v>Public</v>
      </c>
      <c r="F1035" s="127"/>
      <c r="G1035" s="576" t="str">
        <f ca="1">IF(OR(INDIRECT("'update Helper'!E"&amp;Q1035)="",F1035&lt;&gt;0,F1036&lt;&gt;0),IF(IFERROR((F1035/F1036),"")="","",(F1035/F1036)),INDIRECT("'update Helper'!E"&amp;Q1035)/100)</f>
        <v/>
      </c>
      <c r="H1035" s="539"/>
      <c r="I1035" s="578"/>
      <c r="J1035" s="532"/>
      <c r="K1035" s="126">
        <f ca="1">IF(AND(EXACT(C1035,C1033),C1033&lt;&gt;0),K1033+1,0)</f>
        <v>7</v>
      </c>
      <c r="L1035" s="126" t="str">
        <f t="shared" ref="L1035" ca="1" si="1215">IF(C1035&lt;&gt;"",C1035&amp;"-"&amp;K1035,"")</f>
        <v>DRTB-9 Treatment success rate of RR-TB and/or MDR-TB: Percentage of patients with RR and/or MDR-TB successfully treated-7</v>
      </c>
      <c r="M1035" s="126" t="str">
        <f t="array" aca="1" ref="M1035" ca="1">IFERROR(IF(INDEX('Disaggregation Records'!$E$156:$E$517,MATCH(RIGHT(L1035,255),RIGHT('Disaggregation Records'!$D$156:$D$517,255),0))="","",INDEX('Disaggregation Records'!$E$156:$E$517,MATCH(RIGHT(L1035,255),RIGHT('Disaggregation Records'!$D$156:$D$517,255),0))),"")</f>
        <v>Provider type</v>
      </c>
      <c r="N1035" s="126" t="str">
        <f t="array" aca="1" ref="N1035" ca="1">IFERROR(IF(INDEX('Disaggregation Records'!$F$156:$F$517,MATCH(RIGHT(L1035,255),RIGHT('Disaggregation Records'!$D$156:$D$517,255),0))="","",INDEX('Disaggregation Records'!$F$156:$F$517,MATCH(RIGHT(L1035,255),RIGHT('Disaggregation Records'!$D$156:$D$517,255),0))),"")</f>
        <v>Public</v>
      </c>
      <c r="O1035" s="314" t="str">
        <f t="array" aca="1" ref="O1035" ca="1">IFERROR(IF(INDEX('Disaggregation Records'!$H$156:$H$517,MATCH(RIGHT(L1035,255),RIGHT('Disaggregation Records'!$D$156:$D$517,255),0))="","",INDEX('Disaggregation Records'!$H$156:$H$517,MATCH(RIGHT(L1035,255),RIGHT('Disaggregation Records'!$D$156:$D$517,255),0))),"")</f>
        <v>IDR-01388</v>
      </c>
      <c r="P1035" s="310"/>
      <c r="Q1035" s="310">
        <f t="shared" ref="Q1035" si="1216">Q1033+1</f>
        <v>1819</v>
      </c>
      <c r="R1035" s="314" t="str" cm="1">
        <f t="array" aca="1" ref="R1035" ca="1">IFERROR(IF(INDEX('Disaggregation Records'!$G$156:$G$517,MATCH(RIGHT(L1035,255),RIGHT('Disaggregation Records'!$D$156:$D$517,255),0))="","",INDEX('Disaggregation Records'!$G$156:$G$517,MATCH(RIGHT(L1035,255),RIGHT('Disaggregation Records'!$D$156:$D$517,255),0))),"")</f>
        <v>a1LDm000000Cb58MAC</v>
      </c>
    </row>
    <row r="1036" spans="1:18" ht="20.100000000000001" customHeight="1">
      <c r="B1036" s="571"/>
      <c r="C1036" s="573"/>
      <c r="D1036" s="575"/>
      <c r="E1036" s="575"/>
      <c r="F1036" s="128"/>
      <c r="G1036" s="577"/>
      <c r="H1036" s="540"/>
      <c r="I1036" s="579"/>
      <c r="J1036" s="533"/>
      <c r="L1036" s="126"/>
      <c r="N1036" s="126"/>
      <c r="O1036" s="314"/>
      <c r="P1036" s="310"/>
      <c r="Q1036" s="310"/>
      <c r="R1036" s="314" t="str" cm="1">
        <f t="array" ref="R1036">IFERROR(IF(INDEX('Disaggregation Records'!$G$156:$G$517,MATCH(RIGHT(L1036,255),RIGHT('Disaggregation Records'!$D$156:$D$517,255),0))="","",INDEX('Disaggregation Records'!$G$156:$G$517,MATCH(RIGHT(L1036,255),RIGHT('Disaggregation Records'!$D$156:$D$517,255),0))),"")</f>
        <v/>
      </c>
    </row>
    <row r="1037" spans="1:18" ht="20.100000000000001" customHeight="1">
      <c r="A1037" s="126" t="str">
        <f t="shared" ca="1" si="1187"/>
        <v>a16Dm000000M3tXIAS</v>
      </c>
      <c r="B1037" s="570">
        <v>11</v>
      </c>
      <c r="C1037" s="572" t="str">
        <f ca="1">IFERROR(VLOOKUP(B1037,'Coverage Indicators - Section D'!$A$9:$AO$94,41,FALSE),"")</f>
        <v>DRTB-9 Treatment success rate of RR-TB and/or MDR-TB: Percentage of patients with RR and/or MDR-TB successfully treated</v>
      </c>
      <c r="D1037" s="574" t="str">
        <f ca="1">M1037</f>
        <v>Gender</v>
      </c>
      <c r="E1037" s="574" t="str">
        <f ca="1">N1037</f>
        <v>Female</v>
      </c>
      <c r="F1037" s="127"/>
      <c r="G1037" s="576" t="str">
        <f ca="1">IF(OR(INDIRECT("'update Helper'!E"&amp;Q1037)="",F1037&lt;&gt;0,F1038&lt;&gt;0),IF(IFERROR((F1037/F1038),"")="","",(F1037/F1038)),INDIRECT("'update Helper'!E"&amp;Q1037)/100)</f>
        <v/>
      </c>
      <c r="H1037" s="539"/>
      <c r="I1037" s="578"/>
      <c r="J1037" s="532"/>
      <c r="K1037" s="126">
        <f ca="1">IF(AND(EXACT(C1037,C1035),C1035&lt;&gt;0),K1035+1,0)</f>
        <v>8</v>
      </c>
      <c r="L1037" s="126" t="str">
        <f t="shared" ref="L1037" ca="1" si="1217">IF(C1037&lt;&gt;"",C1037&amp;"-"&amp;K1037,"")</f>
        <v>DRTB-9 Treatment success rate of RR-TB and/or MDR-TB: Percentage of patients with RR and/or MDR-TB successfully treated-8</v>
      </c>
      <c r="M1037" s="126" t="str">
        <f t="array" aca="1" ref="M1037" ca="1">IFERROR(IF(INDEX('Disaggregation Records'!$E$156:$E$517,MATCH(RIGHT(L1037,255),RIGHT('Disaggregation Records'!$D$156:$D$517,255),0))="","",INDEX('Disaggregation Records'!$E$156:$E$517,MATCH(RIGHT(L1037,255),RIGHT('Disaggregation Records'!$D$156:$D$517,255),0))),"")</f>
        <v>Gender</v>
      </c>
      <c r="N1037" s="126" t="str">
        <f t="array" aca="1" ref="N1037" ca="1">IFERROR(IF(INDEX('Disaggregation Records'!$F$156:$F$517,MATCH(RIGHT(L1037,255),RIGHT('Disaggregation Records'!$D$156:$D$517,255),0))="","",INDEX('Disaggregation Records'!$F$156:$F$517,MATCH(RIGHT(L1037,255),RIGHT('Disaggregation Records'!$D$156:$D$517,255),0))),"")</f>
        <v>Female</v>
      </c>
      <c r="O1037" s="314" t="str">
        <f t="array" aca="1" ref="O1037" ca="1">IFERROR(IF(INDEX('Disaggregation Records'!$H$156:$H$517,MATCH(RIGHT(L1037,255),RIGHT('Disaggregation Records'!$D$156:$D$517,255),0))="","",INDEX('Disaggregation Records'!$H$156:$H$517,MATCH(RIGHT(L1037,255),RIGHT('Disaggregation Records'!$D$156:$D$517,255),0))),"")</f>
        <v>IDR-01387</v>
      </c>
      <c r="P1037" s="310"/>
      <c r="Q1037" s="310">
        <f t="shared" ref="Q1037" si="1218">Q1035+1</f>
        <v>1820</v>
      </c>
      <c r="R1037" s="314" t="str" cm="1">
        <f t="array" aca="1" ref="R1037" ca="1">IFERROR(IF(INDEX('Disaggregation Records'!$G$156:$G$517,MATCH(RIGHT(L1037,255),RIGHT('Disaggregation Records'!$D$156:$D$517,255),0))="","",INDEX('Disaggregation Records'!$G$156:$G$517,MATCH(RIGHT(L1037,255),RIGHT('Disaggregation Records'!$D$156:$D$517,255),0))),"")</f>
        <v>a1LDm000000Cb57MAC</v>
      </c>
    </row>
    <row r="1038" spans="1:18" ht="20.100000000000001" customHeight="1">
      <c r="A1038" s="126"/>
      <c r="B1038" s="571"/>
      <c r="C1038" s="573"/>
      <c r="D1038" s="575"/>
      <c r="E1038" s="575"/>
      <c r="F1038" s="128"/>
      <c r="G1038" s="577"/>
      <c r="H1038" s="540"/>
      <c r="I1038" s="579"/>
      <c r="J1038" s="533"/>
      <c r="L1038" s="126"/>
      <c r="N1038" s="126"/>
      <c r="O1038" s="314"/>
      <c r="P1038" s="310"/>
      <c r="Q1038" s="310"/>
      <c r="R1038" s="314" t="str" cm="1">
        <f t="array" ref="R1038">IFERROR(IF(INDEX('Disaggregation Records'!$G$156:$G$517,MATCH(RIGHT(L1038,255),RIGHT('Disaggregation Records'!$D$156:$D$517,255),0))="","",INDEX('Disaggregation Records'!$G$156:$G$517,MATCH(RIGHT(L1038,255),RIGHT('Disaggregation Records'!$D$156:$D$517,255),0))),"")</f>
        <v/>
      </c>
    </row>
    <row r="1039" spans="1:18" ht="20.100000000000001" customHeight="1">
      <c r="A1039" s="126" t="str">
        <f t="shared" ca="1" si="1190"/>
        <v>a16Dm000000M3tYIAS</v>
      </c>
      <c r="B1039" s="570">
        <v>11</v>
      </c>
      <c r="C1039" s="572" t="str">
        <f ca="1">IFERROR(VLOOKUP(B1039,'Coverage Indicators - Section D'!$A$9:$AO$94,41,FALSE),"")</f>
        <v>DRTB-9 Treatment success rate of RR-TB and/or MDR-TB: Percentage of patients with RR and/or MDR-TB successfully treated</v>
      </c>
      <c r="D1039" s="574" t="str">
        <f ca="1">M1039</f>
        <v>Treatment regimen</v>
      </c>
      <c r="E1039" s="574" t="str">
        <f ca="1">N1039</f>
        <v>Shorter 6-9 month</v>
      </c>
      <c r="F1039" s="127"/>
      <c r="G1039" s="576" t="str">
        <f ca="1">IF(OR(INDIRECT("'update Helper'!E"&amp;Q1039)="",F1039&lt;&gt;0,F1040&lt;&gt;0),IF(IFERROR((F1039/F1040),"")="","",(F1039/F1040)),INDIRECT("'update Helper'!E"&amp;Q1039)/100)</f>
        <v/>
      </c>
      <c r="H1039" s="539"/>
      <c r="I1039" s="578"/>
      <c r="J1039" s="532"/>
      <c r="K1039" s="126">
        <f ca="1">IF(AND(EXACT(C1039,C1037),C1037&lt;&gt;0),K1037+1,0)</f>
        <v>9</v>
      </c>
      <c r="L1039" s="126" t="str">
        <f t="shared" ref="L1039" ca="1" si="1219">IF(C1039&lt;&gt;"",C1039&amp;"-"&amp;K1039,"")</f>
        <v>DRTB-9 Treatment success rate of RR-TB and/or MDR-TB: Percentage of patients with RR and/or MDR-TB successfully treated-9</v>
      </c>
      <c r="M1039" s="126" t="str">
        <f t="array" aca="1" ref="M1039" ca="1">IFERROR(IF(INDEX('Disaggregation Records'!$E$156:$E$517,MATCH(RIGHT(L1039,255),RIGHT('Disaggregation Records'!$D$156:$D$517,255),0))="","",INDEX('Disaggregation Records'!$E$156:$E$517,MATCH(RIGHT(L1039,255),RIGHT('Disaggregation Records'!$D$156:$D$517,255),0))),"")</f>
        <v>Treatment regimen</v>
      </c>
      <c r="N1039" s="126" t="str">
        <f t="array" aca="1" ref="N1039" ca="1">IFERROR(IF(INDEX('Disaggregation Records'!$F$156:$F$517,MATCH(RIGHT(L1039,255),RIGHT('Disaggregation Records'!$D$156:$D$517,255),0))="","",INDEX('Disaggregation Records'!$F$156:$F$517,MATCH(RIGHT(L1039,255),RIGHT('Disaggregation Records'!$D$156:$D$517,255),0))),"")</f>
        <v>Shorter 6-9 month</v>
      </c>
      <c r="O1039" s="314" t="str">
        <f t="array" aca="1" ref="O1039" ca="1">IFERROR(IF(INDEX('Disaggregation Records'!$H$156:$H$517,MATCH(RIGHT(L1039,255),RIGHT('Disaggregation Records'!$D$156:$D$517,255),0))="","",INDEX('Disaggregation Records'!$H$156:$H$517,MATCH(RIGHT(L1039,255),RIGHT('Disaggregation Records'!$D$156:$D$517,255),0))),"")</f>
        <v>IDR-01386</v>
      </c>
      <c r="P1039" s="310"/>
      <c r="Q1039" s="310">
        <f t="shared" ref="Q1039" si="1220">Q1037+1</f>
        <v>1821</v>
      </c>
      <c r="R1039" s="314" t="str" cm="1">
        <f t="array" aca="1" ref="R1039" ca="1">IFERROR(IF(INDEX('Disaggregation Records'!$G$156:$G$517,MATCH(RIGHT(L1039,255),RIGHT('Disaggregation Records'!$D$156:$D$517,255),0))="","",INDEX('Disaggregation Records'!$G$156:$G$517,MATCH(RIGHT(L1039,255),RIGHT('Disaggregation Records'!$D$156:$D$517,255),0))),"")</f>
        <v>a1LDm000000Cb56MAC</v>
      </c>
    </row>
    <row r="1040" spans="1:18" ht="20.100000000000001" customHeight="1">
      <c r="B1040" s="571"/>
      <c r="C1040" s="573"/>
      <c r="D1040" s="575"/>
      <c r="E1040" s="575"/>
      <c r="F1040" s="128"/>
      <c r="G1040" s="577"/>
      <c r="H1040" s="540"/>
      <c r="I1040" s="579"/>
      <c r="J1040" s="533"/>
      <c r="L1040" s="126"/>
      <c r="N1040" s="126"/>
      <c r="O1040" s="314"/>
      <c r="P1040" s="310"/>
      <c r="Q1040" s="310"/>
      <c r="R1040" s="314" t="str" cm="1">
        <f t="array" ref="R1040">IFERROR(IF(INDEX('Disaggregation Records'!$G$156:$G$517,MATCH(RIGHT(L1040,255),RIGHT('Disaggregation Records'!$D$156:$D$517,255),0))="","",INDEX('Disaggregation Records'!$G$156:$G$517,MATCH(RIGHT(L1040,255),RIGHT('Disaggregation Records'!$D$156:$D$517,255),0))),"")</f>
        <v/>
      </c>
    </row>
    <row r="1041" spans="1:18" ht="20.100000000000001" customHeight="1">
      <c r="A1041" s="126" t="str">
        <f t="shared" ca="1" si="1187"/>
        <v>a16Dm000000M3tZIAS</v>
      </c>
      <c r="B1041" s="570">
        <v>11</v>
      </c>
      <c r="C1041" s="572" t="str">
        <f ca="1">IFERROR(VLOOKUP(B1041,'Coverage Indicators - Section D'!$A$9:$AO$94,41,FALSE),"")</f>
        <v>DRTB-9 Treatment success rate of RR-TB and/or MDR-TB: Percentage of patients with RR and/or MDR-TB successfully treated</v>
      </c>
      <c r="D1041" s="574" t="str">
        <f ca="1">M1041</f>
        <v>HIV status</v>
      </c>
      <c r="E1041" s="574" t="str">
        <f ca="1">N1041</f>
        <v>Positive</v>
      </c>
      <c r="F1041" s="127"/>
      <c r="G1041" s="576" t="str">
        <f ca="1">IF(OR(INDIRECT("'update Helper'!E"&amp;Q1041)="",F1041&lt;&gt;0,F1042&lt;&gt;0),IF(IFERROR((F1041/F1042),"")="","",(F1041/F1042)),INDIRECT("'update Helper'!E"&amp;Q1041)/100)</f>
        <v/>
      </c>
      <c r="H1041" s="539"/>
      <c r="I1041" s="578"/>
      <c r="J1041" s="532"/>
      <c r="K1041" s="126">
        <f ca="1">IF(AND(EXACT(C1041,C1039),C1039&lt;&gt;0),K1039+1,0)</f>
        <v>10</v>
      </c>
      <c r="L1041" s="126" t="str">
        <f t="shared" ref="L1041" ca="1" si="1221">IF(C1041&lt;&gt;"",C1041&amp;"-"&amp;K1041,"")</f>
        <v>DRTB-9 Treatment success rate of RR-TB and/or MDR-TB: Percentage of patients with RR and/or MDR-TB successfully treated-10</v>
      </c>
      <c r="M1041" s="126" t="str">
        <f t="array" aca="1" ref="M1041" ca="1">IFERROR(IF(INDEX('Disaggregation Records'!$E$156:$E$517,MATCH(RIGHT(L1041,255),RIGHT('Disaggregation Records'!$D$156:$D$517,255),0))="","",INDEX('Disaggregation Records'!$E$156:$E$517,MATCH(RIGHT(L1041,255),RIGHT('Disaggregation Records'!$D$156:$D$517,255),0))),"")</f>
        <v>HIV status</v>
      </c>
      <c r="N1041" s="126" t="str">
        <f t="array" aca="1" ref="N1041" ca="1">IFERROR(IF(INDEX('Disaggregation Records'!$F$156:$F$517,MATCH(RIGHT(L1041,255),RIGHT('Disaggregation Records'!$D$156:$D$517,255),0))="","",INDEX('Disaggregation Records'!$F$156:$F$517,MATCH(RIGHT(L1041,255),RIGHT('Disaggregation Records'!$D$156:$D$517,255),0))),"")</f>
        <v>Positive</v>
      </c>
      <c r="O1041" s="314" t="str">
        <f t="array" aca="1" ref="O1041" ca="1">IFERROR(IF(INDEX('Disaggregation Records'!$H$156:$H$517,MATCH(RIGHT(L1041,255),RIGHT('Disaggregation Records'!$D$156:$D$517,255),0))="","",INDEX('Disaggregation Records'!$H$156:$H$517,MATCH(RIGHT(L1041,255),RIGHT('Disaggregation Records'!$D$156:$D$517,255),0))),"")</f>
        <v>IDR-01385</v>
      </c>
      <c r="P1041" s="314"/>
      <c r="Q1041" s="310">
        <f t="shared" ref="Q1041" si="1222">Q1039+1</f>
        <v>1822</v>
      </c>
      <c r="R1041" s="314" t="str" cm="1">
        <f t="array" aca="1" ref="R1041" ca="1">IFERROR(IF(INDEX('Disaggregation Records'!$G$156:$G$517,MATCH(RIGHT(L1041,255),RIGHT('Disaggregation Records'!$D$156:$D$517,255),0))="","",INDEX('Disaggregation Records'!$G$156:$G$517,MATCH(RIGHT(L1041,255),RIGHT('Disaggregation Records'!$D$156:$D$517,255),0))),"")</f>
        <v>a1LDm000000Cb55MAC</v>
      </c>
    </row>
    <row r="1042" spans="1:18" ht="20.100000000000001" customHeight="1">
      <c r="A1042" s="126"/>
      <c r="B1042" s="571"/>
      <c r="C1042" s="573"/>
      <c r="D1042" s="575"/>
      <c r="E1042" s="575"/>
      <c r="F1042" s="128"/>
      <c r="G1042" s="577"/>
      <c r="H1042" s="540"/>
      <c r="I1042" s="579"/>
      <c r="J1042" s="533"/>
      <c r="K1042" s="126"/>
      <c r="L1042" s="126"/>
      <c r="M1042" s="126"/>
      <c r="N1042" s="126"/>
      <c r="O1042" s="314"/>
      <c r="P1042" s="314"/>
      <c r="Q1042" s="310"/>
      <c r="R1042" s="314" t="str" cm="1">
        <f t="array" ref="R1042">IFERROR(IF(INDEX('Disaggregation Records'!$G$156:$G$517,MATCH(RIGHT(L1042,255),RIGHT('Disaggregation Records'!$D$156:$D$517,255),0))="","",INDEX('Disaggregation Records'!$G$156:$G$517,MATCH(RIGHT(L1042,255),RIGHT('Disaggregation Records'!$D$156:$D$517,255),0))),"")</f>
        <v/>
      </c>
    </row>
    <row r="1043" spans="1:18" ht="20.100000000000001" customHeight="1">
      <c r="A1043" s="126" t="str">
        <f t="shared" ca="1" si="1190"/>
        <v>a16Dm000000M3taIAC</v>
      </c>
      <c r="B1043" s="570">
        <v>11</v>
      </c>
      <c r="C1043" s="572" t="str">
        <f ca="1">IFERROR(VLOOKUP(B1043,'Coverage Indicators - Section D'!$A$9:$AO$94,41,FALSE),"")</f>
        <v>DRTB-9 Treatment success rate of RR-TB and/or MDR-TB: Percentage of patients with RR and/or MDR-TB successfully treated</v>
      </c>
      <c r="D1043" s="574" t="str">
        <f ca="1">M1043</f>
        <v/>
      </c>
      <c r="E1043" s="574" t="str">
        <f ca="1">N1043</f>
        <v/>
      </c>
      <c r="F1043" s="127"/>
      <c r="G1043" s="576" t="str">
        <f ca="1">IF(OR(INDIRECT("'update Helper'!E"&amp;Q1043)="",F1043&lt;&gt;0,F1044&lt;&gt;0),IF(IFERROR((F1043/F1044),"")="","",(F1043/F1044)),INDIRECT("'update Helper'!E"&amp;Q1043)/100)</f>
        <v/>
      </c>
      <c r="H1043" s="539"/>
      <c r="I1043" s="578"/>
      <c r="J1043" s="532"/>
      <c r="K1043" s="126">
        <f ca="1">IF(AND(EXACT(C1043,C1041),C1041&lt;&gt;0),K1041+1,0)</f>
        <v>11</v>
      </c>
      <c r="L1043" s="126" t="str">
        <f t="shared" ref="L1043" ca="1" si="1223">IF(C1043&lt;&gt;"",C1043&amp;"-"&amp;K1043,"")</f>
        <v>DRTB-9 Treatment success rate of RR-TB and/or MDR-TB: Percentage of patients with RR and/or MDR-TB successfully treated-11</v>
      </c>
      <c r="M1043" s="126" t="str">
        <f t="array" aca="1" ref="M1043" ca="1">IFERROR(IF(INDEX('Disaggregation Records'!$E$156:$E$517,MATCH(RIGHT(L1043,255),RIGHT('Disaggregation Records'!$D$156:$D$517,255),0))="","",INDEX('Disaggregation Records'!$E$156:$E$517,MATCH(RIGHT(L1043,255),RIGHT('Disaggregation Records'!$D$156:$D$517,255),0))),"")</f>
        <v/>
      </c>
      <c r="N1043" s="126" t="str">
        <f t="array" aca="1" ref="N1043" ca="1">IFERROR(IF(INDEX('Disaggregation Records'!$F$156:$F$517,MATCH(RIGHT(L1043,255),RIGHT('Disaggregation Records'!$D$156:$D$517,255),0))="","",INDEX('Disaggregation Records'!$F$156:$F$517,MATCH(RIGHT(L1043,255),RIGHT('Disaggregation Records'!$D$156:$D$517,255),0))),"")</f>
        <v/>
      </c>
      <c r="O1043" s="314" t="str">
        <f t="array" aca="1" ref="O1043" ca="1">IFERROR(IF(INDEX('Disaggregation Records'!$H$156:$H$517,MATCH(RIGHT(L1043,255),RIGHT('Disaggregation Records'!$D$156:$D$517,255),0))="","",INDEX('Disaggregation Records'!$H$156:$H$517,MATCH(RIGHT(L1043,255),RIGHT('Disaggregation Records'!$D$156:$D$517,255),0))),"")</f>
        <v/>
      </c>
      <c r="P1043" s="314"/>
      <c r="Q1043" s="310">
        <f t="shared" ref="Q1043" si="1224">Q1041+1</f>
        <v>1823</v>
      </c>
      <c r="R1043" s="314" t="str" cm="1">
        <f t="array" aca="1" ref="R1043" ca="1">IFERROR(IF(INDEX('Disaggregation Records'!$G$156:$G$517,MATCH(RIGHT(L1043,255),RIGHT('Disaggregation Records'!$D$156:$D$517,255),0))="","",INDEX('Disaggregation Records'!$G$156:$G$517,MATCH(RIGHT(L1043,255),RIGHT('Disaggregation Records'!$D$156:$D$517,255),0))),"")</f>
        <v/>
      </c>
    </row>
    <row r="1044" spans="1:18" ht="20.100000000000001" customHeight="1">
      <c r="B1044" s="571"/>
      <c r="C1044" s="573"/>
      <c r="D1044" s="575"/>
      <c r="E1044" s="575"/>
      <c r="F1044" s="128"/>
      <c r="G1044" s="577"/>
      <c r="H1044" s="540"/>
      <c r="I1044" s="579"/>
      <c r="J1044" s="533"/>
      <c r="K1044" s="126"/>
      <c r="L1044" s="126"/>
      <c r="M1044" s="126"/>
      <c r="N1044" s="126"/>
      <c r="O1044" s="314"/>
      <c r="P1044" s="314"/>
      <c r="Q1044" s="310"/>
      <c r="R1044" s="314" t="str" cm="1">
        <f t="array" ref="R1044">IFERROR(IF(INDEX('Disaggregation Records'!$G$156:$G$517,MATCH(RIGHT(L1044,255),RIGHT('Disaggregation Records'!$D$156:$D$517,255),0))="","",INDEX('Disaggregation Records'!$G$156:$G$517,MATCH(RIGHT(L1044,255),RIGHT('Disaggregation Records'!$D$156:$D$517,255),0))),"")</f>
        <v/>
      </c>
    </row>
    <row r="1045" spans="1:18" ht="20.100000000000001" customHeight="1">
      <c r="A1045" s="126" t="str">
        <f t="shared" ca="1" si="1187"/>
        <v>a16Dm000000M3tbIAC</v>
      </c>
      <c r="B1045" s="570">
        <v>11</v>
      </c>
      <c r="C1045" s="572" t="str">
        <f ca="1">IFERROR(VLOOKUP(B1045,'Coverage Indicators - Section D'!$A$9:$AO$94,41,FALSE),"")</f>
        <v>DRTB-9 Treatment success rate of RR-TB and/or MDR-TB: Percentage of patients with RR and/or MDR-TB successfully treated</v>
      </c>
      <c r="D1045" s="574" t="str">
        <f ca="1">M1045</f>
        <v/>
      </c>
      <c r="E1045" s="574" t="str">
        <f ca="1">N1045</f>
        <v/>
      </c>
      <c r="F1045" s="127"/>
      <c r="G1045" s="576" t="str">
        <f ca="1">IF(OR(INDIRECT("'update Helper'!E"&amp;Q1045)="",F1045&lt;&gt;0,F1046&lt;&gt;0),IF(IFERROR((F1045/F1046),"")="","",(F1045/F1046)),INDIRECT("'update Helper'!E"&amp;Q1045)/100)</f>
        <v/>
      </c>
      <c r="H1045" s="539"/>
      <c r="I1045" s="578"/>
      <c r="J1045" s="532"/>
      <c r="K1045" s="126">
        <f ca="1">IF(AND(EXACT(C1045,C1043),C1043&lt;&gt;0),K1043+1,0)</f>
        <v>12</v>
      </c>
      <c r="L1045" s="126" t="str">
        <f t="shared" ref="L1045" ca="1" si="1225">IF(C1045&lt;&gt;"",C1045&amp;"-"&amp;K1045,"")</f>
        <v>DRTB-9 Treatment success rate of RR-TB and/or MDR-TB: Percentage of patients with RR and/or MDR-TB successfully treated-12</v>
      </c>
      <c r="M1045" s="126" t="str">
        <f t="array" aca="1" ref="M1045" ca="1">IFERROR(IF(INDEX('Disaggregation Records'!$E$156:$E$517,MATCH(RIGHT(L1045,255),RIGHT('Disaggregation Records'!$D$156:$D$517,255),0))="","",INDEX('Disaggregation Records'!$E$156:$E$517,MATCH(RIGHT(L1045,255),RIGHT('Disaggregation Records'!$D$156:$D$517,255),0))),"")</f>
        <v/>
      </c>
      <c r="N1045" s="126" t="str">
        <f t="array" aca="1" ref="N1045" ca="1">IFERROR(IF(INDEX('Disaggregation Records'!$F$156:$F$517,MATCH(RIGHT(L1045,255),RIGHT('Disaggregation Records'!$D$156:$D$517,255),0))="","",INDEX('Disaggregation Records'!$F$156:$F$517,MATCH(RIGHT(L1045,255),RIGHT('Disaggregation Records'!$D$156:$D$517,255),0))),"")</f>
        <v/>
      </c>
      <c r="O1045" s="314" t="str">
        <f t="array" aca="1" ref="O1045" ca="1">IFERROR(IF(INDEX('Disaggregation Records'!$H$156:$H$517,MATCH(RIGHT(L1045,255),RIGHT('Disaggregation Records'!$D$156:$D$517,255),0))="","",INDEX('Disaggregation Records'!$H$156:$H$517,MATCH(RIGHT(L1045,255),RIGHT('Disaggregation Records'!$D$156:$D$517,255),0))),"")</f>
        <v/>
      </c>
      <c r="P1045" s="310"/>
      <c r="Q1045" s="310">
        <f t="shared" ref="Q1045" si="1226">Q1043+1</f>
        <v>1824</v>
      </c>
      <c r="R1045" s="314" t="str" cm="1">
        <f t="array" aca="1" ref="R1045" ca="1">IFERROR(IF(INDEX('Disaggregation Records'!$G$156:$G$517,MATCH(RIGHT(L1045,255),RIGHT('Disaggregation Records'!$D$156:$D$517,255),0))="","",INDEX('Disaggregation Records'!$G$156:$G$517,MATCH(RIGHT(L1045,255),RIGHT('Disaggregation Records'!$D$156:$D$517,255),0))),"")</f>
        <v/>
      </c>
    </row>
    <row r="1046" spans="1:18" ht="20.100000000000001" customHeight="1">
      <c r="A1046" s="126"/>
      <c r="B1046" s="571"/>
      <c r="C1046" s="573"/>
      <c r="D1046" s="575"/>
      <c r="E1046" s="575"/>
      <c r="F1046" s="128"/>
      <c r="G1046" s="577"/>
      <c r="H1046" s="540"/>
      <c r="I1046" s="579"/>
      <c r="J1046" s="533"/>
      <c r="L1046" s="126"/>
      <c r="N1046" s="126"/>
      <c r="O1046" s="314"/>
      <c r="P1046" s="310"/>
      <c r="Q1046" s="310"/>
      <c r="R1046" s="314" t="str" cm="1">
        <f t="array" ref="R1046">IFERROR(IF(INDEX('Disaggregation Records'!$G$156:$G$517,MATCH(RIGHT(L1046,255),RIGHT('Disaggregation Records'!$D$156:$D$517,255),0))="","",INDEX('Disaggregation Records'!$G$156:$G$517,MATCH(RIGHT(L1046,255),RIGHT('Disaggregation Records'!$D$156:$D$517,255),0))),"")</f>
        <v/>
      </c>
    </row>
    <row r="1047" spans="1:18" ht="20.100000000000001" customHeight="1">
      <c r="A1047" s="126" t="str">
        <f t="shared" ca="1" si="1190"/>
        <v>a16Dm000000M3tcIAC</v>
      </c>
      <c r="B1047" s="570">
        <v>11</v>
      </c>
      <c r="C1047" s="572" t="str">
        <f ca="1">IFERROR(VLOOKUP(B1047,'Coverage Indicators - Section D'!$A$9:$AO$94,41,FALSE),"")</f>
        <v>DRTB-9 Treatment success rate of RR-TB and/or MDR-TB: Percentage of patients with RR and/or MDR-TB successfully treated</v>
      </c>
      <c r="D1047" s="574" t="str">
        <f ca="1">M1047</f>
        <v/>
      </c>
      <c r="E1047" s="574" t="str">
        <f ca="1">N1047</f>
        <v/>
      </c>
      <c r="F1047" s="127"/>
      <c r="G1047" s="576" t="str">
        <f ca="1">IF(OR(INDIRECT("'update Helper'!E"&amp;Q1047)="",F1047&lt;&gt;0,F1048&lt;&gt;0),IF(IFERROR((F1047/F1048),"")="","",(F1047/F1048)),INDIRECT("'update Helper'!E"&amp;Q1047)/100)</f>
        <v/>
      </c>
      <c r="H1047" s="539"/>
      <c r="I1047" s="578"/>
      <c r="J1047" s="532"/>
      <c r="K1047" s="126">
        <f ca="1">IF(AND(EXACT(C1047,C1045),C1045&lt;&gt;0),K1045+1,0)</f>
        <v>13</v>
      </c>
      <c r="L1047" s="126" t="str">
        <f t="shared" ref="L1047" ca="1" si="1227">IF(C1047&lt;&gt;"",C1047&amp;"-"&amp;K1047,"")</f>
        <v>DRTB-9 Treatment success rate of RR-TB and/or MDR-TB: Percentage of patients with RR and/or MDR-TB successfully treated-13</v>
      </c>
      <c r="M1047" s="126" t="str">
        <f t="array" aca="1" ref="M1047" ca="1">IFERROR(IF(INDEX('Disaggregation Records'!$E$156:$E$517,MATCH(RIGHT(L1047,255),RIGHT('Disaggregation Records'!$D$156:$D$517,255),0))="","",INDEX('Disaggregation Records'!$E$156:$E$517,MATCH(RIGHT(L1047,255),RIGHT('Disaggregation Records'!$D$156:$D$517,255),0))),"")</f>
        <v/>
      </c>
      <c r="N1047" s="126" t="str">
        <f t="array" aca="1" ref="N1047" ca="1">IFERROR(IF(INDEX('Disaggregation Records'!$F$156:$F$517,MATCH(RIGHT(L1047,255),RIGHT('Disaggregation Records'!$D$156:$D$517,255),0))="","",INDEX('Disaggregation Records'!$F$156:$F$517,MATCH(RIGHT(L1047,255),RIGHT('Disaggregation Records'!$D$156:$D$517,255),0))),"")</f>
        <v/>
      </c>
      <c r="O1047" s="314" t="str">
        <f t="array" aca="1" ref="O1047" ca="1">IFERROR(IF(INDEX('Disaggregation Records'!$H$156:$H$517,MATCH(RIGHT(L1047,255),RIGHT('Disaggregation Records'!$D$156:$D$517,255),0))="","",INDEX('Disaggregation Records'!$H$156:$H$517,MATCH(RIGHT(L1047,255),RIGHT('Disaggregation Records'!$D$156:$D$517,255),0))),"")</f>
        <v/>
      </c>
      <c r="P1047" s="310"/>
      <c r="Q1047" s="310">
        <f t="shared" ref="Q1047" si="1228">Q1045+1</f>
        <v>1825</v>
      </c>
      <c r="R1047" s="314" t="str" cm="1">
        <f t="array" aca="1" ref="R1047" ca="1">IFERROR(IF(INDEX('Disaggregation Records'!$G$156:$G$517,MATCH(RIGHT(L1047,255),RIGHT('Disaggregation Records'!$D$156:$D$517,255),0))="","",INDEX('Disaggregation Records'!$G$156:$G$517,MATCH(RIGHT(L1047,255),RIGHT('Disaggregation Records'!$D$156:$D$517,255),0))),"")</f>
        <v/>
      </c>
    </row>
    <row r="1048" spans="1:18" ht="20.100000000000001" customHeight="1">
      <c r="B1048" s="571"/>
      <c r="C1048" s="573"/>
      <c r="D1048" s="575"/>
      <c r="E1048" s="575"/>
      <c r="F1048" s="128"/>
      <c r="G1048" s="577"/>
      <c r="H1048" s="540"/>
      <c r="I1048" s="579"/>
      <c r="J1048" s="533"/>
      <c r="L1048" s="126"/>
      <c r="N1048" s="126"/>
      <c r="O1048" s="314"/>
      <c r="P1048" s="310"/>
      <c r="Q1048" s="310"/>
      <c r="R1048" s="314" t="str" cm="1">
        <f t="array" ref="R1048">IFERROR(IF(INDEX('Disaggregation Records'!$G$156:$G$517,MATCH(RIGHT(L1048,255),RIGHT('Disaggregation Records'!$D$156:$D$517,255),0))="","",INDEX('Disaggregation Records'!$G$156:$G$517,MATCH(RIGHT(L1048,255),RIGHT('Disaggregation Records'!$D$156:$D$517,255),0))),"")</f>
        <v/>
      </c>
    </row>
    <row r="1049" spans="1:18" ht="20.100000000000001" customHeight="1">
      <c r="A1049" s="126" t="str">
        <f t="shared" ca="1" si="1187"/>
        <v>a16Dm000000M3tdIAC</v>
      </c>
      <c r="B1049" s="570">
        <v>11</v>
      </c>
      <c r="C1049" s="572" t="str">
        <f ca="1">IFERROR(VLOOKUP(B1049,'Coverage Indicators - Section D'!$A$9:$AO$94,41,FALSE),"")</f>
        <v>DRTB-9 Treatment success rate of RR-TB and/or MDR-TB: Percentage of patients with RR and/or MDR-TB successfully treated</v>
      </c>
      <c r="D1049" s="574" t="str">
        <f ca="1">M1049</f>
        <v/>
      </c>
      <c r="E1049" s="574" t="str">
        <f ca="1">N1049</f>
        <v/>
      </c>
      <c r="F1049" s="127"/>
      <c r="G1049" s="576" t="str">
        <f ca="1">IF(OR(INDIRECT("'update Helper'!E"&amp;Q1049)="",F1049&lt;&gt;0,F1050&lt;&gt;0),IF(IFERROR((F1049/F1050),"")="","",(F1049/F1050)),INDIRECT("'update Helper'!E"&amp;Q1049)/100)</f>
        <v/>
      </c>
      <c r="H1049" s="539"/>
      <c r="I1049" s="578"/>
      <c r="J1049" s="532"/>
      <c r="K1049" s="126">
        <f ca="1">IF(AND(EXACT(C1049,C1047),C1047&lt;&gt;0),K1047+1,0)</f>
        <v>14</v>
      </c>
      <c r="L1049" s="126" t="str">
        <f t="shared" ref="L1049" ca="1" si="1229">IF(C1049&lt;&gt;"",C1049&amp;"-"&amp;K1049,"")</f>
        <v>DRTB-9 Treatment success rate of RR-TB and/or MDR-TB: Percentage of patients with RR and/or MDR-TB successfully treated-14</v>
      </c>
      <c r="M1049" s="126" t="str">
        <f t="array" aca="1" ref="M1049" ca="1">IFERROR(IF(INDEX('Disaggregation Records'!$E$156:$E$517,MATCH(RIGHT(L1049,255),RIGHT('Disaggregation Records'!$D$156:$D$517,255),0))="","",INDEX('Disaggregation Records'!$E$156:$E$517,MATCH(RIGHT(L1049,255),RIGHT('Disaggregation Records'!$D$156:$D$517,255),0))),"")</f>
        <v/>
      </c>
      <c r="N1049" s="126" t="str">
        <f t="array" aca="1" ref="N1049" ca="1">IFERROR(IF(INDEX('Disaggregation Records'!$F$156:$F$517,MATCH(RIGHT(L1049,255),RIGHT('Disaggregation Records'!$D$156:$D$517,255),0))="","",INDEX('Disaggregation Records'!$F$156:$F$517,MATCH(RIGHT(L1049,255),RIGHT('Disaggregation Records'!$D$156:$D$517,255),0))),"")</f>
        <v/>
      </c>
      <c r="O1049" s="314" t="str">
        <f t="array" aca="1" ref="O1049" ca="1">IFERROR(IF(INDEX('Disaggregation Records'!$H$156:$H$517,MATCH(RIGHT(L1049,255),RIGHT('Disaggregation Records'!$D$156:$D$517,255),0))="","",INDEX('Disaggregation Records'!$H$156:$H$517,MATCH(RIGHT(L1049,255),RIGHT('Disaggregation Records'!$D$156:$D$517,255),0))),"")</f>
        <v/>
      </c>
      <c r="P1049" s="310"/>
      <c r="Q1049" s="310">
        <f t="shared" ref="Q1049" si="1230">Q1047+1</f>
        <v>1826</v>
      </c>
      <c r="R1049" s="314" t="str" cm="1">
        <f t="array" aca="1" ref="R1049" ca="1">IFERROR(IF(INDEX('Disaggregation Records'!$G$156:$G$517,MATCH(RIGHT(L1049,255),RIGHT('Disaggregation Records'!$D$156:$D$517,255),0))="","",INDEX('Disaggregation Records'!$G$156:$G$517,MATCH(RIGHT(L1049,255),RIGHT('Disaggregation Records'!$D$156:$D$517,255),0))),"")</f>
        <v/>
      </c>
    </row>
    <row r="1050" spans="1:18" ht="20.100000000000001" customHeight="1">
      <c r="A1050" s="126"/>
      <c r="B1050" s="571"/>
      <c r="C1050" s="573"/>
      <c r="D1050" s="575"/>
      <c r="E1050" s="575"/>
      <c r="F1050" s="128"/>
      <c r="G1050" s="577"/>
      <c r="H1050" s="540"/>
      <c r="I1050" s="579"/>
      <c r="J1050" s="533"/>
      <c r="L1050" s="126"/>
      <c r="N1050" s="126"/>
      <c r="O1050" s="314"/>
      <c r="P1050" s="310"/>
      <c r="Q1050" s="310"/>
      <c r="R1050" s="314" t="str" cm="1">
        <f t="array" ref="R1050">IFERROR(IF(INDEX('Disaggregation Records'!$G$156:$G$517,MATCH(RIGHT(L1050,255),RIGHT('Disaggregation Records'!$D$156:$D$517,255),0))="","",INDEX('Disaggregation Records'!$G$156:$G$517,MATCH(RIGHT(L1050,255),RIGHT('Disaggregation Records'!$D$156:$D$517,255),0))),"")</f>
        <v/>
      </c>
    </row>
    <row r="1051" spans="1:18" ht="20.100000000000001" customHeight="1">
      <c r="A1051" s="126" t="str">
        <f t="shared" ca="1" si="1190"/>
        <v>a16Dm000000M3teIAC</v>
      </c>
      <c r="B1051" s="570">
        <v>11</v>
      </c>
      <c r="C1051" s="572" t="str">
        <f ca="1">IFERROR(VLOOKUP(B1051,'Coverage Indicators - Section D'!$A$9:$AO$94,41,FALSE),"")</f>
        <v>DRTB-9 Treatment success rate of RR-TB and/or MDR-TB: Percentage of patients with RR and/or MDR-TB successfully treated</v>
      </c>
      <c r="D1051" s="574" t="str">
        <f ca="1">M1051</f>
        <v/>
      </c>
      <c r="E1051" s="574" t="str">
        <f ca="1">N1051</f>
        <v/>
      </c>
      <c r="F1051" s="127"/>
      <c r="G1051" s="576" t="str">
        <f ca="1">IF(OR(INDIRECT("'update Helper'!E"&amp;Q1051)="",F1051&lt;&gt;0,F1052&lt;&gt;0),IF(IFERROR((F1051/F1052),"")="","",(F1051/F1052)),INDIRECT("'update Helper'!E"&amp;Q1051)/100)</f>
        <v/>
      </c>
      <c r="H1051" s="539"/>
      <c r="I1051" s="578"/>
      <c r="J1051" s="532"/>
      <c r="K1051" s="126">
        <f ca="1">IF(AND(EXACT(C1051,C1049),C1049&lt;&gt;0),K1049+1,0)</f>
        <v>15</v>
      </c>
      <c r="L1051" s="126" t="str">
        <f t="shared" ref="L1051" ca="1" si="1231">IF(C1051&lt;&gt;"",C1051&amp;"-"&amp;K1051,"")</f>
        <v>DRTB-9 Treatment success rate of RR-TB and/or MDR-TB: Percentage of patients with RR and/or MDR-TB successfully treated-15</v>
      </c>
      <c r="M1051" s="126" t="str">
        <f t="array" aca="1" ref="M1051" ca="1">IFERROR(IF(INDEX('Disaggregation Records'!$E$156:$E$517,MATCH(RIGHT(L1051,255),RIGHT('Disaggregation Records'!$D$156:$D$517,255),0))="","",INDEX('Disaggregation Records'!$E$156:$E$517,MATCH(RIGHT(L1051,255),RIGHT('Disaggregation Records'!$D$156:$D$517,255),0))),"")</f>
        <v/>
      </c>
      <c r="N1051" s="126" t="str">
        <f t="array" aca="1" ref="N1051" ca="1">IFERROR(IF(INDEX('Disaggregation Records'!$F$156:$F$517,MATCH(RIGHT(L1051,255),RIGHT('Disaggregation Records'!$D$156:$D$517,255),0))="","",INDEX('Disaggregation Records'!$F$156:$F$517,MATCH(RIGHT(L1051,255),RIGHT('Disaggregation Records'!$D$156:$D$517,255),0))),"")</f>
        <v/>
      </c>
      <c r="O1051" s="314" t="str">
        <f t="array" aca="1" ref="O1051" ca="1">IFERROR(IF(INDEX('Disaggregation Records'!$H$156:$H$517,MATCH(RIGHT(L1051,255),RIGHT('Disaggregation Records'!$D$156:$D$517,255),0))="","",INDEX('Disaggregation Records'!$H$156:$H$517,MATCH(RIGHT(L1051,255),RIGHT('Disaggregation Records'!$D$156:$D$517,255),0))),"")</f>
        <v/>
      </c>
      <c r="P1051" s="314"/>
      <c r="Q1051" s="310">
        <f t="shared" ref="Q1051" si="1232">Q1049+1</f>
        <v>1827</v>
      </c>
      <c r="R1051" s="314" t="str" cm="1">
        <f t="array" aca="1" ref="R1051" ca="1">IFERROR(IF(INDEX('Disaggregation Records'!$G$156:$G$517,MATCH(RIGHT(L1051,255),RIGHT('Disaggregation Records'!$D$156:$D$517,255),0))="","",INDEX('Disaggregation Records'!$G$156:$G$517,MATCH(RIGHT(L1051,255),RIGHT('Disaggregation Records'!$D$156:$D$517,255),0))),"")</f>
        <v/>
      </c>
    </row>
    <row r="1052" spans="1:18" ht="20.100000000000001" customHeight="1">
      <c r="B1052" s="571"/>
      <c r="C1052" s="573"/>
      <c r="D1052" s="575"/>
      <c r="E1052" s="575"/>
      <c r="F1052" s="128"/>
      <c r="G1052" s="577"/>
      <c r="H1052" s="540"/>
      <c r="I1052" s="579"/>
      <c r="J1052" s="533"/>
      <c r="K1052" s="126"/>
      <c r="L1052" s="126"/>
      <c r="M1052" s="126"/>
      <c r="N1052" s="126"/>
      <c r="O1052" s="314"/>
      <c r="P1052" s="314"/>
      <c r="Q1052" s="310"/>
      <c r="R1052" s="314" t="str" cm="1">
        <f t="array" ref="R1052">IFERROR(IF(INDEX('Disaggregation Records'!$G$156:$G$517,MATCH(RIGHT(L1052,255),RIGHT('Disaggregation Records'!$D$156:$D$517,255),0))="","",INDEX('Disaggregation Records'!$G$156:$G$517,MATCH(RIGHT(L1052,255),RIGHT('Disaggregation Records'!$D$156:$D$517,255),0))),"")</f>
        <v/>
      </c>
    </row>
    <row r="1053" spans="1:18" ht="20.100000000000001" customHeight="1">
      <c r="A1053" s="126" t="str">
        <f t="shared" ca="1" si="1187"/>
        <v>a16Dm000000M3tfIAC</v>
      </c>
      <c r="B1053" s="570">
        <v>11</v>
      </c>
      <c r="C1053" s="572" t="str">
        <f ca="1">IFERROR(VLOOKUP(B1053,'Coverage Indicators - Section D'!$A$9:$AO$94,41,FALSE),"")</f>
        <v>DRTB-9 Treatment success rate of RR-TB and/or MDR-TB: Percentage of patients with RR and/or MDR-TB successfully treated</v>
      </c>
      <c r="D1053" s="574" t="str">
        <f ca="1">M1053</f>
        <v/>
      </c>
      <c r="E1053" s="574" t="str">
        <f ca="1">N1053</f>
        <v/>
      </c>
      <c r="F1053" s="127"/>
      <c r="G1053" s="576" t="str">
        <f ca="1">IF(OR(INDIRECT("'update Helper'!E"&amp;Q1053)="",F1053&lt;&gt;0,F1054&lt;&gt;0),IF(IFERROR((F1053/F1054),"")="","",(F1053/F1054)),INDIRECT("'update Helper'!E"&amp;Q1053)/100)</f>
        <v/>
      </c>
      <c r="H1053" s="539"/>
      <c r="I1053" s="578"/>
      <c r="J1053" s="532"/>
      <c r="K1053" s="126">
        <f ca="1">IF(AND(EXACT(C1053,C1051),C1051&lt;&gt;0),K1051+1,0)</f>
        <v>16</v>
      </c>
      <c r="L1053" s="126" t="str">
        <f t="shared" ref="L1053" ca="1" si="1233">IF(C1053&lt;&gt;"",C1053&amp;"-"&amp;K1053,"")</f>
        <v>DRTB-9 Treatment success rate of RR-TB and/or MDR-TB: Percentage of patients with RR and/or MDR-TB successfully treated-16</v>
      </c>
      <c r="M1053" s="126" t="str">
        <f t="array" aca="1" ref="M1053" ca="1">IFERROR(IF(INDEX('Disaggregation Records'!$E$156:$E$517,MATCH(RIGHT(L1053,255),RIGHT('Disaggregation Records'!$D$156:$D$517,255),0))="","",INDEX('Disaggregation Records'!$E$156:$E$517,MATCH(RIGHT(L1053,255),RIGHT('Disaggregation Records'!$D$156:$D$517,255),0))),"")</f>
        <v/>
      </c>
      <c r="N1053" s="126" t="str">
        <f t="array" aca="1" ref="N1053" ca="1">IFERROR(IF(INDEX('Disaggregation Records'!$F$156:$F$517,MATCH(RIGHT(L1053,255),RIGHT('Disaggregation Records'!$D$156:$D$517,255),0))="","",INDEX('Disaggregation Records'!$F$156:$F$517,MATCH(RIGHT(L1053,255),RIGHT('Disaggregation Records'!$D$156:$D$517,255),0))),"")</f>
        <v/>
      </c>
      <c r="O1053" s="314" t="str">
        <f t="array" aca="1" ref="O1053" ca="1">IFERROR(IF(INDEX('Disaggregation Records'!$H$156:$H$517,MATCH(RIGHT(L1053,255),RIGHT('Disaggregation Records'!$D$156:$D$517,255),0))="","",INDEX('Disaggregation Records'!$H$156:$H$517,MATCH(RIGHT(L1053,255),RIGHT('Disaggregation Records'!$D$156:$D$517,255),0))),"")</f>
        <v/>
      </c>
      <c r="P1053" s="314"/>
      <c r="Q1053" s="310">
        <f t="shared" ref="Q1053" si="1234">Q1051+1</f>
        <v>1828</v>
      </c>
      <c r="R1053" s="314" t="str" cm="1">
        <f t="array" aca="1" ref="R1053" ca="1">IFERROR(IF(INDEX('Disaggregation Records'!$G$156:$G$517,MATCH(RIGHT(L1053,255),RIGHT('Disaggregation Records'!$D$156:$D$517,255),0))="","",INDEX('Disaggregation Records'!$G$156:$G$517,MATCH(RIGHT(L1053,255),RIGHT('Disaggregation Records'!$D$156:$D$517,255),0))),"")</f>
        <v/>
      </c>
    </row>
    <row r="1054" spans="1:18" ht="20.100000000000001" customHeight="1">
      <c r="A1054" s="126"/>
      <c r="B1054" s="571"/>
      <c r="C1054" s="573"/>
      <c r="D1054" s="575"/>
      <c r="E1054" s="575"/>
      <c r="F1054" s="128"/>
      <c r="G1054" s="577"/>
      <c r="H1054" s="540"/>
      <c r="I1054" s="579"/>
      <c r="J1054" s="533"/>
      <c r="K1054" s="126"/>
      <c r="L1054" s="126"/>
      <c r="M1054" s="126"/>
      <c r="N1054" s="126"/>
      <c r="O1054" s="314"/>
      <c r="P1054" s="314"/>
      <c r="Q1054" s="310"/>
      <c r="R1054" s="314" t="str" cm="1">
        <f t="array" ref="R1054">IFERROR(IF(INDEX('Disaggregation Records'!$G$156:$G$517,MATCH(RIGHT(L1054,255),RIGHT('Disaggregation Records'!$D$156:$D$517,255),0))="","",INDEX('Disaggregation Records'!$G$156:$G$517,MATCH(RIGHT(L1054,255),RIGHT('Disaggregation Records'!$D$156:$D$517,255),0))),"")</f>
        <v/>
      </c>
    </row>
    <row r="1055" spans="1:18" ht="20.100000000000001" customHeight="1">
      <c r="A1055" s="126" t="str">
        <f t="shared" ca="1" si="1190"/>
        <v>a16Dm000000M3tgIAC</v>
      </c>
      <c r="B1055" s="570">
        <v>11</v>
      </c>
      <c r="C1055" s="572" t="str">
        <f ca="1">IFERROR(VLOOKUP(B1055,'Coverage Indicators - Section D'!$A$9:$AO$94,41,FALSE),"")</f>
        <v>DRTB-9 Treatment success rate of RR-TB and/or MDR-TB: Percentage of patients with RR and/or MDR-TB successfully treated</v>
      </c>
      <c r="D1055" s="574" t="str">
        <f ca="1">M1055</f>
        <v/>
      </c>
      <c r="E1055" s="574" t="str">
        <f ca="1">N1055</f>
        <v/>
      </c>
      <c r="F1055" s="127"/>
      <c r="G1055" s="576" t="str">
        <f ca="1">IF(OR(INDIRECT("'update Helper'!E"&amp;Q1055)="",F1055&lt;&gt;0,F1056&lt;&gt;0),IF(IFERROR((F1055/F1056),"")="","",(F1055/F1056)),INDIRECT("'update Helper'!E"&amp;Q1055)/100)</f>
        <v/>
      </c>
      <c r="H1055" s="539"/>
      <c r="I1055" s="578"/>
      <c r="J1055" s="532"/>
      <c r="K1055" s="126">
        <f ca="1">IF(AND(EXACT(C1055,C1053),C1053&lt;&gt;0),K1053+1,0)</f>
        <v>17</v>
      </c>
      <c r="L1055" s="126" t="str">
        <f t="shared" ref="L1055" ca="1" si="1235">IF(C1055&lt;&gt;"",C1055&amp;"-"&amp;K1055,"")</f>
        <v>DRTB-9 Treatment success rate of RR-TB and/or MDR-TB: Percentage of patients with RR and/or MDR-TB successfully treated-17</v>
      </c>
      <c r="M1055" s="126" t="str">
        <f t="array" aca="1" ref="M1055" ca="1">IFERROR(IF(INDEX('Disaggregation Records'!$E$156:$E$517,MATCH(RIGHT(L1055,255),RIGHT('Disaggregation Records'!$D$156:$D$517,255),0))="","",INDEX('Disaggregation Records'!$E$156:$E$517,MATCH(RIGHT(L1055,255),RIGHT('Disaggregation Records'!$D$156:$D$517,255),0))),"")</f>
        <v/>
      </c>
      <c r="N1055" s="126" t="str">
        <f t="array" aca="1" ref="N1055" ca="1">IFERROR(IF(INDEX('Disaggregation Records'!$F$156:$F$517,MATCH(RIGHT(L1055,255),RIGHT('Disaggregation Records'!$D$156:$D$517,255),0))="","",INDEX('Disaggregation Records'!$F$156:$F$517,MATCH(RIGHT(L1055,255),RIGHT('Disaggregation Records'!$D$156:$D$517,255),0))),"")</f>
        <v/>
      </c>
      <c r="O1055" s="314" t="str">
        <f t="array" aca="1" ref="O1055" ca="1">IFERROR(IF(INDEX('Disaggregation Records'!$H$156:$H$517,MATCH(RIGHT(L1055,255),RIGHT('Disaggregation Records'!$D$156:$D$517,255),0))="","",INDEX('Disaggregation Records'!$H$156:$H$517,MATCH(RIGHT(L1055,255),RIGHT('Disaggregation Records'!$D$156:$D$517,255),0))),"")</f>
        <v/>
      </c>
      <c r="P1055" s="310"/>
      <c r="Q1055" s="310">
        <f t="shared" ref="Q1055" si="1236">Q1053+1</f>
        <v>1829</v>
      </c>
      <c r="R1055" s="314" t="str" cm="1">
        <f t="array" aca="1" ref="R1055" ca="1">IFERROR(IF(INDEX('Disaggregation Records'!$G$156:$G$517,MATCH(RIGHT(L1055,255),RIGHT('Disaggregation Records'!$D$156:$D$517,255),0))="","",INDEX('Disaggregation Records'!$G$156:$G$517,MATCH(RIGHT(L1055,255),RIGHT('Disaggregation Records'!$D$156:$D$517,255),0))),"")</f>
        <v/>
      </c>
    </row>
    <row r="1056" spans="1:18" ht="20.100000000000001" customHeight="1">
      <c r="B1056" s="571"/>
      <c r="C1056" s="573"/>
      <c r="D1056" s="575"/>
      <c r="E1056" s="575"/>
      <c r="F1056" s="128"/>
      <c r="G1056" s="577"/>
      <c r="H1056" s="540"/>
      <c r="I1056" s="579"/>
      <c r="J1056" s="533"/>
      <c r="L1056" s="126"/>
      <c r="N1056" s="126"/>
      <c r="O1056" s="314"/>
      <c r="P1056" s="310"/>
      <c r="Q1056" s="310"/>
      <c r="R1056" s="314" t="str" cm="1">
        <f t="array" ref="R1056">IFERROR(IF(INDEX('Disaggregation Records'!$G$156:$G$517,MATCH(RIGHT(L1056,255),RIGHT('Disaggregation Records'!$D$156:$D$517,255),0))="","",INDEX('Disaggregation Records'!$G$156:$G$517,MATCH(RIGHT(L1056,255),RIGHT('Disaggregation Records'!$D$156:$D$517,255),0))),"")</f>
        <v/>
      </c>
    </row>
    <row r="1057" spans="1:18" ht="20.100000000000001" customHeight="1">
      <c r="A1057" s="126" t="str">
        <f t="shared" ca="1" si="1187"/>
        <v>a16Dm000000M3thIAC</v>
      </c>
      <c r="B1057" s="570">
        <v>11</v>
      </c>
      <c r="C1057" s="572" t="str">
        <f ca="1">IFERROR(VLOOKUP(B1057,'Coverage Indicators - Section D'!$A$9:$AO$94,41,FALSE),"")</f>
        <v>DRTB-9 Treatment success rate of RR-TB and/or MDR-TB: Percentage of patients with RR and/or MDR-TB successfully treated</v>
      </c>
      <c r="D1057" s="574" t="str">
        <f ca="1">M1057</f>
        <v/>
      </c>
      <c r="E1057" s="574" t="str">
        <f ca="1">N1057</f>
        <v/>
      </c>
      <c r="F1057" s="127"/>
      <c r="G1057" s="576" t="str">
        <f ca="1">IF(OR(INDIRECT("'update Helper'!E"&amp;Q1057)="",F1057&lt;&gt;0,F1058&lt;&gt;0),IF(IFERROR((F1057/F1058),"")="","",(F1057/F1058)),INDIRECT("'update Helper'!E"&amp;Q1057)/100)</f>
        <v/>
      </c>
      <c r="H1057" s="539"/>
      <c r="I1057" s="578"/>
      <c r="J1057" s="532"/>
      <c r="K1057" s="126">
        <f ca="1">IF(AND(EXACT(C1057,C1055),C1055&lt;&gt;0),K1055+1,0)</f>
        <v>18</v>
      </c>
      <c r="L1057" s="126" t="str">
        <f t="shared" ref="L1057" ca="1" si="1237">IF(C1057&lt;&gt;"",C1057&amp;"-"&amp;K1057,"")</f>
        <v>DRTB-9 Treatment success rate of RR-TB and/or MDR-TB: Percentage of patients with RR and/or MDR-TB successfully treated-18</v>
      </c>
      <c r="M1057" s="126" t="str">
        <f t="array" aca="1" ref="M1057" ca="1">IFERROR(IF(INDEX('Disaggregation Records'!$E$156:$E$517,MATCH(RIGHT(L1057,255),RIGHT('Disaggregation Records'!$D$156:$D$517,255),0))="","",INDEX('Disaggregation Records'!$E$156:$E$517,MATCH(RIGHT(L1057,255),RIGHT('Disaggregation Records'!$D$156:$D$517,255),0))),"")</f>
        <v/>
      </c>
      <c r="N1057" s="126" t="str">
        <f t="array" aca="1" ref="N1057" ca="1">IFERROR(IF(INDEX('Disaggregation Records'!$F$156:$F$517,MATCH(RIGHT(L1057,255),RIGHT('Disaggregation Records'!$D$156:$D$517,255),0))="","",INDEX('Disaggregation Records'!$F$156:$F$517,MATCH(RIGHT(L1057,255),RIGHT('Disaggregation Records'!$D$156:$D$517,255),0))),"")</f>
        <v/>
      </c>
      <c r="O1057" s="314" t="str">
        <f t="array" aca="1" ref="O1057" ca="1">IFERROR(IF(INDEX('Disaggregation Records'!$H$156:$H$517,MATCH(RIGHT(L1057,255),RIGHT('Disaggregation Records'!$D$156:$D$517,255),0))="","",INDEX('Disaggregation Records'!$H$156:$H$517,MATCH(RIGHT(L1057,255),RIGHT('Disaggregation Records'!$D$156:$D$517,255),0))),"")</f>
        <v/>
      </c>
      <c r="P1057" s="310"/>
      <c r="Q1057" s="310">
        <f t="shared" ref="Q1057" si="1238">Q1055+1</f>
        <v>1830</v>
      </c>
      <c r="R1057" s="314" t="str" cm="1">
        <f t="array" aca="1" ref="R1057" ca="1">IFERROR(IF(INDEX('Disaggregation Records'!$G$156:$G$517,MATCH(RIGHT(L1057,255),RIGHT('Disaggregation Records'!$D$156:$D$517,255),0))="","",INDEX('Disaggregation Records'!$G$156:$G$517,MATCH(RIGHT(L1057,255),RIGHT('Disaggregation Records'!$D$156:$D$517,255),0))),"")</f>
        <v/>
      </c>
    </row>
    <row r="1058" spans="1:18" ht="20.100000000000001" customHeight="1">
      <c r="A1058" s="126"/>
      <c r="B1058" s="571"/>
      <c r="C1058" s="573"/>
      <c r="D1058" s="575"/>
      <c r="E1058" s="575"/>
      <c r="F1058" s="128"/>
      <c r="G1058" s="577"/>
      <c r="H1058" s="540"/>
      <c r="I1058" s="579"/>
      <c r="J1058" s="533"/>
      <c r="L1058" s="126"/>
      <c r="N1058" s="126"/>
      <c r="O1058" s="314"/>
      <c r="P1058" s="310"/>
      <c r="Q1058" s="310"/>
      <c r="R1058" s="314" t="str" cm="1">
        <f t="array" ref="R1058">IFERROR(IF(INDEX('Disaggregation Records'!$G$156:$G$517,MATCH(RIGHT(L1058,255),RIGHT('Disaggregation Records'!$D$156:$D$517,255),0))="","",INDEX('Disaggregation Records'!$G$156:$G$517,MATCH(RIGHT(L1058,255),RIGHT('Disaggregation Records'!$D$156:$D$517,255),0))),"")</f>
        <v/>
      </c>
    </row>
    <row r="1059" spans="1:18" ht="20.100000000000001" customHeight="1">
      <c r="A1059" s="126" t="str">
        <f t="shared" ca="1" si="1190"/>
        <v>a16Dm000000M3tiIAC</v>
      </c>
      <c r="B1059" s="570">
        <v>11</v>
      </c>
      <c r="C1059" s="572" t="str">
        <f ca="1">IFERROR(VLOOKUP(B1059,'Coverage Indicators - Section D'!$A$9:$AO$94,41,FALSE),"")</f>
        <v>DRTB-9 Treatment success rate of RR-TB and/or MDR-TB: Percentage of patients with RR and/or MDR-TB successfully treated</v>
      </c>
      <c r="D1059" s="574" t="str">
        <f ca="1">M1059</f>
        <v/>
      </c>
      <c r="E1059" s="574" t="str">
        <f ca="1">N1059</f>
        <v/>
      </c>
      <c r="F1059" s="127"/>
      <c r="G1059" s="576" t="str">
        <f ca="1">IF(OR(INDIRECT("'update Helper'!E"&amp;Q1059)="",F1059&lt;&gt;0,F1060&lt;&gt;0),IF(IFERROR((F1059/F1060),"")="","",(F1059/F1060)),INDIRECT("'update Helper'!E"&amp;Q1059)/100)</f>
        <v/>
      </c>
      <c r="H1059" s="539"/>
      <c r="I1059" s="578"/>
      <c r="J1059" s="532"/>
      <c r="K1059" s="126">
        <f ca="1">IF(AND(EXACT(C1059,C1057),C1057&lt;&gt;0),K1057+1,0)</f>
        <v>19</v>
      </c>
      <c r="L1059" s="126" t="str">
        <f t="shared" ref="L1059" ca="1" si="1239">IF(C1059&lt;&gt;"",C1059&amp;"-"&amp;K1059,"")</f>
        <v>DRTB-9 Treatment success rate of RR-TB and/or MDR-TB: Percentage of patients with RR and/or MDR-TB successfully treated-19</v>
      </c>
      <c r="M1059" s="126" t="str">
        <f t="array" aca="1" ref="M1059" ca="1">IFERROR(IF(INDEX('Disaggregation Records'!$E$156:$E$517,MATCH(RIGHT(L1059,255),RIGHT('Disaggregation Records'!$D$156:$D$517,255),0))="","",INDEX('Disaggregation Records'!$E$156:$E$517,MATCH(RIGHT(L1059,255),RIGHT('Disaggregation Records'!$D$156:$D$517,255),0))),"")</f>
        <v/>
      </c>
      <c r="N1059" s="126" t="str">
        <f t="array" aca="1" ref="N1059" ca="1">IFERROR(IF(INDEX('Disaggregation Records'!$F$156:$F$517,MATCH(RIGHT(L1059,255),RIGHT('Disaggregation Records'!$D$156:$D$517,255),0))="","",INDEX('Disaggregation Records'!$F$156:$F$517,MATCH(RIGHT(L1059,255),RIGHT('Disaggregation Records'!$D$156:$D$517,255),0))),"")</f>
        <v/>
      </c>
      <c r="O1059" s="314" t="str">
        <f t="array" aca="1" ref="O1059" ca="1">IFERROR(IF(INDEX('Disaggregation Records'!$H$156:$H$517,MATCH(RIGHT(L1059,255),RIGHT('Disaggregation Records'!$D$156:$D$517,255),0))="","",INDEX('Disaggregation Records'!$H$156:$H$517,MATCH(RIGHT(L1059,255),RIGHT('Disaggregation Records'!$D$156:$D$517,255),0))),"")</f>
        <v/>
      </c>
      <c r="P1059" s="310"/>
      <c r="Q1059" s="310">
        <f t="shared" ref="Q1059" si="1240">Q1057+1</f>
        <v>1831</v>
      </c>
      <c r="R1059" s="314" t="str" cm="1">
        <f t="array" aca="1" ref="R1059" ca="1">IFERROR(IF(INDEX('Disaggregation Records'!$G$156:$G$517,MATCH(RIGHT(L1059,255),RIGHT('Disaggregation Records'!$D$156:$D$517,255),0))="","",INDEX('Disaggregation Records'!$G$156:$G$517,MATCH(RIGHT(L1059,255),RIGHT('Disaggregation Records'!$D$156:$D$517,255),0))),"")</f>
        <v/>
      </c>
    </row>
    <row r="1060" spans="1:18" ht="20.100000000000001" customHeight="1">
      <c r="B1060" s="571"/>
      <c r="C1060" s="573"/>
      <c r="D1060" s="575"/>
      <c r="E1060" s="575"/>
      <c r="F1060" s="128"/>
      <c r="G1060" s="577"/>
      <c r="H1060" s="540"/>
      <c r="I1060" s="579"/>
      <c r="J1060" s="533"/>
      <c r="L1060" s="126"/>
      <c r="N1060" s="126"/>
      <c r="O1060" s="314"/>
      <c r="P1060" s="310"/>
      <c r="Q1060" s="310"/>
      <c r="R1060" s="314" t="str" cm="1">
        <f t="array" ref="R1060">IFERROR(IF(INDEX('Disaggregation Records'!$G$156:$G$517,MATCH(RIGHT(L1060,255),RIGHT('Disaggregation Records'!$D$156:$D$517,255),0))="","",INDEX('Disaggregation Records'!$G$156:$G$517,MATCH(RIGHT(L1060,255),RIGHT('Disaggregation Records'!$D$156:$D$517,255),0))),"")</f>
        <v/>
      </c>
    </row>
    <row r="1061" spans="1:18" ht="20.100000000000001" customHeight="1">
      <c r="A1061" s="126" t="str">
        <f t="shared" ca="1" si="1187"/>
        <v>a16Dm000000M3tjIAC</v>
      </c>
      <c r="B1061" s="570">
        <v>12</v>
      </c>
      <c r="C1061" s="572" t="str">
        <f ca="1">IFERROR(VLOOKUP(B1061,'Coverage Indicators - Section D'!$A$9:$AO$94,41,FALSE),"")</f>
        <v/>
      </c>
      <c r="D1061" s="574" t="str">
        <f ca="1">M1061</f>
        <v/>
      </c>
      <c r="E1061" s="574" t="str">
        <f ca="1">N1061</f>
        <v/>
      </c>
      <c r="F1061" s="127"/>
      <c r="G1061" s="576" t="str">
        <f ca="1">IF(OR(INDIRECT("'update Helper'!E"&amp;Q1061)="",F1061&lt;&gt;0,F1062&lt;&gt;0),IF(IFERROR((F1061/F1062),"")="","",(F1061/F1062)),INDIRECT("'update Helper'!E"&amp;Q1061)/100)</f>
        <v/>
      </c>
      <c r="H1061" s="539"/>
      <c r="I1061" s="578"/>
      <c r="J1061" s="532"/>
      <c r="K1061" s="126">
        <f ca="1">IF(AND(EXACT(C1061,C1059),C1059&lt;&gt;0),K1059+1,0)</f>
        <v>0</v>
      </c>
      <c r="L1061" s="126" t="str">
        <f t="shared" ref="L1061" ca="1" si="1241">IF(C1061&lt;&gt;"",C1061&amp;"-"&amp;K1061,"")</f>
        <v/>
      </c>
      <c r="M1061" s="126" t="str">
        <f t="array" aca="1" ref="M1061" ca="1">IFERROR(IF(INDEX('Disaggregation Records'!$E$156:$E$517,MATCH(RIGHT(L1061,255),RIGHT('Disaggregation Records'!$D$156:$D$517,255),0))="","",INDEX('Disaggregation Records'!$E$156:$E$517,MATCH(RIGHT(L1061,255),RIGHT('Disaggregation Records'!$D$156:$D$517,255),0))),"")</f>
        <v/>
      </c>
      <c r="N1061" s="126" t="str">
        <f t="array" aca="1" ref="N1061" ca="1">IFERROR(IF(INDEX('Disaggregation Records'!$F$156:$F$517,MATCH(RIGHT(L1061,255),RIGHT('Disaggregation Records'!$D$156:$D$517,255),0))="","",INDEX('Disaggregation Records'!$F$156:$F$517,MATCH(RIGHT(L1061,255),RIGHT('Disaggregation Records'!$D$156:$D$517,255),0))),"")</f>
        <v/>
      </c>
      <c r="O1061" s="314" t="str">
        <f t="array" aca="1" ref="O1061" ca="1">IFERROR(IF(INDEX('Disaggregation Records'!$H$156:$H$517,MATCH(RIGHT(L1061,255),RIGHT('Disaggregation Records'!$D$156:$D$517,255),0))="","",INDEX('Disaggregation Records'!$H$156:$H$517,MATCH(RIGHT(L1061,255),RIGHT('Disaggregation Records'!$D$156:$D$517,255),0))),"")</f>
        <v/>
      </c>
      <c r="P1061" s="314"/>
      <c r="Q1061" s="310">
        <f t="shared" ref="Q1061" si="1242">Q1059+1</f>
        <v>1832</v>
      </c>
      <c r="R1061" s="314" t="str" cm="1">
        <f t="array" aca="1" ref="R1061" ca="1">IFERROR(IF(INDEX('Disaggregation Records'!$G$156:$G$517,MATCH(RIGHT(L1061,255),RIGHT('Disaggregation Records'!$D$156:$D$517,255),0))="","",INDEX('Disaggregation Records'!$G$156:$G$517,MATCH(RIGHT(L1061,255),RIGHT('Disaggregation Records'!$D$156:$D$517,255),0))),"")</f>
        <v/>
      </c>
    </row>
    <row r="1062" spans="1:18" ht="20.100000000000001" customHeight="1">
      <c r="A1062" s="126"/>
      <c r="B1062" s="571"/>
      <c r="C1062" s="573"/>
      <c r="D1062" s="575"/>
      <c r="E1062" s="575"/>
      <c r="F1062" s="128"/>
      <c r="G1062" s="577"/>
      <c r="H1062" s="540"/>
      <c r="I1062" s="579"/>
      <c r="J1062" s="533"/>
      <c r="K1062" s="126"/>
      <c r="L1062" s="126"/>
      <c r="M1062" s="126"/>
      <c r="N1062" s="126"/>
      <c r="O1062" s="314"/>
      <c r="P1062" s="314"/>
      <c r="Q1062" s="310"/>
      <c r="R1062" s="314" t="str" cm="1">
        <f t="array" ref="R1062">IFERROR(IF(INDEX('Disaggregation Records'!$G$156:$G$517,MATCH(RIGHT(L1062,255),RIGHT('Disaggregation Records'!$D$156:$D$517,255),0))="","",INDEX('Disaggregation Records'!$G$156:$G$517,MATCH(RIGHT(L1062,255),RIGHT('Disaggregation Records'!$D$156:$D$517,255),0))),"")</f>
        <v/>
      </c>
    </row>
    <row r="1063" spans="1:18" ht="20.100000000000001" customHeight="1">
      <c r="A1063" s="126" t="str">
        <f t="shared" ca="1" si="1190"/>
        <v>a16Dm000000M3tkIAC</v>
      </c>
      <c r="B1063" s="570">
        <v>12</v>
      </c>
      <c r="C1063" s="572" t="str">
        <f ca="1">IFERROR(VLOOKUP(B1063,'Coverage Indicators - Section D'!$A$9:$AO$94,41,FALSE),"")</f>
        <v/>
      </c>
      <c r="D1063" s="574" t="str">
        <f ca="1">M1063</f>
        <v/>
      </c>
      <c r="E1063" s="574" t="str">
        <f ca="1">N1063</f>
        <v/>
      </c>
      <c r="F1063" s="127"/>
      <c r="G1063" s="576" t="str">
        <f ca="1">IF(OR(INDIRECT("'update Helper'!E"&amp;Q1063)="",F1063&lt;&gt;0,F1064&lt;&gt;0),IF(IFERROR((F1063/F1064),"")="","",(F1063/F1064)),INDIRECT("'update Helper'!E"&amp;Q1063)/100)</f>
        <v/>
      </c>
      <c r="H1063" s="539"/>
      <c r="I1063" s="578"/>
      <c r="J1063" s="532"/>
      <c r="K1063" s="126">
        <f ca="1">IF(AND(EXACT(C1063,C1061),C1061&lt;&gt;0),K1061+1,0)</f>
        <v>1</v>
      </c>
      <c r="L1063" s="126" t="str">
        <f t="shared" ref="L1063" ca="1" si="1243">IF(C1063&lt;&gt;"",C1063&amp;"-"&amp;K1063,"")</f>
        <v/>
      </c>
      <c r="M1063" s="126" t="str">
        <f t="array" aca="1" ref="M1063" ca="1">IFERROR(IF(INDEX('Disaggregation Records'!$E$156:$E$517,MATCH(RIGHT(L1063,255),RIGHT('Disaggregation Records'!$D$156:$D$517,255),0))="","",INDEX('Disaggregation Records'!$E$156:$E$517,MATCH(RIGHT(L1063,255),RIGHT('Disaggregation Records'!$D$156:$D$517,255),0))),"")</f>
        <v/>
      </c>
      <c r="N1063" s="126" t="str">
        <f t="array" aca="1" ref="N1063" ca="1">IFERROR(IF(INDEX('Disaggregation Records'!$F$156:$F$517,MATCH(RIGHT(L1063,255),RIGHT('Disaggregation Records'!$D$156:$D$517,255),0))="","",INDEX('Disaggregation Records'!$F$156:$F$517,MATCH(RIGHT(L1063,255),RIGHT('Disaggregation Records'!$D$156:$D$517,255),0))),"")</f>
        <v/>
      </c>
      <c r="O1063" s="314" t="str">
        <f t="array" aca="1" ref="O1063" ca="1">IFERROR(IF(INDEX('Disaggregation Records'!$H$156:$H$517,MATCH(RIGHT(L1063,255),RIGHT('Disaggregation Records'!$D$156:$D$517,255),0))="","",INDEX('Disaggregation Records'!$H$156:$H$517,MATCH(RIGHT(L1063,255),RIGHT('Disaggregation Records'!$D$156:$D$517,255),0))),"")</f>
        <v/>
      </c>
      <c r="P1063" s="314"/>
      <c r="Q1063" s="310">
        <f t="shared" ref="Q1063" si="1244">Q1061+1</f>
        <v>1833</v>
      </c>
      <c r="R1063" s="314" t="str" cm="1">
        <f t="array" aca="1" ref="R1063" ca="1">IFERROR(IF(INDEX('Disaggregation Records'!$G$156:$G$517,MATCH(RIGHT(L1063,255),RIGHT('Disaggregation Records'!$D$156:$D$517,255),0))="","",INDEX('Disaggregation Records'!$G$156:$G$517,MATCH(RIGHT(L1063,255),RIGHT('Disaggregation Records'!$D$156:$D$517,255),0))),"")</f>
        <v/>
      </c>
    </row>
    <row r="1064" spans="1:18" ht="20.100000000000001" customHeight="1">
      <c r="B1064" s="571"/>
      <c r="C1064" s="573"/>
      <c r="D1064" s="575"/>
      <c r="E1064" s="575"/>
      <c r="F1064" s="128"/>
      <c r="G1064" s="577"/>
      <c r="H1064" s="540"/>
      <c r="I1064" s="579"/>
      <c r="J1064" s="533"/>
      <c r="K1064" s="126"/>
      <c r="L1064" s="126"/>
      <c r="M1064" s="126"/>
      <c r="N1064" s="126"/>
      <c r="O1064" s="314"/>
      <c r="P1064" s="314"/>
      <c r="Q1064" s="310"/>
      <c r="R1064" s="314" t="str" cm="1">
        <f t="array" ref="R1064">IFERROR(IF(INDEX('Disaggregation Records'!$G$156:$G$517,MATCH(RIGHT(L1064,255),RIGHT('Disaggregation Records'!$D$156:$D$517,255),0))="","",INDEX('Disaggregation Records'!$G$156:$G$517,MATCH(RIGHT(L1064,255),RIGHT('Disaggregation Records'!$D$156:$D$517,255),0))),"")</f>
        <v/>
      </c>
    </row>
    <row r="1065" spans="1:18" ht="20.100000000000001" customHeight="1">
      <c r="A1065" s="126" t="str">
        <f t="shared" ca="1" si="1187"/>
        <v>a16Dm000000M3tlIAC</v>
      </c>
      <c r="B1065" s="570">
        <v>12</v>
      </c>
      <c r="C1065" s="572" t="str">
        <f ca="1">IFERROR(VLOOKUP(B1065,'Coverage Indicators - Section D'!$A$9:$AO$94,41,FALSE),"")</f>
        <v/>
      </c>
      <c r="D1065" s="574" t="str">
        <f ca="1">M1065</f>
        <v/>
      </c>
      <c r="E1065" s="574" t="str">
        <f ca="1">N1065</f>
        <v/>
      </c>
      <c r="F1065" s="127"/>
      <c r="G1065" s="576" t="str">
        <f ca="1">IF(OR(INDIRECT("'update Helper'!E"&amp;Q1065)="",F1065&lt;&gt;0,F1066&lt;&gt;0),IF(IFERROR((F1065/F1066),"")="","",(F1065/F1066)),INDIRECT("'update Helper'!E"&amp;Q1065)/100)</f>
        <v/>
      </c>
      <c r="H1065" s="539"/>
      <c r="I1065" s="578"/>
      <c r="J1065" s="532"/>
      <c r="K1065" s="126">
        <f ca="1">IF(AND(EXACT(C1065,C1063),C1063&lt;&gt;0),K1063+1,0)</f>
        <v>2</v>
      </c>
      <c r="L1065" s="126" t="str">
        <f t="shared" ref="L1065" ca="1" si="1245">IF(C1065&lt;&gt;"",C1065&amp;"-"&amp;K1065,"")</f>
        <v/>
      </c>
      <c r="M1065" s="126" t="str">
        <f t="array" aca="1" ref="M1065" ca="1">IFERROR(IF(INDEX('Disaggregation Records'!$E$156:$E$517,MATCH(RIGHT(L1065,255),RIGHT('Disaggregation Records'!$D$156:$D$517,255),0))="","",INDEX('Disaggregation Records'!$E$156:$E$517,MATCH(RIGHT(L1065,255),RIGHT('Disaggregation Records'!$D$156:$D$517,255),0))),"")</f>
        <v/>
      </c>
      <c r="N1065" s="126" t="str">
        <f t="array" aca="1" ref="N1065" ca="1">IFERROR(IF(INDEX('Disaggregation Records'!$F$156:$F$517,MATCH(RIGHT(L1065,255),RIGHT('Disaggregation Records'!$D$156:$D$517,255),0))="","",INDEX('Disaggregation Records'!$F$156:$F$517,MATCH(RIGHT(L1065,255),RIGHT('Disaggregation Records'!$D$156:$D$517,255),0))),"")</f>
        <v/>
      </c>
      <c r="O1065" s="314" t="str">
        <f t="array" aca="1" ref="O1065" ca="1">IFERROR(IF(INDEX('Disaggregation Records'!$H$156:$H$517,MATCH(RIGHT(L1065,255),RIGHT('Disaggregation Records'!$D$156:$D$517,255),0))="","",INDEX('Disaggregation Records'!$H$156:$H$517,MATCH(RIGHT(L1065,255),RIGHT('Disaggregation Records'!$D$156:$D$517,255),0))),"")</f>
        <v/>
      </c>
      <c r="P1065" s="310"/>
      <c r="Q1065" s="310">
        <f t="shared" ref="Q1065" si="1246">Q1063+1</f>
        <v>1834</v>
      </c>
      <c r="R1065" s="314" t="str" cm="1">
        <f t="array" aca="1" ref="R1065" ca="1">IFERROR(IF(INDEX('Disaggregation Records'!$G$156:$G$517,MATCH(RIGHT(L1065,255),RIGHT('Disaggregation Records'!$D$156:$D$517,255),0))="","",INDEX('Disaggregation Records'!$G$156:$G$517,MATCH(RIGHT(L1065,255),RIGHT('Disaggregation Records'!$D$156:$D$517,255),0))),"")</f>
        <v/>
      </c>
    </row>
    <row r="1066" spans="1:18" ht="20.100000000000001" customHeight="1">
      <c r="A1066" s="126"/>
      <c r="B1066" s="571"/>
      <c r="C1066" s="573"/>
      <c r="D1066" s="575"/>
      <c r="E1066" s="575"/>
      <c r="F1066" s="128"/>
      <c r="G1066" s="577"/>
      <c r="H1066" s="540"/>
      <c r="I1066" s="579"/>
      <c r="J1066" s="533"/>
      <c r="L1066" s="126"/>
      <c r="N1066" s="126"/>
      <c r="O1066" s="314"/>
      <c r="P1066" s="310"/>
      <c r="Q1066" s="310"/>
      <c r="R1066" s="314" t="str" cm="1">
        <f t="array" ref="R1066">IFERROR(IF(INDEX('Disaggregation Records'!$G$156:$G$517,MATCH(RIGHT(L1066,255),RIGHT('Disaggregation Records'!$D$156:$D$517,255),0))="","",INDEX('Disaggregation Records'!$G$156:$G$517,MATCH(RIGHT(L1066,255),RIGHT('Disaggregation Records'!$D$156:$D$517,255),0))),"")</f>
        <v/>
      </c>
    </row>
    <row r="1067" spans="1:18" ht="20.100000000000001" customHeight="1">
      <c r="A1067" s="126" t="str">
        <f t="shared" ca="1" si="1190"/>
        <v>a16Dm000000M3tmIAC</v>
      </c>
      <c r="B1067" s="570">
        <v>12</v>
      </c>
      <c r="C1067" s="572" t="str">
        <f ca="1">IFERROR(VLOOKUP(B1067,'Coverage Indicators - Section D'!$A$9:$AO$94,41,FALSE),"")</f>
        <v/>
      </c>
      <c r="D1067" s="574" t="str">
        <f ca="1">M1067</f>
        <v/>
      </c>
      <c r="E1067" s="574" t="str">
        <f ca="1">N1067</f>
        <v/>
      </c>
      <c r="F1067" s="127"/>
      <c r="G1067" s="576" t="str">
        <f ca="1">IF(OR(INDIRECT("'update Helper'!E"&amp;Q1067)="",F1067&lt;&gt;0,F1068&lt;&gt;0),IF(IFERROR((F1067/F1068),"")="","",(F1067/F1068)),INDIRECT("'update Helper'!E"&amp;Q1067)/100)</f>
        <v/>
      </c>
      <c r="H1067" s="539"/>
      <c r="I1067" s="578"/>
      <c r="J1067" s="532"/>
      <c r="K1067" s="126">
        <f ca="1">IF(AND(EXACT(C1067,C1065),C1065&lt;&gt;0),K1065+1,0)</f>
        <v>3</v>
      </c>
      <c r="L1067" s="126" t="str">
        <f t="shared" ref="L1067" ca="1" si="1247">IF(C1067&lt;&gt;"",C1067&amp;"-"&amp;K1067,"")</f>
        <v/>
      </c>
      <c r="M1067" s="126" t="str">
        <f t="array" aca="1" ref="M1067" ca="1">IFERROR(IF(INDEX('Disaggregation Records'!$E$156:$E$517,MATCH(RIGHT(L1067,255),RIGHT('Disaggregation Records'!$D$156:$D$517,255),0))="","",INDEX('Disaggregation Records'!$E$156:$E$517,MATCH(RIGHT(L1067,255),RIGHT('Disaggregation Records'!$D$156:$D$517,255),0))),"")</f>
        <v/>
      </c>
      <c r="N1067" s="126" t="str">
        <f t="array" aca="1" ref="N1067" ca="1">IFERROR(IF(INDEX('Disaggregation Records'!$F$156:$F$517,MATCH(RIGHT(L1067,255),RIGHT('Disaggregation Records'!$D$156:$D$517,255),0))="","",INDEX('Disaggregation Records'!$F$156:$F$517,MATCH(RIGHT(L1067,255),RIGHT('Disaggregation Records'!$D$156:$D$517,255),0))),"")</f>
        <v/>
      </c>
      <c r="O1067" s="314" t="str">
        <f t="array" aca="1" ref="O1067" ca="1">IFERROR(IF(INDEX('Disaggregation Records'!$H$156:$H$517,MATCH(RIGHT(L1067,255),RIGHT('Disaggregation Records'!$D$156:$D$517,255),0))="","",INDEX('Disaggregation Records'!$H$156:$H$517,MATCH(RIGHT(L1067,255),RIGHT('Disaggregation Records'!$D$156:$D$517,255),0))),"")</f>
        <v/>
      </c>
      <c r="P1067" s="310"/>
      <c r="Q1067" s="310">
        <f t="shared" ref="Q1067" si="1248">Q1065+1</f>
        <v>1835</v>
      </c>
      <c r="R1067" s="314" t="str" cm="1">
        <f t="array" aca="1" ref="R1067" ca="1">IFERROR(IF(INDEX('Disaggregation Records'!$G$156:$G$517,MATCH(RIGHT(L1067,255),RIGHT('Disaggregation Records'!$D$156:$D$517,255),0))="","",INDEX('Disaggregation Records'!$G$156:$G$517,MATCH(RIGHT(L1067,255),RIGHT('Disaggregation Records'!$D$156:$D$517,255),0))),"")</f>
        <v/>
      </c>
    </row>
    <row r="1068" spans="1:18" ht="20.100000000000001" customHeight="1">
      <c r="B1068" s="571"/>
      <c r="C1068" s="573"/>
      <c r="D1068" s="575"/>
      <c r="E1068" s="575"/>
      <c r="F1068" s="128"/>
      <c r="G1068" s="577"/>
      <c r="H1068" s="540"/>
      <c r="I1068" s="579"/>
      <c r="J1068" s="533"/>
      <c r="L1068" s="126"/>
      <c r="N1068" s="126"/>
      <c r="O1068" s="314"/>
      <c r="P1068" s="310"/>
      <c r="Q1068" s="310"/>
      <c r="R1068" s="314" t="str" cm="1">
        <f t="array" ref="R1068">IFERROR(IF(INDEX('Disaggregation Records'!$G$156:$G$517,MATCH(RIGHT(L1068,255),RIGHT('Disaggregation Records'!$D$156:$D$517,255),0))="","",INDEX('Disaggregation Records'!$G$156:$G$517,MATCH(RIGHT(L1068,255),RIGHT('Disaggregation Records'!$D$156:$D$517,255),0))),"")</f>
        <v/>
      </c>
    </row>
    <row r="1069" spans="1:18" ht="20.100000000000001" customHeight="1">
      <c r="A1069" s="126" t="str">
        <f t="shared" ca="1" si="1187"/>
        <v>a16Dm000000M3tnIAC</v>
      </c>
      <c r="B1069" s="570">
        <v>12</v>
      </c>
      <c r="C1069" s="572" t="str">
        <f ca="1">IFERROR(VLOOKUP(B1069,'Coverage Indicators - Section D'!$A$9:$AO$94,41,FALSE),"")</f>
        <v/>
      </c>
      <c r="D1069" s="574" t="str">
        <f ca="1">M1069</f>
        <v/>
      </c>
      <c r="E1069" s="574" t="str">
        <f ca="1">N1069</f>
        <v/>
      </c>
      <c r="F1069" s="127"/>
      <c r="G1069" s="576" t="str">
        <f ca="1">IF(OR(INDIRECT("'update Helper'!E"&amp;Q1069)="",F1069&lt;&gt;0,F1070&lt;&gt;0),IF(IFERROR((F1069/F1070),"")="","",(F1069/F1070)),INDIRECT("'update Helper'!E"&amp;Q1069)/100)</f>
        <v/>
      </c>
      <c r="H1069" s="539"/>
      <c r="I1069" s="578"/>
      <c r="J1069" s="532"/>
      <c r="K1069" s="126">
        <f ca="1">IF(AND(EXACT(C1069,C1067),C1067&lt;&gt;0),K1067+1,0)</f>
        <v>4</v>
      </c>
      <c r="L1069" s="126" t="str">
        <f t="shared" ref="L1069" ca="1" si="1249">IF(C1069&lt;&gt;"",C1069&amp;"-"&amp;K1069,"")</f>
        <v/>
      </c>
      <c r="M1069" s="126" t="str">
        <f t="array" aca="1" ref="M1069" ca="1">IFERROR(IF(INDEX('Disaggregation Records'!$E$156:$E$517,MATCH(RIGHT(L1069,255),RIGHT('Disaggregation Records'!$D$156:$D$517,255),0))="","",INDEX('Disaggregation Records'!$E$156:$E$517,MATCH(RIGHT(L1069,255),RIGHT('Disaggregation Records'!$D$156:$D$517,255),0))),"")</f>
        <v/>
      </c>
      <c r="N1069" s="126" t="str">
        <f t="array" aca="1" ref="N1069" ca="1">IFERROR(IF(INDEX('Disaggregation Records'!$F$156:$F$517,MATCH(RIGHT(L1069,255),RIGHT('Disaggregation Records'!$D$156:$D$517,255),0))="","",INDEX('Disaggregation Records'!$F$156:$F$517,MATCH(RIGHT(L1069,255),RIGHT('Disaggregation Records'!$D$156:$D$517,255),0))),"")</f>
        <v/>
      </c>
      <c r="O1069" s="314" t="str">
        <f t="array" aca="1" ref="O1069" ca="1">IFERROR(IF(INDEX('Disaggregation Records'!$H$156:$H$517,MATCH(RIGHT(L1069,255),RIGHT('Disaggregation Records'!$D$156:$D$517,255),0))="","",INDEX('Disaggregation Records'!$H$156:$H$517,MATCH(RIGHT(L1069,255),RIGHT('Disaggregation Records'!$D$156:$D$517,255),0))),"")</f>
        <v/>
      </c>
      <c r="P1069" s="310"/>
      <c r="Q1069" s="310">
        <f t="shared" ref="Q1069" si="1250">Q1067+1</f>
        <v>1836</v>
      </c>
      <c r="R1069" s="314" t="str" cm="1">
        <f t="array" aca="1" ref="R1069" ca="1">IFERROR(IF(INDEX('Disaggregation Records'!$G$156:$G$517,MATCH(RIGHT(L1069,255),RIGHT('Disaggregation Records'!$D$156:$D$517,255),0))="","",INDEX('Disaggregation Records'!$G$156:$G$517,MATCH(RIGHT(L1069,255),RIGHT('Disaggregation Records'!$D$156:$D$517,255),0))),"")</f>
        <v/>
      </c>
    </row>
    <row r="1070" spans="1:18" ht="20.100000000000001" customHeight="1">
      <c r="A1070" s="126"/>
      <c r="B1070" s="571"/>
      <c r="C1070" s="573"/>
      <c r="D1070" s="575"/>
      <c r="E1070" s="575"/>
      <c r="F1070" s="128"/>
      <c r="G1070" s="577"/>
      <c r="H1070" s="540"/>
      <c r="I1070" s="579"/>
      <c r="J1070" s="533"/>
      <c r="L1070" s="126"/>
      <c r="N1070" s="126"/>
      <c r="O1070" s="314"/>
      <c r="P1070" s="310"/>
      <c r="Q1070" s="310"/>
      <c r="R1070" s="314" t="str" cm="1">
        <f t="array" ref="R1070">IFERROR(IF(INDEX('Disaggregation Records'!$G$156:$G$517,MATCH(RIGHT(L1070,255),RIGHT('Disaggregation Records'!$D$156:$D$517,255),0))="","",INDEX('Disaggregation Records'!$G$156:$G$517,MATCH(RIGHT(L1070,255),RIGHT('Disaggregation Records'!$D$156:$D$517,255),0))),"")</f>
        <v/>
      </c>
    </row>
    <row r="1071" spans="1:18" ht="20.100000000000001" customHeight="1">
      <c r="A1071" s="126" t="str">
        <f t="shared" ca="1" si="1190"/>
        <v>a16Dm000000M3toIAC</v>
      </c>
      <c r="B1071" s="570">
        <v>12</v>
      </c>
      <c r="C1071" s="572" t="str">
        <f ca="1">IFERROR(VLOOKUP(B1071,'Coverage Indicators - Section D'!$A$9:$AO$94,41,FALSE),"")</f>
        <v/>
      </c>
      <c r="D1071" s="574" t="str">
        <f ca="1">M1071</f>
        <v/>
      </c>
      <c r="E1071" s="574" t="str">
        <f ca="1">N1071</f>
        <v/>
      </c>
      <c r="F1071" s="127"/>
      <c r="G1071" s="576" t="str">
        <f ca="1">IF(OR(INDIRECT("'update Helper'!E"&amp;Q1071)="",F1071&lt;&gt;0,F1072&lt;&gt;0),IF(IFERROR((F1071/F1072),"")="","",(F1071/F1072)),INDIRECT("'update Helper'!E"&amp;Q1071)/100)</f>
        <v/>
      </c>
      <c r="H1071" s="539"/>
      <c r="I1071" s="578"/>
      <c r="J1071" s="532"/>
      <c r="K1071" s="126">
        <f ca="1">IF(AND(EXACT(C1071,C1069),C1069&lt;&gt;0),K1069+1,0)</f>
        <v>5</v>
      </c>
      <c r="L1071" s="126" t="str">
        <f t="shared" ref="L1071" ca="1" si="1251">IF(C1071&lt;&gt;"",C1071&amp;"-"&amp;K1071,"")</f>
        <v/>
      </c>
      <c r="M1071" s="126" t="str">
        <f t="array" aca="1" ref="M1071" ca="1">IFERROR(IF(INDEX('Disaggregation Records'!$E$156:$E$517,MATCH(RIGHT(L1071,255),RIGHT('Disaggregation Records'!$D$156:$D$517,255),0))="","",INDEX('Disaggregation Records'!$E$156:$E$517,MATCH(RIGHT(L1071,255),RIGHT('Disaggregation Records'!$D$156:$D$517,255),0))),"")</f>
        <v/>
      </c>
      <c r="N1071" s="126" t="str">
        <f t="array" aca="1" ref="N1071" ca="1">IFERROR(IF(INDEX('Disaggregation Records'!$F$156:$F$517,MATCH(RIGHT(L1071,255),RIGHT('Disaggregation Records'!$D$156:$D$517,255),0))="","",INDEX('Disaggregation Records'!$F$156:$F$517,MATCH(RIGHT(L1071,255),RIGHT('Disaggregation Records'!$D$156:$D$517,255),0))),"")</f>
        <v/>
      </c>
      <c r="O1071" s="314" t="str">
        <f t="array" aca="1" ref="O1071" ca="1">IFERROR(IF(INDEX('Disaggregation Records'!$H$156:$H$517,MATCH(RIGHT(L1071,255),RIGHT('Disaggregation Records'!$D$156:$D$517,255),0))="","",INDEX('Disaggregation Records'!$H$156:$H$517,MATCH(RIGHT(L1071,255),RIGHT('Disaggregation Records'!$D$156:$D$517,255),0))),"")</f>
        <v/>
      </c>
      <c r="P1071" s="314"/>
      <c r="Q1071" s="310">
        <f t="shared" ref="Q1071" si="1252">Q1069+1</f>
        <v>1837</v>
      </c>
      <c r="R1071" s="314" t="str" cm="1">
        <f t="array" aca="1" ref="R1071" ca="1">IFERROR(IF(INDEX('Disaggregation Records'!$G$156:$G$517,MATCH(RIGHT(L1071,255),RIGHT('Disaggregation Records'!$D$156:$D$517,255),0))="","",INDEX('Disaggregation Records'!$G$156:$G$517,MATCH(RIGHT(L1071,255),RIGHT('Disaggregation Records'!$D$156:$D$517,255),0))),"")</f>
        <v/>
      </c>
    </row>
    <row r="1072" spans="1:18" ht="20.100000000000001" customHeight="1">
      <c r="B1072" s="571"/>
      <c r="C1072" s="573"/>
      <c r="D1072" s="575"/>
      <c r="E1072" s="575"/>
      <c r="F1072" s="128"/>
      <c r="G1072" s="577"/>
      <c r="H1072" s="540"/>
      <c r="I1072" s="579"/>
      <c r="J1072" s="533"/>
      <c r="K1072" s="126"/>
      <c r="L1072" s="126"/>
      <c r="M1072" s="126"/>
      <c r="N1072" s="126"/>
      <c r="O1072" s="314"/>
      <c r="P1072" s="314"/>
      <c r="Q1072" s="310"/>
      <c r="R1072" s="314" t="str" cm="1">
        <f t="array" ref="R1072">IFERROR(IF(INDEX('Disaggregation Records'!$G$156:$G$517,MATCH(RIGHT(L1072,255),RIGHT('Disaggregation Records'!$D$156:$D$517,255),0))="","",INDEX('Disaggregation Records'!$G$156:$G$517,MATCH(RIGHT(L1072,255),RIGHT('Disaggregation Records'!$D$156:$D$517,255),0))),"")</f>
        <v/>
      </c>
    </row>
    <row r="1073" spans="1:18" ht="20.100000000000001" customHeight="1">
      <c r="A1073" s="126" t="str">
        <f t="shared" ref="A1073:A1133" ca="1" si="1253">INDIRECT("'update Helper'!C"&amp;Q1073)</f>
        <v>a16Dm000000M3tpIAC</v>
      </c>
      <c r="B1073" s="570">
        <v>12</v>
      </c>
      <c r="C1073" s="572" t="str">
        <f ca="1">IFERROR(VLOOKUP(B1073,'Coverage Indicators - Section D'!$A$9:$AO$94,41,FALSE),"")</f>
        <v/>
      </c>
      <c r="D1073" s="574" t="str">
        <f ca="1">M1073</f>
        <v/>
      </c>
      <c r="E1073" s="574" t="str">
        <f ca="1">N1073</f>
        <v/>
      </c>
      <c r="F1073" s="127"/>
      <c r="G1073" s="576" t="str">
        <f ca="1">IF(OR(INDIRECT("'update Helper'!E"&amp;Q1073)="",F1073&lt;&gt;0,F1074&lt;&gt;0),IF(IFERROR((F1073/F1074),"")="","",(F1073/F1074)),INDIRECT("'update Helper'!E"&amp;Q1073)/100)</f>
        <v/>
      </c>
      <c r="H1073" s="539"/>
      <c r="I1073" s="578"/>
      <c r="J1073" s="532"/>
      <c r="K1073" s="126">
        <f ca="1">IF(AND(EXACT(C1073,C1071),C1071&lt;&gt;0),K1071+1,0)</f>
        <v>6</v>
      </c>
      <c r="L1073" s="126" t="str">
        <f t="shared" ref="L1073" ca="1" si="1254">IF(C1073&lt;&gt;"",C1073&amp;"-"&amp;K1073,"")</f>
        <v/>
      </c>
      <c r="M1073" s="126" t="str">
        <f t="array" aca="1" ref="M1073" ca="1">IFERROR(IF(INDEX('Disaggregation Records'!$E$156:$E$517,MATCH(RIGHT(L1073,255),RIGHT('Disaggregation Records'!$D$156:$D$517,255),0))="","",INDEX('Disaggregation Records'!$E$156:$E$517,MATCH(RIGHT(L1073,255),RIGHT('Disaggregation Records'!$D$156:$D$517,255),0))),"")</f>
        <v/>
      </c>
      <c r="N1073" s="126" t="str">
        <f t="array" aca="1" ref="N1073" ca="1">IFERROR(IF(INDEX('Disaggregation Records'!$F$156:$F$517,MATCH(RIGHT(L1073,255),RIGHT('Disaggregation Records'!$D$156:$D$517,255),0))="","",INDEX('Disaggregation Records'!$F$156:$F$517,MATCH(RIGHT(L1073,255),RIGHT('Disaggregation Records'!$D$156:$D$517,255),0))),"")</f>
        <v/>
      </c>
      <c r="O1073" s="314" t="str">
        <f t="array" aca="1" ref="O1073" ca="1">IFERROR(IF(INDEX('Disaggregation Records'!$H$156:$H$517,MATCH(RIGHT(L1073,255),RIGHT('Disaggregation Records'!$D$156:$D$517,255),0))="","",INDEX('Disaggregation Records'!$H$156:$H$517,MATCH(RIGHT(L1073,255),RIGHT('Disaggregation Records'!$D$156:$D$517,255),0))),"")</f>
        <v/>
      </c>
      <c r="P1073" s="314"/>
      <c r="Q1073" s="310">
        <f t="shared" ref="Q1073" si="1255">Q1071+1</f>
        <v>1838</v>
      </c>
      <c r="R1073" s="314" t="str" cm="1">
        <f t="array" aca="1" ref="R1073" ca="1">IFERROR(IF(INDEX('Disaggregation Records'!$G$156:$G$517,MATCH(RIGHT(L1073,255),RIGHT('Disaggregation Records'!$D$156:$D$517,255),0))="","",INDEX('Disaggregation Records'!$G$156:$G$517,MATCH(RIGHT(L1073,255),RIGHT('Disaggregation Records'!$D$156:$D$517,255),0))),"")</f>
        <v/>
      </c>
    </row>
    <row r="1074" spans="1:18" ht="20.100000000000001" customHeight="1">
      <c r="A1074" s="126"/>
      <c r="B1074" s="571"/>
      <c r="C1074" s="573"/>
      <c r="D1074" s="575"/>
      <c r="E1074" s="575"/>
      <c r="F1074" s="128"/>
      <c r="G1074" s="577"/>
      <c r="H1074" s="540"/>
      <c r="I1074" s="579"/>
      <c r="J1074" s="533"/>
      <c r="K1074" s="126"/>
      <c r="L1074" s="126"/>
      <c r="M1074" s="126"/>
      <c r="N1074" s="126"/>
      <c r="O1074" s="314"/>
      <c r="P1074" s="314"/>
      <c r="Q1074" s="310"/>
      <c r="R1074" s="314" t="str" cm="1">
        <f t="array" ref="R1074">IFERROR(IF(INDEX('Disaggregation Records'!$G$156:$G$517,MATCH(RIGHT(L1074,255),RIGHT('Disaggregation Records'!$D$156:$D$517,255),0))="","",INDEX('Disaggregation Records'!$G$156:$G$517,MATCH(RIGHT(L1074,255),RIGHT('Disaggregation Records'!$D$156:$D$517,255),0))),"")</f>
        <v/>
      </c>
    </row>
    <row r="1075" spans="1:18" ht="20.100000000000001" customHeight="1">
      <c r="A1075" s="126" t="str">
        <f t="shared" ref="A1075:A1135" ca="1" si="1256">INDIRECT("'update Helper'!C"&amp;Q1075)</f>
        <v>a16Dm000000M3tqIAC</v>
      </c>
      <c r="B1075" s="570">
        <v>12</v>
      </c>
      <c r="C1075" s="572" t="str">
        <f ca="1">IFERROR(VLOOKUP(B1075,'Coverage Indicators - Section D'!$A$9:$AO$94,41,FALSE),"")</f>
        <v/>
      </c>
      <c r="D1075" s="574" t="str">
        <f ca="1">M1075</f>
        <v/>
      </c>
      <c r="E1075" s="574" t="str">
        <f ca="1">N1075</f>
        <v/>
      </c>
      <c r="F1075" s="127"/>
      <c r="G1075" s="576" t="str">
        <f ca="1">IF(OR(INDIRECT("'update Helper'!E"&amp;Q1075)="",F1075&lt;&gt;0,F1076&lt;&gt;0),IF(IFERROR((F1075/F1076),"")="","",(F1075/F1076)),INDIRECT("'update Helper'!E"&amp;Q1075)/100)</f>
        <v/>
      </c>
      <c r="H1075" s="539"/>
      <c r="I1075" s="578"/>
      <c r="J1075" s="532"/>
      <c r="K1075" s="126">
        <f ca="1">IF(AND(EXACT(C1075,C1073),C1073&lt;&gt;0),K1073+1,0)</f>
        <v>7</v>
      </c>
      <c r="L1075" s="126" t="str">
        <f t="shared" ref="L1075" ca="1" si="1257">IF(C1075&lt;&gt;"",C1075&amp;"-"&amp;K1075,"")</f>
        <v/>
      </c>
      <c r="M1075" s="126" t="str">
        <f t="array" aca="1" ref="M1075" ca="1">IFERROR(IF(INDEX('Disaggregation Records'!$E$156:$E$517,MATCH(RIGHT(L1075,255),RIGHT('Disaggregation Records'!$D$156:$D$517,255),0))="","",INDEX('Disaggregation Records'!$E$156:$E$517,MATCH(RIGHT(L1075,255),RIGHT('Disaggregation Records'!$D$156:$D$517,255),0))),"")</f>
        <v/>
      </c>
      <c r="N1075" s="126" t="str">
        <f t="array" aca="1" ref="N1075" ca="1">IFERROR(IF(INDEX('Disaggregation Records'!$F$156:$F$517,MATCH(RIGHT(L1075,255),RIGHT('Disaggregation Records'!$D$156:$D$517,255),0))="","",INDEX('Disaggregation Records'!$F$156:$F$517,MATCH(RIGHT(L1075,255),RIGHT('Disaggregation Records'!$D$156:$D$517,255),0))),"")</f>
        <v/>
      </c>
      <c r="O1075" s="314" t="str">
        <f t="array" aca="1" ref="O1075" ca="1">IFERROR(IF(INDEX('Disaggregation Records'!$H$156:$H$517,MATCH(RIGHT(L1075,255),RIGHT('Disaggregation Records'!$D$156:$D$517,255),0))="","",INDEX('Disaggregation Records'!$H$156:$H$517,MATCH(RIGHT(L1075,255),RIGHT('Disaggregation Records'!$D$156:$D$517,255),0))),"")</f>
        <v/>
      </c>
      <c r="P1075" s="310"/>
      <c r="Q1075" s="310">
        <f t="shared" ref="Q1075" si="1258">Q1073+1</f>
        <v>1839</v>
      </c>
      <c r="R1075" s="314" t="str" cm="1">
        <f t="array" aca="1" ref="R1075" ca="1">IFERROR(IF(INDEX('Disaggregation Records'!$G$156:$G$517,MATCH(RIGHT(L1075,255),RIGHT('Disaggregation Records'!$D$156:$D$517,255),0))="","",INDEX('Disaggregation Records'!$G$156:$G$517,MATCH(RIGHT(L1075,255),RIGHT('Disaggregation Records'!$D$156:$D$517,255),0))),"")</f>
        <v/>
      </c>
    </row>
    <row r="1076" spans="1:18" ht="20.100000000000001" customHeight="1">
      <c r="B1076" s="571"/>
      <c r="C1076" s="573"/>
      <c r="D1076" s="575"/>
      <c r="E1076" s="575"/>
      <c r="F1076" s="128"/>
      <c r="G1076" s="577"/>
      <c r="H1076" s="540"/>
      <c r="I1076" s="579"/>
      <c r="J1076" s="533"/>
      <c r="L1076" s="126"/>
      <c r="N1076" s="126"/>
      <c r="O1076" s="314"/>
      <c r="P1076" s="310"/>
      <c r="Q1076" s="310"/>
      <c r="R1076" s="314" t="str" cm="1">
        <f t="array" ref="R1076">IFERROR(IF(INDEX('Disaggregation Records'!$G$156:$G$517,MATCH(RIGHT(L1076,255),RIGHT('Disaggregation Records'!$D$156:$D$517,255),0))="","",INDEX('Disaggregation Records'!$G$156:$G$517,MATCH(RIGHT(L1076,255),RIGHT('Disaggregation Records'!$D$156:$D$517,255),0))),"")</f>
        <v/>
      </c>
    </row>
    <row r="1077" spans="1:18" ht="20.100000000000001" customHeight="1">
      <c r="A1077" s="126" t="str">
        <f t="shared" ca="1" si="1253"/>
        <v>a16Dm000000M3trIAC</v>
      </c>
      <c r="B1077" s="570">
        <v>12</v>
      </c>
      <c r="C1077" s="572" t="str">
        <f ca="1">IFERROR(VLOOKUP(B1077,'Coverage Indicators - Section D'!$A$9:$AO$94,41,FALSE),"")</f>
        <v/>
      </c>
      <c r="D1077" s="574" t="str">
        <f ca="1">M1077</f>
        <v/>
      </c>
      <c r="E1077" s="574" t="str">
        <f ca="1">N1077</f>
        <v/>
      </c>
      <c r="F1077" s="127"/>
      <c r="G1077" s="576" t="str">
        <f ca="1">IF(OR(INDIRECT("'update Helper'!E"&amp;Q1077)="",F1077&lt;&gt;0,F1078&lt;&gt;0),IF(IFERROR((F1077/F1078),"")="","",(F1077/F1078)),INDIRECT("'update Helper'!E"&amp;Q1077)/100)</f>
        <v/>
      </c>
      <c r="H1077" s="539"/>
      <c r="I1077" s="578"/>
      <c r="J1077" s="532"/>
      <c r="K1077" s="126">
        <f ca="1">IF(AND(EXACT(C1077,C1075),C1075&lt;&gt;0),K1075+1,0)</f>
        <v>8</v>
      </c>
      <c r="L1077" s="126" t="str">
        <f t="shared" ref="L1077" ca="1" si="1259">IF(C1077&lt;&gt;"",C1077&amp;"-"&amp;K1077,"")</f>
        <v/>
      </c>
      <c r="M1077" s="126" t="str">
        <f t="array" aca="1" ref="M1077" ca="1">IFERROR(IF(INDEX('Disaggregation Records'!$E$156:$E$517,MATCH(RIGHT(L1077,255),RIGHT('Disaggregation Records'!$D$156:$D$517,255),0))="","",INDEX('Disaggregation Records'!$E$156:$E$517,MATCH(RIGHT(L1077,255),RIGHT('Disaggregation Records'!$D$156:$D$517,255),0))),"")</f>
        <v/>
      </c>
      <c r="N1077" s="126" t="str">
        <f t="array" aca="1" ref="N1077" ca="1">IFERROR(IF(INDEX('Disaggregation Records'!$F$156:$F$517,MATCH(RIGHT(L1077,255),RIGHT('Disaggregation Records'!$D$156:$D$517,255),0))="","",INDEX('Disaggregation Records'!$F$156:$F$517,MATCH(RIGHT(L1077,255),RIGHT('Disaggregation Records'!$D$156:$D$517,255),0))),"")</f>
        <v/>
      </c>
      <c r="O1077" s="314" t="str">
        <f t="array" aca="1" ref="O1077" ca="1">IFERROR(IF(INDEX('Disaggregation Records'!$H$156:$H$517,MATCH(RIGHT(L1077,255),RIGHT('Disaggregation Records'!$D$156:$D$517,255),0))="","",INDEX('Disaggregation Records'!$H$156:$H$517,MATCH(RIGHT(L1077,255),RIGHT('Disaggregation Records'!$D$156:$D$517,255),0))),"")</f>
        <v/>
      </c>
      <c r="P1077" s="310"/>
      <c r="Q1077" s="310">
        <f t="shared" ref="Q1077" si="1260">Q1075+1</f>
        <v>1840</v>
      </c>
      <c r="R1077" s="314" t="str" cm="1">
        <f t="array" aca="1" ref="R1077" ca="1">IFERROR(IF(INDEX('Disaggregation Records'!$G$156:$G$517,MATCH(RIGHT(L1077,255),RIGHT('Disaggregation Records'!$D$156:$D$517,255),0))="","",INDEX('Disaggregation Records'!$G$156:$G$517,MATCH(RIGHT(L1077,255),RIGHT('Disaggregation Records'!$D$156:$D$517,255),0))),"")</f>
        <v/>
      </c>
    </row>
    <row r="1078" spans="1:18" ht="20.100000000000001" customHeight="1">
      <c r="A1078" s="126"/>
      <c r="B1078" s="571"/>
      <c r="C1078" s="573"/>
      <c r="D1078" s="575"/>
      <c r="E1078" s="575"/>
      <c r="F1078" s="128"/>
      <c r="G1078" s="577"/>
      <c r="H1078" s="540"/>
      <c r="I1078" s="579"/>
      <c r="J1078" s="533"/>
      <c r="L1078" s="126"/>
      <c r="N1078" s="126"/>
      <c r="O1078" s="314"/>
      <c r="P1078" s="310"/>
      <c r="Q1078" s="310"/>
      <c r="R1078" s="314" t="str" cm="1">
        <f t="array" ref="R1078">IFERROR(IF(INDEX('Disaggregation Records'!$G$156:$G$517,MATCH(RIGHT(L1078,255),RIGHT('Disaggregation Records'!$D$156:$D$517,255),0))="","",INDEX('Disaggregation Records'!$G$156:$G$517,MATCH(RIGHT(L1078,255),RIGHT('Disaggregation Records'!$D$156:$D$517,255),0))),"")</f>
        <v/>
      </c>
    </row>
    <row r="1079" spans="1:18" ht="20.100000000000001" customHeight="1">
      <c r="A1079" s="126" t="str">
        <f t="shared" ca="1" si="1256"/>
        <v>a16Dm000000M3tsIAC</v>
      </c>
      <c r="B1079" s="570">
        <v>12</v>
      </c>
      <c r="C1079" s="572" t="str">
        <f ca="1">IFERROR(VLOOKUP(B1079,'Coverage Indicators - Section D'!$A$9:$AO$94,41,FALSE),"")</f>
        <v/>
      </c>
      <c r="D1079" s="574" t="str">
        <f ca="1">M1079</f>
        <v/>
      </c>
      <c r="E1079" s="574" t="str">
        <f ca="1">N1079</f>
        <v/>
      </c>
      <c r="F1079" s="127"/>
      <c r="G1079" s="576" t="str">
        <f ca="1">IF(OR(INDIRECT("'update Helper'!E"&amp;Q1079)="",F1079&lt;&gt;0,F1080&lt;&gt;0),IF(IFERROR((F1079/F1080),"")="","",(F1079/F1080)),INDIRECT("'update Helper'!E"&amp;Q1079)/100)</f>
        <v/>
      </c>
      <c r="H1079" s="539"/>
      <c r="I1079" s="578"/>
      <c r="J1079" s="532"/>
      <c r="K1079" s="126">
        <f ca="1">IF(AND(EXACT(C1079,C1077),C1077&lt;&gt;0),K1077+1,0)</f>
        <v>9</v>
      </c>
      <c r="L1079" s="126" t="str">
        <f t="shared" ref="L1079" ca="1" si="1261">IF(C1079&lt;&gt;"",C1079&amp;"-"&amp;K1079,"")</f>
        <v/>
      </c>
      <c r="M1079" s="126" t="str">
        <f t="array" aca="1" ref="M1079" ca="1">IFERROR(IF(INDEX('Disaggregation Records'!$E$156:$E$517,MATCH(RIGHT(L1079,255),RIGHT('Disaggregation Records'!$D$156:$D$517,255),0))="","",INDEX('Disaggregation Records'!$E$156:$E$517,MATCH(RIGHT(L1079,255),RIGHT('Disaggregation Records'!$D$156:$D$517,255),0))),"")</f>
        <v/>
      </c>
      <c r="N1079" s="126" t="str">
        <f t="array" aca="1" ref="N1079" ca="1">IFERROR(IF(INDEX('Disaggregation Records'!$F$156:$F$517,MATCH(RIGHT(L1079,255),RIGHT('Disaggregation Records'!$D$156:$D$517,255),0))="","",INDEX('Disaggregation Records'!$F$156:$F$517,MATCH(RIGHT(L1079,255),RIGHT('Disaggregation Records'!$D$156:$D$517,255),0))),"")</f>
        <v/>
      </c>
      <c r="O1079" s="314" t="str">
        <f t="array" aca="1" ref="O1079" ca="1">IFERROR(IF(INDEX('Disaggregation Records'!$H$156:$H$517,MATCH(RIGHT(L1079,255),RIGHT('Disaggregation Records'!$D$156:$D$517,255),0))="","",INDEX('Disaggregation Records'!$H$156:$H$517,MATCH(RIGHT(L1079,255),RIGHT('Disaggregation Records'!$D$156:$D$517,255),0))),"")</f>
        <v/>
      </c>
      <c r="P1079" s="310"/>
      <c r="Q1079" s="310">
        <f t="shared" ref="Q1079" si="1262">Q1077+1</f>
        <v>1841</v>
      </c>
      <c r="R1079" s="314" t="str" cm="1">
        <f t="array" aca="1" ref="R1079" ca="1">IFERROR(IF(INDEX('Disaggregation Records'!$G$156:$G$517,MATCH(RIGHT(L1079,255),RIGHT('Disaggregation Records'!$D$156:$D$517,255),0))="","",INDEX('Disaggregation Records'!$G$156:$G$517,MATCH(RIGHT(L1079,255),RIGHT('Disaggregation Records'!$D$156:$D$517,255),0))),"")</f>
        <v/>
      </c>
    </row>
    <row r="1080" spans="1:18" ht="20.100000000000001" customHeight="1">
      <c r="B1080" s="571"/>
      <c r="C1080" s="573"/>
      <c r="D1080" s="575"/>
      <c r="E1080" s="575"/>
      <c r="F1080" s="128"/>
      <c r="G1080" s="577"/>
      <c r="H1080" s="540"/>
      <c r="I1080" s="579"/>
      <c r="J1080" s="533"/>
      <c r="L1080" s="126"/>
      <c r="N1080" s="126"/>
      <c r="O1080" s="314"/>
      <c r="P1080" s="310"/>
      <c r="Q1080" s="310"/>
      <c r="R1080" s="314" t="str" cm="1">
        <f t="array" ref="R1080">IFERROR(IF(INDEX('Disaggregation Records'!$G$156:$G$517,MATCH(RIGHT(L1080,255),RIGHT('Disaggregation Records'!$D$156:$D$517,255),0))="","",INDEX('Disaggregation Records'!$G$156:$G$517,MATCH(RIGHT(L1080,255),RIGHT('Disaggregation Records'!$D$156:$D$517,255),0))),"")</f>
        <v/>
      </c>
    </row>
    <row r="1081" spans="1:18" ht="20.100000000000001" customHeight="1">
      <c r="A1081" s="126" t="str">
        <f t="shared" ca="1" si="1253"/>
        <v>a16Dm000000M3ttIAC</v>
      </c>
      <c r="B1081" s="570">
        <v>12</v>
      </c>
      <c r="C1081" s="572" t="str">
        <f ca="1">IFERROR(VLOOKUP(B1081,'Coverage Indicators - Section D'!$A$9:$AO$94,41,FALSE),"")</f>
        <v/>
      </c>
      <c r="D1081" s="574" t="str">
        <f ca="1">M1081</f>
        <v/>
      </c>
      <c r="E1081" s="574" t="str">
        <f ca="1">N1081</f>
        <v/>
      </c>
      <c r="F1081" s="127"/>
      <c r="G1081" s="576" t="str">
        <f ca="1">IF(OR(INDIRECT("'update Helper'!E"&amp;Q1081)="",F1081&lt;&gt;0,F1082&lt;&gt;0),IF(IFERROR((F1081/F1082),"")="","",(F1081/F1082)),INDIRECT("'update Helper'!E"&amp;Q1081)/100)</f>
        <v/>
      </c>
      <c r="H1081" s="539"/>
      <c r="I1081" s="578"/>
      <c r="J1081" s="532"/>
      <c r="K1081" s="126">
        <f ca="1">IF(AND(EXACT(C1081,C1079),C1079&lt;&gt;0),K1079+1,0)</f>
        <v>10</v>
      </c>
      <c r="L1081" s="126" t="str">
        <f t="shared" ref="L1081" ca="1" si="1263">IF(C1081&lt;&gt;"",C1081&amp;"-"&amp;K1081,"")</f>
        <v/>
      </c>
      <c r="M1081" s="126" t="str">
        <f t="array" aca="1" ref="M1081" ca="1">IFERROR(IF(INDEX('Disaggregation Records'!$E$156:$E$517,MATCH(RIGHT(L1081,255),RIGHT('Disaggregation Records'!$D$156:$D$517,255),0))="","",INDEX('Disaggregation Records'!$E$156:$E$517,MATCH(RIGHT(L1081,255),RIGHT('Disaggregation Records'!$D$156:$D$517,255),0))),"")</f>
        <v/>
      </c>
      <c r="N1081" s="126" t="str">
        <f t="array" aca="1" ref="N1081" ca="1">IFERROR(IF(INDEX('Disaggregation Records'!$F$156:$F$517,MATCH(RIGHT(L1081,255),RIGHT('Disaggregation Records'!$D$156:$D$517,255),0))="","",INDEX('Disaggregation Records'!$F$156:$F$517,MATCH(RIGHT(L1081,255),RIGHT('Disaggregation Records'!$D$156:$D$517,255),0))),"")</f>
        <v/>
      </c>
      <c r="O1081" s="314" t="str">
        <f t="array" aca="1" ref="O1081" ca="1">IFERROR(IF(INDEX('Disaggregation Records'!$H$156:$H$517,MATCH(RIGHT(L1081,255),RIGHT('Disaggregation Records'!$D$156:$D$517,255),0))="","",INDEX('Disaggregation Records'!$H$156:$H$517,MATCH(RIGHT(L1081,255),RIGHT('Disaggregation Records'!$D$156:$D$517,255),0))),"")</f>
        <v/>
      </c>
      <c r="P1081" s="314"/>
      <c r="Q1081" s="310">
        <f t="shared" ref="Q1081" si="1264">Q1079+1</f>
        <v>1842</v>
      </c>
      <c r="R1081" s="314" t="str" cm="1">
        <f t="array" aca="1" ref="R1081" ca="1">IFERROR(IF(INDEX('Disaggregation Records'!$G$156:$G$517,MATCH(RIGHT(L1081,255),RIGHT('Disaggregation Records'!$D$156:$D$517,255),0))="","",INDEX('Disaggregation Records'!$G$156:$G$517,MATCH(RIGHT(L1081,255),RIGHT('Disaggregation Records'!$D$156:$D$517,255),0))),"")</f>
        <v/>
      </c>
    </row>
    <row r="1082" spans="1:18" ht="20.100000000000001" customHeight="1">
      <c r="A1082" s="126"/>
      <c r="B1082" s="571"/>
      <c r="C1082" s="573"/>
      <c r="D1082" s="575"/>
      <c r="E1082" s="575"/>
      <c r="F1082" s="128"/>
      <c r="G1082" s="577"/>
      <c r="H1082" s="540"/>
      <c r="I1082" s="579"/>
      <c r="J1082" s="533"/>
      <c r="K1082" s="126"/>
      <c r="L1082" s="126"/>
      <c r="M1082" s="126"/>
      <c r="N1082" s="126"/>
      <c r="O1082" s="314"/>
      <c r="P1082" s="314"/>
      <c r="Q1082" s="310"/>
      <c r="R1082" s="314" t="str" cm="1">
        <f t="array" ref="R1082">IFERROR(IF(INDEX('Disaggregation Records'!$G$156:$G$517,MATCH(RIGHT(L1082,255),RIGHT('Disaggregation Records'!$D$156:$D$517,255),0))="","",INDEX('Disaggregation Records'!$G$156:$G$517,MATCH(RIGHT(L1082,255),RIGHT('Disaggregation Records'!$D$156:$D$517,255),0))),"")</f>
        <v/>
      </c>
    </row>
    <row r="1083" spans="1:18" ht="20.100000000000001" customHeight="1">
      <c r="A1083" s="126" t="str">
        <f t="shared" ca="1" si="1256"/>
        <v>a16Dm000000M3tuIAC</v>
      </c>
      <c r="B1083" s="570">
        <v>12</v>
      </c>
      <c r="C1083" s="572" t="str">
        <f ca="1">IFERROR(VLOOKUP(B1083,'Coverage Indicators - Section D'!$A$9:$AO$94,41,FALSE),"")</f>
        <v/>
      </c>
      <c r="D1083" s="574" t="str">
        <f ca="1">M1083</f>
        <v/>
      </c>
      <c r="E1083" s="574" t="str">
        <f ca="1">N1083</f>
        <v/>
      </c>
      <c r="F1083" s="127"/>
      <c r="G1083" s="576" t="str">
        <f ca="1">IF(OR(INDIRECT("'update Helper'!E"&amp;Q1083)="",F1083&lt;&gt;0,F1084&lt;&gt;0),IF(IFERROR((F1083/F1084),"")="","",(F1083/F1084)),INDIRECT("'update Helper'!E"&amp;Q1083)/100)</f>
        <v/>
      </c>
      <c r="H1083" s="539"/>
      <c r="I1083" s="578"/>
      <c r="J1083" s="532"/>
      <c r="K1083" s="126">
        <f ca="1">IF(AND(EXACT(C1083,C1081),C1081&lt;&gt;0),K1081+1,0)</f>
        <v>11</v>
      </c>
      <c r="L1083" s="126" t="str">
        <f t="shared" ref="L1083" ca="1" si="1265">IF(C1083&lt;&gt;"",C1083&amp;"-"&amp;K1083,"")</f>
        <v/>
      </c>
      <c r="M1083" s="126" t="str">
        <f t="array" aca="1" ref="M1083" ca="1">IFERROR(IF(INDEX('Disaggregation Records'!$E$156:$E$517,MATCH(RIGHT(L1083,255),RIGHT('Disaggregation Records'!$D$156:$D$517,255),0))="","",INDEX('Disaggregation Records'!$E$156:$E$517,MATCH(RIGHT(L1083,255),RIGHT('Disaggregation Records'!$D$156:$D$517,255),0))),"")</f>
        <v/>
      </c>
      <c r="N1083" s="126" t="str">
        <f t="array" aca="1" ref="N1083" ca="1">IFERROR(IF(INDEX('Disaggregation Records'!$F$156:$F$517,MATCH(RIGHT(L1083,255),RIGHT('Disaggregation Records'!$D$156:$D$517,255),0))="","",INDEX('Disaggregation Records'!$F$156:$F$517,MATCH(RIGHT(L1083,255),RIGHT('Disaggregation Records'!$D$156:$D$517,255),0))),"")</f>
        <v/>
      </c>
      <c r="O1083" s="314" t="str">
        <f t="array" aca="1" ref="O1083" ca="1">IFERROR(IF(INDEX('Disaggregation Records'!$H$156:$H$517,MATCH(RIGHT(L1083,255),RIGHT('Disaggregation Records'!$D$156:$D$517,255),0))="","",INDEX('Disaggregation Records'!$H$156:$H$517,MATCH(RIGHT(L1083,255),RIGHT('Disaggregation Records'!$D$156:$D$517,255),0))),"")</f>
        <v/>
      </c>
      <c r="P1083" s="314"/>
      <c r="Q1083" s="310">
        <f t="shared" ref="Q1083" si="1266">Q1081+1</f>
        <v>1843</v>
      </c>
      <c r="R1083" s="314" t="str" cm="1">
        <f t="array" aca="1" ref="R1083" ca="1">IFERROR(IF(INDEX('Disaggregation Records'!$G$156:$G$517,MATCH(RIGHT(L1083,255),RIGHT('Disaggregation Records'!$D$156:$D$517,255),0))="","",INDEX('Disaggregation Records'!$G$156:$G$517,MATCH(RIGHT(L1083,255),RIGHT('Disaggregation Records'!$D$156:$D$517,255),0))),"")</f>
        <v/>
      </c>
    </row>
    <row r="1084" spans="1:18" ht="20.100000000000001" customHeight="1">
      <c r="B1084" s="571"/>
      <c r="C1084" s="573"/>
      <c r="D1084" s="575"/>
      <c r="E1084" s="575"/>
      <c r="F1084" s="128"/>
      <c r="G1084" s="577"/>
      <c r="H1084" s="540"/>
      <c r="I1084" s="579"/>
      <c r="J1084" s="533"/>
      <c r="K1084" s="126"/>
      <c r="L1084" s="126"/>
      <c r="M1084" s="126"/>
      <c r="N1084" s="126"/>
      <c r="O1084" s="314"/>
      <c r="P1084" s="314"/>
      <c r="Q1084" s="310"/>
      <c r="R1084" s="314" t="str" cm="1">
        <f t="array" ref="R1084">IFERROR(IF(INDEX('Disaggregation Records'!$G$156:$G$517,MATCH(RIGHT(L1084,255),RIGHT('Disaggregation Records'!$D$156:$D$517,255),0))="","",INDEX('Disaggregation Records'!$G$156:$G$517,MATCH(RIGHT(L1084,255),RIGHT('Disaggregation Records'!$D$156:$D$517,255),0))),"")</f>
        <v/>
      </c>
    </row>
    <row r="1085" spans="1:18" ht="20.100000000000001" customHeight="1">
      <c r="A1085" s="126" t="str">
        <f t="shared" ca="1" si="1253"/>
        <v>a16Dm000000M3tvIAC</v>
      </c>
      <c r="B1085" s="570">
        <v>12</v>
      </c>
      <c r="C1085" s="572" t="str">
        <f ca="1">IFERROR(VLOOKUP(B1085,'Coverage Indicators - Section D'!$A$9:$AO$94,41,FALSE),"")</f>
        <v/>
      </c>
      <c r="D1085" s="574" t="str">
        <f ca="1">M1085</f>
        <v/>
      </c>
      <c r="E1085" s="574" t="str">
        <f ca="1">N1085</f>
        <v/>
      </c>
      <c r="F1085" s="127"/>
      <c r="G1085" s="576" t="str">
        <f ca="1">IF(OR(INDIRECT("'update Helper'!E"&amp;Q1085)="",F1085&lt;&gt;0,F1086&lt;&gt;0),IF(IFERROR((F1085/F1086),"")="","",(F1085/F1086)),INDIRECT("'update Helper'!E"&amp;Q1085)/100)</f>
        <v/>
      </c>
      <c r="H1085" s="539"/>
      <c r="I1085" s="578"/>
      <c r="J1085" s="532"/>
      <c r="K1085" s="126">
        <f ca="1">IF(AND(EXACT(C1085,C1083),C1083&lt;&gt;0),K1083+1,0)</f>
        <v>12</v>
      </c>
      <c r="L1085" s="126" t="str">
        <f t="shared" ref="L1085" ca="1" si="1267">IF(C1085&lt;&gt;"",C1085&amp;"-"&amp;K1085,"")</f>
        <v/>
      </c>
      <c r="M1085" s="126" t="str">
        <f t="array" aca="1" ref="M1085" ca="1">IFERROR(IF(INDEX('Disaggregation Records'!$E$156:$E$517,MATCH(RIGHT(L1085,255),RIGHT('Disaggregation Records'!$D$156:$D$517,255),0))="","",INDEX('Disaggregation Records'!$E$156:$E$517,MATCH(RIGHT(L1085,255),RIGHT('Disaggregation Records'!$D$156:$D$517,255),0))),"")</f>
        <v/>
      </c>
      <c r="N1085" s="126" t="str">
        <f t="array" aca="1" ref="N1085" ca="1">IFERROR(IF(INDEX('Disaggregation Records'!$F$156:$F$517,MATCH(RIGHT(L1085,255),RIGHT('Disaggregation Records'!$D$156:$D$517,255),0))="","",INDEX('Disaggregation Records'!$F$156:$F$517,MATCH(RIGHT(L1085,255),RIGHT('Disaggregation Records'!$D$156:$D$517,255),0))),"")</f>
        <v/>
      </c>
      <c r="O1085" s="314" t="str">
        <f t="array" aca="1" ref="O1085" ca="1">IFERROR(IF(INDEX('Disaggregation Records'!$H$156:$H$517,MATCH(RIGHT(L1085,255),RIGHT('Disaggregation Records'!$D$156:$D$517,255),0))="","",INDEX('Disaggregation Records'!$H$156:$H$517,MATCH(RIGHT(L1085,255),RIGHT('Disaggregation Records'!$D$156:$D$517,255),0))),"")</f>
        <v/>
      </c>
      <c r="P1085" s="310"/>
      <c r="Q1085" s="310">
        <f t="shared" ref="Q1085" si="1268">Q1083+1</f>
        <v>1844</v>
      </c>
      <c r="R1085" s="314" t="str" cm="1">
        <f t="array" aca="1" ref="R1085" ca="1">IFERROR(IF(INDEX('Disaggregation Records'!$G$156:$G$517,MATCH(RIGHT(L1085,255),RIGHT('Disaggregation Records'!$D$156:$D$517,255),0))="","",INDEX('Disaggregation Records'!$G$156:$G$517,MATCH(RIGHT(L1085,255),RIGHT('Disaggregation Records'!$D$156:$D$517,255),0))),"")</f>
        <v/>
      </c>
    </row>
    <row r="1086" spans="1:18" ht="20.100000000000001" customHeight="1">
      <c r="A1086" s="126"/>
      <c r="B1086" s="571"/>
      <c r="C1086" s="573"/>
      <c r="D1086" s="575"/>
      <c r="E1086" s="575"/>
      <c r="F1086" s="128"/>
      <c r="G1086" s="577"/>
      <c r="H1086" s="540"/>
      <c r="I1086" s="579"/>
      <c r="J1086" s="533"/>
      <c r="L1086" s="126"/>
      <c r="N1086" s="126"/>
      <c r="O1086" s="314"/>
      <c r="P1086" s="310"/>
      <c r="Q1086" s="310"/>
      <c r="R1086" s="314" t="str" cm="1">
        <f t="array" ref="R1086">IFERROR(IF(INDEX('Disaggregation Records'!$G$156:$G$517,MATCH(RIGHT(L1086,255),RIGHT('Disaggregation Records'!$D$156:$D$517,255),0))="","",INDEX('Disaggregation Records'!$G$156:$G$517,MATCH(RIGHT(L1086,255),RIGHT('Disaggregation Records'!$D$156:$D$517,255),0))),"")</f>
        <v/>
      </c>
    </row>
    <row r="1087" spans="1:18" ht="20.100000000000001" customHeight="1">
      <c r="A1087" s="126" t="str">
        <f t="shared" ca="1" si="1256"/>
        <v>a16Dm000000M3twIAC</v>
      </c>
      <c r="B1087" s="570">
        <v>12</v>
      </c>
      <c r="C1087" s="572" t="str">
        <f ca="1">IFERROR(VLOOKUP(B1087,'Coverage Indicators - Section D'!$A$9:$AO$94,41,FALSE),"")</f>
        <v/>
      </c>
      <c r="D1087" s="574" t="str">
        <f ca="1">M1087</f>
        <v/>
      </c>
      <c r="E1087" s="574" t="str">
        <f ca="1">N1087</f>
        <v/>
      </c>
      <c r="F1087" s="127"/>
      <c r="G1087" s="576" t="str">
        <f ca="1">IF(OR(INDIRECT("'update Helper'!E"&amp;Q1087)="",F1087&lt;&gt;0,F1088&lt;&gt;0),IF(IFERROR((F1087/F1088),"")="","",(F1087/F1088)),INDIRECT("'update Helper'!E"&amp;Q1087)/100)</f>
        <v/>
      </c>
      <c r="H1087" s="539"/>
      <c r="I1087" s="578"/>
      <c r="J1087" s="532"/>
      <c r="K1087" s="126">
        <f ca="1">IF(AND(EXACT(C1087,C1085),C1085&lt;&gt;0),K1085+1,0)</f>
        <v>13</v>
      </c>
      <c r="L1087" s="126" t="str">
        <f t="shared" ref="L1087" ca="1" si="1269">IF(C1087&lt;&gt;"",C1087&amp;"-"&amp;K1087,"")</f>
        <v/>
      </c>
      <c r="M1087" s="126" t="str">
        <f t="array" aca="1" ref="M1087" ca="1">IFERROR(IF(INDEX('Disaggregation Records'!$E$156:$E$517,MATCH(RIGHT(L1087,255),RIGHT('Disaggregation Records'!$D$156:$D$517,255),0))="","",INDEX('Disaggregation Records'!$E$156:$E$517,MATCH(RIGHT(L1087,255),RIGHT('Disaggregation Records'!$D$156:$D$517,255),0))),"")</f>
        <v/>
      </c>
      <c r="N1087" s="126" t="str">
        <f t="array" aca="1" ref="N1087" ca="1">IFERROR(IF(INDEX('Disaggregation Records'!$F$156:$F$517,MATCH(RIGHT(L1087,255),RIGHT('Disaggregation Records'!$D$156:$D$517,255),0))="","",INDEX('Disaggregation Records'!$F$156:$F$517,MATCH(RIGHT(L1087,255),RIGHT('Disaggregation Records'!$D$156:$D$517,255),0))),"")</f>
        <v/>
      </c>
      <c r="O1087" s="314" t="str">
        <f t="array" aca="1" ref="O1087" ca="1">IFERROR(IF(INDEX('Disaggregation Records'!$H$156:$H$517,MATCH(RIGHT(L1087,255),RIGHT('Disaggregation Records'!$D$156:$D$517,255),0))="","",INDEX('Disaggregation Records'!$H$156:$H$517,MATCH(RIGHT(L1087,255),RIGHT('Disaggregation Records'!$D$156:$D$517,255),0))),"")</f>
        <v/>
      </c>
      <c r="P1087" s="310"/>
      <c r="Q1087" s="310">
        <f t="shared" ref="Q1087" si="1270">Q1085+1</f>
        <v>1845</v>
      </c>
      <c r="R1087" s="314" t="str" cm="1">
        <f t="array" aca="1" ref="R1087" ca="1">IFERROR(IF(INDEX('Disaggregation Records'!$G$156:$G$517,MATCH(RIGHT(L1087,255),RIGHT('Disaggregation Records'!$D$156:$D$517,255),0))="","",INDEX('Disaggregation Records'!$G$156:$G$517,MATCH(RIGHT(L1087,255),RIGHT('Disaggregation Records'!$D$156:$D$517,255),0))),"")</f>
        <v/>
      </c>
    </row>
    <row r="1088" spans="1:18" ht="20.100000000000001" customHeight="1">
      <c r="B1088" s="571"/>
      <c r="C1088" s="573"/>
      <c r="D1088" s="575"/>
      <c r="E1088" s="575"/>
      <c r="F1088" s="128"/>
      <c r="G1088" s="577"/>
      <c r="H1088" s="540"/>
      <c r="I1088" s="579"/>
      <c r="J1088" s="533"/>
      <c r="L1088" s="126"/>
      <c r="N1088" s="126"/>
      <c r="O1088" s="314"/>
      <c r="P1088" s="310"/>
      <c r="Q1088" s="310"/>
      <c r="R1088" s="314" t="str" cm="1">
        <f t="array" ref="R1088">IFERROR(IF(INDEX('Disaggregation Records'!$G$156:$G$517,MATCH(RIGHT(L1088,255),RIGHT('Disaggregation Records'!$D$156:$D$517,255),0))="","",INDEX('Disaggregation Records'!$G$156:$G$517,MATCH(RIGHT(L1088,255),RIGHT('Disaggregation Records'!$D$156:$D$517,255),0))),"")</f>
        <v/>
      </c>
    </row>
    <row r="1089" spans="1:18" ht="20.100000000000001" customHeight="1">
      <c r="A1089" s="126" t="str">
        <f t="shared" ca="1" si="1253"/>
        <v>a16Dm000000M3txIAC</v>
      </c>
      <c r="B1089" s="570">
        <v>12</v>
      </c>
      <c r="C1089" s="572" t="str">
        <f ca="1">IFERROR(VLOOKUP(B1089,'Coverage Indicators - Section D'!$A$9:$AO$94,41,FALSE),"")</f>
        <v/>
      </c>
      <c r="D1089" s="574" t="str">
        <f ca="1">M1089</f>
        <v/>
      </c>
      <c r="E1089" s="574" t="str">
        <f ca="1">N1089</f>
        <v/>
      </c>
      <c r="F1089" s="127"/>
      <c r="G1089" s="576" t="str">
        <f ca="1">IF(OR(INDIRECT("'update Helper'!E"&amp;Q1089)="",F1089&lt;&gt;0,F1090&lt;&gt;0),IF(IFERROR((F1089/F1090),"")="","",(F1089/F1090)),INDIRECT("'update Helper'!E"&amp;Q1089)/100)</f>
        <v/>
      </c>
      <c r="H1089" s="539"/>
      <c r="I1089" s="578"/>
      <c r="J1089" s="532"/>
      <c r="K1089" s="126">
        <f ca="1">IF(AND(EXACT(C1089,C1087),C1087&lt;&gt;0),K1087+1,0)</f>
        <v>14</v>
      </c>
      <c r="L1089" s="126" t="str">
        <f t="shared" ref="L1089" ca="1" si="1271">IF(C1089&lt;&gt;"",C1089&amp;"-"&amp;K1089,"")</f>
        <v/>
      </c>
      <c r="M1089" s="126" t="str">
        <f t="array" aca="1" ref="M1089" ca="1">IFERROR(IF(INDEX('Disaggregation Records'!$E$156:$E$517,MATCH(RIGHT(L1089,255),RIGHT('Disaggregation Records'!$D$156:$D$517,255),0))="","",INDEX('Disaggregation Records'!$E$156:$E$517,MATCH(RIGHT(L1089,255),RIGHT('Disaggregation Records'!$D$156:$D$517,255),0))),"")</f>
        <v/>
      </c>
      <c r="N1089" s="126" t="str">
        <f t="array" aca="1" ref="N1089" ca="1">IFERROR(IF(INDEX('Disaggregation Records'!$F$156:$F$517,MATCH(RIGHT(L1089,255),RIGHT('Disaggregation Records'!$D$156:$D$517,255),0))="","",INDEX('Disaggregation Records'!$F$156:$F$517,MATCH(RIGHT(L1089,255),RIGHT('Disaggregation Records'!$D$156:$D$517,255),0))),"")</f>
        <v/>
      </c>
      <c r="O1089" s="314" t="str">
        <f t="array" aca="1" ref="O1089" ca="1">IFERROR(IF(INDEX('Disaggregation Records'!$H$156:$H$517,MATCH(RIGHT(L1089,255),RIGHT('Disaggregation Records'!$D$156:$D$517,255),0))="","",INDEX('Disaggregation Records'!$H$156:$H$517,MATCH(RIGHT(L1089,255),RIGHT('Disaggregation Records'!$D$156:$D$517,255),0))),"")</f>
        <v/>
      </c>
      <c r="P1089" s="310"/>
      <c r="Q1089" s="310">
        <f t="shared" ref="Q1089" si="1272">Q1087+1</f>
        <v>1846</v>
      </c>
      <c r="R1089" s="314" t="str" cm="1">
        <f t="array" aca="1" ref="R1089" ca="1">IFERROR(IF(INDEX('Disaggregation Records'!$G$156:$G$517,MATCH(RIGHT(L1089,255),RIGHT('Disaggregation Records'!$D$156:$D$517,255),0))="","",INDEX('Disaggregation Records'!$G$156:$G$517,MATCH(RIGHT(L1089,255),RIGHT('Disaggregation Records'!$D$156:$D$517,255),0))),"")</f>
        <v/>
      </c>
    </row>
    <row r="1090" spans="1:18" ht="20.100000000000001" customHeight="1">
      <c r="A1090" s="126"/>
      <c r="B1090" s="571"/>
      <c r="C1090" s="573"/>
      <c r="D1090" s="575"/>
      <c r="E1090" s="575"/>
      <c r="F1090" s="128"/>
      <c r="G1090" s="577"/>
      <c r="H1090" s="540"/>
      <c r="I1090" s="579"/>
      <c r="J1090" s="533"/>
      <c r="L1090" s="126"/>
      <c r="N1090" s="126"/>
      <c r="O1090" s="314"/>
      <c r="P1090" s="310"/>
      <c r="Q1090" s="310"/>
      <c r="R1090" s="314" t="str" cm="1">
        <f t="array" ref="R1090">IFERROR(IF(INDEX('Disaggregation Records'!$G$156:$G$517,MATCH(RIGHT(L1090,255),RIGHT('Disaggregation Records'!$D$156:$D$517,255),0))="","",INDEX('Disaggregation Records'!$G$156:$G$517,MATCH(RIGHT(L1090,255),RIGHT('Disaggregation Records'!$D$156:$D$517,255),0))),"")</f>
        <v/>
      </c>
    </row>
    <row r="1091" spans="1:18" ht="20.100000000000001" customHeight="1">
      <c r="A1091" s="126" t="str">
        <f t="shared" ca="1" si="1256"/>
        <v>a16Dm000000M3tyIAC</v>
      </c>
      <c r="B1091" s="570">
        <v>12</v>
      </c>
      <c r="C1091" s="572" t="str">
        <f ca="1">IFERROR(VLOOKUP(B1091,'Coverage Indicators - Section D'!$A$9:$AO$94,41,FALSE),"")</f>
        <v/>
      </c>
      <c r="D1091" s="574" t="str">
        <f ca="1">M1091</f>
        <v/>
      </c>
      <c r="E1091" s="574" t="str">
        <f ca="1">N1091</f>
        <v/>
      </c>
      <c r="F1091" s="127"/>
      <c r="G1091" s="576" t="str">
        <f ca="1">IF(OR(INDIRECT("'update Helper'!E"&amp;Q1091)="",F1091&lt;&gt;0,F1092&lt;&gt;0),IF(IFERROR((F1091/F1092),"")="","",(F1091/F1092)),INDIRECT("'update Helper'!E"&amp;Q1091)/100)</f>
        <v/>
      </c>
      <c r="H1091" s="539"/>
      <c r="I1091" s="578"/>
      <c r="J1091" s="532"/>
      <c r="K1091" s="126">
        <f ca="1">IF(AND(EXACT(C1091,C1089),C1089&lt;&gt;0),K1089+1,0)</f>
        <v>15</v>
      </c>
      <c r="L1091" s="126" t="str">
        <f t="shared" ref="L1091" ca="1" si="1273">IF(C1091&lt;&gt;"",C1091&amp;"-"&amp;K1091,"")</f>
        <v/>
      </c>
      <c r="M1091" s="126" t="str">
        <f t="array" aca="1" ref="M1091" ca="1">IFERROR(IF(INDEX('Disaggregation Records'!$E$156:$E$517,MATCH(RIGHT(L1091,255),RIGHT('Disaggregation Records'!$D$156:$D$517,255),0))="","",INDEX('Disaggregation Records'!$E$156:$E$517,MATCH(RIGHT(L1091,255),RIGHT('Disaggregation Records'!$D$156:$D$517,255),0))),"")</f>
        <v/>
      </c>
      <c r="N1091" s="126" t="str">
        <f t="array" aca="1" ref="N1091" ca="1">IFERROR(IF(INDEX('Disaggregation Records'!$F$156:$F$517,MATCH(RIGHT(L1091,255),RIGHT('Disaggregation Records'!$D$156:$D$517,255),0))="","",INDEX('Disaggregation Records'!$F$156:$F$517,MATCH(RIGHT(L1091,255),RIGHT('Disaggregation Records'!$D$156:$D$517,255),0))),"")</f>
        <v/>
      </c>
      <c r="O1091" s="314" t="str">
        <f t="array" aca="1" ref="O1091" ca="1">IFERROR(IF(INDEX('Disaggregation Records'!$H$156:$H$517,MATCH(RIGHT(L1091,255),RIGHT('Disaggregation Records'!$D$156:$D$517,255),0))="","",INDEX('Disaggregation Records'!$H$156:$H$517,MATCH(RIGHT(L1091,255),RIGHT('Disaggregation Records'!$D$156:$D$517,255),0))),"")</f>
        <v/>
      </c>
      <c r="P1091" s="314"/>
      <c r="Q1091" s="310">
        <f t="shared" ref="Q1091" si="1274">Q1089+1</f>
        <v>1847</v>
      </c>
      <c r="R1091" s="314" t="str" cm="1">
        <f t="array" aca="1" ref="R1091" ca="1">IFERROR(IF(INDEX('Disaggregation Records'!$G$156:$G$517,MATCH(RIGHT(L1091,255),RIGHT('Disaggregation Records'!$D$156:$D$517,255),0))="","",INDEX('Disaggregation Records'!$G$156:$G$517,MATCH(RIGHT(L1091,255),RIGHT('Disaggregation Records'!$D$156:$D$517,255),0))),"")</f>
        <v/>
      </c>
    </row>
    <row r="1092" spans="1:18" ht="20.100000000000001" customHeight="1">
      <c r="B1092" s="571"/>
      <c r="C1092" s="573"/>
      <c r="D1092" s="575"/>
      <c r="E1092" s="575"/>
      <c r="F1092" s="128"/>
      <c r="G1092" s="577"/>
      <c r="H1092" s="540"/>
      <c r="I1092" s="579"/>
      <c r="J1092" s="533"/>
      <c r="K1092" s="126"/>
      <c r="L1092" s="126"/>
      <c r="M1092" s="126"/>
      <c r="N1092" s="126"/>
      <c r="O1092" s="314"/>
      <c r="P1092" s="314"/>
      <c r="Q1092" s="310"/>
      <c r="R1092" s="314" t="str" cm="1">
        <f t="array" ref="R1092">IFERROR(IF(INDEX('Disaggregation Records'!$G$156:$G$517,MATCH(RIGHT(L1092,255),RIGHT('Disaggregation Records'!$D$156:$D$517,255),0))="","",INDEX('Disaggregation Records'!$G$156:$G$517,MATCH(RIGHT(L1092,255),RIGHT('Disaggregation Records'!$D$156:$D$517,255),0))),"")</f>
        <v/>
      </c>
    </row>
    <row r="1093" spans="1:18" ht="20.100000000000001" customHeight="1">
      <c r="A1093" s="126" t="str">
        <f t="shared" ca="1" si="1253"/>
        <v>a16Dm000000M3tzIAC</v>
      </c>
      <c r="B1093" s="570">
        <v>12</v>
      </c>
      <c r="C1093" s="572" t="str">
        <f ca="1">IFERROR(VLOOKUP(B1093,'Coverage Indicators - Section D'!$A$9:$AO$94,41,FALSE),"")</f>
        <v/>
      </c>
      <c r="D1093" s="574" t="str">
        <f ca="1">M1093</f>
        <v/>
      </c>
      <c r="E1093" s="574" t="str">
        <f ca="1">N1093</f>
        <v/>
      </c>
      <c r="F1093" s="127"/>
      <c r="G1093" s="576" t="str">
        <f ca="1">IF(OR(INDIRECT("'update Helper'!E"&amp;Q1093)="",F1093&lt;&gt;0,F1094&lt;&gt;0),IF(IFERROR((F1093/F1094),"")="","",(F1093/F1094)),INDIRECT("'update Helper'!E"&amp;Q1093)/100)</f>
        <v/>
      </c>
      <c r="H1093" s="539"/>
      <c r="I1093" s="578"/>
      <c r="J1093" s="532"/>
      <c r="K1093" s="126">
        <f ca="1">IF(AND(EXACT(C1093,C1091),C1091&lt;&gt;0),K1091+1,0)</f>
        <v>16</v>
      </c>
      <c r="L1093" s="126" t="str">
        <f t="shared" ref="L1093" ca="1" si="1275">IF(C1093&lt;&gt;"",C1093&amp;"-"&amp;K1093,"")</f>
        <v/>
      </c>
      <c r="M1093" s="126" t="str">
        <f t="array" aca="1" ref="M1093" ca="1">IFERROR(IF(INDEX('Disaggregation Records'!$E$156:$E$517,MATCH(RIGHT(L1093,255),RIGHT('Disaggregation Records'!$D$156:$D$517,255),0))="","",INDEX('Disaggregation Records'!$E$156:$E$517,MATCH(RIGHT(L1093,255),RIGHT('Disaggregation Records'!$D$156:$D$517,255),0))),"")</f>
        <v/>
      </c>
      <c r="N1093" s="126" t="str">
        <f t="array" aca="1" ref="N1093" ca="1">IFERROR(IF(INDEX('Disaggregation Records'!$F$156:$F$517,MATCH(RIGHT(L1093,255),RIGHT('Disaggregation Records'!$D$156:$D$517,255),0))="","",INDEX('Disaggregation Records'!$F$156:$F$517,MATCH(RIGHT(L1093,255),RIGHT('Disaggregation Records'!$D$156:$D$517,255),0))),"")</f>
        <v/>
      </c>
      <c r="O1093" s="314" t="str">
        <f t="array" aca="1" ref="O1093" ca="1">IFERROR(IF(INDEX('Disaggregation Records'!$H$156:$H$517,MATCH(RIGHT(L1093,255),RIGHT('Disaggregation Records'!$D$156:$D$517,255),0))="","",INDEX('Disaggregation Records'!$H$156:$H$517,MATCH(RIGHT(L1093,255),RIGHT('Disaggregation Records'!$D$156:$D$517,255),0))),"")</f>
        <v/>
      </c>
      <c r="P1093" s="314"/>
      <c r="Q1093" s="310">
        <f t="shared" ref="Q1093" si="1276">Q1091+1</f>
        <v>1848</v>
      </c>
      <c r="R1093" s="314" t="str" cm="1">
        <f t="array" aca="1" ref="R1093" ca="1">IFERROR(IF(INDEX('Disaggregation Records'!$G$156:$G$517,MATCH(RIGHT(L1093,255),RIGHT('Disaggregation Records'!$D$156:$D$517,255),0))="","",INDEX('Disaggregation Records'!$G$156:$G$517,MATCH(RIGHT(L1093,255),RIGHT('Disaggregation Records'!$D$156:$D$517,255),0))),"")</f>
        <v/>
      </c>
    </row>
    <row r="1094" spans="1:18" ht="20.100000000000001" customHeight="1">
      <c r="A1094" s="126"/>
      <c r="B1094" s="571"/>
      <c r="C1094" s="573"/>
      <c r="D1094" s="575"/>
      <c r="E1094" s="575"/>
      <c r="F1094" s="128"/>
      <c r="G1094" s="577"/>
      <c r="H1094" s="540"/>
      <c r="I1094" s="579"/>
      <c r="J1094" s="533"/>
      <c r="K1094" s="126"/>
      <c r="L1094" s="126"/>
      <c r="M1094" s="126"/>
      <c r="N1094" s="126"/>
      <c r="O1094" s="314"/>
      <c r="P1094" s="314"/>
      <c r="Q1094" s="310"/>
      <c r="R1094" s="314" t="str" cm="1">
        <f t="array" ref="R1094">IFERROR(IF(INDEX('Disaggregation Records'!$G$156:$G$517,MATCH(RIGHT(L1094,255),RIGHT('Disaggregation Records'!$D$156:$D$517,255),0))="","",INDEX('Disaggregation Records'!$G$156:$G$517,MATCH(RIGHT(L1094,255),RIGHT('Disaggregation Records'!$D$156:$D$517,255),0))),"")</f>
        <v/>
      </c>
    </row>
    <row r="1095" spans="1:18" ht="20.100000000000001" customHeight="1">
      <c r="A1095" s="126" t="str">
        <f t="shared" ca="1" si="1256"/>
        <v>a16Dm000000M3u0IAC</v>
      </c>
      <c r="B1095" s="570">
        <v>12</v>
      </c>
      <c r="C1095" s="572" t="str">
        <f ca="1">IFERROR(VLOOKUP(B1095,'Coverage Indicators - Section D'!$A$9:$AO$94,41,FALSE),"")</f>
        <v/>
      </c>
      <c r="D1095" s="574" t="str">
        <f ca="1">M1095</f>
        <v/>
      </c>
      <c r="E1095" s="574" t="str">
        <f ca="1">N1095</f>
        <v/>
      </c>
      <c r="F1095" s="127"/>
      <c r="G1095" s="576" t="str">
        <f ca="1">IF(OR(INDIRECT("'update Helper'!E"&amp;Q1095)="",F1095&lt;&gt;0,F1096&lt;&gt;0),IF(IFERROR((F1095/F1096),"")="","",(F1095/F1096)),INDIRECT("'update Helper'!E"&amp;Q1095)/100)</f>
        <v/>
      </c>
      <c r="H1095" s="539"/>
      <c r="I1095" s="578"/>
      <c r="J1095" s="532"/>
      <c r="K1095" s="126">
        <f ca="1">IF(AND(EXACT(C1095,C1093),C1093&lt;&gt;0),K1093+1,0)</f>
        <v>17</v>
      </c>
      <c r="L1095" s="126" t="str">
        <f t="shared" ref="L1095" ca="1" si="1277">IF(C1095&lt;&gt;"",C1095&amp;"-"&amp;K1095,"")</f>
        <v/>
      </c>
      <c r="M1095" s="126" t="str">
        <f t="array" aca="1" ref="M1095" ca="1">IFERROR(IF(INDEX('Disaggregation Records'!$E$156:$E$517,MATCH(RIGHT(L1095,255),RIGHT('Disaggregation Records'!$D$156:$D$517,255),0))="","",INDEX('Disaggregation Records'!$E$156:$E$517,MATCH(RIGHT(L1095,255),RIGHT('Disaggregation Records'!$D$156:$D$517,255),0))),"")</f>
        <v/>
      </c>
      <c r="N1095" s="126" t="str">
        <f t="array" aca="1" ref="N1095" ca="1">IFERROR(IF(INDEX('Disaggregation Records'!$F$156:$F$517,MATCH(RIGHT(L1095,255),RIGHT('Disaggregation Records'!$D$156:$D$517,255),0))="","",INDEX('Disaggregation Records'!$F$156:$F$517,MATCH(RIGHT(L1095,255),RIGHT('Disaggregation Records'!$D$156:$D$517,255),0))),"")</f>
        <v/>
      </c>
      <c r="O1095" s="314" t="str">
        <f t="array" aca="1" ref="O1095" ca="1">IFERROR(IF(INDEX('Disaggregation Records'!$H$156:$H$517,MATCH(RIGHT(L1095,255),RIGHT('Disaggregation Records'!$D$156:$D$517,255),0))="","",INDEX('Disaggregation Records'!$H$156:$H$517,MATCH(RIGHT(L1095,255),RIGHT('Disaggregation Records'!$D$156:$D$517,255),0))),"")</f>
        <v/>
      </c>
      <c r="P1095" s="310"/>
      <c r="Q1095" s="310">
        <f t="shared" ref="Q1095" si="1278">Q1093+1</f>
        <v>1849</v>
      </c>
      <c r="R1095" s="314" t="str" cm="1">
        <f t="array" aca="1" ref="R1095" ca="1">IFERROR(IF(INDEX('Disaggregation Records'!$G$156:$G$517,MATCH(RIGHT(L1095,255),RIGHT('Disaggregation Records'!$D$156:$D$517,255),0))="","",INDEX('Disaggregation Records'!$G$156:$G$517,MATCH(RIGHT(L1095,255),RIGHT('Disaggregation Records'!$D$156:$D$517,255),0))),"")</f>
        <v/>
      </c>
    </row>
    <row r="1096" spans="1:18" ht="20.100000000000001" customHeight="1">
      <c r="B1096" s="571"/>
      <c r="C1096" s="573"/>
      <c r="D1096" s="575"/>
      <c r="E1096" s="575"/>
      <c r="F1096" s="128"/>
      <c r="G1096" s="577"/>
      <c r="H1096" s="540"/>
      <c r="I1096" s="579"/>
      <c r="J1096" s="533"/>
      <c r="L1096" s="126"/>
      <c r="N1096" s="126"/>
      <c r="O1096" s="314"/>
      <c r="P1096" s="310"/>
      <c r="Q1096" s="310"/>
      <c r="R1096" s="314" t="str" cm="1">
        <f t="array" ref="R1096">IFERROR(IF(INDEX('Disaggregation Records'!$G$156:$G$517,MATCH(RIGHT(L1096,255),RIGHT('Disaggregation Records'!$D$156:$D$517,255),0))="","",INDEX('Disaggregation Records'!$G$156:$G$517,MATCH(RIGHT(L1096,255),RIGHT('Disaggregation Records'!$D$156:$D$517,255),0))),"")</f>
        <v/>
      </c>
    </row>
    <row r="1097" spans="1:18" ht="20.100000000000001" customHeight="1">
      <c r="A1097" s="126" t="str">
        <f t="shared" ca="1" si="1253"/>
        <v>a16Dm000000M3u1IAC</v>
      </c>
      <c r="B1097" s="570">
        <v>12</v>
      </c>
      <c r="C1097" s="572" t="str">
        <f ca="1">IFERROR(VLOOKUP(B1097,'Coverage Indicators - Section D'!$A$9:$AO$94,41,FALSE),"")</f>
        <v/>
      </c>
      <c r="D1097" s="574" t="str">
        <f ca="1">M1097</f>
        <v/>
      </c>
      <c r="E1097" s="574" t="str">
        <f ca="1">N1097</f>
        <v/>
      </c>
      <c r="F1097" s="127"/>
      <c r="G1097" s="576" t="str">
        <f ca="1">IF(OR(INDIRECT("'update Helper'!E"&amp;Q1097)="",F1097&lt;&gt;0,F1098&lt;&gt;0),IF(IFERROR((F1097/F1098),"")="","",(F1097/F1098)),INDIRECT("'update Helper'!E"&amp;Q1097)/100)</f>
        <v/>
      </c>
      <c r="H1097" s="539"/>
      <c r="I1097" s="578"/>
      <c r="J1097" s="532"/>
      <c r="K1097" s="126">
        <f ca="1">IF(AND(EXACT(C1097,C1095),C1095&lt;&gt;0),K1095+1,0)</f>
        <v>18</v>
      </c>
      <c r="L1097" s="126" t="str">
        <f t="shared" ref="L1097" ca="1" si="1279">IF(C1097&lt;&gt;"",C1097&amp;"-"&amp;K1097,"")</f>
        <v/>
      </c>
      <c r="M1097" s="126" t="str">
        <f t="array" aca="1" ref="M1097" ca="1">IFERROR(IF(INDEX('Disaggregation Records'!$E$156:$E$517,MATCH(RIGHT(L1097,255),RIGHT('Disaggregation Records'!$D$156:$D$517,255),0))="","",INDEX('Disaggregation Records'!$E$156:$E$517,MATCH(RIGHT(L1097,255),RIGHT('Disaggregation Records'!$D$156:$D$517,255),0))),"")</f>
        <v/>
      </c>
      <c r="N1097" s="126" t="str">
        <f t="array" aca="1" ref="N1097" ca="1">IFERROR(IF(INDEX('Disaggregation Records'!$F$156:$F$517,MATCH(RIGHT(L1097,255),RIGHT('Disaggregation Records'!$D$156:$D$517,255),0))="","",INDEX('Disaggregation Records'!$F$156:$F$517,MATCH(RIGHT(L1097,255),RIGHT('Disaggregation Records'!$D$156:$D$517,255),0))),"")</f>
        <v/>
      </c>
      <c r="O1097" s="314" t="str">
        <f t="array" aca="1" ref="O1097" ca="1">IFERROR(IF(INDEX('Disaggregation Records'!$H$156:$H$517,MATCH(RIGHT(L1097,255),RIGHT('Disaggregation Records'!$D$156:$D$517,255),0))="","",INDEX('Disaggregation Records'!$H$156:$H$517,MATCH(RIGHT(L1097,255),RIGHT('Disaggregation Records'!$D$156:$D$517,255),0))),"")</f>
        <v/>
      </c>
      <c r="P1097" s="310"/>
      <c r="Q1097" s="310">
        <f t="shared" ref="Q1097" si="1280">Q1095+1</f>
        <v>1850</v>
      </c>
      <c r="R1097" s="314" t="str" cm="1">
        <f t="array" aca="1" ref="R1097" ca="1">IFERROR(IF(INDEX('Disaggregation Records'!$G$156:$G$517,MATCH(RIGHT(L1097,255),RIGHT('Disaggregation Records'!$D$156:$D$517,255),0))="","",INDEX('Disaggregation Records'!$G$156:$G$517,MATCH(RIGHT(L1097,255),RIGHT('Disaggregation Records'!$D$156:$D$517,255),0))),"")</f>
        <v/>
      </c>
    </row>
    <row r="1098" spans="1:18" ht="20.100000000000001" customHeight="1">
      <c r="A1098" s="126"/>
      <c r="B1098" s="571"/>
      <c r="C1098" s="573"/>
      <c r="D1098" s="575"/>
      <c r="E1098" s="575"/>
      <c r="F1098" s="128"/>
      <c r="G1098" s="577"/>
      <c r="H1098" s="540"/>
      <c r="I1098" s="579"/>
      <c r="J1098" s="533"/>
      <c r="L1098" s="126"/>
      <c r="N1098" s="126"/>
      <c r="O1098" s="314"/>
      <c r="P1098" s="310"/>
      <c r="Q1098" s="310"/>
      <c r="R1098" s="314" t="str" cm="1">
        <f t="array" ref="R1098">IFERROR(IF(INDEX('Disaggregation Records'!$G$156:$G$517,MATCH(RIGHT(L1098,255),RIGHT('Disaggregation Records'!$D$156:$D$517,255),0))="","",INDEX('Disaggregation Records'!$G$156:$G$517,MATCH(RIGHT(L1098,255),RIGHT('Disaggregation Records'!$D$156:$D$517,255),0))),"")</f>
        <v/>
      </c>
    </row>
    <row r="1099" spans="1:18" ht="20.100000000000001" customHeight="1">
      <c r="A1099" s="126" t="str">
        <f t="shared" ca="1" si="1256"/>
        <v>a16Dm000000M3u2IAC</v>
      </c>
      <c r="B1099" s="570">
        <v>12</v>
      </c>
      <c r="C1099" s="572" t="str">
        <f ca="1">IFERROR(VLOOKUP(B1099,'Coverage Indicators - Section D'!$A$9:$AO$94,41,FALSE),"")</f>
        <v/>
      </c>
      <c r="D1099" s="574" t="str">
        <f ca="1">M1099</f>
        <v/>
      </c>
      <c r="E1099" s="574" t="str">
        <f ca="1">N1099</f>
        <v/>
      </c>
      <c r="F1099" s="127"/>
      <c r="G1099" s="576" t="str">
        <f ca="1">IF(OR(INDIRECT("'update Helper'!E"&amp;Q1099)="",F1099&lt;&gt;0,F1100&lt;&gt;0),IF(IFERROR((F1099/F1100),"")="","",(F1099/F1100)),INDIRECT("'update Helper'!E"&amp;Q1099)/100)</f>
        <v/>
      </c>
      <c r="H1099" s="539"/>
      <c r="I1099" s="578"/>
      <c r="J1099" s="532"/>
      <c r="K1099" s="126">
        <f ca="1">IF(AND(EXACT(C1099,C1097),C1097&lt;&gt;0),K1097+1,0)</f>
        <v>19</v>
      </c>
      <c r="L1099" s="126" t="str">
        <f t="shared" ref="L1099" ca="1" si="1281">IF(C1099&lt;&gt;"",C1099&amp;"-"&amp;K1099,"")</f>
        <v/>
      </c>
      <c r="M1099" s="126" t="str">
        <f t="array" aca="1" ref="M1099" ca="1">IFERROR(IF(INDEX('Disaggregation Records'!$E$156:$E$517,MATCH(RIGHT(L1099,255),RIGHT('Disaggregation Records'!$D$156:$D$517,255),0))="","",INDEX('Disaggregation Records'!$E$156:$E$517,MATCH(RIGHT(L1099,255),RIGHT('Disaggregation Records'!$D$156:$D$517,255),0))),"")</f>
        <v/>
      </c>
      <c r="N1099" s="126" t="str">
        <f t="array" aca="1" ref="N1099" ca="1">IFERROR(IF(INDEX('Disaggregation Records'!$F$156:$F$517,MATCH(RIGHT(L1099,255),RIGHT('Disaggregation Records'!$D$156:$D$517,255),0))="","",INDEX('Disaggregation Records'!$F$156:$F$517,MATCH(RIGHT(L1099,255),RIGHT('Disaggregation Records'!$D$156:$D$517,255),0))),"")</f>
        <v/>
      </c>
      <c r="O1099" s="314" t="str">
        <f t="array" aca="1" ref="O1099" ca="1">IFERROR(IF(INDEX('Disaggregation Records'!$H$156:$H$517,MATCH(RIGHT(L1099,255),RIGHT('Disaggregation Records'!$D$156:$D$517,255),0))="","",INDEX('Disaggregation Records'!$H$156:$H$517,MATCH(RIGHT(L1099,255),RIGHT('Disaggregation Records'!$D$156:$D$517,255),0))),"")</f>
        <v/>
      </c>
      <c r="P1099" s="310"/>
      <c r="Q1099" s="310">
        <f t="shared" ref="Q1099" si="1282">Q1097+1</f>
        <v>1851</v>
      </c>
      <c r="R1099" s="314" t="str" cm="1">
        <f t="array" aca="1" ref="R1099" ca="1">IFERROR(IF(INDEX('Disaggregation Records'!$G$156:$G$517,MATCH(RIGHT(L1099,255),RIGHT('Disaggregation Records'!$D$156:$D$517,255),0))="","",INDEX('Disaggregation Records'!$G$156:$G$517,MATCH(RIGHT(L1099,255),RIGHT('Disaggregation Records'!$D$156:$D$517,255),0))),"")</f>
        <v/>
      </c>
    </row>
    <row r="1100" spans="1:18" ht="20.100000000000001" customHeight="1">
      <c r="B1100" s="571"/>
      <c r="C1100" s="573"/>
      <c r="D1100" s="575"/>
      <c r="E1100" s="575"/>
      <c r="F1100" s="128"/>
      <c r="G1100" s="577"/>
      <c r="H1100" s="540"/>
      <c r="I1100" s="579"/>
      <c r="J1100" s="533"/>
      <c r="L1100" s="126"/>
      <c r="N1100" s="126"/>
      <c r="O1100" s="314"/>
      <c r="P1100" s="310"/>
      <c r="Q1100" s="310"/>
      <c r="R1100" s="314" t="str" cm="1">
        <f t="array" ref="R1100">IFERROR(IF(INDEX('Disaggregation Records'!$G$156:$G$517,MATCH(RIGHT(L1100,255),RIGHT('Disaggregation Records'!$D$156:$D$517,255),0))="","",INDEX('Disaggregation Records'!$G$156:$G$517,MATCH(RIGHT(L1100,255),RIGHT('Disaggregation Records'!$D$156:$D$517,255),0))),"")</f>
        <v/>
      </c>
    </row>
    <row r="1101" spans="1:18" ht="20.100000000000001" customHeight="1">
      <c r="A1101" s="126" t="str">
        <f t="shared" ca="1" si="1253"/>
        <v>a16Dm000000M3u3IAC</v>
      </c>
      <c r="B1101" s="570">
        <v>13</v>
      </c>
      <c r="C1101" s="572" t="str">
        <f ca="1">IFERROR(VLOOKUP(B1101,'Coverage Indicators - Section D'!$A$9:$AO$94,41,FALSE),"")</f>
        <v>KP-1a Percentage of men who have sex with men reached with HIV prevention programs - defined package of services</v>
      </c>
      <c r="D1101" s="574" t="str">
        <f ca="1">M1101</f>
        <v>Age</v>
      </c>
      <c r="E1101" s="574" t="str">
        <f ca="1">N1101</f>
        <v>25+</v>
      </c>
      <c r="F1101" s="127"/>
      <c r="G1101" s="576" t="str">
        <f ca="1">IF(OR(INDIRECT("'update Helper'!E"&amp;Q1101)="",F1101&lt;&gt;0,F1102&lt;&gt;0),IF(IFERROR((F1101/F1102),"")="","",(F1101/F1102)),INDIRECT("'update Helper'!E"&amp;Q1101)/100)</f>
        <v/>
      </c>
      <c r="H1101" s="539"/>
      <c r="I1101" s="578"/>
      <c r="J1101" s="532" t="s">
        <v>2301</v>
      </c>
      <c r="K1101" s="126">
        <f ca="1">IF(AND(EXACT(C1101,C1099),C1099&lt;&gt;0),K1099+1,0)</f>
        <v>0</v>
      </c>
      <c r="L1101" s="126" t="str">
        <f t="shared" ref="L1101" ca="1" si="1283">IF(C1101&lt;&gt;"",C1101&amp;"-"&amp;K1101,"")</f>
        <v>KP-1a Percentage of men who have sex with men reached with HIV prevention programs - defined package of services-0</v>
      </c>
      <c r="M1101" s="126" t="str">
        <f t="array" aca="1" ref="M1101" ca="1">IFERROR(IF(INDEX('Disaggregation Records'!$E$156:$E$517,MATCH(RIGHT(L1101,255),RIGHT('Disaggregation Records'!$D$156:$D$517,255),0))="","",INDEX('Disaggregation Records'!$E$156:$E$517,MATCH(RIGHT(L1101,255),RIGHT('Disaggregation Records'!$D$156:$D$517,255),0))),"")</f>
        <v>Age</v>
      </c>
      <c r="N1101" s="126" t="str">
        <f t="array" aca="1" ref="N1101" ca="1">IFERROR(IF(INDEX('Disaggregation Records'!$F$156:$F$517,MATCH(RIGHT(L1101,255),RIGHT('Disaggregation Records'!$D$156:$D$517,255),0))="","",INDEX('Disaggregation Records'!$F$156:$F$517,MATCH(RIGHT(L1101,255),RIGHT('Disaggregation Records'!$D$156:$D$517,255),0))),"")</f>
        <v>25+</v>
      </c>
      <c r="O1101" s="314" t="str">
        <f t="array" aca="1" ref="O1101" ca="1">IFERROR(IF(INDEX('Disaggregation Records'!$H$156:$H$517,MATCH(RIGHT(L1101,255),RIGHT('Disaggregation Records'!$D$156:$D$517,255),0))="","",INDEX('Disaggregation Records'!$H$156:$H$517,MATCH(RIGHT(L1101,255),RIGHT('Disaggregation Records'!$D$156:$D$517,255),0))),"")</f>
        <v>IDR-01165</v>
      </c>
      <c r="P1101" s="314"/>
      <c r="Q1101" s="310">
        <f t="shared" ref="Q1101" si="1284">Q1099+1</f>
        <v>1852</v>
      </c>
      <c r="R1101" s="314" t="str" cm="1">
        <f t="array" aca="1" ref="R1101" ca="1">IFERROR(IF(INDEX('Disaggregation Records'!$G$156:$G$517,MATCH(RIGHT(L1101,255),RIGHT('Disaggregation Records'!$D$156:$D$517,255),0))="","",INDEX('Disaggregation Records'!$G$156:$G$517,MATCH(RIGHT(L1101,255),RIGHT('Disaggregation Records'!$D$156:$D$517,255),0))),"")</f>
        <v>a1LDm000000Cb1XMAS</v>
      </c>
    </row>
    <row r="1102" spans="1:18" ht="20.100000000000001" customHeight="1">
      <c r="A1102" s="126"/>
      <c r="B1102" s="571"/>
      <c r="C1102" s="573"/>
      <c r="D1102" s="575"/>
      <c r="E1102" s="575"/>
      <c r="F1102" s="128"/>
      <c r="G1102" s="577"/>
      <c r="H1102" s="540"/>
      <c r="I1102" s="579"/>
      <c r="J1102" s="533"/>
      <c r="K1102" s="126"/>
      <c r="L1102" s="126"/>
      <c r="M1102" s="126"/>
      <c r="N1102" s="126"/>
      <c r="O1102" s="314"/>
      <c r="P1102" s="314"/>
      <c r="Q1102" s="310"/>
      <c r="R1102" s="314" t="str" cm="1">
        <f t="array" ref="R1102">IFERROR(IF(INDEX('Disaggregation Records'!$G$156:$G$517,MATCH(RIGHT(L1102,255),RIGHT('Disaggregation Records'!$D$156:$D$517,255),0))="","",INDEX('Disaggregation Records'!$G$156:$G$517,MATCH(RIGHT(L1102,255),RIGHT('Disaggregation Records'!$D$156:$D$517,255),0))),"")</f>
        <v/>
      </c>
    </row>
    <row r="1103" spans="1:18" ht="20.100000000000001" customHeight="1">
      <c r="A1103" s="126" t="str">
        <f t="shared" ca="1" si="1256"/>
        <v>a16Dm000000M3u4IAC</v>
      </c>
      <c r="B1103" s="570">
        <v>13</v>
      </c>
      <c r="C1103" s="572" t="str">
        <f ca="1">IFERROR(VLOOKUP(B1103,'Coverage Indicators - Section D'!$A$9:$AO$94,41,FALSE),"")</f>
        <v>KP-1a Percentage of men who have sex with men reached with HIV prevention programs - defined package of services</v>
      </c>
      <c r="D1103" s="574" t="str">
        <f ca="1">M1103</f>
        <v>Age</v>
      </c>
      <c r="E1103" s="574" t="str">
        <f ca="1">N1103</f>
        <v>20-24</v>
      </c>
      <c r="F1103" s="127"/>
      <c r="G1103" s="576" t="str">
        <f ca="1">IF(OR(INDIRECT("'update Helper'!E"&amp;Q1103)="",F1103&lt;&gt;0,F1104&lt;&gt;0),IF(IFERROR((F1103/F1104),"")="","",(F1103/F1104)),INDIRECT("'update Helper'!E"&amp;Q1103)/100)</f>
        <v/>
      </c>
      <c r="H1103" s="539"/>
      <c r="I1103" s="578"/>
      <c r="J1103" s="532" t="s">
        <v>2301</v>
      </c>
      <c r="K1103" s="126">
        <f ca="1">IF(AND(EXACT(C1103,C1101),C1101&lt;&gt;0),K1101+1,0)</f>
        <v>1</v>
      </c>
      <c r="L1103" s="126" t="str">
        <f t="shared" ref="L1103" ca="1" si="1285">IF(C1103&lt;&gt;"",C1103&amp;"-"&amp;K1103,"")</f>
        <v>KP-1a Percentage of men who have sex with men reached with HIV prevention programs - defined package of services-1</v>
      </c>
      <c r="M1103" s="126" t="str">
        <f t="array" aca="1" ref="M1103" ca="1">IFERROR(IF(INDEX('Disaggregation Records'!$E$156:$E$517,MATCH(RIGHT(L1103,255),RIGHT('Disaggregation Records'!$D$156:$D$517,255),0))="","",INDEX('Disaggregation Records'!$E$156:$E$517,MATCH(RIGHT(L1103,255),RIGHT('Disaggregation Records'!$D$156:$D$517,255),0))),"")</f>
        <v>Age</v>
      </c>
      <c r="N1103" s="126" t="str">
        <f t="array" aca="1" ref="N1103" ca="1">IFERROR(IF(INDEX('Disaggregation Records'!$F$156:$F$517,MATCH(RIGHT(L1103,255),RIGHT('Disaggregation Records'!$D$156:$D$517,255),0))="","",INDEX('Disaggregation Records'!$F$156:$F$517,MATCH(RIGHT(L1103,255),RIGHT('Disaggregation Records'!$D$156:$D$517,255),0))),"")</f>
        <v>20-24</v>
      </c>
      <c r="O1103" s="314" t="str">
        <f t="array" aca="1" ref="O1103" ca="1">IFERROR(IF(INDEX('Disaggregation Records'!$H$156:$H$517,MATCH(RIGHT(L1103,255),RIGHT('Disaggregation Records'!$D$156:$D$517,255),0))="","",INDEX('Disaggregation Records'!$H$156:$H$517,MATCH(RIGHT(L1103,255),RIGHT('Disaggregation Records'!$D$156:$D$517,255),0))),"")</f>
        <v>IDR-01164</v>
      </c>
      <c r="P1103" s="314"/>
      <c r="Q1103" s="310">
        <f t="shared" ref="Q1103" si="1286">Q1101+1</f>
        <v>1853</v>
      </c>
      <c r="R1103" s="314" t="str" cm="1">
        <f t="array" aca="1" ref="R1103" ca="1">IFERROR(IF(INDEX('Disaggregation Records'!$G$156:$G$517,MATCH(RIGHT(L1103,255),RIGHT('Disaggregation Records'!$D$156:$D$517,255),0))="","",INDEX('Disaggregation Records'!$G$156:$G$517,MATCH(RIGHT(L1103,255),RIGHT('Disaggregation Records'!$D$156:$D$517,255),0))),"")</f>
        <v>a1LDm000000Cb1WMAS</v>
      </c>
    </row>
    <row r="1104" spans="1:18" ht="20.100000000000001" customHeight="1">
      <c r="B1104" s="571"/>
      <c r="C1104" s="573"/>
      <c r="D1104" s="575"/>
      <c r="E1104" s="575"/>
      <c r="F1104" s="128"/>
      <c r="G1104" s="577"/>
      <c r="H1104" s="540"/>
      <c r="I1104" s="579"/>
      <c r="J1104" s="533"/>
      <c r="K1104" s="126"/>
      <c r="L1104" s="126"/>
      <c r="M1104" s="126"/>
      <c r="N1104" s="126"/>
      <c r="O1104" s="314"/>
      <c r="P1104" s="314"/>
      <c r="Q1104" s="310"/>
      <c r="R1104" s="314" t="str" cm="1">
        <f t="array" ref="R1104">IFERROR(IF(INDEX('Disaggregation Records'!$G$156:$G$517,MATCH(RIGHT(L1104,255),RIGHT('Disaggregation Records'!$D$156:$D$517,255),0))="","",INDEX('Disaggregation Records'!$G$156:$G$517,MATCH(RIGHT(L1104,255),RIGHT('Disaggregation Records'!$D$156:$D$517,255),0))),"")</f>
        <v/>
      </c>
    </row>
    <row r="1105" spans="1:18" ht="20.100000000000001" customHeight="1">
      <c r="A1105" s="126" t="str">
        <f t="shared" ca="1" si="1253"/>
        <v>a16Dm000000M3u5IAC</v>
      </c>
      <c r="B1105" s="570">
        <v>13</v>
      </c>
      <c r="C1105" s="572" t="str">
        <f ca="1">IFERROR(VLOOKUP(B1105,'Coverage Indicators - Section D'!$A$9:$AO$94,41,FALSE),"")</f>
        <v>KP-1a Percentage of men who have sex with men reached with HIV prevention programs - defined package of services</v>
      </c>
      <c r="D1105" s="574" t="str">
        <f ca="1">M1105</f>
        <v>Age</v>
      </c>
      <c r="E1105" s="574" t="str">
        <f ca="1">N1105</f>
        <v>15-19</v>
      </c>
      <c r="F1105" s="127"/>
      <c r="G1105" s="576" t="str">
        <f ca="1">IF(OR(INDIRECT("'update Helper'!E"&amp;Q1105)="",F1105&lt;&gt;0,F1106&lt;&gt;0),IF(IFERROR((F1105/F1106),"")="","",(F1105/F1106)),INDIRECT("'update Helper'!E"&amp;Q1105)/100)</f>
        <v/>
      </c>
      <c r="H1105" s="539"/>
      <c r="I1105" s="578"/>
      <c r="J1105" s="532" t="s">
        <v>2301</v>
      </c>
      <c r="K1105" s="126">
        <f ca="1">IF(AND(EXACT(C1105,C1103),C1103&lt;&gt;0),K1103+1,0)</f>
        <v>2</v>
      </c>
      <c r="L1105" s="126" t="str">
        <f t="shared" ref="L1105" ca="1" si="1287">IF(C1105&lt;&gt;"",C1105&amp;"-"&amp;K1105,"")</f>
        <v>KP-1a Percentage of men who have sex with men reached with HIV prevention programs - defined package of services-2</v>
      </c>
      <c r="M1105" s="126" t="str">
        <f t="array" aca="1" ref="M1105" ca="1">IFERROR(IF(INDEX('Disaggregation Records'!$E$156:$E$517,MATCH(RIGHT(L1105,255),RIGHT('Disaggregation Records'!$D$156:$D$517,255),0))="","",INDEX('Disaggregation Records'!$E$156:$E$517,MATCH(RIGHT(L1105,255),RIGHT('Disaggregation Records'!$D$156:$D$517,255),0))),"")</f>
        <v>Age</v>
      </c>
      <c r="N1105" s="126" t="str">
        <f t="array" aca="1" ref="N1105" ca="1">IFERROR(IF(INDEX('Disaggregation Records'!$F$156:$F$517,MATCH(RIGHT(L1105,255),RIGHT('Disaggregation Records'!$D$156:$D$517,255),0))="","",INDEX('Disaggregation Records'!$F$156:$F$517,MATCH(RIGHT(L1105,255),RIGHT('Disaggregation Records'!$D$156:$D$517,255),0))),"")</f>
        <v>15-19</v>
      </c>
      <c r="O1105" s="314" t="str">
        <f t="array" aca="1" ref="O1105" ca="1">IFERROR(IF(INDEX('Disaggregation Records'!$H$156:$H$517,MATCH(RIGHT(L1105,255),RIGHT('Disaggregation Records'!$D$156:$D$517,255),0))="","",INDEX('Disaggregation Records'!$H$156:$H$517,MATCH(RIGHT(L1105,255),RIGHT('Disaggregation Records'!$D$156:$D$517,255),0))),"")</f>
        <v>IDR-01163</v>
      </c>
      <c r="P1105" s="310"/>
      <c r="Q1105" s="310">
        <f t="shared" ref="Q1105" si="1288">Q1103+1</f>
        <v>1854</v>
      </c>
      <c r="R1105" s="314" t="str" cm="1">
        <f t="array" aca="1" ref="R1105" ca="1">IFERROR(IF(INDEX('Disaggregation Records'!$G$156:$G$517,MATCH(RIGHT(L1105,255),RIGHT('Disaggregation Records'!$D$156:$D$517,255),0))="","",INDEX('Disaggregation Records'!$G$156:$G$517,MATCH(RIGHT(L1105,255),RIGHT('Disaggregation Records'!$D$156:$D$517,255),0))),"")</f>
        <v>a1LDm000000Cb1VMAS</v>
      </c>
    </row>
    <row r="1106" spans="1:18" ht="20.100000000000001" customHeight="1">
      <c r="A1106" s="126"/>
      <c r="B1106" s="571"/>
      <c r="C1106" s="573"/>
      <c r="D1106" s="575"/>
      <c r="E1106" s="575"/>
      <c r="F1106" s="128"/>
      <c r="G1106" s="577"/>
      <c r="H1106" s="540"/>
      <c r="I1106" s="579"/>
      <c r="J1106" s="533"/>
      <c r="L1106" s="126"/>
      <c r="N1106" s="126"/>
      <c r="O1106" s="314"/>
      <c r="P1106" s="310"/>
      <c r="Q1106" s="310"/>
      <c r="R1106" s="314" t="str" cm="1">
        <f t="array" ref="R1106">IFERROR(IF(INDEX('Disaggregation Records'!$G$156:$G$517,MATCH(RIGHT(L1106,255),RIGHT('Disaggregation Records'!$D$156:$D$517,255),0))="","",INDEX('Disaggregation Records'!$G$156:$G$517,MATCH(RIGHT(L1106,255),RIGHT('Disaggregation Records'!$D$156:$D$517,255),0))),"")</f>
        <v/>
      </c>
    </row>
    <row r="1107" spans="1:18" ht="20.100000000000001" customHeight="1">
      <c r="A1107" s="126" t="str">
        <f t="shared" ca="1" si="1256"/>
        <v>a16Dm000000M3u6IAC</v>
      </c>
      <c r="B1107" s="570">
        <v>13</v>
      </c>
      <c r="C1107" s="572" t="str">
        <f ca="1">IFERROR(VLOOKUP(B1107,'Coverage Indicators - Section D'!$A$9:$AO$94,41,FALSE),"")</f>
        <v>KP-1a Percentage of men who have sex with men reached with HIV prevention programs - defined package of services</v>
      </c>
      <c r="D1107" s="574" t="str">
        <f ca="1">M1107</f>
        <v/>
      </c>
      <c r="E1107" s="574" t="str">
        <f ca="1">N1107</f>
        <v/>
      </c>
      <c r="F1107" s="127"/>
      <c r="G1107" s="576" t="str">
        <f ca="1">IF(OR(INDIRECT("'update Helper'!E"&amp;Q1107)="",F1107&lt;&gt;0,F1108&lt;&gt;0),IF(IFERROR((F1107/F1108),"")="","",(F1107/F1108)),INDIRECT("'update Helper'!E"&amp;Q1107)/100)</f>
        <v/>
      </c>
      <c r="H1107" s="539"/>
      <c r="I1107" s="578"/>
      <c r="J1107" s="532"/>
      <c r="K1107" s="126">
        <f ca="1">IF(AND(EXACT(C1107,C1105),C1105&lt;&gt;0),K1105+1,0)</f>
        <v>3</v>
      </c>
      <c r="L1107" s="126" t="str">
        <f t="shared" ref="L1107" ca="1" si="1289">IF(C1107&lt;&gt;"",C1107&amp;"-"&amp;K1107,"")</f>
        <v>KP-1a Percentage of men who have sex with men reached with HIV prevention programs - defined package of services-3</v>
      </c>
      <c r="M1107" s="126" t="str">
        <f t="array" aca="1" ref="M1107" ca="1">IFERROR(IF(INDEX('Disaggregation Records'!$E$156:$E$517,MATCH(RIGHT(L1107,255),RIGHT('Disaggregation Records'!$D$156:$D$517,255),0))="","",INDEX('Disaggregation Records'!$E$156:$E$517,MATCH(RIGHT(L1107,255),RIGHT('Disaggregation Records'!$D$156:$D$517,255),0))),"")</f>
        <v/>
      </c>
      <c r="N1107" s="126" t="str">
        <f t="array" aca="1" ref="N1107" ca="1">IFERROR(IF(INDEX('Disaggregation Records'!$F$156:$F$517,MATCH(RIGHT(L1107,255),RIGHT('Disaggregation Records'!$D$156:$D$517,255),0))="","",INDEX('Disaggregation Records'!$F$156:$F$517,MATCH(RIGHT(L1107,255),RIGHT('Disaggregation Records'!$D$156:$D$517,255),0))),"")</f>
        <v/>
      </c>
      <c r="O1107" s="314" t="str">
        <f t="array" aca="1" ref="O1107" ca="1">IFERROR(IF(INDEX('Disaggregation Records'!$H$156:$H$517,MATCH(RIGHT(L1107,255),RIGHT('Disaggregation Records'!$D$156:$D$517,255),0))="","",INDEX('Disaggregation Records'!$H$156:$H$517,MATCH(RIGHT(L1107,255),RIGHT('Disaggregation Records'!$D$156:$D$517,255),0))),"")</f>
        <v/>
      </c>
      <c r="P1107" s="310"/>
      <c r="Q1107" s="310">
        <f t="shared" ref="Q1107" si="1290">Q1105+1</f>
        <v>1855</v>
      </c>
      <c r="R1107" s="314" t="str" cm="1">
        <f t="array" aca="1" ref="R1107" ca="1">IFERROR(IF(INDEX('Disaggregation Records'!$G$156:$G$517,MATCH(RIGHT(L1107,255),RIGHT('Disaggregation Records'!$D$156:$D$517,255),0))="","",INDEX('Disaggregation Records'!$G$156:$G$517,MATCH(RIGHT(L1107,255),RIGHT('Disaggregation Records'!$D$156:$D$517,255),0))),"")</f>
        <v/>
      </c>
    </row>
    <row r="1108" spans="1:18" ht="20.100000000000001" customHeight="1">
      <c r="B1108" s="571"/>
      <c r="C1108" s="573"/>
      <c r="D1108" s="575"/>
      <c r="E1108" s="575"/>
      <c r="F1108" s="128"/>
      <c r="G1108" s="577"/>
      <c r="H1108" s="540"/>
      <c r="I1108" s="579"/>
      <c r="J1108" s="533"/>
      <c r="L1108" s="126"/>
      <c r="N1108" s="126"/>
      <c r="O1108" s="314"/>
      <c r="P1108" s="310"/>
      <c r="Q1108" s="310"/>
      <c r="R1108" s="314" t="str" cm="1">
        <f t="array" ref="R1108">IFERROR(IF(INDEX('Disaggregation Records'!$G$156:$G$517,MATCH(RIGHT(L1108,255),RIGHT('Disaggregation Records'!$D$156:$D$517,255),0))="","",INDEX('Disaggregation Records'!$G$156:$G$517,MATCH(RIGHT(L1108,255),RIGHT('Disaggregation Records'!$D$156:$D$517,255),0))),"")</f>
        <v/>
      </c>
    </row>
    <row r="1109" spans="1:18" ht="20.100000000000001" customHeight="1">
      <c r="A1109" s="126" t="str">
        <f t="shared" ca="1" si="1253"/>
        <v>a16Dm000000M3u7IAC</v>
      </c>
      <c r="B1109" s="570">
        <v>13</v>
      </c>
      <c r="C1109" s="572" t="str">
        <f ca="1">IFERROR(VLOOKUP(B1109,'Coverage Indicators - Section D'!$A$9:$AO$94,41,FALSE),"")</f>
        <v>KP-1a Percentage of men who have sex with men reached with HIV prevention programs - defined package of services</v>
      </c>
      <c r="D1109" s="574" t="str">
        <f ca="1">M1109</f>
        <v/>
      </c>
      <c r="E1109" s="574" t="str">
        <f ca="1">N1109</f>
        <v/>
      </c>
      <c r="F1109" s="127"/>
      <c r="G1109" s="576" t="str">
        <f ca="1">IF(OR(INDIRECT("'update Helper'!E"&amp;Q1109)="",F1109&lt;&gt;0,F1110&lt;&gt;0),IF(IFERROR((F1109/F1110),"")="","",(F1109/F1110)),INDIRECT("'update Helper'!E"&amp;Q1109)/100)</f>
        <v/>
      </c>
      <c r="H1109" s="539"/>
      <c r="I1109" s="578"/>
      <c r="J1109" s="532"/>
      <c r="K1109" s="126">
        <f ca="1">IF(AND(EXACT(C1109,C1107),C1107&lt;&gt;0),K1107+1,0)</f>
        <v>4</v>
      </c>
      <c r="L1109" s="126" t="str">
        <f t="shared" ref="L1109" ca="1" si="1291">IF(C1109&lt;&gt;"",C1109&amp;"-"&amp;K1109,"")</f>
        <v>KP-1a Percentage of men who have sex with men reached with HIV prevention programs - defined package of services-4</v>
      </c>
      <c r="M1109" s="126" t="str">
        <f t="array" aca="1" ref="M1109" ca="1">IFERROR(IF(INDEX('Disaggregation Records'!$E$156:$E$517,MATCH(RIGHT(L1109,255),RIGHT('Disaggregation Records'!$D$156:$D$517,255),0))="","",INDEX('Disaggregation Records'!$E$156:$E$517,MATCH(RIGHT(L1109,255),RIGHT('Disaggregation Records'!$D$156:$D$517,255),0))),"")</f>
        <v/>
      </c>
      <c r="N1109" s="126" t="str">
        <f t="array" aca="1" ref="N1109" ca="1">IFERROR(IF(INDEX('Disaggregation Records'!$F$156:$F$517,MATCH(RIGHT(L1109,255),RIGHT('Disaggregation Records'!$D$156:$D$517,255),0))="","",INDEX('Disaggregation Records'!$F$156:$F$517,MATCH(RIGHT(L1109,255),RIGHT('Disaggregation Records'!$D$156:$D$517,255),0))),"")</f>
        <v/>
      </c>
      <c r="O1109" s="314" t="str">
        <f t="array" aca="1" ref="O1109" ca="1">IFERROR(IF(INDEX('Disaggregation Records'!$H$156:$H$517,MATCH(RIGHT(L1109,255),RIGHT('Disaggregation Records'!$D$156:$D$517,255),0))="","",INDEX('Disaggregation Records'!$H$156:$H$517,MATCH(RIGHT(L1109,255),RIGHT('Disaggregation Records'!$D$156:$D$517,255),0))),"")</f>
        <v/>
      </c>
      <c r="P1109" s="310"/>
      <c r="Q1109" s="310">
        <f t="shared" ref="Q1109" si="1292">Q1107+1</f>
        <v>1856</v>
      </c>
      <c r="R1109" s="314" t="str" cm="1">
        <f t="array" aca="1" ref="R1109" ca="1">IFERROR(IF(INDEX('Disaggregation Records'!$G$156:$G$517,MATCH(RIGHT(L1109,255),RIGHT('Disaggregation Records'!$D$156:$D$517,255),0))="","",INDEX('Disaggregation Records'!$G$156:$G$517,MATCH(RIGHT(L1109,255),RIGHT('Disaggregation Records'!$D$156:$D$517,255),0))),"")</f>
        <v/>
      </c>
    </row>
    <row r="1110" spans="1:18" ht="20.100000000000001" customHeight="1">
      <c r="A1110" s="126"/>
      <c r="B1110" s="571"/>
      <c r="C1110" s="573"/>
      <c r="D1110" s="575"/>
      <c r="E1110" s="575"/>
      <c r="F1110" s="128"/>
      <c r="G1110" s="577"/>
      <c r="H1110" s="540"/>
      <c r="I1110" s="579"/>
      <c r="J1110" s="533"/>
      <c r="L1110" s="126"/>
      <c r="N1110" s="126"/>
      <c r="O1110" s="314"/>
      <c r="P1110" s="310"/>
      <c r="Q1110" s="310"/>
      <c r="R1110" s="314" t="str" cm="1">
        <f t="array" ref="R1110">IFERROR(IF(INDEX('Disaggregation Records'!$G$156:$G$517,MATCH(RIGHT(L1110,255),RIGHT('Disaggregation Records'!$D$156:$D$517,255),0))="","",INDEX('Disaggregation Records'!$G$156:$G$517,MATCH(RIGHT(L1110,255),RIGHT('Disaggregation Records'!$D$156:$D$517,255),0))),"")</f>
        <v/>
      </c>
    </row>
    <row r="1111" spans="1:18" ht="20.100000000000001" customHeight="1">
      <c r="A1111" s="126" t="str">
        <f t="shared" ca="1" si="1256"/>
        <v>a16Dm000000M3u8IAC</v>
      </c>
      <c r="B1111" s="570">
        <v>13</v>
      </c>
      <c r="C1111" s="572" t="str">
        <f ca="1">IFERROR(VLOOKUP(B1111,'Coverage Indicators - Section D'!$A$9:$AO$94,41,FALSE),"")</f>
        <v>KP-1a Percentage of men who have sex with men reached with HIV prevention programs - defined package of services</v>
      </c>
      <c r="D1111" s="574" t="str">
        <f ca="1">M1111</f>
        <v/>
      </c>
      <c r="E1111" s="574" t="str">
        <f ca="1">N1111</f>
        <v/>
      </c>
      <c r="F1111" s="127"/>
      <c r="G1111" s="576" t="str">
        <f ca="1">IF(OR(INDIRECT("'update Helper'!E"&amp;Q1111)="",F1111&lt;&gt;0,F1112&lt;&gt;0),IF(IFERROR((F1111/F1112),"")="","",(F1111/F1112)),INDIRECT("'update Helper'!E"&amp;Q1111)/100)</f>
        <v/>
      </c>
      <c r="H1111" s="539"/>
      <c r="I1111" s="578"/>
      <c r="J1111" s="532"/>
      <c r="K1111" s="126">
        <f ca="1">IF(AND(EXACT(C1111,C1109),C1109&lt;&gt;0),K1109+1,0)</f>
        <v>5</v>
      </c>
      <c r="L1111" s="126" t="str">
        <f t="shared" ref="L1111" ca="1" si="1293">IF(C1111&lt;&gt;"",C1111&amp;"-"&amp;K1111,"")</f>
        <v>KP-1a Percentage of men who have sex with men reached with HIV prevention programs - defined package of services-5</v>
      </c>
      <c r="M1111" s="126" t="str">
        <f t="array" aca="1" ref="M1111" ca="1">IFERROR(IF(INDEX('Disaggregation Records'!$E$156:$E$517,MATCH(RIGHT(L1111,255),RIGHT('Disaggregation Records'!$D$156:$D$517,255),0))="","",INDEX('Disaggregation Records'!$E$156:$E$517,MATCH(RIGHT(L1111,255),RIGHT('Disaggregation Records'!$D$156:$D$517,255),0))),"")</f>
        <v/>
      </c>
      <c r="N1111" s="126" t="str">
        <f t="array" aca="1" ref="N1111" ca="1">IFERROR(IF(INDEX('Disaggregation Records'!$F$156:$F$517,MATCH(RIGHT(L1111,255),RIGHT('Disaggregation Records'!$D$156:$D$517,255),0))="","",INDEX('Disaggregation Records'!$F$156:$F$517,MATCH(RIGHT(L1111,255),RIGHT('Disaggregation Records'!$D$156:$D$517,255),0))),"")</f>
        <v/>
      </c>
      <c r="O1111" s="314" t="str">
        <f t="array" aca="1" ref="O1111" ca="1">IFERROR(IF(INDEX('Disaggregation Records'!$H$156:$H$517,MATCH(RIGHT(L1111,255),RIGHT('Disaggregation Records'!$D$156:$D$517,255),0))="","",INDEX('Disaggregation Records'!$H$156:$H$517,MATCH(RIGHT(L1111,255),RIGHT('Disaggregation Records'!$D$156:$D$517,255),0))),"")</f>
        <v/>
      </c>
      <c r="P1111" s="314"/>
      <c r="Q1111" s="310">
        <f t="shared" ref="Q1111" si="1294">Q1109+1</f>
        <v>1857</v>
      </c>
      <c r="R1111" s="314" t="str" cm="1">
        <f t="array" aca="1" ref="R1111" ca="1">IFERROR(IF(INDEX('Disaggregation Records'!$G$156:$G$517,MATCH(RIGHT(L1111,255),RIGHT('Disaggregation Records'!$D$156:$D$517,255),0))="","",INDEX('Disaggregation Records'!$G$156:$G$517,MATCH(RIGHT(L1111,255),RIGHT('Disaggregation Records'!$D$156:$D$517,255),0))),"")</f>
        <v/>
      </c>
    </row>
    <row r="1112" spans="1:18" ht="20.100000000000001" customHeight="1">
      <c r="B1112" s="571"/>
      <c r="C1112" s="573"/>
      <c r="D1112" s="575"/>
      <c r="E1112" s="575"/>
      <c r="F1112" s="128"/>
      <c r="G1112" s="577"/>
      <c r="H1112" s="540"/>
      <c r="I1112" s="579"/>
      <c r="J1112" s="533"/>
      <c r="K1112" s="126"/>
      <c r="L1112" s="126"/>
      <c r="M1112" s="126"/>
      <c r="N1112" s="126"/>
      <c r="O1112" s="314"/>
      <c r="P1112" s="314"/>
      <c r="Q1112" s="310"/>
      <c r="R1112" s="314" t="str" cm="1">
        <f t="array" ref="R1112">IFERROR(IF(INDEX('Disaggregation Records'!$G$156:$G$517,MATCH(RIGHT(L1112,255),RIGHT('Disaggregation Records'!$D$156:$D$517,255),0))="","",INDEX('Disaggregation Records'!$G$156:$G$517,MATCH(RIGHT(L1112,255),RIGHT('Disaggregation Records'!$D$156:$D$517,255),0))),"")</f>
        <v/>
      </c>
    </row>
    <row r="1113" spans="1:18" ht="20.100000000000001" customHeight="1">
      <c r="A1113" s="126" t="str">
        <f t="shared" ca="1" si="1253"/>
        <v>a16Dm000000M3u9IAC</v>
      </c>
      <c r="B1113" s="570">
        <v>13</v>
      </c>
      <c r="C1113" s="572" t="str">
        <f ca="1">IFERROR(VLOOKUP(B1113,'Coverage Indicators - Section D'!$A$9:$AO$94,41,FALSE),"")</f>
        <v>KP-1a Percentage of men who have sex with men reached with HIV prevention programs - defined package of services</v>
      </c>
      <c r="D1113" s="574" t="str">
        <f ca="1">M1113</f>
        <v/>
      </c>
      <c r="E1113" s="574" t="str">
        <f ca="1">N1113</f>
        <v/>
      </c>
      <c r="F1113" s="127"/>
      <c r="G1113" s="576" t="str">
        <f ca="1">IF(OR(INDIRECT("'update Helper'!E"&amp;Q1113)="",F1113&lt;&gt;0,F1114&lt;&gt;0),IF(IFERROR((F1113/F1114),"")="","",(F1113/F1114)),INDIRECT("'update Helper'!E"&amp;Q1113)/100)</f>
        <v/>
      </c>
      <c r="H1113" s="539"/>
      <c r="I1113" s="578"/>
      <c r="J1113" s="532"/>
      <c r="K1113" s="126">
        <f ca="1">IF(AND(EXACT(C1113,C1111),C1111&lt;&gt;0),K1111+1,0)</f>
        <v>6</v>
      </c>
      <c r="L1113" s="126" t="str">
        <f t="shared" ref="L1113" ca="1" si="1295">IF(C1113&lt;&gt;"",C1113&amp;"-"&amp;K1113,"")</f>
        <v>KP-1a Percentage of men who have sex with men reached with HIV prevention programs - defined package of services-6</v>
      </c>
      <c r="M1113" s="126" t="str">
        <f t="array" aca="1" ref="M1113" ca="1">IFERROR(IF(INDEX('Disaggregation Records'!$E$156:$E$517,MATCH(RIGHT(L1113,255),RIGHT('Disaggregation Records'!$D$156:$D$517,255),0))="","",INDEX('Disaggregation Records'!$E$156:$E$517,MATCH(RIGHT(L1113,255),RIGHT('Disaggregation Records'!$D$156:$D$517,255),0))),"")</f>
        <v/>
      </c>
      <c r="N1113" s="126" t="str">
        <f t="array" aca="1" ref="N1113" ca="1">IFERROR(IF(INDEX('Disaggregation Records'!$F$156:$F$517,MATCH(RIGHT(L1113,255),RIGHT('Disaggregation Records'!$D$156:$D$517,255),0))="","",INDEX('Disaggregation Records'!$F$156:$F$517,MATCH(RIGHT(L1113,255),RIGHT('Disaggregation Records'!$D$156:$D$517,255),0))),"")</f>
        <v/>
      </c>
      <c r="O1113" s="314" t="str">
        <f t="array" aca="1" ref="O1113" ca="1">IFERROR(IF(INDEX('Disaggregation Records'!$H$156:$H$517,MATCH(RIGHT(L1113,255),RIGHT('Disaggregation Records'!$D$156:$D$517,255),0))="","",INDEX('Disaggregation Records'!$H$156:$H$517,MATCH(RIGHT(L1113,255),RIGHT('Disaggregation Records'!$D$156:$D$517,255),0))),"")</f>
        <v/>
      </c>
      <c r="P1113" s="314"/>
      <c r="Q1113" s="310">
        <f t="shared" ref="Q1113" si="1296">Q1111+1</f>
        <v>1858</v>
      </c>
      <c r="R1113" s="314" t="str" cm="1">
        <f t="array" aca="1" ref="R1113" ca="1">IFERROR(IF(INDEX('Disaggregation Records'!$G$156:$G$517,MATCH(RIGHT(L1113,255),RIGHT('Disaggregation Records'!$D$156:$D$517,255),0))="","",INDEX('Disaggregation Records'!$G$156:$G$517,MATCH(RIGHT(L1113,255),RIGHT('Disaggregation Records'!$D$156:$D$517,255),0))),"")</f>
        <v/>
      </c>
    </row>
    <row r="1114" spans="1:18" ht="20.100000000000001" customHeight="1">
      <c r="A1114" s="126"/>
      <c r="B1114" s="571"/>
      <c r="C1114" s="573"/>
      <c r="D1114" s="575"/>
      <c r="E1114" s="575"/>
      <c r="F1114" s="128"/>
      <c r="G1114" s="577"/>
      <c r="H1114" s="540"/>
      <c r="I1114" s="579"/>
      <c r="J1114" s="533"/>
      <c r="K1114" s="126"/>
      <c r="L1114" s="126"/>
      <c r="M1114" s="126"/>
      <c r="N1114" s="126"/>
      <c r="O1114" s="314"/>
      <c r="P1114" s="314"/>
      <c r="Q1114" s="310"/>
      <c r="R1114" s="314" t="str" cm="1">
        <f t="array" ref="R1114">IFERROR(IF(INDEX('Disaggregation Records'!$G$156:$G$517,MATCH(RIGHT(L1114,255),RIGHT('Disaggregation Records'!$D$156:$D$517,255),0))="","",INDEX('Disaggregation Records'!$G$156:$G$517,MATCH(RIGHT(L1114,255),RIGHT('Disaggregation Records'!$D$156:$D$517,255),0))),"")</f>
        <v/>
      </c>
    </row>
    <row r="1115" spans="1:18" ht="20.100000000000001" customHeight="1">
      <c r="A1115" s="126" t="str">
        <f t="shared" ca="1" si="1256"/>
        <v>a16Dm000000M3uAIAS</v>
      </c>
      <c r="B1115" s="570">
        <v>13</v>
      </c>
      <c r="C1115" s="572" t="str">
        <f ca="1">IFERROR(VLOOKUP(B1115,'Coverage Indicators - Section D'!$A$9:$AO$94,41,FALSE),"")</f>
        <v>KP-1a Percentage of men who have sex with men reached with HIV prevention programs - defined package of services</v>
      </c>
      <c r="D1115" s="574" t="str">
        <f ca="1">M1115</f>
        <v/>
      </c>
      <c r="E1115" s="574" t="str">
        <f ca="1">N1115</f>
        <v/>
      </c>
      <c r="F1115" s="127"/>
      <c r="G1115" s="576" t="str">
        <f ca="1">IF(OR(INDIRECT("'update Helper'!E"&amp;Q1115)="",F1115&lt;&gt;0,F1116&lt;&gt;0),IF(IFERROR((F1115/F1116),"")="","",(F1115/F1116)),INDIRECT("'update Helper'!E"&amp;Q1115)/100)</f>
        <v/>
      </c>
      <c r="H1115" s="539"/>
      <c r="I1115" s="578"/>
      <c r="J1115" s="532"/>
      <c r="K1115" s="126">
        <f ca="1">IF(AND(EXACT(C1115,C1113),C1113&lt;&gt;0),K1113+1,0)</f>
        <v>7</v>
      </c>
      <c r="L1115" s="126" t="str">
        <f t="shared" ref="L1115" ca="1" si="1297">IF(C1115&lt;&gt;"",C1115&amp;"-"&amp;K1115,"")</f>
        <v>KP-1a Percentage of men who have sex with men reached with HIV prevention programs - defined package of services-7</v>
      </c>
      <c r="M1115" s="126" t="str">
        <f t="array" aca="1" ref="M1115" ca="1">IFERROR(IF(INDEX('Disaggregation Records'!$E$156:$E$517,MATCH(RIGHT(L1115,255),RIGHT('Disaggregation Records'!$D$156:$D$517,255),0))="","",INDEX('Disaggregation Records'!$E$156:$E$517,MATCH(RIGHT(L1115,255),RIGHT('Disaggregation Records'!$D$156:$D$517,255),0))),"")</f>
        <v/>
      </c>
      <c r="N1115" s="126" t="str">
        <f t="array" aca="1" ref="N1115" ca="1">IFERROR(IF(INDEX('Disaggregation Records'!$F$156:$F$517,MATCH(RIGHT(L1115,255),RIGHT('Disaggregation Records'!$D$156:$D$517,255),0))="","",INDEX('Disaggregation Records'!$F$156:$F$517,MATCH(RIGHT(L1115,255),RIGHT('Disaggregation Records'!$D$156:$D$517,255),0))),"")</f>
        <v/>
      </c>
      <c r="O1115" s="314" t="str">
        <f t="array" aca="1" ref="O1115" ca="1">IFERROR(IF(INDEX('Disaggregation Records'!$H$156:$H$517,MATCH(RIGHT(L1115,255),RIGHT('Disaggregation Records'!$D$156:$D$517,255),0))="","",INDEX('Disaggregation Records'!$H$156:$H$517,MATCH(RIGHT(L1115,255),RIGHT('Disaggregation Records'!$D$156:$D$517,255),0))),"")</f>
        <v/>
      </c>
      <c r="P1115" s="310"/>
      <c r="Q1115" s="310">
        <f t="shared" ref="Q1115" si="1298">Q1113+1</f>
        <v>1859</v>
      </c>
      <c r="R1115" s="314" t="str" cm="1">
        <f t="array" aca="1" ref="R1115" ca="1">IFERROR(IF(INDEX('Disaggregation Records'!$G$156:$G$517,MATCH(RIGHT(L1115,255),RIGHT('Disaggregation Records'!$D$156:$D$517,255),0))="","",INDEX('Disaggregation Records'!$G$156:$G$517,MATCH(RIGHT(L1115,255),RIGHT('Disaggregation Records'!$D$156:$D$517,255),0))),"")</f>
        <v/>
      </c>
    </row>
    <row r="1116" spans="1:18" ht="20.100000000000001" customHeight="1">
      <c r="B1116" s="571"/>
      <c r="C1116" s="573"/>
      <c r="D1116" s="575"/>
      <c r="E1116" s="575"/>
      <c r="F1116" s="128"/>
      <c r="G1116" s="577"/>
      <c r="H1116" s="540"/>
      <c r="I1116" s="579"/>
      <c r="J1116" s="533"/>
      <c r="L1116" s="126"/>
      <c r="N1116" s="126"/>
      <c r="O1116" s="314"/>
      <c r="P1116" s="310"/>
      <c r="Q1116" s="310"/>
      <c r="R1116" s="314" t="str" cm="1">
        <f t="array" ref="R1116">IFERROR(IF(INDEX('Disaggregation Records'!$G$156:$G$517,MATCH(RIGHT(L1116,255),RIGHT('Disaggregation Records'!$D$156:$D$517,255),0))="","",INDEX('Disaggregation Records'!$G$156:$G$517,MATCH(RIGHT(L1116,255),RIGHT('Disaggregation Records'!$D$156:$D$517,255),0))),"")</f>
        <v/>
      </c>
    </row>
    <row r="1117" spans="1:18" ht="20.100000000000001" customHeight="1">
      <c r="A1117" s="126" t="str">
        <f t="shared" ca="1" si="1253"/>
        <v>a16Dm000000M3uBIAS</v>
      </c>
      <c r="B1117" s="570">
        <v>13</v>
      </c>
      <c r="C1117" s="572" t="str">
        <f ca="1">IFERROR(VLOOKUP(B1117,'Coverage Indicators - Section D'!$A$9:$AO$94,41,FALSE),"")</f>
        <v>KP-1a Percentage of men who have sex with men reached with HIV prevention programs - defined package of services</v>
      </c>
      <c r="D1117" s="574" t="str">
        <f ca="1">M1117</f>
        <v/>
      </c>
      <c r="E1117" s="574" t="str">
        <f ca="1">N1117</f>
        <v/>
      </c>
      <c r="F1117" s="127"/>
      <c r="G1117" s="576" t="str">
        <f ca="1">IF(OR(INDIRECT("'update Helper'!E"&amp;Q1117)="",F1117&lt;&gt;0,F1118&lt;&gt;0),IF(IFERROR((F1117/F1118),"")="","",(F1117/F1118)),INDIRECT("'update Helper'!E"&amp;Q1117)/100)</f>
        <v/>
      </c>
      <c r="H1117" s="539"/>
      <c r="I1117" s="578"/>
      <c r="J1117" s="532"/>
      <c r="K1117" s="126">
        <f ca="1">IF(AND(EXACT(C1117,C1115),C1115&lt;&gt;0),K1115+1,0)</f>
        <v>8</v>
      </c>
      <c r="L1117" s="126" t="str">
        <f t="shared" ref="L1117" ca="1" si="1299">IF(C1117&lt;&gt;"",C1117&amp;"-"&amp;K1117,"")</f>
        <v>KP-1a Percentage of men who have sex with men reached with HIV prevention programs - defined package of services-8</v>
      </c>
      <c r="M1117" s="126" t="str">
        <f t="array" aca="1" ref="M1117" ca="1">IFERROR(IF(INDEX('Disaggregation Records'!$E$156:$E$517,MATCH(RIGHT(L1117,255),RIGHT('Disaggregation Records'!$D$156:$D$517,255),0))="","",INDEX('Disaggregation Records'!$E$156:$E$517,MATCH(RIGHT(L1117,255),RIGHT('Disaggregation Records'!$D$156:$D$517,255),0))),"")</f>
        <v/>
      </c>
      <c r="N1117" s="126" t="str">
        <f t="array" aca="1" ref="N1117" ca="1">IFERROR(IF(INDEX('Disaggregation Records'!$F$156:$F$517,MATCH(RIGHT(L1117,255),RIGHT('Disaggregation Records'!$D$156:$D$517,255),0))="","",INDEX('Disaggregation Records'!$F$156:$F$517,MATCH(RIGHT(L1117,255),RIGHT('Disaggregation Records'!$D$156:$D$517,255),0))),"")</f>
        <v/>
      </c>
      <c r="O1117" s="314" t="str">
        <f t="array" aca="1" ref="O1117" ca="1">IFERROR(IF(INDEX('Disaggregation Records'!$H$156:$H$517,MATCH(RIGHT(L1117,255),RIGHT('Disaggregation Records'!$D$156:$D$517,255),0))="","",INDEX('Disaggregation Records'!$H$156:$H$517,MATCH(RIGHT(L1117,255),RIGHT('Disaggregation Records'!$D$156:$D$517,255),0))),"")</f>
        <v/>
      </c>
      <c r="P1117" s="310"/>
      <c r="Q1117" s="310">
        <f t="shared" ref="Q1117" si="1300">Q1115+1</f>
        <v>1860</v>
      </c>
      <c r="R1117" s="314" t="str" cm="1">
        <f t="array" aca="1" ref="R1117" ca="1">IFERROR(IF(INDEX('Disaggregation Records'!$G$156:$G$517,MATCH(RIGHT(L1117,255),RIGHT('Disaggregation Records'!$D$156:$D$517,255),0))="","",INDEX('Disaggregation Records'!$G$156:$G$517,MATCH(RIGHT(L1117,255),RIGHT('Disaggregation Records'!$D$156:$D$517,255),0))),"")</f>
        <v/>
      </c>
    </row>
    <row r="1118" spans="1:18" ht="20.100000000000001" customHeight="1">
      <c r="A1118" s="126"/>
      <c r="B1118" s="571"/>
      <c r="C1118" s="573"/>
      <c r="D1118" s="575"/>
      <c r="E1118" s="575"/>
      <c r="F1118" s="128"/>
      <c r="G1118" s="577"/>
      <c r="H1118" s="540"/>
      <c r="I1118" s="579"/>
      <c r="J1118" s="533"/>
      <c r="L1118" s="126"/>
      <c r="N1118" s="126"/>
      <c r="O1118" s="314"/>
      <c r="P1118" s="310"/>
      <c r="Q1118" s="310"/>
      <c r="R1118" s="314" t="str" cm="1">
        <f t="array" ref="R1118">IFERROR(IF(INDEX('Disaggregation Records'!$G$156:$G$517,MATCH(RIGHT(L1118,255),RIGHT('Disaggregation Records'!$D$156:$D$517,255),0))="","",INDEX('Disaggregation Records'!$G$156:$G$517,MATCH(RIGHT(L1118,255),RIGHT('Disaggregation Records'!$D$156:$D$517,255),0))),"")</f>
        <v/>
      </c>
    </row>
    <row r="1119" spans="1:18" ht="20.100000000000001" customHeight="1">
      <c r="A1119" s="126" t="str">
        <f t="shared" ca="1" si="1256"/>
        <v>a16Dm000000M3uCIAS</v>
      </c>
      <c r="B1119" s="570">
        <v>13</v>
      </c>
      <c r="C1119" s="572" t="str">
        <f ca="1">IFERROR(VLOOKUP(B1119,'Coverage Indicators - Section D'!$A$9:$AO$94,41,FALSE),"")</f>
        <v>KP-1a Percentage of men who have sex with men reached with HIV prevention programs - defined package of services</v>
      </c>
      <c r="D1119" s="574" t="str">
        <f ca="1">M1119</f>
        <v/>
      </c>
      <c r="E1119" s="574" t="str">
        <f ca="1">N1119</f>
        <v/>
      </c>
      <c r="F1119" s="127"/>
      <c r="G1119" s="576" t="str">
        <f ca="1">IF(OR(INDIRECT("'update Helper'!E"&amp;Q1119)="",F1119&lt;&gt;0,F1120&lt;&gt;0),IF(IFERROR((F1119/F1120),"")="","",(F1119/F1120)),INDIRECT("'update Helper'!E"&amp;Q1119)/100)</f>
        <v/>
      </c>
      <c r="H1119" s="539"/>
      <c r="I1119" s="578"/>
      <c r="J1119" s="532"/>
      <c r="K1119" s="126">
        <f ca="1">IF(AND(EXACT(C1119,C1117),C1117&lt;&gt;0),K1117+1,0)</f>
        <v>9</v>
      </c>
      <c r="L1119" s="126" t="str">
        <f t="shared" ref="L1119" ca="1" si="1301">IF(C1119&lt;&gt;"",C1119&amp;"-"&amp;K1119,"")</f>
        <v>KP-1a Percentage of men who have sex with men reached with HIV prevention programs - defined package of services-9</v>
      </c>
      <c r="M1119" s="126" t="str">
        <f t="array" aca="1" ref="M1119" ca="1">IFERROR(IF(INDEX('Disaggregation Records'!$E$156:$E$517,MATCH(RIGHT(L1119,255),RIGHT('Disaggregation Records'!$D$156:$D$517,255),0))="","",INDEX('Disaggregation Records'!$E$156:$E$517,MATCH(RIGHT(L1119,255),RIGHT('Disaggregation Records'!$D$156:$D$517,255),0))),"")</f>
        <v/>
      </c>
      <c r="N1119" s="126" t="str">
        <f t="array" aca="1" ref="N1119" ca="1">IFERROR(IF(INDEX('Disaggregation Records'!$F$156:$F$517,MATCH(RIGHT(L1119,255),RIGHT('Disaggregation Records'!$D$156:$D$517,255),0))="","",INDEX('Disaggregation Records'!$F$156:$F$517,MATCH(RIGHT(L1119,255),RIGHT('Disaggregation Records'!$D$156:$D$517,255),0))),"")</f>
        <v/>
      </c>
      <c r="O1119" s="314" t="str">
        <f t="array" aca="1" ref="O1119" ca="1">IFERROR(IF(INDEX('Disaggregation Records'!$H$156:$H$517,MATCH(RIGHT(L1119,255),RIGHT('Disaggregation Records'!$D$156:$D$517,255),0))="","",INDEX('Disaggregation Records'!$H$156:$H$517,MATCH(RIGHT(L1119,255),RIGHT('Disaggregation Records'!$D$156:$D$517,255),0))),"")</f>
        <v/>
      </c>
      <c r="P1119" s="310"/>
      <c r="Q1119" s="310">
        <f t="shared" ref="Q1119" si="1302">Q1117+1</f>
        <v>1861</v>
      </c>
      <c r="R1119" s="314" t="str" cm="1">
        <f t="array" aca="1" ref="R1119" ca="1">IFERROR(IF(INDEX('Disaggregation Records'!$G$156:$G$517,MATCH(RIGHT(L1119,255),RIGHT('Disaggregation Records'!$D$156:$D$517,255),0))="","",INDEX('Disaggregation Records'!$G$156:$G$517,MATCH(RIGHT(L1119,255),RIGHT('Disaggregation Records'!$D$156:$D$517,255),0))),"")</f>
        <v/>
      </c>
    </row>
    <row r="1120" spans="1:18" ht="20.100000000000001" customHeight="1">
      <c r="B1120" s="571"/>
      <c r="C1120" s="573"/>
      <c r="D1120" s="575"/>
      <c r="E1120" s="575"/>
      <c r="F1120" s="128"/>
      <c r="G1120" s="577"/>
      <c r="H1120" s="540"/>
      <c r="I1120" s="579"/>
      <c r="J1120" s="533"/>
      <c r="L1120" s="126"/>
      <c r="N1120" s="126"/>
      <c r="O1120" s="314"/>
      <c r="P1120" s="310"/>
      <c r="Q1120" s="310"/>
      <c r="R1120" s="314" t="str" cm="1">
        <f t="array" ref="R1120">IFERROR(IF(INDEX('Disaggregation Records'!$G$156:$G$517,MATCH(RIGHT(L1120,255),RIGHT('Disaggregation Records'!$D$156:$D$517,255),0))="","",INDEX('Disaggregation Records'!$G$156:$G$517,MATCH(RIGHT(L1120,255),RIGHT('Disaggregation Records'!$D$156:$D$517,255),0))),"")</f>
        <v/>
      </c>
    </row>
    <row r="1121" spans="1:18" ht="20.100000000000001" customHeight="1">
      <c r="A1121" s="126" t="str">
        <f t="shared" ca="1" si="1253"/>
        <v>a16Dm000000M3uDIAS</v>
      </c>
      <c r="B1121" s="570">
        <v>13</v>
      </c>
      <c r="C1121" s="572" t="str">
        <f ca="1">IFERROR(VLOOKUP(B1121,'Coverage Indicators - Section D'!$A$9:$AO$94,41,FALSE),"")</f>
        <v>KP-1a Percentage of men who have sex with men reached with HIV prevention programs - defined package of services</v>
      </c>
      <c r="D1121" s="574" t="str">
        <f ca="1">M1121</f>
        <v/>
      </c>
      <c r="E1121" s="574" t="str">
        <f ca="1">N1121</f>
        <v/>
      </c>
      <c r="F1121" s="127"/>
      <c r="G1121" s="576" t="str">
        <f ca="1">IF(OR(INDIRECT("'update Helper'!E"&amp;Q1121)="",F1121&lt;&gt;0,F1122&lt;&gt;0),IF(IFERROR((F1121/F1122),"")="","",(F1121/F1122)),INDIRECT("'update Helper'!E"&amp;Q1121)/100)</f>
        <v/>
      </c>
      <c r="H1121" s="539"/>
      <c r="I1121" s="578"/>
      <c r="J1121" s="532"/>
      <c r="K1121" s="126">
        <f ca="1">IF(AND(EXACT(C1121,C1119),C1119&lt;&gt;0),K1119+1,0)</f>
        <v>10</v>
      </c>
      <c r="L1121" s="126" t="str">
        <f t="shared" ref="L1121" ca="1" si="1303">IF(C1121&lt;&gt;"",C1121&amp;"-"&amp;K1121,"")</f>
        <v>KP-1a Percentage of men who have sex with men reached with HIV prevention programs - defined package of services-10</v>
      </c>
      <c r="M1121" s="126" t="str">
        <f t="array" aca="1" ref="M1121" ca="1">IFERROR(IF(INDEX('Disaggregation Records'!$E$156:$E$517,MATCH(RIGHT(L1121,255),RIGHT('Disaggregation Records'!$D$156:$D$517,255),0))="","",INDEX('Disaggregation Records'!$E$156:$E$517,MATCH(RIGHT(L1121,255),RIGHT('Disaggregation Records'!$D$156:$D$517,255),0))),"")</f>
        <v/>
      </c>
      <c r="N1121" s="126" t="str">
        <f t="array" aca="1" ref="N1121" ca="1">IFERROR(IF(INDEX('Disaggregation Records'!$F$156:$F$517,MATCH(RIGHT(L1121,255),RIGHT('Disaggregation Records'!$D$156:$D$517,255),0))="","",INDEX('Disaggregation Records'!$F$156:$F$517,MATCH(RIGHT(L1121,255),RIGHT('Disaggregation Records'!$D$156:$D$517,255),0))),"")</f>
        <v/>
      </c>
      <c r="O1121" s="314" t="str">
        <f t="array" aca="1" ref="O1121" ca="1">IFERROR(IF(INDEX('Disaggregation Records'!$H$156:$H$517,MATCH(RIGHT(L1121,255),RIGHT('Disaggregation Records'!$D$156:$D$517,255),0))="","",INDEX('Disaggregation Records'!$H$156:$H$517,MATCH(RIGHT(L1121,255),RIGHT('Disaggregation Records'!$D$156:$D$517,255),0))),"")</f>
        <v/>
      </c>
      <c r="P1121" s="314"/>
      <c r="Q1121" s="310">
        <f t="shared" ref="Q1121" si="1304">Q1119+1</f>
        <v>1862</v>
      </c>
      <c r="R1121" s="314" t="str" cm="1">
        <f t="array" aca="1" ref="R1121" ca="1">IFERROR(IF(INDEX('Disaggregation Records'!$G$156:$G$517,MATCH(RIGHT(L1121,255),RIGHT('Disaggregation Records'!$D$156:$D$517,255),0))="","",INDEX('Disaggregation Records'!$G$156:$G$517,MATCH(RIGHT(L1121,255),RIGHT('Disaggregation Records'!$D$156:$D$517,255),0))),"")</f>
        <v/>
      </c>
    </row>
    <row r="1122" spans="1:18" ht="20.100000000000001" customHeight="1">
      <c r="A1122" s="126"/>
      <c r="B1122" s="571"/>
      <c r="C1122" s="573"/>
      <c r="D1122" s="575"/>
      <c r="E1122" s="575"/>
      <c r="F1122" s="128"/>
      <c r="G1122" s="577"/>
      <c r="H1122" s="540"/>
      <c r="I1122" s="579"/>
      <c r="J1122" s="533"/>
      <c r="K1122" s="126"/>
      <c r="L1122" s="126"/>
      <c r="M1122" s="126"/>
      <c r="N1122" s="126"/>
      <c r="O1122" s="314"/>
      <c r="P1122" s="314"/>
      <c r="Q1122" s="310"/>
      <c r="R1122" s="314" t="str" cm="1">
        <f t="array" ref="R1122">IFERROR(IF(INDEX('Disaggregation Records'!$G$156:$G$517,MATCH(RIGHT(L1122,255),RIGHT('Disaggregation Records'!$D$156:$D$517,255),0))="","",INDEX('Disaggregation Records'!$G$156:$G$517,MATCH(RIGHT(L1122,255),RIGHT('Disaggregation Records'!$D$156:$D$517,255),0))),"")</f>
        <v/>
      </c>
    </row>
    <row r="1123" spans="1:18" ht="20.100000000000001" customHeight="1">
      <c r="A1123" s="126" t="str">
        <f t="shared" ca="1" si="1256"/>
        <v>a16Dm000000M3uEIAS</v>
      </c>
      <c r="B1123" s="570">
        <v>13</v>
      </c>
      <c r="C1123" s="572" t="str">
        <f ca="1">IFERROR(VLOOKUP(B1123,'Coverage Indicators - Section D'!$A$9:$AO$94,41,FALSE),"")</f>
        <v>KP-1a Percentage of men who have sex with men reached with HIV prevention programs - defined package of services</v>
      </c>
      <c r="D1123" s="574" t="str">
        <f ca="1">M1123</f>
        <v/>
      </c>
      <c r="E1123" s="574" t="str">
        <f ca="1">N1123</f>
        <v/>
      </c>
      <c r="F1123" s="127"/>
      <c r="G1123" s="576" t="str">
        <f ca="1">IF(OR(INDIRECT("'update Helper'!E"&amp;Q1123)="",F1123&lt;&gt;0,F1124&lt;&gt;0),IF(IFERROR((F1123/F1124),"")="","",(F1123/F1124)),INDIRECT("'update Helper'!E"&amp;Q1123)/100)</f>
        <v/>
      </c>
      <c r="H1123" s="539"/>
      <c r="I1123" s="578"/>
      <c r="J1123" s="532"/>
      <c r="K1123" s="126">
        <f ca="1">IF(AND(EXACT(C1123,C1121),C1121&lt;&gt;0),K1121+1,0)</f>
        <v>11</v>
      </c>
      <c r="L1123" s="126" t="str">
        <f t="shared" ref="L1123" ca="1" si="1305">IF(C1123&lt;&gt;"",C1123&amp;"-"&amp;K1123,"")</f>
        <v>KP-1a Percentage of men who have sex with men reached with HIV prevention programs - defined package of services-11</v>
      </c>
      <c r="M1123" s="126" t="str">
        <f t="array" aca="1" ref="M1123" ca="1">IFERROR(IF(INDEX('Disaggregation Records'!$E$156:$E$517,MATCH(RIGHT(L1123,255),RIGHT('Disaggregation Records'!$D$156:$D$517,255),0))="","",INDEX('Disaggregation Records'!$E$156:$E$517,MATCH(RIGHT(L1123,255),RIGHT('Disaggregation Records'!$D$156:$D$517,255),0))),"")</f>
        <v/>
      </c>
      <c r="N1123" s="126" t="str">
        <f t="array" aca="1" ref="N1123" ca="1">IFERROR(IF(INDEX('Disaggregation Records'!$F$156:$F$517,MATCH(RIGHT(L1123,255),RIGHT('Disaggregation Records'!$D$156:$D$517,255),0))="","",INDEX('Disaggregation Records'!$F$156:$F$517,MATCH(RIGHT(L1123,255),RIGHT('Disaggregation Records'!$D$156:$D$517,255),0))),"")</f>
        <v/>
      </c>
      <c r="O1123" s="314" t="str">
        <f t="array" aca="1" ref="O1123" ca="1">IFERROR(IF(INDEX('Disaggregation Records'!$H$156:$H$517,MATCH(RIGHT(L1123,255),RIGHT('Disaggregation Records'!$D$156:$D$517,255),0))="","",INDEX('Disaggregation Records'!$H$156:$H$517,MATCH(RIGHT(L1123,255),RIGHT('Disaggregation Records'!$D$156:$D$517,255),0))),"")</f>
        <v/>
      </c>
      <c r="P1123" s="314"/>
      <c r="Q1123" s="310">
        <f t="shared" ref="Q1123" si="1306">Q1121+1</f>
        <v>1863</v>
      </c>
      <c r="R1123" s="314" t="str" cm="1">
        <f t="array" aca="1" ref="R1123" ca="1">IFERROR(IF(INDEX('Disaggregation Records'!$G$156:$G$517,MATCH(RIGHT(L1123,255),RIGHT('Disaggregation Records'!$D$156:$D$517,255),0))="","",INDEX('Disaggregation Records'!$G$156:$G$517,MATCH(RIGHT(L1123,255),RIGHT('Disaggregation Records'!$D$156:$D$517,255),0))),"")</f>
        <v/>
      </c>
    </row>
    <row r="1124" spans="1:18" ht="20.100000000000001" customHeight="1">
      <c r="B1124" s="571"/>
      <c r="C1124" s="573"/>
      <c r="D1124" s="575"/>
      <c r="E1124" s="575"/>
      <c r="F1124" s="128"/>
      <c r="G1124" s="577"/>
      <c r="H1124" s="540"/>
      <c r="I1124" s="579"/>
      <c r="J1124" s="533"/>
      <c r="K1124" s="126"/>
      <c r="L1124" s="126"/>
      <c r="M1124" s="126"/>
      <c r="N1124" s="126"/>
      <c r="O1124" s="314"/>
      <c r="P1124" s="314"/>
      <c r="Q1124" s="310"/>
      <c r="R1124" s="314" t="str" cm="1">
        <f t="array" ref="R1124">IFERROR(IF(INDEX('Disaggregation Records'!$G$156:$G$517,MATCH(RIGHT(L1124,255),RIGHT('Disaggregation Records'!$D$156:$D$517,255),0))="","",INDEX('Disaggregation Records'!$G$156:$G$517,MATCH(RIGHT(L1124,255),RIGHT('Disaggregation Records'!$D$156:$D$517,255),0))),"")</f>
        <v/>
      </c>
    </row>
    <row r="1125" spans="1:18" ht="20.100000000000001" customHeight="1">
      <c r="A1125" s="126" t="str">
        <f t="shared" ca="1" si="1253"/>
        <v>a16Dm000000M3uFIAS</v>
      </c>
      <c r="B1125" s="570">
        <v>13</v>
      </c>
      <c r="C1125" s="572" t="str">
        <f ca="1">IFERROR(VLOOKUP(B1125,'Coverage Indicators - Section D'!$A$9:$AO$94,41,FALSE),"")</f>
        <v>KP-1a Percentage of men who have sex with men reached with HIV prevention programs - defined package of services</v>
      </c>
      <c r="D1125" s="574" t="str">
        <f ca="1">M1125</f>
        <v/>
      </c>
      <c r="E1125" s="574" t="str">
        <f ca="1">N1125</f>
        <v/>
      </c>
      <c r="F1125" s="127"/>
      <c r="G1125" s="576" t="str">
        <f ca="1">IF(OR(INDIRECT("'update Helper'!E"&amp;Q1125)="",F1125&lt;&gt;0,F1126&lt;&gt;0),IF(IFERROR((F1125/F1126),"")="","",(F1125/F1126)),INDIRECT("'update Helper'!E"&amp;Q1125)/100)</f>
        <v/>
      </c>
      <c r="H1125" s="539"/>
      <c r="I1125" s="578"/>
      <c r="J1125" s="532"/>
      <c r="K1125" s="126">
        <f ca="1">IF(AND(EXACT(C1125,C1123),C1123&lt;&gt;0),K1123+1,0)</f>
        <v>12</v>
      </c>
      <c r="L1125" s="126" t="str">
        <f t="shared" ref="L1125" ca="1" si="1307">IF(C1125&lt;&gt;"",C1125&amp;"-"&amp;K1125,"")</f>
        <v>KP-1a Percentage of men who have sex with men reached with HIV prevention programs - defined package of services-12</v>
      </c>
      <c r="M1125" s="126" t="str">
        <f t="array" aca="1" ref="M1125" ca="1">IFERROR(IF(INDEX('Disaggregation Records'!$E$156:$E$517,MATCH(RIGHT(L1125,255),RIGHT('Disaggregation Records'!$D$156:$D$517,255),0))="","",INDEX('Disaggregation Records'!$E$156:$E$517,MATCH(RIGHT(L1125,255),RIGHT('Disaggregation Records'!$D$156:$D$517,255),0))),"")</f>
        <v/>
      </c>
      <c r="N1125" s="126" t="str">
        <f t="array" aca="1" ref="N1125" ca="1">IFERROR(IF(INDEX('Disaggregation Records'!$F$156:$F$517,MATCH(RIGHT(L1125,255),RIGHT('Disaggregation Records'!$D$156:$D$517,255),0))="","",INDEX('Disaggregation Records'!$F$156:$F$517,MATCH(RIGHT(L1125,255),RIGHT('Disaggregation Records'!$D$156:$D$517,255),0))),"")</f>
        <v/>
      </c>
      <c r="O1125" s="314" t="str">
        <f t="array" aca="1" ref="O1125" ca="1">IFERROR(IF(INDEX('Disaggregation Records'!$H$156:$H$517,MATCH(RIGHT(L1125,255),RIGHT('Disaggregation Records'!$D$156:$D$517,255),0))="","",INDEX('Disaggregation Records'!$H$156:$H$517,MATCH(RIGHT(L1125,255),RIGHT('Disaggregation Records'!$D$156:$D$517,255),0))),"")</f>
        <v/>
      </c>
      <c r="P1125" s="310"/>
      <c r="Q1125" s="310">
        <f t="shared" ref="Q1125" si="1308">Q1123+1</f>
        <v>1864</v>
      </c>
      <c r="R1125" s="314" t="str" cm="1">
        <f t="array" aca="1" ref="R1125" ca="1">IFERROR(IF(INDEX('Disaggregation Records'!$G$156:$G$517,MATCH(RIGHT(L1125,255),RIGHT('Disaggregation Records'!$D$156:$D$517,255),0))="","",INDEX('Disaggregation Records'!$G$156:$G$517,MATCH(RIGHT(L1125,255),RIGHT('Disaggregation Records'!$D$156:$D$517,255),0))),"")</f>
        <v/>
      </c>
    </row>
    <row r="1126" spans="1:18" ht="20.100000000000001" customHeight="1">
      <c r="A1126" s="126"/>
      <c r="B1126" s="571"/>
      <c r="C1126" s="573"/>
      <c r="D1126" s="575"/>
      <c r="E1126" s="575"/>
      <c r="F1126" s="128"/>
      <c r="G1126" s="577"/>
      <c r="H1126" s="540"/>
      <c r="I1126" s="579"/>
      <c r="J1126" s="533"/>
      <c r="L1126" s="126"/>
      <c r="N1126" s="126"/>
      <c r="O1126" s="314"/>
      <c r="P1126" s="310"/>
      <c r="Q1126" s="310"/>
      <c r="R1126" s="314" t="str" cm="1">
        <f t="array" ref="R1126">IFERROR(IF(INDEX('Disaggregation Records'!$G$156:$G$517,MATCH(RIGHT(L1126,255),RIGHT('Disaggregation Records'!$D$156:$D$517,255),0))="","",INDEX('Disaggregation Records'!$G$156:$G$517,MATCH(RIGHT(L1126,255),RIGHT('Disaggregation Records'!$D$156:$D$517,255),0))),"")</f>
        <v/>
      </c>
    </row>
    <row r="1127" spans="1:18" ht="20.100000000000001" customHeight="1">
      <c r="A1127" s="126" t="str">
        <f t="shared" ca="1" si="1256"/>
        <v>a16Dm000000M3uGIAS</v>
      </c>
      <c r="B1127" s="570">
        <v>13</v>
      </c>
      <c r="C1127" s="572" t="str">
        <f ca="1">IFERROR(VLOOKUP(B1127,'Coverage Indicators - Section D'!$A$9:$AO$94,41,FALSE),"")</f>
        <v>KP-1a Percentage of men who have sex with men reached with HIV prevention programs - defined package of services</v>
      </c>
      <c r="D1127" s="574" t="str">
        <f ca="1">M1127</f>
        <v/>
      </c>
      <c r="E1127" s="574" t="str">
        <f ca="1">N1127</f>
        <v/>
      </c>
      <c r="F1127" s="127"/>
      <c r="G1127" s="576" t="str">
        <f ca="1">IF(OR(INDIRECT("'update Helper'!E"&amp;Q1127)="",F1127&lt;&gt;0,F1128&lt;&gt;0),IF(IFERROR((F1127/F1128),"")="","",(F1127/F1128)),INDIRECT("'update Helper'!E"&amp;Q1127)/100)</f>
        <v/>
      </c>
      <c r="H1127" s="539"/>
      <c r="I1127" s="578"/>
      <c r="J1127" s="532"/>
      <c r="K1127" s="126">
        <f ca="1">IF(AND(EXACT(C1127,C1125),C1125&lt;&gt;0),K1125+1,0)</f>
        <v>13</v>
      </c>
      <c r="L1127" s="126" t="str">
        <f t="shared" ref="L1127" ca="1" si="1309">IF(C1127&lt;&gt;"",C1127&amp;"-"&amp;K1127,"")</f>
        <v>KP-1a Percentage of men who have sex with men reached with HIV prevention programs - defined package of services-13</v>
      </c>
      <c r="M1127" s="126" t="str">
        <f t="array" aca="1" ref="M1127" ca="1">IFERROR(IF(INDEX('Disaggregation Records'!$E$156:$E$517,MATCH(RIGHT(L1127,255),RIGHT('Disaggregation Records'!$D$156:$D$517,255),0))="","",INDEX('Disaggregation Records'!$E$156:$E$517,MATCH(RIGHT(L1127,255),RIGHT('Disaggregation Records'!$D$156:$D$517,255),0))),"")</f>
        <v/>
      </c>
      <c r="N1127" s="126" t="str">
        <f t="array" aca="1" ref="N1127" ca="1">IFERROR(IF(INDEX('Disaggregation Records'!$F$156:$F$517,MATCH(RIGHT(L1127,255),RIGHT('Disaggregation Records'!$D$156:$D$517,255),0))="","",INDEX('Disaggregation Records'!$F$156:$F$517,MATCH(RIGHT(L1127,255),RIGHT('Disaggregation Records'!$D$156:$D$517,255),0))),"")</f>
        <v/>
      </c>
      <c r="O1127" s="314" t="str">
        <f t="array" aca="1" ref="O1127" ca="1">IFERROR(IF(INDEX('Disaggregation Records'!$H$156:$H$517,MATCH(RIGHT(L1127,255),RIGHT('Disaggregation Records'!$D$156:$D$517,255),0))="","",INDEX('Disaggregation Records'!$H$156:$H$517,MATCH(RIGHT(L1127,255),RIGHT('Disaggregation Records'!$D$156:$D$517,255),0))),"")</f>
        <v/>
      </c>
      <c r="P1127" s="310"/>
      <c r="Q1127" s="310">
        <f t="shared" ref="Q1127" si="1310">Q1125+1</f>
        <v>1865</v>
      </c>
      <c r="R1127" s="314" t="str" cm="1">
        <f t="array" aca="1" ref="R1127" ca="1">IFERROR(IF(INDEX('Disaggregation Records'!$G$156:$G$517,MATCH(RIGHT(L1127,255),RIGHT('Disaggregation Records'!$D$156:$D$517,255),0))="","",INDEX('Disaggregation Records'!$G$156:$G$517,MATCH(RIGHT(L1127,255),RIGHT('Disaggregation Records'!$D$156:$D$517,255),0))),"")</f>
        <v/>
      </c>
    </row>
    <row r="1128" spans="1:18" ht="20.100000000000001" customHeight="1">
      <c r="B1128" s="571"/>
      <c r="C1128" s="573"/>
      <c r="D1128" s="575"/>
      <c r="E1128" s="575"/>
      <c r="F1128" s="128"/>
      <c r="G1128" s="577"/>
      <c r="H1128" s="540"/>
      <c r="I1128" s="579"/>
      <c r="J1128" s="533"/>
      <c r="L1128" s="126"/>
      <c r="N1128" s="126"/>
      <c r="O1128" s="314"/>
      <c r="P1128" s="310"/>
      <c r="Q1128" s="310"/>
      <c r="R1128" s="314" t="str" cm="1">
        <f t="array" ref="R1128">IFERROR(IF(INDEX('Disaggregation Records'!$G$156:$G$517,MATCH(RIGHT(L1128,255),RIGHT('Disaggregation Records'!$D$156:$D$517,255),0))="","",INDEX('Disaggregation Records'!$G$156:$G$517,MATCH(RIGHT(L1128,255),RIGHT('Disaggregation Records'!$D$156:$D$517,255),0))),"")</f>
        <v/>
      </c>
    </row>
    <row r="1129" spans="1:18" ht="20.100000000000001" customHeight="1">
      <c r="A1129" s="126" t="str">
        <f t="shared" ca="1" si="1253"/>
        <v>a16Dm000000M3uHIAS</v>
      </c>
      <c r="B1129" s="570">
        <v>13</v>
      </c>
      <c r="C1129" s="572" t="str">
        <f ca="1">IFERROR(VLOOKUP(B1129,'Coverage Indicators - Section D'!$A$9:$AO$94,41,FALSE),"")</f>
        <v>KP-1a Percentage of men who have sex with men reached with HIV prevention programs - defined package of services</v>
      </c>
      <c r="D1129" s="574" t="str">
        <f ca="1">M1129</f>
        <v/>
      </c>
      <c r="E1129" s="574" t="str">
        <f ca="1">N1129</f>
        <v/>
      </c>
      <c r="F1129" s="127"/>
      <c r="G1129" s="576" t="str">
        <f ca="1">IF(OR(INDIRECT("'update Helper'!E"&amp;Q1129)="",F1129&lt;&gt;0,F1130&lt;&gt;0),IF(IFERROR((F1129/F1130),"")="","",(F1129/F1130)),INDIRECT("'update Helper'!E"&amp;Q1129)/100)</f>
        <v/>
      </c>
      <c r="H1129" s="539"/>
      <c r="I1129" s="578"/>
      <c r="J1129" s="532"/>
      <c r="K1129" s="126">
        <f ca="1">IF(AND(EXACT(C1129,C1127),C1127&lt;&gt;0),K1127+1,0)</f>
        <v>14</v>
      </c>
      <c r="L1129" s="126" t="str">
        <f t="shared" ref="L1129" ca="1" si="1311">IF(C1129&lt;&gt;"",C1129&amp;"-"&amp;K1129,"")</f>
        <v>KP-1a Percentage of men who have sex with men reached with HIV prevention programs - defined package of services-14</v>
      </c>
      <c r="M1129" s="126" t="str">
        <f t="array" aca="1" ref="M1129" ca="1">IFERROR(IF(INDEX('Disaggregation Records'!$E$156:$E$517,MATCH(RIGHT(L1129,255),RIGHT('Disaggregation Records'!$D$156:$D$517,255),0))="","",INDEX('Disaggregation Records'!$E$156:$E$517,MATCH(RIGHT(L1129,255),RIGHT('Disaggregation Records'!$D$156:$D$517,255),0))),"")</f>
        <v/>
      </c>
      <c r="N1129" s="126" t="str">
        <f t="array" aca="1" ref="N1129" ca="1">IFERROR(IF(INDEX('Disaggregation Records'!$F$156:$F$517,MATCH(RIGHT(L1129,255),RIGHT('Disaggregation Records'!$D$156:$D$517,255),0))="","",INDEX('Disaggregation Records'!$F$156:$F$517,MATCH(RIGHT(L1129,255),RIGHT('Disaggregation Records'!$D$156:$D$517,255),0))),"")</f>
        <v/>
      </c>
      <c r="O1129" s="314" t="str">
        <f t="array" aca="1" ref="O1129" ca="1">IFERROR(IF(INDEX('Disaggregation Records'!$H$156:$H$517,MATCH(RIGHT(L1129,255),RIGHT('Disaggregation Records'!$D$156:$D$517,255),0))="","",INDEX('Disaggregation Records'!$H$156:$H$517,MATCH(RIGHT(L1129,255),RIGHT('Disaggregation Records'!$D$156:$D$517,255),0))),"")</f>
        <v/>
      </c>
      <c r="P1129" s="310"/>
      <c r="Q1129" s="310">
        <f t="shared" ref="Q1129" si="1312">Q1127+1</f>
        <v>1866</v>
      </c>
      <c r="R1129" s="314" t="str" cm="1">
        <f t="array" aca="1" ref="R1129" ca="1">IFERROR(IF(INDEX('Disaggregation Records'!$G$156:$G$517,MATCH(RIGHT(L1129,255),RIGHT('Disaggregation Records'!$D$156:$D$517,255),0))="","",INDEX('Disaggregation Records'!$G$156:$G$517,MATCH(RIGHT(L1129,255),RIGHT('Disaggregation Records'!$D$156:$D$517,255),0))),"")</f>
        <v/>
      </c>
    </row>
    <row r="1130" spans="1:18" ht="20.100000000000001" customHeight="1">
      <c r="A1130" s="126"/>
      <c r="B1130" s="571"/>
      <c r="C1130" s="573"/>
      <c r="D1130" s="575"/>
      <c r="E1130" s="575"/>
      <c r="F1130" s="128"/>
      <c r="G1130" s="577"/>
      <c r="H1130" s="540"/>
      <c r="I1130" s="579"/>
      <c r="J1130" s="533"/>
      <c r="L1130" s="126"/>
      <c r="N1130" s="126"/>
      <c r="O1130" s="314"/>
      <c r="P1130" s="310"/>
      <c r="Q1130" s="310"/>
      <c r="R1130" s="314" t="str" cm="1">
        <f t="array" ref="R1130">IFERROR(IF(INDEX('Disaggregation Records'!$G$156:$G$517,MATCH(RIGHT(L1130,255),RIGHT('Disaggregation Records'!$D$156:$D$517,255),0))="","",INDEX('Disaggregation Records'!$G$156:$G$517,MATCH(RIGHT(L1130,255),RIGHT('Disaggregation Records'!$D$156:$D$517,255),0))),"")</f>
        <v/>
      </c>
    </row>
    <row r="1131" spans="1:18" ht="20.100000000000001" customHeight="1">
      <c r="A1131" s="126" t="str">
        <f t="shared" ca="1" si="1256"/>
        <v>a16Dm000000M3uIIAS</v>
      </c>
      <c r="B1131" s="570">
        <v>13</v>
      </c>
      <c r="C1131" s="572" t="str">
        <f ca="1">IFERROR(VLOOKUP(B1131,'Coverage Indicators - Section D'!$A$9:$AO$94,41,FALSE),"")</f>
        <v>KP-1a Percentage of men who have sex with men reached with HIV prevention programs - defined package of services</v>
      </c>
      <c r="D1131" s="574" t="str">
        <f ca="1">M1131</f>
        <v/>
      </c>
      <c r="E1131" s="574" t="str">
        <f ca="1">N1131</f>
        <v/>
      </c>
      <c r="F1131" s="127"/>
      <c r="G1131" s="576" t="str">
        <f ca="1">IF(OR(INDIRECT("'update Helper'!E"&amp;Q1131)="",F1131&lt;&gt;0,F1132&lt;&gt;0),IF(IFERROR((F1131/F1132),"")="","",(F1131/F1132)),INDIRECT("'update Helper'!E"&amp;Q1131)/100)</f>
        <v/>
      </c>
      <c r="H1131" s="539"/>
      <c r="I1131" s="578"/>
      <c r="J1131" s="532"/>
      <c r="K1131" s="126">
        <f ca="1">IF(AND(EXACT(C1131,C1129),C1129&lt;&gt;0),K1129+1,0)</f>
        <v>15</v>
      </c>
      <c r="L1131" s="126" t="str">
        <f t="shared" ref="L1131" ca="1" si="1313">IF(C1131&lt;&gt;"",C1131&amp;"-"&amp;K1131,"")</f>
        <v>KP-1a Percentage of men who have sex with men reached with HIV prevention programs - defined package of services-15</v>
      </c>
      <c r="M1131" s="126" t="str">
        <f t="array" aca="1" ref="M1131" ca="1">IFERROR(IF(INDEX('Disaggregation Records'!$E$156:$E$517,MATCH(RIGHT(L1131,255),RIGHT('Disaggregation Records'!$D$156:$D$517,255),0))="","",INDEX('Disaggregation Records'!$E$156:$E$517,MATCH(RIGHT(L1131,255),RIGHT('Disaggregation Records'!$D$156:$D$517,255),0))),"")</f>
        <v/>
      </c>
      <c r="N1131" s="126" t="str">
        <f t="array" aca="1" ref="N1131" ca="1">IFERROR(IF(INDEX('Disaggregation Records'!$F$156:$F$517,MATCH(RIGHT(L1131,255),RIGHT('Disaggregation Records'!$D$156:$D$517,255),0))="","",INDEX('Disaggregation Records'!$F$156:$F$517,MATCH(RIGHT(L1131,255),RIGHT('Disaggregation Records'!$D$156:$D$517,255),0))),"")</f>
        <v/>
      </c>
      <c r="O1131" s="314" t="str">
        <f t="array" aca="1" ref="O1131" ca="1">IFERROR(IF(INDEX('Disaggregation Records'!$H$156:$H$517,MATCH(RIGHT(L1131,255),RIGHT('Disaggregation Records'!$D$156:$D$517,255),0))="","",INDEX('Disaggregation Records'!$H$156:$H$517,MATCH(RIGHT(L1131,255),RIGHT('Disaggregation Records'!$D$156:$D$517,255),0))),"")</f>
        <v/>
      </c>
      <c r="P1131" s="314"/>
      <c r="Q1131" s="310">
        <f t="shared" ref="Q1131" si="1314">Q1129+1</f>
        <v>1867</v>
      </c>
      <c r="R1131" s="314" t="str" cm="1">
        <f t="array" aca="1" ref="R1131" ca="1">IFERROR(IF(INDEX('Disaggregation Records'!$G$156:$G$517,MATCH(RIGHT(L1131,255),RIGHT('Disaggregation Records'!$D$156:$D$517,255),0))="","",INDEX('Disaggregation Records'!$G$156:$G$517,MATCH(RIGHT(L1131,255),RIGHT('Disaggregation Records'!$D$156:$D$517,255),0))),"")</f>
        <v/>
      </c>
    </row>
    <row r="1132" spans="1:18" ht="20.100000000000001" customHeight="1">
      <c r="B1132" s="571"/>
      <c r="C1132" s="573"/>
      <c r="D1132" s="575"/>
      <c r="E1132" s="575"/>
      <c r="F1132" s="128"/>
      <c r="G1132" s="577"/>
      <c r="H1132" s="540"/>
      <c r="I1132" s="579"/>
      <c r="J1132" s="533"/>
      <c r="K1132" s="126"/>
      <c r="L1132" s="126"/>
      <c r="M1132" s="126"/>
      <c r="N1132" s="126"/>
      <c r="O1132" s="314"/>
      <c r="P1132" s="314"/>
      <c r="Q1132" s="310"/>
      <c r="R1132" s="314" t="str" cm="1">
        <f t="array" ref="R1132">IFERROR(IF(INDEX('Disaggregation Records'!$G$156:$G$517,MATCH(RIGHT(L1132,255),RIGHT('Disaggregation Records'!$D$156:$D$517,255),0))="","",INDEX('Disaggregation Records'!$G$156:$G$517,MATCH(RIGHT(L1132,255),RIGHT('Disaggregation Records'!$D$156:$D$517,255),0))),"")</f>
        <v/>
      </c>
    </row>
    <row r="1133" spans="1:18" ht="20.100000000000001" customHeight="1">
      <c r="A1133" s="126" t="str">
        <f t="shared" ca="1" si="1253"/>
        <v>a16Dm000000M3uJIAS</v>
      </c>
      <c r="B1133" s="570">
        <v>13</v>
      </c>
      <c r="C1133" s="572" t="str">
        <f ca="1">IFERROR(VLOOKUP(B1133,'Coverage Indicators - Section D'!$A$9:$AO$94,41,FALSE),"")</f>
        <v>KP-1a Percentage of men who have sex with men reached with HIV prevention programs - defined package of services</v>
      </c>
      <c r="D1133" s="574" t="str">
        <f ca="1">M1133</f>
        <v/>
      </c>
      <c r="E1133" s="574" t="str">
        <f ca="1">N1133</f>
        <v/>
      </c>
      <c r="F1133" s="127"/>
      <c r="G1133" s="576" t="str">
        <f ca="1">IF(OR(INDIRECT("'update Helper'!E"&amp;Q1133)="",F1133&lt;&gt;0,F1134&lt;&gt;0),IF(IFERROR((F1133/F1134),"")="","",(F1133/F1134)),INDIRECT("'update Helper'!E"&amp;Q1133)/100)</f>
        <v/>
      </c>
      <c r="H1133" s="539"/>
      <c r="I1133" s="578"/>
      <c r="J1133" s="532"/>
      <c r="K1133" s="126">
        <f ca="1">IF(AND(EXACT(C1133,C1131),C1131&lt;&gt;0),K1131+1,0)</f>
        <v>16</v>
      </c>
      <c r="L1133" s="126" t="str">
        <f t="shared" ref="L1133" ca="1" si="1315">IF(C1133&lt;&gt;"",C1133&amp;"-"&amp;K1133,"")</f>
        <v>KP-1a Percentage of men who have sex with men reached with HIV prevention programs - defined package of services-16</v>
      </c>
      <c r="M1133" s="126" t="str">
        <f t="array" aca="1" ref="M1133" ca="1">IFERROR(IF(INDEX('Disaggregation Records'!$E$156:$E$517,MATCH(RIGHT(L1133,255),RIGHT('Disaggregation Records'!$D$156:$D$517,255),0))="","",INDEX('Disaggregation Records'!$E$156:$E$517,MATCH(RIGHT(L1133,255),RIGHT('Disaggregation Records'!$D$156:$D$517,255),0))),"")</f>
        <v/>
      </c>
      <c r="N1133" s="126" t="str">
        <f t="array" aca="1" ref="N1133" ca="1">IFERROR(IF(INDEX('Disaggregation Records'!$F$156:$F$517,MATCH(RIGHT(L1133,255),RIGHT('Disaggregation Records'!$D$156:$D$517,255),0))="","",INDEX('Disaggregation Records'!$F$156:$F$517,MATCH(RIGHT(L1133,255),RIGHT('Disaggregation Records'!$D$156:$D$517,255),0))),"")</f>
        <v/>
      </c>
      <c r="O1133" s="314" t="str">
        <f t="array" aca="1" ref="O1133" ca="1">IFERROR(IF(INDEX('Disaggregation Records'!$H$156:$H$517,MATCH(RIGHT(L1133,255),RIGHT('Disaggregation Records'!$D$156:$D$517,255),0))="","",INDEX('Disaggregation Records'!$H$156:$H$517,MATCH(RIGHT(L1133,255),RIGHT('Disaggregation Records'!$D$156:$D$517,255),0))),"")</f>
        <v/>
      </c>
      <c r="P1133" s="314"/>
      <c r="Q1133" s="310">
        <f t="shared" ref="Q1133" si="1316">Q1131+1</f>
        <v>1868</v>
      </c>
      <c r="R1133" s="314" t="str" cm="1">
        <f t="array" aca="1" ref="R1133" ca="1">IFERROR(IF(INDEX('Disaggregation Records'!$G$156:$G$517,MATCH(RIGHT(L1133,255),RIGHT('Disaggregation Records'!$D$156:$D$517,255),0))="","",INDEX('Disaggregation Records'!$G$156:$G$517,MATCH(RIGHT(L1133,255),RIGHT('Disaggregation Records'!$D$156:$D$517,255),0))),"")</f>
        <v/>
      </c>
    </row>
    <row r="1134" spans="1:18" ht="20.100000000000001" customHeight="1">
      <c r="A1134" s="126"/>
      <c r="B1134" s="571"/>
      <c r="C1134" s="573"/>
      <c r="D1134" s="575"/>
      <c r="E1134" s="575"/>
      <c r="F1134" s="128"/>
      <c r="G1134" s="577"/>
      <c r="H1134" s="540"/>
      <c r="I1134" s="579"/>
      <c r="J1134" s="533"/>
      <c r="K1134" s="126"/>
      <c r="L1134" s="126"/>
      <c r="M1134" s="126"/>
      <c r="N1134" s="126"/>
      <c r="O1134" s="314"/>
      <c r="P1134" s="314"/>
      <c r="Q1134" s="310"/>
      <c r="R1134" s="314" t="str" cm="1">
        <f t="array" ref="R1134">IFERROR(IF(INDEX('Disaggregation Records'!$G$156:$G$517,MATCH(RIGHT(L1134,255),RIGHT('Disaggregation Records'!$D$156:$D$517,255),0))="","",INDEX('Disaggregation Records'!$G$156:$G$517,MATCH(RIGHT(L1134,255),RIGHT('Disaggregation Records'!$D$156:$D$517,255),0))),"")</f>
        <v/>
      </c>
    </row>
    <row r="1135" spans="1:18" ht="20.100000000000001" customHeight="1">
      <c r="A1135" s="126" t="str">
        <f t="shared" ca="1" si="1256"/>
        <v>a16Dm000000M3uKIAS</v>
      </c>
      <c r="B1135" s="570">
        <v>13</v>
      </c>
      <c r="C1135" s="572" t="str">
        <f ca="1">IFERROR(VLOOKUP(B1135,'Coverage Indicators - Section D'!$A$9:$AO$94,41,FALSE),"")</f>
        <v>KP-1a Percentage of men who have sex with men reached with HIV prevention programs - defined package of services</v>
      </c>
      <c r="D1135" s="574" t="str">
        <f ca="1">M1135</f>
        <v/>
      </c>
      <c r="E1135" s="574" t="str">
        <f ca="1">N1135</f>
        <v/>
      </c>
      <c r="F1135" s="127"/>
      <c r="G1135" s="576" t="str">
        <f ca="1">IF(OR(INDIRECT("'update Helper'!E"&amp;Q1135)="",F1135&lt;&gt;0,F1136&lt;&gt;0),IF(IFERROR((F1135/F1136),"")="","",(F1135/F1136)),INDIRECT("'update Helper'!E"&amp;Q1135)/100)</f>
        <v/>
      </c>
      <c r="H1135" s="539"/>
      <c r="I1135" s="578"/>
      <c r="J1135" s="532"/>
      <c r="K1135" s="126">
        <f ca="1">IF(AND(EXACT(C1135,C1133),C1133&lt;&gt;0),K1133+1,0)</f>
        <v>17</v>
      </c>
      <c r="L1135" s="126" t="str">
        <f t="shared" ref="L1135" ca="1" si="1317">IF(C1135&lt;&gt;"",C1135&amp;"-"&amp;K1135,"")</f>
        <v>KP-1a Percentage of men who have sex with men reached with HIV prevention programs - defined package of services-17</v>
      </c>
      <c r="M1135" s="126" t="str">
        <f t="array" aca="1" ref="M1135" ca="1">IFERROR(IF(INDEX('Disaggregation Records'!$E$156:$E$517,MATCH(RIGHT(L1135,255),RIGHT('Disaggregation Records'!$D$156:$D$517,255),0))="","",INDEX('Disaggregation Records'!$E$156:$E$517,MATCH(RIGHT(L1135,255),RIGHT('Disaggregation Records'!$D$156:$D$517,255),0))),"")</f>
        <v/>
      </c>
      <c r="N1135" s="126" t="str">
        <f t="array" aca="1" ref="N1135" ca="1">IFERROR(IF(INDEX('Disaggregation Records'!$F$156:$F$517,MATCH(RIGHT(L1135,255),RIGHT('Disaggregation Records'!$D$156:$D$517,255),0))="","",INDEX('Disaggregation Records'!$F$156:$F$517,MATCH(RIGHT(L1135,255),RIGHT('Disaggregation Records'!$D$156:$D$517,255),0))),"")</f>
        <v/>
      </c>
      <c r="O1135" s="314" t="str">
        <f t="array" aca="1" ref="O1135" ca="1">IFERROR(IF(INDEX('Disaggregation Records'!$H$156:$H$517,MATCH(RIGHT(L1135,255),RIGHT('Disaggregation Records'!$D$156:$D$517,255),0))="","",INDEX('Disaggregation Records'!$H$156:$H$517,MATCH(RIGHT(L1135,255),RIGHT('Disaggregation Records'!$D$156:$D$517,255),0))),"")</f>
        <v/>
      </c>
      <c r="P1135" s="310"/>
      <c r="Q1135" s="310">
        <f t="shared" ref="Q1135" si="1318">Q1133+1</f>
        <v>1869</v>
      </c>
      <c r="R1135" s="314" t="str" cm="1">
        <f t="array" aca="1" ref="R1135" ca="1">IFERROR(IF(INDEX('Disaggregation Records'!$G$156:$G$517,MATCH(RIGHT(L1135,255),RIGHT('Disaggregation Records'!$D$156:$D$517,255),0))="","",INDEX('Disaggregation Records'!$G$156:$G$517,MATCH(RIGHT(L1135,255),RIGHT('Disaggregation Records'!$D$156:$D$517,255),0))),"")</f>
        <v/>
      </c>
    </row>
    <row r="1136" spans="1:18" ht="20.100000000000001" customHeight="1">
      <c r="B1136" s="571"/>
      <c r="C1136" s="573"/>
      <c r="D1136" s="575"/>
      <c r="E1136" s="575"/>
      <c r="F1136" s="128"/>
      <c r="G1136" s="577"/>
      <c r="H1136" s="540"/>
      <c r="I1136" s="579"/>
      <c r="J1136" s="533"/>
      <c r="L1136" s="126"/>
      <c r="N1136" s="126"/>
      <c r="O1136" s="314"/>
      <c r="P1136" s="310"/>
      <c r="Q1136" s="310"/>
      <c r="R1136" s="314" t="str" cm="1">
        <f t="array" ref="R1136">IFERROR(IF(INDEX('Disaggregation Records'!$G$156:$G$517,MATCH(RIGHT(L1136,255),RIGHT('Disaggregation Records'!$D$156:$D$517,255),0))="","",INDEX('Disaggregation Records'!$G$156:$G$517,MATCH(RIGHT(L1136,255),RIGHT('Disaggregation Records'!$D$156:$D$517,255),0))),"")</f>
        <v/>
      </c>
    </row>
    <row r="1137" spans="1:18" ht="20.100000000000001" customHeight="1">
      <c r="A1137" s="126" t="str">
        <f t="shared" ref="A1137:A1197" ca="1" si="1319">INDIRECT("'update Helper'!C"&amp;Q1137)</f>
        <v>a16Dm000000M3uLIAS</v>
      </c>
      <c r="B1137" s="570">
        <v>13</v>
      </c>
      <c r="C1137" s="572" t="str">
        <f ca="1">IFERROR(VLOOKUP(B1137,'Coverage Indicators - Section D'!$A$9:$AO$94,41,FALSE),"")</f>
        <v>KP-1a Percentage of men who have sex with men reached with HIV prevention programs - defined package of services</v>
      </c>
      <c r="D1137" s="574" t="str">
        <f ca="1">M1137</f>
        <v/>
      </c>
      <c r="E1137" s="574" t="str">
        <f ca="1">N1137</f>
        <v/>
      </c>
      <c r="F1137" s="127"/>
      <c r="G1137" s="576" t="str">
        <f ca="1">IF(OR(INDIRECT("'update Helper'!E"&amp;Q1137)="",F1137&lt;&gt;0,F1138&lt;&gt;0),IF(IFERROR((F1137/F1138),"")="","",(F1137/F1138)),INDIRECT("'update Helper'!E"&amp;Q1137)/100)</f>
        <v/>
      </c>
      <c r="H1137" s="539"/>
      <c r="I1137" s="578"/>
      <c r="J1137" s="532"/>
      <c r="K1137" s="126">
        <f ca="1">IF(AND(EXACT(C1137,C1135),C1135&lt;&gt;0),K1135+1,0)</f>
        <v>18</v>
      </c>
      <c r="L1137" s="126" t="str">
        <f t="shared" ref="L1137" ca="1" si="1320">IF(C1137&lt;&gt;"",C1137&amp;"-"&amp;K1137,"")</f>
        <v>KP-1a Percentage of men who have sex with men reached with HIV prevention programs - defined package of services-18</v>
      </c>
      <c r="M1137" s="126" t="str">
        <f t="array" aca="1" ref="M1137" ca="1">IFERROR(IF(INDEX('Disaggregation Records'!$E$156:$E$517,MATCH(RIGHT(L1137,255),RIGHT('Disaggregation Records'!$D$156:$D$517,255),0))="","",INDEX('Disaggregation Records'!$E$156:$E$517,MATCH(RIGHT(L1137,255),RIGHT('Disaggregation Records'!$D$156:$D$517,255),0))),"")</f>
        <v/>
      </c>
      <c r="N1137" s="126" t="str">
        <f t="array" aca="1" ref="N1137" ca="1">IFERROR(IF(INDEX('Disaggregation Records'!$F$156:$F$517,MATCH(RIGHT(L1137,255),RIGHT('Disaggregation Records'!$D$156:$D$517,255),0))="","",INDEX('Disaggregation Records'!$F$156:$F$517,MATCH(RIGHT(L1137,255),RIGHT('Disaggregation Records'!$D$156:$D$517,255),0))),"")</f>
        <v/>
      </c>
      <c r="O1137" s="314" t="str">
        <f t="array" aca="1" ref="O1137" ca="1">IFERROR(IF(INDEX('Disaggregation Records'!$H$156:$H$517,MATCH(RIGHT(L1137,255),RIGHT('Disaggregation Records'!$D$156:$D$517,255),0))="","",INDEX('Disaggregation Records'!$H$156:$H$517,MATCH(RIGHT(L1137,255),RIGHT('Disaggregation Records'!$D$156:$D$517,255),0))),"")</f>
        <v/>
      </c>
      <c r="P1137" s="310"/>
      <c r="Q1137" s="310">
        <f t="shared" ref="Q1137" si="1321">Q1135+1</f>
        <v>1870</v>
      </c>
      <c r="R1137" s="314" t="str" cm="1">
        <f t="array" aca="1" ref="R1137" ca="1">IFERROR(IF(INDEX('Disaggregation Records'!$G$156:$G$517,MATCH(RIGHT(L1137,255),RIGHT('Disaggregation Records'!$D$156:$D$517,255),0))="","",INDEX('Disaggregation Records'!$G$156:$G$517,MATCH(RIGHT(L1137,255),RIGHT('Disaggregation Records'!$D$156:$D$517,255),0))),"")</f>
        <v/>
      </c>
    </row>
    <row r="1138" spans="1:18" ht="20.100000000000001" customHeight="1">
      <c r="A1138" s="126"/>
      <c r="B1138" s="571"/>
      <c r="C1138" s="573"/>
      <c r="D1138" s="575"/>
      <c r="E1138" s="575"/>
      <c r="F1138" s="128"/>
      <c r="G1138" s="577"/>
      <c r="H1138" s="540"/>
      <c r="I1138" s="579"/>
      <c r="J1138" s="533"/>
      <c r="L1138" s="126"/>
      <c r="N1138" s="126"/>
      <c r="O1138" s="314"/>
      <c r="P1138" s="310"/>
      <c r="Q1138" s="310"/>
      <c r="R1138" s="314" t="str" cm="1">
        <f t="array" ref="R1138">IFERROR(IF(INDEX('Disaggregation Records'!$G$156:$G$517,MATCH(RIGHT(L1138,255),RIGHT('Disaggregation Records'!$D$156:$D$517,255),0))="","",INDEX('Disaggregation Records'!$G$156:$G$517,MATCH(RIGHT(L1138,255),RIGHT('Disaggregation Records'!$D$156:$D$517,255),0))),"")</f>
        <v/>
      </c>
    </row>
    <row r="1139" spans="1:18" ht="20.100000000000001" customHeight="1">
      <c r="A1139" s="126" t="str">
        <f t="shared" ref="A1139:A1199" ca="1" si="1322">INDIRECT("'update Helper'!C"&amp;Q1139)</f>
        <v>a16Dm000000M3uMIAS</v>
      </c>
      <c r="B1139" s="570">
        <v>13</v>
      </c>
      <c r="C1139" s="572" t="str">
        <f ca="1">IFERROR(VLOOKUP(B1139,'Coverage Indicators - Section D'!$A$9:$AO$94,41,FALSE),"")</f>
        <v>KP-1a Percentage of men who have sex with men reached with HIV prevention programs - defined package of services</v>
      </c>
      <c r="D1139" s="574" t="str">
        <f ca="1">M1139</f>
        <v/>
      </c>
      <c r="E1139" s="574" t="str">
        <f ca="1">N1139</f>
        <v/>
      </c>
      <c r="F1139" s="127"/>
      <c r="G1139" s="576" t="str">
        <f ca="1">IF(OR(INDIRECT("'update Helper'!E"&amp;Q1139)="",F1139&lt;&gt;0,F1140&lt;&gt;0),IF(IFERROR((F1139/F1140),"")="","",(F1139/F1140)),INDIRECT("'update Helper'!E"&amp;Q1139)/100)</f>
        <v/>
      </c>
      <c r="H1139" s="539"/>
      <c r="I1139" s="578"/>
      <c r="J1139" s="532"/>
      <c r="K1139" s="126">
        <f ca="1">IF(AND(EXACT(C1139,C1137),C1137&lt;&gt;0),K1137+1,0)</f>
        <v>19</v>
      </c>
      <c r="L1139" s="126" t="str">
        <f t="shared" ref="L1139" ca="1" si="1323">IF(C1139&lt;&gt;"",C1139&amp;"-"&amp;K1139,"")</f>
        <v>KP-1a Percentage of men who have sex with men reached with HIV prevention programs - defined package of services-19</v>
      </c>
      <c r="M1139" s="126" t="str">
        <f t="array" aca="1" ref="M1139" ca="1">IFERROR(IF(INDEX('Disaggregation Records'!$E$156:$E$517,MATCH(RIGHT(L1139,255),RIGHT('Disaggregation Records'!$D$156:$D$517,255),0))="","",INDEX('Disaggregation Records'!$E$156:$E$517,MATCH(RIGHT(L1139,255),RIGHT('Disaggregation Records'!$D$156:$D$517,255),0))),"")</f>
        <v/>
      </c>
      <c r="N1139" s="126" t="str">
        <f t="array" aca="1" ref="N1139" ca="1">IFERROR(IF(INDEX('Disaggregation Records'!$F$156:$F$517,MATCH(RIGHT(L1139,255),RIGHT('Disaggregation Records'!$D$156:$D$517,255),0))="","",INDEX('Disaggregation Records'!$F$156:$F$517,MATCH(RIGHT(L1139,255),RIGHT('Disaggregation Records'!$D$156:$D$517,255),0))),"")</f>
        <v/>
      </c>
      <c r="O1139" s="314" t="str">
        <f t="array" aca="1" ref="O1139" ca="1">IFERROR(IF(INDEX('Disaggregation Records'!$H$156:$H$517,MATCH(RIGHT(L1139,255),RIGHT('Disaggregation Records'!$D$156:$D$517,255),0))="","",INDEX('Disaggregation Records'!$H$156:$H$517,MATCH(RIGHT(L1139,255),RIGHT('Disaggregation Records'!$D$156:$D$517,255),0))),"")</f>
        <v/>
      </c>
      <c r="P1139" s="310"/>
      <c r="Q1139" s="310">
        <f t="shared" ref="Q1139" si="1324">Q1137+1</f>
        <v>1871</v>
      </c>
      <c r="R1139" s="314" t="str" cm="1">
        <f t="array" aca="1" ref="R1139" ca="1">IFERROR(IF(INDEX('Disaggregation Records'!$G$156:$G$517,MATCH(RIGHT(L1139,255),RIGHT('Disaggregation Records'!$D$156:$D$517,255),0))="","",INDEX('Disaggregation Records'!$G$156:$G$517,MATCH(RIGHT(L1139,255),RIGHT('Disaggregation Records'!$D$156:$D$517,255),0))),"")</f>
        <v/>
      </c>
    </row>
    <row r="1140" spans="1:18" ht="20.100000000000001" customHeight="1">
      <c r="B1140" s="571"/>
      <c r="C1140" s="573"/>
      <c r="D1140" s="575"/>
      <c r="E1140" s="575"/>
      <c r="F1140" s="128"/>
      <c r="G1140" s="577"/>
      <c r="H1140" s="540"/>
      <c r="I1140" s="579"/>
      <c r="J1140" s="533"/>
      <c r="L1140" s="126"/>
      <c r="N1140" s="126"/>
      <c r="O1140" s="314"/>
      <c r="P1140" s="310"/>
      <c r="Q1140" s="310"/>
      <c r="R1140" s="314" t="str" cm="1">
        <f t="array" ref="R1140">IFERROR(IF(INDEX('Disaggregation Records'!$G$156:$G$517,MATCH(RIGHT(L1140,255),RIGHT('Disaggregation Records'!$D$156:$D$517,255),0))="","",INDEX('Disaggregation Records'!$G$156:$G$517,MATCH(RIGHT(L1140,255),RIGHT('Disaggregation Records'!$D$156:$D$517,255),0))),"")</f>
        <v/>
      </c>
    </row>
    <row r="1141" spans="1:18" ht="20.100000000000001" customHeight="1">
      <c r="A1141" s="126" t="str">
        <f t="shared" ca="1" si="1319"/>
        <v>a16Dm000000M3uNIAS</v>
      </c>
      <c r="B1141" s="570">
        <v>14</v>
      </c>
      <c r="C1141" s="572" t="str">
        <f ca="1">IFERROR(VLOOKUP(B1141,'Coverage Indicators - Section D'!$A$9:$AO$94,41,FALSE),"")</f>
        <v>KP-6a Number of MSM who received any PrEP product at least once during the reporting period</v>
      </c>
      <c r="D1141" s="574" t="str">
        <f ca="1">M1141</f>
        <v>Age</v>
      </c>
      <c r="E1141" s="574" t="str">
        <f ca="1">N1141</f>
        <v>25+</v>
      </c>
      <c r="F1141" s="127"/>
      <c r="G1141" s="576" t="str">
        <f ca="1">IF(OR(INDIRECT("'update Helper'!E"&amp;Q1141)="",F1141&lt;&gt;0,F1142&lt;&gt;0),IF(IFERROR((F1141/F1142),"")="","",(F1141/F1142)),INDIRECT("'update Helper'!E"&amp;Q1141)/100)</f>
        <v/>
      </c>
      <c r="H1141" s="539"/>
      <c r="I1141" s="578"/>
      <c r="J1141" s="532" t="s">
        <v>2301</v>
      </c>
      <c r="K1141" s="126">
        <f ca="1">IF(AND(EXACT(C1141,C1139),C1139&lt;&gt;0),K1139+1,0)</f>
        <v>0</v>
      </c>
      <c r="L1141" s="126" t="str">
        <f t="shared" ref="L1141" ca="1" si="1325">IF(C1141&lt;&gt;"",C1141&amp;"-"&amp;K1141,"")</f>
        <v>KP-6a Number of MSM who received any PrEP product at least once during the reporting period-0</v>
      </c>
      <c r="M1141" s="126" t="str">
        <f t="array" aca="1" ref="M1141" ca="1">IFERROR(IF(INDEX('Disaggregation Records'!$E$156:$E$517,MATCH(RIGHT(L1141,255),RIGHT('Disaggregation Records'!$D$156:$D$517,255),0))="","",INDEX('Disaggregation Records'!$E$156:$E$517,MATCH(RIGHT(L1141,255),RIGHT('Disaggregation Records'!$D$156:$D$517,255),0))),"")</f>
        <v>Age</v>
      </c>
      <c r="N1141" s="126" t="str">
        <f t="array" aca="1" ref="N1141" ca="1">IFERROR(IF(INDEX('Disaggregation Records'!$F$156:$F$517,MATCH(RIGHT(L1141,255),RIGHT('Disaggregation Records'!$D$156:$D$517,255),0))="","",INDEX('Disaggregation Records'!$F$156:$F$517,MATCH(RIGHT(L1141,255),RIGHT('Disaggregation Records'!$D$156:$D$517,255),0))),"")</f>
        <v>25+</v>
      </c>
      <c r="O1141" s="314" t="str">
        <f t="array" aca="1" ref="O1141" ca="1">IFERROR(IF(INDEX('Disaggregation Records'!$H$156:$H$517,MATCH(RIGHT(L1141,255),RIGHT('Disaggregation Records'!$D$156:$D$517,255),0))="","",INDEX('Disaggregation Records'!$H$156:$H$517,MATCH(RIGHT(L1141,255),RIGHT('Disaggregation Records'!$D$156:$D$517,255),0))),"")</f>
        <v>IDR-01171</v>
      </c>
      <c r="P1141" s="314"/>
      <c r="Q1141" s="310">
        <f t="shared" ref="Q1141" si="1326">Q1139+1</f>
        <v>1872</v>
      </c>
      <c r="R1141" s="314" t="str" cm="1">
        <f t="array" aca="1" ref="R1141" ca="1">IFERROR(IF(INDEX('Disaggregation Records'!$G$156:$G$517,MATCH(RIGHT(L1141,255),RIGHT('Disaggregation Records'!$D$156:$D$517,255),0))="","",INDEX('Disaggregation Records'!$G$156:$G$517,MATCH(RIGHT(L1141,255),RIGHT('Disaggregation Records'!$D$156:$D$517,255),0))),"")</f>
        <v>a1LDm000000Cb1dMAC</v>
      </c>
    </row>
    <row r="1142" spans="1:18" ht="20.100000000000001" customHeight="1">
      <c r="A1142" s="126"/>
      <c r="B1142" s="571"/>
      <c r="C1142" s="573"/>
      <c r="D1142" s="575"/>
      <c r="E1142" s="575"/>
      <c r="F1142" s="128"/>
      <c r="G1142" s="577"/>
      <c r="H1142" s="540"/>
      <c r="I1142" s="579"/>
      <c r="J1142" s="533"/>
      <c r="K1142" s="126"/>
      <c r="L1142" s="126"/>
      <c r="M1142" s="126"/>
      <c r="N1142" s="126"/>
      <c r="O1142" s="314"/>
      <c r="P1142" s="314"/>
      <c r="Q1142" s="310"/>
      <c r="R1142" s="314" t="str" cm="1">
        <f t="array" ref="R1142">IFERROR(IF(INDEX('Disaggregation Records'!$G$156:$G$517,MATCH(RIGHT(L1142,255),RIGHT('Disaggregation Records'!$D$156:$D$517,255),0))="","",INDEX('Disaggregation Records'!$G$156:$G$517,MATCH(RIGHT(L1142,255),RIGHT('Disaggregation Records'!$D$156:$D$517,255),0))),"")</f>
        <v/>
      </c>
    </row>
    <row r="1143" spans="1:18" ht="20.100000000000001" customHeight="1">
      <c r="A1143" s="126" t="str">
        <f t="shared" ca="1" si="1322"/>
        <v>a16Dm000000M3uOIAS</v>
      </c>
      <c r="B1143" s="570">
        <v>14</v>
      </c>
      <c r="C1143" s="572" t="str">
        <f ca="1">IFERROR(VLOOKUP(B1143,'Coverage Indicators - Section D'!$A$9:$AO$94,41,FALSE),"")</f>
        <v>KP-6a Number of MSM who received any PrEP product at least once during the reporting period</v>
      </c>
      <c r="D1143" s="574" t="str">
        <f ca="1">M1143</f>
        <v>Age</v>
      </c>
      <c r="E1143" s="574" t="str">
        <f ca="1">N1143</f>
        <v>20-24</v>
      </c>
      <c r="F1143" s="127"/>
      <c r="G1143" s="576" t="str">
        <f ca="1">IF(OR(INDIRECT("'update Helper'!E"&amp;Q1143)="",F1143&lt;&gt;0,F1144&lt;&gt;0),IF(IFERROR((F1143/F1144),"")="","",(F1143/F1144)),INDIRECT("'update Helper'!E"&amp;Q1143)/100)</f>
        <v/>
      </c>
      <c r="H1143" s="539"/>
      <c r="I1143" s="578"/>
      <c r="J1143" s="532" t="s">
        <v>2301</v>
      </c>
      <c r="K1143" s="126">
        <f ca="1">IF(AND(EXACT(C1143,C1141),C1141&lt;&gt;0),K1141+1,0)</f>
        <v>1</v>
      </c>
      <c r="L1143" s="126" t="str">
        <f t="shared" ref="L1143" ca="1" si="1327">IF(C1143&lt;&gt;"",C1143&amp;"-"&amp;K1143,"")</f>
        <v>KP-6a Number of MSM who received any PrEP product at least once during the reporting period-1</v>
      </c>
      <c r="M1143" s="126" t="str">
        <f t="array" aca="1" ref="M1143" ca="1">IFERROR(IF(INDEX('Disaggregation Records'!$E$156:$E$517,MATCH(RIGHT(L1143,255),RIGHT('Disaggregation Records'!$D$156:$D$517,255),0))="","",INDEX('Disaggregation Records'!$E$156:$E$517,MATCH(RIGHT(L1143,255),RIGHT('Disaggregation Records'!$D$156:$D$517,255),0))),"")</f>
        <v>Age</v>
      </c>
      <c r="N1143" s="126" t="str">
        <f t="array" aca="1" ref="N1143" ca="1">IFERROR(IF(INDEX('Disaggregation Records'!$F$156:$F$517,MATCH(RIGHT(L1143,255),RIGHT('Disaggregation Records'!$D$156:$D$517,255),0))="","",INDEX('Disaggregation Records'!$F$156:$F$517,MATCH(RIGHT(L1143,255),RIGHT('Disaggregation Records'!$D$156:$D$517,255),0))),"")</f>
        <v>20-24</v>
      </c>
      <c r="O1143" s="314" t="str">
        <f t="array" aca="1" ref="O1143" ca="1">IFERROR(IF(INDEX('Disaggregation Records'!$H$156:$H$517,MATCH(RIGHT(L1143,255),RIGHT('Disaggregation Records'!$D$156:$D$517,255),0))="","",INDEX('Disaggregation Records'!$H$156:$H$517,MATCH(RIGHT(L1143,255),RIGHT('Disaggregation Records'!$D$156:$D$517,255),0))),"")</f>
        <v>IDR-01170</v>
      </c>
      <c r="P1143" s="314"/>
      <c r="Q1143" s="310">
        <f t="shared" ref="Q1143" si="1328">Q1141+1</f>
        <v>1873</v>
      </c>
      <c r="R1143" s="314" t="str" cm="1">
        <f t="array" aca="1" ref="R1143" ca="1">IFERROR(IF(INDEX('Disaggregation Records'!$G$156:$G$517,MATCH(RIGHT(L1143,255),RIGHT('Disaggregation Records'!$D$156:$D$517,255),0))="","",INDEX('Disaggregation Records'!$G$156:$G$517,MATCH(RIGHT(L1143,255),RIGHT('Disaggregation Records'!$D$156:$D$517,255),0))),"")</f>
        <v>a1LDm000000Cb1cMAC</v>
      </c>
    </row>
    <row r="1144" spans="1:18" ht="20.100000000000001" customHeight="1">
      <c r="B1144" s="571"/>
      <c r="C1144" s="573"/>
      <c r="D1144" s="575"/>
      <c r="E1144" s="575"/>
      <c r="F1144" s="128"/>
      <c r="G1144" s="577"/>
      <c r="H1144" s="540"/>
      <c r="I1144" s="579"/>
      <c r="J1144" s="533"/>
      <c r="K1144" s="126"/>
      <c r="L1144" s="126"/>
      <c r="M1144" s="126"/>
      <c r="N1144" s="126"/>
      <c r="O1144" s="314"/>
      <c r="P1144" s="314"/>
      <c r="Q1144" s="310"/>
      <c r="R1144" s="314" t="str" cm="1">
        <f t="array" ref="R1144">IFERROR(IF(INDEX('Disaggregation Records'!$G$156:$G$517,MATCH(RIGHT(L1144,255),RIGHT('Disaggregation Records'!$D$156:$D$517,255),0))="","",INDEX('Disaggregation Records'!$G$156:$G$517,MATCH(RIGHT(L1144,255),RIGHT('Disaggregation Records'!$D$156:$D$517,255),0))),"")</f>
        <v/>
      </c>
    </row>
    <row r="1145" spans="1:18" ht="20.100000000000001" customHeight="1">
      <c r="A1145" s="126" t="str">
        <f t="shared" ca="1" si="1319"/>
        <v>a16Dm000000M3uPIAS</v>
      </c>
      <c r="B1145" s="570">
        <v>14</v>
      </c>
      <c r="C1145" s="572" t="str">
        <f ca="1">IFERROR(VLOOKUP(B1145,'Coverage Indicators - Section D'!$A$9:$AO$94,41,FALSE),"")</f>
        <v>KP-6a Number of MSM who received any PrEP product at least once during the reporting period</v>
      </c>
      <c r="D1145" s="574" t="str">
        <f ca="1">M1145</f>
        <v>Age</v>
      </c>
      <c r="E1145" s="574" t="str">
        <f ca="1">N1145</f>
        <v>15-19</v>
      </c>
      <c r="F1145" s="127"/>
      <c r="G1145" s="576" t="str">
        <f ca="1">IF(OR(INDIRECT("'update Helper'!E"&amp;Q1145)="",F1145&lt;&gt;0,F1146&lt;&gt;0),IF(IFERROR((F1145/F1146),"")="","",(F1145/F1146)),INDIRECT("'update Helper'!E"&amp;Q1145)/100)</f>
        <v/>
      </c>
      <c r="H1145" s="539"/>
      <c r="I1145" s="578"/>
      <c r="J1145" s="532" t="s">
        <v>2301</v>
      </c>
      <c r="K1145" s="126">
        <f ca="1">IF(AND(EXACT(C1145,C1143),C1143&lt;&gt;0),K1143+1,0)</f>
        <v>2</v>
      </c>
      <c r="L1145" s="126" t="str">
        <f t="shared" ref="L1145" ca="1" si="1329">IF(C1145&lt;&gt;"",C1145&amp;"-"&amp;K1145,"")</f>
        <v>KP-6a Number of MSM who received any PrEP product at least once during the reporting period-2</v>
      </c>
      <c r="M1145" s="126" t="str">
        <f t="array" aca="1" ref="M1145" ca="1">IFERROR(IF(INDEX('Disaggregation Records'!$E$156:$E$517,MATCH(RIGHT(L1145,255),RIGHT('Disaggregation Records'!$D$156:$D$517,255),0))="","",INDEX('Disaggregation Records'!$E$156:$E$517,MATCH(RIGHT(L1145,255),RIGHT('Disaggregation Records'!$D$156:$D$517,255),0))),"")</f>
        <v>Age</v>
      </c>
      <c r="N1145" s="126" t="str">
        <f t="array" aca="1" ref="N1145" ca="1">IFERROR(IF(INDEX('Disaggregation Records'!$F$156:$F$517,MATCH(RIGHT(L1145,255),RIGHT('Disaggregation Records'!$D$156:$D$517,255),0))="","",INDEX('Disaggregation Records'!$F$156:$F$517,MATCH(RIGHT(L1145,255),RIGHT('Disaggregation Records'!$D$156:$D$517,255),0))),"")</f>
        <v>15-19</v>
      </c>
      <c r="O1145" s="314" t="str">
        <f t="array" aca="1" ref="O1145" ca="1">IFERROR(IF(INDEX('Disaggregation Records'!$H$156:$H$517,MATCH(RIGHT(L1145,255),RIGHT('Disaggregation Records'!$D$156:$D$517,255),0))="","",INDEX('Disaggregation Records'!$H$156:$H$517,MATCH(RIGHT(L1145,255),RIGHT('Disaggregation Records'!$D$156:$D$517,255),0))),"")</f>
        <v>IDR-01169</v>
      </c>
      <c r="P1145" s="310"/>
      <c r="Q1145" s="310">
        <f t="shared" ref="Q1145" si="1330">Q1143+1</f>
        <v>1874</v>
      </c>
      <c r="R1145" s="314" t="str" cm="1">
        <f t="array" aca="1" ref="R1145" ca="1">IFERROR(IF(INDEX('Disaggregation Records'!$G$156:$G$517,MATCH(RIGHT(L1145,255),RIGHT('Disaggregation Records'!$D$156:$D$517,255),0))="","",INDEX('Disaggregation Records'!$G$156:$G$517,MATCH(RIGHT(L1145,255),RIGHT('Disaggregation Records'!$D$156:$D$517,255),0))),"")</f>
        <v>a1LDm000000Cb1bMAC</v>
      </c>
    </row>
    <row r="1146" spans="1:18" ht="20.100000000000001" customHeight="1">
      <c r="A1146" s="126"/>
      <c r="B1146" s="571"/>
      <c r="C1146" s="573"/>
      <c r="D1146" s="575"/>
      <c r="E1146" s="575"/>
      <c r="F1146" s="128"/>
      <c r="G1146" s="577"/>
      <c r="H1146" s="540"/>
      <c r="I1146" s="579"/>
      <c r="J1146" s="533"/>
      <c r="L1146" s="126"/>
      <c r="N1146" s="126"/>
      <c r="O1146" s="314"/>
      <c r="P1146" s="310"/>
      <c r="Q1146" s="310"/>
      <c r="R1146" s="314" t="str" cm="1">
        <f t="array" ref="R1146">IFERROR(IF(INDEX('Disaggregation Records'!$G$156:$G$517,MATCH(RIGHT(L1146,255),RIGHT('Disaggregation Records'!$D$156:$D$517,255),0))="","",INDEX('Disaggregation Records'!$G$156:$G$517,MATCH(RIGHT(L1146,255),RIGHT('Disaggregation Records'!$D$156:$D$517,255),0))),"")</f>
        <v/>
      </c>
    </row>
    <row r="1147" spans="1:18" ht="20.100000000000001" customHeight="1">
      <c r="A1147" s="126" t="str">
        <f t="shared" ca="1" si="1322"/>
        <v>a16Dm000000M3uQIAS</v>
      </c>
      <c r="B1147" s="570">
        <v>14</v>
      </c>
      <c r="C1147" s="572" t="str">
        <f ca="1">IFERROR(VLOOKUP(B1147,'Coverage Indicators - Section D'!$A$9:$AO$94,41,FALSE),"")</f>
        <v>KP-6a Number of MSM who received any PrEP product at least once during the reporting period</v>
      </c>
      <c r="D1147" s="574" t="str">
        <f ca="1">M1147</f>
        <v>PrEP product</v>
      </c>
      <c r="E1147" s="574" t="str">
        <f ca="1">N1147</f>
        <v>DPV-VR</v>
      </c>
      <c r="F1147" s="127"/>
      <c r="G1147" s="576" t="str">
        <f ca="1">IF(OR(INDIRECT("'update Helper'!E"&amp;Q1147)="",F1147&lt;&gt;0,F1148&lt;&gt;0),IF(IFERROR((F1147/F1148),"")="","",(F1147/F1148)),INDIRECT("'update Helper'!E"&amp;Q1147)/100)</f>
        <v/>
      </c>
      <c r="H1147" s="539"/>
      <c r="I1147" s="578"/>
      <c r="J1147" s="532" t="s">
        <v>2301</v>
      </c>
      <c r="K1147" s="126">
        <f ca="1">IF(AND(EXACT(C1147,C1145),C1145&lt;&gt;0),K1145+1,0)</f>
        <v>3</v>
      </c>
      <c r="L1147" s="126" t="str">
        <f t="shared" ref="L1147" ca="1" si="1331">IF(C1147&lt;&gt;"",C1147&amp;"-"&amp;K1147,"")</f>
        <v>KP-6a Number of MSM who received any PrEP product at least once during the reporting period-3</v>
      </c>
      <c r="M1147" s="126" t="str">
        <f t="array" aca="1" ref="M1147" ca="1">IFERROR(IF(INDEX('Disaggregation Records'!$E$156:$E$517,MATCH(RIGHT(L1147,255),RIGHT('Disaggregation Records'!$D$156:$D$517,255),0))="","",INDEX('Disaggregation Records'!$E$156:$E$517,MATCH(RIGHT(L1147,255),RIGHT('Disaggregation Records'!$D$156:$D$517,255),0))),"")</f>
        <v>PrEP product</v>
      </c>
      <c r="N1147" s="126" t="str">
        <f t="array" aca="1" ref="N1147" ca="1">IFERROR(IF(INDEX('Disaggregation Records'!$F$156:$F$517,MATCH(RIGHT(L1147,255),RIGHT('Disaggregation Records'!$D$156:$D$517,255),0))="","",INDEX('Disaggregation Records'!$F$156:$F$517,MATCH(RIGHT(L1147,255),RIGHT('Disaggregation Records'!$D$156:$D$517,255),0))),"")</f>
        <v>DPV-VR</v>
      </c>
      <c r="O1147" s="314" t="str">
        <f t="array" aca="1" ref="O1147" ca="1">IFERROR(IF(INDEX('Disaggregation Records'!$H$156:$H$517,MATCH(RIGHT(L1147,255),RIGHT('Disaggregation Records'!$D$156:$D$517,255),0))="","",INDEX('Disaggregation Records'!$H$156:$H$517,MATCH(RIGHT(L1147,255),RIGHT('Disaggregation Records'!$D$156:$D$517,255),0))),"")</f>
        <v>IDR-01168</v>
      </c>
      <c r="P1147" s="310"/>
      <c r="Q1147" s="310">
        <f t="shared" ref="Q1147" si="1332">Q1145+1</f>
        <v>1875</v>
      </c>
      <c r="R1147" s="314" t="str" cm="1">
        <f t="array" aca="1" ref="R1147" ca="1">IFERROR(IF(INDEX('Disaggregation Records'!$G$156:$G$517,MATCH(RIGHT(L1147,255),RIGHT('Disaggregation Records'!$D$156:$D$517,255),0))="","",INDEX('Disaggregation Records'!$G$156:$G$517,MATCH(RIGHT(L1147,255),RIGHT('Disaggregation Records'!$D$156:$D$517,255),0))),"")</f>
        <v>a1LDm000000Cb1aMAC</v>
      </c>
    </row>
    <row r="1148" spans="1:18" ht="20.100000000000001" customHeight="1">
      <c r="B1148" s="571"/>
      <c r="C1148" s="573"/>
      <c r="D1148" s="575"/>
      <c r="E1148" s="575"/>
      <c r="F1148" s="128"/>
      <c r="G1148" s="577"/>
      <c r="H1148" s="540"/>
      <c r="I1148" s="579"/>
      <c r="J1148" s="533"/>
      <c r="L1148" s="126"/>
      <c r="N1148" s="126"/>
      <c r="O1148" s="314"/>
      <c r="P1148" s="310"/>
      <c r="Q1148" s="310"/>
      <c r="R1148" s="314" t="str" cm="1">
        <f t="array" ref="R1148">IFERROR(IF(INDEX('Disaggregation Records'!$G$156:$G$517,MATCH(RIGHT(L1148,255),RIGHT('Disaggregation Records'!$D$156:$D$517,255),0))="","",INDEX('Disaggregation Records'!$G$156:$G$517,MATCH(RIGHT(L1148,255),RIGHT('Disaggregation Records'!$D$156:$D$517,255),0))),"")</f>
        <v/>
      </c>
    </row>
    <row r="1149" spans="1:18" ht="20.100000000000001" customHeight="1">
      <c r="A1149" s="126" t="str">
        <f t="shared" ca="1" si="1319"/>
        <v>a16Dm000000M3uRIAS</v>
      </c>
      <c r="B1149" s="570">
        <v>14</v>
      </c>
      <c r="C1149" s="572" t="str">
        <f ca="1">IFERROR(VLOOKUP(B1149,'Coverage Indicators - Section D'!$A$9:$AO$94,41,FALSE),"")</f>
        <v>KP-6a Number of MSM who received any PrEP product at least once during the reporting period</v>
      </c>
      <c r="D1149" s="574" t="str">
        <f ca="1">M1149</f>
        <v>PrEP product</v>
      </c>
      <c r="E1149" s="574" t="str">
        <f ca="1">N1149</f>
        <v>Injectable PrEP</v>
      </c>
      <c r="F1149" s="127"/>
      <c r="G1149" s="576" t="str">
        <f ca="1">IF(OR(INDIRECT("'update Helper'!E"&amp;Q1149)="",F1149&lt;&gt;0,F1150&lt;&gt;0),IF(IFERROR((F1149/F1150),"")="","",(F1149/F1150)),INDIRECT("'update Helper'!E"&amp;Q1149)/100)</f>
        <v/>
      </c>
      <c r="H1149" s="539"/>
      <c r="I1149" s="578"/>
      <c r="J1149" s="532" t="s">
        <v>2301</v>
      </c>
      <c r="K1149" s="126">
        <f ca="1">IF(AND(EXACT(C1149,C1147),C1147&lt;&gt;0),K1147+1,0)</f>
        <v>4</v>
      </c>
      <c r="L1149" s="126" t="str">
        <f t="shared" ref="L1149" ca="1" si="1333">IF(C1149&lt;&gt;"",C1149&amp;"-"&amp;K1149,"")</f>
        <v>KP-6a Number of MSM who received any PrEP product at least once during the reporting period-4</v>
      </c>
      <c r="M1149" s="126" t="str">
        <f t="array" aca="1" ref="M1149" ca="1">IFERROR(IF(INDEX('Disaggregation Records'!$E$156:$E$517,MATCH(RIGHT(L1149,255),RIGHT('Disaggregation Records'!$D$156:$D$517,255),0))="","",INDEX('Disaggregation Records'!$E$156:$E$517,MATCH(RIGHT(L1149,255),RIGHT('Disaggregation Records'!$D$156:$D$517,255),0))),"")</f>
        <v>PrEP product</v>
      </c>
      <c r="N1149" s="126" t="str">
        <f t="array" aca="1" ref="N1149" ca="1">IFERROR(IF(INDEX('Disaggregation Records'!$F$156:$F$517,MATCH(RIGHT(L1149,255),RIGHT('Disaggregation Records'!$D$156:$D$517,255),0))="","",INDEX('Disaggregation Records'!$F$156:$F$517,MATCH(RIGHT(L1149,255),RIGHT('Disaggregation Records'!$D$156:$D$517,255),0))),"")</f>
        <v>Injectable PrEP</v>
      </c>
      <c r="O1149" s="314" t="str">
        <f t="array" aca="1" ref="O1149" ca="1">IFERROR(IF(INDEX('Disaggregation Records'!$H$156:$H$517,MATCH(RIGHT(L1149,255),RIGHT('Disaggregation Records'!$D$156:$D$517,255),0))="","",INDEX('Disaggregation Records'!$H$156:$H$517,MATCH(RIGHT(L1149,255),RIGHT('Disaggregation Records'!$D$156:$D$517,255),0))),"")</f>
        <v>IDR-01167</v>
      </c>
      <c r="P1149" s="310"/>
      <c r="Q1149" s="310">
        <f t="shared" ref="Q1149" si="1334">Q1147+1</f>
        <v>1876</v>
      </c>
      <c r="R1149" s="314" t="str" cm="1">
        <f t="array" aca="1" ref="R1149" ca="1">IFERROR(IF(INDEX('Disaggregation Records'!$G$156:$G$517,MATCH(RIGHT(L1149,255),RIGHT('Disaggregation Records'!$D$156:$D$517,255),0))="","",INDEX('Disaggregation Records'!$G$156:$G$517,MATCH(RIGHT(L1149,255),RIGHT('Disaggregation Records'!$D$156:$D$517,255),0))),"")</f>
        <v>a1LDm000000Cb1ZMAS</v>
      </c>
    </row>
    <row r="1150" spans="1:18" ht="20.100000000000001" customHeight="1">
      <c r="A1150" s="126"/>
      <c r="B1150" s="571"/>
      <c r="C1150" s="573"/>
      <c r="D1150" s="575"/>
      <c r="E1150" s="575"/>
      <c r="F1150" s="128"/>
      <c r="G1150" s="577"/>
      <c r="H1150" s="540"/>
      <c r="I1150" s="579"/>
      <c r="J1150" s="533"/>
      <c r="L1150" s="126"/>
      <c r="N1150" s="126"/>
      <c r="O1150" s="314"/>
      <c r="P1150" s="310"/>
      <c r="Q1150" s="310"/>
      <c r="R1150" s="314" t="str" cm="1">
        <f t="array" ref="R1150">IFERROR(IF(INDEX('Disaggregation Records'!$G$156:$G$517,MATCH(RIGHT(L1150,255),RIGHT('Disaggregation Records'!$D$156:$D$517,255),0))="","",INDEX('Disaggregation Records'!$G$156:$G$517,MATCH(RIGHT(L1150,255),RIGHT('Disaggregation Records'!$D$156:$D$517,255),0))),"")</f>
        <v/>
      </c>
    </row>
    <row r="1151" spans="1:18" ht="20.100000000000001" customHeight="1">
      <c r="A1151" s="126" t="str">
        <f t="shared" ca="1" si="1322"/>
        <v>a16Dm000000M3uSIAS</v>
      </c>
      <c r="B1151" s="570">
        <v>14</v>
      </c>
      <c r="C1151" s="572" t="str">
        <f ca="1">IFERROR(VLOOKUP(B1151,'Coverage Indicators - Section D'!$A$9:$AO$94,41,FALSE),"")</f>
        <v>KP-6a Number of MSM who received any PrEP product at least once during the reporting period</v>
      </c>
      <c r="D1151" s="574" t="str">
        <f ca="1">M1151</f>
        <v>PrEP product</v>
      </c>
      <c r="E1151" s="574" t="str">
        <f ca="1">N1151</f>
        <v>Oral PrEP</v>
      </c>
      <c r="F1151" s="127"/>
      <c r="G1151" s="576" t="str">
        <f ca="1">IF(OR(INDIRECT("'update Helper'!E"&amp;Q1151)="",F1151&lt;&gt;0,F1152&lt;&gt;0),IF(IFERROR((F1151/F1152),"")="","",(F1151/F1152)),INDIRECT("'update Helper'!E"&amp;Q1151)/100)</f>
        <v/>
      </c>
      <c r="H1151" s="539"/>
      <c r="I1151" s="578"/>
      <c r="J1151" s="532" t="s">
        <v>2301</v>
      </c>
      <c r="K1151" s="126">
        <f ca="1">IF(AND(EXACT(C1151,C1149),C1149&lt;&gt;0),K1149+1,0)</f>
        <v>5</v>
      </c>
      <c r="L1151" s="126" t="str">
        <f t="shared" ref="L1151" ca="1" si="1335">IF(C1151&lt;&gt;"",C1151&amp;"-"&amp;K1151,"")</f>
        <v>KP-6a Number of MSM who received any PrEP product at least once during the reporting period-5</v>
      </c>
      <c r="M1151" s="126" t="str">
        <f t="array" aca="1" ref="M1151" ca="1">IFERROR(IF(INDEX('Disaggregation Records'!$E$156:$E$517,MATCH(RIGHT(L1151,255),RIGHT('Disaggregation Records'!$D$156:$D$517,255),0))="","",INDEX('Disaggregation Records'!$E$156:$E$517,MATCH(RIGHT(L1151,255),RIGHT('Disaggregation Records'!$D$156:$D$517,255),0))),"")</f>
        <v>PrEP product</v>
      </c>
      <c r="N1151" s="126" t="str">
        <f t="array" aca="1" ref="N1151" ca="1">IFERROR(IF(INDEX('Disaggregation Records'!$F$156:$F$517,MATCH(RIGHT(L1151,255),RIGHT('Disaggregation Records'!$D$156:$D$517,255),0))="","",INDEX('Disaggregation Records'!$F$156:$F$517,MATCH(RIGHT(L1151,255),RIGHT('Disaggregation Records'!$D$156:$D$517,255),0))),"")</f>
        <v>Oral PrEP</v>
      </c>
      <c r="O1151" s="314" t="str">
        <f t="array" aca="1" ref="O1151" ca="1">IFERROR(IF(INDEX('Disaggregation Records'!$H$156:$H$517,MATCH(RIGHT(L1151,255),RIGHT('Disaggregation Records'!$D$156:$D$517,255),0))="","",INDEX('Disaggregation Records'!$H$156:$H$517,MATCH(RIGHT(L1151,255),RIGHT('Disaggregation Records'!$D$156:$D$517,255),0))),"")</f>
        <v>IDR-01166</v>
      </c>
      <c r="P1151" s="314"/>
      <c r="Q1151" s="310">
        <f t="shared" ref="Q1151" si="1336">Q1149+1</f>
        <v>1877</v>
      </c>
      <c r="R1151" s="314" t="str" cm="1">
        <f t="array" aca="1" ref="R1151" ca="1">IFERROR(IF(INDEX('Disaggregation Records'!$G$156:$G$517,MATCH(RIGHT(L1151,255),RIGHT('Disaggregation Records'!$D$156:$D$517,255),0))="","",INDEX('Disaggregation Records'!$G$156:$G$517,MATCH(RIGHT(L1151,255),RIGHT('Disaggregation Records'!$D$156:$D$517,255),0))),"")</f>
        <v>a1LDm000000Cb1YMAS</v>
      </c>
    </row>
    <row r="1152" spans="1:18" ht="20.100000000000001" customHeight="1">
      <c r="B1152" s="571"/>
      <c r="C1152" s="573"/>
      <c r="D1152" s="575"/>
      <c r="E1152" s="575"/>
      <c r="F1152" s="128"/>
      <c r="G1152" s="577"/>
      <c r="H1152" s="540"/>
      <c r="I1152" s="579"/>
      <c r="J1152" s="533"/>
      <c r="K1152" s="126"/>
      <c r="L1152" s="126"/>
      <c r="M1152" s="126"/>
      <c r="N1152" s="126"/>
      <c r="O1152" s="314"/>
      <c r="P1152" s="314"/>
      <c r="Q1152" s="310"/>
      <c r="R1152" s="314" t="str" cm="1">
        <f t="array" ref="R1152">IFERROR(IF(INDEX('Disaggregation Records'!$G$156:$G$517,MATCH(RIGHT(L1152,255),RIGHT('Disaggregation Records'!$D$156:$D$517,255),0))="","",INDEX('Disaggregation Records'!$G$156:$G$517,MATCH(RIGHT(L1152,255),RIGHT('Disaggregation Records'!$D$156:$D$517,255),0))),"")</f>
        <v/>
      </c>
    </row>
    <row r="1153" spans="1:18" ht="20.100000000000001" customHeight="1">
      <c r="A1153" s="126" t="str">
        <f t="shared" ca="1" si="1319"/>
        <v>a16Dm000000M3uTIAS</v>
      </c>
      <c r="B1153" s="570">
        <v>14</v>
      </c>
      <c r="C1153" s="572" t="str">
        <f ca="1">IFERROR(VLOOKUP(B1153,'Coverage Indicators - Section D'!$A$9:$AO$94,41,FALSE),"")</f>
        <v>KP-6a Number of MSM who received any PrEP product at least once during the reporting period</v>
      </c>
      <c r="D1153" s="574" t="str">
        <f ca="1">M1153</f>
        <v/>
      </c>
      <c r="E1153" s="574" t="str">
        <f ca="1">N1153</f>
        <v/>
      </c>
      <c r="F1153" s="127"/>
      <c r="G1153" s="576" t="str">
        <f ca="1">IF(OR(INDIRECT("'update Helper'!E"&amp;Q1153)="",F1153&lt;&gt;0,F1154&lt;&gt;0),IF(IFERROR((F1153/F1154),"")="","",(F1153/F1154)),INDIRECT("'update Helper'!E"&amp;Q1153)/100)</f>
        <v/>
      </c>
      <c r="H1153" s="539"/>
      <c r="I1153" s="578"/>
      <c r="J1153" s="532"/>
      <c r="K1153" s="126">
        <f ca="1">IF(AND(EXACT(C1153,C1151),C1151&lt;&gt;0),K1151+1,0)</f>
        <v>6</v>
      </c>
      <c r="L1153" s="126" t="str">
        <f t="shared" ref="L1153" ca="1" si="1337">IF(C1153&lt;&gt;"",C1153&amp;"-"&amp;K1153,"")</f>
        <v>KP-6a Number of MSM who received any PrEP product at least once during the reporting period-6</v>
      </c>
      <c r="M1153" s="126" t="str">
        <f t="array" aca="1" ref="M1153" ca="1">IFERROR(IF(INDEX('Disaggregation Records'!$E$156:$E$517,MATCH(RIGHT(L1153,255),RIGHT('Disaggregation Records'!$D$156:$D$517,255),0))="","",INDEX('Disaggregation Records'!$E$156:$E$517,MATCH(RIGHT(L1153,255),RIGHT('Disaggregation Records'!$D$156:$D$517,255),0))),"")</f>
        <v/>
      </c>
      <c r="N1153" s="126" t="str">
        <f t="array" aca="1" ref="N1153" ca="1">IFERROR(IF(INDEX('Disaggregation Records'!$F$156:$F$517,MATCH(RIGHT(L1153,255),RIGHT('Disaggregation Records'!$D$156:$D$517,255),0))="","",INDEX('Disaggregation Records'!$F$156:$F$517,MATCH(RIGHT(L1153,255),RIGHT('Disaggregation Records'!$D$156:$D$517,255),0))),"")</f>
        <v/>
      </c>
      <c r="O1153" s="314" t="str">
        <f t="array" aca="1" ref="O1153" ca="1">IFERROR(IF(INDEX('Disaggregation Records'!$H$156:$H$517,MATCH(RIGHT(L1153,255),RIGHT('Disaggregation Records'!$D$156:$D$517,255),0))="","",INDEX('Disaggregation Records'!$H$156:$H$517,MATCH(RIGHT(L1153,255),RIGHT('Disaggregation Records'!$D$156:$D$517,255),0))),"")</f>
        <v/>
      </c>
      <c r="P1153" s="314"/>
      <c r="Q1153" s="310">
        <f t="shared" ref="Q1153" si="1338">Q1151+1</f>
        <v>1878</v>
      </c>
      <c r="R1153" s="314" t="str" cm="1">
        <f t="array" aca="1" ref="R1153" ca="1">IFERROR(IF(INDEX('Disaggregation Records'!$G$156:$G$517,MATCH(RIGHT(L1153,255),RIGHT('Disaggregation Records'!$D$156:$D$517,255),0))="","",INDEX('Disaggregation Records'!$G$156:$G$517,MATCH(RIGHT(L1153,255),RIGHT('Disaggregation Records'!$D$156:$D$517,255),0))),"")</f>
        <v/>
      </c>
    </row>
    <row r="1154" spans="1:18" ht="20.100000000000001" customHeight="1">
      <c r="A1154" s="126"/>
      <c r="B1154" s="571"/>
      <c r="C1154" s="573"/>
      <c r="D1154" s="575"/>
      <c r="E1154" s="575"/>
      <c r="F1154" s="128"/>
      <c r="G1154" s="577"/>
      <c r="H1154" s="540"/>
      <c r="I1154" s="579"/>
      <c r="J1154" s="533"/>
      <c r="K1154" s="126"/>
      <c r="L1154" s="126"/>
      <c r="M1154" s="126"/>
      <c r="N1154" s="126"/>
      <c r="O1154" s="314"/>
      <c r="P1154" s="314"/>
      <c r="Q1154" s="310"/>
      <c r="R1154" s="314" t="str" cm="1">
        <f t="array" ref="R1154">IFERROR(IF(INDEX('Disaggregation Records'!$G$156:$G$517,MATCH(RIGHT(L1154,255),RIGHT('Disaggregation Records'!$D$156:$D$517,255),0))="","",INDEX('Disaggregation Records'!$G$156:$G$517,MATCH(RIGHT(L1154,255),RIGHT('Disaggregation Records'!$D$156:$D$517,255),0))),"")</f>
        <v/>
      </c>
    </row>
    <row r="1155" spans="1:18" ht="20.100000000000001" customHeight="1">
      <c r="A1155" s="126" t="str">
        <f t="shared" ca="1" si="1322"/>
        <v>a16Dm000000M3uUIAS</v>
      </c>
      <c r="B1155" s="570">
        <v>14</v>
      </c>
      <c r="C1155" s="572" t="str">
        <f ca="1">IFERROR(VLOOKUP(B1155,'Coverage Indicators - Section D'!$A$9:$AO$94,41,FALSE),"")</f>
        <v>KP-6a Number of MSM who received any PrEP product at least once during the reporting period</v>
      </c>
      <c r="D1155" s="574" t="str">
        <f ca="1">M1155</f>
        <v/>
      </c>
      <c r="E1155" s="574" t="str">
        <f ca="1">N1155</f>
        <v/>
      </c>
      <c r="F1155" s="127"/>
      <c r="G1155" s="576" t="str">
        <f ca="1">IF(OR(INDIRECT("'update Helper'!E"&amp;Q1155)="",F1155&lt;&gt;0,F1156&lt;&gt;0),IF(IFERROR((F1155/F1156),"")="","",(F1155/F1156)),INDIRECT("'update Helper'!E"&amp;Q1155)/100)</f>
        <v/>
      </c>
      <c r="H1155" s="539"/>
      <c r="I1155" s="578"/>
      <c r="J1155" s="532"/>
      <c r="K1155" s="126">
        <f ca="1">IF(AND(EXACT(C1155,C1153),C1153&lt;&gt;0),K1153+1,0)</f>
        <v>7</v>
      </c>
      <c r="L1155" s="126" t="str">
        <f t="shared" ref="L1155" ca="1" si="1339">IF(C1155&lt;&gt;"",C1155&amp;"-"&amp;K1155,"")</f>
        <v>KP-6a Number of MSM who received any PrEP product at least once during the reporting period-7</v>
      </c>
      <c r="M1155" s="126" t="str">
        <f t="array" aca="1" ref="M1155" ca="1">IFERROR(IF(INDEX('Disaggregation Records'!$E$156:$E$517,MATCH(RIGHT(L1155,255),RIGHT('Disaggregation Records'!$D$156:$D$517,255),0))="","",INDEX('Disaggregation Records'!$E$156:$E$517,MATCH(RIGHT(L1155,255),RIGHT('Disaggregation Records'!$D$156:$D$517,255),0))),"")</f>
        <v/>
      </c>
      <c r="N1155" s="126" t="str">
        <f t="array" aca="1" ref="N1155" ca="1">IFERROR(IF(INDEX('Disaggregation Records'!$F$156:$F$517,MATCH(RIGHT(L1155,255),RIGHT('Disaggregation Records'!$D$156:$D$517,255),0))="","",INDEX('Disaggregation Records'!$F$156:$F$517,MATCH(RIGHT(L1155,255),RIGHT('Disaggregation Records'!$D$156:$D$517,255),0))),"")</f>
        <v/>
      </c>
      <c r="O1155" s="314" t="str">
        <f t="array" aca="1" ref="O1155" ca="1">IFERROR(IF(INDEX('Disaggregation Records'!$H$156:$H$517,MATCH(RIGHT(L1155,255),RIGHT('Disaggregation Records'!$D$156:$D$517,255),0))="","",INDEX('Disaggregation Records'!$H$156:$H$517,MATCH(RIGHT(L1155,255),RIGHT('Disaggregation Records'!$D$156:$D$517,255),0))),"")</f>
        <v/>
      </c>
      <c r="P1155" s="310"/>
      <c r="Q1155" s="310">
        <f t="shared" ref="Q1155" si="1340">Q1153+1</f>
        <v>1879</v>
      </c>
      <c r="R1155" s="314" t="str" cm="1">
        <f t="array" aca="1" ref="R1155" ca="1">IFERROR(IF(INDEX('Disaggregation Records'!$G$156:$G$517,MATCH(RIGHT(L1155,255),RIGHT('Disaggregation Records'!$D$156:$D$517,255),0))="","",INDEX('Disaggregation Records'!$G$156:$G$517,MATCH(RIGHT(L1155,255),RIGHT('Disaggregation Records'!$D$156:$D$517,255),0))),"")</f>
        <v/>
      </c>
    </row>
    <row r="1156" spans="1:18" ht="20.100000000000001" customHeight="1">
      <c r="B1156" s="571"/>
      <c r="C1156" s="573"/>
      <c r="D1156" s="575"/>
      <c r="E1156" s="575"/>
      <c r="F1156" s="128"/>
      <c r="G1156" s="577"/>
      <c r="H1156" s="540"/>
      <c r="I1156" s="579"/>
      <c r="J1156" s="533"/>
      <c r="L1156" s="126"/>
      <c r="N1156" s="126"/>
      <c r="O1156" s="314"/>
      <c r="P1156" s="310"/>
      <c r="Q1156" s="310"/>
      <c r="R1156" s="314" t="str" cm="1">
        <f t="array" ref="R1156">IFERROR(IF(INDEX('Disaggregation Records'!$G$156:$G$517,MATCH(RIGHT(L1156,255),RIGHT('Disaggregation Records'!$D$156:$D$517,255),0))="","",INDEX('Disaggregation Records'!$G$156:$G$517,MATCH(RIGHT(L1156,255),RIGHT('Disaggregation Records'!$D$156:$D$517,255),0))),"")</f>
        <v/>
      </c>
    </row>
    <row r="1157" spans="1:18" ht="20.100000000000001" customHeight="1">
      <c r="A1157" s="126" t="str">
        <f t="shared" ca="1" si="1319"/>
        <v>a16Dm000000M3uVIAS</v>
      </c>
      <c r="B1157" s="570">
        <v>14</v>
      </c>
      <c r="C1157" s="572" t="str">
        <f ca="1">IFERROR(VLOOKUP(B1157,'Coverage Indicators - Section D'!$A$9:$AO$94,41,FALSE),"")</f>
        <v>KP-6a Number of MSM who received any PrEP product at least once during the reporting period</v>
      </c>
      <c r="D1157" s="574" t="str">
        <f ca="1">M1157</f>
        <v/>
      </c>
      <c r="E1157" s="574" t="str">
        <f ca="1">N1157</f>
        <v/>
      </c>
      <c r="F1157" s="127"/>
      <c r="G1157" s="576" t="str">
        <f ca="1">IF(OR(INDIRECT("'update Helper'!E"&amp;Q1157)="",F1157&lt;&gt;0,F1158&lt;&gt;0),IF(IFERROR((F1157/F1158),"")="","",(F1157/F1158)),INDIRECT("'update Helper'!E"&amp;Q1157)/100)</f>
        <v/>
      </c>
      <c r="H1157" s="539"/>
      <c r="I1157" s="578"/>
      <c r="J1157" s="532"/>
      <c r="K1157" s="126">
        <f ca="1">IF(AND(EXACT(C1157,C1155),C1155&lt;&gt;0),K1155+1,0)</f>
        <v>8</v>
      </c>
      <c r="L1157" s="126" t="str">
        <f t="shared" ref="L1157" ca="1" si="1341">IF(C1157&lt;&gt;"",C1157&amp;"-"&amp;K1157,"")</f>
        <v>KP-6a Number of MSM who received any PrEP product at least once during the reporting period-8</v>
      </c>
      <c r="M1157" s="126" t="str">
        <f t="array" aca="1" ref="M1157" ca="1">IFERROR(IF(INDEX('Disaggregation Records'!$E$156:$E$517,MATCH(RIGHT(L1157,255),RIGHT('Disaggregation Records'!$D$156:$D$517,255),0))="","",INDEX('Disaggregation Records'!$E$156:$E$517,MATCH(RIGHT(L1157,255),RIGHT('Disaggregation Records'!$D$156:$D$517,255),0))),"")</f>
        <v/>
      </c>
      <c r="N1157" s="126" t="str">
        <f t="array" aca="1" ref="N1157" ca="1">IFERROR(IF(INDEX('Disaggregation Records'!$F$156:$F$517,MATCH(RIGHT(L1157,255),RIGHT('Disaggregation Records'!$D$156:$D$517,255),0))="","",INDEX('Disaggregation Records'!$F$156:$F$517,MATCH(RIGHT(L1157,255),RIGHT('Disaggregation Records'!$D$156:$D$517,255),0))),"")</f>
        <v/>
      </c>
      <c r="O1157" s="314" t="str">
        <f t="array" aca="1" ref="O1157" ca="1">IFERROR(IF(INDEX('Disaggregation Records'!$H$156:$H$517,MATCH(RIGHT(L1157,255),RIGHT('Disaggregation Records'!$D$156:$D$517,255),0))="","",INDEX('Disaggregation Records'!$H$156:$H$517,MATCH(RIGHT(L1157,255),RIGHT('Disaggregation Records'!$D$156:$D$517,255),0))),"")</f>
        <v/>
      </c>
      <c r="P1157" s="310"/>
      <c r="Q1157" s="310">
        <f t="shared" ref="Q1157" si="1342">Q1155+1</f>
        <v>1880</v>
      </c>
      <c r="R1157" s="314" t="str" cm="1">
        <f t="array" aca="1" ref="R1157" ca="1">IFERROR(IF(INDEX('Disaggregation Records'!$G$156:$G$517,MATCH(RIGHT(L1157,255),RIGHT('Disaggregation Records'!$D$156:$D$517,255),0))="","",INDEX('Disaggregation Records'!$G$156:$G$517,MATCH(RIGHT(L1157,255),RIGHT('Disaggregation Records'!$D$156:$D$517,255),0))),"")</f>
        <v/>
      </c>
    </row>
    <row r="1158" spans="1:18" ht="20.100000000000001" customHeight="1">
      <c r="A1158" s="126"/>
      <c r="B1158" s="571"/>
      <c r="C1158" s="573"/>
      <c r="D1158" s="575"/>
      <c r="E1158" s="575"/>
      <c r="F1158" s="128"/>
      <c r="G1158" s="577"/>
      <c r="H1158" s="540"/>
      <c r="I1158" s="579"/>
      <c r="J1158" s="533"/>
      <c r="L1158" s="126"/>
      <c r="N1158" s="126"/>
      <c r="O1158" s="314"/>
      <c r="P1158" s="310"/>
      <c r="Q1158" s="310"/>
      <c r="R1158" s="314" t="str" cm="1">
        <f t="array" ref="R1158">IFERROR(IF(INDEX('Disaggregation Records'!$G$156:$G$517,MATCH(RIGHT(L1158,255),RIGHT('Disaggregation Records'!$D$156:$D$517,255),0))="","",INDEX('Disaggregation Records'!$G$156:$G$517,MATCH(RIGHT(L1158,255),RIGHT('Disaggregation Records'!$D$156:$D$517,255),0))),"")</f>
        <v/>
      </c>
    </row>
    <row r="1159" spans="1:18" ht="20.100000000000001" customHeight="1">
      <c r="A1159" s="126" t="str">
        <f t="shared" ca="1" si="1322"/>
        <v>a16Dm000000M3uWIAS</v>
      </c>
      <c r="B1159" s="570">
        <v>14</v>
      </c>
      <c r="C1159" s="572" t="str">
        <f ca="1">IFERROR(VLOOKUP(B1159,'Coverage Indicators - Section D'!$A$9:$AO$94,41,FALSE),"")</f>
        <v>KP-6a Number of MSM who received any PrEP product at least once during the reporting period</v>
      </c>
      <c r="D1159" s="574" t="str">
        <f ca="1">M1159</f>
        <v/>
      </c>
      <c r="E1159" s="574" t="str">
        <f ca="1">N1159</f>
        <v/>
      </c>
      <c r="F1159" s="127"/>
      <c r="G1159" s="576" t="str">
        <f ca="1">IF(OR(INDIRECT("'update Helper'!E"&amp;Q1159)="",F1159&lt;&gt;0,F1160&lt;&gt;0),IF(IFERROR((F1159/F1160),"")="","",(F1159/F1160)),INDIRECT("'update Helper'!E"&amp;Q1159)/100)</f>
        <v/>
      </c>
      <c r="H1159" s="539"/>
      <c r="I1159" s="578"/>
      <c r="J1159" s="532"/>
      <c r="K1159" s="126">
        <f ca="1">IF(AND(EXACT(C1159,C1157),C1157&lt;&gt;0),K1157+1,0)</f>
        <v>9</v>
      </c>
      <c r="L1159" s="126" t="str">
        <f t="shared" ref="L1159" ca="1" si="1343">IF(C1159&lt;&gt;"",C1159&amp;"-"&amp;K1159,"")</f>
        <v>KP-6a Number of MSM who received any PrEP product at least once during the reporting period-9</v>
      </c>
      <c r="M1159" s="126" t="str">
        <f t="array" aca="1" ref="M1159" ca="1">IFERROR(IF(INDEX('Disaggregation Records'!$E$156:$E$517,MATCH(RIGHT(L1159,255),RIGHT('Disaggregation Records'!$D$156:$D$517,255),0))="","",INDEX('Disaggregation Records'!$E$156:$E$517,MATCH(RIGHT(L1159,255),RIGHT('Disaggregation Records'!$D$156:$D$517,255),0))),"")</f>
        <v/>
      </c>
      <c r="N1159" s="126" t="str">
        <f t="array" aca="1" ref="N1159" ca="1">IFERROR(IF(INDEX('Disaggregation Records'!$F$156:$F$517,MATCH(RIGHT(L1159,255),RIGHT('Disaggregation Records'!$D$156:$D$517,255),0))="","",INDEX('Disaggregation Records'!$F$156:$F$517,MATCH(RIGHT(L1159,255),RIGHT('Disaggregation Records'!$D$156:$D$517,255),0))),"")</f>
        <v/>
      </c>
      <c r="O1159" s="314" t="str">
        <f t="array" aca="1" ref="O1159" ca="1">IFERROR(IF(INDEX('Disaggregation Records'!$H$156:$H$517,MATCH(RIGHT(L1159,255),RIGHT('Disaggregation Records'!$D$156:$D$517,255),0))="","",INDEX('Disaggregation Records'!$H$156:$H$517,MATCH(RIGHT(L1159,255),RIGHT('Disaggregation Records'!$D$156:$D$517,255),0))),"")</f>
        <v/>
      </c>
      <c r="P1159" s="310"/>
      <c r="Q1159" s="310">
        <f t="shared" ref="Q1159" si="1344">Q1157+1</f>
        <v>1881</v>
      </c>
      <c r="R1159" s="314" t="str" cm="1">
        <f t="array" aca="1" ref="R1159" ca="1">IFERROR(IF(INDEX('Disaggregation Records'!$G$156:$G$517,MATCH(RIGHT(L1159,255),RIGHT('Disaggregation Records'!$D$156:$D$517,255),0))="","",INDEX('Disaggregation Records'!$G$156:$G$517,MATCH(RIGHT(L1159,255),RIGHT('Disaggregation Records'!$D$156:$D$517,255),0))),"")</f>
        <v/>
      </c>
    </row>
    <row r="1160" spans="1:18" ht="20.100000000000001" customHeight="1">
      <c r="B1160" s="571"/>
      <c r="C1160" s="573"/>
      <c r="D1160" s="575"/>
      <c r="E1160" s="575"/>
      <c r="F1160" s="128"/>
      <c r="G1160" s="577"/>
      <c r="H1160" s="540"/>
      <c r="I1160" s="579"/>
      <c r="J1160" s="533"/>
      <c r="L1160" s="126"/>
      <c r="N1160" s="126"/>
      <c r="O1160" s="314"/>
      <c r="P1160" s="310"/>
      <c r="Q1160" s="310"/>
      <c r="R1160" s="314" t="str" cm="1">
        <f t="array" ref="R1160">IFERROR(IF(INDEX('Disaggregation Records'!$G$156:$G$517,MATCH(RIGHT(L1160,255),RIGHT('Disaggregation Records'!$D$156:$D$517,255),0))="","",INDEX('Disaggregation Records'!$G$156:$G$517,MATCH(RIGHT(L1160,255),RIGHT('Disaggregation Records'!$D$156:$D$517,255),0))),"")</f>
        <v/>
      </c>
    </row>
    <row r="1161" spans="1:18" ht="20.100000000000001" customHeight="1">
      <c r="A1161" s="126" t="str">
        <f t="shared" ca="1" si="1319"/>
        <v>a16Dm000000M3uXIAS</v>
      </c>
      <c r="B1161" s="570">
        <v>14</v>
      </c>
      <c r="C1161" s="572" t="str">
        <f ca="1">IFERROR(VLOOKUP(B1161,'Coverage Indicators - Section D'!$A$9:$AO$94,41,FALSE),"")</f>
        <v>KP-6a Number of MSM who received any PrEP product at least once during the reporting period</v>
      </c>
      <c r="D1161" s="574" t="str">
        <f ca="1">M1161</f>
        <v/>
      </c>
      <c r="E1161" s="574" t="str">
        <f ca="1">N1161</f>
        <v/>
      </c>
      <c r="F1161" s="127"/>
      <c r="G1161" s="576" t="str">
        <f ca="1">IF(OR(INDIRECT("'update Helper'!E"&amp;Q1161)="",F1161&lt;&gt;0,F1162&lt;&gt;0),IF(IFERROR((F1161/F1162),"")="","",(F1161/F1162)),INDIRECT("'update Helper'!E"&amp;Q1161)/100)</f>
        <v/>
      </c>
      <c r="H1161" s="539"/>
      <c r="I1161" s="578"/>
      <c r="J1161" s="532"/>
      <c r="K1161" s="126">
        <f ca="1">IF(AND(EXACT(C1161,C1159),C1159&lt;&gt;0),K1159+1,0)</f>
        <v>10</v>
      </c>
      <c r="L1161" s="126" t="str">
        <f t="shared" ref="L1161" ca="1" si="1345">IF(C1161&lt;&gt;"",C1161&amp;"-"&amp;K1161,"")</f>
        <v>KP-6a Number of MSM who received any PrEP product at least once during the reporting period-10</v>
      </c>
      <c r="M1161" s="126" t="str">
        <f t="array" aca="1" ref="M1161" ca="1">IFERROR(IF(INDEX('Disaggregation Records'!$E$156:$E$517,MATCH(RIGHT(L1161,255),RIGHT('Disaggregation Records'!$D$156:$D$517,255),0))="","",INDEX('Disaggregation Records'!$E$156:$E$517,MATCH(RIGHT(L1161,255),RIGHT('Disaggregation Records'!$D$156:$D$517,255),0))),"")</f>
        <v/>
      </c>
      <c r="N1161" s="126" t="str">
        <f t="array" aca="1" ref="N1161" ca="1">IFERROR(IF(INDEX('Disaggregation Records'!$F$156:$F$517,MATCH(RIGHT(L1161,255),RIGHT('Disaggregation Records'!$D$156:$D$517,255),0))="","",INDEX('Disaggregation Records'!$F$156:$F$517,MATCH(RIGHT(L1161,255),RIGHT('Disaggregation Records'!$D$156:$D$517,255),0))),"")</f>
        <v/>
      </c>
      <c r="O1161" s="314" t="str">
        <f t="array" aca="1" ref="O1161" ca="1">IFERROR(IF(INDEX('Disaggregation Records'!$H$156:$H$517,MATCH(RIGHT(L1161,255),RIGHT('Disaggregation Records'!$D$156:$D$517,255),0))="","",INDEX('Disaggregation Records'!$H$156:$H$517,MATCH(RIGHT(L1161,255),RIGHT('Disaggregation Records'!$D$156:$D$517,255),0))),"")</f>
        <v/>
      </c>
      <c r="P1161" s="314"/>
      <c r="Q1161" s="310">
        <f t="shared" ref="Q1161" si="1346">Q1159+1</f>
        <v>1882</v>
      </c>
      <c r="R1161" s="314" t="str" cm="1">
        <f t="array" aca="1" ref="R1161" ca="1">IFERROR(IF(INDEX('Disaggregation Records'!$G$156:$G$517,MATCH(RIGHT(L1161,255),RIGHT('Disaggregation Records'!$D$156:$D$517,255),0))="","",INDEX('Disaggregation Records'!$G$156:$G$517,MATCH(RIGHT(L1161,255),RIGHT('Disaggregation Records'!$D$156:$D$517,255),0))),"")</f>
        <v/>
      </c>
    </row>
    <row r="1162" spans="1:18" ht="20.100000000000001" customHeight="1">
      <c r="A1162" s="126"/>
      <c r="B1162" s="571"/>
      <c r="C1162" s="573"/>
      <c r="D1162" s="575"/>
      <c r="E1162" s="575"/>
      <c r="F1162" s="128"/>
      <c r="G1162" s="577"/>
      <c r="H1162" s="540"/>
      <c r="I1162" s="579"/>
      <c r="J1162" s="533"/>
      <c r="K1162" s="126"/>
      <c r="L1162" s="126"/>
      <c r="M1162" s="126"/>
      <c r="N1162" s="126"/>
      <c r="O1162" s="314"/>
      <c r="P1162" s="314"/>
      <c r="Q1162" s="310"/>
      <c r="R1162" s="314" t="str" cm="1">
        <f t="array" ref="R1162">IFERROR(IF(INDEX('Disaggregation Records'!$G$156:$G$517,MATCH(RIGHT(L1162,255),RIGHT('Disaggregation Records'!$D$156:$D$517,255),0))="","",INDEX('Disaggregation Records'!$G$156:$G$517,MATCH(RIGHT(L1162,255),RIGHT('Disaggregation Records'!$D$156:$D$517,255),0))),"")</f>
        <v/>
      </c>
    </row>
    <row r="1163" spans="1:18" ht="20.100000000000001" customHeight="1">
      <c r="A1163" s="126" t="str">
        <f t="shared" ca="1" si="1322"/>
        <v>a16Dm000000M3uYIAS</v>
      </c>
      <c r="B1163" s="570">
        <v>14</v>
      </c>
      <c r="C1163" s="572" t="str">
        <f ca="1">IFERROR(VLOOKUP(B1163,'Coverage Indicators - Section D'!$A$9:$AO$94,41,FALSE),"")</f>
        <v>KP-6a Number of MSM who received any PrEP product at least once during the reporting period</v>
      </c>
      <c r="D1163" s="574" t="str">
        <f ca="1">M1163</f>
        <v/>
      </c>
      <c r="E1163" s="574" t="str">
        <f ca="1">N1163</f>
        <v/>
      </c>
      <c r="F1163" s="127"/>
      <c r="G1163" s="576" t="str">
        <f ca="1">IF(OR(INDIRECT("'update Helper'!E"&amp;Q1163)="",F1163&lt;&gt;0,F1164&lt;&gt;0),IF(IFERROR((F1163/F1164),"")="","",(F1163/F1164)),INDIRECT("'update Helper'!E"&amp;Q1163)/100)</f>
        <v/>
      </c>
      <c r="H1163" s="539"/>
      <c r="I1163" s="578"/>
      <c r="J1163" s="532"/>
      <c r="K1163" s="126">
        <f ca="1">IF(AND(EXACT(C1163,C1161),C1161&lt;&gt;0),K1161+1,0)</f>
        <v>11</v>
      </c>
      <c r="L1163" s="126" t="str">
        <f t="shared" ref="L1163" ca="1" si="1347">IF(C1163&lt;&gt;"",C1163&amp;"-"&amp;K1163,"")</f>
        <v>KP-6a Number of MSM who received any PrEP product at least once during the reporting period-11</v>
      </c>
      <c r="M1163" s="126" t="str">
        <f t="array" aca="1" ref="M1163" ca="1">IFERROR(IF(INDEX('Disaggregation Records'!$E$156:$E$517,MATCH(RIGHT(L1163,255),RIGHT('Disaggregation Records'!$D$156:$D$517,255),0))="","",INDEX('Disaggregation Records'!$E$156:$E$517,MATCH(RIGHT(L1163,255),RIGHT('Disaggregation Records'!$D$156:$D$517,255),0))),"")</f>
        <v/>
      </c>
      <c r="N1163" s="126" t="str">
        <f t="array" aca="1" ref="N1163" ca="1">IFERROR(IF(INDEX('Disaggregation Records'!$F$156:$F$517,MATCH(RIGHT(L1163,255),RIGHT('Disaggregation Records'!$D$156:$D$517,255),0))="","",INDEX('Disaggregation Records'!$F$156:$F$517,MATCH(RIGHT(L1163,255),RIGHT('Disaggregation Records'!$D$156:$D$517,255),0))),"")</f>
        <v/>
      </c>
      <c r="O1163" s="314" t="str">
        <f t="array" aca="1" ref="O1163" ca="1">IFERROR(IF(INDEX('Disaggregation Records'!$H$156:$H$517,MATCH(RIGHT(L1163,255),RIGHT('Disaggregation Records'!$D$156:$D$517,255),0))="","",INDEX('Disaggregation Records'!$H$156:$H$517,MATCH(RIGHT(L1163,255),RIGHT('Disaggregation Records'!$D$156:$D$517,255),0))),"")</f>
        <v/>
      </c>
      <c r="P1163" s="314"/>
      <c r="Q1163" s="310">
        <f t="shared" ref="Q1163" si="1348">Q1161+1</f>
        <v>1883</v>
      </c>
      <c r="R1163" s="314" t="str" cm="1">
        <f t="array" aca="1" ref="R1163" ca="1">IFERROR(IF(INDEX('Disaggregation Records'!$G$156:$G$517,MATCH(RIGHT(L1163,255),RIGHT('Disaggregation Records'!$D$156:$D$517,255),0))="","",INDEX('Disaggregation Records'!$G$156:$G$517,MATCH(RIGHT(L1163,255),RIGHT('Disaggregation Records'!$D$156:$D$517,255),0))),"")</f>
        <v/>
      </c>
    </row>
    <row r="1164" spans="1:18" ht="20.100000000000001" customHeight="1">
      <c r="B1164" s="571"/>
      <c r="C1164" s="573"/>
      <c r="D1164" s="575"/>
      <c r="E1164" s="575"/>
      <c r="F1164" s="128"/>
      <c r="G1164" s="577"/>
      <c r="H1164" s="540"/>
      <c r="I1164" s="579"/>
      <c r="J1164" s="533"/>
      <c r="K1164" s="126"/>
      <c r="L1164" s="126"/>
      <c r="M1164" s="126"/>
      <c r="N1164" s="126"/>
      <c r="O1164" s="314"/>
      <c r="P1164" s="314"/>
      <c r="Q1164" s="310"/>
      <c r="R1164" s="314" t="str" cm="1">
        <f t="array" ref="R1164">IFERROR(IF(INDEX('Disaggregation Records'!$G$156:$G$517,MATCH(RIGHT(L1164,255),RIGHT('Disaggregation Records'!$D$156:$D$517,255),0))="","",INDEX('Disaggregation Records'!$G$156:$G$517,MATCH(RIGHT(L1164,255),RIGHT('Disaggregation Records'!$D$156:$D$517,255),0))),"")</f>
        <v/>
      </c>
    </row>
    <row r="1165" spans="1:18" ht="20.100000000000001" customHeight="1">
      <c r="A1165" s="126" t="str">
        <f t="shared" ca="1" si="1319"/>
        <v>a16Dm000000M3uZIAS</v>
      </c>
      <c r="B1165" s="570">
        <v>14</v>
      </c>
      <c r="C1165" s="572" t="str">
        <f ca="1">IFERROR(VLOOKUP(B1165,'Coverage Indicators - Section D'!$A$9:$AO$94,41,FALSE),"")</f>
        <v>KP-6a Number of MSM who received any PrEP product at least once during the reporting period</v>
      </c>
      <c r="D1165" s="574" t="str">
        <f ca="1">M1165</f>
        <v/>
      </c>
      <c r="E1165" s="574" t="str">
        <f ca="1">N1165</f>
        <v/>
      </c>
      <c r="F1165" s="127"/>
      <c r="G1165" s="576" t="str">
        <f ca="1">IF(OR(INDIRECT("'update Helper'!E"&amp;Q1165)="",F1165&lt;&gt;0,F1166&lt;&gt;0),IF(IFERROR((F1165/F1166),"")="","",(F1165/F1166)),INDIRECT("'update Helper'!E"&amp;Q1165)/100)</f>
        <v/>
      </c>
      <c r="H1165" s="539"/>
      <c r="I1165" s="578"/>
      <c r="J1165" s="532"/>
      <c r="K1165" s="126">
        <f ca="1">IF(AND(EXACT(C1165,C1163),C1163&lt;&gt;0),K1163+1,0)</f>
        <v>12</v>
      </c>
      <c r="L1165" s="126" t="str">
        <f t="shared" ref="L1165" ca="1" si="1349">IF(C1165&lt;&gt;"",C1165&amp;"-"&amp;K1165,"")</f>
        <v>KP-6a Number of MSM who received any PrEP product at least once during the reporting period-12</v>
      </c>
      <c r="M1165" s="126" t="str">
        <f t="array" aca="1" ref="M1165" ca="1">IFERROR(IF(INDEX('Disaggregation Records'!$E$156:$E$517,MATCH(RIGHT(L1165,255),RIGHT('Disaggregation Records'!$D$156:$D$517,255),0))="","",INDEX('Disaggregation Records'!$E$156:$E$517,MATCH(RIGHT(L1165,255),RIGHT('Disaggregation Records'!$D$156:$D$517,255),0))),"")</f>
        <v/>
      </c>
      <c r="N1165" s="126" t="str">
        <f t="array" aca="1" ref="N1165" ca="1">IFERROR(IF(INDEX('Disaggregation Records'!$F$156:$F$517,MATCH(RIGHT(L1165,255),RIGHT('Disaggregation Records'!$D$156:$D$517,255),0))="","",INDEX('Disaggregation Records'!$F$156:$F$517,MATCH(RIGHT(L1165,255),RIGHT('Disaggregation Records'!$D$156:$D$517,255),0))),"")</f>
        <v/>
      </c>
      <c r="O1165" s="314" t="str">
        <f t="array" aca="1" ref="O1165" ca="1">IFERROR(IF(INDEX('Disaggregation Records'!$H$156:$H$517,MATCH(RIGHT(L1165,255),RIGHT('Disaggregation Records'!$D$156:$D$517,255),0))="","",INDEX('Disaggregation Records'!$H$156:$H$517,MATCH(RIGHT(L1165,255),RIGHT('Disaggregation Records'!$D$156:$D$517,255),0))),"")</f>
        <v/>
      </c>
      <c r="P1165" s="310"/>
      <c r="Q1165" s="310">
        <f t="shared" ref="Q1165" si="1350">Q1163+1</f>
        <v>1884</v>
      </c>
      <c r="R1165" s="314" t="str" cm="1">
        <f t="array" aca="1" ref="R1165" ca="1">IFERROR(IF(INDEX('Disaggregation Records'!$G$156:$G$517,MATCH(RIGHT(L1165,255),RIGHT('Disaggregation Records'!$D$156:$D$517,255),0))="","",INDEX('Disaggregation Records'!$G$156:$G$517,MATCH(RIGHT(L1165,255),RIGHT('Disaggregation Records'!$D$156:$D$517,255),0))),"")</f>
        <v/>
      </c>
    </row>
    <row r="1166" spans="1:18" ht="20.100000000000001" customHeight="1">
      <c r="A1166" s="126"/>
      <c r="B1166" s="571"/>
      <c r="C1166" s="573"/>
      <c r="D1166" s="575"/>
      <c r="E1166" s="575"/>
      <c r="F1166" s="128"/>
      <c r="G1166" s="577"/>
      <c r="H1166" s="540"/>
      <c r="I1166" s="579"/>
      <c r="J1166" s="533"/>
      <c r="L1166" s="126"/>
      <c r="N1166" s="126"/>
      <c r="O1166" s="314"/>
      <c r="P1166" s="310"/>
      <c r="Q1166" s="310"/>
      <c r="R1166" s="314" t="str" cm="1">
        <f t="array" ref="R1166">IFERROR(IF(INDEX('Disaggregation Records'!$G$156:$G$517,MATCH(RIGHT(L1166,255),RIGHT('Disaggregation Records'!$D$156:$D$517,255),0))="","",INDEX('Disaggregation Records'!$G$156:$G$517,MATCH(RIGHT(L1166,255),RIGHT('Disaggregation Records'!$D$156:$D$517,255),0))),"")</f>
        <v/>
      </c>
    </row>
    <row r="1167" spans="1:18" ht="20.100000000000001" customHeight="1">
      <c r="A1167" s="126" t="str">
        <f t="shared" ca="1" si="1322"/>
        <v>a16Dm000000M3uaIAC</v>
      </c>
      <c r="B1167" s="570">
        <v>14</v>
      </c>
      <c r="C1167" s="572" t="str">
        <f ca="1">IFERROR(VLOOKUP(B1167,'Coverage Indicators - Section D'!$A$9:$AO$94,41,FALSE),"")</f>
        <v>KP-6a Number of MSM who received any PrEP product at least once during the reporting period</v>
      </c>
      <c r="D1167" s="574" t="str">
        <f ca="1">M1167</f>
        <v/>
      </c>
      <c r="E1167" s="574" t="str">
        <f ca="1">N1167</f>
        <v/>
      </c>
      <c r="F1167" s="127"/>
      <c r="G1167" s="576" t="str">
        <f ca="1">IF(OR(INDIRECT("'update Helper'!E"&amp;Q1167)="",F1167&lt;&gt;0,F1168&lt;&gt;0),IF(IFERROR((F1167/F1168),"")="","",(F1167/F1168)),INDIRECT("'update Helper'!E"&amp;Q1167)/100)</f>
        <v/>
      </c>
      <c r="H1167" s="539"/>
      <c r="I1167" s="578"/>
      <c r="J1167" s="532"/>
      <c r="K1167" s="126">
        <f ca="1">IF(AND(EXACT(C1167,C1165),C1165&lt;&gt;0),K1165+1,0)</f>
        <v>13</v>
      </c>
      <c r="L1167" s="126" t="str">
        <f t="shared" ref="L1167" ca="1" si="1351">IF(C1167&lt;&gt;"",C1167&amp;"-"&amp;K1167,"")</f>
        <v>KP-6a Number of MSM who received any PrEP product at least once during the reporting period-13</v>
      </c>
      <c r="M1167" s="126" t="str">
        <f t="array" aca="1" ref="M1167" ca="1">IFERROR(IF(INDEX('Disaggregation Records'!$E$156:$E$517,MATCH(RIGHT(L1167,255),RIGHT('Disaggregation Records'!$D$156:$D$517,255),0))="","",INDEX('Disaggregation Records'!$E$156:$E$517,MATCH(RIGHT(L1167,255),RIGHT('Disaggregation Records'!$D$156:$D$517,255),0))),"")</f>
        <v/>
      </c>
      <c r="N1167" s="126" t="str">
        <f t="array" aca="1" ref="N1167" ca="1">IFERROR(IF(INDEX('Disaggregation Records'!$F$156:$F$517,MATCH(RIGHT(L1167,255),RIGHT('Disaggregation Records'!$D$156:$D$517,255),0))="","",INDEX('Disaggregation Records'!$F$156:$F$517,MATCH(RIGHT(L1167,255),RIGHT('Disaggregation Records'!$D$156:$D$517,255),0))),"")</f>
        <v/>
      </c>
      <c r="O1167" s="314" t="str">
        <f t="array" aca="1" ref="O1167" ca="1">IFERROR(IF(INDEX('Disaggregation Records'!$H$156:$H$517,MATCH(RIGHT(L1167,255),RIGHT('Disaggregation Records'!$D$156:$D$517,255),0))="","",INDEX('Disaggregation Records'!$H$156:$H$517,MATCH(RIGHT(L1167,255),RIGHT('Disaggregation Records'!$D$156:$D$517,255),0))),"")</f>
        <v/>
      </c>
      <c r="P1167" s="310"/>
      <c r="Q1167" s="310">
        <f t="shared" ref="Q1167" si="1352">Q1165+1</f>
        <v>1885</v>
      </c>
      <c r="R1167" s="314" t="str" cm="1">
        <f t="array" aca="1" ref="R1167" ca="1">IFERROR(IF(INDEX('Disaggregation Records'!$G$156:$G$517,MATCH(RIGHT(L1167,255),RIGHT('Disaggregation Records'!$D$156:$D$517,255),0))="","",INDEX('Disaggregation Records'!$G$156:$G$517,MATCH(RIGHT(L1167,255),RIGHT('Disaggregation Records'!$D$156:$D$517,255),0))),"")</f>
        <v/>
      </c>
    </row>
    <row r="1168" spans="1:18" ht="20.100000000000001" customHeight="1">
      <c r="B1168" s="571"/>
      <c r="C1168" s="573"/>
      <c r="D1168" s="575"/>
      <c r="E1168" s="575"/>
      <c r="F1168" s="128"/>
      <c r="G1168" s="577"/>
      <c r="H1168" s="540"/>
      <c r="I1168" s="579"/>
      <c r="J1168" s="533"/>
      <c r="L1168" s="126"/>
      <c r="N1168" s="126"/>
      <c r="O1168" s="314"/>
      <c r="P1168" s="310"/>
      <c r="Q1168" s="310"/>
      <c r="R1168" s="314" t="str" cm="1">
        <f t="array" ref="R1168">IFERROR(IF(INDEX('Disaggregation Records'!$G$156:$G$517,MATCH(RIGHT(L1168,255),RIGHT('Disaggregation Records'!$D$156:$D$517,255),0))="","",INDEX('Disaggregation Records'!$G$156:$G$517,MATCH(RIGHT(L1168,255),RIGHT('Disaggregation Records'!$D$156:$D$517,255),0))),"")</f>
        <v/>
      </c>
    </row>
    <row r="1169" spans="1:18" ht="20.100000000000001" customHeight="1">
      <c r="A1169" s="126" t="str">
        <f t="shared" ca="1" si="1319"/>
        <v>a16Dm000000M3ubIAC</v>
      </c>
      <c r="B1169" s="570">
        <v>14</v>
      </c>
      <c r="C1169" s="572" t="str">
        <f ca="1">IFERROR(VLOOKUP(B1169,'Coverage Indicators - Section D'!$A$9:$AO$94,41,FALSE),"")</f>
        <v>KP-6a Number of MSM who received any PrEP product at least once during the reporting period</v>
      </c>
      <c r="D1169" s="574" t="str">
        <f ca="1">M1169</f>
        <v/>
      </c>
      <c r="E1169" s="574" t="str">
        <f ca="1">N1169</f>
        <v/>
      </c>
      <c r="F1169" s="127"/>
      <c r="G1169" s="576" t="str">
        <f ca="1">IF(OR(INDIRECT("'update Helper'!E"&amp;Q1169)="",F1169&lt;&gt;0,F1170&lt;&gt;0),IF(IFERROR((F1169/F1170),"")="","",(F1169/F1170)),INDIRECT("'update Helper'!E"&amp;Q1169)/100)</f>
        <v/>
      </c>
      <c r="H1169" s="539"/>
      <c r="I1169" s="578"/>
      <c r="J1169" s="532"/>
      <c r="K1169" s="126">
        <f ca="1">IF(AND(EXACT(C1169,C1167),C1167&lt;&gt;0),K1167+1,0)</f>
        <v>14</v>
      </c>
      <c r="L1169" s="126" t="str">
        <f t="shared" ref="L1169" ca="1" si="1353">IF(C1169&lt;&gt;"",C1169&amp;"-"&amp;K1169,"")</f>
        <v>KP-6a Number of MSM who received any PrEP product at least once during the reporting period-14</v>
      </c>
      <c r="M1169" s="126" t="str">
        <f t="array" aca="1" ref="M1169" ca="1">IFERROR(IF(INDEX('Disaggregation Records'!$E$156:$E$517,MATCH(RIGHT(L1169,255),RIGHT('Disaggregation Records'!$D$156:$D$517,255),0))="","",INDEX('Disaggregation Records'!$E$156:$E$517,MATCH(RIGHT(L1169,255),RIGHT('Disaggregation Records'!$D$156:$D$517,255),0))),"")</f>
        <v/>
      </c>
      <c r="N1169" s="126" t="str">
        <f t="array" aca="1" ref="N1169" ca="1">IFERROR(IF(INDEX('Disaggregation Records'!$F$156:$F$517,MATCH(RIGHT(L1169,255),RIGHT('Disaggregation Records'!$D$156:$D$517,255),0))="","",INDEX('Disaggregation Records'!$F$156:$F$517,MATCH(RIGHT(L1169,255),RIGHT('Disaggregation Records'!$D$156:$D$517,255),0))),"")</f>
        <v/>
      </c>
      <c r="O1169" s="314" t="str">
        <f t="array" aca="1" ref="O1169" ca="1">IFERROR(IF(INDEX('Disaggregation Records'!$H$156:$H$517,MATCH(RIGHT(L1169,255),RIGHT('Disaggregation Records'!$D$156:$D$517,255),0))="","",INDEX('Disaggregation Records'!$H$156:$H$517,MATCH(RIGHT(L1169,255),RIGHT('Disaggregation Records'!$D$156:$D$517,255),0))),"")</f>
        <v/>
      </c>
      <c r="P1169" s="310"/>
      <c r="Q1169" s="310">
        <f t="shared" ref="Q1169" si="1354">Q1167+1</f>
        <v>1886</v>
      </c>
      <c r="R1169" s="314" t="str" cm="1">
        <f t="array" aca="1" ref="R1169" ca="1">IFERROR(IF(INDEX('Disaggregation Records'!$G$156:$G$517,MATCH(RIGHT(L1169,255),RIGHT('Disaggregation Records'!$D$156:$D$517,255),0))="","",INDEX('Disaggregation Records'!$G$156:$G$517,MATCH(RIGHT(L1169,255),RIGHT('Disaggregation Records'!$D$156:$D$517,255),0))),"")</f>
        <v/>
      </c>
    </row>
    <row r="1170" spans="1:18" ht="20.100000000000001" customHeight="1">
      <c r="A1170" s="126"/>
      <c r="B1170" s="571"/>
      <c r="C1170" s="573"/>
      <c r="D1170" s="575"/>
      <c r="E1170" s="575"/>
      <c r="F1170" s="128"/>
      <c r="G1170" s="577"/>
      <c r="H1170" s="540"/>
      <c r="I1170" s="579"/>
      <c r="J1170" s="533"/>
      <c r="L1170" s="126"/>
      <c r="N1170" s="126"/>
      <c r="O1170" s="314"/>
      <c r="P1170" s="310"/>
      <c r="Q1170" s="310"/>
      <c r="R1170" s="314" t="str" cm="1">
        <f t="array" ref="R1170">IFERROR(IF(INDEX('Disaggregation Records'!$G$156:$G$517,MATCH(RIGHT(L1170,255),RIGHT('Disaggregation Records'!$D$156:$D$517,255),0))="","",INDEX('Disaggregation Records'!$G$156:$G$517,MATCH(RIGHT(L1170,255),RIGHT('Disaggregation Records'!$D$156:$D$517,255),0))),"")</f>
        <v/>
      </c>
    </row>
    <row r="1171" spans="1:18" ht="20.100000000000001" customHeight="1">
      <c r="A1171" s="126" t="str">
        <f t="shared" ca="1" si="1322"/>
        <v>a16Dm000000M3ucIAC</v>
      </c>
      <c r="B1171" s="570">
        <v>14</v>
      </c>
      <c r="C1171" s="572" t="str">
        <f ca="1">IFERROR(VLOOKUP(B1171,'Coverage Indicators - Section D'!$A$9:$AO$94,41,FALSE),"")</f>
        <v>KP-6a Number of MSM who received any PrEP product at least once during the reporting period</v>
      </c>
      <c r="D1171" s="574" t="str">
        <f ca="1">M1171</f>
        <v/>
      </c>
      <c r="E1171" s="574" t="str">
        <f ca="1">N1171</f>
        <v/>
      </c>
      <c r="F1171" s="127"/>
      <c r="G1171" s="576" t="str">
        <f ca="1">IF(OR(INDIRECT("'update Helper'!E"&amp;Q1171)="",F1171&lt;&gt;0,F1172&lt;&gt;0),IF(IFERROR((F1171/F1172),"")="","",(F1171/F1172)),INDIRECT("'update Helper'!E"&amp;Q1171)/100)</f>
        <v/>
      </c>
      <c r="H1171" s="539"/>
      <c r="I1171" s="578"/>
      <c r="J1171" s="532"/>
      <c r="K1171" s="126">
        <f ca="1">IF(AND(EXACT(C1171,C1169),C1169&lt;&gt;0),K1169+1,0)</f>
        <v>15</v>
      </c>
      <c r="L1171" s="126" t="str">
        <f t="shared" ref="L1171" ca="1" si="1355">IF(C1171&lt;&gt;"",C1171&amp;"-"&amp;K1171,"")</f>
        <v>KP-6a Number of MSM who received any PrEP product at least once during the reporting period-15</v>
      </c>
      <c r="M1171" s="126" t="str">
        <f t="array" aca="1" ref="M1171" ca="1">IFERROR(IF(INDEX('Disaggregation Records'!$E$156:$E$517,MATCH(RIGHT(L1171,255),RIGHT('Disaggregation Records'!$D$156:$D$517,255),0))="","",INDEX('Disaggregation Records'!$E$156:$E$517,MATCH(RIGHT(L1171,255),RIGHT('Disaggregation Records'!$D$156:$D$517,255),0))),"")</f>
        <v/>
      </c>
      <c r="N1171" s="126" t="str">
        <f t="array" aca="1" ref="N1171" ca="1">IFERROR(IF(INDEX('Disaggregation Records'!$F$156:$F$517,MATCH(RIGHT(L1171,255),RIGHT('Disaggregation Records'!$D$156:$D$517,255),0))="","",INDEX('Disaggregation Records'!$F$156:$F$517,MATCH(RIGHT(L1171,255),RIGHT('Disaggregation Records'!$D$156:$D$517,255),0))),"")</f>
        <v/>
      </c>
      <c r="O1171" s="314" t="str">
        <f t="array" aca="1" ref="O1171" ca="1">IFERROR(IF(INDEX('Disaggregation Records'!$H$156:$H$517,MATCH(RIGHT(L1171,255),RIGHT('Disaggregation Records'!$D$156:$D$517,255),0))="","",INDEX('Disaggregation Records'!$H$156:$H$517,MATCH(RIGHT(L1171,255),RIGHT('Disaggregation Records'!$D$156:$D$517,255),0))),"")</f>
        <v/>
      </c>
      <c r="P1171" s="314"/>
      <c r="Q1171" s="310">
        <f t="shared" ref="Q1171" si="1356">Q1169+1</f>
        <v>1887</v>
      </c>
      <c r="R1171" s="314" t="str" cm="1">
        <f t="array" aca="1" ref="R1171" ca="1">IFERROR(IF(INDEX('Disaggregation Records'!$G$156:$G$517,MATCH(RIGHT(L1171,255),RIGHT('Disaggregation Records'!$D$156:$D$517,255),0))="","",INDEX('Disaggregation Records'!$G$156:$G$517,MATCH(RIGHT(L1171,255),RIGHT('Disaggregation Records'!$D$156:$D$517,255),0))),"")</f>
        <v/>
      </c>
    </row>
    <row r="1172" spans="1:18" ht="20.100000000000001" customHeight="1">
      <c r="B1172" s="571"/>
      <c r="C1172" s="573"/>
      <c r="D1172" s="575"/>
      <c r="E1172" s="575"/>
      <c r="F1172" s="128"/>
      <c r="G1172" s="577"/>
      <c r="H1172" s="540"/>
      <c r="I1172" s="579"/>
      <c r="J1172" s="533"/>
      <c r="K1172" s="126"/>
      <c r="L1172" s="126"/>
      <c r="M1172" s="126"/>
      <c r="N1172" s="126"/>
      <c r="O1172" s="314"/>
      <c r="P1172" s="314"/>
      <c r="Q1172" s="310"/>
      <c r="R1172" s="314" t="str" cm="1">
        <f t="array" ref="R1172">IFERROR(IF(INDEX('Disaggregation Records'!$G$156:$G$517,MATCH(RIGHT(L1172,255),RIGHT('Disaggregation Records'!$D$156:$D$517,255),0))="","",INDEX('Disaggregation Records'!$G$156:$G$517,MATCH(RIGHT(L1172,255),RIGHT('Disaggregation Records'!$D$156:$D$517,255),0))),"")</f>
        <v/>
      </c>
    </row>
    <row r="1173" spans="1:18" ht="20.100000000000001" customHeight="1">
      <c r="A1173" s="126" t="str">
        <f t="shared" ca="1" si="1319"/>
        <v>a16Dm000000M3udIAC</v>
      </c>
      <c r="B1173" s="570">
        <v>14</v>
      </c>
      <c r="C1173" s="572" t="str">
        <f ca="1">IFERROR(VLOOKUP(B1173,'Coverage Indicators - Section D'!$A$9:$AO$94,41,FALSE),"")</f>
        <v>KP-6a Number of MSM who received any PrEP product at least once during the reporting period</v>
      </c>
      <c r="D1173" s="574" t="str">
        <f ca="1">M1173</f>
        <v/>
      </c>
      <c r="E1173" s="574" t="str">
        <f ca="1">N1173</f>
        <v/>
      </c>
      <c r="F1173" s="127"/>
      <c r="G1173" s="576" t="str">
        <f ca="1">IF(OR(INDIRECT("'update Helper'!E"&amp;Q1173)="",F1173&lt;&gt;0,F1174&lt;&gt;0),IF(IFERROR((F1173/F1174),"")="","",(F1173/F1174)),INDIRECT("'update Helper'!E"&amp;Q1173)/100)</f>
        <v/>
      </c>
      <c r="H1173" s="539"/>
      <c r="I1173" s="578"/>
      <c r="J1173" s="532"/>
      <c r="K1173" s="126">
        <f ca="1">IF(AND(EXACT(C1173,C1171),C1171&lt;&gt;0),K1171+1,0)</f>
        <v>16</v>
      </c>
      <c r="L1173" s="126" t="str">
        <f t="shared" ref="L1173" ca="1" si="1357">IF(C1173&lt;&gt;"",C1173&amp;"-"&amp;K1173,"")</f>
        <v>KP-6a Number of MSM who received any PrEP product at least once during the reporting period-16</v>
      </c>
      <c r="M1173" s="126" t="str">
        <f t="array" aca="1" ref="M1173" ca="1">IFERROR(IF(INDEX('Disaggregation Records'!$E$156:$E$517,MATCH(RIGHT(L1173,255),RIGHT('Disaggregation Records'!$D$156:$D$517,255),0))="","",INDEX('Disaggregation Records'!$E$156:$E$517,MATCH(RIGHT(L1173,255),RIGHT('Disaggregation Records'!$D$156:$D$517,255),0))),"")</f>
        <v/>
      </c>
      <c r="N1173" s="126" t="str">
        <f t="array" aca="1" ref="N1173" ca="1">IFERROR(IF(INDEX('Disaggregation Records'!$F$156:$F$517,MATCH(RIGHT(L1173,255),RIGHT('Disaggregation Records'!$D$156:$D$517,255),0))="","",INDEX('Disaggregation Records'!$F$156:$F$517,MATCH(RIGHT(L1173,255),RIGHT('Disaggregation Records'!$D$156:$D$517,255),0))),"")</f>
        <v/>
      </c>
      <c r="O1173" s="314" t="str">
        <f t="array" aca="1" ref="O1173" ca="1">IFERROR(IF(INDEX('Disaggregation Records'!$H$156:$H$517,MATCH(RIGHT(L1173,255),RIGHT('Disaggregation Records'!$D$156:$D$517,255),0))="","",INDEX('Disaggregation Records'!$H$156:$H$517,MATCH(RIGHT(L1173,255),RIGHT('Disaggregation Records'!$D$156:$D$517,255),0))),"")</f>
        <v/>
      </c>
      <c r="P1173" s="314"/>
      <c r="Q1173" s="310">
        <f t="shared" ref="Q1173" si="1358">Q1171+1</f>
        <v>1888</v>
      </c>
      <c r="R1173" s="314" t="str" cm="1">
        <f t="array" aca="1" ref="R1173" ca="1">IFERROR(IF(INDEX('Disaggregation Records'!$G$156:$G$517,MATCH(RIGHT(L1173,255),RIGHT('Disaggregation Records'!$D$156:$D$517,255),0))="","",INDEX('Disaggregation Records'!$G$156:$G$517,MATCH(RIGHT(L1173,255),RIGHT('Disaggregation Records'!$D$156:$D$517,255),0))),"")</f>
        <v/>
      </c>
    </row>
    <row r="1174" spans="1:18" ht="20.100000000000001" customHeight="1">
      <c r="A1174" s="126"/>
      <c r="B1174" s="571"/>
      <c r="C1174" s="573"/>
      <c r="D1174" s="575"/>
      <c r="E1174" s="575"/>
      <c r="F1174" s="128"/>
      <c r="G1174" s="577"/>
      <c r="H1174" s="540"/>
      <c r="I1174" s="579"/>
      <c r="J1174" s="533"/>
      <c r="K1174" s="126"/>
      <c r="L1174" s="126"/>
      <c r="M1174" s="126"/>
      <c r="N1174" s="126"/>
      <c r="O1174" s="314"/>
      <c r="P1174" s="314"/>
      <c r="Q1174" s="310"/>
      <c r="R1174" s="314" t="str" cm="1">
        <f t="array" ref="R1174">IFERROR(IF(INDEX('Disaggregation Records'!$G$156:$G$517,MATCH(RIGHT(L1174,255),RIGHT('Disaggregation Records'!$D$156:$D$517,255),0))="","",INDEX('Disaggregation Records'!$G$156:$G$517,MATCH(RIGHT(L1174,255),RIGHT('Disaggregation Records'!$D$156:$D$517,255),0))),"")</f>
        <v/>
      </c>
    </row>
    <row r="1175" spans="1:18" ht="20.100000000000001" customHeight="1">
      <c r="A1175" s="126" t="str">
        <f t="shared" ca="1" si="1322"/>
        <v>a16Dm000000M3ueIAC</v>
      </c>
      <c r="B1175" s="570">
        <v>14</v>
      </c>
      <c r="C1175" s="572" t="str">
        <f ca="1">IFERROR(VLOOKUP(B1175,'Coverage Indicators - Section D'!$A$9:$AO$94,41,FALSE),"")</f>
        <v>KP-6a Number of MSM who received any PrEP product at least once during the reporting period</v>
      </c>
      <c r="D1175" s="574" t="str">
        <f ca="1">M1175</f>
        <v/>
      </c>
      <c r="E1175" s="574" t="str">
        <f ca="1">N1175</f>
        <v/>
      </c>
      <c r="F1175" s="127"/>
      <c r="G1175" s="576" t="str">
        <f ca="1">IF(OR(INDIRECT("'update Helper'!E"&amp;Q1175)="",F1175&lt;&gt;0,F1176&lt;&gt;0),IF(IFERROR((F1175/F1176),"")="","",(F1175/F1176)),INDIRECT("'update Helper'!E"&amp;Q1175)/100)</f>
        <v/>
      </c>
      <c r="H1175" s="539"/>
      <c r="I1175" s="578"/>
      <c r="J1175" s="532"/>
      <c r="K1175" s="126">
        <f ca="1">IF(AND(EXACT(C1175,C1173),C1173&lt;&gt;0),K1173+1,0)</f>
        <v>17</v>
      </c>
      <c r="L1175" s="126" t="str">
        <f t="shared" ref="L1175" ca="1" si="1359">IF(C1175&lt;&gt;"",C1175&amp;"-"&amp;K1175,"")</f>
        <v>KP-6a Number of MSM who received any PrEP product at least once during the reporting period-17</v>
      </c>
      <c r="M1175" s="126" t="str">
        <f t="array" aca="1" ref="M1175" ca="1">IFERROR(IF(INDEX('Disaggregation Records'!$E$156:$E$517,MATCH(RIGHT(L1175,255),RIGHT('Disaggregation Records'!$D$156:$D$517,255),0))="","",INDEX('Disaggregation Records'!$E$156:$E$517,MATCH(RIGHT(L1175,255),RIGHT('Disaggregation Records'!$D$156:$D$517,255),0))),"")</f>
        <v/>
      </c>
      <c r="N1175" s="126" t="str">
        <f t="array" aca="1" ref="N1175" ca="1">IFERROR(IF(INDEX('Disaggregation Records'!$F$156:$F$517,MATCH(RIGHT(L1175,255),RIGHT('Disaggregation Records'!$D$156:$D$517,255),0))="","",INDEX('Disaggregation Records'!$F$156:$F$517,MATCH(RIGHT(L1175,255),RIGHT('Disaggregation Records'!$D$156:$D$517,255),0))),"")</f>
        <v/>
      </c>
      <c r="O1175" s="314" t="str">
        <f t="array" aca="1" ref="O1175" ca="1">IFERROR(IF(INDEX('Disaggregation Records'!$H$156:$H$517,MATCH(RIGHT(L1175,255),RIGHT('Disaggregation Records'!$D$156:$D$517,255),0))="","",INDEX('Disaggregation Records'!$H$156:$H$517,MATCH(RIGHT(L1175,255),RIGHT('Disaggregation Records'!$D$156:$D$517,255),0))),"")</f>
        <v/>
      </c>
      <c r="P1175" s="310"/>
      <c r="Q1175" s="310">
        <f t="shared" ref="Q1175" si="1360">Q1173+1</f>
        <v>1889</v>
      </c>
      <c r="R1175" s="314" t="str" cm="1">
        <f t="array" aca="1" ref="R1175" ca="1">IFERROR(IF(INDEX('Disaggregation Records'!$G$156:$G$517,MATCH(RIGHT(L1175,255),RIGHT('Disaggregation Records'!$D$156:$D$517,255),0))="","",INDEX('Disaggregation Records'!$G$156:$G$517,MATCH(RIGHT(L1175,255),RIGHT('Disaggregation Records'!$D$156:$D$517,255),0))),"")</f>
        <v/>
      </c>
    </row>
    <row r="1176" spans="1:18" ht="20.100000000000001" customHeight="1">
      <c r="B1176" s="571"/>
      <c r="C1176" s="573"/>
      <c r="D1176" s="575"/>
      <c r="E1176" s="575"/>
      <c r="F1176" s="128"/>
      <c r="G1176" s="577"/>
      <c r="H1176" s="540"/>
      <c r="I1176" s="579"/>
      <c r="J1176" s="533"/>
      <c r="L1176" s="126"/>
      <c r="N1176" s="126"/>
      <c r="O1176" s="314"/>
      <c r="P1176" s="310"/>
      <c r="Q1176" s="310"/>
      <c r="R1176" s="314" t="str" cm="1">
        <f t="array" ref="R1176">IFERROR(IF(INDEX('Disaggregation Records'!$G$156:$G$517,MATCH(RIGHT(L1176,255),RIGHT('Disaggregation Records'!$D$156:$D$517,255),0))="","",INDEX('Disaggregation Records'!$G$156:$G$517,MATCH(RIGHT(L1176,255),RIGHT('Disaggregation Records'!$D$156:$D$517,255),0))),"")</f>
        <v/>
      </c>
    </row>
    <row r="1177" spans="1:18" ht="20.100000000000001" customHeight="1">
      <c r="A1177" s="126" t="str">
        <f t="shared" ca="1" si="1319"/>
        <v>a16Dm000000M3ufIAC</v>
      </c>
      <c r="B1177" s="570">
        <v>14</v>
      </c>
      <c r="C1177" s="572" t="str">
        <f ca="1">IFERROR(VLOOKUP(B1177,'Coverage Indicators - Section D'!$A$9:$AO$94,41,FALSE),"")</f>
        <v>KP-6a Number of MSM who received any PrEP product at least once during the reporting period</v>
      </c>
      <c r="D1177" s="574" t="str">
        <f ca="1">M1177</f>
        <v/>
      </c>
      <c r="E1177" s="574" t="str">
        <f ca="1">N1177</f>
        <v/>
      </c>
      <c r="F1177" s="127"/>
      <c r="G1177" s="576" t="str">
        <f ca="1">IF(OR(INDIRECT("'update Helper'!E"&amp;Q1177)="",F1177&lt;&gt;0,F1178&lt;&gt;0),IF(IFERROR((F1177/F1178),"")="","",(F1177/F1178)),INDIRECT("'update Helper'!E"&amp;Q1177)/100)</f>
        <v/>
      </c>
      <c r="H1177" s="539"/>
      <c r="I1177" s="578"/>
      <c r="J1177" s="532"/>
      <c r="K1177" s="126">
        <f ca="1">IF(AND(EXACT(C1177,C1175),C1175&lt;&gt;0),K1175+1,0)</f>
        <v>18</v>
      </c>
      <c r="L1177" s="126" t="str">
        <f t="shared" ref="L1177" ca="1" si="1361">IF(C1177&lt;&gt;"",C1177&amp;"-"&amp;K1177,"")</f>
        <v>KP-6a Number of MSM who received any PrEP product at least once during the reporting period-18</v>
      </c>
      <c r="M1177" s="126" t="str">
        <f t="array" aca="1" ref="M1177" ca="1">IFERROR(IF(INDEX('Disaggregation Records'!$E$156:$E$517,MATCH(RIGHT(L1177,255),RIGHT('Disaggregation Records'!$D$156:$D$517,255),0))="","",INDEX('Disaggregation Records'!$E$156:$E$517,MATCH(RIGHT(L1177,255),RIGHT('Disaggregation Records'!$D$156:$D$517,255),0))),"")</f>
        <v/>
      </c>
      <c r="N1177" s="126" t="str">
        <f t="array" aca="1" ref="N1177" ca="1">IFERROR(IF(INDEX('Disaggregation Records'!$F$156:$F$517,MATCH(RIGHT(L1177,255),RIGHT('Disaggregation Records'!$D$156:$D$517,255),0))="","",INDEX('Disaggregation Records'!$F$156:$F$517,MATCH(RIGHT(L1177,255),RIGHT('Disaggregation Records'!$D$156:$D$517,255),0))),"")</f>
        <v/>
      </c>
      <c r="O1177" s="314" t="str">
        <f t="array" aca="1" ref="O1177" ca="1">IFERROR(IF(INDEX('Disaggregation Records'!$H$156:$H$517,MATCH(RIGHT(L1177,255),RIGHT('Disaggregation Records'!$D$156:$D$517,255),0))="","",INDEX('Disaggregation Records'!$H$156:$H$517,MATCH(RIGHT(L1177,255),RIGHT('Disaggregation Records'!$D$156:$D$517,255),0))),"")</f>
        <v/>
      </c>
      <c r="P1177" s="310"/>
      <c r="Q1177" s="310">
        <f t="shared" ref="Q1177" si="1362">Q1175+1</f>
        <v>1890</v>
      </c>
      <c r="R1177" s="314" t="str" cm="1">
        <f t="array" aca="1" ref="R1177" ca="1">IFERROR(IF(INDEX('Disaggregation Records'!$G$156:$G$517,MATCH(RIGHT(L1177,255),RIGHT('Disaggregation Records'!$D$156:$D$517,255),0))="","",INDEX('Disaggregation Records'!$G$156:$G$517,MATCH(RIGHT(L1177,255),RIGHT('Disaggregation Records'!$D$156:$D$517,255),0))),"")</f>
        <v/>
      </c>
    </row>
    <row r="1178" spans="1:18" ht="20.100000000000001" customHeight="1">
      <c r="A1178" s="126"/>
      <c r="B1178" s="571"/>
      <c r="C1178" s="573"/>
      <c r="D1178" s="575"/>
      <c r="E1178" s="575"/>
      <c r="F1178" s="128"/>
      <c r="G1178" s="577"/>
      <c r="H1178" s="540"/>
      <c r="I1178" s="579"/>
      <c r="J1178" s="533"/>
      <c r="L1178" s="126"/>
      <c r="N1178" s="126"/>
      <c r="O1178" s="314"/>
      <c r="P1178" s="310"/>
      <c r="Q1178" s="310"/>
      <c r="R1178" s="314" t="str" cm="1">
        <f t="array" ref="R1178">IFERROR(IF(INDEX('Disaggregation Records'!$G$156:$G$517,MATCH(RIGHT(L1178,255),RIGHT('Disaggregation Records'!$D$156:$D$517,255),0))="","",INDEX('Disaggregation Records'!$G$156:$G$517,MATCH(RIGHT(L1178,255),RIGHT('Disaggregation Records'!$D$156:$D$517,255),0))),"")</f>
        <v/>
      </c>
    </row>
    <row r="1179" spans="1:18" ht="20.100000000000001" customHeight="1">
      <c r="A1179" s="126" t="str">
        <f t="shared" ca="1" si="1322"/>
        <v>a16Dm000000M3ugIAC</v>
      </c>
      <c r="B1179" s="570">
        <v>14</v>
      </c>
      <c r="C1179" s="572" t="str">
        <f ca="1">IFERROR(VLOOKUP(B1179,'Coverage Indicators - Section D'!$A$9:$AO$94,41,FALSE),"")</f>
        <v>KP-6a Number of MSM who received any PrEP product at least once during the reporting period</v>
      </c>
      <c r="D1179" s="574" t="str">
        <f ca="1">M1179</f>
        <v/>
      </c>
      <c r="E1179" s="574" t="str">
        <f ca="1">N1179</f>
        <v/>
      </c>
      <c r="F1179" s="127"/>
      <c r="G1179" s="576" t="str">
        <f ca="1">IF(OR(INDIRECT("'update Helper'!E"&amp;Q1179)="",F1179&lt;&gt;0,F1180&lt;&gt;0),IF(IFERROR((F1179/F1180),"")="","",(F1179/F1180)),INDIRECT("'update Helper'!E"&amp;Q1179)/100)</f>
        <v/>
      </c>
      <c r="H1179" s="539"/>
      <c r="I1179" s="578"/>
      <c r="J1179" s="532"/>
      <c r="K1179" s="126">
        <f ca="1">IF(AND(EXACT(C1179,C1177),C1177&lt;&gt;0),K1177+1,0)</f>
        <v>19</v>
      </c>
      <c r="L1179" s="126" t="str">
        <f t="shared" ref="L1179" ca="1" si="1363">IF(C1179&lt;&gt;"",C1179&amp;"-"&amp;K1179,"")</f>
        <v>KP-6a Number of MSM who received any PrEP product at least once during the reporting period-19</v>
      </c>
      <c r="M1179" s="126" t="str">
        <f t="array" aca="1" ref="M1179" ca="1">IFERROR(IF(INDEX('Disaggregation Records'!$E$156:$E$517,MATCH(RIGHT(L1179,255),RIGHT('Disaggregation Records'!$D$156:$D$517,255),0))="","",INDEX('Disaggregation Records'!$E$156:$E$517,MATCH(RIGHT(L1179,255),RIGHT('Disaggregation Records'!$D$156:$D$517,255),0))),"")</f>
        <v/>
      </c>
      <c r="N1179" s="126" t="str">
        <f t="array" aca="1" ref="N1179" ca="1">IFERROR(IF(INDEX('Disaggregation Records'!$F$156:$F$517,MATCH(RIGHT(L1179,255),RIGHT('Disaggregation Records'!$D$156:$D$517,255),0))="","",INDEX('Disaggregation Records'!$F$156:$F$517,MATCH(RIGHT(L1179,255),RIGHT('Disaggregation Records'!$D$156:$D$517,255),0))),"")</f>
        <v/>
      </c>
      <c r="O1179" s="314" t="str">
        <f t="array" aca="1" ref="O1179" ca="1">IFERROR(IF(INDEX('Disaggregation Records'!$H$156:$H$517,MATCH(RIGHT(L1179,255),RIGHT('Disaggregation Records'!$D$156:$D$517,255),0))="","",INDEX('Disaggregation Records'!$H$156:$H$517,MATCH(RIGHT(L1179,255),RIGHT('Disaggregation Records'!$D$156:$D$517,255),0))),"")</f>
        <v/>
      </c>
      <c r="P1179" s="310"/>
      <c r="Q1179" s="310">
        <f t="shared" ref="Q1179" si="1364">Q1177+1</f>
        <v>1891</v>
      </c>
      <c r="R1179" s="314" t="str" cm="1">
        <f t="array" aca="1" ref="R1179" ca="1">IFERROR(IF(INDEX('Disaggregation Records'!$G$156:$G$517,MATCH(RIGHT(L1179,255),RIGHT('Disaggregation Records'!$D$156:$D$517,255),0))="","",INDEX('Disaggregation Records'!$G$156:$G$517,MATCH(RIGHT(L1179,255),RIGHT('Disaggregation Records'!$D$156:$D$517,255),0))),"")</f>
        <v/>
      </c>
    </row>
    <row r="1180" spans="1:18" ht="20.100000000000001" customHeight="1">
      <c r="B1180" s="571"/>
      <c r="C1180" s="573"/>
      <c r="D1180" s="575"/>
      <c r="E1180" s="575"/>
      <c r="F1180" s="128"/>
      <c r="G1180" s="577"/>
      <c r="H1180" s="540"/>
      <c r="I1180" s="579"/>
      <c r="J1180" s="533"/>
      <c r="L1180" s="126"/>
      <c r="N1180" s="126"/>
      <c r="O1180" s="314"/>
      <c r="P1180" s="310"/>
      <c r="Q1180" s="310"/>
      <c r="R1180" s="314" t="str" cm="1">
        <f t="array" ref="R1180">IFERROR(IF(INDEX('Disaggregation Records'!$G$156:$G$517,MATCH(RIGHT(L1180,255),RIGHT('Disaggregation Records'!$D$156:$D$517,255),0))="","",INDEX('Disaggregation Records'!$G$156:$G$517,MATCH(RIGHT(L1180,255),RIGHT('Disaggregation Records'!$D$156:$D$517,255),0))),"")</f>
        <v/>
      </c>
    </row>
    <row r="1181" spans="1:18" ht="20.100000000000001" customHeight="1">
      <c r="A1181" s="126" t="str">
        <f t="shared" ca="1" si="1319"/>
        <v>a16Dm000000M3uhIAC</v>
      </c>
      <c r="B1181" s="570">
        <v>15</v>
      </c>
      <c r="C1181" s="572" t="str">
        <f ca="1">IFERROR(VLOOKUP(B1181,'Coverage Indicators - Section D'!$A$9:$AO$94,41,FALSE),"")</f>
        <v>KP-1c Percentage of sex workers reached with HIV prevention programs - defined package of services</v>
      </c>
      <c r="D1181" s="574" t="str">
        <f ca="1">M1181</f>
        <v>Age</v>
      </c>
      <c r="E1181" s="574" t="str">
        <f ca="1">N1181</f>
        <v>25+</v>
      </c>
      <c r="F1181" s="127"/>
      <c r="G1181" s="576" t="str">
        <f ca="1">IF(OR(INDIRECT("'update Helper'!E"&amp;Q1181)="",F1181&lt;&gt;0,F1182&lt;&gt;0),IF(IFERROR((F1181/F1182),"")="","",(F1181/F1182)),INDIRECT("'update Helper'!E"&amp;Q1181)/100)</f>
        <v/>
      </c>
      <c r="H1181" s="539"/>
      <c r="I1181" s="578"/>
      <c r="J1181" s="532" t="s">
        <v>2301</v>
      </c>
      <c r="K1181" s="126">
        <f ca="1">IF(AND(EXACT(C1181,C1179),C1179&lt;&gt;0),K1179+1,0)</f>
        <v>0</v>
      </c>
      <c r="L1181" s="126" t="str">
        <f t="shared" ref="L1181" ca="1" si="1365">IF(C1181&lt;&gt;"",C1181&amp;"-"&amp;K1181,"")</f>
        <v>KP-1c Percentage of sex workers reached with HIV prevention programs - defined package of services-0</v>
      </c>
      <c r="M1181" s="126" t="str">
        <f t="array" aca="1" ref="M1181" ca="1">IFERROR(IF(INDEX('Disaggregation Records'!$E$156:$E$517,MATCH(RIGHT(L1181,255),RIGHT('Disaggregation Records'!$D$156:$D$517,255),0))="","",INDEX('Disaggregation Records'!$E$156:$E$517,MATCH(RIGHT(L1181,255),RIGHT('Disaggregation Records'!$D$156:$D$517,255),0))),"")</f>
        <v>Age</v>
      </c>
      <c r="N1181" s="126" t="str">
        <f t="array" aca="1" ref="N1181" ca="1">IFERROR(IF(INDEX('Disaggregation Records'!$F$156:$F$517,MATCH(RIGHT(L1181,255),RIGHT('Disaggregation Records'!$D$156:$D$517,255),0))="","",INDEX('Disaggregation Records'!$F$156:$F$517,MATCH(RIGHT(L1181,255),RIGHT('Disaggregation Records'!$D$156:$D$517,255),0))),"")</f>
        <v>25+</v>
      </c>
      <c r="O1181" s="314" t="str">
        <f t="array" aca="1" ref="O1181" ca="1">IFERROR(IF(INDEX('Disaggregation Records'!$H$156:$H$517,MATCH(RIGHT(L1181,255),RIGHT('Disaggregation Records'!$D$156:$D$517,255),0))="","",INDEX('Disaggregation Records'!$H$156:$H$517,MATCH(RIGHT(L1181,255),RIGHT('Disaggregation Records'!$D$156:$D$517,255),0))),"")</f>
        <v>IDR-01202</v>
      </c>
      <c r="P1181" s="314"/>
      <c r="Q1181" s="310">
        <f t="shared" ref="Q1181" si="1366">Q1179+1</f>
        <v>1892</v>
      </c>
      <c r="R1181" s="314" t="str" cm="1">
        <f t="array" aca="1" ref="R1181" ca="1">IFERROR(IF(INDEX('Disaggregation Records'!$G$156:$G$517,MATCH(RIGHT(L1181,255),RIGHT('Disaggregation Records'!$D$156:$D$517,255),0))="","",INDEX('Disaggregation Records'!$G$156:$G$517,MATCH(RIGHT(L1181,255),RIGHT('Disaggregation Records'!$D$156:$D$517,255),0))),"")</f>
        <v>a1LDm000000Cb28MAC</v>
      </c>
    </row>
    <row r="1182" spans="1:18" ht="20.100000000000001" customHeight="1">
      <c r="A1182" s="126"/>
      <c r="B1182" s="571"/>
      <c r="C1182" s="573"/>
      <c r="D1182" s="575"/>
      <c r="E1182" s="575"/>
      <c r="F1182" s="128"/>
      <c r="G1182" s="577"/>
      <c r="H1182" s="540"/>
      <c r="I1182" s="579"/>
      <c r="J1182" s="533"/>
      <c r="K1182" s="126"/>
      <c r="L1182" s="126"/>
      <c r="M1182" s="126"/>
      <c r="N1182" s="126"/>
      <c r="O1182" s="314"/>
      <c r="P1182" s="314"/>
      <c r="Q1182" s="310"/>
      <c r="R1182" s="314" t="str" cm="1">
        <f t="array" ref="R1182">IFERROR(IF(INDEX('Disaggregation Records'!$G$156:$G$517,MATCH(RIGHT(L1182,255),RIGHT('Disaggregation Records'!$D$156:$D$517,255),0))="","",INDEX('Disaggregation Records'!$G$156:$G$517,MATCH(RIGHT(L1182,255),RIGHT('Disaggregation Records'!$D$156:$D$517,255),0))),"")</f>
        <v/>
      </c>
    </row>
    <row r="1183" spans="1:18" ht="20.100000000000001" customHeight="1">
      <c r="A1183" s="126" t="str">
        <f t="shared" ca="1" si="1322"/>
        <v>a16Dm000000M3uiIAC</v>
      </c>
      <c r="B1183" s="570">
        <v>15</v>
      </c>
      <c r="C1183" s="572" t="str">
        <f ca="1">IFERROR(VLOOKUP(B1183,'Coverage Indicators - Section D'!$A$9:$AO$94,41,FALSE),"")</f>
        <v>KP-1c Percentage of sex workers reached with HIV prevention programs - defined package of services</v>
      </c>
      <c r="D1183" s="574" t="str">
        <f ca="1">M1183</f>
        <v>Age</v>
      </c>
      <c r="E1183" s="574" t="str">
        <f ca="1">N1183</f>
        <v>20-24</v>
      </c>
      <c r="F1183" s="127"/>
      <c r="G1183" s="576" t="str">
        <f ca="1">IF(OR(INDIRECT("'update Helper'!E"&amp;Q1183)="",F1183&lt;&gt;0,F1184&lt;&gt;0),IF(IFERROR((F1183/F1184),"")="","",(F1183/F1184)),INDIRECT("'update Helper'!E"&amp;Q1183)/100)</f>
        <v/>
      </c>
      <c r="H1183" s="539"/>
      <c r="I1183" s="578"/>
      <c r="J1183" s="532" t="s">
        <v>2301</v>
      </c>
      <c r="K1183" s="126">
        <f ca="1">IF(AND(EXACT(C1183,C1181),C1181&lt;&gt;0),K1181+1,0)</f>
        <v>1</v>
      </c>
      <c r="L1183" s="126" t="str">
        <f t="shared" ref="L1183" ca="1" si="1367">IF(C1183&lt;&gt;"",C1183&amp;"-"&amp;K1183,"")</f>
        <v>KP-1c Percentage of sex workers reached with HIV prevention programs - defined package of services-1</v>
      </c>
      <c r="M1183" s="126" t="str">
        <f t="array" aca="1" ref="M1183" ca="1">IFERROR(IF(INDEX('Disaggregation Records'!$E$156:$E$517,MATCH(RIGHT(L1183,255),RIGHT('Disaggregation Records'!$D$156:$D$517,255),0))="","",INDEX('Disaggregation Records'!$E$156:$E$517,MATCH(RIGHT(L1183,255),RIGHT('Disaggregation Records'!$D$156:$D$517,255),0))),"")</f>
        <v>Age</v>
      </c>
      <c r="N1183" s="126" t="str">
        <f t="array" aca="1" ref="N1183" ca="1">IFERROR(IF(INDEX('Disaggregation Records'!$F$156:$F$517,MATCH(RIGHT(L1183,255),RIGHT('Disaggregation Records'!$D$156:$D$517,255),0))="","",INDEX('Disaggregation Records'!$F$156:$F$517,MATCH(RIGHT(L1183,255),RIGHT('Disaggregation Records'!$D$156:$D$517,255),0))),"")</f>
        <v>20-24</v>
      </c>
      <c r="O1183" s="314" t="str">
        <f t="array" aca="1" ref="O1183" ca="1">IFERROR(IF(INDEX('Disaggregation Records'!$H$156:$H$517,MATCH(RIGHT(L1183,255),RIGHT('Disaggregation Records'!$D$156:$D$517,255),0))="","",INDEX('Disaggregation Records'!$H$156:$H$517,MATCH(RIGHT(L1183,255),RIGHT('Disaggregation Records'!$D$156:$D$517,255),0))),"")</f>
        <v>IDR-01201</v>
      </c>
      <c r="P1183" s="314"/>
      <c r="Q1183" s="310">
        <f t="shared" ref="Q1183" si="1368">Q1181+1</f>
        <v>1893</v>
      </c>
      <c r="R1183" s="314" t="str" cm="1">
        <f t="array" aca="1" ref="R1183" ca="1">IFERROR(IF(INDEX('Disaggregation Records'!$G$156:$G$517,MATCH(RIGHT(L1183,255),RIGHT('Disaggregation Records'!$D$156:$D$517,255),0))="","",INDEX('Disaggregation Records'!$G$156:$G$517,MATCH(RIGHT(L1183,255),RIGHT('Disaggregation Records'!$D$156:$D$517,255),0))),"")</f>
        <v>a1LDm000000Cb27MAC</v>
      </c>
    </row>
    <row r="1184" spans="1:18" ht="20.100000000000001" customHeight="1">
      <c r="B1184" s="571"/>
      <c r="C1184" s="573"/>
      <c r="D1184" s="575"/>
      <c r="E1184" s="575"/>
      <c r="F1184" s="128"/>
      <c r="G1184" s="577"/>
      <c r="H1184" s="540"/>
      <c r="I1184" s="579"/>
      <c r="J1184" s="533"/>
      <c r="K1184" s="126"/>
      <c r="L1184" s="126"/>
      <c r="M1184" s="126"/>
      <c r="N1184" s="126"/>
      <c r="O1184" s="314"/>
      <c r="P1184" s="314"/>
      <c r="Q1184" s="310"/>
      <c r="R1184" s="314" t="str" cm="1">
        <f t="array" ref="R1184">IFERROR(IF(INDEX('Disaggregation Records'!$G$156:$G$517,MATCH(RIGHT(L1184,255),RIGHT('Disaggregation Records'!$D$156:$D$517,255),0))="","",INDEX('Disaggregation Records'!$G$156:$G$517,MATCH(RIGHT(L1184,255),RIGHT('Disaggregation Records'!$D$156:$D$517,255),0))),"")</f>
        <v/>
      </c>
    </row>
    <row r="1185" spans="1:18" ht="20.100000000000001" customHeight="1">
      <c r="A1185" s="126" t="str">
        <f t="shared" ca="1" si="1319"/>
        <v>a16Dm000000M3ujIAC</v>
      </c>
      <c r="B1185" s="570">
        <v>15</v>
      </c>
      <c r="C1185" s="572" t="str">
        <f ca="1">IFERROR(VLOOKUP(B1185,'Coverage Indicators - Section D'!$A$9:$AO$94,41,FALSE),"")</f>
        <v>KP-1c Percentage of sex workers reached with HIV prevention programs - defined package of services</v>
      </c>
      <c r="D1185" s="574" t="str">
        <f ca="1">M1185</f>
        <v>Age</v>
      </c>
      <c r="E1185" s="574" t="str">
        <f ca="1">N1185</f>
        <v>15-19</v>
      </c>
      <c r="F1185" s="127"/>
      <c r="G1185" s="576" t="str">
        <f ca="1">IF(OR(INDIRECT("'update Helper'!E"&amp;Q1185)="",F1185&lt;&gt;0,F1186&lt;&gt;0),IF(IFERROR((F1185/F1186),"")="","",(F1185/F1186)),INDIRECT("'update Helper'!E"&amp;Q1185)/100)</f>
        <v/>
      </c>
      <c r="H1185" s="539"/>
      <c r="I1185" s="578"/>
      <c r="J1185" s="532" t="s">
        <v>2301</v>
      </c>
      <c r="K1185" s="126">
        <f ca="1">IF(AND(EXACT(C1185,C1183),C1183&lt;&gt;0),K1183+1,0)</f>
        <v>2</v>
      </c>
      <c r="L1185" s="126" t="str">
        <f t="shared" ref="L1185" ca="1" si="1369">IF(C1185&lt;&gt;"",C1185&amp;"-"&amp;K1185,"")</f>
        <v>KP-1c Percentage of sex workers reached with HIV prevention programs - defined package of services-2</v>
      </c>
      <c r="M1185" s="126" t="str">
        <f t="array" aca="1" ref="M1185" ca="1">IFERROR(IF(INDEX('Disaggregation Records'!$E$156:$E$517,MATCH(RIGHT(L1185,255),RIGHT('Disaggregation Records'!$D$156:$D$517,255),0))="","",INDEX('Disaggregation Records'!$E$156:$E$517,MATCH(RIGHT(L1185,255),RIGHT('Disaggregation Records'!$D$156:$D$517,255),0))),"")</f>
        <v>Age</v>
      </c>
      <c r="N1185" s="126" t="str">
        <f t="array" aca="1" ref="N1185" ca="1">IFERROR(IF(INDEX('Disaggregation Records'!$F$156:$F$517,MATCH(RIGHT(L1185,255),RIGHT('Disaggregation Records'!$D$156:$D$517,255),0))="","",INDEX('Disaggregation Records'!$F$156:$F$517,MATCH(RIGHT(L1185,255),RIGHT('Disaggregation Records'!$D$156:$D$517,255),0))),"")</f>
        <v>15-19</v>
      </c>
      <c r="O1185" s="314" t="str">
        <f t="array" aca="1" ref="O1185" ca="1">IFERROR(IF(INDEX('Disaggregation Records'!$H$156:$H$517,MATCH(RIGHT(L1185,255),RIGHT('Disaggregation Records'!$D$156:$D$517,255),0))="","",INDEX('Disaggregation Records'!$H$156:$H$517,MATCH(RIGHT(L1185,255),RIGHT('Disaggregation Records'!$D$156:$D$517,255),0))),"")</f>
        <v>IDR-01200</v>
      </c>
      <c r="P1185" s="310"/>
      <c r="Q1185" s="310">
        <f t="shared" ref="Q1185" si="1370">Q1183+1</f>
        <v>1894</v>
      </c>
      <c r="R1185" s="314" t="str" cm="1">
        <f t="array" aca="1" ref="R1185" ca="1">IFERROR(IF(INDEX('Disaggregation Records'!$G$156:$G$517,MATCH(RIGHT(L1185,255),RIGHT('Disaggregation Records'!$D$156:$D$517,255),0))="","",INDEX('Disaggregation Records'!$G$156:$G$517,MATCH(RIGHT(L1185,255),RIGHT('Disaggregation Records'!$D$156:$D$517,255),0))),"")</f>
        <v>a1LDm000000Cb26MAC</v>
      </c>
    </row>
    <row r="1186" spans="1:18" ht="20.100000000000001" customHeight="1">
      <c r="A1186" s="126"/>
      <c r="B1186" s="571"/>
      <c r="C1186" s="573"/>
      <c r="D1186" s="575"/>
      <c r="E1186" s="575"/>
      <c r="F1186" s="128"/>
      <c r="G1186" s="577"/>
      <c r="H1186" s="540"/>
      <c r="I1186" s="579"/>
      <c r="J1186" s="533"/>
      <c r="L1186" s="126"/>
      <c r="N1186" s="126"/>
      <c r="O1186" s="314"/>
      <c r="P1186" s="310"/>
      <c r="Q1186" s="310"/>
      <c r="R1186" s="314" t="str" cm="1">
        <f t="array" ref="R1186">IFERROR(IF(INDEX('Disaggregation Records'!$G$156:$G$517,MATCH(RIGHT(L1186,255),RIGHT('Disaggregation Records'!$D$156:$D$517,255),0))="","",INDEX('Disaggregation Records'!$G$156:$G$517,MATCH(RIGHT(L1186,255),RIGHT('Disaggregation Records'!$D$156:$D$517,255),0))),"")</f>
        <v/>
      </c>
    </row>
    <row r="1187" spans="1:18" ht="20.100000000000001" customHeight="1">
      <c r="A1187" s="126" t="str">
        <f t="shared" ca="1" si="1322"/>
        <v>a16Dm000000M3ukIAC</v>
      </c>
      <c r="B1187" s="570">
        <v>15</v>
      </c>
      <c r="C1187" s="572" t="str">
        <f ca="1">IFERROR(VLOOKUP(B1187,'Coverage Indicators - Section D'!$A$9:$AO$94,41,FALSE),"")</f>
        <v>KP-1c Percentage of sex workers reached with HIV prevention programs - defined package of services</v>
      </c>
      <c r="D1187" s="574" t="str">
        <f ca="1">M1187</f>
        <v>Gender</v>
      </c>
      <c r="E1187" s="574" t="str">
        <f ca="1">N1187</f>
        <v>Transgender</v>
      </c>
      <c r="F1187" s="127"/>
      <c r="G1187" s="576" t="str">
        <f ca="1">IF(OR(INDIRECT("'update Helper'!E"&amp;Q1187)="",F1187&lt;&gt;0,F1188&lt;&gt;0),IF(IFERROR((F1187/F1188),"")="","",(F1187/F1188)),INDIRECT("'update Helper'!E"&amp;Q1187)/100)</f>
        <v/>
      </c>
      <c r="H1187" s="539"/>
      <c r="I1187" s="578"/>
      <c r="J1187" s="532" t="s">
        <v>2301</v>
      </c>
      <c r="K1187" s="126">
        <f ca="1">IF(AND(EXACT(C1187,C1185),C1185&lt;&gt;0),K1185+1,0)</f>
        <v>3</v>
      </c>
      <c r="L1187" s="126" t="str">
        <f t="shared" ref="L1187" ca="1" si="1371">IF(C1187&lt;&gt;"",C1187&amp;"-"&amp;K1187,"")</f>
        <v>KP-1c Percentage of sex workers reached with HIV prevention programs - defined package of services-3</v>
      </c>
      <c r="M1187" s="126" t="str">
        <f t="array" aca="1" ref="M1187" ca="1">IFERROR(IF(INDEX('Disaggregation Records'!$E$156:$E$517,MATCH(RIGHT(L1187,255),RIGHT('Disaggregation Records'!$D$156:$D$517,255),0))="","",INDEX('Disaggregation Records'!$E$156:$E$517,MATCH(RIGHT(L1187,255),RIGHT('Disaggregation Records'!$D$156:$D$517,255),0))),"")</f>
        <v>Gender</v>
      </c>
      <c r="N1187" s="126" t="str">
        <f t="array" aca="1" ref="N1187" ca="1">IFERROR(IF(INDEX('Disaggregation Records'!$F$156:$F$517,MATCH(RIGHT(L1187,255),RIGHT('Disaggregation Records'!$D$156:$D$517,255),0))="","",INDEX('Disaggregation Records'!$F$156:$F$517,MATCH(RIGHT(L1187,255),RIGHT('Disaggregation Records'!$D$156:$D$517,255),0))),"")</f>
        <v>Transgender</v>
      </c>
      <c r="O1187" s="314" t="str">
        <f t="array" aca="1" ref="O1187" ca="1">IFERROR(IF(INDEX('Disaggregation Records'!$H$156:$H$517,MATCH(RIGHT(L1187,255),RIGHT('Disaggregation Records'!$D$156:$D$517,255),0))="","",INDEX('Disaggregation Records'!$H$156:$H$517,MATCH(RIGHT(L1187,255),RIGHT('Disaggregation Records'!$D$156:$D$517,255),0))),"")</f>
        <v>IDR-01199</v>
      </c>
      <c r="P1187" s="310"/>
      <c r="Q1187" s="310">
        <f t="shared" ref="Q1187" si="1372">Q1185+1</f>
        <v>1895</v>
      </c>
      <c r="R1187" s="314" t="str" cm="1">
        <f t="array" aca="1" ref="R1187" ca="1">IFERROR(IF(INDEX('Disaggregation Records'!$G$156:$G$517,MATCH(RIGHT(L1187,255),RIGHT('Disaggregation Records'!$D$156:$D$517,255),0))="","",INDEX('Disaggregation Records'!$G$156:$G$517,MATCH(RIGHT(L1187,255),RIGHT('Disaggregation Records'!$D$156:$D$517,255),0))),"")</f>
        <v>a1LDm000000Cb25MAC</v>
      </c>
    </row>
    <row r="1188" spans="1:18" ht="20.100000000000001" customHeight="1">
      <c r="B1188" s="571"/>
      <c r="C1188" s="573"/>
      <c r="D1188" s="575"/>
      <c r="E1188" s="575"/>
      <c r="F1188" s="128"/>
      <c r="G1188" s="577"/>
      <c r="H1188" s="540"/>
      <c r="I1188" s="579"/>
      <c r="J1188" s="533"/>
      <c r="L1188" s="126"/>
      <c r="N1188" s="126"/>
      <c r="O1188" s="314"/>
      <c r="P1188" s="310"/>
      <c r="Q1188" s="310"/>
      <c r="R1188" s="314" t="str" cm="1">
        <f t="array" ref="R1188">IFERROR(IF(INDEX('Disaggregation Records'!$G$156:$G$517,MATCH(RIGHT(L1188,255),RIGHT('Disaggregation Records'!$D$156:$D$517,255),0))="","",INDEX('Disaggregation Records'!$G$156:$G$517,MATCH(RIGHT(L1188,255),RIGHT('Disaggregation Records'!$D$156:$D$517,255),0))),"")</f>
        <v/>
      </c>
    </row>
    <row r="1189" spans="1:18" ht="20.100000000000001" customHeight="1">
      <c r="A1189" s="126" t="str">
        <f t="shared" ca="1" si="1319"/>
        <v>a16Dm000000M3ulIAC</v>
      </c>
      <c r="B1189" s="570">
        <v>15</v>
      </c>
      <c r="C1189" s="572" t="str">
        <f ca="1">IFERROR(VLOOKUP(B1189,'Coverage Indicators - Section D'!$A$9:$AO$94,41,FALSE),"")</f>
        <v>KP-1c Percentage of sex workers reached with HIV prevention programs - defined package of services</v>
      </c>
      <c r="D1189" s="574" t="str">
        <f ca="1">M1189</f>
        <v>Gender</v>
      </c>
      <c r="E1189" s="574" t="str">
        <f ca="1">N1189</f>
        <v>Male</v>
      </c>
      <c r="F1189" s="127"/>
      <c r="G1189" s="576" t="str">
        <f ca="1">IF(OR(INDIRECT("'update Helper'!E"&amp;Q1189)="",F1189&lt;&gt;0,F1190&lt;&gt;0),IF(IFERROR((F1189/F1190),"")="","",(F1189/F1190)),INDIRECT("'update Helper'!E"&amp;Q1189)/100)</f>
        <v/>
      </c>
      <c r="H1189" s="539"/>
      <c r="I1189" s="578"/>
      <c r="J1189" s="532" t="s">
        <v>2301</v>
      </c>
      <c r="K1189" s="126">
        <f ca="1">IF(AND(EXACT(C1189,C1187),C1187&lt;&gt;0),K1187+1,0)</f>
        <v>4</v>
      </c>
      <c r="L1189" s="126" t="str">
        <f t="shared" ref="L1189" ca="1" si="1373">IF(C1189&lt;&gt;"",C1189&amp;"-"&amp;K1189,"")</f>
        <v>KP-1c Percentage of sex workers reached with HIV prevention programs - defined package of services-4</v>
      </c>
      <c r="M1189" s="126" t="str">
        <f t="array" aca="1" ref="M1189" ca="1">IFERROR(IF(INDEX('Disaggregation Records'!$E$156:$E$517,MATCH(RIGHT(L1189,255),RIGHT('Disaggregation Records'!$D$156:$D$517,255),0))="","",INDEX('Disaggregation Records'!$E$156:$E$517,MATCH(RIGHT(L1189,255),RIGHT('Disaggregation Records'!$D$156:$D$517,255),0))),"")</f>
        <v>Gender</v>
      </c>
      <c r="N1189" s="126" t="str">
        <f t="array" aca="1" ref="N1189" ca="1">IFERROR(IF(INDEX('Disaggregation Records'!$F$156:$F$517,MATCH(RIGHT(L1189,255),RIGHT('Disaggregation Records'!$D$156:$D$517,255),0))="","",INDEX('Disaggregation Records'!$F$156:$F$517,MATCH(RIGHT(L1189,255),RIGHT('Disaggregation Records'!$D$156:$D$517,255),0))),"")</f>
        <v>Male</v>
      </c>
      <c r="O1189" s="314" t="str">
        <f t="array" aca="1" ref="O1189" ca="1">IFERROR(IF(INDEX('Disaggregation Records'!$H$156:$H$517,MATCH(RIGHT(L1189,255),RIGHT('Disaggregation Records'!$D$156:$D$517,255),0))="","",INDEX('Disaggregation Records'!$H$156:$H$517,MATCH(RIGHT(L1189,255),RIGHT('Disaggregation Records'!$D$156:$D$517,255),0))),"")</f>
        <v>IDR-01198</v>
      </c>
      <c r="P1189" s="310"/>
      <c r="Q1189" s="310">
        <f t="shared" ref="Q1189" si="1374">Q1187+1</f>
        <v>1896</v>
      </c>
      <c r="R1189" s="314" t="str" cm="1">
        <f t="array" aca="1" ref="R1189" ca="1">IFERROR(IF(INDEX('Disaggregation Records'!$G$156:$G$517,MATCH(RIGHT(L1189,255),RIGHT('Disaggregation Records'!$D$156:$D$517,255),0))="","",INDEX('Disaggregation Records'!$G$156:$G$517,MATCH(RIGHT(L1189,255),RIGHT('Disaggregation Records'!$D$156:$D$517,255),0))),"")</f>
        <v>a1LDm000000Cb24MAC</v>
      </c>
    </row>
    <row r="1190" spans="1:18" ht="20.100000000000001" customHeight="1">
      <c r="A1190" s="126"/>
      <c r="B1190" s="571"/>
      <c r="C1190" s="573"/>
      <c r="D1190" s="575"/>
      <c r="E1190" s="575"/>
      <c r="F1190" s="128"/>
      <c r="G1190" s="577"/>
      <c r="H1190" s="540"/>
      <c r="I1190" s="579"/>
      <c r="J1190" s="533"/>
      <c r="L1190" s="126"/>
      <c r="N1190" s="126"/>
      <c r="O1190" s="314"/>
      <c r="P1190" s="310"/>
      <c r="Q1190" s="310"/>
      <c r="R1190" s="314" t="str" cm="1">
        <f t="array" ref="R1190">IFERROR(IF(INDEX('Disaggregation Records'!$G$156:$G$517,MATCH(RIGHT(L1190,255),RIGHT('Disaggregation Records'!$D$156:$D$517,255),0))="","",INDEX('Disaggregation Records'!$G$156:$G$517,MATCH(RIGHT(L1190,255),RIGHT('Disaggregation Records'!$D$156:$D$517,255),0))),"")</f>
        <v/>
      </c>
    </row>
    <row r="1191" spans="1:18" ht="20.100000000000001" customHeight="1">
      <c r="A1191" s="126" t="str">
        <f t="shared" ca="1" si="1322"/>
        <v>a16Dm000000M3umIAC</v>
      </c>
      <c r="B1191" s="570">
        <v>15</v>
      </c>
      <c r="C1191" s="572" t="str">
        <f ca="1">IFERROR(VLOOKUP(B1191,'Coverage Indicators - Section D'!$A$9:$AO$94,41,FALSE),"")</f>
        <v>KP-1c Percentage of sex workers reached with HIV prevention programs - defined package of services</v>
      </c>
      <c r="D1191" s="574" t="str">
        <f ca="1">M1191</f>
        <v>Gender</v>
      </c>
      <c r="E1191" s="574" t="str">
        <f ca="1">N1191</f>
        <v>Female</v>
      </c>
      <c r="F1191" s="127"/>
      <c r="G1191" s="576" t="str">
        <f ca="1">IF(OR(INDIRECT("'update Helper'!E"&amp;Q1191)="",F1191&lt;&gt;0,F1192&lt;&gt;0),IF(IFERROR((F1191/F1192),"")="","",(F1191/F1192)),INDIRECT("'update Helper'!E"&amp;Q1191)/100)</f>
        <v/>
      </c>
      <c r="H1191" s="539"/>
      <c r="I1191" s="578"/>
      <c r="J1191" s="532" t="s">
        <v>2301</v>
      </c>
      <c r="K1191" s="126">
        <f ca="1">IF(AND(EXACT(C1191,C1189),C1189&lt;&gt;0),K1189+1,0)</f>
        <v>5</v>
      </c>
      <c r="L1191" s="126" t="str">
        <f t="shared" ref="L1191" ca="1" si="1375">IF(C1191&lt;&gt;"",C1191&amp;"-"&amp;K1191,"")</f>
        <v>KP-1c Percentage of sex workers reached with HIV prevention programs - defined package of services-5</v>
      </c>
      <c r="M1191" s="126" t="str">
        <f t="array" aca="1" ref="M1191" ca="1">IFERROR(IF(INDEX('Disaggregation Records'!$E$156:$E$517,MATCH(RIGHT(L1191,255),RIGHT('Disaggregation Records'!$D$156:$D$517,255),0))="","",INDEX('Disaggregation Records'!$E$156:$E$517,MATCH(RIGHT(L1191,255),RIGHT('Disaggregation Records'!$D$156:$D$517,255),0))),"")</f>
        <v>Gender</v>
      </c>
      <c r="N1191" s="126" t="str">
        <f t="array" aca="1" ref="N1191" ca="1">IFERROR(IF(INDEX('Disaggregation Records'!$F$156:$F$517,MATCH(RIGHT(L1191,255),RIGHT('Disaggregation Records'!$D$156:$D$517,255),0))="","",INDEX('Disaggregation Records'!$F$156:$F$517,MATCH(RIGHT(L1191,255),RIGHT('Disaggregation Records'!$D$156:$D$517,255),0))),"")</f>
        <v>Female</v>
      </c>
      <c r="O1191" s="314" t="str">
        <f t="array" aca="1" ref="O1191" ca="1">IFERROR(IF(INDEX('Disaggregation Records'!$H$156:$H$517,MATCH(RIGHT(L1191,255),RIGHT('Disaggregation Records'!$D$156:$D$517,255),0))="","",INDEX('Disaggregation Records'!$H$156:$H$517,MATCH(RIGHT(L1191,255),RIGHT('Disaggregation Records'!$D$156:$D$517,255),0))),"")</f>
        <v>IDR-01197</v>
      </c>
      <c r="P1191" s="314"/>
      <c r="Q1191" s="310">
        <f t="shared" ref="Q1191" si="1376">Q1189+1</f>
        <v>1897</v>
      </c>
      <c r="R1191" s="314" t="str" cm="1">
        <f t="array" aca="1" ref="R1191" ca="1">IFERROR(IF(INDEX('Disaggregation Records'!$G$156:$G$517,MATCH(RIGHT(L1191,255),RIGHT('Disaggregation Records'!$D$156:$D$517,255),0))="","",INDEX('Disaggregation Records'!$G$156:$G$517,MATCH(RIGHT(L1191,255),RIGHT('Disaggregation Records'!$D$156:$D$517,255),0))),"")</f>
        <v>a1LDm000000Cb23MAC</v>
      </c>
    </row>
    <row r="1192" spans="1:18" ht="20.100000000000001" customHeight="1">
      <c r="B1192" s="571"/>
      <c r="C1192" s="573"/>
      <c r="D1192" s="575"/>
      <c r="E1192" s="575"/>
      <c r="F1192" s="128"/>
      <c r="G1192" s="577"/>
      <c r="H1192" s="540"/>
      <c r="I1192" s="579"/>
      <c r="J1192" s="533"/>
      <c r="K1192" s="126"/>
      <c r="L1192" s="126"/>
      <c r="M1192" s="126"/>
      <c r="N1192" s="126"/>
      <c r="O1192" s="314"/>
      <c r="P1192" s="314"/>
      <c r="Q1192" s="310"/>
      <c r="R1192" s="314" t="str" cm="1">
        <f t="array" ref="R1192">IFERROR(IF(INDEX('Disaggregation Records'!$G$156:$G$517,MATCH(RIGHT(L1192,255),RIGHT('Disaggregation Records'!$D$156:$D$517,255),0))="","",INDEX('Disaggregation Records'!$G$156:$G$517,MATCH(RIGHT(L1192,255),RIGHT('Disaggregation Records'!$D$156:$D$517,255),0))),"")</f>
        <v/>
      </c>
    </row>
    <row r="1193" spans="1:18" ht="20.100000000000001" customHeight="1">
      <c r="A1193" s="126" t="str">
        <f t="shared" ca="1" si="1319"/>
        <v>a16Dm000000M3unIAC</v>
      </c>
      <c r="B1193" s="570">
        <v>15</v>
      </c>
      <c r="C1193" s="572" t="str">
        <f ca="1">IFERROR(VLOOKUP(B1193,'Coverage Indicators - Section D'!$A$9:$AO$94,41,FALSE),"")</f>
        <v>KP-1c Percentage of sex workers reached with HIV prevention programs - defined package of services</v>
      </c>
      <c r="D1193" s="574" t="str">
        <f ca="1">M1193</f>
        <v/>
      </c>
      <c r="E1193" s="574" t="str">
        <f ca="1">N1193</f>
        <v/>
      </c>
      <c r="F1193" s="127"/>
      <c r="G1193" s="576" t="str">
        <f ca="1">IF(OR(INDIRECT("'update Helper'!E"&amp;Q1193)="",F1193&lt;&gt;0,F1194&lt;&gt;0),IF(IFERROR((F1193/F1194),"")="","",(F1193/F1194)),INDIRECT("'update Helper'!E"&amp;Q1193)/100)</f>
        <v/>
      </c>
      <c r="H1193" s="539"/>
      <c r="I1193" s="578"/>
      <c r="J1193" s="532"/>
      <c r="K1193" s="126">
        <f ca="1">IF(AND(EXACT(C1193,C1191),C1191&lt;&gt;0),K1191+1,0)</f>
        <v>6</v>
      </c>
      <c r="L1193" s="126" t="str">
        <f t="shared" ref="L1193" ca="1" si="1377">IF(C1193&lt;&gt;"",C1193&amp;"-"&amp;K1193,"")</f>
        <v>KP-1c Percentage of sex workers reached with HIV prevention programs - defined package of services-6</v>
      </c>
      <c r="M1193" s="126" t="str">
        <f t="array" aca="1" ref="M1193" ca="1">IFERROR(IF(INDEX('Disaggregation Records'!$E$156:$E$517,MATCH(RIGHT(L1193,255),RIGHT('Disaggregation Records'!$D$156:$D$517,255),0))="","",INDEX('Disaggregation Records'!$E$156:$E$517,MATCH(RIGHT(L1193,255),RIGHT('Disaggregation Records'!$D$156:$D$517,255),0))),"")</f>
        <v/>
      </c>
      <c r="N1193" s="126" t="str">
        <f t="array" aca="1" ref="N1193" ca="1">IFERROR(IF(INDEX('Disaggregation Records'!$F$156:$F$517,MATCH(RIGHT(L1193,255),RIGHT('Disaggregation Records'!$D$156:$D$517,255),0))="","",INDEX('Disaggregation Records'!$F$156:$F$517,MATCH(RIGHT(L1193,255),RIGHT('Disaggregation Records'!$D$156:$D$517,255),0))),"")</f>
        <v/>
      </c>
      <c r="O1193" s="314" t="str">
        <f t="array" aca="1" ref="O1193" ca="1">IFERROR(IF(INDEX('Disaggregation Records'!$H$156:$H$517,MATCH(RIGHT(L1193,255),RIGHT('Disaggregation Records'!$D$156:$D$517,255),0))="","",INDEX('Disaggregation Records'!$H$156:$H$517,MATCH(RIGHT(L1193,255),RIGHT('Disaggregation Records'!$D$156:$D$517,255),0))),"")</f>
        <v/>
      </c>
      <c r="P1193" s="314"/>
      <c r="Q1193" s="310">
        <f t="shared" ref="Q1193" si="1378">Q1191+1</f>
        <v>1898</v>
      </c>
      <c r="R1193" s="314" t="str" cm="1">
        <f t="array" aca="1" ref="R1193" ca="1">IFERROR(IF(INDEX('Disaggregation Records'!$G$156:$G$517,MATCH(RIGHT(L1193,255),RIGHT('Disaggregation Records'!$D$156:$D$517,255),0))="","",INDEX('Disaggregation Records'!$G$156:$G$517,MATCH(RIGHT(L1193,255),RIGHT('Disaggregation Records'!$D$156:$D$517,255),0))),"")</f>
        <v/>
      </c>
    </row>
    <row r="1194" spans="1:18" ht="20.100000000000001" customHeight="1">
      <c r="A1194" s="126"/>
      <c r="B1194" s="571"/>
      <c r="C1194" s="573"/>
      <c r="D1194" s="575"/>
      <c r="E1194" s="575"/>
      <c r="F1194" s="128"/>
      <c r="G1194" s="577"/>
      <c r="H1194" s="540"/>
      <c r="I1194" s="579"/>
      <c r="J1194" s="533"/>
      <c r="K1194" s="126"/>
      <c r="L1194" s="126"/>
      <c r="M1194" s="126"/>
      <c r="N1194" s="126"/>
      <c r="O1194" s="314"/>
      <c r="P1194" s="314"/>
      <c r="Q1194" s="310"/>
      <c r="R1194" s="314" t="str" cm="1">
        <f t="array" ref="R1194">IFERROR(IF(INDEX('Disaggregation Records'!$G$156:$G$517,MATCH(RIGHT(L1194,255),RIGHT('Disaggregation Records'!$D$156:$D$517,255),0))="","",INDEX('Disaggregation Records'!$G$156:$G$517,MATCH(RIGHT(L1194,255),RIGHT('Disaggregation Records'!$D$156:$D$517,255),0))),"")</f>
        <v/>
      </c>
    </row>
    <row r="1195" spans="1:18" ht="20.100000000000001" customHeight="1">
      <c r="A1195" s="126" t="str">
        <f t="shared" ca="1" si="1322"/>
        <v>a16Dm000000M3uoIAC</v>
      </c>
      <c r="B1195" s="570">
        <v>15</v>
      </c>
      <c r="C1195" s="572" t="str">
        <f ca="1">IFERROR(VLOOKUP(B1195,'Coverage Indicators - Section D'!$A$9:$AO$94,41,FALSE),"")</f>
        <v>KP-1c Percentage of sex workers reached with HIV prevention programs - defined package of services</v>
      </c>
      <c r="D1195" s="574" t="str">
        <f ca="1">M1195</f>
        <v/>
      </c>
      <c r="E1195" s="574" t="str">
        <f ca="1">N1195</f>
        <v/>
      </c>
      <c r="F1195" s="127"/>
      <c r="G1195" s="576" t="str">
        <f ca="1">IF(OR(INDIRECT("'update Helper'!E"&amp;Q1195)="",F1195&lt;&gt;0,F1196&lt;&gt;0),IF(IFERROR((F1195/F1196),"")="","",(F1195/F1196)),INDIRECT("'update Helper'!E"&amp;Q1195)/100)</f>
        <v/>
      </c>
      <c r="H1195" s="539"/>
      <c r="I1195" s="578"/>
      <c r="J1195" s="532"/>
      <c r="K1195" s="126">
        <f ca="1">IF(AND(EXACT(C1195,C1193),C1193&lt;&gt;0),K1193+1,0)</f>
        <v>7</v>
      </c>
      <c r="L1195" s="126" t="str">
        <f t="shared" ref="L1195" ca="1" si="1379">IF(C1195&lt;&gt;"",C1195&amp;"-"&amp;K1195,"")</f>
        <v>KP-1c Percentage of sex workers reached with HIV prevention programs - defined package of services-7</v>
      </c>
      <c r="M1195" s="126" t="str">
        <f t="array" aca="1" ref="M1195" ca="1">IFERROR(IF(INDEX('Disaggregation Records'!$E$156:$E$517,MATCH(RIGHT(L1195,255),RIGHT('Disaggregation Records'!$D$156:$D$517,255),0))="","",INDEX('Disaggregation Records'!$E$156:$E$517,MATCH(RIGHT(L1195,255),RIGHT('Disaggregation Records'!$D$156:$D$517,255),0))),"")</f>
        <v/>
      </c>
      <c r="N1195" s="126" t="str">
        <f t="array" aca="1" ref="N1195" ca="1">IFERROR(IF(INDEX('Disaggregation Records'!$F$156:$F$517,MATCH(RIGHT(L1195,255),RIGHT('Disaggregation Records'!$D$156:$D$517,255),0))="","",INDEX('Disaggregation Records'!$F$156:$F$517,MATCH(RIGHT(L1195,255),RIGHT('Disaggregation Records'!$D$156:$D$517,255),0))),"")</f>
        <v/>
      </c>
      <c r="O1195" s="314" t="str">
        <f t="array" aca="1" ref="O1195" ca="1">IFERROR(IF(INDEX('Disaggregation Records'!$H$156:$H$517,MATCH(RIGHT(L1195,255),RIGHT('Disaggregation Records'!$D$156:$D$517,255),0))="","",INDEX('Disaggregation Records'!$H$156:$H$517,MATCH(RIGHT(L1195,255),RIGHT('Disaggregation Records'!$D$156:$D$517,255),0))),"")</f>
        <v/>
      </c>
      <c r="P1195" s="310"/>
      <c r="Q1195" s="310">
        <f t="shared" ref="Q1195" si="1380">Q1193+1</f>
        <v>1899</v>
      </c>
      <c r="R1195" s="314" t="str" cm="1">
        <f t="array" aca="1" ref="R1195" ca="1">IFERROR(IF(INDEX('Disaggregation Records'!$G$156:$G$517,MATCH(RIGHT(L1195,255),RIGHT('Disaggregation Records'!$D$156:$D$517,255),0))="","",INDEX('Disaggregation Records'!$G$156:$G$517,MATCH(RIGHT(L1195,255),RIGHT('Disaggregation Records'!$D$156:$D$517,255),0))),"")</f>
        <v/>
      </c>
    </row>
    <row r="1196" spans="1:18" ht="20.100000000000001" customHeight="1">
      <c r="B1196" s="571"/>
      <c r="C1196" s="573"/>
      <c r="D1196" s="575"/>
      <c r="E1196" s="575"/>
      <c r="F1196" s="128"/>
      <c r="G1196" s="577"/>
      <c r="H1196" s="540"/>
      <c r="I1196" s="579"/>
      <c r="J1196" s="533"/>
      <c r="L1196" s="126"/>
      <c r="N1196" s="126"/>
      <c r="O1196" s="314"/>
      <c r="P1196" s="310"/>
      <c r="Q1196" s="310"/>
      <c r="R1196" s="314" t="str" cm="1">
        <f t="array" ref="R1196">IFERROR(IF(INDEX('Disaggregation Records'!$G$156:$G$517,MATCH(RIGHT(L1196,255),RIGHT('Disaggregation Records'!$D$156:$D$517,255),0))="","",INDEX('Disaggregation Records'!$G$156:$G$517,MATCH(RIGHT(L1196,255),RIGHT('Disaggregation Records'!$D$156:$D$517,255),0))),"")</f>
        <v/>
      </c>
    </row>
    <row r="1197" spans="1:18" ht="20.100000000000001" customHeight="1">
      <c r="A1197" s="126" t="str">
        <f t="shared" ca="1" si="1319"/>
        <v>a16Dm000000M3upIAC</v>
      </c>
      <c r="B1197" s="570">
        <v>15</v>
      </c>
      <c r="C1197" s="572" t="str">
        <f ca="1">IFERROR(VLOOKUP(B1197,'Coverage Indicators - Section D'!$A$9:$AO$94,41,FALSE),"")</f>
        <v>KP-1c Percentage of sex workers reached with HIV prevention programs - defined package of services</v>
      </c>
      <c r="D1197" s="574" t="str">
        <f ca="1">M1197</f>
        <v/>
      </c>
      <c r="E1197" s="574" t="str">
        <f ca="1">N1197</f>
        <v/>
      </c>
      <c r="F1197" s="127"/>
      <c r="G1197" s="576" t="str">
        <f ca="1">IF(OR(INDIRECT("'update Helper'!E"&amp;Q1197)="",F1197&lt;&gt;0,F1198&lt;&gt;0),IF(IFERROR((F1197/F1198),"")="","",(F1197/F1198)),INDIRECT("'update Helper'!E"&amp;Q1197)/100)</f>
        <v/>
      </c>
      <c r="H1197" s="539"/>
      <c r="I1197" s="578"/>
      <c r="J1197" s="532"/>
      <c r="K1197" s="126">
        <f ca="1">IF(AND(EXACT(C1197,C1195),C1195&lt;&gt;0),K1195+1,0)</f>
        <v>8</v>
      </c>
      <c r="L1197" s="126" t="str">
        <f t="shared" ref="L1197" ca="1" si="1381">IF(C1197&lt;&gt;"",C1197&amp;"-"&amp;K1197,"")</f>
        <v>KP-1c Percentage of sex workers reached with HIV prevention programs - defined package of services-8</v>
      </c>
      <c r="M1197" s="126" t="str">
        <f t="array" aca="1" ref="M1197" ca="1">IFERROR(IF(INDEX('Disaggregation Records'!$E$156:$E$517,MATCH(RIGHT(L1197,255),RIGHT('Disaggregation Records'!$D$156:$D$517,255),0))="","",INDEX('Disaggregation Records'!$E$156:$E$517,MATCH(RIGHT(L1197,255),RIGHT('Disaggregation Records'!$D$156:$D$517,255),0))),"")</f>
        <v/>
      </c>
      <c r="N1197" s="126" t="str">
        <f t="array" aca="1" ref="N1197" ca="1">IFERROR(IF(INDEX('Disaggregation Records'!$F$156:$F$517,MATCH(RIGHT(L1197,255),RIGHT('Disaggregation Records'!$D$156:$D$517,255),0))="","",INDEX('Disaggregation Records'!$F$156:$F$517,MATCH(RIGHT(L1197,255),RIGHT('Disaggregation Records'!$D$156:$D$517,255),0))),"")</f>
        <v/>
      </c>
      <c r="O1197" s="314" t="str">
        <f t="array" aca="1" ref="O1197" ca="1">IFERROR(IF(INDEX('Disaggregation Records'!$H$156:$H$517,MATCH(RIGHT(L1197,255),RIGHT('Disaggregation Records'!$D$156:$D$517,255),0))="","",INDEX('Disaggregation Records'!$H$156:$H$517,MATCH(RIGHT(L1197,255),RIGHT('Disaggregation Records'!$D$156:$D$517,255),0))),"")</f>
        <v/>
      </c>
      <c r="P1197" s="310"/>
      <c r="Q1197" s="310">
        <f t="shared" ref="Q1197" si="1382">Q1195+1</f>
        <v>1900</v>
      </c>
      <c r="R1197" s="314" t="str" cm="1">
        <f t="array" aca="1" ref="R1197" ca="1">IFERROR(IF(INDEX('Disaggregation Records'!$G$156:$G$517,MATCH(RIGHT(L1197,255),RIGHT('Disaggregation Records'!$D$156:$D$517,255),0))="","",INDEX('Disaggregation Records'!$G$156:$G$517,MATCH(RIGHT(L1197,255),RIGHT('Disaggregation Records'!$D$156:$D$517,255),0))),"")</f>
        <v/>
      </c>
    </row>
    <row r="1198" spans="1:18" ht="20.100000000000001" customHeight="1">
      <c r="A1198" s="126"/>
      <c r="B1198" s="571"/>
      <c r="C1198" s="573"/>
      <c r="D1198" s="575"/>
      <c r="E1198" s="575"/>
      <c r="F1198" s="128"/>
      <c r="G1198" s="577"/>
      <c r="H1198" s="540"/>
      <c r="I1198" s="579"/>
      <c r="J1198" s="533"/>
      <c r="L1198" s="126"/>
      <c r="N1198" s="126"/>
      <c r="O1198" s="314"/>
      <c r="P1198" s="310"/>
      <c r="Q1198" s="310"/>
      <c r="R1198" s="314" t="str" cm="1">
        <f t="array" ref="R1198">IFERROR(IF(INDEX('Disaggregation Records'!$G$156:$G$517,MATCH(RIGHT(L1198,255),RIGHT('Disaggregation Records'!$D$156:$D$517,255),0))="","",INDEX('Disaggregation Records'!$G$156:$G$517,MATCH(RIGHT(L1198,255),RIGHT('Disaggregation Records'!$D$156:$D$517,255),0))),"")</f>
        <v/>
      </c>
    </row>
    <row r="1199" spans="1:18" ht="20.100000000000001" customHeight="1">
      <c r="A1199" s="126" t="str">
        <f t="shared" ca="1" si="1322"/>
        <v>a16Dm000000M3uqIAC</v>
      </c>
      <c r="B1199" s="570">
        <v>15</v>
      </c>
      <c r="C1199" s="572" t="str">
        <f ca="1">IFERROR(VLOOKUP(B1199,'Coverage Indicators - Section D'!$A$9:$AO$94,41,FALSE),"")</f>
        <v>KP-1c Percentage of sex workers reached with HIV prevention programs - defined package of services</v>
      </c>
      <c r="D1199" s="574" t="str">
        <f ca="1">M1199</f>
        <v/>
      </c>
      <c r="E1199" s="574" t="str">
        <f ca="1">N1199</f>
        <v/>
      </c>
      <c r="F1199" s="127"/>
      <c r="G1199" s="576" t="str">
        <f ca="1">IF(OR(INDIRECT("'update Helper'!E"&amp;Q1199)="",F1199&lt;&gt;0,F1200&lt;&gt;0),IF(IFERROR((F1199/F1200),"")="","",(F1199/F1200)),INDIRECT("'update Helper'!E"&amp;Q1199)/100)</f>
        <v/>
      </c>
      <c r="H1199" s="539"/>
      <c r="I1199" s="578"/>
      <c r="J1199" s="532"/>
      <c r="K1199" s="126">
        <f ca="1">IF(AND(EXACT(C1199,C1197),C1197&lt;&gt;0),K1197+1,0)</f>
        <v>9</v>
      </c>
      <c r="L1199" s="126" t="str">
        <f t="shared" ref="L1199" ca="1" si="1383">IF(C1199&lt;&gt;"",C1199&amp;"-"&amp;K1199,"")</f>
        <v>KP-1c Percentage of sex workers reached with HIV prevention programs - defined package of services-9</v>
      </c>
      <c r="M1199" s="126" t="str">
        <f t="array" aca="1" ref="M1199" ca="1">IFERROR(IF(INDEX('Disaggregation Records'!$E$156:$E$517,MATCH(RIGHT(L1199,255),RIGHT('Disaggregation Records'!$D$156:$D$517,255),0))="","",INDEX('Disaggregation Records'!$E$156:$E$517,MATCH(RIGHT(L1199,255),RIGHT('Disaggregation Records'!$D$156:$D$517,255),0))),"")</f>
        <v/>
      </c>
      <c r="N1199" s="126" t="str">
        <f t="array" aca="1" ref="N1199" ca="1">IFERROR(IF(INDEX('Disaggregation Records'!$F$156:$F$517,MATCH(RIGHT(L1199,255),RIGHT('Disaggregation Records'!$D$156:$D$517,255),0))="","",INDEX('Disaggregation Records'!$F$156:$F$517,MATCH(RIGHT(L1199,255),RIGHT('Disaggregation Records'!$D$156:$D$517,255),0))),"")</f>
        <v/>
      </c>
      <c r="O1199" s="314" t="str">
        <f t="array" aca="1" ref="O1199" ca="1">IFERROR(IF(INDEX('Disaggregation Records'!$H$156:$H$517,MATCH(RIGHT(L1199,255),RIGHT('Disaggregation Records'!$D$156:$D$517,255),0))="","",INDEX('Disaggregation Records'!$H$156:$H$517,MATCH(RIGHT(L1199,255),RIGHT('Disaggregation Records'!$D$156:$D$517,255),0))),"")</f>
        <v/>
      </c>
      <c r="P1199" s="310"/>
      <c r="Q1199" s="310">
        <f t="shared" ref="Q1199" si="1384">Q1197+1</f>
        <v>1901</v>
      </c>
      <c r="R1199" s="314" t="str" cm="1">
        <f t="array" aca="1" ref="R1199" ca="1">IFERROR(IF(INDEX('Disaggregation Records'!$G$156:$G$517,MATCH(RIGHT(L1199,255),RIGHT('Disaggregation Records'!$D$156:$D$517,255),0))="","",INDEX('Disaggregation Records'!$G$156:$G$517,MATCH(RIGHT(L1199,255),RIGHT('Disaggregation Records'!$D$156:$D$517,255),0))),"")</f>
        <v/>
      </c>
    </row>
    <row r="1200" spans="1:18" ht="20.100000000000001" customHeight="1">
      <c r="B1200" s="571"/>
      <c r="C1200" s="573"/>
      <c r="D1200" s="575"/>
      <c r="E1200" s="575"/>
      <c r="F1200" s="128"/>
      <c r="G1200" s="577"/>
      <c r="H1200" s="540"/>
      <c r="I1200" s="579"/>
      <c r="J1200" s="533"/>
      <c r="L1200" s="126"/>
      <c r="N1200" s="126"/>
      <c r="O1200" s="314"/>
      <c r="P1200" s="310"/>
      <c r="Q1200" s="310"/>
      <c r="R1200" s="314" t="str" cm="1">
        <f t="array" ref="R1200">IFERROR(IF(INDEX('Disaggregation Records'!$G$156:$G$517,MATCH(RIGHT(L1200,255),RIGHT('Disaggregation Records'!$D$156:$D$517,255),0))="","",INDEX('Disaggregation Records'!$G$156:$G$517,MATCH(RIGHT(L1200,255),RIGHT('Disaggregation Records'!$D$156:$D$517,255),0))),"")</f>
        <v/>
      </c>
    </row>
    <row r="1201" spans="1:18" ht="20.100000000000001" customHeight="1">
      <c r="A1201" s="126" t="str">
        <f t="shared" ref="A1201:A1261" ca="1" si="1385">INDIRECT("'update Helper'!C"&amp;Q1201)</f>
        <v>a16Dm000000M3urIAC</v>
      </c>
      <c r="B1201" s="570">
        <v>15</v>
      </c>
      <c r="C1201" s="572" t="str">
        <f ca="1">IFERROR(VLOOKUP(B1201,'Coverage Indicators - Section D'!$A$9:$AO$94,41,FALSE),"")</f>
        <v>KP-1c Percentage of sex workers reached with HIV prevention programs - defined package of services</v>
      </c>
      <c r="D1201" s="574" t="str">
        <f ca="1">M1201</f>
        <v/>
      </c>
      <c r="E1201" s="574" t="str">
        <f ca="1">N1201</f>
        <v/>
      </c>
      <c r="F1201" s="127"/>
      <c r="G1201" s="576" t="str">
        <f ca="1">IF(OR(INDIRECT("'update Helper'!E"&amp;Q1201)="",F1201&lt;&gt;0,F1202&lt;&gt;0),IF(IFERROR((F1201/F1202),"")="","",(F1201/F1202)),INDIRECT("'update Helper'!E"&amp;Q1201)/100)</f>
        <v/>
      </c>
      <c r="H1201" s="539"/>
      <c r="I1201" s="578"/>
      <c r="J1201" s="532"/>
      <c r="K1201" s="126">
        <f ca="1">IF(AND(EXACT(C1201,C1199),C1199&lt;&gt;0),K1199+1,0)</f>
        <v>10</v>
      </c>
      <c r="L1201" s="126" t="str">
        <f t="shared" ref="L1201" ca="1" si="1386">IF(C1201&lt;&gt;"",C1201&amp;"-"&amp;K1201,"")</f>
        <v>KP-1c Percentage of sex workers reached with HIV prevention programs - defined package of services-10</v>
      </c>
      <c r="M1201" s="126" t="str">
        <f t="array" aca="1" ref="M1201" ca="1">IFERROR(IF(INDEX('Disaggregation Records'!$E$156:$E$517,MATCH(RIGHT(L1201,255),RIGHT('Disaggregation Records'!$D$156:$D$517,255),0))="","",INDEX('Disaggregation Records'!$E$156:$E$517,MATCH(RIGHT(L1201,255),RIGHT('Disaggregation Records'!$D$156:$D$517,255),0))),"")</f>
        <v/>
      </c>
      <c r="N1201" s="126" t="str">
        <f t="array" aca="1" ref="N1201" ca="1">IFERROR(IF(INDEX('Disaggregation Records'!$F$156:$F$517,MATCH(RIGHT(L1201,255),RIGHT('Disaggregation Records'!$D$156:$D$517,255),0))="","",INDEX('Disaggregation Records'!$F$156:$F$517,MATCH(RIGHT(L1201,255),RIGHT('Disaggregation Records'!$D$156:$D$517,255),0))),"")</f>
        <v/>
      </c>
      <c r="O1201" s="314" t="str">
        <f t="array" aca="1" ref="O1201" ca="1">IFERROR(IF(INDEX('Disaggregation Records'!$H$156:$H$517,MATCH(RIGHT(L1201,255),RIGHT('Disaggregation Records'!$D$156:$D$517,255),0))="","",INDEX('Disaggregation Records'!$H$156:$H$517,MATCH(RIGHT(L1201,255),RIGHT('Disaggregation Records'!$D$156:$D$517,255),0))),"")</f>
        <v/>
      </c>
      <c r="P1201" s="314"/>
      <c r="Q1201" s="310">
        <f t="shared" ref="Q1201" si="1387">Q1199+1</f>
        <v>1902</v>
      </c>
      <c r="R1201" s="314" t="str" cm="1">
        <f t="array" aca="1" ref="R1201" ca="1">IFERROR(IF(INDEX('Disaggregation Records'!$G$156:$G$517,MATCH(RIGHT(L1201,255),RIGHT('Disaggregation Records'!$D$156:$D$517,255),0))="","",INDEX('Disaggregation Records'!$G$156:$G$517,MATCH(RIGHT(L1201,255),RIGHT('Disaggregation Records'!$D$156:$D$517,255),0))),"")</f>
        <v/>
      </c>
    </row>
    <row r="1202" spans="1:18" ht="20.100000000000001" customHeight="1">
      <c r="A1202" s="126"/>
      <c r="B1202" s="571"/>
      <c r="C1202" s="573"/>
      <c r="D1202" s="575"/>
      <c r="E1202" s="575"/>
      <c r="F1202" s="128"/>
      <c r="G1202" s="577"/>
      <c r="H1202" s="540"/>
      <c r="I1202" s="579"/>
      <c r="J1202" s="533"/>
      <c r="K1202" s="126"/>
      <c r="L1202" s="126"/>
      <c r="M1202" s="126"/>
      <c r="N1202" s="126"/>
      <c r="O1202" s="314"/>
      <c r="P1202" s="314"/>
      <c r="Q1202" s="310"/>
      <c r="R1202" s="314" t="str" cm="1">
        <f t="array" ref="R1202">IFERROR(IF(INDEX('Disaggregation Records'!$G$156:$G$517,MATCH(RIGHT(L1202,255),RIGHT('Disaggregation Records'!$D$156:$D$517,255),0))="","",INDEX('Disaggregation Records'!$G$156:$G$517,MATCH(RIGHT(L1202,255),RIGHT('Disaggregation Records'!$D$156:$D$517,255),0))),"")</f>
        <v/>
      </c>
    </row>
    <row r="1203" spans="1:18" ht="20.100000000000001" customHeight="1">
      <c r="A1203" s="126" t="str">
        <f t="shared" ref="A1203:A1263" ca="1" si="1388">INDIRECT("'update Helper'!C"&amp;Q1203)</f>
        <v>a16Dm000000M3usIAC</v>
      </c>
      <c r="B1203" s="570">
        <v>15</v>
      </c>
      <c r="C1203" s="572" t="str">
        <f ca="1">IFERROR(VLOOKUP(B1203,'Coverage Indicators - Section D'!$A$9:$AO$94,41,FALSE),"")</f>
        <v>KP-1c Percentage of sex workers reached with HIV prevention programs - defined package of services</v>
      </c>
      <c r="D1203" s="574" t="str">
        <f ca="1">M1203</f>
        <v/>
      </c>
      <c r="E1203" s="574" t="str">
        <f ca="1">N1203</f>
        <v/>
      </c>
      <c r="F1203" s="127"/>
      <c r="G1203" s="576" t="str">
        <f ca="1">IF(OR(INDIRECT("'update Helper'!E"&amp;Q1203)="",F1203&lt;&gt;0,F1204&lt;&gt;0),IF(IFERROR((F1203/F1204),"")="","",(F1203/F1204)),INDIRECT("'update Helper'!E"&amp;Q1203)/100)</f>
        <v/>
      </c>
      <c r="H1203" s="539"/>
      <c r="I1203" s="578"/>
      <c r="J1203" s="532"/>
      <c r="K1203" s="126">
        <f ca="1">IF(AND(EXACT(C1203,C1201),C1201&lt;&gt;0),K1201+1,0)</f>
        <v>11</v>
      </c>
      <c r="L1203" s="126" t="str">
        <f t="shared" ref="L1203" ca="1" si="1389">IF(C1203&lt;&gt;"",C1203&amp;"-"&amp;K1203,"")</f>
        <v>KP-1c Percentage of sex workers reached with HIV prevention programs - defined package of services-11</v>
      </c>
      <c r="M1203" s="126" t="str">
        <f t="array" aca="1" ref="M1203" ca="1">IFERROR(IF(INDEX('Disaggregation Records'!$E$156:$E$517,MATCH(RIGHT(L1203,255),RIGHT('Disaggregation Records'!$D$156:$D$517,255),0))="","",INDEX('Disaggregation Records'!$E$156:$E$517,MATCH(RIGHT(L1203,255),RIGHT('Disaggregation Records'!$D$156:$D$517,255),0))),"")</f>
        <v/>
      </c>
      <c r="N1203" s="126" t="str">
        <f t="array" aca="1" ref="N1203" ca="1">IFERROR(IF(INDEX('Disaggregation Records'!$F$156:$F$517,MATCH(RIGHT(L1203,255),RIGHT('Disaggregation Records'!$D$156:$D$517,255),0))="","",INDEX('Disaggregation Records'!$F$156:$F$517,MATCH(RIGHT(L1203,255),RIGHT('Disaggregation Records'!$D$156:$D$517,255),0))),"")</f>
        <v/>
      </c>
      <c r="O1203" s="314" t="str">
        <f t="array" aca="1" ref="O1203" ca="1">IFERROR(IF(INDEX('Disaggregation Records'!$H$156:$H$517,MATCH(RIGHT(L1203,255),RIGHT('Disaggregation Records'!$D$156:$D$517,255),0))="","",INDEX('Disaggregation Records'!$H$156:$H$517,MATCH(RIGHT(L1203,255),RIGHT('Disaggregation Records'!$D$156:$D$517,255),0))),"")</f>
        <v/>
      </c>
      <c r="P1203" s="314"/>
      <c r="Q1203" s="310">
        <f t="shared" ref="Q1203" si="1390">Q1201+1</f>
        <v>1903</v>
      </c>
      <c r="R1203" s="314" t="str" cm="1">
        <f t="array" aca="1" ref="R1203" ca="1">IFERROR(IF(INDEX('Disaggregation Records'!$G$156:$G$517,MATCH(RIGHT(L1203,255),RIGHT('Disaggregation Records'!$D$156:$D$517,255),0))="","",INDEX('Disaggregation Records'!$G$156:$G$517,MATCH(RIGHT(L1203,255),RIGHT('Disaggregation Records'!$D$156:$D$517,255),0))),"")</f>
        <v/>
      </c>
    </row>
    <row r="1204" spans="1:18" ht="20.100000000000001" customHeight="1">
      <c r="B1204" s="571"/>
      <c r="C1204" s="573"/>
      <c r="D1204" s="575"/>
      <c r="E1204" s="575"/>
      <c r="F1204" s="128"/>
      <c r="G1204" s="577"/>
      <c r="H1204" s="540"/>
      <c r="I1204" s="579"/>
      <c r="J1204" s="533"/>
      <c r="K1204" s="126"/>
      <c r="L1204" s="126"/>
      <c r="M1204" s="126"/>
      <c r="N1204" s="126"/>
      <c r="O1204" s="314"/>
      <c r="P1204" s="314"/>
      <c r="Q1204" s="310"/>
      <c r="R1204" s="314" t="str" cm="1">
        <f t="array" ref="R1204">IFERROR(IF(INDEX('Disaggregation Records'!$G$156:$G$517,MATCH(RIGHT(L1204,255),RIGHT('Disaggregation Records'!$D$156:$D$517,255),0))="","",INDEX('Disaggregation Records'!$G$156:$G$517,MATCH(RIGHT(L1204,255),RIGHT('Disaggregation Records'!$D$156:$D$517,255),0))),"")</f>
        <v/>
      </c>
    </row>
    <row r="1205" spans="1:18" ht="20.100000000000001" customHeight="1">
      <c r="A1205" s="126" t="str">
        <f t="shared" ca="1" si="1385"/>
        <v>a16Dm000000M3utIAC</v>
      </c>
      <c r="B1205" s="570">
        <v>15</v>
      </c>
      <c r="C1205" s="572" t="str">
        <f ca="1">IFERROR(VLOOKUP(B1205,'Coverage Indicators - Section D'!$A$9:$AO$94,41,FALSE),"")</f>
        <v>KP-1c Percentage of sex workers reached with HIV prevention programs - defined package of services</v>
      </c>
      <c r="D1205" s="574" t="str">
        <f ca="1">M1205</f>
        <v/>
      </c>
      <c r="E1205" s="574" t="str">
        <f ca="1">N1205</f>
        <v/>
      </c>
      <c r="F1205" s="127"/>
      <c r="G1205" s="576" t="str">
        <f ca="1">IF(OR(INDIRECT("'update Helper'!E"&amp;Q1205)="",F1205&lt;&gt;0,F1206&lt;&gt;0),IF(IFERROR((F1205/F1206),"")="","",(F1205/F1206)),INDIRECT("'update Helper'!E"&amp;Q1205)/100)</f>
        <v/>
      </c>
      <c r="H1205" s="539"/>
      <c r="I1205" s="578"/>
      <c r="J1205" s="532"/>
      <c r="K1205" s="126">
        <f ca="1">IF(AND(EXACT(C1205,C1203),C1203&lt;&gt;0),K1203+1,0)</f>
        <v>12</v>
      </c>
      <c r="L1205" s="126" t="str">
        <f t="shared" ref="L1205" ca="1" si="1391">IF(C1205&lt;&gt;"",C1205&amp;"-"&amp;K1205,"")</f>
        <v>KP-1c Percentage of sex workers reached with HIV prevention programs - defined package of services-12</v>
      </c>
      <c r="M1205" s="126" t="str">
        <f t="array" aca="1" ref="M1205" ca="1">IFERROR(IF(INDEX('Disaggregation Records'!$E$156:$E$517,MATCH(RIGHT(L1205,255),RIGHT('Disaggregation Records'!$D$156:$D$517,255),0))="","",INDEX('Disaggregation Records'!$E$156:$E$517,MATCH(RIGHT(L1205,255),RIGHT('Disaggregation Records'!$D$156:$D$517,255),0))),"")</f>
        <v/>
      </c>
      <c r="N1205" s="126" t="str">
        <f t="array" aca="1" ref="N1205" ca="1">IFERROR(IF(INDEX('Disaggregation Records'!$F$156:$F$517,MATCH(RIGHT(L1205,255),RIGHT('Disaggregation Records'!$D$156:$D$517,255),0))="","",INDEX('Disaggregation Records'!$F$156:$F$517,MATCH(RIGHT(L1205,255),RIGHT('Disaggregation Records'!$D$156:$D$517,255),0))),"")</f>
        <v/>
      </c>
      <c r="O1205" s="314" t="str">
        <f t="array" aca="1" ref="O1205" ca="1">IFERROR(IF(INDEX('Disaggregation Records'!$H$156:$H$517,MATCH(RIGHT(L1205,255),RIGHT('Disaggregation Records'!$D$156:$D$517,255),0))="","",INDEX('Disaggregation Records'!$H$156:$H$517,MATCH(RIGHT(L1205,255),RIGHT('Disaggregation Records'!$D$156:$D$517,255),0))),"")</f>
        <v/>
      </c>
      <c r="P1205" s="310"/>
      <c r="Q1205" s="310">
        <f t="shared" ref="Q1205" si="1392">Q1203+1</f>
        <v>1904</v>
      </c>
      <c r="R1205" s="314" t="str" cm="1">
        <f t="array" aca="1" ref="R1205" ca="1">IFERROR(IF(INDEX('Disaggregation Records'!$G$156:$G$517,MATCH(RIGHT(L1205,255),RIGHT('Disaggregation Records'!$D$156:$D$517,255),0))="","",INDEX('Disaggregation Records'!$G$156:$G$517,MATCH(RIGHT(L1205,255),RIGHT('Disaggregation Records'!$D$156:$D$517,255),0))),"")</f>
        <v/>
      </c>
    </row>
    <row r="1206" spans="1:18" ht="20.100000000000001" customHeight="1">
      <c r="A1206" s="126"/>
      <c r="B1206" s="571"/>
      <c r="C1206" s="573"/>
      <c r="D1206" s="575"/>
      <c r="E1206" s="575"/>
      <c r="F1206" s="128"/>
      <c r="G1206" s="577"/>
      <c r="H1206" s="540"/>
      <c r="I1206" s="579"/>
      <c r="J1206" s="533"/>
      <c r="L1206" s="126"/>
      <c r="N1206" s="126"/>
      <c r="O1206" s="314"/>
      <c r="P1206" s="310"/>
      <c r="Q1206" s="310"/>
      <c r="R1206" s="314" t="str" cm="1">
        <f t="array" ref="R1206">IFERROR(IF(INDEX('Disaggregation Records'!$G$156:$G$517,MATCH(RIGHT(L1206,255),RIGHT('Disaggregation Records'!$D$156:$D$517,255),0))="","",INDEX('Disaggregation Records'!$G$156:$G$517,MATCH(RIGHT(L1206,255),RIGHT('Disaggregation Records'!$D$156:$D$517,255),0))),"")</f>
        <v/>
      </c>
    </row>
    <row r="1207" spans="1:18" ht="20.100000000000001" customHeight="1">
      <c r="A1207" s="126" t="str">
        <f t="shared" ca="1" si="1388"/>
        <v>a16Dm000000M3uuIAC</v>
      </c>
      <c r="B1207" s="570">
        <v>15</v>
      </c>
      <c r="C1207" s="572" t="str">
        <f ca="1">IFERROR(VLOOKUP(B1207,'Coverage Indicators - Section D'!$A$9:$AO$94,41,FALSE),"")</f>
        <v>KP-1c Percentage of sex workers reached with HIV prevention programs - defined package of services</v>
      </c>
      <c r="D1207" s="574" t="str">
        <f ca="1">M1207</f>
        <v/>
      </c>
      <c r="E1207" s="574" t="str">
        <f ca="1">N1207</f>
        <v/>
      </c>
      <c r="F1207" s="127"/>
      <c r="G1207" s="576" t="str">
        <f ca="1">IF(OR(INDIRECT("'update Helper'!E"&amp;Q1207)="",F1207&lt;&gt;0,F1208&lt;&gt;0),IF(IFERROR((F1207/F1208),"")="","",(F1207/F1208)),INDIRECT("'update Helper'!E"&amp;Q1207)/100)</f>
        <v/>
      </c>
      <c r="H1207" s="539"/>
      <c r="I1207" s="578"/>
      <c r="J1207" s="532"/>
      <c r="K1207" s="126">
        <f ca="1">IF(AND(EXACT(C1207,C1205),C1205&lt;&gt;0),K1205+1,0)</f>
        <v>13</v>
      </c>
      <c r="L1207" s="126" t="str">
        <f t="shared" ref="L1207" ca="1" si="1393">IF(C1207&lt;&gt;"",C1207&amp;"-"&amp;K1207,"")</f>
        <v>KP-1c Percentage of sex workers reached with HIV prevention programs - defined package of services-13</v>
      </c>
      <c r="M1207" s="126" t="str">
        <f t="array" aca="1" ref="M1207" ca="1">IFERROR(IF(INDEX('Disaggregation Records'!$E$156:$E$517,MATCH(RIGHT(L1207,255),RIGHT('Disaggregation Records'!$D$156:$D$517,255),0))="","",INDEX('Disaggregation Records'!$E$156:$E$517,MATCH(RIGHT(L1207,255),RIGHT('Disaggregation Records'!$D$156:$D$517,255),0))),"")</f>
        <v/>
      </c>
      <c r="N1207" s="126" t="str">
        <f t="array" aca="1" ref="N1207" ca="1">IFERROR(IF(INDEX('Disaggregation Records'!$F$156:$F$517,MATCH(RIGHT(L1207,255),RIGHT('Disaggregation Records'!$D$156:$D$517,255),0))="","",INDEX('Disaggregation Records'!$F$156:$F$517,MATCH(RIGHT(L1207,255),RIGHT('Disaggregation Records'!$D$156:$D$517,255),0))),"")</f>
        <v/>
      </c>
      <c r="O1207" s="314" t="str">
        <f t="array" aca="1" ref="O1207" ca="1">IFERROR(IF(INDEX('Disaggregation Records'!$H$156:$H$517,MATCH(RIGHT(L1207,255),RIGHT('Disaggregation Records'!$D$156:$D$517,255),0))="","",INDEX('Disaggregation Records'!$H$156:$H$517,MATCH(RIGHT(L1207,255),RIGHT('Disaggregation Records'!$D$156:$D$517,255),0))),"")</f>
        <v/>
      </c>
      <c r="P1207" s="310"/>
      <c r="Q1207" s="310">
        <f t="shared" ref="Q1207" si="1394">Q1205+1</f>
        <v>1905</v>
      </c>
      <c r="R1207" s="314" t="str" cm="1">
        <f t="array" aca="1" ref="R1207" ca="1">IFERROR(IF(INDEX('Disaggregation Records'!$G$156:$G$517,MATCH(RIGHT(L1207,255),RIGHT('Disaggregation Records'!$D$156:$D$517,255),0))="","",INDEX('Disaggregation Records'!$G$156:$G$517,MATCH(RIGHT(L1207,255),RIGHT('Disaggregation Records'!$D$156:$D$517,255),0))),"")</f>
        <v/>
      </c>
    </row>
    <row r="1208" spans="1:18" ht="20.100000000000001" customHeight="1">
      <c r="B1208" s="571"/>
      <c r="C1208" s="573"/>
      <c r="D1208" s="575"/>
      <c r="E1208" s="575"/>
      <c r="F1208" s="128"/>
      <c r="G1208" s="577"/>
      <c r="H1208" s="540"/>
      <c r="I1208" s="579"/>
      <c r="J1208" s="533"/>
      <c r="L1208" s="126"/>
      <c r="N1208" s="126"/>
      <c r="O1208" s="314"/>
      <c r="P1208" s="310"/>
      <c r="Q1208" s="310"/>
      <c r="R1208" s="314" t="str" cm="1">
        <f t="array" ref="R1208">IFERROR(IF(INDEX('Disaggregation Records'!$G$156:$G$517,MATCH(RIGHT(L1208,255),RIGHT('Disaggregation Records'!$D$156:$D$517,255),0))="","",INDEX('Disaggregation Records'!$G$156:$G$517,MATCH(RIGHT(L1208,255),RIGHT('Disaggregation Records'!$D$156:$D$517,255),0))),"")</f>
        <v/>
      </c>
    </row>
    <row r="1209" spans="1:18" ht="20.100000000000001" customHeight="1">
      <c r="A1209" s="126" t="str">
        <f t="shared" ca="1" si="1385"/>
        <v>a16Dm000000M3uvIAC</v>
      </c>
      <c r="B1209" s="570">
        <v>15</v>
      </c>
      <c r="C1209" s="572" t="str">
        <f ca="1">IFERROR(VLOOKUP(B1209,'Coverage Indicators - Section D'!$A$9:$AO$94,41,FALSE),"")</f>
        <v>KP-1c Percentage of sex workers reached with HIV prevention programs - defined package of services</v>
      </c>
      <c r="D1209" s="574" t="str">
        <f ca="1">M1209</f>
        <v/>
      </c>
      <c r="E1209" s="574" t="str">
        <f ca="1">N1209</f>
        <v/>
      </c>
      <c r="F1209" s="127"/>
      <c r="G1209" s="576" t="str">
        <f ca="1">IF(OR(INDIRECT("'update Helper'!E"&amp;Q1209)="",F1209&lt;&gt;0,F1210&lt;&gt;0),IF(IFERROR((F1209/F1210),"")="","",(F1209/F1210)),INDIRECT("'update Helper'!E"&amp;Q1209)/100)</f>
        <v/>
      </c>
      <c r="H1209" s="539"/>
      <c r="I1209" s="578"/>
      <c r="J1209" s="532"/>
      <c r="K1209" s="126">
        <f ca="1">IF(AND(EXACT(C1209,C1207),C1207&lt;&gt;0),K1207+1,0)</f>
        <v>14</v>
      </c>
      <c r="L1209" s="126" t="str">
        <f t="shared" ref="L1209" ca="1" si="1395">IF(C1209&lt;&gt;"",C1209&amp;"-"&amp;K1209,"")</f>
        <v>KP-1c Percentage of sex workers reached with HIV prevention programs - defined package of services-14</v>
      </c>
      <c r="M1209" s="126" t="str">
        <f t="array" aca="1" ref="M1209" ca="1">IFERROR(IF(INDEX('Disaggregation Records'!$E$156:$E$517,MATCH(RIGHT(L1209,255),RIGHT('Disaggregation Records'!$D$156:$D$517,255),0))="","",INDEX('Disaggregation Records'!$E$156:$E$517,MATCH(RIGHT(L1209,255),RIGHT('Disaggregation Records'!$D$156:$D$517,255),0))),"")</f>
        <v/>
      </c>
      <c r="N1209" s="126" t="str">
        <f t="array" aca="1" ref="N1209" ca="1">IFERROR(IF(INDEX('Disaggregation Records'!$F$156:$F$517,MATCH(RIGHT(L1209,255),RIGHT('Disaggregation Records'!$D$156:$D$517,255),0))="","",INDEX('Disaggregation Records'!$F$156:$F$517,MATCH(RIGHT(L1209,255),RIGHT('Disaggregation Records'!$D$156:$D$517,255),0))),"")</f>
        <v/>
      </c>
      <c r="O1209" s="314" t="str">
        <f t="array" aca="1" ref="O1209" ca="1">IFERROR(IF(INDEX('Disaggregation Records'!$H$156:$H$517,MATCH(RIGHT(L1209,255),RIGHT('Disaggregation Records'!$D$156:$D$517,255),0))="","",INDEX('Disaggregation Records'!$H$156:$H$517,MATCH(RIGHT(L1209,255),RIGHT('Disaggregation Records'!$D$156:$D$517,255),0))),"")</f>
        <v/>
      </c>
      <c r="P1209" s="310"/>
      <c r="Q1209" s="310">
        <f t="shared" ref="Q1209" si="1396">Q1207+1</f>
        <v>1906</v>
      </c>
      <c r="R1209" s="314" t="str" cm="1">
        <f t="array" aca="1" ref="R1209" ca="1">IFERROR(IF(INDEX('Disaggregation Records'!$G$156:$G$517,MATCH(RIGHT(L1209,255),RIGHT('Disaggregation Records'!$D$156:$D$517,255),0))="","",INDEX('Disaggregation Records'!$G$156:$G$517,MATCH(RIGHT(L1209,255),RIGHT('Disaggregation Records'!$D$156:$D$517,255),0))),"")</f>
        <v/>
      </c>
    </row>
    <row r="1210" spans="1:18" ht="20.100000000000001" customHeight="1">
      <c r="A1210" s="126"/>
      <c r="B1210" s="571"/>
      <c r="C1210" s="573"/>
      <c r="D1210" s="575"/>
      <c r="E1210" s="575"/>
      <c r="F1210" s="128"/>
      <c r="G1210" s="577"/>
      <c r="H1210" s="540"/>
      <c r="I1210" s="579"/>
      <c r="J1210" s="533"/>
      <c r="L1210" s="126"/>
      <c r="N1210" s="126"/>
      <c r="O1210" s="314"/>
      <c r="P1210" s="310"/>
      <c r="Q1210" s="310"/>
      <c r="R1210" s="314" t="str" cm="1">
        <f t="array" ref="R1210">IFERROR(IF(INDEX('Disaggregation Records'!$G$156:$G$517,MATCH(RIGHT(L1210,255),RIGHT('Disaggregation Records'!$D$156:$D$517,255),0))="","",INDEX('Disaggregation Records'!$G$156:$G$517,MATCH(RIGHT(L1210,255),RIGHT('Disaggregation Records'!$D$156:$D$517,255),0))),"")</f>
        <v/>
      </c>
    </row>
    <row r="1211" spans="1:18" ht="20.100000000000001" customHeight="1">
      <c r="A1211" s="126" t="str">
        <f t="shared" ca="1" si="1388"/>
        <v>a16Dm000000M3uwIAC</v>
      </c>
      <c r="B1211" s="570">
        <v>15</v>
      </c>
      <c r="C1211" s="572" t="str">
        <f ca="1">IFERROR(VLOOKUP(B1211,'Coverage Indicators - Section D'!$A$9:$AO$94,41,FALSE),"")</f>
        <v>KP-1c Percentage of sex workers reached with HIV prevention programs - defined package of services</v>
      </c>
      <c r="D1211" s="574" t="str">
        <f ca="1">M1211</f>
        <v/>
      </c>
      <c r="E1211" s="574" t="str">
        <f ca="1">N1211</f>
        <v/>
      </c>
      <c r="F1211" s="127"/>
      <c r="G1211" s="576" t="str">
        <f ca="1">IF(OR(INDIRECT("'update Helper'!E"&amp;Q1211)="",F1211&lt;&gt;0,F1212&lt;&gt;0),IF(IFERROR((F1211/F1212),"")="","",(F1211/F1212)),INDIRECT("'update Helper'!E"&amp;Q1211)/100)</f>
        <v/>
      </c>
      <c r="H1211" s="539"/>
      <c r="I1211" s="578"/>
      <c r="J1211" s="532"/>
      <c r="K1211" s="126">
        <f ca="1">IF(AND(EXACT(C1211,C1209),C1209&lt;&gt;0),K1209+1,0)</f>
        <v>15</v>
      </c>
      <c r="L1211" s="126" t="str">
        <f t="shared" ref="L1211" ca="1" si="1397">IF(C1211&lt;&gt;"",C1211&amp;"-"&amp;K1211,"")</f>
        <v>KP-1c Percentage of sex workers reached with HIV prevention programs - defined package of services-15</v>
      </c>
      <c r="M1211" s="126" t="str">
        <f t="array" aca="1" ref="M1211" ca="1">IFERROR(IF(INDEX('Disaggregation Records'!$E$156:$E$517,MATCH(RIGHT(L1211,255),RIGHT('Disaggregation Records'!$D$156:$D$517,255),0))="","",INDEX('Disaggregation Records'!$E$156:$E$517,MATCH(RIGHT(L1211,255),RIGHT('Disaggregation Records'!$D$156:$D$517,255),0))),"")</f>
        <v/>
      </c>
      <c r="N1211" s="126" t="str">
        <f t="array" aca="1" ref="N1211" ca="1">IFERROR(IF(INDEX('Disaggregation Records'!$F$156:$F$517,MATCH(RIGHT(L1211,255),RIGHT('Disaggregation Records'!$D$156:$D$517,255),0))="","",INDEX('Disaggregation Records'!$F$156:$F$517,MATCH(RIGHT(L1211,255),RIGHT('Disaggregation Records'!$D$156:$D$517,255),0))),"")</f>
        <v/>
      </c>
      <c r="O1211" s="314" t="str">
        <f t="array" aca="1" ref="O1211" ca="1">IFERROR(IF(INDEX('Disaggregation Records'!$H$156:$H$517,MATCH(RIGHT(L1211,255),RIGHT('Disaggregation Records'!$D$156:$D$517,255),0))="","",INDEX('Disaggregation Records'!$H$156:$H$517,MATCH(RIGHT(L1211,255),RIGHT('Disaggregation Records'!$D$156:$D$517,255),0))),"")</f>
        <v/>
      </c>
      <c r="P1211" s="314"/>
      <c r="Q1211" s="310">
        <f t="shared" ref="Q1211" si="1398">Q1209+1</f>
        <v>1907</v>
      </c>
      <c r="R1211" s="314" t="str" cm="1">
        <f t="array" aca="1" ref="R1211" ca="1">IFERROR(IF(INDEX('Disaggregation Records'!$G$156:$G$517,MATCH(RIGHT(L1211,255),RIGHT('Disaggregation Records'!$D$156:$D$517,255),0))="","",INDEX('Disaggregation Records'!$G$156:$G$517,MATCH(RIGHT(L1211,255),RIGHT('Disaggregation Records'!$D$156:$D$517,255),0))),"")</f>
        <v/>
      </c>
    </row>
    <row r="1212" spans="1:18" ht="20.100000000000001" customHeight="1">
      <c r="B1212" s="571"/>
      <c r="C1212" s="573"/>
      <c r="D1212" s="575"/>
      <c r="E1212" s="575"/>
      <c r="F1212" s="128"/>
      <c r="G1212" s="577"/>
      <c r="H1212" s="540"/>
      <c r="I1212" s="579"/>
      <c r="J1212" s="533"/>
      <c r="K1212" s="126"/>
      <c r="L1212" s="126"/>
      <c r="M1212" s="126"/>
      <c r="N1212" s="126"/>
      <c r="O1212" s="314"/>
      <c r="P1212" s="314"/>
      <c r="Q1212" s="310"/>
      <c r="R1212" s="314" t="str" cm="1">
        <f t="array" ref="R1212">IFERROR(IF(INDEX('Disaggregation Records'!$G$156:$G$517,MATCH(RIGHT(L1212,255),RIGHT('Disaggregation Records'!$D$156:$D$517,255),0))="","",INDEX('Disaggregation Records'!$G$156:$G$517,MATCH(RIGHT(L1212,255),RIGHT('Disaggregation Records'!$D$156:$D$517,255),0))),"")</f>
        <v/>
      </c>
    </row>
    <row r="1213" spans="1:18" ht="20.100000000000001" customHeight="1">
      <c r="A1213" s="126" t="str">
        <f t="shared" ca="1" si="1385"/>
        <v>a16Dm000000M3uxIAC</v>
      </c>
      <c r="B1213" s="570">
        <v>15</v>
      </c>
      <c r="C1213" s="572" t="str">
        <f ca="1">IFERROR(VLOOKUP(B1213,'Coverage Indicators - Section D'!$A$9:$AO$94,41,FALSE),"")</f>
        <v>KP-1c Percentage of sex workers reached with HIV prevention programs - defined package of services</v>
      </c>
      <c r="D1213" s="574" t="str">
        <f ca="1">M1213</f>
        <v/>
      </c>
      <c r="E1213" s="574" t="str">
        <f ca="1">N1213</f>
        <v/>
      </c>
      <c r="F1213" s="127"/>
      <c r="G1213" s="576" t="str">
        <f ca="1">IF(OR(INDIRECT("'update Helper'!E"&amp;Q1213)="",F1213&lt;&gt;0,F1214&lt;&gt;0),IF(IFERROR((F1213/F1214),"")="","",(F1213/F1214)),INDIRECT("'update Helper'!E"&amp;Q1213)/100)</f>
        <v/>
      </c>
      <c r="H1213" s="539"/>
      <c r="I1213" s="578"/>
      <c r="J1213" s="532"/>
      <c r="K1213" s="126">
        <f ca="1">IF(AND(EXACT(C1213,C1211),C1211&lt;&gt;0),K1211+1,0)</f>
        <v>16</v>
      </c>
      <c r="L1213" s="126" t="str">
        <f t="shared" ref="L1213" ca="1" si="1399">IF(C1213&lt;&gt;"",C1213&amp;"-"&amp;K1213,"")</f>
        <v>KP-1c Percentage of sex workers reached with HIV prevention programs - defined package of services-16</v>
      </c>
      <c r="M1213" s="126" t="str">
        <f t="array" aca="1" ref="M1213" ca="1">IFERROR(IF(INDEX('Disaggregation Records'!$E$156:$E$517,MATCH(RIGHT(L1213,255),RIGHT('Disaggregation Records'!$D$156:$D$517,255),0))="","",INDEX('Disaggregation Records'!$E$156:$E$517,MATCH(RIGHT(L1213,255),RIGHT('Disaggregation Records'!$D$156:$D$517,255),0))),"")</f>
        <v/>
      </c>
      <c r="N1213" s="126" t="str">
        <f t="array" aca="1" ref="N1213" ca="1">IFERROR(IF(INDEX('Disaggregation Records'!$F$156:$F$517,MATCH(RIGHT(L1213,255),RIGHT('Disaggregation Records'!$D$156:$D$517,255),0))="","",INDEX('Disaggregation Records'!$F$156:$F$517,MATCH(RIGHT(L1213,255),RIGHT('Disaggregation Records'!$D$156:$D$517,255),0))),"")</f>
        <v/>
      </c>
      <c r="O1213" s="314" t="str">
        <f t="array" aca="1" ref="O1213" ca="1">IFERROR(IF(INDEX('Disaggregation Records'!$H$156:$H$517,MATCH(RIGHT(L1213,255),RIGHT('Disaggregation Records'!$D$156:$D$517,255),0))="","",INDEX('Disaggregation Records'!$H$156:$H$517,MATCH(RIGHT(L1213,255),RIGHT('Disaggregation Records'!$D$156:$D$517,255),0))),"")</f>
        <v/>
      </c>
      <c r="P1213" s="314"/>
      <c r="Q1213" s="310">
        <f t="shared" ref="Q1213" si="1400">Q1211+1</f>
        <v>1908</v>
      </c>
      <c r="R1213" s="314" t="str" cm="1">
        <f t="array" aca="1" ref="R1213" ca="1">IFERROR(IF(INDEX('Disaggregation Records'!$G$156:$G$517,MATCH(RIGHT(L1213,255),RIGHT('Disaggregation Records'!$D$156:$D$517,255),0))="","",INDEX('Disaggregation Records'!$G$156:$G$517,MATCH(RIGHT(L1213,255),RIGHT('Disaggregation Records'!$D$156:$D$517,255),0))),"")</f>
        <v/>
      </c>
    </row>
    <row r="1214" spans="1:18" ht="20.100000000000001" customHeight="1">
      <c r="A1214" s="126"/>
      <c r="B1214" s="571"/>
      <c r="C1214" s="573"/>
      <c r="D1214" s="575"/>
      <c r="E1214" s="575"/>
      <c r="F1214" s="128"/>
      <c r="G1214" s="577"/>
      <c r="H1214" s="540"/>
      <c r="I1214" s="579"/>
      <c r="J1214" s="533"/>
      <c r="K1214" s="126"/>
      <c r="L1214" s="126"/>
      <c r="M1214" s="126"/>
      <c r="N1214" s="126"/>
      <c r="O1214" s="314"/>
      <c r="P1214" s="314"/>
      <c r="Q1214" s="310"/>
      <c r="R1214" s="314" t="str" cm="1">
        <f t="array" ref="R1214">IFERROR(IF(INDEX('Disaggregation Records'!$G$156:$G$517,MATCH(RIGHT(L1214,255),RIGHT('Disaggregation Records'!$D$156:$D$517,255),0))="","",INDEX('Disaggregation Records'!$G$156:$G$517,MATCH(RIGHT(L1214,255),RIGHT('Disaggregation Records'!$D$156:$D$517,255),0))),"")</f>
        <v/>
      </c>
    </row>
    <row r="1215" spans="1:18" ht="20.100000000000001" customHeight="1">
      <c r="A1215" s="126" t="str">
        <f t="shared" ca="1" si="1388"/>
        <v>a16Dm000000M3uyIAC</v>
      </c>
      <c r="B1215" s="570">
        <v>15</v>
      </c>
      <c r="C1215" s="572" t="str">
        <f ca="1">IFERROR(VLOOKUP(B1215,'Coverage Indicators - Section D'!$A$9:$AO$94,41,FALSE),"")</f>
        <v>KP-1c Percentage of sex workers reached with HIV prevention programs - defined package of services</v>
      </c>
      <c r="D1215" s="574" t="str">
        <f ca="1">M1215</f>
        <v/>
      </c>
      <c r="E1215" s="574" t="str">
        <f ca="1">N1215</f>
        <v/>
      </c>
      <c r="F1215" s="127"/>
      <c r="G1215" s="576" t="str">
        <f ca="1">IF(OR(INDIRECT("'update Helper'!E"&amp;Q1215)="",F1215&lt;&gt;0,F1216&lt;&gt;0),IF(IFERROR((F1215/F1216),"")="","",(F1215/F1216)),INDIRECT("'update Helper'!E"&amp;Q1215)/100)</f>
        <v/>
      </c>
      <c r="H1215" s="539"/>
      <c r="I1215" s="578"/>
      <c r="J1215" s="532"/>
      <c r="K1215" s="126">
        <f ca="1">IF(AND(EXACT(C1215,C1213),C1213&lt;&gt;0),K1213+1,0)</f>
        <v>17</v>
      </c>
      <c r="L1215" s="126" t="str">
        <f t="shared" ref="L1215" ca="1" si="1401">IF(C1215&lt;&gt;"",C1215&amp;"-"&amp;K1215,"")</f>
        <v>KP-1c Percentage of sex workers reached with HIV prevention programs - defined package of services-17</v>
      </c>
      <c r="M1215" s="126" t="str">
        <f t="array" aca="1" ref="M1215" ca="1">IFERROR(IF(INDEX('Disaggregation Records'!$E$156:$E$517,MATCH(RIGHT(L1215,255),RIGHT('Disaggregation Records'!$D$156:$D$517,255),0))="","",INDEX('Disaggregation Records'!$E$156:$E$517,MATCH(RIGHT(L1215,255),RIGHT('Disaggregation Records'!$D$156:$D$517,255),0))),"")</f>
        <v/>
      </c>
      <c r="N1215" s="126" t="str">
        <f t="array" aca="1" ref="N1215" ca="1">IFERROR(IF(INDEX('Disaggregation Records'!$F$156:$F$517,MATCH(RIGHT(L1215,255),RIGHT('Disaggregation Records'!$D$156:$D$517,255),0))="","",INDEX('Disaggregation Records'!$F$156:$F$517,MATCH(RIGHT(L1215,255),RIGHT('Disaggregation Records'!$D$156:$D$517,255),0))),"")</f>
        <v/>
      </c>
      <c r="O1215" s="314" t="str">
        <f t="array" aca="1" ref="O1215" ca="1">IFERROR(IF(INDEX('Disaggregation Records'!$H$156:$H$517,MATCH(RIGHT(L1215,255),RIGHT('Disaggregation Records'!$D$156:$D$517,255),0))="","",INDEX('Disaggregation Records'!$H$156:$H$517,MATCH(RIGHT(L1215,255),RIGHT('Disaggregation Records'!$D$156:$D$517,255),0))),"")</f>
        <v/>
      </c>
      <c r="P1215" s="310"/>
      <c r="Q1215" s="310">
        <f t="shared" ref="Q1215" si="1402">Q1213+1</f>
        <v>1909</v>
      </c>
      <c r="R1215" s="314" t="str" cm="1">
        <f t="array" aca="1" ref="R1215" ca="1">IFERROR(IF(INDEX('Disaggregation Records'!$G$156:$G$517,MATCH(RIGHT(L1215,255),RIGHT('Disaggregation Records'!$D$156:$D$517,255),0))="","",INDEX('Disaggregation Records'!$G$156:$G$517,MATCH(RIGHT(L1215,255),RIGHT('Disaggregation Records'!$D$156:$D$517,255),0))),"")</f>
        <v/>
      </c>
    </row>
    <row r="1216" spans="1:18" ht="20.100000000000001" customHeight="1">
      <c r="B1216" s="571"/>
      <c r="C1216" s="573"/>
      <c r="D1216" s="575"/>
      <c r="E1216" s="575"/>
      <c r="F1216" s="128"/>
      <c r="G1216" s="577"/>
      <c r="H1216" s="540"/>
      <c r="I1216" s="579"/>
      <c r="J1216" s="533"/>
      <c r="L1216" s="126"/>
      <c r="N1216" s="126"/>
      <c r="O1216" s="314"/>
      <c r="P1216" s="310"/>
      <c r="Q1216" s="310"/>
      <c r="R1216" s="314" t="str" cm="1">
        <f t="array" ref="R1216">IFERROR(IF(INDEX('Disaggregation Records'!$G$156:$G$517,MATCH(RIGHT(L1216,255),RIGHT('Disaggregation Records'!$D$156:$D$517,255),0))="","",INDEX('Disaggregation Records'!$G$156:$G$517,MATCH(RIGHT(L1216,255),RIGHT('Disaggregation Records'!$D$156:$D$517,255),0))),"")</f>
        <v/>
      </c>
    </row>
    <row r="1217" spans="1:18" ht="20.100000000000001" customHeight="1">
      <c r="A1217" s="126" t="str">
        <f t="shared" ca="1" si="1385"/>
        <v>a16Dm000000M3uzIAC</v>
      </c>
      <c r="B1217" s="570">
        <v>15</v>
      </c>
      <c r="C1217" s="572" t="str">
        <f ca="1">IFERROR(VLOOKUP(B1217,'Coverage Indicators - Section D'!$A$9:$AO$94,41,FALSE),"")</f>
        <v>KP-1c Percentage of sex workers reached with HIV prevention programs - defined package of services</v>
      </c>
      <c r="D1217" s="574" t="str">
        <f ca="1">M1217</f>
        <v/>
      </c>
      <c r="E1217" s="574" t="str">
        <f ca="1">N1217</f>
        <v/>
      </c>
      <c r="F1217" s="127"/>
      <c r="G1217" s="576" t="str">
        <f ca="1">IF(OR(INDIRECT("'update Helper'!E"&amp;Q1217)="",F1217&lt;&gt;0,F1218&lt;&gt;0),IF(IFERROR((F1217/F1218),"")="","",(F1217/F1218)),INDIRECT("'update Helper'!E"&amp;Q1217)/100)</f>
        <v/>
      </c>
      <c r="H1217" s="539"/>
      <c r="I1217" s="578"/>
      <c r="J1217" s="532"/>
      <c r="K1217" s="126">
        <f ca="1">IF(AND(EXACT(C1217,C1215),C1215&lt;&gt;0),K1215+1,0)</f>
        <v>18</v>
      </c>
      <c r="L1217" s="126" t="str">
        <f t="shared" ref="L1217" ca="1" si="1403">IF(C1217&lt;&gt;"",C1217&amp;"-"&amp;K1217,"")</f>
        <v>KP-1c Percentage of sex workers reached with HIV prevention programs - defined package of services-18</v>
      </c>
      <c r="M1217" s="126" t="str">
        <f t="array" aca="1" ref="M1217" ca="1">IFERROR(IF(INDEX('Disaggregation Records'!$E$156:$E$517,MATCH(RIGHT(L1217,255),RIGHT('Disaggregation Records'!$D$156:$D$517,255),0))="","",INDEX('Disaggregation Records'!$E$156:$E$517,MATCH(RIGHT(L1217,255),RIGHT('Disaggregation Records'!$D$156:$D$517,255),0))),"")</f>
        <v/>
      </c>
      <c r="N1217" s="126" t="str">
        <f t="array" aca="1" ref="N1217" ca="1">IFERROR(IF(INDEX('Disaggregation Records'!$F$156:$F$517,MATCH(RIGHT(L1217,255),RIGHT('Disaggregation Records'!$D$156:$D$517,255),0))="","",INDEX('Disaggregation Records'!$F$156:$F$517,MATCH(RIGHT(L1217,255),RIGHT('Disaggregation Records'!$D$156:$D$517,255),0))),"")</f>
        <v/>
      </c>
      <c r="O1217" s="314" t="str">
        <f t="array" aca="1" ref="O1217" ca="1">IFERROR(IF(INDEX('Disaggregation Records'!$H$156:$H$517,MATCH(RIGHT(L1217,255),RIGHT('Disaggregation Records'!$D$156:$D$517,255),0))="","",INDEX('Disaggregation Records'!$H$156:$H$517,MATCH(RIGHT(L1217,255),RIGHT('Disaggregation Records'!$D$156:$D$517,255),0))),"")</f>
        <v/>
      </c>
      <c r="P1217" s="310"/>
      <c r="Q1217" s="310">
        <f t="shared" ref="Q1217" si="1404">Q1215+1</f>
        <v>1910</v>
      </c>
      <c r="R1217" s="314" t="str" cm="1">
        <f t="array" aca="1" ref="R1217" ca="1">IFERROR(IF(INDEX('Disaggregation Records'!$G$156:$G$517,MATCH(RIGHT(L1217,255),RIGHT('Disaggregation Records'!$D$156:$D$517,255),0))="","",INDEX('Disaggregation Records'!$G$156:$G$517,MATCH(RIGHT(L1217,255),RIGHT('Disaggregation Records'!$D$156:$D$517,255),0))),"")</f>
        <v/>
      </c>
    </row>
    <row r="1218" spans="1:18" ht="20.100000000000001" customHeight="1">
      <c r="A1218" s="126"/>
      <c r="B1218" s="571"/>
      <c r="C1218" s="573"/>
      <c r="D1218" s="575"/>
      <c r="E1218" s="575"/>
      <c r="F1218" s="128"/>
      <c r="G1218" s="577"/>
      <c r="H1218" s="540"/>
      <c r="I1218" s="579"/>
      <c r="J1218" s="533"/>
      <c r="L1218" s="126"/>
      <c r="N1218" s="126"/>
      <c r="O1218" s="314"/>
      <c r="P1218" s="310"/>
      <c r="Q1218" s="310"/>
      <c r="R1218" s="314" t="str" cm="1">
        <f t="array" ref="R1218">IFERROR(IF(INDEX('Disaggregation Records'!$G$156:$G$517,MATCH(RIGHT(L1218,255),RIGHT('Disaggregation Records'!$D$156:$D$517,255),0))="","",INDEX('Disaggregation Records'!$G$156:$G$517,MATCH(RIGHT(L1218,255),RIGHT('Disaggregation Records'!$D$156:$D$517,255),0))),"")</f>
        <v/>
      </c>
    </row>
    <row r="1219" spans="1:18" ht="20.100000000000001" customHeight="1">
      <c r="A1219" s="126" t="str">
        <f t="shared" ca="1" si="1388"/>
        <v>a16Dm000000M3v0IAC</v>
      </c>
      <c r="B1219" s="570">
        <v>15</v>
      </c>
      <c r="C1219" s="572" t="str">
        <f ca="1">IFERROR(VLOOKUP(B1219,'Coverage Indicators - Section D'!$A$9:$AO$94,41,FALSE),"")</f>
        <v>KP-1c Percentage of sex workers reached with HIV prevention programs - defined package of services</v>
      </c>
      <c r="D1219" s="574" t="str">
        <f ca="1">M1219</f>
        <v/>
      </c>
      <c r="E1219" s="574" t="str">
        <f ca="1">N1219</f>
        <v/>
      </c>
      <c r="F1219" s="127"/>
      <c r="G1219" s="576" t="str">
        <f ca="1">IF(OR(INDIRECT("'update Helper'!E"&amp;Q1219)="",F1219&lt;&gt;0,F1220&lt;&gt;0),IF(IFERROR((F1219/F1220),"")="","",(F1219/F1220)),INDIRECT("'update Helper'!E"&amp;Q1219)/100)</f>
        <v/>
      </c>
      <c r="H1219" s="539"/>
      <c r="I1219" s="578"/>
      <c r="J1219" s="532"/>
      <c r="K1219" s="126">
        <f ca="1">IF(AND(EXACT(C1219,C1217),C1217&lt;&gt;0),K1217+1,0)</f>
        <v>19</v>
      </c>
      <c r="L1219" s="126" t="str">
        <f t="shared" ref="L1219" ca="1" si="1405">IF(C1219&lt;&gt;"",C1219&amp;"-"&amp;K1219,"")</f>
        <v>KP-1c Percentage of sex workers reached with HIV prevention programs - defined package of services-19</v>
      </c>
      <c r="M1219" s="126" t="str">
        <f t="array" aca="1" ref="M1219" ca="1">IFERROR(IF(INDEX('Disaggregation Records'!$E$156:$E$517,MATCH(RIGHT(L1219,255),RIGHT('Disaggregation Records'!$D$156:$D$517,255),0))="","",INDEX('Disaggregation Records'!$E$156:$E$517,MATCH(RIGHT(L1219,255),RIGHT('Disaggregation Records'!$D$156:$D$517,255),0))),"")</f>
        <v/>
      </c>
      <c r="N1219" s="126" t="str">
        <f t="array" aca="1" ref="N1219" ca="1">IFERROR(IF(INDEX('Disaggregation Records'!$F$156:$F$517,MATCH(RIGHT(L1219,255),RIGHT('Disaggregation Records'!$D$156:$D$517,255),0))="","",INDEX('Disaggregation Records'!$F$156:$F$517,MATCH(RIGHT(L1219,255),RIGHT('Disaggregation Records'!$D$156:$D$517,255),0))),"")</f>
        <v/>
      </c>
      <c r="O1219" s="314" t="str">
        <f t="array" aca="1" ref="O1219" ca="1">IFERROR(IF(INDEX('Disaggregation Records'!$H$156:$H$517,MATCH(RIGHT(L1219,255),RIGHT('Disaggregation Records'!$D$156:$D$517,255),0))="","",INDEX('Disaggregation Records'!$H$156:$H$517,MATCH(RIGHT(L1219,255),RIGHT('Disaggregation Records'!$D$156:$D$517,255),0))),"")</f>
        <v/>
      </c>
      <c r="P1219" s="310"/>
      <c r="Q1219" s="310">
        <f t="shared" ref="Q1219" si="1406">Q1217+1</f>
        <v>1911</v>
      </c>
      <c r="R1219" s="314" t="str" cm="1">
        <f t="array" aca="1" ref="R1219" ca="1">IFERROR(IF(INDEX('Disaggregation Records'!$G$156:$G$517,MATCH(RIGHT(L1219,255),RIGHT('Disaggregation Records'!$D$156:$D$517,255),0))="","",INDEX('Disaggregation Records'!$G$156:$G$517,MATCH(RIGHT(L1219,255),RIGHT('Disaggregation Records'!$D$156:$D$517,255),0))),"")</f>
        <v/>
      </c>
    </row>
    <row r="1220" spans="1:18" ht="20.100000000000001" customHeight="1">
      <c r="B1220" s="571"/>
      <c r="C1220" s="573"/>
      <c r="D1220" s="575"/>
      <c r="E1220" s="575"/>
      <c r="F1220" s="128"/>
      <c r="G1220" s="577"/>
      <c r="H1220" s="540"/>
      <c r="I1220" s="579"/>
      <c r="J1220" s="533"/>
      <c r="L1220" s="126"/>
      <c r="N1220" s="126"/>
      <c r="O1220" s="314"/>
      <c r="P1220" s="310"/>
      <c r="Q1220" s="310"/>
      <c r="R1220" s="314" t="str" cm="1">
        <f t="array" ref="R1220">IFERROR(IF(INDEX('Disaggregation Records'!$G$156:$G$517,MATCH(RIGHT(L1220,255),RIGHT('Disaggregation Records'!$D$156:$D$517,255),0))="","",INDEX('Disaggregation Records'!$G$156:$G$517,MATCH(RIGHT(L1220,255),RIGHT('Disaggregation Records'!$D$156:$D$517,255),0))),"")</f>
        <v/>
      </c>
    </row>
    <row r="1221" spans="1:18" ht="20.100000000000001" customHeight="1">
      <c r="A1221" s="126" t="str">
        <f t="shared" ca="1" si="1385"/>
        <v>a16Dm000000M3v1IAC</v>
      </c>
      <c r="B1221" s="570">
        <v>16</v>
      </c>
      <c r="C1221" s="572" t="str">
        <f ca="1">IFERROR(VLOOKUP(B1221,'Coverage Indicators - Section D'!$A$9:$AO$94,41,FALSE),"")</f>
        <v>KP-6c Number of sex workers who received any PrEP product at least once during the reporting period</v>
      </c>
      <c r="D1221" s="574" t="str">
        <f ca="1">M1221</f>
        <v>Age</v>
      </c>
      <c r="E1221" s="574" t="str">
        <f ca="1">N1221</f>
        <v>25+</v>
      </c>
      <c r="F1221" s="127"/>
      <c r="G1221" s="576" t="str">
        <f ca="1">IF(OR(INDIRECT("'update Helper'!E"&amp;Q1221)="",F1221&lt;&gt;0,F1222&lt;&gt;0),IF(IFERROR((F1221/F1222),"")="","",(F1221/F1222)),INDIRECT("'update Helper'!E"&amp;Q1221)/100)</f>
        <v/>
      </c>
      <c r="H1221" s="539"/>
      <c r="I1221" s="578"/>
      <c r="J1221" s="532" t="s">
        <v>2301</v>
      </c>
      <c r="K1221" s="126">
        <f ca="1">IF(AND(EXACT(C1221,C1219),C1219&lt;&gt;0),K1219+1,0)</f>
        <v>0</v>
      </c>
      <c r="L1221" s="126" t="str">
        <f t="shared" ref="L1221" ca="1" si="1407">IF(C1221&lt;&gt;"",C1221&amp;"-"&amp;K1221,"")</f>
        <v>KP-6c Number of sex workers who received any PrEP product at least once during the reporting period-0</v>
      </c>
      <c r="M1221" s="126" t="str">
        <f t="array" aca="1" ref="M1221" ca="1">IFERROR(IF(INDEX('Disaggregation Records'!$E$156:$E$517,MATCH(RIGHT(L1221,255),RIGHT('Disaggregation Records'!$D$156:$D$517,255),0))="","",INDEX('Disaggregation Records'!$E$156:$E$517,MATCH(RIGHT(L1221,255),RIGHT('Disaggregation Records'!$D$156:$D$517,255),0))),"")</f>
        <v>Age</v>
      </c>
      <c r="N1221" s="126" t="str">
        <f t="array" aca="1" ref="N1221" ca="1">IFERROR(IF(INDEX('Disaggregation Records'!$F$156:$F$517,MATCH(RIGHT(L1221,255),RIGHT('Disaggregation Records'!$D$156:$D$517,255),0))="","",INDEX('Disaggregation Records'!$F$156:$F$517,MATCH(RIGHT(L1221,255),RIGHT('Disaggregation Records'!$D$156:$D$517,255),0))),"")</f>
        <v>25+</v>
      </c>
      <c r="O1221" s="314" t="str">
        <f t="array" aca="1" ref="O1221" ca="1">IFERROR(IF(INDEX('Disaggregation Records'!$H$156:$H$517,MATCH(RIGHT(L1221,255),RIGHT('Disaggregation Records'!$D$156:$D$517,255),0))="","",INDEX('Disaggregation Records'!$H$156:$H$517,MATCH(RIGHT(L1221,255),RIGHT('Disaggregation Records'!$D$156:$D$517,255),0))),"")</f>
        <v>IDR-01211</v>
      </c>
      <c r="P1221" s="314"/>
      <c r="Q1221" s="310">
        <f t="shared" ref="Q1221" si="1408">Q1219+1</f>
        <v>1912</v>
      </c>
      <c r="R1221" s="314" t="str" cm="1">
        <f t="array" aca="1" ref="R1221" ca="1">IFERROR(IF(INDEX('Disaggregation Records'!$G$156:$G$517,MATCH(RIGHT(L1221,255),RIGHT('Disaggregation Records'!$D$156:$D$517,255),0))="","",INDEX('Disaggregation Records'!$G$156:$G$517,MATCH(RIGHT(L1221,255),RIGHT('Disaggregation Records'!$D$156:$D$517,255),0))),"")</f>
        <v>a1LDm000000Cb2HMAS</v>
      </c>
    </row>
    <row r="1222" spans="1:18" ht="20.100000000000001" customHeight="1">
      <c r="A1222" s="126"/>
      <c r="B1222" s="571"/>
      <c r="C1222" s="573"/>
      <c r="D1222" s="575"/>
      <c r="E1222" s="575"/>
      <c r="F1222" s="128"/>
      <c r="G1222" s="577"/>
      <c r="H1222" s="540"/>
      <c r="I1222" s="579"/>
      <c r="J1222" s="533"/>
      <c r="K1222" s="126"/>
      <c r="L1222" s="126"/>
      <c r="M1222" s="126"/>
      <c r="N1222" s="126"/>
      <c r="O1222" s="314"/>
      <c r="P1222" s="314"/>
      <c r="Q1222" s="310"/>
      <c r="R1222" s="314" t="str" cm="1">
        <f t="array" ref="R1222">IFERROR(IF(INDEX('Disaggregation Records'!$G$156:$G$517,MATCH(RIGHT(L1222,255),RIGHT('Disaggregation Records'!$D$156:$D$517,255),0))="","",INDEX('Disaggregation Records'!$G$156:$G$517,MATCH(RIGHT(L1222,255),RIGHT('Disaggregation Records'!$D$156:$D$517,255),0))),"")</f>
        <v/>
      </c>
    </row>
    <row r="1223" spans="1:18" ht="20.100000000000001" customHeight="1">
      <c r="A1223" s="126" t="str">
        <f t="shared" ca="1" si="1388"/>
        <v>a16Dm000000M3v2IAC</v>
      </c>
      <c r="B1223" s="570">
        <v>16</v>
      </c>
      <c r="C1223" s="572" t="str">
        <f ca="1">IFERROR(VLOOKUP(B1223,'Coverage Indicators - Section D'!$A$9:$AO$94,41,FALSE),"")</f>
        <v>KP-6c Number of sex workers who received any PrEP product at least once during the reporting period</v>
      </c>
      <c r="D1223" s="574" t="str">
        <f ca="1">M1223</f>
        <v>Age</v>
      </c>
      <c r="E1223" s="574" t="str">
        <f ca="1">N1223</f>
        <v>20-24</v>
      </c>
      <c r="F1223" s="127"/>
      <c r="G1223" s="576" t="str">
        <f ca="1">IF(OR(INDIRECT("'update Helper'!E"&amp;Q1223)="",F1223&lt;&gt;0,F1224&lt;&gt;0),IF(IFERROR((F1223/F1224),"")="","",(F1223/F1224)),INDIRECT("'update Helper'!E"&amp;Q1223)/100)</f>
        <v/>
      </c>
      <c r="H1223" s="539"/>
      <c r="I1223" s="578"/>
      <c r="J1223" s="532" t="s">
        <v>2301</v>
      </c>
      <c r="K1223" s="126">
        <f ca="1">IF(AND(EXACT(C1223,C1221),C1221&lt;&gt;0),K1221+1,0)</f>
        <v>1</v>
      </c>
      <c r="L1223" s="126" t="str">
        <f t="shared" ref="L1223" ca="1" si="1409">IF(C1223&lt;&gt;"",C1223&amp;"-"&amp;K1223,"")</f>
        <v>KP-6c Number of sex workers who received any PrEP product at least once during the reporting period-1</v>
      </c>
      <c r="M1223" s="126" t="str">
        <f t="array" aca="1" ref="M1223" ca="1">IFERROR(IF(INDEX('Disaggregation Records'!$E$156:$E$517,MATCH(RIGHT(L1223,255),RIGHT('Disaggregation Records'!$D$156:$D$517,255),0))="","",INDEX('Disaggregation Records'!$E$156:$E$517,MATCH(RIGHT(L1223,255),RIGHT('Disaggregation Records'!$D$156:$D$517,255),0))),"")</f>
        <v>Age</v>
      </c>
      <c r="N1223" s="126" t="str">
        <f t="array" aca="1" ref="N1223" ca="1">IFERROR(IF(INDEX('Disaggregation Records'!$F$156:$F$517,MATCH(RIGHT(L1223,255),RIGHT('Disaggregation Records'!$D$156:$D$517,255),0))="","",INDEX('Disaggregation Records'!$F$156:$F$517,MATCH(RIGHT(L1223,255),RIGHT('Disaggregation Records'!$D$156:$D$517,255),0))),"")</f>
        <v>20-24</v>
      </c>
      <c r="O1223" s="314" t="str">
        <f t="array" aca="1" ref="O1223" ca="1">IFERROR(IF(INDEX('Disaggregation Records'!$H$156:$H$517,MATCH(RIGHT(L1223,255),RIGHT('Disaggregation Records'!$D$156:$D$517,255),0))="","",INDEX('Disaggregation Records'!$H$156:$H$517,MATCH(RIGHT(L1223,255),RIGHT('Disaggregation Records'!$D$156:$D$517,255),0))),"")</f>
        <v>IDR-01210</v>
      </c>
      <c r="P1223" s="314"/>
      <c r="Q1223" s="310">
        <f t="shared" ref="Q1223" si="1410">Q1221+1</f>
        <v>1913</v>
      </c>
      <c r="R1223" s="314" t="str" cm="1">
        <f t="array" aca="1" ref="R1223" ca="1">IFERROR(IF(INDEX('Disaggregation Records'!$G$156:$G$517,MATCH(RIGHT(L1223,255),RIGHT('Disaggregation Records'!$D$156:$D$517,255),0))="","",INDEX('Disaggregation Records'!$G$156:$G$517,MATCH(RIGHT(L1223,255),RIGHT('Disaggregation Records'!$D$156:$D$517,255),0))),"")</f>
        <v>a1LDm000000Cb2GMAS</v>
      </c>
    </row>
    <row r="1224" spans="1:18" ht="20.100000000000001" customHeight="1">
      <c r="B1224" s="571"/>
      <c r="C1224" s="573"/>
      <c r="D1224" s="575"/>
      <c r="E1224" s="575"/>
      <c r="F1224" s="128"/>
      <c r="G1224" s="577"/>
      <c r="H1224" s="540"/>
      <c r="I1224" s="579"/>
      <c r="J1224" s="533"/>
      <c r="K1224" s="126"/>
      <c r="L1224" s="126"/>
      <c r="M1224" s="126"/>
      <c r="N1224" s="126"/>
      <c r="O1224" s="314"/>
      <c r="P1224" s="314"/>
      <c r="Q1224" s="310"/>
      <c r="R1224" s="314" t="str" cm="1">
        <f t="array" ref="R1224">IFERROR(IF(INDEX('Disaggregation Records'!$G$156:$G$517,MATCH(RIGHT(L1224,255),RIGHT('Disaggregation Records'!$D$156:$D$517,255),0))="","",INDEX('Disaggregation Records'!$G$156:$G$517,MATCH(RIGHT(L1224,255),RIGHT('Disaggregation Records'!$D$156:$D$517,255),0))),"")</f>
        <v/>
      </c>
    </row>
    <row r="1225" spans="1:18" ht="20.100000000000001" customHeight="1">
      <c r="A1225" s="126" t="str">
        <f t="shared" ca="1" si="1385"/>
        <v>a16Dm000000M3v3IAC</v>
      </c>
      <c r="B1225" s="570">
        <v>16</v>
      </c>
      <c r="C1225" s="572" t="str">
        <f ca="1">IFERROR(VLOOKUP(B1225,'Coverage Indicators - Section D'!$A$9:$AO$94,41,FALSE),"")</f>
        <v>KP-6c Number of sex workers who received any PrEP product at least once during the reporting period</v>
      </c>
      <c r="D1225" s="574" t="str">
        <f ca="1">M1225</f>
        <v>Age</v>
      </c>
      <c r="E1225" s="574" t="str">
        <f ca="1">N1225</f>
        <v>15-19</v>
      </c>
      <c r="F1225" s="127"/>
      <c r="G1225" s="576" t="str">
        <f ca="1">IF(OR(INDIRECT("'update Helper'!E"&amp;Q1225)="",F1225&lt;&gt;0,F1226&lt;&gt;0),IF(IFERROR((F1225/F1226),"")="","",(F1225/F1226)),INDIRECT("'update Helper'!E"&amp;Q1225)/100)</f>
        <v/>
      </c>
      <c r="H1225" s="539"/>
      <c r="I1225" s="578"/>
      <c r="J1225" s="532" t="s">
        <v>2301</v>
      </c>
      <c r="K1225" s="126">
        <f ca="1">IF(AND(EXACT(C1225,C1223),C1223&lt;&gt;0),K1223+1,0)</f>
        <v>2</v>
      </c>
      <c r="L1225" s="126" t="str">
        <f t="shared" ref="L1225" ca="1" si="1411">IF(C1225&lt;&gt;"",C1225&amp;"-"&amp;K1225,"")</f>
        <v>KP-6c Number of sex workers who received any PrEP product at least once during the reporting period-2</v>
      </c>
      <c r="M1225" s="126" t="str">
        <f t="array" aca="1" ref="M1225" ca="1">IFERROR(IF(INDEX('Disaggregation Records'!$E$156:$E$517,MATCH(RIGHT(L1225,255),RIGHT('Disaggregation Records'!$D$156:$D$517,255),0))="","",INDEX('Disaggregation Records'!$E$156:$E$517,MATCH(RIGHT(L1225,255),RIGHT('Disaggregation Records'!$D$156:$D$517,255),0))),"")</f>
        <v>Age</v>
      </c>
      <c r="N1225" s="126" t="str">
        <f t="array" aca="1" ref="N1225" ca="1">IFERROR(IF(INDEX('Disaggregation Records'!$F$156:$F$517,MATCH(RIGHT(L1225,255),RIGHT('Disaggregation Records'!$D$156:$D$517,255),0))="","",INDEX('Disaggregation Records'!$F$156:$F$517,MATCH(RIGHT(L1225,255),RIGHT('Disaggregation Records'!$D$156:$D$517,255),0))),"")</f>
        <v>15-19</v>
      </c>
      <c r="O1225" s="314" t="str">
        <f t="array" aca="1" ref="O1225" ca="1">IFERROR(IF(INDEX('Disaggregation Records'!$H$156:$H$517,MATCH(RIGHT(L1225,255),RIGHT('Disaggregation Records'!$D$156:$D$517,255),0))="","",INDEX('Disaggregation Records'!$H$156:$H$517,MATCH(RIGHT(L1225,255),RIGHT('Disaggregation Records'!$D$156:$D$517,255),0))),"")</f>
        <v>IDR-01209</v>
      </c>
      <c r="P1225" s="310"/>
      <c r="Q1225" s="310">
        <f t="shared" ref="Q1225" si="1412">Q1223+1</f>
        <v>1914</v>
      </c>
      <c r="R1225" s="314" t="str" cm="1">
        <f t="array" aca="1" ref="R1225" ca="1">IFERROR(IF(INDEX('Disaggregation Records'!$G$156:$G$517,MATCH(RIGHT(L1225,255),RIGHT('Disaggregation Records'!$D$156:$D$517,255),0))="","",INDEX('Disaggregation Records'!$G$156:$G$517,MATCH(RIGHT(L1225,255),RIGHT('Disaggregation Records'!$D$156:$D$517,255),0))),"")</f>
        <v>a1LDm000000Cb2FMAS</v>
      </c>
    </row>
    <row r="1226" spans="1:18" ht="20.100000000000001" customHeight="1">
      <c r="A1226" s="126"/>
      <c r="B1226" s="571"/>
      <c r="C1226" s="573"/>
      <c r="D1226" s="575"/>
      <c r="E1226" s="575"/>
      <c r="F1226" s="128"/>
      <c r="G1226" s="577"/>
      <c r="H1226" s="540"/>
      <c r="I1226" s="579"/>
      <c r="J1226" s="533"/>
      <c r="L1226" s="126"/>
      <c r="N1226" s="126"/>
      <c r="O1226" s="314"/>
      <c r="P1226" s="310"/>
      <c r="Q1226" s="310"/>
      <c r="R1226" s="314" t="str" cm="1">
        <f t="array" ref="R1226">IFERROR(IF(INDEX('Disaggregation Records'!$G$156:$G$517,MATCH(RIGHT(L1226,255),RIGHT('Disaggregation Records'!$D$156:$D$517,255),0))="","",INDEX('Disaggregation Records'!$G$156:$G$517,MATCH(RIGHT(L1226,255),RIGHT('Disaggregation Records'!$D$156:$D$517,255),0))),"")</f>
        <v/>
      </c>
    </row>
    <row r="1227" spans="1:18" ht="20.100000000000001" customHeight="1">
      <c r="A1227" s="126" t="str">
        <f t="shared" ca="1" si="1388"/>
        <v>a16Dm000000M3v4IAC</v>
      </c>
      <c r="B1227" s="570">
        <v>16</v>
      </c>
      <c r="C1227" s="572" t="str">
        <f ca="1">IFERROR(VLOOKUP(B1227,'Coverage Indicators - Section D'!$A$9:$AO$94,41,FALSE),"")</f>
        <v>KP-6c Number of sex workers who received any PrEP product at least once during the reporting period</v>
      </c>
      <c r="D1227" s="574" t="str">
        <f ca="1">M1227</f>
        <v>Gender</v>
      </c>
      <c r="E1227" s="574" t="str">
        <f ca="1">N1227</f>
        <v>Transgender</v>
      </c>
      <c r="F1227" s="127"/>
      <c r="G1227" s="576" t="str">
        <f ca="1">IF(OR(INDIRECT("'update Helper'!E"&amp;Q1227)="",F1227&lt;&gt;0,F1228&lt;&gt;0),IF(IFERROR((F1227/F1228),"")="","",(F1227/F1228)),INDIRECT("'update Helper'!E"&amp;Q1227)/100)</f>
        <v/>
      </c>
      <c r="H1227" s="539"/>
      <c r="I1227" s="578"/>
      <c r="J1227" s="532" t="s">
        <v>2301</v>
      </c>
      <c r="K1227" s="126">
        <f ca="1">IF(AND(EXACT(C1227,C1225),C1225&lt;&gt;0),K1225+1,0)</f>
        <v>3</v>
      </c>
      <c r="L1227" s="126" t="str">
        <f t="shared" ref="L1227" ca="1" si="1413">IF(C1227&lt;&gt;"",C1227&amp;"-"&amp;K1227,"")</f>
        <v>KP-6c Number of sex workers who received any PrEP product at least once during the reporting period-3</v>
      </c>
      <c r="M1227" s="126" t="str">
        <f t="array" aca="1" ref="M1227" ca="1">IFERROR(IF(INDEX('Disaggregation Records'!$E$156:$E$517,MATCH(RIGHT(L1227,255),RIGHT('Disaggregation Records'!$D$156:$D$517,255),0))="","",INDEX('Disaggregation Records'!$E$156:$E$517,MATCH(RIGHT(L1227,255),RIGHT('Disaggregation Records'!$D$156:$D$517,255),0))),"")</f>
        <v>Gender</v>
      </c>
      <c r="N1227" s="126" t="str">
        <f t="array" aca="1" ref="N1227" ca="1">IFERROR(IF(INDEX('Disaggregation Records'!$F$156:$F$517,MATCH(RIGHT(L1227,255),RIGHT('Disaggregation Records'!$D$156:$D$517,255),0))="","",INDEX('Disaggregation Records'!$F$156:$F$517,MATCH(RIGHT(L1227,255),RIGHT('Disaggregation Records'!$D$156:$D$517,255),0))),"")</f>
        <v>Transgender</v>
      </c>
      <c r="O1227" s="314" t="str">
        <f t="array" aca="1" ref="O1227" ca="1">IFERROR(IF(INDEX('Disaggregation Records'!$H$156:$H$517,MATCH(RIGHT(L1227,255),RIGHT('Disaggregation Records'!$D$156:$D$517,255),0))="","",INDEX('Disaggregation Records'!$H$156:$H$517,MATCH(RIGHT(L1227,255),RIGHT('Disaggregation Records'!$D$156:$D$517,255),0))),"")</f>
        <v>IDR-01208</v>
      </c>
      <c r="P1227" s="310"/>
      <c r="Q1227" s="310">
        <f t="shared" ref="Q1227" si="1414">Q1225+1</f>
        <v>1915</v>
      </c>
      <c r="R1227" s="314" t="str" cm="1">
        <f t="array" aca="1" ref="R1227" ca="1">IFERROR(IF(INDEX('Disaggregation Records'!$G$156:$G$517,MATCH(RIGHT(L1227,255),RIGHT('Disaggregation Records'!$D$156:$D$517,255),0))="","",INDEX('Disaggregation Records'!$G$156:$G$517,MATCH(RIGHT(L1227,255),RIGHT('Disaggregation Records'!$D$156:$D$517,255),0))),"")</f>
        <v>a1LDm000000Cb2EMAS</v>
      </c>
    </row>
    <row r="1228" spans="1:18" ht="20.100000000000001" customHeight="1">
      <c r="B1228" s="571"/>
      <c r="C1228" s="573"/>
      <c r="D1228" s="575"/>
      <c r="E1228" s="575"/>
      <c r="F1228" s="128"/>
      <c r="G1228" s="577"/>
      <c r="H1228" s="540"/>
      <c r="I1228" s="579"/>
      <c r="J1228" s="533"/>
      <c r="L1228" s="126"/>
      <c r="N1228" s="126"/>
      <c r="O1228" s="314"/>
      <c r="P1228" s="310"/>
      <c r="Q1228" s="310"/>
      <c r="R1228" s="314" t="str" cm="1">
        <f t="array" ref="R1228">IFERROR(IF(INDEX('Disaggregation Records'!$G$156:$G$517,MATCH(RIGHT(L1228,255),RIGHT('Disaggregation Records'!$D$156:$D$517,255),0))="","",INDEX('Disaggregation Records'!$G$156:$G$517,MATCH(RIGHT(L1228,255),RIGHT('Disaggregation Records'!$D$156:$D$517,255),0))),"")</f>
        <v/>
      </c>
    </row>
    <row r="1229" spans="1:18" ht="20.100000000000001" customHeight="1">
      <c r="A1229" s="126" t="str">
        <f t="shared" ca="1" si="1385"/>
        <v>a16Dm000000M3v5IAC</v>
      </c>
      <c r="B1229" s="570">
        <v>16</v>
      </c>
      <c r="C1229" s="572" t="str">
        <f ca="1">IFERROR(VLOOKUP(B1229,'Coverage Indicators - Section D'!$A$9:$AO$94,41,FALSE),"")</f>
        <v>KP-6c Number of sex workers who received any PrEP product at least once during the reporting period</v>
      </c>
      <c r="D1229" s="574" t="str">
        <f ca="1">M1229</f>
        <v>PrEP product</v>
      </c>
      <c r="E1229" s="574" t="str">
        <f ca="1">N1229</f>
        <v>DPV-VR</v>
      </c>
      <c r="F1229" s="127"/>
      <c r="G1229" s="576" t="str">
        <f ca="1">IF(OR(INDIRECT("'update Helper'!E"&amp;Q1229)="",F1229&lt;&gt;0,F1230&lt;&gt;0),IF(IFERROR((F1229/F1230),"")="","",(F1229/F1230)),INDIRECT("'update Helper'!E"&amp;Q1229)/100)</f>
        <v/>
      </c>
      <c r="H1229" s="539"/>
      <c r="I1229" s="578"/>
      <c r="J1229" s="532" t="s">
        <v>2301</v>
      </c>
      <c r="K1229" s="126">
        <f ca="1">IF(AND(EXACT(C1229,C1227),C1227&lt;&gt;0),K1227+1,0)</f>
        <v>4</v>
      </c>
      <c r="L1229" s="126" t="str">
        <f t="shared" ref="L1229" ca="1" si="1415">IF(C1229&lt;&gt;"",C1229&amp;"-"&amp;K1229,"")</f>
        <v>KP-6c Number of sex workers who received any PrEP product at least once during the reporting period-4</v>
      </c>
      <c r="M1229" s="126" t="str">
        <f t="array" aca="1" ref="M1229" ca="1">IFERROR(IF(INDEX('Disaggregation Records'!$E$156:$E$517,MATCH(RIGHT(L1229,255),RIGHT('Disaggregation Records'!$D$156:$D$517,255),0))="","",INDEX('Disaggregation Records'!$E$156:$E$517,MATCH(RIGHT(L1229,255),RIGHT('Disaggregation Records'!$D$156:$D$517,255),0))),"")</f>
        <v>PrEP product</v>
      </c>
      <c r="N1229" s="126" t="str">
        <f t="array" aca="1" ref="N1229" ca="1">IFERROR(IF(INDEX('Disaggregation Records'!$F$156:$F$517,MATCH(RIGHT(L1229,255),RIGHT('Disaggregation Records'!$D$156:$D$517,255),0))="","",INDEX('Disaggregation Records'!$F$156:$F$517,MATCH(RIGHT(L1229,255),RIGHT('Disaggregation Records'!$D$156:$D$517,255),0))),"")</f>
        <v>DPV-VR</v>
      </c>
      <c r="O1229" s="314" t="str">
        <f t="array" aca="1" ref="O1229" ca="1">IFERROR(IF(INDEX('Disaggregation Records'!$H$156:$H$517,MATCH(RIGHT(L1229,255),RIGHT('Disaggregation Records'!$D$156:$D$517,255),0))="","",INDEX('Disaggregation Records'!$H$156:$H$517,MATCH(RIGHT(L1229,255),RIGHT('Disaggregation Records'!$D$156:$D$517,255),0))),"")</f>
        <v>IDR-01207</v>
      </c>
      <c r="P1229" s="310"/>
      <c r="Q1229" s="310">
        <f t="shared" ref="Q1229" si="1416">Q1227+1</f>
        <v>1916</v>
      </c>
      <c r="R1229" s="314" t="str" cm="1">
        <f t="array" aca="1" ref="R1229" ca="1">IFERROR(IF(INDEX('Disaggregation Records'!$G$156:$G$517,MATCH(RIGHT(L1229,255),RIGHT('Disaggregation Records'!$D$156:$D$517,255),0))="","",INDEX('Disaggregation Records'!$G$156:$G$517,MATCH(RIGHT(L1229,255),RIGHT('Disaggregation Records'!$D$156:$D$517,255),0))),"")</f>
        <v>a1LDm000000Cb2DMAS</v>
      </c>
    </row>
    <row r="1230" spans="1:18" ht="20.100000000000001" customHeight="1">
      <c r="A1230" s="126"/>
      <c r="B1230" s="571"/>
      <c r="C1230" s="573"/>
      <c r="D1230" s="575"/>
      <c r="E1230" s="575"/>
      <c r="F1230" s="128"/>
      <c r="G1230" s="577"/>
      <c r="H1230" s="540"/>
      <c r="I1230" s="579"/>
      <c r="J1230" s="533"/>
      <c r="L1230" s="126"/>
      <c r="N1230" s="126"/>
      <c r="O1230" s="314"/>
      <c r="P1230" s="310"/>
      <c r="Q1230" s="310"/>
      <c r="R1230" s="314" t="str" cm="1">
        <f t="array" ref="R1230">IFERROR(IF(INDEX('Disaggregation Records'!$G$156:$G$517,MATCH(RIGHT(L1230,255),RIGHT('Disaggregation Records'!$D$156:$D$517,255),0))="","",INDEX('Disaggregation Records'!$G$156:$G$517,MATCH(RIGHT(L1230,255),RIGHT('Disaggregation Records'!$D$156:$D$517,255),0))),"")</f>
        <v/>
      </c>
    </row>
    <row r="1231" spans="1:18" ht="20.100000000000001" customHeight="1">
      <c r="A1231" s="126" t="str">
        <f t="shared" ca="1" si="1388"/>
        <v>a16Dm000000M3v6IAC</v>
      </c>
      <c r="B1231" s="570">
        <v>16</v>
      </c>
      <c r="C1231" s="572" t="str">
        <f ca="1">IFERROR(VLOOKUP(B1231,'Coverage Indicators - Section D'!$A$9:$AO$94,41,FALSE),"")</f>
        <v>KP-6c Number of sex workers who received any PrEP product at least once during the reporting period</v>
      </c>
      <c r="D1231" s="574" t="str">
        <f ca="1">M1231</f>
        <v>PrEP product</v>
      </c>
      <c r="E1231" s="574" t="str">
        <f ca="1">N1231</f>
        <v>Injectable PrEP</v>
      </c>
      <c r="F1231" s="127"/>
      <c r="G1231" s="576" t="str">
        <f ca="1">IF(OR(INDIRECT("'update Helper'!E"&amp;Q1231)="",F1231&lt;&gt;0,F1232&lt;&gt;0),IF(IFERROR((F1231/F1232),"")="","",(F1231/F1232)),INDIRECT("'update Helper'!E"&amp;Q1231)/100)</f>
        <v/>
      </c>
      <c r="H1231" s="539"/>
      <c r="I1231" s="578"/>
      <c r="J1231" s="532" t="s">
        <v>2301</v>
      </c>
      <c r="K1231" s="126">
        <f ca="1">IF(AND(EXACT(C1231,C1229),C1229&lt;&gt;0),K1229+1,0)</f>
        <v>5</v>
      </c>
      <c r="L1231" s="126" t="str">
        <f t="shared" ref="L1231" ca="1" si="1417">IF(C1231&lt;&gt;"",C1231&amp;"-"&amp;K1231,"")</f>
        <v>KP-6c Number of sex workers who received any PrEP product at least once during the reporting period-5</v>
      </c>
      <c r="M1231" s="126" t="str">
        <f t="array" aca="1" ref="M1231" ca="1">IFERROR(IF(INDEX('Disaggregation Records'!$E$156:$E$517,MATCH(RIGHT(L1231,255),RIGHT('Disaggregation Records'!$D$156:$D$517,255),0))="","",INDEX('Disaggregation Records'!$E$156:$E$517,MATCH(RIGHT(L1231,255),RIGHT('Disaggregation Records'!$D$156:$D$517,255),0))),"")</f>
        <v>PrEP product</v>
      </c>
      <c r="N1231" s="126" t="str">
        <f t="array" aca="1" ref="N1231" ca="1">IFERROR(IF(INDEX('Disaggregation Records'!$F$156:$F$517,MATCH(RIGHT(L1231,255),RIGHT('Disaggregation Records'!$D$156:$D$517,255),0))="","",INDEX('Disaggregation Records'!$F$156:$F$517,MATCH(RIGHT(L1231,255),RIGHT('Disaggregation Records'!$D$156:$D$517,255),0))),"")</f>
        <v>Injectable PrEP</v>
      </c>
      <c r="O1231" s="314" t="str">
        <f t="array" aca="1" ref="O1231" ca="1">IFERROR(IF(INDEX('Disaggregation Records'!$H$156:$H$517,MATCH(RIGHT(L1231,255),RIGHT('Disaggregation Records'!$D$156:$D$517,255),0))="","",INDEX('Disaggregation Records'!$H$156:$H$517,MATCH(RIGHT(L1231,255),RIGHT('Disaggregation Records'!$D$156:$D$517,255),0))),"")</f>
        <v>IDR-01206</v>
      </c>
      <c r="P1231" s="314"/>
      <c r="Q1231" s="310">
        <f t="shared" ref="Q1231" si="1418">Q1229+1</f>
        <v>1917</v>
      </c>
      <c r="R1231" s="314" t="str" cm="1">
        <f t="array" aca="1" ref="R1231" ca="1">IFERROR(IF(INDEX('Disaggregation Records'!$G$156:$G$517,MATCH(RIGHT(L1231,255),RIGHT('Disaggregation Records'!$D$156:$D$517,255),0))="","",INDEX('Disaggregation Records'!$G$156:$G$517,MATCH(RIGHT(L1231,255),RIGHT('Disaggregation Records'!$D$156:$D$517,255),0))),"")</f>
        <v>a1LDm000000Cb2CMAS</v>
      </c>
    </row>
    <row r="1232" spans="1:18" ht="20.100000000000001" customHeight="1">
      <c r="B1232" s="571"/>
      <c r="C1232" s="573"/>
      <c r="D1232" s="575"/>
      <c r="E1232" s="575"/>
      <c r="F1232" s="128"/>
      <c r="G1232" s="577"/>
      <c r="H1232" s="540"/>
      <c r="I1232" s="579"/>
      <c r="J1232" s="533"/>
      <c r="K1232" s="126"/>
      <c r="L1232" s="126"/>
      <c r="M1232" s="126"/>
      <c r="N1232" s="126"/>
      <c r="O1232" s="314"/>
      <c r="P1232" s="314"/>
      <c r="Q1232" s="310"/>
      <c r="R1232" s="314" t="str" cm="1">
        <f t="array" ref="R1232">IFERROR(IF(INDEX('Disaggregation Records'!$G$156:$G$517,MATCH(RIGHT(L1232,255),RIGHT('Disaggregation Records'!$D$156:$D$517,255),0))="","",INDEX('Disaggregation Records'!$G$156:$G$517,MATCH(RIGHT(L1232,255),RIGHT('Disaggregation Records'!$D$156:$D$517,255),0))),"")</f>
        <v/>
      </c>
    </row>
    <row r="1233" spans="1:18" ht="20.100000000000001" customHeight="1">
      <c r="A1233" s="126" t="str">
        <f t="shared" ca="1" si="1385"/>
        <v>a16Dm000000M3v7IAC</v>
      </c>
      <c r="B1233" s="570">
        <v>16</v>
      </c>
      <c r="C1233" s="572" t="str">
        <f ca="1">IFERROR(VLOOKUP(B1233,'Coverage Indicators - Section D'!$A$9:$AO$94,41,FALSE),"")</f>
        <v>KP-6c Number of sex workers who received any PrEP product at least once during the reporting period</v>
      </c>
      <c r="D1233" s="574" t="str">
        <f ca="1">M1233</f>
        <v>Gender</v>
      </c>
      <c r="E1233" s="574" t="str">
        <f ca="1">N1233</f>
        <v>Male</v>
      </c>
      <c r="F1233" s="127"/>
      <c r="G1233" s="576" t="str">
        <f ca="1">IF(OR(INDIRECT("'update Helper'!E"&amp;Q1233)="",F1233&lt;&gt;0,F1234&lt;&gt;0),IF(IFERROR((F1233/F1234),"")="","",(F1233/F1234)),INDIRECT("'update Helper'!E"&amp;Q1233)/100)</f>
        <v/>
      </c>
      <c r="H1233" s="539"/>
      <c r="I1233" s="578"/>
      <c r="J1233" s="532" t="s">
        <v>2301</v>
      </c>
      <c r="K1233" s="126">
        <f ca="1">IF(AND(EXACT(C1233,C1231),C1231&lt;&gt;0),K1231+1,0)</f>
        <v>6</v>
      </c>
      <c r="L1233" s="126" t="str">
        <f t="shared" ref="L1233" ca="1" si="1419">IF(C1233&lt;&gt;"",C1233&amp;"-"&amp;K1233,"")</f>
        <v>KP-6c Number of sex workers who received any PrEP product at least once during the reporting period-6</v>
      </c>
      <c r="M1233" s="126" t="str">
        <f t="array" aca="1" ref="M1233" ca="1">IFERROR(IF(INDEX('Disaggregation Records'!$E$156:$E$517,MATCH(RIGHT(L1233,255),RIGHT('Disaggregation Records'!$D$156:$D$517,255),0))="","",INDEX('Disaggregation Records'!$E$156:$E$517,MATCH(RIGHT(L1233,255),RIGHT('Disaggregation Records'!$D$156:$D$517,255),0))),"")</f>
        <v>Gender</v>
      </c>
      <c r="N1233" s="126" t="str">
        <f t="array" aca="1" ref="N1233" ca="1">IFERROR(IF(INDEX('Disaggregation Records'!$F$156:$F$517,MATCH(RIGHT(L1233,255),RIGHT('Disaggregation Records'!$D$156:$D$517,255),0))="","",INDEX('Disaggregation Records'!$F$156:$F$517,MATCH(RIGHT(L1233,255),RIGHT('Disaggregation Records'!$D$156:$D$517,255),0))),"")</f>
        <v>Male</v>
      </c>
      <c r="O1233" s="314" t="str">
        <f t="array" aca="1" ref="O1233" ca="1">IFERROR(IF(INDEX('Disaggregation Records'!$H$156:$H$517,MATCH(RIGHT(L1233,255),RIGHT('Disaggregation Records'!$D$156:$D$517,255),0))="","",INDEX('Disaggregation Records'!$H$156:$H$517,MATCH(RIGHT(L1233,255),RIGHT('Disaggregation Records'!$D$156:$D$517,255),0))),"")</f>
        <v>IDR-01205</v>
      </c>
      <c r="P1233" s="314"/>
      <c r="Q1233" s="310">
        <f t="shared" ref="Q1233" si="1420">Q1231+1</f>
        <v>1918</v>
      </c>
      <c r="R1233" s="314" t="str" cm="1">
        <f t="array" aca="1" ref="R1233" ca="1">IFERROR(IF(INDEX('Disaggregation Records'!$G$156:$G$517,MATCH(RIGHT(L1233,255),RIGHT('Disaggregation Records'!$D$156:$D$517,255),0))="","",INDEX('Disaggregation Records'!$G$156:$G$517,MATCH(RIGHT(L1233,255),RIGHT('Disaggregation Records'!$D$156:$D$517,255),0))),"")</f>
        <v>a1LDm000000Cb2BMAS</v>
      </c>
    </row>
    <row r="1234" spans="1:18" ht="20.100000000000001" customHeight="1">
      <c r="A1234" s="126"/>
      <c r="B1234" s="571"/>
      <c r="C1234" s="573"/>
      <c r="D1234" s="575"/>
      <c r="E1234" s="575"/>
      <c r="F1234" s="128"/>
      <c r="G1234" s="577"/>
      <c r="H1234" s="540"/>
      <c r="I1234" s="579"/>
      <c r="J1234" s="533"/>
      <c r="K1234" s="126"/>
      <c r="L1234" s="126"/>
      <c r="M1234" s="126"/>
      <c r="N1234" s="126"/>
      <c r="O1234" s="314"/>
      <c r="P1234" s="314"/>
      <c r="Q1234" s="310"/>
      <c r="R1234" s="314" t="str" cm="1">
        <f t="array" ref="R1234">IFERROR(IF(INDEX('Disaggregation Records'!$G$156:$G$517,MATCH(RIGHT(L1234,255),RIGHT('Disaggregation Records'!$D$156:$D$517,255),0))="","",INDEX('Disaggregation Records'!$G$156:$G$517,MATCH(RIGHT(L1234,255),RIGHT('Disaggregation Records'!$D$156:$D$517,255),0))),"")</f>
        <v/>
      </c>
    </row>
    <row r="1235" spans="1:18" ht="20.100000000000001" customHeight="1">
      <c r="A1235" s="126" t="str">
        <f t="shared" ca="1" si="1388"/>
        <v>a16Dm000000M3v8IAC</v>
      </c>
      <c r="B1235" s="570">
        <v>16</v>
      </c>
      <c r="C1235" s="572" t="str">
        <f ca="1">IFERROR(VLOOKUP(B1235,'Coverage Indicators - Section D'!$A$9:$AO$94,41,FALSE),"")</f>
        <v>KP-6c Number of sex workers who received any PrEP product at least once during the reporting period</v>
      </c>
      <c r="D1235" s="574" t="str">
        <f ca="1">M1235</f>
        <v>Gender</v>
      </c>
      <c r="E1235" s="574" t="str">
        <f ca="1">N1235</f>
        <v>Female</v>
      </c>
      <c r="F1235" s="127"/>
      <c r="G1235" s="576" t="str">
        <f ca="1">IF(OR(INDIRECT("'update Helper'!E"&amp;Q1235)="",F1235&lt;&gt;0,F1236&lt;&gt;0),IF(IFERROR((F1235/F1236),"")="","",(F1235/F1236)),INDIRECT("'update Helper'!E"&amp;Q1235)/100)</f>
        <v/>
      </c>
      <c r="H1235" s="539"/>
      <c r="I1235" s="578"/>
      <c r="J1235" s="532" t="s">
        <v>2301</v>
      </c>
      <c r="K1235" s="126">
        <f ca="1">IF(AND(EXACT(C1235,C1233),C1233&lt;&gt;0),K1233+1,0)</f>
        <v>7</v>
      </c>
      <c r="L1235" s="126" t="str">
        <f t="shared" ref="L1235" ca="1" si="1421">IF(C1235&lt;&gt;"",C1235&amp;"-"&amp;K1235,"")</f>
        <v>KP-6c Number of sex workers who received any PrEP product at least once during the reporting period-7</v>
      </c>
      <c r="M1235" s="126" t="str">
        <f t="array" aca="1" ref="M1235" ca="1">IFERROR(IF(INDEX('Disaggregation Records'!$E$156:$E$517,MATCH(RIGHT(L1235,255),RIGHT('Disaggregation Records'!$D$156:$D$517,255),0))="","",INDEX('Disaggregation Records'!$E$156:$E$517,MATCH(RIGHT(L1235,255),RIGHT('Disaggregation Records'!$D$156:$D$517,255),0))),"")</f>
        <v>Gender</v>
      </c>
      <c r="N1235" s="126" t="str">
        <f t="array" aca="1" ref="N1235" ca="1">IFERROR(IF(INDEX('Disaggregation Records'!$F$156:$F$517,MATCH(RIGHT(L1235,255),RIGHT('Disaggregation Records'!$D$156:$D$517,255),0))="","",INDEX('Disaggregation Records'!$F$156:$F$517,MATCH(RIGHT(L1235,255),RIGHT('Disaggregation Records'!$D$156:$D$517,255),0))),"")</f>
        <v>Female</v>
      </c>
      <c r="O1235" s="314" t="str">
        <f t="array" aca="1" ref="O1235" ca="1">IFERROR(IF(INDEX('Disaggregation Records'!$H$156:$H$517,MATCH(RIGHT(L1235,255),RIGHT('Disaggregation Records'!$D$156:$D$517,255),0))="","",INDEX('Disaggregation Records'!$H$156:$H$517,MATCH(RIGHT(L1235,255),RIGHT('Disaggregation Records'!$D$156:$D$517,255),0))),"")</f>
        <v>IDR-01204</v>
      </c>
      <c r="P1235" s="310"/>
      <c r="Q1235" s="310">
        <f t="shared" ref="Q1235" si="1422">Q1233+1</f>
        <v>1919</v>
      </c>
      <c r="R1235" s="314" t="str" cm="1">
        <f t="array" aca="1" ref="R1235" ca="1">IFERROR(IF(INDEX('Disaggregation Records'!$G$156:$G$517,MATCH(RIGHT(L1235,255),RIGHT('Disaggregation Records'!$D$156:$D$517,255),0))="","",INDEX('Disaggregation Records'!$G$156:$G$517,MATCH(RIGHT(L1235,255),RIGHT('Disaggregation Records'!$D$156:$D$517,255),0))),"")</f>
        <v>a1LDm000000Cb2AMAS</v>
      </c>
    </row>
    <row r="1236" spans="1:18" ht="20.100000000000001" customHeight="1">
      <c r="B1236" s="571"/>
      <c r="C1236" s="573"/>
      <c r="D1236" s="575"/>
      <c r="E1236" s="575"/>
      <c r="F1236" s="128"/>
      <c r="G1236" s="577"/>
      <c r="H1236" s="540"/>
      <c r="I1236" s="579"/>
      <c r="J1236" s="533"/>
      <c r="L1236" s="126"/>
      <c r="N1236" s="126"/>
      <c r="O1236" s="314"/>
      <c r="P1236" s="310"/>
      <c r="Q1236" s="310"/>
      <c r="R1236" s="314" t="str" cm="1">
        <f t="array" ref="R1236">IFERROR(IF(INDEX('Disaggregation Records'!$G$156:$G$517,MATCH(RIGHT(L1236,255),RIGHT('Disaggregation Records'!$D$156:$D$517,255),0))="","",INDEX('Disaggregation Records'!$G$156:$G$517,MATCH(RIGHT(L1236,255),RIGHT('Disaggregation Records'!$D$156:$D$517,255),0))),"")</f>
        <v/>
      </c>
    </row>
    <row r="1237" spans="1:18" ht="20.100000000000001" customHeight="1">
      <c r="A1237" s="126" t="str">
        <f t="shared" ca="1" si="1385"/>
        <v>a16Dm000000M3v9IAC</v>
      </c>
      <c r="B1237" s="570">
        <v>16</v>
      </c>
      <c r="C1237" s="572" t="str">
        <f ca="1">IFERROR(VLOOKUP(B1237,'Coverage Indicators - Section D'!$A$9:$AO$94,41,FALSE),"")</f>
        <v>KP-6c Number of sex workers who received any PrEP product at least once during the reporting period</v>
      </c>
      <c r="D1237" s="574" t="str">
        <f ca="1">M1237</f>
        <v>PrEP product</v>
      </c>
      <c r="E1237" s="574" t="str">
        <f ca="1">N1237</f>
        <v>Oral PrEP</v>
      </c>
      <c r="F1237" s="127"/>
      <c r="G1237" s="576" t="str">
        <f ca="1">IF(OR(INDIRECT("'update Helper'!E"&amp;Q1237)="",F1237&lt;&gt;0,F1238&lt;&gt;0),IF(IFERROR((F1237/F1238),"")="","",(F1237/F1238)),INDIRECT("'update Helper'!E"&amp;Q1237)/100)</f>
        <v/>
      </c>
      <c r="H1237" s="539"/>
      <c r="I1237" s="578"/>
      <c r="J1237" s="532" t="s">
        <v>2301</v>
      </c>
      <c r="K1237" s="126">
        <f ca="1">IF(AND(EXACT(C1237,C1235),C1235&lt;&gt;0),K1235+1,0)</f>
        <v>8</v>
      </c>
      <c r="L1237" s="126" t="str">
        <f t="shared" ref="L1237" ca="1" si="1423">IF(C1237&lt;&gt;"",C1237&amp;"-"&amp;K1237,"")</f>
        <v>KP-6c Number of sex workers who received any PrEP product at least once during the reporting period-8</v>
      </c>
      <c r="M1237" s="126" t="str">
        <f t="array" aca="1" ref="M1237" ca="1">IFERROR(IF(INDEX('Disaggregation Records'!$E$156:$E$517,MATCH(RIGHT(L1237,255),RIGHT('Disaggregation Records'!$D$156:$D$517,255),0))="","",INDEX('Disaggregation Records'!$E$156:$E$517,MATCH(RIGHT(L1237,255),RIGHT('Disaggregation Records'!$D$156:$D$517,255),0))),"")</f>
        <v>PrEP product</v>
      </c>
      <c r="N1237" s="126" t="str">
        <f t="array" aca="1" ref="N1237" ca="1">IFERROR(IF(INDEX('Disaggregation Records'!$F$156:$F$517,MATCH(RIGHT(L1237,255),RIGHT('Disaggregation Records'!$D$156:$D$517,255),0))="","",INDEX('Disaggregation Records'!$F$156:$F$517,MATCH(RIGHT(L1237,255),RIGHT('Disaggregation Records'!$D$156:$D$517,255),0))),"")</f>
        <v>Oral PrEP</v>
      </c>
      <c r="O1237" s="314" t="str">
        <f t="array" aca="1" ref="O1237" ca="1">IFERROR(IF(INDEX('Disaggregation Records'!$H$156:$H$517,MATCH(RIGHT(L1237,255),RIGHT('Disaggregation Records'!$D$156:$D$517,255),0))="","",INDEX('Disaggregation Records'!$H$156:$H$517,MATCH(RIGHT(L1237,255),RIGHT('Disaggregation Records'!$D$156:$D$517,255),0))),"")</f>
        <v>IDR-01203</v>
      </c>
      <c r="P1237" s="310"/>
      <c r="Q1237" s="310">
        <f t="shared" ref="Q1237" si="1424">Q1235+1</f>
        <v>1920</v>
      </c>
      <c r="R1237" s="314" t="str" cm="1">
        <f t="array" aca="1" ref="R1237" ca="1">IFERROR(IF(INDEX('Disaggregation Records'!$G$156:$G$517,MATCH(RIGHT(L1237,255),RIGHT('Disaggregation Records'!$D$156:$D$517,255),0))="","",INDEX('Disaggregation Records'!$G$156:$G$517,MATCH(RIGHT(L1237,255),RIGHT('Disaggregation Records'!$D$156:$D$517,255),0))),"")</f>
        <v>a1LDm000000Cb29MAC</v>
      </c>
    </row>
    <row r="1238" spans="1:18" ht="20.100000000000001" customHeight="1">
      <c r="A1238" s="126"/>
      <c r="B1238" s="571"/>
      <c r="C1238" s="573"/>
      <c r="D1238" s="575"/>
      <c r="E1238" s="575"/>
      <c r="F1238" s="128"/>
      <c r="G1238" s="577"/>
      <c r="H1238" s="540"/>
      <c r="I1238" s="579"/>
      <c r="J1238" s="533"/>
      <c r="L1238" s="126"/>
      <c r="N1238" s="126"/>
      <c r="O1238" s="314"/>
      <c r="P1238" s="310"/>
      <c r="Q1238" s="310"/>
      <c r="R1238" s="314" t="str" cm="1">
        <f t="array" ref="R1238">IFERROR(IF(INDEX('Disaggregation Records'!$G$156:$G$517,MATCH(RIGHT(L1238,255),RIGHT('Disaggregation Records'!$D$156:$D$517,255),0))="","",INDEX('Disaggregation Records'!$G$156:$G$517,MATCH(RIGHT(L1238,255),RIGHT('Disaggregation Records'!$D$156:$D$517,255),0))),"")</f>
        <v/>
      </c>
    </row>
    <row r="1239" spans="1:18" ht="20.100000000000001" customHeight="1">
      <c r="A1239" s="126" t="str">
        <f t="shared" ca="1" si="1388"/>
        <v>a16Dm000000M3vAIAS</v>
      </c>
      <c r="B1239" s="570">
        <v>16</v>
      </c>
      <c r="C1239" s="572" t="str">
        <f ca="1">IFERROR(VLOOKUP(B1239,'Coverage Indicators - Section D'!$A$9:$AO$94,41,FALSE),"")</f>
        <v>KP-6c Number of sex workers who received any PrEP product at least once during the reporting period</v>
      </c>
      <c r="D1239" s="574" t="str">
        <f ca="1">M1239</f>
        <v/>
      </c>
      <c r="E1239" s="574" t="str">
        <f ca="1">N1239</f>
        <v/>
      </c>
      <c r="F1239" s="127"/>
      <c r="G1239" s="576" t="str">
        <f ca="1">IF(OR(INDIRECT("'update Helper'!E"&amp;Q1239)="",F1239&lt;&gt;0,F1240&lt;&gt;0),IF(IFERROR((F1239/F1240),"")="","",(F1239/F1240)),INDIRECT("'update Helper'!E"&amp;Q1239)/100)</f>
        <v/>
      </c>
      <c r="H1239" s="539"/>
      <c r="I1239" s="578"/>
      <c r="J1239" s="532"/>
      <c r="K1239" s="126">
        <f ca="1">IF(AND(EXACT(C1239,C1237),C1237&lt;&gt;0),K1237+1,0)</f>
        <v>9</v>
      </c>
      <c r="L1239" s="126" t="str">
        <f t="shared" ref="L1239" ca="1" si="1425">IF(C1239&lt;&gt;"",C1239&amp;"-"&amp;K1239,"")</f>
        <v>KP-6c Number of sex workers who received any PrEP product at least once during the reporting period-9</v>
      </c>
      <c r="M1239" s="126" t="str">
        <f t="array" aca="1" ref="M1239" ca="1">IFERROR(IF(INDEX('Disaggregation Records'!$E$156:$E$517,MATCH(RIGHT(L1239,255),RIGHT('Disaggregation Records'!$D$156:$D$517,255),0))="","",INDEX('Disaggregation Records'!$E$156:$E$517,MATCH(RIGHT(L1239,255),RIGHT('Disaggregation Records'!$D$156:$D$517,255),0))),"")</f>
        <v/>
      </c>
      <c r="N1239" s="126" t="str">
        <f t="array" aca="1" ref="N1239" ca="1">IFERROR(IF(INDEX('Disaggregation Records'!$F$156:$F$517,MATCH(RIGHT(L1239,255),RIGHT('Disaggregation Records'!$D$156:$D$517,255),0))="","",INDEX('Disaggregation Records'!$F$156:$F$517,MATCH(RIGHT(L1239,255),RIGHT('Disaggregation Records'!$D$156:$D$517,255),0))),"")</f>
        <v/>
      </c>
      <c r="O1239" s="314" t="str">
        <f t="array" aca="1" ref="O1239" ca="1">IFERROR(IF(INDEX('Disaggregation Records'!$H$156:$H$517,MATCH(RIGHT(L1239,255),RIGHT('Disaggregation Records'!$D$156:$D$517,255),0))="","",INDEX('Disaggregation Records'!$H$156:$H$517,MATCH(RIGHT(L1239,255),RIGHT('Disaggregation Records'!$D$156:$D$517,255),0))),"")</f>
        <v/>
      </c>
      <c r="P1239" s="310"/>
      <c r="Q1239" s="310">
        <f t="shared" ref="Q1239" si="1426">Q1237+1</f>
        <v>1921</v>
      </c>
      <c r="R1239" s="314" t="str" cm="1">
        <f t="array" aca="1" ref="R1239" ca="1">IFERROR(IF(INDEX('Disaggregation Records'!$G$156:$G$517,MATCH(RIGHT(L1239,255),RIGHT('Disaggregation Records'!$D$156:$D$517,255),0))="","",INDEX('Disaggregation Records'!$G$156:$G$517,MATCH(RIGHT(L1239,255),RIGHT('Disaggregation Records'!$D$156:$D$517,255),0))),"")</f>
        <v/>
      </c>
    </row>
    <row r="1240" spans="1:18" ht="20.100000000000001" customHeight="1">
      <c r="B1240" s="571"/>
      <c r="C1240" s="573"/>
      <c r="D1240" s="575"/>
      <c r="E1240" s="575"/>
      <c r="F1240" s="128"/>
      <c r="G1240" s="577"/>
      <c r="H1240" s="540"/>
      <c r="I1240" s="579"/>
      <c r="J1240" s="533"/>
      <c r="L1240" s="126"/>
      <c r="N1240" s="126"/>
      <c r="O1240" s="314"/>
      <c r="P1240" s="310"/>
      <c r="Q1240" s="310"/>
      <c r="R1240" s="314" t="str" cm="1">
        <f t="array" ref="R1240">IFERROR(IF(INDEX('Disaggregation Records'!$G$156:$G$517,MATCH(RIGHT(L1240,255),RIGHT('Disaggregation Records'!$D$156:$D$517,255),0))="","",INDEX('Disaggregation Records'!$G$156:$G$517,MATCH(RIGHT(L1240,255),RIGHT('Disaggregation Records'!$D$156:$D$517,255),0))),"")</f>
        <v/>
      </c>
    </row>
    <row r="1241" spans="1:18" ht="20.100000000000001" customHeight="1">
      <c r="A1241" s="126" t="str">
        <f t="shared" ca="1" si="1385"/>
        <v>a16Dm000000M3vBIAS</v>
      </c>
      <c r="B1241" s="570">
        <v>16</v>
      </c>
      <c r="C1241" s="572" t="str">
        <f ca="1">IFERROR(VLOOKUP(B1241,'Coverage Indicators - Section D'!$A$9:$AO$94,41,FALSE),"")</f>
        <v>KP-6c Number of sex workers who received any PrEP product at least once during the reporting period</v>
      </c>
      <c r="D1241" s="574" t="str">
        <f ca="1">M1241</f>
        <v/>
      </c>
      <c r="E1241" s="574" t="str">
        <f ca="1">N1241</f>
        <v/>
      </c>
      <c r="F1241" s="127"/>
      <c r="G1241" s="576" t="str">
        <f ca="1">IF(OR(INDIRECT("'update Helper'!E"&amp;Q1241)="",F1241&lt;&gt;0,F1242&lt;&gt;0),IF(IFERROR((F1241/F1242),"")="","",(F1241/F1242)),INDIRECT("'update Helper'!E"&amp;Q1241)/100)</f>
        <v/>
      </c>
      <c r="H1241" s="539"/>
      <c r="I1241" s="578"/>
      <c r="J1241" s="532"/>
      <c r="K1241" s="126">
        <f ca="1">IF(AND(EXACT(C1241,C1239),C1239&lt;&gt;0),K1239+1,0)</f>
        <v>10</v>
      </c>
      <c r="L1241" s="126" t="str">
        <f t="shared" ref="L1241" ca="1" si="1427">IF(C1241&lt;&gt;"",C1241&amp;"-"&amp;K1241,"")</f>
        <v>KP-6c Number of sex workers who received any PrEP product at least once during the reporting period-10</v>
      </c>
      <c r="M1241" s="126" t="str">
        <f t="array" aca="1" ref="M1241" ca="1">IFERROR(IF(INDEX('Disaggregation Records'!$E$156:$E$517,MATCH(RIGHT(L1241,255),RIGHT('Disaggregation Records'!$D$156:$D$517,255),0))="","",INDEX('Disaggregation Records'!$E$156:$E$517,MATCH(RIGHT(L1241,255),RIGHT('Disaggregation Records'!$D$156:$D$517,255),0))),"")</f>
        <v/>
      </c>
      <c r="N1241" s="126" t="str">
        <f t="array" aca="1" ref="N1241" ca="1">IFERROR(IF(INDEX('Disaggregation Records'!$F$156:$F$517,MATCH(RIGHT(L1241,255),RIGHT('Disaggregation Records'!$D$156:$D$517,255),0))="","",INDEX('Disaggregation Records'!$F$156:$F$517,MATCH(RIGHT(L1241,255),RIGHT('Disaggregation Records'!$D$156:$D$517,255),0))),"")</f>
        <v/>
      </c>
      <c r="O1241" s="314" t="str">
        <f t="array" aca="1" ref="O1241" ca="1">IFERROR(IF(INDEX('Disaggregation Records'!$H$156:$H$517,MATCH(RIGHT(L1241,255),RIGHT('Disaggregation Records'!$D$156:$D$517,255),0))="","",INDEX('Disaggregation Records'!$H$156:$H$517,MATCH(RIGHT(L1241,255),RIGHT('Disaggregation Records'!$D$156:$D$517,255),0))),"")</f>
        <v/>
      </c>
      <c r="P1241" s="314"/>
      <c r="Q1241" s="310">
        <f t="shared" ref="Q1241" si="1428">Q1239+1</f>
        <v>1922</v>
      </c>
      <c r="R1241" s="314" t="str" cm="1">
        <f t="array" aca="1" ref="R1241" ca="1">IFERROR(IF(INDEX('Disaggregation Records'!$G$156:$G$517,MATCH(RIGHT(L1241,255),RIGHT('Disaggregation Records'!$D$156:$D$517,255),0))="","",INDEX('Disaggregation Records'!$G$156:$G$517,MATCH(RIGHT(L1241,255),RIGHT('Disaggregation Records'!$D$156:$D$517,255),0))),"")</f>
        <v/>
      </c>
    </row>
    <row r="1242" spans="1:18" ht="20.100000000000001" customHeight="1">
      <c r="A1242" s="126"/>
      <c r="B1242" s="571"/>
      <c r="C1242" s="573"/>
      <c r="D1242" s="575"/>
      <c r="E1242" s="575"/>
      <c r="F1242" s="128"/>
      <c r="G1242" s="577"/>
      <c r="H1242" s="540"/>
      <c r="I1242" s="579"/>
      <c r="J1242" s="533"/>
      <c r="K1242" s="126"/>
      <c r="L1242" s="126"/>
      <c r="M1242" s="126"/>
      <c r="N1242" s="126"/>
      <c r="O1242" s="314"/>
      <c r="P1242" s="314"/>
      <c r="Q1242" s="310"/>
      <c r="R1242" s="314" t="str" cm="1">
        <f t="array" ref="R1242">IFERROR(IF(INDEX('Disaggregation Records'!$G$156:$G$517,MATCH(RIGHT(L1242,255),RIGHT('Disaggregation Records'!$D$156:$D$517,255),0))="","",INDEX('Disaggregation Records'!$G$156:$G$517,MATCH(RIGHT(L1242,255),RIGHT('Disaggregation Records'!$D$156:$D$517,255),0))),"")</f>
        <v/>
      </c>
    </row>
    <row r="1243" spans="1:18" ht="20.100000000000001" customHeight="1">
      <c r="A1243" s="126" t="str">
        <f t="shared" ca="1" si="1388"/>
        <v>a16Dm000000M3vCIAS</v>
      </c>
      <c r="B1243" s="570">
        <v>16</v>
      </c>
      <c r="C1243" s="572" t="str">
        <f ca="1">IFERROR(VLOOKUP(B1243,'Coverage Indicators - Section D'!$A$9:$AO$94,41,FALSE),"")</f>
        <v>KP-6c Number of sex workers who received any PrEP product at least once during the reporting period</v>
      </c>
      <c r="D1243" s="574" t="str">
        <f ca="1">M1243</f>
        <v/>
      </c>
      <c r="E1243" s="574" t="str">
        <f ca="1">N1243</f>
        <v/>
      </c>
      <c r="F1243" s="127"/>
      <c r="G1243" s="576" t="str">
        <f ca="1">IF(OR(INDIRECT("'update Helper'!E"&amp;Q1243)="",F1243&lt;&gt;0,F1244&lt;&gt;0),IF(IFERROR((F1243/F1244),"")="","",(F1243/F1244)),INDIRECT("'update Helper'!E"&amp;Q1243)/100)</f>
        <v/>
      </c>
      <c r="H1243" s="539"/>
      <c r="I1243" s="578"/>
      <c r="J1243" s="532"/>
      <c r="K1243" s="126">
        <f ca="1">IF(AND(EXACT(C1243,C1241),C1241&lt;&gt;0),K1241+1,0)</f>
        <v>11</v>
      </c>
      <c r="L1243" s="126" t="str">
        <f t="shared" ref="L1243" ca="1" si="1429">IF(C1243&lt;&gt;"",C1243&amp;"-"&amp;K1243,"")</f>
        <v>KP-6c Number of sex workers who received any PrEP product at least once during the reporting period-11</v>
      </c>
      <c r="M1243" s="126" t="str">
        <f t="array" aca="1" ref="M1243" ca="1">IFERROR(IF(INDEX('Disaggregation Records'!$E$156:$E$517,MATCH(RIGHT(L1243,255),RIGHT('Disaggregation Records'!$D$156:$D$517,255),0))="","",INDEX('Disaggregation Records'!$E$156:$E$517,MATCH(RIGHT(L1243,255),RIGHT('Disaggregation Records'!$D$156:$D$517,255),0))),"")</f>
        <v/>
      </c>
      <c r="N1243" s="126" t="str">
        <f t="array" aca="1" ref="N1243" ca="1">IFERROR(IF(INDEX('Disaggregation Records'!$F$156:$F$517,MATCH(RIGHT(L1243,255),RIGHT('Disaggregation Records'!$D$156:$D$517,255),0))="","",INDEX('Disaggregation Records'!$F$156:$F$517,MATCH(RIGHT(L1243,255),RIGHT('Disaggregation Records'!$D$156:$D$517,255),0))),"")</f>
        <v/>
      </c>
      <c r="O1243" s="314" t="str">
        <f t="array" aca="1" ref="O1243" ca="1">IFERROR(IF(INDEX('Disaggregation Records'!$H$156:$H$517,MATCH(RIGHT(L1243,255),RIGHT('Disaggregation Records'!$D$156:$D$517,255),0))="","",INDEX('Disaggregation Records'!$H$156:$H$517,MATCH(RIGHT(L1243,255),RIGHT('Disaggregation Records'!$D$156:$D$517,255),0))),"")</f>
        <v/>
      </c>
      <c r="P1243" s="314"/>
      <c r="Q1243" s="310">
        <f t="shared" ref="Q1243" si="1430">Q1241+1</f>
        <v>1923</v>
      </c>
      <c r="R1243" s="314" t="str" cm="1">
        <f t="array" aca="1" ref="R1243" ca="1">IFERROR(IF(INDEX('Disaggregation Records'!$G$156:$G$517,MATCH(RIGHT(L1243,255),RIGHT('Disaggregation Records'!$D$156:$D$517,255),0))="","",INDEX('Disaggregation Records'!$G$156:$G$517,MATCH(RIGHT(L1243,255),RIGHT('Disaggregation Records'!$D$156:$D$517,255),0))),"")</f>
        <v/>
      </c>
    </row>
    <row r="1244" spans="1:18" ht="20.100000000000001" customHeight="1">
      <c r="B1244" s="571"/>
      <c r="C1244" s="573"/>
      <c r="D1244" s="575"/>
      <c r="E1244" s="575"/>
      <c r="F1244" s="128"/>
      <c r="G1244" s="577"/>
      <c r="H1244" s="540"/>
      <c r="I1244" s="579"/>
      <c r="J1244" s="533"/>
      <c r="K1244" s="126"/>
      <c r="L1244" s="126"/>
      <c r="M1244" s="126"/>
      <c r="N1244" s="126"/>
      <c r="O1244" s="314"/>
      <c r="P1244" s="314"/>
      <c r="Q1244" s="310"/>
      <c r="R1244" s="314" t="str" cm="1">
        <f t="array" ref="R1244">IFERROR(IF(INDEX('Disaggregation Records'!$G$156:$G$517,MATCH(RIGHT(L1244,255),RIGHT('Disaggregation Records'!$D$156:$D$517,255),0))="","",INDEX('Disaggregation Records'!$G$156:$G$517,MATCH(RIGHT(L1244,255),RIGHT('Disaggregation Records'!$D$156:$D$517,255),0))),"")</f>
        <v/>
      </c>
    </row>
    <row r="1245" spans="1:18" ht="20.100000000000001" customHeight="1">
      <c r="A1245" s="126" t="str">
        <f t="shared" ca="1" si="1385"/>
        <v>a16Dm000000M3vDIAS</v>
      </c>
      <c r="B1245" s="570">
        <v>16</v>
      </c>
      <c r="C1245" s="572" t="str">
        <f ca="1">IFERROR(VLOOKUP(B1245,'Coverage Indicators - Section D'!$A$9:$AO$94,41,FALSE),"")</f>
        <v>KP-6c Number of sex workers who received any PrEP product at least once during the reporting period</v>
      </c>
      <c r="D1245" s="574" t="str">
        <f ca="1">M1245</f>
        <v/>
      </c>
      <c r="E1245" s="574" t="str">
        <f ca="1">N1245</f>
        <v/>
      </c>
      <c r="F1245" s="127"/>
      <c r="G1245" s="576" t="str">
        <f ca="1">IF(OR(INDIRECT("'update Helper'!E"&amp;Q1245)="",F1245&lt;&gt;0,F1246&lt;&gt;0),IF(IFERROR((F1245/F1246),"")="","",(F1245/F1246)),INDIRECT("'update Helper'!E"&amp;Q1245)/100)</f>
        <v/>
      </c>
      <c r="H1245" s="539"/>
      <c r="I1245" s="578"/>
      <c r="J1245" s="532"/>
      <c r="K1245" s="126">
        <f ca="1">IF(AND(EXACT(C1245,C1243),C1243&lt;&gt;0),K1243+1,0)</f>
        <v>12</v>
      </c>
      <c r="L1245" s="126" t="str">
        <f t="shared" ref="L1245" ca="1" si="1431">IF(C1245&lt;&gt;"",C1245&amp;"-"&amp;K1245,"")</f>
        <v>KP-6c Number of sex workers who received any PrEP product at least once during the reporting period-12</v>
      </c>
      <c r="M1245" s="126" t="str">
        <f t="array" aca="1" ref="M1245" ca="1">IFERROR(IF(INDEX('Disaggregation Records'!$E$156:$E$517,MATCH(RIGHT(L1245,255),RIGHT('Disaggregation Records'!$D$156:$D$517,255),0))="","",INDEX('Disaggregation Records'!$E$156:$E$517,MATCH(RIGHT(L1245,255),RIGHT('Disaggregation Records'!$D$156:$D$517,255),0))),"")</f>
        <v/>
      </c>
      <c r="N1245" s="126" t="str">
        <f t="array" aca="1" ref="N1245" ca="1">IFERROR(IF(INDEX('Disaggregation Records'!$F$156:$F$517,MATCH(RIGHT(L1245,255),RIGHT('Disaggregation Records'!$D$156:$D$517,255),0))="","",INDEX('Disaggregation Records'!$F$156:$F$517,MATCH(RIGHT(L1245,255),RIGHT('Disaggregation Records'!$D$156:$D$517,255),0))),"")</f>
        <v/>
      </c>
      <c r="O1245" s="314" t="str">
        <f t="array" aca="1" ref="O1245" ca="1">IFERROR(IF(INDEX('Disaggregation Records'!$H$156:$H$517,MATCH(RIGHT(L1245,255),RIGHT('Disaggregation Records'!$D$156:$D$517,255),0))="","",INDEX('Disaggregation Records'!$H$156:$H$517,MATCH(RIGHT(L1245,255),RIGHT('Disaggregation Records'!$D$156:$D$517,255),0))),"")</f>
        <v/>
      </c>
      <c r="P1245" s="310"/>
      <c r="Q1245" s="310">
        <f t="shared" ref="Q1245" si="1432">Q1243+1</f>
        <v>1924</v>
      </c>
      <c r="R1245" s="314" t="str" cm="1">
        <f t="array" aca="1" ref="R1245" ca="1">IFERROR(IF(INDEX('Disaggregation Records'!$G$156:$G$517,MATCH(RIGHT(L1245,255),RIGHT('Disaggregation Records'!$D$156:$D$517,255),0))="","",INDEX('Disaggregation Records'!$G$156:$G$517,MATCH(RIGHT(L1245,255),RIGHT('Disaggregation Records'!$D$156:$D$517,255),0))),"")</f>
        <v/>
      </c>
    </row>
    <row r="1246" spans="1:18" ht="20.100000000000001" customHeight="1">
      <c r="A1246" s="126"/>
      <c r="B1246" s="571"/>
      <c r="C1246" s="573"/>
      <c r="D1246" s="575"/>
      <c r="E1246" s="575"/>
      <c r="F1246" s="128"/>
      <c r="G1246" s="577"/>
      <c r="H1246" s="540"/>
      <c r="I1246" s="579"/>
      <c r="J1246" s="533"/>
      <c r="L1246" s="126"/>
      <c r="N1246" s="126"/>
      <c r="O1246" s="314"/>
      <c r="P1246" s="310"/>
      <c r="Q1246" s="310"/>
      <c r="R1246" s="314" t="str" cm="1">
        <f t="array" ref="R1246">IFERROR(IF(INDEX('Disaggregation Records'!$G$156:$G$517,MATCH(RIGHT(L1246,255),RIGHT('Disaggregation Records'!$D$156:$D$517,255),0))="","",INDEX('Disaggregation Records'!$G$156:$G$517,MATCH(RIGHT(L1246,255),RIGHT('Disaggregation Records'!$D$156:$D$517,255),0))),"")</f>
        <v/>
      </c>
    </row>
    <row r="1247" spans="1:18" ht="20.100000000000001" customHeight="1">
      <c r="A1247" s="126" t="str">
        <f t="shared" ca="1" si="1388"/>
        <v>a16Dm000000M3vEIAS</v>
      </c>
      <c r="B1247" s="570">
        <v>16</v>
      </c>
      <c r="C1247" s="572" t="str">
        <f ca="1">IFERROR(VLOOKUP(B1247,'Coverage Indicators - Section D'!$A$9:$AO$94,41,FALSE),"")</f>
        <v>KP-6c Number of sex workers who received any PrEP product at least once during the reporting period</v>
      </c>
      <c r="D1247" s="574" t="str">
        <f ca="1">M1247</f>
        <v/>
      </c>
      <c r="E1247" s="574" t="str">
        <f ca="1">N1247</f>
        <v/>
      </c>
      <c r="F1247" s="127"/>
      <c r="G1247" s="576" t="str">
        <f ca="1">IF(OR(INDIRECT("'update Helper'!E"&amp;Q1247)="",F1247&lt;&gt;0,F1248&lt;&gt;0),IF(IFERROR((F1247/F1248),"")="","",(F1247/F1248)),INDIRECT("'update Helper'!E"&amp;Q1247)/100)</f>
        <v/>
      </c>
      <c r="H1247" s="539"/>
      <c r="I1247" s="578"/>
      <c r="J1247" s="532"/>
      <c r="K1247" s="126">
        <f ca="1">IF(AND(EXACT(C1247,C1245),C1245&lt;&gt;0),K1245+1,0)</f>
        <v>13</v>
      </c>
      <c r="L1247" s="126" t="str">
        <f t="shared" ref="L1247" ca="1" si="1433">IF(C1247&lt;&gt;"",C1247&amp;"-"&amp;K1247,"")</f>
        <v>KP-6c Number of sex workers who received any PrEP product at least once during the reporting period-13</v>
      </c>
      <c r="M1247" s="126" t="str">
        <f t="array" aca="1" ref="M1247" ca="1">IFERROR(IF(INDEX('Disaggregation Records'!$E$156:$E$517,MATCH(RIGHT(L1247,255),RIGHT('Disaggregation Records'!$D$156:$D$517,255),0))="","",INDEX('Disaggregation Records'!$E$156:$E$517,MATCH(RIGHT(L1247,255),RIGHT('Disaggregation Records'!$D$156:$D$517,255),0))),"")</f>
        <v/>
      </c>
      <c r="N1247" s="126" t="str">
        <f t="array" aca="1" ref="N1247" ca="1">IFERROR(IF(INDEX('Disaggregation Records'!$F$156:$F$517,MATCH(RIGHT(L1247,255),RIGHT('Disaggregation Records'!$D$156:$D$517,255),0))="","",INDEX('Disaggregation Records'!$F$156:$F$517,MATCH(RIGHT(L1247,255),RIGHT('Disaggregation Records'!$D$156:$D$517,255),0))),"")</f>
        <v/>
      </c>
      <c r="O1247" s="314" t="str">
        <f t="array" aca="1" ref="O1247" ca="1">IFERROR(IF(INDEX('Disaggregation Records'!$H$156:$H$517,MATCH(RIGHT(L1247,255),RIGHT('Disaggregation Records'!$D$156:$D$517,255),0))="","",INDEX('Disaggregation Records'!$H$156:$H$517,MATCH(RIGHT(L1247,255),RIGHT('Disaggregation Records'!$D$156:$D$517,255),0))),"")</f>
        <v/>
      </c>
      <c r="P1247" s="310"/>
      <c r="Q1247" s="310">
        <f t="shared" ref="Q1247" si="1434">Q1245+1</f>
        <v>1925</v>
      </c>
      <c r="R1247" s="314" t="str" cm="1">
        <f t="array" aca="1" ref="R1247" ca="1">IFERROR(IF(INDEX('Disaggregation Records'!$G$156:$G$517,MATCH(RIGHT(L1247,255),RIGHT('Disaggregation Records'!$D$156:$D$517,255),0))="","",INDEX('Disaggregation Records'!$G$156:$G$517,MATCH(RIGHT(L1247,255),RIGHT('Disaggregation Records'!$D$156:$D$517,255),0))),"")</f>
        <v/>
      </c>
    </row>
    <row r="1248" spans="1:18" ht="20.100000000000001" customHeight="1">
      <c r="B1248" s="571"/>
      <c r="C1248" s="573"/>
      <c r="D1248" s="575"/>
      <c r="E1248" s="575"/>
      <c r="F1248" s="128"/>
      <c r="G1248" s="577"/>
      <c r="H1248" s="540"/>
      <c r="I1248" s="579"/>
      <c r="J1248" s="533"/>
      <c r="L1248" s="126"/>
      <c r="N1248" s="126"/>
      <c r="O1248" s="314"/>
      <c r="P1248" s="310"/>
      <c r="Q1248" s="310"/>
      <c r="R1248" s="314" t="str" cm="1">
        <f t="array" ref="R1248">IFERROR(IF(INDEX('Disaggregation Records'!$G$156:$G$517,MATCH(RIGHT(L1248,255),RIGHT('Disaggregation Records'!$D$156:$D$517,255),0))="","",INDEX('Disaggregation Records'!$G$156:$G$517,MATCH(RIGHT(L1248,255),RIGHT('Disaggregation Records'!$D$156:$D$517,255),0))),"")</f>
        <v/>
      </c>
    </row>
    <row r="1249" spans="1:18" ht="20.100000000000001" customHeight="1">
      <c r="A1249" s="126" t="str">
        <f t="shared" ca="1" si="1385"/>
        <v>a16Dm000000M3vFIAS</v>
      </c>
      <c r="B1249" s="570">
        <v>16</v>
      </c>
      <c r="C1249" s="572" t="str">
        <f ca="1">IFERROR(VLOOKUP(B1249,'Coverage Indicators - Section D'!$A$9:$AO$94,41,FALSE),"")</f>
        <v>KP-6c Number of sex workers who received any PrEP product at least once during the reporting period</v>
      </c>
      <c r="D1249" s="574" t="str">
        <f ca="1">M1249</f>
        <v/>
      </c>
      <c r="E1249" s="574" t="str">
        <f ca="1">N1249</f>
        <v/>
      </c>
      <c r="F1249" s="127"/>
      <c r="G1249" s="576" t="str">
        <f ca="1">IF(OR(INDIRECT("'update Helper'!E"&amp;Q1249)="",F1249&lt;&gt;0,F1250&lt;&gt;0),IF(IFERROR((F1249/F1250),"")="","",(F1249/F1250)),INDIRECT("'update Helper'!E"&amp;Q1249)/100)</f>
        <v/>
      </c>
      <c r="H1249" s="539"/>
      <c r="I1249" s="578"/>
      <c r="J1249" s="532"/>
      <c r="K1249" s="126">
        <f ca="1">IF(AND(EXACT(C1249,C1247),C1247&lt;&gt;0),K1247+1,0)</f>
        <v>14</v>
      </c>
      <c r="L1249" s="126" t="str">
        <f t="shared" ref="L1249" ca="1" si="1435">IF(C1249&lt;&gt;"",C1249&amp;"-"&amp;K1249,"")</f>
        <v>KP-6c Number of sex workers who received any PrEP product at least once during the reporting period-14</v>
      </c>
      <c r="M1249" s="126" t="str">
        <f t="array" aca="1" ref="M1249" ca="1">IFERROR(IF(INDEX('Disaggregation Records'!$E$156:$E$517,MATCH(RIGHT(L1249,255),RIGHT('Disaggregation Records'!$D$156:$D$517,255),0))="","",INDEX('Disaggregation Records'!$E$156:$E$517,MATCH(RIGHT(L1249,255),RIGHT('Disaggregation Records'!$D$156:$D$517,255),0))),"")</f>
        <v/>
      </c>
      <c r="N1249" s="126" t="str">
        <f t="array" aca="1" ref="N1249" ca="1">IFERROR(IF(INDEX('Disaggregation Records'!$F$156:$F$517,MATCH(RIGHT(L1249,255),RIGHT('Disaggregation Records'!$D$156:$D$517,255),0))="","",INDEX('Disaggregation Records'!$F$156:$F$517,MATCH(RIGHT(L1249,255),RIGHT('Disaggregation Records'!$D$156:$D$517,255),0))),"")</f>
        <v/>
      </c>
      <c r="O1249" s="314" t="str">
        <f t="array" aca="1" ref="O1249" ca="1">IFERROR(IF(INDEX('Disaggregation Records'!$H$156:$H$517,MATCH(RIGHT(L1249,255),RIGHT('Disaggregation Records'!$D$156:$D$517,255),0))="","",INDEX('Disaggregation Records'!$H$156:$H$517,MATCH(RIGHT(L1249,255),RIGHT('Disaggregation Records'!$D$156:$D$517,255),0))),"")</f>
        <v/>
      </c>
      <c r="P1249" s="310"/>
      <c r="Q1249" s="310">
        <f t="shared" ref="Q1249" si="1436">Q1247+1</f>
        <v>1926</v>
      </c>
      <c r="R1249" s="314" t="str" cm="1">
        <f t="array" aca="1" ref="R1249" ca="1">IFERROR(IF(INDEX('Disaggregation Records'!$G$156:$G$517,MATCH(RIGHT(L1249,255),RIGHT('Disaggregation Records'!$D$156:$D$517,255),0))="","",INDEX('Disaggregation Records'!$G$156:$G$517,MATCH(RIGHT(L1249,255),RIGHT('Disaggregation Records'!$D$156:$D$517,255),0))),"")</f>
        <v/>
      </c>
    </row>
    <row r="1250" spans="1:18" ht="20.100000000000001" customHeight="1">
      <c r="A1250" s="126"/>
      <c r="B1250" s="571"/>
      <c r="C1250" s="573"/>
      <c r="D1250" s="575"/>
      <c r="E1250" s="575"/>
      <c r="F1250" s="128"/>
      <c r="G1250" s="577"/>
      <c r="H1250" s="540"/>
      <c r="I1250" s="579"/>
      <c r="J1250" s="533"/>
      <c r="L1250" s="126"/>
      <c r="N1250" s="126"/>
      <c r="O1250" s="314"/>
      <c r="P1250" s="310"/>
      <c r="Q1250" s="310"/>
      <c r="R1250" s="314" t="str" cm="1">
        <f t="array" ref="R1250">IFERROR(IF(INDEX('Disaggregation Records'!$G$156:$G$517,MATCH(RIGHT(L1250,255),RIGHT('Disaggregation Records'!$D$156:$D$517,255),0))="","",INDEX('Disaggregation Records'!$G$156:$G$517,MATCH(RIGHT(L1250,255),RIGHT('Disaggregation Records'!$D$156:$D$517,255),0))),"")</f>
        <v/>
      </c>
    </row>
    <row r="1251" spans="1:18" ht="20.100000000000001" customHeight="1">
      <c r="A1251" s="126" t="str">
        <f t="shared" ca="1" si="1388"/>
        <v>a16Dm000000M3vGIAS</v>
      </c>
      <c r="B1251" s="570">
        <v>16</v>
      </c>
      <c r="C1251" s="572" t="str">
        <f ca="1">IFERROR(VLOOKUP(B1251,'Coverage Indicators - Section D'!$A$9:$AO$94,41,FALSE),"")</f>
        <v>KP-6c Number of sex workers who received any PrEP product at least once during the reporting period</v>
      </c>
      <c r="D1251" s="574" t="str">
        <f ca="1">M1251</f>
        <v/>
      </c>
      <c r="E1251" s="574" t="str">
        <f ca="1">N1251</f>
        <v/>
      </c>
      <c r="F1251" s="127"/>
      <c r="G1251" s="576" t="str">
        <f ca="1">IF(OR(INDIRECT("'update Helper'!E"&amp;Q1251)="",F1251&lt;&gt;0,F1252&lt;&gt;0),IF(IFERROR((F1251/F1252),"")="","",(F1251/F1252)),INDIRECT("'update Helper'!E"&amp;Q1251)/100)</f>
        <v/>
      </c>
      <c r="H1251" s="539"/>
      <c r="I1251" s="578"/>
      <c r="J1251" s="532"/>
      <c r="K1251" s="126">
        <f ca="1">IF(AND(EXACT(C1251,C1249),C1249&lt;&gt;0),K1249+1,0)</f>
        <v>15</v>
      </c>
      <c r="L1251" s="126" t="str">
        <f t="shared" ref="L1251" ca="1" si="1437">IF(C1251&lt;&gt;"",C1251&amp;"-"&amp;K1251,"")</f>
        <v>KP-6c Number of sex workers who received any PrEP product at least once during the reporting period-15</v>
      </c>
      <c r="M1251" s="126" t="str">
        <f t="array" aca="1" ref="M1251" ca="1">IFERROR(IF(INDEX('Disaggregation Records'!$E$156:$E$517,MATCH(RIGHT(L1251,255),RIGHT('Disaggregation Records'!$D$156:$D$517,255),0))="","",INDEX('Disaggregation Records'!$E$156:$E$517,MATCH(RIGHT(L1251,255),RIGHT('Disaggregation Records'!$D$156:$D$517,255),0))),"")</f>
        <v/>
      </c>
      <c r="N1251" s="126" t="str">
        <f t="array" aca="1" ref="N1251" ca="1">IFERROR(IF(INDEX('Disaggregation Records'!$F$156:$F$517,MATCH(RIGHT(L1251,255),RIGHT('Disaggregation Records'!$D$156:$D$517,255),0))="","",INDEX('Disaggregation Records'!$F$156:$F$517,MATCH(RIGHT(L1251,255),RIGHT('Disaggregation Records'!$D$156:$D$517,255),0))),"")</f>
        <v/>
      </c>
      <c r="O1251" s="314" t="str">
        <f t="array" aca="1" ref="O1251" ca="1">IFERROR(IF(INDEX('Disaggregation Records'!$H$156:$H$517,MATCH(RIGHT(L1251,255),RIGHT('Disaggregation Records'!$D$156:$D$517,255),0))="","",INDEX('Disaggregation Records'!$H$156:$H$517,MATCH(RIGHT(L1251,255),RIGHT('Disaggregation Records'!$D$156:$D$517,255),0))),"")</f>
        <v/>
      </c>
      <c r="P1251" s="314"/>
      <c r="Q1251" s="310">
        <f t="shared" ref="Q1251" si="1438">Q1249+1</f>
        <v>1927</v>
      </c>
      <c r="R1251" s="314" t="str" cm="1">
        <f t="array" aca="1" ref="R1251" ca="1">IFERROR(IF(INDEX('Disaggregation Records'!$G$156:$G$517,MATCH(RIGHT(L1251,255),RIGHT('Disaggregation Records'!$D$156:$D$517,255),0))="","",INDEX('Disaggregation Records'!$G$156:$G$517,MATCH(RIGHT(L1251,255),RIGHT('Disaggregation Records'!$D$156:$D$517,255),0))),"")</f>
        <v/>
      </c>
    </row>
    <row r="1252" spans="1:18" ht="20.100000000000001" customHeight="1">
      <c r="B1252" s="571"/>
      <c r="C1252" s="573"/>
      <c r="D1252" s="575"/>
      <c r="E1252" s="575"/>
      <c r="F1252" s="128"/>
      <c r="G1252" s="577"/>
      <c r="H1252" s="540"/>
      <c r="I1252" s="579"/>
      <c r="J1252" s="533"/>
      <c r="K1252" s="126"/>
      <c r="L1252" s="126"/>
      <c r="M1252" s="126"/>
      <c r="N1252" s="126"/>
      <c r="O1252" s="314"/>
      <c r="P1252" s="314"/>
      <c r="Q1252" s="310"/>
      <c r="R1252" s="314" t="str" cm="1">
        <f t="array" ref="R1252">IFERROR(IF(INDEX('Disaggregation Records'!$G$156:$G$517,MATCH(RIGHT(L1252,255),RIGHT('Disaggregation Records'!$D$156:$D$517,255),0))="","",INDEX('Disaggregation Records'!$G$156:$G$517,MATCH(RIGHT(L1252,255),RIGHT('Disaggregation Records'!$D$156:$D$517,255),0))),"")</f>
        <v/>
      </c>
    </row>
    <row r="1253" spans="1:18" ht="20.100000000000001" customHeight="1">
      <c r="A1253" s="126" t="str">
        <f t="shared" ca="1" si="1385"/>
        <v>a16Dm000000M3vHIAS</v>
      </c>
      <c r="B1253" s="570">
        <v>16</v>
      </c>
      <c r="C1253" s="572" t="str">
        <f ca="1">IFERROR(VLOOKUP(B1253,'Coverage Indicators - Section D'!$A$9:$AO$94,41,FALSE),"")</f>
        <v>KP-6c Number of sex workers who received any PrEP product at least once during the reporting period</v>
      </c>
      <c r="D1253" s="574" t="str">
        <f ca="1">M1253</f>
        <v/>
      </c>
      <c r="E1253" s="574" t="str">
        <f ca="1">N1253</f>
        <v/>
      </c>
      <c r="F1253" s="127"/>
      <c r="G1253" s="576" t="str">
        <f ca="1">IF(OR(INDIRECT("'update Helper'!E"&amp;Q1253)="",F1253&lt;&gt;0,F1254&lt;&gt;0),IF(IFERROR((F1253/F1254),"")="","",(F1253/F1254)),INDIRECT("'update Helper'!E"&amp;Q1253)/100)</f>
        <v/>
      </c>
      <c r="H1253" s="539"/>
      <c r="I1253" s="578"/>
      <c r="J1253" s="532"/>
      <c r="K1253" s="126">
        <f ca="1">IF(AND(EXACT(C1253,C1251),C1251&lt;&gt;0),K1251+1,0)</f>
        <v>16</v>
      </c>
      <c r="L1253" s="126" t="str">
        <f t="shared" ref="L1253" ca="1" si="1439">IF(C1253&lt;&gt;"",C1253&amp;"-"&amp;K1253,"")</f>
        <v>KP-6c Number of sex workers who received any PrEP product at least once during the reporting period-16</v>
      </c>
      <c r="M1253" s="126" t="str">
        <f t="array" aca="1" ref="M1253" ca="1">IFERROR(IF(INDEX('Disaggregation Records'!$E$156:$E$517,MATCH(RIGHT(L1253,255),RIGHT('Disaggregation Records'!$D$156:$D$517,255),0))="","",INDEX('Disaggregation Records'!$E$156:$E$517,MATCH(RIGHT(L1253,255),RIGHT('Disaggregation Records'!$D$156:$D$517,255),0))),"")</f>
        <v/>
      </c>
      <c r="N1253" s="126" t="str">
        <f t="array" aca="1" ref="N1253" ca="1">IFERROR(IF(INDEX('Disaggregation Records'!$F$156:$F$517,MATCH(RIGHT(L1253,255),RIGHT('Disaggregation Records'!$D$156:$D$517,255),0))="","",INDEX('Disaggregation Records'!$F$156:$F$517,MATCH(RIGHT(L1253,255),RIGHT('Disaggregation Records'!$D$156:$D$517,255),0))),"")</f>
        <v/>
      </c>
      <c r="O1253" s="314" t="str">
        <f t="array" aca="1" ref="O1253" ca="1">IFERROR(IF(INDEX('Disaggregation Records'!$H$156:$H$517,MATCH(RIGHT(L1253,255),RIGHT('Disaggregation Records'!$D$156:$D$517,255),0))="","",INDEX('Disaggregation Records'!$H$156:$H$517,MATCH(RIGHT(L1253,255),RIGHT('Disaggregation Records'!$D$156:$D$517,255),0))),"")</f>
        <v/>
      </c>
      <c r="P1253" s="314"/>
      <c r="Q1253" s="310">
        <f t="shared" ref="Q1253" si="1440">Q1251+1</f>
        <v>1928</v>
      </c>
      <c r="R1253" s="314" t="str" cm="1">
        <f t="array" aca="1" ref="R1253" ca="1">IFERROR(IF(INDEX('Disaggregation Records'!$G$156:$G$517,MATCH(RIGHT(L1253,255),RIGHT('Disaggregation Records'!$D$156:$D$517,255),0))="","",INDEX('Disaggregation Records'!$G$156:$G$517,MATCH(RIGHT(L1253,255),RIGHT('Disaggregation Records'!$D$156:$D$517,255),0))),"")</f>
        <v/>
      </c>
    </row>
    <row r="1254" spans="1:18" ht="20.100000000000001" customHeight="1">
      <c r="A1254" s="126"/>
      <c r="B1254" s="571"/>
      <c r="C1254" s="573"/>
      <c r="D1254" s="575"/>
      <c r="E1254" s="575"/>
      <c r="F1254" s="128"/>
      <c r="G1254" s="577"/>
      <c r="H1254" s="540"/>
      <c r="I1254" s="579"/>
      <c r="J1254" s="533"/>
      <c r="K1254" s="126"/>
      <c r="L1254" s="126"/>
      <c r="M1254" s="126"/>
      <c r="N1254" s="126"/>
      <c r="O1254" s="314"/>
      <c r="P1254" s="314"/>
      <c r="Q1254" s="310"/>
      <c r="R1254" s="314" t="str" cm="1">
        <f t="array" ref="R1254">IFERROR(IF(INDEX('Disaggregation Records'!$G$156:$G$517,MATCH(RIGHT(L1254,255),RIGHT('Disaggregation Records'!$D$156:$D$517,255),0))="","",INDEX('Disaggregation Records'!$G$156:$G$517,MATCH(RIGHT(L1254,255),RIGHT('Disaggregation Records'!$D$156:$D$517,255),0))),"")</f>
        <v/>
      </c>
    </row>
    <row r="1255" spans="1:18" ht="20.100000000000001" customHeight="1">
      <c r="A1255" s="126" t="str">
        <f t="shared" ca="1" si="1388"/>
        <v>a16Dm000000M3vIIAS</v>
      </c>
      <c r="B1255" s="570">
        <v>16</v>
      </c>
      <c r="C1255" s="572" t="str">
        <f ca="1">IFERROR(VLOOKUP(B1255,'Coverage Indicators - Section D'!$A$9:$AO$94,41,FALSE),"")</f>
        <v>KP-6c Number of sex workers who received any PrEP product at least once during the reporting period</v>
      </c>
      <c r="D1255" s="574" t="str">
        <f ca="1">M1255</f>
        <v/>
      </c>
      <c r="E1255" s="574" t="str">
        <f ca="1">N1255</f>
        <v/>
      </c>
      <c r="F1255" s="127"/>
      <c r="G1255" s="576" t="str">
        <f ca="1">IF(OR(INDIRECT("'update Helper'!E"&amp;Q1255)="",F1255&lt;&gt;0,F1256&lt;&gt;0),IF(IFERROR((F1255/F1256),"")="","",(F1255/F1256)),INDIRECT("'update Helper'!E"&amp;Q1255)/100)</f>
        <v/>
      </c>
      <c r="H1255" s="539"/>
      <c r="I1255" s="578"/>
      <c r="J1255" s="532"/>
      <c r="K1255" s="126">
        <f ca="1">IF(AND(EXACT(C1255,C1253),C1253&lt;&gt;0),K1253+1,0)</f>
        <v>17</v>
      </c>
      <c r="L1255" s="126" t="str">
        <f t="shared" ref="L1255" ca="1" si="1441">IF(C1255&lt;&gt;"",C1255&amp;"-"&amp;K1255,"")</f>
        <v>KP-6c Number of sex workers who received any PrEP product at least once during the reporting period-17</v>
      </c>
      <c r="M1255" s="126" t="str">
        <f t="array" aca="1" ref="M1255" ca="1">IFERROR(IF(INDEX('Disaggregation Records'!$E$156:$E$517,MATCH(RIGHT(L1255,255),RIGHT('Disaggregation Records'!$D$156:$D$517,255),0))="","",INDEX('Disaggregation Records'!$E$156:$E$517,MATCH(RIGHT(L1255,255),RIGHT('Disaggregation Records'!$D$156:$D$517,255),0))),"")</f>
        <v/>
      </c>
      <c r="N1255" s="126" t="str">
        <f t="array" aca="1" ref="N1255" ca="1">IFERROR(IF(INDEX('Disaggregation Records'!$F$156:$F$517,MATCH(RIGHT(L1255,255),RIGHT('Disaggregation Records'!$D$156:$D$517,255),0))="","",INDEX('Disaggregation Records'!$F$156:$F$517,MATCH(RIGHT(L1255,255),RIGHT('Disaggregation Records'!$D$156:$D$517,255),0))),"")</f>
        <v/>
      </c>
      <c r="O1255" s="314" t="str">
        <f t="array" aca="1" ref="O1255" ca="1">IFERROR(IF(INDEX('Disaggregation Records'!$H$156:$H$517,MATCH(RIGHT(L1255,255),RIGHT('Disaggregation Records'!$D$156:$D$517,255),0))="","",INDEX('Disaggregation Records'!$H$156:$H$517,MATCH(RIGHT(L1255,255),RIGHT('Disaggregation Records'!$D$156:$D$517,255),0))),"")</f>
        <v/>
      </c>
      <c r="P1255" s="310"/>
      <c r="Q1255" s="310">
        <f t="shared" ref="Q1255" si="1442">Q1253+1</f>
        <v>1929</v>
      </c>
      <c r="R1255" s="314" t="str" cm="1">
        <f t="array" aca="1" ref="R1255" ca="1">IFERROR(IF(INDEX('Disaggregation Records'!$G$156:$G$517,MATCH(RIGHT(L1255,255),RIGHT('Disaggregation Records'!$D$156:$D$517,255),0))="","",INDEX('Disaggregation Records'!$G$156:$G$517,MATCH(RIGHT(L1255,255),RIGHT('Disaggregation Records'!$D$156:$D$517,255),0))),"")</f>
        <v/>
      </c>
    </row>
    <row r="1256" spans="1:18" ht="20.100000000000001" customHeight="1">
      <c r="B1256" s="571"/>
      <c r="C1256" s="573"/>
      <c r="D1256" s="575"/>
      <c r="E1256" s="575"/>
      <c r="F1256" s="128"/>
      <c r="G1256" s="577"/>
      <c r="H1256" s="540"/>
      <c r="I1256" s="579"/>
      <c r="J1256" s="533"/>
      <c r="L1256" s="126"/>
      <c r="N1256" s="126"/>
      <c r="O1256" s="314"/>
      <c r="P1256" s="310"/>
      <c r="Q1256" s="310"/>
      <c r="R1256" s="314" t="str" cm="1">
        <f t="array" ref="R1256">IFERROR(IF(INDEX('Disaggregation Records'!$G$156:$G$517,MATCH(RIGHT(L1256,255),RIGHT('Disaggregation Records'!$D$156:$D$517,255),0))="","",INDEX('Disaggregation Records'!$G$156:$G$517,MATCH(RIGHT(L1256,255),RIGHT('Disaggregation Records'!$D$156:$D$517,255),0))),"")</f>
        <v/>
      </c>
    </row>
    <row r="1257" spans="1:18" ht="20.100000000000001" customHeight="1">
      <c r="A1257" s="126" t="str">
        <f t="shared" ca="1" si="1385"/>
        <v>a16Dm000000M3vJIAS</v>
      </c>
      <c r="B1257" s="570">
        <v>16</v>
      </c>
      <c r="C1257" s="572" t="str">
        <f ca="1">IFERROR(VLOOKUP(B1257,'Coverage Indicators - Section D'!$A$9:$AO$94,41,FALSE),"")</f>
        <v>KP-6c Number of sex workers who received any PrEP product at least once during the reporting period</v>
      </c>
      <c r="D1257" s="574" t="str">
        <f ca="1">M1257</f>
        <v/>
      </c>
      <c r="E1257" s="574" t="str">
        <f ca="1">N1257</f>
        <v/>
      </c>
      <c r="F1257" s="127"/>
      <c r="G1257" s="576" t="str">
        <f ca="1">IF(OR(INDIRECT("'update Helper'!E"&amp;Q1257)="",F1257&lt;&gt;0,F1258&lt;&gt;0),IF(IFERROR((F1257/F1258),"")="","",(F1257/F1258)),INDIRECT("'update Helper'!E"&amp;Q1257)/100)</f>
        <v/>
      </c>
      <c r="H1257" s="539"/>
      <c r="I1257" s="578"/>
      <c r="J1257" s="532"/>
      <c r="K1257" s="126">
        <f ca="1">IF(AND(EXACT(C1257,C1255),C1255&lt;&gt;0),K1255+1,0)</f>
        <v>18</v>
      </c>
      <c r="L1257" s="126" t="str">
        <f t="shared" ref="L1257" ca="1" si="1443">IF(C1257&lt;&gt;"",C1257&amp;"-"&amp;K1257,"")</f>
        <v>KP-6c Number of sex workers who received any PrEP product at least once during the reporting period-18</v>
      </c>
      <c r="M1257" s="126" t="str">
        <f t="array" aca="1" ref="M1257" ca="1">IFERROR(IF(INDEX('Disaggregation Records'!$E$156:$E$517,MATCH(RIGHT(L1257,255),RIGHT('Disaggregation Records'!$D$156:$D$517,255),0))="","",INDEX('Disaggregation Records'!$E$156:$E$517,MATCH(RIGHT(L1257,255),RIGHT('Disaggregation Records'!$D$156:$D$517,255),0))),"")</f>
        <v/>
      </c>
      <c r="N1257" s="126" t="str">
        <f t="array" aca="1" ref="N1257" ca="1">IFERROR(IF(INDEX('Disaggregation Records'!$F$156:$F$517,MATCH(RIGHT(L1257,255),RIGHT('Disaggregation Records'!$D$156:$D$517,255),0))="","",INDEX('Disaggregation Records'!$F$156:$F$517,MATCH(RIGHT(L1257,255),RIGHT('Disaggregation Records'!$D$156:$D$517,255),0))),"")</f>
        <v/>
      </c>
      <c r="O1257" s="314" t="str">
        <f t="array" aca="1" ref="O1257" ca="1">IFERROR(IF(INDEX('Disaggregation Records'!$H$156:$H$517,MATCH(RIGHT(L1257,255),RIGHT('Disaggregation Records'!$D$156:$D$517,255),0))="","",INDEX('Disaggregation Records'!$H$156:$H$517,MATCH(RIGHT(L1257,255),RIGHT('Disaggregation Records'!$D$156:$D$517,255),0))),"")</f>
        <v/>
      </c>
      <c r="P1257" s="310"/>
      <c r="Q1257" s="310">
        <f t="shared" ref="Q1257" si="1444">Q1255+1</f>
        <v>1930</v>
      </c>
      <c r="R1257" s="314" t="str" cm="1">
        <f t="array" aca="1" ref="R1257" ca="1">IFERROR(IF(INDEX('Disaggregation Records'!$G$156:$G$517,MATCH(RIGHT(L1257,255),RIGHT('Disaggregation Records'!$D$156:$D$517,255),0))="","",INDEX('Disaggregation Records'!$G$156:$G$517,MATCH(RIGHT(L1257,255),RIGHT('Disaggregation Records'!$D$156:$D$517,255),0))),"")</f>
        <v/>
      </c>
    </row>
    <row r="1258" spans="1:18" ht="20.100000000000001" customHeight="1">
      <c r="A1258" s="126"/>
      <c r="B1258" s="571"/>
      <c r="C1258" s="573"/>
      <c r="D1258" s="575"/>
      <c r="E1258" s="575"/>
      <c r="F1258" s="128"/>
      <c r="G1258" s="577"/>
      <c r="H1258" s="540"/>
      <c r="I1258" s="579"/>
      <c r="J1258" s="533"/>
      <c r="L1258" s="126"/>
      <c r="N1258" s="126"/>
      <c r="O1258" s="314"/>
      <c r="P1258" s="310"/>
      <c r="Q1258" s="310"/>
      <c r="R1258" s="314" t="str" cm="1">
        <f t="array" ref="R1258">IFERROR(IF(INDEX('Disaggregation Records'!$G$156:$G$517,MATCH(RIGHT(L1258,255),RIGHT('Disaggregation Records'!$D$156:$D$517,255),0))="","",INDEX('Disaggregation Records'!$G$156:$G$517,MATCH(RIGHT(L1258,255),RIGHT('Disaggregation Records'!$D$156:$D$517,255),0))),"")</f>
        <v/>
      </c>
    </row>
    <row r="1259" spans="1:18" ht="20.100000000000001" customHeight="1">
      <c r="A1259" s="126" t="str">
        <f t="shared" ca="1" si="1388"/>
        <v>a16Dm000000M3vKIAS</v>
      </c>
      <c r="B1259" s="570">
        <v>16</v>
      </c>
      <c r="C1259" s="572" t="str">
        <f ca="1">IFERROR(VLOOKUP(B1259,'Coverage Indicators - Section D'!$A$9:$AO$94,41,FALSE),"")</f>
        <v>KP-6c Number of sex workers who received any PrEP product at least once during the reporting period</v>
      </c>
      <c r="D1259" s="574" t="str">
        <f ca="1">M1259</f>
        <v/>
      </c>
      <c r="E1259" s="574" t="str">
        <f ca="1">N1259</f>
        <v/>
      </c>
      <c r="F1259" s="127"/>
      <c r="G1259" s="576" t="str">
        <f ca="1">IF(OR(INDIRECT("'update Helper'!E"&amp;Q1259)="",F1259&lt;&gt;0,F1260&lt;&gt;0),IF(IFERROR((F1259/F1260),"")="","",(F1259/F1260)),INDIRECT("'update Helper'!E"&amp;Q1259)/100)</f>
        <v/>
      </c>
      <c r="H1259" s="539"/>
      <c r="I1259" s="578"/>
      <c r="J1259" s="532"/>
      <c r="K1259" s="126">
        <f ca="1">IF(AND(EXACT(C1259,C1257),C1257&lt;&gt;0),K1257+1,0)</f>
        <v>19</v>
      </c>
      <c r="L1259" s="126" t="str">
        <f t="shared" ref="L1259" ca="1" si="1445">IF(C1259&lt;&gt;"",C1259&amp;"-"&amp;K1259,"")</f>
        <v>KP-6c Number of sex workers who received any PrEP product at least once during the reporting period-19</v>
      </c>
      <c r="M1259" s="126" t="str">
        <f t="array" aca="1" ref="M1259" ca="1">IFERROR(IF(INDEX('Disaggregation Records'!$E$156:$E$517,MATCH(RIGHT(L1259,255),RIGHT('Disaggregation Records'!$D$156:$D$517,255),0))="","",INDEX('Disaggregation Records'!$E$156:$E$517,MATCH(RIGHT(L1259,255),RIGHT('Disaggregation Records'!$D$156:$D$517,255),0))),"")</f>
        <v/>
      </c>
      <c r="N1259" s="126" t="str">
        <f t="array" aca="1" ref="N1259" ca="1">IFERROR(IF(INDEX('Disaggregation Records'!$F$156:$F$517,MATCH(RIGHT(L1259,255),RIGHT('Disaggregation Records'!$D$156:$D$517,255),0))="","",INDEX('Disaggregation Records'!$F$156:$F$517,MATCH(RIGHT(L1259,255),RIGHT('Disaggregation Records'!$D$156:$D$517,255),0))),"")</f>
        <v/>
      </c>
      <c r="O1259" s="314" t="str">
        <f t="array" aca="1" ref="O1259" ca="1">IFERROR(IF(INDEX('Disaggregation Records'!$H$156:$H$517,MATCH(RIGHT(L1259,255),RIGHT('Disaggregation Records'!$D$156:$D$517,255),0))="","",INDEX('Disaggregation Records'!$H$156:$H$517,MATCH(RIGHT(L1259,255),RIGHT('Disaggregation Records'!$D$156:$D$517,255),0))),"")</f>
        <v/>
      </c>
      <c r="P1259" s="310"/>
      <c r="Q1259" s="310">
        <f t="shared" ref="Q1259" si="1446">Q1257+1</f>
        <v>1931</v>
      </c>
      <c r="R1259" s="314" t="str" cm="1">
        <f t="array" aca="1" ref="R1259" ca="1">IFERROR(IF(INDEX('Disaggregation Records'!$G$156:$G$517,MATCH(RIGHT(L1259,255),RIGHT('Disaggregation Records'!$D$156:$D$517,255),0))="","",INDEX('Disaggregation Records'!$G$156:$G$517,MATCH(RIGHT(L1259,255),RIGHT('Disaggregation Records'!$D$156:$D$517,255),0))),"")</f>
        <v/>
      </c>
    </row>
    <row r="1260" spans="1:18" ht="20.100000000000001" customHeight="1">
      <c r="B1260" s="571"/>
      <c r="C1260" s="573"/>
      <c r="D1260" s="575"/>
      <c r="E1260" s="575"/>
      <c r="F1260" s="128"/>
      <c r="G1260" s="577"/>
      <c r="H1260" s="540"/>
      <c r="I1260" s="579"/>
      <c r="J1260" s="533"/>
      <c r="L1260" s="126"/>
      <c r="N1260" s="126"/>
      <c r="O1260" s="314"/>
      <c r="P1260" s="310"/>
      <c r="Q1260" s="310"/>
      <c r="R1260" s="314" t="str" cm="1">
        <f t="array" ref="R1260">IFERROR(IF(INDEX('Disaggregation Records'!$G$156:$G$517,MATCH(RIGHT(L1260,255),RIGHT('Disaggregation Records'!$D$156:$D$517,255),0))="","",INDEX('Disaggregation Records'!$G$156:$G$517,MATCH(RIGHT(L1260,255),RIGHT('Disaggregation Records'!$D$156:$D$517,255),0))),"")</f>
        <v/>
      </c>
    </row>
    <row r="1261" spans="1:18" ht="20.100000000000001" customHeight="1">
      <c r="A1261" s="126" t="str">
        <f t="shared" ca="1" si="1385"/>
        <v>a16Dm000000M3vLIAS</v>
      </c>
      <c r="B1261" s="570">
        <v>17</v>
      </c>
      <c r="C1261" s="572" t="str">
        <f ca="1">IFERROR(VLOOKUP(B1261,'Coverage Indicators - Section D'!$A$9:$AO$94,41,FALSE),"")</f>
        <v>KP-1b Percentage of transgender people reached with HIV prevention programs - defined package of services</v>
      </c>
      <c r="D1261" s="574" t="str">
        <f ca="1">M1261</f>
        <v>Age</v>
      </c>
      <c r="E1261" s="574" t="str">
        <f ca="1">N1261</f>
        <v>25+</v>
      </c>
      <c r="F1261" s="127"/>
      <c r="G1261" s="576" t="str">
        <f ca="1">IF(OR(INDIRECT("'update Helper'!E"&amp;Q1261)="",F1261&lt;&gt;0,F1262&lt;&gt;0),IF(IFERROR((F1261/F1262),"")="","",(F1261/F1262)),INDIRECT("'update Helper'!E"&amp;Q1261)/100)</f>
        <v/>
      </c>
      <c r="H1261" s="539"/>
      <c r="I1261" s="578"/>
      <c r="J1261" s="532" t="s">
        <v>2301</v>
      </c>
      <c r="K1261" s="126">
        <f ca="1">IF(AND(EXACT(C1261,C1259),C1259&lt;&gt;0),K1259+1,0)</f>
        <v>0</v>
      </c>
      <c r="L1261" s="126" t="str">
        <f t="shared" ref="L1261" ca="1" si="1447">IF(C1261&lt;&gt;"",C1261&amp;"-"&amp;K1261,"")</f>
        <v>KP-1b Percentage of transgender people reached with HIV prevention programs - defined package of services-0</v>
      </c>
      <c r="M1261" s="126" t="str">
        <f t="array" aca="1" ref="M1261" ca="1">IFERROR(IF(INDEX('Disaggregation Records'!$E$156:$E$517,MATCH(RIGHT(L1261,255),RIGHT('Disaggregation Records'!$D$156:$D$517,255),0))="","",INDEX('Disaggregation Records'!$E$156:$E$517,MATCH(RIGHT(L1261,255),RIGHT('Disaggregation Records'!$D$156:$D$517,255),0))),"")</f>
        <v>Age</v>
      </c>
      <c r="N1261" s="126" t="str">
        <f t="array" aca="1" ref="N1261" ca="1">IFERROR(IF(INDEX('Disaggregation Records'!$F$156:$F$517,MATCH(RIGHT(L1261,255),RIGHT('Disaggregation Records'!$D$156:$D$517,255),0))="","",INDEX('Disaggregation Records'!$F$156:$F$517,MATCH(RIGHT(L1261,255),RIGHT('Disaggregation Records'!$D$156:$D$517,255),0))),"")</f>
        <v>25+</v>
      </c>
      <c r="O1261" s="314" t="str">
        <f t="array" aca="1" ref="O1261" ca="1">IFERROR(IF(INDEX('Disaggregation Records'!$H$156:$H$517,MATCH(RIGHT(L1261,255),RIGHT('Disaggregation Records'!$D$156:$D$517,255),0))="","",INDEX('Disaggregation Records'!$H$156:$H$517,MATCH(RIGHT(L1261,255),RIGHT('Disaggregation Records'!$D$156:$D$517,255),0))),"")</f>
        <v>IDR-01181</v>
      </c>
      <c r="P1261" s="314"/>
      <c r="Q1261" s="310">
        <f t="shared" ref="Q1261" si="1448">Q1259+1</f>
        <v>1932</v>
      </c>
      <c r="R1261" s="314" t="str" cm="1">
        <f t="array" aca="1" ref="R1261" ca="1">IFERROR(IF(INDEX('Disaggregation Records'!$G$156:$G$517,MATCH(RIGHT(L1261,255),RIGHT('Disaggregation Records'!$D$156:$D$517,255),0))="","",INDEX('Disaggregation Records'!$G$156:$G$517,MATCH(RIGHT(L1261,255),RIGHT('Disaggregation Records'!$D$156:$D$517,255),0))),"")</f>
        <v>a1LDm000000Cb1nMAC</v>
      </c>
    </row>
    <row r="1262" spans="1:18" ht="20.100000000000001" customHeight="1">
      <c r="A1262" s="126"/>
      <c r="B1262" s="571"/>
      <c r="C1262" s="573"/>
      <c r="D1262" s="575"/>
      <c r="E1262" s="575"/>
      <c r="F1262" s="128"/>
      <c r="G1262" s="577"/>
      <c r="H1262" s="540"/>
      <c r="I1262" s="579"/>
      <c r="J1262" s="533"/>
      <c r="K1262" s="126"/>
      <c r="L1262" s="126"/>
      <c r="M1262" s="126"/>
      <c r="N1262" s="126"/>
      <c r="O1262" s="314"/>
      <c r="P1262" s="314"/>
      <c r="Q1262" s="310"/>
      <c r="R1262" s="314" t="str" cm="1">
        <f t="array" ref="R1262">IFERROR(IF(INDEX('Disaggregation Records'!$G$156:$G$517,MATCH(RIGHT(L1262,255),RIGHT('Disaggregation Records'!$D$156:$D$517,255),0))="","",INDEX('Disaggregation Records'!$G$156:$G$517,MATCH(RIGHT(L1262,255),RIGHT('Disaggregation Records'!$D$156:$D$517,255),0))),"")</f>
        <v/>
      </c>
    </row>
    <row r="1263" spans="1:18" ht="20.100000000000001" customHeight="1">
      <c r="A1263" s="126" t="str">
        <f t="shared" ca="1" si="1388"/>
        <v>a16Dm000000M3vMIAS</v>
      </c>
      <c r="B1263" s="570">
        <v>17</v>
      </c>
      <c r="C1263" s="572" t="str">
        <f ca="1">IFERROR(VLOOKUP(B1263,'Coverage Indicators - Section D'!$A$9:$AO$94,41,FALSE),"")</f>
        <v>KP-1b Percentage of transgender people reached with HIV prevention programs - defined package of services</v>
      </c>
      <c r="D1263" s="574" t="str">
        <f ca="1">M1263</f>
        <v>Age</v>
      </c>
      <c r="E1263" s="574" t="str">
        <f ca="1">N1263</f>
        <v>20-24</v>
      </c>
      <c r="F1263" s="127"/>
      <c r="G1263" s="576" t="str">
        <f ca="1">IF(OR(INDIRECT("'update Helper'!E"&amp;Q1263)="",F1263&lt;&gt;0,F1264&lt;&gt;0),IF(IFERROR((F1263/F1264),"")="","",(F1263/F1264)),INDIRECT("'update Helper'!E"&amp;Q1263)/100)</f>
        <v/>
      </c>
      <c r="H1263" s="539"/>
      <c r="I1263" s="578"/>
      <c r="J1263" s="532" t="s">
        <v>2301</v>
      </c>
      <c r="K1263" s="126">
        <f ca="1">IF(AND(EXACT(C1263,C1261),C1261&lt;&gt;0),K1261+1,0)</f>
        <v>1</v>
      </c>
      <c r="L1263" s="126" t="str">
        <f t="shared" ref="L1263" ca="1" si="1449">IF(C1263&lt;&gt;"",C1263&amp;"-"&amp;K1263,"")</f>
        <v>KP-1b Percentage of transgender people reached with HIV prevention programs - defined package of services-1</v>
      </c>
      <c r="M1263" s="126" t="str">
        <f t="array" aca="1" ref="M1263" ca="1">IFERROR(IF(INDEX('Disaggregation Records'!$E$156:$E$517,MATCH(RIGHT(L1263,255),RIGHT('Disaggregation Records'!$D$156:$D$517,255),0))="","",INDEX('Disaggregation Records'!$E$156:$E$517,MATCH(RIGHT(L1263,255),RIGHT('Disaggregation Records'!$D$156:$D$517,255),0))),"")</f>
        <v>Age</v>
      </c>
      <c r="N1263" s="126" t="str">
        <f t="array" aca="1" ref="N1263" ca="1">IFERROR(IF(INDEX('Disaggregation Records'!$F$156:$F$517,MATCH(RIGHT(L1263,255),RIGHT('Disaggregation Records'!$D$156:$D$517,255),0))="","",INDEX('Disaggregation Records'!$F$156:$F$517,MATCH(RIGHT(L1263,255),RIGHT('Disaggregation Records'!$D$156:$D$517,255),0))),"")</f>
        <v>20-24</v>
      </c>
      <c r="O1263" s="314" t="str">
        <f t="array" aca="1" ref="O1263" ca="1">IFERROR(IF(INDEX('Disaggregation Records'!$H$156:$H$517,MATCH(RIGHT(L1263,255),RIGHT('Disaggregation Records'!$D$156:$D$517,255),0))="","",INDEX('Disaggregation Records'!$H$156:$H$517,MATCH(RIGHT(L1263,255),RIGHT('Disaggregation Records'!$D$156:$D$517,255),0))),"")</f>
        <v>IDR-01180</v>
      </c>
      <c r="P1263" s="314"/>
      <c r="Q1263" s="310">
        <f t="shared" ref="Q1263" si="1450">Q1261+1</f>
        <v>1933</v>
      </c>
      <c r="R1263" s="314" t="str" cm="1">
        <f t="array" aca="1" ref="R1263" ca="1">IFERROR(IF(INDEX('Disaggregation Records'!$G$156:$G$517,MATCH(RIGHT(L1263,255),RIGHT('Disaggregation Records'!$D$156:$D$517,255),0))="","",INDEX('Disaggregation Records'!$G$156:$G$517,MATCH(RIGHT(L1263,255),RIGHT('Disaggregation Records'!$D$156:$D$517,255),0))),"")</f>
        <v>a1LDm000000Cb1mMAC</v>
      </c>
    </row>
    <row r="1264" spans="1:18" ht="20.100000000000001" customHeight="1">
      <c r="B1264" s="571"/>
      <c r="C1264" s="573"/>
      <c r="D1264" s="575"/>
      <c r="E1264" s="575"/>
      <c r="F1264" s="128"/>
      <c r="G1264" s="577"/>
      <c r="H1264" s="540"/>
      <c r="I1264" s="579"/>
      <c r="J1264" s="533"/>
      <c r="K1264" s="126"/>
      <c r="L1264" s="126"/>
      <c r="M1264" s="126"/>
      <c r="N1264" s="126"/>
      <c r="O1264" s="314"/>
      <c r="P1264" s="314"/>
      <c r="Q1264" s="310"/>
      <c r="R1264" s="314" t="str" cm="1">
        <f t="array" ref="R1264">IFERROR(IF(INDEX('Disaggregation Records'!$G$156:$G$517,MATCH(RIGHT(L1264,255),RIGHT('Disaggregation Records'!$D$156:$D$517,255),0))="","",INDEX('Disaggregation Records'!$G$156:$G$517,MATCH(RIGHT(L1264,255),RIGHT('Disaggregation Records'!$D$156:$D$517,255),0))),"")</f>
        <v/>
      </c>
    </row>
    <row r="1265" spans="1:18" ht="20.100000000000001" customHeight="1">
      <c r="A1265" s="126" t="str">
        <f t="shared" ref="A1265:A1325" ca="1" si="1451">INDIRECT("'update Helper'!C"&amp;Q1265)</f>
        <v>a16Dm000000M3vNIAS</v>
      </c>
      <c r="B1265" s="570">
        <v>17</v>
      </c>
      <c r="C1265" s="572" t="str">
        <f ca="1">IFERROR(VLOOKUP(B1265,'Coverage Indicators - Section D'!$A$9:$AO$94,41,FALSE),"")</f>
        <v>KP-1b Percentage of transgender people reached with HIV prevention programs - defined package of services</v>
      </c>
      <c r="D1265" s="574" t="str">
        <f ca="1">M1265</f>
        <v>Gender</v>
      </c>
      <c r="E1265" s="574" t="str">
        <f ca="1">N1265</f>
        <v>Transwomen</v>
      </c>
      <c r="F1265" s="127"/>
      <c r="G1265" s="576" t="str">
        <f ca="1">IF(OR(INDIRECT("'update Helper'!E"&amp;Q1265)="",F1265&lt;&gt;0,F1266&lt;&gt;0),IF(IFERROR((F1265/F1266),"")="","",(F1265/F1266)),INDIRECT("'update Helper'!E"&amp;Q1265)/100)</f>
        <v/>
      </c>
      <c r="H1265" s="539"/>
      <c r="I1265" s="578"/>
      <c r="J1265" s="532" t="s">
        <v>2301</v>
      </c>
      <c r="K1265" s="126">
        <f ca="1">IF(AND(EXACT(C1265,C1263),C1263&lt;&gt;0),K1263+1,0)</f>
        <v>2</v>
      </c>
      <c r="L1265" s="126" t="str">
        <f t="shared" ref="L1265" ca="1" si="1452">IF(C1265&lt;&gt;"",C1265&amp;"-"&amp;K1265,"")</f>
        <v>KP-1b Percentage of transgender people reached with HIV prevention programs - defined package of services-2</v>
      </c>
      <c r="M1265" s="126" t="str">
        <f t="array" aca="1" ref="M1265" ca="1">IFERROR(IF(INDEX('Disaggregation Records'!$E$156:$E$517,MATCH(RIGHT(L1265,255),RIGHT('Disaggregation Records'!$D$156:$D$517,255),0))="","",INDEX('Disaggregation Records'!$E$156:$E$517,MATCH(RIGHT(L1265,255),RIGHT('Disaggregation Records'!$D$156:$D$517,255),0))),"")</f>
        <v>Gender</v>
      </c>
      <c r="N1265" s="126" t="str">
        <f t="array" aca="1" ref="N1265" ca="1">IFERROR(IF(INDEX('Disaggregation Records'!$F$156:$F$517,MATCH(RIGHT(L1265,255),RIGHT('Disaggregation Records'!$D$156:$D$517,255),0))="","",INDEX('Disaggregation Records'!$F$156:$F$517,MATCH(RIGHT(L1265,255),RIGHT('Disaggregation Records'!$D$156:$D$517,255),0))),"")</f>
        <v>Transwomen</v>
      </c>
      <c r="O1265" s="314" t="str">
        <f t="array" aca="1" ref="O1265" ca="1">IFERROR(IF(INDEX('Disaggregation Records'!$H$156:$H$517,MATCH(RIGHT(L1265,255),RIGHT('Disaggregation Records'!$D$156:$D$517,255),0))="","",INDEX('Disaggregation Records'!$H$156:$H$517,MATCH(RIGHT(L1265,255),RIGHT('Disaggregation Records'!$D$156:$D$517,255),0))),"")</f>
        <v>IDR-01179</v>
      </c>
      <c r="P1265" s="310"/>
      <c r="Q1265" s="310">
        <f t="shared" ref="Q1265" si="1453">Q1263+1</f>
        <v>1934</v>
      </c>
      <c r="R1265" s="314" t="str" cm="1">
        <f t="array" aca="1" ref="R1265" ca="1">IFERROR(IF(INDEX('Disaggregation Records'!$G$156:$G$517,MATCH(RIGHT(L1265,255),RIGHT('Disaggregation Records'!$D$156:$D$517,255),0))="","",INDEX('Disaggregation Records'!$G$156:$G$517,MATCH(RIGHT(L1265,255),RIGHT('Disaggregation Records'!$D$156:$D$517,255),0))),"")</f>
        <v>a1LDm000000Cb1lMAC</v>
      </c>
    </row>
    <row r="1266" spans="1:18" ht="20.100000000000001" customHeight="1">
      <c r="A1266" s="126"/>
      <c r="B1266" s="571"/>
      <c r="C1266" s="573"/>
      <c r="D1266" s="575"/>
      <c r="E1266" s="575"/>
      <c r="F1266" s="128"/>
      <c r="G1266" s="577"/>
      <c r="H1266" s="540"/>
      <c r="I1266" s="579"/>
      <c r="J1266" s="533"/>
      <c r="L1266" s="126"/>
      <c r="N1266" s="126"/>
      <c r="O1266" s="314"/>
      <c r="P1266" s="310"/>
      <c r="Q1266" s="310"/>
      <c r="R1266" s="314" t="str" cm="1">
        <f t="array" ref="R1266">IFERROR(IF(INDEX('Disaggregation Records'!$G$156:$G$517,MATCH(RIGHT(L1266,255),RIGHT('Disaggregation Records'!$D$156:$D$517,255),0))="","",INDEX('Disaggregation Records'!$G$156:$G$517,MATCH(RIGHT(L1266,255),RIGHT('Disaggregation Records'!$D$156:$D$517,255),0))),"")</f>
        <v/>
      </c>
    </row>
    <row r="1267" spans="1:18" ht="20.100000000000001" customHeight="1">
      <c r="A1267" s="126" t="str">
        <f t="shared" ref="A1267:A1327" ca="1" si="1454">INDIRECT("'update Helper'!C"&amp;Q1267)</f>
        <v>a16Dm000000M3vOIAS</v>
      </c>
      <c r="B1267" s="570">
        <v>17</v>
      </c>
      <c r="C1267" s="572" t="str">
        <f ca="1">IFERROR(VLOOKUP(B1267,'Coverage Indicators - Section D'!$A$9:$AO$94,41,FALSE),"")</f>
        <v>KP-1b Percentage of transgender people reached with HIV prevention programs - defined package of services</v>
      </c>
      <c r="D1267" s="574" t="str">
        <f ca="1">M1267</f>
        <v>Gender</v>
      </c>
      <c r="E1267" s="574" t="str">
        <f ca="1">N1267</f>
        <v>Transmen</v>
      </c>
      <c r="F1267" s="127"/>
      <c r="G1267" s="576" t="str">
        <f ca="1">IF(OR(INDIRECT("'update Helper'!E"&amp;Q1267)="",F1267&lt;&gt;0,F1268&lt;&gt;0),IF(IFERROR((F1267/F1268),"")="","",(F1267/F1268)),INDIRECT("'update Helper'!E"&amp;Q1267)/100)</f>
        <v/>
      </c>
      <c r="H1267" s="539"/>
      <c r="I1267" s="578"/>
      <c r="J1267" s="532" t="s">
        <v>2301</v>
      </c>
      <c r="K1267" s="126">
        <f ca="1">IF(AND(EXACT(C1267,C1265),C1265&lt;&gt;0),K1265+1,0)</f>
        <v>3</v>
      </c>
      <c r="L1267" s="126" t="str">
        <f t="shared" ref="L1267" ca="1" si="1455">IF(C1267&lt;&gt;"",C1267&amp;"-"&amp;K1267,"")</f>
        <v>KP-1b Percentage of transgender people reached with HIV prevention programs - defined package of services-3</v>
      </c>
      <c r="M1267" s="126" t="str">
        <f t="array" aca="1" ref="M1267" ca="1">IFERROR(IF(INDEX('Disaggregation Records'!$E$156:$E$517,MATCH(RIGHT(L1267,255),RIGHT('Disaggregation Records'!$D$156:$D$517,255),0))="","",INDEX('Disaggregation Records'!$E$156:$E$517,MATCH(RIGHT(L1267,255),RIGHT('Disaggregation Records'!$D$156:$D$517,255),0))),"")</f>
        <v>Gender</v>
      </c>
      <c r="N1267" s="126" t="str">
        <f t="array" aca="1" ref="N1267" ca="1">IFERROR(IF(INDEX('Disaggregation Records'!$F$156:$F$517,MATCH(RIGHT(L1267,255),RIGHT('Disaggregation Records'!$D$156:$D$517,255),0))="","",INDEX('Disaggregation Records'!$F$156:$F$517,MATCH(RIGHT(L1267,255),RIGHT('Disaggregation Records'!$D$156:$D$517,255),0))),"")</f>
        <v>Transmen</v>
      </c>
      <c r="O1267" s="314" t="str">
        <f t="array" aca="1" ref="O1267" ca="1">IFERROR(IF(INDEX('Disaggregation Records'!$H$156:$H$517,MATCH(RIGHT(L1267,255),RIGHT('Disaggregation Records'!$D$156:$D$517,255),0))="","",INDEX('Disaggregation Records'!$H$156:$H$517,MATCH(RIGHT(L1267,255),RIGHT('Disaggregation Records'!$D$156:$D$517,255),0))),"")</f>
        <v>IDR-01178</v>
      </c>
      <c r="P1267" s="310"/>
      <c r="Q1267" s="310">
        <f t="shared" ref="Q1267" si="1456">Q1265+1</f>
        <v>1935</v>
      </c>
      <c r="R1267" s="314" t="str" cm="1">
        <f t="array" aca="1" ref="R1267" ca="1">IFERROR(IF(INDEX('Disaggregation Records'!$G$156:$G$517,MATCH(RIGHT(L1267,255),RIGHT('Disaggregation Records'!$D$156:$D$517,255),0))="","",INDEX('Disaggregation Records'!$G$156:$G$517,MATCH(RIGHT(L1267,255),RIGHT('Disaggregation Records'!$D$156:$D$517,255),0))),"")</f>
        <v>a1LDm000000Cb1kMAC</v>
      </c>
    </row>
    <row r="1268" spans="1:18" ht="20.100000000000001" customHeight="1">
      <c r="B1268" s="571"/>
      <c r="C1268" s="573"/>
      <c r="D1268" s="575"/>
      <c r="E1268" s="575"/>
      <c r="F1268" s="128"/>
      <c r="G1268" s="577"/>
      <c r="H1268" s="540"/>
      <c r="I1268" s="579"/>
      <c r="J1268" s="533"/>
      <c r="L1268" s="126"/>
      <c r="N1268" s="126"/>
      <c r="O1268" s="314"/>
      <c r="P1268" s="310"/>
      <c r="Q1268" s="310"/>
      <c r="R1268" s="314" t="str" cm="1">
        <f t="array" ref="R1268">IFERROR(IF(INDEX('Disaggregation Records'!$G$156:$G$517,MATCH(RIGHT(L1268,255),RIGHT('Disaggregation Records'!$D$156:$D$517,255),0))="","",INDEX('Disaggregation Records'!$G$156:$G$517,MATCH(RIGHT(L1268,255),RIGHT('Disaggregation Records'!$D$156:$D$517,255),0))),"")</f>
        <v/>
      </c>
    </row>
    <row r="1269" spans="1:18" ht="20.100000000000001" customHeight="1">
      <c r="A1269" s="126" t="str">
        <f t="shared" ca="1" si="1451"/>
        <v>a16Dm000000M3vPIAS</v>
      </c>
      <c r="B1269" s="570">
        <v>17</v>
      </c>
      <c r="C1269" s="572" t="str">
        <f ca="1">IFERROR(VLOOKUP(B1269,'Coverage Indicators - Section D'!$A$9:$AO$94,41,FALSE),"")</f>
        <v>KP-1b Percentage of transgender people reached with HIV prevention programs - defined package of services</v>
      </c>
      <c r="D1269" s="574" t="str">
        <f ca="1">M1269</f>
        <v>Age</v>
      </c>
      <c r="E1269" s="574" t="str">
        <f ca="1">N1269</f>
        <v>15-19</v>
      </c>
      <c r="F1269" s="127"/>
      <c r="G1269" s="576" t="str">
        <f ca="1">IF(OR(INDIRECT("'update Helper'!E"&amp;Q1269)="",F1269&lt;&gt;0,F1270&lt;&gt;0),IF(IFERROR((F1269/F1270),"")="","",(F1269/F1270)),INDIRECT("'update Helper'!E"&amp;Q1269)/100)</f>
        <v/>
      </c>
      <c r="H1269" s="539"/>
      <c r="I1269" s="578"/>
      <c r="J1269" s="532" t="s">
        <v>2301</v>
      </c>
      <c r="K1269" s="126">
        <f ca="1">IF(AND(EXACT(C1269,C1267),C1267&lt;&gt;0),K1267+1,0)</f>
        <v>4</v>
      </c>
      <c r="L1269" s="126" t="str">
        <f t="shared" ref="L1269" ca="1" si="1457">IF(C1269&lt;&gt;"",C1269&amp;"-"&amp;K1269,"")</f>
        <v>KP-1b Percentage of transgender people reached with HIV prevention programs - defined package of services-4</v>
      </c>
      <c r="M1269" s="126" t="str">
        <f t="array" aca="1" ref="M1269" ca="1">IFERROR(IF(INDEX('Disaggregation Records'!$E$156:$E$517,MATCH(RIGHT(L1269,255),RIGHT('Disaggregation Records'!$D$156:$D$517,255),0))="","",INDEX('Disaggregation Records'!$E$156:$E$517,MATCH(RIGHT(L1269,255),RIGHT('Disaggregation Records'!$D$156:$D$517,255),0))),"")</f>
        <v>Age</v>
      </c>
      <c r="N1269" s="126" t="str">
        <f t="array" aca="1" ref="N1269" ca="1">IFERROR(IF(INDEX('Disaggregation Records'!$F$156:$F$517,MATCH(RIGHT(L1269,255),RIGHT('Disaggregation Records'!$D$156:$D$517,255),0))="","",INDEX('Disaggregation Records'!$F$156:$F$517,MATCH(RIGHT(L1269,255),RIGHT('Disaggregation Records'!$D$156:$D$517,255),0))),"")</f>
        <v>15-19</v>
      </c>
      <c r="O1269" s="314" t="str">
        <f t="array" aca="1" ref="O1269" ca="1">IFERROR(IF(INDEX('Disaggregation Records'!$H$156:$H$517,MATCH(RIGHT(L1269,255),RIGHT('Disaggregation Records'!$D$156:$D$517,255),0))="","",INDEX('Disaggregation Records'!$H$156:$H$517,MATCH(RIGHT(L1269,255),RIGHT('Disaggregation Records'!$D$156:$D$517,255),0))),"")</f>
        <v>IDR-01177</v>
      </c>
      <c r="P1269" s="310"/>
      <c r="Q1269" s="310">
        <f t="shared" ref="Q1269" si="1458">Q1267+1</f>
        <v>1936</v>
      </c>
      <c r="R1269" s="314" t="str" cm="1">
        <f t="array" aca="1" ref="R1269" ca="1">IFERROR(IF(INDEX('Disaggregation Records'!$G$156:$G$517,MATCH(RIGHT(L1269,255),RIGHT('Disaggregation Records'!$D$156:$D$517,255),0))="","",INDEX('Disaggregation Records'!$G$156:$G$517,MATCH(RIGHT(L1269,255),RIGHT('Disaggregation Records'!$D$156:$D$517,255),0))),"")</f>
        <v>a1LDm000000Cb1jMAC</v>
      </c>
    </row>
    <row r="1270" spans="1:18" ht="20.100000000000001" customHeight="1">
      <c r="A1270" s="126"/>
      <c r="B1270" s="571"/>
      <c r="C1270" s="573"/>
      <c r="D1270" s="575"/>
      <c r="E1270" s="575"/>
      <c r="F1270" s="128"/>
      <c r="G1270" s="577"/>
      <c r="H1270" s="540"/>
      <c r="I1270" s="579"/>
      <c r="J1270" s="533"/>
      <c r="L1270" s="126"/>
      <c r="N1270" s="126"/>
      <c r="O1270" s="314"/>
      <c r="P1270" s="310"/>
      <c r="Q1270" s="310"/>
      <c r="R1270" s="314" t="str" cm="1">
        <f t="array" ref="R1270">IFERROR(IF(INDEX('Disaggregation Records'!$G$156:$G$517,MATCH(RIGHT(L1270,255),RIGHT('Disaggregation Records'!$D$156:$D$517,255),0))="","",INDEX('Disaggregation Records'!$G$156:$G$517,MATCH(RIGHT(L1270,255),RIGHT('Disaggregation Records'!$D$156:$D$517,255),0))),"")</f>
        <v/>
      </c>
    </row>
    <row r="1271" spans="1:18" ht="20.100000000000001" customHeight="1">
      <c r="A1271" s="126" t="str">
        <f t="shared" ca="1" si="1454"/>
        <v>a16Dm000000M3vQIAS</v>
      </c>
      <c r="B1271" s="570">
        <v>17</v>
      </c>
      <c r="C1271" s="572" t="str">
        <f ca="1">IFERROR(VLOOKUP(B1271,'Coverage Indicators - Section D'!$A$9:$AO$94,41,FALSE),"")</f>
        <v>KP-1b Percentage of transgender people reached with HIV prevention programs - defined package of services</v>
      </c>
      <c r="D1271" s="574" t="str">
        <f ca="1">M1271</f>
        <v/>
      </c>
      <c r="E1271" s="574" t="str">
        <f ca="1">N1271</f>
        <v/>
      </c>
      <c r="F1271" s="127"/>
      <c r="G1271" s="576" t="str">
        <f ca="1">IF(OR(INDIRECT("'update Helper'!E"&amp;Q1271)="",F1271&lt;&gt;0,F1272&lt;&gt;0),IF(IFERROR((F1271/F1272),"")="","",(F1271/F1272)),INDIRECT("'update Helper'!E"&amp;Q1271)/100)</f>
        <v/>
      </c>
      <c r="H1271" s="539"/>
      <c r="I1271" s="578"/>
      <c r="J1271" s="532"/>
      <c r="K1271" s="126">
        <f ca="1">IF(AND(EXACT(C1271,C1269),C1269&lt;&gt;0),K1269+1,0)</f>
        <v>5</v>
      </c>
      <c r="L1271" s="126" t="str">
        <f t="shared" ref="L1271" ca="1" si="1459">IF(C1271&lt;&gt;"",C1271&amp;"-"&amp;K1271,"")</f>
        <v>KP-1b Percentage of transgender people reached with HIV prevention programs - defined package of services-5</v>
      </c>
      <c r="M1271" s="126" t="str">
        <f t="array" aca="1" ref="M1271" ca="1">IFERROR(IF(INDEX('Disaggregation Records'!$E$156:$E$517,MATCH(RIGHT(L1271,255),RIGHT('Disaggregation Records'!$D$156:$D$517,255),0))="","",INDEX('Disaggregation Records'!$E$156:$E$517,MATCH(RIGHT(L1271,255),RIGHT('Disaggregation Records'!$D$156:$D$517,255),0))),"")</f>
        <v/>
      </c>
      <c r="N1271" s="126" t="str">
        <f t="array" aca="1" ref="N1271" ca="1">IFERROR(IF(INDEX('Disaggregation Records'!$F$156:$F$517,MATCH(RIGHT(L1271,255),RIGHT('Disaggregation Records'!$D$156:$D$517,255),0))="","",INDEX('Disaggregation Records'!$F$156:$F$517,MATCH(RIGHT(L1271,255),RIGHT('Disaggregation Records'!$D$156:$D$517,255),0))),"")</f>
        <v/>
      </c>
      <c r="O1271" s="314" t="str">
        <f t="array" aca="1" ref="O1271" ca="1">IFERROR(IF(INDEX('Disaggregation Records'!$H$156:$H$517,MATCH(RIGHT(L1271,255),RIGHT('Disaggregation Records'!$D$156:$D$517,255),0))="","",INDEX('Disaggregation Records'!$H$156:$H$517,MATCH(RIGHT(L1271,255),RIGHT('Disaggregation Records'!$D$156:$D$517,255),0))),"")</f>
        <v/>
      </c>
      <c r="P1271" s="314"/>
      <c r="Q1271" s="310">
        <f t="shared" ref="Q1271" si="1460">Q1269+1</f>
        <v>1937</v>
      </c>
      <c r="R1271" s="314" t="str" cm="1">
        <f t="array" aca="1" ref="R1271" ca="1">IFERROR(IF(INDEX('Disaggregation Records'!$G$156:$G$517,MATCH(RIGHT(L1271,255),RIGHT('Disaggregation Records'!$D$156:$D$517,255),0))="","",INDEX('Disaggregation Records'!$G$156:$G$517,MATCH(RIGHT(L1271,255),RIGHT('Disaggregation Records'!$D$156:$D$517,255),0))),"")</f>
        <v/>
      </c>
    </row>
    <row r="1272" spans="1:18" ht="20.100000000000001" customHeight="1">
      <c r="B1272" s="571"/>
      <c r="C1272" s="573"/>
      <c r="D1272" s="575"/>
      <c r="E1272" s="575"/>
      <c r="F1272" s="128"/>
      <c r="G1272" s="577"/>
      <c r="H1272" s="540"/>
      <c r="I1272" s="579"/>
      <c r="J1272" s="533"/>
      <c r="K1272" s="126"/>
      <c r="L1272" s="126"/>
      <c r="M1272" s="126"/>
      <c r="N1272" s="126"/>
      <c r="O1272" s="314"/>
      <c r="P1272" s="314"/>
      <c r="Q1272" s="310"/>
      <c r="R1272" s="314" t="str" cm="1">
        <f t="array" ref="R1272">IFERROR(IF(INDEX('Disaggregation Records'!$G$156:$G$517,MATCH(RIGHT(L1272,255),RIGHT('Disaggregation Records'!$D$156:$D$517,255),0))="","",INDEX('Disaggregation Records'!$G$156:$G$517,MATCH(RIGHT(L1272,255),RIGHT('Disaggregation Records'!$D$156:$D$517,255),0))),"")</f>
        <v/>
      </c>
    </row>
    <row r="1273" spans="1:18" ht="20.100000000000001" customHeight="1">
      <c r="A1273" s="126" t="str">
        <f t="shared" ca="1" si="1451"/>
        <v>a16Dm000000M3vRIAS</v>
      </c>
      <c r="B1273" s="570">
        <v>17</v>
      </c>
      <c r="C1273" s="572" t="str">
        <f ca="1">IFERROR(VLOOKUP(B1273,'Coverage Indicators - Section D'!$A$9:$AO$94,41,FALSE),"")</f>
        <v>KP-1b Percentage of transgender people reached with HIV prevention programs - defined package of services</v>
      </c>
      <c r="D1273" s="574" t="str">
        <f ca="1">M1273</f>
        <v/>
      </c>
      <c r="E1273" s="574" t="str">
        <f ca="1">N1273</f>
        <v/>
      </c>
      <c r="F1273" s="127"/>
      <c r="G1273" s="576" t="str">
        <f ca="1">IF(OR(INDIRECT("'update Helper'!E"&amp;Q1273)="",F1273&lt;&gt;0,F1274&lt;&gt;0),IF(IFERROR((F1273/F1274),"")="","",(F1273/F1274)),INDIRECT("'update Helper'!E"&amp;Q1273)/100)</f>
        <v/>
      </c>
      <c r="H1273" s="539"/>
      <c r="I1273" s="578"/>
      <c r="J1273" s="532"/>
      <c r="K1273" s="126">
        <f ca="1">IF(AND(EXACT(C1273,C1271),C1271&lt;&gt;0),K1271+1,0)</f>
        <v>6</v>
      </c>
      <c r="L1273" s="126" t="str">
        <f t="shared" ref="L1273" ca="1" si="1461">IF(C1273&lt;&gt;"",C1273&amp;"-"&amp;K1273,"")</f>
        <v>KP-1b Percentage of transgender people reached with HIV prevention programs - defined package of services-6</v>
      </c>
      <c r="M1273" s="126" t="str">
        <f t="array" aca="1" ref="M1273" ca="1">IFERROR(IF(INDEX('Disaggregation Records'!$E$156:$E$517,MATCH(RIGHT(L1273,255),RIGHT('Disaggregation Records'!$D$156:$D$517,255),0))="","",INDEX('Disaggregation Records'!$E$156:$E$517,MATCH(RIGHT(L1273,255),RIGHT('Disaggregation Records'!$D$156:$D$517,255),0))),"")</f>
        <v/>
      </c>
      <c r="N1273" s="126" t="str">
        <f t="array" aca="1" ref="N1273" ca="1">IFERROR(IF(INDEX('Disaggregation Records'!$F$156:$F$517,MATCH(RIGHT(L1273,255),RIGHT('Disaggregation Records'!$D$156:$D$517,255),0))="","",INDEX('Disaggregation Records'!$F$156:$F$517,MATCH(RIGHT(L1273,255),RIGHT('Disaggregation Records'!$D$156:$D$517,255),0))),"")</f>
        <v/>
      </c>
      <c r="O1273" s="314" t="str">
        <f t="array" aca="1" ref="O1273" ca="1">IFERROR(IF(INDEX('Disaggregation Records'!$H$156:$H$517,MATCH(RIGHT(L1273,255),RIGHT('Disaggregation Records'!$D$156:$D$517,255),0))="","",INDEX('Disaggregation Records'!$H$156:$H$517,MATCH(RIGHT(L1273,255),RIGHT('Disaggregation Records'!$D$156:$D$517,255),0))),"")</f>
        <v/>
      </c>
      <c r="P1273" s="314"/>
      <c r="Q1273" s="310">
        <f t="shared" ref="Q1273" si="1462">Q1271+1</f>
        <v>1938</v>
      </c>
      <c r="R1273" s="314" t="str" cm="1">
        <f t="array" aca="1" ref="R1273" ca="1">IFERROR(IF(INDEX('Disaggregation Records'!$G$156:$G$517,MATCH(RIGHT(L1273,255),RIGHT('Disaggregation Records'!$D$156:$D$517,255),0))="","",INDEX('Disaggregation Records'!$G$156:$G$517,MATCH(RIGHT(L1273,255),RIGHT('Disaggregation Records'!$D$156:$D$517,255),0))),"")</f>
        <v/>
      </c>
    </row>
    <row r="1274" spans="1:18" ht="20.100000000000001" customHeight="1">
      <c r="A1274" s="126"/>
      <c r="B1274" s="571"/>
      <c r="C1274" s="573"/>
      <c r="D1274" s="575"/>
      <c r="E1274" s="575"/>
      <c r="F1274" s="128"/>
      <c r="G1274" s="577"/>
      <c r="H1274" s="540"/>
      <c r="I1274" s="579"/>
      <c r="J1274" s="533"/>
      <c r="K1274" s="126"/>
      <c r="L1274" s="126"/>
      <c r="M1274" s="126"/>
      <c r="N1274" s="126"/>
      <c r="O1274" s="314"/>
      <c r="P1274" s="314"/>
      <c r="Q1274" s="310"/>
      <c r="R1274" s="314" t="str" cm="1">
        <f t="array" ref="R1274">IFERROR(IF(INDEX('Disaggregation Records'!$G$156:$G$517,MATCH(RIGHT(L1274,255),RIGHT('Disaggregation Records'!$D$156:$D$517,255),0))="","",INDEX('Disaggregation Records'!$G$156:$G$517,MATCH(RIGHT(L1274,255),RIGHT('Disaggregation Records'!$D$156:$D$517,255),0))),"")</f>
        <v/>
      </c>
    </row>
    <row r="1275" spans="1:18" ht="20.100000000000001" customHeight="1">
      <c r="A1275" s="126" t="str">
        <f t="shared" ca="1" si="1454"/>
        <v>a16Dm000000M3vSIAS</v>
      </c>
      <c r="B1275" s="570">
        <v>17</v>
      </c>
      <c r="C1275" s="572" t="str">
        <f ca="1">IFERROR(VLOOKUP(B1275,'Coverage Indicators - Section D'!$A$9:$AO$94,41,FALSE),"")</f>
        <v>KP-1b Percentage of transgender people reached with HIV prevention programs - defined package of services</v>
      </c>
      <c r="D1275" s="574" t="str">
        <f ca="1">M1275</f>
        <v/>
      </c>
      <c r="E1275" s="574" t="str">
        <f ca="1">N1275</f>
        <v/>
      </c>
      <c r="F1275" s="127"/>
      <c r="G1275" s="576" t="str">
        <f ca="1">IF(OR(INDIRECT("'update Helper'!E"&amp;Q1275)="",F1275&lt;&gt;0,F1276&lt;&gt;0),IF(IFERROR((F1275/F1276),"")="","",(F1275/F1276)),INDIRECT("'update Helper'!E"&amp;Q1275)/100)</f>
        <v/>
      </c>
      <c r="H1275" s="539"/>
      <c r="I1275" s="578"/>
      <c r="J1275" s="532"/>
      <c r="K1275" s="126">
        <f ca="1">IF(AND(EXACT(C1275,C1273),C1273&lt;&gt;0),K1273+1,0)</f>
        <v>7</v>
      </c>
      <c r="L1275" s="126" t="str">
        <f t="shared" ref="L1275" ca="1" si="1463">IF(C1275&lt;&gt;"",C1275&amp;"-"&amp;K1275,"")</f>
        <v>KP-1b Percentage of transgender people reached with HIV prevention programs - defined package of services-7</v>
      </c>
      <c r="M1275" s="126" t="str">
        <f t="array" aca="1" ref="M1275" ca="1">IFERROR(IF(INDEX('Disaggregation Records'!$E$156:$E$517,MATCH(RIGHT(L1275,255),RIGHT('Disaggregation Records'!$D$156:$D$517,255),0))="","",INDEX('Disaggregation Records'!$E$156:$E$517,MATCH(RIGHT(L1275,255),RIGHT('Disaggregation Records'!$D$156:$D$517,255),0))),"")</f>
        <v/>
      </c>
      <c r="N1275" s="126" t="str">
        <f t="array" aca="1" ref="N1275" ca="1">IFERROR(IF(INDEX('Disaggregation Records'!$F$156:$F$517,MATCH(RIGHT(L1275,255),RIGHT('Disaggregation Records'!$D$156:$D$517,255),0))="","",INDEX('Disaggregation Records'!$F$156:$F$517,MATCH(RIGHT(L1275,255),RIGHT('Disaggregation Records'!$D$156:$D$517,255),0))),"")</f>
        <v/>
      </c>
      <c r="O1275" s="314" t="str">
        <f t="array" aca="1" ref="O1275" ca="1">IFERROR(IF(INDEX('Disaggregation Records'!$H$156:$H$517,MATCH(RIGHT(L1275,255),RIGHT('Disaggregation Records'!$D$156:$D$517,255),0))="","",INDEX('Disaggregation Records'!$H$156:$H$517,MATCH(RIGHT(L1275,255),RIGHT('Disaggregation Records'!$D$156:$D$517,255),0))),"")</f>
        <v/>
      </c>
      <c r="P1275" s="310"/>
      <c r="Q1275" s="310">
        <f t="shared" ref="Q1275" si="1464">Q1273+1</f>
        <v>1939</v>
      </c>
      <c r="R1275" s="314" t="str" cm="1">
        <f t="array" aca="1" ref="R1275" ca="1">IFERROR(IF(INDEX('Disaggregation Records'!$G$156:$G$517,MATCH(RIGHT(L1275,255),RIGHT('Disaggregation Records'!$D$156:$D$517,255),0))="","",INDEX('Disaggregation Records'!$G$156:$G$517,MATCH(RIGHT(L1275,255),RIGHT('Disaggregation Records'!$D$156:$D$517,255),0))),"")</f>
        <v/>
      </c>
    </row>
    <row r="1276" spans="1:18" ht="20.100000000000001" customHeight="1">
      <c r="B1276" s="571"/>
      <c r="C1276" s="573"/>
      <c r="D1276" s="575"/>
      <c r="E1276" s="575"/>
      <c r="F1276" s="128"/>
      <c r="G1276" s="577"/>
      <c r="H1276" s="540"/>
      <c r="I1276" s="579"/>
      <c r="J1276" s="533"/>
      <c r="L1276" s="126"/>
      <c r="N1276" s="126"/>
      <c r="O1276" s="314"/>
      <c r="P1276" s="310"/>
      <c r="Q1276" s="310"/>
      <c r="R1276" s="314" t="str" cm="1">
        <f t="array" ref="R1276">IFERROR(IF(INDEX('Disaggregation Records'!$G$156:$G$517,MATCH(RIGHT(L1276,255),RIGHT('Disaggregation Records'!$D$156:$D$517,255),0))="","",INDEX('Disaggregation Records'!$G$156:$G$517,MATCH(RIGHT(L1276,255),RIGHT('Disaggregation Records'!$D$156:$D$517,255),0))),"")</f>
        <v/>
      </c>
    </row>
    <row r="1277" spans="1:18" ht="20.100000000000001" customHeight="1">
      <c r="A1277" s="126" t="str">
        <f t="shared" ca="1" si="1451"/>
        <v>a16Dm000000M3vTIAS</v>
      </c>
      <c r="B1277" s="570">
        <v>17</v>
      </c>
      <c r="C1277" s="572" t="str">
        <f ca="1">IFERROR(VLOOKUP(B1277,'Coverage Indicators - Section D'!$A$9:$AO$94,41,FALSE),"")</f>
        <v>KP-1b Percentage of transgender people reached with HIV prevention programs - defined package of services</v>
      </c>
      <c r="D1277" s="574" t="str">
        <f ca="1">M1277</f>
        <v/>
      </c>
      <c r="E1277" s="574" t="str">
        <f ca="1">N1277</f>
        <v/>
      </c>
      <c r="F1277" s="127"/>
      <c r="G1277" s="576" t="str">
        <f ca="1">IF(OR(INDIRECT("'update Helper'!E"&amp;Q1277)="",F1277&lt;&gt;0,F1278&lt;&gt;0),IF(IFERROR((F1277/F1278),"")="","",(F1277/F1278)),INDIRECT("'update Helper'!E"&amp;Q1277)/100)</f>
        <v/>
      </c>
      <c r="H1277" s="539"/>
      <c r="I1277" s="578"/>
      <c r="J1277" s="532"/>
      <c r="K1277" s="126">
        <f ca="1">IF(AND(EXACT(C1277,C1275),C1275&lt;&gt;0),K1275+1,0)</f>
        <v>8</v>
      </c>
      <c r="L1277" s="126" t="str">
        <f t="shared" ref="L1277" ca="1" si="1465">IF(C1277&lt;&gt;"",C1277&amp;"-"&amp;K1277,"")</f>
        <v>KP-1b Percentage of transgender people reached with HIV prevention programs - defined package of services-8</v>
      </c>
      <c r="M1277" s="126" t="str">
        <f t="array" aca="1" ref="M1277" ca="1">IFERROR(IF(INDEX('Disaggregation Records'!$E$156:$E$517,MATCH(RIGHT(L1277,255),RIGHT('Disaggregation Records'!$D$156:$D$517,255),0))="","",INDEX('Disaggregation Records'!$E$156:$E$517,MATCH(RIGHT(L1277,255),RIGHT('Disaggregation Records'!$D$156:$D$517,255),0))),"")</f>
        <v/>
      </c>
      <c r="N1277" s="126" t="str">
        <f t="array" aca="1" ref="N1277" ca="1">IFERROR(IF(INDEX('Disaggregation Records'!$F$156:$F$517,MATCH(RIGHT(L1277,255),RIGHT('Disaggregation Records'!$D$156:$D$517,255),0))="","",INDEX('Disaggregation Records'!$F$156:$F$517,MATCH(RIGHT(L1277,255),RIGHT('Disaggregation Records'!$D$156:$D$517,255),0))),"")</f>
        <v/>
      </c>
      <c r="O1277" s="314" t="str">
        <f t="array" aca="1" ref="O1277" ca="1">IFERROR(IF(INDEX('Disaggregation Records'!$H$156:$H$517,MATCH(RIGHT(L1277,255),RIGHT('Disaggregation Records'!$D$156:$D$517,255),0))="","",INDEX('Disaggregation Records'!$H$156:$H$517,MATCH(RIGHT(L1277,255),RIGHT('Disaggregation Records'!$D$156:$D$517,255),0))),"")</f>
        <v/>
      </c>
      <c r="P1277" s="310"/>
      <c r="Q1277" s="310">
        <f t="shared" ref="Q1277" si="1466">Q1275+1</f>
        <v>1940</v>
      </c>
      <c r="R1277" s="314" t="str" cm="1">
        <f t="array" aca="1" ref="R1277" ca="1">IFERROR(IF(INDEX('Disaggregation Records'!$G$156:$G$517,MATCH(RIGHT(L1277,255),RIGHT('Disaggregation Records'!$D$156:$D$517,255),0))="","",INDEX('Disaggregation Records'!$G$156:$G$517,MATCH(RIGHT(L1277,255),RIGHT('Disaggregation Records'!$D$156:$D$517,255),0))),"")</f>
        <v/>
      </c>
    </row>
    <row r="1278" spans="1:18" ht="20.100000000000001" customHeight="1">
      <c r="A1278" s="126"/>
      <c r="B1278" s="571"/>
      <c r="C1278" s="573"/>
      <c r="D1278" s="575"/>
      <c r="E1278" s="575"/>
      <c r="F1278" s="128"/>
      <c r="G1278" s="577"/>
      <c r="H1278" s="540"/>
      <c r="I1278" s="579"/>
      <c r="J1278" s="533"/>
      <c r="L1278" s="126"/>
      <c r="N1278" s="126"/>
      <c r="O1278" s="314"/>
      <c r="P1278" s="310"/>
      <c r="Q1278" s="310"/>
      <c r="R1278" s="314" t="str" cm="1">
        <f t="array" ref="R1278">IFERROR(IF(INDEX('Disaggregation Records'!$G$156:$G$517,MATCH(RIGHT(L1278,255),RIGHT('Disaggregation Records'!$D$156:$D$517,255),0))="","",INDEX('Disaggregation Records'!$G$156:$G$517,MATCH(RIGHT(L1278,255),RIGHT('Disaggregation Records'!$D$156:$D$517,255),0))),"")</f>
        <v/>
      </c>
    </row>
    <row r="1279" spans="1:18" ht="20.100000000000001" customHeight="1">
      <c r="A1279" s="126" t="str">
        <f t="shared" ca="1" si="1454"/>
        <v>a16Dm000000M3vUIAS</v>
      </c>
      <c r="B1279" s="570">
        <v>17</v>
      </c>
      <c r="C1279" s="572" t="str">
        <f ca="1">IFERROR(VLOOKUP(B1279,'Coverage Indicators - Section D'!$A$9:$AO$94,41,FALSE),"")</f>
        <v>KP-1b Percentage of transgender people reached with HIV prevention programs - defined package of services</v>
      </c>
      <c r="D1279" s="574" t="str">
        <f ca="1">M1279</f>
        <v/>
      </c>
      <c r="E1279" s="574" t="str">
        <f ca="1">N1279</f>
        <v/>
      </c>
      <c r="F1279" s="127"/>
      <c r="G1279" s="576" t="str">
        <f ca="1">IF(OR(INDIRECT("'update Helper'!E"&amp;Q1279)="",F1279&lt;&gt;0,F1280&lt;&gt;0),IF(IFERROR((F1279/F1280),"")="","",(F1279/F1280)),INDIRECT("'update Helper'!E"&amp;Q1279)/100)</f>
        <v/>
      </c>
      <c r="H1279" s="539"/>
      <c r="I1279" s="578"/>
      <c r="J1279" s="532"/>
      <c r="K1279" s="126">
        <f ca="1">IF(AND(EXACT(C1279,C1277),C1277&lt;&gt;0),K1277+1,0)</f>
        <v>9</v>
      </c>
      <c r="L1279" s="126" t="str">
        <f t="shared" ref="L1279" ca="1" si="1467">IF(C1279&lt;&gt;"",C1279&amp;"-"&amp;K1279,"")</f>
        <v>KP-1b Percentage of transgender people reached with HIV prevention programs - defined package of services-9</v>
      </c>
      <c r="M1279" s="126" t="str">
        <f t="array" aca="1" ref="M1279" ca="1">IFERROR(IF(INDEX('Disaggregation Records'!$E$156:$E$517,MATCH(RIGHT(L1279,255),RIGHT('Disaggregation Records'!$D$156:$D$517,255),0))="","",INDEX('Disaggregation Records'!$E$156:$E$517,MATCH(RIGHT(L1279,255),RIGHT('Disaggregation Records'!$D$156:$D$517,255),0))),"")</f>
        <v/>
      </c>
      <c r="N1279" s="126" t="str">
        <f t="array" aca="1" ref="N1279" ca="1">IFERROR(IF(INDEX('Disaggregation Records'!$F$156:$F$517,MATCH(RIGHT(L1279,255),RIGHT('Disaggregation Records'!$D$156:$D$517,255),0))="","",INDEX('Disaggregation Records'!$F$156:$F$517,MATCH(RIGHT(L1279,255),RIGHT('Disaggregation Records'!$D$156:$D$517,255),0))),"")</f>
        <v/>
      </c>
      <c r="O1279" s="314" t="str">
        <f t="array" aca="1" ref="O1279" ca="1">IFERROR(IF(INDEX('Disaggregation Records'!$H$156:$H$517,MATCH(RIGHT(L1279,255),RIGHT('Disaggregation Records'!$D$156:$D$517,255),0))="","",INDEX('Disaggregation Records'!$H$156:$H$517,MATCH(RIGHT(L1279,255),RIGHT('Disaggregation Records'!$D$156:$D$517,255),0))),"")</f>
        <v/>
      </c>
      <c r="P1279" s="310"/>
      <c r="Q1279" s="310">
        <f t="shared" ref="Q1279" si="1468">Q1277+1</f>
        <v>1941</v>
      </c>
      <c r="R1279" s="314" t="str" cm="1">
        <f t="array" aca="1" ref="R1279" ca="1">IFERROR(IF(INDEX('Disaggregation Records'!$G$156:$G$517,MATCH(RIGHT(L1279,255),RIGHT('Disaggregation Records'!$D$156:$D$517,255),0))="","",INDEX('Disaggregation Records'!$G$156:$G$517,MATCH(RIGHT(L1279,255),RIGHT('Disaggregation Records'!$D$156:$D$517,255),0))),"")</f>
        <v/>
      </c>
    </row>
    <row r="1280" spans="1:18" ht="20.100000000000001" customHeight="1">
      <c r="B1280" s="571"/>
      <c r="C1280" s="573"/>
      <c r="D1280" s="575"/>
      <c r="E1280" s="575"/>
      <c r="F1280" s="128"/>
      <c r="G1280" s="577"/>
      <c r="H1280" s="540"/>
      <c r="I1280" s="579"/>
      <c r="J1280" s="533"/>
      <c r="L1280" s="126"/>
      <c r="N1280" s="126"/>
      <c r="O1280" s="314"/>
      <c r="P1280" s="310"/>
      <c r="Q1280" s="310"/>
      <c r="R1280" s="314" t="str" cm="1">
        <f t="array" ref="R1280">IFERROR(IF(INDEX('Disaggregation Records'!$G$156:$G$517,MATCH(RIGHT(L1280,255),RIGHT('Disaggregation Records'!$D$156:$D$517,255),0))="","",INDEX('Disaggregation Records'!$G$156:$G$517,MATCH(RIGHT(L1280,255),RIGHT('Disaggregation Records'!$D$156:$D$517,255),0))),"")</f>
        <v/>
      </c>
    </row>
    <row r="1281" spans="1:18" ht="20.100000000000001" customHeight="1">
      <c r="A1281" s="126" t="str">
        <f t="shared" ca="1" si="1451"/>
        <v>a16Dm000000M3vVIAS</v>
      </c>
      <c r="B1281" s="570">
        <v>17</v>
      </c>
      <c r="C1281" s="572" t="str">
        <f ca="1">IFERROR(VLOOKUP(B1281,'Coverage Indicators - Section D'!$A$9:$AO$94,41,FALSE),"")</f>
        <v>KP-1b Percentage of transgender people reached with HIV prevention programs - defined package of services</v>
      </c>
      <c r="D1281" s="574" t="str">
        <f ca="1">M1281</f>
        <v/>
      </c>
      <c r="E1281" s="574" t="str">
        <f ca="1">N1281</f>
        <v/>
      </c>
      <c r="F1281" s="127"/>
      <c r="G1281" s="576" t="str">
        <f ca="1">IF(OR(INDIRECT("'update Helper'!E"&amp;Q1281)="",F1281&lt;&gt;0,F1282&lt;&gt;0),IF(IFERROR((F1281/F1282),"")="","",(F1281/F1282)),INDIRECT("'update Helper'!E"&amp;Q1281)/100)</f>
        <v/>
      </c>
      <c r="H1281" s="539"/>
      <c r="I1281" s="578"/>
      <c r="J1281" s="532"/>
      <c r="K1281" s="126">
        <f ca="1">IF(AND(EXACT(C1281,C1279),C1279&lt;&gt;0),K1279+1,0)</f>
        <v>10</v>
      </c>
      <c r="L1281" s="126" t="str">
        <f t="shared" ref="L1281" ca="1" si="1469">IF(C1281&lt;&gt;"",C1281&amp;"-"&amp;K1281,"")</f>
        <v>KP-1b Percentage of transgender people reached with HIV prevention programs - defined package of services-10</v>
      </c>
      <c r="M1281" s="126" t="str">
        <f t="array" aca="1" ref="M1281" ca="1">IFERROR(IF(INDEX('Disaggregation Records'!$E$156:$E$517,MATCH(RIGHT(L1281,255),RIGHT('Disaggregation Records'!$D$156:$D$517,255),0))="","",INDEX('Disaggregation Records'!$E$156:$E$517,MATCH(RIGHT(L1281,255),RIGHT('Disaggregation Records'!$D$156:$D$517,255),0))),"")</f>
        <v/>
      </c>
      <c r="N1281" s="126" t="str">
        <f t="array" aca="1" ref="N1281" ca="1">IFERROR(IF(INDEX('Disaggregation Records'!$F$156:$F$517,MATCH(RIGHT(L1281,255),RIGHT('Disaggregation Records'!$D$156:$D$517,255),0))="","",INDEX('Disaggregation Records'!$F$156:$F$517,MATCH(RIGHT(L1281,255),RIGHT('Disaggregation Records'!$D$156:$D$517,255),0))),"")</f>
        <v/>
      </c>
      <c r="O1281" s="314" t="str">
        <f t="array" aca="1" ref="O1281" ca="1">IFERROR(IF(INDEX('Disaggregation Records'!$H$156:$H$517,MATCH(RIGHT(L1281,255),RIGHT('Disaggregation Records'!$D$156:$D$517,255),0))="","",INDEX('Disaggregation Records'!$H$156:$H$517,MATCH(RIGHT(L1281,255),RIGHT('Disaggregation Records'!$D$156:$D$517,255),0))),"")</f>
        <v/>
      </c>
      <c r="P1281" s="314"/>
      <c r="Q1281" s="310">
        <f t="shared" ref="Q1281" si="1470">Q1279+1</f>
        <v>1942</v>
      </c>
      <c r="R1281" s="314" t="str" cm="1">
        <f t="array" aca="1" ref="R1281" ca="1">IFERROR(IF(INDEX('Disaggregation Records'!$G$156:$G$517,MATCH(RIGHT(L1281,255),RIGHT('Disaggregation Records'!$D$156:$D$517,255),0))="","",INDEX('Disaggregation Records'!$G$156:$G$517,MATCH(RIGHT(L1281,255),RIGHT('Disaggregation Records'!$D$156:$D$517,255),0))),"")</f>
        <v/>
      </c>
    </row>
    <row r="1282" spans="1:18" ht="20.100000000000001" customHeight="1">
      <c r="A1282" s="126"/>
      <c r="B1282" s="571"/>
      <c r="C1282" s="573"/>
      <c r="D1282" s="575"/>
      <c r="E1282" s="575"/>
      <c r="F1282" s="128"/>
      <c r="G1282" s="577"/>
      <c r="H1282" s="540"/>
      <c r="I1282" s="579"/>
      <c r="J1282" s="533"/>
      <c r="K1282" s="126"/>
      <c r="L1282" s="126"/>
      <c r="M1282" s="126"/>
      <c r="N1282" s="126"/>
      <c r="O1282" s="314"/>
      <c r="P1282" s="314"/>
      <c r="Q1282" s="310"/>
      <c r="R1282" s="314" t="str" cm="1">
        <f t="array" ref="R1282">IFERROR(IF(INDEX('Disaggregation Records'!$G$156:$G$517,MATCH(RIGHT(L1282,255),RIGHT('Disaggregation Records'!$D$156:$D$517,255),0))="","",INDEX('Disaggregation Records'!$G$156:$G$517,MATCH(RIGHT(L1282,255),RIGHT('Disaggregation Records'!$D$156:$D$517,255),0))),"")</f>
        <v/>
      </c>
    </row>
    <row r="1283" spans="1:18" ht="20.100000000000001" customHeight="1">
      <c r="A1283" s="126" t="str">
        <f t="shared" ca="1" si="1454"/>
        <v>a16Dm000000M3vWIAS</v>
      </c>
      <c r="B1283" s="570">
        <v>17</v>
      </c>
      <c r="C1283" s="572" t="str">
        <f ca="1">IFERROR(VLOOKUP(B1283,'Coverage Indicators - Section D'!$A$9:$AO$94,41,FALSE),"")</f>
        <v>KP-1b Percentage of transgender people reached with HIV prevention programs - defined package of services</v>
      </c>
      <c r="D1283" s="574" t="str">
        <f ca="1">M1283</f>
        <v/>
      </c>
      <c r="E1283" s="574" t="str">
        <f ca="1">N1283</f>
        <v/>
      </c>
      <c r="F1283" s="127"/>
      <c r="G1283" s="576" t="str">
        <f ca="1">IF(OR(INDIRECT("'update Helper'!E"&amp;Q1283)="",F1283&lt;&gt;0,F1284&lt;&gt;0),IF(IFERROR((F1283/F1284),"")="","",(F1283/F1284)),INDIRECT("'update Helper'!E"&amp;Q1283)/100)</f>
        <v/>
      </c>
      <c r="H1283" s="539"/>
      <c r="I1283" s="578"/>
      <c r="J1283" s="532"/>
      <c r="K1283" s="126">
        <f ca="1">IF(AND(EXACT(C1283,C1281),C1281&lt;&gt;0),K1281+1,0)</f>
        <v>11</v>
      </c>
      <c r="L1283" s="126" t="str">
        <f t="shared" ref="L1283" ca="1" si="1471">IF(C1283&lt;&gt;"",C1283&amp;"-"&amp;K1283,"")</f>
        <v>KP-1b Percentage of transgender people reached with HIV prevention programs - defined package of services-11</v>
      </c>
      <c r="M1283" s="126" t="str">
        <f t="array" aca="1" ref="M1283" ca="1">IFERROR(IF(INDEX('Disaggregation Records'!$E$156:$E$517,MATCH(RIGHT(L1283,255),RIGHT('Disaggregation Records'!$D$156:$D$517,255),0))="","",INDEX('Disaggregation Records'!$E$156:$E$517,MATCH(RIGHT(L1283,255),RIGHT('Disaggregation Records'!$D$156:$D$517,255),0))),"")</f>
        <v/>
      </c>
      <c r="N1283" s="126" t="str">
        <f t="array" aca="1" ref="N1283" ca="1">IFERROR(IF(INDEX('Disaggregation Records'!$F$156:$F$517,MATCH(RIGHT(L1283,255),RIGHT('Disaggregation Records'!$D$156:$D$517,255),0))="","",INDEX('Disaggregation Records'!$F$156:$F$517,MATCH(RIGHT(L1283,255),RIGHT('Disaggregation Records'!$D$156:$D$517,255),0))),"")</f>
        <v/>
      </c>
      <c r="O1283" s="314" t="str">
        <f t="array" aca="1" ref="O1283" ca="1">IFERROR(IF(INDEX('Disaggregation Records'!$H$156:$H$517,MATCH(RIGHT(L1283,255),RIGHT('Disaggregation Records'!$D$156:$D$517,255),0))="","",INDEX('Disaggregation Records'!$H$156:$H$517,MATCH(RIGHT(L1283,255),RIGHT('Disaggregation Records'!$D$156:$D$517,255),0))),"")</f>
        <v/>
      </c>
      <c r="P1283" s="314"/>
      <c r="Q1283" s="310">
        <f t="shared" ref="Q1283" si="1472">Q1281+1</f>
        <v>1943</v>
      </c>
      <c r="R1283" s="314" t="str" cm="1">
        <f t="array" aca="1" ref="R1283" ca="1">IFERROR(IF(INDEX('Disaggregation Records'!$G$156:$G$517,MATCH(RIGHT(L1283,255),RIGHT('Disaggregation Records'!$D$156:$D$517,255),0))="","",INDEX('Disaggregation Records'!$G$156:$G$517,MATCH(RIGHT(L1283,255),RIGHT('Disaggregation Records'!$D$156:$D$517,255),0))),"")</f>
        <v/>
      </c>
    </row>
    <row r="1284" spans="1:18" ht="20.100000000000001" customHeight="1">
      <c r="B1284" s="571"/>
      <c r="C1284" s="573"/>
      <c r="D1284" s="575"/>
      <c r="E1284" s="575"/>
      <c r="F1284" s="128"/>
      <c r="G1284" s="577"/>
      <c r="H1284" s="540"/>
      <c r="I1284" s="579"/>
      <c r="J1284" s="533"/>
      <c r="K1284" s="126"/>
      <c r="L1284" s="126"/>
      <c r="M1284" s="126"/>
      <c r="N1284" s="126"/>
      <c r="O1284" s="314"/>
      <c r="P1284" s="314"/>
      <c r="Q1284" s="310"/>
      <c r="R1284" s="314" t="str" cm="1">
        <f t="array" ref="R1284">IFERROR(IF(INDEX('Disaggregation Records'!$G$156:$G$517,MATCH(RIGHT(L1284,255),RIGHT('Disaggregation Records'!$D$156:$D$517,255),0))="","",INDEX('Disaggregation Records'!$G$156:$G$517,MATCH(RIGHT(L1284,255),RIGHT('Disaggregation Records'!$D$156:$D$517,255),0))),"")</f>
        <v/>
      </c>
    </row>
    <row r="1285" spans="1:18" ht="20.100000000000001" customHeight="1">
      <c r="A1285" s="126" t="str">
        <f t="shared" ca="1" si="1451"/>
        <v>a16Dm000000M3vXIAS</v>
      </c>
      <c r="B1285" s="570">
        <v>17</v>
      </c>
      <c r="C1285" s="572" t="str">
        <f ca="1">IFERROR(VLOOKUP(B1285,'Coverage Indicators - Section D'!$A$9:$AO$94,41,FALSE),"")</f>
        <v>KP-1b Percentage of transgender people reached with HIV prevention programs - defined package of services</v>
      </c>
      <c r="D1285" s="574" t="str">
        <f ca="1">M1285</f>
        <v/>
      </c>
      <c r="E1285" s="574" t="str">
        <f ca="1">N1285</f>
        <v/>
      </c>
      <c r="F1285" s="127"/>
      <c r="G1285" s="576" t="str">
        <f ca="1">IF(OR(INDIRECT("'update Helper'!E"&amp;Q1285)="",F1285&lt;&gt;0,F1286&lt;&gt;0),IF(IFERROR((F1285/F1286),"")="","",(F1285/F1286)),INDIRECT("'update Helper'!E"&amp;Q1285)/100)</f>
        <v/>
      </c>
      <c r="H1285" s="539"/>
      <c r="I1285" s="578"/>
      <c r="J1285" s="532"/>
      <c r="K1285" s="126">
        <f ca="1">IF(AND(EXACT(C1285,C1283),C1283&lt;&gt;0),K1283+1,0)</f>
        <v>12</v>
      </c>
      <c r="L1285" s="126" t="str">
        <f t="shared" ref="L1285" ca="1" si="1473">IF(C1285&lt;&gt;"",C1285&amp;"-"&amp;K1285,"")</f>
        <v>KP-1b Percentage of transgender people reached with HIV prevention programs - defined package of services-12</v>
      </c>
      <c r="M1285" s="126" t="str">
        <f t="array" aca="1" ref="M1285" ca="1">IFERROR(IF(INDEX('Disaggregation Records'!$E$156:$E$517,MATCH(RIGHT(L1285,255),RIGHT('Disaggregation Records'!$D$156:$D$517,255),0))="","",INDEX('Disaggregation Records'!$E$156:$E$517,MATCH(RIGHT(L1285,255),RIGHT('Disaggregation Records'!$D$156:$D$517,255),0))),"")</f>
        <v/>
      </c>
      <c r="N1285" s="126" t="str">
        <f t="array" aca="1" ref="N1285" ca="1">IFERROR(IF(INDEX('Disaggregation Records'!$F$156:$F$517,MATCH(RIGHT(L1285,255),RIGHT('Disaggregation Records'!$D$156:$D$517,255),0))="","",INDEX('Disaggregation Records'!$F$156:$F$517,MATCH(RIGHT(L1285,255),RIGHT('Disaggregation Records'!$D$156:$D$517,255),0))),"")</f>
        <v/>
      </c>
      <c r="O1285" s="314" t="str">
        <f t="array" aca="1" ref="O1285" ca="1">IFERROR(IF(INDEX('Disaggregation Records'!$H$156:$H$517,MATCH(RIGHT(L1285,255),RIGHT('Disaggregation Records'!$D$156:$D$517,255),0))="","",INDEX('Disaggregation Records'!$H$156:$H$517,MATCH(RIGHT(L1285,255),RIGHT('Disaggregation Records'!$D$156:$D$517,255),0))),"")</f>
        <v/>
      </c>
      <c r="P1285" s="310"/>
      <c r="Q1285" s="310">
        <f t="shared" ref="Q1285" si="1474">Q1283+1</f>
        <v>1944</v>
      </c>
      <c r="R1285" s="314" t="str" cm="1">
        <f t="array" aca="1" ref="R1285" ca="1">IFERROR(IF(INDEX('Disaggregation Records'!$G$156:$G$517,MATCH(RIGHT(L1285,255),RIGHT('Disaggregation Records'!$D$156:$D$517,255),0))="","",INDEX('Disaggregation Records'!$G$156:$G$517,MATCH(RIGHT(L1285,255),RIGHT('Disaggregation Records'!$D$156:$D$517,255),0))),"")</f>
        <v/>
      </c>
    </row>
    <row r="1286" spans="1:18" ht="20.100000000000001" customHeight="1">
      <c r="A1286" s="126"/>
      <c r="B1286" s="571"/>
      <c r="C1286" s="573"/>
      <c r="D1286" s="575"/>
      <c r="E1286" s="575"/>
      <c r="F1286" s="128"/>
      <c r="G1286" s="577"/>
      <c r="H1286" s="540"/>
      <c r="I1286" s="579"/>
      <c r="J1286" s="533"/>
      <c r="L1286" s="126"/>
      <c r="N1286" s="126"/>
      <c r="O1286" s="314"/>
      <c r="P1286" s="310"/>
      <c r="Q1286" s="310"/>
      <c r="R1286" s="314" t="str" cm="1">
        <f t="array" ref="R1286">IFERROR(IF(INDEX('Disaggregation Records'!$G$156:$G$517,MATCH(RIGHT(L1286,255),RIGHT('Disaggregation Records'!$D$156:$D$517,255),0))="","",INDEX('Disaggregation Records'!$G$156:$G$517,MATCH(RIGHT(L1286,255),RIGHT('Disaggregation Records'!$D$156:$D$517,255),0))),"")</f>
        <v/>
      </c>
    </row>
    <row r="1287" spans="1:18" ht="20.100000000000001" customHeight="1">
      <c r="A1287" s="126" t="str">
        <f t="shared" ca="1" si="1454"/>
        <v>a16Dm000000M3vYIAS</v>
      </c>
      <c r="B1287" s="570">
        <v>17</v>
      </c>
      <c r="C1287" s="572" t="str">
        <f ca="1">IFERROR(VLOOKUP(B1287,'Coverage Indicators - Section D'!$A$9:$AO$94,41,FALSE),"")</f>
        <v>KP-1b Percentage of transgender people reached with HIV prevention programs - defined package of services</v>
      </c>
      <c r="D1287" s="574" t="str">
        <f ca="1">M1287</f>
        <v/>
      </c>
      <c r="E1287" s="574" t="str">
        <f ca="1">N1287</f>
        <v/>
      </c>
      <c r="F1287" s="127"/>
      <c r="G1287" s="576" t="str">
        <f ca="1">IF(OR(INDIRECT("'update Helper'!E"&amp;Q1287)="",F1287&lt;&gt;0,F1288&lt;&gt;0),IF(IFERROR((F1287/F1288),"")="","",(F1287/F1288)),INDIRECT("'update Helper'!E"&amp;Q1287)/100)</f>
        <v/>
      </c>
      <c r="H1287" s="539"/>
      <c r="I1287" s="578"/>
      <c r="J1287" s="532"/>
      <c r="K1287" s="126">
        <f ca="1">IF(AND(EXACT(C1287,C1285),C1285&lt;&gt;0),K1285+1,0)</f>
        <v>13</v>
      </c>
      <c r="L1287" s="126" t="str">
        <f t="shared" ref="L1287" ca="1" si="1475">IF(C1287&lt;&gt;"",C1287&amp;"-"&amp;K1287,"")</f>
        <v>KP-1b Percentage of transgender people reached with HIV prevention programs - defined package of services-13</v>
      </c>
      <c r="M1287" s="126" t="str">
        <f t="array" aca="1" ref="M1287" ca="1">IFERROR(IF(INDEX('Disaggregation Records'!$E$156:$E$517,MATCH(RIGHT(L1287,255),RIGHT('Disaggregation Records'!$D$156:$D$517,255),0))="","",INDEX('Disaggregation Records'!$E$156:$E$517,MATCH(RIGHT(L1287,255),RIGHT('Disaggregation Records'!$D$156:$D$517,255),0))),"")</f>
        <v/>
      </c>
      <c r="N1287" s="126" t="str">
        <f t="array" aca="1" ref="N1287" ca="1">IFERROR(IF(INDEX('Disaggregation Records'!$F$156:$F$517,MATCH(RIGHT(L1287,255),RIGHT('Disaggregation Records'!$D$156:$D$517,255),0))="","",INDEX('Disaggregation Records'!$F$156:$F$517,MATCH(RIGHT(L1287,255),RIGHT('Disaggregation Records'!$D$156:$D$517,255),0))),"")</f>
        <v/>
      </c>
      <c r="O1287" s="314" t="str">
        <f t="array" aca="1" ref="O1287" ca="1">IFERROR(IF(INDEX('Disaggregation Records'!$H$156:$H$517,MATCH(RIGHT(L1287,255),RIGHT('Disaggregation Records'!$D$156:$D$517,255),0))="","",INDEX('Disaggregation Records'!$H$156:$H$517,MATCH(RIGHT(L1287,255),RIGHT('Disaggregation Records'!$D$156:$D$517,255),0))),"")</f>
        <v/>
      </c>
      <c r="P1287" s="310"/>
      <c r="Q1287" s="310">
        <f t="shared" ref="Q1287" si="1476">Q1285+1</f>
        <v>1945</v>
      </c>
      <c r="R1287" s="314" t="str" cm="1">
        <f t="array" aca="1" ref="R1287" ca="1">IFERROR(IF(INDEX('Disaggregation Records'!$G$156:$G$517,MATCH(RIGHT(L1287,255),RIGHT('Disaggregation Records'!$D$156:$D$517,255),0))="","",INDEX('Disaggregation Records'!$G$156:$G$517,MATCH(RIGHT(L1287,255),RIGHT('Disaggregation Records'!$D$156:$D$517,255),0))),"")</f>
        <v/>
      </c>
    </row>
    <row r="1288" spans="1:18" ht="20.100000000000001" customHeight="1">
      <c r="B1288" s="571"/>
      <c r="C1288" s="573"/>
      <c r="D1288" s="575"/>
      <c r="E1288" s="575"/>
      <c r="F1288" s="128"/>
      <c r="G1288" s="577"/>
      <c r="H1288" s="540"/>
      <c r="I1288" s="579"/>
      <c r="J1288" s="533"/>
      <c r="L1288" s="126"/>
      <c r="N1288" s="126"/>
      <c r="O1288" s="314"/>
      <c r="P1288" s="310"/>
      <c r="Q1288" s="310"/>
      <c r="R1288" s="314" t="str" cm="1">
        <f t="array" ref="R1288">IFERROR(IF(INDEX('Disaggregation Records'!$G$156:$G$517,MATCH(RIGHT(L1288,255),RIGHT('Disaggregation Records'!$D$156:$D$517,255),0))="","",INDEX('Disaggregation Records'!$G$156:$G$517,MATCH(RIGHT(L1288,255),RIGHT('Disaggregation Records'!$D$156:$D$517,255),0))),"")</f>
        <v/>
      </c>
    </row>
    <row r="1289" spans="1:18" ht="20.100000000000001" customHeight="1">
      <c r="A1289" s="126" t="str">
        <f t="shared" ca="1" si="1451"/>
        <v>a16Dm000000M3vZIAS</v>
      </c>
      <c r="B1289" s="570">
        <v>17</v>
      </c>
      <c r="C1289" s="572" t="str">
        <f ca="1">IFERROR(VLOOKUP(B1289,'Coverage Indicators - Section D'!$A$9:$AO$94,41,FALSE),"")</f>
        <v>KP-1b Percentage of transgender people reached with HIV prevention programs - defined package of services</v>
      </c>
      <c r="D1289" s="574" t="str">
        <f ca="1">M1289</f>
        <v/>
      </c>
      <c r="E1289" s="574" t="str">
        <f ca="1">N1289</f>
        <v/>
      </c>
      <c r="F1289" s="127"/>
      <c r="G1289" s="576" t="str">
        <f ca="1">IF(OR(INDIRECT("'update Helper'!E"&amp;Q1289)="",F1289&lt;&gt;0,F1290&lt;&gt;0),IF(IFERROR((F1289/F1290),"")="","",(F1289/F1290)),INDIRECT("'update Helper'!E"&amp;Q1289)/100)</f>
        <v/>
      </c>
      <c r="H1289" s="539"/>
      <c r="I1289" s="578"/>
      <c r="J1289" s="532"/>
      <c r="K1289" s="126">
        <f ca="1">IF(AND(EXACT(C1289,C1287),C1287&lt;&gt;0),K1287+1,0)</f>
        <v>14</v>
      </c>
      <c r="L1289" s="126" t="str">
        <f t="shared" ref="L1289" ca="1" si="1477">IF(C1289&lt;&gt;"",C1289&amp;"-"&amp;K1289,"")</f>
        <v>KP-1b Percentage of transgender people reached with HIV prevention programs - defined package of services-14</v>
      </c>
      <c r="M1289" s="126" t="str">
        <f t="array" aca="1" ref="M1289" ca="1">IFERROR(IF(INDEX('Disaggregation Records'!$E$156:$E$517,MATCH(RIGHT(L1289,255),RIGHT('Disaggregation Records'!$D$156:$D$517,255),0))="","",INDEX('Disaggregation Records'!$E$156:$E$517,MATCH(RIGHT(L1289,255),RIGHT('Disaggregation Records'!$D$156:$D$517,255),0))),"")</f>
        <v/>
      </c>
      <c r="N1289" s="126" t="str">
        <f t="array" aca="1" ref="N1289" ca="1">IFERROR(IF(INDEX('Disaggregation Records'!$F$156:$F$517,MATCH(RIGHT(L1289,255),RIGHT('Disaggregation Records'!$D$156:$D$517,255),0))="","",INDEX('Disaggregation Records'!$F$156:$F$517,MATCH(RIGHT(L1289,255),RIGHT('Disaggregation Records'!$D$156:$D$517,255),0))),"")</f>
        <v/>
      </c>
      <c r="O1289" s="314" t="str">
        <f t="array" aca="1" ref="O1289" ca="1">IFERROR(IF(INDEX('Disaggregation Records'!$H$156:$H$517,MATCH(RIGHT(L1289,255),RIGHT('Disaggregation Records'!$D$156:$D$517,255),0))="","",INDEX('Disaggregation Records'!$H$156:$H$517,MATCH(RIGHT(L1289,255),RIGHT('Disaggregation Records'!$D$156:$D$517,255),0))),"")</f>
        <v/>
      </c>
      <c r="P1289" s="310"/>
      <c r="Q1289" s="310">
        <f t="shared" ref="Q1289" si="1478">Q1287+1</f>
        <v>1946</v>
      </c>
      <c r="R1289" s="314" t="str" cm="1">
        <f t="array" aca="1" ref="R1289" ca="1">IFERROR(IF(INDEX('Disaggregation Records'!$G$156:$G$517,MATCH(RIGHT(L1289,255),RIGHT('Disaggregation Records'!$D$156:$D$517,255),0))="","",INDEX('Disaggregation Records'!$G$156:$G$517,MATCH(RIGHT(L1289,255),RIGHT('Disaggregation Records'!$D$156:$D$517,255),0))),"")</f>
        <v/>
      </c>
    </row>
    <row r="1290" spans="1:18" ht="20.100000000000001" customHeight="1">
      <c r="A1290" s="126"/>
      <c r="B1290" s="571"/>
      <c r="C1290" s="573"/>
      <c r="D1290" s="575"/>
      <c r="E1290" s="575"/>
      <c r="F1290" s="128"/>
      <c r="G1290" s="577"/>
      <c r="H1290" s="540"/>
      <c r="I1290" s="579"/>
      <c r="J1290" s="533"/>
      <c r="L1290" s="126"/>
      <c r="N1290" s="126"/>
      <c r="O1290" s="314"/>
      <c r="P1290" s="310"/>
      <c r="Q1290" s="310"/>
      <c r="R1290" s="314" t="str" cm="1">
        <f t="array" ref="R1290">IFERROR(IF(INDEX('Disaggregation Records'!$G$156:$G$517,MATCH(RIGHT(L1290,255),RIGHT('Disaggregation Records'!$D$156:$D$517,255),0))="","",INDEX('Disaggregation Records'!$G$156:$G$517,MATCH(RIGHT(L1290,255),RIGHT('Disaggregation Records'!$D$156:$D$517,255),0))),"")</f>
        <v/>
      </c>
    </row>
    <row r="1291" spans="1:18" ht="20.100000000000001" customHeight="1">
      <c r="A1291" s="126" t="str">
        <f t="shared" ca="1" si="1454"/>
        <v>a16Dm000000M3vaIAC</v>
      </c>
      <c r="B1291" s="570">
        <v>17</v>
      </c>
      <c r="C1291" s="572" t="str">
        <f ca="1">IFERROR(VLOOKUP(B1291,'Coverage Indicators - Section D'!$A$9:$AO$94,41,FALSE),"")</f>
        <v>KP-1b Percentage of transgender people reached with HIV prevention programs - defined package of services</v>
      </c>
      <c r="D1291" s="574" t="str">
        <f ca="1">M1291</f>
        <v/>
      </c>
      <c r="E1291" s="574" t="str">
        <f ca="1">N1291</f>
        <v/>
      </c>
      <c r="F1291" s="127"/>
      <c r="G1291" s="576" t="str">
        <f ca="1">IF(OR(INDIRECT("'update Helper'!E"&amp;Q1291)="",F1291&lt;&gt;0,F1292&lt;&gt;0),IF(IFERROR((F1291/F1292),"")="","",(F1291/F1292)),INDIRECT("'update Helper'!E"&amp;Q1291)/100)</f>
        <v/>
      </c>
      <c r="H1291" s="539"/>
      <c r="I1291" s="578"/>
      <c r="J1291" s="532"/>
      <c r="K1291" s="126">
        <f ca="1">IF(AND(EXACT(C1291,C1289),C1289&lt;&gt;0),K1289+1,0)</f>
        <v>15</v>
      </c>
      <c r="L1291" s="126" t="str">
        <f t="shared" ref="L1291" ca="1" si="1479">IF(C1291&lt;&gt;"",C1291&amp;"-"&amp;K1291,"")</f>
        <v>KP-1b Percentage of transgender people reached with HIV prevention programs - defined package of services-15</v>
      </c>
      <c r="M1291" s="126" t="str">
        <f t="array" aca="1" ref="M1291" ca="1">IFERROR(IF(INDEX('Disaggregation Records'!$E$156:$E$517,MATCH(RIGHT(L1291,255),RIGHT('Disaggregation Records'!$D$156:$D$517,255),0))="","",INDEX('Disaggregation Records'!$E$156:$E$517,MATCH(RIGHT(L1291,255),RIGHT('Disaggregation Records'!$D$156:$D$517,255),0))),"")</f>
        <v/>
      </c>
      <c r="N1291" s="126" t="str">
        <f t="array" aca="1" ref="N1291" ca="1">IFERROR(IF(INDEX('Disaggregation Records'!$F$156:$F$517,MATCH(RIGHT(L1291,255),RIGHT('Disaggregation Records'!$D$156:$D$517,255),0))="","",INDEX('Disaggregation Records'!$F$156:$F$517,MATCH(RIGHT(L1291,255),RIGHT('Disaggregation Records'!$D$156:$D$517,255),0))),"")</f>
        <v/>
      </c>
      <c r="O1291" s="314" t="str">
        <f t="array" aca="1" ref="O1291" ca="1">IFERROR(IF(INDEX('Disaggregation Records'!$H$156:$H$517,MATCH(RIGHT(L1291,255),RIGHT('Disaggregation Records'!$D$156:$D$517,255),0))="","",INDEX('Disaggregation Records'!$H$156:$H$517,MATCH(RIGHT(L1291,255),RIGHT('Disaggregation Records'!$D$156:$D$517,255),0))),"")</f>
        <v/>
      </c>
      <c r="P1291" s="314"/>
      <c r="Q1291" s="310">
        <f t="shared" ref="Q1291" si="1480">Q1289+1</f>
        <v>1947</v>
      </c>
      <c r="R1291" s="314" t="str" cm="1">
        <f t="array" aca="1" ref="R1291" ca="1">IFERROR(IF(INDEX('Disaggregation Records'!$G$156:$G$517,MATCH(RIGHT(L1291,255),RIGHT('Disaggregation Records'!$D$156:$D$517,255),0))="","",INDEX('Disaggregation Records'!$G$156:$G$517,MATCH(RIGHT(L1291,255),RIGHT('Disaggregation Records'!$D$156:$D$517,255),0))),"")</f>
        <v/>
      </c>
    </row>
    <row r="1292" spans="1:18" ht="20.100000000000001" customHeight="1">
      <c r="B1292" s="571"/>
      <c r="C1292" s="573"/>
      <c r="D1292" s="575"/>
      <c r="E1292" s="575"/>
      <c r="F1292" s="128"/>
      <c r="G1292" s="577"/>
      <c r="H1292" s="540"/>
      <c r="I1292" s="579"/>
      <c r="J1292" s="533"/>
      <c r="K1292" s="126"/>
      <c r="L1292" s="126"/>
      <c r="M1292" s="126"/>
      <c r="N1292" s="126"/>
      <c r="O1292" s="314"/>
      <c r="P1292" s="314"/>
      <c r="Q1292" s="310"/>
      <c r="R1292" s="314" t="str" cm="1">
        <f t="array" ref="R1292">IFERROR(IF(INDEX('Disaggregation Records'!$G$156:$G$517,MATCH(RIGHT(L1292,255),RIGHT('Disaggregation Records'!$D$156:$D$517,255),0))="","",INDEX('Disaggregation Records'!$G$156:$G$517,MATCH(RIGHT(L1292,255),RIGHT('Disaggregation Records'!$D$156:$D$517,255),0))),"")</f>
        <v/>
      </c>
    </row>
    <row r="1293" spans="1:18" ht="20.100000000000001" customHeight="1">
      <c r="A1293" s="126" t="str">
        <f t="shared" ca="1" si="1451"/>
        <v>a16Dm000000M3vbIAC</v>
      </c>
      <c r="B1293" s="570">
        <v>17</v>
      </c>
      <c r="C1293" s="572" t="str">
        <f ca="1">IFERROR(VLOOKUP(B1293,'Coverage Indicators - Section D'!$A$9:$AO$94,41,FALSE),"")</f>
        <v>KP-1b Percentage of transgender people reached with HIV prevention programs - defined package of services</v>
      </c>
      <c r="D1293" s="574" t="str">
        <f ca="1">M1293</f>
        <v/>
      </c>
      <c r="E1293" s="574" t="str">
        <f ca="1">N1293</f>
        <v/>
      </c>
      <c r="F1293" s="127"/>
      <c r="G1293" s="576" t="str">
        <f ca="1">IF(OR(INDIRECT("'update Helper'!E"&amp;Q1293)="",F1293&lt;&gt;0,F1294&lt;&gt;0),IF(IFERROR((F1293/F1294),"")="","",(F1293/F1294)),INDIRECT("'update Helper'!E"&amp;Q1293)/100)</f>
        <v/>
      </c>
      <c r="H1293" s="539"/>
      <c r="I1293" s="578"/>
      <c r="J1293" s="532"/>
      <c r="K1293" s="126">
        <f ca="1">IF(AND(EXACT(C1293,C1291),C1291&lt;&gt;0),K1291+1,0)</f>
        <v>16</v>
      </c>
      <c r="L1293" s="126" t="str">
        <f t="shared" ref="L1293" ca="1" si="1481">IF(C1293&lt;&gt;"",C1293&amp;"-"&amp;K1293,"")</f>
        <v>KP-1b Percentage of transgender people reached with HIV prevention programs - defined package of services-16</v>
      </c>
      <c r="M1293" s="126" t="str">
        <f t="array" aca="1" ref="M1293" ca="1">IFERROR(IF(INDEX('Disaggregation Records'!$E$156:$E$517,MATCH(RIGHT(L1293,255),RIGHT('Disaggregation Records'!$D$156:$D$517,255),0))="","",INDEX('Disaggregation Records'!$E$156:$E$517,MATCH(RIGHT(L1293,255),RIGHT('Disaggregation Records'!$D$156:$D$517,255),0))),"")</f>
        <v/>
      </c>
      <c r="N1293" s="126" t="str">
        <f t="array" aca="1" ref="N1293" ca="1">IFERROR(IF(INDEX('Disaggregation Records'!$F$156:$F$517,MATCH(RIGHT(L1293,255),RIGHT('Disaggregation Records'!$D$156:$D$517,255),0))="","",INDEX('Disaggregation Records'!$F$156:$F$517,MATCH(RIGHT(L1293,255),RIGHT('Disaggregation Records'!$D$156:$D$517,255),0))),"")</f>
        <v/>
      </c>
      <c r="O1293" s="314" t="str">
        <f t="array" aca="1" ref="O1293" ca="1">IFERROR(IF(INDEX('Disaggregation Records'!$H$156:$H$517,MATCH(RIGHT(L1293,255),RIGHT('Disaggregation Records'!$D$156:$D$517,255),0))="","",INDEX('Disaggregation Records'!$H$156:$H$517,MATCH(RIGHT(L1293,255),RIGHT('Disaggregation Records'!$D$156:$D$517,255),0))),"")</f>
        <v/>
      </c>
      <c r="P1293" s="314"/>
      <c r="Q1293" s="310">
        <f t="shared" ref="Q1293" si="1482">Q1291+1</f>
        <v>1948</v>
      </c>
      <c r="R1293" s="314" t="str" cm="1">
        <f t="array" aca="1" ref="R1293" ca="1">IFERROR(IF(INDEX('Disaggregation Records'!$G$156:$G$517,MATCH(RIGHT(L1293,255),RIGHT('Disaggregation Records'!$D$156:$D$517,255),0))="","",INDEX('Disaggregation Records'!$G$156:$G$517,MATCH(RIGHT(L1293,255),RIGHT('Disaggregation Records'!$D$156:$D$517,255),0))),"")</f>
        <v/>
      </c>
    </row>
    <row r="1294" spans="1:18" ht="20.100000000000001" customHeight="1">
      <c r="A1294" s="126"/>
      <c r="B1294" s="571"/>
      <c r="C1294" s="573"/>
      <c r="D1294" s="575"/>
      <c r="E1294" s="575"/>
      <c r="F1294" s="128"/>
      <c r="G1294" s="577"/>
      <c r="H1294" s="540"/>
      <c r="I1294" s="579"/>
      <c r="J1294" s="533"/>
      <c r="K1294" s="126"/>
      <c r="L1294" s="126"/>
      <c r="M1294" s="126"/>
      <c r="N1294" s="126"/>
      <c r="O1294" s="314"/>
      <c r="P1294" s="314"/>
      <c r="Q1294" s="310"/>
      <c r="R1294" s="314" t="str" cm="1">
        <f t="array" ref="R1294">IFERROR(IF(INDEX('Disaggregation Records'!$G$156:$G$517,MATCH(RIGHT(L1294,255),RIGHT('Disaggregation Records'!$D$156:$D$517,255),0))="","",INDEX('Disaggregation Records'!$G$156:$G$517,MATCH(RIGHT(L1294,255),RIGHT('Disaggregation Records'!$D$156:$D$517,255),0))),"")</f>
        <v/>
      </c>
    </row>
    <row r="1295" spans="1:18" ht="20.100000000000001" customHeight="1">
      <c r="A1295" s="126" t="str">
        <f t="shared" ca="1" si="1454"/>
        <v>a16Dm000000M3vcIAC</v>
      </c>
      <c r="B1295" s="570">
        <v>17</v>
      </c>
      <c r="C1295" s="572" t="str">
        <f ca="1">IFERROR(VLOOKUP(B1295,'Coverage Indicators - Section D'!$A$9:$AO$94,41,FALSE),"")</f>
        <v>KP-1b Percentage of transgender people reached with HIV prevention programs - defined package of services</v>
      </c>
      <c r="D1295" s="574" t="str">
        <f ca="1">M1295</f>
        <v/>
      </c>
      <c r="E1295" s="574" t="str">
        <f ca="1">N1295</f>
        <v/>
      </c>
      <c r="F1295" s="127"/>
      <c r="G1295" s="576" t="str">
        <f ca="1">IF(OR(INDIRECT("'update Helper'!E"&amp;Q1295)="",F1295&lt;&gt;0,F1296&lt;&gt;0),IF(IFERROR((F1295/F1296),"")="","",(F1295/F1296)),INDIRECT("'update Helper'!E"&amp;Q1295)/100)</f>
        <v/>
      </c>
      <c r="H1295" s="539"/>
      <c r="I1295" s="578"/>
      <c r="J1295" s="532"/>
      <c r="K1295" s="126">
        <f ca="1">IF(AND(EXACT(C1295,C1293),C1293&lt;&gt;0),K1293+1,0)</f>
        <v>17</v>
      </c>
      <c r="L1295" s="126" t="str">
        <f t="shared" ref="L1295" ca="1" si="1483">IF(C1295&lt;&gt;"",C1295&amp;"-"&amp;K1295,"")</f>
        <v>KP-1b Percentage of transgender people reached with HIV prevention programs - defined package of services-17</v>
      </c>
      <c r="M1295" s="126" t="str">
        <f t="array" aca="1" ref="M1295" ca="1">IFERROR(IF(INDEX('Disaggregation Records'!$E$156:$E$517,MATCH(RIGHT(L1295,255),RIGHT('Disaggregation Records'!$D$156:$D$517,255),0))="","",INDEX('Disaggregation Records'!$E$156:$E$517,MATCH(RIGHT(L1295,255),RIGHT('Disaggregation Records'!$D$156:$D$517,255),0))),"")</f>
        <v/>
      </c>
      <c r="N1295" s="126" t="str">
        <f t="array" aca="1" ref="N1295" ca="1">IFERROR(IF(INDEX('Disaggregation Records'!$F$156:$F$517,MATCH(RIGHT(L1295,255),RIGHT('Disaggregation Records'!$D$156:$D$517,255),0))="","",INDEX('Disaggregation Records'!$F$156:$F$517,MATCH(RIGHT(L1295,255),RIGHT('Disaggregation Records'!$D$156:$D$517,255),0))),"")</f>
        <v/>
      </c>
      <c r="O1295" s="314" t="str">
        <f t="array" aca="1" ref="O1295" ca="1">IFERROR(IF(INDEX('Disaggregation Records'!$H$156:$H$517,MATCH(RIGHT(L1295,255),RIGHT('Disaggregation Records'!$D$156:$D$517,255),0))="","",INDEX('Disaggregation Records'!$H$156:$H$517,MATCH(RIGHT(L1295,255),RIGHT('Disaggregation Records'!$D$156:$D$517,255),0))),"")</f>
        <v/>
      </c>
      <c r="P1295" s="310"/>
      <c r="Q1295" s="310">
        <f t="shared" ref="Q1295" si="1484">Q1293+1</f>
        <v>1949</v>
      </c>
      <c r="R1295" s="314" t="str" cm="1">
        <f t="array" aca="1" ref="R1295" ca="1">IFERROR(IF(INDEX('Disaggregation Records'!$G$156:$G$517,MATCH(RIGHT(L1295,255),RIGHT('Disaggregation Records'!$D$156:$D$517,255),0))="","",INDEX('Disaggregation Records'!$G$156:$G$517,MATCH(RIGHT(L1295,255),RIGHT('Disaggregation Records'!$D$156:$D$517,255),0))),"")</f>
        <v/>
      </c>
    </row>
    <row r="1296" spans="1:18" ht="20.100000000000001" customHeight="1">
      <c r="B1296" s="571"/>
      <c r="C1296" s="573"/>
      <c r="D1296" s="575"/>
      <c r="E1296" s="575"/>
      <c r="F1296" s="128"/>
      <c r="G1296" s="577"/>
      <c r="H1296" s="540"/>
      <c r="I1296" s="579"/>
      <c r="J1296" s="533"/>
      <c r="L1296" s="126"/>
      <c r="N1296" s="126"/>
      <c r="O1296" s="314"/>
      <c r="P1296" s="310"/>
      <c r="Q1296" s="310"/>
      <c r="R1296" s="314" t="str" cm="1">
        <f t="array" ref="R1296">IFERROR(IF(INDEX('Disaggregation Records'!$G$156:$G$517,MATCH(RIGHT(L1296,255),RIGHT('Disaggregation Records'!$D$156:$D$517,255),0))="","",INDEX('Disaggregation Records'!$G$156:$G$517,MATCH(RIGHT(L1296,255),RIGHT('Disaggregation Records'!$D$156:$D$517,255),0))),"")</f>
        <v/>
      </c>
    </row>
    <row r="1297" spans="1:18" ht="20.100000000000001" customHeight="1">
      <c r="A1297" s="126" t="str">
        <f t="shared" ca="1" si="1451"/>
        <v>a16Dm000000M3vdIAC</v>
      </c>
      <c r="B1297" s="570">
        <v>17</v>
      </c>
      <c r="C1297" s="572" t="str">
        <f ca="1">IFERROR(VLOOKUP(B1297,'Coverage Indicators - Section D'!$A$9:$AO$94,41,FALSE),"")</f>
        <v>KP-1b Percentage of transgender people reached with HIV prevention programs - defined package of services</v>
      </c>
      <c r="D1297" s="574" t="str">
        <f ca="1">M1297</f>
        <v/>
      </c>
      <c r="E1297" s="574" t="str">
        <f ca="1">N1297</f>
        <v/>
      </c>
      <c r="F1297" s="127"/>
      <c r="G1297" s="576" t="str">
        <f ca="1">IF(OR(INDIRECT("'update Helper'!E"&amp;Q1297)="",F1297&lt;&gt;0,F1298&lt;&gt;0),IF(IFERROR((F1297/F1298),"")="","",(F1297/F1298)),INDIRECT("'update Helper'!E"&amp;Q1297)/100)</f>
        <v/>
      </c>
      <c r="H1297" s="539"/>
      <c r="I1297" s="578"/>
      <c r="J1297" s="532"/>
      <c r="K1297" s="126">
        <f ca="1">IF(AND(EXACT(C1297,C1295),C1295&lt;&gt;0),K1295+1,0)</f>
        <v>18</v>
      </c>
      <c r="L1297" s="126" t="str">
        <f t="shared" ref="L1297" ca="1" si="1485">IF(C1297&lt;&gt;"",C1297&amp;"-"&amp;K1297,"")</f>
        <v>KP-1b Percentage of transgender people reached with HIV prevention programs - defined package of services-18</v>
      </c>
      <c r="M1297" s="126" t="str">
        <f t="array" aca="1" ref="M1297" ca="1">IFERROR(IF(INDEX('Disaggregation Records'!$E$156:$E$517,MATCH(RIGHT(L1297,255),RIGHT('Disaggregation Records'!$D$156:$D$517,255),0))="","",INDEX('Disaggregation Records'!$E$156:$E$517,MATCH(RIGHT(L1297,255),RIGHT('Disaggregation Records'!$D$156:$D$517,255),0))),"")</f>
        <v/>
      </c>
      <c r="N1297" s="126" t="str">
        <f t="array" aca="1" ref="N1297" ca="1">IFERROR(IF(INDEX('Disaggregation Records'!$F$156:$F$517,MATCH(RIGHT(L1297,255),RIGHT('Disaggregation Records'!$D$156:$D$517,255),0))="","",INDEX('Disaggregation Records'!$F$156:$F$517,MATCH(RIGHT(L1297,255),RIGHT('Disaggregation Records'!$D$156:$D$517,255),0))),"")</f>
        <v/>
      </c>
      <c r="O1297" s="314" t="str">
        <f t="array" aca="1" ref="O1297" ca="1">IFERROR(IF(INDEX('Disaggregation Records'!$H$156:$H$517,MATCH(RIGHT(L1297,255),RIGHT('Disaggregation Records'!$D$156:$D$517,255),0))="","",INDEX('Disaggregation Records'!$H$156:$H$517,MATCH(RIGHT(L1297,255),RIGHT('Disaggregation Records'!$D$156:$D$517,255),0))),"")</f>
        <v/>
      </c>
      <c r="P1297" s="310"/>
      <c r="Q1297" s="310">
        <f t="shared" ref="Q1297" si="1486">Q1295+1</f>
        <v>1950</v>
      </c>
      <c r="R1297" s="314" t="str" cm="1">
        <f t="array" aca="1" ref="R1297" ca="1">IFERROR(IF(INDEX('Disaggregation Records'!$G$156:$G$517,MATCH(RIGHT(L1297,255),RIGHT('Disaggregation Records'!$D$156:$D$517,255),0))="","",INDEX('Disaggregation Records'!$G$156:$G$517,MATCH(RIGHT(L1297,255),RIGHT('Disaggregation Records'!$D$156:$D$517,255),0))),"")</f>
        <v/>
      </c>
    </row>
    <row r="1298" spans="1:18" ht="20.100000000000001" customHeight="1">
      <c r="A1298" s="126"/>
      <c r="B1298" s="571"/>
      <c r="C1298" s="573"/>
      <c r="D1298" s="575"/>
      <c r="E1298" s="575"/>
      <c r="F1298" s="128"/>
      <c r="G1298" s="577"/>
      <c r="H1298" s="540"/>
      <c r="I1298" s="579"/>
      <c r="J1298" s="533"/>
      <c r="L1298" s="126"/>
      <c r="N1298" s="126"/>
      <c r="O1298" s="314"/>
      <c r="P1298" s="310"/>
      <c r="Q1298" s="310"/>
      <c r="R1298" s="314" t="str" cm="1">
        <f t="array" ref="R1298">IFERROR(IF(INDEX('Disaggregation Records'!$G$156:$G$517,MATCH(RIGHT(L1298,255),RIGHT('Disaggregation Records'!$D$156:$D$517,255),0))="","",INDEX('Disaggregation Records'!$G$156:$G$517,MATCH(RIGHT(L1298,255),RIGHT('Disaggregation Records'!$D$156:$D$517,255),0))),"")</f>
        <v/>
      </c>
    </row>
    <row r="1299" spans="1:18" ht="20.100000000000001" customHeight="1">
      <c r="A1299" s="126" t="str">
        <f t="shared" ca="1" si="1454"/>
        <v>a16Dm000000M3veIAC</v>
      </c>
      <c r="B1299" s="570">
        <v>17</v>
      </c>
      <c r="C1299" s="572" t="str">
        <f ca="1">IFERROR(VLOOKUP(B1299,'Coverage Indicators - Section D'!$A$9:$AO$94,41,FALSE),"")</f>
        <v>KP-1b Percentage of transgender people reached with HIV prevention programs - defined package of services</v>
      </c>
      <c r="D1299" s="574" t="str">
        <f ca="1">M1299</f>
        <v/>
      </c>
      <c r="E1299" s="574" t="str">
        <f ca="1">N1299</f>
        <v/>
      </c>
      <c r="F1299" s="127"/>
      <c r="G1299" s="576" t="str">
        <f ca="1">IF(OR(INDIRECT("'update Helper'!E"&amp;Q1299)="",F1299&lt;&gt;0,F1300&lt;&gt;0),IF(IFERROR((F1299/F1300),"")="","",(F1299/F1300)),INDIRECT("'update Helper'!E"&amp;Q1299)/100)</f>
        <v/>
      </c>
      <c r="H1299" s="539"/>
      <c r="I1299" s="578"/>
      <c r="J1299" s="532"/>
      <c r="K1299" s="126">
        <f ca="1">IF(AND(EXACT(C1299,C1297),C1297&lt;&gt;0),K1297+1,0)</f>
        <v>19</v>
      </c>
      <c r="L1299" s="126" t="str">
        <f t="shared" ref="L1299" ca="1" si="1487">IF(C1299&lt;&gt;"",C1299&amp;"-"&amp;K1299,"")</f>
        <v>KP-1b Percentage of transgender people reached with HIV prevention programs - defined package of services-19</v>
      </c>
      <c r="M1299" s="126" t="str">
        <f t="array" aca="1" ref="M1299" ca="1">IFERROR(IF(INDEX('Disaggregation Records'!$E$156:$E$517,MATCH(RIGHT(L1299,255),RIGHT('Disaggregation Records'!$D$156:$D$517,255),0))="","",INDEX('Disaggregation Records'!$E$156:$E$517,MATCH(RIGHT(L1299,255),RIGHT('Disaggregation Records'!$D$156:$D$517,255),0))),"")</f>
        <v/>
      </c>
      <c r="N1299" s="126" t="str">
        <f t="array" aca="1" ref="N1299" ca="1">IFERROR(IF(INDEX('Disaggregation Records'!$F$156:$F$517,MATCH(RIGHT(L1299,255),RIGHT('Disaggregation Records'!$D$156:$D$517,255),0))="","",INDEX('Disaggregation Records'!$F$156:$F$517,MATCH(RIGHT(L1299,255),RIGHT('Disaggregation Records'!$D$156:$D$517,255),0))),"")</f>
        <v/>
      </c>
      <c r="O1299" s="314" t="str">
        <f t="array" aca="1" ref="O1299" ca="1">IFERROR(IF(INDEX('Disaggregation Records'!$H$156:$H$517,MATCH(RIGHT(L1299,255),RIGHT('Disaggregation Records'!$D$156:$D$517,255),0))="","",INDEX('Disaggregation Records'!$H$156:$H$517,MATCH(RIGHT(L1299,255),RIGHT('Disaggregation Records'!$D$156:$D$517,255),0))),"")</f>
        <v/>
      </c>
      <c r="P1299" s="310"/>
      <c r="Q1299" s="310">
        <f t="shared" ref="Q1299" si="1488">Q1297+1</f>
        <v>1951</v>
      </c>
      <c r="R1299" s="314" t="str" cm="1">
        <f t="array" aca="1" ref="R1299" ca="1">IFERROR(IF(INDEX('Disaggregation Records'!$G$156:$G$517,MATCH(RIGHT(L1299,255),RIGHT('Disaggregation Records'!$D$156:$D$517,255),0))="","",INDEX('Disaggregation Records'!$G$156:$G$517,MATCH(RIGHT(L1299,255),RIGHT('Disaggregation Records'!$D$156:$D$517,255),0))),"")</f>
        <v/>
      </c>
    </row>
    <row r="1300" spans="1:18" ht="20.100000000000001" customHeight="1">
      <c r="B1300" s="571"/>
      <c r="C1300" s="573"/>
      <c r="D1300" s="575"/>
      <c r="E1300" s="575"/>
      <c r="F1300" s="128"/>
      <c r="G1300" s="577"/>
      <c r="H1300" s="540"/>
      <c r="I1300" s="579"/>
      <c r="J1300" s="533"/>
      <c r="L1300" s="126"/>
      <c r="N1300" s="126"/>
      <c r="O1300" s="314"/>
      <c r="P1300" s="310"/>
      <c r="Q1300" s="310"/>
      <c r="R1300" s="314" t="str" cm="1">
        <f t="array" ref="R1300">IFERROR(IF(INDEX('Disaggregation Records'!$G$156:$G$517,MATCH(RIGHT(L1300,255),RIGHT('Disaggregation Records'!$D$156:$D$517,255),0))="","",INDEX('Disaggregation Records'!$G$156:$G$517,MATCH(RIGHT(L1300,255),RIGHT('Disaggregation Records'!$D$156:$D$517,255),0))),"")</f>
        <v/>
      </c>
    </row>
    <row r="1301" spans="1:18" ht="20.100000000000001" customHeight="1">
      <c r="A1301" s="126" t="str">
        <f t="shared" ca="1" si="1451"/>
        <v>a16Dm000000M3vfIAC</v>
      </c>
      <c r="B1301" s="570">
        <v>18</v>
      </c>
      <c r="C1301" s="572" t="str">
        <f ca="1">IFERROR(VLOOKUP(B1301,'Coverage Indicators - Section D'!$A$9:$AO$94,41,FALSE),"")</f>
        <v>KP-6b Number of transgender people who received any PrEP product at least once during the reporting period</v>
      </c>
      <c r="D1301" s="574" t="str">
        <f ca="1">M1301</f>
        <v>Age</v>
      </c>
      <c r="E1301" s="574" t="str">
        <f ca="1">N1301</f>
        <v>25+</v>
      </c>
      <c r="F1301" s="127"/>
      <c r="G1301" s="576" t="str">
        <f ca="1">IF(OR(INDIRECT("'update Helper'!E"&amp;Q1301)="",F1301&lt;&gt;0,F1302&lt;&gt;0),IF(IFERROR((F1301/F1302),"")="","",(F1301/F1302)),INDIRECT("'update Helper'!E"&amp;Q1301)/100)</f>
        <v/>
      </c>
      <c r="H1301" s="539"/>
      <c r="I1301" s="578"/>
      <c r="J1301" s="532" t="s">
        <v>2301</v>
      </c>
      <c r="K1301" s="126">
        <f ca="1">IF(AND(EXACT(C1301,C1299),C1299&lt;&gt;0),K1299+1,0)</f>
        <v>0</v>
      </c>
      <c r="L1301" s="126" t="str">
        <f t="shared" ref="L1301" ca="1" si="1489">IF(C1301&lt;&gt;"",C1301&amp;"-"&amp;K1301,"")</f>
        <v>KP-6b Number of transgender people who received any PrEP product at least once during the reporting period-0</v>
      </c>
      <c r="M1301" s="126" t="str">
        <f t="array" aca="1" ref="M1301" ca="1">IFERROR(IF(INDEX('Disaggregation Records'!$E$156:$E$517,MATCH(RIGHT(L1301,255),RIGHT('Disaggregation Records'!$D$156:$D$517,255),0))="","",INDEX('Disaggregation Records'!$E$156:$E$517,MATCH(RIGHT(L1301,255),RIGHT('Disaggregation Records'!$D$156:$D$517,255),0))),"")</f>
        <v>Age</v>
      </c>
      <c r="N1301" s="126" t="str">
        <f t="array" aca="1" ref="N1301" ca="1">IFERROR(IF(INDEX('Disaggregation Records'!$F$156:$F$517,MATCH(RIGHT(L1301,255),RIGHT('Disaggregation Records'!$D$156:$D$517,255),0))="","",INDEX('Disaggregation Records'!$F$156:$F$517,MATCH(RIGHT(L1301,255),RIGHT('Disaggregation Records'!$D$156:$D$517,255),0))),"")</f>
        <v>25+</v>
      </c>
      <c r="O1301" s="314" t="str">
        <f t="array" aca="1" ref="O1301" ca="1">IFERROR(IF(INDEX('Disaggregation Records'!$H$156:$H$517,MATCH(RIGHT(L1301,255),RIGHT('Disaggregation Records'!$D$156:$D$517,255),0))="","",INDEX('Disaggregation Records'!$H$156:$H$517,MATCH(RIGHT(L1301,255),RIGHT('Disaggregation Records'!$D$156:$D$517,255),0))),"")</f>
        <v>IDR-01189</v>
      </c>
      <c r="P1301" s="314"/>
      <c r="Q1301" s="310">
        <f t="shared" ref="Q1301" si="1490">Q1299+1</f>
        <v>1952</v>
      </c>
      <c r="R1301" s="314" t="str" cm="1">
        <f t="array" aca="1" ref="R1301" ca="1">IFERROR(IF(INDEX('Disaggregation Records'!$G$156:$G$517,MATCH(RIGHT(L1301,255),RIGHT('Disaggregation Records'!$D$156:$D$517,255),0))="","",INDEX('Disaggregation Records'!$G$156:$G$517,MATCH(RIGHT(L1301,255),RIGHT('Disaggregation Records'!$D$156:$D$517,255),0))),"")</f>
        <v>a1LDm000000Cb1vMAC</v>
      </c>
    </row>
    <row r="1302" spans="1:18" ht="20.100000000000001" customHeight="1">
      <c r="A1302" s="126"/>
      <c r="B1302" s="571"/>
      <c r="C1302" s="573"/>
      <c r="D1302" s="575"/>
      <c r="E1302" s="575"/>
      <c r="F1302" s="128"/>
      <c r="G1302" s="577"/>
      <c r="H1302" s="540"/>
      <c r="I1302" s="579"/>
      <c r="J1302" s="533"/>
      <c r="K1302" s="126"/>
      <c r="L1302" s="126"/>
      <c r="M1302" s="126"/>
      <c r="N1302" s="126"/>
      <c r="O1302" s="314"/>
      <c r="P1302" s="314"/>
      <c r="Q1302" s="310"/>
      <c r="R1302" s="314" t="str" cm="1">
        <f t="array" ref="R1302">IFERROR(IF(INDEX('Disaggregation Records'!$G$156:$G$517,MATCH(RIGHT(L1302,255),RIGHT('Disaggregation Records'!$D$156:$D$517,255),0))="","",INDEX('Disaggregation Records'!$G$156:$G$517,MATCH(RIGHT(L1302,255),RIGHT('Disaggregation Records'!$D$156:$D$517,255),0))),"")</f>
        <v/>
      </c>
    </row>
    <row r="1303" spans="1:18" ht="20.100000000000001" customHeight="1">
      <c r="A1303" s="126" t="str">
        <f t="shared" ca="1" si="1454"/>
        <v>a16Dm000000M3vgIAC</v>
      </c>
      <c r="B1303" s="570">
        <v>18</v>
      </c>
      <c r="C1303" s="572" t="str">
        <f ca="1">IFERROR(VLOOKUP(B1303,'Coverage Indicators - Section D'!$A$9:$AO$94,41,FALSE),"")</f>
        <v>KP-6b Number of transgender people who received any PrEP product at least once during the reporting period</v>
      </c>
      <c r="D1303" s="574" t="str">
        <f ca="1">M1303</f>
        <v>Age</v>
      </c>
      <c r="E1303" s="574" t="str">
        <f ca="1">N1303</f>
        <v>20-24</v>
      </c>
      <c r="F1303" s="127"/>
      <c r="G1303" s="576" t="str">
        <f ca="1">IF(OR(INDIRECT("'update Helper'!E"&amp;Q1303)="",F1303&lt;&gt;0,F1304&lt;&gt;0),IF(IFERROR((F1303/F1304),"")="","",(F1303/F1304)),INDIRECT("'update Helper'!E"&amp;Q1303)/100)</f>
        <v/>
      </c>
      <c r="H1303" s="539"/>
      <c r="I1303" s="578"/>
      <c r="J1303" s="532" t="s">
        <v>2301</v>
      </c>
      <c r="K1303" s="126">
        <f ca="1">IF(AND(EXACT(C1303,C1301),C1301&lt;&gt;0),K1301+1,0)</f>
        <v>1</v>
      </c>
      <c r="L1303" s="126" t="str">
        <f t="shared" ref="L1303" ca="1" si="1491">IF(C1303&lt;&gt;"",C1303&amp;"-"&amp;K1303,"")</f>
        <v>KP-6b Number of transgender people who received any PrEP product at least once during the reporting period-1</v>
      </c>
      <c r="M1303" s="126" t="str">
        <f t="array" aca="1" ref="M1303" ca="1">IFERROR(IF(INDEX('Disaggregation Records'!$E$156:$E$517,MATCH(RIGHT(L1303,255),RIGHT('Disaggregation Records'!$D$156:$D$517,255),0))="","",INDEX('Disaggregation Records'!$E$156:$E$517,MATCH(RIGHT(L1303,255),RIGHT('Disaggregation Records'!$D$156:$D$517,255),0))),"")</f>
        <v>Age</v>
      </c>
      <c r="N1303" s="126" t="str">
        <f t="array" aca="1" ref="N1303" ca="1">IFERROR(IF(INDEX('Disaggregation Records'!$F$156:$F$517,MATCH(RIGHT(L1303,255),RIGHT('Disaggregation Records'!$D$156:$D$517,255),0))="","",INDEX('Disaggregation Records'!$F$156:$F$517,MATCH(RIGHT(L1303,255),RIGHT('Disaggregation Records'!$D$156:$D$517,255),0))),"")</f>
        <v>20-24</v>
      </c>
      <c r="O1303" s="314" t="str">
        <f t="array" aca="1" ref="O1303" ca="1">IFERROR(IF(INDEX('Disaggregation Records'!$H$156:$H$517,MATCH(RIGHT(L1303,255),RIGHT('Disaggregation Records'!$D$156:$D$517,255),0))="","",INDEX('Disaggregation Records'!$H$156:$H$517,MATCH(RIGHT(L1303,255),RIGHT('Disaggregation Records'!$D$156:$D$517,255),0))),"")</f>
        <v>IDR-01188</v>
      </c>
      <c r="P1303" s="314"/>
      <c r="Q1303" s="310">
        <f t="shared" ref="Q1303" si="1492">Q1301+1</f>
        <v>1953</v>
      </c>
      <c r="R1303" s="314" t="str" cm="1">
        <f t="array" aca="1" ref="R1303" ca="1">IFERROR(IF(INDEX('Disaggregation Records'!$G$156:$G$517,MATCH(RIGHT(L1303,255),RIGHT('Disaggregation Records'!$D$156:$D$517,255),0))="","",INDEX('Disaggregation Records'!$G$156:$G$517,MATCH(RIGHT(L1303,255),RIGHT('Disaggregation Records'!$D$156:$D$517,255),0))),"")</f>
        <v>a1LDm000000Cb1uMAC</v>
      </c>
    </row>
    <row r="1304" spans="1:18" ht="20.100000000000001" customHeight="1">
      <c r="B1304" s="571"/>
      <c r="C1304" s="573"/>
      <c r="D1304" s="575"/>
      <c r="E1304" s="575"/>
      <c r="F1304" s="128"/>
      <c r="G1304" s="577"/>
      <c r="H1304" s="540"/>
      <c r="I1304" s="579"/>
      <c r="J1304" s="533"/>
      <c r="K1304" s="126"/>
      <c r="L1304" s="126"/>
      <c r="M1304" s="126"/>
      <c r="N1304" s="126"/>
      <c r="O1304" s="314"/>
      <c r="P1304" s="314"/>
      <c r="Q1304" s="310"/>
      <c r="R1304" s="314" t="str" cm="1">
        <f t="array" ref="R1304">IFERROR(IF(INDEX('Disaggregation Records'!$G$156:$G$517,MATCH(RIGHT(L1304,255),RIGHT('Disaggregation Records'!$D$156:$D$517,255),0))="","",INDEX('Disaggregation Records'!$G$156:$G$517,MATCH(RIGHT(L1304,255),RIGHT('Disaggregation Records'!$D$156:$D$517,255),0))),"")</f>
        <v/>
      </c>
    </row>
    <row r="1305" spans="1:18" ht="20.100000000000001" customHeight="1">
      <c r="A1305" s="126" t="str">
        <f t="shared" ca="1" si="1451"/>
        <v>a16Dm000000M3vhIAC</v>
      </c>
      <c r="B1305" s="570">
        <v>18</v>
      </c>
      <c r="C1305" s="572" t="str">
        <f ca="1">IFERROR(VLOOKUP(B1305,'Coverage Indicators - Section D'!$A$9:$AO$94,41,FALSE),"")</f>
        <v>KP-6b Number of transgender people who received any PrEP product at least once during the reporting period</v>
      </c>
      <c r="D1305" s="574" t="str">
        <f ca="1">M1305</f>
        <v>Gender</v>
      </c>
      <c r="E1305" s="574" t="str">
        <f ca="1">N1305</f>
        <v>Transwomen</v>
      </c>
      <c r="F1305" s="127"/>
      <c r="G1305" s="576" t="str">
        <f ca="1">IF(OR(INDIRECT("'update Helper'!E"&amp;Q1305)="",F1305&lt;&gt;0,F1306&lt;&gt;0),IF(IFERROR((F1305/F1306),"")="","",(F1305/F1306)),INDIRECT("'update Helper'!E"&amp;Q1305)/100)</f>
        <v/>
      </c>
      <c r="H1305" s="539"/>
      <c r="I1305" s="578"/>
      <c r="J1305" s="532" t="s">
        <v>2301</v>
      </c>
      <c r="K1305" s="126">
        <f ca="1">IF(AND(EXACT(C1305,C1303),C1303&lt;&gt;0),K1303+1,0)</f>
        <v>2</v>
      </c>
      <c r="L1305" s="126" t="str">
        <f t="shared" ref="L1305" ca="1" si="1493">IF(C1305&lt;&gt;"",C1305&amp;"-"&amp;K1305,"")</f>
        <v>KP-6b Number of transgender people who received any PrEP product at least once during the reporting period-2</v>
      </c>
      <c r="M1305" s="126" t="str">
        <f t="array" aca="1" ref="M1305" ca="1">IFERROR(IF(INDEX('Disaggregation Records'!$E$156:$E$517,MATCH(RIGHT(L1305,255),RIGHT('Disaggregation Records'!$D$156:$D$517,255),0))="","",INDEX('Disaggregation Records'!$E$156:$E$517,MATCH(RIGHT(L1305,255),RIGHT('Disaggregation Records'!$D$156:$D$517,255),0))),"")</f>
        <v>Gender</v>
      </c>
      <c r="N1305" s="126" t="str">
        <f t="array" aca="1" ref="N1305" ca="1">IFERROR(IF(INDEX('Disaggregation Records'!$F$156:$F$517,MATCH(RIGHT(L1305,255),RIGHT('Disaggregation Records'!$D$156:$D$517,255),0))="","",INDEX('Disaggregation Records'!$F$156:$F$517,MATCH(RIGHT(L1305,255),RIGHT('Disaggregation Records'!$D$156:$D$517,255),0))),"")</f>
        <v>Transwomen</v>
      </c>
      <c r="O1305" s="314" t="str">
        <f t="array" aca="1" ref="O1305" ca="1">IFERROR(IF(INDEX('Disaggregation Records'!$H$156:$H$517,MATCH(RIGHT(L1305,255),RIGHT('Disaggregation Records'!$D$156:$D$517,255),0))="","",INDEX('Disaggregation Records'!$H$156:$H$517,MATCH(RIGHT(L1305,255),RIGHT('Disaggregation Records'!$D$156:$D$517,255),0))),"")</f>
        <v>IDR-01187</v>
      </c>
      <c r="P1305" s="310"/>
      <c r="Q1305" s="310">
        <f t="shared" ref="Q1305" si="1494">Q1303+1</f>
        <v>1954</v>
      </c>
      <c r="R1305" s="314" t="str" cm="1">
        <f t="array" aca="1" ref="R1305" ca="1">IFERROR(IF(INDEX('Disaggregation Records'!$G$156:$G$517,MATCH(RIGHT(L1305,255),RIGHT('Disaggregation Records'!$D$156:$D$517,255),0))="","",INDEX('Disaggregation Records'!$G$156:$G$517,MATCH(RIGHT(L1305,255),RIGHT('Disaggregation Records'!$D$156:$D$517,255),0))),"")</f>
        <v>a1LDm000000Cb1tMAC</v>
      </c>
    </row>
    <row r="1306" spans="1:18" ht="20.100000000000001" customHeight="1">
      <c r="A1306" s="126"/>
      <c r="B1306" s="571"/>
      <c r="C1306" s="573"/>
      <c r="D1306" s="575"/>
      <c r="E1306" s="575"/>
      <c r="F1306" s="128"/>
      <c r="G1306" s="577"/>
      <c r="H1306" s="540"/>
      <c r="I1306" s="579"/>
      <c r="J1306" s="533"/>
      <c r="L1306" s="126"/>
      <c r="N1306" s="126"/>
      <c r="O1306" s="314"/>
      <c r="P1306" s="310"/>
      <c r="Q1306" s="310"/>
      <c r="R1306" s="314" t="str" cm="1">
        <f t="array" ref="R1306">IFERROR(IF(INDEX('Disaggregation Records'!$G$156:$G$517,MATCH(RIGHT(L1306,255),RIGHT('Disaggregation Records'!$D$156:$D$517,255),0))="","",INDEX('Disaggregation Records'!$G$156:$G$517,MATCH(RIGHT(L1306,255),RIGHT('Disaggregation Records'!$D$156:$D$517,255),0))),"")</f>
        <v/>
      </c>
    </row>
    <row r="1307" spans="1:18" ht="20.100000000000001" customHeight="1">
      <c r="A1307" s="126" t="str">
        <f t="shared" ca="1" si="1454"/>
        <v>a16Dm000000M3viIAC</v>
      </c>
      <c r="B1307" s="570">
        <v>18</v>
      </c>
      <c r="C1307" s="572" t="str">
        <f ca="1">IFERROR(VLOOKUP(B1307,'Coverage Indicators - Section D'!$A$9:$AO$94,41,FALSE),"")</f>
        <v>KP-6b Number of transgender people who received any PrEP product at least once during the reporting period</v>
      </c>
      <c r="D1307" s="574" t="str">
        <f ca="1">M1307</f>
        <v>Age</v>
      </c>
      <c r="E1307" s="574" t="str">
        <f ca="1">N1307</f>
        <v>15-19</v>
      </c>
      <c r="F1307" s="127"/>
      <c r="G1307" s="576" t="str">
        <f ca="1">IF(OR(INDIRECT("'update Helper'!E"&amp;Q1307)="",F1307&lt;&gt;0,F1308&lt;&gt;0),IF(IFERROR((F1307/F1308),"")="","",(F1307/F1308)),INDIRECT("'update Helper'!E"&amp;Q1307)/100)</f>
        <v/>
      </c>
      <c r="H1307" s="539"/>
      <c r="I1307" s="578"/>
      <c r="J1307" s="532" t="s">
        <v>2301</v>
      </c>
      <c r="K1307" s="126">
        <f ca="1">IF(AND(EXACT(C1307,C1305),C1305&lt;&gt;0),K1305+1,0)</f>
        <v>3</v>
      </c>
      <c r="L1307" s="126" t="str">
        <f t="shared" ref="L1307" ca="1" si="1495">IF(C1307&lt;&gt;"",C1307&amp;"-"&amp;K1307,"")</f>
        <v>KP-6b Number of transgender people who received any PrEP product at least once during the reporting period-3</v>
      </c>
      <c r="M1307" s="126" t="str">
        <f t="array" aca="1" ref="M1307" ca="1">IFERROR(IF(INDEX('Disaggregation Records'!$E$156:$E$517,MATCH(RIGHT(L1307,255),RIGHT('Disaggregation Records'!$D$156:$D$517,255),0))="","",INDEX('Disaggregation Records'!$E$156:$E$517,MATCH(RIGHT(L1307,255),RIGHT('Disaggregation Records'!$D$156:$D$517,255),0))),"")</f>
        <v>Age</v>
      </c>
      <c r="N1307" s="126" t="str">
        <f t="array" aca="1" ref="N1307" ca="1">IFERROR(IF(INDEX('Disaggregation Records'!$F$156:$F$517,MATCH(RIGHT(L1307,255),RIGHT('Disaggregation Records'!$D$156:$D$517,255),0))="","",INDEX('Disaggregation Records'!$F$156:$F$517,MATCH(RIGHT(L1307,255),RIGHT('Disaggregation Records'!$D$156:$D$517,255),0))),"")</f>
        <v>15-19</v>
      </c>
      <c r="O1307" s="314" t="str">
        <f t="array" aca="1" ref="O1307" ca="1">IFERROR(IF(INDEX('Disaggregation Records'!$H$156:$H$517,MATCH(RIGHT(L1307,255),RIGHT('Disaggregation Records'!$D$156:$D$517,255),0))="","",INDEX('Disaggregation Records'!$H$156:$H$517,MATCH(RIGHT(L1307,255),RIGHT('Disaggregation Records'!$D$156:$D$517,255),0))),"")</f>
        <v>IDR-01186</v>
      </c>
      <c r="P1307" s="310"/>
      <c r="Q1307" s="310">
        <f t="shared" ref="Q1307" si="1496">Q1305+1</f>
        <v>1955</v>
      </c>
      <c r="R1307" s="314" t="str" cm="1">
        <f t="array" aca="1" ref="R1307" ca="1">IFERROR(IF(INDEX('Disaggregation Records'!$G$156:$G$517,MATCH(RIGHT(L1307,255),RIGHT('Disaggregation Records'!$D$156:$D$517,255),0))="","",INDEX('Disaggregation Records'!$G$156:$G$517,MATCH(RIGHT(L1307,255),RIGHT('Disaggregation Records'!$D$156:$D$517,255),0))),"")</f>
        <v>a1LDm000000Cb1sMAC</v>
      </c>
    </row>
    <row r="1308" spans="1:18" ht="20.100000000000001" customHeight="1">
      <c r="B1308" s="571"/>
      <c r="C1308" s="573"/>
      <c r="D1308" s="575"/>
      <c r="E1308" s="575"/>
      <c r="F1308" s="128"/>
      <c r="G1308" s="577"/>
      <c r="H1308" s="540"/>
      <c r="I1308" s="579"/>
      <c r="J1308" s="533"/>
      <c r="L1308" s="126"/>
      <c r="N1308" s="126"/>
      <c r="O1308" s="314"/>
      <c r="P1308" s="310"/>
      <c r="Q1308" s="310"/>
      <c r="R1308" s="314" t="str" cm="1">
        <f t="array" ref="R1308">IFERROR(IF(INDEX('Disaggregation Records'!$G$156:$G$517,MATCH(RIGHT(L1308,255),RIGHT('Disaggregation Records'!$D$156:$D$517,255),0))="","",INDEX('Disaggregation Records'!$G$156:$G$517,MATCH(RIGHT(L1308,255),RIGHT('Disaggregation Records'!$D$156:$D$517,255),0))),"")</f>
        <v/>
      </c>
    </row>
    <row r="1309" spans="1:18" ht="20.100000000000001" customHeight="1">
      <c r="A1309" s="126" t="str">
        <f t="shared" ca="1" si="1451"/>
        <v>a16Dm000000M3vjIAC</v>
      </c>
      <c r="B1309" s="570">
        <v>18</v>
      </c>
      <c r="C1309" s="572" t="str">
        <f ca="1">IFERROR(VLOOKUP(B1309,'Coverage Indicators - Section D'!$A$9:$AO$94,41,FALSE),"")</f>
        <v>KP-6b Number of transgender people who received any PrEP product at least once during the reporting period</v>
      </c>
      <c r="D1309" s="574" t="str">
        <f ca="1">M1309</f>
        <v>Gender</v>
      </c>
      <c r="E1309" s="574" t="str">
        <f ca="1">N1309</f>
        <v>Transmen</v>
      </c>
      <c r="F1309" s="127"/>
      <c r="G1309" s="576" t="str">
        <f ca="1">IF(OR(INDIRECT("'update Helper'!E"&amp;Q1309)="",F1309&lt;&gt;0,F1310&lt;&gt;0),IF(IFERROR((F1309/F1310),"")="","",(F1309/F1310)),INDIRECT("'update Helper'!E"&amp;Q1309)/100)</f>
        <v/>
      </c>
      <c r="H1309" s="539"/>
      <c r="I1309" s="578"/>
      <c r="J1309" s="532" t="s">
        <v>2301</v>
      </c>
      <c r="K1309" s="126">
        <f ca="1">IF(AND(EXACT(C1309,C1307),C1307&lt;&gt;0),K1307+1,0)</f>
        <v>4</v>
      </c>
      <c r="L1309" s="126" t="str">
        <f t="shared" ref="L1309" ca="1" si="1497">IF(C1309&lt;&gt;"",C1309&amp;"-"&amp;K1309,"")</f>
        <v>KP-6b Number of transgender people who received any PrEP product at least once during the reporting period-4</v>
      </c>
      <c r="M1309" s="126" t="str">
        <f t="array" aca="1" ref="M1309" ca="1">IFERROR(IF(INDEX('Disaggregation Records'!$E$156:$E$517,MATCH(RIGHT(L1309,255),RIGHT('Disaggregation Records'!$D$156:$D$517,255),0))="","",INDEX('Disaggregation Records'!$E$156:$E$517,MATCH(RIGHT(L1309,255),RIGHT('Disaggregation Records'!$D$156:$D$517,255),0))),"")</f>
        <v>Gender</v>
      </c>
      <c r="N1309" s="126" t="str">
        <f t="array" aca="1" ref="N1309" ca="1">IFERROR(IF(INDEX('Disaggregation Records'!$F$156:$F$517,MATCH(RIGHT(L1309,255),RIGHT('Disaggregation Records'!$D$156:$D$517,255),0))="","",INDEX('Disaggregation Records'!$F$156:$F$517,MATCH(RIGHT(L1309,255),RIGHT('Disaggregation Records'!$D$156:$D$517,255),0))),"")</f>
        <v>Transmen</v>
      </c>
      <c r="O1309" s="314" t="str">
        <f t="array" aca="1" ref="O1309" ca="1">IFERROR(IF(INDEX('Disaggregation Records'!$H$156:$H$517,MATCH(RIGHT(L1309,255),RIGHT('Disaggregation Records'!$D$156:$D$517,255),0))="","",INDEX('Disaggregation Records'!$H$156:$H$517,MATCH(RIGHT(L1309,255),RIGHT('Disaggregation Records'!$D$156:$D$517,255),0))),"")</f>
        <v>IDR-01185</v>
      </c>
      <c r="P1309" s="310"/>
      <c r="Q1309" s="310">
        <f t="shared" ref="Q1309" si="1498">Q1307+1</f>
        <v>1956</v>
      </c>
      <c r="R1309" s="314" t="str" cm="1">
        <f t="array" aca="1" ref="R1309" ca="1">IFERROR(IF(INDEX('Disaggregation Records'!$G$156:$G$517,MATCH(RIGHT(L1309,255),RIGHT('Disaggregation Records'!$D$156:$D$517,255),0))="","",INDEX('Disaggregation Records'!$G$156:$G$517,MATCH(RIGHT(L1309,255),RIGHT('Disaggregation Records'!$D$156:$D$517,255),0))),"")</f>
        <v>a1LDm000000Cb1rMAC</v>
      </c>
    </row>
    <row r="1310" spans="1:18" ht="20.100000000000001" customHeight="1">
      <c r="A1310" s="126"/>
      <c r="B1310" s="571"/>
      <c r="C1310" s="573"/>
      <c r="D1310" s="575"/>
      <c r="E1310" s="575"/>
      <c r="F1310" s="128"/>
      <c r="G1310" s="577"/>
      <c r="H1310" s="540"/>
      <c r="I1310" s="579"/>
      <c r="J1310" s="533"/>
      <c r="L1310" s="126"/>
      <c r="N1310" s="126"/>
      <c r="O1310" s="314"/>
      <c r="P1310" s="310"/>
      <c r="Q1310" s="310"/>
      <c r="R1310" s="314" t="str" cm="1">
        <f t="array" ref="R1310">IFERROR(IF(INDEX('Disaggregation Records'!$G$156:$G$517,MATCH(RIGHT(L1310,255),RIGHT('Disaggregation Records'!$D$156:$D$517,255),0))="","",INDEX('Disaggregation Records'!$G$156:$G$517,MATCH(RIGHT(L1310,255),RIGHT('Disaggregation Records'!$D$156:$D$517,255),0))),"")</f>
        <v/>
      </c>
    </row>
    <row r="1311" spans="1:18" ht="20.100000000000001" customHeight="1">
      <c r="A1311" s="126" t="str">
        <f t="shared" ca="1" si="1454"/>
        <v>a16Dm000000M3vkIAC</v>
      </c>
      <c r="B1311" s="570">
        <v>18</v>
      </c>
      <c r="C1311" s="572" t="str">
        <f ca="1">IFERROR(VLOOKUP(B1311,'Coverage Indicators - Section D'!$A$9:$AO$94,41,FALSE),"")</f>
        <v>KP-6b Number of transgender people who received any PrEP product at least once during the reporting period</v>
      </c>
      <c r="D1311" s="574" t="str">
        <f ca="1">M1311</f>
        <v>PrEP product</v>
      </c>
      <c r="E1311" s="574" t="str">
        <f ca="1">N1311</f>
        <v>DPV-VR</v>
      </c>
      <c r="F1311" s="127"/>
      <c r="G1311" s="576" t="str">
        <f ca="1">IF(OR(INDIRECT("'update Helper'!E"&amp;Q1311)="",F1311&lt;&gt;0,F1312&lt;&gt;0),IF(IFERROR((F1311/F1312),"")="","",(F1311/F1312)),INDIRECT("'update Helper'!E"&amp;Q1311)/100)</f>
        <v/>
      </c>
      <c r="H1311" s="539"/>
      <c r="I1311" s="578"/>
      <c r="J1311" s="532" t="s">
        <v>2301</v>
      </c>
      <c r="K1311" s="126">
        <f ca="1">IF(AND(EXACT(C1311,C1309),C1309&lt;&gt;0),K1309+1,0)</f>
        <v>5</v>
      </c>
      <c r="L1311" s="126" t="str">
        <f t="shared" ref="L1311" ca="1" si="1499">IF(C1311&lt;&gt;"",C1311&amp;"-"&amp;K1311,"")</f>
        <v>KP-6b Number of transgender people who received any PrEP product at least once during the reporting period-5</v>
      </c>
      <c r="M1311" s="126" t="str">
        <f t="array" aca="1" ref="M1311" ca="1">IFERROR(IF(INDEX('Disaggregation Records'!$E$156:$E$517,MATCH(RIGHT(L1311,255),RIGHT('Disaggregation Records'!$D$156:$D$517,255),0))="","",INDEX('Disaggregation Records'!$E$156:$E$517,MATCH(RIGHT(L1311,255),RIGHT('Disaggregation Records'!$D$156:$D$517,255),0))),"")</f>
        <v>PrEP product</v>
      </c>
      <c r="N1311" s="126" t="str">
        <f t="array" aca="1" ref="N1311" ca="1">IFERROR(IF(INDEX('Disaggregation Records'!$F$156:$F$517,MATCH(RIGHT(L1311,255),RIGHT('Disaggregation Records'!$D$156:$D$517,255),0))="","",INDEX('Disaggregation Records'!$F$156:$F$517,MATCH(RIGHT(L1311,255),RIGHT('Disaggregation Records'!$D$156:$D$517,255),0))),"")</f>
        <v>DPV-VR</v>
      </c>
      <c r="O1311" s="314" t="str">
        <f t="array" aca="1" ref="O1311" ca="1">IFERROR(IF(INDEX('Disaggregation Records'!$H$156:$H$517,MATCH(RIGHT(L1311,255),RIGHT('Disaggregation Records'!$D$156:$D$517,255),0))="","",INDEX('Disaggregation Records'!$H$156:$H$517,MATCH(RIGHT(L1311,255),RIGHT('Disaggregation Records'!$D$156:$D$517,255),0))),"")</f>
        <v>IDR-01184</v>
      </c>
      <c r="P1311" s="314"/>
      <c r="Q1311" s="310">
        <f t="shared" ref="Q1311" si="1500">Q1309+1</f>
        <v>1957</v>
      </c>
      <c r="R1311" s="314" t="str" cm="1">
        <f t="array" aca="1" ref="R1311" ca="1">IFERROR(IF(INDEX('Disaggregation Records'!$G$156:$G$517,MATCH(RIGHT(L1311,255),RIGHT('Disaggregation Records'!$D$156:$D$517,255),0))="","",INDEX('Disaggregation Records'!$G$156:$G$517,MATCH(RIGHT(L1311,255),RIGHT('Disaggregation Records'!$D$156:$D$517,255),0))),"")</f>
        <v>a1LDm000000Cb1qMAC</v>
      </c>
    </row>
    <row r="1312" spans="1:18" ht="20.100000000000001" customHeight="1">
      <c r="B1312" s="571"/>
      <c r="C1312" s="573"/>
      <c r="D1312" s="575"/>
      <c r="E1312" s="575"/>
      <c r="F1312" s="128"/>
      <c r="G1312" s="577"/>
      <c r="H1312" s="540"/>
      <c r="I1312" s="579"/>
      <c r="J1312" s="533"/>
      <c r="K1312" s="126"/>
      <c r="L1312" s="126"/>
      <c r="M1312" s="126"/>
      <c r="N1312" s="126"/>
      <c r="O1312" s="314"/>
      <c r="P1312" s="314"/>
      <c r="Q1312" s="310"/>
      <c r="R1312" s="314" t="str" cm="1">
        <f t="array" ref="R1312">IFERROR(IF(INDEX('Disaggregation Records'!$G$156:$G$517,MATCH(RIGHT(L1312,255),RIGHT('Disaggregation Records'!$D$156:$D$517,255),0))="","",INDEX('Disaggregation Records'!$G$156:$G$517,MATCH(RIGHT(L1312,255),RIGHT('Disaggregation Records'!$D$156:$D$517,255),0))),"")</f>
        <v/>
      </c>
    </row>
    <row r="1313" spans="1:18" ht="20.100000000000001" customHeight="1">
      <c r="A1313" s="126" t="str">
        <f t="shared" ca="1" si="1451"/>
        <v>a16Dm000000M3vlIAC</v>
      </c>
      <c r="B1313" s="570">
        <v>18</v>
      </c>
      <c r="C1313" s="572" t="str">
        <f ca="1">IFERROR(VLOOKUP(B1313,'Coverage Indicators - Section D'!$A$9:$AO$94,41,FALSE),"")</f>
        <v>KP-6b Number of transgender people who received any PrEP product at least once during the reporting period</v>
      </c>
      <c r="D1313" s="574" t="str">
        <f ca="1">M1313</f>
        <v>PrEP product</v>
      </c>
      <c r="E1313" s="574" t="str">
        <f ca="1">N1313</f>
        <v>Injectable PrEP</v>
      </c>
      <c r="F1313" s="127"/>
      <c r="G1313" s="576" t="str">
        <f ca="1">IF(OR(INDIRECT("'update Helper'!E"&amp;Q1313)="",F1313&lt;&gt;0,F1314&lt;&gt;0),IF(IFERROR((F1313/F1314),"")="","",(F1313/F1314)),INDIRECT("'update Helper'!E"&amp;Q1313)/100)</f>
        <v/>
      </c>
      <c r="H1313" s="539"/>
      <c r="I1313" s="578"/>
      <c r="J1313" s="532" t="s">
        <v>2301</v>
      </c>
      <c r="K1313" s="126">
        <f ca="1">IF(AND(EXACT(C1313,C1311),C1311&lt;&gt;0),K1311+1,0)</f>
        <v>6</v>
      </c>
      <c r="L1313" s="126" t="str">
        <f t="shared" ref="L1313" ca="1" si="1501">IF(C1313&lt;&gt;"",C1313&amp;"-"&amp;K1313,"")</f>
        <v>KP-6b Number of transgender people who received any PrEP product at least once during the reporting period-6</v>
      </c>
      <c r="M1313" s="126" t="str">
        <f t="array" aca="1" ref="M1313" ca="1">IFERROR(IF(INDEX('Disaggregation Records'!$E$156:$E$517,MATCH(RIGHT(L1313,255),RIGHT('Disaggregation Records'!$D$156:$D$517,255),0))="","",INDEX('Disaggregation Records'!$E$156:$E$517,MATCH(RIGHT(L1313,255),RIGHT('Disaggregation Records'!$D$156:$D$517,255),0))),"")</f>
        <v>PrEP product</v>
      </c>
      <c r="N1313" s="126" t="str">
        <f t="array" aca="1" ref="N1313" ca="1">IFERROR(IF(INDEX('Disaggregation Records'!$F$156:$F$517,MATCH(RIGHT(L1313,255),RIGHT('Disaggregation Records'!$D$156:$D$517,255),0))="","",INDEX('Disaggregation Records'!$F$156:$F$517,MATCH(RIGHT(L1313,255),RIGHT('Disaggregation Records'!$D$156:$D$517,255),0))),"")</f>
        <v>Injectable PrEP</v>
      </c>
      <c r="O1313" s="314" t="str">
        <f t="array" aca="1" ref="O1313" ca="1">IFERROR(IF(INDEX('Disaggregation Records'!$H$156:$H$517,MATCH(RIGHT(L1313,255),RIGHT('Disaggregation Records'!$D$156:$D$517,255),0))="","",INDEX('Disaggregation Records'!$H$156:$H$517,MATCH(RIGHT(L1313,255),RIGHT('Disaggregation Records'!$D$156:$D$517,255),0))),"")</f>
        <v>IDR-01183</v>
      </c>
      <c r="P1313" s="314"/>
      <c r="Q1313" s="310">
        <f t="shared" ref="Q1313" si="1502">Q1311+1</f>
        <v>1958</v>
      </c>
      <c r="R1313" s="314" t="str" cm="1">
        <f t="array" aca="1" ref="R1313" ca="1">IFERROR(IF(INDEX('Disaggregation Records'!$G$156:$G$517,MATCH(RIGHT(L1313,255),RIGHT('Disaggregation Records'!$D$156:$D$517,255),0))="","",INDEX('Disaggregation Records'!$G$156:$G$517,MATCH(RIGHT(L1313,255),RIGHT('Disaggregation Records'!$D$156:$D$517,255),0))),"")</f>
        <v>a1LDm000000Cb1pMAC</v>
      </c>
    </row>
    <row r="1314" spans="1:18" ht="20.100000000000001" customHeight="1">
      <c r="A1314" s="126"/>
      <c r="B1314" s="571"/>
      <c r="C1314" s="573"/>
      <c r="D1314" s="575"/>
      <c r="E1314" s="575"/>
      <c r="F1314" s="128"/>
      <c r="G1314" s="577"/>
      <c r="H1314" s="540"/>
      <c r="I1314" s="579"/>
      <c r="J1314" s="533"/>
      <c r="K1314" s="126"/>
      <c r="L1314" s="126"/>
      <c r="M1314" s="126"/>
      <c r="N1314" s="126"/>
      <c r="O1314" s="314"/>
      <c r="P1314" s="314"/>
      <c r="Q1314" s="310"/>
      <c r="R1314" s="314" t="str" cm="1">
        <f t="array" ref="R1314">IFERROR(IF(INDEX('Disaggregation Records'!$G$156:$G$517,MATCH(RIGHT(L1314,255),RIGHT('Disaggregation Records'!$D$156:$D$517,255),0))="","",INDEX('Disaggregation Records'!$G$156:$G$517,MATCH(RIGHT(L1314,255),RIGHT('Disaggregation Records'!$D$156:$D$517,255),0))),"")</f>
        <v/>
      </c>
    </row>
    <row r="1315" spans="1:18" ht="20.100000000000001" customHeight="1">
      <c r="A1315" s="126" t="str">
        <f t="shared" ca="1" si="1454"/>
        <v>a16Dm000000M3vmIAC</v>
      </c>
      <c r="B1315" s="570">
        <v>18</v>
      </c>
      <c r="C1315" s="572" t="str">
        <f ca="1">IFERROR(VLOOKUP(B1315,'Coverage Indicators - Section D'!$A$9:$AO$94,41,FALSE),"")</f>
        <v>KP-6b Number of transgender people who received any PrEP product at least once during the reporting period</v>
      </c>
      <c r="D1315" s="574" t="str">
        <f ca="1">M1315</f>
        <v>PrEP product</v>
      </c>
      <c r="E1315" s="574" t="str">
        <f ca="1">N1315</f>
        <v>Oral PrEP</v>
      </c>
      <c r="F1315" s="127"/>
      <c r="G1315" s="576" t="str">
        <f ca="1">IF(OR(INDIRECT("'update Helper'!E"&amp;Q1315)="",F1315&lt;&gt;0,F1316&lt;&gt;0),IF(IFERROR((F1315/F1316),"")="","",(F1315/F1316)),INDIRECT("'update Helper'!E"&amp;Q1315)/100)</f>
        <v/>
      </c>
      <c r="H1315" s="539"/>
      <c r="I1315" s="578"/>
      <c r="J1315" s="532" t="s">
        <v>2301</v>
      </c>
      <c r="K1315" s="126">
        <f ca="1">IF(AND(EXACT(C1315,C1313),C1313&lt;&gt;0),K1313+1,0)</f>
        <v>7</v>
      </c>
      <c r="L1315" s="126" t="str">
        <f t="shared" ref="L1315" ca="1" si="1503">IF(C1315&lt;&gt;"",C1315&amp;"-"&amp;K1315,"")</f>
        <v>KP-6b Number of transgender people who received any PrEP product at least once during the reporting period-7</v>
      </c>
      <c r="M1315" s="126" t="str">
        <f t="array" aca="1" ref="M1315" ca="1">IFERROR(IF(INDEX('Disaggregation Records'!$E$156:$E$517,MATCH(RIGHT(L1315,255),RIGHT('Disaggregation Records'!$D$156:$D$517,255),0))="","",INDEX('Disaggregation Records'!$E$156:$E$517,MATCH(RIGHT(L1315,255),RIGHT('Disaggregation Records'!$D$156:$D$517,255),0))),"")</f>
        <v>PrEP product</v>
      </c>
      <c r="N1315" s="126" t="str">
        <f t="array" aca="1" ref="N1315" ca="1">IFERROR(IF(INDEX('Disaggregation Records'!$F$156:$F$517,MATCH(RIGHT(L1315,255),RIGHT('Disaggregation Records'!$D$156:$D$517,255),0))="","",INDEX('Disaggregation Records'!$F$156:$F$517,MATCH(RIGHT(L1315,255),RIGHT('Disaggregation Records'!$D$156:$D$517,255),0))),"")</f>
        <v>Oral PrEP</v>
      </c>
      <c r="O1315" s="314" t="str">
        <f t="array" aca="1" ref="O1315" ca="1">IFERROR(IF(INDEX('Disaggregation Records'!$H$156:$H$517,MATCH(RIGHT(L1315,255),RIGHT('Disaggregation Records'!$D$156:$D$517,255),0))="","",INDEX('Disaggregation Records'!$H$156:$H$517,MATCH(RIGHT(L1315,255),RIGHT('Disaggregation Records'!$D$156:$D$517,255),0))),"")</f>
        <v>IDR-01182</v>
      </c>
      <c r="P1315" s="310"/>
      <c r="Q1315" s="310">
        <f t="shared" ref="Q1315" si="1504">Q1313+1</f>
        <v>1959</v>
      </c>
      <c r="R1315" s="314" t="str" cm="1">
        <f t="array" aca="1" ref="R1315" ca="1">IFERROR(IF(INDEX('Disaggregation Records'!$G$156:$G$517,MATCH(RIGHT(L1315,255),RIGHT('Disaggregation Records'!$D$156:$D$517,255),0))="","",INDEX('Disaggregation Records'!$G$156:$G$517,MATCH(RIGHT(L1315,255),RIGHT('Disaggregation Records'!$D$156:$D$517,255),0))),"")</f>
        <v>a1LDm000000Cb1oMAC</v>
      </c>
    </row>
    <row r="1316" spans="1:18" ht="20.100000000000001" customHeight="1">
      <c r="B1316" s="571"/>
      <c r="C1316" s="573"/>
      <c r="D1316" s="575"/>
      <c r="E1316" s="575"/>
      <c r="F1316" s="128"/>
      <c r="G1316" s="577"/>
      <c r="H1316" s="540"/>
      <c r="I1316" s="579"/>
      <c r="J1316" s="533"/>
      <c r="L1316" s="126"/>
      <c r="N1316" s="126"/>
      <c r="O1316" s="314"/>
      <c r="P1316" s="310"/>
      <c r="Q1316" s="310"/>
      <c r="R1316" s="314" t="str" cm="1">
        <f t="array" ref="R1316">IFERROR(IF(INDEX('Disaggregation Records'!$G$156:$G$517,MATCH(RIGHT(L1316,255),RIGHT('Disaggregation Records'!$D$156:$D$517,255),0))="","",INDEX('Disaggregation Records'!$G$156:$G$517,MATCH(RIGHT(L1316,255),RIGHT('Disaggregation Records'!$D$156:$D$517,255),0))),"")</f>
        <v/>
      </c>
    </row>
    <row r="1317" spans="1:18" ht="20.100000000000001" customHeight="1">
      <c r="A1317" s="126" t="str">
        <f t="shared" ca="1" si="1451"/>
        <v>a16Dm000000M3vnIAC</v>
      </c>
      <c r="B1317" s="570">
        <v>18</v>
      </c>
      <c r="C1317" s="572" t="str">
        <f ca="1">IFERROR(VLOOKUP(B1317,'Coverage Indicators - Section D'!$A$9:$AO$94,41,FALSE),"")</f>
        <v>KP-6b Number of transgender people who received any PrEP product at least once during the reporting period</v>
      </c>
      <c r="D1317" s="574" t="str">
        <f ca="1">M1317</f>
        <v/>
      </c>
      <c r="E1317" s="574" t="str">
        <f ca="1">N1317</f>
        <v/>
      </c>
      <c r="F1317" s="127"/>
      <c r="G1317" s="576" t="str">
        <f ca="1">IF(OR(INDIRECT("'update Helper'!E"&amp;Q1317)="",F1317&lt;&gt;0,F1318&lt;&gt;0),IF(IFERROR((F1317/F1318),"")="","",(F1317/F1318)),INDIRECT("'update Helper'!E"&amp;Q1317)/100)</f>
        <v/>
      </c>
      <c r="H1317" s="539"/>
      <c r="I1317" s="578"/>
      <c r="J1317" s="532"/>
      <c r="K1317" s="126">
        <f ca="1">IF(AND(EXACT(C1317,C1315),C1315&lt;&gt;0),K1315+1,0)</f>
        <v>8</v>
      </c>
      <c r="L1317" s="126" t="str">
        <f t="shared" ref="L1317" ca="1" si="1505">IF(C1317&lt;&gt;"",C1317&amp;"-"&amp;K1317,"")</f>
        <v>KP-6b Number of transgender people who received any PrEP product at least once during the reporting period-8</v>
      </c>
      <c r="M1317" s="126" t="str">
        <f t="array" aca="1" ref="M1317" ca="1">IFERROR(IF(INDEX('Disaggregation Records'!$E$156:$E$517,MATCH(RIGHT(L1317,255),RIGHT('Disaggregation Records'!$D$156:$D$517,255),0))="","",INDEX('Disaggregation Records'!$E$156:$E$517,MATCH(RIGHT(L1317,255),RIGHT('Disaggregation Records'!$D$156:$D$517,255),0))),"")</f>
        <v/>
      </c>
      <c r="N1317" s="126" t="str">
        <f t="array" aca="1" ref="N1317" ca="1">IFERROR(IF(INDEX('Disaggregation Records'!$F$156:$F$517,MATCH(RIGHT(L1317,255),RIGHT('Disaggregation Records'!$D$156:$D$517,255),0))="","",INDEX('Disaggregation Records'!$F$156:$F$517,MATCH(RIGHT(L1317,255),RIGHT('Disaggregation Records'!$D$156:$D$517,255),0))),"")</f>
        <v/>
      </c>
      <c r="O1317" s="314" t="str">
        <f t="array" aca="1" ref="O1317" ca="1">IFERROR(IF(INDEX('Disaggregation Records'!$H$156:$H$517,MATCH(RIGHT(L1317,255),RIGHT('Disaggregation Records'!$D$156:$D$517,255),0))="","",INDEX('Disaggregation Records'!$H$156:$H$517,MATCH(RIGHT(L1317,255),RIGHT('Disaggregation Records'!$D$156:$D$517,255),0))),"")</f>
        <v/>
      </c>
      <c r="P1317" s="310"/>
      <c r="Q1317" s="310">
        <f t="shared" ref="Q1317" si="1506">Q1315+1</f>
        <v>1960</v>
      </c>
      <c r="R1317" s="314" t="str" cm="1">
        <f t="array" aca="1" ref="R1317" ca="1">IFERROR(IF(INDEX('Disaggregation Records'!$G$156:$G$517,MATCH(RIGHT(L1317,255),RIGHT('Disaggregation Records'!$D$156:$D$517,255),0))="","",INDEX('Disaggregation Records'!$G$156:$G$517,MATCH(RIGHT(L1317,255),RIGHT('Disaggregation Records'!$D$156:$D$517,255),0))),"")</f>
        <v/>
      </c>
    </row>
    <row r="1318" spans="1:18" ht="20.100000000000001" customHeight="1">
      <c r="A1318" s="126"/>
      <c r="B1318" s="571"/>
      <c r="C1318" s="573"/>
      <c r="D1318" s="575"/>
      <c r="E1318" s="575"/>
      <c r="F1318" s="128"/>
      <c r="G1318" s="577"/>
      <c r="H1318" s="540"/>
      <c r="I1318" s="579"/>
      <c r="J1318" s="533"/>
      <c r="L1318" s="126"/>
      <c r="N1318" s="126"/>
      <c r="O1318" s="314"/>
      <c r="P1318" s="310"/>
      <c r="Q1318" s="310"/>
      <c r="R1318" s="314" t="str" cm="1">
        <f t="array" ref="R1318">IFERROR(IF(INDEX('Disaggregation Records'!$G$156:$G$517,MATCH(RIGHT(L1318,255),RIGHT('Disaggregation Records'!$D$156:$D$517,255),0))="","",INDEX('Disaggregation Records'!$G$156:$G$517,MATCH(RIGHT(L1318,255),RIGHT('Disaggregation Records'!$D$156:$D$517,255),0))),"")</f>
        <v/>
      </c>
    </row>
    <row r="1319" spans="1:18" ht="20.100000000000001" customHeight="1">
      <c r="A1319" s="126" t="str">
        <f t="shared" ca="1" si="1454"/>
        <v>a16Dm000000M3voIAC</v>
      </c>
      <c r="B1319" s="570">
        <v>18</v>
      </c>
      <c r="C1319" s="572" t="str">
        <f ca="1">IFERROR(VLOOKUP(B1319,'Coverage Indicators - Section D'!$A$9:$AO$94,41,FALSE),"")</f>
        <v>KP-6b Number of transgender people who received any PrEP product at least once during the reporting period</v>
      </c>
      <c r="D1319" s="574" t="str">
        <f ca="1">M1319</f>
        <v/>
      </c>
      <c r="E1319" s="574" t="str">
        <f ca="1">N1319</f>
        <v/>
      </c>
      <c r="F1319" s="127"/>
      <c r="G1319" s="576" t="str">
        <f ca="1">IF(OR(INDIRECT("'update Helper'!E"&amp;Q1319)="",F1319&lt;&gt;0,F1320&lt;&gt;0),IF(IFERROR((F1319/F1320),"")="","",(F1319/F1320)),INDIRECT("'update Helper'!E"&amp;Q1319)/100)</f>
        <v/>
      </c>
      <c r="H1319" s="539"/>
      <c r="I1319" s="578"/>
      <c r="J1319" s="532"/>
      <c r="K1319" s="126">
        <f ca="1">IF(AND(EXACT(C1319,C1317),C1317&lt;&gt;0),K1317+1,0)</f>
        <v>9</v>
      </c>
      <c r="L1319" s="126" t="str">
        <f t="shared" ref="L1319" ca="1" si="1507">IF(C1319&lt;&gt;"",C1319&amp;"-"&amp;K1319,"")</f>
        <v>KP-6b Number of transgender people who received any PrEP product at least once during the reporting period-9</v>
      </c>
      <c r="M1319" s="126" t="str">
        <f t="array" aca="1" ref="M1319" ca="1">IFERROR(IF(INDEX('Disaggregation Records'!$E$156:$E$517,MATCH(RIGHT(L1319,255),RIGHT('Disaggregation Records'!$D$156:$D$517,255),0))="","",INDEX('Disaggregation Records'!$E$156:$E$517,MATCH(RIGHT(L1319,255),RIGHT('Disaggregation Records'!$D$156:$D$517,255),0))),"")</f>
        <v/>
      </c>
      <c r="N1319" s="126" t="str">
        <f t="array" aca="1" ref="N1319" ca="1">IFERROR(IF(INDEX('Disaggregation Records'!$F$156:$F$517,MATCH(RIGHT(L1319,255),RIGHT('Disaggregation Records'!$D$156:$D$517,255),0))="","",INDEX('Disaggregation Records'!$F$156:$F$517,MATCH(RIGHT(L1319,255),RIGHT('Disaggregation Records'!$D$156:$D$517,255),0))),"")</f>
        <v/>
      </c>
      <c r="O1319" s="314" t="str">
        <f t="array" aca="1" ref="O1319" ca="1">IFERROR(IF(INDEX('Disaggregation Records'!$H$156:$H$517,MATCH(RIGHT(L1319,255),RIGHT('Disaggregation Records'!$D$156:$D$517,255),0))="","",INDEX('Disaggregation Records'!$H$156:$H$517,MATCH(RIGHT(L1319,255),RIGHT('Disaggregation Records'!$D$156:$D$517,255),0))),"")</f>
        <v/>
      </c>
      <c r="P1319" s="310"/>
      <c r="Q1319" s="310">
        <f t="shared" ref="Q1319" si="1508">Q1317+1</f>
        <v>1961</v>
      </c>
      <c r="R1319" s="314" t="str" cm="1">
        <f t="array" aca="1" ref="R1319" ca="1">IFERROR(IF(INDEX('Disaggregation Records'!$G$156:$G$517,MATCH(RIGHT(L1319,255),RIGHT('Disaggregation Records'!$D$156:$D$517,255),0))="","",INDEX('Disaggregation Records'!$G$156:$G$517,MATCH(RIGHT(L1319,255),RIGHT('Disaggregation Records'!$D$156:$D$517,255),0))),"")</f>
        <v/>
      </c>
    </row>
    <row r="1320" spans="1:18" ht="20.100000000000001" customHeight="1">
      <c r="B1320" s="571"/>
      <c r="C1320" s="573"/>
      <c r="D1320" s="575"/>
      <c r="E1320" s="575"/>
      <c r="F1320" s="128"/>
      <c r="G1320" s="577"/>
      <c r="H1320" s="540"/>
      <c r="I1320" s="579"/>
      <c r="J1320" s="533"/>
      <c r="L1320" s="126"/>
      <c r="N1320" s="126"/>
      <c r="O1320" s="314"/>
      <c r="P1320" s="310"/>
      <c r="Q1320" s="310"/>
      <c r="R1320" s="314" t="str" cm="1">
        <f t="array" ref="R1320">IFERROR(IF(INDEX('Disaggregation Records'!$G$156:$G$517,MATCH(RIGHT(L1320,255),RIGHT('Disaggregation Records'!$D$156:$D$517,255),0))="","",INDEX('Disaggregation Records'!$G$156:$G$517,MATCH(RIGHT(L1320,255),RIGHT('Disaggregation Records'!$D$156:$D$517,255),0))),"")</f>
        <v/>
      </c>
    </row>
    <row r="1321" spans="1:18" ht="20.100000000000001" customHeight="1">
      <c r="A1321" s="126" t="str">
        <f t="shared" ca="1" si="1451"/>
        <v>a16Dm000000M3vpIAC</v>
      </c>
      <c r="B1321" s="570">
        <v>18</v>
      </c>
      <c r="C1321" s="572" t="str">
        <f ca="1">IFERROR(VLOOKUP(B1321,'Coverage Indicators - Section D'!$A$9:$AO$94,41,FALSE),"")</f>
        <v>KP-6b Number of transgender people who received any PrEP product at least once during the reporting period</v>
      </c>
      <c r="D1321" s="574" t="str">
        <f ca="1">M1321</f>
        <v/>
      </c>
      <c r="E1321" s="574" t="str">
        <f ca="1">N1321</f>
        <v/>
      </c>
      <c r="F1321" s="127"/>
      <c r="G1321" s="576" t="str">
        <f ca="1">IF(OR(INDIRECT("'update Helper'!E"&amp;Q1321)="",F1321&lt;&gt;0,F1322&lt;&gt;0),IF(IFERROR((F1321/F1322),"")="","",(F1321/F1322)),INDIRECT("'update Helper'!E"&amp;Q1321)/100)</f>
        <v/>
      </c>
      <c r="H1321" s="539"/>
      <c r="I1321" s="578"/>
      <c r="J1321" s="532"/>
      <c r="K1321" s="126">
        <f ca="1">IF(AND(EXACT(C1321,C1319),C1319&lt;&gt;0),K1319+1,0)</f>
        <v>10</v>
      </c>
      <c r="L1321" s="126" t="str">
        <f t="shared" ref="L1321" ca="1" si="1509">IF(C1321&lt;&gt;"",C1321&amp;"-"&amp;K1321,"")</f>
        <v>KP-6b Number of transgender people who received any PrEP product at least once during the reporting period-10</v>
      </c>
      <c r="M1321" s="126" t="str">
        <f t="array" aca="1" ref="M1321" ca="1">IFERROR(IF(INDEX('Disaggregation Records'!$E$156:$E$517,MATCH(RIGHT(L1321,255),RIGHT('Disaggregation Records'!$D$156:$D$517,255),0))="","",INDEX('Disaggregation Records'!$E$156:$E$517,MATCH(RIGHT(L1321,255),RIGHT('Disaggregation Records'!$D$156:$D$517,255),0))),"")</f>
        <v/>
      </c>
      <c r="N1321" s="126" t="str">
        <f t="array" aca="1" ref="N1321" ca="1">IFERROR(IF(INDEX('Disaggregation Records'!$F$156:$F$517,MATCH(RIGHT(L1321,255),RIGHT('Disaggregation Records'!$D$156:$D$517,255),0))="","",INDEX('Disaggregation Records'!$F$156:$F$517,MATCH(RIGHT(L1321,255),RIGHT('Disaggregation Records'!$D$156:$D$517,255),0))),"")</f>
        <v/>
      </c>
      <c r="O1321" s="314" t="str">
        <f t="array" aca="1" ref="O1321" ca="1">IFERROR(IF(INDEX('Disaggregation Records'!$H$156:$H$517,MATCH(RIGHT(L1321,255),RIGHT('Disaggregation Records'!$D$156:$D$517,255),0))="","",INDEX('Disaggregation Records'!$H$156:$H$517,MATCH(RIGHT(L1321,255),RIGHT('Disaggregation Records'!$D$156:$D$517,255),0))),"")</f>
        <v/>
      </c>
      <c r="P1321" s="314"/>
      <c r="Q1321" s="310">
        <f t="shared" ref="Q1321" si="1510">Q1319+1</f>
        <v>1962</v>
      </c>
      <c r="R1321" s="314" t="str" cm="1">
        <f t="array" aca="1" ref="R1321" ca="1">IFERROR(IF(INDEX('Disaggregation Records'!$G$156:$G$517,MATCH(RIGHT(L1321,255),RIGHT('Disaggregation Records'!$D$156:$D$517,255),0))="","",INDEX('Disaggregation Records'!$G$156:$G$517,MATCH(RIGHT(L1321,255),RIGHT('Disaggregation Records'!$D$156:$D$517,255),0))),"")</f>
        <v/>
      </c>
    </row>
    <row r="1322" spans="1:18" ht="20.100000000000001" customHeight="1">
      <c r="A1322" s="126"/>
      <c r="B1322" s="571"/>
      <c r="C1322" s="573"/>
      <c r="D1322" s="575"/>
      <c r="E1322" s="575"/>
      <c r="F1322" s="128"/>
      <c r="G1322" s="577"/>
      <c r="H1322" s="540"/>
      <c r="I1322" s="579"/>
      <c r="J1322" s="533"/>
      <c r="K1322" s="126"/>
      <c r="L1322" s="126"/>
      <c r="M1322" s="126"/>
      <c r="N1322" s="126"/>
      <c r="O1322" s="314"/>
      <c r="P1322" s="314"/>
      <c r="Q1322" s="310"/>
      <c r="R1322" s="314" t="str" cm="1">
        <f t="array" ref="R1322">IFERROR(IF(INDEX('Disaggregation Records'!$G$156:$G$517,MATCH(RIGHT(L1322,255),RIGHT('Disaggregation Records'!$D$156:$D$517,255),0))="","",INDEX('Disaggregation Records'!$G$156:$G$517,MATCH(RIGHT(L1322,255),RIGHT('Disaggregation Records'!$D$156:$D$517,255),0))),"")</f>
        <v/>
      </c>
    </row>
    <row r="1323" spans="1:18" ht="20.100000000000001" customHeight="1">
      <c r="A1323" s="126" t="str">
        <f t="shared" ca="1" si="1454"/>
        <v>a16Dm000000M3vqIAC</v>
      </c>
      <c r="B1323" s="570">
        <v>18</v>
      </c>
      <c r="C1323" s="572" t="str">
        <f ca="1">IFERROR(VLOOKUP(B1323,'Coverage Indicators - Section D'!$A$9:$AO$94,41,FALSE),"")</f>
        <v>KP-6b Number of transgender people who received any PrEP product at least once during the reporting period</v>
      </c>
      <c r="D1323" s="574" t="str">
        <f ca="1">M1323</f>
        <v/>
      </c>
      <c r="E1323" s="574" t="str">
        <f ca="1">N1323</f>
        <v/>
      </c>
      <c r="F1323" s="127"/>
      <c r="G1323" s="576" t="str">
        <f ca="1">IF(OR(INDIRECT("'update Helper'!E"&amp;Q1323)="",F1323&lt;&gt;0,F1324&lt;&gt;0),IF(IFERROR((F1323/F1324),"")="","",(F1323/F1324)),INDIRECT("'update Helper'!E"&amp;Q1323)/100)</f>
        <v/>
      </c>
      <c r="H1323" s="539"/>
      <c r="I1323" s="578"/>
      <c r="J1323" s="532"/>
      <c r="K1323" s="126">
        <f ca="1">IF(AND(EXACT(C1323,C1321),C1321&lt;&gt;0),K1321+1,0)</f>
        <v>11</v>
      </c>
      <c r="L1323" s="126" t="str">
        <f t="shared" ref="L1323" ca="1" si="1511">IF(C1323&lt;&gt;"",C1323&amp;"-"&amp;K1323,"")</f>
        <v>KP-6b Number of transgender people who received any PrEP product at least once during the reporting period-11</v>
      </c>
      <c r="M1323" s="126" t="str">
        <f t="array" aca="1" ref="M1323" ca="1">IFERROR(IF(INDEX('Disaggregation Records'!$E$156:$E$517,MATCH(RIGHT(L1323,255),RIGHT('Disaggregation Records'!$D$156:$D$517,255),0))="","",INDEX('Disaggregation Records'!$E$156:$E$517,MATCH(RIGHT(L1323,255),RIGHT('Disaggregation Records'!$D$156:$D$517,255),0))),"")</f>
        <v/>
      </c>
      <c r="N1323" s="126" t="str">
        <f t="array" aca="1" ref="N1323" ca="1">IFERROR(IF(INDEX('Disaggregation Records'!$F$156:$F$517,MATCH(RIGHT(L1323,255),RIGHT('Disaggregation Records'!$D$156:$D$517,255),0))="","",INDEX('Disaggregation Records'!$F$156:$F$517,MATCH(RIGHT(L1323,255),RIGHT('Disaggregation Records'!$D$156:$D$517,255),0))),"")</f>
        <v/>
      </c>
      <c r="O1323" s="314" t="str">
        <f t="array" aca="1" ref="O1323" ca="1">IFERROR(IF(INDEX('Disaggregation Records'!$H$156:$H$517,MATCH(RIGHT(L1323,255),RIGHT('Disaggregation Records'!$D$156:$D$517,255),0))="","",INDEX('Disaggregation Records'!$H$156:$H$517,MATCH(RIGHT(L1323,255),RIGHT('Disaggregation Records'!$D$156:$D$517,255),0))),"")</f>
        <v/>
      </c>
      <c r="P1323" s="314"/>
      <c r="Q1323" s="310">
        <f t="shared" ref="Q1323" si="1512">Q1321+1</f>
        <v>1963</v>
      </c>
      <c r="R1323" s="314" t="str" cm="1">
        <f t="array" aca="1" ref="R1323" ca="1">IFERROR(IF(INDEX('Disaggregation Records'!$G$156:$G$517,MATCH(RIGHT(L1323,255),RIGHT('Disaggregation Records'!$D$156:$D$517,255),0))="","",INDEX('Disaggregation Records'!$G$156:$G$517,MATCH(RIGHT(L1323,255),RIGHT('Disaggregation Records'!$D$156:$D$517,255),0))),"")</f>
        <v/>
      </c>
    </row>
    <row r="1324" spans="1:18" ht="20.100000000000001" customHeight="1">
      <c r="B1324" s="571"/>
      <c r="C1324" s="573"/>
      <c r="D1324" s="575"/>
      <c r="E1324" s="575"/>
      <c r="F1324" s="128"/>
      <c r="G1324" s="577"/>
      <c r="H1324" s="540"/>
      <c r="I1324" s="579"/>
      <c r="J1324" s="533"/>
      <c r="K1324" s="126"/>
      <c r="L1324" s="126"/>
      <c r="M1324" s="126"/>
      <c r="N1324" s="126"/>
      <c r="O1324" s="314"/>
      <c r="P1324" s="314"/>
      <c r="Q1324" s="310"/>
      <c r="R1324" s="314" t="str" cm="1">
        <f t="array" ref="R1324">IFERROR(IF(INDEX('Disaggregation Records'!$G$156:$G$517,MATCH(RIGHT(L1324,255),RIGHT('Disaggregation Records'!$D$156:$D$517,255),0))="","",INDEX('Disaggregation Records'!$G$156:$G$517,MATCH(RIGHT(L1324,255),RIGHT('Disaggregation Records'!$D$156:$D$517,255),0))),"")</f>
        <v/>
      </c>
    </row>
    <row r="1325" spans="1:18" ht="20.100000000000001" customHeight="1">
      <c r="A1325" s="126" t="str">
        <f t="shared" ca="1" si="1451"/>
        <v>a16Dm000000M3vrIAC</v>
      </c>
      <c r="B1325" s="570">
        <v>18</v>
      </c>
      <c r="C1325" s="572" t="str">
        <f ca="1">IFERROR(VLOOKUP(B1325,'Coverage Indicators - Section D'!$A$9:$AO$94,41,FALSE),"")</f>
        <v>KP-6b Number of transgender people who received any PrEP product at least once during the reporting period</v>
      </c>
      <c r="D1325" s="574" t="str">
        <f ca="1">M1325</f>
        <v/>
      </c>
      <c r="E1325" s="574" t="str">
        <f ca="1">N1325</f>
        <v/>
      </c>
      <c r="F1325" s="127"/>
      <c r="G1325" s="576" t="str">
        <f ca="1">IF(OR(INDIRECT("'update Helper'!E"&amp;Q1325)="",F1325&lt;&gt;0,F1326&lt;&gt;0),IF(IFERROR((F1325/F1326),"")="","",(F1325/F1326)),INDIRECT("'update Helper'!E"&amp;Q1325)/100)</f>
        <v/>
      </c>
      <c r="H1325" s="539"/>
      <c r="I1325" s="578"/>
      <c r="J1325" s="532"/>
      <c r="K1325" s="126">
        <f ca="1">IF(AND(EXACT(C1325,C1323),C1323&lt;&gt;0),K1323+1,0)</f>
        <v>12</v>
      </c>
      <c r="L1325" s="126" t="str">
        <f t="shared" ref="L1325" ca="1" si="1513">IF(C1325&lt;&gt;"",C1325&amp;"-"&amp;K1325,"")</f>
        <v>KP-6b Number of transgender people who received any PrEP product at least once during the reporting period-12</v>
      </c>
      <c r="M1325" s="126" t="str">
        <f t="array" aca="1" ref="M1325" ca="1">IFERROR(IF(INDEX('Disaggregation Records'!$E$156:$E$517,MATCH(RIGHT(L1325,255),RIGHT('Disaggregation Records'!$D$156:$D$517,255),0))="","",INDEX('Disaggregation Records'!$E$156:$E$517,MATCH(RIGHT(L1325,255),RIGHT('Disaggregation Records'!$D$156:$D$517,255),0))),"")</f>
        <v/>
      </c>
      <c r="N1325" s="126" t="str">
        <f t="array" aca="1" ref="N1325" ca="1">IFERROR(IF(INDEX('Disaggregation Records'!$F$156:$F$517,MATCH(RIGHT(L1325,255),RIGHT('Disaggregation Records'!$D$156:$D$517,255),0))="","",INDEX('Disaggregation Records'!$F$156:$F$517,MATCH(RIGHT(L1325,255),RIGHT('Disaggregation Records'!$D$156:$D$517,255),0))),"")</f>
        <v/>
      </c>
      <c r="O1325" s="314" t="str">
        <f t="array" aca="1" ref="O1325" ca="1">IFERROR(IF(INDEX('Disaggregation Records'!$H$156:$H$517,MATCH(RIGHT(L1325,255),RIGHT('Disaggregation Records'!$D$156:$D$517,255),0))="","",INDEX('Disaggregation Records'!$H$156:$H$517,MATCH(RIGHT(L1325,255),RIGHT('Disaggregation Records'!$D$156:$D$517,255),0))),"")</f>
        <v/>
      </c>
      <c r="P1325" s="310"/>
      <c r="Q1325" s="310">
        <f t="shared" ref="Q1325" si="1514">Q1323+1</f>
        <v>1964</v>
      </c>
      <c r="R1325" s="314" t="str" cm="1">
        <f t="array" aca="1" ref="R1325" ca="1">IFERROR(IF(INDEX('Disaggregation Records'!$G$156:$G$517,MATCH(RIGHT(L1325,255),RIGHT('Disaggregation Records'!$D$156:$D$517,255),0))="","",INDEX('Disaggregation Records'!$G$156:$G$517,MATCH(RIGHT(L1325,255),RIGHT('Disaggregation Records'!$D$156:$D$517,255),0))),"")</f>
        <v/>
      </c>
    </row>
    <row r="1326" spans="1:18" ht="20.100000000000001" customHeight="1">
      <c r="A1326" s="126"/>
      <c r="B1326" s="571"/>
      <c r="C1326" s="573"/>
      <c r="D1326" s="575"/>
      <c r="E1326" s="575"/>
      <c r="F1326" s="128"/>
      <c r="G1326" s="577"/>
      <c r="H1326" s="540"/>
      <c r="I1326" s="579"/>
      <c r="J1326" s="533"/>
      <c r="L1326" s="126"/>
      <c r="N1326" s="126"/>
      <c r="O1326" s="314"/>
      <c r="P1326" s="310"/>
      <c r="Q1326" s="310"/>
      <c r="R1326" s="314" t="str" cm="1">
        <f t="array" ref="R1326">IFERROR(IF(INDEX('Disaggregation Records'!$G$156:$G$517,MATCH(RIGHT(L1326,255),RIGHT('Disaggregation Records'!$D$156:$D$517,255),0))="","",INDEX('Disaggregation Records'!$G$156:$G$517,MATCH(RIGHT(L1326,255),RIGHT('Disaggregation Records'!$D$156:$D$517,255),0))),"")</f>
        <v/>
      </c>
    </row>
    <row r="1327" spans="1:18" ht="20.100000000000001" customHeight="1">
      <c r="A1327" s="126" t="str">
        <f t="shared" ca="1" si="1454"/>
        <v>a16Dm000000M3vsIAC</v>
      </c>
      <c r="B1327" s="570">
        <v>18</v>
      </c>
      <c r="C1327" s="572" t="str">
        <f ca="1">IFERROR(VLOOKUP(B1327,'Coverage Indicators - Section D'!$A$9:$AO$94,41,FALSE),"")</f>
        <v>KP-6b Number of transgender people who received any PrEP product at least once during the reporting period</v>
      </c>
      <c r="D1327" s="574" t="str">
        <f ca="1">M1327</f>
        <v/>
      </c>
      <c r="E1327" s="574" t="str">
        <f ca="1">N1327</f>
        <v/>
      </c>
      <c r="F1327" s="127"/>
      <c r="G1327" s="576" t="str">
        <f ca="1">IF(OR(INDIRECT("'update Helper'!E"&amp;Q1327)="",F1327&lt;&gt;0,F1328&lt;&gt;0),IF(IFERROR((F1327/F1328),"")="","",(F1327/F1328)),INDIRECT("'update Helper'!E"&amp;Q1327)/100)</f>
        <v/>
      </c>
      <c r="H1327" s="539"/>
      <c r="I1327" s="578"/>
      <c r="J1327" s="532"/>
      <c r="K1327" s="126">
        <f ca="1">IF(AND(EXACT(C1327,C1325),C1325&lt;&gt;0),K1325+1,0)</f>
        <v>13</v>
      </c>
      <c r="L1327" s="126" t="str">
        <f t="shared" ref="L1327" ca="1" si="1515">IF(C1327&lt;&gt;"",C1327&amp;"-"&amp;K1327,"")</f>
        <v>KP-6b Number of transgender people who received any PrEP product at least once during the reporting period-13</v>
      </c>
      <c r="M1327" s="126" t="str">
        <f t="array" aca="1" ref="M1327" ca="1">IFERROR(IF(INDEX('Disaggregation Records'!$E$156:$E$517,MATCH(RIGHT(L1327,255),RIGHT('Disaggregation Records'!$D$156:$D$517,255),0))="","",INDEX('Disaggregation Records'!$E$156:$E$517,MATCH(RIGHT(L1327,255),RIGHT('Disaggregation Records'!$D$156:$D$517,255),0))),"")</f>
        <v/>
      </c>
      <c r="N1327" s="126" t="str">
        <f t="array" aca="1" ref="N1327" ca="1">IFERROR(IF(INDEX('Disaggregation Records'!$F$156:$F$517,MATCH(RIGHT(L1327,255),RIGHT('Disaggregation Records'!$D$156:$D$517,255),0))="","",INDEX('Disaggregation Records'!$F$156:$F$517,MATCH(RIGHT(L1327,255),RIGHT('Disaggregation Records'!$D$156:$D$517,255),0))),"")</f>
        <v/>
      </c>
      <c r="O1327" s="314" t="str">
        <f t="array" aca="1" ref="O1327" ca="1">IFERROR(IF(INDEX('Disaggregation Records'!$H$156:$H$517,MATCH(RIGHT(L1327,255),RIGHT('Disaggregation Records'!$D$156:$D$517,255),0))="","",INDEX('Disaggregation Records'!$H$156:$H$517,MATCH(RIGHT(L1327,255),RIGHT('Disaggregation Records'!$D$156:$D$517,255),0))),"")</f>
        <v/>
      </c>
      <c r="P1327" s="310"/>
      <c r="Q1327" s="310">
        <f t="shared" ref="Q1327" si="1516">Q1325+1</f>
        <v>1965</v>
      </c>
      <c r="R1327" s="314" t="str" cm="1">
        <f t="array" aca="1" ref="R1327" ca="1">IFERROR(IF(INDEX('Disaggregation Records'!$G$156:$G$517,MATCH(RIGHT(L1327,255),RIGHT('Disaggregation Records'!$D$156:$D$517,255),0))="","",INDEX('Disaggregation Records'!$G$156:$G$517,MATCH(RIGHT(L1327,255),RIGHT('Disaggregation Records'!$D$156:$D$517,255),0))),"")</f>
        <v/>
      </c>
    </row>
    <row r="1328" spans="1:18" ht="20.100000000000001" customHeight="1">
      <c r="B1328" s="571"/>
      <c r="C1328" s="573"/>
      <c r="D1328" s="575"/>
      <c r="E1328" s="575"/>
      <c r="F1328" s="128"/>
      <c r="G1328" s="577"/>
      <c r="H1328" s="540"/>
      <c r="I1328" s="579"/>
      <c r="J1328" s="533"/>
      <c r="L1328" s="126"/>
      <c r="N1328" s="126"/>
      <c r="O1328" s="314"/>
      <c r="P1328" s="310"/>
      <c r="Q1328" s="310"/>
      <c r="R1328" s="314" t="str" cm="1">
        <f t="array" ref="R1328">IFERROR(IF(INDEX('Disaggregation Records'!$G$156:$G$517,MATCH(RIGHT(L1328,255),RIGHT('Disaggregation Records'!$D$156:$D$517,255),0))="","",INDEX('Disaggregation Records'!$G$156:$G$517,MATCH(RIGHT(L1328,255),RIGHT('Disaggregation Records'!$D$156:$D$517,255),0))),"")</f>
        <v/>
      </c>
    </row>
    <row r="1329" spans="1:18" ht="20.100000000000001" customHeight="1">
      <c r="A1329" s="126" t="str">
        <f t="shared" ref="A1329:A1389" ca="1" si="1517">INDIRECT("'update Helper'!C"&amp;Q1329)</f>
        <v>a16Dm000000M3vtIAC</v>
      </c>
      <c r="B1329" s="570">
        <v>18</v>
      </c>
      <c r="C1329" s="572" t="str">
        <f ca="1">IFERROR(VLOOKUP(B1329,'Coverage Indicators - Section D'!$A$9:$AO$94,41,FALSE),"")</f>
        <v>KP-6b Number of transgender people who received any PrEP product at least once during the reporting period</v>
      </c>
      <c r="D1329" s="574" t="str">
        <f ca="1">M1329</f>
        <v/>
      </c>
      <c r="E1329" s="574" t="str">
        <f ca="1">N1329</f>
        <v/>
      </c>
      <c r="F1329" s="127"/>
      <c r="G1329" s="576" t="str">
        <f ca="1">IF(OR(INDIRECT("'update Helper'!E"&amp;Q1329)="",F1329&lt;&gt;0,F1330&lt;&gt;0),IF(IFERROR((F1329/F1330),"")="","",(F1329/F1330)),INDIRECT("'update Helper'!E"&amp;Q1329)/100)</f>
        <v/>
      </c>
      <c r="H1329" s="539"/>
      <c r="I1329" s="578"/>
      <c r="J1329" s="532"/>
      <c r="K1329" s="126">
        <f ca="1">IF(AND(EXACT(C1329,C1327),C1327&lt;&gt;0),K1327+1,0)</f>
        <v>14</v>
      </c>
      <c r="L1329" s="126" t="str">
        <f t="shared" ref="L1329" ca="1" si="1518">IF(C1329&lt;&gt;"",C1329&amp;"-"&amp;K1329,"")</f>
        <v>KP-6b Number of transgender people who received any PrEP product at least once during the reporting period-14</v>
      </c>
      <c r="M1329" s="126" t="str">
        <f t="array" aca="1" ref="M1329" ca="1">IFERROR(IF(INDEX('Disaggregation Records'!$E$156:$E$517,MATCH(RIGHT(L1329,255),RIGHT('Disaggregation Records'!$D$156:$D$517,255),0))="","",INDEX('Disaggregation Records'!$E$156:$E$517,MATCH(RIGHT(L1329,255),RIGHT('Disaggregation Records'!$D$156:$D$517,255),0))),"")</f>
        <v/>
      </c>
      <c r="N1329" s="126" t="str">
        <f t="array" aca="1" ref="N1329" ca="1">IFERROR(IF(INDEX('Disaggregation Records'!$F$156:$F$517,MATCH(RIGHT(L1329,255),RIGHT('Disaggregation Records'!$D$156:$D$517,255),0))="","",INDEX('Disaggregation Records'!$F$156:$F$517,MATCH(RIGHT(L1329,255),RIGHT('Disaggregation Records'!$D$156:$D$517,255),0))),"")</f>
        <v/>
      </c>
      <c r="O1329" s="314" t="str">
        <f t="array" aca="1" ref="O1329" ca="1">IFERROR(IF(INDEX('Disaggregation Records'!$H$156:$H$517,MATCH(RIGHT(L1329,255),RIGHT('Disaggregation Records'!$D$156:$D$517,255),0))="","",INDEX('Disaggregation Records'!$H$156:$H$517,MATCH(RIGHT(L1329,255),RIGHT('Disaggregation Records'!$D$156:$D$517,255),0))),"")</f>
        <v/>
      </c>
      <c r="P1329" s="310"/>
      <c r="Q1329" s="310">
        <f t="shared" ref="Q1329" si="1519">Q1327+1</f>
        <v>1966</v>
      </c>
      <c r="R1329" s="314" t="str" cm="1">
        <f t="array" aca="1" ref="R1329" ca="1">IFERROR(IF(INDEX('Disaggregation Records'!$G$156:$G$517,MATCH(RIGHT(L1329,255),RIGHT('Disaggregation Records'!$D$156:$D$517,255),0))="","",INDEX('Disaggregation Records'!$G$156:$G$517,MATCH(RIGHT(L1329,255),RIGHT('Disaggregation Records'!$D$156:$D$517,255),0))),"")</f>
        <v/>
      </c>
    </row>
    <row r="1330" spans="1:18" ht="20.100000000000001" customHeight="1">
      <c r="A1330" s="126"/>
      <c r="B1330" s="571"/>
      <c r="C1330" s="573"/>
      <c r="D1330" s="575"/>
      <c r="E1330" s="575"/>
      <c r="F1330" s="128"/>
      <c r="G1330" s="577"/>
      <c r="H1330" s="540"/>
      <c r="I1330" s="579"/>
      <c r="J1330" s="533"/>
      <c r="L1330" s="126"/>
      <c r="N1330" s="126"/>
      <c r="O1330" s="314"/>
      <c r="P1330" s="310"/>
      <c r="Q1330" s="310"/>
      <c r="R1330" s="314" t="str" cm="1">
        <f t="array" ref="R1330">IFERROR(IF(INDEX('Disaggregation Records'!$G$156:$G$517,MATCH(RIGHT(L1330,255),RIGHT('Disaggregation Records'!$D$156:$D$517,255),0))="","",INDEX('Disaggregation Records'!$G$156:$G$517,MATCH(RIGHT(L1330,255),RIGHT('Disaggregation Records'!$D$156:$D$517,255),0))),"")</f>
        <v/>
      </c>
    </row>
    <row r="1331" spans="1:18" ht="20.100000000000001" customHeight="1">
      <c r="A1331" s="126" t="str">
        <f t="shared" ref="A1331:A1391" ca="1" si="1520">INDIRECT("'update Helper'!C"&amp;Q1331)</f>
        <v>a16Dm000000M3vuIAC</v>
      </c>
      <c r="B1331" s="570">
        <v>18</v>
      </c>
      <c r="C1331" s="572" t="str">
        <f ca="1">IFERROR(VLOOKUP(B1331,'Coverage Indicators - Section D'!$A$9:$AO$94,41,FALSE),"")</f>
        <v>KP-6b Number of transgender people who received any PrEP product at least once during the reporting period</v>
      </c>
      <c r="D1331" s="574" t="str">
        <f ca="1">M1331</f>
        <v/>
      </c>
      <c r="E1331" s="574" t="str">
        <f ca="1">N1331</f>
        <v/>
      </c>
      <c r="F1331" s="127"/>
      <c r="G1331" s="576" t="str">
        <f ca="1">IF(OR(INDIRECT("'update Helper'!E"&amp;Q1331)="",F1331&lt;&gt;0,F1332&lt;&gt;0),IF(IFERROR((F1331/F1332),"")="","",(F1331/F1332)),INDIRECT("'update Helper'!E"&amp;Q1331)/100)</f>
        <v/>
      </c>
      <c r="H1331" s="539"/>
      <c r="I1331" s="578"/>
      <c r="J1331" s="532"/>
      <c r="K1331" s="126">
        <f ca="1">IF(AND(EXACT(C1331,C1329),C1329&lt;&gt;0),K1329+1,0)</f>
        <v>15</v>
      </c>
      <c r="L1331" s="126" t="str">
        <f t="shared" ref="L1331" ca="1" si="1521">IF(C1331&lt;&gt;"",C1331&amp;"-"&amp;K1331,"")</f>
        <v>KP-6b Number of transgender people who received any PrEP product at least once during the reporting period-15</v>
      </c>
      <c r="M1331" s="126" t="str">
        <f t="array" aca="1" ref="M1331" ca="1">IFERROR(IF(INDEX('Disaggregation Records'!$E$156:$E$517,MATCH(RIGHT(L1331,255),RIGHT('Disaggregation Records'!$D$156:$D$517,255),0))="","",INDEX('Disaggregation Records'!$E$156:$E$517,MATCH(RIGHT(L1331,255),RIGHT('Disaggregation Records'!$D$156:$D$517,255),0))),"")</f>
        <v/>
      </c>
      <c r="N1331" s="126" t="str">
        <f t="array" aca="1" ref="N1331" ca="1">IFERROR(IF(INDEX('Disaggregation Records'!$F$156:$F$517,MATCH(RIGHT(L1331,255),RIGHT('Disaggregation Records'!$D$156:$D$517,255),0))="","",INDEX('Disaggregation Records'!$F$156:$F$517,MATCH(RIGHT(L1331,255),RIGHT('Disaggregation Records'!$D$156:$D$517,255),0))),"")</f>
        <v/>
      </c>
      <c r="O1331" s="314" t="str">
        <f t="array" aca="1" ref="O1331" ca="1">IFERROR(IF(INDEX('Disaggregation Records'!$H$156:$H$517,MATCH(RIGHT(L1331,255),RIGHT('Disaggregation Records'!$D$156:$D$517,255),0))="","",INDEX('Disaggregation Records'!$H$156:$H$517,MATCH(RIGHT(L1331,255),RIGHT('Disaggregation Records'!$D$156:$D$517,255),0))),"")</f>
        <v/>
      </c>
      <c r="P1331" s="314"/>
      <c r="Q1331" s="310">
        <f t="shared" ref="Q1331" si="1522">Q1329+1</f>
        <v>1967</v>
      </c>
      <c r="R1331" s="314" t="str" cm="1">
        <f t="array" aca="1" ref="R1331" ca="1">IFERROR(IF(INDEX('Disaggregation Records'!$G$156:$G$517,MATCH(RIGHT(L1331,255),RIGHT('Disaggregation Records'!$D$156:$D$517,255),0))="","",INDEX('Disaggregation Records'!$G$156:$G$517,MATCH(RIGHT(L1331,255),RIGHT('Disaggregation Records'!$D$156:$D$517,255),0))),"")</f>
        <v/>
      </c>
    </row>
    <row r="1332" spans="1:18" ht="20.100000000000001" customHeight="1">
      <c r="B1332" s="571"/>
      <c r="C1332" s="573"/>
      <c r="D1332" s="575"/>
      <c r="E1332" s="575"/>
      <c r="F1332" s="128"/>
      <c r="G1332" s="577"/>
      <c r="H1332" s="540"/>
      <c r="I1332" s="579"/>
      <c r="J1332" s="533"/>
      <c r="K1332" s="126"/>
      <c r="L1332" s="126"/>
      <c r="M1332" s="126"/>
      <c r="N1332" s="126"/>
      <c r="O1332" s="314"/>
      <c r="P1332" s="314"/>
      <c r="Q1332" s="310"/>
      <c r="R1332" s="314" t="str" cm="1">
        <f t="array" ref="R1332">IFERROR(IF(INDEX('Disaggregation Records'!$G$156:$G$517,MATCH(RIGHT(L1332,255),RIGHT('Disaggregation Records'!$D$156:$D$517,255),0))="","",INDEX('Disaggregation Records'!$G$156:$G$517,MATCH(RIGHT(L1332,255),RIGHT('Disaggregation Records'!$D$156:$D$517,255),0))),"")</f>
        <v/>
      </c>
    </row>
    <row r="1333" spans="1:18" ht="20.100000000000001" customHeight="1">
      <c r="A1333" s="126" t="str">
        <f t="shared" ca="1" si="1517"/>
        <v>a16Dm000000M3vvIAC</v>
      </c>
      <c r="B1333" s="570">
        <v>18</v>
      </c>
      <c r="C1333" s="572" t="str">
        <f ca="1">IFERROR(VLOOKUP(B1333,'Coverage Indicators - Section D'!$A$9:$AO$94,41,FALSE),"")</f>
        <v>KP-6b Number of transgender people who received any PrEP product at least once during the reporting period</v>
      </c>
      <c r="D1333" s="574" t="str">
        <f ca="1">M1333</f>
        <v/>
      </c>
      <c r="E1333" s="574" t="str">
        <f ca="1">N1333</f>
        <v/>
      </c>
      <c r="F1333" s="127"/>
      <c r="G1333" s="576" t="str">
        <f ca="1">IF(OR(INDIRECT("'update Helper'!E"&amp;Q1333)="",F1333&lt;&gt;0,F1334&lt;&gt;0),IF(IFERROR((F1333/F1334),"")="","",(F1333/F1334)),INDIRECT("'update Helper'!E"&amp;Q1333)/100)</f>
        <v/>
      </c>
      <c r="H1333" s="539"/>
      <c r="I1333" s="578"/>
      <c r="J1333" s="532"/>
      <c r="K1333" s="126">
        <f ca="1">IF(AND(EXACT(C1333,C1331),C1331&lt;&gt;0),K1331+1,0)</f>
        <v>16</v>
      </c>
      <c r="L1333" s="126" t="str">
        <f t="shared" ref="L1333" ca="1" si="1523">IF(C1333&lt;&gt;"",C1333&amp;"-"&amp;K1333,"")</f>
        <v>KP-6b Number of transgender people who received any PrEP product at least once during the reporting period-16</v>
      </c>
      <c r="M1333" s="126" t="str">
        <f t="array" aca="1" ref="M1333" ca="1">IFERROR(IF(INDEX('Disaggregation Records'!$E$156:$E$517,MATCH(RIGHT(L1333,255),RIGHT('Disaggregation Records'!$D$156:$D$517,255),0))="","",INDEX('Disaggregation Records'!$E$156:$E$517,MATCH(RIGHT(L1333,255),RIGHT('Disaggregation Records'!$D$156:$D$517,255),0))),"")</f>
        <v/>
      </c>
      <c r="N1333" s="126" t="str">
        <f t="array" aca="1" ref="N1333" ca="1">IFERROR(IF(INDEX('Disaggregation Records'!$F$156:$F$517,MATCH(RIGHT(L1333,255),RIGHT('Disaggregation Records'!$D$156:$D$517,255),0))="","",INDEX('Disaggregation Records'!$F$156:$F$517,MATCH(RIGHT(L1333,255),RIGHT('Disaggregation Records'!$D$156:$D$517,255),0))),"")</f>
        <v/>
      </c>
      <c r="O1333" s="314" t="str">
        <f t="array" aca="1" ref="O1333" ca="1">IFERROR(IF(INDEX('Disaggregation Records'!$H$156:$H$517,MATCH(RIGHT(L1333,255),RIGHT('Disaggregation Records'!$D$156:$D$517,255),0))="","",INDEX('Disaggregation Records'!$H$156:$H$517,MATCH(RIGHT(L1333,255),RIGHT('Disaggregation Records'!$D$156:$D$517,255),0))),"")</f>
        <v/>
      </c>
      <c r="P1333" s="314"/>
      <c r="Q1333" s="310">
        <f t="shared" ref="Q1333" si="1524">Q1331+1</f>
        <v>1968</v>
      </c>
      <c r="R1333" s="314" t="str" cm="1">
        <f t="array" aca="1" ref="R1333" ca="1">IFERROR(IF(INDEX('Disaggregation Records'!$G$156:$G$517,MATCH(RIGHT(L1333,255),RIGHT('Disaggregation Records'!$D$156:$D$517,255),0))="","",INDEX('Disaggregation Records'!$G$156:$G$517,MATCH(RIGHT(L1333,255),RIGHT('Disaggregation Records'!$D$156:$D$517,255),0))),"")</f>
        <v/>
      </c>
    </row>
    <row r="1334" spans="1:18" ht="20.100000000000001" customHeight="1">
      <c r="A1334" s="126"/>
      <c r="B1334" s="571"/>
      <c r="C1334" s="573"/>
      <c r="D1334" s="575"/>
      <c r="E1334" s="575"/>
      <c r="F1334" s="128"/>
      <c r="G1334" s="577"/>
      <c r="H1334" s="540"/>
      <c r="I1334" s="579"/>
      <c r="J1334" s="533"/>
      <c r="K1334" s="126"/>
      <c r="L1334" s="126"/>
      <c r="M1334" s="126"/>
      <c r="N1334" s="126"/>
      <c r="O1334" s="314"/>
      <c r="P1334" s="314"/>
      <c r="Q1334" s="310"/>
      <c r="R1334" s="314" t="str" cm="1">
        <f t="array" ref="R1334">IFERROR(IF(INDEX('Disaggregation Records'!$G$156:$G$517,MATCH(RIGHT(L1334,255),RIGHT('Disaggregation Records'!$D$156:$D$517,255),0))="","",INDEX('Disaggregation Records'!$G$156:$G$517,MATCH(RIGHT(L1334,255),RIGHT('Disaggregation Records'!$D$156:$D$517,255),0))),"")</f>
        <v/>
      </c>
    </row>
    <row r="1335" spans="1:18" ht="20.100000000000001" customHeight="1">
      <c r="A1335" s="126" t="str">
        <f t="shared" ca="1" si="1520"/>
        <v>a16Dm000000M3vwIAC</v>
      </c>
      <c r="B1335" s="570">
        <v>18</v>
      </c>
      <c r="C1335" s="572" t="str">
        <f ca="1">IFERROR(VLOOKUP(B1335,'Coverage Indicators - Section D'!$A$9:$AO$94,41,FALSE),"")</f>
        <v>KP-6b Number of transgender people who received any PrEP product at least once during the reporting period</v>
      </c>
      <c r="D1335" s="574" t="str">
        <f ca="1">M1335</f>
        <v/>
      </c>
      <c r="E1335" s="574" t="str">
        <f ca="1">N1335</f>
        <v/>
      </c>
      <c r="F1335" s="127"/>
      <c r="G1335" s="576" t="str">
        <f ca="1">IF(OR(INDIRECT("'update Helper'!E"&amp;Q1335)="",F1335&lt;&gt;0,F1336&lt;&gt;0),IF(IFERROR((F1335/F1336),"")="","",(F1335/F1336)),INDIRECT("'update Helper'!E"&amp;Q1335)/100)</f>
        <v/>
      </c>
      <c r="H1335" s="539"/>
      <c r="I1335" s="578"/>
      <c r="J1335" s="532"/>
      <c r="K1335" s="126">
        <f ca="1">IF(AND(EXACT(C1335,C1333),C1333&lt;&gt;0),K1333+1,0)</f>
        <v>17</v>
      </c>
      <c r="L1335" s="126" t="str">
        <f t="shared" ref="L1335" ca="1" si="1525">IF(C1335&lt;&gt;"",C1335&amp;"-"&amp;K1335,"")</f>
        <v>KP-6b Number of transgender people who received any PrEP product at least once during the reporting period-17</v>
      </c>
      <c r="M1335" s="126" t="str">
        <f t="array" aca="1" ref="M1335" ca="1">IFERROR(IF(INDEX('Disaggregation Records'!$E$156:$E$517,MATCH(RIGHT(L1335,255),RIGHT('Disaggregation Records'!$D$156:$D$517,255),0))="","",INDEX('Disaggregation Records'!$E$156:$E$517,MATCH(RIGHT(L1335,255),RIGHT('Disaggregation Records'!$D$156:$D$517,255),0))),"")</f>
        <v/>
      </c>
      <c r="N1335" s="126" t="str">
        <f t="array" aca="1" ref="N1335" ca="1">IFERROR(IF(INDEX('Disaggregation Records'!$F$156:$F$517,MATCH(RIGHT(L1335,255),RIGHT('Disaggregation Records'!$D$156:$D$517,255),0))="","",INDEX('Disaggregation Records'!$F$156:$F$517,MATCH(RIGHT(L1335,255),RIGHT('Disaggregation Records'!$D$156:$D$517,255),0))),"")</f>
        <v/>
      </c>
      <c r="O1335" s="314" t="str">
        <f t="array" aca="1" ref="O1335" ca="1">IFERROR(IF(INDEX('Disaggregation Records'!$H$156:$H$517,MATCH(RIGHT(L1335,255),RIGHT('Disaggregation Records'!$D$156:$D$517,255),0))="","",INDEX('Disaggregation Records'!$H$156:$H$517,MATCH(RIGHT(L1335,255),RIGHT('Disaggregation Records'!$D$156:$D$517,255),0))),"")</f>
        <v/>
      </c>
      <c r="P1335" s="310"/>
      <c r="Q1335" s="310">
        <f t="shared" ref="Q1335" si="1526">Q1333+1</f>
        <v>1969</v>
      </c>
      <c r="R1335" s="314" t="str" cm="1">
        <f t="array" aca="1" ref="R1335" ca="1">IFERROR(IF(INDEX('Disaggregation Records'!$G$156:$G$517,MATCH(RIGHT(L1335,255),RIGHT('Disaggregation Records'!$D$156:$D$517,255),0))="","",INDEX('Disaggregation Records'!$G$156:$G$517,MATCH(RIGHT(L1335,255),RIGHT('Disaggregation Records'!$D$156:$D$517,255),0))),"")</f>
        <v/>
      </c>
    </row>
    <row r="1336" spans="1:18" ht="20.100000000000001" customHeight="1">
      <c r="B1336" s="571"/>
      <c r="C1336" s="573"/>
      <c r="D1336" s="575"/>
      <c r="E1336" s="575"/>
      <c r="F1336" s="128"/>
      <c r="G1336" s="577"/>
      <c r="H1336" s="540"/>
      <c r="I1336" s="579"/>
      <c r="J1336" s="533"/>
      <c r="L1336" s="126"/>
      <c r="N1336" s="126"/>
      <c r="O1336" s="314"/>
      <c r="P1336" s="310"/>
      <c r="Q1336" s="310"/>
      <c r="R1336" s="314" t="str" cm="1">
        <f t="array" ref="R1336">IFERROR(IF(INDEX('Disaggregation Records'!$G$156:$G$517,MATCH(RIGHT(L1336,255),RIGHT('Disaggregation Records'!$D$156:$D$517,255),0))="","",INDEX('Disaggregation Records'!$G$156:$G$517,MATCH(RIGHT(L1336,255),RIGHT('Disaggregation Records'!$D$156:$D$517,255),0))),"")</f>
        <v/>
      </c>
    </row>
    <row r="1337" spans="1:18" ht="20.100000000000001" customHeight="1">
      <c r="A1337" s="126" t="str">
        <f t="shared" ca="1" si="1517"/>
        <v>a16Dm000000M3vxIAC</v>
      </c>
      <c r="B1337" s="570">
        <v>18</v>
      </c>
      <c r="C1337" s="572" t="str">
        <f ca="1">IFERROR(VLOOKUP(B1337,'Coverage Indicators - Section D'!$A$9:$AO$94,41,FALSE),"")</f>
        <v>KP-6b Number of transgender people who received any PrEP product at least once during the reporting period</v>
      </c>
      <c r="D1337" s="574" t="str">
        <f ca="1">M1337</f>
        <v/>
      </c>
      <c r="E1337" s="574" t="str">
        <f ca="1">N1337</f>
        <v/>
      </c>
      <c r="F1337" s="127"/>
      <c r="G1337" s="576" t="str">
        <f ca="1">IF(OR(INDIRECT("'update Helper'!E"&amp;Q1337)="",F1337&lt;&gt;0,F1338&lt;&gt;0),IF(IFERROR((F1337/F1338),"")="","",(F1337/F1338)),INDIRECT("'update Helper'!E"&amp;Q1337)/100)</f>
        <v/>
      </c>
      <c r="H1337" s="539"/>
      <c r="I1337" s="578"/>
      <c r="J1337" s="532"/>
      <c r="K1337" s="126">
        <f ca="1">IF(AND(EXACT(C1337,C1335),C1335&lt;&gt;0),K1335+1,0)</f>
        <v>18</v>
      </c>
      <c r="L1337" s="126" t="str">
        <f t="shared" ref="L1337" ca="1" si="1527">IF(C1337&lt;&gt;"",C1337&amp;"-"&amp;K1337,"")</f>
        <v>KP-6b Number of transgender people who received any PrEP product at least once during the reporting period-18</v>
      </c>
      <c r="M1337" s="126" t="str">
        <f t="array" aca="1" ref="M1337" ca="1">IFERROR(IF(INDEX('Disaggregation Records'!$E$156:$E$517,MATCH(RIGHT(L1337,255),RIGHT('Disaggregation Records'!$D$156:$D$517,255),0))="","",INDEX('Disaggregation Records'!$E$156:$E$517,MATCH(RIGHT(L1337,255),RIGHT('Disaggregation Records'!$D$156:$D$517,255),0))),"")</f>
        <v/>
      </c>
      <c r="N1337" s="126" t="str">
        <f t="array" aca="1" ref="N1337" ca="1">IFERROR(IF(INDEX('Disaggregation Records'!$F$156:$F$517,MATCH(RIGHT(L1337,255),RIGHT('Disaggregation Records'!$D$156:$D$517,255),0))="","",INDEX('Disaggregation Records'!$F$156:$F$517,MATCH(RIGHT(L1337,255),RIGHT('Disaggregation Records'!$D$156:$D$517,255),0))),"")</f>
        <v/>
      </c>
      <c r="O1337" s="314" t="str">
        <f t="array" aca="1" ref="O1337" ca="1">IFERROR(IF(INDEX('Disaggregation Records'!$H$156:$H$517,MATCH(RIGHT(L1337,255),RIGHT('Disaggregation Records'!$D$156:$D$517,255),0))="","",INDEX('Disaggregation Records'!$H$156:$H$517,MATCH(RIGHT(L1337,255),RIGHT('Disaggregation Records'!$D$156:$D$517,255),0))),"")</f>
        <v/>
      </c>
      <c r="P1337" s="310"/>
      <c r="Q1337" s="310">
        <f t="shared" ref="Q1337" si="1528">Q1335+1</f>
        <v>1970</v>
      </c>
      <c r="R1337" s="314" t="str" cm="1">
        <f t="array" aca="1" ref="R1337" ca="1">IFERROR(IF(INDEX('Disaggregation Records'!$G$156:$G$517,MATCH(RIGHT(L1337,255),RIGHT('Disaggregation Records'!$D$156:$D$517,255),0))="","",INDEX('Disaggregation Records'!$G$156:$G$517,MATCH(RIGHT(L1337,255),RIGHT('Disaggregation Records'!$D$156:$D$517,255),0))),"")</f>
        <v/>
      </c>
    </row>
    <row r="1338" spans="1:18" ht="20.100000000000001" customHeight="1">
      <c r="A1338" s="126"/>
      <c r="B1338" s="571"/>
      <c r="C1338" s="573"/>
      <c r="D1338" s="575"/>
      <c r="E1338" s="575"/>
      <c r="F1338" s="128"/>
      <c r="G1338" s="577"/>
      <c r="H1338" s="540"/>
      <c r="I1338" s="579"/>
      <c r="J1338" s="533"/>
      <c r="L1338" s="126"/>
      <c r="N1338" s="126"/>
      <c r="O1338" s="314"/>
      <c r="P1338" s="310"/>
      <c r="Q1338" s="310"/>
      <c r="R1338" s="314" t="str" cm="1">
        <f t="array" ref="R1338">IFERROR(IF(INDEX('Disaggregation Records'!$G$156:$G$517,MATCH(RIGHT(L1338,255),RIGHT('Disaggregation Records'!$D$156:$D$517,255),0))="","",INDEX('Disaggregation Records'!$G$156:$G$517,MATCH(RIGHT(L1338,255),RIGHT('Disaggregation Records'!$D$156:$D$517,255),0))),"")</f>
        <v/>
      </c>
    </row>
    <row r="1339" spans="1:18" ht="20.100000000000001" customHeight="1">
      <c r="A1339" s="126" t="str">
        <f t="shared" ca="1" si="1520"/>
        <v>a16Dm000000M3vyIAC</v>
      </c>
      <c r="B1339" s="570">
        <v>18</v>
      </c>
      <c r="C1339" s="572" t="str">
        <f ca="1">IFERROR(VLOOKUP(B1339,'Coverage Indicators - Section D'!$A$9:$AO$94,41,FALSE),"")</f>
        <v>KP-6b Number of transgender people who received any PrEP product at least once during the reporting period</v>
      </c>
      <c r="D1339" s="574" t="str">
        <f ca="1">M1339</f>
        <v/>
      </c>
      <c r="E1339" s="574" t="str">
        <f ca="1">N1339</f>
        <v/>
      </c>
      <c r="F1339" s="127"/>
      <c r="G1339" s="576" t="str">
        <f ca="1">IF(OR(INDIRECT("'update Helper'!E"&amp;Q1339)="",F1339&lt;&gt;0,F1340&lt;&gt;0),IF(IFERROR((F1339/F1340),"")="","",(F1339/F1340)),INDIRECT("'update Helper'!E"&amp;Q1339)/100)</f>
        <v/>
      </c>
      <c r="H1339" s="539"/>
      <c r="I1339" s="578"/>
      <c r="J1339" s="532"/>
      <c r="K1339" s="126">
        <f ca="1">IF(AND(EXACT(C1339,C1337),C1337&lt;&gt;0),K1337+1,0)</f>
        <v>19</v>
      </c>
      <c r="L1339" s="126" t="str">
        <f t="shared" ref="L1339" ca="1" si="1529">IF(C1339&lt;&gt;"",C1339&amp;"-"&amp;K1339,"")</f>
        <v>KP-6b Number of transgender people who received any PrEP product at least once during the reporting period-19</v>
      </c>
      <c r="M1339" s="126" t="str">
        <f t="array" aca="1" ref="M1339" ca="1">IFERROR(IF(INDEX('Disaggregation Records'!$E$156:$E$517,MATCH(RIGHT(L1339,255),RIGHT('Disaggregation Records'!$D$156:$D$517,255),0))="","",INDEX('Disaggregation Records'!$E$156:$E$517,MATCH(RIGHT(L1339,255),RIGHT('Disaggregation Records'!$D$156:$D$517,255),0))),"")</f>
        <v/>
      </c>
      <c r="N1339" s="126" t="str">
        <f t="array" aca="1" ref="N1339" ca="1">IFERROR(IF(INDEX('Disaggregation Records'!$F$156:$F$517,MATCH(RIGHT(L1339,255),RIGHT('Disaggregation Records'!$D$156:$D$517,255),0))="","",INDEX('Disaggregation Records'!$F$156:$F$517,MATCH(RIGHT(L1339,255),RIGHT('Disaggregation Records'!$D$156:$D$517,255),0))),"")</f>
        <v/>
      </c>
      <c r="O1339" s="314" t="str">
        <f t="array" aca="1" ref="O1339" ca="1">IFERROR(IF(INDEX('Disaggregation Records'!$H$156:$H$517,MATCH(RIGHT(L1339,255),RIGHT('Disaggregation Records'!$D$156:$D$517,255),0))="","",INDEX('Disaggregation Records'!$H$156:$H$517,MATCH(RIGHT(L1339,255),RIGHT('Disaggregation Records'!$D$156:$D$517,255),0))),"")</f>
        <v/>
      </c>
      <c r="P1339" s="310"/>
      <c r="Q1339" s="310">
        <f t="shared" ref="Q1339" si="1530">Q1337+1</f>
        <v>1971</v>
      </c>
      <c r="R1339" s="314" t="str" cm="1">
        <f t="array" aca="1" ref="R1339" ca="1">IFERROR(IF(INDEX('Disaggregation Records'!$G$156:$G$517,MATCH(RIGHT(L1339,255),RIGHT('Disaggregation Records'!$D$156:$D$517,255),0))="","",INDEX('Disaggregation Records'!$G$156:$G$517,MATCH(RIGHT(L1339,255),RIGHT('Disaggregation Records'!$D$156:$D$517,255),0))),"")</f>
        <v/>
      </c>
    </row>
    <row r="1340" spans="1:18" ht="20.100000000000001" customHeight="1">
      <c r="B1340" s="571"/>
      <c r="C1340" s="573"/>
      <c r="D1340" s="575"/>
      <c r="E1340" s="575"/>
      <c r="F1340" s="128"/>
      <c r="G1340" s="577"/>
      <c r="H1340" s="540"/>
      <c r="I1340" s="579"/>
      <c r="J1340" s="533"/>
      <c r="L1340" s="126"/>
      <c r="N1340" s="126"/>
      <c r="O1340" s="314"/>
      <c r="P1340" s="310"/>
      <c r="Q1340" s="310"/>
      <c r="R1340" s="314" t="str" cm="1">
        <f t="array" ref="R1340">IFERROR(IF(INDEX('Disaggregation Records'!$G$156:$G$517,MATCH(RIGHT(L1340,255),RIGHT('Disaggregation Records'!$D$156:$D$517,255),0))="","",INDEX('Disaggregation Records'!$G$156:$G$517,MATCH(RIGHT(L1340,255),RIGHT('Disaggregation Records'!$D$156:$D$517,255),0))),"")</f>
        <v/>
      </c>
    </row>
    <row r="1341" spans="1:18" ht="20.100000000000001" customHeight="1">
      <c r="A1341" s="126" t="str">
        <f t="shared" ca="1" si="1517"/>
        <v>a16Dm000000M3vzIAC</v>
      </c>
      <c r="B1341" s="570">
        <v>19</v>
      </c>
      <c r="C1341" s="572" t="str">
        <f ca="1">IFERROR(VLOOKUP(B1341,'Coverage Indicators - Section D'!$A$9:$AO$94,41,FALSE),"")</f>
        <v>KP-1d Percentage of people who inject drugs reached with HIV prevention programs - defined package of services</v>
      </c>
      <c r="D1341" s="574" t="str">
        <f ca="1">M1341</f>
        <v>Age</v>
      </c>
      <c r="E1341" s="574" t="str">
        <f ca="1">N1341</f>
        <v>25+</v>
      </c>
      <c r="F1341" s="127"/>
      <c r="G1341" s="576" t="str">
        <f ca="1">IF(OR(INDIRECT("'update Helper'!E"&amp;Q1341)="",F1341&lt;&gt;0,F1342&lt;&gt;0),IF(IFERROR((F1341/F1342),"")="","",(F1341/F1342)),INDIRECT("'update Helper'!E"&amp;Q1341)/100)</f>
        <v/>
      </c>
      <c r="H1341" s="539"/>
      <c r="I1341" s="578"/>
      <c r="J1341" s="532" t="s">
        <v>2301</v>
      </c>
      <c r="K1341" s="126">
        <f ca="1">IF(AND(EXACT(C1341,C1339),C1339&lt;&gt;0),K1339+1,0)</f>
        <v>0</v>
      </c>
      <c r="L1341" s="126" t="str">
        <f t="shared" ref="L1341" ca="1" si="1531">IF(C1341&lt;&gt;"",C1341&amp;"-"&amp;K1341,"")</f>
        <v>KP-1d Percentage of people who inject drugs reached with HIV prevention programs - defined package of services-0</v>
      </c>
      <c r="M1341" s="126" t="str">
        <f t="array" aca="1" ref="M1341" ca="1">IFERROR(IF(INDEX('Disaggregation Records'!$E$156:$E$517,MATCH(RIGHT(L1341,255),RIGHT('Disaggregation Records'!$D$156:$D$517,255),0))="","",INDEX('Disaggregation Records'!$E$156:$E$517,MATCH(RIGHT(L1341,255),RIGHT('Disaggregation Records'!$D$156:$D$517,255),0))),"")</f>
        <v>Age</v>
      </c>
      <c r="N1341" s="126" t="str">
        <f t="array" aca="1" ref="N1341" ca="1">IFERROR(IF(INDEX('Disaggregation Records'!$F$156:$F$517,MATCH(RIGHT(L1341,255),RIGHT('Disaggregation Records'!$D$156:$D$517,255),0))="","",INDEX('Disaggregation Records'!$F$156:$F$517,MATCH(RIGHT(L1341,255),RIGHT('Disaggregation Records'!$D$156:$D$517,255),0))),"")</f>
        <v>25+</v>
      </c>
      <c r="O1341" s="314" t="str">
        <f t="array" aca="1" ref="O1341" ca="1">IFERROR(IF(INDEX('Disaggregation Records'!$H$156:$H$517,MATCH(RIGHT(L1341,255),RIGHT('Disaggregation Records'!$D$156:$D$517,255),0))="","",INDEX('Disaggregation Records'!$H$156:$H$517,MATCH(RIGHT(L1341,255),RIGHT('Disaggregation Records'!$D$156:$D$517,255),0))),"")</f>
        <v>IDR-01224</v>
      </c>
      <c r="P1341" s="314"/>
      <c r="Q1341" s="310">
        <f t="shared" ref="Q1341" si="1532">Q1339+1</f>
        <v>1972</v>
      </c>
      <c r="R1341" s="314" t="str" cm="1">
        <f t="array" aca="1" ref="R1341" ca="1">IFERROR(IF(INDEX('Disaggregation Records'!$G$156:$G$517,MATCH(RIGHT(L1341,255),RIGHT('Disaggregation Records'!$D$156:$D$517,255),0))="","",INDEX('Disaggregation Records'!$G$156:$G$517,MATCH(RIGHT(L1341,255),RIGHT('Disaggregation Records'!$D$156:$D$517,255),0))),"")</f>
        <v>a1LDm000000Cb2UMAS</v>
      </c>
    </row>
    <row r="1342" spans="1:18" ht="20.100000000000001" customHeight="1">
      <c r="A1342" s="126"/>
      <c r="B1342" s="571"/>
      <c r="C1342" s="573"/>
      <c r="D1342" s="575"/>
      <c r="E1342" s="575"/>
      <c r="F1342" s="128"/>
      <c r="G1342" s="577"/>
      <c r="H1342" s="540"/>
      <c r="I1342" s="579"/>
      <c r="J1342" s="533"/>
      <c r="K1342" s="126"/>
      <c r="L1342" s="126"/>
      <c r="M1342" s="126"/>
      <c r="N1342" s="126"/>
      <c r="O1342" s="314"/>
      <c r="P1342" s="314"/>
      <c r="Q1342" s="310"/>
      <c r="R1342" s="314" t="str" cm="1">
        <f t="array" ref="R1342">IFERROR(IF(INDEX('Disaggregation Records'!$G$156:$G$517,MATCH(RIGHT(L1342,255),RIGHT('Disaggregation Records'!$D$156:$D$517,255),0))="","",INDEX('Disaggregation Records'!$G$156:$G$517,MATCH(RIGHT(L1342,255),RIGHT('Disaggregation Records'!$D$156:$D$517,255),0))),"")</f>
        <v/>
      </c>
    </row>
    <row r="1343" spans="1:18" ht="20.100000000000001" customHeight="1">
      <c r="A1343" s="126" t="str">
        <f t="shared" ca="1" si="1520"/>
        <v>a16Dm000000M3w0IAC</v>
      </c>
      <c r="B1343" s="570">
        <v>19</v>
      </c>
      <c r="C1343" s="572" t="str">
        <f ca="1">IFERROR(VLOOKUP(B1343,'Coverage Indicators - Section D'!$A$9:$AO$94,41,FALSE),"")</f>
        <v>KP-1d Percentage of people who inject drugs reached with HIV prevention programs - defined package of services</v>
      </c>
      <c r="D1343" s="574" t="str">
        <f ca="1">M1343</f>
        <v>Age</v>
      </c>
      <c r="E1343" s="574" t="str">
        <f ca="1">N1343</f>
        <v>20-24</v>
      </c>
      <c r="F1343" s="127"/>
      <c r="G1343" s="576" t="str">
        <f ca="1">IF(OR(INDIRECT("'update Helper'!E"&amp;Q1343)="",F1343&lt;&gt;0,F1344&lt;&gt;0),IF(IFERROR((F1343/F1344),"")="","",(F1343/F1344)),INDIRECT("'update Helper'!E"&amp;Q1343)/100)</f>
        <v/>
      </c>
      <c r="H1343" s="539"/>
      <c r="I1343" s="578"/>
      <c r="J1343" s="532" t="s">
        <v>2301</v>
      </c>
      <c r="K1343" s="126">
        <f ca="1">IF(AND(EXACT(C1343,C1341),C1341&lt;&gt;0),K1341+1,0)</f>
        <v>1</v>
      </c>
      <c r="L1343" s="126" t="str">
        <f t="shared" ref="L1343" ca="1" si="1533">IF(C1343&lt;&gt;"",C1343&amp;"-"&amp;K1343,"")</f>
        <v>KP-1d Percentage of people who inject drugs reached with HIV prevention programs - defined package of services-1</v>
      </c>
      <c r="M1343" s="126" t="str">
        <f t="array" aca="1" ref="M1343" ca="1">IFERROR(IF(INDEX('Disaggregation Records'!$E$156:$E$517,MATCH(RIGHT(L1343,255),RIGHT('Disaggregation Records'!$D$156:$D$517,255),0))="","",INDEX('Disaggregation Records'!$E$156:$E$517,MATCH(RIGHT(L1343,255),RIGHT('Disaggregation Records'!$D$156:$D$517,255),0))),"")</f>
        <v>Age</v>
      </c>
      <c r="N1343" s="126" t="str">
        <f t="array" aca="1" ref="N1343" ca="1">IFERROR(IF(INDEX('Disaggregation Records'!$F$156:$F$517,MATCH(RIGHT(L1343,255),RIGHT('Disaggregation Records'!$D$156:$D$517,255),0))="","",INDEX('Disaggregation Records'!$F$156:$F$517,MATCH(RIGHT(L1343,255),RIGHT('Disaggregation Records'!$D$156:$D$517,255),0))),"")</f>
        <v>20-24</v>
      </c>
      <c r="O1343" s="314" t="str">
        <f t="array" aca="1" ref="O1343" ca="1">IFERROR(IF(INDEX('Disaggregation Records'!$H$156:$H$517,MATCH(RIGHT(L1343,255),RIGHT('Disaggregation Records'!$D$156:$D$517,255),0))="","",INDEX('Disaggregation Records'!$H$156:$H$517,MATCH(RIGHT(L1343,255),RIGHT('Disaggregation Records'!$D$156:$D$517,255),0))),"")</f>
        <v>IDR-01223</v>
      </c>
      <c r="P1343" s="314"/>
      <c r="Q1343" s="310">
        <f t="shared" ref="Q1343" si="1534">Q1341+1</f>
        <v>1973</v>
      </c>
      <c r="R1343" s="314" t="str" cm="1">
        <f t="array" aca="1" ref="R1343" ca="1">IFERROR(IF(INDEX('Disaggregation Records'!$G$156:$G$517,MATCH(RIGHT(L1343,255),RIGHT('Disaggregation Records'!$D$156:$D$517,255),0))="","",INDEX('Disaggregation Records'!$G$156:$G$517,MATCH(RIGHT(L1343,255),RIGHT('Disaggregation Records'!$D$156:$D$517,255),0))),"")</f>
        <v>a1LDm000000Cb2TMAS</v>
      </c>
    </row>
    <row r="1344" spans="1:18" ht="20.100000000000001" customHeight="1">
      <c r="B1344" s="571"/>
      <c r="C1344" s="573"/>
      <c r="D1344" s="575"/>
      <c r="E1344" s="575"/>
      <c r="F1344" s="128"/>
      <c r="G1344" s="577"/>
      <c r="H1344" s="540"/>
      <c r="I1344" s="579"/>
      <c r="J1344" s="533"/>
      <c r="K1344" s="126"/>
      <c r="L1344" s="126"/>
      <c r="M1344" s="126"/>
      <c r="N1344" s="126"/>
      <c r="O1344" s="314"/>
      <c r="P1344" s="314"/>
      <c r="Q1344" s="310"/>
      <c r="R1344" s="314" t="str" cm="1">
        <f t="array" ref="R1344">IFERROR(IF(INDEX('Disaggregation Records'!$G$156:$G$517,MATCH(RIGHT(L1344,255),RIGHT('Disaggregation Records'!$D$156:$D$517,255),0))="","",INDEX('Disaggregation Records'!$G$156:$G$517,MATCH(RIGHT(L1344,255),RIGHT('Disaggregation Records'!$D$156:$D$517,255),0))),"")</f>
        <v/>
      </c>
    </row>
    <row r="1345" spans="1:18" ht="20.100000000000001" customHeight="1">
      <c r="A1345" s="126" t="str">
        <f t="shared" ca="1" si="1517"/>
        <v>a16Dm000000M3w1IAC</v>
      </c>
      <c r="B1345" s="570">
        <v>19</v>
      </c>
      <c r="C1345" s="572" t="str">
        <f ca="1">IFERROR(VLOOKUP(B1345,'Coverage Indicators - Section D'!$A$9:$AO$94,41,FALSE),"")</f>
        <v>KP-1d Percentage of people who inject drugs reached with HIV prevention programs - defined package of services</v>
      </c>
      <c r="D1345" s="574" t="str">
        <f ca="1">M1345</f>
        <v>Age</v>
      </c>
      <c r="E1345" s="574" t="str">
        <f ca="1">N1345</f>
        <v>15-19</v>
      </c>
      <c r="F1345" s="127"/>
      <c r="G1345" s="576" t="str">
        <f ca="1">IF(OR(INDIRECT("'update Helper'!E"&amp;Q1345)="",F1345&lt;&gt;0,F1346&lt;&gt;0),IF(IFERROR((F1345/F1346),"")="","",(F1345/F1346)),INDIRECT("'update Helper'!E"&amp;Q1345)/100)</f>
        <v/>
      </c>
      <c r="H1345" s="539"/>
      <c r="I1345" s="578"/>
      <c r="J1345" s="532" t="s">
        <v>2301</v>
      </c>
      <c r="K1345" s="126">
        <f ca="1">IF(AND(EXACT(C1345,C1343),C1343&lt;&gt;0),K1343+1,0)</f>
        <v>2</v>
      </c>
      <c r="L1345" s="126" t="str">
        <f t="shared" ref="L1345" ca="1" si="1535">IF(C1345&lt;&gt;"",C1345&amp;"-"&amp;K1345,"")</f>
        <v>KP-1d Percentage of people who inject drugs reached with HIV prevention programs - defined package of services-2</v>
      </c>
      <c r="M1345" s="126" t="str">
        <f t="array" aca="1" ref="M1345" ca="1">IFERROR(IF(INDEX('Disaggregation Records'!$E$156:$E$517,MATCH(RIGHT(L1345,255),RIGHT('Disaggregation Records'!$D$156:$D$517,255),0))="","",INDEX('Disaggregation Records'!$E$156:$E$517,MATCH(RIGHT(L1345,255),RIGHT('Disaggregation Records'!$D$156:$D$517,255),0))),"")</f>
        <v>Age</v>
      </c>
      <c r="N1345" s="126" t="str">
        <f t="array" aca="1" ref="N1345" ca="1">IFERROR(IF(INDEX('Disaggregation Records'!$F$156:$F$517,MATCH(RIGHT(L1345,255),RIGHT('Disaggregation Records'!$D$156:$D$517,255),0))="","",INDEX('Disaggregation Records'!$F$156:$F$517,MATCH(RIGHT(L1345,255),RIGHT('Disaggregation Records'!$D$156:$D$517,255),0))),"")</f>
        <v>15-19</v>
      </c>
      <c r="O1345" s="314" t="str">
        <f t="array" aca="1" ref="O1345" ca="1">IFERROR(IF(INDEX('Disaggregation Records'!$H$156:$H$517,MATCH(RIGHT(L1345,255),RIGHT('Disaggregation Records'!$D$156:$D$517,255),0))="","",INDEX('Disaggregation Records'!$H$156:$H$517,MATCH(RIGHT(L1345,255),RIGHT('Disaggregation Records'!$D$156:$D$517,255),0))),"")</f>
        <v>IDR-01222</v>
      </c>
      <c r="P1345" s="310"/>
      <c r="Q1345" s="310">
        <f t="shared" ref="Q1345" si="1536">Q1343+1</f>
        <v>1974</v>
      </c>
      <c r="R1345" s="314" t="str" cm="1">
        <f t="array" aca="1" ref="R1345" ca="1">IFERROR(IF(INDEX('Disaggregation Records'!$G$156:$G$517,MATCH(RIGHT(L1345,255),RIGHT('Disaggregation Records'!$D$156:$D$517,255),0))="","",INDEX('Disaggregation Records'!$G$156:$G$517,MATCH(RIGHT(L1345,255),RIGHT('Disaggregation Records'!$D$156:$D$517,255),0))),"")</f>
        <v>a1LDm000000Cb2SMAS</v>
      </c>
    </row>
    <row r="1346" spans="1:18" ht="20.100000000000001" customHeight="1">
      <c r="A1346" s="126"/>
      <c r="B1346" s="571"/>
      <c r="C1346" s="573"/>
      <c r="D1346" s="575"/>
      <c r="E1346" s="575"/>
      <c r="F1346" s="128"/>
      <c r="G1346" s="577"/>
      <c r="H1346" s="540"/>
      <c r="I1346" s="579"/>
      <c r="J1346" s="533"/>
      <c r="L1346" s="126"/>
      <c r="N1346" s="126"/>
      <c r="O1346" s="314"/>
      <c r="P1346" s="310"/>
      <c r="Q1346" s="310"/>
      <c r="R1346" s="314" t="str" cm="1">
        <f t="array" ref="R1346">IFERROR(IF(INDEX('Disaggregation Records'!$G$156:$G$517,MATCH(RIGHT(L1346,255),RIGHT('Disaggregation Records'!$D$156:$D$517,255),0))="","",INDEX('Disaggregation Records'!$G$156:$G$517,MATCH(RIGHT(L1346,255),RIGHT('Disaggregation Records'!$D$156:$D$517,255),0))),"")</f>
        <v/>
      </c>
    </row>
    <row r="1347" spans="1:18" ht="20.100000000000001" customHeight="1">
      <c r="A1347" s="126" t="str">
        <f t="shared" ca="1" si="1520"/>
        <v>a16Dm000000M3w2IAC</v>
      </c>
      <c r="B1347" s="570">
        <v>19</v>
      </c>
      <c r="C1347" s="572" t="str">
        <f ca="1">IFERROR(VLOOKUP(B1347,'Coverage Indicators - Section D'!$A$9:$AO$94,41,FALSE),"")</f>
        <v>KP-1d Percentage of people who inject drugs reached with HIV prevention programs - defined package of services</v>
      </c>
      <c r="D1347" s="574" t="str">
        <f ca="1">M1347</f>
        <v>Gender</v>
      </c>
      <c r="E1347" s="574" t="str">
        <f ca="1">N1347</f>
        <v>Male</v>
      </c>
      <c r="F1347" s="127"/>
      <c r="G1347" s="576" t="str">
        <f ca="1">IF(OR(INDIRECT("'update Helper'!E"&amp;Q1347)="",F1347&lt;&gt;0,F1348&lt;&gt;0),IF(IFERROR((F1347/F1348),"")="","",(F1347/F1348)),INDIRECT("'update Helper'!E"&amp;Q1347)/100)</f>
        <v/>
      </c>
      <c r="H1347" s="539"/>
      <c r="I1347" s="578"/>
      <c r="J1347" s="532" t="s">
        <v>2301</v>
      </c>
      <c r="K1347" s="126">
        <f ca="1">IF(AND(EXACT(C1347,C1345),C1345&lt;&gt;0),K1345+1,0)</f>
        <v>3</v>
      </c>
      <c r="L1347" s="126" t="str">
        <f t="shared" ref="L1347" ca="1" si="1537">IF(C1347&lt;&gt;"",C1347&amp;"-"&amp;K1347,"")</f>
        <v>KP-1d Percentage of people who inject drugs reached with HIV prevention programs - defined package of services-3</v>
      </c>
      <c r="M1347" s="126" t="str">
        <f t="array" aca="1" ref="M1347" ca="1">IFERROR(IF(INDEX('Disaggregation Records'!$E$156:$E$517,MATCH(RIGHT(L1347,255),RIGHT('Disaggregation Records'!$D$156:$D$517,255),0))="","",INDEX('Disaggregation Records'!$E$156:$E$517,MATCH(RIGHT(L1347,255),RIGHT('Disaggregation Records'!$D$156:$D$517,255),0))),"")</f>
        <v>Gender</v>
      </c>
      <c r="N1347" s="126" t="str">
        <f t="array" aca="1" ref="N1347" ca="1">IFERROR(IF(INDEX('Disaggregation Records'!$F$156:$F$517,MATCH(RIGHT(L1347,255),RIGHT('Disaggregation Records'!$D$156:$D$517,255),0))="","",INDEX('Disaggregation Records'!$F$156:$F$517,MATCH(RIGHT(L1347,255),RIGHT('Disaggregation Records'!$D$156:$D$517,255),0))),"")</f>
        <v>Male</v>
      </c>
      <c r="O1347" s="314" t="str">
        <f t="array" aca="1" ref="O1347" ca="1">IFERROR(IF(INDEX('Disaggregation Records'!$H$156:$H$517,MATCH(RIGHT(L1347,255),RIGHT('Disaggregation Records'!$D$156:$D$517,255),0))="","",INDEX('Disaggregation Records'!$H$156:$H$517,MATCH(RIGHT(L1347,255),RIGHT('Disaggregation Records'!$D$156:$D$517,255),0))),"")</f>
        <v>IDR-01221</v>
      </c>
      <c r="P1347" s="310"/>
      <c r="Q1347" s="310">
        <f t="shared" ref="Q1347" si="1538">Q1345+1</f>
        <v>1975</v>
      </c>
      <c r="R1347" s="314" t="str" cm="1">
        <f t="array" aca="1" ref="R1347" ca="1">IFERROR(IF(INDEX('Disaggregation Records'!$G$156:$G$517,MATCH(RIGHT(L1347,255),RIGHT('Disaggregation Records'!$D$156:$D$517,255),0))="","",INDEX('Disaggregation Records'!$G$156:$G$517,MATCH(RIGHT(L1347,255),RIGHT('Disaggregation Records'!$D$156:$D$517,255),0))),"")</f>
        <v>a1LDm000000Cb2RMAS</v>
      </c>
    </row>
    <row r="1348" spans="1:18" ht="20.100000000000001" customHeight="1">
      <c r="B1348" s="571"/>
      <c r="C1348" s="573"/>
      <c r="D1348" s="575"/>
      <c r="E1348" s="575"/>
      <c r="F1348" s="128"/>
      <c r="G1348" s="577"/>
      <c r="H1348" s="540"/>
      <c r="I1348" s="579"/>
      <c r="J1348" s="533"/>
      <c r="L1348" s="126"/>
      <c r="N1348" s="126"/>
      <c r="O1348" s="314"/>
      <c r="P1348" s="310"/>
      <c r="Q1348" s="310"/>
      <c r="R1348" s="314" t="str" cm="1">
        <f t="array" ref="R1348">IFERROR(IF(INDEX('Disaggregation Records'!$G$156:$G$517,MATCH(RIGHT(L1348,255),RIGHT('Disaggregation Records'!$D$156:$D$517,255),0))="","",INDEX('Disaggregation Records'!$G$156:$G$517,MATCH(RIGHT(L1348,255),RIGHT('Disaggregation Records'!$D$156:$D$517,255),0))),"")</f>
        <v/>
      </c>
    </row>
    <row r="1349" spans="1:18" ht="20.100000000000001" customHeight="1">
      <c r="A1349" s="126" t="str">
        <f t="shared" ca="1" si="1517"/>
        <v>a16Dm000000M3w3IAC</v>
      </c>
      <c r="B1349" s="570">
        <v>19</v>
      </c>
      <c r="C1349" s="572" t="str">
        <f ca="1">IFERROR(VLOOKUP(B1349,'Coverage Indicators - Section D'!$A$9:$AO$94,41,FALSE),"")</f>
        <v>KP-1d Percentage of people who inject drugs reached with HIV prevention programs - defined package of services</v>
      </c>
      <c r="D1349" s="574" t="str">
        <f ca="1">M1349</f>
        <v>Gender</v>
      </c>
      <c r="E1349" s="574" t="str">
        <f ca="1">N1349</f>
        <v>Female</v>
      </c>
      <c r="F1349" s="127"/>
      <c r="G1349" s="576" t="str">
        <f ca="1">IF(OR(INDIRECT("'update Helper'!E"&amp;Q1349)="",F1349&lt;&gt;0,F1350&lt;&gt;0),IF(IFERROR((F1349/F1350),"")="","",(F1349/F1350)),INDIRECT("'update Helper'!E"&amp;Q1349)/100)</f>
        <v/>
      </c>
      <c r="H1349" s="539"/>
      <c r="I1349" s="578"/>
      <c r="J1349" s="532" t="s">
        <v>2301</v>
      </c>
      <c r="K1349" s="126">
        <f ca="1">IF(AND(EXACT(C1349,C1347),C1347&lt;&gt;0),K1347+1,0)</f>
        <v>4</v>
      </c>
      <c r="L1349" s="126" t="str">
        <f t="shared" ref="L1349" ca="1" si="1539">IF(C1349&lt;&gt;"",C1349&amp;"-"&amp;K1349,"")</f>
        <v>KP-1d Percentage of people who inject drugs reached with HIV prevention programs - defined package of services-4</v>
      </c>
      <c r="M1349" s="126" t="str">
        <f t="array" aca="1" ref="M1349" ca="1">IFERROR(IF(INDEX('Disaggregation Records'!$E$156:$E$517,MATCH(RIGHT(L1349,255),RIGHT('Disaggregation Records'!$D$156:$D$517,255),0))="","",INDEX('Disaggregation Records'!$E$156:$E$517,MATCH(RIGHT(L1349,255),RIGHT('Disaggregation Records'!$D$156:$D$517,255),0))),"")</f>
        <v>Gender</v>
      </c>
      <c r="N1349" s="126" t="str">
        <f t="array" aca="1" ref="N1349" ca="1">IFERROR(IF(INDEX('Disaggregation Records'!$F$156:$F$517,MATCH(RIGHT(L1349,255),RIGHT('Disaggregation Records'!$D$156:$D$517,255),0))="","",INDEX('Disaggregation Records'!$F$156:$F$517,MATCH(RIGHT(L1349,255),RIGHT('Disaggregation Records'!$D$156:$D$517,255),0))),"")</f>
        <v>Female</v>
      </c>
      <c r="O1349" s="314" t="str">
        <f t="array" aca="1" ref="O1349" ca="1">IFERROR(IF(INDEX('Disaggregation Records'!$H$156:$H$517,MATCH(RIGHT(L1349,255),RIGHT('Disaggregation Records'!$D$156:$D$517,255),0))="","",INDEX('Disaggregation Records'!$H$156:$H$517,MATCH(RIGHT(L1349,255),RIGHT('Disaggregation Records'!$D$156:$D$517,255),0))),"")</f>
        <v>IDR-01220</v>
      </c>
      <c r="P1349" s="310"/>
      <c r="Q1349" s="310">
        <f t="shared" ref="Q1349" si="1540">Q1347+1</f>
        <v>1976</v>
      </c>
      <c r="R1349" s="314" t="str" cm="1">
        <f t="array" aca="1" ref="R1349" ca="1">IFERROR(IF(INDEX('Disaggregation Records'!$G$156:$G$517,MATCH(RIGHT(L1349,255),RIGHT('Disaggregation Records'!$D$156:$D$517,255),0))="","",INDEX('Disaggregation Records'!$G$156:$G$517,MATCH(RIGHT(L1349,255),RIGHT('Disaggregation Records'!$D$156:$D$517,255),0))),"")</f>
        <v>a1LDm000000Cb2QMAS</v>
      </c>
    </row>
    <row r="1350" spans="1:18" ht="20.100000000000001" customHeight="1">
      <c r="A1350" s="126"/>
      <c r="B1350" s="571"/>
      <c r="C1350" s="573"/>
      <c r="D1350" s="575"/>
      <c r="E1350" s="575"/>
      <c r="F1350" s="128"/>
      <c r="G1350" s="577"/>
      <c r="H1350" s="540"/>
      <c r="I1350" s="579"/>
      <c r="J1350" s="533"/>
      <c r="L1350" s="126"/>
      <c r="N1350" s="126"/>
      <c r="O1350" s="314"/>
      <c r="P1350" s="310"/>
      <c r="Q1350" s="310"/>
      <c r="R1350" s="314" t="str" cm="1">
        <f t="array" ref="R1350">IFERROR(IF(INDEX('Disaggregation Records'!$G$156:$G$517,MATCH(RIGHT(L1350,255),RIGHT('Disaggregation Records'!$D$156:$D$517,255),0))="","",INDEX('Disaggregation Records'!$G$156:$G$517,MATCH(RIGHT(L1350,255),RIGHT('Disaggregation Records'!$D$156:$D$517,255),0))),"")</f>
        <v/>
      </c>
    </row>
    <row r="1351" spans="1:18" ht="20.100000000000001" customHeight="1">
      <c r="A1351" s="126" t="str">
        <f t="shared" ca="1" si="1520"/>
        <v>a16Dm000000M3w4IAC</v>
      </c>
      <c r="B1351" s="570">
        <v>19</v>
      </c>
      <c r="C1351" s="572" t="str">
        <f ca="1">IFERROR(VLOOKUP(B1351,'Coverage Indicators - Section D'!$A$9:$AO$94,41,FALSE),"")</f>
        <v>KP-1d Percentage of people who inject drugs reached with HIV prevention programs - defined package of services</v>
      </c>
      <c r="D1351" s="574" t="str">
        <f ca="1">M1351</f>
        <v/>
      </c>
      <c r="E1351" s="574" t="str">
        <f ca="1">N1351</f>
        <v/>
      </c>
      <c r="F1351" s="127"/>
      <c r="G1351" s="576" t="str">
        <f ca="1">IF(OR(INDIRECT("'update Helper'!E"&amp;Q1351)="",F1351&lt;&gt;0,F1352&lt;&gt;0),IF(IFERROR((F1351/F1352),"")="","",(F1351/F1352)),INDIRECT("'update Helper'!E"&amp;Q1351)/100)</f>
        <v/>
      </c>
      <c r="H1351" s="539"/>
      <c r="I1351" s="578"/>
      <c r="J1351" s="532"/>
      <c r="K1351" s="126">
        <f ca="1">IF(AND(EXACT(C1351,C1349),C1349&lt;&gt;0),K1349+1,0)</f>
        <v>5</v>
      </c>
      <c r="L1351" s="126" t="str">
        <f t="shared" ref="L1351" ca="1" si="1541">IF(C1351&lt;&gt;"",C1351&amp;"-"&amp;K1351,"")</f>
        <v>KP-1d Percentage of people who inject drugs reached with HIV prevention programs - defined package of services-5</v>
      </c>
      <c r="M1351" s="126" t="str">
        <f t="array" aca="1" ref="M1351" ca="1">IFERROR(IF(INDEX('Disaggregation Records'!$E$156:$E$517,MATCH(RIGHT(L1351,255),RIGHT('Disaggregation Records'!$D$156:$D$517,255),0))="","",INDEX('Disaggregation Records'!$E$156:$E$517,MATCH(RIGHT(L1351,255),RIGHT('Disaggregation Records'!$D$156:$D$517,255),0))),"")</f>
        <v/>
      </c>
      <c r="N1351" s="126" t="str">
        <f t="array" aca="1" ref="N1351" ca="1">IFERROR(IF(INDEX('Disaggregation Records'!$F$156:$F$517,MATCH(RIGHT(L1351,255),RIGHT('Disaggregation Records'!$D$156:$D$517,255),0))="","",INDEX('Disaggregation Records'!$F$156:$F$517,MATCH(RIGHT(L1351,255),RIGHT('Disaggregation Records'!$D$156:$D$517,255),0))),"")</f>
        <v/>
      </c>
      <c r="O1351" s="314" t="str">
        <f t="array" aca="1" ref="O1351" ca="1">IFERROR(IF(INDEX('Disaggregation Records'!$H$156:$H$517,MATCH(RIGHT(L1351,255),RIGHT('Disaggregation Records'!$D$156:$D$517,255),0))="","",INDEX('Disaggregation Records'!$H$156:$H$517,MATCH(RIGHT(L1351,255),RIGHT('Disaggregation Records'!$D$156:$D$517,255),0))),"")</f>
        <v/>
      </c>
      <c r="P1351" s="314"/>
      <c r="Q1351" s="310">
        <f t="shared" ref="Q1351" si="1542">Q1349+1</f>
        <v>1977</v>
      </c>
      <c r="R1351" s="314" t="str" cm="1">
        <f t="array" aca="1" ref="R1351" ca="1">IFERROR(IF(INDEX('Disaggregation Records'!$G$156:$G$517,MATCH(RIGHT(L1351,255),RIGHT('Disaggregation Records'!$D$156:$D$517,255),0))="","",INDEX('Disaggregation Records'!$G$156:$G$517,MATCH(RIGHT(L1351,255),RIGHT('Disaggregation Records'!$D$156:$D$517,255),0))),"")</f>
        <v/>
      </c>
    </row>
    <row r="1352" spans="1:18" ht="20.100000000000001" customHeight="1">
      <c r="B1352" s="571"/>
      <c r="C1352" s="573"/>
      <c r="D1352" s="575"/>
      <c r="E1352" s="575"/>
      <c r="F1352" s="128"/>
      <c r="G1352" s="577"/>
      <c r="H1352" s="540"/>
      <c r="I1352" s="579"/>
      <c r="J1352" s="533"/>
      <c r="K1352" s="126"/>
      <c r="L1352" s="126"/>
      <c r="M1352" s="126"/>
      <c r="N1352" s="126"/>
      <c r="O1352" s="314"/>
      <c r="P1352" s="314"/>
      <c r="Q1352" s="310"/>
      <c r="R1352" s="314" t="str" cm="1">
        <f t="array" ref="R1352">IFERROR(IF(INDEX('Disaggregation Records'!$G$156:$G$517,MATCH(RIGHT(L1352,255),RIGHT('Disaggregation Records'!$D$156:$D$517,255),0))="","",INDEX('Disaggregation Records'!$G$156:$G$517,MATCH(RIGHT(L1352,255),RIGHT('Disaggregation Records'!$D$156:$D$517,255),0))),"")</f>
        <v/>
      </c>
    </row>
    <row r="1353" spans="1:18" ht="20.100000000000001" customHeight="1">
      <c r="A1353" s="126" t="str">
        <f t="shared" ca="1" si="1517"/>
        <v>a16Dm000000M3w5IAC</v>
      </c>
      <c r="B1353" s="570">
        <v>19</v>
      </c>
      <c r="C1353" s="572" t="str">
        <f ca="1">IFERROR(VLOOKUP(B1353,'Coverage Indicators - Section D'!$A$9:$AO$94,41,FALSE),"")</f>
        <v>KP-1d Percentage of people who inject drugs reached with HIV prevention programs - defined package of services</v>
      </c>
      <c r="D1353" s="574" t="str">
        <f ca="1">M1353</f>
        <v/>
      </c>
      <c r="E1353" s="574" t="str">
        <f ca="1">N1353</f>
        <v/>
      </c>
      <c r="F1353" s="127"/>
      <c r="G1353" s="576" t="str">
        <f ca="1">IF(OR(INDIRECT("'update Helper'!E"&amp;Q1353)="",F1353&lt;&gt;0,F1354&lt;&gt;0),IF(IFERROR((F1353/F1354),"")="","",(F1353/F1354)),INDIRECT("'update Helper'!E"&amp;Q1353)/100)</f>
        <v/>
      </c>
      <c r="H1353" s="539"/>
      <c r="I1353" s="578"/>
      <c r="J1353" s="532"/>
      <c r="K1353" s="126">
        <f ca="1">IF(AND(EXACT(C1353,C1351),C1351&lt;&gt;0),K1351+1,0)</f>
        <v>6</v>
      </c>
      <c r="L1353" s="126" t="str">
        <f t="shared" ref="L1353" ca="1" si="1543">IF(C1353&lt;&gt;"",C1353&amp;"-"&amp;K1353,"")</f>
        <v>KP-1d Percentage of people who inject drugs reached with HIV prevention programs - defined package of services-6</v>
      </c>
      <c r="M1353" s="126" t="str">
        <f t="array" aca="1" ref="M1353" ca="1">IFERROR(IF(INDEX('Disaggregation Records'!$E$156:$E$517,MATCH(RIGHT(L1353,255),RIGHT('Disaggregation Records'!$D$156:$D$517,255),0))="","",INDEX('Disaggregation Records'!$E$156:$E$517,MATCH(RIGHT(L1353,255),RIGHT('Disaggregation Records'!$D$156:$D$517,255),0))),"")</f>
        <v/>
      </c>
      <c r="N1353" s="126" t="str">
        <f t="array" aca="1" ref="N1353" ca="1">IFERROR(IF(INDEX('Disaggregation Records'!$F$156:$F$517,MATCH(RIGHT(L1353,255),RIGHT('Disaggregation Records'!$D$156:$D$517,255),0))="","",INDEX('Disaggregation Records'!$F$156:$F$517,MATCH(RIGHT(L1353,255),RIGHT('Disaggregation Records'!$D$156:$D$517,255),0))),"")</f>
        <v/>
      </c>
      <c r="O1353" s="314" t="str">
        <f t="array" aca="1" ref="O1353" ca="1">IFERROR(IF(INDEX('Disaggregation Records'!$H$156:$H$517,MATCH(RIGHT(L1353,255),RIGHT('Disaggregation Records'!$D$156:$D$517,255),0))="","",INDEX('Disaggregation Records'!$H$156:$H$517,MATCH(RIGHT(L1353,255),RIGHT('Disaggregation Records'!$D$156:$D$517,255),0))),"")</f>
        <v/>
      </c>
      <c r="P1353" s="314"/>
      <c r="Q1353" s="310">
        <f t="shared" ref="Q1353" si="1544">Q1351+1</f>
        <v>1978</v>
      </c>
      <c r="R1353" s="314" t="str" cm="1">
        <f t="array" aca="1" ref="R1353" ca="1">IFERROR(IF(INDEX('Disaggregation Records'!$G$156:$G$517,MATCH(RIGHT(L1353,255),RIGHT('Disaggregation Records'!$D$156:$D$517,255),0))="","",INDEX('Disaggregation Records'!$G$156:$G$517,MATCH(RIGHT(L1353,255),RIGHT('Disaggregation Records'!$D$156:$D$517,255),0))),"")</f>
        <v/>
      </c>
    </row>
    <row r="1354" spans="1:18" ht="20.100000000000001" customHeight="1">
      <c r="A1354" s="126"/>
      <c r="B1354" s="571"/>
      <c r="C1354" s="573"/>
      <c r="D1354" s="575"/>
      <c r="E1354" s="575"/>
      <c r="F1354" s="128"/>
      <c r="G1354" s="577"/>
      <c r="H1354" s="540"/>
      <c r="I1354" s="579"/>
      <c r="J1354" s="533"/>
      <c r="K1354" s="126"/>
      <c r="L1354" s="126"/>
      <c r="M1354" s="126"/>
      <c r="N1354" s="126"/>
      <c r="O1354" s="314"/>
      <c r="P1354" s="314"/>
      <c r="Q1354" s="310"/>
      <c r="R1354" s="314" t="str" cm="1">
        <f t="array" ref="R1354">IFERROR(IF(INDEX('Disaggregation Records'!$G$156:$G$517,MATCH(RIGHT(L1354,255),RIGHT('Disaggregation Records'!$D$156:$D$517,255),0))="","",INDEX('Disaggregation Records'!$G$156:$G$517,MATCH(RIGHT(L1354,255),RIGHT('Disaggregation Records'!$D$156:$D$517,255),0))),"")</f>
        <v/>
      </c>
    </row>
    <row r="1355" spans="1:18" ht="20.100000000000001" customHeight="1">
      <c r="A1355" s="126" t="str">
        <f t="shared" ca="1" si="1520"/>
        <v>a16Dm000000M3w6IAC</v>
      </c>
      <c r="B1355" s="570">
        <v>19</v>
      </c>
      <c r="C1355" s="572" t="str">
        <f ca="1">IFERROR(VLOOKUP(B1355,'Coverage Indicators - Section D'!$A$9:$AO$94,41,FALSE),"")</f>
        <v>KP-1d Percentage of people who inject drugs reached with HIV prevention programs - defined package of services</v>
      </c>
      <c r="D1355" s="574" t="str">
        <f ca="1">M1355</f>
        <v/>
      </c>
      <c r="E1355" s="574" t="str">
        <f ca="1">N1355</f>
        <v/>
      </c>
      <c r="F1355" s="127"/>
      <c r="G1355" s="576" t="str">
        <f ca="1">IF(OR(INDIRECT("'update Helper'!E"&amp;Q1355)="",F1355&lt;&gt;0,F1356&lt;&gt;0),IF(IFERROR((F1355/F1356),"")="","",(F1355/F1356)),INDIRECT("'update Helper'!E"&amp;Q1355)/100)</f>
        <v/>
      </c>
      <c r="H1355" s="539"/>
      <c r="I1355" s="578"/>
      <c r="J1355" s="532"/>
      <c r="K1355" s="126">
        <f ca="1">IF(AND(EXACT(C1355,C1353),C1353&lt;&gt;0),K1353+1,0)</f>
        <v>7</v>
      </c>
      <c r="L1355" s="126" t="str">
        <f t="shared" ref="L1355" ca="1" si="1545">IF(C1355&lt;&gt;"",C1355&amp;"-"&amp;K1355,"")</f>
        <v>KP-1d Percentage of people who inject drugs reached with HIV prevention programs - defined package of services-7</v>
      </c>
      <c r="M1355" s="126" t="str">
        <f t="array" aca="1" ref="M1355" ca="1">IFERROR(IF(INDEX('Disaggregation Records'!$E$156:$E$517,MATCH(RIGHT(L1355,255),RIGHT('Disaggregation Records'!$D$156:$D$517,255),0))="","",INDEX('Disaggregation Records'!$E$156:$E$517,MATCH(RIGHT(L1355,255),RIGHT('Disaggregation Records'!$D$156:$D$517,255),0))),"")</f>
        <v/>
      </c>
      <c r="N1355" s="126" t="str">
        <f t="array" aca="1" ref="N1355" ca="1">IFERROR(IF(INDEX('Disaggregation Records'!$F$156:$F$517,MATCH(RIGHT(L1355,255),RIGHT('Disaggregation Records'!$D$156:$D$517,255),0))="","",INDEX('Disaggregation Records'!$F$156:$F$517,MATCH(RIGHT(L1355,255),RIGHT('Disaggregation Records'!$D$156:$D$517,255),0))),"")</f>
        <v/>
      </c>
      <c r="O1355" s="314" t="str">
        <f t="array" aca="1" ref="O1355" ca="1">IFERROR(IF(INDEX('Disaggregation Records'!$H$156:$H$517,MATCH(RIGHT(L1355,255),RIGHT('Disaggregation Records'!$D$156:$D$517,255),0))="","",INDEX('Disaggregation Records'!$H$156:$H$517,MATCH(RIGHT(L1355,255),RIGHT('Disaggregation Records'!$D$156:$D$517,255),0))),"")</f>
        <v/>
      </c>
      <c r="P1355" s="310"/>
      <c r="Q1355" s="310">
        <f t="shared" ref="Q1355" si="1546">Q1353+1</f>
        <v>1979</v>
      </c>
      <c r="R1355" s="314" t="str" cm="1">
        <f t="array" aca="1" ref="R1355" ca="1">IFERROR(IF(INDEX('Disaggregation Records'!$G$156:$G$517,MATCH(RIGHT(L1355,255),RIGHT('Disaggregation Records'!$D$156:$D$517,255),0))="","",INDEX('Disaggregation Records'!$G$156:$G$517,MATCH(RIGHT(L1355,255),RIGHT('Disaggregation Records'!$D$156:$D$517,255),0))),"")</f>
        <v/>
      </c>
    </row>
    <row r="1356" spans="1:18" ht="20.100000000000001" customHeight="1">
      <c r="B1356" s="571"/>
      <c r="C1356" s="573"/>
      <c r="D1356" s="575"/>
      <c r="E1356" s="575"/>
      <c r="F1356" s="128"/>
      <c r="G1356" s="577"/>
      <c r="H1356" s="540"/>
      <c r="I1356" s="579"/>
      <c r="J1356" s="533"/>
      <c r="L1356" s="126"/>
      <c r="N1356" s="126"/>
      <c r="O1356" s="314"/>
      <c r="P1356" s="310"/>
      <c r="Q1356" s="310"/>
      <c r="R1356" s="314" t="str" cm="1">
        <f t="array" ref="R1356">IFERROR(IF(INDEX('Disaggregation Records'!$G$156:$G$517,MATCH(RIGHT(L1356,255),RIGHT('Disaggregation Records'!$D$156:$D$517,255),0))="","",INDEX('Disaggregation Records'!$G$156:$G$517,MATCH(RIGHT(L1356,255),RIGHT('Disaggregation Records'!$D$156:$D$517,255),0))),"")</f>
        <v/>
      </c>
    </row>
    <row r="1357" spans="1:18" ht="20.100000000000001" customHeight="1">
      <c r="A1357" s="126" t="str">
        <f t="shared" ca="1" si="1517"/>
        <v>a16Dm000000M3w7IAC</v>
      </c>
      <c r="B1357" s="570">
        <v>19</v>
      </c>
      <c r="C1357" s="572" t="str">
        <f ca="1">IFERROR(VLOOKUP(B1357,'Coverage Indicators - Section D'!$A$9:$AO$94,41,FALSE),"")</f>
        <v>KP-1d Percentage of people who inject drugs reached with HIV prevention programs - defined package of services</v>
      </c>
      <c r="D1357" s="574" t="str">
        <f ca="1">M1357</f>
        <v/>
      </c>
      <c r="E1357" s="574" t="str">
        <f ca="1">N1357</f>
        <v/>
      </c>
      <c r="F1357" s="127"/>
      <c r="G1357" s="576" t="str">
        <f ca="1">IF(OR(INDIRECT("'update Helper'!E"&amp;Q1357)="",F1357&lt;&gt;0,F1358&lt;&gt;0),IF(IFERROR((F1357/F1358),"")="","",(F1357/F1358)),INDIRECT("'update Helper'!E"&amp;Q1357)/100)</f>
        <v/>
      </c>
      <c r="H1357" s="539"/>
      <c r="I1357" s="578"/>
      <c r="J1357" s="532"/>
      <c r="K1357" s="126">
        <f ca="1">IF(AND(EXACT(C1357,C1355),C1355&lt;&gt;0),K1355+1,0)</f>
        <v>8</v>
      </c>
      <c r="L1357" s="126" t="str">
        <f t="shared" ref="L1357" ca="1" si="1547">IF(C1357&lt;&gt;"",C1357&amp;"-"&amp;K1357,"")</f>
        <v>KP-1d Percentage of people who inject drugs reached with HIV prevention programs - defined package of services-8</v>
      </c>
      <c r="M1357" s="126" t="str">
        <f t="array" aca="1" ref="M1357" ca="1">IFERROR(IF(INDEX('Disaggregation Records'!$E$156:$E$517,MATCH(RIGHT(L1357,255),RIGHT('Disaggregation Records'!$D$156:$D$517,255),0))="","",INDEX('Disaggregation Records'!$E$156:$E$517,MATCH(RIGHT(L1357,255),RIGHT('Disaggregation Records'!$D$156:$D$517,255),0))),"")</f>
        <v/>
      </c>
      <c r="N1357" s="126" t="str">
        <f t="array" aca="1" ref="N1357" ca="1">IFERROR(IF(INDEX('Disaggregation Records'!$F$156:$F$517,MATCH(RIGHT(L1357,255),RIGHT('Disaggregation Records'!$D$156:$D$517,255),0))="","",INDEX('Disaggregation Records'!$F$156:$F$517,MATCH(RIGHT(L1357,255),RIGHT('Disaggregation Records'!$D$156:$D$517,255),0))),"")</f>
        <v/>
      </c>
      <c r="O1357" s="314" t="str">
        <f t="array" aca="1" ref="O1357" ca="1">IFERROR(IF(INDEX('Disaggregation Records'!$H$156:$H$517,MATCH(RIGHT(L1357,255),RIGHT('Disaggregation Records'!$D$156:$D$517,255),0))="","",INDEX('Disaggregation Records'!$H$156:$H$517,MATCH(RIGHT(L1357,255),RIGHT('Disaggregation Records'!$D$156:$D$517,255),0))),"")</f>
        <v/>
      </c>
      <c r="P1357" s="310"/>
      <c r="Q1357" s="310">
        <f t="shared" ref="Q1357" si="1548">Q1355+1</f>
        <v>1980</v>
      </c>
      <c r="R1357" s="314" t="str" cm="1">
        <f t="array" aca="1" ref="R1357" ca="1">IFERROR(IF(INDEX('Disaggregation Records'!$G$156:$G$517,MATCH(RIGHT(L1357,255),RIGHT('Disaggregation Records'!$D$156:$D$517,255),0))="","",INDEX('Disaggregation Records'!$G$156:$G$517,MATCH(RIGHT(L1357,255),RIGHT('Disaggregation Records'!$D$156:$D$517,255),0))),"")</f>
        <v/>
      </c>
    </row>
    <row r="1358" spans="1:18" ht="20.100000000000001" customHeight="1">
      <c r="A1358" s="126"/>
      <c r="B1358" s="571"/>
      <c r="C1358" s="573"/>
      <c r="D1358" s="575"/>
      <c r="E1358" s="575"/>
      <c r="F1358" s="128"/>
      <c r="G1358" s="577"/>
      <c r="H1358" s="540"/>
      <c r="I1358" s="579"/>
      <c r="J1358" s="533"/>
      <c r="L1358" s="126"/>
      <c r="N1358" s="126"/>
      <c r="O1358" s="314"/>
      <c r="P1358" s="310"/>
      <c r="Q1358" s="310"/>
      <c r="R1358" s="314" t="str" cm="1">
        <f t="array" ref="R1358">IFERROR(IF(INDEX('Disaggregation Records'!$G$156:$G$517,MATCH(RIGHT(L1358,255),RIGHT('Disaggregation Records'!$D$156:$D$517,255),0))="","",INDEX('Disaggregation Records'!$G$156:$G$517,MATCH(RIGHT(L1358,255),RIGHT('Disaggregation Records'!$D$156:$D$517,255),0))),"")</f>
        <v/>
      </c>
    </row>
    <row r="1359" spans="1:18" ht="20.100000000000001" customHeight="1">
      <c r="A1359" s="126" t="str">
        <f t="shared" ca="1" si="1520"/>
        <v>a16Dm000000M3w8IAC</v>
      </c>
      <c r="B1359" s="570">
        <v>19</v>
      </c>
      <c r="C1359" s="572" t="str">
        <f ca="1">IFERROR(VLOOKUP(B1359,'Coverage Indicators - Section D'!$A$9:$AO$94,41,FALSE),"")</f>
        <v>KP-1d Percentage of people who inject drugs reached with HIV prevention programs - defined package of services</v>
      </c>
      <c r="D1359" s="574" t="str">
        <f ca="1">M1359</f>
        <v/>
      </c>
      <c r="E1359" s="574" t="str">
        <f ca="1">N1359</f>
        <v/>
      </c>
      <c r="F1359" s="127"/>
      <c r="G1359" s="576" t="str">
        <f ca="1">IF(OR(INDIRECT("'update Helper'!E"&amp;Q1359)="",F1359&lt;&gt;0,F1360&lt;&gt;0),IF(IFERROR((F1359/F1360),"")="","",(F1359/F1360)),INDIRECT("'update Helper'!E"&amp;Q1359)/100)</f>
        <v/>
      </c>
      <c r="H1359" s="539"/>
      <c r="I1359" s="578"/>
      <c r="J1359" s="532"/>
      <c r="K1359" s="126">
        <f ca="1">IF(AND(EXACT(C1359,C1357),C1357&lt;&gt;0),K1357+1,0)</f>
        <v>9</v>
      </c>
      <c r="L1359" s="126" t="str">
        <f t="shared" ref="L1359" ca="1" si="1549">IF(C1359&lt;&gt;"",C1359&amp;"-"&amp;K1359,"")</f>
        <v>KP-1d Percentage of people who inject drugs reached with HIV prevention programs - defined package of services-9</v>
      </c>
      <c r="M1359" s="126" t="str">
        <f t="array" aca="1" ref="M1359" ca="1">IFERROR(IF(INDEX('Disaggregation Records'!$E$156:$E$517,MATCH(RIGHT(L1359,255),RIGHT('Disaggregation Records'!$D$156:$D$517,255),0))="","",INDEX('Disaggregation Records'!$E$156:$E$517,MATCH(RIGHT(L1359,255),RIGHT('Disaggregation Records'!$D$156:$D$517,255),0))),"")</f>
        <v/>
      </c>
      <c r="N1359" s="126" t="str">
        <f t="array" aca="1" ref="N1359" ca="1">IFERROR(IF(INDEX('Disaggregation Records'!$F$156:$F$517,MATCH(RIGHT(L1359,255),RIGHT('Disaggregation Records'!$D$156:$D$517,255),0))="","",INDEX('Disaggregation Records'!$F$156:$F$517,MATCH(RIGHT(L1359,255),RIGHT('Disaggregation Records'!$D$156:$D$517,255),0))),"")</f>
        <v/>
      </c>
      <c r="O1359" s="314" t="str">
        <f t="array" aca="1" ref="O1359" ca="1">IFERROR(IF(INDEX('Disaggregation Records'!$H$156:$H$517,MATCH(RIGHT(L1359,255),RIGHT('Disaggregation Records'!$D$156:$D$517,255),0))="","",INDEX('Disaggregation Records'!$H$156:$H$517,MATCH(RIGHT(L1359,255),RIGHT('Disaggregation Records'!$D$156:$D$517,255),0))),"")</f>
        <v/>
      </c>
      <c r="P1359" s="310"/>
      <c r="Q1359" s="310">
        <f t="shared" ref="Q1359" si="1550">Q1357+1</f>
        <v>1981</v>
      </c>
      <c r="R1359" s="314" t="str" cm="1">
        <f t="array" aca="1" ref="R1359" ca="1">IFERROR(IF(INDEX('Disaggregation Records'!$G$156:$G$517,MATCH(RIGHT(L1359,255),RIGHT('Disaggregation Records'!$D$156:$D$517,255),0))="","",INDEX('Disaggregation Records'!$G$156:$G$517,MATCH(RIGHT(L1359,255),RIGHT('Disaggregation Records'!$D$156:$D$517,255),0))),"")</f>
        <v/>
      </c>
    </row>
    <row r="1360" spans="1:18" ht="20.100000000000001" customHeight="1">
      <c r="B1360" s="571"/>
      <c r="C1360" s="573"/>
      <c r="D1360" s="575"/>
      <c r="E1360" s="575"/>
      <c r="F1360" s="128"/>
      <c r="G1360" s="577"/>
      <c r="H1360" s="540"/>
      <c r="I1360" s="579"/>
      <c r="J1360" s="533"/>
      <c r="L1360" s="126"/>
      <c r="N1360" s="126"/>
      <c r="O1360" s="314"/>
      <c r="P1360" s="310"/>
      <c r="Q1360" s="310"/>
      <c r="R1360" s="314" t="str" cm="1">
        <f t="array" ref="R1360">IFERROR(IF(INDEX('Disaggregation Records'!$G$156:$G$517,MATCH(RIGHT(L1360,255),RIGHT('Disaggregation Records'!$D$156:$D$517,255),0))="","",INDEX('Disaggregation Records'!$G$156:$G$517,MATCH(RIGHT(L1360,255),RIGHT('Disaggregation Records'!$D$156:$D$517,255),0))),"")</f>
        <v/>
      </c>
    </row>
    <row r="1361" spans="1:18" ht="20.100000000000001" customHeight="1">
      <c r="A1361" s="126" t="str">
        <f t="shared" ca="1" si="1517"/>
        <v>a16Dm000000M3w9IAC</v>
      </c>
      <c r="B1361" s="570">
        <v>19</v>
      </c>
      <c r="C1361" s="572" t="str">
        <f ca="1">IFERROR(VLOOKUP(B1361,'Coverage Indicators - Section D'!$A$9:$AO$94,41,FALSE),"")</f>
        <v>KP-1d Percentage of people who inject drugs reached with HIV prevention programs - defined package of services</v>
      </c>
      <c r="D1361" s="574" t="str">
        <f ca="1">M1361</f>
        <v/>
      </c>
      <c r="E1361" s="574" t="str">
        <f ca="1">N1361</f>
        <v/>
      </c>
      <c r="F1361" s="127"/>
      <c r="G1361" s="576" t="str">
        <f ca="1">IF(OR(INDIRECT("'update Helper'!E"&amp;Q1361)="",F1361&lt;&gt;0,F1362&lt;&gt;0),IF(IFERROR((F1361/F1362),"")="","",(F1361/F1362)),INDIRECT("'update Helper'!E"&amp;Q1361)/100)</f>
        <v/>
      </c>
      <c r="H1361" s="539"/>
      <c r="I1361" s="578"/>
      <c r="J1361" s="532"/>
      <c r="K1361" s="126">
        <f ca="1">IF(AND(EXACT(C1361,C1359),C1359&lt;&gt;0),K1359+1,0)</f>
        <v>10</v>
      </c>
      <c r="L1361" s="126" t="str">
        <f t="shared" ref="L1361" ca="1" si="1551">IF(C1361&lt;&gt;"",C1361&amp;"-"&amp;K1361,"")</f>
        <v>KP-1d Percentage of people who inject drugs reached with HIV prevention programs - defined package of services-10</v>
      </c>
      <c r="M1361" s="126" t="str">
        <f t="array" aca="1" ref="M1361" ca="1">IFERROR(IF(INDEX('Disaggregation Records'!$E$156:$E$517,MATCH(RIGHT(L1361,255),RIGHT('Disaggregation Records'!$D$156:$D$517,255),0))="","",INDEX('Disaggregation Records'!$E$156:$E$517,MATCH(RIGHT(L1361,255),RIGHT('Disaggregation Records'!$D$156:$D$517,255),0))),"")</f>
        <v/>
      </c>
      <c r="N1361" s="126" t="str">
        <f t="array" aca="1" ref="N1361" ca="1">IFERROR(IF(INDEX('Disaggregation Records'!$F$156:$F$517,MATCH(RIGHT(L1361,255),RIGHT('Disaggregation Records'!$D$156:$D$517,255),0))="","",INDEX('Disaggregation Records'!$F$156:$F$517,MATCH(RIGHT(L1361,255),RIGHT('Disaggregation Records'!$D$156:$D$517,255),0))),"")</f>
        <v/>
      </c>
      <c r="O1361" s="314" t="str">
        <f t="array" aca="1" ref="O1361" ca="1">IFERROR(IF(INDEX('Disaggregation Records'!$H$156:$H$517,MATCH(RIGHT(L1361,255),RIGHT('Disaggregation Records'!$D$156:$D$517,255),0))="","",INDEX('Disaggregation Records'!$H$156:$H$517,MATCH(RIGHT(L1361,255),RIGHT('Disaggregation Records'!$D$156:$D$517,255),0))),"")</f>
        <v/>
      </c>
      <c r="P1361" s="314"/>
      <c r="Q1361" s="310">
        <f t="shared" ref="Q1361" si="1552">Q1359+1</f>
        <v>1982</v>
      </c>
      <c r="R1361" s="314" t="str" cm="1">
        <f t="array" aca="1" ref="R1361" ca="1">IFERROR(IF(INDEX('Disaggregation Records'!$G$156:$G$517,MATCH(RIGHT(L1361,255),RIGHT('Disaggregation Records'!$D$156:$D$517,255),0))="","",INDEX('Disaggregation Records'!$G$156:$G$517,MATCH(RIGHT(L1361,255),RIGHT('Disaggregation Records'!$D$156:$D$517,255),0))),"")</f>
        <v/>
      </c>
    </row>
    <row r="1362" spans="1:18" ht="20.100000000000001" customHeight="1">
      <c r="A1362" s="126"/>
      <c r="B1362" s="571"/>
      <c r="C1362" s="573"/>
      <c r="D1362" s="575"/>
      <c r="E1362" s="575"/>
      <c r="F1362" s="128"/>
      <c r="G1362" s="577"/>
      <c r="H1362" s="540"/>
      <c r="I1362" s="579"/>
      <c r="J1362" s="533"/>
      <c r="K1362" s="126"/>
      <c r="L1362" s="126"/>
      <c r="M1362" s="126"/>
      <c r="N1362" s="126"/>
      <c r="O1362" s="314"/>
      <c r="P1362" s="314"/>
      <c r="Q1362" s="310"/>
      <c r="R1362" s="314" t="str" cm="1">
        <f t="array" ref="R1362">IFERROR(IF(INDEX('Disaggregation Records'!$G$156:$G$517,MATCH(RIGHT(L1362,255),RIGHT('Disaggregation Records'!$D$156:$D$517,255),0))="","",INDEX('Disaggregation Records'!$G$156:$G$517,MATCH(RIGHT(L1362,255),RIGHT('Disaggregation Records'!$D$156:$D$517,255),0))),"")</f>
        <v/>
      </c>
    </row>
    <row r="1363" spans="1:18" ht="20.100000000000001" customHeight="1">
      <c r="A1363" s="126" t="str">
        <f t="shared" ca="1" si="1520"/>
        <v>a16Dm000000M3wAIAS</v>
      </c>
      <c r="B1363" s="570">
        <v>19</v>
      </c>
      <c r="C1363" s="572" t="str">
        <f ca="1">IFERROR(VLOOKUP(B1363,'Coverage Indicators - Section D'!$A$9:$AO$94,41,FALSE),"")</f>
        <v>KP-1d Percentage of people who inject drugs reached with HIV prevention programs - defined package of services</v>
      </c>
      <c r="D1363" s="574" t="str">
        <f ca="1">M1363</f>
        <v/>
      </c>
      <c r="E1363" s="574" t="str">
        <f ca="1">N1363</f>
        <v/>
      </c>
      <c r="F1363" s="127"/>
      <c r="G1363" s="576" t="str">
        <f ca="1">IF(OR(INDIRECT("'update Helper'!E"&amp;Q1363)="",F1363&lt;&gt;0,F1364&lt;&gt;0),IF(IFERROR((F1363/F1364),"")="","",(F1363/F1364)),INDIRECT("'update Helper'!E"&amp;Q1363)/100)</f>
        <v/>
      </c>
      <c r="H1363" s="539"/>
      <c r="I1363" s="578"/>
      <c r="J1363" s="532"/>
      <c r="K1363" s="126">
        <f ca="1">IF(AND(EXACT(C1363,C1361),C1361&lt;&gt;0),K1361+1,0)</f>
        <v>11</v>
      </c>
      <c r="L1363" s="126" t="str">
        <f t="shared" ref="L1363" ca="1" si="1553">IF(C1363&lt;&gt;"",C1363&amp;"-"&amp;K1363,"")</f>
        <v>KP-1d Percentage of people who inject drugs reached with HIV prevention programs - defined package of services-11</v>
      </c>
      <c r="M1363" s="126" t="str">
        <f t="array" aca="1" ref="M1363" ca="1">IFERROR(IF(INDEX('Disaggregation Records'!$E$156:$E$517,MATCH(RIGHT(L1363,255),RIGHT('Disaggregation Records'!$D$156:$D$517,255),0))="","",INDEX('Disaggregation Records'!$E$156:$E$517,MATCH(RIGHT(L1363,255),RIGHT('Disaggregation Records'!$D$156:$D$517,255),0))),"")</f>
        <v/>
      </c>
      <c r="N1363" s="126" t="str">
        <f t="array" aca="1" ref="N1363" ca="1">IFERROR(IF(INDEX('Disaggregation Records'!$F$156:$F$517,MATCH(RIGHT(L1363,255),RIGHT('Disaggregation Records'!$D$156:$D$517,255),0))="","",INDEX('Disaggregation Records'!$F$156:$F$517,MATCH(RIGHT(L1363,255),RIGHT('Disaggregation Records'!$D$156:$D$517,255),0))),"")</f>
        <v/>
      </c>
      <c r="O1363" s="314" t="str">
        <f t="array" aca="1" ref="O1363" ca="1">IFERROR(IF(INDEX('Disaggregation Records'!$H$156:$H$517,MATCH(RIGHT(L1363,255),RIGHT('Disaggregation Records'!$D$156:$D$517,255),0))="","",INDEX('Disaggregation Records'!$H$156:$H$517,MATCH(RIGHT(L1363,255),RIGHT('Disaggregation Records'!$D$156:$D$517,255),0))),"")</f>
        <v/>
      </c>
      <c r="P1363" s="314"/>
      <c r="Q1363" s="310">
        <f t="shared" ref="Q1363" si="1554">Q1361+1</f>
        <v>1983</v>
      </c>
      <c r="R1363" s="314" t="str" cm="1">
        <f t="array" aca="1" ref="R1363" ca="1">IFERROR(IF(INDEX('Disaggregation Records'!$G$156:$G$517,MATCH(RIGHT(L1363,255),RIGHT('Disaggregation Records'!$D$156:$D$517,255),0))="","",INDEX('Disaggregation Records'!$G$156:$G$517,MATCH(RIGHT(L1363,255),RIGHT('Disaggregation Records'!$D$156:$D$517,255),0))),"")</f>
        <v/>
      </c>
    </row>
    <row r="1364" spans="1:18" ht="20.100000000000001" customHeight="1">
      <c r="B1364" s="571"/>
      <c r="C1364" s="573"/>
      <c r="D1364" s="575"/>
      <c r="E1364" s="575"/>
      <c r="F1364" s="128"/>
      <c r="G1364" s="577"/>
      <c r="H1364" s="540"/>
      <c r="I1364" s="579"/>
      <c r="J1364" s="533"/>
      <c r="K1364" s="126"/>
      <c r="L1364" s="126"/>
      <c r="M1364" s="126"/>
      <c r="N1364" s="126"/>
      <c r="O1364" s="314"/>
      <c r="P1364" s="314"/>
      <c r="Q1364" s="310"/>
      <c r="R1364" s="314" t="str" cm="1">
        <f t="array" ref="R1364">IFERROR(IF(INDEX('Disaggregation Records'!$G$156:$G$517,MATCH(RIGHT(L1364,255),RIGHT('Disaggregation Records'!$D$156:$D$517,255),0))="","",INDEX('Disaggregation Records'!$G$156:$G$517,MATCH(RIGHT(L1364,255),RIGHT('Disaggregation Records'!$D$156:$D$517,255),0))),"")</f>
        <v/>
      </c>
    </row>
    <row r="1365" spans="1:18" ht="20.100000000000001" customHeight="1">
      <c r="A1365" s="126" t="str">
        <f t="shared" ca="1" si="1517"/>
        <v>a16Dm000000M3wBIAS</v>
      </c>
      <c r="B1365" s="570">
        <v>19</v>
      </c>
      <c r="C1365" s="572" t="str">
        <f ca="1">IFERROR(VLOOKUP(B1365,'Coverage Indicators - Section D'!$A$9:$AO$94,41,FALSE),"")</f>
        <v>KP-1d Percentage of people who inject drugs reached with HIV prevention programs - defined package of services</v>
      </c>
      <c r="D1365" s="574" t="str">
        <f ca="1">M1365</f>
        <v/>
      </c>
      <c r="E1365" s="574" t="str">
        <f ca="1">N1365</f>
        <v/>
      </c>
      <c r="F1365" s="127"/>
      <c r="G1365" s="576" t="str">
        <f ca="1">IF(OR(INDIRECT("'update Helper'!E"&amp;Q1365)="",F1365&lt;&gt;0,F1366&lt;&gt;0),IF(IFERROR((F1365/F1366),"")="","",(F1365/F1366)),INDIRECT("'update Helper'!E"&amp;Q1365)/100)</f>
        <v/>
      </c>
      <c r="H1365" s="539"/>
      <c r="I1365" s="578"/>
      <c r="J1365" s="532"/>
      <c r="K1365" s="126">
        <f ca="1">IF(AND(EXACT(C1365,C1363),C1363&lt;&gt;0),K1363+1,0)</f>
        <v>12</v>
      </c>
      <c r="L1365" s="126" t="str">
        <f t="shared" ref="L1365" ca="1" si="1555">IF(C1365&lt;&gt;"",C1365&amp;"-"&amp;K1365,"")</f>
        <v>KP-1d Percentage of people who inject drugs reached with HIV prevention programs - defined package of services-12</v>
      </c>
      <c r="M1365" s="126" t="str">
        <f t="array" aca="1" ref="M1365" ca="1">IFERROR(IF(INDEX('Disaggregation Records'!$E$156:$E$517,MATCH(RIGHT(L1365,255),RIGHT('Disaggregation Records'!$D$156:$D$517,255),0))="","",INDEX('Disaggregation Records'!$E$156:$E$517,MATCH(RIGHT(L1365,255),RIGHT('Disaggregation Records'!$D$156:$D$517,255),0))),"")</f>
        <v/>
      </c>
      <c r="N1365" s="126" t="str">
        <f t="array" aca="1" ref="N1365" ca="1">IFERROR(IF(INDEX('Disaggregation Records'!$F$156:$F$517,MATCH(RIGHT(L1365,255),RIGHT('Disaggregation Records'!$D$156:$D$517,255),0))="","",INDEX('Disaggregation Records'!$F$156:$F$517,MATCH(RIGHT(L1365,255),RIGHT('Disaggregation Records'!$D$156:$D$517,255),0))),"")</f>
        <v/>
      </c>
      <c r="O1365" s="314" t="str">
        <f t="array" aca="1" ref="O1365" ca="1">IFERROR(IF(INDEX('Disaggregation Records'!$H$156:$H$517,MATCH(RIGHT(L1365,255),RIGHT('Disaggregation Records'!$D$156:$D$517,255),0))="","",INDEX('Disaggregation Records'!$H$156:$H$517,MATCH(RIGHT(L1365,255),RIGHT('Disaggregation Records'!$D$156:$D$517,255),0))),"")</f>
        <v/>
      </c>
      <c r="P1365" s="310"/>
      <c r="Q1365" s="310">
        <f t="shared" ref="Q1365" si="1556">Q1363+1</f>
        <v>1984</v>
      </c>
      <c r="R1365" s="314" t="str" cm="1">
        <f t="array" aca="1" ref="R1365" ca="1">IFERROR(IF(INDEX('Disaggregation Records'!$G$156:$G$517,MATCH(RIGHT(L1365,255),RIGHT('Disaggregation Records'!$D$156:$D$517,255),0))="","",INDEX('Disaggregation Records'!$G$156:$G$517,MATCH(RIGHT(L1365,255),RIGHT('Disaggregation Records'!$D$156:$D$517,255),0))),"")</f>
        <v/>
      </c>
    </row>
    <row r="1366" spans="1:18" ht="20.100000000000001" customHeight="1">
      <c r="A1366" s="126"/>
      <c r="B1366" s="571"/>
      <c r="C1366" s="573"/>
      <c r="D1366" s="575"/>
      <c r="E1366" s="575"/>
      <c r="F1366" s="128"/>
      <c r="G1366" s="577"/>
      <c r="H1366" s="540"/>
      <c r="I1366" s="579"/>
      <c r="J1366" s="533"/>
      <c r="L1366" s="126"/>
      <c r="N1366" s="126"/>
      <c r="O1366" s="314"/>
      <c r="P1366" s="310"/>
      <c r="Q1366" s="310"/>
      <c r="R1366" s="314" t="str" cm="1">
        <f t="array" ref="R1366">IFERROR(IF(INDEX('Disaggregation Records'!$G$156:$G$517,MATCH(RIGHT(L1366,255),RIGHT('Disaggregation Records'!$D$156:$D$517,255),0))="","",INDEX('Disaggregation Records'!$G$156:$G$517,MATCH(RIGHT(L1366,255),RIGHT('Disaggregation Records'!$D$156:$D$517,255),0))),"")</f>
        <v/>
      </c>
    </row>
    <row r="1367" spans="1:18" ht="20.100000000000001" customHeight="1">
      <c r="A1367" s="126" t="str">
        <f t="shared" ca="1" si="1520"/>
        <v>a16Dm000000M3wCIAS</v>
      </c>
      <c r="B1367" s="570">
        <v>19</v>
      </c>
      <c r="C1367" s="572" t="str">
        <f ca="1">IFERROR(VLOOKUP(B1367,'Coverage Indicators - Section D'!$A$9:$AO$94,41,FALSE),"")</f>
        <v>KP-1d Percentage of people who inject drugs reached with HIV prevention programs - defined package of services</v>
      </c>
      <c r="D1367" s="574" t="str">
        <f ca="1">M1367</f>
        <v/>
      </c>
      <c r="E1367" s="574" t="str">
        <f ca="1">N1367</f>
        <v/>
      </c>
      <c r="F1367" s="127"/>
      <c r="G1367" s="576" t="str">
        <f ca="1">IF(OR(INDIRECT("'update Helper'!E"&amp;Q1367)="",F1367&lt;&gt;0,F1368&lt;&gt;0),IF(IFERROR((F1367/F1368),"")="","",(F1367/F1368)),INDIRECT("'update Helper'!E"&amp;Q1367)/100)</f>
        <v/>
      </c>
      <c r="H1367" s="539"/>
      <c r="I1367" s="578"/>
      <c r="J1367" s="532"/>
      <c r="K1367" s="126">
        <f ca="1">IF(AND(EXACT(C1367,C1365),C1365&lt;&gt;0),K1365+1,0)</f>
        <v>13</v>
      </c>
      <c r="L1367" s="126" t="str">
        <f t="shared" ref="L1367" ca="1" si="1557">IF(C1367&lt;&gt;"",C1367&amp;"-"&amp;K1367,"")</f>
        <v>KP-1d Percentage of people who inject drugs reached with HIV prevention programs - defined package of services-13</v>
      </c>
      <c r="M1367" s="126" t="str">
        <f t="array" aca="1" ref="M1367" ca="1">IFERROR(IF(INDEX('Disaggregation Records'!$E$156:$E$517,MATCH(RIGHT(L1367,255),RIGHT('Disaggregation Records'!$D$156:$D$517,255),0))="","",INDEX('Disaggregation Records'!$E$156:$E$517,MATCH(RIGHT(L1367,255),RIGHT('Disaggregation Records'!$D$156:$D$517,255),0))),"")</f>
        <v/>
      </c>
      <c r="N1367" s="126" t="str">
        <f t="array" aca="1" ref="N1367" ca="1">IFERROR(IF(INDEX('Disaggregation Records'!$F$156:$F$517,MATCH(RIGHT(L1367,255),RIGHT('Disaggregation Records'!$D$156:$D$517,255),0))="","",INDEX('Disaggregation Records'!$F$156:$F$517,MATCH(RIGHT(L1367,255),RIGHT('Disaggregation Records'!$D$156:$D$517,255),0))),"")</f>
        <v/>
      </c>
      <c r="O1367" s="314" t="str">
        <f t="array" aca="1" ref="O1367" ca="1">IFERROR(IF(INDEX('Disaggregation Records'!$H$156:$H$517,MATCH(RIGHT(L1367,255),RIGHT('Disaggregation Records'!$D$156:$D$517,255),0))="","",INDEX('Disaggregation Records'!$H$156:$H$517,MATCH(RIGHT(L1367,255),RIGHT('Disaggregation Records'!$D$156:$D$517,255),0))),"")</f>
        <v/>
      </c>
      <c r="P1367" s="310"/>
      <c r="Q1367" s="310">
        <f t="shared" ref="Q1367" si="1558">Q1365+1</f>
        <v>1985</v>
      </c>
      <c r="R1367" s="314" t="str" cm="1">
        <f t="array" aca="1" ref="R1367" ca="1">IFERROR(IF(INDEX('Disaggregation Records'!$G$156:$G$517,MATCH(RIGHT(L1367,255),RIGHT('Disaggregation Records'!$D$156:$D$517,255),0))="","",INDEX('Disaggregation Records'!$G$156:$G$517,MATCH(RIGHT(L1367,255),RIGHT('Disaggregation Records'!$D$156:$D$517,255),0))),"")</f>
        <v/>
      </c>
    </row>
    <row r="1368" spans="1:18" ht="20.100000000000001" customHeight="1">
      <c r="B1368" s="571"/>
      <c r="C1368" s="573"/>
      <c r="D1368" s="575"/>
      <c r="E1368" s="575"/>
      <c r="F1368" s="128"/>
      <c r="G1368" s="577"/>
      <c r="H1368" s="540"/>
      <c r="I1368" s="579"/>
      <c r="J1368" s="533"/>
      <c r="L1368" s="126"/>
      <c r="N1368" s="126"/>
      <c r="O1368" s="314"/>
      <c r="P1368" s="310"/>
      <c r="Q1368" s="310"/>
      <c r="R1368" s="314" t="str" cm="1">
        <f t="array" ref="R1368">IFERROR(IF(INDEX('Disaggregation Records'!$G$156:$G$517,MATCH(RIGHT(L1368,255),RIGHT('Disaggregation Records'!$D$156:$D$517,255),0))="","",INDEX('Disaggregation Records'!$G$156:$G$517,MATCH(RIGHT(L1368,255),RIGHT('Disaggregation Records'!$D$156:$D$517,255),0))),"")</f>
        <v/>
      </c>
    </row>
    <row r="1369" spans="1:18" ht="20.100000000000001" customHeight="1">
      <c r="A1369" s="126" t="str">
        <f t="shared" ca="1" si="1517"/>
        <v>a16Dm000000M3wDIAS</v>
      </c>
      <c r="B1369" s="570">
        <v>19</v>
      </c>
      <c r="C1369" s="572" t="str">
        <f ca="1">IFERROR(VLOOKUP(B1369,'Coverage Indicators - Section D'!$A$9:$AO$94,41,FALSE),"")</f>
        <v>KP-1d Percentage of people who inject drugs reached with HIV prevention programs - defined package of services</v>
      </c>
      <c r="D1369" s="574" t="str">
        <f ca="1">M1369</f>
        <v/>
      </c>
      <c r="E1369" s="574" t="str">
        <f ca="1">N1369</f>
        <v/>
      </c>
      <c r="F1369" s="127"/>
      <c r="G1369" s="576" t="str">
        <f ca="1">IF(OR(INDIRECT("'update Helper'!E"&amp;Q1369)="",F1369&lt;&gt;0,F1370&lt;&gt;0),IF(IFERROR((F1369/F1370),"")="","",(F1369/F1370)),INDIRECT("'update Helper'!E"&amp;Q1369)/100)</f>
        <v/>
      </c>
      <c r="H1369" s="539"/>
      <c r="I1369" s="578"/>
      <c r="J1369" s="532"/>
      <c r="K1369" s="126">
        <f ca="1">IF(AND(EXACT(C1369,C1367),C1367&lt;&gt;0),K1367+1,0)</f>
        <v>14</v>
      </c>
      <c r="L1369" s="126" t="str">
        <f t="shared" ref="L1369" ca="1" si="1559">IF(C1369&lt;&gt;"",C1369&amp;"-"&amp;K1369,"")</f>
        <v>KP-1d Percentage of people who inject drugs reached with HIV prevention programs - defined package of services-14</v>
      </c>
      <c r="M1369" s="126" t="str">
        <f t="array" aca="1" ref="M1369" ca="1">IFERROR(IF(INDEX('Disaggregation Records'!$E$156:$E$517,MATCH(RIGHT(L1369,255),RIGHT('Disaggregation Records'!$D$156:$D$517,255),0))="","",INDEX('Disaggregation Records'!$E$156:$E$517,MATCH(RIGHT(L1369,255),RIGHT('Disaggregation Records'!$D$156:$D$517,255),0))),"")</f>
        <v/>
      </c>
      <c r="N1369" s="126" t="str">
        <f t="array" aca="1" ref="N1369" ca="1">IFERROR(IF(INDEX('Disaggregation Records'!$F$156:$F$517,MATCH(RIGHT(L1369,255),RIGHT('Disaggregation Records'!$D$156:$D$517,255),0))="","",INDEX('Disaggregation Records'!$F$156:$F$517,MATCH(RIGHT(L1369,255),RIGHT('Disaggregation Records'!$D$156:$D$517,255),0))),"")</f>
        <v/>
      </c>
      <c r="O1369" s="314" t="str">
        <f t="array" aca="1" ref="O1369" ca="1">IFERROR(IF(INDEX('Disaggregation Records'!$H$156:$H$517,MATCH(RIGHT(L1369,255),RIGHT('Disaggregation Records'!$D$156:$D$517,255),0))="","",INDEX('Disaggregation Records'!$H$156:$H$517,MATCH(RIGHT(L1369,255),RIGHT('Disaggregation Records'!$D$156:$D$517,255),0))),"")</f>
        <v/>
      </c>
      <c r="P1369" s="310"/>
      <c r="Q1369" s="310">
        <f t="shared" ref="Q1369" si="1560">Q1367+1</f>
        <v>1986</v>
      </c>
      <c r="R1369" s="314" t="str" cm="1">
        <f t="array" aca="1" ref="R1369" ca="1">IFERROR(IF(INDEX('Disaggregation Records'!$G$156:$G$517,MATCH(RIGHT(L1369,255),RIGHT('Disaggregation Records'!$D$156:$D$517,255),0))="","",INDEX('Disaggregation Records'!$G$156:$G$517,MATCH(RIGHT(L1369,255),RIGHT('Disaggregation Records'!$D$156:$D$517,255),0))),"")</f>
        <v/>
      </c>
    </row>
    <row r="1370" spans="1:18" ht="20.100000000000001" customHeight="1">
      <c r="A1370" s="126"/>
      <c r="B1370" s="571"/>
      <c r="C1370" s="573"/>
      <c r="D1370" s="575"/>
      <c r="E1370" s="575"/>
      <c r="F1370" s="128"/>
      <c r="G1370" s="577"/>
      <c r="H1370" s="540"/>
      <c r="I1370" s="579"/>
      <c r="J1370" s="533"/>
      <c r="L1370" s="126"/>
      <c r="N1370" s="126"/>
      <c r="O1370" s="314"/>
      <c r="P1370" s="310"/>
      <c r="Q1370" s="310"/>
      <c r="R1370" s="314" t="str" cm="1">
        <f t="array" ref="R1370">IFERROR(IF(INDEX('Disaggregation Records'!$G$156:$G$517,MATCH(RIGHT(L1370,255),RIGHT('Disaggregation Records'!$D$156:$D$517,255),0))="","",INDEX('Disaggregation Records'!$G$156:$G$517,MATCH(RIGHT(L1370,255),RIGHT('Disaggregation Records'!$D$156:$D$517,255),0))),"")</f>
        <v/>
      </c>
    </row>
    <row r="1371" spans="1:18" ht="20.100000000000001" customHeight="1">
      <c r="A1371" s="126" t="str">
        <f t="shared" ca="1" si="1520"/>
        <v>a16Dm000000M3wEIAS</v>
      </c>
      <c r="B1371" s="570">
        <v>19</v>
      </c>
      <c r="C1371" s="572" t="str">
        <f ca="1">IFERROR(VLOOKUP(B1371,'Coverage Indicators - Section D'!$A$9:$AO$94,41,FALSE),"")</f>
        <v>KP-1d Percentage of people who inject drugs reached with HIV prevention programs - defined package of services</v>
      </c>
      <c r="D1371" s="574" t="str">
        <f ca="1">M1371</f>
        <v/>
      </c>
      <c r="E1371" s="574" t="str">
        <f ca="1">N1371</f>
        <v/>
      </c>
      <c r="F1371" s="127"/>
      <c r="G1371" s="576" t="str">
        <f ca="1">IF(OR(INDIRECT("'update Helper'!E"&amp;Q1371)="",F1371&lt;&gt;0,F1372&lt;&gt;0),IF(IFERROR((F1371/F1372),"")="","",(F1371/F1372)),INDIRECT("'update Helper'!E"&amp;Q1371)/100)</f>
        <v/>
      </c>
      <c r="H1371" s="539"/>
      <c r="I1371" s="578"/>
      <c r="J1371" s="532"/>
      <c r="K1371" s="126">
        <f ca="1">IF(AND(EXACT(C1371,C1369),C1369&lt;&gt;0),K1369+1,0)</f>
        <v>15</v>
      </c>
      <c r="L1371" s="126" t="str">
        <f t="shared" ref="L1371" ca="1" si="1561">IF(C1371&lt;&gt;"",C1371&amp;"-"&amp;K1371,"")</f>
        <v>KP-1d Percentage of people who inject drugs reached with HIV prevention programs - defined package of services-15</v>
      </c>
      <c r="M1371" s="126" t="str">
        <f t="array" aca="1" ref="M1371" ca="1">IFERROR(IF(INDEX('Disaggregation Records'!$E$156:$E$517,MATCH(RIGHT(L1371,255),RIGHT('Disaggregation Records'!$D$156:$D$517,255),0))="","",INDEX('Disaggregation Records'!$E$156:$E$517,MATCH(RIGHT(L1371,255),RIGHT('Disaggregation Records'!$D$156:$D$517,255),0))),"")</f>
        <v/>
      </c>
      <c r="N1371" s="126" t="str">
        <f t="array" aca="1" ref="N1371" ca="1">IFERROR(IF(INDEX('Disaggregation Records'!$F$156:$F$517,MATCH(RIGHT(L1371,255),RIGHT('Disaggregation Records'!$D$156:$D$517,255),0))="","",INDEX('Disaggregation Records'!$F$156:$F$517,MATCH(RIGHT(L1371,255),RIGHT('Disaggregation Records'!$D$156:$D$517,255),0))),"")</f>
        <v/>
      </c>
      <c r="O1371" s="314" t="str">
        <f t="array" aca="1" ref="O1371" ca="1">IFERROR(IF(INDEX('Disaggregation Records'!$H$156:$H$517,MATCH(RIGHT(L1371,255),RIGHT('Disaggregation Records'!$D$156:$D$517,255),0))="","",INDEX('Disaggregation Records'!$H$156:$H$517,MATCH(RIGHT(L1371,255),RIGHT('Disaggregation Records'!$D$156:$D$517,255),0))),"")</f>
        <v/>
      </c>
      <c r="P1371" s="314"/>
      <c r="Q1371" s="310">
        <f t="shared" ref="Q1371" si="1562">Q1369+1</f>
        <v>1987</v>
      </c>
      <c r="R1371" s="314" t="str" cm="1">
        <f t="array" aca="1" ref="R1371" ca="1">IFERROR(IF(INDEX('Disaggregation Records'!$G$156:$G$517,MATCH(RIGHT(L1371,255),RIGHT('Disaggregation Records'!$D$156:$D$517,255),0))="","",INDEX('Disaggregation Records'!$G$156:$G$517,MATCH(RIGHT(L1371,255),RIGHT('Disaggregation Records'!$D$156:$D$517,255),0))),"")</f>
        <v/>
      </c>
    </row>
    <row r="1372" spans="1:18" ht="20.100000000000001" customHeight="1">
      <c r="B1372" s="571"/>
      <c r="C1372" s="573"/>
      <c r="D1372" s="575"/>
      <c r="E1372" s="575"/>
      <c r="F1372" s="128"/>
      <c r="G1372" s="577"/>
      <c r="H1372" s="540"/>
      <c r="I1372" s="579"/>
      <c r="J1372" s="533"/>
      <c r="K1372" s="126"/>
      <c r="L1372" s="126"/>
      <c r="M1372" s="126"/>
      <c r="N1372" s="126"/>
      <c r="O1372" s="314"/>
      <c r="P1372" s="314"/>
      <c r="Q1372" s="310"/>
      <c r="R1372" s="314" t="str" cm="1">
        <f t="array" ref="R1372">IFERROR(IF(INDEX('Disaggregation Records'!$G$156:$G$517,MATCH(RIGHT(L1372,255),RIGHT('Disaggregation Records'!$D$156:$D$517,255),0))="","",INDEX('Disaggregation Records'!$G$156:$G$517,MATCH(RIGHT(L1372,255),RIGHT('Disaggregation Records'!$D$156:$D$517,255),0))),"")</f>
        <v/>
      </c>
    </row>
    <row r="1373" spans="1:18" ht="20.100000000000001" customHeight="1">
      <c r="A1373" s="126" t="str">
        <f t="shared" ca="1" si="1517"/>
        <v>a16Dm000000M3wFIAS</v>
      </c>
      <c r="B1373" s="570">
        <v>19</v>
      </c>
      <c r="C1373" s="572" t="str">
        <f ca="1">IFERROR(VLOOKUP(B1373,'Coverage Indicators - Section D'!$A$9:$AO$94,41,FALSE),"")</f>
        <v>KP-1d Percentage of people who inject drugs reached with HIV prevention programs - defined package of services</v>
      </c>
      <c r="D1373" s="574" t="str">
        <f ca="1">M1373</f>
        <v/>
      </c>
      <c r="E1373" s="574" t="str">
        <f ca="1">N1373</f>
        <v/>
      </c>
      <c r="F1373" s="127"/>
      <c r="G1373" s="576" t="str">
        <f ca="1">IF(OR(INDIRECT("'update Helper'!E"&amp;Q1373)="",F1373&lt;&gt;0,F1374&lt;&gt;0),IF(IFERROR((F1373/F1374),"")="","",(F1373/F1374)),INDIRECT("'update Helper'!E"&amp;Q1373)/100)</f>
        <v/>
      </c>
      <c r="H1373" s="539"/>
      <c r="I1373" s="578"/>
      <c r="J1373" s="532"/>
      <c r="K1373" s="126">
        <f ca="1">IF(AND(EXACT(C1373,C1371),C1371&lt;&gt;0),K1371+1,0)</f>
        <v>16</v>
      </c>
      <c r="L1373" s="126" t="str">
        <f t="shared" ref="L1373" ca="1" si="1563">IF(C1373&lt;&gt;"",C1373&amp;"-"&amp;K1373,"")</f>
        <v>KP-1d Percentage of people who inject drugs reached with HIV prevention programs - defined package of services-16</v>
      </c>
      <c r="M1373" s="126" t="str">
        <f t="array" aca="1" ref="M1373" ca="1">IFERROR(IF(INDEX('Disaggregation Records'!$E$156:$E$517,MATCH(RIGHT(L1373,255),RIGHT('Disaggregation Records'!$D$156:$D$517,255),0))="","",INDEX('Disaggregation Records'!$E$156:$E$517,MATCH(RIGHT(L1373,255),RIGHT('Disaggregation Records'!$D$156:$D$517,255),0))),"")</f>
        <v/>
      </c>
      <c r="N1373" s="126" t="str">
        <f t="array" aca="1" ref="N1373" ca="1">IFERROR(IF(INDEX('Disaggregation Records'!$F$156:$F$517,MATCH(RIGHT(L1373,255),RIGHT('Disaggregation Records'!$D$156:$D$517,255),0))="","",INDEX('Disaggregation Records'!$F$156:$F$517,MATCH(RIGHT(L1373,255),RIGHT('Disaggregation Records'!$D$156:$D$517,255),0))),"")</f>
        <v/>
      </c>
      <c r="O1373" s="314" t="str">
        <f t="array" aca="1" ref="O1373" ca="1">IFERROR(IF(INDEX('Disaggregation Records'!$H$156:$H$517,MATCH(RIGHT(L1373,255),RIGHT('Disaggregation Records'!$D$156:$D$517,255),0))="","",INDEX('Disaggregation Records'!$H$156:$H$517,MATCH(RIGHT(L1373,255),RIGHT('Disaggregation Records'!$D$156:$D$517,255),0))),"")</f>
        <v/>
      </c>
      <c r="P1373" s="314"/>
      <c r="Q1373" s="310">
        <f t="shared" ref="Q1373" si="1564">Q1371+1</f>
        <v>1988</v>
      </c>
      <c r="R1373" s="314" t="str" cm="1">
        <f t="array" aca="1" ref="R1373" ca="1">IFERROR(IF(INDEX('Disaggregation Records'!$G$156:$G$517,MATCH(RIGHT(L1373,255),RIGHT('Disaggregation Records'!$D$156:$D$517,255),0))="","",INDEX('Disaggregation Records'!$G$156:$G$517,MATCH(RIGHT(L1373,255),RIGHT('Disaggregation Records'!$D$156:$D$517,255),0))),"")</f>
        <v/>
      </c>
    </row>
    <row r="1374" spans="1:18" ht="20.100000000000001" customHeight="1">
      <c r="A1374" s="126"/>
      <c r="B1374" s="571"/>
      <c r="C1374" s="573"/>
      <c r="D1374" s="575"/>
      <c r="E1374" s="575"/>
      <c r="F1374" s="128"/>
      <c r="G1374" s="577"/>
      <c r="H1374" s="540"/>
      <c r="I1374" s="579"/>
      <c r="J1374" s="533"/>
      <c r="K1374" s="126"/>
      <c r="L1374" s="126"/>
      <c r="M1374" s="126"/>
      <c r="N1374" s="126"/>
      <c r="O1374" s="314"/>
      <c r="P1374" s="314"/>
      <c r="Q1374" s="310"/>
      <c r="R1374" s="314" t="str" cm="1">
        <f t="array" ref="R1374">IFERROR(IF(INDEX('Disaggregation Records'!$G$156:$G$517,MATCH(RIGHT(L1374,255),RIGHT('Disaggregation Records'!$D$156:$D$517,255),0))="","",INDEX('Disaggregation Records'!$G$156:$G$517,MATCH(RIGHT(L1374,255),RIGHT('Disaggregation Records'!$D$156:$D$517,255),0))),"")</f>
        <v/>
      </c>
    </row>
    <row r="1375" spans="1:18" ht="20.100000000000001" customHeight="1">
      <c r="A1375" s="126" t="str">
        <f t="shared" ca="1" si="1520"/>
        <v>a16Dm000000M3wGIAS</v>
      </c>
      <c r="B1375" s="570">
        <v>19</v>
      </c>
      <c r="C1375" s="572" t="str">
        <f ca="1">IFERROR(VLOOKUP(B1375,'Coverage Indicators - Section D'!$A$9:$AO$94,41,FALSE),"")</f>
        <v>KP-1d Percentage of people who inject drugs reached with HIV prevention programs - defined package of services</v>
      </c>
      <c r="D1375" s="574" t="str">
        <f ca="1">M1375</f>
        <v/>
      </c>
      <c r="E1375" s="574" t="str">
        <f ca="1">N1375</f>
        <v/>
      </c>
      <c r="F1375" s="127"/>
      <c r="G1375" s="576" t="str">
        <f ca="1">IF(OR(INDIRECT("'update Helper'!E"&amp;Q1375)="",F1375&lt;&gt;0,F1376&lt;&gt;0),IF(IFERROR((F1375/F1376),"")="","",(F1375/F1376)),INDIRECT("'update Helper'!E"&amp;Q1375)/100)</f>
        <v/>
      </c>
      <c r="H1375" s="539"/>
      <c r="I1375" s="578"/>
      <c r="J1375" s="532"/>
      <c r="K1375" s="126">
        <f ca="1">IF(AND(EXACT(C1375,C1373),C1373&lt;&gt;0),K1373+1,0)</f>
        <v>17</v>
      </c>
      <c r="L1375" s="126" t="str">
        <f t="shared" ref="L1375" ca="1" si="1565">IF(C1375&lt;&gt;"",C1375&amp;"-"&amp;K1375,"")</f>
        <v>KP-1d Percentage of people who inject drugs reached with HIV prevention programs - defined package of services-17</v>
      </c>
      <c r="M1375" s="126" t="str">
        <f t="array" aca="1" ref="M1375" ca="1">IFERROR(IF(INDEX('Disaggregation Records'!$E$156:$E$517,MATCH(RIGHT(L1375,255),RIGHT('Disaggregation Records'!$D$156:$D$517,255),0))="","",INDEX('Disaggregation Records'!$E$156:$E$517,MATCH(RIGHT(L1375,255),RIGHT('Disaggregation Records'!$D$156:$D$517,255),0))),"")</f>
        <v/>
      </c>
      <c r="N1375" s="126" t="str">
        <f t="array" aca="1" ref="N1375" ca="1">IFERROR(IF(INDEX('Disaggregation Records'!$F$156:$F$517,MATCH(RIGHT(L1375,255),RIGHT('Disaggregation Records'!$D$156:$D$517,255),0))="","",INDEX('Disaggregation Records'!$F$156:$F$517,MATCH(RIGHT(L1375,255),RIGHT('Disaggregation Records'!$D$156:$D$517,255),0))),"")</f>
        <v/>
      </c>
      <c r="O1375" s="314" t="str">
        <f t="array" aca="1" ref="O1375" ca="1">IFERROR(IF(INDEX('Disaggregation Records'!$H$156:$H$517,MATCH(RIGHT(L1375,255),RIGHT('Disaggregation Records'!$D$156:$D$517,255),0))="","",INDEX('Disaggregation Records'!$H$156:$H$517,MATCH(RIGHT(L1375,255),RIGHT('Disaggregation Records'!$D$156:$D$517,255),0))),"")</f>
        <v/>
      </c>
      <c r="P1375" s="310"/>
      <c r="Q1375" s="310">
        <f t="shared" ref="Q1375" si="1566">Q1373+1</f>
        <v>1989</v>
      </c>
      <c r="R1375" s="314" t="str" cm="1">
        <f t="array" aca="1" ref="R1375" ca="1">IFERROR(IF(INDEX('Disaggregation Records'!$G$156:$G$517,MATCH(RIGHT(L1375,255),RIGHT('Disaggregation Records'!$D$156:$D$517,255),0))="","",INDEX('Disaggregation Records'!$G$156:$G$517,MATCH(RIGHT(L1375,255),RIGHT('Disaggregation Records'!$D$156:$D$517,255),0))),"")</f>
        <v/>
      </c>
    </row>
    <row r="1376" spans="1:18" ht="20.100000000000001" customHeight="1">
      <c r="B1376" s="571"/>
      <c r="C1376" s="573"/>
      <c r="D1376" s="575"/>
      <c r="E1376" s="575"/>
      <c r="F1376" s="128"/>
      <c r="G1376" s="577"/>
      <c r="H1376" s="540"/>
      <c r="I1376" s="579"/>
      <c r="J1376" s="533"/>
      <c r="L1376" s="126"/>
      <c r="N1376" s="126"/>
      <c r="O1376" s="314"/>
      <c r="P1376" s="310"/>
      <c r="Q1376" s="310"/>
      <c r="R1376" s="314" t="str" cm="1">
        <f t="array" ref="R1376">IFERROR(IF(INDEX('Disaggregation Records'!$G$156:$G$517,MATCH(RIGHT(L1376,255),RIGHT('Disaggregation Records'!$D$156:$D$517,255),0))="","",INDEX('Disaggregation Records'!$G$156:$G$517,MATCH(RIGHT(L1376,255),RIGHT('Disaggregation Records'!$D$156:$D$517,255),0))),"")</f>
        <v/>
      </c>
    </row>
    <row r="1377" spans="1:18" ht="20.100000000000001" customHeight="1">
      <c r="A1377" s="126" t="str">
        <f t="shared" ca="1" si="1517"/>
        <v>a16Dm000000M3wHIAS</v>
      </c>
      <c r="B1377" s="570">
        <v>19</v>
      </c>
      <c r="C1377" s="572" t="str">
        <f ca="1">IFERROR(VLOOKUP(B1377,'Coverage Indicators - Section D'!$A$9:$AO$94,41,FALSE),"")</f>
        <v>KP-1d Percentage of people who inject drugs reached with HIV prevention programs - defined package of services</v>
      </c>
      <c r="D1377" s="574" t="str">
        <f ca="1">M1377</f>
        <v/>
      </c>
      <c r="E1377" s="574" t="str">
        <f ca="1">N1377</f>
        <v/>
      </c>
      <c r="F1377" s="127"/>
      <c r="G1377" s="576" t="str">
        <f ca="1">IF(OR(INDIRECT("'update Helper'!E"&amp;Q1377)="",F1377&lt;&gt;0,F1378&lt;&gt;0),IF(IFERROR((F1377/F1378),"")="","",(F1377/F1378)),INDIRECT("'update Helper'!E"&amp;Q1377)/100)</f>
        <v/>
      </c>
      <c r="H1377" s="539"/>
      <c r="I1377" s="578"/>
      <c r="J1377" s="532"/>
      <c r="K1377" s="126">
        <f ca="1">IF(AND(EXACT(C1377,C1375),C1375&lt;&gt;0),K1375+1,0)</f>
        <v>18</v>
      </c>
      <c r="L1377" s="126" t="str">
        <f t="shared" ref="L1377" ca="1" si="1567">IF(C1377&lt;&gt;"",C1377&amp;"-"&amp;K1377,"")</f>
        <v>KP-1d Percentage of people who inject drugs reached with HIV prevention programs - defined package of services-18</v>
      </c>
      <c r="M1377" s="126" t="str">
        <f t="array" aca="1" ref="M1377" ca="1">IFERROR(IF(INDEX('Disaggregation Records'!$E$156:$E$517,MATCH(RIGHT(L1377,255),RIGHT('Disaggregation Records'!$D$156:$D$517,255),0))="","",INDEX('Disaggregation Records'!$E$156:$E$517,MATCH(RIGHT(L1377,255),RIGHT('Disaggregation Records'!$D$156:$D$517,255),0))),"")</f>
        <v/>
      </c>
      <c r="N1377" s="126" t="str">
        <f t="array" aca="1" ref="N1377" ca="1">IFERROR(IF(INDEX('Disaggregation Records'!$F$156:$F$517,MATCH(RIGHT(L1377,255),RIGHT('Disaggregation Records'!$D$156:$D$517,255),0))="","",INDEX('Disaggregation Records'!$F$156:$F$517,MATCH(RIGHT(L1377,255),RIGHT('Disaggregation Records'!$D$156:$D$517,255),0))),"")</f>
        <v/>
      </c>
      <c r="O1377" s="314" t="str">
        <f t="array" aca="1" ref="O1377" ca="1">IFERROR(IF(INDEX('Disaggregation Records'!$H$156:$H$517,MATCH(RIGHT(L1377,255),RIGHT('Disaggregation Records'!$D$156:$D$517,255),0))="","",INDEX('Disaggregation Records'!$H$156:$H$517,MATCH(RIGHT(L1377,255),RIGHT('Disaggregation Records'!$D$156:$D$517,255),0))),"")</f>
        <v/>
      </c>
      <c r="P1377" s="310"/>
      <c r="Q1377" s="310">
        <f t="shared" ref="Q1377" si="1568">Q1375+1</f>
        <v>1990</v>
      </c>
      <c r="R1377" s="314" t="str" cm="1">
        <f t="array" aca="1" ref="R1377" ca="1">IFERROR(IF(INDEX('Disaggregation Records'!$G$156:$G$517,MATCH(RIGHT(L1377,255),RIGHT('Disaggregation Records'!$D$156:$D$517,255),0))="","",INDEX('Disaggregation Records'!$G$156:$G$517,MATCH(RIGHT(L1377,255),RIGHT('Disaggregation Records'!$D$156:$D$517,255),0))),"")</f>
        <v/>
      </c>
    </row>
    <row r="1378" spans="1:18" ht="20.100000000000001" customHeight="1">
      <c r="A1378" s="126"/>
      <c r="B1378" s="571"/>
      <c r="C1378" s="573"/>
      <c r="D1378" s="575"/>
      <c r="E1378" s="575"/>
      <c r="F1378" s="128"/>
      <c r="G1378" s="577"/>
      <c r="H1378" s="540"/>
      <c r="I1378" s="579"/>
      <c r="J1378" s="533"/>
      <c r="L1378" s="126"/>
      <c r="N1378" s="126"/>
      <c r="O1378" s="314"/>
      <c r="P1378" s="310"/>
      <c r="Q1378" s="310"/>
      <c r="R1378" s="314" t="str" cm="1">
        <f t="array" ref="R1378">IFERROR(IF(INDEX('Disaggregation Records'!$G$156:$G$517,MATCH(RIGHT(L1378,255),RIGHT('Disaggregation Records'!$D$156:$D$517,255),0))="","",INDEX('Disaggregation Records'!$G$156:$G$517,MATCH(RIGHT(L1378,255),RIGHT('Disaggregation Records'!$D$156:$D$517,255),0))),"")</f>
        <v/>
      </c>
    </row>
    <row r="1379" spans="1:18" ht="20.100000000000001" customHeight="1">
      <c r="A1379" s="126" t="str">
        <f t="shared" ca="1" si="1520"/>
        <v>a16Dm000000M3wIIAS</v>
      </c>
      <c r="B1379" s="570">
        <v>19</v>
      </c>
      <c r="C1379" s="572" t="str">
        <f ca="1">IFERROR(VLOOKUP(B1379,'Coverage Indicators - Section D'!$A$9:$AO$94,41,FALSE),"")</f>
        <v>KP-1d Percentage of people who inject drugs reached with HIV prevention programs - defined package of services</v>
      </c>
      <c r="D1379" s="574" t="str">
        <f ca="1">M1379</f>
        <v/>
      </c>
      <c r="E1379" s="574" t="str">
        <f ca="1">N1379</f>
        <v/>
      </c>
      <c r="F1379" s="127"/>
      <c r="G1379" s="576" t="str">
        <f ca="1">IF(OR(INDIRECT("'update Helper'!E"&amp;Q1379)="",F1379&lt;&gt;0,F1380&lt;&gt;0),IF(IFERROR((F1379/F1380),"")="","",(F1379/F1380)),INDIRECT("'update Helper'!E"&amp;Q1379)/100)</f>
        <v/>
      </c>
      <c r="H1379" s="539"/>
      <c r="I1379" s="578"/>
      <c r="J1379" s="532"/>
      <c r="K1379" s="126">
        <f ca="1">IF(AND(EXACT(C1379,C1377),C1377&lt;&gt;0),K1377+1,0)</f>
        <v>19</v>
      </c>
      <c r="L1379" s="126" t="str">
        <f t="shared" ref="L1379" ca="1" si="1569">IF(C1379&lt;&gt;"",C1379&amp;"-"&amp;K1379,"")</f>
        <v>KP-1d Percentage of people who inject drugs reached with HIV prevention programs - defined package of services-19</v>
      </c>
      <c r="M1379" s="126" t="str">
        <f t="array" aca="1" ref="M1379" ca="1">IFERROR(IF(INDEX('Disaggregation Records'!$E$156:$E$517,MATCH(RIGHT(L1379,255),RIGHT('Disaggregation Records'!$D$156:$D$517,255),0))="","",INDEX('Disaggregation Records'!$E$156:$E$517,MATCH(RIGHT(L1379,255),RIGHT('Disaggregation Records'!$D$156:$D$517,255),0))),"")</f>
        <v/>
      </c>
      <c r="N1379" s="126" t="str">
        <f t="array" aca="1" ref="N1379" ca="1">IFERROR(IF(INDEX('Disaggregation Records'!$F$156:$F$517,MATCH(RIGHT(L1379,255),RIGHT('Disaggregation Records'!$D$156:$D$517,255),0))="","",INDEX('Disaggregation Records'!$F$156:$F$517,MATCH(RIGHT(L1379,255),RIGHT('Disaggregation Records'!$D$156:$D$517,255),0))),"")</f>
        <v/>
      </c>
      <c r="O1379" s="314" t="str">
        <f t="array" aca="1" ref="O1379" ca="1">IFERROR(IF(INDEX('Disaggregation Records'!$H$156:$H$517,MATCH(RIGHT(L1379,255),RIGHT('Disaggregation Records'!$D$156:$D$517,255),0))="","",INDEX('Disaggregation Records'!$H$156:$H$517,MATCH(RIGHT(L1379,255),RIGHT('Disaggregation Records'!$D$156:$D$517,255),0))),"")</f>
        <v/>
      </c>
      <c r="P1379" s="310"/>
      <c r="Q1379" s="310">
        <f t="shared" ref="Q1379" si="1570">Q1377+1</f>
        <v>1991</v>
      </c>
      <c r="R1379" s="314" t="str" cm="1">
        <f t="array" aca="1" ref="R1379" ca="1">IFERROR(IF(INDEX('Disaggregation Records'!$G$156:$G$517,MATCH(RIGHT(L1379,255),RIGHT('Disaggregation Records'!$D$156:$D$517,255),0))="","",INDEX('Disaggregation Records'!$G$156:$G$517,MATCH(RIGHT(L1379,255),RIGHT('Disaggregation Records'!$D$156:$D$517,255),0))),"")</f>
        <v/>
      </c>
    </row>
    <row r="1380" spans="1:18" ht="20.100000000000001" customHeight="1">
      <c r="B1380" s="571"/>
      <c r="C1380" s="573"/>
      <c r="D1380" s="575"/>
      <c r="E1380" s="575"/>
      <c r="F1380" s="128"/>
      <c r="G1380" s="577"/>
      <c r="H1380" s="540"/>
      <c r="I1380" s="579"/>
      <c r="J1380" s="533"/>
      <c r="L1380" s="126"/>
      <c r="N1380" s="126"/>
      <c r="O1380" s="314"/>
      <c r="P1380" s="310"/>
      <c r="Q1380" s="310"/>
      <c r="R1380" s="314" t="str" cm="1">
        <f t="array" ref="R1380">IFERROR(IF(INDEX('Disaggregation Records'!$G$156:$G$517,MATCH(RIGHT(L1380,255),RIGHT('Disaggregation Records'!$D$156:$D$517,255),0))="","",INDEX('Disaggregation Records'!$G$156:$G$517,MATCH(RIGHT(L1380,255),RIGHT('Disaggregation Records'!$D$156:$D$517,255),0))),"")</f>
        <v/>
      </c>
    </row>
    <row r="1381" spans="1:18" ht="20.100000000000001" customHeight="1">
      <c r="A1381" s="126" t="str">
        <f t="shared" ca="1" si="1517"/>
        <v>a16Dm000000M3wJIAS</v>
      </c>
      <c r="B1381" s="570">
        <v>20</v>
      </c>
      <c r="C1381" s="572" t="str">
        <f ca="1">IFERROR(VLOOKUP(B1381,'Coverage Indicators - Section D'!$A$9:$AO$94,41,FALSE),"")</f>
        <v>KP-6d Number of PWID who received any PrEP product at least once during the reporting period</v>
      </c>
      <c r="D1381" s="574" t="str">
        <f ca="1">M1381</f>
        <v>Age</v>
      </c>
      <c r="E1381" s="574" t="str">
        <f ca="1">N1381</f>
        <v>25+</v>
      </c>
      <c r="F1381" s="127"/>
      <c r="G1381" s="576" t="str">
        <f ca="1">IF(OR(INDIRECT("'update Helper'!E"&amp;Q1381)="",F1381&lt;&gt;0,F1382&lt;&gt;0),IF(IFERROR((F1381/F1382),"")="","",(F1381/F1382)),INDIRECT("'update Helper'!E"&amp;Q1381)/100)</f>
        <v/>
      </c>
      <c r="H1381" s="539"/>
      <c r="I1381" s="578"/>
      <c r="J1381" s="532" t="s">
        <v>2301</v>
      </c>
      <c r="K1381" s="126">
        <f ca="1">IF(AND(EXACT(C1381,C1379),C1379&lt;&gt;0),K1379+1,0)</f>
        <v>0</v>
      </c>
      <c r="L1381" s="126" t="str">
        <f t="shared" ref="L1381" ca="1" si="1571">IF(C1381&lt;&gt;"",C1381&amp;"-"&amp;K1381,"")</f>
        <v>KP-6d Number of PWID who received any PrEP product at least once during the reporting period-0</v>
      </c>
      <c r="M1381" s="126" t="str">
        <f t="array" aca="1" ref="M1381" ca="1">IFERROR(IF(INDEX('Disaggregation Records'!$E$156:$E$517,MATCH(RIGHT(L1381,255),RIGHT('Disaggregation Records'!$D$156:$D$517,255),0))="","",INDEX('Disaggregation Records'!$E$156:$E$517,MATCH(RIGHT(L1381,255),RIGHT('Disaggregation Records'!$D$156:$D$517,255),0))),"")</f>
        <v>Age</v>
      </c>
      <c r="N1381" s="126" t="str">
        <f t="array" aca="1" ref="N1381" ca="1">IFERROR(IF(INDEX('Disaggregation Records'!$F$156:$F$517,MATCH(RIGHT(L1381,255),RIGHT('Disaggregation Records'!$D$156:$D$517,255),0))="","",INDEX('Disaggregation Records'!$F$156:$F$517,MATCH(RIGHT(L1381,255),RIGHT('Disaggregation Records'!$D$156:$D$517,255),0))),"")</f>
        <v>25+</v>
      </c>
      <c r="O1381" s="314" t="str">
        <f t="array" aca="1" ref="O1381" ca="1">IFERROR(IF(INDEX('Disaggregation Records'!$H$156:$H$517,MATCH(RIGHT(L1381,255),RIGHT('Disaggregation Records'!$D$156:$D$517,255),0))="","",INDEX('Disaggregation Records'!$H$156:$H$517,MATCH(RIGHT(L1381,255),RIGHT('Disaggregation Records'!$D$156:$D$517,255),0))),"")</f>
        <v>IDR-01237</v>
      </c>
      <c r="P1381" s="314"/>
      <c r="Q1381" s="310">
        <f t="shared" ref="Q1381" si="1572">Q1379+1</f>
        <v>1992</v>
      </c>
      <c r="R1381" s="314" t="str" cm="1">
        <f t="array" aca="1" ref="R1381" ca="1">IFERROR(IF(INDEX('Disaggregation Records'!$G$156:$G$517,MATCH(RIGHT(L1381,255),RIGHT('Disaggregation Records'!$D$156:$D$517,255),0))="","",INDEX('Disaggregation Records'!$G$156:$G$517,MATCH(RIGHT(L1381,255),RIGHT('Disaggregation Records'!$D$156:$D$517,255),0))),"")</f>
        <v>a1LDm000000Cb2hMAC</v>
      </c>
    </row>
    <row r="1382" spans="1:18" ht="20.100000000000001" customHeight="1">
      <c r="A1382" s="126"/>
      <c r="B1382" s="571"/>
      <c r="C1382" s="573"/>
      <c r="D1382" s="575"/>
      <c r="E1382" s="575"/>
      <c r="F1382" s="128"/>
      <c r="G1382" s="577"/>
      <c r="H1382" s="540"/>
      <c r="I1382" s="579"/>
      <c r="J1382" s="533"/>
      <c r="K1382" s="126"/>
      <c r="L1382" s="126"/>
      <c r="M1382" s="126"/>
      <c r="N1382" s="126"/>
      <c r="O1382" s="314"/>
      <c r="P1382" s="314"/>
      <c r="Q1382" s="310"/>
      <c r="R1382" s="314" t="str" cm="1">
        <f t="array" ref="R1382">IFERROR(IF(INDEX('Disaggregation Records'!$G$156:$G$517,MATCH(RIGHT(L1382,255),RIGHT('Disaggregation Records'!$D$156:$D$517,255),0))="","",INDEX('Disaggregation Records'!$G$156:$G$517,MATCH(RIGHT(L1382,255),RIGHT('Disaggregation Records'!$D$156:$D$517,255),0))),"")</f>
        <v/>
      </c>
    </row>
    <row r="1383" spans="1:18" ht="20.100000000000001" customHeight="1">
      <c r="A1383" s="126" t="str">
        <f t="shared" ca="1" si="1520"/>
        <v>a16Dm000000M3wKIAS</v>
      </c>
      <c r="B1383" s="570">
        <v>20</v>
      </c>
      <c r="C1383" s="572" t="str">
        <f ca="1">IFERROR(VLOOKUP(B1383,'Coverage Indicators - Section D'!$A$9:$AO$94,41,FALSE),"")</f>
        <v>KP-6d Number of PWID who received any PrEP product at least once during the reporting period</v>
      </c>
      <c r="D1383" s="574" t="str">
        <f ca="1">M1383</f>
        <v>Age</v>
      </c>
      <c r="E1383" s="574" t="str">
        <f ca="1">N1383</f>
        <v>20-24</v>
      </c>
      <c r="F1383" s="127"/>
      <c r="G1383" s="576" t="str">
        <f ca="1">IF(OR(INDIRECT("'update Helper'!E"&amp;Q1383)="",F1383&lt;&gt;0,F1384&lt;&gt;0),IF(IFERROR((F1383/F1384),"")="","",(F1383/F1384)),INDIRECT("'update Helper'!E"&amp;Q1383)/100)</f>
        <v/>
      </c>
      <c r="H1383" s="539"/>
      <c r="I1383" s="578"/>
      <c r="J1383" s="532" t="s">
        <v>2301</v>
      </c>
      <c r="K1383" s="126">
        <f ca="1">IF(AND(EXACT(C1383,C1381),C1381&lt;&gt;0),K1381+1,0)</f>
        <v>1</v>
      </c>
      <c r="L1383" s="126" t="str">
        <f t="shared" ref="L1383" ca="1" si="1573">IF(C1383&lt;&gt;"",C1383&amp;"-"&amp;K1383,"")</f>
        <v>KP-6d Number of PWID who received any PrEP product at least once during the reporting period-1</v>
      </c>
      <c r="M1383" s="126" t="str">
        <f t="array" aca="1" ref="M1383" ca="1">IFERROR(IF(INDEX('Disaggregation Records'!$E$156:$E$517,MATCH(RIGHT(L1383,255),RIGHT('Disaggregation Records'!$D$156:$D$517,255),0))="","",INDEX('Disaggregation Records'!$E$156:$E$517,MATCH(RIGHT(L1383,255),RIGHT('Disaggregation Records'!$D$156:$D$517,255),0))),"")</f>
        <v>Age</v>
      </c>
      <c r="N1383" s="126" t="str">
        <f t="array" aca="1" ref="N1383" ca="1">IFERROR(IF(INDEX('Disaggregation Records'!$F$156:$F$517,MATCH(RIGHT(L1383,255),RIGHT('Disaggregation Records'!$D$156:$D$517,255),0))="","",INDEX('Disaggregation Records'!$F$156:$F$517,MATCH(RIGHT(L1383,255),RIGHT('Disaggregation Records'!$D$156:$D$517,255),0))),"")</f>
        <v>20-24</v>
      </c>
      <c r="O1383" s="314" t="str">
        <f t="array" aca="1" ref="O1383" ca="1">IFERROR(IF(INDEX('Disaggregation Records'!$H$156:$H$517,MATCH(RIGHT(L1383,255),RIGHT('Disaggregation Records'!$D$156:$D$517,255),0))="","",INDEX('Disaggregation Records'!$H$156:$H$517,MATCH(RIGHT(L1383,255),RIGHT('Disaggregation Records'!$D$156:$D$517,255),0))),"")</f>
        <v>IDR-01236</v>
      </c>
      <c r="P1383" s="314"/>
      <c r="Q1383" s="310">
        <f t="shared" ref="Q1383" si="1574">Q1381+1</f>
        <v>1993</v>
      </c>
      <c r="R1383" s="314" t="str" cm="1">
        <f t="array" aca="1" ref="R1383" ca="1">IFERROR(IF(INDEX('Disaggregation Records'!$G$156:$G$517,MATCH(RIGHT(L1383,255),RIGHT('Disaggregation Records'!$D$156:$D$517,255),0))="","",INDEX('Disaggregation Records'!$G$156:$G$517,MATCH(RIGHT(L1383,255),RIGHT('Disaggregation Records'!$D$156:$D$517,255),0))),"")</f>
        <v>a1LDm000000Cb2gMAC</v>
      </c>
    </row>
    <row r="1384" spans="1:18" ht="20.100000000000001" customHeight="1">
      <c r="B1384" s="571"/>
      <c r="C1384" s="573"/>
      <c r="D1384" s="575"/>
      <c r="E1384" s="575"/>
      <c r="F1384" s="128"/>
      <c r="G1384" s="577"/>
      <c r="H1384" s="540"/>
      <c r="I1384" s="579"/>
      <c r="J1384" s="533"/>
      <c r="K1384" s="126"/>
      <c r="L1384" s="126"/>
      <c r="M1384" s="126"/>
      <c r="N1384" s="126"/>
      <c r="O1384" s="314"/>
      <c r="P1384" s="314"/>
      <c r="Q1384" s="310"/>
      <c r="R1384" s="314" t="str" cm="1">
        <f t="array" ref="R1384">IFERROR(IF(INDEX('Disaggregation Records'!$G$156:$G$517,MATCH(RIGHT(L1384,255),RIGHT('Disaggregation Records'!$D$156:$D$517,255),0))="","",INDEX('Disaggregation Records'!$G$156:$G$517,MATCH(RIGHT(L1384,255),RIGHT('Disaggregation Records'!$D$156:$D$517,255),0))),"")</f>
        <v/>
      </c>
    </row>
    <row r="1385" spans="1:18" ht="20.100000000000001" customHeight="1">
      <c r="A1385" s="126" t="str">
        <f t="shared" ca="1" si="1517"/>
        <v>a16Dm000000M3wLIAS</v>
      </c>
      <c r="B1385" s="570">
        <v>20</v>
      </c>
      <c r="C1385" s="572" t="str">
        <f ca="1">IFERROR(VLOOKUP(B1385,'Coverage Indicators - Section D'!$A$9:$AO$94,41,FALSE),"")</f>
        <v>KP-6d Number of PWID who received any PrEP product at least once during the reporting period</v>
      </c>
      <c r="D1385" s="574" t="str">
        <f ca="1">M1385</f>
        <v>Age</v>
      </c>
      <c r="E1385" s="574" t="str">
        <f ca="1">N1385</f>
        <v>15-19</v>
      </c>
      <c r="F1385" s="127"/>
      <c r="G1385" s="576" t="str">
        <f ca="1">IF(OR(INDIRECT("'update Helper'!E"&amp;Q1385)="",F1385&lt;&gt;0,F1386&lt;&gt;0),IF(IFERROR((F1385/F1386),"")="","",(F1385/F1386)),INDIRECT("'update Helper'!E"&amp;Q1385)/100)</f>
        <v/>
      </c>
      <c r="H1385" s="539"/>
      <c r="I1385" s="578"/>
      <c r="J1385" s="532" t="s">
        <v>2301</v>
      </c>
      <c r="K1385" s="126">
        <f ca="1">IF(AND(EXACT(C1385,C1383),C1383&lt;&gt;0),K1383+1,0)</f>
        <v>2</v>
      </c>
      <c r="L1385" s="126" t="str">
        <f t="shared" ref="L1385" ca="1" si="1575">IF(C1385&lt;&gt;"",C1385&amp;"-"&amp;K1385,"")</f>
        <v>KP-6d Number of PWID who received any PrEP product at least once during the reporting period-2</v>
      </c>
      <c r="M1385" s="126" t="str">
        <f t="array" aca="1" ref="M1385" ca="1">IFERROR(IF(INDEX('Disaggregation Records'!$E$156:$E$517,MATCH(RIGHT(L1385,255),RIGHT('Disaggregation Records'!$D$156:$D$517,255),0))="","",INDEX('Disaggregation Records'!$E$156:$E$517,MATCH(RIGHT(L1385,255),RIGHT('Disaggregation Records'!$D$156:$D$517,255),0))),"")</f>
        <v>Age</v>
      </c>
      <c r="N1385" s="126" t="str">
        <f t="array" aca="1" ref="N1385" ca="1">IFERROR(IF(INDEX('Disaggregation Records'!$F$156:$F$517,MATCH(RIGHT(L1385,255),RIGHT('Disaggregation Records'!$D$156:$D$517,255),0))="","",INDEX('Disaggregation Records'!$F$156:$F$517,MATCH(RIGHT(L1385,255),RIGHT('Disaggregation Records'!$D$156:$D$517,255),0))),"")</f>
        <v>15-19</v>
      </c>
      <c r="O1385" s="314" t="str">
        <f t="array" aca="1" ref="O1385" ca="1">IFERROR(IF(INDEX('Disaggregation Records'!$H$156:$H$517,MATCH(RIGHT(L1385,255),RIGHT('Disaggregation Records'!$D$156:$D$517,255),0))="","",INDEX('Disaggregation Records'!$H$156:$H$517,MATCH(RIGHT(L1385,255),RIGHT('Disaggregation Records'!$D$156:$D$517,255),0))),"")</f>
        <v>IDR-01235</v>
      </c>
      <c r="P1385" s="310"/>
      <c r="Q1385" s="310">
        <f t="shared" ref="Q1385" si="1576">Q1383+1</f>
        <v>1994</v>
      </c>
      <c r="R1385" s="314" t="str" cm="1">
        <f t="array" aca="1" ref="R1385" ca="1">IFERROR(IF(INDEX('Disaggregation Records'!$G$156:$G$517,MATCH(RIGHT(L1385,255),RIGHT('Disaggregation Records'!$D$156:$D$517,255),0))="","",INDEX('Disaggregation Records'!$G$156:$G$517,MATCH(RIGHT(L1385,255),RIGHT('Disaggregation Records'!$D$156:$D$517,255),0))),"")</f>
        <v>a1LDm000000Cb2fMAC</v>
      </c>
    </row>
    <row r="1386" spans="1:18" ht="20.100000000000001" customHeight="1">
      <c r="A1386" s="126"/>
      <c r="B1386" s="571"/>
      <c r="C1386" s="573"/>
      <c r="D1386" s="575"/>
      <c r="E1386" s="575"/>
      <c r="F1386" s="128"/>
      <c r="G1386" s="577"/>
      <c r="H1386" s="540"/>
      <c r="I1386" s="579"/>
      <c r="J1386" s="533"/>
      <c r="L1386" s="126"/>
      <c r="N1386" s="126"/>
      <c r="O1386" s="314"/>
      <c r="P1386" s="310"/>
      <c r="Q1386" s="310"/>
      <c r="R1386" s="314" t="str" cm="1">
        <f t="array" ref="R1386">IFERROR(IF(INDEX('Disaggregation Records'!$G$156:$G$517,MATCH(RIGHT(L1386,255),RIGHT('Disaggregation Records'!$D$156:$D$517,255),0))="","",INDEX('Disaggregation Records'!$G$156:$G$517,MATCH(RIGHT(L1386,255),RIGHT('Disaggregation Records'!$D$156:$D$517,255),0))),"")</f>
        <v/>
      </c>
    </row>
    <row r="1387" spans="1:18" ht="20.100000000000001" customHeight="1">
      <c r="A1387" s="126" t="str">
        <f t="shared" ca="1" si="1520"/>
        <v>a16Dm000000M3wMIAS</v>
      </c>
      <c r="B1387" s="570">
        <v>20</v>
      </c>
      <c r="C1387" s="572" t="str">
        <f ca="1">IFERROR(VLOOKUP(B1387,'Coverage Indicators - Section D'!$A$9:$AO$94,41,FALSE),"")</f>
        <v>KP-6d Number of PWID who received any PrEP product at least once during the reporting period</v>
      </c>
      <c r="D1387" s="574" t="str">
        <f ca="1">M1387</f>
        <v>PrEP product</v>
      </c>
      <c r="E1387" s="574" t="str">
        <f ca="1">N1387</f>
        <v>DPV-VR</v>
      </c>
      <c r="F1387" s="127"/>
      <c r="G1387" s="576" t="str">
        <f ca="1">IF(OR(INDIRECT("'update Helper'!E"&amp;Q1387)="",F1387&lt;&gt;0,F1388&lt;&gt;0),IF(IFERROR((F1387/F1388),"")="","",(F1387/F1388)),INDIRECT("'update Helper'!E"&amp;Q1387)/100)</f>
        <v/>
      </c>
      <c r="H1387" s="539"/>
      <c r="I1387" s="578"/>
      <c r="J1387" s="532" t="s">
        <v>2301</v>
      </c>
      <c r="K1387" s="126">
        <f ca="1">IF(AND(EXACT(C1387,C1385),C1385&lt;&gt;0),K1385+1,0)</f>
        <v>3</v>
      </c>
      <c r="L1387" s="126" t="str">
        <f t="shared" ref="L1387" ca="1" si="1577">IF(C1387&lt;&gt;"",C1387&amp;"-"&amp;K1387,"")</f>
        <v>KP-6d Number of PWID who received any PrEP product at least once during the reporting period-3</v>
      </c>
      <c r="M1387" s="126" t="str">
        <f t="array" aca="1" ref="M1387" ca="1">IFERROR(IF(INDEX('Disaggregation Records'!$E$156:$E$517,MATCH(RIGHT(L1387,255),RIGHT('Disaggregation Records'!$D$156:$D$517,255),0))="","",INDEX('Disaggregation Records'!$E$156:$E$517,MATCH(RIGHT(L1387,255),RIGHT('Disaggregation Records'!$D$156:$D$517,255),0))),"")</f>
        <v>PrEP product</v>
      </c>
      <c r="N1387" s="126" t="str">
        <f t="array" aca="1" ref="N1387" ca="1">IFERROR(IF(INDEX('Disaggregation Records'!$F$156:$F$517,MATCH(RIGHT(L1387,255),RIGHT('Disaggregation Records'!$D$156:$D$517,255),0))="","",INDEX('Disaggregation Records'!$F$156:$F$517,MATCH(RIGHT(L1387,255),RIGHT('Disaggregation Records'!$D$156:$D$517,255),0))),"")</f>
        <v>DPV-VR</v>
      </c>
      <c r="O1387" s="314" t="str">
        <f t="array" aca="1" ref="O1387" ca="1">IFERROR(IF(INDEX('Disaggregation Records'!$H$156:$H$517,MATCH(RIGHT(L1387,255),RIGHT('Disaggregation Records'!$D$156:$D$517,255),0))="","",INDEX('Disaggregation Records'!$H$156:$H$517,MATCH(RIGHT(L1387,255),RIGHT('Disaggregation Records'!$D$156:$D$517,255),0))),"")</f>
        <v>IDR-01234</v>
      </c>
      <c r="P1387" s="310"/>
      <c r="Q1387" s="310">
        <f t="shared" ref="Q1387" si="1578">Q1385+1</f>
        <v>1995</v>
      </c>
      <c r="R1387" s="314" t="str" cm="1">
        <f t="array" aca="1" ref="R1387" ca="1">IFERROR(IF(INDEX('Disaggregation Records'!$G$156:$G$517,MATCH(RIGHT(L1387,255),RIGHT('Disaggregation Records'!$D$156:$D$517,255),0))="","",INDEX('Disaggregation Records'!$G$156:$G$517,MATCH(RIGHT(L1387,255),RIGHT('Disaggregation Records'!$D$156:$D$517,255),0))),"")</f>
        <v>a1LDm000000Cb2eMAC</v>
      </c>
    </row>
    <row r="1388" spans="1:18" ht="20.100000000000001" customHeight="1">
      <c r="B1388" s="571"/>
      <c r="C1388" s="573"/>
      <c r="D1388" s="575"/>
      <c r="E1388" s="575"/>
      <c r="F1388" s="128"/>
      <c r="G1388" s="577"/>
      <c r="H1388" s="540"/>
      <c r="I1388" s="579"/>
      <c r="J1388" s="533"/>
      <c r="L1388" s="126"/>
      <c r="N1388" s="126"/>
      <c r="O1388" s="314"/>
      <c r="P1388" s="310"/>
      <c r="Q1388" s="310"/>
      <c r="R1388" s="314" t="str" cm="1">
        <f t="array" ref="R1388">IFERROR(IF(INDEX('Disaggregation Records'!$G$156:$G$517,MATCH(RIGHT(L1388,255),RIGHT('Disaggregation Records'!$D$156:$D$517,255),0))="","",INDEX('Disaggregation Records'!$G$156:$G$517,MATCH(RIGHT(L1388,255),RIGHT('Disaggregation Records'!$D$156:$D$517,255),0))),"")</f>
        <v/>
      </c>
    </row>
    <row r="1389" spans="1:18" ht="20.100000000000001" customHeight="1">
      <c r="A1389" s="126" t="str">
        <f t="shared" ca="1" si="1517"/>
        <v>a16Dm000000M3wNIAS</v>
      </c>
      <c r="B1389" s="570">
        <v>20</v>
      </c>
      <c r="C1389" s="572" t="str">
        <f ca="1">IFERROR(VLOOKUP(B1389,'Coverage Indicators - Section D'!$A$9:$AO$94,41,FALSE),"")</f>
        <v>KP-6d Number of PWID who received any PrEP product at least once during the reporting period</v>
      </c>
      <c r="D1389" s="574" t="str">
        <f ca="1">M1389</f>
        <v>Gender</v>
      </c>
      <c r="E1389" s="574" t="str">
        <f ca="1">N1389</f>
        <v>Male</v>
      </c>
      <c r="F1389" s="127"/>
      <c r="G1389" s="576" t="str">
        <f ca="1">IF(OR(INDIRECT("'update Helper'!E"&amp;Q1389)="",F1389&lt;&gt;0,F1390&lt;&gt;0),IF(IFERROR((F1389/F1390),"")="","",(F1389/F1390)),INDIRECT("'update Helper'!E"&amp;Q1389)/100)</f>
        <v/>
      </c>
      <c r="H1389" s="539"/>
      <c r="I1389" s="578"/>
      <c r="J1389" s="532" t="s">
        <v>2301</v>
      </c>
      <c r="K1389" s="126">
        <f ca="1">IF(AND(EXACT(C1389,C1387),C1387&lt;&gt;0),K1387+1,0)</f>
        <v>4</v>
      </c>
      <c r="L1389" s="126" t="str">
        <f t="shared" ref="L1389" ca="1" si="1579">IF(C1389&lt;&gt;"",C1389&amp;"-"&amp;K1389,"")</f>
        <v>KP-6d Number of PWID who received any PrEP product at least once during the reporting period-4</v>
      </c>
      <c r="M1389" s="126" t="str">
        <f t="array" aca="1" ref="M1389" ca="1">IFERROR(IF(INDEX('Disaggregation Records'!$E$156:$E$517,MATCH(RIGHT(L1389,255),RIGHT('Disaggregation Records'!$D$156:$D$517,255),0))="","",INDEX('Disaggregation Records'!$E$156:$E$517,MATCH(RIGHT(L1389,255),RIGHT('Disaggregation Records'!$D$156:$D$517,255),0))),"")</f>
        <v>Gender</v>
      </c>
      <c r="N1389" s="126" t="str">
        <f t="array" aca="1" ref="N1389" ca="1">IFERROR(IF(INDEX('Disaggregation Records'!$F$156:$F$517,MATCH(RIGHT(L1389,255),RIGHT('Disaggregation Records'!$D$156:$D$517,255),0))="","",INDEX('Disaggregation Records'!$F$156:$F$517,MATCH(RIGHT(L1389,255),RIGHT('Disaggregation Records'!$D$156:$D$517,255),0))),"")</f>
        <v>Male</v>
      </c>
      <c r="O1389" s="314" t="str">
        <f t="array" aca="1" ref="O1389" ca="1">IFERROR(IF(INDEX('Disaggregation Records'!$H$156:$H$517,MATCH(RIGHT(L1389,255),RIGHT('Disaggregation Records'!$D$156:$D$517,255),0))="","",INDEX('Disaggregation Records'!$H$156:$H$517,MATCH(RIGHT(L1389,255),RIGHT('Disaggregation Records'!$D$156:$D$517,255),0))),"")</f>
        <v>IDR-01233</v>
      </c>
      <c r="P1389" s="310"/>
      <c r="Q1389" s="310">
        <f t="shared" ref="Q1389" si="1580">Q1387+1</f>
        <v>1996</v>
      </c>
      <c r="R1389" s="314" t="str" cm="1">
        <f t="array" aca="1" ref="R1389" ca="1">IFERROR(IF(INDEX('Disaggregation Records'!$G$156:$G$517,MATCH(RIGHT(L1389,255),RIGHT('Disaggregation Records'!$D$156:$D$517,255),0))="","",INDEX('Disaggregation Records'!$G$156:$G$517,MATCH(RIGHT(L1389,255),RIGHT('Disaggregation Records'!$D$156:$D$517,255),0))),"")</f>
        <v>a1LDm000000Cb2dMAC</v>
      </c>
    </row>
    <row r="1390" spans="1:18" ht="20.100000000000001" customHeight="1">
      <c r="A1390" s="126"/>
      <c r="B1390" s="571"/>
      <c r="C1390" s="573"/>
      <c r="D1390" s="575"/>
      <c r="E1390" s="575"/>
      <c r="F1390" s="128"/>
      <c r="G1390" s="577"/>
      <c r="H1390" s="540"/>
      <c r="I1390" s="579"/>
      <c r="J1390" s="533"/>
      <c r="L1390" s="126"/>
      <c r="N1390" s="126"/>
      <c r="O1390" s="314"/>
      <c r="P1390" s="310"/>
      <c r="Q1390" s="310"/>
      <c r="R1390" s="314" t="str" cm="1">
        <f t="array" ref="R1390">IFERROR(IF(INDEX('Disaggregation Records'!$G$156:$G$517,MATCH(RIGHT(L1390,255),RIGHT('Disaggregation Records'!$D$156:$D$517,255),0))="","",INDEX('Disaggregation Records'!$G$156:$G$517,MATCH(RIGHT(L1390,255),RIGHT('Disaggregation Records'!$D$156:$D$517,255),0))),"")</f>
        <v/>
      </c>
    </row>
    <row r="1391" spans="1:18" ht="20.100000000000001" customHeight="1">
      <c r="A1391" s="126" t="str">
        <f t="shared" ca="1" si="1520"/>
        <v>a16Dm000000M3wOIAS</v>
      </c>
      <c r="B1391" s="570">
        <v>20</v>
      </c>
      <c r="C1391" s="572" t="str">
        <f ca="1">IFERROR(VLOOKUP(B1391,'Coverage Indicators - Section D'!$A$9:$AO$94,41,FALSE),"")</f>
        <v>KP-6d Number of PWID who received any PrEP product at least once during the reporting period</v>
      </c>
      <c r="D1391" s="574" t="str">
        <f ca="1">M1391</f>
        <v>PrEP product</v>
      </c>
      <c r="E1391" s="574" t="str">
        <f ca="1">N1391</f>
        <v>Injectable PrEP</v>
      </c>
      <c r="F1391" s="127"/>
      <c r="G1391" s="576" t="str">
        <f ca="1">IF(OR(INDIRECT("'update Helper'!E"&amp;Q1391)="",F1391&lt;&gt;0,F1392&lt;&gt;0),IF(IFERROR((F1391/F1392),"")="","",(F1391/F1392)),INDIRECT("'update Helper'!E"&amp;Q1391)/100)</f>
        <v/>
      </c>
      <c r="H1391" s="539"/>
      <c r="I1391" s="578"/>
      <c r="J1391" s="532" t="s">
        <v>2301</v>
      </c>
      <c r="K1391" s="126">
        <f ca="1">IF(AND(EXACT(C1391,C1389),C1389&lt;&gt;0),K1389+1,0)</f>
        <v>5</v>
      </c>
      <c r="L1391" s="126" t="str">
        <f t="shared" ref="L1391" ca="1" si="1581">IF(C1391&lt;&gt;"",C1391&amp;"-"&amp;K1391,"")</f>
        <v>KP-6d Number of PWID who received any PrEP product at least once during the reporting period-5</v>
      </c>
      <c r="M1391" s="126" t="str">
        <f t="array" aca="1" ref="M1391" ca="1">IFERROR(IF(INDEX('Disaggregation Records'!$E$156:$E$517,MATCH(RIGHT(L1391,255),RIGHT('Disaggregation Records'!$D$156:$D$517,255),0))="","",INDEX('Disaggregation Records'!$E$156:$E$517,MATCH(RIGHT(L1391,255),RIGHT('Disaggregation Records'!$D$156:$D$517,255),0))),"")</f>
        <v>PrEP product</v>
      </c>
      <c r="N1391" s="126" t="str">
        <f t="array" aca="1" ref="N1391" ca="1">IFERROR(IF(INDEX('Disaggregation Records'!$F$156:$F$517,MATCH(RIGHT(L1391,255),RIGHT('Disaggregation Records'!$D$156:$D$517,255),0))="","",INDEX('Disaggregation Records'!$F$156:$F$517,MATCH(RIGHT(L1391,255),RIGHT('Disaggregation Records'!$D$156:$D$517,255),0))),"")</f>
        <v>Injectable PrEP</v>
      </c>
      <c r="O1391" s="314" t="str">
        <f t="array" aca="1" ref="O1391" ca="1">IFERROR(IF(INDEX('Disaggregation Records'!$H$156:$H$517,MATCH(RIGHT(L1391,255),RIGHT('Disaggregation Records'!$D$156:$D$517,255),0))="","",INDEX('Disaggregation Records'!$H$156:$H$517,MATCH(RIGHT(L1391,255),RIGHT('Disaggregation Records'!$D$156:$D$517,255),0))),"")</f>
        <v>IDR-01232</v>
      </c>
      <c r="P1391" s="314"/>
      <c r="Q1391" s="310">
        <f t="shared" ref="Q1391" si="1582">Q1389+1</f>
        <v>1997</v>
      </c>
      <c r="R1391" s="314" t="str" cm="1">
        <f t="array" aca="1" ref="R1391" ca="1">IFERROR(IF(INDEX('Disaggregation Records'!$G$156:$G$517,MATCH(RIGHT(L1391,255),RIGHT('Disaggregation Records'!$D$156:$D$517,255),0))="","",INDEX('Disaggregation Records'!$G$156:$G$517,MATCH(RIGHT(L1391,255),RIGHT('Disaggregation Records'!$D$156:$D$517,255),0))),"")</f>
        <v>a1LDm000000Cb2cMAC</v>
      </c>
    </row>
    <row r="1392" spans="1:18" ht="20.100000000000001" customHeight="1">
      <c r="B1392" s="571"/>
      <c r="C1392" s="573"/>
      <c r="D1392" s="575"/>
      <c r="E1392" s="575"/>
      <c r="F1392" s="128"/>
      <c r="G1392" s="577"/>
      <c r="H1392" s="540"/>
      <c r="I1392" s="579"/>
      <c r="J1392" s="533"/>
      <c r="K1392" s="126"/>
      <c r="L1392" s="126"/>
      <c r="M1392" s="126"/>
      <c r="N1392" s="126"/>
      <c r="O1392" s="314"/>
      <c r="P1392" s="314"/>
      <c r="Q1392" s="310"/>
      <c r="R1392" s="314" t="str" cm="1">
        <f t="array" ref="R1392">IFERROR(IF(INDEX('Disaggregation Records'!$G$156:$G$517,MATCH(RIGHT(L1392,255),RIGHT('Disaggregation Records'!$D$156:$D$517,255),0))="","",INDEX('Disaggregation Records'!$G$156:$G$517,MATCH(RIGHT(L1392,255),RIGHT('Disaggregation Records'!$D$156:$D$517,255),0))),"")</f>
        <v/>
      </c>
    </row>
    <row r="1393" spans="1:18" ht="20.100000000000001" customHeight="1">
      <c r="A1393" s="126" t="str">
        <f t="shared" ref="A1393:A1453" ca="1" si="1583">INDIRECT("'update Helper'!C"&amp;Q1393)</f>
        <v>a16Dm000000M3wPIAS</v>
      </c>
      <c r="B1393" s="570">
        <v>20</v>
      </c>
      <c r="C1393" s="572" t="str">
        <f ca="1">IFERROR(VLOOKUP(B1393,'Coverage Indicators - Section D'!$A$9:$AO$94,41,FALSE),"")</f>
        <v>KP-6d Number of PWID who received any PrEP product at least once during the reporting period</v>
      </c>
      <c r="D1393" s="574" t="str">
        <f ca="1">M1393</f>
        <v>Gender</v>
      </c>
      <c r="E1393" s="574" t="str">
        <f ca="1">N1393</f>
        <v>Female</v>
      </c>
      <c r="F1393" s="127"/>
      <c r="G1393" s="576" t="str">
        <f ca="1">IF(OR(INDIRECT("'update Helper'!E"&amp;Q1393)="",F1393&lt;&gt;0,F1394&lt;&gt;0),IF(IFERROR((F1393/F1394),"")="","",(F1393/F1394)),INDIRECT("'update Helper'!E"&amp;Q1393)/100)</f>
        <v/>
      </c>
      <c r="H1393" s="539"/>
      <c r="I1393" s="578"/>
      <c r="J1393" s="532" t="s">
        <v>2301</v>
      </c>
      <c r="K1393" s="126">
        <f ca="1">IF(AND(EXACT(C1393,C1391),C1391&lt;&gt;0),K1391+1,0)</f>
        <v>6</v>
      </c>
      <c r="L1393" s="126" t="str">
        <f t="shared" ref="L1393" ca="1" si="1584">IF(C1393&lt;&gt;"",C1393&amp;"-"&amp;K1393,"")</f>
        <v>KP-6d Number of PWID who received any PrEP product at least once during the reporting period-6</v>
      </c>
      <c r="M1393" s="126" t="str">
        <f t="array" aca="1" ref="M1393" ca="1">IFERROR(IF(INDEX('Disaggregation Records'!$E$156:$E$517,MATCH(RIGHT(L1393,255),RIGHT('Disaggregation Records'!$D$156:$D$517,255),0))="","",INDEX('Disaggregation Records'!$E$156:$E$517,MATCH(RIGHT(L1393,255),RIGHT('Disaggregation Records'!$D$156:$D$517,255),0))),"")</f>
        <v>Gender</v>
      </c>
      <c r="N1393" s="126" t="str">
        <f t="array" aca="1" ref="N1393" ca="1">IFERROR(IF(INDEX('Disaggregation Records'!$F$156:$F$517,MATCH(RIGHT(L1393,255),RIGHT('Disaggregation Records'!$D$156:$D$517,255),0))="","",INDEX('Disaggregation Records'!$F$156:$F$517,MATCH(RIGHT(L1393,255),RIGHT('Disaggregation Records'!$D$156:$D$517,255),0))),"")</f>
        <v>Female</v>
      </c>
      <c r="O1393" s="314" t="str">
        <f t="array" aca="1" ref="O1393" ca="1">IFERROR(IF(INDEX('Disaggregation Records'!$H$156:$H$517,MATCH(RIGHT(L1393,255),RIGHT('Disaggregation Records'!$D$156:$D$517,255),0))="","",INDEX('Disaggregation Records'!$H$156:$H$517,MATCH(RIGHT(L1393,255),RIGHT('Disaggregation Records'!$D$156:$D$517,255),0))),"")</f>
        <v>IDR-01231</v>
      </c>
      <c r="P1393" s="314"/>
      <c r="Q1393" s="310">
        <f t="shared" ref="Q1393" si="1585">Q1391+1</f>
        <v>1998</v>
      </c>
      <c r="R1393" s="314" t="str" cm="1">
        <f t="array" aca="1" ref="R1393" ca="1">IFERROR(IF(INDEX('Disaggregation Records'!$G$156:$G$517,MATCH(RIGHT(L1393,255),RIGHT('Disaggregation Records'!$D$156:$D$517,255),0))="","",INDEX('Disaggregation Records'!$G$156:$G$517,MATCH(RIGHT(L1393,255),RIGHT('Disaggregation Records'!$D$156:$D$517,255),0))),"")</f>
        <v>a1LDm000000Cb2bMAC</v>
      </c>
    </row>
    <row r="1394" spans="1:18" ht="20.100000000000001" customHeight="1">
      <c r="A1394" s="126"/>
      <c r="B1394" s="571"/>
      <c r="C1394" s="573"/>
      <c r="D1394" s="575"/>
      <c r="E1394" s="575"/>
      <c r="F1394" s="128"/>
      <c r="G1394" s="577"/>
      <c r="H1394" s="540"/>
      <c r="I1394" s="579"/>
      <c r="J1394" s="533"/>
      <c r="K1394" s="126"/>
      <c r="L1394" s="126"/>
      <c r="M1394" s="126"/>
      <c r="N1394" s="126"/>
      <c r="O1394" s="314"/>
      <c r="P1394" s="314"/>
      <c r="Q1394" s="310"/>
      <c r="R1394" s="314" t="str" cm="1">
        <f t="array" ref="R1394">IFERROR(IF(INDEX('Disaggregation Records'!$G$156:$G$517,MATCH(RIGHT(L1394,255),RIGHT('Disaggregation Records'!$D$156:$D$517,255),0))="","",INDEX('Disaggregation Records'!$G$156:$G$517,MATCH(RIGHT(L1394,255),RIGHT('Disaggregation Records'!$D$156:$D$517,255),0))),"")</f>
        <v/>
      </c>
    </row>
    <row r="1395" spans="1:18" ht="20.100000000000001" customHeight="1">
      <c r="A1395" s="126" t="str">
        <f t="shared" ref="A1395:A1455" ca="1" si="1586">INDIRECT("'update Helper'!C"&amp;Q1395)</f>
        <v>a16Dm000000M3wQIAS</v>
      </c>
      <c r="B1395" s="570">
        <v>20</v>
      </c>
      <c r="C1395" s="572" t="str">
        <f ca="1">IFERROR(VLOOKUP(B1395,'Coverage Indicators - Section D'!$A$9:$AO$94,41,FALSE),"")</f>
        <v>KP-6d Number of PWID who received any PrEP product at least once during the reporting period</v>
      </c>
      <c r="D1395" s="574" t="str">
        <f ca="1">M1395</f>
        <v>PrEP product</v>
      </c>
      <c r="E1395" s="574" t="str">
        <f ca="1">N1395</f>
        <v>Oral PrEP</v>
      </c>
      <c r="F1395" s="127"/>
      <c r="G1395" s="576" t="str">
        <f ca="1">IF(OR(INDIRECT("'update Helper'!E"&amp;Q1395)="",F1395&lt;&gt;0,F1396&lt;&gt;0),IF(IFERROR((F1395/F1396),"")="","",(F1395/F1396)),INDIRECT("'update Helper'!E"&amp;Q1395)/100)</f>
        <v/>
      </c>
      <c r="H1395" s="539"/>
      <c r="I1395" s="578"/>
      <c r="J1395" s="532" t="s">
        <v>2301</v>
      </c>
      <c r="K1395" s="126">
        <f ca="1">IF(AND(EXACT(C1395,C1393),C1393&lt;&gt;0),K1393+1,0)</f>
        <v>7</v>
      </c>
      <c r="L1395" s="126" t="str">
        <f t="shared" ref="L1395" ca="1" si="1587">IF(C1395&lt;&gt;"",C1395&amp;"-"&amp;K1395,"")</f>
        <v>KP-6d Number of PWID who received any PrEP product at least once during the reporting period-7</v>
      </c>
      <c r="M1395" s="126" t="str">
        <f t="array" aca="1" ref="M1395" ca="1">IFERROR(IF(INDEX('Disaggregation Records'!$E$156:$E$517,MATCH(RIGHT(L1395,255),RIGHT('Disaggregation Records'!$D$156:$D$517,255),0))="","",INDEX('Disaggregation Records'!$E$156:$E$517,MATCH(RIGHT(L1395,255),RIGHT('Disaggregation Records'!$D$156:$D$517,255),0))),"")</f>
        <v>PrEP product</v>
      </c>
      <c r="N1395" s="126" t="str">
        <f t="array" aca="1" ref="N1395" ca="1">IFERROR(IF(INDEX('Disaggregation Records'!$F$156:$F$517,MATCH(RIGHT(L1395,255),RIGHT('Disaggregation Records'!$D$156:$D$517,255),0))="","",INDEX('Disaggregation Records'!$F$156:$F$517,MATCH(RIGHT(L1395,255),RIGHT('Disaggregation Records'!$D$156:$D$517,255),0))),"")</f>
        <v>Oral PrEP</v>
      </c>
      <c r="O1395" s="314" t="str">
        <f t="array" aca="1" ref="O1395" ca="1">IFERROR(IF(INDEX('Disaggregation Records'!$H$156:$H$517,MATCH(RIGHT(L1395,255),RIGHT('Disaggregation Records'!$D$156:$D$517,255),0))="","",INDEX('Disaggregation Records'!$H$156:$H$517,MATCH(RIGHT(L1395,255),RIGHT('Disaggregation Records'!$D$156:$D$517,255),0))),"")</f>
        <v>IDR-01230</v>
      </c>
      <c r="P1395" s="310"/>
      <c r="Q1395" s="310">
        <f t="shared" ref="Q1395" si="1588">Q1393+1</f>
        <v>1999</v>
      </c>
      <c r="R1395" s="314" t="str" cm="1">
        <f t="array" aca="1" ref="R1395" ca="1">IFERROR(IF(INDEX('Disaggregation Records'!$G$156:$G$517,MATCH(RIGHT(L1395,255),RIGHT('Disaggregation Records'!$D$156:$D$517,255),0))="","",INDEX('Disaggregation Records'!$G$156:$G$517,MATCH(RIGHT(L1395,255),RIGHT('Disaggregation Records'!$D$156:$D$517,255),0))),"")</f>
        <v>a1LDm000000Cb2aMAC</v>
      </c>
    </row>
    <row r="1396" spans="1:18" ht="20.100000000000001" customHeight="1">
      <c r="B1396" s="571"/>
      <c r="C1396" s="573"/>
      <c r="D1396" s="575"/>
      <c r="E1396" s="575"/>
      <c r="F1396" s="128"/>
      <c r="G1396" s="577"/>
      <c r="H1396" s="540"/>
      <c r="I1396" s="579"/>
      <c r="J1396" s="533"/>
      <c r="L1396" s="126"/>
      <c r="N1396" s="126"/>
      <c r="O1396" s="314"/>
      <c r="P1396" s="310"/>
      <c r="Q1396" s="310"/>
      <c r="R1396" s="314" t="str" cm="1">
        <f t="array" ref="R1396">IFERROR(IF(INDEX('Disaggregation Records'!$G$156:$G$517,MATCH(RIGHT(L1396,255),RIGHT('Disaggregation Records'!$D$156:$D$517,255),0))="","",INDEX('Disaggregation Records'!$G$156:$G$517,MATCH(RIGHT(L1396,255),RIGHT('Disaggregation Records'!$D$156:$D$517,255),0))),"")</f>
        <v/>
      </c>
    </row>
    <row r="1397" spans="1:18" ht="20.100000000000001" customHeight="1">
      <c r="A1397" s="126" t="str">
        <f t="shared" ca="1" si="1583"/>
        <v>a16Dm000000M3wRIAS</v>
      </c>
      <c r="B1397" s="570">
        <v>20</v>
      </c>
      <c r="C1397" s="572" t="str">
        <f ca="1">IFERROR(VLOOKUP(B1397,'Coverage Indicators - Section D'!$A$9:$AO$94,41,FALSE),"")</f>
        <v>KP-6d Number of PWID who received any PrEP product at least once during the reporting period</v>
      </c>
      <c r="D1397" s="574" t="str">
        <f ca="1">M1397</f>
        <v/>
      </c>
      <c r="E1397" s="574" t="str">
        <f ca="1">N1397</f>
        <v/>
      </c>
      <c r="F1397" s="127"/>
      <c r="G1397" s="576" t="str">
        <f ca="1">IF(OR(INDIRECT("'update Helper'!E"&amp;Q1397)="",F1397&lt;&gt;0,F1398&lt;&gt;0),IF(IFERROR((F1397/F1398),"")="","",(F1397/F1398)),INDIRECT("'update Helper'!E"&amp;Q1397)/100)</f>
        <v/>
      </c>
      <c r="H1397" s="539"/>
      <c r="I1397" s="578"/>
      <c r="J1397" s="532"/>
      <c r="K1397" s="126">
        <f ca="1">IF(AND(EXACT(C1397,C1395),C1395&lt;&gt;0),K1395+1,0)</f>
        <v>8</v>
      </c>
      <c r="L1397" s="126" t="str">
        <f t="shared" ref="L1397" ca="1" si="1589">IF(C1397&lt;&gt;"",C1397&amp;"-"&amp;K1397,"")</f>
        <v>KP-6d Number of PWID who received any PrEP product at least once during the reporting period-8</v>
      </c>
      <c r="M1397" s="126" t="str">
        <f t="array" aca="1" ref="M1397" ca="1">IFERROR(IF(INDEX('Disaggregation Records'!$E$156:$E$517,MATCH(RIGHT(L1397,255),RIGHT('Disaggregation Records'!$D$156:$D$517,255),0))="","",INDEX('Disaggregation Records'!$E$156:$E$517,MATCH(RIGHT(L1397,255),RIGHT('Disaggregation Records'!$D$156:$D$517,255),0))),"")</f>
        <v/>
      </c>
      <c r="N1397" s="126" t="str">
        <f t="array" aca="1" ref="N1397" ca="1">IFERROR(IF(INDEX('Disaggregation Records'!$F$156:$F$517,MATCH(RIGHT(L1397,255),RIGHT('Disaggregation Records'!$D$156:$D$517,255),0))="","",INDEX('Disaggregation Records'!$F$156:$F$517,MATCH(RIGHT(L1397,255),RIGHT('Disaggregation Records'!$D$156:$D$517,255),0))),"")</f>
        <v/>
      </c>
      <c r="O1397" s="314" t="str">
        <f t="array" aca="1" ref="O1397" ca="1">IFERROR(IF(INDEX('Disaggregation Records'!$H$156:$H$517,MATCH(RIGHT(L1397,255),RIGHT('Disaggregation Records'!$D$156:$D$517,255),0))="","",INDEX('Disaggregation Records'!$H$156:$H$517,MATCH(RIGHT(L1397,255),RIGHT('Disaggregation Records'!$D$156:$D$517,255),0))),"")</f>
        <v/>
      </c>
      <c r="P1397" s="310"/>
      <c r="Q1397" s="310">
        <f t="shared" ref="Q1397" si="1590">Q1395+1</f>
        <v>2000</v>
      </c>
      <c r="R1397" s="314" t="str" cm="1">
        <f t="array" aca="1" ref="R1397" ca="1">IFERROR(IF(INDEX('Disaggregation Records'!$G$156:$G$517,MATCH(RIGHT(L1397,255),RIGHT('Disaggregation Records'!$D$156:$D$517,255),0))="","",INDEX('Disaggregation Records'!$G$156:$G$517,MATCH(RIGHT(L1397,255),RIGHT('Disaggregation Records'!$D$156:$D$517,255),0))),"")</f>
        <v/>
      </c>
    </row>
    <row r="1398" spans="1:18" ht="20.100000000000001" customHeight="1">
      <c r="A1398" s="126"/>
      <c r="B1398" s="571"/>
      <c r="C1398" s="573"/>
      <c r="D1398" s="575"/>
      <c r="E1398" s="575"/>
      <c r="F1398" s="128"/>
      <c r="G1398" s="577"/>
      <c r="H1398" s="540"/>
      <c r="I1398" s="579"/>
      <c r="J1398" s="533"/>
      <c r="L1398" s="126"/>
      <c r="N1398" s="126"/>
      <c r="O1398" s="314"/>
      <c r="P1398" s="310"/>
      <c r="Q1398" s="310"/>
      <c r="R1398" s="314" t="str" cm="1">
        <f t="array" ref="R1398">IFERROR(IF(INDEX('Disaggregation Records'!$G$156:$G$517,MATCH(RIGHT(L1398,255),RIGHT('Disaggregation Records'!$D$156:$D$517,255),0))="","",INDEX('Disaggregation Records'!$G$156:$G$517,MATCH(RIGHT(L1398,255),RIGHT('Disaggregation Records'!$D$156:$D$517,255),0))),"")</f>
        <v/>
      </c>
    </row>
    <row r="1399" spans="1:18" ht="20.100000000000001" customHeight="1">
      <c r="A1399" s="126" t="str">
        <f t="shared" ca="1" si="1586"/>
        <v>a16Dm000000M3wSIAS</v>
      </c>
      <c r="B1399" s="570">
        <v>20</v>
      </c>
      <c r="C1399" s="572" t="str">
        <f ca="1">IFERROR(VLOOKUP(B1399,'Coverage Indicators - Section D'!$A$9:$AO$94,41,FALSE),"")</f>
        <v>KP-6d Number of PWID who received any PrEP product at least once during the reporting period</v>
      </c>
      <c r="D1399" s="574" t="str">
        <f ca="1">M1399</f>
        <v/>
      </c>
      <c r="E1399" s="574" t="str">
        <f ca="1">N1399</f>
        <v/>
      </c>
      <c r="F1399" s="127"/>
      <c r="G1399" s="576" t="str">
        <f ca="1">IF(OR(INDIRECT("'update Helper'!E"&amp;Q1399)="",F1399&lt;&gt;0,F1400&lt;&gt;0),IF(IFERROR((F1399/F1400),"")="","",(F1399/F1400)),INDIRECT("'update Helper'!E"&amp;Q1399)/100)</f>
        <v/>
      </c>
      <c r="H1399" s="539"/>
      <c r="I1399" s="578"/>
      <c r="J1399" s="532"/>
      <c r="K1399" s="126">
        <f ca="1">IF(AND(EXACT(C1399,C1397),C1397&lt;&gt;0),K1397+1,0)</f>
        <v>9</v>
      </c>
      <c r="L1399" s="126" t="str">
        <f t="shared" ref="L1399" ca="1" si="1591">IF(C1399&lt;&gt;"",C1399&amp;"-"&amp;K1399,"")</f>
        <v>KP-6d Number of PWID who received any PrEP product at least once during the reporting period-9</v>
      </c>
      <c r="M1399" s="126" t="str">
        <f t="array" aca="1" ref="M1399" ca="1">IFERROR(IF(INDEX('Disaggregation Records'!$E$156:$E$517,MATCH(RIGHT(L1399,255),RIGHT('Disaggregation Records'!$D$156:$D$517,255),0))="","",INDEX('Disaggregation Records'!$E$156:$E$517,MATCH(RIGHT(L1399,255),RIGHT('Disaggregation Records'!$D$156:$D$517,255),0))),"")</f>
        <v/>
      </c>
      <c r="N1399" s="126" t="str">
        <f t="array" aca="1" ref="N1399" ca="1">IFERROR(IF(INDEX('Disaggregation Records'!$F$156:$F$517,MATCH(RIGHT(L1399,255),RIGHT('Disaggregation Records'!$D$156:$D$517,255),0))="","",INDEX('Disaggregation Records'!$F$156:$F$517,MATCH(RIGHT(L1399,255),RIGHT('Disaggregation Records'!$D$156:$D$517,255),0))),"")</f>
        <v/>
      </c>
      <c r="O1399" s="314" t="str">
        <f t="array" aca="1" ref="O1399" ca="1">IFERROR(IF(INDEX('Disaggregation Records'!$H$156:$H$517,MATCH(RIGHT(L1399,255),RIGHT('Disaggregation Records'!$D$156:$D$517,255),0))="","",INDEX('Disaggregation Records'!$H$156:$H$517,MATCH(RIGHT(L1399,255),RIGHT('Disaggregation Records'!$D$156:$D$517,255),0))),"")</f>
        <v/>
      </c>
      <c r="P1399" s="310"/>
      <c r="Q1399" s="310">
        <f t="shared" ref="Q1399" si="1592">Q1397+1</f>
        <v>2001</v>
      </c>
      <c r="R1399" s="314" t="str" cm="1">
        <f t="array" aca="1" ref="R1399" ca="1">IFERROR(IF(INDEX('Disaggregation Records'!$G$156:$G$517,MATCH(RIGHT(L1399,255),RIGHT('Disaggregation Records'!$D$156:$D$517,255),0))="","",INDEX('Disaggregation Records'!$G$156:$G$517,MATCH(RIGHT(L1399,255),RIGHT('Disaggregation Records'!$D$156:$D$517,255),0))),"")</f>
        <v/>
      </c>
    </row>
    <row r="1400" spans="1:18" ht="20.100000000000001" customHeight="1">
      <c r="B1400" s="571"/>
      <c r="C1400" s="573"/>
      <c r="D1400" s="575"/>
      <c r="E1400" s="575"/>
      <c r="F1400" s="128"/>
      <c r="G1400" s="577"/>
      <c r="H1400" s="540"/>
      <c r="I1400" s="579"/>
      <c r="J1400" s="533"/>
      <c r="L1400" s="126"/>
      <c r="N1400" s="126"/>
      <c r="O1400" s="314"/>
      <c r="P1400" s="310"/>
      <c r="Q1400" s="310"/>
      <c r="R1400" s="314" t="str" cm="1">
        <f t="array" ref="R1400">IFERROR(IF(INDEX('Disaggregation Records'!$G$156:$G$517,MATCH(RIGHT(L1400,255),RIGHT('Disaggregation Records'!$D$156:$D$517,255),0))="","",INDEX('Disaggregation Records'!$G$156:$G$517,MATCH(RIGHT(L1400,255),RIGHT('Disaggregation Records'!$D$156:$D$517,255),0))),"")</f>
        <v/>
      </c>
    </row>
    <row r="1401" spans="1:18" ht="20.100000000000001" customHeight="1">
      <c r="A1401" s="126" t="str">
        <f t="shared" ca="1" si="1583"/>
        <v>a16Dm000000M3wTIAS</v>
      </c>
      <c r="B1401" s="570">
        <v>20</v>
      </c>
      <c r="C1401" s="572" t="str">
        <f ca="1">IFERROR(VLOOKUP(B1401,'Coverage Indicators - Section D'!$A$9:$AO$94,41,FALSE),"")</f>
        <v>KP-6d Number of PWID who received any PrEP product at least once during the reporting period</v>
      </c>
      <c r="D1401" s="574" t="str">
        <f ca="1">M1401</f>
        <v/>
      </c>
      <c r="E1401" s="574" t="str">
        <f ca="1">N1401</f>
        <v/>
      </c>
      <c r="F1401" s="127"/>
      <c r="G1401" s="576" t="str">
        <f ca="1">IF(OR(INDIRECT("'update Helper'!E"&amp;Q1401)="",F1401&lt;&gt;0,F1402&lt;&gt;0),IF(IFERROR((F1401/F1402),"")="","",(F1401/F1402)),INDIRECT("'update Helper'!E"&amp;Q1401)/100)</f>
        <v/>
      </c>
      <c r="H1401" s="539"/>
      <c r="I1401" s="578"/>
      <c r="J1401" s="532"/>
      <c r="K1401" s="126">
        <f ca="1">IF(AND(EXACT(C1401,C1399),C1399&lt;&gt;0),K1399+1,0)</f>
        <v>10</v>
      </c>
      <c r="L1401" s="126" t="str">
        <f t="shared" ref="L1401" ca="1" si="1593">IF(C1401&lt;&gt;"",C1401&amp;"-"&amp;K1401,"")</f>
        <v>KP-6d Number of PWID who received any PrEP product at least once during the reporting period-10</v>
      </c>
      <c r="M1401" s="126" t="str">
        <f t="array" aca="1" ref="M1401" ca="1">IFERROR(IF(INDEX('Disaggregation Records'!$E$156:$E$517,MATCH(RIGHT(L1401,255),RIGHT('Disaggregation Records'!$D$156:$D$517,255),0))="","",INDEX('Disaggregation Records'!$E$156:$E$517,MATCH(RIGHT(L1401,255),RIGHT('Disaggregation Records'!$D$156:$D$517,255),0))),"")</f>
        <v/>
      </c>
      <c r="N1401" s="126" t="str">
        <f t="array" aca="1" ref="N1401" ca="1">IFERROR(IF(INDEX('Disaggregation Records'!$F$156:$F$517,MATCH(RIGHT(L1401,255),RIGHT('Disaggregation Records'!$D$156:$D$517,255),0))="","",INDEX('Disaggregation Records'!$F$156:$F$517,MATCH(RIGHT(L1401,255),RIGHT('Disaggregation Records'!$D$156:$D$517,255),0))),"")</f>
        <v/>
      </c>
      <c r="O1401" s="314" t="str">
        <f t="array" aca="1" ref="O1401" ca="1">IFERROR(IF(INDEX('Disaggregation Records'!$H$156:$H$517,MATCH(RIGHT(L1401,255),RIGHT('Disaggregation Records'!$D$156:$D$517,255),0))="","",INDEX('Disaggregation Records'!$H$156:$H$517,MATCH(RIGHT(L1401,255),RIGHT('Disaggregation Records'!$D$156:$D$517,255),0))),"")</f>
        <v/>
      </c>
      <c r="P1401" s="314"/>
      <c r="Q1401" s="310">
        <f t="shared" ref="Q1401" si="1594">Q1399+1</f>
        <v>2002</v>
      </c>
      <c r="R1401" s="314" t="str" cm="1">
        <f t="array" aca="1" ref="R1401" ca="1">IFERROR(IF(INDEX('Disaggregation Records'!$G$156:$G$517,MATCH(RIGHT(L1401,255),RIGHT('Disaggregation Records'!$D$156:$D$517,255),0))="","",INDEX('Disaggregation Records'!$G$156:$G$517,MATCH(RIGHT(L1401,255),RIGHT('Disaggregation Records'!$D$156:$D$517,255),0))),"")</f>
        <v/>
      </c>
    </row>
    <row r="1402" spans="1:18" ht="20.100000000000001" customHeight="1">
      <c r="A1402" s="126"/>
      <c r="B1402" s="571"/>
      <c r="C1402" s="573"/>
      <c r="D1402" s="575"/>
      <c r="E1402" s="575"/>
      <c r="F1402" s="128"/>
      <c r="G1402" s="577"/>
      <c r="H1402" s="540"/>
      <c r="I1402" s="579"/>
      <c r="J1402" s="533"/>
      <c r="K1402" s="126"/>
      <c r="L1402" s="126"/>
      <c r="M1402" s="126"/>
      <c r="N1402" s="126"/>
      <c r="O1402" s="314"/>
      <c r="P1402" s="314"/>
      <c r="Q1402" s="310"/>
      <c r="R1402" s="314" t="str" cm="1">
        <f t="array" ref="R1402">IFERROR(IF(INDEX('Disaggregation Records'!$G$156:$G$517,MATCH(RIGHT(L1402,255),RIGHT('Disaggregation Records'!$D$156:$D$517,255),0))="","",INDEX('Disaggregation Records'!$G$156:$G$517,MATCH(RIGHT(L1402,255),RIGHT('Disaggregation Records'!$D$156:$D$517,255),0))),"")</f>
        <v/>
      </c>
    </row>
    <row r="1403" spans="1:18" ht="20.100000000000001" customHeight="1">
      <c r="A1403" s="126" t="str">
        <f t="shared" ca="1" si="1586"/>
        <v>a16Dm000000M3wUIAS</v>
      </c>
      <c r="B1403" s="570">
        <v>20</v>
      </c>
      <c r="C1403" s="572" t="str">
        <f ca="1">IFERROR(VLOOKUP(B1403,'Coverage Indicators - Section D'!$A$9:$AO$94,41,FALSE),"")</f>
        <v>KP-6d Number of PWID who received any PrEP product at least once during the reporting period</v>
      </c>
      <c r="D1403" s="574" t="str">
        <f ca="1">M1403</f>
        <v/>
      </c>
      <c r="E1403" s="574" t="str">
        <f ca="1">N1403</f>
        <v/>
      </c>
      <c r="F1403" s="127"/>
      <c r="G1403" s="576" t="str">
        <f ca="1">IF(OR(INDIRECT("'update Helper'!E"&amp;Q1403)="",F1403&lt;&gt;0,F1404&lt;&gt;0),IF(IFERROR((F1403/F1404),"")="","",(F1403/F1404)),INDIRECT("'update Helper'!E"&amp;Q1403)/100)</f>
        <v/>
      </c>
      <c r="H1403" s="539"/>
      <c r="I1403" s="578"/>
      <c r="J1403" s="532"/>
      <c r="K1403" s="126">
        <f ca="1">IF(AND(EXACT(C1403,C1401),C1401&lt;&gt;0),K1401+1,0)</f>
        <v>11</v>
      </c>
      <c r="L1403" s="126" t="str">
        <f t="shared" ref="L1403" ca="1" si="1595">IF(C1403&lt;&gt;"",C1403&amp;"-"&amp;K1403,"")</f>
        <v>KP-6d Number of PWID who received any PrEP product at least once during the reporting period-11</v>
      </c>
      <c r="M1403" s="126" t="str">
        <f t="array" aca="1" ref="M1403" ca="1">IFERROR(IF(INDEX('Disaggregation Records'!$E$156:$E$517,MATCH(RIGHT(L1403,255),RIGHT('Disaggregation Records'!$D$156:$D$517,255),0))="","",INDEX('Disaggregation Records'!$E$156:$E$517,MATCH(RIGHT(L1403,255),RIGHT('Disaggregation Records'!$D$156:$D$517,255),0))),"")</f>
        <v/>
      </c>
      <c r="N1403" s="126" t="str">
        <f t="array" aca="1" ref="N1403" ca="1">IFERROR(IF(INDEX('Disaggregation Records'!$F$156:$F$517,MATCH(RIGHT(L1403,255),RIGHT('Disaggregation Records'!$D$156:$D$517,255),0))="","",INDEX('Disaggregation Records'!$F$156:$F$517,MATCH(RIGHT(L1403,255),RIGHT('Disaggregation Records'!$D$156:$D$517,255),0))),"")</f>
        <v/>
      </c>
      <c r="O1403" s="314" t="str">
        <f t="array" aca="1" ref="O1403" ca="1">IFERROR(IF(INDEX('Disaggregation Records'!$H$156:$H$517,MATCH(RIGHT(L1403,255),RIGHT('Disaggregation Records'!$D$156:$D$517,255),0))="","",INDEX('Disaggregation Records'!$H$156:$H$517,MATCH(RIGHT(L1403,255),RIGHT('Disaggregation Records'!$D$156:$D$517,255),0))),"")</f>
        <v/>
      </c>
      <c r="P1403" s="314"/>
      <c r="Q1403" s="310">
        <f t="shared" ref="Q1403" si="1596">Q1401+1</f>
        <v>2003</v>
      </c>
      <c r="R1403" s="314" t="str" cm="1">
        <f t="array" aca="1" ref="R1403" ca="1">IFERROR(IF(INDEX('Disaggregation Records'!$G$156:$G$517,MATCH(RIGHT(L1403,255),RIGHT('Disaggregation Records'!$D$156:$D$517,255),0))="","",INDEX('Disaggregation Records'!$G$156:$G$517,MATCH(RIGHT(L1403,255),RIGHT('Disaggregation Records'!$D$156:$D$517,255),0))),"")</f>
        <v/>
      </c>
    </row>
    <row r="1404" spans="1:18" ht="20.100000000000001" customHeight="1">
      <c r="B1404" s="571"/>
      <c r="C1404" s="573"/>
      <c r="D1404" s="575"/>
      <c r="E1404" s="575"/>
      <c r="F1404" s="128"/>
      <c r="G1404" s="577"/>
      <c r="H1404" s="540"/>
      <c r="I1404" s="579"/>
      <c r="J1404" s="533"/>
      <c r="K1404" s="126"/>
      <c r="L1404" s="126"/>
      <c r="M1404" s="126"/>
      <c r="N1404" s="126"/>
      <c r="O1404" s="314"/>
      <c r="P1404" s="314"/>
      <c r="Q1404" s="310"/>
      <c r="R1404" s="314" t="str" cm="1">
        <f t="array" ref="R1404">IFERROR(IF(INDEX('Disaggregation Records'!$G$156:$G$517,MATCH(RIGHT(L1404,255),RIGHT('Disaggregation Records'!$D$156:$D$517,255),0))="","",INDEX('Disaggregation Records'!$G$156:$G$517,MATCH(RIGHT(L1404,255),RIGHT('Disaggregation Records'!$D$156:$D$517,255),0))),"")</f>
        <v/>
      </c>
    </row>
    <row r="1405" spans="1:18" ht="20.100000000000001" customHeight="1">
      <c r="A1405" s="126" t="str">
        <f t="shared" ca="1" si="1583"/>
        <v>a16Dm000000M3wVIAS</v>
      </c>
      <c r="B1405" s="570">
        <v>20</v>
      </c>
      <c r="C1405" s="572" t="str">
        <f ca="1">IFERROR(VLOOKUP(B1405,'Coverage Indicators - Section D'!$A$9:$AO$94,41,FALSE),"")</f>
        <v>KP-6d Number of PWID who received any PrEP product at least once during the reporting period</v>
      </c>
      <c r="D1405" s="574" t="str">
        <f ca="1">M1405</f>
        <v/>
      </c>
      <c r="E1405" s="574" t="str">
        <f ca="1">N1405</f>
        <v/>
      </c>
      <c r="F1405" s="127"/>
      <c r="G1405" s="576" t="str">
        <f ca="1">IF(OR(INDIRECT("'update Helper'!E"&amp;Q1405)="",F1405&lt;&gt;0,F1406&lt;&gt;0),IF(IFERROR((F1405/F1406),"")="","",(F1405/F1406)),INDIRECT("'update Helper'!E"&amp;Q1405)/100)</f>
        <v/>
      </c>
      <c r="H1405" s="539"/>
      <c r="I1405" s="578"/>
      <c r="J1405" s="532"/>
      <c r="K1405" s="126">
        <f ca="1">IF(AND(EXACT(C1405,C1403),C1403&lt;&gt;0),K1403+1,0)</f>
        <v>12</v>
      </c>
      <c r="L1405" s="126" t="str">
        <f t="shared" ref="L1405" ca="1" si="1597">IF(C1405&lt;&gt;"",C1405&amp;"-"&amp;K1405,"")</f>
        <v>KP-6d Number of PWID who received any PrEP product at least once during the reporting period-12</v>
      </c>
      <c r="M1405" s="126" t="str">
        <f t="array" aca="1" ref="M1405" ca="1">IFERROR(IF(INDEX('Disaggregation Records'!$E$156:$E$517,MATCH(RIGHT(L1405,255),RIGHT('Disaggregation Records'!$D$156:$D$517,255),0))="","",INDEX('Disaggregation Records'!$E$156:$E$517,MATCH(RIGHT(L1405,255),RIGHT('Disaggregation Records'!$D$156:$D$517,255),0))),"")</f>
        <v/>
      </c>
      <c r="N1405" s="126" t="str">
        <f t="array" aca="1" ref="N1405" ca="1">IFERROR(IF(INDEX('Disaggregation Records'!$F$156:$F$517,MATCH(RIGHT(L1405,255),RIGHT('Disaggregation Records'!$D$156:$D$517,255),0))="","",INDEX('Disaggregation Records'!$F$156:$F$517,MATCH(RIGHT(L1405,255),RIGHT('Disaggregation Records'!$D$156:$D$517,255),0))),"")</f>
        <v/>
      </c>
      <c r="O1405" s="314" t="str">
        <f t="array" aca="1" ref="O1405" ca="1">IFERROR(IF(INDEX('Disaggregation Records'!$H$156:$H$517,MATCH(RIGHT(L1405,255),RIGHT('Disaggregation Records'!$D$156:$D$517,255),0))="","",INDEX('Disaggregation Records'!$H$156:$H$517,MATCH(RIGHT(L1405,255),RIGHT('Disaggregation Records'!$D$156:$D$517,255),0))),"")</f>
        <v/>
      </c>
      <c r="P1405" s="310"/>
      <c r="Q1405" s="310">
        <f t="shared" ref="Q1405" si="1598">Q1403+1</f>
        <v>2004</v>
      </c>
      <c r="R1405" s="314" t="str" cm="1">
        <f t="array" aca="1" ref="R1405" ca="1">IFERROR(IF(INDEX('Disaggregation Records'!$G$156:$G$517,MATCH(RIGHT(L1405,255),RIGHT('Disaggregation Records'!$D$156:$D$517,255),0))="","",INDEX('Disaggregation Records'!$G$156:$G$517,MATCH(RIGHT(L1405,255),RIGHT('Disaggregation Records'!$D$156:$D$517,255),0))),"")</f>
        <v/>
      </c>
    </row>
    <row r="1406" spans="1:18" ht="20.100000000000001" customHeight="1">
      <c r="A1406" s="126"/>
      <c r="B1406" s="571"/>
      <c r="C1406" s="573"/>
      <c r="D1406" s="575"/>
      <c r="E1406" s="575"/>
      <c r="F1406" s="128"/>
      <c r="G1406" s="577"/>
      <c r="H1406" s="540"/>
      <c r="I1406" s="579"/>
      <c r="J1406" s="533"/>
      <c r="L1406" s="126"/>
      <c r="N1406" s="126"/>
      <c r="O1406" s="314"/>
      <c r="P1406" s="310"/>
      <c r="Q1406" s="310"/>
      <c r="R1406" s="314" t="str" cm="1">
        <f t="array" ref="R1406">IFERROR(IF(INDEX('Disaggregation Records'!$G$156:$G$517,MATCH(RIGHT(L1406,255),RIGHT('Disaggregation Records'!$D$156:$D$517,255),0))="","",INDEX('Disaggregation Records'!$G$156:$G$517,MATCH(RIGHT(L1406,255),RIGHT('Disaggregation Records'!$D$156:$D$517,255),0))),"")</f>
        <v/>
      </c>
    </row>
    <row r="1407" spans="1:18" ht="20.100000000000001" customHeight="1">
      <c r="A1407" s="126" t="str">
        <f t="shared" ca="1" si="1586"/>
        <v>a16Dm000000M3wWIAS</v>
      </c>
      <c r="B1407" s="570">
        <v>20</v>
      </c>
      <c r="C1407" s="572" t="str">
        <f ca="1">IFERROR(VLOOKUP(B1407,'Coverage Indicators - Section D'!$A$9:$AO$94,41,FALSE),"")</f>
        <v>KP-6d Number of PWID who received any PrEP product at least once during the reporting period</v>
      </c>
      <c r="D1407" s="574" t="str">
        <f ca="1">M1407</f>
        <v/>
      </c>
      <c r="E1407" s="574" t="str">
        <f ca="1">N1407</f>
        <v/>
      </c>
      <c r="F1407" s="127"/>
      <c r="G1407" s="576" t="str">
        <f ca="1">IF(OR(INDIRECT("'update Helper'!E"&amp;Q1407)="",F1407&lt;&gt;0,F1408&lt;&gt;0),IF(IFERROR((F1407/F1408),"")="","",(F1407/F1408)),INDIRECT("'update Helper'!E"&amp;Q1407)/100)</f>
        <v/>
      </c>
      <c r="H1407" s="539"/>
      <c r="I1407" s="578"/>
      <c r="J1407" s="532"/>
      <c r="K1407" s="126">
        <f ca="1">IF(AND(EXACT(C1407,C1405),C1405&lt;&gt;0),K1405+1,0)</f>
        <v>13</v>
      </c>
      <c r="L1407" s="126" t="str">
        <f t="shared" ref="L1407" ca="1" si="1599">IF(C1407&lt;&gt;"",C1407&amp;"-"&amp;K1407,"")</f>
        <v>KP-6d Number of PWID who received any PrEP product at least once during the reporting period-13</v>
      </c>
      <c r="M1407" s="126" t="str">
        <f t="array" aca="1" ref="M1407" ca="1">IFERROR(IF(INDEX('Disaggregation Records'!$E$156:$E$517,MATCH(RIGHT(L1407,255),RIGHT('Disaggregation Records'!$D$156:$D$517,255),0))="","",INDEX('Disaggregation Records'!$E$156:$E$517,MATCH(RIGHT(L1407,255),RIGHT('Disaggregation Records'!$D$156:$D$517,255),0))),"")</f>
        <v/>
      </c>
      <c r="N1407" s="126" t="str">
        <f t="array" aca="1" ref="N1407" ca="1">IFERROR(IF(INDEX('Disaggregation Records'!$F$156:$F$517,MATCH(RIGHT(L1407,255),RIGHT('Disaggregation Records'!$D$156:$D$517,255),0))="","",INDEX('Disaggregation Records'!$F$156:$F$517,MATCH(RIGHT(L1407,255),RIGHT('Disaggregation Records'!$D$156:$D$517,255),0))),"")</f>
        <v/>
      </c>
      <c r="O1407" s="314" t="str">
        <f t="array" aca="1" ref="O1407" ca="1">IFERROR(IF(INDEX('Disaggregation Records'!$H$156:$H$517,MATCH(RIGHT(L1407,255),RIGHT('Disaggregation Records'!$D$156:$D$517,255),0))="","",INDEX('Disaggregation Records'!$H$156:$H$517,MATCH(RIGHT(L1407,255),RIGHT('Disaggregation Records'!$D$156:$D$517,255),0))),"")</f>
        <v/>
      </c>
      <c r="P1407" s="310"/>
      <c r="Q1407" s="310">
        <f t="shared" ref="Q1407" si="1600">Q1405+1</f>
        <v>2005</v>
      </c>
      <c r="R1407" s="314" t="str" cm="1">
        <f t="array" aca="1" ref="R1407" ca="1">IFERROR(IF(INDEX('Disaggregation Records'!$G$156:$G$517,MATCH(RIGHT(L1407,255),RIGHT('Disaggregation Records'!$D$156:$D$517,255),0))="","",INDEX('Disaggregation Records'!$G$156:$G$517,MATCH(RIGHT(L1407,255),RIGHT('Disaggregation Records'!$D$156:$D$517,255),0))),"")</f>
        <v/>
      </c>
    </row>
    <row r="1408" spans="1:18" ht="20.100000000000001" customHeight="1">
      <c r="B1408" s="571"/>
      <c r="C1408" s="573"/>
      <c r="D1408" s="575"/>
      <c r="E1408" s="575"/>
      <c r="F1408" s="128"/>
      <c r="G1408" s="577"/>
      <c r="H1408" s="540"/>
      <c r="I1408" s="579"/>
      <c r="J1408" s="533"/>
      <c r="L1408" s="126"/>
      <c r="N1408" s="126"/>
      <c r="O1408" s="314"/>
      <c r="P1408" s="310"/>
      <c r="Q1408" s="310"/>
      <c r="R1408" s="314" t="str" cm="1">
        <f t="array" ref="R1408">IFERROR(IF(INDEX('Disaggregation Records'!$G$156:$G$517,MATCH(RIGHT(L1408,255),RIGHT('Disaggregation Records'!$D$156:$D$517,255),0))="","",INDEX('Disaggregation Records'!$G$156:$G$517,MATCH(RIGHT(L1408,255),RIGHT('Disaggregation Records'!$D$156:$D$517,255),0))),"")</f>
        <v/>
      </c>
    </row>
    <row r="1409" spans="1:18" ht="20.100000000000001" customHeight="1">
      <c r="A1409" s="126" t="str">
        <f t="shared" ca="1" si="1583"/>
        <v>a16Dm000000M3wXIAS</v>
      </c>
      <c r="B1409" s="570">
        <v>20</v>
      </c>
      <c r="C1409" s="572" t="str">
        <f ca="1">IFERROR(VLOOKUP(B1409,'Coverage Indicators - Section D'!$A$9:$AO$94,41,FALSE),"")</f>
        <v>KP-6d Number of PWID who received any PrEP product at least once during the reporting period</v>
      </c>
      <c r="D1409" s="574" t="str">
        <f ca="1">M1409</f>
        <v/>
      </c>
      <c r="E1409" s="574" t="str">
        <f ca="1">N1409</f>
        <v/>
      </c>
      <c r="F1409" s="127"/>
      <c r="G1409" s="576" t="str">
        <f ca="1">IF(OR(INDIRECT("'update Helper'!E"&amp;Q1409)="",F1409&lt;&gt;0,F1410&lt;&gt;0),IF(IFERROR((F1409/F1410),"")="","",(F1409/F1410)),INDIRECT("'update Helper'!E"&amp;Q1409)/100)</f>
        <v/>
      </c>
      <c r="H1409" s="539"/>
      <c r="I1409" s="578"/>
      <c r="J1409" s="532"/>
      <c r="K1409" s="126">
        <f ca="1">IF(AND(EXACT(C1409,C1407),C1407&lt;&gt;0),K1407+1,0)</f>
        <v>14</v>
      </c>
      <c r="L1409" s="126" t="str">
        <f t="shared" ref="L1409" ca="1" si="1601">IF(C1409&lt;&gt;"",C1409&amp;"-"&amp;K1409,"")</f>
        <v>KP-6d Number of PWID who received any PrEP product at least once during the reporting period-14</v>
      </c>
      <c r="M1409" s="126" t="str">
        <f t="array" aca="1" ref="M1409" ca="1">IFERROR(IF(INDEX('Disaggregation Records'!$E$156:$E$517,MATCH(RIGHT(L1409,255),RIGHT('Disaggregation Records'!$D$156:$D$517,255),0))="","",INDEX('Disaggregation Records'!$E$156:$E$517,MATCH(RIGHT(L1409,255),RIGHT('Disaggregation Records'!$D$156:$D$517,255),0))),"")</f>
        <v/>
      </c>
      <c r="N1409" s="126" t="str">
        <f t="array" aca="1" ref="N1409" ca="1">IFERROR(IF(INDEX('Disaggregation Records'!$F$156:$F$517,MATCH(RIGHT(L1409,255),RIGHT('Disaggregation Records'!$D$156:$D$517,255),0))="","",INDEX('Disaggregation Records'!$F$156:$F$517,MATCH(RIGHT(L1409,255),RIGHT('Disaggregation Records'!$D$156:$D$517,255),0))),"")</f>
        <v/>
      </c>
      <c r="O1409" s="314" t="str">
        <f t="array" aca="1" ref="O1409" ca="1">IFERROR(IF(INDEX('Disaggregation Records'!$H$156:$H$517,MATCH(RIGHT(L1409,255),RIGHT('Disaggregation Records'!$D$156:$D$517,255),0))="","",INDEX('Disaggregation Records'!$H$156:$H$517,MATCH(RIGHT(L1409,255),RIGHT('Disaggregation Records'!$D$156:$D$517,255),0))),"")</f>
        <v/>
      </c>
      <c r="P1409" s="310"/>
      <c r="Q1409" s="310">
        <f t="shared" ref="Q1409" si="1602">Q1407+1</f>
        <v>2006</v>
      </c>
      <c r="R1409" s="314" t="str" cm="1">
        <f t="array" aca="1" ref="R1409" ca="1">IFERROR(IF(INDEX('Disaggregation Records'!$G$156:$G$517,MATCH(RIGHT(L1409,255),RIGHT('Disaggregation Records'!$D$156:$D$517,255),0))="","",INDEX('Disaggregation Records'!$G$156:$G$517,MATCH(RIGHT(L1409,255),RIGHT('Disaggregation Records'!$D$156:$D$517,255),0))),"")</f>
        <v/>
      </c>
    </row>
    <row r="1410" spans="1:18" ht="20.100000000000001" customHeight="1">
      <c r="A1410" s="126"/>
      <c r="B1410" s="571"/>
      <c r="C1410" s="573"/>
      <c r="D1410" s="575"/>
      <c r="E1410" s="575"/>
      <c r="F1410" s="128"/>
      <c r="G1410" s="577"/>
      <c r="H1410" s="540"/>
      <c r="I1410" s="579"/>
      <c r="J1410" s="533"/>
      <c r="L1410" s="126"/>
      <c r="N1410" s="126"/>
      <c r="O1410" s="314"/>
      <c r="P1410" s="310"/>
      <c r="Q1410" s="310"/>
      <c r="R1410" s="314" t="str" cm="1">
        <f t="array" ref="R1410">IFERROR(IF(INDEX('Disaggregation Records'!$G$156:$G$517,MATCH(RIGHT(L1410,255),RIGHT('Disaggregation Records'!$D$156:$D$517,255),0))="","",INDEX('Disaggregation Records'!$G$156:$G$517,MATCH(RIGHT(L1410,255),RIGHT('Disaggregation Records'!$D$156:$D$517,255),0))),"")</f>
        <v/>
      </c>
    </row>
    <row r="1411" spans="1:18" ht="20.100000000000001" customHeight="1">
      <c r="A1411" s="126" t="str">
        <f t="shared" ca="1" si="1586"/>
        <v>a16Dm000000M3wYIAS</v>
      </c>
      <c r="B1411" s="570">
        <v>20</v>
      </c>
      <c r="C1411" s="572" t="str">
        <f ca="1">IFERROR(VLOOKUP(B1411,'Coverage Indicators - Section D'!$A$9:$AO$94,41,FALSE),"")</f>
        <v>KP-6d Number of PWID who received any PrEP product at least once during the reporting period</v>
      </c>
      <c r="D1411" s="574" t="str">
        <f ca="1">M1411</f>
        <v/>
      </c>
      <c r="E1411" s="574" t="str">
        <f ca="1">N1411</f>
        <v/>
      </c>
      <c r="F1411" s="127"/>
      <c r="G1411" s="576" t="str">
        <f ca="1">IF(OR(INDIRECT("'update Helper'!E"&amp;Q1411)="",F1411&lt;&gt;0,F1412&lt;&gt;0),IF(IFERROR((F1411/F1412),"")="","",(F1411/F1412)),INDIRECT("'update Helper'!E"&amp;Q1411)/100)</f>
        <v/>
      </c>
      <c r="H1411" s="539"/>
      <c r="I1411" s="578"/>
      <c r="J1411" s="532"/>
      <c r="K1411" s="126">
        <f ca="1">IF(AND(EXACT(C1411,C1409),C1409&lt;&gt;0),K1409+1,0)</f>
        <v>15</v>
      </c>
      <c r="L1411" s="126" t="str">
        <f t="shared" ref="L1411" ca="1" si="1603">IF(C1411&lt;&gt;"",C1411&amp;"-"&amp;K1411,"")</f>
        <v>KP-6d Number of PWID who received any PrEP product at least once during the reporting period-15</v>
      </c>
      <c r="M1411" s="126" t="str">
        <f t="array" aca="1" ref="M1411" ca="1">IFERROR(IF(INDEX('Disaggregation Records'!$E$156:$E$517,MATCH(RIGHT(L1411,255),RIGHT('Disaggregation Records'!$D$156:$D$517,255),0))="","",INDEX('Disaggregation Records'!$E$156:$E$517,MATCH(RIGHT(L1411,255),RIGHT('Disaggregation Records'!$D$156:$D$517,255),0))),"")</f>
        <v/>
      </c>
      <c r="N1411" s="126" t="str">
        <f t="array" aca="1" ref="N1411" ca="1">IFERROR(IF(INDEX('Disaggregation Records'!$F$156:$F$517,MATCH(RIGHT(L1411,255),RIGHT('Disaggregation Records'!$D$156:$D$517,255),0))="","",INDEX('Disaggregation Records'!$F$156:$F$517,MATCH(RIGHT(L1411,255),RIGHT('Disaggregation Records'!$D$156:$D$517,255),0))),"")</f>
        <v/>
      </c>
      <c r="O1411" s="314" t="str">
        <f t="array" aca="1" ref="O1411" ca="1">IFERROR(IF(INDEX('Disaggregation Records'!$H$156:$H$517,MATCH(RIGHT(L1411,255),RIGHT('Disaggregation Records'!$D$156:$D$517,255),0))="","",INDEX('Disaggregation Records'!$H$156:$H$517,MATCH(RIGHT(L1411,255),RIGHT('Disaggregation Records'!$D$156:$D$517,255),0))),"")</f>
        <v/>
      </c>
      <c r="P1411" s="314"/>
      <c r="Q1411" s="310">
        <f t="shared" ref="Q1411" si="1604">Q1409+1</f>
        <v>2007</v>
      </c>
      <c r="R1411" s="314" t="str" cm="1">
        <f t="array" aca="1" ref="R1411" ca="1">IFERROR(IF(INDEX('Disaggregation Records'!$G$156:$G$517,MATCH(RIGHT(L1411,255),RIGHT('Disaggregation Records'!$D$156:$D$517,255),0))="","",INDEX('Disaggregation Records'!$G$156:$G$517,MATCH(RIGHT(L1411,255),RIGHT('Disaggregation Records'!$D$156:$D$517,255),0))),"")</f>
        <v/>
      </c>
    </row>
    <row r="1412" spans="1:18" ht="20.100000000000001" customHeight="1">
      <c r="B1412" s="571"/>
      <c r="C1412" s="573"/>
      <c r="D1412" s="575"/>
      <c r="E1412" s="575"/>
      <c r="F1412" s="128"/>
      <c r="G1412" s="577"/>
      <c r="H1412" s="540"/>
      <c r="I1412" s="579"/>
      <c r="J1412" s="533"/>
      <c r="K1412" s="126"/>
      <c r="L1412" s="126"/>
      <c r="M1412" s="126"/>
      <c r="N1412" s="126"/>
      <c r="O1412" s="314"/>
      <c r="P1412" s="314"/>
      <c r="Q1412" s="310"/>
      <c r="R1412" s="314" t="str" cm="1">
        <f t="array" ref="R1412">IFERROR(IF(INDEX('Disaggregation Records'!$G$156:$G$517,MATCH(RIGHT(L1412,255),RIGHT('Disaggregation Records'!$D$156:$D$517,255),0))="","",INDEX('Disaggregation Records'!$G$156:$G$517,MATCH(RIGHT(L1412,255),RIGHT('Disaggregation Records'!$D$156:$D$517,255),0))),"")</f>
        <v/>
      </c>
    </row>
    <row r="1413" spans="1:18" ht="20.100000000000001" customHeight="1">
      <c r="A1413" s="126" t="str">
        <f t="shared" ca="1" si="1583"/>
        <v>a16Dm000000M3wZIAS</v>
      </c>
      <c r="B1413" s="570">
        <v>20</v>
      </c>
      <c r="C1413" s="572" t="str">
        <f ca="1">IFERROR(VLOOKUP(B1413,'Coverage Indicators - Section D'!$A$9:$AO$94,41,FALSE),"")</f>
        <v>KP-6d Number of PWID who received any PrEP product at least once during the reporting period</v>
      </c>
      <c r="D1413" s="574" t="str">
        <f ca="1">M1413</f>
        <v/>
      </c>
      <c r="E1413" s="574" t="str">
        <f ca="1">N1413</f>
        <v/>
      </c>
      <c r="F1413" s="127"/>
      <c r="G1413" s="576" t="str">
        <f ca="1">IF(OR(INDIRECT("'update Helper'!E"&amp;Q1413)="",F1413&lt;&gt;0,F1414&lt;&gt;0),IF(IFERROR((F1413/F1414),"")="","",(F1413/F1414)),INDIRECT("'update Helper'!E"&amp;Q1413)/100)</f>
        <v/>
      </c>
      <c r="H1413" s="539"/>
      <c r="I1413" s="578"/>
      <c r="J1413" s="532"/>
      <c r="K1413" s="126">
        <f ca="1">IF(AND(EXACT(C1413,C1411),C1411&lt;&gt;0),K1411+1,0)</f>
        <v>16</v>
      </c>
      <c r="L1413" s="126" t="str">
        <f t="shared" ref="L1413" ca="1" si="1605">IF(C1413&lt;&gt;"",C1413&amp;"-"&amp;K1413,"")</f>
        <v>KP-6d Number of PWID who received any PrEP product at least once during the reporting period-16</v>
      </c>
      <c r="M1413" s="126" t="str">
        <f t="array" aca="1" ref="M1413" ca="1">IFERROR(IF(INDEX('Disaggregation Records'!$E$156:$E$517,MATCH(RIGHT(L1413,255),RIGHT('Disaggregation Records'!$D$156:$D$517,255),0))="","",INDEX('Disaggregation Records'!$E$156:$E$517,MATCH(RIGHT(L1413,255),RIGHT('Disaggregation Records'!$D$156:$D$517,255),0))),"")</f>
        <v/>
      </c>
      <c r="N1413" s="126" t="str">
        <f t="array" aca="1" ref="N1413" ca="1">IFERROR(IF(INDEX('Disaggregation Records'!$F$156:$F$517,MATCH(RIGHT(L1413,255),RIGHT('Disaggregation Records'!$D$156:$D$517,255),0))="","",INDEX('Disaggregation Records'!$F$156:$F$517,MATCH(RIGHT(L1413,255),RIGHT('Disaggregation Records'!$D$156:$D$517,255),0))),"")</f>
        <v/>
      </c>
      <c r="O1413" s="314" t="str">
        <f t="array" aca="1" ref="O1413" ca="1">IFERROR(IF(INDEX('Disaggregation Records'!$H$156:$H$517,MATCH(RIGHT(L1413,255),RIGHT('Disaggregation Records'!$D$156:$D$517,255),0))="","",INDEX('Disaggregation Records'!$H$156:$H$517,MATCH(RIGHT(L1413,255),RIGHT('Disaggregation Records'!$D$156:$D$517,255),0))),"")</f>
        <v/>
      </c>
      <c r="P1413" s="314"/>
      <c r="Q1413" s="310">
        <f t="shared" ref="Q1413" si="1606">Q1411+1</f>
        <v>2008</v>
      </c>
      <c r="R1413" s="314" t="str" cm="1">
        <f t="array" aca="1" ref="R1413" ca="1">IFERROR(IF(INDEX('Disaggregation Records'!$G$156:$G$517,MATCH(RIGHT(L1413,255),RIGHT('Disaggregation Records'!$D$156:$D$517,255),0))="","",INDEX('Disaggregation Records'!$G$156:$G$517,MATCH(RIGHT(L1413,255),RIGHT('Disaggregation Records'!$D$156:$D$517,255),0))),"")</f>
        <v/>
      </c>
    </row>
    <row r="1414" spans="1:18" ht="20.100000000000001" customHeight="1">
      <c r="A1414" s="126"/>
      <c r="B1414" s="571"/>
      <c r="C1414" s="573"/>
      <c r="D1414" s="575"/>
      <c r="E1414" s="575"/>
      <c r="F1414" s="128"/>
      <c r="G1414" s="577"/>
      <c r="H1414" s="540"/>
      <c r="I1414" s="579"/>
      <c r="J1414" s="533"/>
      <c r="K1414" s="126"/>
      <c r="L1414" s="126"/>
      <c r="M1414" s="126"/>
      <c r="N1414" s="126"/>
      <c r="O1414" s="314"/>
      <c r="P1414" s="314"/>
      <c r="Q1414" s="310"/>
      <c r="R1414" s="314" t="str" cm="1">
        <f t="array" ref="R1414">IFERROR(IF(INDEX('Disaggregation Records'!$G$156:$G$517,MATCH(RIGHT(L1414,255),RIGHT('Disaggregation Records'!$D$156:$D$517,255),0))="","",INDEX('Disaggregation Records'!$G$156:$G$517,MATCH(RIGHT(L1414,255),RIGHT('Disaggregation Records'!$D$156:$D$517,255),0))),"")</f>
        <v/>
      </c>
    </row>
    <row r="1415" spans="1:18" ht="20.100000000000001" customHeight="1">
      <c r="A1415" s="126" t="str">
        <f t="shared" ca="1" si="1586"/>
        <v>a16Dm000000M3waIAC</v>
      </c>
      <c r="B1415" s="570">
        <v>20</v>
      </c>
      <c r="C1415" s="572" t="str">
        <f ca="1">IFERROR(VLOOKUP(B1415,'Coverage Indicators - Section D'!$A$9:$AO$94,41,FALSE),"")</f>
        <v>KP-6d Number of PWID who received any PrEP product at least once during the reporting period</v>
      </c>
      <c r="D1415" s="574" t="str">
        <f ca="1">M1415</f>
        <v/>
      </c>
      <c r="E1415" s="574" t="str">
        <f ca="1">N1415</f>
        <v/>
      </c>
      <c r="F1415" s="127"/>
      <c r="G1415" s="576" t="str">
        <f ca="1">IF(OR(INDIRECT("'update Helper'!E"&amp;Q1415)="",F1415&lt;&gt;0,F1416&lt;&gt;0),IF(IFERROR((F1415/F1416),"")="","",(F1415/F1416)),INDIRECT("'update Helper'!E"&amp;Q1415)/100)</f>
        <v/>
      </c>
      <c r="H1415" s="539"/>
      <c r="I1415" s="578"/>
      <c r="J1415" s="532"/>
      <c r="K1415" s="126">
        <f ca="1">IF(AND(EXACT(C1415,C1413),C1413&lt;&gt;0),K1413+1,0)</f>
        <v>17</v>
      </c>
      <c r="L1415" s="126" t="str">
        <f t="shared" ref="L1415" ca="1" si="1607">IF(C1415&lt;&gt;"",C1415&amp;"-"&amp;K1415,"")</f>
        <v>KP-6d Number of PWID who received any PrEP product at least once during the reporting period-17</v>
      </c>
      <c r="M1415" s="126" t="str">
        <f t="array" aca="1" ref="M1415" ca="1">IFERROR(IF(INDEX('Disaggregation Records'!$E$156:$E$517,MATCH(RIGHT(L1415,255),RIGHT('Disaggregation Records'!$D$156:$D$517,255),0))="","",INDEX('Disaggregation Records'!$E$156:$E$517,MATCH(RIGHT(L1415,255),RIGHT('Disaggregation Records'!$D$156:$D$517,255),0))),"")</f>
        <v/>
      </c>
      <c r="N1415" s="126" t="str">
        <f t="array" aca="1" ref="N1415" ca="1">IFERROR(IF(INDEX('Disaggregation Records'!$F$156:$F$517,MATCH(RIGHT(L1415,255),RIGHT('Disaggregation Records'!$D$156:$D$517,255),0))="","",INDEX('Disaggregation Records'!$F$156:$F$517,MATCH(RIGHT(L1415,255),RIGHT('Disaggregation Records'!$D$156:$D$517,255),0))),"")</f>
        <v/>
      </c>
      <c r="O1415" s="314" t="str">
        <f t="array" aca="1" ref="O1415" ca="1">IFERROR(IF(INDEX('Disaggregation Records'!$H$156:$H$517,MATCH(RIGHT(L1415,255),RIGHT('Disaggregation Records'!$D$156:$D$517,255),0))="","",INDEX('Disaggregation Records'!$H$156:$H$517,MATCH(RIGHT(L1415,255),RIGHT('Disaggregation Records'!$D$156:$D$517,255),0))),"")</f>
        <v/>
      </c>
      <c r="P1415" s="310"/>
      <c r="Q1415" s="310">
        <f t="shared" ref="Q1415" si="1608">Q1413+1</f>
        <v>2009</v>
      </c>
      <c r="R1415" s="314" t="str" cm="1">
        <f t="array" aca="1" ref="R1415" ca="1">IFERROR(IF(INDEX('Disaggregation Records'!$G$156:$G$517,MATCH(RIGHT(L1415,255),RIGHT('Disaggregation Records'!$D$156:$D$517,255),0))="","",INDEX('Disaggregation Records'!$G$156:$G$517,MATCH(RIGHT(L1415,255),RIGHT('Disaggregation Records'!$D$156:$D$517,255),0))),"")</f>
        <v/>
      </c>
    </row>
    <row r="1416" spans="1:18" ht="20.100000000000001" customHeight="1">
      <c r="B1416" s="571"/>
      <c r="C1416" s="573"/>
      <c r="D1416" s="575"/>
      <c r="E1416" s="575"/>
      <c r="F1416" s="128"/>
      <c r="G1416" s="577"/>
      <c r="H1416" s="540"/>
      <c r="I1416" s="579"/>
      <c r="J1416" s="533"/>
      <c r="L1416" s="126"/>
      <c r="N1416" s="126"/>
      <c r="O1416" s="314"/>
      <c r="P1416" s="310"/>
      <c r="Q1416" s="310"/>
      <c r="R1416" s="314" t="str" cm="1">
        <f t="array" ref="R1416">IFERROR(IF(INDEX('Disaggregation Records'!$G$156:$G$517,MATCH(RIGHT(L1416,255),RIGHT('Disaggregation Records'!$D$156:$D$517,255),0))="","",INDEX('Disaggregation Records'!$G$156:$G$517,MATCH(RIGHT(L1416,255),RIGHT('Disaggregation Records'!$D$156:$D$517,255),0))),"")</f>
        <v/>
      </c>
    </row>
    <row r="1417" spans="1:18" ht="20.100000000000001" customHeight="1">
      <c r="A1417" s="126" t="str">
        <f t="shared" ca="1" si="1583"/>
        <v>a16Dm000000M3wbIAC</v>
      </c>
      <c r="B1417" s="570">
        <v>20</v>
      </c>
      <c r="C1417" s="572" t="str">
        <f ca="1">IFERROR(VLOOKUP(B1417,'Coverage Indicators - Section D'!$A$9:$AO$94,41,FALSE),"")</f>
        <v>KP-6d Number of PWID who received any PrEP product at least once during the reporting period</v>
      </c>
      <c r="D1417" s="574" t="str">
        <f ca="1">M1417</f>
        <v/>
      </c>
      <c r="E1417" s="574" t="str">
        <f ca="1">N1417</f>
        <v/>
      </c>
      <c r="F1417" s="127"/>
      <c r="G1417" s="576" t="str">
        <f ca="1">IF(OR(INDIRECT("'update Helper'!E"&amp;Q1417)="",F1417&lt;&gt;0,F1418&lt;&gt;0),IF(IFERROR((F1417/F1418),"")="","",(F1417/F1418)),INDIRECT("'update Helper'!E"&amp;Q1417)/100)</f>
        <v/>
      </c>
      <c r="H1417" s="539"/>
      <c r="I1417" s="578"/>
      <c r="J1417" s="532"/>
      <c r="K1417" s="126">
        <f ca="1">IF(AND(EXACT(C1417,C1415),C1415&lt;&gt;0),K1415+1,0)</f>
        <v>18</v>
      </c>
      <c r="L1417" s="126" t="str">
        <f t="shared" ref="L1417" ca="1" si="1609">IF(C1417&lt;&gt;"",C1417&amp;"-"&amp;K1417,"")</f>
        <v>KP-6d Number of PWID who received any PrEP product at least once during the reporting period-18</v>
      </c>
      <c r="M1417" s="126" t="str">
        <f t="array" aca="1" ref="M1417" ca="1">IFERROR(IF(INDEX('Disaggregation Records'!$E$156:$E$517,MATCH(RIGHT(L1417,255),RIGHT('Disaggregation Records'!$D$156:$D$517,255),0))="","",INDEX('Disaggregation Records'!$E$156:$E$517,MATCH(RIGHT(L1417,255),RIGHT('Disaggregation Records'!$D$156:$D$517,255),0))),"")</f>
        <v/>
      </c>
      <c r="N1417" s="126" t="str">
        <f t="array" aca="1" ref="N1417" ca="1">IFERROR(IF(INDEX('Disaggregation Records'!$F$156:$F$517,MATCH(RIGHT(L1417,255),RIGHT('Disaggregation Records'!$D$156:$D$517,255),0))="","",INDEX('Disaggregation Records'!$F$156:$F$517,MATCH(RIGHT(L1417,255),RIGHT('Disaggregation Records'!$D$156:$D$517,255),0))),"")</f>
        <v/>
      </c>
      <c r="O1417" s="314" t="str">
        <f t="array" aca="1" ref="O1417" ca="1">IFERROR(IF(INDEX('Disaggregation Records'!$H$156:$H$517,MATCH(RIGHT(L1417,255),RIGHT('Disaggregation Records'!$D$156:$D$517,255),0))="","",INDEX('Disaggregation Records'!$H$156:$H$517,MATCH(RIGHT(L1417,255),RIGHT('Disaggregation Records'!$D$156:$D$517,255),0))),"")</f>
        <v/>
      </c>
      <c r="P1417" s="310"/>
      <c r="Q1417" s="310">
        <f t="shared" ref="Q1417" si="1610">Q1415+1</f>
        <v>2010</v>
      </c>
      <c r="R1417" s="314" t="str" cm="1">
        <f t="array" aca="1" ref="R1417" ca="1">IFERROR(IF(INDEX('Disaggregation Records'!$G$156:$G$517,MATCH(RIGHT(L1417,255),RIGHT('Disaggregation Records'!$D$156:$D$517,255),0))="","",INDEX('Disaggregation Records'!$G$156:$G$517,MATCH(RIGHT(L1417,255),RIGHT('Disaggregation Records'!$D$156:$D$517,255),0))),"")</f>
        <v/>
      </c>
    </row>
    <row r="1418" spans="1:18" ht="20.100000000000001" customHeight="1">
      <c r="A1418" s="126"/>
      <c r="B1418" s="571"/>
      <c r="C1418" s="573"/>
      <c r="D1418" s="575"/>
      <c r="E1418" s="575"/>
      <c r="F1418" s="128"/>
      <c r="G1418" s="577"/>
      <c r="H1418" s="540"/>
      <c r="I1418" s="579"/>
      <c r="J1418" s="533"/>
      <c r="L1418" s="126"/>
      <c r="N1418" s="126"/>
      <c r="O1418" s="314"/>
      <c r="P1418" s="310"/>
      <c r="Q1418" s="310"/>
      <c r="R1418" s="314" t="str" cm="1">
        <f t="array" ref="R1418">IFERROR(IF(INDEX('Disaggregation Records'!$G$156:$G$517,MATCH(RIGHT(L1418,255),RIGHT('Disaggregation Records'!$D$156:$D$517,255),0))="","",INDEX('Disaggregation Records'!$G$156:$G$517,MATCH(RIGHT(L1418,255),RIGHT('Disaggregation Records'!$D$156:$D$517,255),0))),"")</f>
        <v/>
      </c>
    </row>
    <row r="1419" spans="1:18" ht="20.100000000000001" customHeight="1">
      <c r="A1419" s="126" t="str">
        <f t="shared" ca="1" si="1586"/>
        <v>a16Dm000000M3wcIAC</v>
      </c>
      <c r="B1419" s="570">
        <v>20</v>
      </c>
      <c r="C1419" s="572" t="str">
        <f ca="1">IFERROR(VLOOKUP(B1419,'Coverage Indicators - Section D'!$A$9:$AO$94,41,FALSE),"")</f>
        <v>KP-6d Number of PWID who received any PrEP product at least once during the reporting period</v>
      </c>
      <c r="D1419" s="574" t="str">
        <f ca="1">M1419</f>
        <v/>
      </c>
      <c r="E1419" s="574" t="str">
        <f ca="1">N1419</f>
        <v/>
      </c>
      <c r="F1419" s="127"/>
      <c r="G1419" s="576" t="str">
        <f ca="1">IF(OR(INDIRECT("'update Helper'!E"&amp;Q1419)="",F1419&lt;&gt;0,F1420&lt;&gt;0),IF(IFERROR((F1419/F1420),"")="","",(F1419/F1420)),INDIRECT("'update Helper'!E"&amp;Q1419)/100)</f>
        <v/>
      </c>
      <c r="H1419" s="539"/>
      <c r="I1419" s="578"/>
      <c r="J1419" s="532"/>
      <c r="K1419" s="126">
        <f ca="1">IF(AND(EXACT(C1419,C1417),C1417&lt;&gt;0),K1417+1,0)</f>
        <v>19</v>
      </c>
      <c r="L1419" s="126" t="str">
        <f t="shared" ref="L1419" ca="1" si="1611">IF(C1419&lt;&gt;"",C1419&amp;"-"&amp;K1419,"")</f>
        <v>KP-6d Number of PWID who received any PrEP product at least once during the reporting period-19</v>
      </c>
      <c r="M1419" s="126" t="str">
        <f t="array" aca="1" ref="M1419" ca="1">IFERROR(IF(INDEX('Disaggregation Records'!$E$156:$E$517,MATCH(RIGHT(L1419,255),RIGHT('Disaggregation Records'!$D$156:$D$517,255),0))="","",INDEX('Disaggregation Records'!$E$156:$E$517,MATCH(RIGHT(L1419,255),RIGHT('Disaggregation Records'!$D$156:$D$517,255),0))),"")</f>
        <v/>
      </c>
      <c r="N1419" s="126" t="str">
        <f t="array" aca="1" ref="N1419" ca="1">IFERROR(IF(INDEX('Disaggregation Records'!$F$156:$F$517,MATCH(RIGHT(L1419,255),RIGHT('Disaggregation Records'!$D$156:$D$517,255),0))="","",INDEX('Disaggregation Records'!$F$156:$F$517,MATCH(RIGHT(L1419,255),RIGHT('Disaggregation Records'!$D$156:$D$517,255),0))),"")</f>
        <v/>
      </c>
      <c r="O1419" s="314" t="str">
        <f t="array" aca="1" ref="O1419" ca="1">IFERROR(IF(INDEX('Disaggregation Records'!$H$156:$H$517,MATCH(RIGHT(L1419,255),RIGHT('Disaggregation Records'!$D$156:$D$517,255),0))="","",INDEX('Disaggregation Records'!$H$156:$H$517,MATCH(RIGHT(L1419,255),RIGHT('Disaggregation Records'!$D$156:$D$517,255),0))),"")</f>
        <v/>
      </c>
      <c r="P1419" s="310"/>
      <c r="Q1419" s="310">
        <f t="shared" ref="Q1419" si="1612">Q1417+1</f>
        <v>2011</v>
      </c>
      <c r="R1419" s="314" t="str" cm="1">
        <f t="array" aca="1" ref="R1419" ca="1">IFERROR(IF(INDEX('Disaggregation Records'!$G$156:$G$517,MATCH(RIGHT(L1419,255),RIGHT('Disaggregation Records'!$D$156:$D$517,255),0))="","",INDEX('Disaggregation Records'!$G$156:$G$517,MATCH(RIGHT(L1419,255),RIGHT('Disaggregation Records'!$D$156:$D$517,255),0))),"")</f>
        <v/>
      </c>
    </row>
    <row r="1420" spans="1:18" ht="20.100000000000001" customHeight="1">
      <c r="B1420" s="571"/>
      <c r="C1420" s="573"/>
      <c r="D1420" s="575"/>
      <c r="E1420" s="575"/>
      <c r="F1420" s="128"/>
      <c r="G1420" s="577"/>
      <c r="H1420" s="540"/>
      <c r="I1420" s="579"/>
      <c r="J1420" s="533"/>
      <c r="L1420" s="126"/>
      <c r="N1420" s="126"/>
      <c r="O1420" s="314"/>
      <c r="P1420" s="310"/>
      <c r="Q1420" s="310"/>
      <c r="R1420" s="314" t="str" cm="1">
        <f t="array" ref="R1420">IFERROR(IF(INDEX('Disaggregation Records'!$G$156:$G$517,MATCH(RIGHT(L1420,255),RIGHT('Disaggregation Records'!$D$156:$D$517,255),0))="","",INDEX('Disaggregation Records'!$G$156:$G$517,MATCH(RIGHT(L1420,255),RIGHT('Disaggregation Records'!$D$156:$D$517,255),0))),"")</f>
        <v/>
      </c>
    </row>
    <row r="1421" spans="1:18" ht="20.100000000000001" customHeight="1">
      <c r="A1421" s="126" t="str">
        <f t="shared" ca="1" si="1583"/>
        <v>a16Dm000000M3wdIAC</v>
      </c>
      <c r="B1421" s="570">
        <v>21</v>
      </c>
      <c r="C1421" s="572" t="str">
        <f ca="1">IFERROR(VLOOKUP(B1421,'Coverage Indicators - Section D'!$A$9:$AO$94,41,FALSE),"")</f>
        <v>KP-1f Number of people in prisons and other closed settings reached with HIV prevention programs - defined package of services</v>
      </c>
      <c r="D1421" s="574" t="str">
        <f ca="1">M1421</f>
        <v/>
      </c>
      <c r="E1421" s="574" t="str">
        <f ca="1">N1421</f>
        <v/>
      </c>
      <c r="F1421" s="127"/>
      <c r="G1421" s="576" t="str">
        <f ca="1">IF(OR(INDIRECT("'update Helper'!E"&amp;Q1421)="",F1421&lt;&gt;0,F1422&lt;&gt;0),IF(IFERROR((F1421/F1422),"")="","",(F1421/F1422)),INDIRECT("'update Helper'!E"&amp;Q1421)/100)</f>
        <v/>
      </c>
      <c r="H1421" s="539"/>
      <c r="I1421" s="578"/>
      <c r="J1421" s="532"/>
      <c r="K1421" s="126">
        <f ca="1">IF(AND(EXACT(C1421,C1419),C1419&lt;&gt;0),K1419+1,0)</f>
        <v>0</v>
      </c>
      <c r="L1421" s="126" t="str">
        <f t="shared" ref="L1421" ca="1" si="1613">IF(C1421&lt;&gt;"",C1421&amp;"-"&amp;K1421,"")</f>
        <v>KP-1f Number of people in prisons and other closed settings reached with HIV prevention programs - defined package of services-0</v>
      </c>
      <c r="M1421" s="126" t="str">
        <f t="array" aca="1" ref="M1421" ca="1">IFERROR(IF(INDEX('Disaggregation Records'!$E$156:$E$517,MATCH(RIGHT(L1421,255),RIGHT('Disaggregation Records'!$D$156:$D$517,255),0))="","",INDEX('Disaggregation Records'!$E$156:$E$517,MATCH(RIGHT(L1421,255),RIGHT('Disaggregation Records'!$D$156:$D$517,255),0))),"")</f>
        <v/>
      </c>
      <c r="N1421" s="126" t="str">
        <f t="array" aca="1" ref="N1421" ca="1">IFERROR(IF(INDEX('Disaggregation Records'!$F$156:$F$517,MATCH(RIGHT(L1421,255),RIGHT('Disaggregation Records'!$D$156:$D$517,255),0))="","",INDEX('Disaggregation Records'!$F$156:$F$517,MATCH(RIGHT(L1421,255),RIGHT('Disaggregation Records'!$D$156:$D$517,255),0))),"")</f>
        <v/>
      </c>
      <c r="O1421" s="314" t="str">
        <f t="array" aca="1" ref="O1421" ca="1">IFERROR(IF(INDEX('Disaggregation Records'!$H$156:$H$517,MATCH(RIGHT(L1421,255),RIGHT('Disaggregation Records'!$D$156:$D$517,255),0))="","",INDEX('Disaggregation Records'!$H$156:$H$517,MATCH(RIGHT(L1421,255),RIGHT('Disaggregation Records'!$D$156:$D$517,255),0))),"")</f>
        <v/>
      </c>
      <c r="P1421" s="314"/>
      <c r="Q1421" s="310">
        <f t="shared" ref="Q1421" si="1614">Q1419+1</f>
        <v>2012</v>
      </c>
      <c r="R1421" s="314" t="str" cm="1">
        <f t="array" aca="1" ref="R1421" ca="1">IFERROR(IF(INDEX('Disaggregation Records'!$G$156:$G$517,MATCH(RIGHT(L1421,255),RIGHT('Disaggregation Records'!$D$156:$D$517,255),0))="","",INDEX('Disaggregation Records'!$G$156:$G$517,MATCH(RIGHT(L1421,255),RIGHT('Disaggregation Records'!$D$156:$D$517,255),0))),"")</f>
        <v/>
      </c>
    </row>
    <row r="1422" spans="1:18" ht="20.100000000000001" customHeight="1">
      <c r="A1422" s="126"/>
      <c r="B1422" s="571"/>
      <c r="C1422" s="573"/>
      <c r="D1422" s="575"/>
      <c r="E1422" s="575"/>
      <c r="F1422" s="128"/>
      <c r="G1422" s="577"/>
      <c r="H1422" s="540"/>
      <c r="I1422" s="579"/>
      <c r="J1422" s="533"/>
      <c r="K1422" s="126"/>
      <c r="L1422" s="126"/>
      <c r="M1422" s="126"/>
      <c r="N1422" s="126"/>
      <c r="O1422" s="314"/>
      <c r="P1422" s="314"/>
      <c r="Q1422" s="310"/>
      <c r="R1422" s="314" t="str" cm="1">
        <f t="array" ref="R1422">IFERROR(IF(INDEX('Disaggregation Records'!$G$156:$G$517,MATCH(RIGHT(L1422,255),RIGHT('Disaggregation Records'!$D$156:$D$517,255),0))="","",INDEX('Disaggregation Records'!$G$156:$G$517,MATCH(RIGHT(L1422,255),RIGHT('Disaggregation Records'!$D$156:$D$517,255),0))),"")</f>
        <v/>
      </c>
    </row>
    <row r="1423" spans="1:18" ht="20.100000000000001" customHeight="1">
      <c r="A1423" s="126" t="str">
        <f t="shared" ca="1" si="1586"/>
        <v>a16Dm000000M3weIAC</v>
      </c>
      <c r="B1423" s="570">
        <v>21</v>
      </c>
      <c r="C1423" s="572" t="str">
        <f ca="1">IFERROR(VLOOKUP(B1423,'Coverage Indicators - Section D'!$A$9:$AO$94,T41,FALSE),"")</f>
        <v/>
      </c>
      <c r="D1423" s="574" t="str">
        <f ca="1">M1423</f>
        <v/>
      </c>
      <c r="E1423" s="574" t="str">
        <f ca="1">N1423</f>
        <v/>
      </c>
      <c r="F1423" s="127"/>
      <c r="G1423" s="576" t="str">
        <f ca="1">IF(OR(INDIRECT("'update Helper'!E"&amp;Q1423)="",F1423&lt;&gt;0,F1424&lt;&gt;0),IF(IFERROR((F1423/F1424),"")="","",(F1423/F1424)),INDIRECT("'update Helper'!E"&amp;Q1423)/100)</f>
        <v/>
      </c>
      <c r="H1423" s="539"/>
      <c r="I1423" s="578"/>
      <c r="J1423" s="532"/>
      <c r="K1423" s="126">
        <f ca="1">IF(AND(EXACT(C1423,C1421),C1421&lt;&gt;0),K1421+1,0)</f>
        <v>0</v>
      </c>
      <c r="L1423" s="126" t="str">
        <f t="shared" ref="L1423" ca="1" si="1615">IF(C1423&lt;&gt;"",C1423&amp;"-"&amp;K1423,"")</f>
        <v/>
      </c>
      <c r="M1423" s="126" t="str">
        <f t="array" aca="1" ref="M1423" ca="1">IFERROR(IF(INDEX('Disaggregation Records'!$E$156:$E$517,MATCH(RIGHT(L1423,255),RIGHT('Disaggregation Records'!$D$156:$D$517,255),0))="","",INDEX('Disaggregation Records'!$E$156:$E$517,MATCH(RIGHT(L1423,255),RIGHT('Disaggregation Records'!$D$156:$D$517,255),0))),"")</f>
        <v/>
      </c>
      <c r="N1423" s="126" t="str">
        <f t="array" aca="1" ref="N1423" ca="1">IFERROR(IF(INDEX('Disaggregation Records'!$F$156:$F$517,MATCH(RIGHT(L1423,255),RIGHT('Disaggregation Records'!$D$156:$D$517,255),0))="","",INDEX('Disaggregation Records'!$F$156:$F$517,MATCH(RIGHT(L1423,255),RIGHT('Disaggregation Records'!$D$156:$D$517,255),0))),"")</f>
        <v/>
      </c>
      <c r="O1423" s="314" t="str">
        <f t="array" aca="1" ref="O1423" ca="1">IFERROR(IF(INDEX('Disaggregation Records'!$H$156:$H$517,MATCH(RIGHT(L1423,255),RIGHT('Disaggregation Records'!$D$156:$D$517,255),0))="","",INDEX('Disaggregation Records'!$H$156:$H$517,MATCH(RIGHT(L1423,255),RIGHT('Disaggregation Records'!$D$156:$D$517,255),0))),"")</f>
        <v/>
      </c>
      <c r="P1423" s="314"/>
      <c r="Q1423" s="310">
        <f t="shared" ref="Q1423" si="1616">Q1421+1</f>
        <v>2013</v>
      </c>
      <c r="R1423" s="314" t="str" cm="1">
        <f t="array" aca="1" ref="R1423" ca="1">IFERROR(IF(INDEX('Disaggregation Records'!$G$156:$G$517,MATCH(RIGHT(L1423,255),RIGHT('Disaggregation Records'!$D$156:$D$517,255),0))="","",INDEX('Disaggregation Records'!$G$156:$G$517,MATCH(RIGHT(L1423,255),RIGHT('Disaggregation Records'!$D$156:$D$517,255),0))),"")</f>
        <v/>
      </c>
    </row>
    <row r="1424" spans="1:18" ht="20.100000000000001" customHeight="1">
      <c r="B1424" s="571"/>
      <c r="C1424" s="573"/>
      <c r="D1424" s="575"/>
      <c r="E1424" s="575"/>
      <c r="F1424" s="128"/>
      <c r="G1424" s="577"/>
      <c r="H1424" s="540"/>
      <c r="I1424" s="579"/>
      <c r="J1424" s="533"/>
      <c r="K1424" s="126"/>
      <c r="L1424" s="126"/>
      <c r="M1424" s="126"/>
      <c r="N1424" s="126"/>
      <c r="O1424" s="314"/>
      <c r="P1424" s="314"/>
      <c r="Q1424" s="310"/>
      <c r="R1424" s="314" t="str" cm="1">
        <f t="array" ref="R1424">IFERROR(IF(INDEX('Disaggregation Records'!$G$156:$G$517,MATCH(RIGHT(L1424,255),RIGHT('Disaggregation Records'!$D$156:$D$517,255),0))="","",INDEX('Disaggregation Records'!$G$156:$G$517,MATCH(RIGHT(L1424,255),RIGHT('Disaggregation Records'!$D$156:$D$517,255),0))),"")</f>
        <v/>
      </c>
    </row>
    <row r="1425" spans="1:18" ht="20.100000000000001" customHeight="1">
      <c r="A1425" s="126" t="str">
        <f t="shared" ca="1" si="1583"/>
        <v>a16Dm000000M3wfIAC</v>
      </c>
      <c r="B1425" s="570">
        <v>21</v>
      </c>
      <c r="C1425" s="572" t="str">
        <f ca="1">IFERROR(VLOOKUP(B1425,'Coverage Indicators - Section D'!$A$9:$AO$94,41,FALSE),"")</f>
        <v>KP-1f Number of people in prisons and other closed settings reached with HIV prevention programs - defined package of services</v>
      </c>
      <c r="D1425" s="574" t="str">
        <f ca="1">M1425</f>
        <v/>
      </c>
      <c r="E1425" s="574" t="str">
        <f ca="1">N1425</f>
        <v/>
      </c>
      <c r="F1425" s="127"/>
      <c r="G1425" s="576" t="str">
        <f ca="1">IF(OR(INDIRECT("'update Helper'!E"&amp;Q1425)="",F1425&lt;&gt;0,F1426&lt;&gt;0),IF(IFERROR((F1425/F1426),"")="","",(F1425/F1426)),INDIRECT("'update Helper'!E"&amp;Q1425)/100)</f>
        <v/>
      </c>
      <c r="H1425" s="539"/>
      <c r="I1425" s="578"/>
      <c r="J1425" s="532"/>
      <c r="K1425" s="126">
        <f ca="1">IF(AND(EXACT(C1425,C1423),C1423&lt;&gt;0),K1423+1,0)</f>
        <v>0</v>
      </c>
      <c r="L1425" s="126" t="str">
        <f t="shared" ref="L1425" ca="1" si="1617">IF(C1425&lt;&gt;"",C1425&amp;"-"&amp;K1425,"")</f>
        <v>KP-1f Number of people in prisons and other closed settings reached with HIV prevention programs - defined package of services-0</v>
      </c>
      <c r="M1425" s="126" t="str">
        <f t="array" aca="1" ref="M1425" ca="1">IFERROR(IF(INDEX('Disaggregation Records'!$E$156:$E$517,MATCH(RIGHT(L1425,255),RIGHT('Disaggregation Records'!$D$156:$D$517,255),0))="","",INDEX('Disaggregation Records'!$E$156:$E$517,MATCH(RIGHT(L1425,255),RIGHT('Disaggregation Records'!$D$156:$D$517,255),0))),"")</f>
        <v/>
      </c>
      <c r="N1425" s="126" t="str">
        <f t="array" aca="1" ref="N1425" ca="1">IFERROR(IF(INDEX('Disaggregation Records'!$F$156:$F$517,MATCH(RIGHT(L1425,255),RIGHT('Disaggregation Records'!$D$156:$D$517,255),0))="","",INDEX('Disaggregation Records'!$F$156:$F$517,MATCH(RIGHT(L1425,255),RIGHT('Disaggregation Records'!$D$156:$D$517,255),0))),"")</f>
        <v/>
      </c>
      <c r="O1425" s="314" t="str">
        <f t="array" aca="1" ref="O1425" ca="1">IFERROR(IF(INDEX('Disaggregation Records'!$H$156:$H$517,MATCH(RIGHT(L1425,255),RIGHT('Disaggregation Records'!$D$156:$D$517,255),0))="","",INDEX('Disaggregation Records'!$H$156:$H$517,MATCH(RIGHT(L1425,255),RIGHT('Disaggregation Records'!$D$156:$D$517,255),0))),"")</f>
        <v/>
      </c>
      <c r="P1425" s="310"/>
      <c r="Q1425" s="310">
        <f t="shared" ref="Q1425" si="1618">Q1423+1</f>
        <v>2014</v>
      </c>
      <c r="R1425" s="314" t="str" cm="1">
        <f t="array" aca="1" ref="R1425" ca="1">IFERROR(IF(INDEX('Disaggregation Records'!$G$156:$G$517,MATCH(RIGHT(L1425,255),RIGHT('Disaggregation Records'!$D$156:$D$517,255),0))="","",INDEX('Disaggregation Records'!$G$156:$G$517,MATCH(RIGHT(L1425,255),RIGHT('Disaggregation Records'!$D$156:$D$517,255),0))),"")</f>
        <v/>
      </c>
    </row>
    <row r="1426" spans="1:18" ht="20.100000000000001" customHeight="1">
      <c r="A1426" s="126"/>
      <c r="B1426" s="571"/>
      <c r="C1426" s="573"/>
      <c r="D1426" s="575"/>
      <c r="E1426" s="575"/>
      <c r="F1426" s="128"/>
      <c r="G1426" s="577"/>
      <c r="H1426" s="540"/>
      <c r="I1426" s="579"/>
      <c r="J1426" s="533"/>
      <c r="L1426" s="126"/>
      <c r="N1426" s="126"/>
      <c r="O1426" s="314"/>
      <c r="P1426" s="310"/>
      <c r="Q1426" s="310"/>
      <c r="R1426" s="314" t="str" cm="1">
        <f t="array" ref="R1426">IFERROR(IF(INDEX('Disaggregation Records'!$G$156:$G$517,MATCH(RIGHT(L1426,255),RIGHT('Disaggregation Records'!$D$156:$D$517,255),0))="","",INDEX('Disaggregation Records'!$G$156:$G$517,MATCH(RIGHT(L1426,255),RIGHT('Disaggregation Records'!$D$156:$D$517,255),0))),"")</f>
        <v/>
      </c>
    </row>
    <row r="1427" spans="1:18" ht="20.100000000000001" customHeight="1">
      <c r="A1427" s="126" t="str">
        <f t="shared" ca="1" si="1586"/>
        <v>a16Dm000000M3wgIAC</v>
      </c>
      <c r="B1427" s="570">
        <v>21</v>
      </c>
      <c r="C1427" s="572" t="str">
        <f ca="1">IFERROR(VLOOKUP(B1427,'Coverage Indicators - Section D'!$A$9:$AO$94,41,FALSE),"")</f>
        <v>KP-1f Number of people in prisons and other closed settings reached with HIV prevention programs - defined package of services</v>
      </c>
      <c r="D1427" s="574" t="str">
        <f ca="1">M1427</f>
        <v/>
      </c>
      <c r="E1427" s="574" t="str">
        <f ca="1">N1427</f>
        <v/>
      </c>
      <c r="F1427" s="127"/>
      <c r="G1427" s="576" t="str">
        <f ca="1">IF(OR(INDIRECT("'update Helper'!E"&amp;Q1427)="",F1427&lt;&gt;0,F1428&lt;&gt;0),IF(IFERROR((F1427/F1428),"")="","",(F1427/F1428)),INDIRECT("'update Helper'!E"&amp;Q1427)/100)</f>
        <v/>
      </c>
      <c r="H1427" s="539"/>
      <c r="I1427" s="578"/>
      <c r="J1427" s="532"/>
      <c r="K1427" s="126">
        <f ca="1">IF(AND(EXACT(C1427,C1425),C1425&lt;&gt;0),K1425+1,0)</f>
        <v>1</v>
      </c>
      <c r="L1427" s="126" t="str">
        <f t="shared" ref="L1427" ca="1" si="1619">IF(C1427&lt;&gt;"",C1427&amp;"-"&amp;K1427,"")</f>
        <v>KP-1f Number of people in prisons and other closed settings reached with HIV prevention programs - defined package of services-1</v>
      </c>
      <c r="M1427" s="126" t="str">
        <f t="array" aca="1" ref="M1427" ca="1">IFERROR(IF(INDEX('Disaggregation Records'!$E$156:$E$517,MATCH(RIGHT(L1427,255),RIGHT('Disaggregation Records'!$D$156:$D$517,255),0))="","",INDEX('Disaggregation Records'!$E$156:$E$517,MATCH(RIGHT(L1427,255),RIGHT('Disaggregation Records'!$D$156:$D$517,255),0))),"")</f>
        <v/>
      </c>
      <c r="N1427" s="126" t="str">
        <f t="array" aca="1" ref="N1427" ca="1">IFERROR(IF(INDEX('Disaggregation Records'!$F$156:$F$517,MATCH(RIGHT(L1427,255),RIGHT('Disaggregation Records'!$D$156:$D$517,255),0))="","",INDEX('Disaggregation Records'!$F$156:$F$517,MATCH(RIGHT(L1427,255),RIGHT('Disaggregation Records'!$D$156:$D$517,255),0))),"")</f>
        <v/>
      </c>
      <c r="O1427" s="314" t="str">
        <f t="array" aca="1" ref="O1427" ca="1">IFERROR(IF(INDEX('Disaggregation Records'!$H$156:$H$517,MATCH(RIGHT(L1427,255),RIGHT('Disaggregation Records'!$D$156:$D$517,255),0))="","",INDEX('Disaggregation Records'!$H$156:$H$517,MATCH(RIGHT(L1427,255),RIGHT('Disaggregation Records'!$D$156:$D$517,255),0))),"")</f>
        <v/>
      </c>
      <c r="P1427" s="310"/>
      <c r="Q1427" s="310">
        <f t="shared" ref="Q1427" si="1620">Q1425+1</f>
        <v>2015</v>
      </c>
      <c r="R1427" s="314" t="str" cm="1">
        <f t="array" aca="1" ref="R1427" ca="1">IFERROR(IF(INDEX('Disaggregation Records'!$G$156:$G$517,MATCH(RIGHT(L1427,255),RIGHT('Disaggregation Records'!$D$156:$D$517,255),0))="","",INDEX('Disaggregation Records'!$G$156:$G$517,MATCH(RIGHT(L1427,255),RIGHT('Disaggregation Records'!$D$156:$D$517,255),0))),"")</f>
        <v/>
      </c>
    </row>
    <row r="1428" spans="1:18" ht="20.100000000000001" customHeight="1">
      <c r="B1428" s="571"/>
      <c r="C1428" s="573"/>
      <c r="D1428" s="575"/>
      <c r="E1428" s="575"/>
      <c r="F1428" s="128"/>
      <c r="G1428" s="577"/>
      <c r="H1428" s="540"/>
      <c r="I1428" s="579"/>
      <c r="J1428" s="533"/>
      <c r="L1428" s="126"/>
      <c r="N1428" s="126"/>
      <c r="O1428" s="314"/>
      <c r="P1428" s="310"/>
      <c r="Q1428" s="310"/>
      <c r="R1428" s="314" t="str" cm="1">
        <f t="array" ref="R1428">IFERROR(IF(INDEX('Disaggregation Records'!$G$156:$G$517,MATCH(RIGHT(L1428,255),RIGHT('Disaggregation Records'!$D$156:$D$517,255),0))="","",INDEX('Disaggregation Records'!$G$156:$G$517,MATCH(RIGHT(L1428,255),RIGHT('Disaggregation Records'!$D$156:$D$517,255),0))),"")</f>
        <v/>
      </c>
    </row>
    <row r="1429" spans="1:18" ht="20.100000000000001" customHeight="1">
      <c r="A1429" s="126" t="str">
        <f t="shared" ca="1" si="1583"/>
        <v>a16Dm000000M3whIAC</v>
      </c>
      <c r="B1429" s="570">
        <v>21</v>
      </c>
      <c r="C1429" s="572" t="str">
        <f ca="1">IFERROR(VLOOKUP(B1429,'Coverage Indicators - Section D'!$A$9:$AO$94,41,FALSE),"")</f>
        <v>KP-1f Number of people in prisons and other closed settings reached with HIV prevention programs - defined package of services</v>
      </c>
      <c r="D1429" s="574" t="str">
        <f ca="1">M1429</f>
        <v/>
      </c>
      <c r="E1429" s="574" t="str">
        <f ca="1">N1429</f>
        <v/>
      </c>
      <c r="F1429" s="127"/>
      <c r="G1429" s="576" t="str">
        <f ca="1">IF(OR(INDIRECT("'update Helper'!E"&amp;Q1429)="",F1429&lt;&gt;0,F1430&lt;&gt;0),IF(IFERROR((F1429/F1430),"")="","",(F1429/F1430)),INDIRECT("'update Helper'!E"&amp;Q1429)/100)</f>
        <v/>
      </c>
      <c r="H1429" s="539"/>
      <c r="I1429" s="578"/>
      <c r="J1429" s="532"/>
      <c r="K1429" s="126">
        <f ca="1">IF(AND(EXACT(C1429,C1427),C1427&lt;&gt;0),K1427+1,0)</f>
        <v>2</v>
      </c>
      <c r="L1429" s="126" t="str">
        <f t="shared" ref="L1429" ca="1" si="1621">IF(C1429&lt;&gt;"",C1429&amp;"-"&amp;K1429,"")</f>
        <v>KP-1f Number of people in prisons and other closed settings reached with HIV prevention programs - defined package of services-2</v>
      </c>
      <c r="M1429" s="126" t="str">
        <f t="array" aca="1" ref="M1429" ca="1">IFERROR(IF(INDEX('Disaggregation Records'!$E$156:$E$517,MATCH(RIGHT(L1429,255),RIGHT('Disaggregation Records'!$D$156:$D$517,255),0))="","",INDEX('Disaggregation Records'!$E$156:$E$517,MATCH(RIGHT(L1429,255),RIGHT('Disaggregation Records'!$D$156:$D$517,255),0))),"")</f>
        <v/>
      </c>
      <c r="N1429" s="126" t="str">
        <f t="array" aca="1" ref="N1429" ca="1">IFERROR(IF(INDEX('Disaggregation Records'!$F$156:$F$517,MATCH(RIGHT(L1429,255),RIGHT('Disaggregation Records'!$D$156:$D$517,255),0))="","",INDEX('Disaggregation Records'!$F$156:$F$517,MATCH(RIGHT(L1429,255),RIGHT('Disaggregation Records'!$D$156:$D$517,255),0))),"")</f>
        <v/>
      </c>
      <c r="O1429" s="314" t="str">
        <f t="array" aca="1" ref="O1429" ca="1">IFERROR(IF(INDEX('Disaggregation Records'!$H$156:$H$517,MATCH(RIGHT(L1429,255),RIGHT('Disaggregation Records'!$D$156:$D$517,255),0))="","",INDEX('Disaggregation Records'!$H$156:$H$517,MATCH(RIGHT(L1429,255),RIGHT('Disaggregation Records'!$D$156:$D$517,255),0))),"")</f>
        <v/>
      </c>
      <c r="P1429" s="310"/>
      <c r="Q1429" s="310">
        <f t="shared" ref="Q1429" si="1622">Q1427+1</f>
        <v>2016</v>
      </c>
      <c r="R1429" s="314" t="str" cm="1">
        <f t="array" aca="1" ref="R1429" ca="1">IFERROR(IF(INDEX('Disaggregation Records'!$G$156:$G$517,MATCH(RIGHT(L1429,255),RIGHT('Disaggregation Records'!$D$156:$D$517,255),0))="","",INDEX('Disaggregation Records'!$G$156:$G$517,MATCH(RIGHT(L1429,255),RIGHT('Disaggregation Records'!$D$156:$D$517,255),0))),"")</f>
        <v/>
      </c>
    </row>
    <row r="1430" spans="1:18" ht="20.100000000000001" customHeight="1">
      <c r="A1430" s="126"/>
      <c r="B1430" s="571"/>
      <c r="C1430" s="573"/>
      <c r="D1430" s="575"/>
      <c r="E1430" s="575"/>
      <c r="F1430" s="128"/>
      <c r="G1430" s="577"/>
      <c r="H1430" s="540"/>
      <c r="I1430" s="579"/>
      <c r="J1430" s="533"/>
      <c r="L1430" s="126"/>
      <c r="N1430" s="126"/>
      <c r="O1430" s="314"/>
      <c r="P1430" s="310"/>
      <c r="Q1430" s="310"/>
      <c r="R1430" s="314" t="str" cm="1">
        <f t="array" ref="R1430">IFERROR(IF(INDEX('Disaggregation Records'!$G$156:$G$517,MATCH(RIGHT(L1430,255),RIGHT('Disaggregation Records'!$D$156:$D$517,255),0))="","",INDEX('Disaggregation Records'!$G$156:$G$517,MATCH(RIGHT(L1430,255),RIGHT('Disaggregation Records'!$D$156:$D$517,255),0))),"")</f>
        <v/>
      </c>
    </row>
    <row r="1431" spans="1:18" ht="20.100000000000001" customHeight="1">
      <c r="A1431" s="126" t="str">
        <f t="shared" ca="1" si="1586"/>
        <v>a16Dm000000M3wiIAC</v>
      </c>
      <c r="B1431" s="570">
        <v>21</v>
      </c>
      <c r="C1431" s="572" t="str">
        <f ca="1">IFERROR(VLOOKUP(B1431,'Coverage Indicators - Section D'!$A$9:$AO$94,41,FALSE),"")</f>
        <v>KP-1f Number of people in prisons and other closed settings reached with HIV prevention programs - defined package of services</v>
      </c>
      <c r="D1431" s="574" t="str">
        <f ca="1">M1431</f>
        <v/>
      </c>
      <c r="E1431" s="574" t="str">
        <f ca="1">N1431</f>
        <v/>
      </c>
      <c r="F1431" s="127"/>
      <c r="G1431" s="576" t="str">
        <f ca="1">IF(OR(INDIRECT("'update Helper'!E"&amp;Q1431)="",F1431&lt;&gt;0,F1432&lt;&gt;0),IF(IFERROR((F1431/F1432),"")="","",(F1431/F1432)),INDIRECT("'update Helper'!E"&amp;Q1431)/100)</f>
        <v/>
      </c>
      <c r="H1431" s="539"/>
      <c r="I1431" s="578"/>
      <c r="J1431" s="532"/>
      <c r="K1431" s="126">
        <f ca="1">IF(AND(EXACT(C1431,C1429),C1429&lt;&gt;0),K1429+1,0)</f>
        <v>3</v>
      </c>
      <c r="L1431" s="126" t="str">
        <f t="shared" ref="L1431" ca="1" si="1623">IF(C1431&lt;&gt;"",C1431&amp;"-"&amp;K1431,"")</f>
        <v>KP-1f Number of people in prisons and other closed settings reached with HIV prevention programs - defined package of services-3</v>
      </c>
      <c r="M1431" s="126" t="str">
        <f t="array" aca="1" ref="M1431" ca="1">IFERROR(IF(INDEX('Disaggregation Records'!$E$156:$E$517,MATCH(RIGHT(L1431,255),RIGHT('Disaggregation Records'!$D$156:$D$517,255),0))="","",INDEX('Disaggregation Records'!$E$156:$E$517,MATCH(RIGHT(L1431,255),RIGHT('Disaggregation Records'!$D$156:$D$517,255),0))),"")</f>
        <v/>
      </c>
      <c r="N1431" s="126" t="str">
        <f t="array" aca="1" ref="N1431" ca="1">IFERROR(IF(INDEX('Disaggregation Records'!$F$156:$F$517,MATCH(RIGHT(L1431,255),RIGHT('Disaggregation Records'!$D$156:$D$517,255),0))="","",INDEX('Disaggregation Records'!$F$156:$F$517,MATCH(RIGHT(L1431,255),RIGHT('Disaggregation Records'!$D$156:$D$517,255),0))),"")</f>
        <v/>
      </c>
      <c r="O1431" s="314" t="str">
        <f t="array" aca="1" ref="O1431" ca="1">IFERROR(IF(INDEX('Disaggregation Records'!$H$156:$H$517,MATCH(RIGHT(L1431,255),RIGHT('Disaggregation Records'!$D$156:$D$517,255),0))="","",INDEX('Disaggregation Records'!$H$156:$H$517,MATCH(RIGHT(L1431,255),RIGHT('Disaggregation Records'!$D$156:$D$517,255),0))),"")</f>
        <v/>
      </c>
      <c r="P1431" s="314"/>
      <c r="Q1431" s="310">
        <f t="shared" ref="Q1431" si="1624">Q1429+1</f>
        <v>2017</v>
      </c>
      <c r="R1431" s="314" t="str" cm="1">
        <f t="array" aca="1" ref="R1431" ca="1">IFERROR(IF(INDEX('Disaggregation Records'!$G$156:$G$517,MATCH(RIGHT(L1431,255),RIGHT('Disaggregation Records'!$D$156:$D$517,255),0))="","",INDEX('Disaggregation Records'!$G$156:$G$517,MATCH(RIGHT(L1431,255),RIGHT('Disaggregation Records'!$D$156:$D$517,255),0))),"")</f>
        <v/>
      </c>
    </row>
    <row r="1432" spans="1:18" ht="20.100000000000001" customHeight="1">
      <c r="B1432" s="571"/>
      <c r="C1432" s="573"/>
      <c r="D1432" s="575"/>
      <c r="E1432" s="575"/>
      <c r="F1432" s="128"/>
      <c r="G1432" s="577"/>
      <c r="H1432" s="540"/>
      <c r="I1432" s="579"/>
      <c r="J1432" s="533"/>
      <c r="K1432" s="126"/>
      <c r="L1432" s="126"/>
      <c r="M1432" s="126"/>
      <c r="N1432" s="126"/>
      <c r="O1432" s="314"/>
      <c r="P1432" s="314"/>
      <c r="Q1432" s="310"/>
      <c r="R1432" s="314" t="str" cm="1">
        <f t="array" ref="R1432">IFERROR(IF(INDEX('Disaggregation Records'!$G$156:$G$517,MATCH(RIGHT(L1432,255),RIGHT('Disaggregation Records'!$D$156:$D$517,255),0))="","",INDEX('Disaggregation Records'!$G$156:$G$517,MATCH(RIGHT(L1432,255),RIGHT('Disaggregation Records'!$D$156:$D$517,255),0))),"")</f>
        <v/>
      </c>
    </row>
    <row r="1433" spans="1:18" ht="20.100000000000001" customHeight="1">
      <c r="A1433" s="126" t="str">
        <f t="shared" ca="1" si="1583"/>
        <v>a16Dm000000M3wjIAC</v>
      </c>
      <c r="B1433" s="570">
        <v>21</v>
      </c>
      <c r="C1433" s="572" t="str">
        <f ca="1">IFERROR(VLOOKUP(B1433,'Coverage Indicators - Section D'!$A$9:$AO$94,41,FALSE),"")</f>
        <v>KP-1f Number of people in prisons and other closed settings reached with HIV prevention programs - defined package of services</v>
      </c>
      <c r="D1433" s="574" t="str">
        <f ca="1">M1433</f>
        <v/>
      </c>
      <c r="E1433" s="574" t="str">
        <f ca="1">N1433</f>
        <v/>
      </c>
      <c r="F1433" s="127"/>
      <c r="G1433" s="576" t="str">
        <f ca="1">IF(OR(INDIRECT("'update Helper'!E"&amp;Q1433)="",F1433&lt;&gt;0,F1434&lt;&gt;0),IF(IFERROR((F1433/F1434),"")="","",(F1433/F1434)),INDIRECT("'update Helper'!E"&amp;Q1433)/100)</f>
        <v/>
      </c>
      <c r="H1433" s="539"/>
      <c r="I1433" s="578"/>
      <c r="J1433" s="532"/>
      <c r="K1433" s="126">
        <f ca="1">IF(AND(EXACT(C1433,C1431),C1431&lt;&gt;0),K1431+1,0)</f>
        <v>4</v>
      </c>
      <c r="L1433" s="126" t="str">
        <f t="shared" ref="L1433" ca="1" si="1625">IF(C1433&lt;&gt;"",C1433&amp;"-"&amp;K1433,"")</f>
        <v>KP-1f Number of people in prisons and other closed settings reached with HIV prevention programs - defined package of services-4</v>
      </c>
      <c r="M1433" s="126" t="str">
        <f t="array" aca="1" ref="M1433" ca="1">IFERROR(IF(INDEX('Disaggregation Records'!$E$156:$E$517,MATCH(RIGHT(L1433,255),RIGHT('Disaggregation Records'!$D$156:$D$517,255),0))="","",INDEX('Disaggregation Records'!$E$156:$E$517,MATCH(RIGHT(L1433,255),RIGHT('Disaggregation Records'!$D$156:$D$517,255),0))),"")</f>
        <v/>
      </c>
      <c r="N1433" s="126" t="str">
        <f t="array" aca="1" ref="N1433" ca="1">IFERROR(IF(INDEX('Disaggregation Records'!$F$156:$F$517,MATCH(RIGHT(L1433,255),RIGHT('Disaggregation Records'!$D$156:$D$517,255),0))="","",INDEX('Disaggregation Records'!$F$156:$F$517,MATCH(RIGHT(L1433,255),RIGHT('Disaggregation Records'!$D$156:$D$517,255),0))),"")</f>
        <v/>
      </c>
      <c r="O1433" s="314" t="str">
        <f t="array" aca="1" ref="O1433" ca="1">IFERROR(IF(INDEX('Disaggregation Records'!$H$156:$H$517,MATCH(RIGHT(L1433,255),RIGHT('Disaggregation Records'!$D$156:$D$517,255),0))="","",INDEX('Disaggregation Records'!$H$156:$H$517,MATCH(RIGHT(L1433,255),RIGHT('Disaggregation Records'!$D$156:$D$517,255),0))),"")</f>
        <v/>
      </c>
      <c r="P1433" s="314"/>
      <c r="Q1433" s="310">
        <f t="shared" ref="Q1433" si="1626">Q1431+1</f>
        <v>2018</v>
      </c>
      <c r="R1433" s="314" t="str" cm="1">
        <f t="array" aca="1" ref="R1433" ca="1">IFERROR(IF(INDEX('Disaggregation Records'!$G$156:$G$517,MATCH(RIGHT(L1433,255),RIGHT('Disaggregation Records'!$D$156:$D$517,255),0))="","",INDEX('Disaggregation Records'!$G$156:$G$517,MATCH(RIGHT(L1433,255),RIGHT('Disaggregation Records'!$D$156:$D$517,255),0))),"")</f>
        <v/>
      </c>
    </row>
    <row r="1434" spans="1:18" ht="20.100000000000001" customHeight="1">
      <c r="A1434" s="126"/>
      <c r="B1434" s="571"/>
      <c r="C1434" s="573"/>
      <c r="D1434" s="575"/>
      <c r="E1434" s="575"/>
      <c r="F1434" s="128"/>
      <c r="G1434" s="577"/>
      <c r="H1434" s="540"/>
      <c r="I1434" s="579"/>
      <c r="J1434" s="533"/>
      <c r="K1434" s="126"/>
      <c r="L1434" s="126"/>
      <c r="M1434" s="126"/>
      <c r="N1434" s="126"/>
      <c r="O1434" s="314"/>
      <c r="P1434" s="314"/>
      <c r="Q1434" s="310"/>
      <c r="R1434" s="314" t="str" cm="1">
        <f t="array" ref="R1434">IFERROR(IF(INDEX('Disaggregation Records'!$G$156:$G$517,MATCH(RIGHT(L1434,255),RIGHT('Disaggregation Records'!$D$156:$D$517,255),0))="","",INDEX('Disaggregation Records'!$G$156:$G$517,MATCH(RIGHT(L1434,255),RIGHT('Disaggregation Records'!$D$156:$D$517,255),0))),"")</f>
        <v/>
      </c>
    </row>
    <row r="1435" spans="1:18" ht="20.100000000000001" customHeight="1">
      <c r="A1435" s="126" t="str">
        <f t="shared" ca="1" si="1586"/>
        <v>a16Dm000000M3wkIAC</v>
      </c>
      <c r="B1435" s="570">
        <v>21</v>
      </c>
      <c r="C1435" s="572" t="str">
        <f ca="1">IFERROR(VLOOKUP(B1435,'Coverage Indicators - Section D'!$A$9:$AO$94,41,FALSE),"")</f>
        <v>KP-1f Number of people in prisons and other closed settings reached with HIV prevention programs - defined package of services</v>
      </c>
      <c r="D1435" s="574" t="str">
        <f ca="1">M1435</f>
        <v/>
      </c>
      <c r="E1435" s="574" t="str">
        <f ca="1">N1435</f>
        <v/>
      </c>
      <c r="F1435" s="127"/>
      <c r="G1435" s="576" t="str">
        <f ca="1">IF(OR(INDIRECT("'update Helper'!E"&amp;Q1435)="",F1435&lt;&gt;0,F1436&lt;&gt;0),IF(IFERROR((F1435/F1436),"")="","",(F1435/F1436)),INDIRECT("'update Helper'!E"&amp;Q1435)/100)</f>
        <v/>
      </c>
      <c r="H1435" s="539"/>
      <c r="I1435" s="578"/>
      <c r="J1435" s="532"/>
      <c r="K1435" s="126">
        <f ca="1">IF(AND(EXACT(C1435,C1433),C1433&lt;&gt;0),K1433+1,0)</f>
        <v>5</v>
      </c>
      <c r="L1435" s="126" t="str">
        <f t="shared" ref="L1435" ca="1" si="1627">IF(C1435&lt;&gt;"",C1435&amp;"-"&amp;K1435,"")</f>
        <v>KP-1f Number of people in prisons and other closed settings reached with HIV prevention programs - defined package of services-5</v>
      </c>
      <c r="M1435" s="126" t="str">
        <f t="array" aca="1" ref="M1435" ca="1">IFERROR(IF(INDEX('Disaggregation Records'!$E$156:$E$517,MATCH(RIGHT(L1435,255),RIGHT('Disaggregation Records'!$D$156:$D$517,255),0))="","",INDEX('Disaggregation Records'!$E$156:$E$517,MATCH(RIGHT(L1435,255),RIGHT('Disaggregation Records'!$D$156:$D$517,255),0))),"")</f>
        <v/>
      </c>
      <c r="N1435" s="126" t="str">
        <f t="array" aca="1" ref="N1435" ca="1">IFERROR(IF(INDEX('Disaggregation Records'!$F$156:$F$517,MATCH(RIGHT(L1435,255),RIGHT('Disaggregation Records'!$D$156:$D$517,255),0))="","",INDEX('Disaggregation Records'!$F$156:$F$517,MATCH(RIGHT(L1435,255),RIGHT('Disaggregation Records'!$D$156:$D$517,255),0))),"")</f>
        <v/>
      </c>
      <c r="O1435" s="314" t="str">
        <f t="array" aca="1" ref="O1435" ca="1">IFERROR(IF(INDEX('Disaggregation Records'!$H$156:$H$517,MATCH(RIGHT(L1435,255),RIGHT('Disaggregation Records'!$D$156:$D$517,255),0))="","",INDEX('Disaggregation Records'!$H$156:$H$517,MATCH(RIGHT(L1435,255),RIGHT('Disaggregation Records'!$D$156:$D$517,255),0))),"")</f>
        <v/>
      </c>
      <c r="P1435" s="310"/>
      <c r="Q1435" s="310">
        <f t="shared" ref="Q1435" si="1628">Q1433+1</f>
        <v>2019</v>
      </c>
      <c r="R1435" s="314" t="str" cm="1">
        <f t="array" aca="1" ref="R1435" ca="1">IFERROR(IF(INDEX('Disaggregation Records'!$G$156:$G$517,MATCH(RIGHT(L1435,255),RIGHT('Disaggregation Records'!$D$156:$D$517,255),0))="","",INDEX('Disaggregation Records'!$G$156:$G$517,MATCH(RIGHT(L1435,255),RIGHT('Disaggregation Records'!$D$156:$D$517,255),0))),"")</f>
        <v/>
      </c>
    </row>
    <row r="1436" spans="1:18" ht="20.100000000000001" customHeight="1">
      <c r="B1436" s="571"/>
      <c r="C1436" s="573"/>
      <c r="D1436" s="575"/>
      <c r="E1436" s="575"/>
      <c r="F1436" s="128"/>
      <c r="G1436" s="577"/>
      <c r="H1436" s="540"/>
      <c r="I1436" s="579"/>
      <c r="J1436" s="533"/>
      <c r="L1436" s="126"/>
      <c r="N1436" s="126"/>
      <c r="O1436" s="314"/>
      <c r="P1436" s="310"/>
      <c r="Q1436" s="310"/>
      <c r="R1436" s="314" t="str" cm="1">
        <f t="array" ref="R1436">IFERROR(IF(INDEX('Disaggregation Records'!$G$156:$G$517,MATCH(RIGHT(L1436,255),RIGHT('Disaggregation Records'!$D$156:$D$517,255),0))="","",INDEX('Disaggregation Records'!$G$156:$G$517,MATCH(RIGHT(L1436,255),RIGHT('Disaggregation Records'!$D$156:$D$517,255),0))),"")</f>
        <v/>
      </c>
    </row>
    <row r="1437" spans="1:18" ht="20.100000000000001" customHeight="1">
      <c r="A1437" s="126" t="str">
        <f t="shared" ca="1" si="1583"/>
        <v>a16Dm000000M3wlIAC</v>
      </c>
      <c r="B1437" s="570">
        <v>21</v>
      </c>
      <c r="C1437" s="572" t="str">
        <f ca="1">IFERROR(VLOOKUP(B1437,'Coverage Indicators - Section D'!$A$9:$AO$94,41,FALSE),"")</f>
        <v>KP-1f Number of people in prisons and other closed settings reached with HIV prevention programs - defined package of services</v>
      </c>
      <c r="D1437" s="574" t="str">
        <f ca="1">M1437</f>
        <v/>
      </c>
      <c r="E1437" s="574" t="str">
        <f ca="1">N1437</f>
        <v/>
      </c>
      <c r="F1437" s="127"/>
      <c r="G1437" s="576" t="str">
        <f ca="1">IF(OR(INDIRECT("'update Helper'!E"&amp;Q1437)="",F1437&lt;&gt;0,F1438&lt;&gt;0),IF(IFERROR((F1437/F1438),"")="","",(F1437/F1438)),INDIRECT("'update Helper'!E"&amp;Q1437)/100)</f>
        <v/>
      </c>
      <c r="H1437" s="539"/>
      <c r="I1437" s="578"/>
      <c r="J1437" s="532"/>
      <c r="K1437" s="126">
        <f ca="1">IF(AND(EXACT(C1437,C1435),C1435&lt;&gt;0),K1435+1,0)</f>
        <v>6</v>
      </c>
      <c r="L1437" s="126" t="str">
        <f t="shared" ref="L1437" ca="1" si="1629">IF(C1437&lt;&gt;"",C1437&amp;"-"&amp;K1437,"")</f>
        <v>KP-1f Number of people in prisons and other closed settings reached with HIV prevention programs - defined package of services-6</v>
      </c>
      <c r="M1437" s="126" t="str">
        <f t="array" aca="1" ref="M1437" ca="1">IFERROR(IF(INDEX('Disaggregation Records'!$E$156:$E$517,MATCH(RIGHT(L1437,255),RIGHT('Disaggregation Records'!$D$156:$D$517,255),0))="","",INDEX('Disaggregation Records'!$E$156:$E$517,MATCH(RIGHT(L1437,255),RIGHT('Disaggregation Records'!$D$156:$D$517,255),0))),"")</f>
        <v/>
      </c>
      <c r="N1437" s="126" t="str">
        <f t="array" aca="1" ref="N1437" ca="1">IFERROR(IF(INDEX('Disaggregation Records'!$F$156:$F$517,MATCH(RIGHT(L1437,255),RIGHT('Disaggregation Records'!$D$156:$D$517,255),0))="","",INDEX('Disaggregation Records'!$F$156:$F$517,MATCH(RIGHT(L1437,255),RIGHT('Disaggregation Records'!$D$156:$D$517,255),0))),"")</f>
        <v/>
      </c>
      <c r="O1437" s="314" t="str">
        <f t="array" aca="1" ref="O1437" ca="1">IFERROR(IF(INDEX('Disaggregation Records'!$H$156:$H$517,MATCH(RIGHT(L1437,255),RIGHT('Disaggregation Records'!$D$156:$D$517,255),0))="","",INDEX('Disaggregation Records'!$H$156:$H$517,MATCH(RIGHT(L1437,255),RIGHT('Disaggregation Records'!$D$156:$D$517,255),0))),"")</f>
        <v/>
      </c>
      <c r="P1437" s="310"/>
      <c r="Q1437" s="310">
        <f t="shared" ref="Q1437" si="1630">Q1435+1</f>
        <v>2020</v>
      </c>
      <c r="R1437" s="314" t="str" cm="1">
        <f t="array" aca="1" ref="R1437" ca="1">IFERROR(IF(INDEX('Disaggregation Records'!$G$156:$G$517,MATCH(RIGHT(L1437,255),RIGHT('Disaggregation Records'!$D$156:$D$517,255),0))="","",INDEX('Disaggregation Records'!$G$156:$G$517,MATCH(RIGHT(L1437,255),RIGHT('Disaggregation Records'!$D$156:$D$517,255),0))),"")</f>
        <v/>
      </c>
    </row>
    <row r="1438" spans="1:18" ht="20.100000000000001" customHeight="1">
      <c r="A1438" s="126"/>
      <c r="B1438" s="571"/>
      <c r="C1438" s="573"/>
      <c r="D1438" s="575"/>
      <c r="E1438" s="575"/>
      <c r="F1438" s="128"/>
      <c r="G1438" s="577"/>
      <c r="H1438" s="540"/>
      <c r="I1438" s="579"/>
      <c r="J1438" s="533"/>
      <c r="L1438" s="126"/>
      <c r="N1438" s="126"/>
      <c r="O1438" s="314"/>
      <c r="P1438" s="310"/>
      <c r="Q1438" s="310"/>
      <c r="R1438" s="314" t="str" cm="1">
        <f t="array" ref="R1438">IFERROR(IF(INDEX('Disaggregation Records'!$G$156:$G$517,MATCH(RIGHT(L1438,255),RIGHT('Disaggregation Records'!$D$156:$D$517,255),0))="","",INDEX('Disaggregation Records'!$G$156:$G$517,MATCH(RIGHT(L1438,255),RIGHT('Disaggregation Records'!$D$156:$D$517,255),0))),"")</f>
        <v/>
      </c>
    </row>
    <row r="1439" spans="1:18" ht="20.100000000000001" customHeight="1">
      <c r="A1439" s="126" t="str">
        <f t="shared" ca="1" si="1586"/>
        <v>a16Dm000000M3wmIAC</v>
      </c>
      <c r="B1439" s="570">
        <v>21</v>
      </c>
      <c r="C1439" s="572" t="str">
        <f ca="1">IFERROR(VLOOKUP(B1439,'Coverage Indicators - Section D'!$A$9:$AO$94,41,FALSE),"")</f>
        <v>KP-1f Number of people in prisons and other closed settings reached with HIV prevention programs - defined package of services</v>
      </c>
      <c r="D1439" s="574" t="str">
        <f ca="1">M1439</f>
        <v/>
      </c>
      <c r="E1439" s="574" t="str">
        <f ca="1">N1439</f>
        <v/>
      </c>
      <c r="F1439" s="127"/>
      <c r="G1439" s="576" t="str">
        <f ca="1">IF(OR(INDIRECT("'update Helper'!E"&amp;Q1439)="",F1439&lt;&gt;0,F1440&lt;&gt;0),IF(IFERROR((F1439/F1440),"")="","",(F1439/F1440)),INDIRECT("'update Helper'!E"&amp;Q1439)/100)</f>
        <v/>
      </c>
      <c r="H1439" s="539"/>
      <c r="I1439" s="578"/>
      <c r="J1439" s="532"/>
      <c r="K1439" s="126">
        <f ca="1">IF(AND(EXACT(C1439,C1437),C1437&lt;&gt;0),K1437+1,0)</f>
        <v>7</v>
      </c>
      <c r="L1439" s="126" t="str">
        <f t="shared" ref="L1439" ca="1" si="1631">IF(C1439&lt;&gt;"",C1439&amp;"-"&amp;K1439,"")</f>
        <v>KP-1f Number of people in prisons and other closed settings reached with HIV prevention programs - defined package of services-7</v>
      </c>
      <c r="M1439" s="126" t="str">
        <f t="array" aca="1" ref="M1439" ca="1">IFERROR(IF(INDEX('Disaggregation Records'!$E$156:$E$517,MATCH(RIGHT(L1439,255),RIGHT('Disaggregation Records'!$D$156:$D$517,255),0))="","",INDEX('Disaggregation Records'!$E$156:$E$517,MATCH(RIGHT(L1439,255),RIGHT('Disaggregation Records'!$D$156:$D$517,255),0))),"")</f>
        <v/>
      </c>
      <c r="N1439" s="126" t="str">
        <f t="array" aca="1" ref="N1439" ca="1">IFERROR(IF(INDEX('Disaggregation Records'!$F$156:$F$517,MATCH(RIGHT(L1439,255),RIGHT('Disaggregation Records'!$D$156:$D$517,255),0))="","",INDEX('Disaggregation Records'!$F$156:$F$517,MATCH(RIGHT(L1439,255),RIGHT('Disaggregation Records'!$D$156:$D$517,255),0))),"")</f>
        <v/>
      </c>
      <c r="O1439" s="314" t="str">
        <f t="array" aca="1" ref="O1439" ca="1">IFERROR(IF(INDEX('Disaggregation Records'!$H$156:$H$517,MATCH(RIGHT(L1439,255),RIGHT('Disaggregation Records'!$D$156:$D$517,255),0))="","",INDEX('Disaggregation Records'!$H$156:$H$517,MATCH(RIGHT(L1439,255),RIGHT('Disaggregation Records'!$D$156:$D$517,255),0))),"")</f>
        <v/>
      </c>
      <c r="P1439" s="310"/>
      <c r="Q1439" s="310">
        <f t="shared" ref="Q1439" si="1632">Q1437+1</f>
        <v>2021</v>
      </c>
      <c r="R1439" s="314" t="str" cm="1">
        <f t="array" aca="1" ref="R1439" ca="1">IFERROR(IF(INDEX('Disaggregation Records'!$G$156:$G$517,MATCH(RIGHT(L1439,255),RIGHT('Disaggregation Records'!$D$156:$D$517,255),0))="","",INDEX('Disaggregation Records'!$G$156:$G$517,MATCH(RIGHT(L1439,255),RIGHT('Disaggregation Records'!$D$156:$D$517,255),0))),"")</f>
        <v/>
      </c>
    </row>
    <row r="1440" spans="1:18" ht="20.100000000000001" customHeight="1">
      <c r="B1440" s="571"/>
      <c r="C1440" s="573"/>
      <c r="D1440" s="575"/>
      <c r="E1440" s="575"/>
      <c r="F1440" s="128"/>
      <c r="G1440" s="577"/>
      <c r="H1440" s="540"/>
      <c r="I1440" s="579"/>
      <c r="J1440" s="533"/>
      <c r="L1440" s="126"/>
      <c r="N1440" s="126"/>
      <c r="O1440" s="314"/>
      <c r="P1440" s="310"/>
      <c r="Q1440" s="310"/>
      <c r="R1440" s="314" t="str" cm="1">
        <f t="array" ref="R1440">IFERROR(IF(INDEX('Disaggregation Records'!$G$156:$G$517,MATCH(RIGHT(L1440,255),RIGHT('Disaggregation Records'!$D$156:$D$517,255),0))="","",INDEX('Disaggregation Records'!$G$156:$G$517,MATCH(RIGHT(L1440,255),RIGHT('Disaggregation Records'!$D$156:$D$517,255),0))),"")</f>
        <v/>
      </c>
    </row>
    <row r="1441" spans="1:18" ht="20.100000000000001" customHeight="1">
      <c r="A1441" s="126" t="str">
        <f t="shared" ca="1" si="1583"/>
        <v>a16Dm000000M3wnIAC</v>
      </c>
      <c r="B1441" s="570">
        <v>21</v>
      </c>
      <c r="C1441" s="572" t="str">
        <f ca="1">IFERROR(VLOOKUP(B1441,'Coverage Indicators - Section D'!$A$9:$AO$94,41,FALSE),"")</f>
        <v>KP-1f Number of people in prisons and other closed settings reached with HIV prevention programs - defined package of services</v>
      </c>
      <c r="D1441" s="574" t="str">
        <f ca="1">M1441</f>
        <v/>
      </c>
      <c r="E1441" s="574" t="str">
        <f ca="1">N1441</f>
        <v/>
      </c>
      <c r="F1441" s="127"/>
      <c r="G1441" s="576" t="str">
        <f ca="1">IF(OR(INDIRECT("'update Helper'!E"&amp;Q1441)="",F1441&lt;&gt;0,F1442&lt;&gt;0),IF(IFERROR((F1441/F1442),"")="","",(F1441/F1442)),INDIRECT("'update Helper'!E"&amp;Q1441)/100)</f>
        <v/>
      </c>
      <c r="H1441" s="539"/>
      <c r="I1441" s="578"/>
      <c r="J1441" s="532"/>
      <c r="K1441" s="126">
        <f ca="1">IF(AND(EXACT(C1441,C1439),C1439&lt;&gt;0),K1439+1,0)</f>
        <v>8</v>
      </c>
      <c r="L1441" s="126" t="str">
        <f t="shared" ref="L1441" ca="1" si="1633">IF(C1441&lt;&gt;"",C1441&amp;"-"&amp;K1441,"")</f>
        <v>KP-1f Number of people in prisons and other closed settings reached with HIV prevention programs - defined package of services-8</v>
      </c>
      <c r="M1441" s="126" t="str">
        <f t="array" aca="1" ref="M1441" ca="1">IFERROR(IF(INDEX('Disaggregation Records'!$E$156:$E$517,MATCH(RIGHT(L1441,255),RIGHT('Disaggregation Records'!$D$156:$D$517,255),0))="","",INDEX('Disaggregation Records'!$E$156:$E$517,MATCH(RIGHT(L1441,255),RIGHT('Disaggregation Records'!$D$156:$D$517,255),0))),"")</f>
        <v/>
      </c>
      <c r="N1441" s="126" t="str">
        <f t="array" aca="1" ref="N1441" ca="1">IFERROR(IF(INDEX('Disaggregation Records'!$F$156:$F$517,MATCH(RIGHT(L1441,255),RIGHT('Disaggregation Records'!$D$156:$D$517,255),0))="","",INDEX('Disaggregation Records'!$F$156:$F$517,MATCH(RIGHT(L1441,255),RIGHT('Disaggregation Records'!$D$156:$D$517,255),0))),"")</f>
        <v/>
      </c>
      <c r="O1441" s="314" t="str">
        <f t="array" aca="1" ref="O1441" ca="1">IFERROR(IF(INDEX('Disaggregation Records'!$H$156:$H$517,MATCH(RIGHT(L1441,255),RIGHT('Disaggregation Records'!$D$156:$D$517,255),0))="","",INDEX('Disaggregation Records'!$H$156:$H$517,MATCH(RIGHT(L1441,255),RIGHT('Disaggregation Records'!$D$156:$D$517,255),0))),"")</f>
        <v/>
      </c>
      <c r="P1441" s="314"/>
      <c r="Q1441" s="310">
        <f t="shared" ref="Q1441" si="1634">Q1439+1</f>
        <v>2022</v>
      </c>
      <c r="R1441" s="314" t="str" cm="1">
        <f t="array" aca="1" ref="R1441" ca="1">IFERROR(IF(INDEX('Disaggregation Records'!$G$156:$G$517,MATCH(RIGHT(L1441,255),RIGHT('Disaggregation Records'!$D$156:$D$517,255),0))="","",INDEX('Disaggregation Records'!$G$156:$G$517,MATCH(RIGHT(L1441,255),RIGHT('Disaggregation Records'!$D$156:$D$517,255),0))),"")</f>
        <v/>
      </c>
    </row>
    <row r="1442" spans="1:18" ht="20.100000000000001" customHeight="1">
      <c r="A1442" s="126"/>
      <c r="B1442" s="571"/>
      <c r="C1442" s="573"/>
      <c r="D1442" s="575"/>
      <c r="E1442" s="575"/>
      <c r="F1442" s="128"/>
      <c r="G1442" s="577"/>
      <c r="H1442" s="540"/>
      <c r="I1442" s="579"/>
      <c r="J1442" s="533"/>
      <c r="K1442" s="126"/>
      <c r="L1442" s="126"/>
      <c r="M1442" s="126"/>
      <c r="N1442" s="126"/>
      <c r="O1442" s="314"/>
      <c r="P1442" s="314"/>
      <c r="Q1442" s="310"/>
      <c r="R1442" s="314" t="str" cm="1">
        <f t="array" ref="R1442">IFERROR(IF(INDEX('Disaggregation Records'!$G$156:$G$517,MATCH(RIGHT(L1442,255),RIGHT('Disaggregation Records'!$D$156:$D$517,255),0))="","",INDEX('Disaggregation Records'!$G$156:$G$517,MATCH(RIGHT(L1442,255),RIGHT('Disaggregation Records'!$D$156:$D$517,255),0))),"")</f>
        <v/>
      </c>
    </row>
    <row r="1443" spans="1:18" ht="20.100000000000001" customHeight="1">
      <c r="A1443" s="126" t="str">
        <f t="shared" ca="1" si="1586"/>
        <v>a16Dm000000M3woIAC</v>
      </c>
      <c r="B1443" s="570">
        <v>21</v>
      </c>
      <c r="C1443" s="572" t="str">
        <f ca="1">IFERROR(VLOOKUP(B1443,'Coverage Indicators - Section D'!$A$9:$AO$94,41,FALSE),"")</f>
        <v>KP-1f Number of people in prisons and other closed settings reached with HIV prevention programs - defined package of services</v>
      </c>
      <c r="D1443" s="574" t="str">
        <f ca="1">M1443</f>
        <v/>
      </c>
      <c r="E1443" s="574" t="str">
        <f ca="1">N1443</f>
        <v/>
      </c>
      <c r="F1443" s="127"/>
      <c r="G1443" s="576" t="str">
        <f ca="1">IF(OR(INDIRECT("'update Helper'!E"&amp;Q1443)="",F1443&lt;&gt;0,F1444&lt;&gt;0),IF(IFERROR((F1443/F1444),"")="","",(F1443/F1444)),INDIRECT("'update Helper'!E"&amp;Q1443)/100)</f>
        <v/>
      </c>
      <c r="H1443" s="539"/>
      <c r="I1443" s="578"/>
      <c r="J1443" s="532"/>
      <c r="K1443" s="126">
        <f ca="1">IF(AND(EXACT(C1443,C1441),C1441&lt;&gt;0),K1441+1,0)</f>
        <v>9</v>
      </c>
      <c r="L1443" s="126" t="str">
        <f t="shared" ref="L1443" ca="1" si="1635">IF(C1443&lt;&gt;"",C1443&amp;"-"&amp;K1443,"")</f>
        <v>KP-1f Number of people in prisons and other closed settings reached with HIV prevention programs - defined package of services-9</v>
      </c>
      <c r="M1443" s="126" t="str">
        <f t="array" aca="1" ref="M1443" ca="1">IFERROR(IF(INDEX('Disaggregation Records'!$E$156:$E$517,MATCH(RIGHT(L1443,255),RIGHT('Disaggregation Records'!$D$156:$D$517,255),0))="","",INDEX('Disaggregation Records'!$E$156:$E$517,MATCH(RIGHT(L1443,255),RIGHT('Disaggregation Records'!$D$156:$D$517,255),0))),"")</f>
        <v/>
      </c>
      <c r="N1443" s="126" t="str">
        <f t="array" aca="1" ref="N1443" ca="1">IFERROR(IF(INDEX('Disaggregation Records'!$F$156:$F$517,MATCH(RIGHT(L1443,255),RIGHT('Disaggregation Records'!$D$156:$D$517,255),0))="","",INDEX('Disaggregation Records'!$F$156:$F$517,MATCH(RIGHT(L1443,255),RIGHT('Disaggregation Records'!$D$156:$D$517,255),0))),"")</f>
        <v/>
      </c>
      <c r="O1443" s="314" t="str">
        <f t="array" aca="1" ref="O1443" ca="1">IFERROR(IF(INDEX('Disaggregation Records'!$H$156:$H$517,MATCH(RIGHT(L1443,255),RIGHT('Disaggregation Records'!$D$156:$D$517,255),0))="","",INDEX('Disaggregation Records'!$H$156:$H$517,MATCH(RIGHT(L1443,255),RIGHT('Disaggregation Records'!$D$156:$D$517,255),0))),"")</f>
        <v/>
      </c>
      <c r="P1443" s="314"/>
      <c r="Q1443" s="310">
        <f t="shared" ref="Q1443" si="1636">Q1441+1</f>
        <v>2023</v>
      </c>
      <c r="R1443" s="314" t="str" cm="1">
        <f t="array" aca="1" ref="R1443" ca="1">IFERROR(IF(INDEX('Disaggregation Records'!$G$156:$G$517,MATCH(RIGHT(L1443,255),RIGHT('Disaggregation Records'!$D$156:$D$517,255),0))="","",INDEX('Disaggregation Records'!$G$156:$G$517,MATCH(RIGHT(L1443,255),RIGHT('Disaggregation Records'!$D$156:$D$517,255),0))),"")</f>
        <v/>
      </c>
    </row>
    <row r="1444" spans="1:18" ht="20.100000000000001" customHeight="1">
      <c r="B1444" s="571"/>
      <c r="C1444" s="573"/>
      <c r="D1444" s="575"/>
      <c r="E1444" s="575"/>
      <c r="F1444" s="128"/>
      <c r="G1444" s="577"/>
      <c r="H1444" s="540"/>
      <c r="I1444" s="579"/>
      <c r="J1444" s="533"/>
      <c r="K1444" s="126"/>
      <c r="L1444" s="126"/>
      <c r="M1444" s="126"/>
      <c r="N1444" s="126"/>
      <c r="O1444" s="314"/>
      <c r="P1444" s="314"/>
      <c r="Q1444" s="310"/>
      <c r="R1444" s="314" t="str" cm="1">
        <f t="array" ref="R1444">IFERROR(IF(INDEX('Disaggregation Records'!$G$156:$G$517,MATCH(RIGHT(L1444,255),RIGHT('Disaggregation Records'!$D$156:$D$517,255),0))="","",INDEX('Disaggregation Records'!$G$156:$G$517,MATCH(RIGHT(L1444,255),RIGHT('Disaggregation Records'!$D$156:$D$517,255),0))),"")</f>
        <v/>
      </c>
    </row>
    <row r="1445" spans="1:18" ht="20.100000000000001" customHeight="1">
      <c r="A1445" s="126" t="str">
        <f t="shared" ca="1" si="1583"/>
        <v>a16Dm000000M3wpIAC</v>
      </c>
      <c r="B1445" s="570">
        <v>21</v>
      </c>
      <c r="C1445" s="572" t="str">
        <f ca="1">IFERROR(VLOOKUP(B1445,'Coverage Indicators - Section D'!$A$9:$AO$94,41,FALSE),"")</f>
        <v>KP-1f Number of people in prisons and other closed settings reached with HIV prevention programs - defined package of services</v>
      </c>
      <c r="D1445" s="574" t="str">
        <f ca="1">M1445</f>
        <v/>
      </c>
      <c r="E1445" s="574" t="str">
        <f ca="1">N1445</f>
        <v/>
      </c>
      <c r="F1445" s="127"/>
      <c r="G1445" s="576" t="str">
        <f ca="1">IF(OR(INDIRECT("'update Helper'!E"&amp;Q1445)="",F1445&lt;&gt;0,F1446&lt;&gt;0),IF(IFERROR((F1445/F1446),"")="","",(F1445/F1446)),INDIRECT("'update Helper'!E"&amp;Q1445)/100)</f>
        <v/>
      </c>
      <c r="H1445" s="539"/>
      <c r="I1445" s="578"/>
      <c r="J1445" s="532"/>
      <c r="K1445" s="126">
        <f ca="1">IF(AND(EXACT(C1445,C1443),C1443&lt;&gt;0),K1443+1,0)</f>
        <v>10</v>
      </c>
      <c r="L1445" s="126" t="str">
        <f t="shared" ref="L1445" ca="1" si="1637">IF(C1445&lt;&gt;"",C1445&amp;"-"&amp;K1445,"")</f>
        <v>KP-1f Number of people in prisons and other closed settings reached with HIV prevention programs - defined package of services-10</v>
      </c>
      <c r="M1445" s="126" t="str">
        <f t="array" aca="1" ref="M1445" ca="1">IFERROR(IF(INDEX('Disaggregation Records'!$E$156:$E$517,MATCH(RIGHT(L1445,255),RIGHT('Disaggregation Records'!$D$156:$D$517,255),0))="","",INDEX('Disaggregation Records'!$E$156:$E$517,MATCH(RIGHT(L1445,255),RIGHT('Disaggregation Records'!$D$156:$D$517,255),0))),"")</f>
        <v/>
      </c>
      <c r="N1445" s="126" t="str">
        <f t="array" aca="1" ref="N1445" ca="1">IFERROR(IF(INDEX('Disaggregation Records'!$F$156:$F$517,MATCH(RIGHT(L1445,255),RIGHT('Disaggregation Records'!$D$156:$D$517,255),0))="","",INDEX('Disaggregation Records'!$F$156:$F$517,MATCH(RIGHT(L1445,255),RIGHT('Disaggregation Records'!$D$156:$D$517,255),0))),"")</f>
        <v/>
      </c>
      <c r="O1445" s="314" t="str">
        <f t="array" aca="1" ref="O1445" ca="1">IFERROR(IF(INDEX('Disaggregation Records'!$H$156:$H$517,MATCH(RIGHT(L1445,255),RIGHT('Disaggregation Records'!$D$156:$D$517,255),0))="","",INDEX('Disaggregation Records'!$H$156:$H$517,MATCH(RIGHT(L1445,255),RIGHT('Disaggregation Records'!$D$156:$D$517,255),0))),"")</f>
        <v/>
      </c>
      <c r="P1445" s="310"/>
      <c r="Q1445" s="310">
        <f t="shared" ref="Q1445" si="1638">Q1443+1</f>
        <v>2024</v>
      </c>
      <c r="R1445" s="314" t="str" cm="1">
        <f t="array" aca="1" ref="R1445" ca="1">IFERROR(IF(INDEX('Disaggregation Records'!$G$156:$G$517,MATCH(RIGHT(L1445,255),RIGHT('Disaggregation Records'!$D$156:$D$517,255),0))="","",INDEX('Disaggregation Records'!$G$156:$G$517,MATCH(RIGHT(L1445,255),RIGHT('Disaggregation Records'!$D$156:$D$517,255),0))),"")</f>
        <v/>
      </c>
    </row>
    <row r="1446" spans="1:18" ht="20.100000000000001" customHeight="1">
      <c r="A1446" s="126"/>
      <c r="B1446" s="571"/>
      <c r="C1446" s="573"/>
      <c r="D1446" s="575"/>
      <c r="E1446" s="575"/>
      <c r="F1446" s="128"/>
      <c r="G1446" s="577"/>
      <c r="H1446" s="540"/>
      <c r="I1446" s="579"/>
      <c r="J1446" s="533"/>
      <c r="L1446" s="126"/>
      <c r="N1446" s="126"/>
      <c r="O1446" s="314"/>
      <c r="P1446" s="310"/>
      <c r="Q1446" s="310"/>
      <c r="R1446" s="314" t="str" cm="1">
        <f t="array" ref="R1446">IFERROR(IF(INDEX('Disaggregation Records'!$G$156:$G$517,MATCH(RIGHT(L1446,255),RIGHT('Disaggregation Records'!$D$156:$D$517,255),0))="","",INDEX('Disaggregation Records'!$G$156:$G$517,MATCH(RIGHT(L1446,255),RIGHT('Disaggregation Records'!$D$156:$D$517,255),0))),"")</f>
        <v/>
      </c>
    </row>
    <row r="1447" spans="1:18" ht="20.100000000000001" customHeight="1">
      <c r="A1447" s="126" t="str">
        <f t="shared" ca="1" si="1586"/>
        <v>a16Dm000000M3wqIAC</v>
      </c>
      <c r="B1447" s="570">
        <v>21</v>
      </c>
      <c r="C1447" s="572" t="str">
        <f ca="1">IFERROR(VLOOKUP(B1447,'Coverage Indicators - Section D'!$A$9:$AO$94,41,FALSE),"")</f>
        <v>KP-1f Number of people in prisons and other closed settings reached with HIV prevention programs - defined package of services</v>
      </c>
      <c r="D1447" s="574" t="str">
        <f ca="1">M1447</f>
        <v/>
      </c>
      <c r="E1447" s="574" t="str">
        <f ca="1">N1447</f>
        <v/>
      </c>
      <c r="F1447" s="127"/>
      <c r="G1447" s="576" t="str">
        <f ca="1">IF(OR(INDIRECT("'update Helper'!E"&amp;Q1447)="",F1447&lt;&gt;0,F1448&lt;&gt;0),IF(IFERROR((F1447/F1448),"")="","",(F1447/F1448)),INDIRECT("'update Helper'!E"&amp;Q1447)/100)</f>
        <v/>
      </c>
      <c r="H1447" s="539"/>
      <c r="I1447" s="578"/>
      <c r="J1447" s="532"/>
      <c r="K1447" s="126">
        <f ca="1">IF(AND(EXACT(C1447,C1445),C1445&lt;&gt;0),K1445+1,0)</f>
        <v>11</v>
      </c>
      <c r="L1447" s="126" t="str">
        <f t="shared" ref="L1447" ca="1" si="1639">IF(C1447&lt;&gt;"",C1447&amp;"-"&amp;K1447,"")</f>
        <v>KP-1f Number of people in prisons and other closed settings reached with HIV prevention programs - defined package of services-11</v>
      </c>
      <c r="M1447" s="126" t="str">
        <f t="array" aca="1" ref="M1447" ca="1">IFERROR(IF(INDEX('Disaggregation Records'!$E$156:$E$517,MATCH(RIGHT(L1447,255),RIGHT('Disaggregation Records'!$D$156:$D$517,255),0))="","",INDEX('Disaggregation Records'!$E$156:$E$517,MATCH(RIGHT(L1447,255),RIGHT('Disaggregation Records'!$D$156:$D$517,255),0))),"")</f>
        <v/>
      </c>
      <c r="N1447" s="126" t="str">
        <f t="array" aca="1" ref="N1447" ca="1">IFERROR(IF(INDEX('Disaggregation Records'!$F$156:$F$517,MATCH(RIGHT(L1447,255),RIGHT('Disaggregation Records'!$D$156:$D$517,255),0))="","",INDEX('Disaggregation Records'!$F$156:$F$517,MATCH(RIGHT(L1447,255),RIGHT('Disaggregation Records'!$D$156:$D$517,255),0))),"")</f>
        <v/>
      </c>
      <c r="O1447" s="314" t="str">
        <f t="array" aca="1" ref="O1447" ca="1">IFERROR(IF(INDEX('Disaggregation Records'!$H$156:$H$517,MATCH(RIGHT(L1447,255),RIGHT('Disaggregation Records'!$D$156:$D$517,255),0))="","",INDEX('Disaggregation Records'!$H$156:$H$517,MATCH(RIGHT(L1447,255),RIGHT('Disaggregation Records'!$D$156:$D$517,255),0))),"")</f>
        <v/>
      </c>
      <c r="P1447" s="310"/>
      <c r="Q1447" s="310">
        <f t="shared" ref="Q1447" si="1640">Q1445+1</f>
        <v>2025</v>
      </c>
      <c r="R1447" s="314" t="str" cm="1">
        <f t="array" aca="1" ref="R1447" ca="1">IFERROR(IF(INDEX('Disaggregation Records'!$G$156:$G$517,MATCH(RIGHT(L1447,255),RIGHT('Disaggregation Records'!$D$156:$D$517,255),0))="","",INDEX('Disaggregation Records'!$G$156:$G$517,MATCH(RIGHT(L1447,255),RIGHT('Disaggregation Records'!$D$156:$D$517,255),0))),"")</f>
        <v/>
      </c>
    </row>
    <row r="1448" spans="1:18" ht="20.100000000000001" customHeight="1">
      <c r="B1448" s="571"/>
      <c r="C1448" s="573"/>
      <c r="D1448" s="575"/>
      <c r="E1448" s="575"/>
      <c r="F1448" s="128"/>
      <c r="G1448" s="577"/>
      <c r="H1448" s="540"/>
      <c r="I1448" s="579"/>
      <c r="J1448" s="533"/>
      <c r="L1448" s="126"/>
      <c r="N1448" s="126"/>
      <c r="O1448" s="314"/>
      <c r="P1448" s="310"/>
      <c r="Q1448" s="310"/>
      <c r="R1448" s="314" t="str" cm="1">
        <f t="array" ref="R1448">IFERROR(IF(INDEX('Disaggregation Records'!$G$156:$G$517,MATCH(RIGHT(L1448,255),RIGHT('Disaggregation Records'!$D$156:$D$517,255),0))="","",INDEX('Disaggregation Records'!$G$156:$G$517,MATCH(RIGHT(L1448,255),RIGHT('Disaggregation Records'!$D$156:$D$517,255),0))),"")</f>
        <v/>
      </c>
    </row>
    <row r="1449" spans="1:18" ht="20.100000000000001" customHeight="1">
      <c r="A1449" s="126" t="str">
        <f t="shared" ca="1" si="1583"/>
        <v>a16Dm000000M3wrIAC</v>
      </c>
      <c r="B1449" s="570">
        <v>21</v>
      </c>
      <c r="C1449" s="572" t="str">
        <f ca="1">IFERROR(VLOOKUP(B1449,'Coverage Indicators - Section D'!$A$9:$AO$94,41,FALSE),"")</f>
        <v>KP-1f Number of people in prisons and other closed settings reached with HIV prevention programs - defined package of services</v>
      </c>
      <c r="D1449" s="574" t="str">
        <f ca="1">M1449</f>
        <v/>
      </c>
      <c r="E1449" s="574" t="str">
        <f ca="1">N1449</f>
        <v/>
      </c>
      <c r="F1449" s="127"/>
      <c r="G1449" s="576" t="str">
        <f ca="1">IF(OR(INDIRECT("'update Helper'!E"&amp;Q1449)="",F1449&lt;&gt;0,F1450&lt;&gt;0),IF(IFERROR((F1449/F1450),"")="","",(F1449/F1450)),INDIRECT("'update Helper'!E"&amp;Q1449)/100)</f>
        <v/>
      </c>
      <c r="H1449" s="539"/>
      <c r="I1449" s="578"/>
      <c r="J1449" s="532"/>
      <c r="K1449" s="126">
        <f ca="1">IF(AND(EXACT(C1449,C1447),C1447&lt;&gt;0),K1447+1,0)</f>
        <v>12</v>
      </c>
      <c r="L1449" s="126" t="str">
        <f t="shared" ref="L1449" ca="1" si="1641">IF(C1449&lt;&gt;"",C1449&amp;"-"&amp;K1449,"")</f>
        <v>KP-1f Number of people in prisons and other closed settings reached with HIV prevention programs - defined package of services-12</v>
      </c>
      <c r="M1449" s="126" t="str">
        <f t="array" aca="1" ref="M1449" ca="1">IFERROR(IF(INDEX('Disaggregation Records'!$E$156:$E$517,MATCH(RIGHT(L1449,255),RIGHT('Disaggregation Records'!$D$156:$D$517,255),0))="","",INDEX('Disaggregation Records'!$E$156:$E$517,MATCH(RIGHT(L1449,255),RIGHT('Disaggregation Records'!$D$156:$D$517,255),0))),"")</f>
        <v/>
      </c>
      <c r="N1449" s="126" t="str">
        <f t="array" aca="1" ref="N1449" ca="1">IFERROR(IF(INDEX('Disaggregation Records'!$F$156:$F$517,MATCH(RIGHT(L1449,255),RIGHT('Disaggregation Records'!$D$156:$D$517,255),0))="","",INDEX('Disaggregation Records'!$F$156:$F$517,MATCH(RIGHT(L1449,255),RIGHT('Disaggregation Records'!$D$156:$D$517,255),0))),"")</f>
        <v/>
      </c>
      <c r="O1449" s="314" t="str">
        <f t="array" aca="1" ref="O1449" ca="1">IFERROR(IF(INDEX('Disaggregation Records'!$H$156:$H$517,MATCH(RIGHT(L1449,255),RIGHT('Disaggregation Records'!$D$156:$D$517,255),0))="","",INDEX('Disaggregation Records'!$H$156:$H$517,MATCH(RIGHT(L1449,255),RIGHT('Disaggregation Records'!$D$156:$D$517,255),0))),"")</f>
        <v/>
      </c>
      <c r="P1449" s="310"/>
      <c r="Q1449" s="310">
        <f t="shared" ref="Q1449" si="1642">Q1447+1</f>
        <v>2026</v>
      </c>
      <c r="R1449" s="314" t="str" cm="1">
        <f t="array" aca="1" ref="R1449" ca="1">IFERROR(IF(INDEX('Disaggregation Records'!$G$156:$G$517,MATCH(RIGHT(L1449,255),RIGHT('Disaggregation Records'!$D$156:$D$517,255),0))="","",INDEX('Disaggregation Records'!$G$156:$G$517,MATCH(RIGHT(L1449,255),RIGHT('Disaggregation Records'!$D$156:$D$517,255),0))),"")</f>
        <v/>
      </c>
    </row>
    <row r="1450" spans="1:18" ht="20.100000000000001" customHeight="1">
      <c r="A1450" s="126"/>
      <c r="B1450" s="571"/>
      <c r="C1450" s="573"/>
      <c r="D1450" s="575"/>
      <c r="E1450" s="575"/>
      <c r="F1450" s="128"/>
      <c r="G1450" s="577"/>
      <c r="H1450" s="540"/>
      <c r="I1450" s="579"/>
      <c r="J1450" s="533"/>
      <c r="L1450" s="126"/>
      <c r="N1450" s="126"/>
      <c r="O1450" s="314"/>
      <c r="P1450" s="310"/>
      <c r="Q1450" s="310"/>
      <c r="R1450" s="314" t="str" cm="1">
        <f t="array" ref="R1450">IFERROR(IF(INDEX('Disaggregation Records'!$G$156:$G$517,MATCH(RIGHT(L1450,255),RIGHT('Disaggregation Records'!$D$156:$D$517,255),0))="","",INDEX('Disaggregation Records'!$G$156:$G$517,MATCH(RIGHT(L1450,255),RIGHT('Disaggregation Records'!$D$156:$D$517,255),0))),"")</f>
        <v/>
      </c>
    </row>
    <row r="1451" spans="1:18" ht="20.100000000000001" customHeight="1">
      <c r="A1451" s="126" t="str">
        <f t="shared" ca="1" si="1586"/>
        <v>a16Dm000000M3wsIAC</v>
      </c>
      <c r="B1451" s="570">
        <v>21</v>
      </c>
      <c r="C1451" s="572" t="str">
        <f ca="1">IFERROR(VLOOKUP(B1451,'Coverage Indicators - Section D'!$A$9:$AO$94,41,FALSE),"")</f>
        <v>KP-1f Number of people in prisons and other closed settings reached with HIV prevention programs - defined package of services</v>
      </c>
      <c r="D1451" s="574" t="str">
        <f ca="1">M1451</f>
        <v/>
      </c>
      <c r="E1451" s="574" t="str">
        <f ca="1">N1451</f>
        <v/>
      </c>
      <c r="F1451" s="127"/>
      <c r="G1451" s="576" t="str">
        <f ca="1">IF(OR(INDIRECT("'update Helper'!E"&amp;Q1451)="",F1451&lt;&gt;0,F1452&lt;&gt;0),IF(IFERROR((F1451/F1452),"")="","",(F1451/F1452)),INDIRECT("'update Helper'!E"&amp;Q1451)/100)</f>
        <v/>
      </c>
      <c r="H1451" s="539"/>
      <c r="I1451" s="578"/>
      <c r="J1451" s="532"/>
      <c r="K1451" s="126">
        <f ca="1">IF(AND(EXACT(C1451,C1449),C1449&lt;&gt;0),K1449+1,0)</f>
        <v>13</v>
      </c>
      <c r="L1451" s="126" t="str">
        <f t="shared" ref="L1451" ca="1" si="1643">IF(C1451&lt;&gt;"",C1451&amp;"-"&amp;K1451,"")</f>
        <v>KP-1f Number of people in prisons and other closed settings reached with HIV prevention programs - defined package of services-13</v>
      </c>
      <c r="M1451" s="126" t="str">
        <f t="array" aca="1" ref="M1451" ca="1">IFERROR(IF(INDEX('Disaggregation Records'!$E$156:$E$517,MATCH(RIGHT(L1451,255),RIGHT('Disaggregation Records'!$D$156:$D$517,255),0))="","",INDEX('Disaggregation Records'!$E$156:$E$517,MATCH(RIGHT(L1451,255),RIGHT('Disaggregation Records'!$D$156:$D$517,255),0))),"")</f>
        <v/>
      </c>
      <c r="N1451" s="126" t="str">
        <f t="array" aca="1" ref="N1451" ca="1">IFERROR(IF(INDEX('Disaggregation Records'!$F$156:$F$517,MATCH(RIGHT(L1451,255),RIGHT('Disaggregation Records'!$D$156:$D$517,255),0))="","",INDEX('Disaggregation Records'!$F$156:$F$517,MATCH(RIGHT(L1451,255),RIGHT('Disaggregation Records'!$D$156:$D$517,255),0))),"")</f>
        <v/>
      </c>
      <c r="O1451" s="314" t="str">
        <f t="array" aca="1" ref="O1451" ca="1">IFERROR(IF(INDEX('Disaggregation Records'!$H$156:$H$517,MATCH(RIGHT(L1451,255),RIGHT('Disaggregation Records'!$D$156:$D$517,255),0))="","",INDEX('Disaggregation Records'!$H$156:$H$517,MATCH(RIGHT(L1451,255),RIGHT('Disaggregation Records'!$D$156:$D$517,255),0))),"")</f>
        <v/>
      </c>
      <c r="P1451" s="314"/>
      <c r="Q1451" s="310">
        <f t="shared" ref="Q1451" si="1644">Q1449+1</f>
        <v>2027</v>
      </c>
      <c r="R1451" s="314" t="str" cm="1">
        <f t="array" aca="1" ref="R1451" ca="1">IFERROR(IF(INDEX('Disaggregation Records'!$G$156:$G$517,MATCH(RIGHT(L1451,255),RIGHT('Disaggregation Records'!$D$156:$D$517,255),0))="","",INDEX('Disaggregation Records'!$G$156:$G$517,MATCH(RIGHT(L1451,255),RIGHT('Disaggregation Records'!$D$156:$D$517,255),0))),"")</f>
        <v/>
      </c>
    </row>
    <row r="1452" spans="1:18" ht="20.100000000000001" customHeight="1">
      <c r="B1452" s="571"/>
      <c r="C1452" s="573"/>
      <c r="D1452" s="575"/>
      <c r="E1452" s="575"/>
      <c r="F1452" s="128"/>
      <c r="G1452" s="577"/>
      <c r="H1452" s="540"/>
      <c r="I1452" s="579"/>
      <c r="J1452" s="533"/>
      <c r="K1452" s="126"/>
      <c r="L1452" s="126"/>
      <c r="M1452" s="126"/>
      <c r="N1452" s="126"/>
      <c r="O1452" s="314"/>
      <c r="P1452" s="314"/>
      <c r="Q1452" s="310"/>
      <c r="R1452" s="314" t="str" cm="1">
        <f t="array" ref="R1452">IFERROR(IF(INDEX('Disaggregation Records'!$G$156:$G$517,MATCH(RIGHT(L1452,255),RIGHT('Disaggregation Records'!$D$156:$D$517,255),0))="","",INDEX('Disaggregation Records'!$G$156:$G$517,MATCH(RIGHT(L1452,255),RIGHT('Disaggregation Records'!$D$156:$D$517,255),0))),"")</f>
        <v/>
      </c>
    </row>
    <row r="1453" spans="1:18" ht="20.100000000000001" customHeight="1">
      <c r="A1453" s="126" t="str">
        <f t="shared" ca="1" si="1583"/>
        <v>a16Dm000000M3wtIAC</v>
      </c>
      <c r="B1453" s="570">
        <v>21</v>
      </c>
      <c r="C1453" s="572" t="str">
        <f ca="1">IFERROR(VLOOKUP(B1453,'Coverage Indicators - Section D'!$A$9:$AO$94,41,FALSE),"")</f>
        <v>KP-1f Number of people in prisons and other closed settings reached with HIV prevention programs - defined package of services</v>
      </c>
      <c r="D1453" s="574" t="str">
        <f ca="1">M1453</f>
        <v/>
      </c>
      <c r="E1453" s="574" t="str">
        <f ca="1">N1453</f>
        <v/>
      </c>
      <c r="F1453" s="127"/>
      <c r="G1453" s="576" t="str">
        <f ca="1">IF(OR(INDIRECT("'update Helper'!E"&amp;Q1453)="",F1453&lt;&gt;0,F1454&lt;&gt;0),IF(IFERROR((F1453/F1454),"")="","",(F1453/F1454)),INDIRECT("'update Helper'!E"&amp;Q1453)/100)</f>
        <v/>
      </c>
      <c r="H1453" s="539"/>
      <c r="I1453" s="578"/>
      <c r="J1453" s="532"/>
      <c r="K1453" s="126">
        <f ca="1">IF(AND(EXACT(C1453,C1451),C1451&lt;&gt;0),K1451+1,0)</f>
        <v>14</v>
      </c>
      <c r="L1453" s="126" t="str">
        <f t="shared" ref="L1453" ca="1" si="1645">IF(C1453&lt;&gt;"",C1453&amp;"-"&amp;K1453,"")</f>
        <v>KP-1f Number of people in prisons and other closed settings reached with HIV prevention programs - defined package of services-14</v>
      </c>
      <c r="M1453" s="126" t="str">
        <f t="array" aca="1" ref="M1453" ca="1">IFERROR(IF(INDEX('Disaggregation Records'!$E$156:$E$517,MATCH(RIGHT(L1453,255),RIGHT('Disaggregation Records'!$D$156:$D$517,255),0))="","",INDEX('Disaggregation Records'!$E$156:$E$517,MATCH(RIGHT(L1453,255),RIGHT('Disaggregation Records'!$D$156:$D$517,255),0))),"")</f>
        <v/>
      </c>
      <c r="N1453" s="126" t="str">
        <f t="array" aca="1" ref="N1453" ca="1">IFERROR(IF(INDEX('Disaggregation Records'!$F$156:$F$517,MATCH(RIGHT(L1453,255),RIGHT('Disaggregation Records'!$D$156:$D$517,255),0))="","",INDEX('Disaggregation Records'!$F$156:$F$517,MATCH(RIGHT(L1453,255),RIGHT('Disaggregation Records'!$D$156:$D$517,255),0))),"")</f>
        <v/>
      </c>
      <c r="O1453" s="314" t="str">
        <f t="array" aca="1" ref="O1453" ca="1">IFERROR(IF(INDEX('Disaggregation Records'!$H$156:$H$517,MATCH(RIGHT(L1453,255),RIGHT('Disaggregation Records'!$D$156:$D$517,255),0))="","",INDEX('Disaggregation Records'!$H$156:$H$517,MATCH(RIGHT(L1453,255),RIGHT('Disaggregation Records'!$D$156:$D$517,255),0))),"")</f>
        <v/>
      </c>
      <c r="P1453" s="314"/>
      <c r="Q1453" s="310">
        <f t="shared" ref="Q1453" si="1646">Q1451+1</f>
        <v>2028</v>
      </c>
      <c r="R1453" s="314" t="str" cm="1">
        <f t="array" aca="1" ref="R1453" ca="1">IFERROR(IF(INDEX('Disaggregation Records'!$G$156:$G$517,MATCH(RIGHT(L1453,255),RIGHT('Disaggregation Records'!$D$156:$D$517,255),0))="","",INDEX('Disaggregation Records'!$G$156:$G$517,MATCH(RIGHT(L1453,255),RIGHT('Disaggregation Records'!$D$156:$D$517,255),0))),"")</f>
        <v/>
      </c>
    </row>
    <row r="1454" spans="1:18" ht="20.100000000000001" customHeight="1">
      <c r="A1454" s="126"/>
      <c r="B1454" s="571"/>
      <c r="C1454" s="573"/>
      <c r="D1454" s="575"/>
      <c r="E1454" s="575"/>
      <c r="F1454" s="128"/>
      <c r="G1454" s="577"/>
      <c r="H1454" s="540"/>
      <c r="I1454" s="579"/>
      <c r="J1454" s="533"/>
      <c r="K1454" s="126"/>
      <c r="L1454" s="126"/>
      <c r="M1454" s="126"/>
      <c r="N1454" s="126"/>
      <c r="O1454" s="314"/>
      <c r="P1454" s="314"/>
      <c r="Q1454" s="310"/>
      <c r="R1454" s="314" t="str" cm="1">
        <f t="array" ref="R1454">IFERROR(IF(INDEX('Disaggregation Records'!$G$156:$G$517,MATCH(RIGHT(L1454,255),RIGHT('Disaggregation Records'!$D$156:$D$517,255),0))="","",INDEX('Disaggregation Records'!$G$156:$G$517,MATCH(RIGHT(L1454,255),RIGHT('Disaggregation Records'!$D$156:$D$517,255),0))),"")</f>
        <v/>
      </c>
    </row>
    <row r="1455" spans="1:18" ht="20.100000000000001" customHeight="1">
      <c r="A1455" s="126" t="str">
        <f t="shared" ca="1" si="1586"/>
        <v>a16Dm000000M3wuIAC</v>
      </c>
      <c r="B1455" s="570">
        <v>21</v>
      </c>
      <c r="C1455" s="572" t="str">
        <f ca="1">IFERROR(VLOOKUP(B1455,'Coverage Indicators - Section D'!$A$9:$AO$94,41,FALSE),"")</f>
        <v>KP-1f Number of people in prisons and other closed settings reached with HIV prevention programs - defined package of services</v>
      </c>
      <c r="D1455" s="574" t="str">
        <f ca="1">M1455</f>
        <v/>
      </c>
      <c r="E1455" s="574" t="str">
        <f ca="1">N1455</f>
        <v/>
      </c>
      <c r="F1455" s="127"/>
      <c r="G1455" s="576" t="str">
        <f ca="1">IF(OR(INDIRECT("'update Helper'!E"&amp;Q1455)="",F1455&lt;&gt;0,F1456&lt;&gt;0),IF(IFERROR((F1455/F1456),"")="","",(F1455/F1456)),INDIRECT("'update Helper'!E"&amp;Q1455)/100)</f>
        <v/>
      </c>
      <c r="H1455" s="539"/>
      <c r="I1455" s="578"/>
      <c r="J1455" s="532"/>
      <c r="K1455" s="126">
        <f ca="1">IF(AND(EXACT(C1455,C1453),C1453&lt;&gt;0),K1453+1,0)</f>
        <v>15</v>
      </c>
      <c r="L1455" s="126" t="str">
        <f t="shared" ref="L1455" ca="1" si="1647">IF(C1455&lt;&gt;"",C1455&amp;"-"&amp;K1455,"")</f>
        <v>KP-1f Number of people in prisons and other closed settings reached with HIV prevention programs - defined package of services-15</v>
      </c>
      <c r="M1455" s="126" t="str">
        <f t="array" aca="1" ref="M1455" ca="1">IFERROR(IF(INDEX('Disaggregation Records'!$E$156:$E$517,MATCH(RIGHT(L1455,255),RIGHT('Disaggregation Records'!$D$156:$D$517,255),0))="","",INDEX('Disaggregation Records'!$E$156:$E$517,MATCH(RIGHT(L1455,255),RIGHT('Disaggregation Records'!$D$156:$D$517,255),0))),"")</f>
        <v/>
      </c>
      <c r="N1455" s="126" t="str">
        <f t="array" aca="1" ref="N1455" ca="1">IFERROR(IF(INDEX('Disaggregation Records'!$F$156:$F$517,MATCH(RIGHT(L1455,255),RIGHT('Disaggregation Records'!$D$156:$D$517,255),0))="","",INDEX('Disaggregation Records'!$F$156:$F$517,MATCH(RIGHT(L1455,255),RIGHT('Disaggregation Records'!$D$156:$D$517,255),0))),"")</f>
        <v/>
      </c>
      <c r="O1455" s="314" t="str">
        <f t="array" aca="1" ref="O1455" ca="1">IFERROR(IF(INDEX('Disaggregation Records'!$H$156:$H$517,MATCH(RIGHT(L1455,255),RIGHT('Disaggregation Records'!$D$156:$D$517,255),0))="","",INDEX('Disaggregation Records'!$H$156:$H$517,MATCH(RIGHT(L1455,255),RIGHT('Disaggregation Records'!$D$156:$D$517,255),0))),"")</f>
        <v/>
      </c>
      <c r="P1455" s="310"/>
      <c r="Q1455" s="310">
        <f t="shared" ref="Q1455" si="1648">Q1453+1</f>
        <v>2029</v>
      </c>
      <c r="R1455" s="314" t="str" cm="1">
        <f t="array" aca="1" ref="R1455" ca="1">IFERROR(IF(INDEX('Disaggregation Records'!$G$156:$G$517,MATCH(RIGHT(L1455,255),RIGHT('Disaggregation Records'!$D$156:$D$517,255),0))="","",INDEX('Disaggregation Records'!$G$156:$G$517,MATCH(RIGHT(L1455,255),RIGHT('Disaggregation Records'!$D$156:$D$517,255),0))),"")</f>
        <v/>
      </c>
    </row>
    <row r="1456" spans="1:18" ht="20.100000000000001" customHeight="1">
      <c r="B1456" s="571"/>
      <c r="C1456" s="573"/>
      <c r="D1456" s="575"/>
      <c r="E1456" s="575"/>
      <c r="F1456" s="128"/>
      <c r="G1456" s="577"/>
      <c r="H1456" s="540"/>
      <c r="I1456" s="579"/>
      <c r="J1456" s="533"/>
      <c r="L1456" s="126"/>
      <c r="N1456" s="126"/>
      <c r="O1456" s="314"/>
      <c r="P1456" s="310"/>
      <c r="Q1456" s="310"/>
      <c r="R1456" s="314" t="str" cm="1">
        <f t="array" ref="R1456">IFERROR(IF(INDEX('Disaggregation Records'!$G$156:$G$517,MATCH(RIGHT(L1456,255),RIGHT('Disaggregation Records'!$D$156:$D$517,255),0))="","",INDEX('Disaggregation Records'!$G$156:$G$517,MATCH(RIGHT(L1456,255),RIGHT('Disaggregation Records'!$D$156:$D$517,255),0))),"")</f>
        <v/>
      </c>
    </row>
    <row r="1457" spans="1:18" ht="20.100000000000001" customHeight="1">
      <c r="A1457" s="126" t="str">
        <f t="shared" ref="A1457:A1517" ca="1" si="1649">INDIRECT("'update Helper'!C"&amp;Q1457)</f>
        <v>a16Dm000000M3wvIAC</v>
      </c>
      <c r="B1457" s="570">
        <v>21</v>
      </c>
      <c r="C1457" s="572" t="str">
        <f ca="1">IFERROR(VLOOKUP(B1457,'Coverage Indicators - Section D'!$A$9:$AO$94,41,FALSE),"")</f>
        <v>KP-1f Number of people in prisons and other closed settings reached with HIV prevention programs - defined package of services</v>
      </c>
      <c r="D1457" s="574" t="str">
        <f ca="1">M1457</f>
        <v/>
      </c>
      <c r="E1457" s="574" t="str">
        <f ca="1">N1457</f>
        <v/>
      </c>
      <c r="F1457" s="127"/>
      <c r="G1457" s="576" t="str">
        <f ca="1">IF(OR(INDIRECT("'update Helper'!E"&amp;Q1457)="",F1457&lt;&gt;0,F1458&lt;&gt;0),IF(IFERROR((F1457/F1458),"")="","",(F1457/F1458)),INDIRECT("'update Helper'!E"&amp;Q1457)/100)</f>
        <v/>
      </c>
      <c r="H1457" s="539"/>
      <c r="I1457" s="578"/>
      <c r="J1457" s="532"/>
      <c r="K1457" s="126">
        <f ca="1">IF(AND(EXACT(C1457,C1455),C1455&lt;&gt;0),K1455+1,0)</f>
        <v>16</v>
      </c>
      <c r="L1457" s="126" t="str">
        <f t="shared" ref="L1457" ca="1" si="1650">IF(C1457&lt;&gt;"",C1457&amp;"-"&amp;K1457,"")</f>
        <v>KP-1f Number of people in prisons and other closed settings reached with HIV prevention programs - defined package of services-16</v>
      </c>
      <c r="M1457" s="126" t="str">
        <f t="array" aca="1" ref="M1457" ca="1">IFERROR(IF(INDEX('Disaggregation Records'!$E$156:$E$517,MATCH(RIGHT(L1457,255),RIGHT('Disaggregation Records'!$D$156:$D$517,255),0))="","",INDEX('Disaggregation Records'!$E$156:$E$517,MATCH(RIGHT(L1457,255),RIGHT('Disaggregation Records'!$D$156:$D$517,255),0))),"")</f>
        <v/>
      </c>
      <c r="N1457" s="126" t="str">
        <f t="array" aca="1" ref="N1457" ca="1">IFERROR(IF(INDEX('Disaggregation Records'!$F$156:$F$517,MATCH(RIGHT(L1457,255),RIGHT('Disaggregation Records'!$D$156:$D$517,255),0))="","",INDEX('Disaggregation Records'!$F$156:$F$517,MATCH(RIGHT(L1457,255),RIGHT('Disaggregation Records'!$D$156:$D$517,255),0))),"")</f>
        <v/>
      </c>
      <c r="O1457" s="314" t="str">
        <f t="array" aca="1" ref="O1457" ca="1">IFERROR(IF(INDEX('Disaggregation Records'!$H$156:$H$517,MATCH(RIGHT(L1457,255),RIGHT('Disaggregation Records'!$D$156:$D$517,255),0))="","",INDEX('Disaggregation Records'!$H$156:$H$517,MATCH(RIGHT(L1457,255),RIGHT('Disaggregation Records'!$D$156:$D$517,255),0))),"")</f>
        <v/>
      </c>
      <c r="P1457" s="310"/>
      <c r="Q1457" s="310">
        <f t="shared" ref="Q1457" si="1651">Q1455+1</f>
        <v>2030</v>
      </c>
      <c r="R1457" s="314" t="str" cm="1">
        <f t="array" aca="1" ref="R1457" ca="1">IFERROR(IF(INDEX('Disaggregation Records'!$G$156:$G$517,MATCH(RIGHT(L1457,255),RIGHT('Disaggregation Records'!$D$156:$D$517,255),0))="","",INDEX('Disaggregation Records'!$G$156:$G$517,MATCH(RIGHT(L1457,255),RIGHT('Disaggregation Records'!$D$156:$D$517,255),0))),"")</f>
        <v/>
      </c>
    </row>
    <row r="1458" spans="1:18" ht="20.100000000000001" customHeight="1">
      <c r="A1458" s="126"/>
      <c r="B1458" s="571"/>
      <c r="C1458" s="573"/>
      <c r="D1458" s="575"/>
      <c r="E1458" s="575"/>
      <c r="F1458" s="128"/>
      <c r="G1458" s="577"/>
      <c r="H1458" s="540"/>
      <c r="I1458" s="579"/>
      <c r="J1458" s="533"/>
      <c r="L1458" s="126"/>
      <c r="N1458" s="126"/>
      <c r="O1458" s="314"/>
      <c r="P1458" s="310"/>
      <c r="Q1458" s="310"/>
      <c r="R1458" s="314" t="str" cm="1">
        <f t="array" ref="R1458">IFERROR(IF(INDEX('Disaggregation Records'!$G$156:$G$517,MATCH(RIGHT(L1458,255),RIGHT('Disaggregation Records'!$D$156:$D$517,255),0))="","",INDEX('Disaggregation Records'!$G$156:$G$517,MATCH(RIGHT(L1458,255),RIGHT('Disaggregation Records'!$D$156:$D$517,255),0))),"")</f>
        <v/>
      </c>
    </row>
    <row r="1459" spans="1:18" ht="20.100000000000001" customHeight="1">
      <c r="A1459" s="126" t="str">
        <f t="shared" ref="A1459:A1519" ca="1" si="1652">INDIRECT("'update Helper'!C"&amp;Q1459)</f>
        <v>a16Dm000000M3wwIAC</v>
      </c>
      <c r="B1459" s="570">
        <v>21</v>
      </c>
      <c r="C1459" s="572" t="str">
        <f ca="1">IFERROR(VLOOKUP(B1459,'Coverage Indicators - Section D'!$A$9:$AO$94,41,FALSE),"")</f>
        <v>KP-1f Number of people in prisons and other closed settings reached with HIV prevention programs - defined package of services</v>
      </c>
      <c r="D1459" s="574" t="str">
        <f ca="1">M1459</f>
        <v/>
      </c>
      <c r="E1459" s="574" t="str">
        <f ca="1">N1459</f>
        <v/>
      </c>
      <c r="F1459" s="127"/>
      <c r="G1459" s="576" t="str">
        <f ca="1">IF(OR(INDIRECT("'update Helper'!E"&amp;Q1459)="",F1459&lt;&gt;0,F1460&lt;&gt;0),IF(IFERROR((F1459/F1460),"")="","",(F1459/F1460)),INDIRECT("'update Helper'!E"&amp;Q1459)/100)</f>
        <v/>
      </c>
      <c r="H1459" s="539"/>
      <c r="I1459" s="578"/>
      <c r="J1459" s="532"/>
      <c r="K1459" s="126">
        <f ca="1">IF(AND(EXACT(C1459,C1457),C1457&lt;&gt;0),K1457+1,0)</f>
        <v>17</v>
      </c>
      <c r="L1459" s="126" t="str">
        <f t="shared" ref="L1459" ca="1" si="1653">IF(C1459&lt;&gt;"",C1459&amp;"-"&amp;K1459,"")</f>
        <v>KP-1f Number of people in prisons and other closed settings reached with HIV prevention programs - defined package of services-17</v>
      </c>
      <c r="M1459" s="126" t="str">
        <f t="array" aca="1" ref="M1459" ca="1">IFERROR(IF(INDEX('Disaggregation Records'!$E$156:$E$517,MATCH(RIGHT(L1459,255),RIGHT('Disaggregation Records'!$D$156:$D$517,255),0))="","",INDEX('Disaggregation Records'!$E$156:$E$517,MATCH(RIGHT(L1459,255),RIGHT('Disaggregation Records'!$D$156:$D$517,255),0))),"")</f>
        <v/>
      </c>
      <c r="N1459" s="126" t="str">
        <f t="array" aca="1" ref="N1459" ca="1">IFERROR(IF(INDEX('Disaggregation Records'!$F$156:$F$517,MATCH(RIGHT(L1459,255),RIGHT('Disaggregation Records'!$D$156:$D$517,255),0))="","",INDEX('Disaggregation Records'!$F$156:$F$517,MATCH(RIGHT(L1459,255),RIGHT('Disaggregation Records'!$D$156:$D$517,255),0))),"")</f>
        <v/>
      </c>
      <c r="O1459" s="314" t="str">
        <f t="array" aca="1" ref="O1459" ca="1">IFERROR(IF(INDEX('Disaggregation Records'!$H$156:$H$517,MATCH(RIGHT(L1459,255),RIGHT('Disaggregation Records'!$D$156:$D$517,255),0))="","",INDEX('Disaggregation Records'!$H$156:$H$517,MATCH(RIGHT(L1459,255),RIGHT('Disaggregation Records'!$D$156:$D$517,255),0))),"")</f>
        <v/>
      </c>
      <c r="P1459" s="310"/>
      <c r="Q1459" s="310">
        <f t="shared" ref="Q1459" si="1654">Q1457+1</f>
        <v>2031</v>
      </c>
      <c r="R1459" s="314" t="str" cm="1">
        <f t="array" aca="1" ref="R1459" ca="1">IFERROR(IF(INDEX('Disaggregation Records'!$G$156:$G$517,MATCH(RIGHT(L1459,255),RIGHT('Disaggregation Records'!$D$156:$D$517,255),0))="","",INDEX('Disaggregation Records'!$G$156:$G$517,MATCH(RIGHT(L1459,255),RIGHT('Disaggregation Records'!$D$156:$D$517,255),0))),"")</f>
        <v/>
      </c>
    </row>
    <row r="1460" spans="1:18" ht="20.100000000000001" customHeight="1">
      <c r="B1460" s="571"/>
      <c r="C1460" s="573"/>
      <c r="D1460" s="575"/>
      <c r="E1460" s="575"/>
      <c r="F1460" s="128"/>
      <c r="G1460" s="577"/>
      <c r="H1460" s="540"/>
      <c r="I1460" s="579"/>
      <c r="J1460" s="533"/>
      <c r="L1460" s="126"/>
      <c r="N1460" s="126"/>
      <c r="O1460" s="314"/>
      <c r="P1460" s="310"/>
      <c r="Q1460" s="310"/>
      <c r="R1460" s="314" t="str" cm="1">
        <f t="array" ref="R1460">IFERROR(IF(INDEX('Disaggregation Records'!$G$156:$G$517,MATCH(RIGHT(L1460,255),RIGHT('Disaggregation Records'!$D$156:$D$517,255),0))="","",INDEX('Disaggregation Records'!$G$156:$G$517,MATCH(RIGHT(L1460,255),RIGHT('Disaggregation Records'!$D$156:$D$517,255),0))),"")</f>
        <v/>
      </c>
    </row>
    <row r="1461" spans="1:18" ht="20.100000000000001" customHeight="1">
      <c r="A1461" s="126" t="str">
        <f t="shared" ca="1" si="1649"/>
        <v>a16Dm000000M3wxIAC</v>
      </c>
      <c r="B1461" s="570">
        <v>22</v>
      </c>
      <c r="C1461" s="572" t="str">
        <f ca="1">IFERROR(VLOOKUP(B1461,'Coverage Indicators - Section D'!$A$9:$AO$94,41,FALSE),"")</f>
        <v>HTS-3a Percentage of MSM that have received an HIV test during the reporting period in KP-specific programs and know their results</v>
      </c>
      <c r="D1461" s="574" t="str">
        <f ca="1">M1461</f>
        <v>Age</v>
      </c>
      <c r="E1461" s="574" t="str">
        <f ca="1">N1461</f>
        <v>25+</v>
      </c>
      <c r="F1461" s="127"/>
      <c r="G1461" s="576" t="str">
        <f ca="1">IF(OR(INDIRECT("'update Helper'!E"&amp;Q1461)="",F1461&lt;&gt;0,F1462&lt;&gt;0),IF(IFERROR((F1461/F1462),"")="","",(F1461/F1462)),INDIRECT("'update Helper'!E"&amp;Q1461)/100)</f>
        <v/>
      </c>
      <c r="H1461" s="539"/>
      <c r="I1461" s="578"/>
      <c r="J1461" s="532" t="s">
        <v>2301</v>
      </c>
      <c r="K1461" s="126">
        <f ca="1">IF(AND(EXACT(C1461,C1459),C1459&lt;&gt;0),K1459+1,0)</f>
        <v>0</v>
      </c>
      <c r="L1461" s="126" t="str">
        <f t="shared" ref="L1461" ca="1" si="1655">IF(C1461&lt;&gt;"",C1461&amp;"-"&amp;K1461,"")</f>
        <v>HTS-3a Percentage of MSM that have received an HIV test during the reporting period in KP-specific programs and know their results-0</v>
      </c>
      <c r="M1461" s="126" t="str">
        <f t="array" aca="1" ref="M1461" ca="1">IFERROR(IF(INDEX('Disaggregation Records'!$E$156:$E$517,MATCH(RIGHT(L1461,255),RIGHT('Disaggregation Records'!$D$156:$D$517,255),0))="","",INDEX('Disaggregation Records'!$E$156:$E$517,MATCH(RIGHT(L1461,255),RIGHT('Disaggregation Records'!$D$156:$D$517,255),0))),"")</f>
        <v>Age</v>
      </c>
      <c r="N1461" s="126" t="str">
        <f t="array" aca="1" ref="N1461" ca="1">IFERROR(IF(INDEX('Disaggregation Records'!$F$156:$F$517,MATCH(RIGHT(L1461,255),RIGHT('Disaggregation Records'!$D$156:$D$517,255),0))="","",INDEX('Disaggregation Records'!$F$156:$F$517,MATCH(RIGHT(L1461,255),RIGHT('Disaggregation Records'!$D$156:$D$517,255),0))),"")</f>
        <v>25+</v>
      </c>
      <c r="O1461" s="314" t="str">
        <f t="array" aca="1" ref="O1461" ca="1">IFERROR(IF(INDEX('Disaggregation Records'!$H$156:$H$517,MATCH(RIGHT(L1461,255),RIGHT('Disaggregation Records'!$D$156:$D$517,255),0))="","",INDEX('Disaggregation Records'!$H$156:$H$517,MATCH(RIGHT(L1461,255),RIGHT('Disaggregation Records'!$D$156:$D$517,255),0))),"")</f>
        <v>IDR-01270</v>
      </c>
      <c r="P1461" s="314"/>
      <c r="Q1461" s="310">
        <f t="shared" ref="Q1461" si="1656">Q1459+1</f>
        <v>2032</v>
      </c>
      <c r="R1461" s="314" t="str" cm="1">
        <f t="array" aca="1" ref="R1461" ca="1">IFERROR(IF(INDEX('Disaggregation Records'!$G$156:$G$517,MATCH(RIGHT(L1461,255),RIGHT('Disaggregation Records'!$D$156:$D$517,255),0))="","",INDEX('Disaggregation Records'!$G$156:$G$517,MATCH(RIGHT(L1461,255),RIGHT('Disaggregation Records'!$D$156:$D$517,255),0))),"")</f>
        <v>a1LDm000000Cb3EMAS</v>
      </c>
    </row>
    <row r="1462" spans="1:18" ht="20.100000000000001" customHeight="1">
      <c r="A1462" s="126"/>
      <c r="B1462" s="571"/>
      <c r="C1462" s="573"/>
      <c r="D1462" s="575"/>
      <c r="E1462" s="575"/>
      <c r="F1462" s="128"/>
      <c r="G1462" s="577"/>
      <c r="H1462" s="540"/>
      <c r="I1462" s="579"/>
      <c r="J1462" s="533"/>
      <c r="K1462" s="126"/>
      <c r="L1462" s="126"/>
      <c r="M1462" s="126"/>
      <c r="N1462" s="126"/>
      <c r="O1462" s="314"/>
      <c r="P1462" s="314"/>
      <c r="Q1462" s="310"/>
      <c r="R1462" s="314" t="str" cm="1">
        <f t="array" ref="R1462">IFERROR(IF(INDEX('Disaggregation Records'!$G$156:$G$517,MATCH(RIGHT(L1462,255),RIGHT('Disaggregation Records'!$D$156:$D$517,255),0))="","",INDEX('Disaggregation Records'!$G$156:$G$517,MATCH(RIGHT(L1462,255),RIGHT('Disaggregation Records'!$D$156:$D$517,255),0))),"")</f>
        <v/>
      </c>
    </row>
    <row r="1463" spans="1:18" ht="20.100000000000001" customHeight="1">
      <c r="A1463" s="126" t="str">
        <f t="shared" ca="1" si="1652"/>
        <v>a16Dm000000M3wyIAC</v>
      </c>
      <c r="B1463" s="570">
        <v>22</v>
      </c>
      <c r="C1463" s="572" t="str">
        <f ca="1">IFERROR(VLOOKUP(B1463,'Coverage Indicators - Section D'!$A$9:$AO$94,41,FALSE),"")</f>
        <v>HTS-3a Percentage of MSM that have received an HIV test during the reporting period in KP-specific programs and know their results</v>
      </c>
      <c r="D1463" s="574" t="str">
        <f ca="1">M1463</f>
        <v>Age</v>
      </c>
      <c r="E1463" s="574" t="str">
        <f ca="1">N1463</f>
        <v>20-24</v>
      </c>
      <c r="F1463" s="127"/>
      <c r="G1463" s="576" t="str">
        <f ca="1">IF(OR(INDIRECT("'update Helper'!E"&amp;Q1463)="",F1463&lt;&gt;0,F1464&lt;&gt;0),IF(IFERROR((F1463/F1464),"")="","",(F1463/F1464)),INDIRECT("'update Helper'!E"&amp;Q1463)/100)</f>
        <v/>
      </c>
      <c r="H1463" s="539"/>
      <c r="I1463" s="578"/>
      <c r="J1463" s="532" t="s">
        <v>2301</v>
      </c>
      <c r="K1463" s="126">
        <f ca="1">IF(AND(EXACT(C1463,C1461),C1461&lt;&gt;0),K1461+1,0)</f>
        <v>1</v>
      </c>
      <c r="L1463" s="126" t="str">
        <f t="shared" ref="L1463" ca="1" si="1657">IF(C1463&lt;&gt;"",C1463&amp;"-"&amp;K1463,"")</f>
        <v>HTS-3a Percentage of MSM that have received an HIV test during the reporting period in KP-specific programs and know their results-1</v>
      </c>
      <c r="M1463" s="126" t="str">
        <f t="array" aca="1" ref="M1463" ca="1">IFERROR(IF(INDEX('Disaggregation Records'!$E$156:$E$517,MATCH(RIGHT(L1463,255),RIGHT('Disaggregation Records'!$D$156:$D$517,255),0))="","",INDEX('Disaggregation Records'!$E$156:$E$517,MATCH(RIGHT(L1463,255),RIGHT('Disaggregation Records'!$D$156:$D$517,255),0))),"")</f>
        <v>Age</v>
      </c>
      <c r="N1463" s="126" t="str">
        <f t="array" aca="1" ref="N1463" ca="1">IFERROR(IF(INDEX('Disaggregation Records'!$F$156:$F$517,MATCH(RIGHT(L1463,255),RIGHT('Disaggregation Records'!$D$156:$D$517,255),0))="","",INDEX('Disaggregation Records'!$F$156:$F$517,MATCH(RIGHT(L1463,255),RIGHT('Disaggregation Records'!$D$156:$D$517,255),0))),"")</f>
        <v>20-24</v>
      </c>
      <c r="O1463" s="314" t="str">
        <f t="array" aca="1" ref="O1463" ca="1">IFERROR(IF(INDEX('Disaggregation Records'!$H$156:$H$517,MATCH(RIGHT(L1463,255),RIGHT('Disaggregation Records'!$D$156:$D$517,255),0))="","",INDEX('Disaggregation Records'!$H$156:$H$517,MATCH(RIGHT(L1463,255),RIGHT('Disaggregation Records'!$D$156:$D$517,255),0))),"")</f>
        <v>IDR-01269</v>
      </c>
      <c r="P1463" s="314"/>
      <c r="Q1463" s="310">
        <f t="shared" ref="Q1463" si="1658">Q1461+1</f>
        <v>2033</v>
      </c>
      <c r="R1463" s="314" t="str" cm="1">
        <f t="array" aca="1" ref="R1463" ca="1">IFERROR(IF(INDEX('Disaggregation Records'!$G$156:$G$517,MATCH(RIGHT(L1463,255),RIGHT('Disaggregation Records'!$D$156:$D$517,255),0))="","",INDEX('Disaggregation Records'!$G$156:$G$517,MATCH(RIGHT(L1463,255),RIGHT('Disaggregation Records'!$D$156:$D$517,255),0))),"")</f>
        <v>a1LDm000000Cb3DMAS</v>
      </c>
    </row>
    <row r="1464" spans="1:18" ht="20.100000000000001" customHeight="1">
      <c r="B1464" s="571"/>
      <c r="C1464" s="573"/>
      <c r="D1464" s="575"/>
      <c r="E1464" s="575"/>
      <c r="F1464" s="128"/>
      <c r="G1464" s="577"/>
      <c r="H1464" s="540"/>
      <c r="I1464" s="579"/>
      <c r="J1464" s="533"/>
      <c r="K1464" s="126"/>
      <c r="L1464" s="126"/>
      <c r="M1464" s="126"/>
      <c r="N1464" s="126"/>
      <c r="O1464" s="314"/>
      <c r="P1464" s="314"/>
      <c r="Q1464" s="310"/>
      <c r="R1464" s="314" t="str" cm="1">
        <f t="array" ref="R1464">IFERROR(IF(INDEX('Disaggregation Records'!$G$156:$G$517,MATCH(RIGHT(L1464,255),RIGHT('Disaggregation Records'!$D$156:$D$517,255),0))="","",INDEX('Disaggregation Records'!$G$156:$G$517,MATCH(RIGHT(L1464,255),RIGHT('Disaggregation Records'!$D$156:$D$517,255),0))),"")</f>
        <v/>
      </c>
    </row>
    <row r="1465" spans="1:18" ht="20.100000000000001" customHeight="1">
      <c r="A1465" s="126" t="str">
        <f t="shared" ca="1" si="1649"/>
        <v>a16Dm000000M3wzIAC</v>
      </c>
      <c r="B1465" s="570">
        <v>22</v>
      </c>
      <c r="C1465" s="572" t="str">
        <f ca="1">IFERROR(VLOOKUP(B1465,'Coverage Indicators - Section D'!$A$9:$AO$94,41,FALSE),"")</f>
        <v>HTS-3a Percentage of MSM that have received an HIV test during the reporting period in KP-specific programs and know their results</v>
      </c>
      <c r="D1465" s="574" t="str">
        <f ca="1">M1465</f>
        <v>Age</v>
      </c>
      <c r="E1465" s="574" t="str">
        <f ca="1">N1465</f>
        <v>15-19</v>
      </c>
      <c r="F1465" s="127"/>
      <c r="G1465" s="576" t="str">
        <f ca="1">IF(OR(INDIRECT("'update Helper'!E"&amp;Q1465)="",F1465&lt;&gt;0,F1466&lt;&gt;0),IF(IFERROR((F1465/F1466),"")="","",(F1465/F1466)),INDIRECT("'update Helper'!E"&amp;Q1465)/100)</f>
        <v/>
      </c>
      <c r="H1465" s="539"/>
      <c r="I1465" s="578"/>
      <c r="J1465" s="532" t="s">
        <v>2301</v>
      </c>
      <c r="K1465" s="126">
        <f ca="1">IF(AND(EXACT(C1465,C1463),C1463&lt;&gt;0),K1463+1,0)</f>
        <v>2</v>
      </c>
      <c r="L1465" s="126" t="str">
        <f t="shared" ref="L1465" ca="1" si="1659">IF(C1465&lt;&gt;"",C1465&amp;"-"&amp;K1465,"")</f>
        <v>HTS-3a Percentage of MSM that have received an HIV test during the reporting period in KP-specific programs and know their results-2</v>
      </c>
      <c r="M1465" s="126" t="str">
        <f t="array" aca="1" ref="M1465" ca="1">IFERROR(IF(INDEX('Disaggregation Records'!$E$156:$E$517,MATCH(RIGHT(L1465,255),RIGHT('Disaggregation Records'!$D$156:$D$517,255),0))="","",INDEX('Disaggregation Records'!$E$156:$E$517,MATCH(RIGHT(L1465,255),RIGHT('Disaggregation Records'!$D$156:$D$517,255),0))),"")</f>
        <v>Age</v>
      </c>
      <c r="N1465" s="126" t="str">
        <f t="array" aca="1" ref="N1465" ca="1">IFERROR(IF(INDEX('Disaggregation Records'!$F$156:$F$517,MATCH(RIGHT(L1465,255),RIGHT('Disaggregation Records'!$D$156:$D$517,255),0))="","",INDEX('Disaggregation Records'!$F$156:$F$517,MATCH(RIGHT(L1465,255),RIGHT('Disaggregation Records'!$D$156:$D$517,255),0))),"")</f>
        <v>15-19</v>
      </c>
      <c r="O1465" s="314" t="str">
        <f t="array" aca="1" ref="O1465" ca="1">IFERROR(IF(INDEX('Disaggregation Records'!$H$156:$H$517,MATCH(RIGHT(L1465,255),RIGHT('Disaggregation Records'!$D$156:$D$517,255),0))="","",INDEX('Disaggregation Records'!$H$156:$H$517,MATCH(RIGHT(L1465,255),RIGHT('Disaggregation Records'!$D$156:$D$517,255),0))),"")</f>
        <v>IDR-01268</v>
      </c>
      <c r="P1465" s="310"/>
      <c r="Q1465" s="310">
        <f t="shared" ref="Q1465" si="1660">Q1463+1</f>
        <v>2034</v>
      </c>
      <c r="R1465" s="314" t="str" cm="1">
        <f t="array" aca="1" ref="R1465" ca="1">IFERROR(IF(INDEX('Disaggregation Records'!$G$156:$G$517,MATCH(RIGHT(L1465,255),RIGHT('Disaggregation Records'!$D$156:$D$517,255),0))="","",INDEX('Disaggregation Records'!$G$156:$G$517,MATCH(RIGHT(L1465,255),RIGHT('Disaggregation Records'!$D$156:$D$517,255),0))),"")</f>
        <v>a1LDm000000Cb3CMAS</v>
      </c>
    </row>
    <row r="1466" spans="1:18" ht="20.100000000000001" customHeight="1">
      <c r="A1466" s="126"/>
      <c r="B1466" s="571"/>
      <c r="C1466" s="573"/>
      <c r="D1466" s="575"/>
      <c r="E1466" s="575"/>
      <c r="F1466" s="128"/>
      <c r="G1466" s="577"/>
      <c r="H1466" s="540"/>
      <c r="I1466" s="579"/>
      <c r="J1466" s="533"/>
      <c r="L1466" s="126"/>
      <c r="N1466" s="126"/>
      <c r="O1466" s="314"/>
      <c r="P1466" s="310"/>
      <c r="Q1466" s="310"/>
      <c r="R1466" s="314" t="str" cm="1">
        <f t="array" ref="R1466">IFERROR(IF(INDEX('Disaggregation Records'!$G$156:$G$517,MATCH(RIGHT(L1466,255),RIGHT('Disaggregation Records'!$D$156:$D$517,255),0))="","",INDEX('Disaggregation Records'!$G$156:$G$517,MATCH(RIGHT(L1466,255),RIGHT('Disaggregation Records'!$D$156:$D$517,255),0))),"")</f>
        <v/>
      </c>
    </row>
    <row r="1467" spans="1:18" ht="20.100000000000001" customHeight="1">
      <c r="A1467" s="126" t="str">
        <f t="shared" ca="1" si="1652"/>
        <v>a16Dm000000M3x0IAC</v>
      </c>
      <c r="B1467" s="570">
        <v>22</v>
      </c>
      <c r="C1467" s="572" t="str">
        <f ca="1">IFERROR(VLOOKUP(B1467,'Coverage Indicators - Section D'!$A$9:$AO$94,41,FALSE),"")</f>
        <v>HTS-3a Percentage of MSM that have received an HIV test during the reporting period in KP-specific programs and know their results</v>
      </c>
      <c r="D1467" s="574" t="str">
        <f ca="1">M1467</f>
        <v/>
      </c>
      <c r="E1467" s="574" t="str">
        <f ca="1">N1467</f>
        <v/>
      </c>
      <c r="F1467" s="127"/>
      <c r="G1467" s="576" t="str">
        <f ca="1">IF(OR(INDIRECT("'update Helper'!E"&amp;Q1467)="",F1467&lt;&gt;0,F1468&lt;&gt;0),IF(IFERROR((F1467/F1468),"")="","",(F1467/F1468)),INDIRECT("'update Helper'!E"&amp;Q1467)/100)</f>
        <v/>
      </c>
      <c r="H1467" s="539"/>
      <c r="I1467" s="578"/>
      <c r="J1467" s="532"/>
      <c r="K1467" s="126">
        <f ca="1">IF(AND(EXACT(C1467,C1465),C1465&lt;&gt;0),K1465+1,0)</f>
        <v>3</v>
      </c>
      <c r="L1467" s="126" t="str">
        <f t="shared" ref="L1467" ca="1" si="1661">IF(C1467&lt;&gt;"",C1467&amp;"-"&amp;K1467,"")</f>
        <v>HTS-3a Percentage of MSM that have received an HIV test during the reporting period in KP-specific programs and know their results-3</v>
      </c>
      <c r="M1467" s="126" t="str">
        <f t="array" aca="1" ref="M1467" ca="1">IFERROR(IF(INDEX('Disaggregation Records'!$E$156:$E$517,MATCH(RIGHT(L1467,255),RIGHT('Disaggregation Records'!$D$156:$D$517,255),0))="","",INDEX('Disaggregation Records'!$E$156:$E$517,MATCH(RIGHT(L1467,255),RIGHT('Disaggregation Records'!$D$156:$D$517,255),0))),"")</f>
        <v/>
      </c>
      <c r="N1467" s="126" t="str">
        <f t="array" aca="1" ref="N1467" ca="1">IFERROR(IF(INDEX('Disaggregation Records'!$F$156:$F$517,MATCH(RIGHT(L1467,255),RIGHT('Disaggregation Records'!$D$156:$D$517,255),0))="","",INDEX('Disaggregation Records'!$F$156:$F$517,MATCH(RIGHT(L1467,255),RIGHT('Disaggregation Records'!$D$156:$D$517,255),0))),"")</f>
        <v/>
      </c>
      <c r="O1467" s="314" t="str">
        <f t="array" aca="1" ref="O1467" ca="1">IFERROR(IF(INDEX('Disaggregation Records'!$H$156:$H$517,MATCH(RIGHT(L1467,255),RIGHT('Disaggregation Records'!$D$156:$D$517,255),0))="","",INDEX('Disaggregation Records'!$H$156:$H$517,MATCH(RIGHT(L1467,255),RIGHT('Disaggregation Records'!$D$156:$D$517,255),0))),"")</f>
        <v/>
      </c>
      <c r="P1467" s="310"/>
      <c r="Q1467" s="310">
        <f t="shared" ref="Q1467" si="1662">Q1465+1</f>
        <v>2035</v>
      </c>
      <c r="R1467" s="314" t="str" cm="1">
        <f t="array" aca="1" ref="R1467" ca="1">IFERROR(IF(INDEX('Disaggregation Records'!$G$156:$G$517,MATCH(RIGHT(L1467,255),RIGHT('Disaggregation Records'!$D$156:$D$517,255),0))="","",INDEX('Disaggregation Records'!$G$156:$G$517,MATCH(RIGHT(L1467,255),RIGHT('Disaggregation Records'!$D$156:$D$517,255),0))),"")</f>
        <v/>
      </c>
    </row>
    <row r="1468" spans="1:18" ht="20.100000000000001" customHeight="1">
      <c r="B1468" s="571"/>
      <c r="C1468" s="573"/>
      <c r="D1468" s="575"/>
      <c r="E1468" s="575"/>
      <c r="F1468" s="128"/>
      <c r="G1468" s="577"/>
      <c r="H1468" s="540"/>
      <c r="I1468" s="579"/>
      <c r="J1468" s="533"/>
      <c r="L1468" s="126"/>
      <c r="N1468" s="126"/>
      <c r="O1468" s="314"/>
      <c r="P1468" s="310"/>
      <c r="Q1468" s="310"/>
      <c r="R1468" s="314" t="str" cm="1">
        <f t="array" ref="R1468">IFERROR(IF(INDEX('Disaggregation Records'!$G$156:$G$517,MATCH(RIGHT(L1468,255),RIGHT('Disaggregation Records'!$D$156:$D$517,255),0))="","",INDEX('Disaggregation Records'!$G$156:$G$517,MATCH(RIGHT(L1468,255),RIGHT('Disaggregation Records'!$D$156:$D$517,255),0))),"")</f>
        <v/>
      </c>
    </row>
    <row r="1469" spans="1:18" ht="20.100000000000001" customHeight="1">
      <c r="A1469" s="126" t="str">
        <f t="shared" ca="1" si="1649"/>
        <v>a16Dm000000M3x1IAC</v>
      </c>
      <c r="B1469" s="570">
        <v>22</v>
      </c>
      <c r="C1469" s="572" t="str">
        <f ca="1">IFERROR(VLOOKUP(B1469,'Coverage Indicators - Section D'!$A$9:$AO$94,41,FALSE),"")</f>
        <v>HTS-3a Percentage of MSM that have received an HIV test during the reporting period in KP-specific programs and know their results</v>
      </c>
      <c r="D1469" s="574" t="str">
        <f ca="1">M1469</f>
        <v/>
      </c>
      <c r="E1469" s="574" t="str">
        <f ca="1">N1469</f>
        <v/>
      </c>
      <c r="F1469" s="127"/>
      <c r="G1469" s="576" t="str">
        <f ca="1">IF(OR(INDIRECT("'update Helper'!E"&amp;Q1469)="",F1469&lt;&gt;0,F1470&lt;&gt;0),IF(IFERROR((F1469/F1470),"")="","",(F1469/F1470)),INDIRECT("'update Helper'!E"&amp;Q1469)/100)</f>
        <v/>
      </c>
      <c r="H1469" s="539"/>
      <c r="I1469" s="578"/>
      <c r="J1469" s="532"/>
      <c r="K1469" s="126">
        <f ca="1">IF(AND(EXACT(C1469,C1467),C1467&lt;&gt;0),K1467+1,0)</f>
        <v>4</v>
      </c>
      <c r="L1469" s="126" t="str">
        <f t="shared" ref="L1469" ca="1" si="1663">IF(C1469&lt;&gt;"",C1469&amp;"-"&amp;K1469,"")</f>
        <v>HTS-3a Percentage of MSM that have received an HIV test during the reporting period in KP-specific programs and know their results-4</v>
      </c>
      <c r="M1469" s="126" t="str">
        <f t="array" aca="1" ref="M1469" ca="1">IFERROR(IF(INDEX('Disaggregation Records'!$E$156:$E$517,MATCH(RIGHT(L1469,255),RIGHT('Disaggregation Records'!$D$156:$D$517,255),0))="","",INDEX('Disaggregation Records'!$E$156:$E$517,MATCH(RIGHT(L1469,255),RIGHT('Disaggregation Records'!$D$156:$D$517,255),0))),"")</f>
        <v/>
      </c>
      <c r="N1469" s="126" t="str">
        <f t="array" aca="1" ref="N1469" ca="1">IFERROR(IF(INDEX('Disaggregation Records'!$F$156:$F$517,MATCH(RIGHT(L1469,255),RIGHT('Disaggregation Records'!$D$156:$D$517,255),0))="","",INDEX('Disaggregation Records'!$F$156:$F$517,MATCH(RIGHT(L1469,255),RIGHT('Disaggregation Records'!$D$156:$D$517,255),0))),"")</f>
        <v/>
      </c>
      <c r="O1469" s="314" t="str">
        <f t="array" aca="1" ref="O1469" ca="1">IFERROR(IF(INDEX('Disaggregation Records'!$H$156:$H$517,MATCH(RIGHT(L1469,255),RIGHT('Disaggregation Records'!$D$156:$D$517,255),0))="","",INDEX('Disaggregation Records'!$H$156:$H$517,MATCH(RIGHT(L1469,255),RIGHT('Disaggregation Records'!$D$156:$D$517,255),0))),"")</f>
        <v/>
      </c>
      <c r="P1469" s="310"/>
      <c r="Q1469" s="310">
        <f t="shared" ref="Q1469" si="1664">Q1467+1</f>
        <v>2036</v>
      </c>
      <c r="R1469" s="314" t="str" cm="1">
        <f t="array" aca="1" ref="R1469" ca="1">IFERROR(IF(INDEX('Disaggregation Records'!$G$156:$G$517,MATCH(RIGHT(L1469,255),RIGHT('Disaggregation Records'!$D$156:$D$517,255),0))="","",INDEX('Disaggregation Records'!$G$156:$G$517,MATCH(RIGHT(L1469,255),RIGHT('Disaggregation Records'!$D$156:$D$517,255),0))),"")</f>
        <v/>
      </c>
    </row>
    <row r="1470" spans="1:18" ht="20.100000000000001" customHeight="1">
      <c r="A1470" s="126"/>
      <c r="B1470" s="571"/>
      <c r="C1470" s="573"/>
      <c r="D1470" s="575"/>
      <c r="E1470" s="575"/>
      <c r="F1470" s="128"/>
      <c r="G1470" s="577"/>
      <c r="H1470" s="540"/>
      <c r="I1470" s="579"/>
      <c r="J1470" s="533"/>
      <c r="L1470" s="126"/>
      <c r="N1470" s="126"/>
      <c r="O1470" s="314"/>
      <c r="P1470" s="310"/>
      <c r="Q1470" s="310"/>
      <c r="R1470" s="314" t="str" cm="1">
        <f t="array" ref="R1470">IFERROR(IF(INDEX('Disaggregation Records'!$G$156:$G$517,MATCH(RIGHT(L1470,255),RIGHT('Disaggregation Records'!$D$156:$D$517,255),0))="","",INDEX('Disaggregation Records'!$G$156:$G$517,MATCH(RIGHT(L1470,255),RIGHT('Disaggregation Records'!$D$156:$D$517,255),0))),"")</f>
        <v/>
      </c>
    </row>
    <row r="1471" spans="1:18" ht="20.100000000000001" customHeight="1">
      <c r="A1471" s="126" t="str">
        <f t="shared" ca="1" si="1652"/>
        <v>a16Dm000000M3x2IAC</v>
      </c>
      <c r="B1471" s="570">
        <v>22</v>
      </c>
      <c r="C1471" s="572" t="str">
        <f ca="1">IFERROR(VLOOKUP(B1471,'Coverage Indicators - Section D'!$A$9:$AO$94,41,FALSE),"")</f>
        <v>HTS-3a Percentage of MSM that have received an HIV test during the reporting period in KP-specific programs and know their results</v>
      </c>
      <c r="D1471" s="574" t="str">
        <f ca="1">M1471</f>
        <v/>
      </c>
      <c r="E1471" s="574" t="str">
        <f ca="1">N1471</f>
        <v/>
      </c>
      <c r="F1471" s="127"/>
      <c r="G1471" s="576" t="str">
        <f ca="1">IF(OR(INDIRECT("'update Helper'!E"&amp;Q1471)="",F1471&lt;&gt;0,F1472&lt;&gt;0),IF(IFERROR((F1471/F1472),"")="","",(F1471/F1472)),INDIRECT("'update Helper'!E"&amp;Q1471)/100)</f>
        <v/>
      </c>
      <c r="H1471" s="539"/>
      <c r="I1471" s="578"/>
      <c r="J1471" s="532"/>
      <c r="K1471" s="126">
        <f ca="1">IF(AND(EXACT(C1471,C1469),C1469&lt;&gt;0),K1469+1,0)</f>
        <v>5</v>
      </c>
      <c r="L1471" s="126" t="str">
        <f t="shared" ref="L1471" ca="1" si="1665">IF(C1471&lt;&gt;"",C1471&amp;"-"&amp;K1471,"")</f>
        <v>HTS-3a Percentage of MSM that have received an HIV test during the reporting period in KP-specific programs and know their results-5</v>
      </c>
      <c r="M1471" s="126" t="str">
        <f t="array" aca="1" ref="M1471" ca="1">IFERROR(IF(INDEX('Disaggregation Records'!$E$156:$E$517,MATCH(RIGHT(L1471,255),RIGHT('Disaggregation Records'!$D$156:$D$517,255),0))="","",INDEX('Disaggregation Records'!$E$156:$E$517,MATCH(RIGHT(L1471,255),RIGHT('Disaggregation Records'!$D$156:$D$517,255),0))),"")</f>
        <v/>
      </c>
      <c r="N1471" s="126" t="str">
        <f t="array" aca="1" ref="N1471" ca="1">IFERROR(IF(INDEX('Disaggregation Records'!$F$156:$F$517,MATCH(RIGHT(L1471,255),RIGHT('Disaggregation Records'!$D$156:$D$517,255),0))="","",INDEX('Disaggregation Records'!$F$156:$F$517,MATCH(RIGHT(L1471,255),RIGHT('Disaggregation Records'!$D$156:$D$517,255),0))),"")</f>
        <v/>
      </c>
      <c r="O1471" s="314" t="str">
        <f t="array" aca="1" ref="O1471" ca="1">IFERROR(IF(INDEX('Disaggregation Records'!$H$156:$H$517,MATCH(RIGHT(L1471,255),RIGHT('Disaggregation Records'!$D$156:$D$517,255),0))="","",INDEX('Disaggregation Records'!$H$156:$H$517,MATCH(RIGHT(L1471,255),RIGHT('Disaggregation Records'!$D$156:$D$517,255),0))),"")</f>
        <v/>
      </c>
      <c r="P1471" s="314"/>
      <c r="Q1471" s="310">
        <f t="shared" ref="Q1471" si="1666">Q1469+1</f>
        <v>2037</v>
      </c>
      <c r="R1471" s="314" t="str" cm="1">
        <f t="array" aca="1" ref="R1471" ca="1">IFERROR(IF(INDEX('Disaggregation Records'!$G$156:$G$517,MATCH(RIGHT(L1471,255),RIGHT('Disaggregation Records'!$D$156:$D$517,255),0))="","",INDEX('Disaggregation Records'!$G$156:$G$517,MATCH(RIGHT(L1471,255),RIGHT('Disaggregation Records'!$D$156:$D$517,255),0))),"")</f>
        <v/>
      </c>
    </row>
    <row r="1472" spans="1:18" ht="20.100000000000001" customHeight="1">
      <c r="B1472" s="571"/>
      <c r="C1472" s="573"/>
      <c r="D1472" s="575"/>
      <c r="E1472" s="575"/>
      <c r="F1472" s="128"/>
      <c r="G1472" s="577"/>
      <c r="H1472" s="540"/>
      <c r="I1472" s="579"/>
      <c r="J1472" s="533"/>
      <c r="K1472" s="126"/>
      <c r="L1472" s="126"/>
      <c r="M1472" s="126"/>
      <c r="N1472" s="126"/>
      <c r="O1472" s="314"/>
      <c r="P1472" s="314"/>
      <c r="Q1472" s="310"/>
      <c r="R1472" s="314" t="str" cm="1">
        <f t="array" ref="R1472">IFERROR(IF(INDEX('Disaggregation Records'!$G$156:$G$517,MATCH(RIGHT(L1472,255),RIGHT('Disaggregation Records'!$D$156:$D$517,255),0))="","",INDEX('Disaggregation Records'!$G$156:$G$517,MATCH(RIGHT(L1472,255),RIGHT('Disaggregation Records'!$D$156:$D$517,255),0))),"")</f>
        <v/>
      </c>
    </row>
    <row r="1473" spans="1:18" ht="20.100000000000001" customHeight="1">
      <c r="A1473" s="126" t="str">
        <f t="shared" ca="1" si="1649"/>
        <v>a16Dm000000M3x3IAC</v>
      </c>
      <c r="B1473" s="570">
        <v>22</v>
      </c>
      <c r="C1473" s="572" t="str">
        <f ca="1">IFERROR(VLOOKUP(B1473,'Coverage Indicators - Section D'!$A$9:$AO$94,41,FALSE),"")</f>
        <v>HTS-3a Percentage of MSM that have received an HIV test during the reporting period in KP-specific programs and know their results</v>
      </c>
      <c r="D1473" s="574" t="str">
        <f ca="1">M1473</f>
        <v/>
      </c>
      <c r="E1473" s="574" t="str">
        <f ca="1">N1473</f>
        <v/>
      </c>
      <c r="F1473" s="127"/>
      <c r="G1473" s="576" t="str">
        <f ca="1">IF(OR(INDIRECT("'update Helper'!E"&amp;Q1473)="",F1473&lt;&gt;0,F1474&lt;&gt;0),IF(IFERROR((F1473/F1474),"")="","",(F1473/F1474)),INDIRECT("'update Helper'!E"&amp;Q1473)/100)</f>
        <v/>
      </c>
      <c r="H1473" s="539"/>
      <c r="I1473" s="578"/>
      <c r="J1473" s="532"/>
      <c r="K1473" s="126">
        <f ca="1">IF(AND(EXACT(C1473,C1471),C1471&lt;&gt;0),K1471+1,0)</f>
        <v>6</v>
      </c>
      <c r="L1473" s="126" t="str">
        <f t="shared" ref="L1473" ca="1" si="1667">IF(C1473&lt;&gt;"",C1473&amp;"-"&amp;K1473,"")</f>
        <v>HTS-3a Percentage of MSM that have received an HIV test during the reporting period in KP-specific programs and know their results-6</v>
      </c>
      <c r="M1473" s="126" t="str">
        <f t="array" aca="1" ref="M1473" ca="1">IFERROR(IF(INDEX('Disaggregation Records'!$E$156:$E$517,MATCH(RIGHT(L1473,255),RIGHT('Disaggregation Records'!$D$156:$D$517,255),0))="","",INDEX('Disaggregation Records'!$E$156:$E$517,MATCH(RIGHT(L1473,255),RIGHT('Disaggregation Records'!$D$156:$D$517,255),0))),"")</f>
        <v/>
      </c>
      <c r="N1473" s="126" t="str">
        <f t="array" aca="1" ref="N1473" ca="1">IFERROR(IF(INDEX('Disaggregation Records'!$F$156:$F$517,MATCH(RIGHT(L1473,255),RIGHT('Disaggregation Records'!$D$156:$D$517,255),0))="","",INDEX('Disaggregation Records'!$F$156:$F$517,MATCH(RIGHT(L1473,255),RIGHT('Disaggregation Records'!$D$156:$D$517,255),0))),"")</f>
        <v/>
      </c>
      <c r="O1473" s="314" t="str">
        <f t="array" aca="1" ref="O1473" ca="1">IFERROR(IF(INDEX('Disaggregation Records'!$H$156:$H$517,MATCH(RIGHT(L1473,255),RIGHT('Disaggregation Records'!$D$156:$D$517,255),0))="","",INDEX('Disaggregation Records'!$H$156:$H$517,MATCH(RIGHT(L1473,255),RIGHT('Disaggregation Records'!$D$156:$D$517,255),0))),"")</f>
        <v/>
      </c>
      <c r="P1473" s="314"/>
      <c r="Q1473" s="310">
        <f t="shared" ref="Q1473" si="1668">Q1471+1</f>
        <v>2038</v>
      </c>
      <c r="R1473" s="314" t="str" cm="1">
        <f t="array" aca="1" ref="R1473" ca="1">IFERROR(IF(INDEX('Disaggregation Records'!$G$156:$G$517,MATCH(RIGHT(L1473,255),RIGHT('Disaggregation Records'!$D$156:$D$517,255),0))="","",INDEX('Disaggregation Records'!$G$156:$G$517,MATCH(RIGHT(L1473,255),RIGHT('Disaggregation Records'!$D$156:$D$517,255),0))),"")</f>
        <v/>
      </c>
    </row>
    <row r="1474" spans="1:18" ht="20.100000000000001" customHeight="1">
      <c r="A1474" s="126"/>
      <c r="B1474" s="571"/>
      <c r="C1474" s="573"/>
      <c r="D1474" s="575"/>
      <c r="E1474" s="575"/>
      <c r="F1474" s="128"/>
      <c r="G1474" s="577"/>
      <c r="H1474" s="540"/>
      <c r="I1474" s="579"/>
      <c r="J1474" s="533"/>
      <c r="K1474" s="126"/>
      <c r="L1474" s="126"/>
      <c r="M1474" s="126"/>
      <c r="N1474" s="126"/>
      <c r="O1474" s="314"/>
      <c r="P1474" s="314"/>
      <c r="Q1474" s="310"/>
      <c r="R1474" s="314" t="str" cm="1">
        <f t="array" ref="R1474">IFERROR(IF(INDEX('Disaggregation Records'!$G$156:$G$517,MATCH(RIGHT(L1474,255),RIGHT('Disaggregation Records'!$D$156:$D$517,255),0))="","",INDEX('Disaggregation Records'!$G$156:$G$517,MATCH(RIGHT(L1474,255),RIGHT('Disaggregation Records'!$D$156:$D$517,255),0))),"")</f>
        <v/>
      </c>
    </row>
    <row r="1475" spans="1:18" ht="20.100000000000001" customHeight="1">
      <c r="A1475" s="126" t="str">
        <f t="shared" ca="1" si="1652"/>
        <v>a16Dm000000M3x4IAC</v>
      </c>
      <c r="B1475" s="570">
        <v>22</v>
      </c>
      <c r="C1475" s="572" t="str">
        <f ca="1">IFERROR(VLOOKUP(B1475,'Coverage Indicators - Section D'!$A$9:$AO$94,41,FALSE),"")</f>
        <v>HTS-3a Percentage of MSM that have received an HIV test during the reporting period in KP-specific programs and know their results</v>
      </c>
      <c r="D1475" s="574" t="str">
        <f ca="1">M1475</f>
        <v/>
      </c>
      <c r="E1475" s="574" t="str">
        <f ca="1">N1475</f>
        <v/>
      </c>
      <c r="F1475" s="127"/>
      <c r="G1475" s="576" t="str">
        <f ca="1">IF(OR(INDIRECT("'update Helper'!E"&amp;Q1475)="",F1475&lt;&gt;0,F1476&lt;&gt;0),IF(IFERROR((F1475/F1476),"")="","",(F1475/F1476)),INDIRECT("'update Helper'!E"&amp;Q1475)/100)</f>
        <v/>
      </c>
      <c r="H1475" s="539"/>
      <c r="I1475" s="578"/>
      <c r="J1475" s="532"/>
      <c r="K1475" s="126">
        <f ca="1">IF(AND(EXACT(C1475,C1473),C1473&lt;&gt;0),K1473+1,0)</f>
        <v>7</v>
      </c>
      <c r="L1475" s="126" t="str">
        <f t="shared" ref="L1475" ca="1" si="1669">IF(C1475&lt;&gt;"",C1475&amp;"-"&amp;K1475,"")</f>
        <v>HTS-3a Percentage of MSM that have received an HIV test during the reporting period in KP-specific programs and know their results-7</v>
      </c>
      <c r="M1475" s="126" t="str">
        <f t="array" aca="1" ref="M1475" ca="1">IFERROR(IF(INDEX('Disaggregation Records'!$E$156:$E$517,MATCH(RIGHT(L1475,255),RIGHT('Disaggregation Records'!$D$156:$D$517,255),0))="","",INDEX('Disaggregation Records'!$E$156:$E$517,MATCH(RIGHT(L1475,255),RIGHT('Disaggregation Records'!$D$156:$D$517,255),0))),"")</f>
        <v/>
      </c>
      <c r="N1475" s="126" t="str">
        <f t="array" aca="1" ref="N1475" ca="1">IFERROR(IF(INDEX('Disaggregation Records'!$F$156:$F$517,MATCH(RIGHT(L1475,255),RIGHT('Disaggregation Records'!$D$156:$D$517,255),0))="","",INDEX('Disaggregation Records'!$F$156:$F$517,MATCH(RIGHT(L1475,255),RIGHT('Disaggregation Records'!$D$156:$D$517,255),0))),"")</f>
        <v/>
      </c>
      <c r="O1475" s="314" t="str">
        <f t="array" aca="1" ref="O1475" ca="1">IFERROR(IF(INDEX('Disaggregation Records'!$H$156:$H$517,MATCH(RIGHT(L1475,255),RIGHT('Disaggregation Records'!$D$156:$D$517,255),0))="","",INDEX('Disaggregation Records'!$H$156:$H$517,MATCH(RIGHT(L1475,255),RIGHT('Disaggregation Records'!$D$156:$D$517,255),0))),"")</f>
        <v/>
      </c>
      <c r="P1475" s="310"/>
      <c r="Q1475" s="310">
        <f t="shared" ref="Q1475" si="1670">Q1473+1</f>
        <v>2039</v>
      </c>
      <c r="R1475" s="314" t="str" cm="1">
        <f t="array" aca="1" ref="R1475" ca="1">IFERROR(IF(INDEX('Disaggregation Records'!$G$156:$G$517,MATCH(RIGHT(L1475,255),RIGHT('Disaggregation Records'!$D$156:$D$517,255),0))="","",INDEX('Disaggregation Records'!$G$156:$G$517,MATCH(RIGHT(L1475,255),RIGHT('Disaggregation Records'!$D$156:$D$517,255),0))),"")</f>
        <v/>
      </c>
    </row>
    <row r="1476" spans="1:18" ht="20.100000000000001" customHeight="1">
      <c r="B1476" s="571"/>
      <c r="C1476" s="573"/>
      <c r="D1476" s="575"/>
      <c r="E1476" s="575"/>
      <c r="F1476" s="128"/>
      <c r="G1476" s="577"/>
      <c r="H1476" s="540"/>
      <c r="I1476" s="579"/>
      <c r="J1476" s="533"/>
      <c r="L1476" s="126"/>
      <c r="N1476" s="126"/>
      <c r="O1476" s="314"/>
      <c r="P1476" s="310"/>
      <c r="Q1476" s="310"/>
      <c r="R1476" s="314" t="str" cm="1">
        <f t="array" ref="R1476">IFERROR(IF(INDEX('Disaggregation Records'!$G$156:$G$517,MATCH(RIGHT(L1476,255),RIGHT('Disaggregation Records'!$D$156:$D$517,255),0))="","",INDEX('Disaggregation Records'!$G$156:$G$517,MATCH(RIGHT(L1476,255),RIGHT('Disaggregation Records'!$D$156:$D$517,255),0))),"")</f>
        <v/>
      </c>
    </row>
    <row r="1477" spans="1:18" ht="20.100000000000001" customHeight="1">
      <c r="A1477" s="126" t="str">
        <f t="shared" ca="1" si="1649"/>
        <v>a16Dm000000M3x5IAC</v>
      </c>
      <c r="B1477" s="570">
        <v>22</v>
      </c>
      <c r="C1477" s="572" t="str">
        <f ca="1">IFERROR(VLOOKUP(B1477,'Coverage Indicators - Section D'!$A$9:$AO$94,41,FALSE),"")</f>
        <v>HTS-3a Percentage of MSM that have received an HIV test during the reporting period in KP-specific programs and know their results</v>
      </c>
      <c r="D1477" s="574" t="str">
        <f ca="1">M1477</f>
        <v/>
      </c>
      <c r="E1477" s="574" t="str">
        <f ca="1">N1477</f>
        <v/>
      </c>
      <c r="F1477" s="127"/>
      <c r="G1477" s="576" t="str">
        <f ca="1">IF(OR(INDIRECT("'update Helper'!E"&amp;Q1477)="",F1477&lt;&gt;0,F1478&lt;&gt;0),IF(IFERROR((F1477/F1478),"")="","",(F1477/F1478)),INDIRECT("'update Helper'!E"&amp;Q1477)/100)</f>
        <v/>
      </c>
      <c r="H1477" s="539"/>
      <c r="I1477" s="578"/>
      <c r="J1477" s="532"/>
      <c r="K1477" s="126">
        <f ca="1">IF(AND(EXACT(C1477,C1475),C1475&lt;&gt;0),K1475+1,0)</f>
        <v>8</v>
      </c>
      <c r="L1477" s="126" t="str">
        <f t="shared" ref="L1477" ca="1" si="1671">IF(C1477&lt;&gt;"",C1477&amp;"-"&amp;K1477,"")</f>
        <v>HTS-3a Percentage of MSM that have received an HIV test during the reporting period in KP-specific programs and know their results-8</v>
      </c>
      <c r="M1477" s="126" t="str">
        <f t="array" aca="1" ref="M1477" ca="1">IFERROR(IF(INDEX('Disaggregation Records'!$E$156:$E$517,MATCH(RIGHT(L1477,255),RIGHT('Disaggregation Records'!$D$156:$D$517,255),0))="","",INDEX('Disaggregation Records'!$E$156:$E$517,MATCH(RIGHT(L1477,255),RIGHT('Disaggregation Records'!$D$156:$D$517,255),0))),"")</f>
        <v/>
      </c>
      <c r="N1477" s="126" t="str">
        <f t="array" aca="1" ref="N1477" ca="1">IFERROR(IF(INDEX('Disaggregation Records'!$F$156:$F$517,MATCH(RIGHT(L1477,255),RIGHT('Disaggregation Records'!$D$156:$D$517,255),0))="","",INDEX('Disaggregation Records'!$F$156:$F$517,MATCH(RIGHT(L1477,255),RIGHT('Disaggregation Records'!$D$156:$D$517,255),0))),"")</f>
        <v/>
      </c>
      <c r="O1477" s="314" t="str">
        <f t="array" aca="1" ref="O1477" ca="1">IFERROR(IF(INDEX('Disaggregation Records'!$H$156:$H$517,MATCH(RIGHT(L1477,255),RIGHT('Disaggregation Records'!$D$156:$D$517,255),0))="","",INDEX('Disaggregation Records'!$H$156:$H$517,MATCH(RIGHT(L1477,255),RIGHT('Disaggregation Records'!$D$156:$D$517,255),0))),"")</f>
        <v/>
      </c>
      <c r="P1477" s="310"/>
      <c r="Q1477" s="310">
        <f t="shared" ref="Q1477" si="1672">Q1475+1</f>
        <v>2040</v>
      </c>
      <c r="R1477" s="314" t="str" cm="1">
        <f t="array" aca="1" ref="R1477" ca="1">IFERROR(IF(INDEX('Disaggregation Records'!$G$156:$G$517,MATCH(RIGHT(L1477,255),RIGHT('Disaggregation Records'!$D$156:$D$517,255),0))="","",INDEX('Disaggregation Records'!$G$156:$G$517,MATCH(RIGHT(L1477,255),RIGHT('Disaggregation Records'!$D$156:$D$517,255),0))),"")</f>
        <v/>
      </c>
    </row>
    <row r="1478" spans="1:18" ht="20.100000000000001" customHeight="1">
      <c r="A1478" s="126"/>
      <c r="B1478" s="571"/>
      <c r="C1478" s="573"/>
      <c r="D1478" s="575"/>
      <c r="E1478" s="575"/>
      <c r="F1478" s="128"/>
      <c r="G1478" s="577"/>
      <c r="H1478" s="540"/>
      <c r="I1478" s="579"/>
      <c r="J1478" s="533"/>
      <c r="L1478" s="126"/>
      <c r="N1478" s="126"/>
      <c r="O1478" s="314"/>
      <c r="P1478" s="310"/>
      <c r="Q1478" s="310"/>
      <c r="R1478" s="314" t="str" cm="1">
        <f t="array" ref="R1478">IFERROR(IF(INDEX('Disaggregation Records'!$G$156:$G$517,MATCH(RIGHT(L1478,255),RIGHT('Disaggregation Records'!$D$156:$D$517,255),0))="","",INDEX('Disaggregation Records'!$G$156:$G$517,MATCH(RIGHT(L1478,255),RIGHT('Disaggregation Records'!$D$156:$D$517,255),0))),"")</f>
        <v/>
      </c>
    </row>
    <row r="1479" spans="1:18" ht="20.100000000000001" customHeight="1">
      <c r="A1479" s="126" t="str">
        <f t="shared" ca="1" si="1652"/>
        <v>a16Dm000000M3x6IAC</v>
      </c>
      <c r="B1479" s="570">
        <v>22</v>
      </c>
      <c r="C1479" s="572" t="str">
        <f ca="1">IFERROR(VLOOKUP(B1479,'Coverage Indicators - Section D'!$A$9:$AO$94,41,FALSE),"")</f>
        <v>HTS-3a Percentage of MSM that have received an HIV test during the reporting period in KP-specific programs and know their results</v>
      </c>
      <c r="D1479" s="574" t="str">
        <f ca="1">M1479</f>
        <v/>
      </c>
      <c r="E1479" s="574" t="str">
        <f ca="1">N1479</f>
        <v/>
      </c>
      <c r="F1479" s="127"/>
      <c r="G1479" s="576" t="str">
        <f ca="1">IF(OR(INDIRECT("'update Helper'!E"&amp;Q1479)="",F1479&lt;&gt;0,F1480&lt;&gt;0),IF(IFERROR((F1479/F1480),"")="","",(F1479/F1480)),INDIRECT("'update Helper'!E"&amp;Q1479)/100)</f>
        <v/>
      </c>
      <c r="H1479" s="539"/>
      <c r="I1479" s="578"/>
      <c r="J1479" s="532"/>
      <c r="K1479" s="126">
        <f ca="1">IF(AND(EXACT(C1479,C1477),C1477&lt;&gt;0),K1477+1,0)</f>
        <v>9</v>
      </c>
      <c r="L1479" s="126" t="str">
        <f t="shared" ref="L1479" ca="1" si="1673">IF(C1479&lt;&gt;"",C1479&amp;"-"&amp;K1479,"")</f>
        <v>HTS-3a Percentage of MSM that have received an HIV test during the reporting period in KP-specific programs and know their results-9</v>
      </c>
      <c r="M1479" s="126" t="str">
        <f t="array" aca="1" ref="M1479" ca="1">IFERROR(IF(INDEX('Disaggregation Records'!$E$156:$E$517,MATCH(RIGHT(L1479,255),RIGHT('Disaggregation Records'!$D$156:$D$517,255),0))="","",INDEX('Disaggregation Records'!$E$156:$E$517,MATCH(RIGHT(L1479,255),RIGHT('Disaggregation Records'!$D$156:$D$517,255),0))),"")</f>
        <v/>
      </c>
      <c r="N1479" s="126" t="str">
        <f t="array" aca="1" ref="N1479" ca="1">IFERROR(IF(INDEX('Disaggregation Records'!$F$156:$F$517,MATCH(RIGHT(L1479,255),RIGHT('Disaggregation Records'!$D$156:$D$517,255),0))="","",INDEX('Disaggregation Records'!$F$156:$F$517,MATCH(RIGHT(L1479,255),RIGHT('Disaggregation Records'!$D$156:$D$517,255),0))),"")</f>
        <v/>
      </c>
      <c r="O1479" s="314" t="str">
        <f t="array" aca="1" ref="O1479" ca="1">IFERROR(IF(INDEX('Disaggregation Records'!$H$156:$H$517,MATCH(RIGHT(L1479,255),RIGHT('Disaggregation Records'!$D$156:$D$517,255),0))="","",INDEX('Disaggregation Records'!$H$156:$H$517,MATCH(RIGHT(L1479,255),RIGHT('Disaggregation Records'!$D$156:$D$517,255),0))),"")</f>
        <v/>
      </c>
      <c r="P1479" s="310"/>
      <c r="Q1479" s="310">
        <f t="shared" ref="Q1479" si="1674">Q1477+1</f>
        <v>2041</v>
      </c>
      <c r="R1479" s="314" t="str" cm="1">
        <f t="array" aca="1" ref="R1479" ca="1">IFERROR(IF(INDEX('Disaggregation Records'!$G$156:$G$517,MATCH(RIGHT(L1479,255),RIGHT('Disaggregation Records'!$D$156:$D$517,255),0))="","",INDEX('Disaggregation Records'!$G$156:$G$517,MATCH(RIGHT(L1479,255),RIGHT('Disaggregation Records'!$D$156:$D$517,255),0))),"")</f>
        <v/>
      </c>
    </row>
    <row r="1480" spans="1:18" ht="20.100000000000001" customHeight="1">
      <c r="B1480" s="571"/>
      <c r="C1480" s="573"/>
      <c r="D1480" s="575"/>
      <c r="E1480" s="575"/>
      <c r="F1480" s="128"/>
      <c r="G1480" s="577"/>
      <c r="H1480" s="540"/>
      <c r="I1480" s="579"/>
      <c r="J1480" s="533"/>
      <c r="L1480" s="126"/>
      <c r="N1480" s="126"/>
      <c r="O1480" s="314"/>
      <c r="P1480" s="310"/>
      <c r="Q1480" s="310"/>
      <c r="R1480" s="314" t="str" cm="1">
        <f t="array" ref="R1480">IFERROR(IF(INDEX('Disaggregation Records'!$G$156:$G$517,MATCH(RIGHT(L1480,255),RIGHT('Disaggregation Records'!$D$156:$D$517,255),0))="","",INDEX('Disaggregation Records'!$G$156:$G$517,MATCH(RIGHT(L1480,255),RIGHT('Disaggregation Records'!$D$156:$D$517,255),0))),"")</f>
        <v/>
      </c>
    </row>
    <row r="1481" spans="1:18" ht="20.100000000000001" customHeight="1">
      <c r="A1481" s="126" t="str">
        <f t="shared" ca="1" si="1649"/>
        <v>a16Dm000000M3x7IAC</v>
      </c>
      <c r="B1481" s="570">
        <v>22</v>
      </c>
      <c r="C1481" s="572" t="str">
        <f ca="1">IFERROR(VLOOKUP(B1481,'Coverage Indicators - Section D'!$A$9:$AO$94,41,FALSE),"")</f>
        <v>HTS-3a Percentage of MSM that have received an HIV test during the reporting period in KP-specific programs and know their results</v>
      </c>
      <c r="D1481" s="574" t="str">
        <f ca="1">M1481</f>
        <v/>
      </c>
      <c r="E1481" s="574" t="str">
        <f ca="1">N1481</f>
        <v/>
      </c>
      <c r="F1481" s="127"/>
      <c r="G1481" s="576" t="str">
        <f ca="1">IF(OR(INDIRECT("'update Helper'!E"&amp;Q1481)="",F1481&lt;&gt;0,F1482&lt;&gt;0),IF(IFERROR((F1481/F1482),"")="","",(F1481/F1482)),INDIRECT("'update Helper'!E"&amp;Q1481)/100)</f>
        <v/>
      </c>
      <c r="H1481" s="539"/>
      <c r="I1481" s="578"/>
      <c r="J1481" s="532"/>
      <c r="K1481" s="126">
        <f ca="1">IF(AND(EXACT(C1481,C1479),C1479&lt;&gt;0),K1479+1,0)</f>
        <v>10</v>
      </c>
      <c r="L1481" s="126" t="str">
        <f t="shared" ref="L1481" ca="1" si="1675">IF(C1481&lt;&gt;"",C1481&amp;"-"&amp;K1481,"")</f>
        <v>HTS-3a Percentage of MSM that have received an HIV test during the reporting period in KP-specific programs and know their results-10</v>
      </c>
      <c r="M1481" s="126" t="str">
        <f t="array" aca="1" ref="M1481" ca="1">IFERROR(IF(INDEX('Disaggregation Records'!$E$156:$E$517,MATCH(RIGHT(L1481,255),RIGHT('Disaggregation Records'!$D$156:$D$517,255),0))="","",INDEX('Disaggregation Records'!$E$156:$E$517,MATCH(RIGHT(L1481,255),RIGHT('Disaggregation Records'!$D$156:$D$517,255),0))),"")</f>
        <v/>
      </c>
      <c r="N1481" s="126" t="str">
        <f t="array" aca="1" ref="N1481" ca="1">IFERROR(IF(INDEX('Disaggregation Records'!$F$156:$F$517,MATCH(RIGHT(L1481,255),RIGHT('Disaggregation Records'!$D$156:$D$517,255),0))="","",INDEX('Disaggregation Records'!$F$156:$F$517,MATCH(RIGHT(L1481,255),RIGHT('Disaggregation Records'!$D$156:$D$517,255),0))),"")</f>
        <v/>
      </c>
      <c r="O1481" s="314" t="str">
        <f t="array" aca="1" ref="O1481" ca="1">IFERROR(IF(INDEX('Disaggregation Records'!$H$156:$H$517,MATCH(RIGHT(L1481,255),RIGHT('Disaggregation Records'!$D$156:$D$517,255),0))="","",INDEX('Disaggregation Records'!$H$156:$H$517,MATCH(RIGHT(L1481,255),RIGHT('Disaggregation Records'!$D$156:$D$517,255),0))),"")</f>
        <v/>
      </c>
      <c r="P1481" s="314"/>
      <c r="Q1481" s="310">
        <f t="shared" ref="Q1481" si="1676">Q1479+1</f>
        <v>2042</v>
      </c>
      <c r="R1481" s="314" t="str" cm="1">
        <f t="array" aca="1" ref="R1481" ca="1">IFERROR(IF(INDEX('Disaggregation Records'!$G$156:$G$517,MATCH(RIGHT(L1481,255),RIGHT('Disaggregation Records'!$D$156:$D$517,255),0))="","",INDEX('Disaggregation Records'!$G$156:$G$517,MATCH(RIGHT(L1481,255),RIGHT('Disaggregation Records'!$D$156:$D$517,255),0))),"")</f>
        <v/>
      </c>
    </row>
    <row r="1482" spans="1:18" ht="20.100000000000001" customHeight="1">
      <c r="A1482" s="126"/>
      <c r="B1482" s="571"/>
      <c r="C1482" s="573"/>
      <c r="D1482" s="575"/>
      <c r="E1482" s="575"/>
      <c r="F1482" s="128"/>
      <c r="G1482" s="577"/>
      <c r="H1482" s="540"/>
      <c r="I1482" s="579"/>
      <c r="J1482" s="533"/>
      <c r="K1482" s="126"/>
      <c r="L1482" s="126"/>
      <c r="M1482" s="126"/>
      <c r="N1482" s="126"/>
      <c r="O1482" s="314"/>
      <c r="P1482" s="314"/>
      <c r="Q1482" s="310"/>
      <c r="R1482" s="314" t="str" cm="1">
        <f t="array" ref="R1482">IFERROR(IF(INDEX('Disaggregation Records'!$G$156:$G$517,MATCH(RIGHT(L1482,255),RIGHT('Disaggregation Records'!$D$156:$D$517,255),0))="","",INDEX('Disaggregation Records'!$G$156:$G$517,MATCH(RIGHT(L1482,255),RIGHT('Disaggregation Records'!$D$156:$D$517,255),0))),"")</f>
        <v/>
      </c>
    </row>
    <row r="1483" spans="1:18" ht="20.100000000000001" customHeight="1">
      <c r="A1483" s="126" t="str">
        <f t="shared" ca="1" si="1652"/>
        <v>a16Dm000000M3x8IAC</v>
      </c>
      <c r="B1483" s="570">
        <v>22</v>
      </c>
      <c r="C1483" s="572" t="str">
        <f ca="1">IFERROR(VLOOKUP(B1483,'Coverage Indicators - Section D'!$A$9:$AO$94,41,FALSE),"")</f>
        <v>HTS-3a Percentage of MSM that have received an HIV test during the reporting period in KP-specific programs and know their results</v>
      </c>
      <c r="D1483" s="574" t="str">
        <f ca="1">M1483</f>
        <v/>
      </c>
      <c r="E1483" s="574" t="str">
        <f ca="1">N1483</f>
        <v/>
      </c>
      <c r="F1483" s="127"/>
      <c r="G1483" s="576" t="str">
        <f ca="1">IF(OR(INDIRECT("'update Helper'!E"&amp;Q1483)="",F1483&lt;&gt;0,F1484&lt;&gt;0),IF(IFERROR((F1483/F1484),"")="","",(F1483/F1484)),INDIRECT("'update Helper'!E"&amp;Q1483)/100)</f>
        <v/>
      </c>
      <c r="H1483" s="539"/>
      <c r="I1483" s="578"/>
      <c r="J1483" s="532"/>
      <c r="K1483" s="126">
        <f ca="1">IF(AND(EXACT(C1483,C1481),C1481&lt;&gt;0),K1481+1,0)</f>
        <v>11</v>
      </c>
      <c r="L1483" s="126" t="str">
        <f t="shared" ref="L1483" ca="1" si="1677">IF(C1483&lt;&gt;"",C1483&amp;"-"&amp;K1483,"")</f>
        <v>HTS-3a Percentage of MSM that have received an HIV test during the reporting period in KP-specific programs and know their results-11</v>
      </c>
      <c r="M1483" s="126" t="str">
        <f t="array" aca="1" ref="M1483" ca="1">IFERROR(IF(INDEX('Disaggregation Records'!$E$156:$E$517,MATCH(RIGHT(L1483,255),RIGHT('Disaggregation Records'!$D$156:$D$517,255),0))="","",INDEX('Disaggregation Records'!$E$156:$E$517,MATCH(RIGHT(L1483,255),RIGHT('Disaggregation Records'!$D$156:$D$517,255),0))),"")</f>
        <v/>
      </c>
      <c r="N1483" s="126" t="str">
        <f t="array" aca="1" ref="N1483" ca="1">IFERROR(IF(INDEX('Disaggregation Records'!$F$156:$F$517,MATCH(RIGHT(L1483,255),RIGHT('Disaggregation Records'!$D$156:$D$517,255),0))="","",INDEX('Disaggregation Records'!$F$156:$F$517,MATCH(RIGHT(L1483,255),RIGHT('Disaggregation Records'!$D$156:$D$517,255),0))),"")</f>
        <v/>
      </c>
      <c r="O1483" s="314" t="str">
        <f t="array" aca="1" ref="O1483" ca="1">IFERROR(IF(INDEX('Disaggregation Records'!$H$156:$H$517,MATCH(RIGHT(L1483,255),RIGHT('Disaggregation Records'!$D$156:$D$517,255),0))="","",INDEX('Disaggregation Records'!$H$156:$H$517,MATCH(RIGHT(L1483,255),RIGHT('Disaggregation Records'!$D$156:$D$517,255),0))),"")</f>
        <v/>
      </c>
      <c r="P1483" s="314"/>
      <c r="Q1483" s="310">
        <f t="shared" ref="Q1483" si="1678">Q1481+1</f>
        <v>2043</v>
      </c>
      <c r="R1483" s="314" t="str" cm="1">
        <f t="array" aca="1" ref="R1483" ca="1">IFERROR(IF(INDEX('Disaggregation Records'!$G$156:$G$517,MATCH(RIGHT(L1483,255),RIGHT('Disaggregation Records'!$D$156:$D$517,255),0))="","",INDEX('Disaggregation Records'!$G$156:$G$517,MATCH(RIGHT(L1483,255),RIGHT('Disaggregation Records'!$D$156:$D$517,255),0))),"")</f>
        <v/>
      </c>
    </row>
    <row r="1484" spans="1:18" ht="20.100000000000001" customHeight="1">
      <c r="B1484" s="571"/>
      <c r="C1484" s="573"/>
      <c r="D1484" s="575"/>
      <c r="E1484" s="575"/>
      <c r="F1484" s="128"/>
      <c r="G1484" s="577"/>
      <c r="H1484" s="540"/>
      <c r="I1484" s="579"/>
      <c r="J1484" s="533"/>
      <c r="K1484" s="126"/>
      <c r="L1484" s="126"/>
      <c r="M1484" s="126"/>
      <c r="N1484" s="126"/>
      <c r="O1484" s="314"/>
      <c r="P1484" s="314"/>
      <c r="Q1484" s="310"/>
      <c r="R1484" s="314" t="str" cm="1">
        <f t="array" ref="R1484">IFERROR(IF(INDEX('Disaggregation Records'!$G$156:$G$517,MATCH(RIGHT(L1484,255),RIGHT('Disaggregation Records'!$D$156:$D$517,255),0))="","",INDEX('Disaggregation Records'!$G$156:$G$517,MATCH(RIGHT(L1484,255),RIGHT('Disaggregation Records'!$D$156:$D$517,255),0))),"")</f>
        <v/>
      </c>
    </row>
    <row r="1485" spans="1:18" ht="20.100000000000001" customHeight="1">
      <c r="A1485" s="126" t="str">
        <f t="shared" ca="1" si="1649"/>
        <v>a16Dm000000M3x9IAC</v>
      </c>
      <c r="B1485" s="570">
        <v>22</v>
      </c>
      <c r="C1485" s="572" t="str">
        <f ca="1">IFERROR(VLOOKUP(B1485,'Coverage Indicators - Section D'!$A$9:$AO$94,41,FALSE),"")</f>
        <v>HTS-3a Percentage of MSM that have received an HIV test during the reporting period in KP-specific programs and know their results</v>
      </c>
      <c r="D1485" s="574" t="str">
        <f ca="1">M1485</f>
        <v/>
      </c>
      <c r="E1485" s="574" t="str">
        <f ca="1">N1485</f>
        <v/>
      </c>
      <c r="F1485" s="127"/>
      <c r="G1485" s="576" t="str">
        <f ca="1">IF(OR(INDIRECT("'update Helper'!E"&amp;Q1485)="",F1485&lt;&gt;0,F1486&lt;&gt;0),IF(IFERROR((F1485/F1486),"")="","",(F1485/F1486)),INDIRECT("'update Helper'!E"&amp;Q1485)/100)</f>
        <v/>
      </c>
      <c r="H1485" s="539"/>
      <c r="I1485" s="578"/>
      <c r="J1485" s="532"/>
      <c r="K1485" s="126">
        <f ca="1">IF(AND(EXACT(C1485,C1483),C1483&lt;&gt;0),K1483+1,0)</f>
        <v>12</v>
      </c>
      <c r="L1485" s="126" t="str">
        <f t="shared" ref="L1485" ca="1" si="1679">IF(C1485&lt;&gt;"",C1485&amp;"-"&amp;K1485,"")</f>
        <v>HTS-3a Percentage of MSM that have received an HIV test during the reporting period in KP-specific programs and know their results-12</v>
      </c>
      <c r="M1485" s="126" t="str">
        <f t="array" aca="1" ref="M1485" ca="1">IFERROR(IF(INDEX('Disaggregation Records'!$E$156:$E$517,MATCH(RIGHT(L1485,255),RIGHT('Disaggregation Records'!$D$156:$D$517,255),0))="","",INDEX('Disaggregation Records'!$E$156:$E$517,MATCH(RIGHT(L1485,255),RIGHT('Disaggregation Records'!$D$156:$D$517,255),0))),"")</f>
        <v/>
      </c>
      <c r="N1485" s="126" t="str">
        <f t="array" aca="1" ref="N1485" ca="1">IFERROR(IF(INDEX('Disaggregation Records'!$F$156:$F$517,MATCH(RIGHT(L1485,255),RIGHT('Disaggregation Records'!$D$156:$D$517,255),0))="","",INDEX('Disaggregation Records'!$F$156:$F$517,MATCH(RIGHT(L1485,255),RIGHT('Disaggregation Records'!$D$156:$D$517,255),0))),"")</f>
        <v/>
      </c>
      <c r="O1485" s="314" t="str">
        <f t="array" aca="1" ref="O1485" ca="1">IFERROR(IF(INDEX('Disaggregation Records'!$H$156:$H$517,MATCH(RIGHT(L1485,255),RIGHT('Disaggregation Records'!$D$156:$D$517,255),0))="","",INDEX('Disaggregation Records'!$H$156:$H$517,MATCH(RIGHT(L1485,255),RIGHT('Disaggregation Records'!$D$156:$D$517,255),0))),"")</f>
        <v/>
      </c>
      <c r="P1485" s="310"/>
      <c r="Q1485" s="310">
        <f t="shared" ref="Q1485" si="1680">Q1483+1</f>
        <v>2044</v>
      </c>
      <c r="R1485" s="314" t="str" cm="1">
        <f t="array" aca="1" ref="R1485" ca="1">IFERROR(IF(INDEX('Disaggregation Records'!$G$156:$G$517,MATCH(RIGHT(L1485,255),RIGHT('Disaggregation Records'!$D$156:$D$517,255),0))="","",INDEX('Disaggregation Records'!$G$156:$G$517,MATCH(RIGHT(L1485,255),RIGHT('Disaggregation Records'!$D$156:$D$517,255),0))),"")</f>
        <v/>
      </c>
    </row>
    <row r="1486" spans="1:18" ht="20.100000000000001" customHeight="1">
      <c r="A1486" s="126"/>
      <c r="B1486" s="571"/>
      <c r="C1486" s="573"/>
      <c r="D1486" s="575"/>
      <c r="E1486" s="575"/>
      <c r="F1486" s="128"/>
      <c r="G1486" s="577"/>
      <c r="H1486" s="540"/>
      <c r="I1486" s="579"/>
      <c r="J1486" s="533"/>
      <c r="L1486" s="126"/>
      <c r="N1486" s="126"/>
      <c r="O1486" s="314"/>
      <c r="P1486" s="310"/>
      <c r="Q1486" s="310"/>
      <c r="R1486" s="314" t="str" cm="1">
        <f t="array" ref="R1486">IFERROR(IF(INDEX('Disaggregation Records'!$G$156:$G$517,MATCH(RIGHT(L1486,255),RIGHT('Disaggregation Records'!$D$156:$D$517,255),0))="","",INDEX('Disaggregation Records'!$G$156:$G$517,MATCH(RIGHT(L1486,255),RIGHT('Disaggregation Records'!$D$156:$D$517,255),0))),"")</f>
        <v/>
      </c>
    </row>
    <row r="1487" spans="1:18" ht="20.100000000000001" customHeight="1">
      <c r="A1487" s="126" t="str">
        <f t="shared" ca="1" si="1652"/>
        <v>a16Dm000000M3xAIAS</v>
      </c>
      <c r="B1487" s="570">
        <v>22</v>
      </c>
      <c r="C1487" s="572" t="str">
        <f ca="1">IFERROR(VLOOKUP(B1487,'Coverage Indicators - Section D'!$A$9:$AO$94,41,FALSE),"")</f>
        <v>HTS-3a Percentage of MSM that have received an HIV test during the reporting period in KP-specific programs and know their results</v>
      </c>
      <c r="D1487" s="574" t="str">
        <f ca="1">M1487</f>
        <v/>
      </c>
      <c r="E1487" s="574" t="str">
        <f ca="1">N1487</f>
        <v/>
      </c>
      <c r="F1487" s="127"/>
      <c r="G1487" s="576" t="str">
        <f ca="1">IF(OR(INDIRECT("'update Helper'!E"&amp;Q1487)="",F1487&lt;&gt;0,F1488&lt;&gt;0),IF(IFERROR((F1487/F1488),"")="","",(F1487/F1488)),INDIRECT("'update Helper'!E"&amp;Q1487)/100)</f>
        <v/>
      </c>
      <c r="H1487" s="539"/>
      <c r="I1487" s="578"/>
      <c r="J1487" s="532"/>
      <c r="K1487" s="126">
        <f ca="1">IF(AND(EXACT(C1487,C1485),C1485&lt;&gt;0),K1485+1,0)</f>
        <v>13</v>
      </c>
      <c r="L1487" s="126" t="str">
        <f t="shared" ref="L1487" ca="1" si="1681">IF(C1487&lt;&gt;"",C1487&amp;"-"&amp;K1487,"")</f>
        <v>HTS-3a Percentage of MSM that have received an HIV test during the reporting period in KP-specific programs and know their results-13</v>
      </c>
      <c r="M1487" s="126" t="str">
        <f t="array" aca="1" ref="M1487" ca="1">IFERROR(IF(INDEX('Disaggregation Records'!$E$156:$E$517,MATCH(RIGHT(L1487,255),RIGHT('Disaggregation Records'!$D$156:$D$517,255),0))="","",INDEX('Disaggregation Records'!$E$156:$E$517,MATCH(RIGHT(L1487,255),RIGHT('Disaggregation Records'!$D$156:$D$517,255),0))),"")</f>
        <v/>
      </c>
      <c r="N1487" s="126" t="str">
        <f t="array" aca="1" ref="N1487" ca="1">IFERROR(IF(INDEX('Disaggregation Records'!$F$156:$F$517,MATCH(RIGHT(L1487,255),RIGHT('Disaggregation Records'!$D$156:$D$517,255),0))="","",INDEX('Disaggregation Records'!$F$156:$F$517,MATCH(RIGHT(L1487,255),RIGHT('Disaggregation Records'!$D$156:$D$517,255),0))),"")</f>
        <v/>
      </c>
      <c r="O1487" s="314" t="str">
        <f t="array" aca="1" ref="O1487" ca="1">IFERROR(IF(INDEX('Disaggregation Records'!$H$156:$H$517,MATCH(RIGHT(L1487,255),RIGHT('Disaggregation Records'!$D$156:$D$517,255),0))="","",INDEX('Disaggregation Records'!$H$156:$H$517,MATCH(RIGHT(L1487,255),RIGHT('Disaggregation Records'!$D$156:$D$517,255),0))),"")</f>
        <v/>
      </c>
      <c r="P1487" s="310"/>
      <c r="Q1487" s="310">
        <f t="shared" ref="Q1487" si="1682">Q1485+1</f>
        <v>2045</v>
      </c>
      <c r="R1487" s="314" t="str" cm="1">
        <f t="array" aca="1" ref="R1487" ca="1">IFERROR(IF(INDEX('Disaggregation Records'!$G$156:$G$517,MATCH(RIGHT(L1487,255),RIGHT('Disaggregation Records'!$D$156:$D$517,255),0))="","",INDEX('Disaggregation Records'!$G$156:$G$517,MATCH(RIGHT(L1487,255),RIGHT('Disaggregation Records'!$D$156:$D$517,255),0))),"")</f>
        <v/>
      </c>
    </row>
    <row r="1488" spans="1:18" ht="20.100000000000001" customHeight="1">
      <c r="B1488" s="571"/>
      <c r="C1488" s="573"/>
      <c r="D1488" s="575"/>
      <c r="E1488" s="575"/>
      <c r="F1488" s="128"/>
      <c r="G1488" s="577"/>
      <c r="H1488" s="540"/>
      <c r="I1488" s="579"/>
      <c r="J1488" s="533"/>
      <c r="L1488" s="126"/>
      <c r="N1488" s="126"/>
      <c r="O1488" s="314"/>
      <c r="P1488" s="310"/>
      <c r="Q1488" s="310"/>
      <c r="R1488" s="314" t="str" cm="1">
        <f t="array" ref="R1488">IFERROR(IF(INDEX('Disaggregation Records'!$G$156:$G$517,MATCH(RIGHT(L1488,255),RIGHT('Disaggregation Records'!$D$156:$D$517,255),0))="","",INDEX('Disaggregation Records'!$G$156:$G$517,MATCH(RIGHT(L1488,255),RIGHT('Disaggregation Records'!$D$156:$D$517,255),0))),"")</f>
        <v/>
      </c>
    </row>
    <row r="1489" spans="1:18" ht="20.100000000000001" customHeight="1">
      <c r="A1489" s="126" t="str">
        <f t="shared" ca="1" si="1649"/>
        <v>a16Dm000000M3xBIAS</v>
      </c>
      <c r="B1489" s="570">
        <v>22</v>
      </c>
      <c r="C1489" s="572" t="str">
        <f ca="1">IFERROR(VLOOKUP(B1489,'Coverage Indicators - Section D'!$A$9:$AO$94,41,FALSE),"")</f>
        <v>HTS-3a Percentage of MSM that have received an HIV test during the reporting period in KP-specific programs and know their results</v>
      </c>
      <c r="D1489" s="574" t="str">
        <f ca="1">M1489</f>
        <v/>
      </c>
      <c r="E1489" s="574" t="str">
        <f ca="1">N1489</f>
        <v/>
      </c>
      <c r="F1489" s="127"/>
      <c r="G1489" s="576" t="str">
        <f ca="1">IF(OR(INDIRECT("'update Helper'!E"&amp;Q1489)="",F1489&lt;&gt;0,F1490&lt;&gt;0),IF(IFERROR((F1489/F1490),"")="","",(F1489/F1490)),INDIRECT("'update Helper'!E"&amp;Q1489)/100)</f>
        <v/>
      </c>
      <c r="H1489" s="539"/>
      <c r="I1489" s="578"/>
      <c r="J1489" s="532"/>
      <c r="K1489" s="126">
        <f ca="1">IF(AND(EXACT(C1489,C1487),C1487&lt;&gt;0),K1487+1,0)</f>
        <v>14</v>
      </c>
      <c r="L1489" s="126" t="str">
        <f t="shared" ref="L1489" ca="1" si="1683">IF(C1489&lt;&gt;"",C1489&amp;"-"&amp;K1489,"")</f>
        <v>HTS-3a Percentage of MSM that have received an HIV test during the reporting period in KP-specific programs and know their results-14</v>
      </c>
      <c r="M1489" s="126" t="str">
        <f t="array" aca="1" ref="M1489" ca="1">IFERROR(IF(INDEX('Disaggregation Records'!$E$156:$E$517,MATCH(RIGHT(L1489,255),RIGHT('Disaggregation Records'!$D$156:$D$517,255),0))="","",INDEX('Disaggregation Records'!$E$156:$E$517,MATCH(RIGHT(L1489,255),RIGHT('Disaggregation Records'!$D$156:$D$517,255),0))),"")</f>
        <v/>
      </c>
      <c r="N1489" s="126" t="str">
        <f t="array" aca="1" ref="N1489" ca="1">IFERROR(IF(INDEX('Disaggregation Records'!$F$156:$F$517,MATCH(RIGHT(L1489,255),RIGHT('Disaggregation Records'!$D$156:$D$517,255),0))="","",INDEX('Disaggregation Records'!$F$156:$F$517,MATCH(RIGHT(L1489,255),RIGHT('Disaggregation Records'!$D$156:$D$517,255),0))),"")</f>
        <v/>
      </c>
      <c r="O1489" s="314" t="str">
        <f t="array" aca="1" ref="O1489" ca="1">IFERROR(IF(INDEX('Disaggregation Records'!$H$156:$H$517,MATCH(RIGHT(L1489,255),RIGHT('Disaggregation Records'!$D$156:$D$517,255),0))="","",INDEX('Disaggregation Records'!$H$156:$H$517,MATCH(RIGHT(L1489,255),RIGHT('Disaggregation Records'!$D$156:$D$517,255),0))),"")</f>
        <v/>
      </c>
      <c r="P1489" s="310"/>
      <c r="Q1489" s="310">
        <f t="shared" ref="Q1489" si="1684">Q1487+1</f>
        <v>2046</v>
      </c>
      <c r="R1489" s="314" t="str" cm="1">
        <f t="array" aca="1" ref="R1489" ca="1">IFERROR(IF(INDEX('Disaggregation Records'!$G$156:$G$517,MATCH(RIGHT(L1489,255),RIGHT('Disaggregation Records'!$D$156:$D$517,255),0))="","",INDEX('Disaggregation Records'!$G$156:$G$517,MATCH(RIGHT(L1489,255),RIGHT('Disaggregation Records'!$D$156:$D$517,255),0))),"")</f>
        <v/>
      </c>
    </row>
    <row r="1490" spans="1:18" ht="20.100000000000001" customHeight="1">
      <c r="A1490" s="126"/>
      <c r="B1490" s="571"/>
      <c r="C1490" s="573"/>
      <c r="D1490" s="575"/>
      <c r="E1490" s="575"/>
      <c r="F1490" s="128"/>
      <c r="G1490" s="577"/>
      <c r="H1490" s="540"/>
      <c r="I1490" s="579"/>
      <c r="J1490" s="533"/>
      <c r="L1490" s="126"/>
      <c r="N1490" s="126"/>
      <c r="O1490" s="314"/>
      <c r="P1490" s="310"/>
      <c r="Q1490" s="310"/>
      <c r="R1490" s="314" t="str" cm="1">
        <f t="array" ref="R1490">IFERROR(IF(INDEX('Disaggregation Records'!$G$156:$G$517,MATCH(RIGHT(L1490,255),RIGHT('Disaggregation Records'!$D$156:$D$517,255),0))="","",INDEX('Disaggregation Records'!$G$156:$G$517,MATCH(RIGHT(L1490,255),RIGHT('Disaggregation Records'!$D$156:$D$517,255),0))),"")</f>
        <v/>
      </c>
    </row>
    <row r="1491" spans="1:18" ht="20.100000000000001" customHeight="1">
      <c r="A1491" s="126" t="str">
        <f t="shared" ca="1" si="1652"/>
        <v>a16Dm000000M3xCIAS</v>
      </c>
      <c r="B1491" s="570">
        <v>22</v>
      </c>
      <c r="C1491" s="572" t="str">
        <f ca="1">IFERROR(VLOOKUP(B1491,'Coverage Indicators - Section D'!$A$9:$AO$94,41,FALSE),"")</f>
        <v>HTS-3a Percentage of MSM that have received an HIV test during the reporting period in KP-specific programs and know their results</v>
      </c>
      <c r="D1491" s="574" t="str">
        <f ca="1">M1491</f>
        <v/>
      </c>
      <c r="E1491" s="574" t="str">
        <f ca="1">N1491</f>
        <v/>
      </c>
      <c r="F1491" s="127"/>
      <c r="G1491" s="576" t="str">
        <f ca="1">IF(OR(INDIRECT("'update Helper'!E"&amp;Q1491)="",F1491&lt;&gt;0,F1492&lt;&gt;0),IF(IFERROR((F1491/F1492),"")="","",(F1491/F1492)),INDIRECT("'update Helper'!E"&amp;Q1491)/100)</f>
        <v/>
      </c>
      <c r="H1491" s="539"/>
      <c r="I1491" s="578"/>
      <c r="J1491" s="532"/>
      <c r="K1491" s="126">
        <f ca="1">IF(AND(EXACT(C1491,C1489),C1489&lt;&gt;0),K1489+1,0)</f>
        <v>15</v>
      </c>
      <c r="L1491" s="126" t="str">
        <f t="shared" ref="L1491" ca="1" si="1685">IF(C1491&lt;&gt;"",C1491&amp;"-"&amp;K1491,"")</f>
        <v>HTS-3a Percentage of MSM that have received an HIV test during the reporting period in KP-specific programs and know their results-15</v>
      </c>
      <c r="M1491" s="126" t="str">
        <f t="array" aca="1" ref="M1491" ca="1">IFERROR(IF(INDEX('Disaggregation Records'!$E$156:$E$517,MATCH(RIGHT(L1491,255),RIGHT('Disaggregation Records'!$D$156:$D$517,255),0))="","",INDEX('Disaggregation Records'!$E$156:$E$517,MATCH(RIGHT(L1491,255),RIGHT('Disaggregation Records'!$D$156:$D$517,255),0))),"")</f>
        <v/>
      </c>
      <c r="N1491" s="126" t="str">
        <f t="array" aca="1" ref="N1491" ca="1">IFERROR(IF(INDEX('Disaggregation Records'!$F$156:$F$517,MATCH(RIGHT(L1491,255),RIGHT('Disaggregation Records'!$D$156:$D$517,255),0))="","",INDEX('Disaggregation Records'!$F$156:$F$517,MATCH(RIGHT(L1491,255),RIGHT('Disaggregation Records'!$D$156:$D$517,255),0))),"")</f>
        <v/>
      </c>
      <c r="O1491" s="314" t="str">
        <f t="array" aca="1" ref="O1491" ca="1">IFERROR(IF(INDEX('Disaggregation Records'!$H$156:$H$517,MATCH(RIGHT(L1491,255),RIGHT('Disaggregation Records'!$D$156:$D$517,255),0))="","",INDEX('Disaggregation Records'!$H$156:$H$517,MATCH(RIGHT(L1491,255),RIGHT('Disaggregation Records'!$D$156:$D$517,255),0))),"")</f>
        <v/>
      </c>
      <c r="P1491" s="314"/>
      <c r="Q1491" s="310">
        <f t="shared" ref="Q1491" si="1686">Q1489+1</f>
        <v>2047</v>
      </c>
      <c r="R1491" s="314" t="str" cm="1">
        <f t="array" aca="1" ref="R1491" ca="1">IFERROR(IF(INDEX('Disaggregation Records'!$G$156:$G$517,MATCH(RIGHT(L1491,255),RIGHT('Disaggregation Records'!$D$156:$D$517,255),0))="","",INDEX('Disaggregation Records'!$G$156:$G$517,MATCH(RIGHT(L1491,255),RIGHT('Disaggregation Records'!$D$156:$D$517,255),0))),"")</f>
        <v/>
      </c>
    </row>
    <row r="1492" spans="1:18" ht="20.100000000000001" customHeight="1">
      <c r="B1492" s="571"/>
      <c r="C1492" s="573"/>
      <c r="D1492" s="575"/>
      <c r="E1492" s="575"/>
      <c r="F1492" s="128"/>
      <c r="G1492" s="577"/>
      <c r="H1492" s="540"/>
      <c r="I1492" s="579"/>
      <c r="J1492" s="533"/>
      <c r="K1492" s="126"/>
      <c r="L1492" s="126"/>
      <c r="M1492" s="126"/>
      <c r="N1492" s="126"/>
      <c r="O1492" s="314"/>
      <c r="P1492" s="314"/>
      <c r="Q1492" s="310"/>
      <c r="R1492" s="314" t="str" cm="1">
        <f t="array" ref="R1492">IFERROR(IF(INDEX('Disaggregation Records'!$G$156:$G$517,MATCH(RIGHT(L1492,255),RIGHT('Disaggregation Records'!$D$156:$D$517,255),0))="","",INDEX('Disaggregation Records'!$G$156:$G$517,MATCH(RIGHT(L1492,255),RIGHT('Disaggregation Records'!$D$156:$D$517,255),0))),"")</f>
        <v/>
      </c>
    </row>
    <row r="1493" spans="1:18" ht="20.100000000000001" customHeight="1">
      <c r="A1493" s="126" t="str">
        <f t="shared" ca="1" si="1649"/>
        <v>a16Dm000000M3xDIAS</v>
      </c>
      <c r="B1493" s="570">
        <v>22</v>
      </c>
      <c r="C1493" s="572" t="str">
        <f ca="1">IFERROR(VLOOKUP(B1493,'Coverage Indicators - Section D'!$A$9:$AO$94,41,FALSE),"")</f>
        <v>HTS-3a Percentage of MSM that have received an HIV test during the reporting period in KP-specific programs and know their results</v>
      </c>
      <c r="D1493" s="574" t="str">
        <f ca="1">M1493</f>
        <v/>
      </c>
      <c r="E1493" s="574" t="str">
        <f ca="1">N1493</f>
        <v/>
      </c>
      <c r="F1493" s="127"/>
      <c r="G1493" s="576" t="str">
        <f ca="1">IF(OR(INDIRECT("'update Helper'!E"&amp;Q1493)="",F1493&lt;&gt;0,F1494&lt;&gt;0),IF(IFERROR((F1493/F1494),"")="","",(F1493/F1494)),INDIRECT("'update Helper'!E"&amp;Q1493)/100)</f>
        <v/>
      </c>
      <c r="H1493" s="539"/>
      <c r="I1493" s="578"/>
      <c r="J1493" s="532"/>
      <c r="K1493" s="126">
        <f ca="1">IF(AND(EXACT(C1493,C1491),C1491&lt;&gt;0),K1491+1,0)</f>
        <v>16</v>
      </c>
      <c r="L1493" s="126" t="str">
        <f t="shared" ref="L1493" ca="1" si="1687">IF(C1493&lt;&gt;"",C1493&amp;"-"&amp;K1493,"")</f>
        <v>HTS-3a Percentage of MSM that have received an HIV test during the reporting period in KP-specific programs and know their results-16</v>
      </c>
      <c r="M1493" s="126" t="str">
        <f t="array" aca="1" ref="M1493" ca="1">IFERROR(IF(INDEX('Disaggregation Records'!$E$156:$E$517,MATCH(RIGHT(L1493,255),RIGHT('Disaggregation Records'!$D$156:$D$517,255),0))="","",INDEX('Disaggregation Records'!$E$156:$E$517,MATCH(RIGHT(L1493,255),RIGHT('Disaggregation Records'!$D$156:$D$517,255),0))),"")</f>
        <v/>
      </c>
      <c r="N1493" s="126" t="str">
        <f t="array" aca="1" ref="N1493" ca="1">IFERROR(IF(INDEX('Disaggregation Records'!$F$156:$F$517,MATCH(RIGHT(L1493,255),RIGHT('Disaggregation Records'!$D$156:$D$517,255),0))="","",INDEX('Disaggregation Records'!$F$156:$F$517,MATCH(RIGHT(L1493,255),RIGHT('Disaggregation Records'!$D$156:$D$517,255),0))),"")</f>
        <v/>
      </c>
      <c r="O1493" s="314" t="str">
        <f t="array" aca="1" ref="O1493" ca="1">IFERROR(IF(INDEX('Disaggregation Records'!$H$156:$H$517,MATCH(RIGHT(L1493,255),RIGHT('Disaggregation Records'!$D$156:$D$517,255),0))="","",INDEX('Disaggregation Records'!$H$156:$H$517,MATCH(RIGHT(L1493,255),RIGHT('Disaggregation Records'!$D$156:$D$517,255),0))),"")</f>
        <v/>
      </c>
      <c r="P1493" s="314"/>
      <c r="Q1493" s="310">
        <f t="shared" ref="Q1493" si="1688">Q1491+1</f>
        <v>2048</v>
      </c>
      <c r="R1493" s="314" t="str" cm="1">
        <f t="array" aca="1" ref="R1493" ca="1">IFERROR(IF(INDEX('Disaggregation Records'!$G$156:$G$517,MATCH(RIGHT(L1493,255),RIGHT('Disaggregation Records'!$D$156:$D$517,255),0))="","",INDEX('Disaggregation Records'!$G$156:$G$517,MATCH(RIGHT(L1493,255),RIGHT('Disaggregation Records'!$D$156:$D$517,255),0))),"")</f>
        <v/>
      </c>
    </row>
    <row r="1494" spans="1:18" ht="20.100000000000001" customHeight="1">
      <c r="A1494" s="126"/>
      <c r="B1494" s="571"/>
      <c r="C1494" s="573"/>
      <c r="D1494" s="575"/>
      <c r="E1494" s="575"/>
      <c r="F1494" s="128"/>
      <c r="G1494" s="577"/>
      <c r="H1494" s="540"/>
      <c r="I1494" s="579"/>
      <c r="J1494" s="533"/>
      <c r="K1494" s="126"/>
      <c r="L1494" s="126"/>
      <c r="M1494" s="126"/>
      <c r="N1494" s="126"/>
      <c r="O1494" s="314"/>
      <c r="P1494" s="314"/>
      <c r="Q1494" s="310"/>
      <c r="R1494" s="314" t="str" cm="1">
        <f t="array" ref="R1494">IFERROR(IF(INDEX('Disaggregation Records'!$G$156:$G$517,MATCH(RIGHT(L1494,255),RIGHT('Disaggregation Records'!$D$156:$D$517,255),0))="","",INDEX('Disaggregation Records'!$G$156:$G$517,MATCH(RIGHT(L1494,255),RIGHT('Disaggregation Records'!$D$156:$D$517,255),0))),"")</f>
        <v/>
      </c>
    </row>
    <row r="1495" spans="1:18" ht="20.100000000000001" customHeight="1">
      <c r="A1495" s="126" t="str">
        <f t="shared" ca="1" si="1652"/>
        <v>a16Dm000000M3xEIAS</v>
      </c>
      <c r="B1495" s="570">
        <v>22</v>
      </c>
      <c r="C1495" s="572" t="str">
        <f ca="1">IFERROR(VLOOKUP(B1495,'Coverage Indicators - Section D'!$A$9:$AO$94,41,FALSE),"")</f>
        <v>HTS-3a Percentage of MSM that have received an HIV test during the reporting period in KP-specific programs and know their results</v>
      </c>
      <c r="D1495" s="574" t="str">
        <f ca="1">M1495</f>
        <v/>
      </c>
      <c r="E1495" s="574" t="str">
        <f ca="1">N1495</f>
        <v/>
      </c>
      <c r="F1495" s="127"/>
      <c r="G1495" s="576" t="str">
        <f ca="1">IF(OR(INDIRECT("'update Helper'!E"&amp;Q1495)="",F1495&lt;&gt;0,F1496&lt;&gt;0),IF(IFERROR((F1495/F1496),"")="","",(F1495/F1496)),INDIRECT("'update Helper'!E"&amp;Q1495)/100)</f>
        <v/>
      </c>
      <c r="H1495" s="539"/>
      <c r="I1495" s="578"/>
      <c r="J1495" s="532"/>
      <c r="K1495" s="126">
        <f ca="1">IF(AND(EXACT(C1495,C1493),C1493&lt;&gt;0),K1493+1,0)</f>
        <v>17</v>
      </c>
      <c r="L1495" s="126" t="str">
        <f t="shared" ref="L1495" ca="1" si="1689">IF(C1495&lt;&gt;"",C1495&amp;"-"&amp;K1495,"")</f>
        <v>HTS-3a Percentage of MSM that have received an HIV test during the reporting period in KP-specific programs and know their results-17</v>
      </c>
      <c r="M1495" s="126" t="str">
        <f t="array" aca="1" ref="M1495" ca="1">IFERROR(IF(INDEX('Disaggregation Records'!$E$156:$E$517,MATCH(RIGHT(L1495,255),RIGHT('Disaggregation Records'!$D$156:$D$517,255),0))="","",INDEX('Disaggregation Records'!$E$156:$E$517,MATCH(RIGHT(L1495,255),RIGHT('Disaggregation Records'!$D$156:$D$517,255),0))),"")</f>
        <v/>
      </c>
      <c r="N1495" s="126" t="str">
        <f t="array" aca="1" ref="N1495" ca="1">IFERROR(IF(INDEX('Disaggregation Records'!$F$156:$F$517,MATCH(RIGHT(L1495,255),RIGHT('Disaggregation Records'!$D$156:$D$517,255),0))="","",INDEX('Disaggregation Records'!$F$156:$F$517,MATCH(RIGHT(L1495,255),RIGHT('Disaggregation Records'!$D$156:$D$517,255),0))),"")</f>
        <v/>
      </c>
      <c r="O1495" s="314" t="str">
        <f t="array" aca="1" ref="O1495" ca="1">IFERROR(IF(INDEX('Disaggregation Records'!$H$156:$H$517,MATCH(RIGHT(L1495,255),RIGHT('Disaggregation Records'!$D$156:$D$517,255),0))="","",INDEX('Disaggregation Records'!$H$156:$H$517,MATCH(RIGHT(L1495,255),RIGHT('Disaggregation Records'!$D$156:$D$517,255),0))),"")</f>
        <v/>
      </c>
      <c r="P1495" s="310"/>
      <c r="Q1495" s="310">
        <f t="shared" ref="Q1495" si="1690">Q1493+1</f>
        <v>2049</v>
      </c>
      <c r="R1495" s="314" t="str" cm="1">
        <f t="array" aca="1" ref="R1495" ca="1">IFERROR(IF(INDEX('Disaggregation Records'!$G$156:$G$517,MATCH(RIGHT(L1495,255),RIGHT('Disaggregation Records'!$D$156:$D$517,255),0))="","",INDEX('Disaggregation Records'!$G$156:$G$517,MATCH(RIGHT(L1495,255),RIGHT('Disaggregation Records'!$D$156:$D$517,255),0))),"")</f>
        <v/>
      </c>
    </row>
    <row r="1496" spans="1:18" ht="20.100000000000001" customHeight="1">
      <c r="B1496" s="571"/>
      <c r="C1496" s="573"/>
      <c r="D1496" s="575"/>
      <c r="E1496" s="575"/>
      <c r="F1496" s="128"/>
      <c r="G1496" s="577"/>
      <c r="H1496" s="540"/>
      <c r="I1496" s="579"/>
      <c r="J1496" s="533"/>
      <c r="L1496" s="126"/>
      <c r="N1496" s="126"/>
      <c r="O1496" s="314"/>
      <c r="P1496" s="310"/>
      <c r="Q1496" s="310"/>
      <c r="R1496" s="314" t="str" cm="1">
        <f t="array" ref="R1496">IFERROR(IF(INDEX('Disaggregation Records'!$G$156:$G$517,MATCH(RIGHT(L1496,255),RIGHT('Disaggregation Records'!$D$156:$D$517,255),0))="","",INDEX('Disaggregation Records'!$G$156:$G$517,MATCH(RIGHT(L1496,255),RIGHT('Disaggregation Records'!$D$156:$D$517,255),0))),"")</f>
        <v/>
      </c>
    </row>
    <row r="1497" spans="1:18" ht="20.100000000000001" customHeight="1">
      <c r="A1497" s="126" t="str">
        <f t="shared" ca="1" si="1649"/>
        <v>a16Dm000000M3xFIAS</v>
      </c>
      <c r="B1497" s="570">
        <v>22</v>
      </c>
      <c r="C1497" s="572" t="str">
        <f ca="1">IFERROR(VLOOKUP(B1497,'Coverage Indicators - Section D'!$A$9:$AO$94,41,FALSE),"")</f>
        <v>HTS-3a Percentage of MSM that have received an HIV test during the reporting period in KP-specific programs and know their results</v>
      </c>
      <c r="D1497" s="574" t="str">
        <f ca="1">M1497</f>
        <v/>
      </c>
      <c r="E1497" s="574" t="str">
        <f ca="1">N1497</f>
        <v/>
      </c>
      <c r="F1497" s="127"/>
      <c r="G1497" s="576" t="str">
        <f ca="1">IF(OR(INDIRECT("'update Helper'!E"&amp;Q1497)="",F1497&lt;&gt;0,F1498&lt;&gt;0),IF(IFERROR((F1497/F1498),"")="","",(F1497/F1498)),INDIRECT("'update Helper'!E"&amp;Q1497)/100)</f>
        <v/>
      </c>
      <c r="H1497" s="539"/>
      <c r="I1497" s="578"/>
      <c r="J1497" s="532"/>
      <c r="K1497" s="126">
        <f ca="1">IF(AND(EXACT(C1497,C1495),C1495&lt;&gt;0),K1495+1,0)</f>
        <v>18</v>
      </c>
      <c r="L1497" s="126" t="str">
        <f t="shared" ref="L1497" ca="1" si="1691">IF(C1497&lt;&gt;"",C1497&amp;"-"&amp;K1497,"")</f>
        <v>HTS-3a Percentage of MSM that have received an HIV test during the reporting period in KP-specific programs and know their results-18</v>
      </c>
      <c r="M1497" s="126" t="str">
        <f t="array" aca="1" ref="M1497" ca="1">IFERROR(IF(INDEX('Disaggregation Records'!$E$156:$E$517,MATCH(RIGHT(L1497,255),RIGHT('Disaggregation Records'!$D$156:$D$517,255),0))="","",INDEX('Disaggregation Records'!$E$156:$E$517,MATCH(RIGHT(L1497,255),RIGHT('Disaggregation Records'!$D$156:$D$517,255),0))),"")</f>
        <v/>
      </c>
      <c r="N1497" s="126" t="str">
        <f t="array" aca="1" ref="N1497" ca="1">IFERROR(IF(INDEX('Disaggregation Records'!$F$156:$F$517,MATCH(RIGHT(L1497,255),RIGHT('Disaggregation Records'!$D$156:$D$517,255),0))="","",INDEX('Disaggregation Records'!$F$156:$F$517,MATCH(RIGHT(L1497,255),RIGHT('Disaggregation Records'!$D$156:$D$517,255),0))),"")</f>
        <v/>
      </c>
      <c r="O1497" s="314" t="str">
        <f t="array" aca="1" ref="O1497" ca="1">IFERROR(IF(INDEX('Disaggregation Records'!$H$156:$H$517,MATCH(RIGHT(L1497,255),RIGHT('Disaggregation Records'!$D$156:$D$517,255),0))="","",INDEX('Disaggregation Records'!$H$156:$H$517,MATCH(RIGHT(L1497,255),RIGHT('Disaggregation Records'!$D$156:$D$517,255),0))),"")</f>
        <v/>
      </c>
      <c r="P1497" s="310"/>
      <c r="Q1497" s="310">
        <f t="shared" ref="Q1497" si="1692">Q1495+1</f>
        <v>2050</v>
      </c>
      <c r="R1497" s="314" t="str" cm="1">
        <f t="array" aca="1" ref="R1497" ca="1">IFERROR(IF(INDEX('Disaggregation Records'!$G$156:$G$517,MATCH(RIGHT(L1497,255),RIGHT('Disaggregation Records'!$D$156:$D$517,255),0))="","",INDEX('Disaggregation Records'!$G$156:$G$517,MATCH(RIGHT(L1497,255),RIGHT('Disaggregation Records'!$D$156:$D$517,255),0))),"")</f>
        <v/>
      </c>
    </row>
    <row r="1498" spans="1:18" ht="20.100000000000001" customHeight="1">
      <c r="A1498" s="126"/>
      <c r="B1498" s="571"/>
      <c r="C1498" s="573"/>
      <c r="D1498" s="575"/>
      <c r="E1498" s="575"/>
      <c r="F1498" s="128"/>
      <c r="G1498" s="577"/>
      <c r="H1498" s="540"/>
      <c r="I1498" s="579"/>
      <c r="J1498" s="533"/>
      <c r="L1498" s="126"/>
      <c r="N1498" s="126"/>
      <c r="O1498" s="314"/>
      <c r="P1498" s="310"/>
      <c r="Q1498" s="310"/>
      <c r="R1498" s="314" t="str" cm="1">
        <f t="array" ref="R1498">IFERROR(IF(INDEX('Disaggregation Records'!$G$156:$G$517,MATCH(RIGHT(L1498,255),RIGHT('Disaggregation Records'!$D$156:$D$517,255),0))="","",INDEX('Disaggregation Records'!$G$156:$G$517,MATCH(RIGHT(L1498,255),RIGHT('Disaggregation Records'!$D$156:$D$517,255),0))),"")</f>
        <v/>
      </c>
    </row>
    <row r="1499" spans="1:18" ht="20.100000000000001" customHeight="1">
      <c r="A1499" s="126" t="str">
        <f t="shared" ca="1" si="1652"/>
        <v>a16Dm000000M3xGIAS</v>
      </c>
      <c r="B1499" s="570">
        <v>22</v>
      </c>
      <c r="C1499" s="572" t="str">
        <f ca="1">IFERROR(VLOOKUP(B1499,'Coverage Indicators - Section D'!$A$9:$AO$94,41,FALSE),"")</f>
        <v>HTS-3a Percentage of MSM that have received an HIV test during the reporting period in KP-specific programs and know their results</v>
      </c>
      <c r="D1499" s="574" t="str">
        <f ca="1">M1499</f>
        <v/>
      </c>
      <c r="E1499" s="574" t="str">
        <f ca="1">N1499</f>
        <v/>
      </c>
      <c r="F1499" s="127"/>
      <c r="G1499" s="576" t="str">
        <f ca="1">IF(OR(INDIRECT("'update Helper'!E"&amp;Q1499)="",F1499&lt;&gt;0,F1500&lt;&gt;0),IF(IFERROR((F1499/F1500),"")="","",(F1499/F1500)),INDIRECT("'update Helper'!E"&amp;Q1499)/100)</f>
        <v/>
      </c>
      <c r="H1499" s="539"/>
      <c r="I1499" s="578"/>
      <c r="J1499" s="532"/>
      <c r="K1499" s="126">
        <f ca="1">IF(AND(EXACT(C1499,C1497),C1497&lt;&gt;0),K1497+1,0)</f>
        <v>19</v>
      </c>
      <c r="L1499" s="126" t="str">
        <f t="shared" ref="L1499" ca="1" si="1693">IF(C1499&lt;&gt;"",C1499&amp;"-"&amp;K1499,"")</f>
        <v>HTS-3a Percentage of MSM that have received an HIV test during the reporting period in KP-specific programs and know their results-19</v>
      </c>
      <c r="M1499" s="126" t="str">
        <f t="array" aca="1" ref="M1499" ca="1">IFERROR(IF(INDEX('Disaggregation Records'!$E$156:$E$517,MATCH(RIGHT(L1499,255),RIGHT('Disaggregation Records'!$D$156:$D$517,255),0))="","",INDEX('Disaggregation Records'!$E$156:$E$517,MATCH(RIGHT(L1499,255),RIGHT('Disaggregation Records'!$D$156:$D$517,255),0))),"")</f>
        <v/>
      </c>
      <c r="N1499" s="126" t="str">
        <f t="array" aca="1" ref="N1499" ca="1">IFERROR(IF(INDEX('Disaggregation Records'!$F$156:$F$517,MATCH(RIGHT(L1499,255),RIGHT('Disaggregation Records'!$D$156:$D$517,255),0))="","",INDEX('Disaggregation Records'!$F$156:$F$517,MATCH(RIGHT(L1499,255),RIGHT('Disaggregation Records'!$D$156:$D$517,255),0))),"")</f>
        <v/>
      </c>
      <c r="O1499" s="314" t="str">
        <f t="array" aca="1" ref="O1499" ca="1">IFERROR(IF(INDEX('Disaggregation Records'!$H$156:$H$517,MATCH(RIGHT(L1499,255),RIGHT('Disaggregation Records'!$D$156:$D$517,255),0))="","",INDEX('Disaggregation Records'!$H$156:$H$517,MATCH(RIGHT(L1499,255),RIGHT('Disaggregation Records'!$D$156:$D$517,255),0))),"")</f>
        <v/>
      </c>
      <c r="P1499" s="310"/>
      <c r="Q1499" s="310">
        <f t="shared" ref="Q1499" si="1694">Q1497+1</f>
        <v>2051</v>
      </c>
      <c r="R1499" s="314" t="str" cm="1">
        <f t="array" aca="1" ref="R1499" ca="1">IFERROR(IF(INDEX('Disaggregation Records'!$G$156:$G$517,MATCH(RIGHT(L1499,255),RIGHT('Disaggregation Records'!$D$156:$D$517,255),0))="","",INDEX('Disaggregation Records'!$G$156:$G$517,MATCH(RIGHT(L1499,255),RIGHT('Disaggregation Records'!$D$156:$D$517,255),0))),"")</f>
        <v/>
      </c>
    </row>
    <row r="1500" spans="1:18" ht="20.100000000000001" customHeight="1">
      <c r="B1500" s="571"/>
      <c r="C1500" s="573"/>
      <c r="D1500" s="575"/>
      <c r="E1500" s="575"/>
      <c r="F1500" s="128"/>
      <c r="G1500" s="577"/>
      <c r="H1500" s="540"/>
      <c r="I1500" s="579"/>
      <c r="J1500" s="533"/>
      <c r="L1500" s="126"/>
      <c r="N1500" s="126"/>
      <c r="O1500" s="314"/>
      <c r="P1500" s="310"/>
      <c r="Q1500" s="310"/>
      <c r="R1500" s="314" t="str" cm="1">
        <f t="array" ref="R1500">IFERROR(IF(INDEX('Disaggregation Records'!$G$156:$G$517,MATCH(RIGHT(L1500,255),RIGHT('Disaggregation Records'!$D$156:$D$517,255),0))="","",INDEX('Disaggregation Records'!$G$156:$G$517,MATCH(RIGHT(L1500,255),RIGHT('Disaggregation Records'!$D$156:$D$517,255),0))),"")</f>
        <v/>
      </c>
    </row>
    <row r="1501" spans="1:18" ht="20.100000000000001" customHeight="1">
      <c r="A1501" s="126" t="str">
        <f t="shared" ca="1" si="1649"/>
        <v>a16Dm000000M3xHIAS</v>
      </c>
      <c r="B1501" s="570">
        <v>23</v>
      </c>
      <c r="C1501" s="572" t="str">
        <f ca="1">IFERROR(VLOOKUP(B1501,'Coverage Indicators - Section D'!$A$9:$AO$94,41,FALSE),"")</f>
        <v>HTS-3b Percentage of TG that have received an HIV test during the reporting period in KP-specific programs and know their results</v>
      </c>
      <c r="D1501" s="574" t="str">
        <f ca="1">M1501</f>
        <v>Age</v>
      </c>
      <c r="E1501" s="574" t="str">
        <f ca="1">N1501</f>
        <v>25+</v>
      </c>
      <c r="F1501" s="127"/>
      <c r="G1501" s="576" t="str">
        <f ca="1">IF(OR(INDIRECT("'update Helper'!E"&amp;Q1501)="",F1501&lt;&gt;0,F1502&lt;&gt;0),IF(IFERROR((F1501/F1502),"")="","",(F1501/F1502)),INDIRECT("'update Helper'!E"&amp;Q1501)/100)</f>
        <v/>
      </c>
      <c r="H1501" s="539"/>
      <c r="I1501" s="578"/>
      <c r="J1501" s="532" t="s">
        <v>2301</v>
      </c>
      <c r="K1501" s="126">
        <f ca="1">IF(AND(EXACT(C1501,C1499),C1499&lt;&gt;0),K1499+1,0)</f>
        <v>0</v>
      </c>
      <c r="L1501" s="126" t="str">
        <f t="shared" ref="L1501" ca="1" si="1695">IF(C1501&lt;&gt;"",C1501&amp;"-"&amp;K1501,"")</f>
        <v>HTS-3b Percentage of TG that have received an HIV test during the reporting period in KP-specific programs and know their results-0</v>
      </c>
      <c r="M1501" s="126" t="str">
        <f t="array" aca="1" ref="M1501" ca="1">IFERROR(IF(INDEX('Disaggregation Records'!$E$156:$E$517,MATCH(RIGHT(L1501,255),RIGHT('Disaggregation Records'!$D$156:$D$517,255),0))="","",INDEX('Disaggregation Records'!$E$156:$E$517,MATCH(RIGHT(L1501,255),RIGHT('Disaggregation Records'!$D$156:$D$517,255),0))),"")</f>
        <v>Age</v>
      </c>
      <c r="N1501" s="126" t="str">
        <f t="array" aca="1" ref="N1501" ca="1">IFERROR(IF(INDEX('Disaggregation Records'!$F$156:$F$517,MATCH(RIGHT(L1501,255),RIGHT('Disaggregation Records'!$D$156:$D$517,255),0))="","",INDEX('Disaggregation Records'!$F$156:$F$517,MATCH(RIGHT(L1501,255),RIGHT('Disaggregation Records'!$D$156:$D$517,255),0))),"")</f>
        <v>25+</v>
      </c>
      <c r="O1501" s="314" t="str">
        <f t="array" aca="1" ref="O1501" ca="1">IFERROR(IF(INDEX('Disaggregation Records'!$H$156:$H$517,MATCH(RIGHT(L1501,255),RIGHT('Disaggregation Records'!$D$156:$D$517,255),0))="","",INDEX('Disaggregation Records'!$H$156:$H$517,MATCH(RIGHT(L1501,255),RIGHT('Disaggregation Records'!$D$156:$D$517,255),0))),"")</f>
        <v>IDR-01275</v>
      </c>
      <c r="P1501" s="314"/>
      <c r="Q1501" s="310">
        <f t="shared" ref="Q1501" si="1696">Q1499+1</f>
        <v>2052</v>
      </c>
      <c r="R1501" s="314" t="str" cm="1">
        <f t="array" aca="1" ref="R1501" ca="1">IFERROR(IF(INDEX('Disaggregation Records'!$G$156:$G$517,MATCH(RIGHT(L1501,255),RIGHT('Disaggregation Records'!$D$156:$D$517,255),0))="","",INDEX('Disaggregation Records'!$G$156:$G$517,MATCH(RIGHT(L1501,255),RIGHT('Disaggregation Records'!$D$156:$D$517,255),0))),"")</f>
        <v>a1LDm000000Cb3JMAS</v>
      </c>
    </row>
    <row r="1502" spans="1:18" ht="20.100000000000001" customHeight="1">
      <c r="A1502" s="126"/>
      <c r="B1502" s="571"/>
      <c r="C1502" s="573"/>
      <c r="D1502" s="575"/>
      <c r="E1502" s="575"/>
      <c r="F1502" s="128"/>
      <c r="G1502" s="577"/>
      <c r="H1502" s="540"/>
      <c r="I1502" s="579"/>
      <c r="J1502" s="533"/>
      <c r="K1502" s="126"/>
      <c r="L1502" s="126"/>
      <c r="M1502" s="126"/>
      <c r="N1502" s="126"/>
      <c r="O1502" s="314"/>
      <c r="P1502" s="314"/>
      <c r="Q1502" s="310"/>
      <c r="R1502" s="314" t="str" cm="1">
        <f t="array" ref="R1502">IFERROR(IF(INDEX('Disaggregation Records'!$G$156:$G$517,MATCH(RIGHT(L1502,255),RIGHT('Disaggregation Records'!$D$156:$D$517,255),0))="","",INDEX('Disaggregation Records'!$G$156:$G$517,MATCH(RIGHT(L1502,255),RIGHT('Disaggregation Records'!$D$156:$D$517,255),0))),"")</f>
        <v/>
      </c>
    </row>
    <row r="1503" spans="1:18" ht="20.100000000000001" customHeight="1">
      <c r="A1503" s="126" t="str">
        <f t="shared" ca="1" si="1652"/>
        <v>a16Dm000000M3xIIAS</v>
      </c>
      <c r="B1503" s="570">
        <v>23</v>
      </c>
      <c r="C1503" s="572" t="str">
        <f ca="1">IFERROR(VLOOKUP(B1503,'Coverage Indicators - Section D'!$A$9:$AO$94,41,FALSE),"")</f>
        <v>HTS-3b Percentage of TG that have received an HIV test during the reporting period in KP-specific programs and know their results</v>
      </c>
      <c r="D1503" s="574" t="str">
        <f ca="1">M1503</f>
        <v>Age</v>
      </c>
      <c r="E1503" s="574" t="str">
        <f ca="1">N1503</f>
        <v>20-24</v>
      </c>
      <c r="F1503" s="127"/>
      <c r="G1503" s="576" t="str">
        <f ca="1">IF(OR(INDIRECT("'update Helper'!E"&amp;Q1503)="",F1503&lt;&gt;0,F1504&lt;&gt;0),IF(IFERROR((F1503/F1504),"")="","",(F1503/F1504)),INDIRECT("'update Helper'!E"&amp;Q1503)/100)</f>
        <v/>
      </c>
      <c r="H1503" s="539"/>
      <c r="I1503" s="578"/>
      <c r="J1503" s="532" t="s">
        <v>2301</v>
      </c>
      <c r="K1503" s="126">
        <f ca="1">IF(AND(EXACT(C1503,C1501),C1501&lt;&gt;0),K1501+1,0)</f>
        <v>1</v>
      </c>
      <c r="L1503" s="126" t="str">
        <f t="shared" ref="L1503" ca="1" si="1697">IF(C1503&lt;&gt;"",C1503&amp;"-"&amp;K1503,"")</f>
        <v>HTS-3b Percentage of TG that have received an HIV test during the reporting period in KP-specific programs and know their results-1</v>
      </c>
      <c r="M1503" s="126" t="str">
        <f t="array" aca="1" ref="M1503" ca="1">IFERROR(IF(INDEX('Disaggregation Records'!$E$156:$E$517,MATCH(RIGHT(L1503,255),RIGHT('Disaggregation Records'!$D$156:$D$517,255),0))="","",INDEX('Disaggregation Records'!$E$156:$E$517,MATCH(RIGHT(L1503,255),RIGHT('Disaggregation Records'!$D$156:$D$517,255),0))),"")</f>
        <v>Age</v>
      </c>
      <c r="N1503" s="126" t="str">
        <f t="array" aca="1" ref="N1503" ca="1">IFERROR(IF(INDEX('Disaggregation Records'!$F$156:$F$517,MATCH(RIGHT(L1503,255),RIGHT('Disaggregation Records'!$D$156:$D$517,255),0))="","",INDEX('Disaggregation Records'!$F$156:$F$517,MATCH(RIGHT(L1503,255),RIGHT('Disaggregation Records'!$D$156:$D$517,255),0))),"")</f>
        <v>20-24</v>
      </c>
      <c r="O1503" s="314" t="str">
        <f t="array" aca="1" ref="O1503" ca="1">IFERROR(IF(INDEX('Disaggregation Records'!$H$156:$H$517,MATCH(RIGHT(L1503,255),RIGHT('Disaggregation Records'!$D$156:$D$517,255),0))="","",INDEX('Disaggregation Records'!$H$156:$H$517,MATCH(RIGHT(L1503,255),RIGHT('Disaggregation Records'!$D$156:$D$517,255),0))),"")</f>
        <v>IDR-01274</v>
      </c>
      <c r="P1503" s="314"/>
      <c r="Q1503" s="310">
        <f t="shared" ref="Q1503" si="1698">Q1501+1</f>
        <v>2053</v>
      </c>
      <c r="R1503" s="314" t="str" cm="1">
        <f t="array" aca="1" ref="R1503" ca="1">IFERROR(IF(INDEX('Disaggregation Records'!$G$156:$G$517,MATCH(RIGHT(L1503,255),RIGHT('Disaggregation Records'!$D$156:$D$517,255),0))="","",INDEX('Disaggregation Records'!$G$156:$G$517,MATCH(RIGHT(L1503,255),RIGHT('Disaggregation Records'!$D$156:$D$517,255),0))),"")</f>
        <v>a1LDm000000Cb3IMAS</v>
      </c>
    </row>
    <row r="1504" spans="1:18" ht="20.100000000000001" customHeight="1">
      <c r="B1504" s="571"/>
      <c r="C1504" s="573"/>
      <c r="D1504" s="575"/>
      <c r="E1504" s="575"/>
      <c r="F1504" s="128"/>
      <c r="G1504" s="577"/>
      <c r="H1504" s="540"/>
      <c r="I1504" s="579"/>
      <c r="J1504" s="533"/>
      <c r="K1504" s="126"/>
      <c r="L1504" s="126"/>
      <c r="M1504" s="126"/>
      <c r="N1504" s="126"/>
      <c r="O1504" s="314"/>
      <c r="P1504" s="314"/>
      <c r="Q1504" s="310"/>
      <c r="R1504" s="314" t="str" cm="1">
        <f t="array" ref="R1504">IFERROR(IF(INDEX('Disaggregation Records'!$G$156:$G$517,MATCH(RIGHT(L1504,255),RIGHT('Disaggregation Records'!$D$156:$D$517,255),0))="","",INDEX('Disaggregation Records'!$G$156:$G$517,MATCH(RIGHT(L1504,255),RIGHT('Disaggregation Records'!$D$156:$D$517,255),0))),"")</f>
        <v/>
      </c>
    </row>
    <row r="1505" spans="1:18" ht="20.100000000000001" customHeight="1">
      <c r="A1505" s="126" t="str">
        <f t="shared" ca="1" si="1649"/>
        <v>a16Dm000000M3xJIAS</v>
      </c>
      <c r="B1505" s="570">
        <v>23</v>
      </c>
      <c r="C1505" s="572" t="str">
        <f ca="1">IFERROR(VLOOKUP(B1505,'Coverage Indicators - Section D'!$A$9:$AO$94,41,FALSE),"")</f>
        <v>HTS-3b Percentage of TG that have received an HIV test during the reporting period in KP-specific programs and know their results</v>
      </c>
      <c r="D1505" s="574" t="str">
        <f ca="1">M1505</f>
        <v>Gender</v>
      </c>
      <c r="E1505" s="574" t="str">
        <f ca="1">N1505</f>
        <v>Transwomen</v>
      </c>
      <c r="F1505" s="127"/>
      <c r="G1505" s="576" t="str">
        <f ca="1">IF(OR(INDIRECT("'update Helper'!E"&amp;Q1505)="",F1505&lt;&gt;0,F1506&lt;&gt;0),IF(IFERROR((F1505/F1506),"")="","",(F1505/F1506)),INDIRECT("'update Helper'!E"&amp;Q1505)/100)</f>
        <v/>
      </c>
      <c r="H1505" s="539"/>
      <c r="I1505" s="578"/>
      <c r="J1505" s="532" t="s">
        <v>2301</v>
      </c>
      <c r="K1505" s="126">
        <f ca="1">IF(AND(EXACT(C1505,C1503),C1503&lt;&gt;0),K1503+1,0)</f>
        <v>2</v>
      </c>
      <c r="L1505" s="126" t="str">
        <f t="shared" ref="L1505" ca="1" si="1699">IF(C1505&lt;&gt;"",C1505&amp;"-"&amp;K1505,"")</f>
        <v>HTS-3b Percentage of TG that have received an HIV test during the reporting period in KP-specific programs and know their results-2</v>
      </c>
      <c r="M1505" s="126" t="str">
        <f t="array" aca="1" ref="M1505" ca="1">IFERROR(IF(INDEX('Disaggregation Records'!$E$156:$E$517,MATCH(RIGHT(L1505,255),RIGHT('Disaggregation Records'!$D$156:$D$517,255),0))="","",INDEX('Disaggregation Records'!$E$156:$E$517,MATCH(RIGHT(L1505,255),RIGHT('Disaggregation Records'!$D$156:$D$517,255),0))),"")</f>
        <v>Gender</v>
      </c>
      <c r="N1505" s="126" t="str">
        <f t="array" aca="1" ref="N1505" ca="1">IFERROR(IF(INDEX('Disaggregation Records'!$F$156:$F$517,MATCH(RIGHT(L1505,255),RIGHT('Disaggregation Records'!$D$156:$D$517,255),0))="","",INDEX('Disaggregation Records'!$F$156:$F$517,MATCH(RIGHT(L1505,255),RIGHT('Disaggregation Records'!$D$156:$D$517,255),0))),"")</f>
        <v>Transwomen</v>
      </c>
      <c r="O1505" s="314" t="str">
        <f t="array" aca="1" ref="O1505" ca="1">IFERROR(IF(INDEX('Disaggregation Records'!$H$156:$H$517,MATCH(RIGHT(L1505,255),RIGHT('Disaggregation Records'!$D$156:$D$517,255),0))="","",INDEX('Disaggregation Records'!$H$156:$H$517,MATCH(RIGHT(L1505,255),RIGHT('Disaggregation Records'!$D$156:$D$517,255),0))),"")</f>
        <v>IDR-01273</v>
      </c>
      <c r="P1505" s="310"/>
      <c r="Q1505" s="310">
        <f t="shared" ref="Q1505" si="1700">Q1503+1</f>
        <v>2054</v>
      </c>
      <c r="R1505" s="314" t="str" cm="1">
        <f t="array" aca="1" ref="R1505" ca="1">IFERROR(IF(INDEX('Disaggregation Records'!$G$156:$G$517,MATCH(RIGHT(L1505,255),RIGHT('Disaggregation Records'!$D$156:$D$517,255),0))="","",INDEX('Disaggregation Records'!$G$156:$G$517,MATCH(RIGHT(L1505,255),RIGHT('Disaggregation Records'!$D$156:$D$517,255),0))),"")</f>
        <v>a1LDm000000Cb3HMAS</v>
      </c>
    </row>
    <row r="1506" spans="1:18" ht="20.100000000000001" customHeight="1">
      <c r="A1506" s="126"/>
      <c r="B1506" s="571"/>
      <c r="C1506" s="573"/>
      <c r="D1506" s="575"/>
      <c r="E1506" s="575"/>
      <c r="F1506" s="128"/>
      <c r="G1506" s="577"/>
      <c r="H1506" s="540"/>
      <c r="I1506" s="579"/>
      <c r="J1506" s="533"/>
      <c r="L1506" s="126"/>
      <c r="N1506" s="126"/>
      <c r="O1506" s="314"/>
      <c r="P1506" s="310"/>
      <c r="Q1506" s="310"/>
      <c r="R1506" s="314" t="str" cm="1">
        <f t="array" ref="R1506">IFERROR(IF(INDEX('Disaggregation Records'!$G$156:$G$517,MATCH(RIGHT(L1506,255),RIGHT('Disaggregation Records'!$D$156:$D$517,255),0))="","",INDEX('Disaggregation Records'!$G$156:$G$517,MATCH(RIGHT(L1506,255),RIGHT('Disaggregation Records'!$D$156:$D$517,255),0))),"")</f>
        <v/>
      </c>
    </row>
    <row r="1507" spans="1:18" ht="20.100000000000001" customHeight="1">
      <c r="A1507" s="126" t="str">
        <f t="shared" ca="1" si="1652"/>
        <v>a16Dm000000M3xKIAS</v>
      </c>
      <c r="B1507" s="570">
        <v>23</v>
      </c>
      <c r="C1507" s="572" t="str">
        <f ca="1">IFERROR(VLOOKUP(B1507,'Coverage Indicators - Section D'!$A$9:$AO$94,41,FALSE),"")</f>
        <v>HTS-3b Percentage of TG that have received an HIV test during the reporting period in KP-specific programs and know their results</v>
      </c>
      <c r="D1507" s="574" t="str">
        <f ca="1">M1507</f>
        <v>Gender</v>
      </c>
      <c r="E1507" s="574" t="str">
        <f ca="1">N1507</f>
        <v>Transmen</v>
      </c>
      <c r="F1507" s="127"/>
      <c r="G1507" s="576" t="str">
        <f ca="1">IF(OR(INDIRECT("'update Helper'!E"&amp;Q1507)="",F1507&lt;&gt;0,F1508&lt;&gt;0),IF(IFERROR((F1507/F1508),"")="","",(F1507/F1508)),INDIRECT("'update Helper'!E"&amp;Q1507)/100)</f>
        <v/>
      </c>
      <c r="H1507" s="539"/>
      <c r="I1507" s="578"/>
      <c r="J1507" s="532" t="s">
        <v>2301</v>
      </c>
      <c r="K1507" s="126">
        <f ca="1">IF(AND(EXACT(C1507,C1505),C1505&lt;&gt;0),K1505+1,0)</f>
        <v>3</v>
      </c>
      <c r="L1507" s="126" t="str">
        <f t="shared" ref="L1507" ca="1" si="1701">IF(C1507&lt;&gt;"",C1507&amp;"-"&amp;K1507,"")</f>
        <v>HTS-3b Percentage of TG that have received an HIV test during the reporting period in KP-specific programs and know their results-3</v>
      </c>
      <c r="M1507" s="126" t="str">
        <f t="array" aca="1" ref="M1507" ca="1">IFERROR(IF(INDEX('Disaggregation Records'!$E$156:$E$517,MATCH(RIGHT(L1507,255),RIGHT('Disaggregation Records'!$D$156:$D$517,255),0))="","",INDEX('Disaggregation Records'!$E$156:$E$517,MATCH(RIGHT(L1507,255),RIGHT('Disaggregation Records'!$D$156:$D$517,255),0))),"")</f>
        <v>Gender</v>
      </c>
      <c r="N1507" s="126" t="str">
        <f t="array" aca="1" ref="N1507" ca="1">IFERROR(IF(INDEX('Disaggregation Records'!$F$156:$F$517,MATCH(RIGHT(L1507,255),RIGHT('Disaggregation Records'!$D$156:$D$517,255),0))="","",INDEX('Disaggregation Records'!$F$156:$F$517,MATCH(RIGHT(L1507,255),RIGHT('Disaggregation Records'!$D$156:$D$517,255),0))),"")</f>
        <v>Transmen</v>
      </c>
      <c r="O1507" s="314" t="str">
        <f t="array" aca="1" ref="O1507" ca="1">IFERROR(IF(INDEX('Disaggregation Records'!$H$156:$H$517,MATCH(RIGHT(L1507,255),RIGHT('Disaggregation Records'!$D$156:$D$517,255),0))="","",INDEX('Disaggregation Records'!$H$156:$H$517,MATCH(RIGHT(L1507,255),RIGHT('Disaggregation Records'!$D$156:$D$517,255),0))),"")</f>
        <v>IDR-01272</v>
      </c>
      <c r="P1507" s="310"/>
      <c r="Q1507" s="310">
        <f t="shared" ref="Q1507" si="1702">Q1505+1</f>
        <v>2055</v>
      </c>
      <c r="R1507" s="314" t="str" cm="1">
        <f t="array" aca="1" ref="R1507" ca="1">IFERROR(IF(INDEX('Disaggregation Records'!$G$156:$G$517,MATCH(RIGHT(L1507,255),RIGHT('Disaggregation Records'!$D$156:$D$517,255),0))="","",INDEX('Disaggregation Records'!$G$156:$G$517,MATCH(RIGHT(L1507,255),RIGHT('Disaggregation Records'!$D$156:$D$517,255),0))),"")</f>
        <v>a1LDm000000Cb3GMAS</v>
      </c>
    </row>
    <row r="1508" spans="1:18" ht="20.100000000000001" customHeight="1">
      <c r="B1508" s="571"/>
      <c r="C1508" s="573"/>
      <c r="D1508" s="575"/>
      <c r="E1508" s="575"/>
      <c r="F1508" s="128"/>
      <c r="G1508" s="577"/>
      <c r="H1508" s="540"/>
      <c r="I1508" s="579"/>
      <c r="J1508" s="533"/>
      <c r="L1508" s="126"/>
      <c r="N1508" s="126"/>
      <c r="O1508" s="314"/>
      <c r="P1508" s="310"/>
      <c r="Q1508" s="310"/>
      <c r="R1508" s="314" t="str" cm="1">
        <f t="array" ref="R1508">IFERROR(IF(INDEX('Disaggregation Records'!$G$156:$G$517,MATCH(RIGHT(L1508,255),RIGHT('Disaggregation Records'!$D$156:$D$517,255),0))="","",INDEX('Disaggregation Records'!$G$156:$G$517,MATCH(RIGHT(L1508,255),RIGHT('Disaggregation Records'!$D$156:$D$517,255),0))),"")</f>
        <v/>
      </c>
    </row>
    <row r="1509" spans="1:18" ht="20.100000000000001" customHeight="1">
      <c r="A1509" s="126" t="str">
        <f t="shared" ca="1" si="1649"/>
        <v>a16Dm000000M3xLIAS</v>
      </c>
      <c r="B1509" s="570">
        <v>23</v>
      </c>
      <c r="C1509" s="572" t="str">
        <f ca="1">IFERROR(VLOOKUP(B1509,'Coverage Indicators - Section D'!$A$9:$AO$94,41,FALSE),"")</f>
        <v>HTS-3b Percentage of TG that have received an HIV test during the reporting period in KP-specific programs and know their results</v>
      </c>
      <c r="D1509" s="574" t="str">
        <f ca="1">M1509</f>
        <v>Age</v>
      </c>
      <c r="E1509" s="574" t="str">
        <f ca="1">N1509</f>
        <v>15-19</v>
      </c>
      <c r="F1509" s="127"/>
      <c r="G1509" s="576" t="str">
        <f ca="1">IF(OR(INDIRECT("'update Helper'!E"&amp;Q1509)="",F1509&lt;&gt;0,F1510&lt;&gt;0),IF(IFERROR((F1509/F1510),"")="","",(F1509/F1510)),INDIRECT("'update Helper'!E"&amp;Q1509)/100)</f>
        <v/>
      </c>
      <c r="H1509" s="539"/>
      <c r="I1509" s="578"/>
      <c r="J1509" s="532" t="s">
        <v>2301</v>
      </c>
      <c r="K1509" s="126">
        <f ca="1">IF(AND(EXACT(C1509,C1507),C1507&lt;&gt;0),K1507+1,0)</f>
        <v>4</v>
      </c>
      <c r="L1509" s="126" t="str">
        <f t="shared" ref="L1509" ca="1" si="1703">IF(C1509&lt;&gt;"",C1509&amp;"-"&amp;K1509,"")</f>
        <v>HTS-3b Percentage of TG that have received an HIV test during the reporting period in KP-specific programs and know their results-4</v>
      </c>
      <c r="M1509" s="126" t="str">
        <f t="array" aca="1" ref="M1509" ca="1">IFERROR(IF(INDEX('Disaggregation Records'!$E$156:$E$517,MATCH(RIGHT(L1509,255),RIGHT('Disaggregation Records'!$D$156:$D$517,255),0))="","",INDEX('Disaggregation Records'!$E$156:$E$517,MATCH(RIGHT(L1509,255),RIGHT('Disaggregation Records'!$D$156:$D$517,255),0))),"")</f>
        <v>Age</v>
      </c>
      <c r="N1509" s="126" t="str">
        <f t="array" aca="1" ref="N1509" ca="1">IFERROR(IF(INDEX('Disaggregation Records'!$F$156:$F$517,MATCH(RIGHT(L1509,255),RIGHT('Disaggregation Records'!$D$156:$D$517,255),0))="","",INDEX('Disaggregation Records'!$F$156:$F$517,MATCH(RIGHT(L1509,255),RIGHT('Disaggregation Records'!$D$156:$D$517,255),0))),"")</f>
        <v>15-19</v>
      </c>
      <c r="O1509" s="314" t="str">
        <f t="array" aca="1" ref="O1509" ca="1">IFERROR(IF(INDEX('Disaggregation Records'!$H$156:$H$517,MATCH(RIGHT(L1509,255),RIGHT('Disaggregation Records'!$D$156:$D$517,255),0))="","",INDEX('Disaggregation Records'!$H$156:$H$517,MATCH(RIGHT(L1509,255),RIGHT('Disaggregation Records'!$D$156:$D$517,255),0))),"")</f>
        <v>IDR-01271</v>
      </c>
      <c r="P1509" s="310"/>
      <c r="Q1509" s="310">
        <f t="shared" ref="Q1509" si="1704">Q1507+1</f>
        <v>2056</v>
      </c>
      <c r="R1509" s="314" t="str" cm="1">
        <f t="array" aca="1" ref="R1509" ca="1">IFERROR(IF(INDEX('Disaggregation Records'!$G$156:$G$517,MATCH(RIGHT(L1509,255),RIGHT('Disaggregation Records'!$D$156:$D$517,255),0))="","",INDEX('Disaggregation Records'!$G$156:$G$517,MATCH(RIGHT(L1509,255),RIGHT('Disaggregation Records'!$D$156:$D$517,255),0))),"")</f>
        <v>a1LDm000000Cb3FMAS</v>
      </c>
    </row>
    <row r="1510" spans="1:18" ht="20.100000000000001" customHeight="1">
      <c r="A1510" s="126"/>
      <c r="B1510" s="571"/>
      <c r="C1510" s="573"/>
      <c r="D1510" s="575"/>
      <c r="E1510" s="575"/>
      <c r="F1510" s="128"/>
      <c r="G1510" s="577"/>
      <c r="H1510" s="540"/>
      <c r="I1510" s="579"/>
      <c r="J1510" s="533"/>
      <c r="L1510" s="126"/>
      <c r="N1510" s="126"/>
      <c r="O1510" s="314"/>
      <c r="P1510" s="310"/>
      <c r="Q1510" s="310"/>
      <c r="R1510" s="314" t="str" cm="1">
        <f t="array" ref="R1510">IFERROR(IF(INDEX('Disaggregation Records'!$G$156:$G$517,MATCH(RIGHT(L1510,255),RIGHT('Disaggregation Records'!$D$156:$D$517,255),0))="","",INDEX('Disaggregation Records'!$G$156:$G$517,MATCH(RIGHT(L1510,255),RIGHT('Disaggregation Records'!$D$156:$D$517,255),0))),"")</f>
        <v/>
      </c>
    </row>
    <row r="1511" spans="1:18" ht="20.100000000000001" customHeight="1">
      <c r="A1511" s="126" t="str">
        <f t="shared" ca="1" si="1652"/>
        <v>a16Dm000000M3xMIAS</v>
      </c>
      <c r="B1511" s="570">
        <v>23</v>
      </c>
      <c r="C1511" s="572" t="str">
        <f ca="1">IFERROR(VLOOKUP(B1511,'Coverage Indicators - Section D'!$A$9:$AO$94,41,FALSE),"")</f>
        <v>HTS-3b Percentage of TG that have received an HIV test during the reporting period in KP-specific programs and know their results</v>
      </c>
      <c r="D1511" s="574" t="str">
        <f ca="1">M1511</f>
        <v/>
      </c>
      <c r="E1511" s="574" t="str">
        <f ca="1">N1511</f>
        <v/>
      </c>
      <c r="F1511" s="127"/>
      <c r="G1511" s="576" t="str">
        <f ca="1">IF(OR(INDIRECT("'update Helper'!E"&amp;Q1511)="",F1511&lt;&gt;0,F1512&lt;&gt;0),IF(IFERROR((F1511/F1512),"")="","",(F1511/F1512)),INDIRECT("'update Helper'!E"&amp;Q1511)/100)</f>
        <v/>
      </c>
      <c r="H1511" s="539"/>
      <c r="I1511" s="578"/>
      <c r="J1511" s="532"/>
      <c r="K1511" s="126">
        <f ca="1">IF(AND(EXACT(C1511,C1509),C1509&lt;&gt;0),K1509+1,0)</f>
        <v>5</v>
      </c>
      <c r="L1511" s="126" t="str">
        <f t="shared" ref="L1511" ca="1" si="1705">IF(C1511&lt;&gt;"",C1511&amp;"-"&amp;K1511,"")</f>
        <v>HTS-3b Percentage of TG that have received an HIV test during the reporting period in KP-specific programs and know their results-5</v>
      </c>
      <c r="M1511" s="126" t="str">
        <f t="array" aca="1" ref="M1511" ca="1">IFERROR(IF(INDEX('Disaggregation Records'!$E$156:$E$517,MATCH(RIGHT(L1511,255),RIGHT('Disaggregation Records'!$D$156:$D$517,255),0))="","",INDEX('Disaggregation Records'!$E$156:$E$517,MATCH(RIGHT(L1511,255),RIGHT('Disaggregation Records'!$D$156:$D$517,255),0))),"")</f>
        <v/>
      </c>
      <c r="N1511" s="126" t="str">
        <f t="array" aca="1" ref="N1511" ca="1">IFERROR(IF(INDEX('Disaggregation Records'!$F$156:$F$517,MATCH(RIGHT(L1511,255),RIGHT('Disaggregation Records'!$D$156:$D$517,255),0))="","",INDEX('Disaggregation Records'!$F$156:$F$517,MATCH(RIGHT(L1511,255),RIGHT('Disaggregation Records'!$D$156:$D$517,255),0))),"")</f>
        <v/>
      </c>
      <c r="O1511" s="314" t="str">
        <f t="array" aca="1" ref="O1511" ca="1">IFERROR(IF(INDEX('Disaggregation Records'!$H$156:$H$517,MATCH(RIGHT(L1511,255),RIGHT('Disaggregation Records'!$D$156:$D$517,255),0))="","",INDEX('Disaggregation Records'!$H$156:$H$517,MATCH(RIGHT(L1511,255),RIGHT('Disaggregation Records'!$D$156:$D$517,255),0))),"")</f>
        <v/>
      </c>
      <c r="P1511" s="314"/>
      <c r="Q1511" s="310">
        <f t="shared" ref="Q1511" si="1706">Q1509+1</f>
        <v>2057</v>
      </c>
      <c r="R1511" s="314" t="str" cm="1">
        <f t="array" aca="1" ref="R1511" ca="1">IFERROR(IF(INDEX('Disaggregation Records'!$G$156:$G$517,MATCH(RIGHT(L1511,255),RIGHT('Disaggregation Records'!$D$156:$D$517,255),0))="","",INDEX('Disaggregation Records'!$G$156:$G$517,MATCH(RIGHT(L1511,255),RIGHT('Disaggregation Records'!$D$156:$D$517,255),0))),"")</f>
        <v/>
      </c>
    </row>
    <row r="1512" spans="1:18" ht="20.100000000000001" customHeight="1">
      <c r="B1512" s="571"/>
      <c r="C1512" s="573"/>
      <c r="D1512" s="575"/>
      <c r="E1512" s="575"/>
      <c r="F1512" s="128"/>
      <c r="G1512" s="577"/>
      <c r="H1512" s="540"/>
      <c r="I1512" s="579"/>
      <c r="J1512" s="533"/>
      <c r="K1512" s="126"/>
      <c r="L1512" s="126"/>
      <c r="M1512" s="126"/>
      <c r="N1512" s="126"/>
      <c r="O1512" s="314"/>
      <c r="P1512" s="314"/>
      <c r="Q1512" s="310"/>
      <c r="R1512" s="314" t="str" cm="1">
        <f t="array" ref="R1512">IFERROR(IF(INDEX('Disaggregation Records'!$G$156:$G$517,MATCH(RIGHT(L1512,255),RIGHT('Disaggregation Records'!$D$156:$D$517,255),0))="","",INDEX('Disaggregation Records'!$G$156:$G$517,MATCH(RIGHT(L1512,255),RIGHT('Disaggregation Records'!$D$156:$D$517,255),0))),"")</f>
        <v/>
      </c>
    </row>
    <row r="1513" spans="1:18" ht="20.100000000000001" customHeight="1">
      <c r="A1513" s="126" t="str">
        <f t="shared" ca="1" si="1649"/>
        <v>a16Dm000000M3xNIAS</v>
      </c>
      <c r="B1513" s="570">
        <v>23</v>
      </c>
      <c r="C1513" s="572" t="str">
        <f ca="1">IFERROR(VLOOKUP(B1513,'Coverage Indicators - Section D'!$A$9:$AO$94,41,FALSE),"")</f>
        <v>HTS-3b Percentage of TG that have received an HIV test during the reporting period in KP-specific programs and know their results</v>
      </c>
      <c r="D1513" s="574" t="str">
        <f ca="1">M1513</f>
        <v/>
      </c>
      <c r="E1513" s="574" t="str">
        <f ca="1">N1513</f>
        <v/>
      </c>
      <c r="F1513" s="127"/>
      <c r="G1513" s="576" t="str">
        <f ca="1">IF(OR(INDIRECT("'update Helper'!E"&amp;Q1513)="",F1513&lt;&gt;0,F1514&lt;&gt;0),IF(IFERROR((F1513/F1514),"")="","",(F1513/F1514)),INDIRECT("'update Helper'!E"&amp;Q1513)/100)</f>
        <v/>
      </c>
      <c r="H1513" s="539"/>
      <c r="I1513" s="578"/>
      <c r="J1513" s="532"/>
      <c r="K1513" s="126">
        <f ca="1">IF(AND(EXACT(C1513,C1511),C1511&lt;&gt;0),K1511+1,0)</f>
        <v>6</v>
      </c>
      <c r="L1513" s="126" t="str">
        <f t="shared" ref="L1513" ca="1" si="1707">IF(C1513&lt;&gt;"",C1513&amp;"-"&amp;K1513,"")</f>
        <v>HTS-3b Percentage of TG that have received an HIV test during the reporting period in KP-specific programs and know their results-6</v>
      </c>
      <c r="M1513" s="126" t="str">
        <f t="array" aca="1" ref="M1513" ca="1">IFERROR(IF(INDEX('Disaggregation Records'!$E$156:$E$517,MATCH(RIGHT(L1513,255),RIGHT('Disaggregation Records'!$D$156:$D$517,255),0))="","",INDEX('Disaggregation Records'!$E$156:$E$517,MATCH(RIGHT(L1513,255),RIGHT('Disaggregation Records'!$D$156:$D$517,255),0))),"")</f>
        <v/>
      </c>
      <c r="N1513" s="126" t="str">
        <f t="array" aca="1" ref="N1513" ca="1">IFERROR(IF(INDEX('Disaggregation Records'!$F$156:$F$517,MATCH(RIGHT(L1513,255),RIGHT('Disaggregation Records'!$D$156:$D$517,255),0))="","",INDEX('Disaggregation Records'!$F$156:$F$517,MATCH(RIGHT(L1513,255),RIGHT('Disaggregation Records'!$D$156:$D$517,255),0))),"")</f>
        <v/>
      </c>
      <c r="O1513" s="314" t="str">
        <f t="array" aca="1" ref="O1513" ca="1">IFERROR(IF(INDEX('Disaggregation Records'!$H$156:$H$517,MATCH(RIGHT(L1513,255),RIGHT('Disaggregation Records'!$D$156:$D$517,255),0))="","",INDEX('Disaggregation Records'!$H$156:$H$517,MATCH(RIGHT(L1513,255),RIGHT('Disaggregation Records'!$D$156:$D$517,255),0))),"")</f>
        <v/>
      </c>
      <c r="P1513" s="314"/>
      <c r="Q1513" s="310">
        <f t="shared" ref="Q1513" si="1708">Q1511+1</f>
        <v>2058</v>
      </c>
      <c r="R1513" s="314" t="str" cm="1">
        <f t="array" aca="1" ref="R1513" ca="1">IFERROR(IF(INDEX('Disaggregation Records'!$G$156:$G$517,MATCH(RIGHT(L1513,255),RIGHT('Disaggregation Records'!$D$156:$D$517,255),0))="","",INDEX('Disaggregation Records'!$G$156:$G$517,MATCH(RIGHT(L1513,255),RIGHT('Disaggregation Records'!$D$156:$D$517,255),0))),"")</f>
        <v/>
      </c>
    </row>
    <row r="1514" spans="1:18" ht="20.100000000000001" customHeight="1">
      <c r="A1514" s="126"/>
      <c r="B1514" s="571"/>
      <c r="C1514" s="573"/>
      <c r="D1514" s="575"/>
      <c r="E1514" s="575"/>
      <c r="F1514" s="128"/>
      <c r="G1514" s="577"/>
      <c r="H1514" s="540"/>
      <c r="I1514" s="579"/>
      <c r="J1514" s="533"/>
      <c r="K1514" s="126"/>
      <c r="L1514" s="126"/>
      <c r="M1514" s="126"/>
      <c r="N1514" s="126"/>
      <c r="O1514" s="314"/>
      <c r="P1514" s="314"/>
      <c r="Q1514" s="310"/>
      <c r="R1514" s="314" t="str" cm="1">
        <f t="array" ref="R1514">IFERROR(IF(INDEX('Disaggregation Records'!$G$156:$G$517,MATCH(RIGHT(L1514,255),RIGHT('Disaggregation Records'!$D$156:$D$517,255),0))="","",INDEX('Disaggregation Records'!$G$156:$G$517,MATCH(RIGHT(L1514,255),RIGHT('Disaggregation Records'!$D$156:$D$517,255),0))),"")</f>
        <v/>
      </c>
    </row>
    <row r="1515" spans="1:18" ht="20.100000000000001" customHeight="1">
      <c r="A1515" s="126" t="str">
        <f t="shared" ca="1" si="1652"/>
        <v>a16Dm000000M3xOIAS</v>
      </c>
      <c r="B1515" s="570">
        <v>23</v>
      </c>
      <c r="C1515" s="572" t="str">
        <f ca="1">IFERROR(VLOOKUP(B1515,'Coverage Indicators - Section D'!$A$9:$AO$94,41,FALSE),"")</f>
        <v>HTS-3b Percentage of TG that have received an HIV test during the reporting period in KP-specific programs and know their results</v>
      </c>
      <c r="D1515" s="574" t="str">
        <f ca="1">M1515</f>
        <v/>
      </c>
      <c r="E1515" s="574" t="str">
        <f ca="1">N1515</f>
        <v/>
      </c>
      <c r="F1515" s="127"/>
      <c r="G1515" s="576" t="str">
        <f ca="1">IF(OR(INDIRECT("'update Helper'!E"&amp;Q1515)="",F1515&lt;&gt;0,F1516&lt;&gt;0),IF(IFERROR((F1515/F1516),"")="","",(F1515/F1516)),INDIRECT("'update Helper'!E"&amp;Q1515)/100)</f>
        <v/>
      </c>
      <c r="H1515" s="539"/>
      <c r="I1515" s="578"/>
      <c r="J1515" s="532"/>
      <c r="K1515" s="126">
        <f ca="1">IF(AND(EXACT(C1515,C1513),C1513&lt;&gt;0),K1513+1,0)</f>
        <v>7</v>
      </c>
      <c r="L1515" s="126" t="str">
        <f t="shared" ref="L1515" ca="1" si="1709">IF(C1515&lt;&gt;"",C1515&amp;"-"&amp;K1515,"")</f>
        <v>HTS-3b Percentage of TG that have received an HIV test during the reporting period in KP-specific programs and know their results-7</v>
      </c>
      <c r="M1515" s="126" t="str">
        <f t="array" aca="1" ref="M1515" ca="1">IFERROR(IF(INDEX('Disaggregation Records'!$E$156:$E$517,MATCH(RIGHT(L1515,255),RIGHT('Disaggregation Records'!$D$156:$D$517,255),0))="","",INDEX('Disaggregation Records'!$E$156:$E$517,MATCH(RIGHT(L1515,255),RIGHT('Disaggregation Records'!$D$156:$D$517,255),0))),"")</f>
        <v/>
      </c>
      <c r="N1515" s="126" t="str">
        <f t="array" aca="1" ref="N1515" ca="1">IFERROR(IF(INDEX('Disaggregation Records'!$F$156:$F$517,MATCH(RIGHT(L1515,255),RIGHT('Disaggregation Records'!$D$156:$D$517,255),0))="","",INDEX('Disaggregation Records'!$F$156:$F$517,MATCH(RIGHT(L1515,255),RIGHT('Disaggregation Records'!$D$156:$D$517,255),0))),"")</f>
        <v/>
      </c>
      <c r="O1515" s="314" t="str">
        <f t="array" aca="1" ref="O1515" ca="1">IFERROR(IF(INDEX('Disaggregation Records'!$H$156:$H$517,MATCH(RIGHT(L1515,255),RIGHT('Disaggregation Records'!$D$156:$D$517,255),0))="","",INDEX('Disaggregation Records'!$H$156:$H$517,MATCH(RIGHT(L1515,255),RIGHT('Disaggregation Records'!$D$156:$D$517,255),0))),"")</f>
        <v/>
      </c>
      <c r="P1515" s="310"/>
      <c r="Q1515" s="310">
        <f t="shared" ref="Q1515" si="1710">Q1513+1</f>
        <v>2059</v>
      </c>
      <c r="R1515" s="314" t="str" cm="1">
        <f t="array" aca="1" ref="R1515" ca="1">IFERROR(IF(INDEX('Disaggregation Records'!$G$156:$G$517,MATCH(RIGHT(L1515,255),RIGHT('Disaggregation Records'!$D$156:$D$517,255),0))="","",INDEX('Disaggregation Records'!$G$156:$G$517,MATCH(RIGHT(L1515,255),RIGHT('Disaggregation Records'!$D$156:$D$517,255),0))),"")</f>
        <v/>
      </c>
    </row>
    <row r="1516" spans="1:18" ht="20.100000000000001" customHeight="1">
      <c r="B1516" s="571"/>
      <c r="C1516" s="573"/>
      <c r="D1516" s="575"/>
      <c r="E1516" s="575"/>
      <c r="F1516" s="128"/>
      <c r="G1516" s="577"/>
      <c r="H1516" s="540"/>
      <c r="I1516" s="579"/>
      <c r="J1516" s="533"/>
      <c r="L1516" s="126"/>
      <c r="N1516" s="126"/>
      <c r="O1516" s="314"/>
      <c r="P1516" s="310"/>
      <c r="Q1516" s="310"/>
      <c r="R1516" s="314" t="str" cm="1">
        <f t="array" ref="R1516">IFERROR(IF(INDEX('Disaggregation Records'!$G$156:$G$517,MATCH(RIGHT(L1516,255),RIGHT('Disaggregation Records'!$D$156:$D$517,255),0))="","",INDEX('Disaggregation Records'!$G$156:$G$517,MATCH(RIGHT(L1516,255),RIGHT('Disaggregation Records'!$D$156:$D$517,255),0))),"")</f>
        <v/>
      </c>
    </row>
    <row r="1517" spans="1:18" ht="20.100000000000001" customHeight="1">
      <c r="A1517" s="126" t="str">
        <f t="shared" ca="1" si="1649"/>
        <v>a16Dm000000M3xPIAS</v>
      </c>
      <c r="B1517" s="570">
        <v>23</v>
      </c>
      <c r="C1517" s="572" t="str">
        <f ca="1">IFERROR(VLOOKUP(B1517,'Coverage Indicators - Section D'!$A$9:$AO$94,41,FALSE),"")</f>
        <v>HTS-3b Percentage of TG that have received an HIV test during the reporting period in KP-specific programs and know their results</v>
      </c>
      <c r="D1517" s="574" t="str">
        <f ca="1">M1517</f>
        <v/>
      </c>
      <c r="E1517" s="574" t="str">
        <f ca="1">N1517</f>
        <v/>
      </c>
      <c r="F1517" s="127"/>
      <c r="G1517" s="576" t="str">
        <f ca="1">IF(OR(INDIRECT("'update Helper'!E"&amp;Q1517)="",F1517&lt;&gt;0,F1518&lt;&gt;0),IF(IFERROR((F1517/F1518),"")="","",(F1517/F1518)),INDIRECT("'update Helper'!E"&amp;Q1517)/100)</f>
        <v/>
      </c>
      <c r="H1517" s="539"/>
      <c r="I1517" s="578"/>
      <c r="J1517" s="532"/>
      <c r="K1517" s="126">
        <f ca="1">IF(AND(EXACT(C1517,C1515),C1515&lt;&gt;0),K1515+1,0)</f>
        <v>8</v>
      </c>
      <c r="L1517" s="126" t="str">
        <f t="shared" ref="L1517" ca="1" si="1711">IF(C1517&lt;&gt;"",C1517&amp;"-"&amp;K1517,"")</f>
        <v>HTS-3b Percentage of TG that have received an HIV test during the reporting period in KP-specific programs and know their results-8</v>
      </c>
      <c r="M1517" s="126" t="str">
        <f t="array" aca="1" ref="M1517" ca="1">IFERROR(IF(INDEX('Disaggregation Records'!$E$156:$E$517,MATCH(RIGHT(L1517,255),RIGHT('Disaggregation Records'!$D$156:$D$517,255),0))="","",INDEX('Disaggregation Records'!$E$156:$E$517,MATCH(RIGHT(L1517,255),RIGHT('Disaggregation Records'!$D$156:$D$517,255),0))),"")</f>
        <v/>
      </c>
      <c r="N1517" s="126" t="str">
        <f t="array" aca="1" ref="N1517" ca="1">IFERROR(IF(INDEX('Disaggregation Records'!$F$156:$F$517,MATCH(RIGHT(L1517,255),RIGHT('Disaggregation Records'!$D$156:$D$517,255),0))="","",INDEX('Disaggregation Records'!$F$156:$F$517,MATCH(RIGHT(L1517,255),RIGHT('Disaggregation Records'!$D$156:$D$517,255),0))),"")</f>
        <v/>
      </c>
      <c r="O1517" s="314" t="str">
        <f t="array" aca="1" ref="O1517" ca="1">IFERROR(IF(INDEX('Disaggregation Records'!$H$156:$H$517,MATCH(RIGHT(L1517,255),RIGHT('Disaggregation Records'!$D$156:$D$517,255),0))="","",INDEX('Disaggregation Records'!$H$156:$H$517,MATCH(RIGHT(L1517,255),RIGHT('Disaggregation Records'!$D$156:$D$517,255),0))),"")</f>
        <v/>
      </c>
      <c r="P1517" s="310"/>
      <c r="Q1517" s="310">
        <f t="shared" ref="Q1517" si="1712">Q1515+1</f>
        <v>2060</v>
      </c>
      <c r="R1517" s="314" t="str" cm="1">
        <f t="array" aca="1" ref="R1517" ca="1">IFERROR(IF(INDEX('Disaggregation Records'!$G$156:$G$517,MATCH(RIGHT(L1517,255),RIGHT('Disaggregation Records'!$D$156:$D$517,255),0))="","",INDEX('Disaggregation Records'!$G$156:$G$517,MATCH(RIGHT(L1517,255),RIGHT('Disaggregation Records'!$D$156:$D$517,255),0))),"")</f>
        <v/>
      </c>
    </row>
    <row r="1518" spans="1:18" ht="20.100000000000001" customHeight="1">
      <c r="A1518" s="126"/>
      <c r="B1518" s="571"/>
      <c r="C1518" s="573"/>
      <c r="D1518" s="575"/>
      <c r="E1518" s="575"/>
      <c r="F1518" s="128"/>
      <c r="G1518" s="577"/>
      <c r="H1518" s="540"/>
      <c r="I1518" s="579"/>
      <c r="J1518" s="533"/>
      <c r="L1518" s="126"/>
      <c r="N1518" s="126"/>
      <c r="O1518" s="314"/>
      <c r="P1518" s="310"/>
      <c r="Q1518" s="310"/>
      <c r="R1518" s="314" t="str" cm="1">
        <f t="array" ref="R1518">IFERROR(IF(INDEX('Disaggregation Records'!$G$156:$G$517,MATCH(RIGHT(L1518,255),RIGHT('Disaggregation Records'!$D$156:$D$517,255),0))="","",INDEX('Disaggregation Records'!$G$156:$G$517,MATCH(RIGHT(L1518,255),RIGHT('Disaggregation Records'!$D$156:$D$517,255),0))),"")</f>
        <v/>
      </c>
    </row>
    <row r="1519" spans="1:18" ht="20.100000000000001" customHeight="1">
      <c r="A1519" s="126" t="str">
        <f t="shared" ca="1" si="1652"/>
        <v>a16Dm000000M3xQIAS</v>
      </c>
      <c r="B1519" s="570">
        <v>23</v>
      </c>
      <c r="C1519" s="572" t="str">
        <f ca="1">IFERROR(VLOOKUP(B1519,'Coverage Indicators - Section D'!$A$9:$AO$94,41,FALSE),"")</f>
        <v>HTS-3b Percentage of TG that have received an HIV test during the reporting period in KP-specific programs and know their results</v>
      </c>
      <c r="D1519" s="574" t="str">
        <f ca="1">M1519</f>
        <v/>
      </c>
      <c r="E1519" s="574" t="str">
        <f ca="1">N1519</f>
        <v/>
      </c>
      <c r="F1519" s="127"/>
      <c r="G1519" s="576" t="str">
        <f ca="1">IF(OR(INDIRECT("'update Helper'!E"&amp;Q1519)="",F1519&lt;&gt;0,F1520&lt;&gt;0),IF(IFERROR((F1519/F1520),"")="","",(F1519/F1520)),INDIRECT("'update Helper'!E"&amp;Q1519)/100)</f>
        <v/>
      </c>
      <c r="H1519" s="539"/>
      <c r="I1519" s="578"/>
      <c r="J1519" s="532"/>
      <c r="K1519" s="126">
        <f ca="1">IF(AND(EXACT(C1519,C1517),C1517&lt;&gt;0),K1517+1,0)</f>
        <v>9</v>
      </c>
      <c r="L1519" s="126" t="str">
        <f t="shared" ref="L1519" ca="1" si="1713">IF(C1519&lt;&gt;"",C1519&amp;"-"&amp;K1519,"")</f>
        <v>HTS-3b Percentage of TG that have received an HIV test during the reporting period in KP-specific programs and know their results-9</v>
      </c>
      <c r="M1519" s="126" t="str">
        <f t="array" aca="1" ref="M1519" ca="1">IFERROR(IF(INDEX('Disaggregation Records'!$E$156:$E$517,MATCH(RIGHT(L1519,255),RIGHT('Disaggregation Records'!$D$156:$D$517,255),0))="","",INDEX('Disaggregation Records'!$E$156:$E$517,MATCH(RIGHT(L1519,255),RIGHT('Disaggregation Records'!$D$156:$D$517,255),0))),"")</f>
        <v/>
      </c>
      <c r="N1519" s="126" t="str">
        <f t="array" aca="1" ref="N1519" ca="1">IFERROR(IF(INDEX('Disaggregation Records'!$F$156:$F$517,MATCH(RIGHT(L1519,255),RIGHT('Disaggregation Records'!$D$156:$D$517,255),0))="","",INDEX('Disaggregation Records'!$F$156:$F$517,MATCH(RIGHT(L1519,255),RIGHT('Disaggregation Records'!$D$156:$D$517,255),0))),"")</f>
        <v/>
      </c>
      <c r="O1519" s="314" t="str">
        <f t="array" aca="1" ref="O1519" ca="1">IFERROR(IF(INDEX('Disaggregation Records'!$H$156:$H$517,MATCH(RIGHT(L1519,255),RIGHT('Disaggregation Records'!$D$156:$D$517,255),0))="","",INDEX('Disaggregation Records'!$H$156:$H$517,MATCH(RIGHT(L1519,255),RIGHT('Disaggregation Records'!$D$156:$D$517,255),0))),"")</f>
        <v/>
      </c>
      <c r="P1519" s="310"/>
      <c r="Q1519" s="310">
        <f t="shared" ref="Q1519" si="1714">Q1517+1</f>
        <v>2061</v>
      </c>
      <c r="R1519" s="314" t="str" cm="1">
        <f t="array" aca="1" ref="R1519" ca="1">IFERROR(IF(INDEX('Disaggregation Records'!$G$156:$G$517,MATCH(RIGHT(L1519,255),RIGHT('Disaggregation Records'!$D$156:$D$517,255),0))="","",INDEX('Disaggregation Records'!$G$156:$G$517,MATCH(RIGHT(L1519,255),RIGHT('Disaggregation Records'!$D$156:$D$517,255),0))),"")</f>
        <v/>
      </c>
    </row>
    <row r="1520" spans="1:18" ht="20.100000000000001" customHeight="1">
      <c r="B1520" s="571"/>
      <c r="C1520" s="573"/>
      <c r="D1520" s="575"/>
      <c r="E1520" s="575"/>
      <c r="F1520" s="128"/>
      <c r="G1520" s="577"/>
      <c r="H1520" s="540"/>
      <c r="I1520" s="579"/>
      <c r="J1520" s="533"/>
      <c r="L1520" s="126"/>
      <c r="N1520" s="126"/>
      <c r="O1520" s="314"/>
      <c r="P1520" s="310"/>
      <c r="Q1520" s="310"/>
      <c r="R1520" s="314" t="str" cm="1">
        <f t="array" ref="R1520">IFERROR(IF(INDEX('Disaggregation Records'!$G$156:$G$517,MATCH(RIGHT(L1520,255),RIGHT('Disaggregation Records'!$D$156:$D$517,255),0))="","",INDEX('Disaggregation Records'!$G$156:$G$517,MATCH(RIGHT(L1520,255),RIGHT('Disaggregation Records'!$D$156:$D$517,255),0))),"")</f>
        <v/>
      </c>
    </row>
    <row r="1521" spans="1:18" ht="20.100000000000001" customHeight="1">
      <c r="A1521" s="126" t="str">
        <f t="shared" ref="A1521:A1581" ca="1" si="1715">INDIRECT("'update Helper'!C"&amp;Q1521)</f>
        <v>a16Dm000000M3xRIAS</v>
      </c>
      <c r="B1521" s="570">
        <v>23</v>
      </c>
      <c r="C1521" s="572" t="str">
        <f ca="1">IFERROR(VLOOKUP(B1521,'Coverage Indicators - Section D'!$A$9:$AO$94,41,FALSE),"")</f>
        <v>HTS-3b Percentage of TG that have received an HIV test during the reporting period in KP-specific programs and know their results</v>
      </c>
      <c r="D1521" s="574" t="str">
        <f ca="1">M1521</f>
        <v/>
      </c>
      <c r="E1521" s="574" t="str">
        <f ca="1">N1521</f>
        <v/>
      </c>
      <c r="F1521" s="127"/>
      <c r="G1521" s="576" t="str">
        <f ca="1">IF(OR(INDIRECT("'update Helper'!E"&amp;Q1521)="",F1521&lt;&gt;0,F1522&lt;&gt;0),IF(IFERROR((F1521/F1522),"")="","",(F1521/F1522)),INDIRECT("'update Helper'!E"&amp;Q1521)/100)</f>
        <v/>
      </c>
      <c r="H1521" s="539"/>
      <c r="I1521" s="578"/>
      <c r="J1521" s="532"/>
      <c r="K1521" s="126">
        <f ca="1">IF(AND(EXACT(C1521,C1519),C1519&lt;&gt;0),K1519+1,0)</f>
        <v>10</v>
      </c>
      <c r="L1521" s="126" t="str">
        <f t="shared" ref="L1521" ca="1" si="1716">IF(C1521&lt;&gt;"",C1521&amp;"-"&amp;K1521,"")</f>
        <v>HTS-3b Percentage of TG that have received an HIV test during the reporting period in KP-specific programs and know their results-10</v>
      </c>
      <c r="M1521" s="126" t="str">
        <f t="array" aca="1" ref="M1521" ca="1">IFERROR(IF(INDEX('Disaggregation Records'!$E$156:$E$517,MATCH(RIGHT(L1521,255),RIGHT('Disaggregation Records'!$D$156:$D$517,255),0))="","",INDEX('Disaggregation Records'!$E$156:$E$517,MATCH(RIGHT(L1521,255),RIGHT('Disaggregation Records'!$D$156:$D$517,255),0))),"")</f>
        <v/>
      </c>
      <c r="N1521" s="126" t="str">
        <f t="array" aca="1" ref="N1521" ca="1">IFERROR(IF(INDEX('Disaggregation Records'!$F$156:$F$517,MATCH(RIGHT(L1521,255),RIGHT('Disaggregation Records'!$D$156:$D$517,255),0))="","",INDEX('Disaggregation Records'!$F$156:$F$517,MATCH(RIGHT(L1521,255),RIGHT('Disaggregation Records'!$D$156:$D$517,255),0))),"")</f>
        <v/>
      </c>
      <c r="O1521" s="314" t="str">
        <f t="array" aca="1" ref="O1521" ca="1">IFERROR(IF(INDEX('Disaggregation Records'!$H$156:$H$517,MATCH(RIGHT(L1521,255),RIGHT('Disaggregation Records'!$D$156:$D$517,255),0))="","",INDEX('Disaggregation Records'!$H$156:$H$517,MATCH(RIGHT(L1521,255),RIGHT('Disaggregation Records'!$D$156:$D$517,255),0))),"")</f>
        <v/>
      </c>
      <c r="P1521" s="314"/>
      <c r="Q1521" s="310">
        <f t="shared" ref="Q1521" si="1717">Q1519+1</f>
        <v>2062</v>
      </c>
      <c r="R1521" s="314" t="str" cm="1">
        <f t="array" aca="1" ref="R1521" ca="1">IFERROR(IF(INDEX('Disaggregation Records'!$G$156:$G$517,MATCH(RIGHT(L1521,255),RIGHT('Disaggregation Records'!$D$156:$D$517,255),0))="","",INDEX('Disaggregation Records'!$G$156:$G$517,MATCH(RIGHT(L1521,255),RIGHT('Disaggregation Records'!$D$156:$D$517,255),0))),"")</f>
        <v/>
      </c>
    </row>
    <row r="1522" spans="1:18" ht="20.100000000000001" customHeight="1">
      <c r="A1522" s="126"/>
      <c r="B1522" s="571"/>
      <c r="C1522" s="573"/>
      <c r="D1522" s="575"/>
      <c r="E1522" s="575"/>
      <c r="F1522" s="128"/>
      <c r="G1522" s="577"/>
      <c r="H1522" s="540"/>
      <c r="I1522" s="579"/>
      <c r="J1522" s="533"/>
      <c r="K1522" s="126"/>
      <c r="L1522" s="126"/>
      <c r="M1522" s="126"/>
      <c r="N1522" s="126"/>
      <c r="O1522" s="314"/>
      <c r="P1522" s="314"/>
      <c r="Q1522" s="310"/>
      <c r="R1522" s="314" t="str" cm="1">
        <f t="array" ref="R1522">IFERROR(IF(INDEX('Disaggregation Records'!$G$156:$G$517,MATCH(RIGHT(L1522,255),RIGHT('Disaggregation Records'!$D$156:$D$517,255),0))="","",INDEX('Disaggregation Records'!$G$156:$G$517,MATCH(RIGHT(L1522,255),RIGHT('Disaggregation Records'!$D$156:$D$517,255),0))),"")</f>
        <v/>
      </c>
    </row>
    <row r="1523" spans="1:18" ht="20.100000000000001" customHeight="1">
      <c r="A1523" s="126" t="str">
        <f t="shared" ref="A1523:A1583" ca="1" si="1718">INDIRECT("'update Helper'!C"&amp;Q1523)</f>
        <v>a16Dm000000M3xSIAS</v>
      </c>
      <c r="B1523" s="570">
        <v>23</v>
      </c>
      <c r="C1523" s="572" t="str">
        <f ca="1">IFERROR(VLOOKUP(B1523,'Coverage Indicators - Section D'!$A$9:$AO$94,41,FALSE),"")</f>
        <v>HTS-3b Percentage of TG that have received an HIV test during the reporting period in KP-specific programs and know their results</v>
      </c>
      <c r="D1523" s="574" t="str">
        <f ca="1">M1523</f>
        <v/>
      </c>
      <c r="E1523" s="574" t="str">
        <f ca="1">N1523</f>
        <v/>
      </c>
      <c r="F1523" s="127"/>
      <c r="G1523" s="576" t="str">
        <f ca="1">IF(OR(INDIRECT("'update Helper'!E"&amp;Q1523)="",F1523&lt;&gt;0,F1524&lt;&gt;0),IF(IFERROR((F1523/F1524),"")="","",(F1523/F1524)),INDIRECT("'update Helper'!E"&amp;Q1523)/100)</f>
        <v/>
      </c>
      <c r="H1523" s="539"/>
      <c r="I1523" s="578"/>
      <c r="J1523" s="532"/>
      <c r="K1523" s="126">
        <f ca="1">IF(AND(EXACT(C1523,C1521),C1521&lt;&gt;0),K1521+1,0)</f>
        <v>11</v>
      </c>
      <c r="L1523" s="126" t="str">
        <f t="shared" ref="L1523" ca="1" si="1719">IF(C1523&lt;&gt;"",C1523&amp;"-"&amp;K1523,"")</f>
        <v>HTS-3b Percentage of TG that have received an HIV test during the reporting period in KP-specific programs and know their results-11</v>
      </c>
      <c r="M1523" s="126" t="str">
        <f t="array" aca="1" ref="M1523" ca="1">IFERROR(IF(INDEX('Disaggregation Records'!$E$156:$E$517,MATCH(RIGHT(L1523,255),RIGHT('Disaggregation Records'!$D$156:$D$517,255),0))="","",INDEX('Disaggregation Records'!$E$156:$E$517,MATCH(RIGHT(L1523,255),RIGHT('Disaggregation Records'!$D$156:$D$517,255),0))),"")</f>
        <v/>
      </c>
      <c r="N1523" s="126" t="str">
        <f t="array" aca="1" ref="N1523" ca="1">IFERROR(IF(INDEX('Disaggregation Records'!$F$156:$F$517,MATCH(RIGHT(L1523,255),RIGHT('Disaggregation Records'!$D$156:$D$517,255),0))="","",INDEX('Disaggregation Records'!$F$156:$F$517,MATCH(RIGHT(L1523,255),RIGHT('Disaggregation Records'!$D$156:$D$517,255),0))),"")</f>
        <v/>
      </c>
      <c r="O1523" s="314" t="str">
        <f t="array" aca="1" ref="O1523" ca="1">IFERROR(IF(INDEX('Disaggregation Records'!$H$156:$H$517,MATCH(RIGHT(L1523,255),RIGHT('Disaggregation Records'!$D$156:$D$517,255),0))="","",INDEX('Disaggregation Records'!$H$156:$H$517,MATCH(RIGHT(L1523,255),RIGHT('Disaggregation Records'!$D$156:$D$517,255),0))),"")</f>
        <v/>
      </c>
      <c r="P1523" s="314"/>
      <c r="Q1523" s="310">
        <f t="shared" ref="Q1523" si="1720">Q1521+1</f>
        <v>2063</v>
      </c>
      <c r="R1523" s="314" t="str" cm="1">
        <f t="array" aca="1" ref="R1523" ca="1">IFERROR(IF(INDEX('Disaggregation Records'!$G$156:$G$517,MATCH(RIGHT(L1523,255),RIGHT('Disaggregation Records'!$D$156:$D$517,255),0))="","",INDEX('Disaggregation Records'!$G$156:$G$517,MATCH(RIGHT(L1523,255),RIGHT('Disaggregation Records'!$D$156:$D$517,255),0))),"")</f>
        <v/>
      </c>
    </row>
    <row r="1524" spans="1:18" ht="20.100000000000001" customHeight="1">
      <c r="B1524" s="571"/>
      <c r="C1524" s="573"/>
      <c r="D1524" s="575"/>
      <c r="E1524" s="575"/>
      <c r="F1524" s="128"/>
      <c r="G1524" s="577"/>
      <c r="H1524" s="540"/>
      <c r="I1524" s="579"/>
      <c r="J1524" s="533"/>
      <c r="K1524" s="126"/>
      <c r="L1524" s="126"/>
      <c r="M1524" s="126"/>
      <c r="N1524" s="126"/>
      <c r="O1524" s="314"/>
      <c r="P1524" s="314"/>
      <c r="Q1524" s="310"/>
      <c r="R1524" s="314" t="str" cm="1">
        <f t="array" ref="R1524">IFERROR(IF(INDEX('Disaggregation Records'!$G$156:$G$517,MATCH(RIGHT(L1524,255),RIGHT('Disaggregation Records'!$D$156:$D$517,255),0))="","",INDEX('Disaggregation Records'!$G$156:$G$517,MATCH(RIGHT(L1524,255),RIGHT('Disaggregation Records'!$D$156:$D$517,255),0))),"")</f>
        <v/>
      </c>
    </row>
    <row r="1525" spans="1:18" ht="20.100000000000001" customHeight="1">
      <c r="A1525" s="126" t="str">
        <f t="shared" ca="1" si="1715"/>
        <v>a16Dm000000M3xTIAS</v>
      </c>
      <c r="B1525" s="570">
        <v>23</v>
      </c>
      <c r="C1525" s="572" t="str">
        <f ca="1">IFERROR(VLOOKUP(B1525,'Coverage Indicators - Section D'!$A$9:$AO$94,41,FALSE),"")</f>
        <v>HTS-3b Percentage of TG that have received an HIV test during the reporting period in KP-specific programs and know their results</v>
      </c>
      <c r="D1525" s="574" t="str">
        <f ca="1">M1525</f>
        <v/>
      </c>
      <c r="E1525" s="574" t="str">
        <f ca="1">N1525</f>
        <v/>
      </c>
      <c r="F1525" s="127"/>
      <c r="G1525" s="576" t="str">
        <f ca="1">IF(OR(INDIRECT("'update Helper'!E"&amp;Q1525)="",F1525&lt;&gt;0,F1526&lt;&gt;0),IF(IFERROR((F1525/F1526),"")="","",(F1525/F1526)),INDIRECT("'update Helper'!E"&amp;Q1525)/100)</f>
        <v/>
      </c>
      <c r="H1525" s="539"/>
      <c r="I1525" s="578"/>
      <c r="J1525" s="532"/>
      <c r="K1525" s="126">
        <f ca="1">IF(AND(EXACT(C1525,C1523),C1523&lt;&gt;0),K1523+1,0)</f>
        <v>12</v>
      </c>
      <c r="L1525" s="126" t="str">
        <f t="shared" ref="L1525" ca="1" si="1721">IF(C1525&lt;&gt;"",C1525&amp;"-"&amp;K1525,"")</f>
        <v>HTS-3b Percentage of TG that have received an HIV test during the reporting period in KP-specific programs and know their results-12</v>
      </c>
      <c r="M1525" s="126" t="str">
        <f t="array" aca="1" ref="M1525" ca="1">IFERROR(IF(INDEX('Disaggregation Records'!$E$156:$E$517,MATCH(RIGHT(L1525,255),RIGHT('Disaggregation Records'!$D$156:$D$517,255),0))="","",INDEX('Disaggregation Records'!$E$156:$E$517,MATCH(RIGHT(L1525,255),RIGHT('Disaggregation Records'!$D$156:$D$517,255),0))),"")</f>
        <v/>
      </c>
      <c r="N1525" s="126" t="str">
        <f t="array" aca="1" ref="N1525" ca="1">IFERROR(IF(INDEX('Disaggregation Records'!$F$156:$F$517,MATCH(RIGHT(L1525,255),RIGHT('Disaggregation Records'!$D$156:$D$517,255),0))="","",INDEX('Disaggregation Records'!$F$156:$F$517,MATCH(RIGHT(L1525,255),RIGHT('Disaggregation Records'!$D$156:$D$517,255),0))),"")</f>
        <v/>
      </c>
      <c r="O1525" s="314" t="str">
        <f t="array" aca="1" ref="O1525" ca="1">IFERROR(IF(INDEX('Disaggregation Records'!$H$156:$H$517,MATCH(RIGHT(L1525,255),RIGHT('Disaggregation Records'!$D$156:$D$517,255),0))="","",INDEX('Disaggregation Records'!$H$156:$H$517,MATCH(RIGHT(L1525,255),RIGHT('Disaggregation Records'!$D$156:$D$517,255),0))),"")</f>
        <v/>
      </c>
      <c r="P1525" s="310"/>
      <c r="Q1525" s="310">
        <f t="shared" ref="Q1525" si="1722">Q1523+1</f>
        <v>2064</v>
      </c>
      <c r="R1525" s="314" t="str" cm="1">
        <f t="array" aca="1" ref="R1525" ca="1">IFERROR(IF(INDEX('Disaggregation Records'!$G$156:$G$517,MATCH(RIGHT(L1525,255),RIGHT('Disaggregation Records'!$D$156:$D$517,255),0))="","",INDEX('Disaggregation Records'!$G$156:$G$517,MATCH(RIGHT(L1525,255),RIGHT('Disaggregation Records'!$D$156:$D$517,255),0))),"")</f>
        <v/>
      </c>
    </row>
    <row r="1526" spans="1:18" ht="20.100000000000001" customHeight="1">
      <c r="A1526" s="126"/>
      <c r="B1526" s="571"/>
      <c r="C1526" s="573"/>
      <c r="D1526" s="575"/>
      <c r="E1526" s="575"/>
      <c r="F1526" s="128"/>
      <c r="G1526" s="577"/>
      <c r="H1526" s="540"/>
      <c r="I1526" s="579"/>
      <c r="J1526" s="533"/>
      <c r="L1526" s="126"/>
      <c r="N1526" s="126"/>
      <c r="O1526" s="314"/>
      <c r="P1526" s="310"/>
      <c r="Q1526" s="310"/>
      <c r="R1526" s="314" t="str" cm="1">
        <f t="array" ref="R1526">IFERROR(IF(INDEX('Disaggregation Records'!$G$156:$G$517,MATCH(RIGHT(L1526,255),RIGHT('Disaggregation Records'!$D$156:$D$517,255),0))="","",INDEX('Disaggregation Records'!$G$156:$G$517,MATCH(RIGHT(L1526,255),RIGHT('Disaggregation Records'!$D$156:$D$517,255),0))),"")</f>
        <v/>
      </c>
    </row>
    <row r="1527" spans="1:18" ht="20.100000000000001" customHeight="1">
      <c r="A1527" s="126" t="str">
        <f t="shared" ca="1" si="1718"/>
        <v>a16Dm000000M3xUIAS</v>
      </c>
      <c r="B1527" s="570">
        <v>23</v>
      </c>
      <c r="C1527" s="572" t="str">
        <f ca="1">IFERROR(VLOOKUP(B1527,'Coverage Indicators - Section D'!$A$9:$AO$94,41,FALSE),"")</f>
        <v>HTS-3b Percentage of TG that have received an HIV test during the reporting period in KP-specific programs and know their results</v>
      </c>
      <c r="D1527" s="574" t="str">
        <f ca="1">M1527</f>
        <v/>
      </c>
      <c r="E1527" s="574" t="str">
        <f ca="1">N1527</f>
        <v/>
      </c>
      <c r="F1527" s="127"/>
      <c r="G1527" s="576" t="str">
        <f ca="1">IF(OR(INDIRECT("'update Helper'!E"&amp;Q1527)="",F1527&lt;&gt;0,F1528&lt;&gt;0),IF(IFERROR((F1527/F1528),"")="","",(F1527/F1528)),INDIRECT("'update Helper'!E"&amp;Q1527)/100)</f>
        <v/>
      </c>
      <c r="H1527" s="539"/>
      <c r="I1527" s="578"/>
      <c r="J1527" s="532"/>
      <c r="K1527" s="126">
        <f ca="1">IF(AND(EXACT(C1527,C1525),C1525&lt;&gt;0),K1525+1,0)</f>
        <v>13</v>
      </c>
      <c r="L1527" s="126" t="str">
        <f t="shared" ref="L1527" ca="1" si="1723">IF(C1527&lt;&gt;"",C1527&amp;"-"&amp;K1527,"")</f>
        <v>HTS-3b Percentage of TG that have received an HIV test during the reporting period in KP-specific programs and know their results-13</v>
      </c>
      <c r="M1527" s="126" t="str">
        <f t="array" aca="1" ref="M1527" ca="1">IFERROR(IF(INDEX('Disaggregation Records'!$E$156:$E$517,MATCH(RIGHT(L1527,255),RIGHT('Disaggregation Records'!$D$156:$D$517,255),0))="","",INDEX('Disaggregation Records'!$E$156:$E$517,MATCH(RIGHT(L1527,255),RIGHT('Disaggregation Records'!$D$156:$D$517,255),0))),"")</f>
        <v/>
      </c>
      <c r="N1527" s="126" t="str">
        <f t="array" aca="1" ref="N1527" ca="1">IFERROR(IF(INDEX('Disaggregation Records'!$F$156:$F$517,MATCH(RIGHT(L1527,255),RIGHT('Disaggregation Records'!$D$156:$D$517,255),0))="","",INDEX('Disaggregation Records'!$F$156:$F$517,MATCH(RIGHT(L1527,255),RIGHT('Disaggregation Records'!$D$156:$D$517,255),0))),"")</f>
        <v/>
      </c>
      <c r="O1527" s="314" t="str">
        <f t="array" aca="1" ref="O1527" ca="1">IFERROR(IF(INDEX('Disaggregation Records'!$H$156:$H$517,MATCH(RIGHT(L1527,255),RIGHT('Disaggregation Records'!$D$156:$D$517,255),0))="","",INDEX('Disaggregation Records'!$H$156:$H$517,MATCH(RIGHT(L1527,255),RIGHT('Disaggregation Records'!$D$156:$D$517,255),0))),"")</f>
        <v/>
      </c>
      <c r="P1527" s="310"/>
      <c r="Q1527" s="310">
        <f t="shared" ref="Q1527" si="1724">Q1525+1</f>
        <v>2065</v>
      </c>
      <c r="R1527" s="314" t="str" cm="1">
        <f t="array" aca="1" ref="R1527" ca="1">IFERROR(IF(INDEX('Disaggregation Records'!$G$156:$G$517,MATCH(RIGHT(L1527,255),RIGHT('Disaggregation Records'!$D$156:$D$517,255),0))="","",INDEX('Disaggregation Records'!$G$156:$G$517,MATCH(RIGHT(L1527,255),RIGHT('Disaggregation Records'!$D$156:$D$517,255),0))),"")</f>
        <v/>
      </c>
    </row>
    <row r="1528" spans="1:18" ht="20.100000000000001" customHeight="1">
      <c r="B1528" s="571"/>
      <c r="C1528" s="573"/>
      <c r="D1528" s="575"/>
      <c r="E1528" s="575"/>
      <c r="F1528" s="128"/>
      <c r="G1528" s="577"/>
      <c r="H1528" s="540"/>
      <c r="I1528" s="579"/>
      <c r="J1528" s="533"/>
      <c r="L1528" s="126"/>
      <c r="N1528" s="126"/>
      <c r="O1528" s="314"/>
      <c r="P1528" s="310"/>
      <c r="Q1528" s="310"/>
      <c r="R1528" s="314" t="str" cm="1">
        <f t="array" ref="R1528">IFERROR(IF(INDEX('Disaggregation Records'!$G$156:$G$517,MATCH(RIGHT(L1528,255),RIGHT('Disaggregation Records'!$D$156:$D$517,255),0))="","",INDEX('Disaggregation Records'!$G$156:$G$517,MATCH(RIGHT(L1528,255),RIGHT('Disaggregation Records'!$D$156:$D$517,255),0))),"")</f>
        <v/>
      </c>
    </row>
    <row r="1529" spans="1:18" ht="20.100000000000001" customHeight="1">
      <c r="A1529" s="126" t="str">
        <f t="shared" ca="1" si="1715"/>
        <v>a16Dm000000M3xVIAS</v>
      </c>
      <c r="B1529" s="570">
        <v>23</v>
      </c>
      <c r="C1529" s="572" t="str">
        <f ca="1">IFERROR(VLOOKUP(B1529,'Coverage Indicators - Section D'!$A$9:$AO$94,41,FALSE),"")</f>
        <v>HTS-3b Percentage of TG that have received an HIV test during the reporting period in KP-specific programs and know their results</v>
      </c>
      <c r="D1529" s="574" t="str">
        <f ca="1">M1529</f>
        <v/>
      </c>
      <c r="E1529" s="574" t="str">
        <f ca="1">N1529</f>
        <v/>
      </c>
      <c r="F1529" s="127"/>
      <c r="G1529" s="576" t="str">
        <f ca="1">IF(OR(INDIRECT("'update Helper'!E"&amp;Q1529)="",F1529&lt;&gt;0,F1530&lt;&gt;0),IF(IFERROR((F1529/F1530),"")="","",(F1529/F1530)),INDIRECT("'update Helper'!E"&amp;Q1529)/100)</f>
        <v/>
      </c>
      <c r="H1529" s="539"/>
      <c r="I1529" s="578"/>
      <c r="J1529" s="532"/>
      <c r="K1529" s="126">
        <f ca="1">IF(AND(EXACT(C1529,C1527),C1527&lt;&gt;0),K1527+1,0)</f>
        <v>14</v>
      </c>
      <c r="L1529" s="126" t="str">
        <f t="shared" ref="L1529" ca="1" si="1725">IF(C1529&lt;&gt;"",C1529&amp;"-"&amp;K1529,"")</f>
        <v>HTS-3b Percentage of TG that have received an HIV test during the reporting period in KP-specific programs and know their results-14</v>
      </c>
      <c r="M1529" s="126" t="str">
        <f t="array" aca="1" ref="M1529" ca="1">IFERROR(IF(INDEX('Disaggregation Records'!$E$156:$E$517,MATCH(RIGHT(L1529,255),RIGHT('Disaggregation Records'!$D$156:$D$517,255),0))="","",INDEX('Disaggregation Records'!$E$156:$E$517,MATCH(RIGHT(L1529,255),RIGHT('Disaggregation Records'!$D$156:$D$517,255),0))),"")</f>
        <v/>
      </c>
      <c r="N1529" s="126" t="str">
        <f t="array" aca="1" ref="N1529" ca="1">IFERROR(IF(INDEX('Disaggregation Records'!$F$156:$F$517,MATCH(RIGHT(L1529,255),RIGHT('Disaggregation Records'!$D$156:$D$517,255),0))="","",INDEX('Disaggregation Records'!$F$156:$F$517,MATCH(RIGHT(L1529,255),RIGHT('Disaggregation Records'!$D$156:$D$517,255),0))),"")</f>
        <v/>
      </c>
      <c r="O1529" s="314" t="str">
        <f t="array" aca="1" ref="O1529" ca="1">IFERROR(IF(INDEX('Disaggregation Records'!$H$156:$H$517,MATCH(RIGHT(L1529,255),RIGHT('Disaggregation Records'!$D$156:$D$517,255),0))="","",INDEX('Disaggregation Records'!$H$156:$H$517,MATCH(RIGHT(L1529,255),RIGHT('Disaggregation Records'!$D$156:$D$517,255),0))),"")</f>
        <v/>
      </c>
      <c r="P1529" s="310"/>
      <c r="Q1529" s="310">
        <f t="shared" ref="Q1529" si="1726">Q1527+1</f>
        <v>2066</v>
      </c>
      <c r="R1529" s="314" t="str" cm="1">
        <f t="array" aca="1" ref="R1529" ca="1">IFERROR(IF(INDEX('Disaggregation Records'!$G$156:$G$517,MATCH(RIGHT(L1529,255),RIGHT('Disaggregation Records'!$D$156:$D$517,255),0))="","",INDEX('Disaggregation Records'!$G$156:$G$517,MATCH(RIGHT(L1529,255),RIGHT('Disaggregation Records'!$D$156:$D$517,255),0))),"")</f>
        <v/>
      </c>
    </row>
    <row r="1530" spans="1:18" ht="20.100000000000001" customHeight="1">
      <c r="A1530" s="126"/>
      <c r="B1530" s="571"/>
      <c r="C1530" s="573"/>
      <c r="D1530" s="575"/>
      <c r="E1530" s="575"/>
      <c r="F1530" s="128"/>
      <c r="G1530" s="577"/>
      <c r="H1530" s="540"/>
      <c r="I1530" s="579"/>
      <c r="J1530" s="533"/>
      <c r="L1530" s="126"/>
      <c r="N1530" s="126"/>
      <c r="O1530" s="314"/>
      <c r="P1530" s="310"/>
      <c r="Q1530" s="310"/>
      <c r="R1530" s="314" t="str" cm="1">
        <f t="array" ref="R1530">IFERROR(IF(INDEX('Disaggregation Records'!$G$156:$G$517,MATCH(RIGHT(L1530,255),RIGHT('Disaggregation Records'!$D$156:$D$517,255),0))="","",INDEX('Disaggregation Records'!$G$156:$G$517,MATCH(RIGHT(L1530,255),RIGHT('Disaggregation Records'!$D$156:$D$517,255),0))),"")</f>
        <v/>
      </c>
    </row>
    <row r="1531" spans="1:18" ht="20.100000000000001" customHeight="1">
      <c r="A1531" s="126" t="str">
        <f t="shared" ca="1" si="1718"/>
        <v>a16Dm000000M3xWIAS</v>
      </c>
      <c r="B1531" s="570">
        <v>23</v>
      </c>
      <c r="C1531" s="572" t="str">
        <f ca="1">IFERROR(VLOOKUP(B1531,'Coverage Indicators - Section D'!$A$9:$AO$94,41,FALSE),"")</f>
        <v>HTS-3b Percentage of TG that have received an HIV test during the reporting period in KP-specific programs and know their results</v>
      </c>
      <c r="D1531" s="574" t="str">
        <f ca="1">M1531</f>
        <v/>
      </c>
      <c r="E1531" s="574" t="str">
        <f ca="1">N1531</f>
        <v/>
      </c>
      <c r="F1531" s="127"/>
      <c r="G1531" s="576" t="str">
        <f ca="1">IF(OR(INDIRECT("'update Helper'!E"&amp;Q1531)="",F1531&lt;&gt;0,F1532&lt;&gt;0),IF(IFERROR((F1531/F1532),"")="","",(F1531/F1532)),INDIRECT("'update Helper'!E"&amp;Q1531)/100)</f>
        <v/>
      </c>
      <c r="H1531" s="539"/>
      <c r="I1531" s="578"/>
      <c r="J1531" s="532"/>
      <c r="K1531" s="126">
        <f ca="1">IF(AND(EXACT(C1531,C1529),C1529&lt;&gt;0),K1529+1,0)</f>
        <v>15</v>
      </c>
      <c r="L1531" s="126" t="str">
        <f t="shared" ref="L1531" ca="1" si="1727">IF(C1531&lt;&gt;"",C1531&amp;"-"&amp;K1531,"")</f>
        <v>HTS-3b Percentage of TG that have received an HIV test during the reporting period in KP-specific programs and know their results-15</v>
      </c>
      <c r="M1531" s="126" t="str">
        <f t="array" aca="1" ref="M1531" ca="1">IFERROR(IF(INDEX('Disaggregation Records'!$E$156:$E$517,MATCH(RIGHT(L1531,255),RIGHT('Disaggregation Records'!$D$156:$D$517,255),0))="","",INDEX('Disaggregation Records'!$E$156:$E$517,MATCH(RIGHT(L1531,255),RIGHT('Disaggregation Records'!$D$156:$D$517,255),0))),"")</f>
        <v/>
      </c>
      <c r="N1531" s="126" t="str">
        <f t="array" aca="1" ref="N1531" ca="1">IFERROR(IF(INDEX('Disaggregation Records'!$F$156:$F$517,MATCH(RIGHT(L1531,255),RIGHT('Disaggregation Records'!$D$156:$D$517,255),0))="","",INDEX('Disaggregation Records'!$F$156:$F$517,MATCH(RIGHT(L1531,255),RIGHT('Disaggregation Records'!$D$156:$D$517,255),0))),"")</f>
        <v/>
      </c>
      <c r="O1531" s="314" t="str">
        <f t="array" aca="1" ref="O1531" ca="1">IFERROR(IF(INDEX('Disaggregation Records'!$H$156:$H$517,MATCH(RIGHT(L1531,255),RIGHT('Disaggregation Records'!$D$156:$D$517,255),0))="","",INDEX('Disaggregation Records'!$H$156:$H$517,MATCH(RIGHT(L1531,255),RIGHT('Disaggregation Records'!$D$156:$D$517,255),0))),"")</f>
        <v/>
      </c>
      <c r="P1531" s="314"/>
      <c r="Q1531" s="310">
        <f t="shared" ref="Q1531" si="1728">Q1529+1</f>
        <v>2067</v>
      </c>
      <c r="R1531" s="314" t="str" cm="1">
        <f t="array" aca="1" ref="R1531" ca="1">IFERROR(IF(INDEX('Disaggregation Records'!$G$156:$G$517,MATCH(RIGHT(L1531,255),RIGHT('Disaggregation Records'!$D$156:$D$517,255),0))="","",INDEX('Disaggregation Records'!$G$156:$G$517,MATCH(RIGHT(L1531,255),RIGHT('Disaggregation Records'!$D$156:$D$517,255),0))),"")</f>
        <v/>
      </c>
    </row>
    <row r="1532" spans="1:18" ht="20.100000000000001" customHeight="1">
      <c r="B1532" s="571"/>
      <c r="C1532" s="573"/>
      <c r="D1532" s="575"/>
      <c r="E1532" s="575"/>
      <c r="F1532" s="128"/>
      <c r="G1532" s="577"/>
      <c r="H1532" s="540"/>
      <c r="I1532" s="579"/>
      <c r="J1532" s="533"/>
      <c r="K1532" s="126"/>
      <c r="L1532" s="126"/>
      <c r="M1532" s="126"/>
      <c r="N1532" s="126"/>
      <c r="O1532" s="314"/>
      <c r="P1532" s="314"/>
      <c r="Q1532" s="310"/>
      <c r="R1532" s="314" t="str" cm="1">
        <f t="array" ref="R1532">IFERROR(IF(INDEX('Disaggregation Records'!$G$156:$G$517,MATCH(RIGHT(L1532,255),RIGHT('Disaggregation Records'!$D$156:$D$517,255),0))="","",INDEX('Disaggregation Records'!$G$156:$G$517,MATCH(RIGHT(L1532,255),RIGHT('Disaggregation Records'!$D$156:$D$517,255),0))),"")</f>
        <v/>
      </c>
    </row>
    <row r="1533" spans="1:18" ht="20.100000000000001" customHeight="1">
      <c r="A1533" s="126" t="str">
        <f t="shared" ca="1" si="1715"/>
        <v>a16Dm000000M3xXIAS</v>
      </c>
      <c r="B1533" s="570">
        <v>23</v>
      </c>
      <c r="C1533" s="572" t="str">
        <f ca="1">IFERROR(VLOOKUP(B1533,'Coverage Indicators - Section D'!$A$9:$AO$94,41,FALSE),"")</f>
        <v>HTS-3b Percentage of TG that have received an HIV test during the reporting period in KP-specific programs and know their results</v>
      </c>
      <c r="D1533" s="574" t="str">
        <f ca="1">M1533</f>
        <v/>
      </c>
      <c r="E1533" s="574" t="str">
        <f ca="1">N1533</f>
        <v/>
      </c>
      <c r="F1533" s="127"/>
      <c r="G1533" s="576" t="str">
        <f ca="1">IF(OR(INDIRECT("'update Helper'!E"&amp;Q1533)="",F1533&lt;&gt;0,F1534&lt;&gt;0),IF(IFERROR((F1533/F1534),"")="","",(F1533/F1534)),INDIRECT("'update Helper'!E"&amp;Q1533)/100)</f>
        <v/>
      </c>
      <c r="H1533" s="539"/>
      <c r="I1533" s="578"/>
      <c r="J1533" s="532"/>
      <c r="K1533" s="126">
        <f ca="1">IF(AND(EXACT(C1533,C1531),C1531&lt;&gt;0),K1531+1,0)</f>
        <v>16</v>
      </c>
      <c r="L1533" s="126" t="str">
        <f t="shared" ref="L1533" ca="1" si="1729">IF(C1533&lt;&gt;"",C1533&amp;"-"&amp;K1533,"")</f>
        <v>HTS-3b Percentage of TG that have received an HIV test during the reporting period in KP-specific programs and know their results-16</v>
      </c>
      <c r="M1533" s="126" t="str">
        <f t="array" aca="1" ref="M1533" ca="1">IFERROR(IF(INDEX('Disaggregation Records'!$E$156:$E$517,MATCH(RIGHT(L1533,255),RIGHT('Disaggregation Records'!$D$156:$D$517,255),0))="","",INDEX('Disaggregation Records'!$E$156:$E$517,MATCH(RIGHT(L1533,255),RIGHT('Disaggregation Records'!$D$156:$D$517,255),0))),"")</f>
        <v/>
      </c>
      <c r="N1533" s="126" t="str">
        <f t="array" aca="1" ref="N1533" ca="1">IFERROR(IF(INDEX('Disaggregation Records'!$F$156:$F$517,MATCH(RIGHT(L1533,255),RIGHT('Disaggregation Records'!$D$156:$D$517,255),0))="","",INDEX('Disaggregation Records'!$F$156:$F$517,MATCH(RIGHT(L1533,255),RIGHT('Disaggregation Records'!$D$156:$D$517,255),0))),"")</f>
        <v/>
      </c>
      <c r="O1533" s="314" t="str">
        <f t="array" aca="1" ref="O1533" ca="1">IFERROR(IF(INDEX('Disaggregation Records'!$H$156:$H$517,MATCH(RIGHT(L1533,255),RIGHT('Disaggregation Records'!$D$156:$D$517,255),0))="","",INDEX('Disaggregation Records'!$H$156:$H$517,MATCH(RIGHT(L1533,255),RIGHT('Disaggregation Records'!$D$156:$D$517,255),0))),"")</f>
        <v/>
      </c>
      <c r="P1533" s="314"/>
      <c r="Q1533" s="310">
        <f t="shared" ref="Q1533" si="1730">Q1531+1</f>
        <v>2068</v>
      </c>
      <c r="R1533" s="314" t="str" cm="1">
        <f t="array" aca="1" ref="R1533" ca="1">IFERROR(IF(INDEX('Disaggregation Records'!$G$156:$G$517,MATCH(RIGHT(L1533,255),RIGHT('Disaggregation Records'!$D$156:$D$517,255),0))="","",INDEX('Disaggregation Records'!$G$156:$G$517,MATCH(RIGHT(L1533,255),RIGHT('Disaggregation Records'!$D$156:$D$517,255),0))),"")</f>
        <v/>
      </c>
    </row>
    <row r="1534" spans="1:18" ht="20.100000000000001" customHeight="1">
      <c r="A1534" s="126"/>
      <c r="B1534" s="571"/>
      <c r="C1534" s="573"/>
      <c r="D1534" s="575"/>
      <c r="E1534" s="575"/>
      <c r="F1534" s="128"/>
      <c r="G1534" s="577"/>
      <c r="H1534" s="540"/>
      <c r="I1534" s="579"/>
      <c r="J1534" s="533"/>
      <c r="K1534" s="126"/>
      <c r="L1534" s="126"/>
      <c r="M1534" s="126"/>
      <c r="N1534" s="126"/>
      <c r="O1534" s="314"/>
      <c r="P1534" s="314"/>
      <c r="Q1534" s="310"/>
      <c r="R1534" s="314" t="str" cm="1">
        <f t="array" ref="R1534">IFERROR(IF(INDEX('Disaggregation Records'!$G$156:$G$517,MATCH(RIGHT(L1534,255),RIGHT('Disaggregation Records'!$D$156:$D$517,255),0))="","",INDEX('Disaggregation Records'!$G$156:$G$517,MATCH(RIGHT(L1534,255),RIGHT('Disaggregation Records'!$D$156:$D$517,255),0))),"")</f>
        <v/>
      </c>
    </row>
    <row r="1535" spans="1:18" ht="20.100000000000001" customHeight="1">
      <c r="A1535" s="126" t="str">
        <f t="shared" ca="1" si="1718"/>
        <v>a16Dm000000M3xYIAS</v>
      </c>
      <c r="B1535" s="570">
        <v>23</v>
      </c>
      <c r="C1535" s="572" t="str">
        <f ca="1">IFERROR(VLOOKUP(B1535,'Coverage Indicators - Section D'!$A$9:$AO$94,41,FALSE),"")</f>
        <v>HTS-3b Percentage of TG that have received an HIV test during the reporting period in KP-specific programs and know their results</v>
      </c>
      <c r="D1535" s="574" t="str">
        <f ca="1">M1535</f>
        <v/>
      </c>
      <c r="E1535" s="574" t="str">
        <f ca="1">N1535</f>
        <v/>
      </c>
      <c r="F1535" s="127"/>
      <c r="G1535" s="576" t="str">
        <f ca="1">IF(OR(INDIRECT("'update Helper'!E"&amp;Q1535)="",F1535&lt;&gt;0,F1536&lt;&gt;0),IF(IFERROR((F1535/F1536),"")="","",(F1535/F1536)),INDIRECT("'update Helper'!E"&amp;Q1535)/100)</f>
        <v/>
      </c>
      <c r="H1535" s="539"/>
      <c r="I1535" s="578"/>
      <c r="J1535" s="532"/>
      <c r="K1535" s="126">
        <f ca="1">IF(AND(EXACT(C1535,C1533),C1533&lt;&gt;0),K1533+1,0)</f>
        <v>17</v>
      </c>
      <c r="L1535" s="126" t="str">
        <f t="shared" ref="L1535" ca="1" si="1731">IF(C1535&lt;&gt;"",C1535&amp;"-"&amp;K1535,"")</f>
        <v>HTS-3b Percentage of TG that have received an HIV test during the reporting period in KP-specific programs and know their results-17</v>
      </c>
      <c r="M1535" s="126" t="str">
        <f t="array" aca="1" ref="M1535" ca="1">IFERROR(IF(INDEX('Disaggregation Records'!$E$156:$E$517,MATCH(RIGHT(L1535,255),RIGHT('Disaggregation Records'!$D$156:$D$517,255),0))="","",INDEX('Disaggregation Records'!$E$156:$E$517,MATCH(RIGHT(L1535,255),RIGHT('Disaggregation Records'!$D$156:$D$517,255),0))),"")</f>
        <v/>
      </c>
      <c r="N1535" s="126" t="str">
        <f t="array" aca="1" ref="N1535" ca="1">IFERROR(IF(INDEX('Disaggregation Records'!$F$156:$F$517,MATCH(RIGHT(L1535,255),RIGHT('Disaggregation Records'!$D$156:$D$517,255),0))="","",INDEX('Disaggregation Records'!$F$156:$F$517,MATCH(RIGHT(L1535,255),RIGHT('Disaggregation Records'!$D$156:$D$517,255),0))),"")</f>
        <v/>
      </c>
      <c r="O1535" s="314" t="str">
        <f t="array" aca="1" ref="O1535" ca="1">IFERROR(IF(INDEX('Disaggregation Records'!$H$156:$H$517,MATCH(RIGHT(L1535,255),RIGHT('Disaggregation Records'!$D$156:$D$517,255),0))="","",INDEX('Disaggregation Records'!$H$156:$H$517,MATCH(RIGHT(L1535,255),RIGHT('Disaggregation Records'!$D$156:$D$517,255),0))),"")</f>
        <v/>
      </c>
      <c r="P1535" s="310"/>
      <c r="Q1535" s="310">
        <f t="shared" ref="Q1535" si="1732">Q1533+1</f>
        <v>2069</v>
      </c>
      <c r="R1535" s="314" t="str" cm="1">
        <f t="array" aca="1" ref="R1535" ca="1">IFERROR(IF(INDEX('Disaggregation Records'!$G$156:$G$517,MATCH(RIGHT(L1535,255),RIGHT('Disaggregation Records'!$D$156:$D$517,255),0))="","",INDEX('Disaggregation Records'!$G$156:$G$517,MATCH(RIGHT(L1535,255),RIGHT('Disaggregation Records'!$D$156:$D$517,255),0))),"")</f>
        <v/>
      </c>
    </row>
    <row r="1536" spans="1:18" ht="20.100000000000001" customHeight="1">
      <c r="B1536" s="571"/>
      <c r="C1536" s="573"/>
      <c r="D1536" s="575"/>
      <c r="E1536" s="575"/>
      <c r="F1536" s="128"/>
      <c r="G1536" s="577"/>
      <c r="H1536" s="540"/>
      <c r="I1536" s="579"/>
      <c r="J1536" s="533"/>
      <c r="L1536" s="126"/>
      <c r="N1536" s="126"/>
      <c r="O1536" s="314"/>
      <c r="P1536" s="310"/>
      <c r="Q1536" s="310"/>
      <c r="R1536" s="314" t="str" cm="1">
        <f t="array" ref="R1536">IFERROR(IF(INDEX('Disaggregation Records'!$G$156:$G$517,MATCH(RIGHT(L1536,255),RIGHT('Disaggregation Records'!$D$156:$D$517,255),0))="","",INDEX('Disaggregation Records'!$G$156:$G$517,MATCH(RIGHT(L1536,255),RIGHT('Disaggregation Records'!$D$156:$D$517,255),0))),"")</f>
        <v/>
      </c>
    </row>
    <row r="1537" spans="1:18" ht="20.100000000000001" customHeight="1">
      <c r="A1537" s="126" t="str">
        <f t="shared" ca="1" si="1715"/>
        <v>a16Dm000000M3xZIAS</v>
      </c>
      <c r="B1537" s="570">
        <v>23</v>
      </c>
      <c r="C1537" s="572" t="str">
        <f ca="1">IFERROR(VLOOKUP(B1537,'Coverage Indicators - Section D'!$A$9:$AO$94,41,FALSE),"")</f>
        <v>HTS-3b Percentage of TG that have received an HIV test during the reporting period in KP-specific programs and know their results</v>
      </c>
      <c r="D1537" s="574" t="str">
        <f ca="1">M1537</f>
        <v/>
      </c>
      <c r="E1537" s="574" t="str">
        <f ca="1">N1537</f>
        <v/>
      </c>
      <c r="F1537" s="127"/>
      <c r="G1537" s="576" t="str">
        <f ca="1">IF(OR(INDIRECT("'update Helper'!E"&amp;Q1537)="",F1537&lt;&gt;0,F1538&lt;&gt;0),IF(IFERROR((F1537/F1538),"")="","",(F1537/F1538)),INDIRECT("'update Helper'!E"&amp;Q1537)/100)</f>
        <v/>
      </c>
      <c r="H1537" s="539"/>
      <c r="I1537" s="578"/>
      <c r="J1537" s="532"/>
      <c r="K1537" s="126">
        <f ca="1">IF(AND(EXACT(C1537,C1535),C1535&lt;&gt;0),K1535+1,0)</f>
        <v>18</v>
      </c>
      <c r="L1537" s="126" t="str">
        <f t="shared" ref="L1537" ca="1" si="1733">IF(C1537&lt;&gt;"",C1537&amp;"-"&amp;K1537,"")</f>
        <v>HTS-3b Percentage of TG that have received an HIV test during the reporting period in KP-specific programs and know their results-18</v>
      </c>
      <c r="M1537" s="126" t="str">
        <f t="array" aca="1" ref="M1537" ca="1">IFERROR(IF(INDEX('Disaggregation Records'!$E$156:$E$517,MATCH(RIGHT(L1537,255),RIGHT('Disaggregation Records'!$D$156:$D$517,255),0))="","",INDEX('Disaggregation Records'!$E$156:$E$517,MATCH(RIGHT(L1537,255),RIGHT('Disaggregation Records'!$D$156:$D$517,255),0))),"")</f>
        <v/>
      </c>
      <c r="N1537" s="126" t="str">
        <f t="array" aca="1" ref="N1537" ca="1">IFERROR(IF(INDEX('Disaggregation Records'!$F$156:$F$517,MATCH(RIGHT(L1537,255),RIGHT('Disaggregation Records'!$D$156:$D$517,255),0))="","",INDEX('Disaggregation Records'!$F$156:$F$517,MATCH(RIGHT(L1537,255),RIGHT('Disaggregation Records'!$D$156:$D$517,255),0))),"")</f>
        <v/>
      </c>
      <c r="O1537" s="314" t="str">
        <f t="array" aca="1" ref="O1537" ca="1">IFERROR(IF(INDEX('Disaggregation Records'!$H$156:$H$517,MATCH(RIGHT(L1537,255),RIGHT('Disaggregation Records'!$D$156:$D$517,255),0))="","",INDEX('Disaggregation Records'!$H$156:$H$517,MATCH(RIGHT(L1537,255),RIGHT('Disaggregation Records'!$D$156:$D$517,255),0))),"")</f>
        <v/>
      </c>
      <c r="P1537" s="310"/>
      <c r="Q1537" s="310">
        <f t="shared" ref="Q1537" si="1734">Q1535+1</f>
        <v>2070</v>
      </c>
      <c r="R1537" s="314" t="str" cm="1">
        <f t="array" aca="1" ref="R1537" ca="1">IFERROR(IF(INDEX('Disaggregation Records'!$G$156:$G$517,MATCH(RIGHT(L1537,255),RIGHT('Disaggregation Records'!$D$156:$D$517,255),0))="","",INDEX('Disaggregation Records'!$G$156:$G$517,MATCH(RIGHT(L1537,255),RIGHT('Disaggregation Records'!$D$156:$D$517,255),0))),"")</f>
        <v/>
      </c>
    </row>
    <row r="1538" spans="1:18" ht="20.100000000000001" customHeight="1">
      <c r="A1538" s="126"/>
      <c r="B1538" s="571"/>
      <c r="C1538" s="573"/>
      <c r="D1538" s="575"/>
      <c r="E1538" s="575"/>
      <c r="F1538" s="128"/>
      <c r="G1538" s="577"/>
      <c r="H1538" s="540"/>
      <c r="I1538" s="579"/>
      <c r="J1538" s="533"/>
      <c r="L1538" s="126"/>
      <c r="N1538" s="126"/>
      <c r="O1538" s="314"/>
      <c r="P1538" s="310"/>
      <c r="Q1538" s="310"/>
      <c r="R1538" s="314" t="str" cm="1">
        <f t="array" ref="R1538">IFERROR(IF(INDEX('Disaggregation Records'!$G$156:$G$517,MATCH(RIGHT(L1538,255),RIGHT('Disaggregation Records'!$D$156:$D$517,255),0))="","",INDEX('Disaggregation Records'!$G$156:$G$517,MATCH(RIGHT(L1538,255),RIGHT('Disaggregation Records'!$D$156:$D$517,255),0))),"")</f>
        <v/>
      </c>
    </row>
    <row r="1539" spans="1:18" ht="20.100000000000001" customHeight="1">
      <c r="A1539" s="126" t="str">
        <f t="shared" ca="1" si="1718"/>
        <v>a16Dm000000M3xaIAC</v>
      </c>
      <c r="B1539" s="570">
        <v>23</v>
      </c>
      <c r="C1539" s="572" t="str">
        <f ca="1">IFERROR(VLOOKUP(B1539,'Coverage Indicators - Section D'!$A$9:$AO$94,41,FALSE),"")</f>
        <v>HTS-3b Percentage of TG that have received an HIV test during the reporting period in KP-specific programs and know their results</v>
      </c>
      <c r="D1539" s="574" t="str">
        <f ca="1">M1539</f>
        <v/>
      </c>
      <c r="E1539" s="574" t="str">
        <f ca="1">N1539</f>
        <v/>
      </c>
      <c r="F1539" s="127"/>
      <c r="G1539" s="576" t="str">
        <f ca="1">IF(OR(INDIRECT("'update Helper'!E"&amp;Q1539)="",F1539&lt;&gt;0,F1540&lt;&gt;0),IF(IFERROR((F1539/F1540),"")="","",(F1539/F1540)),INDIRECT("'update Helper'!E"&amp;Q1539)/100)</f>
        <v/>
      </c>
      <c r="H1539" s="539"/>
      <c r="I1539" s="578"/>
      <c r="J1539" s="532"/>
      <c r="K1539" s="126">
        <f ca="1">IF(AND(EXACT(C1539,C1537),C1537&lt;&gt;0),K1537+1,0)</f>
        <v>19</v>
      </c>
      <c r="L1539" s="126" t="str">
        <f t="shared" ref="L1539" ca="1" si="1735">IF(C1539&lt;&gt;"",C1539&amp;"-"&amp;K1539,"")</f>
        <v>HTS-3b Percentage of TG that have received an HIV test during the reporting period in KP-specific programs and know their results-19</v>
      </c>
      <c r="M1539" s="126" t="str">
        <f t="array" aca="1" ref="M1539" ca="1">IFERROR(IF(INDEX('Disaggregation Records'!$E$156:$E$517,MATCH(RIGHT(L1539,255),RIGHT('Disaggregation Records'!$D$156:$D$517,255),0))="","",INDEX('Disaggregation Records'!$E$156:$E$517,MATCH(RIGHT(L1539,255),RIGHT('Disaggregation Records'!$D$156:$D$517,255),0))),"")</f>
        <v/>
      </c>
      <c r="N1539" s="126" t="str">
        <f t="array" aca="1" ref="N1539" ca="1">IFERROR(IF(INDEX('Disaggregation Records'!$F$156:$F$517,MATCH(RIGHT(L1539,255),RIGHT('Disaggregation Records'!$D$156:$D$517,255),0))="","",INDEX('Disaggregation Records'!$F$156:$F$517,MATCH(RIGHT(L1539,255),RIGHT('Disaggregation Records'!$D$156:$D$517,255),0))),"")</f>
        <v/>
      </c>
      <c r="O1539" s="314" t="str">
        <f t="array" aca="1" ref="O1539" ca="1">IFERROR(IF(INDEX('Disaggregation Records'!$H$156:$H$517,MATCH(RIGHT(L1539,255),RIGHT('Disaggregation Records'!$D$156:$D$517,255),0))="","",INDEX('Disaggregation Records'!$H$156:$H$517,MATCH(RIGHT(L1539,255),RIGHT('Disaggregation Records'!$D$156:$D$517,255),0))),"")</f>
        <v/>
      </c>
      <c r="P1539" s="310"/>
      <c r="Q1539" s="310">
        <f t="shared" ref="Q1539" si="1736">Q1537+1</f>
        <v>2071</v>
      </c>
      <c r="R1539" s="314" t="str" cm="1">
        <f t="array" aca="1" ref="R1539" ca="1">IFERROR(IF(INDEX('Disaggregation Records'!$G$156:$G$517,MATCH(RIGHT(L1539,255),RIGHT('Disaggregation Records'!$D$156:$D$517,255),0))="","",INDEX('Disaggregation Records'!$G$156:$G$517,MATCH(RIGHT(L1539,255),RIGHT('Disaggregation Records'!$D$156:$D$517,255),0))),"")</f>
        <v/>
      </c>
    </row>
    <row r="1540" spans="1:18" ht="20.100000000000001" customHeight="1">
      <c r="B1540" s="571"/>
      <c r="C1540" s="573"/>
      <c r="D1540" s="575"/>
      <c r="E1540" s="575"/>
      <c r="F1540" s="128"/>
      <c r="G1540" s="577"/>
      <c r="H1540" s="540"/>
      <c r="I1540" s="579"/>
      <c r="J1540" s="533"/>
      <c r="L1540" s="126"/>
      <c r="N1540" s="126"/>
      <c r="O1540" s="314"/>
      <c r="P1540" s="310"/>
      <c r="Q1540" s="310"/>
      <c r="R1540" s="314" t="str" cm="1">
        <f t="array" ref="R1540">IFERROR(IF(INDEX('Disaggregation Records'!$G$156:$G$517,MATCH(RIGHT(L1540,255),RIGHT('Disaggregation Records'!$D$156:$D$517,255),0))="","",INDEX('Disaggregation Records'!$G$156:$G$517,MATCH(RIGHT(L1540,255),RIGHT('Disaggregation Records'!$D$156:$D$517,255),0))),"")</f>
        <v/>
      </c>
    </row>
    <row r="1541" spans="1:18" ht="20.100000000000001" customHeight="1">
      <c r="A1541" s="126" t="str">
        <f t="shared" ca="1" si="1715"/>
        <v>a16Dm000000M3xbIAC</v>
      </c>
      <c r="B1541" s="570">
        <v>24</v>
      </c>
      <c r="C1541" s="572" t="str">
        <f ca="1">IFERROR(VLOOKUP(B1541,'Coverage Indicators - Section D'!$A$9:$AO$94,41,FALSE),"")</f>
        <v>HTS-3c Percentage of sex workers that have received an HIV test during the reporting period in KP-specific programs and know their results</v>
      </c>
      <c r="D1541" s="574" t="str">
        <f ca="1">M1541</f>
        <v>Age</v>
      </c>
      <c r="E1541" s="574" t="str">
        <f ca="1">N1541</f>
        <v>25+</v>
      </c>
      <c r="F1541" s="127"/>
      <c r="G1541" s="576" t="str">
        <f ca="1">IF(OR(INDIRECT("'update Helper'!E"&amp;Q1541)="",F1541&lt;&gt;0,F1542&lt;&gt;0),IF(IFERROR((F1541/F1542),"")="","",(F1541/F1542)),INDIRECT("'update Helper'!E"&amp;Q1541)/100)</f>
        <v/>
      </c>
      <c r="H1541" s="539"/>
      <c r="I1541" s="578"/>
      <c r="J1541" s="532" t="s">
        <v>2301</v>
      </c>
      <c r="K1541" s="126">
        <f ca="1">IF(AND(EXACT(C1541,C1539),C1539&lt;&gt;0),K1539+1,0)</f>
        <v>0</v>
      </c>
      <c r="L1541" s="126" t="str">
        <f t="shared" ref="L1541" ca="1" si="1737">IF(C1541&lt;&gt;"",C1541&amp;"-"&amp;K1541,"")</f>
        <v>HTS-3c Percentage of sex workers that have received an HIV test during the reporting period in KP-specific programs and know their results-0</v>
      </c>
      <c r="M1541" s="126" t="str">
        <f t="array" aca="1" ref="M1541" ca="1">IFERROR(IF(INDEX('Disaggregation Records'!$E$156:$E$517,MATCH(RIGHT(L1541,255),RIGHT('Disaggregation Records'!$D$156:$D$517,255),0))="","",INDEX('Disaggregation Records'!$E$156:$E$517,MATCH(RIGHT(L1541,255),RIGHT('Disaggregation Records'!$D$156:$D$517,255),0))),"")</f>
        <v>Age</v>
      </c>
      <c r="N1541" s="126" t="str">
        <f t="array" aca="1" ref="N1541" ca="1">IFERROR(IF(INDEX('Disaggregation Records'!$F$156:$F$517,MATCH(RIGHT(L1541,255),RIGHT('Disaggregation Records'!$D$156:$D$517,255),0))="","",INDEX('Disaggregation Records'!$F$156:$F$517,MATCH(RIGHT(L1541,255),RIGHT('Disaggregation Records'!$D$156:$D$517,255),0))),"")</f>
        <v>25+</v>
      </c>
      <c r="O1541" s="314" t="str">
        <f t="array" aca="1" ref="O1541" ca="1">IFERROR(IF(INDEX('Disaggregation Records'!$H$156:$H$517,MATCH(RIGHT(L1541,255),RIGHT('Disaggregation Records'!$D$156:$D$517,255),0))="","",INDEX('Disaggregation Records'!$H$156:$H$517,MATCH(RIGHT(L1541,255),RIGHT('Disaggregation Records'!$D$156:$D$517,255),0))),"")</f>
        <v>IDR-01281</v>
      </c>
      <c r="P1541" s="314"/>
      <c r="Q1541" s="310">
        <f t="shared" ref="Q1541" si="1738">Q1539+1</f>
        <v>2072</v>
      </c>
      <c r="R1541" s="314" t="str" cm="1">
        <f t="array" aca="1" ref="R1541" ca="1">IFERROR(IF(INDEX('Disaggregation Records'!$G$156:$G$517,MATCH(RIGHT(L1541,255),RIGHT('Disaggregation Records'!$D$156:$D$517,255),0))="","",INDEX('Disaggregation Records'!$G$156:$G$517,MATCH(RIGHT(L1541,255),RIGHT('Disaggregation Records'!$D$156:$D$517,255),0))),"")</f>
        <v>a1LDm000000Cb3PMAS</v>
      </c>
    </row>
    <row r="1542" spans="1:18" ht="20.100000000000001" customHeight="1">
      <c r="A1542" s="126"/>
      <c r="B1542" s="571"/>
      <c r="C1542" s="573"/>
      <c r="D1542" s="575"/>
      <c r="E1542" s="575"/>
      <c r="F1542" s="128"/>
      <c r="G1542" s="577"/>
      <c r="H1542" s="540"/>
      <c r="I1542" s="579"/>
      <c r="J1542" s="533"/>
      <c r="K1542" s="126"/>
      <c r="L1542" s="126"/>
      <c r="M1542" s="126"/>
      <c r="N1542" s="126"/>
      <c r="O1542" s="314"/>
      <c r="P1542" s="314"/>
      <c r="Q1542" s="310"/>
      <c r="R1542" s="314" t="str" cm="1">
        <f t="array" ref="R1542">IFERROR(IF(INDEX('Disaggregation Records'!$G$156:$G$517,MATCH(RIGHT(L1542,255),RIGHT('Disaggregation Records'!$D$156:$D$517,255),0))="","",INDEX('Disaggregation Records'!$G$156:$G$517,MATCH(RIGHT(L1542,255),RIGHT('Disaggregation Records'!$D$156:$D$517,255),0))),"")</f>
        <v/>
      </c>
    </row>
    <row r="1543" spans="1:18" ht="20.100000000000001" customHeight="1">
      <c r="A1543" s="126" t="str">
        <f t="shared" ca="1" si="1718"/>
        <v>a16Dm000000M3xcIAC</v>
      </c>
      <c r="B1543" s="570">
        <v>24</v>
      </c>
      <c r="C1543" s="572" t="str">
        <f ca="1">IFERROR(VLOOKUP(B1543,'Coverage Indicators - Section D'!$A$9:$AO$94,41,FALSE),"")</f>
        <v>HTS-3c Percentage of sex workers that have received an HIV test during the reporting period in KP-specific programs and know their results</v>
      </c>
      <c r="D1543" s="574" t="str">
        <f ca="1">M1543</f>
        <v>Age</v>
      </c>
      <c r="E1543" s="574" t="str">
        <f ca="1">N1543</f>
        <v>20-24</v>
      </c>
      <c r="F1543" s="127"/>
      <c r="G1543" s="576" t="str">
        <f ca="1">IF(OR(INDIRECT("'update Helper'!E"&amp;Q1543)="",F1543&lt;&gt;0,F1544&lt;&gt;0),IF(IFERROR((F1543/F1544),"")="","",(F1543/F1544)),INDIRECT("'update Helper'!E"&amp;Q1543)/100)</f>
        <v/>
      </c>
      <c r="H1543" s="539"/>
      <c r="I1543" s="578"/>
      <c r="J1543" s="532" t="s">
        <v>2301</v>
      </c>
      <c r="K1543" s="126">
        <f ca="1">IF(AND(EXACT(C1543,C1541),C1541&lt;&gt;0),K1541+1,0)</f>
        <v>1</v>
      </c>
      <c r="L1543" s="126" t="str">
        <f t="shared" ref="L1543" ca="1" si="1739">IF(C1543&lt;&gt;"",C1543&amp;"-"&amp;K1543,"")</f>
        <v>HTS-3c Percentage of sex workers that have received an HIV test during the reporting period in KP-specific programs and know their results-1</v>
      </c>
      <c r="M1543" s="126" t="str">
        <f t="array" aca="1" ref="M1543" ca="1">IFERROR(IF(INDEX('Disaggregation Records'!$E$156:$E$517,MATCH(RIGHT(L1543,255),RIGHT('Disaggregation Records'!$D$156:$D$517,255),0))="","",INDEX('Disaggregation Records'!$E$156:$E$517,MATCH(RIGHT(L1543,255),RIGHT('Disaggregation Records'!$D$156:$D$517,255),0))),"")</f>
        <v>Age</v>
      </c>
      <c r="N1543" s="126" t="str">
        <f t="array" aca="1" ref="N1543" ca="1">IFERROR(IF(INDEX('Disaggregation Records'!$F$156:$F$517,MATCH(RIGHT(L1543,255),RIGHT('Disaggregation Records'!$D$156:$D$517,255),0))="","",INDEX('Disaggregation Records'!$F$156:$F$517,MATCH(RIGHT(L1543,255),RIGHT('Disaggregation Records'!$D$156:$D$517,255),0))),"")</f>
        <v>20-24</v>
      </c>
      <c r="O1543" s="314" t="str">
        <f t="array" aca="1" ref="O1543" ca="1">IFERROR(IF(INDEX('Disaggregation Records'!$H$156:$H$517,MATCH(RIGHT(L1543,255),RIGHT('Disaggregation Records'!$D$156:$D$517,255),0))="","",INDEX('Disaggregation Records'!$H$156:$H$517,MATCH(RIGHT(L1543,255),RIGHT('Disaggregation Records'!$D$156:$D$517,255),0))),"")</f>
        <v>IDR-01280</v>
      </c>
      <c r="P1543" s="314"/>
      <c r="Q1543" s="310">
        <f t="shared" ref="Q1543" si="1740">Q1541+1</f>
        <v>2073</v>
      </c>
      <c r="R1543" s="314" t="str" cm="1">
        <f t="array" aca="1" ref="R1543" ca="1">IFERROR(IF(INDEX('Disaggregation Records'!$G$156:$G$517,MATCH(RIGHT(L1543,255),RIGHT('Disaggregation Records'!$D$156:$D$517,255),0))="","",INDEX('Disaggregation Records'!$G$156:$G$517,MATCH(RIGHT(L1543,255),RIGHT('Disaggregation Records'!$D$156:$D$517,255),0))),"")</f>
        <v>a1LDm000000Cb3OMAS</v>
      </c>
    </row>
    <row r="1544" spans="1:18" ht="20.100000000000001" customHeight="1">
      <c r="B1544" s="571"/>
      <c r="C1544" s="573"/>
      <c r="D1544" s="575"/>
      <c r="E1544" s="575"/>
      <c r="F1544" s="128"/>
      <c r="G1544" s="577"/>
      <c r="H1544" s="540"/>
      <c r="I1544" s="579"/>
      <c r="J1544" s="533"/>
      <c r="K1544" s="126"/>
      <c r="L1544" s="126"/>
      <c r="M1544" s="126"/>
      <c r="N1544" s="126"/>
      <c r="O1544" s="314"/>
      <c r="P1544" s="314"/>
      <c r="Q1544" s="310"/>
      <c r="R1544" s="314" t="str" cm="1">
        <f t="array" ref="R1544">IFERROR(IF(INDEX('Disaggregation Records'!$G$156:$G$517,MATCH(RIGHT(L1544,255),RIGHT('Disaggregation Records'!$D$156:$D$517,255),0))="","",INDEX('Disaggregation Records'!$G$156:$G$517,MATCH(RIGHT(L1544,255),RIGHT('Disaggregation Records'!$D$156:$D$517,255),0))),"")</f>
        <v/>
      </c>
    </row>
    <row r="1545" spans="1:18" ht="20.100000000000001" customHeight="1">
      <c r="A1545" s="126" t="str">
        <f t="shared" ca="1" si="1715"/>
        <v>a16Dm000000M3xdIAC</v>
      </c>
      <c r="B1545" s="570">
        <v>24</v>
      </c>
      <c r="C1545" s="572" t="str">
        <f ca="1">IFERROR(VLOOKUP(B1545,'Coverage Indicators - Section D'!$A$9:$AO$94,41,FALSE),"")</f>
        <v>HTS-3c Percentage of sex workers that have received an HIV test during the reporting period in KP-specific programs and know their results</v>
      </c>
      <c r="D1545" s="574" t="str">
        <f ca="1">M1545</f>
        <v>Age</v>
      </c>
      <c r="E1545" s="574" t="str">
        <f ca="1">N1545</f>
        <v>15-19</v>
      </c>
      <c r="F1545" s="127"/>
      <c r="G1545" s="576" t="str">
        <f ca="1">IF(OR(INDIRECT("'update Helper'!E"&amp;Q1545)="",F1545&lt;&gt;0,F1546&lt;&gt;0),IF(IFERROR((F1545/F1546),"")="","",(F1545/F1546)),INDIRECT("'update Helper'!E"&amp;Q1545)/100)</f>
        <v/>
      </c>
      <c r="H1545" s="539"/>
      <c r="I1545" s="578"/>
      <c r="J1545" s="532" t="s">
        <v>2301</v>
      </c>
      <c r="K1545" s="126">
        <f ca="1">IF(AND(EXACT(C1545,C1543),C1543&lt;&gt;0),K1543+1,0)</f>
        <v>2</v>
      </c>
      <c r="L1545" s="126" t="str">
        <f t="shared" ref="L1545" ca="1" si="1741">IF(C1545&lt;&gt;"",C1545&amp;"-"&amp;K1545,"")</f>
        <v>HTS-3c Percentage of sex workers that have received an HIV test during the reporting period in KP-specific programs and know their results-2</v>
      </c>
      <c r="M1545" s="126" t="str">
        <f t="array" aca="1" ref="M1545" ca="1">IFERROR(IF(INDEX('Disaggregation Records'!$E$156:$E$517,MATCH(RIGHT(L1545,255),RIGHT('Disaggregation Records'!$D$156:$D$517,255),0))="","",INDEX('Disaggregation Records'!$E$156:$E$517,MATCH(RIGHT(L1545,255),RIGHT('Disaggregation Records'!$D$156:$D$517,255),0))),"")</f>
        <v>Age</v>
      </c>
      <c r="N1545" s="126" t="str">
        <f t="array" aca="1" ref="N1545" ca="1">IFERROR(IF(INDEX('Disaggregation Records'!$F$156:$F$517,MATCH(RIGHT(L1545,255),RIGHT('Disaggregation Records'!$D$156:$D$517,255),0))="","",INDEX('Disaggregation Records'!$F$156:$F$517,MATCH(RIGHT(L1545,255),RIGHT('Disaggregation Records'!$D$156:$D$517,255),0))),"")</f>
        <v>15-19</v>
      </c>
      <c r="O1545" s="314" t="str">
        <f t="array" aca="1" ref="O1545" ca="1">IFERROR(IF(INDEX('Disaggregation Records'!$H$156:$H$517,MATCH(RIGHT(L1545,255),RIGHT('Disaggregation Records'!$D$156:$D$517,255),0))="","",INDEX('Disaggregation Records'!$H$156:$H$517,MATCH(RIGHT(L1545,255),RIGHT('Disaggregation Records'!$D$156:$D$517,255),0))),"")</f>
        <v>IDR-01279</v>
      </c>
      <c r="P1545" s="310"/>
      <c r="Q1545" s="310">
        <f t="shared" ref="Q1545" si="1742">Q1543+1</f>
        <v>2074</v>
      </c>
      <c r="R1545" s="314" t="str" cm="1">
        <f t="array" aca="1" ref="R1545" ca="1">IFERROR(IF(INDEX('Disaggregation Records'!$G$156:$G$517,MATCH(RIGHT(L1545,255),RIGHT('Disaggregation Records'!$D$156:$D$517,255),0))="","",INDEX('Disaggregation Records'!$G$156:$G$517,MATCH(RIGHT(L1545,255),RIGHT('Disaggregation Records'!$D$156:$D$517,255),0))),"")</f>
        <v>a1LDm000000Cb3NMAS</v>
      </c>
    </row>
    <row r="1546" spans="1:18" ht="20.100000000000001" customHeight="1">
      <c r="A1546" s="126"/>
      <c r="B1546" s="571"/>
      <c r="C1546" s="573"/>
      <c r="D1546" s="575"/>
      <c r="E1546" s="575"/>
      <c r="F1546" s="128"/>
      <c r="G1546" s="577"/>
      <c r="H1546" s="540"/>
      <c r="I1546" s="579"/>
      <c r="J1546" s="533"/>
      <c r="L1546" s="126"/>
      <c r="N1546" s="126"/>
      <c r="O1546" s="314"/>
      <c r="P1546" s="310"/>
      <c r="Q1546" s="310"/>
      <c r="R1546" s="314" t="str" cm="1">
        <f t="array" ref="R1546">IFERROR(IF(INDEX('Disaggregation Records'!$G$156:$G$517,MATCH(RIGHT(L1546,255),RIGHT('Disaggregation Records'!$D$156:$D$517,255),0))="","",INDEX('Disaggregation Records'!$G$156:$G$517,MATCH(RIGHT(L1546,255),RIGHT('Disaggregation Records'!$D$156:$D$517,255),0))),"")</f>
        <v/>
      </c>
    </row>
    <row r="1547" spans="1:18" ht="20.100000000000001" customHeight="1">
      <c r="A1547" s="126" t="str">
        <f t="shared" ca="1" si="1718"/>
        <v>a16Dm000000M3xeIAC</v>
      </c>
      <c r="B1547" s="570">
        <v>24</v>
      </c>
      <c r="C1547" s="572" t="str">
        <f ca="1">IFERROR(VLOOKUP(B1547,'Coverage Indicators - Section D'!$A$9:$AO$94,41,FALSE),"")</f>
        <v>HTS-3c Percentage of sex workers that have received an HIV test during the reporting period in KP-specific programs and know their results</v>
      </c>
      <c r="D1547" s="574" t="str">
        <f ca="1">M1547</f>
        <v>Gender</v>
      </c>
      <c r="E1547" s="574" t="str">
        <f ca="1">N1547</f>
        <v>Transgender</v>
      </c>
      <c r="F1547" s="127"/>
      <c r="G1547" s="576" t="str">
        <f ca="1">IF(OR(INDIRECT("'update Helper'!E"&amp;Q1547)="",F1547&lt;&gt;0,F1548&lt;&gt;0),IF(IFERROR((F1547/F1548),"")="","",(F1547/F1548)),INDIRECT("'update Helper'!E"&amp;Q1547)/100)</f>
        <v/>
      </c>
      <c r="H1547" s="539"/>
      <c r="I1547" s="578"/>
      <c r="J1547" s="532" t="s">
        <v>2301</v>
      </c>
      <c r="K1547" s="126">
        <f ca="1">IF(AND(EXACT(C1547,C1545),C1545&lt;&gt;0),K1545+1,0)</f>
        <v>3</v>
      </c>
      <c r="L1547" s="126" t="str">
        <f t="shared" ref="L1547" ca="1" si="1743">IF(C1547&lt;&gt;"",C1547&amp;"-"&amp;K1547,"")</f>
        <v>HTS-3c Percentage of sex workers that have received an HIV test during the reporting period in KP-specific programs and know their results-3</v>
      </c>
      <c r="M1547" s="126" t="str">
        <f t="array" aca="1" ref="M1547" ca="1">IFERROR(IF(INDEX('Disaggregation Records'!$E$156:$E$517,MATCH(RIGHT(L1547,255),RIGHT('Disaggregation Records'!$D$156:$D$517,255),0))="","",INDEX('Disaggregation Records'!$E$156:$E$517,MATCH(RIGHT(L1547,255),RIGHT('Disaggregation Records'!$D$156:$D$517,255),0))),"")</f>
        <v>Gender</v>
      </c>
      <c r="N1547" s="126" t="str">
        <f t="array" aca="1" ref="N1547" ca="1">IFERROR(IF(INDEX('Disaggregation Records'!$F$156:$F$517,MATCH(RIGHT(L1547,255),RIGHT('Disaggregation Records'!$D$156:$D$517,255),0))="","",INDEX('Disaggregation Records'!$F$156:$F$517,MATCH(RIGHT(L1547,255),RIGHT('Disaggregation Records'!$D$156:$D$517,255),0))),"")</f>
        <v>Transgender</v>
      </c>
      <c r="O1547" s="314" t="str">
        <f t="array" aca="1" ref="O1547" ca="1">IFERROR(IF(INDEX('Disaggregation Records'!$H$156:$H$517,MATCH(RIGHT(L1547,255),RIGHT('Disaggregation Records'!$D$156:$D$517,255),0))="","",INDEX('Disaggregation Records'!$H$156:$H$517,MATCH(RIGHT(L1547,255),RIGHT('Disaggregation Records'!$D$156:$D$517,255),0))),"")</f>
        <v>IDR-01278</v>
      </c>
      <c r="P1547" s="310"/>
      <c r="Q1547" s="310">
        <f t="shared" ref="Q1547" si="1744">Q1545+1</f>
        <v>2075</v>
      </c>
      <c r="R1547" s="314" t="str" cm="1">
        <f t="array" aca="1" ref="R1547" ca="1">IFERROR(IF(INDEX('Disaggregation Records'!$G$156:$G$517,MATCH(RIGHT(L1547,255),RIGHT('Disaggregation Records'!$D$156:$D$517,255),0))="","",INDEX('Disaggregation Records'!$G$156:$G$517,MATCH(RIGHT(L1547,255),RIGHT('Disaggregation Records'!$D$156:$D$517,255),0))),"")</f>
        <v>a1LDm000000Cb3MMAS</v>
      </c>
    </row>
    <row r="1548" spans="1:18" ht="20.100000000000001" customHeight="1">
      <c r="B1548" s="571"/>
      <c r="C1548" s="573"/>
      <c r="D1548" s="575"/>
      <c r="E1548" s="575"/>
      <c r="F1548" s="128"/>
      <c r="G1548" s="577"/>
      <c r="H1548" s="540"/>
      <c r="I1548" s="579"/>
      <c r="J1548" s="533"/>
      <c r="L1548" s="126"/>
      <c r="N1548" s="126"/>
      <c r="O1548" s="314"/>
      <c r="P1548" s="310"/>
      <c r="Q1548" s="310"/>
      <c r="R1548" s="314" t="str" cm="1">
        <f t="array" ref="R1548">IFERROR(IF(INDEX('Disaggregation Records'!$G$156:$G$517,MATCH(RIGHT(L1548,255),RIGHT('Disaggregation Records'!$D$156:$D$517,255),0))="","",INDEX('Disaggregation Records'!$G$156:$G$517,MATCH(RIGHT(L1548,255),RIGHT('Disaggregation Records'!$D$156:$D$517,255),0))),"")</f>
        <v/>
      </c>
    </row>
    <row r="1549" spans="1:18" ht="20.100000000000001" customHeight="1">
      <c r="A1549" s="126" t="str">
        <f t="shared" ca="1" si="1715"/>
        <v>a16Dm000000M3xfIAC</v>
      </c>
      <c r="B1549" s="570">
        <v>24</v>
      </c>
      <c r="C1549" s="572" t="str">
        <f ca="1">IFERROR(VLOOKUP(B1549,'Coverage Indicators - Section D'!$A$9:$AO$94,41,FALSE),"")</f>
        <v>HTS-3c Percentage of sex workers that have received an HIV test during the reporting period in KP-specific programs and know their results</v>
      </c>
      <c r="D1549" s="574" t="str">
        <f ca="1">M1549</f>
        <v>Gender</v>
      </c>
      <c r="E1549" s="574" t="str">
        <f ca="1">N1549</f>
        <v>Male</v>
      </c>
      <c r="F1549" s="127"/>
      <c r="G1549" s="576" t="str">
        <f ca="1">IF(OR(INDIRECT("'update Helper'!E"&amp;Q1549)="",F1549&lt;&gt;0,F1550&lt;&gt;0),IF(IFERROR((F1549/F1550),"")="","",(F1549/F1550)),INDIRECT("'update Helper'!E"&amp;Q1549)/100)</f>
        <v/>
      </c>
      <c r="H1549" s="539"/>
      <c r="I1549" s="578"/>
      <c r="J1549" s="532" t="s">
        <v>2301</v>
      </c>
      <c r="K1549" s="126">
        <f ca="1">IF(AND(EXACT(C1549,C1547),C1547&lt;&gt;0),K1547+1,0)</f>
        <v>4</v>
      </c>
      <c r="L1549" s="126" t="str">
        <f t="shared" ref="L1549" ca="1" si="1745">IF(C1549&lt;&gt;"",C1549&amp;"-"&amp;K1549,"")</f>
        <v>HTS-3c Percentage of sex workers that have received an HIV test during the reporting period in KP-specific programs and know their results-4</v>
      </c>
      <c r="M1549" s="126" t="str">
        <f t="array" aca="1" ref="M1549" ca="1">IFERROR(IF(INDEX('Disaggregation Records'!$E$156:$E$517,MATCH(RIGHT(L1549,255),RIGHT('Disaggregation Records'!$D$156:$D$517,255),0))="","",INDEX('Disaggregation Records'!$E$156:$E$517,MATCH(RIGHT(L1549,255),RIGHT('Disaggregation Records'!$D$156:$D$517,255),0))),"")</f>
        <v>Gender</v>
      </c>
      <c r="N1549" s="126" t="str">
        <f t="array" aca="1" ref="N1549" ca="1">IFERROR(IF(INDEX('Disaggregation Records'!$F$156:$F$517,MATCH(RIGHT(L1549,255),RIGHT('Disaggregation Records'!$D$156:$D$517,255),0))="","",INDEX('Disaggregation Records'!$F$156:$F$517,MATCH(RIGHT(L1549,255),RIGHT('Disaggregation Records'!$D$156:$D$517,255),0))),"")</f>
        <v>Male</v>
      </c>
      <c r="O1549" s="314" t="str">
        <f t="array" aca="1" ref="O1549" ca="1">IFERROR(IF(INDEX('Disaggregation Records'!$H$156:$H$517,MATCH(RIGHT(L1549,255),RIGHT('Disaggregation Records'!$D$156:$D$517,255),0))="","",INDEX('Disaggregation Records'!$H$156:$H$517,MATCH(RIGHT(L1549,255),RIGHT('Disaggregation Records'!$D$156:$D$517,255),0))),"")</f>
        <v>IDR-01277</v>
      </c>
      <c r="P1549" s="310"/>
      <c r="Q1549" s="310">
        <f t="shared" ref="Q1549" si="1746">Q1547+1</f>
        <v>2076</v>
      </c>
      <c r="R1549" s="314" t="str" cm="1">
        <f t="array" aca="1" ref="R1549" ca="1">IFERROR(IF(INDEX('Disaggregation Records'!$G$156:$G$517,MATCH(RIGHT(L1549,255),RIGHT('Disaggregation Records'!$D$156:$D$517,255),0))="","",INDEX('Disaggregation Records'!$G$156:$G$517,MATCH(RIGHT(L1549,255),RIGHT('Disaggregation Records'!$D$156:$D$517,255),0))),"")</f>
        <v>a1LDm000000Cb3LMAS</v>
      </c>
    </row>
    <row r="1550" spans="1:18" ht="20.100000000000001" customHeight="1">
      <c r="A1550" s="126"/>
      <c r="B1550" s="571"/>
      <c r="C1550" s="573"/>
      <c r="D1550" s="575"/>
      <c r="E1550" s="575"/>
      <c r="F1550" s="128"/>
      <c r="G1550" s="577"/>
      <c r="H1550" s="540"/>
      <c r="I1550" s="579"/>
      <c r="J1550" s="533"/>
      <c r="L1550" s="126"/>
      <c r="N1550" s="126"/>
      <c r="O1550" s="314"/>
      <c r="P1550" s="310"/>
      <c r="Q1550" s="310"/>
      <c r="R1550" s="314" t="str" cm="1">
        <f t="array" ref="R1550">IFERROR(IF(INDEX('Disaggregation Records'!$G$156:$G$517,MATCH(RIGHT(L1550,255),RIGHT('Disaggregation Records'!$D$156:$D$517,255),0))="","",INDEX('Disaggregation Records'!$G$156:$G$517,MATCH(RIGHT(L1550,255),RIGHT('Disaggregation Records'!$D$156:$D$517,255),0))),"")</f>
        <v/>
      </c>
    </row>
    <row r="1551" spans="1:18" ht="20.100000000000001" customHeight="1">
      <c r="A1551" s="126" t="str">
        <f t="shared" ca="1" si="1718"/>
        <v>a16Dm000000M3xgIAC</v>
      </c>
      <c r="B1551" s="570">
        <v>24</v>
      </c>
      <c r="C1551" s="572" t="str">
        <f ca="1">IFERROR(VLOOKUP(B1551,'Coverage Indicators - Section D'!$A$9:$AO$94,41,FALSE),"")</f>
        <v>HTS-3c Percentage of sex workers that have received an HIV test during the reporting period in KP-specific programs and know their results</v>
      </c>
      <c r="D1551" s="574" t="str">
        <f ca="1">M1551</f>
        <v>Gender</v>
      </c>
      <c r="E1551" s="574" t="str">
        <f ca="1">N1551</f>
        <v>Female</v>
      </c>
      <c r="F1551" s="127"/>
      <c r="G1551" s="576" t="str">
        <f ca="1">IF(OR(INDIRECT("'update Helper'!E"&amp;Q1551)="",F1551&lt;&gt;0,F1552&lt;&gt;0),IF(IFERROR((F1551/F1552),"")="","",(F1551/F1552)),INDIRECT("'update Helper'!E"&amp;Q1551)/100)</f>
        <v/>
      </c>
      <c r="H1551" s="539"/>
      <c r="I1551" s="578"/>
      <c r="J1551" s="532" t="s">
        <v>2301</v>
      </c>
      <c r="K1551" s="126">
        <f ca="1">IF(AND(EXACT(C1551,C1549),C1549&lt;&gt;0),K1549+1,0)</f>
        <v>5</v>
      </c>
      <c r="L1551" s="126" t="str">
        <f t="shared" ref="L1551" ca="1" si="1747">IF(C1551&lt;&gt;"",C1551&amp;"-"&amp;K1551,"")</f>
        <v>HTS-3c Percentage of sex workers that have received an HIV test during the reporting period in KP-specific programs and know their results-5</v>
      </c>
      <c r="M1551" s="126" t="str">
        <f t="array" aca="1" ref="M1551" ca="1">IFERROR(IF(INDEX('Disaggregation Records'!$E$156:$E$517,MATCH(RIGHT(L1551,255),RIGHT('Disaggregation Records'!$D$156:$D$517,255),0))="","",INDEX('Disaggregation Records'!$E$156:$E$517,MATCH(RIGHT(L1551,255),RIGHT('Disaggregation Records'!$D$156:$D$517,255),0))),"")</f>
        <v>Gender</v>
      </c>
      <c r="N1551" s="126" t="str">
        <f t="array" aca="1" ref="N1551" ca="1">IFERROR(IF(INDEX('Disaggregation Records'!$F$156:$F$517,MATCH(RIGHT(L1551,255),RIGHT('Disaggregation Records'!$D$156:$D$517,255),0))="","",INDEX('Disaggregation Records'!$F$156:$F$517,MATCH(RIGHT(L1551,255),RIGHT('Disaggregation Records'!$D$156:$D$517,255),0))),"")</f>
        <v>Female</v>
      </c>
      <c r="O1551" s="314" t="str">
        <f t="array" aca="1" ref="O1551" ca="1">IFERROR(IF(INDEX('Disaggregation Records'!$H$156:$H$517,MATCH(RIGHT(L1551,255),RIGHT('Disaggregation Records'!$D$156:$D$517,255),0))="","",INDEX('Disaggregation Records'!$H$156:$H$517,MATCH(RIGHT(L1551,255),RIGHT('Disaggregation Records'!$D$156:$D$517,255),0))),"")</f>
        <v>IDR-01276</v>
      </c>
      <c r="P1551" s="314"/>
      <c r="Q1551" s="310">
        <f t="shared" ref="Q1551" si="1748">Q1549+1</f>
        <v>2077</v>
      </c>
      <c r="R1551" s="314" t="str" cm="1">
        <f t="array" aca="1" ref="R1551" ca="1">IFERROR(IF(INDEX('Disaggregation Records'!$G$156:$G$517,MATCH(RIGHT(L1551,255),RIGHT('Disaggregation Records'!$D$156:$D$517,255),0))="","",INDEX('Disaggregation Records'!$G$156:$G$517,MATCH(RIGHT(L1551,255),RIGHT('Disaggregation Records'!$D$156:$D$517,255),0))),"")</f>
        <v>a1LDm000000Cb3KMAS</v>
      </c>
    </row>
    <row r="1552" spans="1:18" ht="20.100000000000001" customHeight="1">
      <c r="B1552" s="571"/>
      <c r="C1552" s="573"/>
      <c r="D1552" s="575"/>
      <c r="E1552" s="575"/>
      <c r="F1552" s="128"/>
      <c r="G1552" s="577"/>
      <c r="H1552" s="540"/>
      <c r="I1552" s="579"/>
      <c r="J1552" s="533"/>
      <c r="K1552" s="126"/>
      <c r="L1552" s="126"/>
      <c r="M1552" s="126"/>
      <c r="N1552" s="126"/>
      <c r="O1552" s="314"/>
      <c r="P1552" s="314"/>
      <c r="Q1552" s="310"/>
      <c r="R1552" s="314" t="str" cm="1">
        <f t="array" ref="R1552">IFERROR(IF(INDEX('Disaggregation Records'!$G$156:$G$517,MATCH(RIGHT(L1552,255),RIGHT('Disaggregation Records'!$D$156:$D$517,255),0))="","",INDEX('Disaggregation Records'!$G$156:$G$517,MATCH(RIGHT(L1552,255),RIGHT('Disaggregation Records'!$D$156:$D$517,255),0))),"")</f>
        <v/>
      </c>
    </row>
    <row r="1553" spans="1:18" ht="20.100000000000001" customHeight="1">
      <c r="A1553" s="126" t="str">
        <f t="shared" ca="1" si="1715"/>
        <v>a16Dm000000M3xhIAC</v>
      </c>
      <c r="B1553" s="570">
        <v>24</v>
      </c>
      <c r="C1553" s="572" t="str">
        <f ca="1">IFERROR(VLOOKUP(B1553,'Coverage Indicators - Section D'!$A$9:$AO$94,41,FALSE),"")</f>
        <v>HTS-3c Percentage of sex workers that have received an HIV test during the reporting period in KP-specific programs and know their results</v>
      </c>
      <c r="D1553" s="574" t="str">
        <f ca="1">M1553</f>
        <v/>
      </c>
      <c r="E1553" s="574" t="str">
        <f ca="1">N1553</f>
        <v/>
      </c>
      <c r="F1553" s="127"/>
      <c r="G1553" s="576" t="str">
        <f ca="1">IF(OR(INDIRECT("'update Helper'!E"&amp;Q1553)="",F1553&lt;&gt;0,F1554&lt;&gt;0),IF(IFERROR((F1553/F1554),"")="","",(F1553/F1554)),INDIRECT("'update Helper'!E"&amp;Q1553)/100)</f>
        <v/>
      </c>
      <c r="H1553" s="539"/>
      <c r="I1553" s="578"/>
      <c r="J1553" s="532"/>
      <c r="K1553" s="126">
        <f ca="1">IF(AND(EXACT(C1553,C1551),C1551&lt;&gt;0),K1551+1,0)</f>
        <v>6</v>
      </c>
      <c r="L1553" s="126" t="str">
        <f t="shared" ref="L1553" ca="1" si="1749">IF(C1553&lt;&gt;"",C1553&amp;"-"&amp;K1553,"")</f>
        <v>HTS-3c Percentage of sex workers that have received an HIV test during the reporting period in KP-specific programs and know their results-6</v>
      </c>
      <c r="M1553" s="126" t="str">
        <f t="array" aca="1" ref="M1553" ca="1">IFERROR(IF(INDEX('Disaggregation Records'!$E$156:$E$517,MATCH(RIGHT(L1553,255),RIGHT('Disaggregation Records'!$D$156:$D$517,255),0))="","",INDEX('Disaggregation Records'!$E$156:$E$517,MATCH(RIGHT(L1553,255),RIGHT('Disaggregation Records'!$D$156:$D$517,255),0))),"")</f>
        <v/>
      </c>
      <c r="N1553" s="126" t="str">
        <f t="array" aca="1" ref="N1553" ca="1">IFERROR(IF(INDEX('Disaggregation Records'!$F$156:$F$517,MATCH(RIGHT(L1553,255),RIGHT('Disaggregation Records'!$D$156:$D$517,255),0))="","",INDEX('Disaggregation Records'!$F$156:$F$517,MATCH(RIGHT(L1553,255),RIGHT('Disaggregation Records'!$D$156:$D$517,255),0))),"")</f>
        <v/>
      </c>
      <c r="O1553" s="314" t="str">
        <f t="array" aca="1" ref="O1553" ca="1">IFERROR(IF(INDEX('Disaggregation Records'!$H$156:$H$517,MATCH(RIGHT(L1553,255),RIGHT('Disaggregation Records'!$D$156:$D$517,255),0))="","",INDEX('Disaggregation Records'!$H$156:$H$517,MATCH(RIGHT(L1553,255),RIGHT('Disaggregation Records'!$D$156:$D$517,255),0))),"")</f>
        <v/>
      </c>
      <c r="P1553" s="314"/>
      <c r="Q1553" s="310">
        <f t="shared" ref="Q1553" si="1750">Q1551+1</f>
        <v>2078</v>
      </c>
      <c r="R1553" s="314" t="str" cm="1">
        <f t="array" aca="1" ref="R1553" ca="1">IFERROR(IF(INDEX('Disaggregation Records'!$G$156:$G$517,MATCH(RIGHT(L1553,255),RIGHT('Disaggregation Records'!$D$156:$D$517,255),0))="","",INDEX('Disaggregation Records'!$G$156:$G$517,MATCH(RIGHT(L1553,255),RIGHT('Disaggregation Records'!$D$156:$D$517,255),0))),"")</f>
        <v/>
      </c>
    </row>
    <row r="1554" spans="1:18" ht="20.100000000000001" customHeight="1">
      <c r="A1554" s="126"/>
      <c r="B1554" s="571"/>
      <c r="C1554" s="573"/>
      <c r="D1554" s="575"/>
      <c r="E1554" s="575"/>
      <c r="F1554" s="128"/>
      <c r="G1554" s="577"/>
      <c r="H1554" s="540"/>
      <c r="I1554" s="579"/>
      <c r="J1554" s="533"/>
      <c r="K1554" s="126"/>
      <c r="L1554" s="126"/>
      <c r="M1554" s="126"/>
      <c r="N1554" s="126"/>
      <c r="O1554" s="314"/>
      <c r="P1554" s="314"/>
      <c r="Q1554" s="310"/>
      <c r="R1554" s="314" t="str" cm="1">
        <f t="array" ref="R1554">IFERROR(IF(INDEX('Disaggregation Records'!$G$156:$G$517,MATCH(RIGHT(L1554,255),RIGHT('Disaggregation Records'!$D$156:$D$517,255),0))="","",INDEX('Disaggregation Records'!$G$156:$G$517,MATCH(RIGHT(L1554,255),RIGHT('Disaggregation Records'!$D$156:$D$517,255),0))),"")</f>
        <v/>
      </c>
    </row>
    <row r="1555" spans="1:18" ht="20.100000000000001" customHeight="1">
      <c r="A1555" s="126" t="str">
        <f t="shared" ca="1" si="1718"/>
        <v>a16Dm000000M3xiIAC</v>
      </c>
      <c r="B1555" s="570">
        <v>24</v>
      </c>
      <c r="C1555" s="572" t="str">
        <f ca="1">IFERROR(VLOOKUP(B1555,'Coverage Indicators - Section D'!$A$9:$AO$94,41,FALSE),"")</f>
        <v>HTS-3c Percentage of sex workers that have received an HIV test during the reporting period in KP-specific programs and know their results</v>
      </c>
      <c r="D1555" s="574" t="str">
        <f ca="1">M1555</f>
        <v/>
      </c>
      <c r="E1555" s="574" t="str">
        <f ca="1">N1555</f>
        <v/>
      </c>
      <c r="F1555" s="127"/>
      <c r="G1555" s="576" t="str">
        <f ca="1">IF(OR(INDIRECT("'update Helper'!E"&amp;Q1555)="",F1555&lt;&gt;0,F1556&lt;&gt;0),IF(IFERROR((F1555/F1556),"")="","",(F1555/F1556)),INDIRECT("'update Helper'!E"&amp;Q1555)/100)</f>
        <v/>
      </c>
      <c r="H1555" s="539"/>
      <c r="I1555" s="578"/>
      <c r="J1555" s="532"/>
      <c r="K1555" s="126">
        <f ca="1">IF(AND(EXACT(C1555,C1553),C1553&lt;&gt;0),K1553+1,0)</f>
        <v>7</v>
      </c>
      <c r="L1555" s="126" t="str">
        <f t="shared" ref="L1555" ca="1" si="1751">IF(C1555&lt;&gt;"",C1555&amp;"-"&amp;K1555,"")</f>
        <v>HTS-3c Percentage of sex workers that have received an HIV test during the reporting period in KP-specific programs and know their results-7</v>
      </c>
      <c r="M1555" s="126" t="str">
        <f t="array" aca="1" ref="M1555" ca="1">IFERROR(IF(INDEX('Disaggregation Records'!$E$156:$E$517,MATCH(RIGHT(L1555,255),RIGHT('Disaggregation Records'!$D$156:$D$517,255),0))="","",INDEX('Disaggregation Records'!$E$156:$E$517,MATCH(RIGHT(L1555,255),RIGHT('Disaggregation Records'!$D$156:$D$517,255),0))),"")</f>
        <v/>
      </c>
      <c r="N1555" s="126" t="str">
        <f t="array" aca="1" ref="N1555" ca="1">IFERROR(IF(INDEX('Disaggregation Records'!$F$156:$F$517,MATCH(RIGHT(L1555,255),RIGHT('Disaggregation Records'!$D$156:$D$517,255),0))="","",INDEX('Disaggregation Records'!$F$156:$F$517,MATCH(RIGHT(L1555,255),RIGHT('Disaggregation Records'!$D$156:$D$517,255),0))),"")</f>
        <v/>
      </c>
      <c r="O1555" s="314" t="str">
        <f t="array" aca="1" ref="O1555" ca="1">IFERROR(IF(INDEX('Disaggregation Records'!$H$156:$H$517,MATCH(RIGHT(L1555,255),RIGHT('Disaggregation Records'!$D$156:$D$517,255),0))="","",INDEX('Disaggregation Records'!$H$156:$H$517,MATCH(RIGHT(L1555,255),RIGHT('Disaggregation Records'!$D$156:$D$517,255),0))),"")</f>
        <v/>
      </c>
      <c r="P1555" s="310"/>
      <c r="Q1555" s="310">
        <f t="shared" ref="Q1555" si="1752">Q1553+1</f>
        <v>2079</v>
      </c>
      <c r="R1555" s="314" t="str" cm="1">
        <f t="array" aca="1" ref="R1555" ca="1">IFERROR(IF(INDEX('Disaggregation Records'!$G$156:$G$517,MATCH(RIGHT(L1555,255),RIGHT('Disaggregation Records'!$D$156:$D$517,255),0))="","",INDEX('Disaggregation Records'!$G$156:$G$517,MATCH(RIGHT(L1555,255),RIGHT('Disaggregation Records'!$D$156:$D$517,255),0))),"")</f>
        <v/>
      </c>
    </row>
    <row r="1556" spans="1:18" ht="20.100000000000001" customHeight="1">
      <c r="B1556" s="571"/>
      <c r="C1556" s="573"/>
      <c r="D1556" s="575"/>
      <c r="E1556" s="575"/>
      <c r="F1556" s="128"/>
      <c r="G1556" s="577"/>
      <c r="H1556" s="540"/>
      <c r="I1556" s="579"/>
      <c r="J1556" s="533"/>
      <c r="L1556" s="126"/>
      <c r="N1556" s="126"/>
      <c r="O1556" s="314"/>
      <c r="P1556" s="310"/>
      <c r="Q1556" s="310"/>
      <c r="R1556" s="314" t="str" cm="1">
        <f t="array" ref="R1556">IFERROR(IF(INDEX('Disaggregation Records'!$G$156:$G$517,MATCH(RIGHT(L1556,255),RIGHT('Disaggregation Records'!$D$156:$D$517,255),0))="","",INDEX('Disaggregation Records'!$G$156:$G$517,MATCH(RIGHT(L1556,255),RIGHT('Disaggregation Records'!$D$156:$D$517,255),0))),"")</f>
        <v/>
      </c>
    </row>
    <row r="1557" spans="1:18" ht="20.100000000000001" customHeight="1">
      <c r="A1557" s="126" t="str">
        <f t="shared" ca="1" si="1715"/>
        <v>a16Dm000000M3xjIAC</v>
      </c>
      <c r="B1557" s="570">
        <v>24</v>
      </c>
      <c r="C1557" s="572" t="str">
        <f ca="1">IFERROR(VLOOKUP(B1557,'Coverage Indicators - Section D'!$A$9:$AO$94,41,FALSE),"")</f>
        <v>HTS-3c Percentage of sex workers that have received an HIV test during the reporting period in KP-specific programs and know their results</v>
      </c>
      <c r="D1557" s="574" t="str">
        <f ca="1">M1557</f>
        <v/>
      </c>
      <c r="E1557" s="574" t="str">
        <f ca="1">N1557</f>
        <v/>
      </c>
      <c r="F1557" s="127"/>
      <c r="G1557" s="576" t="str">
        <f ca="1">IF(OR(INDIRECT("'update Helper'!E"&amp;Q1557)="",F1557&lt;&gt;0,F1558&lt;&gt;0),IF(IFERROR((F1557/F1558),"")="","",(F1557/F1558)),INDIRECT("'update Helper'!E"&amp;Q1557)/100)</f>
        <v/>
      </c>
      <c r="H1557" s="539"/>
      <c r="I1557" s="578"/>
      <c r="J1557" s="532"/>
      <c r="K1557" s="126">
        <f ca="1">IF(AND(EXACT(C1557,C1555),C1555&lt;&gt;0),K1555+1,0)</f>
        <v>8</v>
      </c>
      <c r="L1557" s="126" t="str">
        <f t="shared" ref="L1557" ca="1" si="1753">IF(C1557&lt;&gt;"",C1557&amp;"-"&amp;K1557,"")</f>
        <v>HTS-3c Percentage of sex workers that have received an HIV test during the reporting period in KP-specific programs and know their results-8</v>
      </c>
      <c r="M1557" s="126" t="str">
        <f t="array" aca="1" ref="M1557" ca="1">IFERROR(IF(INDEX('Disaggregation Records'!$E$156:$E$517,MATCH(RIGHT(L1557,255),RIGHT('Disaggregation Records'!$D$156:$D$517,255),0))="","",INDEX('Disaggregation Records'!$E$156:$E$517,MATCH(RIGHT(L1557,255),RIGHT('Disaggregation Records'!$D$156:$D$517,255),0))),"")</f>
        <v/>
      </c>
      <c r="N1557" s="126" t="str">
        <f t="array" aca="1" ref="N1557" ca="1">IFERROR(IF(INDEX('Disaggregation Records'!$F$156:$F$517,MATCH(RIGHT(L1557,255),RIGHT('Disaggregation Records'!$D$156:$D$517,255),0))="","",INDEX('Disaggregation Records'!$F$156:$F$517,MATCH(RIGHT(L1557,255),RIGHT('Disaggregation Records'!$D$156:$D$517,255),0))),"")</f>
        <v/>
      </c>
      <c r="O1557" s="314" t="str">
        <f t="array" aca="1" ref="O1557" ca="1">IFERROR(IF(INDEX('Disaggregation Records'!$H$156:$H$517,MATCH(RIGHT(L1557,255),RIGHT('Disaggregation Records'!$D$156:$D$517,255),0))="","",INDEX('Disaggregation Records'!$H$156:$H$517,MATCH(RIGHT(L1557,255),RIGHT('Disaggregation Records'!$D$156:$D$517,255),0))),"")</f>
        <v/>
      </c>
      <c r="P1557" s="310"/>
      <c r="Q1557" s="310">
        <f t="shared" ref="Q1557" si="1754">Q1555+1</f>
        <v>2080</v>
      </c>
      <c r="R1557" s="314" t="str" cm="1">
        <f t="array" aca="1" ref="R1557" ca="1">IFERROR(IF(INDEX('Disaggregation Records'!$G$156:$G$517,MATCH(RIGHT(L1557,255),RIGHT('Disaggregation Records'!$D$156:$D$517,255),0))="","",INDEX('Disaggregation Records'!$G$156:$G$517,MATCH(RIGHT(L1557,255),RIGHT('Disaggregation Records'!$D$156:$D$517,255),0))),"")</f>
        <v/>
      </c>
    </row>
    <row r="1558" spans="1:18" ht="20.100000000000001" customHeight="1">
      <c r="A1558" s="126"/>
      <c r="B1558" s="571"/>
      <c r="C1558" s="573"/>
      <c r="D1558" s="575"/>
      <c r="E1558" s="575"/>
      <c r="F1558" s="128"/>
      <c r="G1558" s="577"/>
      <c r="H1558" s="540"/>
      <c r="I1558" s="579"/>
      <c r="J1558" s="533"/>
      <c r="L1558" s="126"/>
      <c r="N1558" s="126"/>
      <c r="O1558" s="314"/>
      <c r="P1558" s="310"/>
      <c r="Q1558" s="310"/>
      <c r="R1558" s="314" t="str" cm="1">
        <f t="array" ref="R1558">IFERROR(IF(INDEX('Disaggregation Records'!$G$156:$G$517,MATCH(RIGHT(L1558,255),RIGHT('Disaggregation Records'!$D$156:$D$517,255),0))="","",INDEX('Disaggregation Records'!$G$156:$G$517,MATCH(RIGHT(L1558,255),RIGHT('Disaggregation Records'!$D$156:$D$517,255),0))),"")</f>
        <v/>
      </c>
    </row>
    <row r="1559" spans="1:18" ht="20.100000000000001" customHeight="1">
      <c r="A1559" s="126" t="str">
        <f t="shared" ca="1" si="1718"/>
        <v>a16Dm000000M3xkIAC</v>
      </c>
      <c r="B1559" s="570">
        <v>24</v>
      </c>
      <c r="C1559" s="572" t="str">
        <f ca="1">IFERROR(VLOOKUP(B1559,'Coverage Indicators - Section D'!$A$9:$AO$94,41,FALSE),"")</f>
        <v>HTS-3c Percentage of sex workers that have received an HIV test during the reporting period in KP-specific programs and know their results</v>
      </c>
      <c r="D1559" s="574" t="str">
        <f ca="1">M1559</f>
        <v/>
      </c>
      <c r="E1559" s="574" t="str">
        <f ca="1">N1559</f>
        <v/>
      </c>
      <c r="F1559" s="127"/>
      <c r="G1559" s="576" t="str">
        <f ca="1">IF(OR(INDIRECT("'update Helper'!E"&amp;Q1559)="",F1559&lt;&gt;0,F1560&lt;&gt;0),IF(IFERROR((F1559/F1560),"")="","",(F1559/F1560)),INDIRECT("'update Helper'!E"&amp;Q1559)/100)</f>
        <v/>
      </c>
      <c r="H1559" s="539"/>
      <c r="I1559" s="578"/>
      <c r="J1559" s="532"/>
      <c r="K1559" s="126">
        <f ca="1">IF(AND(EXACT(C1559,C1557),C1557&lt;&gt;0),K1557+1,0)</f>
        <v>9</v>
      </c>
      <c r="L1559" s="126" t="str">
        <f t="shared" ref="L1559" ca="1" si="1755">IF(C1559&lt;&gt;"",C1559&amp;"-"&amp;K1559,"")</f>
        <v>HTS-3c Percentage of sex workers that have received an HIV test during the reporting period in KP-specific programs and know their results-9</v>
      </c>
      <c r="M1559" s="126" t="str">
        <f t="array" aca="1" ref="M1559" ca="1">IFERROR(IF(INDEX('Disaggregation Records'!$E$156:$E$517,MATCH(RIGHT(L1559,255),RIGHT('Disaggregation Records'!$D$156:$D$517,255),0))="","",INDEX('Disaggregation Records'!$E$156:$E$517,MATCH(RIGHT(L1559,255),RIGHT('Disaggregation Records'!$D$156:$D$517,255),0))),"")</f>
        <v/>
      </c>
      <c r="N1559" s="126" t="str">
        <f t="array" aca="1" ref="N1559" ca="1">IFERROR(IF(INDEX('Disaggregation Records'!$F$156:$F$517,MATCH(RIGHT(L1559,255),RIGHT('Disaggregation Records'!$D$156:$D$517,255),0))="","",INDEX('Disaggregation Records'!$F$156:$F$517,MATCH(RIGHT(L1559,255),RIGHT('Disaggregation Records'!$D$156:$D$517,255),0))),"")</f>
        <v/>
      </c>
      <c r="O1559" s="314" t="str">
        <f t="array" aca="1" ref="O1559" ca="1">IFERROR(IF(INDEX('Disaggregation Records'!$H$156:$H$517,MATCH(RIGHT(L1559,255),RIGHT('Disaggregation Records'!$D$156:$D$517,255),0))="","",INDEX('Disaggregation Records'!$H$156:$H$517,MATCH(RIGHT(L1559,255),RIGHT('Disaggregation Records'!$D$156:$D$517,255),0))),"")</f>
        <v/>
      </c>
      <c r="P1559" s="310"/>
      <c r="Q1559" s="310">
        <f t="shared" ref="Q1559" si="1756">Q1557+1</f>
        <v>2081</v>
      </c>
      <c r="R1559" s="314" t="str" cm="1">
        <f t="array" aca="1" ref="R1559" ca="1">IFERROR(IF(INDEX('Disaggregation Records'!$G$156:$G$517,MATCH(RIGHT(L1559,255),RIGHT('Disaggregation Records'!$D$156:$D$517,255),0))="","",INDEX('Disaggregation Records'!$G$156:$G$517,MATCH(RIGHT(L1559,255),RIGHT('Disaggregation Records'!$D$156:$D$517,255),0))),"")</f>
        <v/>
      </c>
    </row>
    <row r="1560" spans="1:18" ht="20.100000000000001" customHeight="1">
      <c r="B1560" s="571"/>
      <c r="C1560" s="573"/>
      <c r="D1560" s="575"/>
      <c r="E1560" s="575"/>
      <c r="F1560" s="128"/>
      <c r="G1560" s="577"/>
      <c r="H1560" s="540"/>
      <c r="I1560" s="579"/>
      <c r="J1560" s="533"/>
      <c r="L1560" s="126"/>
      <c r="N1560" s="126"/>
      <c r="O1560" s="314"/>
      <c r="P1560" s="310"/>
      <c r="Q1560" s="310"/>
      <c r="R1560" s="314" t="str" cm="1">
        <f t="array" ref="R1560">IFERROR(IF(INDEX('Disaggregation Records'!$G$156:$G$517,MATCH(RIGHT(L1560,255),RIGHT('Disaggregation Records'!$D$156:$D$517,255),0))="","",INDEX('Disaggregation Records'!$G$156:$G$517,MATCH(RIGHT(L1560,255),RIGHT('Disaggregation Records'!$D$156:$D$517,255),0))),"")</f>
        <v/>
      </c>
    </row>
    <row r="1561" spans="1:18" ht="20.100000000000001" customHeight="1">
      <c r="A1561" s="126" t="str">
        <f t="shared" ca="1" si="1715"/>
        <v>a16Dm000000M3xlIAC</v>
      </c>
      <c r="B1561" s="570">
        <v>24</v>
      </c>
      <c r="C1561" s="572" t="str">
        <f ca="1">IFERROR(VLOOKUP(B1561,'Coverage Indicators - Section D'!$A$9:$AO$94,41,FALSE),"")</f>
        <v>HTS-3c Percentage of sex workers that have received an HIV test during the reporting period in KP-specific programs and know their results</v>
      </c>
      <c r="D1561" s="574" t="str">
        <f ca="1">M1561</f>
        <v/>
      </c>
      <c r="E1561" s="574" t="str">
        <f ca="1">N1561</f>
        <v/>
      </c>
      <c r="F1561" s="127"/>
      <c r="G1561" s="576" t="str">
        <f ca="1">IF(OR(INDIRECT("'update Helper'!E"&amp;Q1561)="",F1561&lt;&gt;0,F1562&lt;&gt;0),IF(IFERROR((F1561/F1562),"")="","",(F1561/F1562)),INDIRECT("'update Helper'!E"&amp;Q1561)/100)</f>
        <v/>
      </c>
      <c r="H1561" s="539"/>
      <c r="I1561" s="578"/>
      <c r="J1561" s="532"/>
      <c r="K1561" s="126">
        <f ca="1">IF(AND(EXACT(C1561,C1559),C1559&lt;&gt;0),K1559+1,0)</f>
        <v>10</v>
      </c>
      <c r="L1561" s="126" t="str">
        <f t="shared" ref="L1561" ca="1" si="1757">IF(C1561&lt;&gt;"",C1561&amp;"-"&amp;K1561,"")</f>
        <v>HTS-3c Percentage of sex workers that have received an HIV test during the reporting period in KP-specific programs and know their results-10</v>
      </c>
      <c r="M1561" s="126" t="str">
        <f t="array" aca="1" ref="M1561" ca="1">IFERROR(IF(INDEX('Disaggregation Records'!$E$156:$E$517,MATCH(RIGHT(L1561,255),RIGHT('Disaggregation Records'!$D$156:$D$517,255),0))="","",INDEX('Disaggregation Records'!$E$156:$E$517,MATCH(RIGHT(L1561,255),RIGHT('Disaggregation Records'!$D$156:$D$517,255),0))),"")</f>
        <v/>
      </c>
      <c r="N1561" s="126" t="str">
        <f t="array" aca="1" ref="N1561" ca="1">IFERROR(IF(INDEX('Disaggregation Records'!$F$156:$F$517,MATCH(RIGHT(L1561,255),RIGHT('Disaggregation Records'!$D$156:$D$517,255),0))="","",INDEX('Disaggregation Records'!$F$156:$F$517,MATCH(RIGHT(L1561,255),RIGHT('Disaggregation Records'!$D$156:$D$517,255),0))),"")</f>
        <v/>
      </c>
      <c r="O1561" s="314" t="str">
        <f t="array" aca="1" ref="O1561" ca="1">IFERROR(IF(INDEX('Disaggregation Records'!$H$156:$H$517,MATCH(RIGHT(L1561,255),RIGHT('Disaggregation Records'!$D$156:$D$517,255),0))="","",INDEX('Disaggregation Records'!$H$156:$H$517,MATCH(RIGHT(L1561,255),RIGHT('Disaggregation Records'!$D$156:$D$517,255),0))),"")</f>
        <v/>
      </c>
      <c r="P1561" s="314"/>
      <c r="Q1561" s="310">
        <f t="shared" ref="Q1561" si="1758">Q1559+1</f>
        <v>2082</v>
      </c>
      <c r="R1561" s="314" t="str" cm="1">
        <f t="array" aca="1" ref="R1561" ca="1">IFERROR(IF(INDEX('Disaggregation Records'!$G$156:$G$517,MATCH(RIGHT(L1561,255),RIGHT('Disaggregation Records'!$D$156:$D$517,255),0))="","",INDEX('Disaggregation Records'!$G$156:$G$517,MATCH(RIGHT(L1561,255),RIGHT('Disaggregation Records'!$D$156:$D$517,255),0))),"")</f>
        <v/>
      </c>
    </row>
    <row r="1562" spans="1:18" ht="20.100000000000001" customHeight="1">
      <c r="A1562" s="126"/>
      <c r="B1562" s="571"/>
      <c r="C1562" s="573"/>
      <c r="D1562" s="575"/>
      <c r="E1562" s="575"/>
      <c r="F1562" s="128"/>
      <c r="G1562" s="577"/>
      <c r="H1562" s="540"/>
      <c r="I1562" s="579"/>
      <c r="J1562" s="533"/>
      <c r="K1562" s="126"/>
      <c r="L1562" s="126"/>
      <c r="M1562" s="126"/>
      <c r="N1562" s="126"/>
      <c r="O1562" s="314"/>
      <c r="P1562" s="314"/>
      <c r="Q1562" s="310"/>
      <c r="R1562" s="314" t="str" cm="1">
        <f t="array" ref="R1562">IFERROR(IF(INDEX('Disaggregation Records'!$G$156:$G$517,MATCH(RIGHT(L1562,255),RIGHT('Disaggregation Records'!$D$156:$D$517,255),0))="","",INDEX('Disaggregation Records'!$G$156:$G$517,MATCH(RIGHT(L1562,255),RIGHT('Disaggregation Records'!$D$156:$D$517,255),0))),"")</f>
        <v/>
      </c>
    </row>
    <row r="1563" spans="1:18" ht="20.100000000000001" customHeight="1">
      <c r="A1563" s="126" t="str">
        <f t="shared" ca="1" si="1718"/>
        <v>a16Dm000000M3xmIAC</v>
      </c>
      <c r="B1563" s="570">
        <v>24</v>
      </c>
      <c r="C1563" s="572" t="str">
        <f ca="1">IFERROR(VLOOKUP(B1563,'Coverage Indicators - Section D'!$A$9:$AO$94,41,FALSE),"")</f>
        <v>HTS-3c Percentage of sex workers that have received an HIV test during the reporting period in KP-specific programs and know their results</v>
      </c>
      <c r="D1563" s="574" t="str">
        <f ca="1">M1563</f>
        <v/>
      </c>
      <c r="E1563" s="574" t="str">
        <f ca="1">N1563</f>
        <v/>
      </c>
      <c r="F1563" s="127"/>
      <c r="G1563" s="576" t="str">
        <f ca="1">IF(OR(INDIRECT("'update Helper'!E"&amp;Q1563)="",F1563&lt;&gt;0,F1564&lt;&gt;0),IF(IFERROR((F1563/F1564),"")="","",(F1563/F1564)),INDIRECT("'update Helper'!E"&amp;Q1563)/100)</f>
        <v/>
      </c>
      <c r="H1563" s="539"/>
      <c r="I1563" s="578"/>
      <c r="J1563" s="532"/>
      <c r="K1563" s="126">
        <f ca="1">IF(AND(EXACT(C1563,C1561),C1561&lt;&gt;0),K1561+1,0)</f>
        <v>11</v>
      </c>
      <c r="L1563" s="126" t="str">
        <f t="shared" ref="L1563" ca="1" si="1759">IF(C1563&lt;&gt;"",C1563&amp;"-"&amp;K1563,"")</f>
        <v>HTS-3c Percentage of sex workers that have received an HIV test during the reporting period in KP-specific programs and know their results-11</v>
      </c>
      <c r="M1563" s="126" t="str">
        <f t="array" aca="1" ref="M1563" ca="1">IFERROR(IF(INDEX('Disaggregation Records'!$E$156:$E$517,MATCH(RIGHT(L1563,255),RIGHT('Disaggregation Records'!$D$156:$D$517,255),0))="","",INDEX('Disaggregation Records'!$E$156:$E$517,MATCH(RIGHT(L1563,255),RIGHT('Disaggregation Records'!$D$156:$D$517,255),0))),"")</f>
        <v/>
      </c>
      <c r="N1563" s="126" t="str">
        <f t="array" aca="1" ref="N1563" ca="1">IFERROR(IF(INDEX('Disaggregation Records'!$F$156:$F$517,MATCH(RIGHT(L1563,255),RIGHT('Disaggregation Records'!$D$156:$D$517,255),0))="","",INDEX('Disaggregation Records'!$F$156:$F$517,MATCH(RIGHT(L1563,255),RIGHT('Disaggregation Records'!$D$156:$D$517,255),0))),"")</f>
        <v/>
      </c>
      <c r="O1563" s="314" t="str">
        <f t="array" aca="1" ref="O1563" ca="1">IFERROR(IF(INDEX('Disaggregation Records'!$H$156:$H$517,MATCH(RIGHT(L1563,255),RIGHT('Disaggregation Records'!$D$156:$D$517,255),0))="","",INDEX('Disaggregation Records'!$H$156:$H$517,MATCH(RIGHT(L1563,255),RIGHT('Disaggregation Records'!$D$156:$D$517,255),0))),"")</f>
        <v/>
      </c>
      <c r="P1563" s="314"/>
      <c r="Q1563" s="310">
        <f t="shared" ref="Q1563" si="1760">Q1561+1</f>
        <v>2083</v>
      </c>
      <c r="R1563" s="314" t="str" cm="1">
        <f t="array" aca="1" ref="R1563" ca="1">IFERROR(IF(INDEX('Disaggregation Records'!$G$156:$G$517,MATCH(RIGHT(L1563,255),RIGHT('Disaggregation Records'!$D$156:$D$517,255),0))="","",INDEX('Disaggregation Records'!$G$156:$G$517,MATCH(RIGHT(L1563,255),RIGHT('Disaggregation Records'!$D$156:$D$517,255),0))),"")</f>
        <v/>
      </c>
    </row>
    <row r="1564" spans="1:18" ht="20.100000000000001" customHeight="1">
      <c r="B1564" s="571"/>
      <c r="C1564" s="573"/>
      <c r="D1564" s="575"/>
      <c r="E1564" s="575"/>
      <c r="F1564" s="128"/>
      <c r="G1564" s="577"/>
      <c r="H1564" s="540"/>
      <c r="I1564" s="579"/>
      <c r="J1564" s="533"/>
      <c r="K1564" s="126"/>
      <c r="L1564" s="126"/>
      <c r="M1564" s="126"/>
      <c r="N1564" s="126"/>
      <c r="O1564" s="314"/>
      <c r="P1564" s="314"/>
      <c r="Q1564" s="310"/>
      <c r="R1564" s="314" t="str" cm="1">
        <f t="array" ref="R1564">IFERROR(IF(INDEX('Disaggregation Records'!$G$156:$G$517,MATCH(RIGHT(L1564,255),RIGHT('Disaggregation Records'!$D$156:$D$517,255),0))="","",INDEX('Disaggregation Records'!$G$156:$G$517,MATCH(RIGHT(L1564,255),RIGHT('Disaggregation Records'!$D$156:$D$517,255),0))),"")</f>
        <v/>
      </c>
    </row>
    <row r="1565" spans="1:18" ht="20.100000000000001" customHeight="1">
      <c r="A1565" s="126" t="str">
        <f t="shared" ca="1" si="1715"/>
        <v>a16Dm000000M3xnIAC</v>
      </c>
      <c r="B1565" s="570">
        <v>24</v>
      </c>
      <c r="C1565" s="572" t="str">
        <f ca="1">IFERROR(VLOOKUP(B1565,'Coverage Indicators - Section D'!$A$9:$AO$94,41,FALSE),"")</f>
        <v>HTS-3c Percentage of sex workers that have received an HIV test during the reporting period in KP-specific programs and know their results</v>
      </c>
      <c r="D1565" s="574" t="str">
        <f ca="1">M1565</f>
        <v/>
      </c>
      <c r="E1565" s="574" t="str">
        <f ca="1">N1565</f>
        <v/>
      </c>
      <c r="F1565" s="127"/>
      <c r="G1565" s="576" t="str">
        <f ca="1">IF(OR(INDIRECT("'update Helper'!E"&amp;Q1565)="",F1565&lt;&gt;0,F1566&lt;&gt;0),IF(IFERROR((F1565/F1566),"")="","",(F1565/F1566)),INDIRECT("'update Helper'!E"&amp;Q1565)/100)</f>
        <v/>
      </c>
      <c r="H1565" s="539"/>
      <c r="I1565" s="578"/>
      <c r="J1565" s="532"/>
      <c r="K1565" s="126">
        <f ca="1">IF(AND(EXACT(C1565,C1563),C1563&lt;&gt;0),K1563+1,0)</f>
        <v>12</v>
      </c>
      <c r="L1565" s="126" t="str">
        <f t="shared" ref="L1565" ca="1" si="1761">IF(C1565&lt;&gt;"",C1565&amp;"-"&amp;K1565,"")</f>
        <v>HTS-3c Percentage of sex workers that have received an HIV test during the reporting period in KP-specific programs and know their results-12</v>
      </c>
      <c r="M1565" s="126" t="str">
        <f t="array" aca="1" ref="M1565" ca="1">IFERROR(IF(INDEX('Disaggregation Records'!$E$156:$E$517,MATCH(RIGHT(L1565,255),RIGHT('Disaggregation Records'!$D$156:$D$517,255),0))="","",INDEX('Disaggregation Records'!$E$156:$E$517,MATCH(RIGHT(L1565,255),RIGHT('Disaggregation Records'!$D$156:$D$517,255),0))),"")</f>
        <v/>
      </c>
      <c r="N1565" s="126" t="str">
        <f t="array" aca="1" ref="N1565" ca="1">IFERROR(IF(INDEX('Disaggregation Records'!$F$156:$F$517,MATCH(RIGHT(L1565,255),RIGHT('Disaggregation Records'!$D$156:$D$517,255),0))="","",INDEX('Disaggregation Records'!$F$156:$F$517,MATCH(RIGHT(L1565,255),RIGHT('Disaggregation Records'!$D$156:$D$517,255),0))),"")</f>
        <v/>
      </c>
      <c r="O1565" s="314" t="str">
        <f t="array" aca="1" ref="O1565" ca="1">IFERROR(IF(INDEX('Disaggregation Records'!$H$156:$H$517,MATCH(RIGHT(L1565,255),RIGHT('Disaggregation Records'!$D$156:$D$517,255),0))="","",INDEX('Disaggregation Records'!$H$156:$H$517,MATCH(RIGHT(L1565,255),RIGHT('Disaggregation Records'!$D$156:$D$517,255),0))),"")</f>
        <v/>
      </c>
      <c r="P1565" s="310"/>
      <c r="Q1565" s="310">
        <f t="shared" ref="Q1565" si="1762">Q1563+1</f>
        <v>2084</v>
      </c>
      <c r="R1565" s="314" t="str" cm="1">
        <f t="array" aca="1" ref="R1565" ca="1">IFERROR(IF(INDEX('Disaggregation Records'!$G$156:$G$517,MATCH(RIGHT(L1565,255),RIGHT('Disaggregation Records'!$D$156:$D$517,255),0))="","",INDEX('Disaggregation Records'!$G$156:$G$517,MATCH(RIGHT(L1565,255),RIGHT('Disaggregation Records'!$D$156:$D$517,255),0))),"")</f>
        <v/>
      </c>
    </row>
    <row r="1566" spans="1:18" ht="20.100000000000001" customHeight="1">
      <c r="A1566" s="126"/>
      <c r="B1566" s="571"/>
      <c r="C1566" s="573"/>
      <c r="D1566" s="575"/>
      <c r="E1566" s="575"/>
      <c r="F1566" s="128"/>
      <c r="G1566" s="577"/>
      <c r="H1566" s="540"/>
      <c r="I1566" s="579"/>
      <c r="J1566" s="533"/>
      <c r="L1566" s="126"/>
      <c r="N1566" s="126"/>
      <c r="O1566" s="314"/>
      <c r="P1566" s="310"/>
      <c r="Q1566" s="310"/>
      <c r="R1566" s="314" t="str" cm="1">
        <f t="array" ref="R1566">IFERROR(IF(INDEX('Disaggregation Records'!$G$156:$G$517,MATCH(RIGHT(L1566,255),RIGHT('Disaggregation Records'!$D$156:$D$517,255),0))="","",INDEX('Disaggregation Records'!$G$156:$G$517,MATCH(RIGHT(L1566,255),RIGHT('Disaggregation Records'!$D$156:$D$517,255),0))),"")</f>
        <v/>
      </c>
    </row>
    <row r="1567" spans="1:18" ht="20.100000000000001" customHeight="1">
      <c r="A1567" s="126" t="str">
        <f t="shared" ca="1" si="1718"/>
        <v>a16Dm000000M3xoIAC</v>
      </c>
      <c r="B1567" s="570">
        <v>24</v>
      </c>
      <c r="C1567" s="572" t="str">
        <f ca="1">IFERROR(VLOOKUP(B1567,'Coverage Indicators - Section D'!$A$9:$AO$94,41,FALSE),"")</f>
        <v>HTS-3c Percentage of sex workers that have received an HIV test during the reporting period in KP-specific programs and know their results</v>
      </c>
      <c r="D1567" s="574" t="str">
        <f ca="1">M1567</f>
        <v/>
      </c>
      <c r="E1567" s="574" t="str">
        <f ca="1">N1567</f>
        <v/>
      </c>
      <c r="F1567" s="127"/>
      <c r="G1567" s="576" t="str">
        <f ca="1">IF(OR(INDIRECT("'update Helper'!E"&amp;Q1567)="",F1567&lt;&gt;0,F1568&lt;&gt;0),IF(IFERROR((F1567/F1568),"")="","",(F1567/F1568)),INDIRECT("'update Helper'!E"&amp;Q1567)/100)</f>
        <v/>
      </c>
      <c r="H1567" s="539"/>
      <c r="I1567" s="578"/>
      <c r="J1567" s="532"/>
      <c r="K1567" s="126">
        <f ca="1">IF(AND(EXACT(C1567,C1565),C1565&lt;&gt;0),K1565+1,0)</f>
        <v>13</v>
      </c>
      <c r="L1567" s="126" t="str">
        <f t="shared" ref="L1567" ca="1" si="1763">IF(C1567&lt;&gt;"",C1567&amp;"-"&amp;K1567,"")</f>
        <v>HTS-3c Percentage of sex workers that have received an HIV test during the reporting period in KP-specific programs and know their results-13</v>
      </c>
      <c r="M1567" s="126" t="str">
        <f t="array" aca="1" ref="M1567" ca="1">IFERROR(IF(INDEX('Disaggregation Records'!$E$156:$E$517,MATCH(RIGHT(L1567,255),RIGHT('Disaggregation Records'!$D$156:$D$517,255),0))="","",INDEX('Disaggregation Records'!$E$156:$E$517,MATCH(RIGHT(L1567,255),RIGHT('Disaggregation Records'!$D$156:$D$517,255),0))),"")</f>
        <v/>
      </c>
      <c r="N1567" s="126" t="str">
        <f t="array" aca="1" ref="N1567" ca="1">IFERROR(IF(INDEX('Disaggregation Records'!$F$156:$F$517,MATCH(RIGHT(L1567,255),RIGHT('Disaggregation Records'!$D$156:$D$517,255),0))="","",INDEX('Disaggregation Records'!$F$156:$F$517,MATCH(RIGHT(L1567,255),RIGHT('Disaggregation Records'!$D$156:$D$517,255),0))),"")</f>
        <v/>
      </c>
      <c r="O1567" s="314" t="str">
        <f t="array" aca="1" ref="O1567" ca="1">IFERROR(IF(INDEX('Disaggregation Records'!$H$156:$H$517,MATCH(RIGHT(L1567,255),RIGHT('Disaggregation Records'!$D$156:$D$517,255),0))="","",INDEX('Disaggregation Records'!$H$156:$H$517,MATCH(RIGHT(L1567,255),RIGHT('Disaggregation Records'!$D$156:$D$517,255),0))),"")</f>
        <v/>
      </c>
      <c r="P1567" s="310"/>
      <c r="Q1567" s="310">
        <f t="shared" ref="Q1567" si="1764">Q1565+1</f>
        <v>2085</v>
      </c>
      <c r="R1567" s="314" t="str" cm="1">
        <f t="array" aca="1" ref="R1567" ca="1">IFERROR(IF(INDEX('Disaggregation Records'!$G$156:$G$517,MATCH(RIGHT(L1567,255),RIGHT('Disaggregation Records'!$D$156:$D$517,255),0))="","",INDEX('Disaggregation Records'!$G$156:$G$517,MATCH(RIGHT(L1567,255),RIGHT('Disaggregation Records'!$D$156:$D$517,255),0))),"")</f>
        <v/>
      </c>
    </row>
    <row r="1568" spans="1:18" ht="20.100000000000001" customHeight="1">
      <c r="B1568" s="571"/>
      <c r="C1568" s="573"/>
      <c r="D1568" s="575"/>
      <c r="E1568" s="575"/>
      <c r="F1568" s="128"/>
      <c r="G1568" s="577"/>
      <c r="H1568" s="540"/>
      <c r="I1568" s="579"/>
      <c r="J1568" s="533"/>
      <c r="L1568" s="126"/>
      <c r="N1568" s="126"/>
      <c r="O1568" s="314"/>
      <c r="P1568" s="310"/>
      <c r="Q1568" s="310"/>
      <c r="R1568" s="314" t="str" cm="1">
        <f t="array" ref="R1568">IFERROR(IF(INDEX('Disaggregation Records'!$G$156:$G$517,MATCH(RIGHT(L1568,255),RIGHT('Disaggregation Records'!$D$156:$D$517,255),0))="","",INDEX('Disaggregation Records'!$G$156:$G$517,MATCH(RIGHT(L1568,255),RIGHT('Disaggregation Records'!$D$156:$D$517,255),0))),"")</f>
        <v/>
      </c>
    </row>
    <row r="1569" spans="1:18" ht="20.100000000000001" customHeight="1">
      <c r="A1569" s="126" t="str">
        <f t="shared" ca="1" si="1715"/>
        <v>a16Dm000000M3xpIAC</v>
      </c>
      <c r="B1569" s="570">
        <v>24</v>
      </c>
      <c r="C1569" s="572" t="str">
        <f ca="1">IFERROR(VLOOKUP(B1569,'Coverage Indicators - Section D'!$A$9:$AO$94,41,FALSE),"")</f>
        <v>HTS-3c Percentage of sex workers that have received an HIV test during the reporting period in KP-specific programs and know their results</v>
      </c>
      <c r="D1569" s="574" t="str">
        <f ca="1">M1569</f>
        <v/>
      </c>
      <c r="E1569" s="574" t="str">
        <f ca="1">N1569</f>
        <v/>
      </c>
      <c r="F1569" s="127"/>
      <c r="G1569" s="576" t="str">
        <f ca="1">IF(OR(INDIRECT("'update Helper'!E"&amp;Q1569)="",F1569&lt;&gt;0,F1570&lt;&gt;0),IF(IFERROR((F1569/F1570),"")="","",(F1569/F1570)),INDIRECT("'update Helper'!E"&amp;Q1569)/100)</f>
        <v/>
      </c>
      <c r="H1569" s="539"/>
      <c r="I1569" s="578"/>
      <c r="J1569" s="532"/>
      <c r="K1569" s="126">
        <f ca="1">IF(AND(EXACT(C1569,C1567),C1567&lt;&gt;0),K1567+1,0)</f>
        <v>14</v>
      </c>
      <c r="L1569" s="126" t="str">
        <f t="shared" ref="L1569" ca="1" si="1765">IF(C1569&lt;&gt;"",C1569&amp;"-"&amp;K1569,"")</f>
        <v>HTS-3c Percentage of sex workers that have received an HIV test during the reporting period in KP-specific programs and know their results-14</v>
      </c>
      <c r="M1569" s="126" t="str">
        <f t="array" aca="1" ref="M1569" ca="1">IFERROR(IF(INDEX('Disaggregation Records'!$E$156:$E$517,MATCH(RIGHT(L1569,255),RIGHT('Disaggregation Records'!$D$156:$D$517,255),0))="","",INDEX('Disaggregation Records'!$E$156:$E$517,MATCH(RIGHT(L1569,255),RIGHT('Disaggregation Records'!$D$156:$D$517,255),0))),"")</f>
        <v/>
      </c>
      <c r="N1569" s="126" t="str">
        <f t="array" aca="1" ref="N1569" ca="1">IFERROR(IF(INDEX('Disaggregation Records'!$F$156:$F$517,MATCH(RIGHT(L1569,255),RIGHT('Disaggregation Records'!$D$156:$D$517,255),0))="","",INDEX('Disaggregation Records'!$F$156:$F$517,MATCH(RIGHT(L1569,255),RIGHT('Disaggregation Records'!$D$156:$D$517,255),0))),"")</f>
        <v/>
      </c>
      <c r="O1569" s="314" t="str">
        <f t="array" aca="1" ref="O1569" ca="1">IFERROR(IF(INDEX('Disaggregation Records'!$H$156:$H$517,MATCH(RIGHT(L1569,255),RIGHT('Disaggregation Records'!$D$156:$D$517,255),0))="","",INDEX('Disaggregation Records'!$H$156:$H$517,MATCH(RIGHT(L1569,255),RIGHT('Disaggregation Records'!$D$156:$D$517,255),0))),"")</f>
        <v/>
      </c>
      <c r="P1569" s="310"/>
      <c r="Q1569" s="310">
        <f t="shared" ref="Q1569" si="1766">Q1567+1</f>
        <v>2086</v>
      </c>
      <c r="R1569" s="314" t="str" cm="1">
        <f t="array" aca="1" ref="R1569" ca="1">IFERROR(IF(INDEX('Disaggregation Records'!$G$156:$G$517,MATCH(RIGHT(L1569,255),RIGHT('Disaggregation Records'!$D$156:$D$517,255),0))="","",INDEX('Disaggregation Records'!$G$156:$G$517,MATCH(RIGHT(L1569,255),RIGHT('Disaggregation Records'!$D$156:$D$517,255),0))),"")</f>
        <v/>
      </c>
    </row>
    <row r="1570" spans="1:18" ht="20.100000000000001" customHeight="1">
      <c r="A1570" s="126"/>
      <c r="B1570" s="571"/>
      <c r="C1570" s="573"/>
      <c r="D1570" s="575"/>
      <c r="E1570" s="575"/>
      <c r="F1570" s="128"/>
      <c r="G1570" s="577"/>
      <c r="H1570" s="540"/>
      <c r="I1570" s="579"/>
      <c r="J1570" s="533"/>
      <c r="L1570" s="126"/>
      <c r="N1570" s="126"/>
      <c r="O1570" s="314"/>
      <c r="P1570" s="310"/>
      <c r="Q1570" s="310"/>
      <c r="R1570" s="314" t="str" cm="1">
        <f t="array" ref="R1570">IFERROR(IF(INDEX('Disaggregation Records'!$G$156:$G$517,MATCH(RIGHT(L1570,255),RIGHT('Disaggregation Records'!$D$156:$D$517,255),0))="","",INDEX('Disaggregation Records'!$G$156:$G$517,MATCH(RIGHT(L1570,255),RIGHT('Disaggregation Records'!$D$156:$D$517,255),0))),"")</f>
        <v/>
      </c>
    </row>
    <row r="1571" spans="1:18" ht="20.100000000000001" customHeight="1">
      <c r="A1571" s="126" t="str">
        <f t="shared" ca="1" si="1718"/>
        <v>a16Dm000000M3xqIAC</v>
      </c>
      <c r="B1571" s="570">
        <v>24</v>
      </c>
      <c r="C1571" s="572" t="str">
        <f ca="1">IFERROR(VLOOKUP(B1571,'Coverage Indicators - Section D'!$A$9:$AO$94,41,FALSE),"")</f>
        <v>HTS-3c Percentage of sex workers that have received an HIV test during the reporting period in KP-specific programs and know their results</v>
      </c>
      <c r="D1571" s="574" t="str">
        <f ca="1">M1571</f>
        <v/>
      </c>
      <c r="E1571" s="574" t="str">
        <f ca="1">N1571</f>
        <v/>
      </c>
      <c r="F1571" s="127"/>
      <c r="G1571" s="576" t="str">
        <f ca="1">IF(OR(INDIRECT("'update Helper'!E"&amp;Q1571)="",F1571&lt;&gt;0,F1572&lt;&gt;0),IF(IFERROR((F1571/F1572),"")="","",(F1571/F1572)),INDIRECT("'update Helper'!E"&amp;Q1571)/100)</f>
        <v/>
      </c>
      <c r="H1571" s="539"/>
      <c r="I1571" s="578"/>
      <c r="J1571" s="532"/>
      <c r="K1571" s="126">
        <f ca="1">IF(AND(EXACT(C1571,C1569),C1569&lt;&gt;0),K1569+1,0)</f>
        <v>15</v>
      </c>
      <c r="L1571" s="126" t="str">
        <f t="shared" ref="L1571" ca="1" si="1767">IF(C1571&lt;&gt;"",C1571&amp;"-"&amp;K1571,"")</f>
        <v>HTS-3c Percentage of sex workers that have received an HIV test during the reporting period in KP-specific programs and know their results-15</v>
      </c>
      <c r="M1571" s="126" t="str">
        <f t="array" aca="1" ref="M1571" ca="1">IFERROR(IF(INDEX('Disaggregation Records'!$E$156:$E$517,MATCH(RIGHT(L1571,255),RIGHT('Disaggregation Records'!$D$156:$D$517,255),0))="","",INDEX('Disaggregation Records'!$E$156:$E$517,MATCH(RIGHT(L1571,255),RIGHT('Disaggregation Records'!$D$156:$D$517,255),0))),"")</f>
        <v/>
      </c>
      <c r="N1571" s="126" t="str">
        <f t="array" aca="1" ref="N1571" ca="1">IFERROR(IF(INDEX('Disaggregation Records'!$F$156:$F$517,MATCH(RIGHT(L1571,255),RIGHT('Disaggregation Records'!$D$156:$D$517,255),0))="","",INDEX('Disaggregation Records'!$F$156:$F$517,MATCH(RIGHT(L1571,255),RIGHT('Disaggregation Records'!$D$156:$D$517,255),0))),"")</f>
        <v/>
      </c>
      <c r="O1571" s="314" t="str">
        <f t="array" aca="1" ref="O1571" ca="1">IFERROR(IF(INDEX('Disaggregation Records'!$H$156:$H$517,MATCH(RIGHT(L1571,255),RIGHT('Disaggregation Records'!$D$156:$D$517,255),0))="","",INDEX('Disaggregation Records'!$H$156:$H$517,MATCH(RIGHT(L1571,255),RIGHT('Disaggregation Records'!$D$156:$D$517,255),0))),"")</f>
        <v/>
      </c>
      <c r="P1571" s="314"/>
      <c r="Q1571" s="310">
        <f t="shared" ref="Q1571" si="1768">Q1569+1</f>
        <v>2087</v>
      </c>
      <c r="R1571" s="314" t="str" cm="1">
        <f t="array" aca="1" ref="R1571" ca="1">IFERROR(IF(INDEX('Disaggregation Records'!$G$156:$G$517,MATCH(RIGHT(L1571,255),RIGHT('Disaggregation Records'!$D$156:$D$517,255),0))="","",INDEX('Disaggregation Records'!$G$156:$G$517,MATCH(RIGHT(L1571,255),RIGHT('Disaggregation Records'!$D$156:$D$517,255),0))),"")</f>
        <v/>
      </c>
    </row>
    <row r="1572" spans="1:18" ht="20.100000000000001" customHeight="1">
      <c r="B1572" s="571"/>
      <c r="C1572" s="573"/>
      <c r="D1572" s="575"/>
      <c r="E1572" s="575"/>
      <c r="F1572" s="128"/>
      <c r="G1572" s="577"/>
      <c r="H1572" s="540"/>
      <c r="I1572" s="579"/>
      <c r="J1572" s="533"/>
      <c r="K1572" s="126"/>
      <c r="L1572" s="126"/>
      <c r="M1572" s="126"/>
      <c r="N1572" s="126"/>
      <c r="O1572" s="314"/>
      <c r="P1572" s="314"/>
      <c r="Q1572" s="310"/>
      <c r="R1572" s="314" t="str" cm="1">
        <f t="array" ref="R1572">IFERROR(IF(INDEX('Disaggregation Records'!$G$156:$G$517,MATCH(RIGHT(L1572,255),RIGHT('Disaggregation Records'!$D$156:$D$517,255),0))="","",INDEX('Disaggregation Records'!$G$156:$G$517,MATCH(RIGHT(L1572,255),RIGHT('Disaggregation Records'!$D$156:$D$517,255),0))),"")</f>
        <v/>
      </c>
    </row>
    <row r="1573" spans="1:18" ht="20.100000000000001" customHeight="1">
      <c r="A1573" s="126" t="str">
        <f t="shared" ca="1" si="1715"/>
        <v>a16Dm000000M3xrIAC</v>
      </c>
      <c r="B1573" s="570">
        <v>24</v>
      </c>
      <c r="C1573" s="572" t="str">
        <f ca="1">IFERROR(VLOOKUP(B1573,'Coverage Indicators - Section D'!$A$9:$AO$94,41,FALSE),"")</f>
        <v>HTS-3c Percentage of sex workers that have received an HIV test during the reporting period in KP-specific programs and know their results</v>
      </c>
      <c r="D1573" s="574" t="str">
        <f ca="1">M1573</f>
        <v/>
      </c>
      <c r="E1573" s="574" t="str">
        <f ca="1">N1573</f>
        <v/>
      </c>
      <c r="F1573" s="127"/>
      <c r="G1573" s="576" t="str">
        <f ca="1">IF(OR(INDIRECT("'update Helper'!E"&amp;Q1573)="",F1573&lt;&gt;0,F1574&lt;&gt;0),IF(IFERROR((F1573/F1574),"")="","",(F1573/F1574)),INDIRECT("'update Helper'!E"&amp;Q1573)/100)</f>
        <v/>
      </c>
      <c r="H1573" s="539"/>
      <c r="I1573" s="578"/>
      <c r="J1573" s="532"/>
      <c r="K1573" s="126">
        <f ca="1">IF(AND(EXACT(C1573,C1571),C1571&lt;&gt;0),K1571+1,0)</f>
        <v>16</v>
      </c>
      <c r="L1573" s="126" t="str">
        <f t="shared" ref="L1573" ca="1" si="1769">IF(C1573&lt;&gt;"",C1573&amp;"-"&amp;K1573,"")</f>
        <v>HTS-3c Percentage of sex workers that have received an HIV test during the reporting period in KP-specific programs and know their results-16</v>
      </c>
      <c r="M1573" s="126" t="str">
        <f t="array" aca="1" ref="M1573" ca="1">IFERROR(IF(INDEX('Disaggregation Records'!$E$156:$E$517,MATCH(RIGHT(L1573,255),RIGHT('Disaggregation Records'!$D$156:$D$517,255),0))="","",INDEX('Disaggregation Records'!$E$156:$E$517,MATCH(RIGHT(L1573,255),RIGHT('Disaggregation Records'!$D$156:$D$517,255),0))),"")</f>
        <v/>
      </c>
      <c r="N1573" s="126" t="str">
        <f t="array" aca="1" ref="N1573" ca="1">IFERROR(IF(INDEX('Disaggregation Records'!$F$156:$F$517,MATCH(RIGHT(L1573,255),RIGHT('Disaggregation Records'!$D$156:$D$517,255),0))="","",INDEX('Disaggregation Records'!$F$156:$F$517,MATCH(RIGHT(L1573,255),RIGHT('Disaggregation Records'!$D$156:$D$517,255),0))),"")</f>
        <v/>
      </c>
      <c r="O1573" s="314" t="str">
        <f t="array" aca="1" ref="O1573" ca="1">IFERROR(IF(INDEX('Disaggregation Records'!$H$156:$H$517,MATCH(RIGHT(L1573,255),RIGHT('Disaggregation Records'!$D$156:$D$517,255),0))="","",INDEX('Disaggregation Records'!$H$156:$H$517,MATCH(RIGHT(L1573,255),RIGHT('Disaggregation Records'!$D$156:$D$517,255),0))),"")</f>
        <v/>
      </c>
      <c r="P1573" s="314"/>
      <c r="Q1573" s="310">
        <f t="shared" ref="Q1573" si="1770">Q1571+1</f>
        <v>2088</v>
      </c>
      <c r="R1573" s="314" t="str" cm="1">
        <f t="array" aca="1" ref="R1573" ca="1">IFERROR(IF(INDEX('Disaggregation Records'!$G$156:$G$517,MATCH(RIGHT(L1573,255),RIGHT('Disaggregation Records'!$D$156:$D$517,255),0))="","",INDEX('Disaggregation Records'!$G$156:$G$517,MATCH(RIGHT(L1573,255),RIGHT('Disaggregation Records'!$D$156:$D$517,255),0))),"")</f>
        <v/>
      </c>
    </row>
    <row r="1574" spans="1:18" ht="20.100000000000001" customHeight="1">
      <c r="A1574" s="126"/>
      <c r="B1574" s="571"/>
      <c r="C1574" s="573"/>
      <c r="D1574" s="575"/>
      <c r="E1574" s="575"/>
      <c r="F1574" s="128"/>
      <c r="G1574" s="577"/>
      <c r="H1574" s="540"/>
      <c r="I1574" s="579"/>
      <c r="J1574" s="533"/>
      <c r="K1574" s="126"/>
      <c r="L1574" s="126"/>
      <c r="M1574" s="126"/>
      <c r="N1574" s="126"/>
      <c r="O1574" s="314"/>
      <c r="P1574" s="314"/>
      <c r="Q1574" s="310"/>
      <c r="R1574" s="314" t="str" cm="1">
        <f t="array" ref="R1574">IFERROR(IF(INDEX('Disaggregation Records'!$G$156:$G$517,MATCH(RIGHT(L1574,255),RIGHT('Disaggregation Records'!$D$156:$D$517,255),0))="","",INDEX('Disaggregation Records'!$G$156:$G$517,MATCH(RIGHT(L1574,255),RIGHT('Disaggregation Records'!$D$156:$D$517,255),0))),"")</f>
        <v/>
      </c>
    </row>
    <row r="1575" spans="1:18" ht="20.100000000000001" customHeight="1">
      <c r="A1575" s="126" t="str">
        <f t="shared" ca="1" si="1718"/>
        <v>a16Dm000000M3xsIAC</v>
      </c>
      <c r="B1575" s="570">
        <v>24</v>
      </c>
      <c r="C1575" s="572" t="str">
        <f ca="1">IFERROR(VLOOKUP(B1575,'Coverage Indicators - Section D'!$A$9:$AO$94,41,FALSE),"")</f>
        <v>HTS-3c Percentage of sex workers that have received an HIV test during the reporting period in KP-specific programs and know their results</v>
      </c>
      <c r="D1575" s="574" t="str">
        <f ca="1">M1575</f>
        <v/>
      </c>
      <c r="E1575" s="574" t="str">
        <f ca="1">N1575</f>
        <v/>
      </c>
      <c r="F1575" s="127"/>
      <c r="G1575" s="576" t="str">
        <f ca="1">IF(OR(INDIRECT("'update Helper'!E"&amp;Q1575)="",F1575&lt;&gt;0,F1576&lt;&gt;0),IF(IFERROR((F1575/F1576),"")="","",(F1575/F1576)),INDIRECT("'update Helper'!E"&amp;Q1575)/100)</f>
        <v/>
      </c>
      <c r="H1575" s="539"/>
      <c r="I1575" s="578"/>
      <c r="J1575" s="532"/>
      <c r="K1575" s="126">
        <f ca="1">IF(AND(EXACT(C1575,C1573),C1573&lt;&gt;0),K1573+1,0)</f>
        <v>17</v>
      </c>
      <c r="L1575" s="126" t="str">
        <f t="shared" ref="L1575" ca="1" si="1771">IF(C1575&lt;&gt;"",C1575&amp;"-"&amp;K1575,"")</f>
        <v>HTS-3c Percentage of sex workers that have received an HIV test during the reporting period in KP-specific programs and know their results-17</v>
      </c>
      <c r="M1575" s="126" t="str">
        <f t="array" aca="1" ref="M1575" ca="1">IFERROR(IF(INDEX('Disaggregation Records'!$E$156:$E$517,MATCH(RIGHT(L1575,255),RIGHT('Disaggregation Records'!$D$156:$D$517,255),0))="","",INDEX('Disaggregation Records'!$E$156:$E$517,MATCH(RIGHT(L1575,255),RIGHT('Disaggregation Records'!$D$156:$D$517,255),0))),"")</f>
        <v/>
      </c>
      <c r="N1575" s="126" t="str">
        <f t="array" aca="1" ref="N1575" ca="1">IFERROR(IF(INDEX('Disaggregation Records'!$F$156:$F$517,MATCH(RIGHT(L1575,255),RIGHT('Disaggregation Records'!$D$156:$D$517,255),0))="","",INDEX('Disaggregation Records'!$F$156:$F$517,MATCH(RIGHT(L1575,255),RIGHT('Disaggregation Records'!$D$156:$D$517,255),0))),"")</f>
        <v/>
      </c>
      <c r="O1575" s="314" t="str">
        <f t="array" aca="1" ref="O1575" ca="1">IFERROR(IF(INDEX('Disaggregation Records'!$H$156:$H$517,MATCH(RIGHT(L1575,255),RIGHT('Disaggregation Records'!$D$156:$D$517,255),0))="","",INDEX('Disaggregation Records'!$H$156:$H$517,MATCH(RIGHT(L1575,255),RIGHT('Disaggregation Records'!$D$156:$D$517,255),0))),"")</f>
        <v/>
      </c>
      <c r="P1575" s="310"/>
      <c r="Q1575" s="310">
        <f t="shared" ref="Q1575" si="1772">Q1573+1</f>
        <v>2089</v>
      </c>
      <c r="R1575" s="314" t="str" cm="1">
        <f t="array" aca="1" ref="R1575" ca="1">IFERROR(IF(INDEX('Disaggregation Records'!$G$156:$G$517,MATCH(RIGHT(L1575,255),RIGHT('Disaggregation Records'!$D$156:$D$517,255),0))="","",INDEX('Disaggregation Records'!$G$156:$G$517,MATCH(RIGHT(L1575,255),RIGHT('Disaggregation Records'!$D$156:$D$517,255),0))),"")</f>
        <v/>
      </c>
    </row>
    <row r="1576" spans="1:18" ht="20.100000000000001" customHeight="1">
      <c r="B1576" s="571"/>
      <c r="C1576" s="573"/>
      <c r="D1576" s="575"/>
      <c r="E1576" s="575"/>
      <c r="F1576" s="128"/>
      <c r="G1576" s="577"/>
      <c r="H1576" s="540"/>
      <c r="I1576" s="579"/>
      <c r="J1576" s="533"/>
      <c r="L1576" s="126"/>
      <c r="N1576" s="126"/>
      <c r="O1576" s="314"/>
      <c r="P1576" s="310"/>
      <c r="Q1576" s="310"/>
      <c r="R1576" s="314" t="str" cm="1">
        <f t="array" ref="R1576">IFERROR(IF(INDEX('Disaggregation Records'!$G$156:$G$517,MATCH(RIGHT(L1576,255),RIGHT('Disaggregation Records'!$D$156:$D$517,255),0))="","",INDEX('Disaggregation Records'!$G$156:$G$517,MATCH(RIGHT(L1576,255),RIGHT('Disaggregation Records'!$D$156:$D$517,255),0))),"")</f>
        <v/>
      </c>
    </row>
    <row r="1577" spans="1:18" ht="20.100000000000001" customHeight="1">
      <c r="A1577" s="126" t="str">
        <f t="shared" ca="1" si="1715"/>
        <v>a16Dm000000M3xtIAC</v>
      </c>
      <c r="B1577" s="570">
        <v>24</v>
      </c>
      <c r="C1577" s="572" t="str">
        <f ca="1">IFERROR(VLOOKUP(B1577,'Coverage Indicators - Section D'!$A$9:$AO$94,41,FALSE),"")</f>
        <v>HTS-3c Percentage of sex workers that have received an HIV test during the reporting period in KP-specific programs and know their results</v>
      </c>
      <c r="D1577" s="574" t="str">
        <f ca="1">M1577</f>
        <v/>
      </c>
      <c r="E1577" s="574" t="str">
        <f ca="1">N1577</f>
        <v/>
      </c>
      <c r="F1577" s="127"/>
      <c r="G1577" s="576" t="str">
        <f ca="1">IF(OR(INDIRECT("'update Helper'!E"&amp;Q1577)="",F1577&lt;&gt;0,F1578&lt;&gt;0),IF(IFERROR((F1577/F1578),"")="","",(F1577/F1578)),INDIRECT("'update Helper'!E"&amp;Q1577)/100)</f>
        <v/>
      </c>
      <c r="H1577" s="539"/>
      <c r="I1577" s="578"/>
      <c r="J1577" s="532"/>
      <c r="K1577" s="126">
        <f ca="1">IF(AND(EXACT(C1577,C1575),C1575&lt;&gt;0),K1575+1,0)</f>
        <v>18</v>
      </c>
      <c r="L1577" s="126" t="str">
        <f t="shared" ref="L1577" ca="1" si="1773">IF(C1577&lt;&gt;"",C1577&amp;"-"&amp;K1577,"")</f>
        <v>HTS-3c Percentage of sex workers that have received an HIV test during the reporting period in KP-specific programs and know their results-18</v>
      </c>
      <c r="M1577" s="126" t="str">
        <f t="array" aca="1" ref="M1577" ca="1">IFERROR(IF(INDEX('Disaggregation Records'!$E$156:$E$517,MATCH(RIGHT(L1577,255),RIGHT('Disaggregation Records'!$D$156:$D$517,255),0))="","",INDEX('Disaggregation Records'!$E$156:$E$517,MATCH(RIGHT(L1577,255),RIGHT('Disaggregation Records'!$D$156:$D$517,255),0))),"")</f>
        <v/>
      </c>
      <c r="N1577" s="126" t="str">
        <f t="array" aca="1" ref="N1577" ca="1">IFERROR(IF(INDEX('Disaggregation Records'!$F$156:$F$517,MATCH(RIGHT(L1577,255),RIGHT('Disaggregation Records'!$D$156:$D$517,255),0))="","",INDEX('Disaggregation Records'!$F$156:$F$517,MATCH(RIGHT(L1577,255),RIGHT('Disaggregation Records'!$D$156:$D$517,255),0))),"")</f>
        <v/>
      </c>
      <c r="O1577" s="314" t="str">
        <f t="array" aca="1" ref="O1577" ca="1">IFERROR(IF(INDEX('Disaggregation Records'!$H$156:$H$517,MATCH(RIGHT(L1577,255),RIGHT('Disaggregation Records'!$D$156:$D$517,255),0))="","",INDEX('Disaggregation Records'!$H$156:$H$517,MATCH(RIGHT(L1577,255),RIGHT('Disaggregation Records'!$D$156:$D$517,255),0))),"")</f>
        <v/>
      </c>
      <c r="P1577" s="310"/>
      <c r="Q1577" s="310">
        <f t="shared" ref="Q1577" si="1774">Q1575+1</f>
        <v>2090</v>
      </c>
      <c r="R1577" s="314" t="str" cm="1">
        <f t="array" aca="1" ref="R1577" ca="1">IFERROR(IF(INDEX('Disaggregation Records'!$G$156:$G$517,MATCH(RIGHT(L1577,255),RIGHT('Disaggregation Records'!$D$156:$D$517,255),0))="","",INDEX('Disaggregation Records'!$G$156:$G$517,MATCH(RIGHT(L1577,255),RIGHT('Disaggregation Records'!$D$156:$D$517,255),0))),"")</f>
        <v/>
      </c>
    </row>
    <row r="1578" spans="1:18" ht="20.100000000000001" customHeight="1">
      <c r="A1578" s="126"/>
      <c r="B1578" s="571"/>
      <c r="C1578" s="573"/>
      <c r="D1578" s="575"/>
      <c r="E1578" s="575"/>
      <c r="F1578" s="128"/>
      <c r="G1578" s="577"/>
      <c r="H1578" s="540"/>
      <c r="I1578" s="579"/>
      <c r="J1578" s="533"/>
      <c r="L1578" s="126"/>
      <c r="N1578" s="126"/>
      <c r="O1578" s="314"/>
      <c r="P1578" s="310"/>
      <c r="Q1578" s="310"/>
      <c r="R1578" s="314" t="str" cm="1">
        <f t="array" ref="R1578">IFERROR(IF(INDEX('Disaggregation Records'!$G$156:$G$517,MATCH(RIGHT(L1578,255),RIGHT('Disaggregation Records'!$D$156:$D$517,255),0))="","",INDEX('Disaggregation Records'!$G$156:$G$517,MATCH(RIGHT(L1578,255),RIGHT('Disaggregation Records'!$D$156:$D$517,255),0))),"")</f>
        <v/>
      </c>
    </row>
    <row r="1579" spans="1:18" ht="20.100000000000001" customHeight="1">
      <c r="A1579" s="126" t="str">
        <f t="shared" ca="1" si="1718"/>
        <v>a16Dm000000M3xuIAC</v>
      </c>
      <c r="B1579" s="570">
        <v>24</v>
      </c>
      <c r="C1579" s="572" t="str">
        <f ca="1">IFERROR(VLOOKUP(B1579,'Coverage Indicators - Section D'!$A$9:$AO$94,41,FALSE),"")</f>
        <v>HTS-3c Percentage of sex workers that have received an HIV test during the reporting period in KP-specific programs and know their results</v>
      </c>
      <c r="D1579" s="574" t="str">
        <f ca="1">M1579</f>
        <v/>
      </c>
      <c r="E1579" s="574" t="str">
        <f ca="1">N1579</f>
        <v/>
      </c>
      <c r="F1579" s="127"/>
      <c r="G1579" s="576" t="str">
        <f ca="1">IF(OR(INDIRECT("'update Helper'!E"&amp;Q1579)="",F1579&lt;&gt;0,F1580&lt;&gt;0),IF(IFERROR((F1579/F1580),"")="","",(F1579/F1580)),INDIRECT("'update Helper'!E"&amp;Q1579)/100)</f>
        <v/>
      </c>
      <c r="H1579" s="539"/>
      <c r="I1579" s="578"/>
      <c r="J1579" s="532"/>
      <c r="K1579" s="126">
        <f ca="1">IF(AND(EXACT(C1579,C1577),C1577&lt;&gt;0),K1577+1,0)</f>
        <v>19</v>
      </c>
      <c r="L1579" s="126" t="str">
        <f t="shared" ref="L1579" ca="1" si="1775">IF(C1579&lt;&gt;"",C1579&amp;"-"&amp;K1579,"")</f>
        <v>HTS-3c Percentage of sex workers that have received an HIV test during the reporting period in KP-specific programs and know their results-19</v>
      </c>
      <c r="M1579" s="126" t="str">
        <f t="array" aca="1" ref="M1579" ca="1">IFERROR(IF(INDEX('Disaggregation Records'!$E$156:$E$517,MATCH(RIGHT(L1579,255),RIGHT('Disaggregation Records'!$D$156:$D$517,255),0))="","",INDEX('Disaggregation Records'!$E$156:$E$517,MATCH(RIGHT(L1579,255),RIGHT('Disaggregation Records'!$D$156:$D$517,255),0))),"")</f>
        <v/>
      </c>
      <c r="N1579" s="126" t="str">
        <f t="array" aca="1" ref="N1579" ca="1">IFERROR(IF(INDEX('Disaggregation Records'!$F$156:$F$517,MATCH(RIGHT(L1579,255),RIGHT('Disaggregation Records'!$D$156:$D$517,255),0))="","",INDEX('Disaggregation Records'!$F$156:$F$517,MATCH(RIGHT(L1579,255),RIGHT('Disaggregation Records'!$D$156:$D$517,255),0))),"")</f>
        <v/>
      </c>
      <c r="O1579" s="314" t="str">
        <f t="array" aca="1" ref="O1579" ca="1">IFERROR(IF(INDEX('Disaggregation Records'!$H$156:$H$517,MATCH(RIGHT(L1579,255),RIGHT('Disaggregation Records'!$D$156:$D$517,255),0))="","",INDEX('Disaggregation Records'!$H$156:$H$517,MATCH(RIGHT(L1579,255),RIGHT('Disaggregation Records'!$D$156:$D$517,255),0))),"")</f>
        <v/>
      </c>
      <c r="P1579" s="310"/>
      <c r="Q1579" s="310">
        <f t="shared" ref="Q1579" si="1776">Q1577+1</f>
        <v>2091</v>
      </c>
      <c r="R1579" s="314" t="str" cm="1">
        <f t="array" aca="1" ref="R1579" ca="1">IFERROR(IF(INDEX('Disaggregation Records'!$G$156:$G$517,MATCH(RIGHT(L1579,255),RIGHT('Disaggregation Records'!$D$156:$D$517,255),0))="","",INDEX('Disaggregation Records'!$G$156:$G$517,MATCH(RIGHT(L1579,255),RIGHT('Disaggregation Records'!$D$156:$D$517,255),0))),"")</f>
        <v/>
      </c>
    </row>
    <row r="1580" spans="1:18" ht="20.100000000000001" customHeight="1">
      <c r="B1580" s="571"/>
      <c r="C1580" s="573"/>
      <c r="D1580" s="575"/>
      <c r="E1580" s="575"/>
      <c r="F1580" s="128"/>
      <c r="G1580" s="577"/>
      <c r="H1580" s="540"/>
      <c r="I1580" s="579"/>
      <c r="J1580" s="533"/>
      <c r="L1580" s="126"/>
      <c r="N1580" s="126"/>
      <c r="O1580" s="314"/>
      <c r="P1580" s="310"/>
      <c r="Q1580" s="310"/>
      <c r="R1580" s="314" t="str" cm="1">
        <f t="array" ref="R1580">IFERROR(IF(INDEX('Disaggregation Records'!$G$156:$G$517,MATCH(RIGHT(L1580,255),RIGHT('Disaggregation Records'!$D$156:$D$517,255),0))="","",INDEX('Disaggregation Records'!$G$156:$G$517,MATCH(RIGHT(L1580,255),RIGHT('Disaggregation Records'!$D$156:$D$517,255),0))),"")</f>
        <v/>
      </c>
    </row>
    <row r="1581" spans="1:18" ht="20.100000000000001" customHeight="1">
      <c r="A1581" s="126" t="str">
        <f t="shared" ca="1" si="1715"/>
        <v>a16Dm000000M3xvIAC</v>
      </c>
      <c r="B1581" s="570">
        <v>25</v>
      </c>
      <c r="C1581" s="572" t="str">
        <f ca="1">IFERROR(VLOOKUP(B1581,'Coverage Indicators - Section D'!$A$9:$AO$94,41,FALSE),"")</f>
        <v>HTS-3d Percentage of people who inject drugs that have received an HIV test during the reporting period in KP-specific programs and know their results</v>
      </c>
      <c r="D1581" s="574" t="str">
        <f ca="1">M1581</f>
        <v>Age</v>
      </c>
      <c r="E1581" s="574" t="str">
        <f ca="1">N1581</f>
        <v>25+</v>
      </c>
      <c r="F1581" s="127"/>
      <c r="G1581" s="576" t="str">
        <f ca="1">IF(OR(INDIRECT("'update Helper'!E"&amp;Q1581)="",F1581&lt;&gt;0,F1582&lt;&gt;0),IF(IFERROR((F1581/F1582),"")="","",(F1581/F1582)),INDIRECT("'update Helper'!E"&amp;Q1581)/100)</f>
        <v/>
      </c>
      <c r="H1581" s="539"/>
      <c r="I1581" s="578"/>
      <c r="J1581" s="532" t="s">
        <v>2301</v>
      </c>
      <c r="K1581" s="126">
        <f ca="1">IF(AND(EXACT(C1581,C1579),C1579&lt;&gt;0),K1579+1,0)</f>
        <v>0</v>
      </c>
      <c r="L1581" s="126" t="str">
        <f t="shared" ref="L1581" ca="1" si="1777">IF(C1581&lt;&gt;"",C1581&amp;"-"&amp;K1581,"")</f>
        <v>HTS-3d Percentage of people who inject drugs that have received an HIV test during the reporting period in KP-specific programs and know their results-0</v>
      </c>
      <c r="M1581" s="126" t="str">
        <f t="array" aca="1" ref="M1581" ca="1">IFERROR(IF(INDEX('Disaggregation Records'!$E$156:$E$517,MATCH(RIGHT(L1581,255),RIGHT('Disaggregation Records'!$D$156:$D$517,255),0))="","",INDEX('Disaggregation Records'!$E$156:$E$517,MATCH(RIGHT(L1581,255),RIGHT('Disaggregation Records'!$D$156:$D$517,255),0))),"")</f>
        <v>Age</v>
      </c>
      <c r="N1581" s="126" t="str">
        <f t="array" aca="1" ref="N1581" ca="1">IFERROR(IF(INDEX('Disaggregation Records'!$F$156:$F$517,MATCH(RIGHT(L1581,255),RIGHT('Disaggregation Records'!$D$156:$D$517,255),0))="","",INDEX('Disaggregation Records'!$F$156:$F$517,MATCH(RIGHT(L1581,255),RIGHT('Disaggregation Records'!$D$156:$D$517,255),0))),"")</f>
        <v>25+</v>
      </c>
      <c r="O1581" s="314" t="str">
        <f t="array" aca="1" ref="O1581" ca="1">IFERROR(IF(INDEX('Disaggregation Records'!$H$156:$H$517,MATCH(RIGHT(L1581,255),RIGHT('Disaggregation Records'!$D$156:$D$517,255),0))="","",INDEX('Disaggregation Records'!$H$156:$H$517,MATCH(RIGHT(L1581,255),RIGHT('Disaggregation Records'!$D$156:$D$517,255),0))),"")</f>
        <v>IDR-01286</v>
      </c>
      <c r="P1581" s="314"/>
      <c r="Q1581" s="310">
        <f t="shared" ref="Q1581" si="1778">Q1579+1</f>
        <v>2092</v>
      </c>
      <c r="R1581" s="314" t="str" cm="1">
        <f t="array" aca="1" ref="R1581" ca="1">IFERROR(IF(INDEX('Disaggregation Records'!$G$156:$G$517,MATCH(RIGHT(L1581,255),RIGHT('Disaggregation Records'!$D$156:$D$517,255),0))="","",INDEX('Disaggregation Records'!$G$156:$G$517,MATCH(RIGHT(L1581,255),RIGHT('Disaggregation Records'!$D$156:$D$517,255),0))),"")</f>
        <v>a1LDm000000Cb3UMAS</v>
      </c>
    </row>
    <row r="1582" spans="1:18" ht="20.100000000000001" customHeight="1">
      <c r="A1582" s="126"/>
      <c r="B1582" s="571"/>
      <c r="C1582" s="573"/>
      <c r="D1582" s="575"/>
      <c r="E1582" s="575"/>
      <c r="F1582" s="128"/>
      <c r="G1582" s="577"/>
      <c r="H1582" s="540"/>
      <c r="I1582" s="579"/>
      <c r="J1582" s="533"/>
      <c r="K1582" s="126"/>
      <c r="L1582" s="126"/>
      <c r="M1582" s="126"/>
      <c r="N1582" s="126"/>
      <c r="O1582" s="314"/>
      <c r="P1582" s="314"/>
      <c r="Q1582" s="310"/>
      <c r="R1582" s="314" t="str" cm="1">
        <f t="array" ref="R1582">IFERROR(IF(INDEX('Disaggregation Records'!$G$156:$G$517,MATCH(RIGHT(L1582,255),RIGHT('Disaggregation Records'!$D$156:$D$517,255),0))="","",INDEX('Disaggregation Records'!$G$156:$G$517,MATCH(RIGHT(L1582,255),RIGHT('Disaggregation Records'!$D$156:$D$517,255),0))),"")</f>
        <v/>
      </c>
    </row>
    <row r="1583" spans="1:18" ht="20.100000000000001" customHeight="1">
      <c r="A1583" s="126" t="str">
        <f t="shared" ca="1" si="1718"/>
        <v>a16Dm000000M3xwIAC</v>
      </c>
      <c r="B1583" s="570">
        <v>25</v>
      </c>
      <c r="C1583" s="572" t="str">
        <f ca="1">IFERROR(VLOOKUP(B1583,'Coverage Indicators - Section D'!$A$9:$AO$94,41,FALSE),"")</f>
        <v>HTS-3d Percentage of people who inject drugs that have received an HIV test during the reporting period in KP-specific programs and know their results</v>
      </c>
      <c r="D1583" s="574" t="str">
        <f ca="1">M1583</f>
        <v>Age</v>
      </c>
      <c r="E1583" s="574" t="str">
        <f ca="1">N1583</f>
        <v>20-24</v>
      </c>
      <c r="F1583" s="127"/>
      <c r="G1583" s="576" t="str">
        <f ca="1">IF(OR(INDIRECT("'update Helper'!E"&amp;Q1583)="",F1583&lt;&gt;0,F1584&lt;&gt;0),IF(IFERROR((F1583/F1584),"")="","",(F1583/F1584)),INDIRECT("'update Helper'!E"&amp;Q1583)/100)</f>
        <v/>
      </c>
      <c r="H1583" s="539"/>
      <c r="I1583" s="578"/>
      <c r="J1583" s="532" t="s">
        <v>2301</v>
      </c>
      <c r="K1583" s="126">
        <f ca="1">IF(AND(EXACT(C1583,C1581),C1581&lt;&gt;0),K1581+1,0)</f>
        <v>1</v>
      </c>
      <c r="L1583" s="126" t="str">
        <f t="shared" ref="L1583" ca="1" si="1779">IF(C1583&lt;&gt;"",C1583&amp;"-"&amp;K1583,"")</f>
        <v>HTS-3d Percentage of people who inject drugs that have received an HIV test during the reporting period in KP-specific programs and know their results-1</v>
      </c>
      <c r="M1583" s="126" t="str">
        <f t="array" aca="1" ref="M1583" ca="1">IFERROR(IF(INDEX('Disaggregation Records'!$E$156:$E$517,MATCH(RIGHT(L1583,255),RIGHT('Disaggregation Records'!$D$156:$D$517,255),0))="","",INDEX('Disaggregation Records'!$E$156:$E$517,MATCH(RIGHT(L1583,255),RIGHT('Disaggregation Records'!$D$156:$D$517,255),0))),"")</f>
        <v>Age</v>
      </c>
      <c r="N1583" s="126" t="str">
        <f t="array" aca="1" ref="N1583" ca="1">IFERROR(IF(INDEX('Disaggregation Records'!$F$156:$F$517,MATCH(RIGHT(L1583,255),RIGHT('Disaggregation Records'!$D$156:$D$517,255),0))="","",INDEX('Disaggregation Records'!$F$156:$F$517,MATCH(RIGHT(L1583,255),RIGHT('Disaggregation Records'!$D$156:$D$517,255),0))),"")</f>
        <v>20-24</v>
      </c>
      <c r="O1583" s="314" t="str">
        <f t="array" aca="1" ref="O1583" ca="1">IFERROR(IF(INDEX('Disaggregation Records'!$H$156:$H$517,MATCH(RIGHT(L1583,255),RIGHT('Disaggregation Records'!$D$156:$D$517,255),0))="","",INDEX('Disaggregation Records'!$H$156:$H$517,MATCH(RIGHT(L1583,255),RIGHT('Disaggregation Records'!$D$156:$D$517,255),0))),"")</f>
        <v>IDR-01285</v>
      </c>
      <c r="P1583" s="314"/>
      <c r="Q1583" s="310">
        <f t="shared" ref="Q1583" si="1780">Q1581+1</f>
        <v>2093</v>
      </c>
      <c r="R1583" s="314" t="str" cm="1">
        <f t="array" aca="1" ref="R1583" ca="1">IFERROR(IF(INDEX('Disaggregation Records'!$G$156:$G$517,MATCH(RIGHT(L1583,255),RIGHT('Disaggregation Records'!$D$156:$D$517,255),0))="","",INDEX('Disaggregation Records'!$G$156:$G$517,MATCH(RIGHT(L1583,255),RIGHT('Disaggregation Records'!$D$156:$D$517,255),0))),"")</f>
        <v>a1LDm000000Cb3TMAS</v>
      </c>
    </row>
    <row r="1584" spans="1:18" ht="20.100000000000001" customHeight="1">
      <c r="B1584" s="571"/>
      <c r="C1584" s="573"/>
      <c r="D1584" s="575"/>
      <c r="E1584" s="575"/>
      <c r="F1584" s="128"/>
      <c r="G1584" s="577"/>
      <c r="H1584" s="540"/>
      <c r="I1584" s="579"/>
      <c r="J1584" s="533"/>
      <c r="K1584" s="126"/>
      <c r="L1584" s="126"/>
      <c r="M1584" s="126"/>
      <c r="N1584" s="126"/>
      <c r="O1584" s="314"/>
      <c r="P1584" s="314"/>
      <c r="Q1584" s="310"/>
      <c r="R1584" s="314" t="str" cm="1">
        <f t="array" ref="R1584">IFERROR(IF(INDEX('Disaggregation Records'!$G$156:$G$517,MATCH(RIGHT(L1584,255),RIGHT('Disaggregation Records'!$D$156:$D$517,255),0))="","",INDEX('Disaggregation Records'!$G$156:$G$517,MATCH(RIGHT(L1584,255),RIGHT('Disaggregation Records'!$D$156:$D$517,255),0))),"")</f>
        <v/>
      </c>
    </row>
    <row r="1585" spans="1:18" ht="20.100000000000001" customHeight="1">
      <c r="A1585" s="126" t="str">
        <f t="shared" ref="A1585:A1645" ca="1" si="1781">INDIRECT("'update Helper'!C"&amp;Q1585)</f>
        <v>a16Dm000000M3xxIAC</v>
      </c>
      <c r="B1585" s="570">
        <v>25</v>
      </c>
      <c r="C1585" s="572" t="str">
        <f ca="1">IFERROR(VLOOKUP(B1585,'Coverage Indicators - Section D'!$A$9:$AO$94,41,FALSE),"")</f>
        <v>HTS-3d Percentage of people who inject drugs that have received an HIV test during the reporting period in KP-specific programs and know their results</v>
      </c>
      <c r="D1585" s="574" t="str">
        <f ca="1">M1585</f>
        <v>Age</v>
      </c>
      <c r="E1585" s="574" t="str">
        <f ca="1">N1585</f>
        <v>15-19</v>
      </c>
      <c r="F1585" s="127"/>
      <c r="G1585" s="576" t="str">
        <f ca="1">IF(OR(INDIRECT("'update Helper'!E"&amp;Q1585)="",F1585&lt;&gt;0,F1586&lt;&gt;0),IF(IFERROR((F1585/F1586),"")="","",(F1585/F1586)),INDIRECT("'update Helper'!E"&amp;Q1585)/100)</f>
        <v/>
      </c>
      <c r="H1585" s="539"/>
      <c r="I1585" s="578"/>
      <c r="J1585" s="532" t="s">
        <v>2301</v>
      </c>
      <c r="K1585" s="126">
        <f ca="1">IF(AND(EXACT(C1585,C1583),C1583&lt;&gt;0),K1583+1,0)</f>
        <v>2</v>
      </c>
      <c r="L1585" s="126" t="str">
        <f t="shared" ref="L1585" ca="1" si="1782">IF(C1585&lt;&gt;"",C1585&amp;"-"&amp;K1585,"")</f>
        <v>HTS-3d Percentage of people who inject drugs that have received an HIV test during the reporting period in KP-specific programs and know their results-2</v>
      </c>
      <c r="M1585" s="126" t="str">
        <f t="array" aca="1" ref="M1585" ca="1">IFERROR(IF(INDEX('Disaggregation Records'!$E$156:$E$517,MATCH(RIGHT(L1585,255),RIGHT('Disaggregation Records'!$D$156:$D$517,255),0))="","",INDEX('Disaggregation Records'!$E$156:$E$517,MATCH(RIGHT(L1585,255),RIGHT('Disaggregation Records'!$D$156:$D$517,255),0))),"")</f>
        <v>Age</v>
      </c>
      <c r="N1585" s="126" t="str">
        <f t="array" aca="1" ref="N1585" ca="1">IFERROR(IF(INDEX('Disaggregation Records'!$F$156:$F$517,MATCH(RIGHT(L1585,255),RIGHT('Disaggregation Records'!$D$156:$D$517,255),0))="","",INDEX('Disaggregation Records'!$F$156:$F$517,MATCH(RIGHT(L1585,255),RIGHT('Disaggregation Records'!$D$156:$D$517,255),0))),"")</f>
        <v>15-19</v>
      </c>
      <c r="O1585" s="314" t="str">
        <f t="array" aca="1" ref="O1585" ca="1">IFERROR(IF(INDEX('Disaggregation Records'!$H$156:$H$517,MATCH(RIGHT(L1585,255),RIGHT('Disaggregation Records'!$D$156:$D$517,255),0))="","",INDEX('Disaggregation Records'!$H$156:$H$517,MATCH(RIGHT(L1585,255),RIGHT('Disaggregation Records'!$D$156:$D$517,255),0))),"")</f>
        <v>IDR-01284</v>
      </c>
      <c r="P1585" s="310"/>
      <c r="Q1585" s="310">
        <f t="shared" ref="Q1585" si="1783">Q1583+1</f>
        <v>2094</v>
      </c>
      <c r="R1585" s="314" t="str" cm="1">
        <f t="array" aca="1" ref="R1585" ca="1">IFERROR(IF(INDEX('Disaggregation Records'!$G$156:$G$517,MATCH(RIGHT(L1585,255),RIGHT('Disaggregation Records'!$D$156:$D$517,255),0))="","",INDEX('Disaggregation Records'!$G$156:$G$517,MATCH(RIGHT(L1585,255),RIGHT('Disaggregation Records'!$D$156:$D$517,255),0))),"")</f>
        <v>a1LDm000000Cb3SMAS</v>
      </c>
    </row>
    <row r="1586" spans="1:18" ht="20.100000000000001" customHeight="1">
      <c r="A1586" s="126"/>
      <c r="B1586" s="571"/>
      <c r="C1586" s="573"/>
      <c r="D1586" s="575"/>
      <c r="E1586" s="575"/>
      <c r="F1586" s="128"/>
      <c r="G1586" s="577"/>
      <c r="H1586" s="540"/>
      <c r="I1586" s="579"/>
      <c r="J1586" s="533"/>
      <c r="L1586" s="126"/>
      <c r="N1586" s="126"/>
      <c r="O1586" s="314"/>
      <c r="P1586" s="310"/>
      <c r="Q1586" s="310"/>
      <c r="R1586" s="314" t="str" cm="1">
        <f t="array" ref="R1586">IFERROR(IF(INDEX('Disaggregation Records'!$G$156:$G$517,MATCH(RIGHT(L1586,255),RIGHT('Disaggregation Records'!$D$156:$D$517,255),0))="","",INDEX('Disaggregation Records'!$G$156:$G$517,MATCH(RIGHT(L1586,255),RIGHT('Disaggregation Records'!$D$156:$D$517,255),0))),"")</f>
        <v/>
      </c>
    </row>
    <row r="1587" spans="1:18" ht="20.100000000000001" customHeight="1">
      <c r="A1587" s="126" t="str">
        <f t="shared" ref="A1587:A1647" ca="1" si="1784">INDIRECT("'update Helper'!C"&amp;Q1587)</f>
        <v>a16Dm000000M3xyIAC</v>
      </c>
      <c r="B1587" s="570">
        <v>25</v>
      </c>
      <c r="C1587" s="572" t="str">
        <f ca="1">IFERROR(VLOOKUP(B1587,'Coverage Indicators - Section D'!$A$9:$AO$94,41,FALSE),"")</f>
        <v>HTS-3d Percentage of people who inject drugs that have received an HIV test during the reporting period in KP-specific programs and know their results</v>
      </c>
      <c r="D1587" s="574" t="str">
        <f ca="1">M1587</f>
        <v>Gender</v>
      </c>
      <c r="E1587" s="574" t="str">
        <f ca="1">N1587</f>
        <v>Male</v>
      </c>
      <c r="F1587" s="127"/>
      <c r="G1587" s="576" t="str">
        <f ca="1">IF(OR(INDIRECT("'update Helper'!E"&amp;Q1587)="",F1587&lt;&gt;0,F1588&lt;&gt;0),IF(IFERROR((F1587/F1588),"")="","",(F1587/F1588)),INDIRECT("'update Helper'!E"&amp;Q1587)/100)</f>
        <v/>
      </c>
      <c r="H1587" s="539"/>
      <c r="I1587" s="578"/>
      <c r="J1587" s="532" t="s">
        <v>2301</v>
      </c>
      <c r="K1587" s="126">
        <f ca="1">IF(AND(EXACT(C1587,C1585),C1585&lt;&gt;0),K1585+1,0)</f>
        <v>3</v>
      </c>
      <c r="L1587" s="126" t="str">
        <f t="shared" ref="L1587" ca="1" si="1785">IF(C1587&lt;&gt;"",C1587&amp;"-"&amp;K1587,"")</f>
        <v>HTS-3d Percentage of people who inject drugs that have received an HIV test during the reporting period in KP-specific programs and know their results-3</v>
      </c>
      <c r="M1587" s="126" t="str">
        <f t="array" aca="1" ref="M1587" ca="1">IFERROR(IF(INDEX('Disaggregation Records'!$E$156:$E$517,MATCH(RIGHT(L1587,255),RIGHT('Disaggregation Records'!$D$156:$D$517,255),0))="","",INDEX('Disaggregation Records'!$E$156:$E$517,MATCH(RIGHT(L1587,255),RIGHT('Disaggregation Records'!$D$156:$D$517,255),0))),"")</f>
        <v>Gender</v>
      </c>
      <c r="N1587" s="126" t="str">
        <f t="array" aca="1" ref="N1587" ca="1">IFERROR(IF(INDEX('Disaggregation Records'!$F$156:$F$517,MATCH(RIGHT(L1587,255),RIGHT('Disaggregation Records'!$D$156:$D$517,255),0))="","",INDEX('Disaggregation Records'!$F$156:$F$517,MATCH(RIGHT(L1587,255),RIGHT('Disaggregation Records'!$D$156:$D$517,255),0))),"")</f>
        <v>Male</v>
      </c>
      <c r="O1587" s="314" t="str">
        <f t="array" aca="1" ref="O1587" ca="1">IFERROR(IF(INDEX('Disaggregation Records'!$H$156:$H$517,MATCH(RIGHT(L1587,255),RIGHT('Disaggregation Records'!$D$156:$D$517,255),0))="","",INDEX('Disaggregation Records'!$H$156:$H$517,MATCH(RIGHT(L1587,255),RIGHT('Disaggregation Records'!$D$156:$D$517,255),0))),"")</f>
        <v>IDR-01283</v>
      </c>
      <c r="P1587" s="310"/>
      <c r="Q1587" s="310">
        <f t="shared" ref="Q1587" si="1786">Q1585+1</f>
        <v>2095</v>
      </c>
      <c r="R1587" s="314" t="str" cm="1">
        <f t="array" aca="1" ref="R1587" ca="1">IFERROR(IF(INDEX('Disaggregation Records'!$G$156:$G$517,MATCH(RIGHT(L1587,255),RIGHT('Disaggregation Records'!$D$156:$D$517,255),0))="","",INDEX('Disaggregation Records'!$G$156:$G$517,MATCH(RIGHT(L1587,255),RIGHT('Disaggregation Records'!$D$156:$D$517,255),0))),"")</f>
        <v>a1LDm000000Cb3RMAS</v>
      </c>
    </row>
    <row r="1588" spans="1:18" ht="20.100000000000001" customHeight="1">
      <c r="B1588" s="571"/>
      <c r="C1588" s="573"/>
      <c r="D1588" s="575"/>
      <c r="E1588" s="575"/>
      <c r="F1588" s="128"/>
      <c r="G1588" s="577"/>
      <c r="H1588" s="540"/>
      <c r="I1588" s="579"/>
      <c r="J1588" s="533"/>
      <c r="L1588" s="126"/>
      <c r="N1588" s="126"/>
      <c r="O1588" s="314"/>
      <c r="P1588" s="310"/>
      <c r="Q1588" s="310"/>
      <c r="R1588" s="314" t="str" cm="1">
        <f t="array" ref="R1588">IFERROR(IF(INDEX('Disaggregation Records'!$G$156:$G$517,MATCH(RIGHT(L1588,255),RIGHT('Disaggregation Records'!$D$156:$D$517,255),0))="","",INDEX('Disaggregation Records'!$G$156:$G$517,MATCH(RIGHT(L1588,255),RIGHT('Disaggregation Records'!$D$156:$D$517,255),0))),"")</f>
        <v/>
      </c>
    </row>
    <row r="1589" spans="1:18" ht="20.100000000000001" customHeight="1">
      <c r="A1589" s="126" t="str">
        <f t="shared" ca="1" si="1781"/>
        <v>a16Dm000000M3xzIAC</v>
      </c>
      <c r="B1589" s="570">
        <v>25</v>
      </c>
      <c r="C1589" s="572" t="str">
        <f ca="1">IFERROR(VLOOKUP(B1589,'Coverage Indicators - Section D'!$A$9:$AO$94,41,FALSE),"")</f>
        <v>HTS-3d Percentage of people who inject drugs that have received an HIV test during the reporting period in KP-specific programs and know their results</v>
      </c>
      <c r="D1589" s="574" t="str">
        <f ca="1">M1589</f>
        <v>Gender</v>
      </c>
      <c r="E1589" s="574" t="str">
        <f ca="1">N1589</f>
        <v>Female</v>
      </c>
      <c r="F1589" s="127"/>
      <c r="G1589" s="576" t="str">
        <f ca="1">IF(OR(INDIRECT("'update Helper'!E"&amp;Q1589)="",F1589&lt;&gt;0,F1590&lt;&gt;0),IF(IFERROR((F1589/F1590),"")="","",(F1589/F1590)),INDIRECT("'update Helper'!E"&amp;Q1589)/100)</f>
        <v/>
      </c>
      <c r="H1589" s="539"/>
      <c r="I1589" s="578"/>
      <c r="J1589" s="532" t="s">
        <v>2301</v>
      </c>
      <c r="K1589" s="126">
        <f ca="1">IF(AND(EXACT(C1589,C1587),C1587&lt;&gt;0),K1587+1,0)</f>
        <v>4</v>
      </c>
      <c r="L1589" s="126" t="str">
        <f t="shared" ref="L1589" ca="1" si="1787">IF(C1589&lt;&gt;"",C1589&amp;"-"&amp;K1589,"")</f>
        <v>HTS-3d Percentage of people who inject drugs that have received an HIV test during the reporting period in KP-specific programs and know their results-4</v>
      </c>
      <c r="M1589" s="126" t="str">
        <f t="array" aca="1" ref="M1589" ca="1">IFERROR(IF(INDEX('Disaggregation Records'!$E$156:$E$517,MATCH(RIGHT(L1589,255),RIGHT('Disaggregation Records'!$D$156:$D$517,255),0))="","",INDEX('Disaggregation Records'!$E$156:$E$517,MATCH(RIGHT(L1589,255),RIGHT('Disaggregation Records'!$D$156:$D$517,255),0))),"")</f>
        <v>Gender</v>
      </c>
      <c r="N1589" s="126" t="str">
        <f t="array" aca="1" ref="N1589" ca="1">IFERROR(IF(INDEX('Disaggregation Records'!$F$156:$F$517,MATCH(RIGHT(L1589,255),RIGHT('Disaggregation Records'!$D$156:$D$517,255),0))="","",INDEX('Disaggregation Records'!$F$156:$F$517,MATCH(RIGHT(L1589,255),RIGHT('Disaggregation Records'!$D$156:$D$517,255),0))),"")</f>
        <v>Female</v>
      </c>
      <c r="O1589" s="314" t="str">
        <f t="array" aca="1" ref="O1589" ca="1">IFERROR(IF(INDEX('Disaggregation Records'!$H$156:$H$517,MATCH(RIGHT(L1589,255),RIGHT('Disaggregation Records'!$D$156:$D$517,255),0))="","",INDEX('Disaggregation Records'!$H$156:$H$517,MATCH(RIGHT(L1589,255),RIGHT('Disaggregation Records'!$D$156:$D$517,255),0))),"")</f>
        <v>IDR-01282</v>
      </c>
      <c r="P1589" s="310"/>
      <c r="Q1589" s="310">
        <f t="shared" ref="Q1589" si="1788">Q1587+1</f>
        <v>2096</v>
      </c>
      <c r="R1589" s="314" t="str" cm="1">
        <f t="array" aca="1" ref="R1589" ca="1">IFERROR(IF(INDEX('Disaggregation Records'!$G$156:$G$517,MATCH(RIGHT(L1589,255),RIGHT('Disaggregation Records'!$D$156:$D$517,255),0))="","",INDEX('Disaggregation Records'!$G$156:$G$517,MATCH(RIGHT(L1589,255),RIGHT('Disaggregation Records'!$D$156:$D$517,255),0))),"")</f>
        <v>a1LDm000000Cb3QMAS</v>
      </c>
    </row>
    <row r="1590" spans="1:18" ht="20.100000000000001" customHeight="1">
      <c r="A1590" s="126"/>
      <c r="B1590" s="571"/>
      <c r="C1590" s="573"/>
      <c r="D1590" s="575"/>
      <c r="E1590" s="575"/>
      <c r="F1590" s="128"/>
      <c r="G1590" s="577"/>
      <c r="H1590" s="540"/>
      <c r="I1590" s="579"/>
      <c r="J1590" s="533"/>
      <c r="L1590" s="126"/>
      <c r="N1590" s="126"/>
      <c r="O1590" s="314"/>
      <c r="P1590" s="310"/>
      <c r="Q1590" s="310"/>
      <c r="R1590" s="314" t="str" cm="1">
        <f t="array" ref="R1590">IFERROR(IF(INDEX('Disaggregation Records'!$G$156:$G$517,MATCH(RIGHT(L1590,255),RIGHT('Disaggregation Records'!$D$156:$D$517,255),0))="","",INDEX('Disaggregation Records'!$G$156:$G$517,MATCH(RIGHT(L1590,255),RIGHT('Disaggregation Records'!$D$156:$D$517,255),0))),"")</f>
        <v/>
      </c>
    </row>
    <row r="1591" spans="1:18" ht="20.100000000000001" customHeight="1">
      <c r="A1591" s="126" t="str">
        <f t="shared" ca="1" si="1784"/>
        <v>a16Dm000000M3y0IAC</v>
      </c>
      <c r="B1591" s="570">
        <v>25</v>
      </c>
      <c r="C1591" s="572" t="str">
        <f ca="1">IFERROR(VLOOKUP(B1591,'Coverage Indicators - Section D'!$A$9:$AO$94,41,FALSE),"")</f>
        <v>HTS-3d Percentage of people who inject drugs that have received an HIV test during the reporting period in KP-specific programs and know their results</v>
      </c>
      <c r="D1591" s="574" t="str">
        <f ca="1">M1591</f>
        <v/>
      </c>
      <c r="E1591" s="574" t="str">
        <f ca="1">N1591</f>
        <v/>
      </c>
      <c r="F1591" s="127"/>
      <c r="G1591" s="576" t="str">
        <f ca="1">IF(OR(INDIRECT("'update Helper'!E"&amp;Q1591)="",F1591&lt;&gt;0,F1592&lt;&gt;0),IF(IFERROR((F1591/F1592),"")="","",(F1591/F1592)),INDIRECT("'update Helper'!E"&amp;Q1591)/100)</f>
        <v/>
      </c>
      <c r="H1591" s="539"/>
      <c r="I1591" s="578"/>
      <c r="J1591" s="532"/>
      <c r="K1591" s="126">
        <f ca="1">IF(AND(EXACT(C1591,C1589),C1589&lt;&gt;0),K1589+1,0)</f>
        <v>5</v>
      </c>
      <c r="L1591" s="126" t="str">
        <f t="shared" ref="L1591" ca="1" si="1789">IF(C1591&lt;&gt;"",C1591&amp;"-"&amp;K1591,"")</f>
        <v>HTS-3d Percentage of people who inject drugs that have received an HIV test during the reporting period in KP-specific programs and know their results-5</v>
      </c>
      <c r="M1591" s="126" t="str">
        <f t="array" aca="1" ref="M1591" ca="1">IFERROR(IF(INDEX('Disaggregation Records'!$E$156:$E$517,MATCH(RIGHT(L1591,255),RIGHT('Disaggregation Records'!$D$156:$D$517,255),0))="","",INDEX('Disaggregation Records'!$E$156:$E$517,MATCH(RIGHT(L1591,255),RIGHT('Disaggregation Records'!$D$156:$D$517,255),0))),"")</f>
        <v/>
      </c>
      <c r="N1591" s="126" t="str">
        <f t="array" aca="1" ref="N1591" ca="1">IFERROR(IF(INDEX('Disaggregation Records'!$F$156:$F$517,MATCH(RIGHT(L1591,255),RIGHT('Disaggregation Records'!$D$156:$D$517,255),0))="","",INDEX('Disaggregation Records'!$F$156:$F$517,MATCH(RIGHT(L1591,255),RIGHT('Disaggregation Records'!$D$156:$D$517,255),0))),"")</f>
        <v/>
      </c>
      <c r="O1591" s="314" t="str">
        <f t="array" aca="1" ref="O1591" ca="1">IFERROR(IF(INDEX('Disaggregation Records'!$H$156:$H$517,MATCH(RIGHT(L1591,255),RIGHT('Disaggregation Records'!$D$156:$D$517,255),0))="","",INDEX('Disaggregation Records'!$H$156:$H$517,MATCH(RIGHT(L1591,255),RIGHT('Disaggregation Records'!$D$156:$D$517,255),0))),"")</f>
        <v/>
      </c>
      <c r="P1591" s="314"/>
      <c r="Q1591" s="310">
        <f t="shared" ref="Q1591" si="1790">Q1589+1</f>
        <v>2097</v>
      </c>
      <c r="R1591" s="314" t="str" cm="1">
        <f t="array" aca="1" ref="R1591" ca="1">IFERROR(IF(INDEX('Disaggregation Records'!$G$156:$G$517,MATCH(RIGHT(L1591,255),RIGHT('Disaggregation Records'!$D$156:$D$517,255),0))="","",INDEX('Disaggregation Records'!$G$156:$G$517,MATCH(RIGHT(L1591,255),RIGHT('Disaggregation Records'!$D$156:$D$517,255),0))),"")</f>
        <v/>
      </c>
    </row>
    <row r="1592" spans="1:18" ht="20.100000000000001" customHeight="1">
      <c r="B1592" s="571"/>
      <c r="C1592" s="573"/>
      <c r="D1592" s="575"/>
      <c r="E1592" s="575"/>
      <c r="F1592" s="128"/>
      <c r="G1592" s="577"/>
      <c r="H1592" s="540"/>
      <c r="I1592" s="579"/>
      <c r="J1592" s="533"/>
      <c r="K1592" s="126"/>
      <c r="L1592" s="126"/>
      <c r="M1592" s="126"/>
      <c r="N1592" s="126"/>
      <c r="O1592" s="314"/>
      <c r="P1592" s="314"/>
      <c r="Q1592" s="310"/>
      <c r="R1592" s="314" t="str" cm="1">
        <f t="array" ref="R1592">IFERROR(IF(INDEX('Disaggregation Records'!$G$156:$G$517,MATCH(RIGHT(L1592,255),RIGHT('Disaggregation Records'!$D$156:$D$517,255),0))="","",INDEX('Disaggregation Records'!$G$156:$G$517,MATCH(RIGHT(L1592,255),RIGHT('Disaggregation Records'!$D$156:$D$517,255),0))),"")</f>
        <v/>
      </c>
    </row>
    <row r="1593" spans="1:18" ht="20.100000000000001" customHeight="1">
      <c r="A1593" s="126" t="str">
        <f t="shared" ca="1" si="1781"/>
        <v>a16Dm000000M3y1IAC</v>
      </c>
      <c r="B1593" s="570">
        <v>25</v>
      </c>
      <c r="C1593" s="572" t="str">
        <f ca="1">IFERROR(VLOOKUP(B1593,'Coverage Indicators - Section D'!$A$9:$AO$94,41,FALSE),"")</f>
        <v>HTS-3d Percentage of people who inject drugs that have received an HIV test during the reporting period in KP-specific programs and know their results</v>
      </c>
      <c r="D1593" s="574" t="str">
        <f ca="1">M1593</f>
        <v/>
      </c>
      <c r="E1593" s="574" t="str">
        <f ca="1">N1593</f>
        <v/>
      </c>
      <c r="F1593" s="127"/>
      <c r="G1593" s="576" t="str">
        <f ca="1">IF(OR(INDIRECT("'update Helper'!E"&amp;Q1593)="",F1593&lt;&gt;0,F1594&lt;&gt;0),IF(IFERROR((F1593/F1594),"")="","",(F1593/F1594)),INDIRECT("'update Helper'!E"&amp;Q1593)/100)</f>
        <v/>
      </c>
      <c r="H1593" s="539"/>
      <c r="I1593" s="578"/>
      <c r="J1593" s="532"/>
      <c r="K1593" s="126">
        <f ca="1">IF(AND(EXACT(C1593,C1591),C1591&lt;&gt;0),K1591+1,0)</f>
        <v>6</v>
      </c>
      <c r="L1593" s="126" t="str">
        <f t="shared" ref="L1593" ca="1" si="1791">IF(C1593&lt;&gt;"",C1593&amp;"-"&amp;K1593,"")</f>
        <v>HTS-3d Percentage of people who inject drugs that have received an HIV test during the reporting period in KP-specific programs and know their results-6</v>
      </c>
      <c r="M1593" s="126" t="str">
        <f t="array" aca="1" ref="M1593" ca="1">IFERROR(IF(INDEX('Disaggregation Records'!$E$156:$E$517,MATCH(RIGHT(L1593,255),RIGHT('Disaggregation Records'!$D$156:$D$517,255),0))="","",INDEX('Disaggregation Records'!$E$156:$E$517,MATCH(RIGHT(L1593,255),RIGHT('Disaggregation Records'!$D$156:$D$517,255),0))),"")</f>
        <v/>
      </c>
      <c r="N1593" s="126" t="str">
        <f t="array" aca="1" ref="N1593" ca="1">IFERROR(IF(INDEX('Disaggregation Records'!$F$156:$F$517,MATCH(RIGHT(L1593,255),RIGHT('Disaggregation Records'!$D$156:$D$517,255),0))="","",INDEX('Disaggregation Records'!$F$156:$F$517,MATCH(RIGHT(L1593,255),RIGHT('Disaggregation Records'!$D$156:$D$517,255),0))),"")</f>
        <v/>
      </c>
      <c r="O1593" s="314" t="str">
        <f t="array" aca="1" ref="O1593" ca="1">IFERROR(IF(INDEX('Disaggregation Records'!$H$156:$H$517,MATCH(RIGHT(L1593,255),RIGHT('Disaggregation Records'!$D$156:$D$517,255),0))="","",INDEX('Disaggregation Records'!$H$156:$H$517,MATCH(RIGHT(L1593,255),RIGHT('Disaggregation Records'!$D$156:$D$517,255),0))),"")</f>
        <v/>
      </c>
      <c r="P1593" s="314"/>
      <c r="Q1593" s="310">
        <f t="shared" ref="Q1593" si="1792">Q1591+1</f>
        <v>2098</v>
      </c>
      <c r="R1593" s="314" t="str" cm="1">
        <f t="array" aca="1" ref="R1593" ca="1">IFERROR(IF(INDEX('Disaggregation Records'!$G$156:$G$517,MATCH(RIGHT(L1593,255),RIGHT('Disaggregation Records'!$D$156:$D$517,255),0))="","",INDEX('Disaggregation Records'!$G$156:$G$517,MATCH(RIGHT(L1593,255),RIGHT('Disaggregation Records'!$D$156:$D$517,255),0))),"")</f>
        <v/>
      </c>
    </row>
    <row r="1594" spans="1:18" ht="20.100000000000001" customHeight="1">
      <c r="A1594" s="126"/>
      <c r="B1594" s="571"/>
      <c r="C1594" s="573"/>
      <c r="D1594" s="575"/>
      <c r="E1594" s="575"/>
      <c r="F1594" s="128"/>
      <c r="G1594" s="577"/>
      <c r="H1594" s="540"/>
      <c r="I1594" s="579"/>
      <c r="J1594" s="533"/>
      <c r="K1594" s="126"/>
      <c r="L1594" s="126"/>
      <c r="M1594" s="126"/>
      <c r="N1594" s="126"/>
      <c r="O1594" s="314"/>
      <c r="P1594" s="314"/>
      <c r="Q1594" s="310"/>
      <c r="R1594" s="314" t="str" cm="1">
        <f t="array" ref="R1594">IFERROR(IF(INDEX('Disaggregation Records'!$G$156:$G$517,MATCH(RIGHT(L1594,255),RIGHT('Disaggregation Records'!$D$156:$D$517,255),0))="","",INDEX('Disaggregation Records'!$G$156:$G$517,MATCH(RIGHT(L1594,255),RIGHT('Disaggregation Records'!$D$156:$D$517,255),0))),"")</f>
        <v/>
      </c>
    </row>
    <row r="1595" spans="1:18" ht="20.100000000000001" customHeight="1">
      <c r="A1595" s="126" t="str">
        <f t="shared" ca="1" si="1784"/>
        <v>a16Dm000000M3y2IAC</v>
      </c>
      <c r="B1595" s="570">
        <v>25</v>
      </c>
      <c r="C1595" s="572" t="str">
        <f ca="1">IFERROR(VLOOKUP(B1595,'Coverage Indicators - Section D'!$A$9:$AO$94,41,FALSE),"")</f>
        <v>HTS-3d Percentage of people who inject drugs that have received an HIV test during the reporting period in KP-specific programs and know their results</v>
      </c>
      <c r="D1595" s="574" t="str">
        <f ca="1">M1595</f>
        <v/>
      </c>
      <c r="E1595" s="574" t="str">
        <f ca="1">N1595</f>
        <v/>
      </c>
      <c r="F1595" s="127"/>
      <c r="G1595" s="576" t="str">
        <f ca="1">IF(OR(INDIRECT("'update Helper'!E"&amp;Q1595)="",F1595&lt;&gt;0,F1596&lt;&gt;0),IF(IFERROR((F1595/F1596),"")="","",(F1595/F1596)),INDIRECT("'update Helper'!E"&amp;Q1595)/100)</f>
        <v/>
      </c>
      <c r="H1595" s="539"/>
      <c r="I1595" s="578"/>
      <c r="J1595" s="532"/>
      <c r="K1595" s="126">
        <f ca="1">IF(AND(EXACT(C1595,C1593),C1593&lt;&gt;0),K1593+1,0)</f>
        <v>7</v>
      </c>
      <c r="L1595" s="126" t="str">
        <f t="shared" ref="L1595" ca="1" si="1793">IF(C1595&lt;&gt;"",C1595&amp;"-"&amp;K1595,"")</f>
        <v>HTS-3d Percentage of people who inject drugs that have received an HIV test during the reporting period in KP-specific programs and know their results-7</v>
      </c>
      <c r="M1595" s="126" t="str">
        <f t="array" aca="1" ref="M1595" ca="1">IFERROR(IF(INDEX('Disaggregation Records'!$E$156:$E$517,MATCH(RIGHT(L1595,255),RIGHT('Disaggregation Records'!$D$156:$D$517,255),0))="","",INDEX('Disaggregation Records'!$E$156:$E$517,MATCH(RIGHT(L1595,255),RIGHT('Disaggregation Records'!$D$156:$D$517,255),0))),"")</f>
        <v/>
      </c>
      <c r="N1595" s="126" t="str">
        <f t="array" aca="1" ref="N1595" ca="1">IFERROR(IF(INDEX('Disaggregation Records'!$F$156:$F$517,MATCH(RIGHT(L1595,255),RIGHT('Disaggregation Records'!$D$156:$D$517,255),0))="","",INDEX('Disaggregation Records'!$F$156:$F$517,MATCH(RIGHT(L1595,255),RIGHT('Disaggregation Records'!$D$156:$D$517,255),0))),"")</f>
        <v/>
      </c>
      <c r="O1595" s="314" t="str">
        <f t="array" aca="1" ref="O1595" ca="1">IFERROR(IF(INDEX('Disaggregation Records'!$H$156:$H$517,MATCH(RIGHT(L1595,255),RIGHT('Disaggregation Records'!$D$156:$D$517,255),0))="","",INDEX('Disaggregation Records'!$H$156:$H$517,MATCH(RIGHT(L1595,255),RIGHT('Disaggregation Records'!$D$156:$D$517,255),0))),"")</f>
        <v/>
      </c>
      <c r="P1595" s="310"/>
      <c r="Q1595" s="310">
        <f t="shared" ref="Q1595" si="1794">Q1593+1</f>
        <v>2099</v>
      </c>
      <c r="R1595" s="314" t="str" cm="1">
        <f t="array" aca="1" ref="R1595" ca="1">IFERROR(IF(INDEX('Disaggregation Records'!$G$156:$G$517,MATCH(RIGHT(L1595,255),RIGHT('Disaggregation Records'!$D$156:$D$517,255),0))="","",INDEX('Disaggregation Records'!$G$156:$G$517,MATCH(RIGHT(L1595,255),RIGHT('Disaggregation Records'!$D$156:$D$517,255),0))),"")</f>
        <v/>
      </c>
    </row>
    <row r="1596" spans="1:18" ht="20.100000000000001" customHeight="1">
      <c r="B1596" s="571"/>
      <c r="C1596" s="573"/>
      <c r="D1596" s="575"/>
      <c r="E1596" s="575"/>
      <c r="F1596" s="128"/>
      <c r="G1596" s="577"/>
      <c r="H1596" s="540"/>
      <c r="I1596" s="579"/>
      <c r="J1596" s="533"/>
      <c r="L1596" s="126"/>
      <c r="N1596" s="126"/>
      <c r="O1596" s="314"/>
      <c r="P1596" s="310"/>
      <c r="Q1596" s="310"/>
      <c r="R1596" s="314" t="str" cm="1">
        <f t="array" ref="R1596">IFERROR(IF(INDEX('Disaggregation Records'!$G$156:$G$517,MATCH(RIGHT(L1596,255),RIGHT('Disaggregation Records'!$D$156:$D$517,255),0))="","",INDEX('Disaggregation Records'!$G$156:$G$517,MATCH(RIGHT(L1596,255),RIGHT('Disaggregation Records'!$D$156:$D$517,255),0))),"")</f>
        <v/>
      </c>
    </row>
    <row r="1597" spans="1:18" ht="20.100000000000001" customHeight="1">
      <c r="A1597" s="126" t="str">
        <f t="shared" ca="1" si="1781"/>
        <v>a16Dm000000M3y3IAC</v>
      </c>
      <c r="B1597" s="570">
        <v>25</v>
      </c>
      <c r="C1597" s="572" t="str">
        <f ca="1">IFERROR(VLOOKUP(B1597,'Coverage Indicators - Section D'!$A$9:$AO$94,41,FALSE),"")</f>
        <v>HTS-3d Percentage of people who inject drugs that have received an HIV test during the reporting period in KP-specific programs and know their results</v>
      </c>
      <c r="D1597" s="574" t="str">
        <f ca="1">M1597</f>
        <v/>
      </c>
      <c r="E1597" s="574" t="str">
        <f ca="1">N1597</f>
        <v/>
      </c>
      <c r="F1597" s="127"/>
      <c r="G1597" s="576" t="str">
        <f ca="1">IF(OR(INDIRECT("'update Helper'!E"&amp;Q1597)="",F1597&lt;&gt;0,F1598&lt;&gt;0),IF(IFERROR((F1597/F1598),"")="","",(F1597/F1598)),INDIRECT("'update Helper'!E"&amp;Q1597)/100)</f>
        <v/>
      </c>
      <c r="H1597" s="539"/>
      <c r="I1597" s="578"/>
      <c r="J1597" s="532"/>
      <c r="K1597" s="126">
        <f ca="1">IF(AND(EXACT(C1597,C1595),C1595&lt;&gt;0),K1595+1,0)</f>
        <v>8</v>
      </c>
      <c r="L1597" s="126" t="str">
        <f t="shared" ref="L1597" ca="1" si="1795">IF(C1597&lt;&gt;"",C1597&amp;"-"&amp;K1597,"")</f>
        <v>HTS-3d Percentage of people who inject drugs that have received an HIV test during the reporting period in KP-specific programs and know their results-8</v>
      </c>
      <c r="M1597" s="126" t="str">
        <f t="array" aca="1" ref="M1597" ca="1">IFERROR(IF(INDEX('Disaggregation Records'!$E$156:$E$517,MATCH(RIGHT(L1597,255),RIGHT('Disaggregation Records'!$D$156:$D$517,255),0))="","",INDEX('Disaggregation Records'!$E$156:$E$517,MATCH(RIGHT(L1597,255),RIGHT('Disaggregation Records'!$D$156:$D$517,255),0))),"")</f>
        <v/>
      </c>
      <c r="N1597" s="126" t="str">
        <f t="array" aca="1" ref="N1597" ca="1">IFERROR(IF(INDEX('Disaggregation Records'!$F$156:$F$517,MATCH(RIGHT(L1597,255),RIGHT('Disaggregation Records'!$D$156:$D$517,255),0))="","",INDEX('Disaggregation Records'!$F$156:$F$517,MATCH(RIGHT(L1597,255),RIGHT('Disaggregation Records'!$D$156:$D$517,255),0))),"")</f>
        <v/>
      </c>
      <c r="O1597" s="314" t="str">
        <f t="array" aca="1" ref="O1597" ca="1">IFERROR(IF(INDEX('Disaggregation Records'!$H$156:$H$517,MATCH(RIGHT(L1597,255),RIGHT('Disaggregation Records'!$D$156:$D$517,255),0))="","",INDEX('Disaggregation Records'!$H$156:$H$517,MATCH(RIGHT(L1597,255),RIGHT('Disaggregation Records'!$D$156:$D$517,255),0))),"")</f>
        <v/>
      </c>
      <c r="P1597" s="310"/>
      <c r="Q1597" s="310">
        <f t="shared" ref="Q1597" si="1796">Q1595+1</f>
        <v>2100</v>
      </c>
      <c r="R1597" s="314" t="str" cm="1">
        <f t="array" aca="1" ref="R1597" ca="1">IFERROR(IF(INDEX('Disaggregation Records'!$G$156:$G$517,MATCH(RIGHT(L1597,255),RIGHT('Disaggregation Records'!$D$156:$D$517,255),0))="","",INDEX('Disaggregation Records'!$G$156:$G$517,MATCH(RIGHT(L1597,255),RIGHT('Disaggregation Records'!$D$156:$D$517,255),0))),"")</f>
        <v/>
      </c>
    </row>
    <row r="1598" spans="1:18" ht="20.100000000000001" customHeight="1">
      <c r="A1598" s="126"/>
      <c r="B1598" s="571"/>
      <c r="C1598" s="573"/>
      <c r="D1598" s="575"/>
      <c r="E1598" s="575"/>
      <c r="F1598" s="128"/>
      <c r="G1598" s="577"/>
      <c r="H1598" s="540"/>
      <c r="I1598" s="579"/>
      <c r="J1598" s="533"/>
      <c r="L1598" s="126"/>
      <c r="N1598" s="126"/>
      <c r="O1598" s="314"/>
      <c r="P1598" s="310"/>
      <c r="Q1598" s="310"/>
      <c r="R1598" s="314" t="str" cm="1">
        <f t="array" ref="R1598">IFERROR(IF(INDEX('Disaggregation Records'!$G$156:$G$517,MATCH(RIGHT(L1598,255),RIGHT('Disaggregation Records'!$D$156:$D$517,255),0))="","",INDEX('Disaggregation Records'!$G$156:$G$517,MATCH(RIGHT(L1598,255),RIGHT('Disaggregation Records'!$D$156:$D$517,255),0))),"")</f>
        <v/>
      </c>
    </row>
    <row r="1599" spans="1:18" ht="20.100000000000001" customHeight="1">
      <c r="A1599" s="126" t="str">
        <f t="shared" ca="1" si="1784"/>
        <v>a16Dm000000M3y4IAC</v>
      </c>
      <c r="B1599" s="570">
        <v>25</v>
      </c>
      <c r="C1599" s="572" t="str">
        <f ca="1">IFERROR(VLOOKUP(B1599,'Coverage Indicators - Section D'!$A$9:$AO$94,41,FALSE),"")</f>
        <v>HTS-3d Percentage of people who inject drugs that have received an HIV test during the reporting period in KP-specific programs and know their results</v>
      </c>
      <c r="D1599" s="574" t="str">
        <f ca="1">M1599</f>
        <v/>
      </c>
      <c r="E1599" s="574" t="str">
        <f ca="1">N1599</f>
        <v/>
      </c>
      <c r="F1599" s="127"/>
      <c r="G1599" s="576" t="str">
        <f ca="1">IF(OR(INDIRECT("'update Helper'!E"&amp;Q1599)="",F1599&lt;&gt;0,F1600&lt;&gt;0),IF(IFERROR((F1599/F1600),"")="","",(F1599/F1600)),INDIRECT("'update Helper'!E"&amp;Q1599)/100)</f>
        <v/>
      </c>
      <c r="H1599" s="539"/>
      <c r="I1599" s="578"/>
      <c r="J1599" s="532"/>
      <c r="K1599" s="126">
        <f ca="1">IF(AND(EXACT(C1599,C1597),C1597&lt;&gt;0),K1597+1,0)</f>
        <v>9</v>
      </c>
      <c r="L1599" s="126" t="str">
        <f t="shared" ref="L1599" ca="1" si="1797">IF(C1599&lt;&gt;"",C1599&amp;"-"&amp;K1599,"")</f>
        <v>HTS-3d Percentage of people who inject drugs that have received an HIV test during the reporting period in KP-specific programs and know their results-9</v>
      </c>
      <c r="M1599" s="126" t="str">
        <f t="array" aca="1" ref="M1599" ca="1">IFERROR(IF(INDEX('Disaggregation Records'!$E$156:$E$517,MATCH(RIGHT(L1599,255),RIGHT('Disaggregation Records'!$D$156:$D$517,255),0))="","",INDEX('Disaggregation Records'!$E$156:$E$517,MATCH(RIGHT(L1599,255),RIGHT('Disaggregation Records'!$D$156:$D$517,255),0))),"")</f>
        <v/>
      </c>
      <c r="N1599" s="126" t="str">
        <f t="array" aca="1" ref="N1599" ca="1">IFERROR(IF(INDEX('Disaggregation Records'!$F$156:$F$517,MATCH(RIGHT(L1599,255),RIGHT('Disaggregation Records'!$D$156:$D$517,255),0))="","",INDEX('Disaggregation Records'!$F$156:$F$517,MATCH(RIGHT(L1599,255),RIGHT('Disaggregation Records'!$D$156:$D$517,255),0))),"")</f>
        <v/>
      </c>
      <c r="O1599" s="314" t="str">
        <f t="array" aca="1" ref="O1599" ca="1">IFERROR(IF(INDEX('Disaggregation Records'!$H$156:$H$517,MATCH(RIGHT(L1599,255),RIGHT('Disaggregation Records'!$D$156:$D$517,255),0))="","",INDEX('Disaggregation Records'!$H$156:$H$517,MATCH(RIGHT(L1599,255),RIGHT('Disaggregation Records'!$D$156:$D$517,255),0))),"")</f>
        <v/>
      </c>
      <c r="P1599" s="310"/>
      <c r="Q1599" s="310">
        <f t="shared" ref="Q1599" si="1798">Q1597+1</f>
        <v>2101</v>
      </c>
      <c r="R1599" s="314" t="str" cm="1">
        <f t="array" aca="1" ref="R1599" ca="1">IFERROR(IF(INDEX('Disaggregation Records'!$G$156:$G$517,MATCH(RIGHT(L1599,255),RIGHT('Disaggregation Records'!$D$156:$D$517,255),0))="","",INDEX('Disaggregation Records'!$G$156:$G$517,MATCH(RIGHT(L1599,255),RIGHT('Disaggregation Records'!$D$156:$D$517,255),0))),"")</f>
        <v/>
      </c>
    </row>
    <row r="1600" spans="1:18" ht="20.100000000000001" customHeight="1">
      <c r="B1600" s="571"/>
      <c r="C1600" s="573"/>
      <c r="D1600" s="575"/>
      <c r="E1600" s="575"/>
      <c r="F1600" s="128"/>
      <c r="G1600" s="577"/>
      <c r="H1600" s="540"/>
      <c r="I1600" s="579"/>
      <c r="J1600" s="533"/>
      <c r="L1600" s="126"/>
      <c r="N1600" s="126"/>
      <c r="O1600" s="314"/>
      <c r="P1600" s="310"/>
      <c r="Q1600" s="310"/>
      <c r="R1600" s="314" t="str" cm="1">
        <f t="array" ref="R1600">IFERROR(IF(INDEX('Disaggregation Records'!$G$156:$G$517,MATCH(RIGHT(L1600,255),RIGHT('Disaggregation Records'!$D$156:$D$517,255),0))="","",INDEX('Disaggregation Records'!$G$156:$G$517,MATCH(RIGHT(L1600,255),RIGHT('Disaggregation Records'!$D$156:$D$517,255),0))),"")</f>
        <v/>
      </c>
    </row>
    <row r="1601" spans="1:18" ht="20.100000000000001" customHeight="1">
      <c r="A1601" s="126" t="str">
        <f t="shared" ca="1" si="1781"/>
        <v>a16Dm000000M3y5IAC</v>
      </c>
      <c r="B1601" s="570">
        <v>25</v>
      </c>
      <c r="C1601" s="572" t="str">
        <f ca="1">IFERROR(VLOOKUP(B1601,'Coverage Indicators - Section D'!$A$9:$AO$94,41,FALSE),"")</f>
        <v>HTS-3d Percentage of people who inject drugs that have received an HIV test during the reporting period in KP-specific programs and know their results</v>
      </c>
      <c r="D1601" s="574" t="str">
        <f ca="1">M1601</f>
        <v/>
      </c>
      <c r="E1601" s="574" t="str">
        <f ca="1">N1601</f>
        <v/>
      </c>
      <c r="F1601" s="127"/>
      <c r="G1601" s="576" t="str">
        <f ca="1">IF(OR(INDIRECT("'update Helper'!E"&amp;Q1601)="",F1601&lt;&gt;0,F1602&lt;&gt;0),IF(IFERROR((F1601/F1602),"")="","",(F1601/F1602)),INDIRECT("'update Helper'!E"&amp;Q1601)/100)</f>
        <v/>
      </c>
      <c r="H1601" s="539"/>
      <c r="I1601" s="578"/>
      <c r="J1601" s="532"/>
      <c r="K1601" s="126">
        <f ca="1">IF(AND(EXACT(C1601,C1599),C1599&lt;&gt;0),K1599+1,0)</f>
        <v>10</v>
      </c>
      <c r="L1601" s="126" t="str">
        <f t="shared" ref="L1601" ca="1" si="1799">IF(C1601&lt;&gt;"",C1601&amp;"-"&amp;K1601,"")</f>
        <v>HTS-3d Percentage of people who inject drugs that have received an HIV test during the reporting period in KP-specific programs and know their results-10</v>
      </c>
      <c r="M1601" s="126" t="str">
        <f t="array" aca="1" ref="M1601" ca="1">IFERROR(IF(INDEX('Disaggregation Records'!$E$156:$E$517,MATCH(RIGHT(L1601,255),RIGHT('Disaggregation Records'!$D$156:$D$517,255),0))="","",INDEX('Disaggregation Records'!$E$156:$E$517,MATCH(RIGHT(L1601,255),RIGHT('Disaggregation Records'!$D$156:$D$517,255),0))),"")</f>
        <v/>
      </c>
      <c r="N1601" s="126" t="str">
        <f t="array" aca="1" ref="N1601" ca="1">IFERROR(IF(INDEX('Disaggregation Records'!$F$156:$F$517,MATCH(RIGHT(L1601,255),RIGHT('Disaggregation Records'!$D$156:$D$517,255),0))="","",INDEX('Disaggregation Records'!$F$156:$F$517,MATCH(RIGHT(L1601,255),RIGHT('Disaggregation Records'!$D$156:$D$517,255),0))),"")</f>
        <v/>
      </c>
      <c r="O1601" s="314" t="str">
        <f t="array" aca="1" ref="O1601" ca="1">IFERROR(IF(INDEX('Disaggregation Records'!$H$156:$H$517,MATCH(RIGHT(L1601,255),RIGHT('Disaggregation Records'!$D$156:$D$517,255),0))="","",INDEX('Disaggregation Records'!$H$156:$H$517,MATCH(RIGHT(L1601,255),RIGHT('Disaggregation Records'!$D$156:$D$517,255),0))),"")</f>
        <v/>
      </c>
      <c r="P1601" s="314"/>
      <c r="Q1601" s="310">
        <f t="shared" ref="Q1601" si="1800">Q1599+1</f>
        <v>2102</v>
      </c>
      <c r="R1601" s="314" t="str" cm="1">
        <f t="array" aca="1" ref="R1601" ca="1">IFERROR(IF(INDEX('Disaggregation Records'!$G$156:$G$517,MATCH(RIGHT(L1601,255),RIGHT('Disaggregation Records'!$D$156:$D$517,255),0))="","",INDEX('Disaggregation Records'!$G$156:$G$517,MATCH(RIGHT(L1601,255),RIGHT('Disaggregation Records'!$D$156:$D$517,255),0))),"")</f>
        <v/>
      </c>
    </row>
    <row r="1602" spans="1:18" ht="20.100000000000001" customHeight="1">
      <c r="A1602" s="126"/>
      <c r="B1602" s="571"/>
      <c r="C1602" s="573"/>
      <c r="D1602" s="575"/>
      <c r="E1602" s="575"/>
      <c r="F1602" s="128"/>
      <c r="G1602" s="577"/>
      <c r="H1602" s="540"/>
      <c r="I1602" s="579"/>
      <c r="J1602" s="533"/>
      <c r="K1602" s="126"/>
      <c r="L1602" s="126"/>
      <c r="M1602" s="126"/>
      <c r="N1602" s="126"/>
      <c r="O1602" s="314"/>
      <c r="P1602" s="314"/>
      <c r="Q1602" s="310"/>
      <c r="R1602" s="314" t="str" cm="1">
        <f t="array" ref="R1602">IFERROR(IF(INDEX('Disaggregation Records'!$G$156:$G$517,MATCH(RIGHT(L1602,255),RIGHT('Disaggregation Records'!$D$156:$D$517,255),0))="","",INDEX('Disaggregation Records'!$G$156:$G$517,MATCH(RIGHT(L1602,255),RIGHT('Disaggregation Records'!$D$156:$D$517,255),0))),"")</f>
        <v/>
      </c>
    </row>
    <row r="1603" spans="1:18" ht="20.100000000000001" customHeight="1">
      <c r="A1603" s="126" t="str">
        <f t="shared" ca="1" si="1784"/>
        <v>a16Dm000000M3y6IAC</v>
      </c>
      <c r="B1603" s="570">
        <v>25</v>
      </c>
      <c r="C1603" s="572" t="str">
        <f ca="1">IFERROR(VLOOKUP(B1603,'Coverage Indicators - Section D'!$A$9:$AO$94,41,FALSE),"")</f>
        <v>HTS-3d Percentage of people who inject drugs that have received an HIV test during the reporting period in KP-specific programs and know their results</v>
      </c>
      <c r="D1603" s="574" t="str">
        <f ca="1">M1603</f>
        <v/>
      </c>
      <c r="E1603" s="574" t="str">
        <f ca="1">N1603</f>
        <v/>
      </c>
      <c r="F1603" s="127"/>
      <c r="G1603" s="576" t="str">
        <f ca="1">IF(OR(INDIRECT("'update Helper'!E"&amp;Q1603)="",F1603&lt;&gt;0,F1604&lt;&gt;0),IF(IFERROR((F1603/F1604),"")="","",(F1603/F1604)),INDIRECT("'update Helper'!E"&amp;Q1603)/100)</f>
        <v/>
      </c>
      <c r="H1603" s="539"/>
      <c r="I1603" s="578"/>
      <c r="J1603" s="532"/>
      <c r="K1603" s="126">
        <f ca="1">IF(AND(EXACT(C1603,C1601),C1601&lt;&gt;0),K1601+1,0)</f>
        <v>11</v>
      </c>
      <c r="L1603" s="126" t="str">
        <f t="shared" ref="L1603" ca="1" si="1801">IF(C1603&lt;&gt;"",C1603&amp;"-"&amp;K1603,"")</f>
        <v>HTS-3d Percentage of people who inject drugs that have received an HIV test during the reporting period in KP-specific programs and know their results-11</v>
      </c>
      <c r="M1603" s="126" t="str">
        <f t="array" aca="1" ref="M1603" ca="1">IFERROR(IF(INDEX('Disaggregation Records'!$E$156:$E$517,MATCH(RIGHT(L1603,255),RIGHT('Disaggregation Records'!$D$156:$D$517,255),0))="","",INDEX('Disaggregation Records'!$E$156:$E$517,MATCH(RIGHT(L1603,255),RIGHT('Disaggregation Records'!$D$156:$D$517,255),0))),"")</f>
        <v/>
      </c>
      <c r="N1603" s="126" t="str">
        <f t="array" aca="1" ref="N1603" ca="1">IFERROR(IF(INDEX('Disaggregation Records'!$F$156:$F$517,MATCH(RIGHT(L1603,255),RIGHT('Disaggregation Records'!$D$156:$D$517,255),0))="","",INDEX('Disaggregation Records'!$F$156:$F$517,MATCH(RIGHT(L1603,255),RIGHT('Disaggregation Records'!$D$156:$D$517,255),0))),"")</f>
        <v/>
      </c>
      <c r="O1603" s="314" t="str">
        <f t="array" aca="1" ref="O1603" ca="1">IFERROR(IF(INDEX('Disaggregation Records'!$H$156:$H$517,MATCH(RIGHT(L1603,255),RIGHT('Disaggregation Records'!$D$156:$D$517,255),0))="","",INDEX('Disaggregation Records'!$H$156:$H$517,MATCH(RIGHT(L1603,255),RIGHT('Disaggregation Records'!$D$156:$D$517,255),0))),"")</f>
        <v/>
      </c>
      <c r="P1603" s="314"/>
      <c r="Q1603" s="310">
        <f t="shared" ref="Q1603" si="1802">Q1601+1</f>
        <v>2103</v>
      </c>
      <c r="R1603" s="314" t="str" cm="1">
        <f t="array" aca="1" ref="R1603" ca="1">IFERROR(IF(INDEX('Disaggregation Records'!$G$156:$G$517,MATCH(RIGHT(L1603,255),RIGHT('Disaggregation Records'!$D$156:$D$517,255),0))="","",INDEX('Disaggregation Records'!$G$156:$G$517,MATCH(RIGHT(L1603,255),RIGHT('Disaggregation Records'!$D$156:$D$517,255),0))),"")</f>
        <v/>
      </c>
    </row>
    <row r="1604" spans="1:18" ht="20.100000000000001" customHeight="1">
      <c r="B1604" s="571"/>
      <c r="C1604" s="573"/>
      <c r="D1604" s="575"/>
      <c r="E1604" s="575"/>
      <c r="F1604" s="128"/>
      <c r="G1604" s="577"/>
      <c r="H1604" s="540"/>
      <c r="I1604" s="579"/>
      <c r="J1604" s="533"/>
      <c r="K1604" s="126"/>
      <c r="L1604" s="126"/>
      <c r="M1604" s="126"/>
      <c r="N1604" s="126"/>
      <c r="O1604" s="314"/>
      <c r="P1604" s="314"/>
      <c r="Q1604" s="310"/>
      <c r="R1604" s="314" t="str" cm="1">
        <f t="array" ref="R1604">IFERROR(IF(INDEX('Disaggregation Records'!$G$156:$G$517,MATCH(RIGHT(L1604,255),RIGHT('Disaggregation Records'!$D$156:$D$517,255),0))="","",INDEX('Disaggregation Records'!$G$156:$G$517,MATCH(RIGHT(L1604,255),RIGHT('Disaggregation Records'!$D$156:$D$517,255),0))),"")</f>
        <v/>
      </c>
    </row>
    <row r="1605" spans="1:18" ht="20.100000000000001" customHeight="1">
      <c r="A1605" s="126" t="str">
        <f t="shared" ca="1" si="1781"/>
        <v>a16Dm000000M3y7IAC</v>
      </c>
      <c r="B1605" s="570">
        <v>25</v>
      </c>
      <c r="C1605" s="572" t="str">
        <f ca="1">IFERROR(VLOOKUP(B1605,'Coverage Indicators - Section D'!$A$9:$AO$94,41,FALSE),"")</f>
        <v>HTS-3d Percentage of people who inject drugs that have received an HIV test during the reporting period in KP-specific programs and know their results</v>
      </c>
      <c r="D1605" s="574" t="str">
        <f ca="1">M1605</f>
        <v/>
      </c>
      <c r="E1605" s="574" t="str">
        <f ca="1">N1605</f>
        <v/>
      </c>
      <c r="F1605" s="127"/>
      <c r="G1605" s="576" t="str">
        <f ca="1">IF(OR(INDIRECT("'update Helper'!E"&amp;Q1605)="",F1605&lt;&gt;0,F1606&lt;&gt;0),IF(IFERROR((F1605/F1606),"")="","",(F1605/F1606)),INDIRECT("'update Helper'!E"&amp;Q1605)/100)</f>
        <v/>
      </c>
      <c r="H1605" s="539"/>
      <c r="I1605" s="578"/>
      <c r="J1605" s="532"/>
      <c r="K1605" s="126">
        <f ca="1">IF(AND(EXACT(C1605,C1603),C1603&lt;&gt;0),K1603+1,0)</f>
        <v>12</v>
      </c>
      <c r="L1605" s="126" t="str">
        <f t="shared" ref="L1605" ca="1" si="1803">IF(C1605&lt;&gt;"",C1605&amp;"-"&amp;K1605,"")</f>
        <v>HTS-3d Percentage of people who inject drugs that have received an HIV test during the reporting period in KP-specific programs and know their results-12</v>
      </c>
      <c r="M1605" s="126" t="str">
        <f t="array" aca="1" ref="M1605" ca="1">IFERROR(IF(INDEX('Disaggregation Records'!$E$156:$E$517,MATCH(RIGHT(L1605,255),RIGHT('Disaggregation Records'!$D$156:$D$517,255),0))="","",INDEX('Disaggregation Records'!$E$156:$E$517,MATCH(RIGHT(L1605,255),RIGHT('Disaggregation Records'!$D$156:$D$517,255),0))),"")</f>
        <v/>
      </c>
      <c r="N1605" s="126" t="str">
        <f t="array" aca="1" ref="N1605" ca="1">IFERROR(IF(INDEX('Disaggregation Records'!$F$156:$F$517,MATCH(RIGHT(L1605,255),RIGHT('Disaggregation Records'!$D$156:$D$517,255),0))="","",INDEX('Disaggregation Records'!$F$156:$F$517,MATCH(RIGHT(L1605,255),RIGHT('Disaggregation Records'!$D$156:$D$517,255),0))),"")</f>
        <v/>
      </c>
      <c r="O1605" s="314" t="str">
        <f t="array" aca="1" ref="O1605" ca="1">IFERROR(IF(INDEX('Disaggregation Records'!$H$156:$H$517,MATCH(RIGHT(L1605,255),RIGHT('Disaggregation Records'!$D$156:$D$517,255),0))="","",INDEX('Disaggregation Records'!$H$156:$H$517,MATCH(RIGHT(L1605,255),RIGHT('Disaggregation Records'!$D$156:$D$517,255),0))),"")</f>
        <v/>
      </c>
      <c r="P1605" s="310"/>
      <c r="Q1605" s="310">
        <f t="shared" ref="Q1605" si="1804">Q1603+1</f>
        <v>2104</v>
      </c>
      <c r="R1605" s="314" t="str" cm="1">
        <f t="array" aca="1" ref="R1605" ca="1">IFERROR(IF(INDEX('Disaggregation Records'!$G$156:$G$517,MATCH(RIGHT(L1605,255),RIGHT('Disaggregation Records'!$D$156:$D$517,255),0))="","",INDEX('Disaggregation Records'!$G$156:$G$517,MATCH(RIGHT(L1605,255),RIGHT('Disaggregation Records'!$D$156:$D$517,255),0))),"")</f>
        <v/>
      </c>
    </row>
    <row r="1606" spans="1:18" ht="20.100000000000001" customHeight="1">
      <c r="A1606" s="126"/>
      <c r="B1606" s="571"/>
      <c r="C1606" s="573"/>
      <c r="D1606" s="575"/>
      <c r="E1606" s="575"/>
      <c r="F1606" s="128"/>
      <c r="G1606" s="577"/>
      <c r="H1606" s="540"/>
      <c r="I1606" s="579"/>
      <c r="J1606" s="533"/>
      <c r="L1606" s="126"/>
      <c r="N1606" s="126"/>
      <c r="O1606" s="314"/>
      <c r="P1606" s="310"/>
      <c r="Q1606" s="310"/>
      <c r="R1606" s="314" t="str" cm="1">
        <f t="array" ref="R1606">IFERROR(IF(INDEX('Disaggregation Records'!$G$156:$G$517,MATCH(RIGHT(L1606,255),RIGHT('Disaggregation Records'!$D$156:$D$517,255),0))="","",INDEX('Disaggregation Records'!$G$156:$G$517,MATCH(RIGHT(L1606,255),RIGHT('Disaggregation Records'!$D$156:$D$517,255),0))),"")</f>
        <v/>
      </c>
    </row>
    <row r="1607" spans="1:18" ht="20.100000000000001" customHeight="1">
      <c r="A1607" s="126" t="str">
        <f t="shared" ca="1" si="1784"/>
        <v>a16Dm000000M3y8IAC</v>
      </c>
      <c r="B1607" s="570">
        <v>25</v>
      </c>
      <c r="C1607" s="572" t="str">
        <f ca="1">IFERROR(VLOOKUP(B1607,'Coverage Indicators - Section D'!$A$9:$AO$94,41,FALSE),"")</f>
        <v>HTS-3d Percentage of people who inject drugs that have received an HIV test during the reporting period in KP-specific programs and know their results</v>
      </c>
      <c r="D1607" s="574" t="str">
        <f ca="1">M1607</f>
        <v/>
      </c>
      <c r="E1607" s="574" t="str">
        <f ca="1">N1607</f>
        <v/>
      </c>
      <c r="F1607" s="127"/>
      <c r="G1607" s="576" t="str">
        <f ca="1">IF(OR(INDIRECT("'update Helper'!E"&amp;Q1607)="",F1607&lt;&gt;0,F1608&lt;&gt;0),IF(IFERROR((F1607/F1608),"")="","",(F1607/F1608)),INDIRECT("'update Helper'!E"&amp;Q1607)/100)</f>
        <v/>
      </c>
      <c r="H1607" s="539"/>
      <c r="I1607" s="578"/>
      <c r="J1607" s="532"/>
      <c r="K1607" s="126">
        <f ca="1">IF(AND(EXACT(C1607,C1605),C1605&lt;&gt;0),K1605+1,0)</f>
        <v>13</v>
      </c>
      <c r="L1607" s="126" t="str">
        <f t="shared" ref="L1607" ca="1" si="1805">IF(C1607&lt;&gt;"",C1607&amp;"-"&amp;K1607,"")</f>
        <v>HTS-3d Percentage of people who inject drugs that have received an HIV test during the reporting period in KP-specific programs and know their results-13</v>
      </c>
      <c r="M1607" s="126" t="str">
        <f t="array" aca="1" ref="M1607" ca="1">IFERROR(IF(INDEX('Disaggregation Records'!$E$156:$E$517,MATCH(RIGHT(L1607,255),RIGHT('Disaggregation Records'!$D$156:$D$517,255),0))="","",INDEX('Disaggregation Records'!$E$156:$E$517,MATCH(RIGHT(L1607,255),RIGHT('Disaggregation Records'!$D$156:$D$517,255),0))),"")</f>
        <v/>
      </c>
      <c r="N1607" s="126" t="str">
        <f t="array" aca="1" ref="N1607" ca="1">IFERROR(IF(INDEX('Disaggregation Records'!$F$156:$F$517,MATCH(RIGHT(L1607,255),RIGHT('Disaggregation Records'!$D$156:$D$517,255),0))="","",INDEX('Disaggregation Records'!$F$156:$F$517,MATCH(RIGHT(L1607,255),RIGHT('Disaggregation Records'!$D$156:$D$517,255),0))),"")</f>
        <v/>
      </c>
      <c r="O1607" s="314" t="str">
        <f t="array" aca="1" ref="O1607" ca="1">IFERROR(IF(INDEX('Disaggregation Records'!$H$156:$H$517,MATCH(RIGHT(L1607,255),RIGHT('Disaggregation Records'!$D$156:$D$517,255),0))="","",INDEX('Disaggregation Records'!$H$156:$H$517,MATCH(RIGHT(L1607,255),RIGHT('Disaggregation Records'!$D$156:$D$517,255),0))),"")</f>
        <v/>
      </c>
      <c r="P1607" s="310"/>
      <c r="Q1607" s="310">
        <f t="shared" ref="Q1607" si="1806">Q1605+1</f>
        <v>2105</v>
      </c>
      <c r="R1607" s="314" t="str" cm="1">
        <f t="array" aca="1" ref="R1607" ca="1">IFERROR(IF(INDEX('Disaggregation Records'!$G$156:$G$517,MATCH(RIGHT(L1607,255),RIGHT('Disaggregation Records'!$D$156:$D$517,255),0))="","",INDEX('Disaggregation Records'!$G$156:$G$517,MATCH(RIGHT(L1607,255),RIGHT('Disaggregation Records'!$D$156:$D$517,255),0))),"")</f>
        <v/>
      </c>
    </row>
    <row r="1608" spans="1:18" ht="20.100000000000001" customHeight="1">
      <c r="B1608" s="571"/>
      <c r="C1608" s="573"/>
      <c r="D1608" s="575"/>
      <c r="E1608" s="575"/>
      <c r="F1608" s="128"/>
      <c r="G1608" s="577"/>
      <c r="H1608" s="540"/>
      <c r="I1608" s="579"/>
      <c r="J1608" s="533"/>
      <c r="L1608" s="126"/>
      <c r="N1608" s="126"/>
      <c r="O1608" s="314"/>
      <c r="P1608" s="310"/>
      <c r="Q1608" s="310"/>
      <c r="R1608" s="314" t="str" cm="1">
        <f t="array" ref="R1608">IFERROR(IF(INDEX('Disaggregation Records'!$G$156:$G$517,MATCH(RIGHT(L1608,255),RIGHT('Disaggregation Records'!$D$156:$D$517,255),0))="","",INDEX('Disaggregation Records'!$G$156:$G$517,MATCH(RIGHT(L1608,255),RIGHT('Disaggregation Records'!$D$156:$D$517,255),0))),"")</f>
        <v/>
      </c>
    </row>
    <row r="1609" spans="1:18" ht="20.100000000000001" customHeight="1">
      <c r="A1609" s="126" t="str">
        <f t="shared" ca="1" si="1781"/>
        <v>a16Dm000000M3y9IAC</v>
      </c>
      <c r="B1609" s="570">
        <v>25</v>
      </c>
      <c r="C1609" s="572" t="str">
        <f ca="1">IFERROR(VLOOKUP(B1609,'Coverage Indicators - Section D'!$A$9:$AO$94,41,FALSE),"")</f>
        <v>HTS-3d Percentage of people who inject drugs that have received an HIV test during the reporting period in KP-specific programs and know their results</v>
      </c>
      <c r="D1609" s="574" t="str">
        <f ca="1">M1609</f>
        <v/>
      </c>
      <c r="E1609" s="574" t="str">
        <f ca="1">N1609</f>
        <v/>
      </c>
      <c r="F1609" s="127"/>
      <c r="G1609" s="576" t="str">
        <f ca="1">IF(OR(INDIRECT("'update Helper'!E"&amp;Q1609)="",F1609&lt;&gt;0,F1610&lt;&gt;0),IF(IFERROR((F1609/F1610),"")="","",(F1609/F1610)),INDIRECT("'update Helper'!E"&amp;Q1609)/100)</f>
        <v/>
      </c>
      <c r="H1609" s="539"/>
      <c r="I1609" s="578"/>
      <c r="J1609" s="532"/>
      <c r="K1609" s="126">
        <f ca="1">IF(AND(EXACT(C1609,C1607),C1607&lt;&gt;0),K1607+1,0)</f>
        <v>14</v>
      </c>
      <c r="L1609" s="126" t="str">
        <f t="shared" ref="L1609" ca="1" si="1807">IF(C1609&lt;&gt;"",C1609&amp;"-"&amp;K1609,"")</f>
        <v>HTS-3d Percentage of people who inject drugs that have received an HIV test during the reporting period in KP-specific programs and know their results-14</v>
      </c>
      <c r="M1609" s="126" t="str">
        <f t="array" aca="1" ref="M1609" ca="1">IFERROR(IF(INDEX('Disaggregation Records'!$E$156:$E$517,MATCH(RIGHT(L1609,255),RIGHT('Disaggregation Records'!$D$156:$D$517,255),0))="","",INDEX('Disaggregation Records'!$E$156:$E$517,MATCH(RIGHT(L1609,255),RIGHT('Disaggregation Records'!$D$156:$D$517,255),0))),"")</f>
        <v/>
      </c>
      <c r="N1609" s="126" t="str">
        <f t="array" aca="1" ref="N1609" ca="1">IFERROR(IF(INDEX('Disaggregation Records'!$F$156:$F$517,MATCH(RIGHT(L1609,255),RIGHT('Disaggregation Records'!$D$156:$D$517,255),0))="","",INDEX('Disaggregation Records'!$F$156:$F$517,MATCH(RIGHT(L1609,255),RIGHT('Disaggregation Records'!$D$156:$D$517,255),0))),"")</f>
        <v/>
      </c>
      <c r="O1609" s="314" t="str">
        <f t="array" aca="1" ref="O1609" ca="1">IFERROR(IF(INDEX('Disaggregation Records'!$H$156:$H$517,MATCH(RIGHT(L1609,255),RIGHT('Disaggregation Records'!$D$156:$D$517,255),0))="","",INDEX('Disaggregation Records'!$H$156:$H$517,MATCH(RIGHT(L1609,255),RIGHT('Disaggregation Records'!$D$156:$D$517,255),0))),"")</f>
        <v/>
      </c>
      <c r="P1609" s="310"/>
      <c r="Q1609" s="310">
        <f t="shared" ref="Q1609" si="1808">Q1607+1</f>
        <v>2106</v>
      </c>
      <c r="R1609" s="314" t="str" cm="1">
        <f t="array" aca="1" ref="R1609" ca="1">IFERROR(IF(INDEX('Disaggregation Records'!$G$156:$G$517,MATCH(RIGHT(L1609,255),RIGHT('Disaggregation Records'!$D$156:$D$517,255),0))="","",INDEX('Disaggregation Records'!$G$156:$G$517,MATCH(RIGHT(L1609,255),RIGHT('Disaggregation Records'!$D$156:$D$517,255),0))),"")</f>
        <v/>
      </c>
    </row>
    <row r="1610" spans="1:18" ht="20.100000000000001" customHeight="1">
      <c r="A1610" s="126"/>
      <c r="B1610" s="571"/>
      <c r="C1610" s="573"/>
      <c r="D1610" s="575"/>
      <c r="E1610" s="575"/>
      <c r="F1610" s="128"/>
      <c r="G1610" s="577"/>
      <c r="H1610" s="540"/>
      <c r="I1610" s="579"/>
      <c r="J1610" s="533"/>
      <c r="L1610" s="126"/>
      <c r="N1610" s="126"/>
      <c r="O1610" s="314"/>
      <c r="P1610" s="310"/>
      <c r="Q1610" s="310"/>
      <c r="R1610" s="314" t="str" cm="1">
        <f t="array" ref="R1610">IFERROR(IF(INDEX('Disaggregation Records'!$G$156:$G$517,MATCH(RIGHT(L1610,255),RIGHT('Disaggregation Records'!$D$156:$D$517,255),0))="","",INDEX('Disaggregation Records'!$G$156:$G$517,MATCH(RIGHT(L1610,255),RIGHT('Disaggregation Records'!$D$156:$D$517,255),0))),"")</f>
        <v/>
      </c>
    </row>
    <row r="1611" spans="1:18" ht="20.100000000000001" customHeight="1">
      <c r="A1611" s="126" t="str">
        <f t="shared" ca="1" si="1784"/>
        <v>a16Dm000000M3yAIAS</v>
      </c>
      <c r="B1611" s="570">
        <v>25</v>
      </c>
      <c r="C1611" s="572" t="str">
        <f ca="1">IFERROR(VLOOKUP(B1611,'Coverage Indicators - Section D'!$A$9:$AO$94,41,FALSE),"")</f>
        <v>HTS-3d Percentage of people who inject drugs that have received an HIV test during the reporting period in KP-specific programs and know their results</v>
      </c>
      <c r="D1611" s="574" t="str">
        <f ca="1">M1611</f>
        <v/>
      </c>
      <c r="E1611" s="574" t="str">
        <f ca="1">N1611</f>
        <v/>
      </c>
      <c r="F1611" s="127"/>
      <c r="G1611" s="576" t="str">
        <f ca="1">IF(OR(INDIRECT("'update Helper'!E"&amp;Q1611)="",F1611&lt;&gt;0,F1612&lt;&gt;0),IF(IFERROR((F1611/F1612),"")="","",(F1611/F1612)),INDIRECT("'update Helper'!E"&amp;Q1611)/100)</f>
        <v/>
      </c>
      <c r="H1611" s="539"/>
      <c r="I1611" s="578"/>
      <c r="J1611" s="532"/>
      <c r="K1611" s="126">
        <f ca="1">IF(AND(EXACT(C1611,C1609),C1609&lt;&gt;0),K1609+1,0)</f>
        <v>15</v>
      </c>
      <c r="L1611" s="126" t="str">
        <f t="shared" ref="L1611" ca="1" si="1809">IF(C1611&lt;&gt;"",C1611&amp;"-"&amp;K1611,"")</f>
        <v>HTS-3d Percentage of people who inject drugs that have received an HIV test during the reporting period in KP-specific programs and know their results-15</v>
      </c>
      <c r="M1611" s="126" t="str">
        <f t="array" aca="1" ref="M1611" ca="1">IFERROR(IF(INDEX('Disaggregation Records'!$E$156:$E$517,MATCH(RIGHT(L1611,255),RIGHT('Disaggregation Records'!$D$156:$D$517,255),0))="","",INDEX('Disaggregation Records'!$E$156:$E$517,MATCH(RIGHT(L1611,255),RIGHT('Disaggregation Records'!$D$156:$D$517,255),0))),"")</f>
        <v/>
      </c>
      <c r="N1611" s="126" t="str">
        <f t="array" aca="1" ref="N1611" ca="1">IFERROR(IF(INDEX('Disaggregation Records'!$F$156:$F$517,MATCH(RIGHT(L1611,255),RIGHT('Disaggregation Records'!$D$156:$D$517,255),0))="","",INDEX('Disaggregation Records'!$F$156:$F$517,MATCH(RIGHT(L1611,255),RIGHT('Disaggregation Records'!$D$156:$D$517,255),0))),"")</f>
        <v/>
      </c>
      <c r="O1611" s="314" t="str">
        <f t="array" aca="1" ref="O1611" ca="1">IFERROR(IF(INDEX('Disaggregation Records'!$H$156:$H$517,MATCH(RIGHT(L1611,255),RIGHT('Disaggregation Records'!$D$156:$D$517,255),0))="","",INDEX('Disaggregation Records'!$H$156:$H$517,MATCH(RIGHT(L1611,255),RIGHT('Disaggregation Records'!$D$156:$D$517,255),0))),"")</f>
        <v/>
      </c>
      <c r="P1611" s="314"/>
      <c r="Q1611" s="310">
        <f t="shared" ref="Q1611" si="1810">Q1609+1</f>
        <v>2107</v>
      </c>
      <c r="R1611" s="314" t="str" cm="1">
        <f t="array" aca="1" ref="R1611" ca="1">IFERROR(IF(INDEX('Disaggregation Records'!$G$156:$G$517,MATCH(RIGHT(L1611,255),RIGHT('Disaggregation Records'!$D$156:$D$517,255),0))="","",INDEX('Disaggregation Records'!$G$156:$G$517,MATCH(RIGHT(L1611,255),RIGHT('Disaggregation Records'!$D$156:$D$517,255),0))),"")</f>
        <v/>
      </c>
    </row>
    <row r="1612" spans="1:18" ht="20.100000000000001" customHeight="1">
      <c r="B1612" s="571"/>
      <c r="C1612" s="573"/>
      <c r="D1612" s="575"/>
      <c r="E1612" s="575"/>
      <c r="F1612" s="128"/>
      <c r="G1612" s="577"/>
      <c r="H1612" s="540"/>
      <c r="I1612" s="579"/>
      <c r="J1612" s="533"/>
      <c r="K1612" s="126"/>
      <c r="L1612" s="126"/>
      <c r="M1612" s="126"/>
      <c r="N1612" s="126"/>
      <c r="O1612" s="314"/>
      <c r="P1612" s="314"/>
      <c r="Q1612" s="310"/>
      <c r="R1612" s="314" t="str" cm="1">
        <f t="array" ref="R1612">IFERROR(IF(INDEX('Disaggregation Records'!$G$156:$G$517,MATCH(RIGHT(L1612,255),RIGHT('Disaggregation Records'!$D$156:$D$517,255),0))="","",INDEX('Disaggregation Records'!$G$156:$G$517,MATCH(RIGHT(L1612,255),RIGHT('Disaggregation Records'!$D$156:$D$517,255),0))),"")</f>
        <v/>
      </c>
    </row>
    <row r="1613" spans="1:18" ht="20.100000000000001" customHeight="1">
      <c r="A1613" s="126" t="str">
        <f t="shared" ca="1" si="1781"/>
        <v>a16Dm000000M3yBIAS</v>
      </c>
      <c r="B1613" s="570">
        <v>25</v>
      </c>
      <c r="C1613" s="572" t="str">
        <f ca="1">IFERROR(VLOOKUP(B1613,'Coverage Indicators - Section D'!$A$9:$AO$94,41,FALSE),"")</f>
        <v>HTS-3d Percentage of people who inject drugs that have received an HIV test during the reporting period in KP-specific programs and know their results</v>
      </c>
      <c r="D1613" s="574" t="str">
        <f ca="1">M1613</f>
        <v/>
      </c>
      <c r="E1613" s="574" t="str">
        <f ca="1">N1613</f>
        <v/>
      </c>
      <c r="F1613" s="127"/>
      <c r="G1613" s="576" t="str">
        <f ca="1">IF(OR(INDIRECT("'update Helper'!E"&amp;Q1613)="",F1613&lt;&gt;0,F1614&lt;&gt;0),IF(IFERROR((F1613/F1614),"")="","",(F1613/F1614)),INDIRECT("'update Helper'!E"&amp;Q1613)/100)</f>
        <v/>
      </c>
      <c r="H1613" s="539"/>
      <c r="I1613" s="578"/>
      <c r="J1613" s="532"/>
      <c r="K1613" s="126">
        <f ca="1">IF(AND(EXACT(C1613,C1611),C1611&lt;&gt;0),K1611+1,0)</f>
        <v>16</v>
      </c>
      <c r="L1613" s="126" t="str">
        <f t="shared" ref="L1613" ca="1" si="1811">IF(C1613&lt;&gt;"",C1613&amp;"-"&amp;K1613,"")</f>
        <v>HTS-3d Percentage of people who inject drugs that have received an HIV test during the reporting period in KP-specific programs and know their results-16</v>
      </c>
      <c r="M1613" s="126" t="str">
        <f t="array" aca="1" ref="M1613" ca="1">IFERROR(IF(INDEX('Disaggregation Records'!$E$156:$E$517,MATCH(RIGHT(L1613,255),RIGHT('Disaggregation Records'!$D$156:$D$517,255),0))="","",INDEX('Disaggregation Records'!$E$156:$E$517,MATCH(RIGHT(L1613,255),RIGHT('Disaggregation Records'!$D$156:$D$517,255),0))),"")</f>
        <v/>
      </c>
      <c r="N1613" s="126" t="str">
        <f t="array" aca="1" ref="N1613" ca="1">IFERROR(IF(INDEX('Disaggregation Records'!$F$156:$F$517,MATCH(RIGHT(L1613,255),RIGHT('Disaggregation Records'!$D$156:$D$517,255),0))="","",INDEX('Disaggregation Records'!$F$156:$F$517,MATCH(RIGHT(L1613,255),RIGHT('Disaggregation Records'!$D$156:$D$517,255),0))),"")</f>
        <v/>
      </c>
      <c r="O1613" s="314" t="str">
        <f t="array" aca="1" ref="O1613" ca="1">IFERROR(IF(INDEX('Disaggregation Records'!$H$156:$H$517,MATCH(RIGHT(L1613,255),RIGHT('Disaggregation Records'!$D$156:$D$517,255),0))="","",INDEX('Disaggregation Records'!$H$156:$H$517,MATCH(RIGHT(L1613,255),RIGHT('Disaggregation Records'!$D$156:$D$517,255),0))),"")</f>
        <v/>
      </c>
      <c r="P1613" s="314"/>
      <c r="Q1613" s="310">
        <f t="shared" ref="Q1613" si="1812">Q1611+1</f>
        <v>2108</v>
      </c>
      <c r="R1613" s="314" t="str" cm="1">
        <f t="array" aca="1" ref="R1613" ca="1">IFERROR(IF(INDEX('Disaggregation Records'!$G$156:$G$517,MATCH(RIGHT(L1613,255),RIGHT('Disaggregation Records'!$D$156:$D$517,255),0))="","",INDEX('Disaggregation Records'!$G$156:$G$517,MATCH(RIGHT(L1613,255),RIGHT('Disaggregation Records'!$D$156:$D$517,255),0))),"")</f>
        <v/>
      </c>
    </row>
    <row r="1614" spans="1:18" ht="20.100000000000001" customHeight="1">
      <c r="A1614" s="126"/>
      <c r="B1614" s="571"/>
      <c r="C1614" s="573"/>
      <c r="D1614" s="575"/>
      <c r="E1614" s="575"/>
      <c r="F1614" s="128"/>
      <c r="G1614" s="577"/>
      <c r="H1614" s="540"/>
      <c r="I1614" s="579"/>
      <c r="J1614" s="533"/>
      <c r="K1614" s="126"/>
      <c r="L1614" s="126"/>
      <c r="M1614" s="126"/>
      <c r="N1614" s="126"/>
      <c r="O1614" s="314"/>
      <c r="P1614" s="314"/>
      <c r="Q1614" s="310"/>
      <c r="R1614" s="314" t="str" cm="1">
        <f t="array" ref="R1614">IFERROR(IF(INDEX('Disaggregation Records'!$G$156:$G$517,MATCH(RIGHT(L1614,255),RIGHT('Disaggregation Records'!$D$156:$D$517,255),0))="","",INDEX('Disaggregation Records'!$G$156:$G$517,MATCH(RIGHT(L1614,255),RIGHT('Disaggregation Records'!$D$156:$D$517,255),0))),"")</f>
        <v/>
      </c>
    </row>
    <row r="1615" spans="1:18" ht="20.100000000000001" customHeight="1">
      <c r="A1615" s="126" t="str">
        <f t="shared" ca="1" si="1784"/>
        <v>a16Dm000000M3yCIAS</v>
      </c>
      <c r="B1615" s="570">
        <v>25</v>
      </c>
      <c r="C1615" s="572" t="str">
        <f ca="1">IFERROR(VLOOKUP(B1615,'Coverage Indicators - Section D'!$A$9:$AO$94,41,FALSE),"")</f>
        <v>HTS-3d Percentage of people who inject drugs that have received an HIV test during the reporting period in KP-specific programs and know their results</v>
      </c>
      <c r="D1615" s="574" t="str">
        <f ca="1">M1615</f>
        <v/>
      </c>
      <c r="E1615" s="574" t="str">
        <f ca="1">N1615</f>
        <v/>
      </c>
      <c r="F1615" s="127"/>
      <c r="G1615" s="576" t="str">
        <f ca="1">IF(OR(INDIRECT("'update Helper'!E"&amp;Q1615)="",F1615&lt;&gt;0,F1616&lt;&gt;0),IF(IFERROR((F1615/F1616),"")="","",(F1615/F1616)),INDIRECT("'update Helper'!E"&amp;Q1615)/100)</f>
        <v/>
      </c>
      <c r="H1615" s="539"/>
      <c r="I1615" s="578"/>
      <c r="J1615" s="532"/>
      <c r="K1615" s="126">
        <f ca="1">IF(AND(EXACT(C1615,C1613),C1613&lt;&gt;0),K1613+1,0)</f>
        <v>17</v>
      </c>
      <c r="L1615" s="126" t="str">
        <f t="shared" ref="L1615" ca="1" si="1813">IF(C1615&lt;&gt;"",C1615&amp;"-"&amp;K1615,"")</f>
        <v>HTS-3d Percentage of people who inject drugs that have received an HIV test during the reporting period in KP-specific programs and know their results-17</v>
      </c>
      <c r="M1615" s="126" t="str">
        <f t="array" aca="1" ref="M1615" ca="1">IFERROR(IF(INDEX('Disaggregation Records'!$E$156:$E$517,MATCH(RIGHT(L1615,255),RIGHT('Disaggregation Records'!$D$156:$D$517,255),0))="","",INDEX('Disaggregation Records'!$E$156:$E$517,MATCH(RIGHT(L1615,255),RIGHT('Disaggregation Records'!$D$156:$D$517,255),0))),"")</f>
        <v/>
      </c>
      <c r="N1615" s="126" t="str">
        <f t="array" aca="1" ref="N1615" ca="1">IFERROR(IF(INDEX('Disaggregation Records'!$F$156:$F$517,MATCH(RIGHT(L1615,255),RIGHT('Disaggregation Records'!$D$156:$D$517,255),0))="","",INDEX('Disaggregation Records'!$F$156:$F$517,MATCH(RIGHT(L1615,255),RIGHT('Disaggregation Records'!$D$156:$D$517,255),0))),"")</f>
        <v/>
      </c>
      <c r="O1615" s="314" t="str">
        <f t="array" aca="1" ref="O1615" ca="1">IFERROR(IF(INDEX('Disaggregation Records'!$H$156:$H$517,MATCH(RIGHT(L1615,255),RIGHT('Disaggregation Records'!$D$156:$D$517,255),0))="","",INDEX('Disaggregation Records'!$H$156:$H$517,MATCH(RIGHT(L1615,255),RIGHT('Disaggregation Records'!$D$156:$D$517,255),0))),"")</f>
        <v/>
      </c>
      <c r="P1615" s="310"/>
      <c r="Q1615" s="310">
        <f t="shared" ref="Q1615" si="1814">Q1613+1</f>
        <v>2109</v>
      </c>
      <c r="R1615" s="314" t="str" cm="1">
        <f t="array" aca="1" ref="R1615" ca="1">IFERROR(IF(INDEX('Disaggregation Records'!$G$156:$G$517,MATCH(RIGHT(L1615,255),RIGHT('Disaggregation Records'!$D$156:$D$517,255),0))="","",INDEX('Disaggregation Records'!$G$156:$G$517,MATCH(RIGHT(L1615,255),RIGHT('Disaggregation Records'!$D$156:$D$517,255),0))),"")</f>
        <v/>
      </c>
    </row>
    <row r="1616" spans="1:18" ht="20.100000000000001" customHeight="1">
      <c r="B1616" s="571"/>
      <c r="C1616" s="573"/>
      <c r="D1616" s="575"/>
      <c r="E1616" s="575"/>
      <c r="F1616" s="128"/>
      <c r="G1616" s="577"/>
      <c r="H1616" s="540"/>
      <c r="I1616" s="579"/>
      <c r="J1616" s="533"/>
      <c r="L1616" s="126"/>
      <c r="N1616" s="126"/>
      <c r="O1616" s="314"/>
      <c r="P1616" s="310"/>
      <c r="Q1616" s="310"/>
      <c r="R1616" s="314" t="str" cm="1">
        <f t="array" ref="R1616">IFERROR(IF(INDEX('Disaggregation Records'!$G$156:$G$517,MATCH(RIGHT(L1616,255),RIGHT('Disaggregation Records'!$D$156:$D$517,255),0))="","",INDEX('Disaggregation Records'!$G$156:$G$517,MATCH(RIGHT(L1616,255),RIGHT('Disaggregation Records'!$D$156:$D$517,255),0))),"")</f>
        <v/>
      </c>
    </row>
    <row r="1617" spans="1:18" ht="20.100000000000001" customHeight="1">
      <c r="A1617" s="126" t="str">
        <f t="shared" ca="1" si="1781"/>
        <v>a16Dm000000M3yDIAS</v>
      </c>
      <c r="B1617" s="570">
        <v>25</v>
      </c>
      <c r="C1617" s="572" t="str">
        <f ca="1">IFERROR(VLOOKUP(B1617,'Coverage Indicators - Section D'!$A$9:$AO$94,41,FALSE),"")</f>
        <v>HTS-3d Percentage of people who inject drugs that have received an HIV test during the reporting period in KP-specific programs and know their results</v>
      </c>
      <c r="D1617" s="574" t="str">
        <f ca="1">M1617</f>
        <v/>
      </c>
      <c r="E1617" s="574" t="str">
        <f ca="1">N1617</f>
        <v/>
      </c>
      <c r="F1617" s="127"/>
      <c r="G1617" s="576" t="str">
        <f ca="1">IF(OR(INDIRECT("'update Helper'!E"&amp;Q1617)="",F1617&lt;&gt;0,F1618&lt;&gt;0),IF(IFERROR((F1617/F1618),"")="","",(F1617/F1618)),INDIRECT("'update Helper'!E"&amp;Q1617)/100)</f>
        <v/>
      </c>
      <c r="H1617" s="539"/>
      <c r="I1617" s="578"/>
      <c r="J1617" s="532"/>
      <c r="K1617" s="126">
        <f ca="1">IF(AND(EXACT(C1617,C1615),C1615&lt;&gt;0),K1615+1,0)</f>
        <v>18</v>
      </c>
      <c r="L1617" s="126" t="str">
        <f t="shared" ref="L1617" ca="1" si="1815">IF(C1617&lt;&gt;"",C1617&amp;"-"&amp;K1617,"")</f>
        <v>HTS-3d Percentage of people who inject drugs that have received an HIV test during the reporting period in KP-specific programs and know their results-18</v>
      </c>
      <c r="M1617" s="126" t="str">
        <f t="array" aca="1" ref="M1617" ca="1">IFERROR(IF(INDEX('Disaggregation Records'!$E$156:$E$517,MATCH(RIGHT(L1617,255),RIGHT('Disaggregation Records'!$D$156:$D$517,255),0))="","",INDEX('Disaggregation Records'!$E$156:$E$517,MATCH(RIGHT(L1617,255),RIGHT('Disaggregation Records'!$D$156:$D$517,255),0))),"")</f>
        <v/>
      </c>
      <c r="N1617" s="126" t="str">
        <f t="array" aca="1" ref="N1617" ca="1">IFERROR(IF(INDEX('Disaggregation Records'!$F$156:$F$517,MATCH(RIGHT(L1617,255),RIGHT('Disaggregation Records'!$D$156:$D$517,255),0))="","",INDEX('Disaggregation Records'!$F$156:$F$517,MATCH(RIGHT(L1617,255),RIGHT('Disaggregation Records'!$D$156:$D$517,255),0))),"")</f>
        <v/>
      </c>
      <c r="O1617" s="314" t="str">
        <f t="array" aca="1" ref="O1617" ca="1">IFERROR(IF(INDEX('Disaggregation Records'!$H$156:$H$517,MATCH(RIGHT(L1617,255),RIGHT('Disaggregation Records'!$D$156:$D$517,255),0))="","",INDEX('Disaggregation Records'!$H$156:$H$517,MATCH(RIGHT(L1617,255),RIGHT('Disaggregation Records'!$D$156:$D$517,255),0))),"")</f>
        <v/>
      </c>
      <c r="P1617" s="310"/>
      <c r="Q1617" s="310">
        <f t="shared" ref="Q1617" si="1816">Q1615+1</f>
        <v>2110</v>
      </c>
      <c r="R1617" s="314" t="str" cm="1">
        <f t="array" aca="1" ref="R1617" ca="1">IFERROR(IF(INDEX('Disaggregation Records'!$G$156:$G$517,MATCH(RIGHT(L1617,255),RIGHT('Disaggregation Records'!$D$156:$D$517,255),0))="","",INDEX('Disaggregation Records'!$G$156:$G$517,MATCH(RIGHT(L1617,255),RIGHT('Disaggregation Records'!$D$156:$D$517,255),0))),"")</f>
        <v/>
      </c>
    </row>
    <row r="1618" spans="1:18" ht="20.100000000000001" customHeight="1">
      <c r="A1618" s="126"/>
      <c r="B1618" s="571"/>
      <c r="C1618" s="573"/>
      <c r="D1618" s="575"/>
      <c r="E1618" s="575"/>
      <c r="F1618" s="128"/>
      <c r="G1618" s="577"/>
      <c r="H1618" s="540"/>
      <c r="I1618" s="579"/>
      <c r="J1618" s="533"/>
      <c r="L1618" s="126"/>
      <c r="N1618" s="126"/>
      <c r="O1618" s="314"/>
      <c r="P1618" s="310"/>
      <c r="Q1618" s="310"/>
      <c r="R1618" s="314" t="str" cm="1">
        <f t="array" ref="R1618">IFERROR(IF(INDEX('Disaggregation Records'!$G$156:$G$517,MATCH(RIGHT(L1618,255),RIGHT('Disaggregation Records'!$D$156:$D$517,255),0))="","",INDEX('Disaggregation Records'!$G$156:$G$517,MATCH(RIGHT(L1618,255),RIGHT('Disaggregation Records'!$D$156:$D$517,255),0))),"")</f>
        <v/>
      </c>
    </row>
    <row r="1619" spans="1:18" ht="20.100000000000001" customHeight="1">
      <c r="A1619" s="126" t="str">
        <f t="shared" ca="1" si="1784"/>
        <v>a16Dm000000M3yEIAS</v>
      </c>
      <c r="B1619" s="570">
        <v>25</v>
      </c>
      <c r="C1619" s="572" t="str">
        <f ca="1">IFERROR(VLOOKUP(B1619,'Coverage Indicators - Section D'!$A$9:$AO$94,41,FALSE),"")</f>
        <v>HTS-3d Percentage of people who inject drugs that have received an HIV test during the reporting period in KP-specific programs and know their results</v>
      </c>
      <c r="D1619" s="574" t="str">
        <f ca="1">M1619</f>
        <v/>
      </c>
      <c r="E1619" s="574" t="str">
        <f ca="1">N1619</f>
        <v/>
      </c>
      <c r="F1619" s="127"/>
      <c r="G1619" s="576" t="str">
        <f ca="1">IF(OR(INDIRECT("'update Helper'!E"&amp;Q1619)="",F1619&lt;&gt;0,F1620&lt;&gt;0),IF(IFERROR((F1619/F1620),"")="","",(F1619/F1620)),INDIRECT("'update Helper'!E"&amp;Q1619)/100)</f>
        <v/>
      </c>
      <c r="H1619" s="539"/>
      <c r="I1619" s="578"/>
      <c r="J1619" s="532"/>
      <c r="K1619" s="126">
        <f ca="1">IF(AND(EXACT(C1619,C1617),C1617&lt;&gt;0),K1617+1,0)</f>
        <v>19</v>
      </c>
      <c r="L1619" s="126" t="str">
        <f t="shared" ref="L1619" ca="1" si="1817">IF(C1619&lt;&gt;"",C1619&amp;"-"&amp;K1619,"")</f>
        <v>HTS-3d Percentage of people who inject drugs that have received an HIV test during the reporting period in KP-specific programs and know their results-19</v>
      </c>
      <c r="M1619" s="126" t="str">
        <f t="array" aca="1" ref="M1619" ca="1">IFERROR(IF(INDEX('Disaggregation Records'!$E$156:$E$517,MATCH(RIGHT(L1619,255),RIGHT('Disaggregation Records'!$D$156:$D$517,255),0))="","",INDEX('Disaggregation Records'!$E$156:$E$517,MATCH(RIGHT(L1619,255),RIGHT('Disaggregation Records'!$D$156:$D$517,255),0))),"")</f>
        <v/>
      </c>
      <c r="N1619" s="126" t="str">
        <f t="array" aca="1" ref="N1619" ca="1">IFERROR(IF(INDEX('Disaggregation Records'!$F$156:$F$517,MATCH(RIGHT(L1619,255),RIGHT('Disaggregation Records'!$D$156:$D$517,255),0))="","",INDEX('Disaggregation Records'!$F$156:$F$517,MATCH(RIGHT(L1619,255),RIGHT('Disaggregation Records'!$D$156:$D$517,255),0))),"")</f>
        <v/>
      </c>
      <c r="O1619" s="314" t="str">
        <f t="array" aca="1" ref="O1619" ca="1">IFERROR(IF(INDEX('Disaggregation Records'!$H$156:$H$517,MATCH(RIGHT(L1619,255),RIGHT('Disaggregation Records'!$D$156:$D$517,255),0))="","",INDEX('Disaggregation Records'!$H$156:$H$517,MATCH(RIGHT(L1619,255),RIGHT('Disaggregation Records'!$D$156:$D$517,255),0))),"")</f>
        <v/>
      </c>
      <c r="P1619" s="310"/>
      <c r="Q1619" s="310">
        <f t="shared" ref="Q1619" si="1818">Q1617+1</f>
        <v>2111</v>
      </c>
      <c r="R1619" s="314" t="str" cm="1">
        <f t="array" aca="1" ref="R1619" ca="1">IFERROR(IF(INDEX('Disaggregation Records'!$G$156:$G$517,MATCH(RIGHT(L1619,255),RIGHT('Disaggregation Records'!$D$156:$D$517,255),0))="","",INDEX('Disaggregation Records'!$G$156:$G$517,MATCH(RIGHT(L1619,255),RIGHT('Disaggregation Records'!$D$156:$D$517,255),0))),"")</f>
        <v/>
      </c>
    </row>
    <row r="1620" spans="1:18" ht="20.100000000000001" customHeight="1">
      <c r="B1620" s="571"/>
      <c r="C1620" s="573"/>
      <c r="D1620" s="575"/>
      <c r="E1620" s="575"/>
      <c r="F1620" s="128"/>
      <c r="G1620" s="577"/>
      <c r="H1620" s="540"/>
      <c r="I1620" s="579"/>
      <c r="J1620" s="533"/>
      <c r="L1620" s="126"/>
      <c r="N1620" s="126"/>
      <c r="O1620" s="314"/>
      <c r="P1620" s="310"/>
      <c r="Q1620" s="310"/>
      <c r="R1620" s="314" t="str" cm="1">
        <f t="array" ref="R1620">IFERROR(IF(INDEX('Disaggregation Records'!$G$156:$G$517,MATCH(RIGHT(L1620,255),RIGHT('Disaggregation Records'!$D$156:$D$517,255),0))="","",INDEX('Disaggregation Records'!$G$156:$G$517,MATCH(RIGHT(L1620,255),RIGHT('Disaggregation Records'!$D$156:$D$517,255),0))),"")</f>
        <v/>
      </c>
    </row>
    <row r="1621" spans="1:18" ht="20.100000000000001" customHeight="1">
      <c r="A1621" s="126" t="str">
        <f t="shared" ca="1" si="1781"/>
        <v>a16Dm000000M3yFIAS</v>
      </c>
      <c r="B1621" s="570">
        <v>26</v>
      </c>
      <c r="C1621" s="572" t="str">
        <f ca="1">IFERROR(VLOOKUP(B1621,'Coverage Indicators - Section D'!$A$9:$AO$94,41,FALSE),"")</f>
        <v>HTS-3f Number of people in prisons and other closed settings that have received an HIV test during the reporting period and know their results</v>
      </c>
      <c r="D1621" s="574" t="str">
        <f ca="1">M1621</f>
        <v>Gender</v>
      </c>
      <c r="E1621" s="574" t="str">
        <f ca="1">N1621</f>
        <v>Male</v>
      </c>
      <c r="F1621" s="127"/>
      <c r="G1621" s="576" t="str">
        <f ca="1">IF(OR(INDIRECT("'update Helper'!E"&amp;Q1621)="",F1621&lt;&gt;0,F1622&lt;&gt;0),IF(IFERROR((F1621/F1622),"")="","",(F1621/F1622)),INDIRECT("'update Helper'!E"&amp;Q1621)/100)</f>
        <v/>
      </c>
      <c r="H1621" s="539"/>
      <c r="I1621" s="578"/>
      <c r="J1621" s="532" t="s">
        <v>2301</v>
      </c>
      <c r="K1621" s="126">
        <f ca="1">IF(AND(EXACT(C1621,C1619),C1619&lt;&gt;0),K1619+1,0)</f>
        <v>0</v>
      </c>
      <c r="L1621" s="126" t="str">
        <f t="shared" ref="L1621" ca="1" si="1819">IF(C1621&lt;&gt;"",C1621&amp;"-"&amp;K1621,"")</f>
        <v>HTS-3f Number of people in prisons and other closed settings that have received an HIV test during the reporting period and know their results-0</v>
      </c>
      <c r="M1621" s="126" t="str">
        <f t="array" aca="1" ref="M1621" ca="1">IFERROR(IF(INDEX('Disaggregation Records'!$E$156:$E$517,MATCH(RIGHT(L1621,255),RIGHT('Disaggregation Records'!$D$156:$D$517,255),0))="","",INDEX('Disaggregation Records'!$E$156:$E$517,MATCH(RIGHT(L1621,255),RIGHT('Disaggregation Records'!$D$156:$D$517,255),0))),"")</f>
        <v>Gender</v>
      </c>
      <c r="N1621" s="126" t="str">
        <f t="array" aca="1" ref="N1621" ca="1">IFERROR(IF(INDEX('Disaggregation Records'!$F$156:$F$517,MATCH(RIGHT(L1621,255),RIGHT('Disaggregation Records'!$D$156:$D$517,255),0))="","",INDEX('Disaggregation Records'!$F$156:$F$517,MATCH(RIGHT(L1621,255),RIGHT('Disaggregation Records'!$D$156:$D$517,255),0))),"")</f>
        <v>Male</v>
      </c>
      <c r="O1621" s="314" t="str">
        <f t="array" aca="1" ref="O1621" ca="1">IFERROR(IF(INDEX('Disaggregation Records'!$H$156:$H$517,MATCH(RIGHT(L1621,255),RIGHT('Disaggregation Records'!$D$156:$D$517,255),0))="","",INDEX('Disaggregation Records'!$H$156:$H$517,MATCH(RIGHT(L1621,255),RIGHT('Disaggregation Records'!$D$156:$D$517,255),0))),"")</f>
        <v>IDR-01288</v>
      </c>
      <c r="P1621" s="314"/>
      <c r="Q1621" s="310">
        <f t="shared" ref="Q1621" si="1820">Q1619+1</f>
        <v>2112</v>
      </c>
      <c r="R1621" s="314" t="str" cm="1">
        <f t="array" aca="1" ref="R1621" ca="1">IFERROR(IF(INDEX('Disaggregation Records'!$G$156:$G$517,MATCH(RIGHT(L1621,255),RIGHT('Disaggregation Records'!$D$156:$D$517,255),0))="","",INDEX('Disaggregation Records'!$G$156:$G$517,MATCH(RIGHT(L1621,255),RIGHT('Disaggregation Records'!$D$156:$D$517,255),0))),"")</f>
        <v>a1LDm000000Cb3WMAS</v>
      </c>
    </row>
    <row r="1622" spans="1:18" ht="20.100000000000001" customHeight="1">
      <c r="A1622" s="126"/>
      <c r="B1622" s="571"/>
      <c r="C1622" s="573"/>
      <c r="D1622" s="575"/>
      <c r="E1622" s="575"/>
      <c r="F1622" s="128"/>
      <c r="G1622" s="577"/>
      <c r="H1622" s="540"/>
      <c r="I1622" s="579"/>
      <c r="J1622" s="533"/>
      <c r="K1622" s="126"/>
      <c r="L1622" s="126"/>
      <c r="M1622" s="126"/>
      <c r="N1622" s="126"/>
      <c r="O1622" s="314"/>
      <c r="P1622" s="314"/>
      <c r="Q1622" s="310"/>
      <c r="R1622" s="314" t="str" cm="1">
        <f t="array" ref="R1622">IFERROR(IF(INDEX('Disaggregation Records'!$G$156:$G$517,MATCH(RIGHT(L1622,255),RIGHT('Disaggregation Records'!$D$156:$D$517,255),0))="","",INDEX('Disaggregation Records'!$G$156:$G$517,MATCH(RIGHT(L1622,255),RIGHT('Disaggregation Records'!$D$156:$D$517,255),0))),"")</f>
        <v/>
      </c>
    </row>
    <row r="1623" spans="1:18" ht="20.100000000000001" customHeight="1">
      <c r="A1623" s="126" t="str">
        <f t="shared" ca="1" si="1784"/>
        <v>a16Dm000000M3yGIAS</v>
      </c>
      <c r="B1623" s="570">
        <v>26</v>
      </c>
      <c r="C1623" s="572" t="str">
        <f ca="1">IFERROR(VLOOKUP(B1623,'Coverage Indicators - Section D'!$A$9:$AO$94,41,FALSE),"")</f>
        <v>HTS-3f Number of people in prisons and other closed settings that have received an HIV test during the reporting period and know their results</v>
      </c>
      <c r="D1623" s="574" t="str">
        <f ca="1">M1623</f>
        <v>Gender</v>
      </c>
      <c r="E1623" s="574" t="str">
        <f ca="1">N1623</f>
        <v>Female</v>
      </c>
      <c r="F1623" s="127"/>
      <c r="G1623" s="576" t="str">
        <f ca="1">IF(OR(INDIRECT("'update Helper'!E"&amp;Q1623)="",F1623&lt;&gt;0,F1624&lt;&gt;0),IF(IFERROR((F1623/F1624),"")="","",(F1623/F1624)),INDIRECT("'update Helper'!E"&amp;Q1623)/100)</f>
        <v/>
      </c>
      <c r="H1623" s="539"/>
      <c r="I1623" s="578"/>
      <c r="J1623" s="532" t="s">
        <v>2301</v>
      </c>
      <c r="K1623" s="126">
        <f ca="1">IF(AND(EXACT(C1623,C1621),C1621&lt;&gt;0),K1621+1,0)</f>
        <v>1</v>
      </c>
      <c r="L1623" s="126" t="str">
        <f t="shared" ref="L1623" ca="1" si="1821">IF(C1623&lt;&gt;"",C1623&amp;"-"&amp;K1623,"")</f>
        <v>HTS-3f Number of people in prisons and other closed settings that have received an HIV test during the reporting period and know their results-1</v>
      </c>
      <c r="M1623" s="126" t="str">
        <f t="array" aca="1" ref="M1623" ca="1">IFERROR(IF(INDEX('Disaggregation Records'!$E$156:$E$517,MATCH(RIGHT(L1623,255),RIGHT('Disaggregation Records'!$D$156:$D$517,255),0))="","",INDEX('Disaggregation Records'!$E$156:$E$517,MATCH(RIGHT(L1623,255),RIGHT('Disaggregation Records'!$D$156:$D$517,255),0))),"")</f>
        <v>Gender</v>
      </c>
      <c r="N1623" s="126" t="str">
        <f t="array" aca="1" ref="N1623" ca="1">IFERROR(IF(INDEX('Disaggregation Records'!$F$156:$F$517,MATCH(RIGHT(L1623,255),RIGHT('Disaggregation Records'!$D$156:$D$517,255),0))="","",INDEX('Disaggregation Records'!$F$156:$F$517,MATCH(RIGHT(L1623,255),RIGHT('Disaggregation Records'!$D$156:$D$517,255),0))),"")</f>
        <v>Female</v>
      </c>
      <c r="O1623" s="314" t="str">
        <f t="array" aca="1" ref="O1623" ca="1">IFERROR(IF(INDEX('Disaggregation Records'!$H$156:$H$517,MATCH(RIGHT(L1623,255),RIGHT('Disaggregation Records'!$D$156:$D$517,255),0))="","",INDEX('Disaggregation Records'!$H$156:$H$517,MATCH(RIGHT(L1623,255),RIGHT('Disaggregation Records'!$D$156:$D$517,255),0))),"")</f>
        <v>IDR-01287</v>
      </c>
      <c r="P1623" s="314"/>
      <c r="Q1623" s="310">
        <f t="shared" ref="Q1623" si="1822">Q1621+1</f>
        <v>2113</v>
      </c>
      <c r="R1623" s="314" t="str" cm="1">
        <f t="array" aca="1" ref="R1623" ca="1">IFERROR(IF(INDEX('Disaggregation Records'!$G$156:$G$517,MATCH(RIGHT(L1623,255),RIGHT('Disaggregation Records'!$D$156:$D$517,255),0))="","",INDEX('Disaggregation Records'!$G$156:$G$517,MATCH(RIGHT(L1623,255),RIGHT('Disaggregation Records'!$D$156:$D$517,255),0))),"")</f>
        <v>a1LDm000000Cb3VMAS</v>
      </c>
    </row>
    <row r="1624" spans="1:18" ht="20.100000000000001" customHeight="1">
      <c r="B1624" s="571"/>
      <c r="C1624" s="573"/>
      <c r="D1624" s="575"/>
      <c r="E1624" s="575"/>
      <c r="F1624" s="128"/>
      <c r="G1624" s="577"/>
      <c r="H1624" s="540"/>
      <c r="I1624" s="579"/>
      <c r="J1624" s="533"/>
      <c r="K1624" s="126"/>
      <c r="L1624" s="126"/>
      <c r="M1624" s="126"/>
      <c r="N1624" s="126"/>
      <c r="O1624" s="314"/>
      <c r="P1624" s="314"/>
      <c r="Q1624" s="310"/>
      <c r="R1624" s="314" t="str" cm="1">
        <f t="array" ref="R1624">IFERROR(IF(INDEX('Disaggregation Records'!$G$156:$G$517,MATCH(RIGHT(L1624,255),RIGHT('Disaggregation Records'!$D$156:$D$517,255),0))="","",INDEX('Disaggregation Records'!$G$156:$G$517,MATCH(RIGHT(L1624,255),RIGHT('Disaggregation Records'!$D$156:$D$517,255),0))),"")</f>
        <v/>
      </c>
    </row>
    <row r="1625" spans="1:18" ht="20.100000000000001" customHeight="1">
      <c r="A1625" s="126" t="str">
        <f t="shared" ca="1" si="1781"/>
        <v>a16Dm000000M3yHIAS</v>
      </c>
      <c r="B1625" s="570">
        <v>26</v>
      </c>
      <c r="C1625" s="572" t="str">
        <f ca="1">IFERROR(VLOOKUP(B1625,'Coverage Indicators - Section D'!$A$9:$AO$94,41,FALSE),"")</f>
        <v>HTS-3f Number of people in prisons and other closed settings that have received an HIV test during the reporting period and know their results</v>
      </c>
      <c r="D1625" s="574" t="str">
        <f ca="1">M1625</f>
        <v/>
      </c>
      <c r="E1625" s="574" t="str">
        <f ca="1">N1625</f>
        <v/>
      </c>
      <c r="F1625" s="127"/>
      <c r="G1625" s="576" t="str">
        <f ca="1">IF(OR(INDIRECT("'update Helper'!E"&amp;Q1625)="",F1625&lt;&gt;0,F1626&lt;&gt;0),IF(IFERROR((F1625/F1626),"")="","",(F1625/F1626)),INDIRECT("'update Helper'!E"&amp;Q1625)/100)</f>
        <v/>
      </c>
      <c r="H1625" s="539"/>
      <c r="I1625" s="578"/>
      <c r="J1625" s="532"/>
      <c r="K1625" s="126">
        <f ca="1">IF(AND(EXACT(C1625,C1623),C1623&lt;&gt;0),K1623+1,0)</f>
        <v>2</v>
      </c>
      <c r="L1625" s="126" t="str">
        <f t="shared" ref="L1625" ca="1" si="1823">IF(C1625&lt;&gt;"",C1625&amp;"-"&amp;K1625,"")</f>
        <v>HTS-3f Number of people in prisons and other closed settings that have received an HIV test during the reporting period and know their results-2</v>
      </c>
      <c r="M1625" s="126" t="str">
        <f t="array" aca="1" ref="M1625" ca="1">IFERROR(IF(INDEX('Disaggregation Records'!$E$156:$E$517,MATCH(RIGHT(L1625,255),RIGHT('Disaggregation Records'!$D$156:$D$517,255),0))="","",INDEX('Disaggregation Records'!$E$156:$E$517,MATCH(RIGHT(L1625,255),RIGHT('Disaggregation Records'!$D$156:$D$517,255),0))),"")</f>
        <v/>
      </c>
      <c r="N1625" s="126" t="str">
        <f t="array" aca="1" ref="N1625" ca="1">IFERROR(IF(INDEX('Disaggregation Records'!$F$156:$F$517,MATCH(RIGHT(L1625,255),RIGHT('Disaggregation Records'!$D$156:$D$517,255),0))="","",INDEX('Disaggregation Records'!$F$156:$F$517,MATCH(RIGHT(L1625,255),RIGHT('Disaggregation Records'!$D$156:$D$517,255),0))),"")</f>
        <v/>
      </c>
      <c r="O1625" s="314" t="str">
        <f t="array" aca="1" ref="O1625" ca="1">IFERROR(IF(INDEX('Disaggregation Records'!$H$156:$H$517,MATCH(RIGHT(L1625,255),RIGHT('Disaggregation Records'!$D$156:$D$517,255),0))="","",INDEX('Disaggregation Records'!$H$156:$H$517,MATCH(RIGHT(L1625,255),RIGHT('Disaggregation Records'!$D$156:$D$517,255),0))),"")</f>
        <v/>
      </c>
      <c r="P1625" s="310"/>
      <c r="Q1625" s="310">
        <f t="shared" ref="Q1625" si="1824">Q1623+1</f>
        <v>2114</v>
      </c>
      <c r="R1625" s="314" t="str" cm="1">
        <f t="array" aca="1" ref="R1625" ca="1">IFERROR(IF(INDEX('Disaggregation Records'!$G$156:$G$517,MATCH(RIGHT(L1625,255),RIGHT('Disaggregation Records'!$D$156:$D$517,255),0))="","",INDEX('Disaggregation Records'!$G$156:$G$517,MATCH(RIGHT(L1625,255),RIGHT('Disaggregation Records'!$D$156:$D$517,255),0))),"")</f>
        <v/>
      </c>
    </row>
    <row r="1626" spans="1:18" ht="20.100000000000001" customHeight="1">
      <c r="A1626" s="126"/>
      <c r="B1626" s="571"/>
      <c r="C1626" s="573"/>
      <c r="D1626" s="575"/>
      <c r="E1626" s="575"/>
      <c r="F1626" s="128"/>
      <c r="G1626" s="577"/>
      <c r="H1626" s="540"/>
      <c r="I1626" s="579"/>
      <c r="J1626" s="533"/>
      <c r="L1626" s="126"/>
      <c r="N1626" s="126"/>
      <c r="O1626" s="314"/>
      <c r="P1626" s="310"/>
      <c r="Q1626" s="310"/>
      <c r="R1626" s="314" t="str" cm="1">
        <f t="array" ref="R1626">IFERROR(IF(INDEX('Disaggregation Records'!$G$156:$G$517,MATCH(RIGHT(L1626,255),RIGHT('Disaggregation Records'!$D$156:$D$517,255),0))="","",INDEX('Disaggregation Records'!$G$156:$G$517,MATCH(RIGHT(L1626,255),RIGHT('Disaggregation Records'!$D$156:$D$517,255),0))),"")</f>
        <v/>
      </c>
    </row>
    <row r="1627" spans="1:18" ht="20.100000000000001" customHeight="1">
      <c r="A1627" s="126" t="str">
        <f t="shared" ca="1" si="1784"/>
        <v>a16Dm000000M3yIIAS</v>
      </c>
      <c r="B1627" s="570">
        <v>26</v>
      </c>
      <c r="C1627" s="572" t="str">
        <f ca="1">IFERROR(VLOOKUP(B1627,'Coverage Indicators - Section D'!$A$9:$AO$94,41,FALSE),"")</f>
        <v>HTS-3f Number of people in prisons and other closed settings that have received an HIV test during the reporting period and know their results</v>
      </c>
      <c r="D1627" s="574" t="str">
        <f ca="1">M1627</f>
        <v/>
      </c>
      <c r="E1627" s="574" t="str">
        <f ca="1">N1627</f>
        <v/>
      </c>
      <c r="F1627" s="127"/>
      <c r="G1627" s="576" t="str">
        <f ca="1">IF(OR(INDIRECT("'update Helper'!E"&amp;Q1627)="",F1627&lt;&gt;0,F1628&lt;&gt;0),IF(IFERROR((F1627/F1628),"")="","",(F1627/F1628)),INDIRECT("'update Helper'!E"&amp;Q1627)/100)</f>
        <v/>
      </c>
      <c r="H1627" s="539"/>
      <c r="I1627" s="578"/>
      <c r="J1627" s="532"/>
      <c r="K1627" s="126">
        <f ca="1">IF(AND(EXACT(C1627,C1625),C1625&lt;&gt;0),K1625+1,0)</f>
        <v>3</v>
      </c>
      <c r="L1627" s="126" t="str">
        <f t="shared" ref="L1627" ca="1" si="1825">IF(C1627&lt;&gt;"",C1627&amp;"-"&amp;K1627,"")</f>
        <v>HTS-3f Number of people in prisons and other closed settings that have received an HIV test during the reporting period and know their results-3</v>
      </c>
      <c r="M1627" s="126" t="str">
        <f t="array" aca="1" ref="M1627" ca="1">IFERROR(IF(INDEX('Disaggregation Records'!$E$156:$E$517,MATCH(RIGHT(L1627,255),RIGHT('Disaggregation Records'!$D$156:$D$517,255),0))="","",INDEX('Disaggregation Records'!$E$156:$E$517,MATCH(RIGHT(L1627,255),RIGHT('Disaggregation Records'!$D$156:$D$517,255),0))),"")</f>
        <v/>
      </c>
      <c r="N1627" s="126" t="str">
        <f t="array" aca="1" ref="N1627" ca="1">IFERROR(IF(INDEX('Disaggregation Records'!$F$156:$F$517,MATCH(RIGHT(L1627,255),RIGHT('Disaggregation Records'!$D$156:$D$517,255),0))="","",INDEX('Disaggregation Records'!$F$156:$F$517,MATCH(RIGHT(L1627,255),RIGHT('Disaggregation Records'!$D$156:$D$517,255),0))),"")</f>
        <v/>
      </c>
      <c r="O1627" s="314" t="str">
        <f t="array" aca="1" ref="O1627" ca="1">IFERROR(IF(INDEX('Disaggregation Records'!$H$156:$H$517,MATCH(RIGHT(L1627,255),RIGHT('Disaggregation Records'!$D$156:$D$517,255),0))="","",INDEX('Disaggregation Records'!$H$156:$H$517,MATCH(RIGHT(L1627,255),RIGHT('Disaggregation Records'!$D$156:$D$517,255),0))),"")</f>
        <v/>
      </c>
      <c r="P1627" s="310"/>
      <c r="Q1627" s="310">
        <f t="shared" ref="Q1627" si="1826">Q1625+1</f>
        <v>2115</v>
      </c>
      <c r="R1627" s="314" t="str" cm="1">
        <f t="array" aca="1" ref="R1627" ca="1">IFERROR(IF(INDEX('Disaggregation Records'!$G$156:$G$517,MATCH(RIGHT(L1627,255),RIGHT('Disaggregation Records'!$D$156:$D$517,255),0))="","",INDEX('Disaggregation Records'!$G$156:$G$517,MATCH(RIGHT(L1627,255),RIGHT('Disaggregation Records'!$D$156:$D$517,255),0))),"")</f>
        <v/>
      </c>
    </row>
    <row r="1628" spans="1:18" ht="20.100000000000001" customHeight="1">
      <c r="B1628" s="571"/>
      <c r="C1628" s="573"/>
      <c r="D1628" s="575"/>
      <c r="E1628" s="575"/>
      <c r="F1628" s="128"/>
      <c r="G1628" s="577"/>
      <c r="H1628" s="540"/>
      <c r="I1628" s="579"/>
      <c r="J1628" s="533"/>
      <c r="L1628" s="126"/>
      <c r="N1628" s="126"/>
      <c r="O1628" s="314"/>
      <c r="P1628" s="310"/>
      <c r="Q1628" s="310"/>
      <c r="R1628" s="314" t="str" cm="1">
        <f t="array" ref="R1628">IFERROR(IF(INDEX('Disaggregation Records'!$G$156:$G$517,MATCH(RIGHT(L1628,255),RIGHT('Disaggregation Records'!$D$156:$D$517,255),0))="","",INDEX('Disaggregation Records'!$G$156:$G$517,MATCH(RIGHT(L1628,255),RIGHT('Disaggregation Records'!$D$156:$D$517,255),0))),"")</f>
        <v/>
      </c>
    </row>
    <row r="1629" spans="1:18" ht="20.100000000000001" customHeight="1">
      <c r="A1629" s="126" t="str">
        <f t="shared" ca="1" si="1781"/>
        <v>a16Dm000000M3yJIAS</v>
      </c>
      <c r="B1629" s="570">
        <v>26</v>
      </c>
      <c r="C1629" s="572" t="str">
        <f ca="1">IFERROR(VLOOKUP(B1629,'Coverage Indicators - Section D'!$A$9:$AO$94,41,FALSE),"")</f>
        <v>HTS-3f Number of people in prisons and other closed settings that have received an HIV test during the reporting period and know their results</v>
      </c>
      <c r="D1629" s="574" t="str">
        <f ca="1">M1629</f>
        <v/>
      </c>
      <c r="E1629" s="574" t="str">
        <f ca="1">N1629</f>
        <v/>
      </c>
      <c r="F1629" s="127"/>
      <c r="G1629" s="576" t="str">
        <f ca="1">IF(OR(INDIRECT("'update Helper'!E"&amp;Q1629)="",F1629&lt;&gt;0,F1630&lt;&gt;0),IF(IFERROR((F1629/F1630),"")="","",(F1629/F1630)),INDIRECT("'update Helper'!E"&amp;Q1629)/100)</f>
        <v/>
      </c>
      <c r="H1629" s="539"/>
      <c r="I1629" s="578"/>
      <c r="J1629" s="532"/>
      <c r="K1629" s="126">
        <f ca="1">IF(AND(EXACT(C1629,C1627),C1627&lt;&gt;0),K1627+1,0)</f>
        <v>4</v>
      </c>
      <c r="L1629" s="126" t="str">
        <f t="shared" ref="L1629" ca="1" si="1827">IF(C1629&lt;&gt;"",C1629&amp;"-"&amp;K1629,"")</f>
        <v>HTS-3f Number of people in prisons and other closed settings that have received an HIV test during the reporting period and know their results-4</v>
      </c>
      <c r="M1629" s="126" t="str">
        <f t="array" aca="1" ref="M1629" ca="1">IFERROR(IF(INDEX('Disaggregation Records'!$E$156:$E$517,MATCH(RIGHT(L1629,255),RIGHT('Disaggregation Records'!$D$156:$D$517,255),0))="","",INDEX('Disaggregation Records'!$E$156:$E$517,MATCH(RIGHT(L1629,255),RIGHT('Disaggregation Records'!$D$156:$D$517,255),0))),"")</f>
        <v/>
      </c>
      <c r="N1629" s="126" t="str">
        <f t="array" aca="1" ref="N1629" ca="1">IFERROR(IF(INDEX('Disaggregation Records'!$F$156:$F$517,MATCH(RIGHT(L1629,255),RIGHT('Disaggregation Records'!$D$156:$D$517,255),0))="","",INDEX('Disaggregation Records'!$F$156:$F$517,MATCH(RIGHT(L1629,255),RIGHT('Disaggregation Records'!$D$156:$D$517,255),0))),"")</f>
        <v/>
      </c>
      <c r="O1629" s="314" t="str">
        <f t="array" aca="1" ref="O1629" ca="1">IFERROR(IF(INDEX('Disaggregation Records'!$H$156:$H$517,MATCH(RIGHT(L1629,255),RIGHT('Disaggregation Records'!$D$156:$D$517,255),0))="","",INDEX('Disaggregation Records'!$H$156:$H$517,MATCH(RIGHT(L1629,255),RIGHT('Disaggregation Records'!$D$156:$D$517,255),0))),"")</f>
        <v/>
      </c>
      <c r="P1629" s="310"/>
      <c r="Q1629" s="310">
        <f t="shared" ref="Q1629" si="1828">Q1627+1</f>
        <v>2116</v>
      </c>
      <c r="R1629" s="314" t="str" cm="1">
        <f t="array" aca="1" ref="R1629" ca="1">IFERROR(IF(INDEX('Disaggregation Records'!$G$156:$G$517,MATCH(RIGHT(L1629,255),RIGHT('Disaggregation Records'!$D$156:$D$517,255),0))="","",INDEX('Disaggregation Records'!$G$156:$G$517,MATCH(RIGHT(L1629,255),RIGHT('Disaggregation Records'!$D$156:$D$517,255),0))),"")</f>
        <v/>
      </c>
    </row>
    <row r="1630" spans="1:18" ht="20.100000000000001" customHeight="1">
      <c r="A1630" s="126"/>
      <c r="B1630" s="571"/>
      <c r="C1630" s="573"/>
      <c r="D1630" s="575"/>
      <c r="E1630" s="575"/>
      <c r="F1630" s="128"/>
      <c r="G1630" s="577"/>
      <c r="H1630" s="540"/>
      <c r="I1630" s="579"/>
      <c r="J1630" s="533"/>
      <c r="L1630" s="126"/>
      <c r="N1630" s="126"/>
      <c r="O1630" s="314"/>
      <c r="P1630" s="310"/>
      <c r="Q1630" s="310"/>
      <c r="R1630" s="314" t="str" cm="1">
        <f t="array" ref="R1630">IFERROR(IF(INDEX('Disaggregation Records'!$G$156:$G$517,MATCH(RIGHT(L1630,255),RIGHT('Disaggregation Records'!$D$156:$D$517,255),0))="","",INDEX('Disaggregation Records'!$G$156:$G$517,MATCH(RIGHT(L1630,255),RIGHT('Disaggregation Records'!$D$156:$D$517,255),0))),"")</f>
        <v/>
      </c>
    </row>
    <row r="1631" spans="1:18" ht="20.100000000000001" customHeight="1">
      <c r="A1631" s="126" t="str">
        <f t="shared" ca="1" si="1784"/>
        <v>a16Dm000000M3yKIAS</v>
      </c>
      <c r="B1631" s="570">
        <v>26</v>
      </c>
      <c r="C1631" s="572" t="str">
        <f ca="1">IFERROR(VLOOKUP(B1631,'Coverage Indicators - Section D'!$A$9:$AO$94,41,FALSE),"")</f>
        <v>HTS-3f Number of people in prisons and other closed settings that have received an HIV test during the reporting period and know their results</v>
      </c>
      <c r="D1631" s="574" t="str">
        <f ca="1">M1631</f>
        <v/>
      </c>
      <c r="E1631" s="574" t="str">
        <f ca="1">N1631</f>
        <v/>
      </c>
      <c r="F1631" s="127"/>
      <c r="G1631" s="576" t="str">
        <f ca="1">IF(OR(INDIRECT("'update Helper'!E"&amp;Q1631)="",F1631&lt;&gt;0,F1632&lt;&gt;0),IF(IFERROR((F1631/F1632),"")="","",(F1631/F1632)),INDIRECT("'update Helper'!E"&amp;Q1631)/100)</f>
        <v/>
      </c>
      <c r="H1631" s="539"/>
      <c r="I1631" s="578"/>
      <c r="J1631" s="532"/>
      <c r="K1631" s="126">
        <f ca="1">IF(AND(EXACT(C1631,C1629),C1629&lt;&gt;0),K1629+1,0)</f>
        <v>5</v>
      </c>
      <c r="L1631" s="126" t="str">
        <f t="shared" ref="L1631" ca="1" si="1829">IF(C1631&lt;&gt;"",C1631&amp;"-"&amp;K1631,"")</f>
        <v>HTS-3f Number of people in prisons and other closed settings that have received an HIV test during the reporting period and know their results-5</v>
      </c>
      <c r="M1631" s="126" t="str">
        <f t="array" aca="1" ref="M1631" ca="1">IFERROR(IF(INDEX('Disaggregation Records'!$E$156:$E$517,MATCH(RIGHT(L1631,255),RIGHT('Disaggregation Records'!$D$156:$D$517,255),0))="","",INDEX('Disaggregation Records'!$E$156:$E$517,MATCH(RIGHT(L1631,255),RIGHT('Disaggregation Records'!$D$156:$D$517,255),0))),"")</f>
        <v/>
      </c>
      <c r="N1631" s="126" t="str">
        <f t="array" aca="1" ref="N1631" ca="1">IFERROR(IF(INDEX('Disaggregation Records'!$F$156:$F$517,MATCH(RIGHT(L1631,255),RIGHT('Disaggregation Records'!$D$156:$D$517,255),0))="","",INDEX('Disaggregation Records'!$F$156:$F$517,MATCH(RIGHT(L1631,255),RIGHT('Disaggregation Records'!$D$156:$D$517,255),0))),"")</f>
        <v/>
      </c>
      <c r="O1631" s="314" t="str">
        <f t="array" aca="1" ref="O1631" ca="1">IFERROR(IF(INDEX('Disaggregation Records'!$H$156:$H$517,MATCH(RIGHT(L1631,255),RIGHT('Disaggregation Records'!$D$156:$D$517,255),0))="","",INDEX('Disaggregation Records'!$H$156:$H$517,MATCH(RIGHT(L1631,255),RIGHT('Disaggregation Records'!$D$156:$D$517,255),0))),"")</f>
        <v/>
      </c>
      <c r="P1631" s="314"/>
      <c r="Q1631" s="310">
        <f t="shared" ref="Q1631" si="1830">Q1629+1</f>
        <v>2117</v>
      </c>
      <c r="R1631" s="314" t="str" cm="1">
        <f t="array" aca="1" ref="R1631" ca="1">IFERROR(IF(INDEX('Disaggregation Records'!$G$156:$G$517,MATCH(RIGHT(L1631,255),RIGHT('Disaggregation Records'!$D$156:$D$517,255),0))="","",INDEX('Disaggregation Records'!$G$156:$G$517,MATCH(RIGHT(L1631,255),RIGHT('Disaggregation Records'!$D$156:$D$517,255),0))),"")</f>
        <v/>
      </c>
    </row>
    <row r="1632" spans="1:18" ht="20.100000000000001" customHeight="1">
      <c r="B1632" s="571"/>
      <c r="C1632" s="573"/>
      <c r="D1632" s="575"/>
      <c r="E1632" s="575"/>
      <c r="F1632" s="128"/>
      <c r="G1632" s="577"/>
      <c r="H1632" s="540"/>
      <c r="I1632" s="579"/>
      <c r="J1632" s="533"/>
      <c r="K1632" s="126"/>
      <c r="L1632" s="126"/>
      <c r="M1632" s="126"/>
      <c r="N1632" s="126"/>
      <c r="O1632" s="314"/>
      <c r="P1632" s="314"/>
      <c r="Q1632" s="310"/>
      <c r="R1632" s="314" t="str" cm="1">
        <f t="array" ref="R1632">IFERROR(IF(INDEX('Disaggregation Records'!$G$156:$G$517,MATCH(RIGHT(L1632,255),RIGHT('Disaggregation Records'!$D$156:$D$517,255),0))="","",INDEX('Disaggregation Records'!$G$156:$G$517,MATCH(RIGHT(L1632,255),RIGHT('Disaggregation Records'!$D$156:$D$517,255),0))),"")</f>
        <v/>
      </c>
    </row>
    <row r="1633" spans="1:18" ht="20.100000000000001" customHeight="1">
      <c r="A1633" s="126" t="str">
        <f t="shared" ca="1" si="1781"/>
        <v>a16Dm000000M3yLIAS</v>
      </c>
      <c r="B1633" s="570">
        <v>26</v>
      </c>
      <c r="C1633" s="572" t="str">
        <f ca="1">IFERROR(VLOOKUP(B1633,'Coverage Indicators - Section D'!$A$9:$AO$94,41,FALSE),"")</f>
        <v>HTS-3f Number of people in prisons and other closed settings that have received an HIV test during the reporting period and know their results</v>
      </c>
      <c r="D1633" s="574" t="str">
        <f ca="1">M1633</f>
        <v/>
      </c>
      <c r="E1633" s="574" t="str">
        <f ca="1">N1633</f>
        <v/>
      </c>
      <c r="F1633" s="127"/>
      <c r="G1633" s="576" t="str">
        <f ca="1">IF(OR(INDIRECT("'update Helper'!E"&amp;Q1633)="",F1633&lt;&gt;0,F1634&lt;&gt;0),IF(IFERROR((F1633/F1634),"")="","",(F1633/F1634)),INDIRECT("'update Helper'!E"&amp;Q1633)/100)</f>
        <v/>
      </c>
      <c r="H1633" s="539"/>
      <c r="I1633" s="578"/>
      <c r="J1633" s="532"/>
      <c r="K1633" s="126">
        <f ca="1">IF(AND(EXACT(C1633,C1631),C1631&lt;&gt;0),K1631+1,0)</f>
        <v>6</v>
      </c>
      <c r="L1633" s="126" t="str">
        <f t="shared" ref="L1633" ca="1" si="1831">IF(C1633&lt;&gt;"",C1633&amp;"-"&amp;K1633,"")</f>
        <v>HTS-3f Number of people in prisons and other closed settings that have received an HIV test during the reporting period and know their results-6</v>
      </c>
      <c r="M1633" s="126" t="str">
        <f t="array" aca="1" ref="M1633" ca="1">IFERROR(IF(INDEX('Disaggregation Records'!$E$156:$E$517,MATCH(RIGHT(L1633,255),RIGHT('Disaggregation Records'!$D$156:$D$517,255),0))="","",INDEX('Disaggregation Records'!$E$156:$E$517,MATCH(RIGHT(L1633,255),RIGHT('Disaggregation Records'!$D$156:$D$517,255),0))),"")</f>
        <v/>
      </c>
      <c r="N1633" s="126" t="str">
        <f t="array" aca="1" ref="N1633" ca="1">IFERROR(IF(INDEX('Disaggregation Records'!$F$156:$F$517,MATCH(RIGHT(L1633,255),RIGHT('Disaggregation Records'!$D$156:$D$517,255),0))="","",INDEX('Disaggregation Records'!$F$156:$F$517,MATCH(RIGHT(L1633,255),RIGHT('Disaggregation Records'!$D$156:$D$517,255),0))),"")</f>
        <v/>
      </c>
      <c r="O1633" s="314" t="str">
        <f t="array" aca="1" ref="O1633" ca="1">IFERROR(IF(INDEX('Disaggregation Records'!$H$156:$H$517,MATCH(RIGHT(L1633,255),RIGHT('Disaggregation Records'!$D$156:$D$517,255),0))="","",INDEX('Disaggregation Records'!$H$156:$H$517,MATCH(RIGHT(L1633,255),RIGHT('Disaggregation Records'!$D$156:$D$517,255),0))),"")</f>
        <v/>
      </c>
      <c r="P1633" s="314"/>
      <c r="Q1633" s="310">
        <f t="shared" ref="Q1633" si="1832">Q1631+1</f>
        <v>2118</v>
      </c>
      <c r="R1633" s="314" t="str" cm="1">
        <f t="array" aca="1" ref="R1633" ca="1">IFERROR(IF(INDEX('Disaggregation Records'!$G$156:$G$517,MATCH(RIGHT(L1633,255),RIGHT('Disaggregation Records'!$D$156:$D$517,255),0))="","",INDEX('Disaggregation Records'!$G$156:$G$517,MATCH(RIGHT(L1633,255),RIGHT('Disaggregation Records'!$D$156:$D$517,255),0))),"")</f>
        <v/>
      </c>
    </row>
    <row r="1634" spans="1:18" ht="20.100000000000001" customHeight="1">
      <c r="A1634" s="126"/>
      <c r="B1634" s="571"/>
      <c r="C1634" s="573"/>
      <c r="D1634" s="575"/>
      <c r="E1634" s="575"/>
      <c r="F1634" s="128"/>
      <c r="G1634" s="577"/>
      <c r="H1634" s="540"/>
      <c r="I1634" s="579"/>
      <c r="J1634" s="533"/>
      <c r="K1634" s="126"/>
      <c r="L1634" s="126"/>
      <c r="M1634" s="126"/>
      <c r="N1634" s="126"/>
      <c r="O1634" s="314"/>
      <c r="P1634" s="314"/>
      <c r="Q1634" s="310"/>
      <c r="R1634" s="314" t="str" cm="1">
        <f t="array" ref="R1634">IFERROR(IF(INDEX('Disaggregation Records'!$G$156:$G$517,MATCH(RIGHT(L1634,255),RIGHT('Disaggregation Records'!$D$156:$D$517,255),0))="","",INDEX('Disaggregation Records'!$G$156:$G$517,MATCH(RIGHT(L1634,255),RIGHT('Disaggregation Records'!$D$156:$D$517,255),0))),"")</f>
        <v/>
      </c>
    </row>
    <row r="1635" spans="1:18" ht="20.100000000000001" customHeight="1">
      <c r="A1635" s="126" t="str">
        <f t="shared" ca="1" si="1784"/>
        <v>a16Dm000000M3yMIAS</v>
      </c>
      <c r="B1635" s="570">
        <v>26</v>
      </c>
      <c r="C1635" s="572" t="str">
        <f ca="1">IFERROR(VLOOKUP(B1635,'Coverage Indicators - Section D'!$A$9:$AO$94,41,FALSE),"")</f>
        <v>HTS-3f Number of people in prisons and other closed settings that have received an HIV test during the reporting period and know their results</v>
      </c>
      <c r="D1635" s="574" t="str">
        <f ca="1">M1635</f>
        <v/>
      </c>
      <c r="E1635" s="574" t="str">
        <f ca="1">N1635</f>
        <v/>
      </c>
      <c r="F1635" s="127"/>
      <c r="G1635" s="576" t="str">
        <f ca="1">IF(OR(INDIRECT("'update Helper'!E"&amp;Q1635)="",F1635&lt;&gt;0,F1636&lt;&gt;0),IF(IFERROR((F1635/F1636),"")="","",(F1635/F1636)),INDIRECT("'update Helper'!E"&amp;Q1635)/100)</f>
        <v/>
      </c>
      <c r="H1635" s="539"/>
      <c r="I1635" s="578"/>
      <c r="J1635" s="532"/>
      <c r="K1635" s="126">
        <f ca="1">IF(AND(EXACT(C1635,C1633),C1633&lt;&gt;0),K1633+1,0)</f>
        <v>7</v>
      </c>
      <c r="L1635" s="126" t="str">
        <f t="shared" ref="L1635" ca="1" si="1833">IF(C1635&lt;&gt;"",C1635&amp;"-"&amp;K1635,"")</f>
        <v>HTS-3f Number of people in prisons and other closed settings that have received an HIV test during the reporting period and know their results-7</v>
      </c>
      <c r="M1635" s="126" t="str">
        <f t="array" aca="1" ref="M1635" ca="1">IFERROR(IF(INDEX('Disaggregation Records'!$E$156:$E$517,MATCH(RIGHT(L1635,255),RIGHT('Disaggregation Records'!$D$156:$D$517,255),0))="","",INDEX('Disaggregation Records'!$E$156:$E$517,MATCH(RIGHT(L1635,255),RIGHT('Disaggregation Records'!$D$156:$D$517,255),0))),"")</f>
        <v/>
      </c>
      <c r="N1635" s="126" t="str">
        <f t="array" aca="1" ref="N1635" ca="1">IFERROR(IF(INDEX('Disaggregation Records'!$F$156:$F$517,MATCH(RIGHT(L1635,255),RIGHT('Disaggregation Records'!$D$156:$D$517,255),0))="","",INDEX('Disaggregation Records'!$F$156:$F$517,MATCH(RIGHT(L1635,255),RIGHT('Disaggregation Records'!$D$156:$D$517,255),0))),"")</f>
        <v/>
      </c>
      <c r="O1635" s="314" t="str">
        <f t="array" aca="1" ref="O1635" ca="1">IFERROR(IF(INDEX('Disaggregation Records'!$H$156:$H$517,MATCH(RIGHT(L1635,255),RIGHT('Disaggregation Records'!$D$156:$D$517,255),0))="","",INDEX('Disaggregation Records'!$H$156:$H$517,MATCH(RIGHT(L1635,255),RIGHT('Disaggregation Records'!$D$156:$D$517,255),0))),"")</f>
        <v/>
      </c>
      <c r="P1635" s="310"/>
      <c r="Q1635" s="310">
        <f t="shared" ref="Q1635" si="1834">Q1633+1</f>
        <v>2119</v>
      </c>
      <c r="R1635" s="314" t="str" cm="1">
        <f t="array" aca="1" ref="R1635" ca="1">IFERROR(IF(INDEX('Disaggregation Records'!$G$156:$G$517,MATCH(RIGHT(L1635,255),RIGHT('Disaggregation Records'!$D$156:$D$517,255),0))="","",INDEX('Disaggregation Records'!$G$156:$G$517,MATCH(RIGHT(L1635,255),RIGHT('Disaggregation Records'!$D$156:$D$517,255),0))),"")</f>
        <v/>
      </c>
    </row>
    <row r="1636" spans="1:18" ht="20.100000000000001" customHeight="1">
      <c r="B1636" s="571"/>
      <c r="C1636" s="573"/>
      <c r="D1636" s="575"/>
      <c r="E1636" s="575"/>
      <c r="F1636" s="128"/>
      <c r="G1636" s="577"/>
      <c r="H1636" s="540"/>
      <c r="I1636" s="579"/>
      <c r="J1636" s="533"/>
      <c r="L1636" s="126"/>
      <c r="N1636" s="126"/>
      <c r="O1636" s="314"/>
      <c r="P1636" s="310"/>
      <c r="Q1636" s="310"/>
      <c r="R1636" s="314" t="str" cm="1">
        <f t="array" ref="R1636">IFERROR(IF(INDEX('Disaggregation Records'!$G$156:$G$517,MATCH(RIGHT(L1636,255),RIGHT('Disaggregation Records'!$D$156:$D$517,255),0))="","",INDEX('Disaggregation Records'!$G$156:$G$517,MATCH(RIGHT(L1636,255),RIGHT('Disaggregation Records'!$D$156:$D$517,255),0))),"")</f>
        <v/>
      </c>
    </row>
    <row r="1637" spans="1:18" ht="20.100000000000001" customHeight="1">
      <c r="A1637" s="126" t="str">
        <f t="shared" ca="1" si="1781"/>
        <v>a16Dm000000M3yNIAS</v>
      </c>
      <c r="B1637" s="570">
        <v>26</v>
      </c>
      <c r="C1637" s="572" t="str">
        <f ca="1">IFERROR(VLOOKUP(B1637,'Coverage Indicators - Section D'!$A$9:$AO$94,41,FALSE),"")</f>
        <v>HTS-3f Number of people in prisons and other closed settings that have received an HIV test during the reporting period and know their results</v>
      </c>
      <c r="D1637" s="574" t="str">
        <f ca="1">M1637</f>
        <v/>
      </c>
      <c r="E1637" s="574" t="str">
        <f ca="1">N1637</f>
        <v/>
      </c>
      <c r="F1637" s="127"/>
      <c r="G1637" s="576" t="str">
        <f ca="1">IF(OR(INDIRECT("'update Helper'!E"&amp;Q1637)="",F1637&lt;&gt;0,F1638&lt;&gt;0),IF(IFERROR((F1637/F1638),"")="","",(F1637/F1638)),INDIRECT("'update Helper'!E"&amp;Q1637)/100)</f>
        <v/>
      </c>
      <c r="H1637" s="539"/>
      <c r="I1637" s="578"/>
      <c r="J1637" s="532"/>
      <c r="K1637" s="126">
        <f ca="1">IF(AND(EXACT(C1637,C1635),C1635&lt;&gt;0),K1635+1,0)</f>
        <v>8</v>
      </c>
      <c r="L1637" s="126" t="str">
        <f t="shared" ref="L1637" ca="1" si="1835">IF(C1637&lt;&gt;"",C1637&amp;"-"&amp;K1637,"")</f>
        <v>HTS-3f Number of people in prisons and other closed settings that have received an HIV test during the reporting period and know their results-8</v>
      </c>
      <c r="M1637" s="126" t="str">
        <f t="array" aca="1" ref="M1637" ca="1">IFERROR(IF(INDEX('Disaggregation Records'!$E$156:$E$517,MATCH(RIGHT(L1637,255),RIGHT('Disaggregation Records'!$D$156:$D$517,255),0))="","",INDEX('Disaggregation Records'!$E$156:$E$517,MATCH(RIGHT(L1637,255),RIGHT('Disaggregation Records'!$D$156:$D$517,255),0))),"")</f>
        <v/>
      </c>
      <c r="N1637" s="126" t="str">
        <f t="array" aca="1" ref="N1637" ca="1">IFERROR(IF(INDEX('Disaggregation Records'!$F$156:$F$517,MATCH(RIGHT(L1637,255),RIGHT('Disaggregation Records'!$D$156:$D$517,255),0))="","",INDEX('Disaggregation Records'!$F$156:$F$517,MATCH(RIGHT(L1637,255),RIGHT('Disaggregation Records'!$D$156:$D$517,255),0))),"")</f>
        <v/>
      </c>
      <c r="O1637" s="314" t="str">
        <f t="array" aca="1" ref="O1637" ca="1">IFERROR(IF(INDEX('Disaggregation Records'!$H$156:$H$517,MATCH(RIGHT(L1637,255),RIGHT('Disaggregation Records'!$D$156:$D$517,255),0))="","",INDEX('Disaggregation Records'!$H$156:$H$517,MATCH(RIGHT(L1637,255),RIGHT('Disaggregation Records'!$D$156:$D$517,255),0))),"")</f>
        <v/>
      </c>
      <c r="P1637" s="310"/>
      <c r="Q1637" s="310">
        <f t="shared" ref="Q1637" si="1836">Q1635+1</f>
        <v>2120</v>
      </c>
      <c r="R1637" s="314" t="str" cm="1">
        <f t="array" aca="1" ref="R1637" ca="1">IFERROR(IF(INDEX('Disaggregation Records'!$G$156:$G$517,MATCH(RIGHT(L1637,255),RIGHT('Disaggregation Records'!$D$156:$D$517,255),0))="","",INDEX('Disaggregation Records'!$G$156:$G$517,MATCH(RIGHT(L1637,255),RIGHT('Disaggregation Records'!$D$156:$D$517,255),0))),"")</f>
        <v/>
      </c>
    </row>
    <row r="1638" spans="1:18" ht="20.100000000000001" customHeight="1">
      <c r="A1638" s="126"/>
      <c r="B1638" s="571"/>
      <c r="C1638" s="573"/>
      <c r="D1638" s="575"/>
      <c r="E1638" s="575"/>
      <c r="F1638" s="128"/>
      <c r="G1638" s="577"/>
      <c r="H1638" s="540"/>
      <c r="I1638" s="579"/>
      <c r="J1638" s="533"/>
      <c r="L1638" s="126"/>
      <c r="N1638" s="126"/>
      <c r="O1638" s="314"/>
      <c r="P1638" s="310"/>
      <c r="Q1638" s="310"/>
      <c r="R1638" s="314" t="str" cm="1">
        <f t="array" ref="R1638">IFERROR(IF(INDEX('Disaggregation Records'!$G$156:$G$517,MATCH(RIGHT(L1638,255),RIGHT('Disaggregation Records'!$D$156:$D$517,255),0))="","",INDEX('Disaggregation Records'!$G$156:$G$517,MATCH(RIGHT(L1638,255),RIGHT('Disaggregation Records'!$D$156:$D$517,255),0))),"")</f>
        <v/>
      </c>
    </row>
    <row r="1639" spans="1:18" ht="20.100000000000001" customHeight="1">
      <c r="A1639" s="126" t="str">
        <f t="shared" ca="1" si="1784"/>
        <v>a16Dm000000M3yOIAS</v>
      </c>
      <c r="B1639" s="570">
        <v>26</v>
      </c>
      <c r="C1639" s="572" t="str">
        <f ca="1">IFERROR(VLOOKUP(B1639,'Coverage Indicators - Section D'!$A$9:$AO$94,41,FALSE),"")</f>
        <v>HTS-3f Number of people in prisons and other closed settings that have received an HIV test during the reporting period and know their results</v>
      </c>
      <c r="D1639" s="574" t="str">
        <f ca="1">M1639</f>
        <v/>
      </c>
      <c r="E1639" s="574" t="str">
        <f ca="1">N1639</f>
        <v/>
      </c>
      <c r="F1639" s="127"/>
      <c r="G1639" s="576" t="str">
        <f ca="1">IF(OR(INDIRECT("'update Helper'!E"&amp;Q1639)="",F1639&lt;&gt;0,F1640&lt;&gt;0),IF(IFERROR((F1639/F1640),"")="","",(F1639/F1640)),INDIRECT("'update Helper'!E"&amp;Q1639)/100)</f>
        <v/>
      </c>
      <c r="H1639" s="539"/>
      <c r="I1639" s="578"/>
      <c r="J1639" s="532"/>
      <c r="K1639" s="126">
        <f ca="1">IF(AND(EXACT(C1639,C1637),C1637&lt;&gt;0),K1637+1,0)</f>
        <v>9</v>
      </c>
      <c r="L1639" s="126" t="str">
        <f t="shared" ref="L1639" ca="1" si="1837">IF(C1639&lt;&gt;"",C1639&amp;"-"&amp;K1639,"")</f>
        <v>HTS-3f Number of people in prisons and other closed settings that have received an HIV test during the reporting period and know their results-9</v>
      </c>
      <c r="M1639" s="126" t="str">
        <f t="array" aca="1" ref="M1639" ca="1">IFERROR(IF(INDEX('Disaggregation Records'!$E$156:$E$517,MATCH(RIGHT(L1639,255),RIGHT('Disaggregation Records'!$D$156:$D$517,255),0))="","",INDEX('Disaggregation Records'!$E$156:$E$517,MATCH(RIGHT(L1639,255),RIGHT('Disaggregation Records'!$D$156:$D$517,255),0))),"")</f>
        <v/>
      </c>
      <c r="N1639" s="126" t="str">
        <f t="array" aca="1" ref="N1639" ca="1">IFERROR(IF(INDEX('Disaggregation Records'!$F$156:$F$517,MATCH(RIGHT(L1639,255),RIGHT('Disaggregation Records'!$D$156:$D$517,255),0))="","",INDEX('Disaggregation Records'!$F$156:$F$517,MATCH(RIGHT(L1639,255),RIGHT('Disaggregation Records'!$D$156:$D$517,255),0))),"")</f>
        <v/>
      </c>
      <c r="O1639" s="314" t="str">
        <f t="array" aca="1" ref="O1639" ca="1">IFERROR(IF(INDEX('Disaggregation Records'!$H$156:$H$517,MATCH(RIGHT(L1639,255),RIGHT('Disaggregation Records'!$D$156:$D$517,255),0))="","",INDEX('Disaggregation Records'!$H$156:$H$517,MATCH(RIGHT(L1639,255),RIGHT('Disaggregation Records'!$D$156:$D$517,255),0))),"")</f>
        <v/>
      </c>
      <c r="P1639" s="310"/>
      <c r="Q1639" s="310">
        <f t="shared" ref="Q1639" si="1838">Q1637+1</f>
        <v>2121</v>
      </c>
      <c r="R1639" s="314" t="str" cm="1">
        <f t="array" aca="1" ref="R1639" ca="1">IFERROR(IF(INDEX('Disaggregation Records'!$G$156:$G$517,MATCH(RIGHT(L1639,255),RIGHT('Disaggregation Records'!$D$156:$D$517,255),0))="","",INDEX('Disaggregation Records'!$G$156:$G$517,MATCH(RIGHT(L1639,255),RIGHT('Disaggregation Records'!$D$156:$D$517,255),0))),"")</f>
        <v/>
      </c>
    </row>
    <row r="1640" spans="1:18" ht="20.100000000000001" customHeight="1">
      <c r="B1640" s="571"/>
      <c r="C1640" s="573"/>
      <c r="D1640" s="575"/>
      <c r="E1640" s="575"/>
      <c r="F1640" s="128"/>
      <c r="G1640" s="577"/>
      <c r="H1640" s="540"/>
      <c r="I1640" s="579"/>
      <c r="J1640" s="533"/>
      <c r="L1640" s="126"/>
      <c r="N1640" s="126"/>
      <c r="O1640" s="314"/>
      <c r="P1640" s="310"/>
      <c r="Q1640" s="310"/>
      <c r="R1640" s="314" t="str" cm="1">
        <f t="array" ref="R1640">IFERROR(IF(INDEX('Disaggregation Records'!$G$156:$G$517,MATCH(RIGHT(L1640,255),RIGHT('Disaggregation Records'!$D$156:$D$517,255),0))="","",INDEX('Disaggregation Records'!$G$156:$G$517,MATCH(RIGHT(L1640,255),RIGHT('Disaggregation Records'!$D$156:$D$517,255),0))),"")</f>
        <v/>
      </c>
    </row>
    <row r="1641" spans="1:18" ht="20.100000000000001" customHeight="1">
      <c r="A1641" s="126" t="str">
        <f t="shared" ca="1" si="1781"/>
        <v>a16Dm000000M3yPIAS</v>
      </c>
      <c r="B1641" s="570">
        <v>26</v>
      </c>
      <c r="C1641" s="572" t="str">
        <f ca="1">IFERROR(VLOOKUP(B1641,'Coverage Indicators - Section D'!$A$9:$AO$94,41,FALSE),"")</f>
        <v>HTS-3f Number of people in prisons and other closed settings that have received an HIV test during the reporting period and know their results</v>
      </c>
      <c r="D1641" s="574" t="str">
        <f ca="1">M1641</f>
        <v/>
      </c>
      <c r="E1641" s="574" t="str">
        <f ca="1">N1641</f>
        <v/>
      </c>
      <c r="F1641" s="127"/>
      <c r="G1641" s="576" t="str">
        <f ca="1">IF(OR(INDIRECT("'update Helper'!E"&amp;Q1641)="",F1641&lt;&gt;0,F1642&lt;&gt;0),IF(IFERROR((F1641/F1642),"")="","",(F1641/F1642)),INDIRECT("'update Helper'!E"&amp;Q1641)/100)</f>
        <v/>
      </c>
      <c r="H1641" s="539"/>
      <c r="I1641" s="578"/>
      <c r="J1641" s="532"/>
      <c r="K1641" s="126">
        <f ca="1">IF(AND(EXACT(C1641,C1639),C1639&lt;&gt;0),K1639+1,0)</f>
        <v>10</v>
      </c>
      <c r="L1641" s="126" t="str">
        <f t="shared" ref="L1641" ca="1" si="1839">IF(C1641&lt;&gt;"",C1641&amp;"-"&amp;K1641,"")</f>
        <v>HTS-3f Number of people in prisons and other closed settings that have received an HIV test during the reporting period and know their results-10</v>
      </c>
      <c r="M1641" s="126" t="str">
        <f t="array" aca="1" ref="M1641" ca="1">IFERROR(IF(INDEX('Disaggregation Records'!$E$156:$E$517,MATCH(RIGHT(L1641,255),RIGHT('Disaggregation Records'!$D$156:$D$517,255),0))="","",INDEX('Disaggregation Records'!$E$156:$E$517,MATCH(RIGHT(L1641,255),RIGHT('Disaggregation Records'!$D$156:$D$517,255),0))),"")</f>
        <v/>
      </c>
      <c r="N1641" s="126" t="str">
        <f t="array" aca="1" ref="N1641" ca="1">IFERROR(IF(INDEX('Disaggregation Records'!$F$156:$F$517,MATCH(RIGHT(L1641,255),RIGHT('Disaggregation Records'!$D$156:$D$517,255),0))="","",INDEX('Disaggregation Records'!$F$156:$F$517,MATCH(RIGHT(L1641,255),RIGHT('Disaggregation Records'!$D$156:$D$517,255),0))),"")</f>
        <v/>
      </c>
      <c r="O1641" s="314" t="str">
        <f t="array" aca="1" ref="O1641" ca="1">IFERROR(IF(INDEX('Disaggregation Records'!$H$156:$H$517,MATCH(RIGHT(L1641,255),RIGHT('Disaggregation Records'!$D$156:$D$517,255),0))="","",INDEX('Disaggregation Records'!$H$156:$H$517,MATCH(RIGHT(L1641,255),RIGHT('Disaggregation Records'!$D$156:$D$517,255),0))),"")</f>
        <v/>
      </c>
      <c r="P1641" s="314"/>
      <c r="Q1641" s="310">
        <f t="shared" ref="Q1641" si="1840">Q1639+1</f>
        <v>2122</v>
      </c>
      <c r="R1641" s="314" t="str" cm="1">
        <f t="array" aca="1" ref="R1641" ca="1">IFERROR(IF(INDEX('Disaggregation Records'!$G$156:$G$517,MATCH(RIGHT(L1641,255),RIGHT('Disaggregation Records'!$D$156:$D$517,255),0))="","",INDEX('Disaggregation Records'!$G$156:$G$517,MATCH(RIGHT(L1641,255),RIGHT('Disaggregation Records'!$D$156:$D$517,255),0))),"")</f>
        <v/>
      </c>
    </row>
    <row r="1642" spans="1:18" ht="20.100000000000001" customHeight="1">
      <c r="A1642" s="126"/>
      <c r="B1642" s="571"/>
      <c r="C1642" s="573"/>
      <c r="D1642" s="575"/>
      <c r="E1642" s="575"/>
      <c r="F1642" s="128"/>
      <c r="G1642" s="577"/>
      <c r="H1642" s="540"/>
      <c r="I1642" s="579"/>
      <c r="J1642" s="533"/>
      <c r="K1642" s="126"/>
      <c r="L1642" s="126"/>
      <c r="M1642" s="126"/>
      <c r="N1642" s="126"/>
      <c r="O1642" s="314"/>
      <c r="P1642" s="314"/>
      <c r="Q1642" s="310"/>
      <c r="R1642" s="314" t="str" cm="1">
        <f t="array" ref="R1642">IFERROR(IF(INDEX('Disaggregation Records'!$G$156:$G$517,MATCH(RIGHT(L1642,255),RIGHT('Disaggregation Records'!$D$156:$D$517,255),0))="","",INDEX('Disaggregation Records'!$G$156:$G$517,MATCH(RIGHT(L1642,255),RIGHT('Disaggregation Records'!$D$156:$D$517,255),0))),"")</f>
        <v/>
      </c>
    </row>
    <row r="1643" spans="1:18" ht="20.100000000000001" customHeight="1">
      <c r="A1643" s="126" t="str">
        <f t="shared" ca="1" si="1784"/>
        <v>a16Dm000000M3yQIAS</v>
      </c>
      <c r="B1643" s="570">
        <v>26</v>
      </c>
      <c r="C1643" s="572" t="str">
        <f ca="1">IFERROR(VLOOKUP(B1643,'Coverage Indicators - Section D'!$A$9:$AO$94,41,FALSE),"")</f>
        <v>HTS-3f Number of people in prisons and other closed settings that have received an HIV test during the reporting period and know their results</v>
      </c>
      <c r="D1643" s="574" t="str">
        <f ca="1">M1643</f>
        <v/>
      </c>
      <c r="E1643" s="574" t="str">
        <f ca="1">N1643</f>
        <v/>
      </c>
      <c r="F1643" s="127"/>
      <c r="G1643" s="576" t="str">
        <f ca="1">IF(OR(INDIRECT("'update Helper'!E"&amp;Q1643)="",F1643&lt;&gt;0,F1644&lt;&gt;0),IF(IFERROR((F1643/F1644),"")="","",(F1643/F1644)),INDIRECT("'update Helper'!E"&amp;Q1643)/100)</f>
        <v/>
      </c>
      <c r="H1643" s="539"/>
      <c r="I1643" s="578"/>
      <c r="J1643" s="532"/>
      <c r="K1643" s="126">
        <f ca="1">IF(AND(EXACT(C1643,C1641),C1641&lt;&gt;0),K1641+1,0)</f>
        <v>11</v>
      </c>
      <c r="L1643" s="126" t="str">
        <f t="shared" ref="L1643" ca="1" si="1841">IF(C1643&lt;&gt;"",C1643&amp;"-"&amp;K1643,"")</f>
        <v>HTS-3f Number of people in prisons and other closed settings that have received an HIV test during the reporting period and know their results-11</v>
      </c>
      <c r="M1643" s="126" t="str">
        <f t="array" aca="1" ref="M1643" ca="1">IFERROR(IF(INDEX('Disaggregation Records'!$E$156:$E$517,MATCH(RIGHT(L1643,255),RIGHT('Disaggregation Records'!$D$156:$D$517,255),0))="","",INDEX('Disaggregation Records'!$E$156:$E$517,MATCH(RIGHT(L1643,255),RIGHT('Disaggregation Records'!$D$156:$D$517,255),0))),"")</f>
        <v/>
      </c>
      <c r="N1643" s="126" t="str">
        <f t="array" aca="1" ref="N1643" ca="1">IFERROR(IF(INDEX('Disaggregation Records'!$F$156:$F$517,MATCH(RIGHT(L1643,255),RIGHT('Disaggregation Records'!$D$156:$D$517,255),0))="","",INDEX('Disaggregation Records'!$F$156:$F$517,MATCH(RIGHT(L1643,255),RIGHT('Disaggregation Records'!$D$156:$D$517,255),0))),"")</f>
        <v/>
      </c>
      <c r="O1643" s="314" t="str">
        <f t="array" aca="1" ref="O1643" ca="1">IFERROR(IF(INDEX('Disaggregation Records'!$H$156:$H$517,MATCH(RIGHT(L1643,255),RIGHT('Disaggregation Records'!$D$156:$D$517,255),0))="","",INDEX('Disaggregation Records'!$H$156:$H$517,MATCH(RIGHT(L1643,255),RIGHT('Disaggregation Records'!$D$156:$D$517,255),0))),"")</f>
        <v/>
      </c>
      <c r="P1643" s="314"/>
      <c r="Q1643" s="310">
        <f t="shared" ref="Q1643" si="1842">Q1641+1</f>
        <v>2123</v>
      </c>
      <c r="R1643" s="314" t="str" cm="1">
        <f t="array" aca="1" ref="R1643" ca="1">IFERROR(IF(INDEX('Disaggregation Records'!$G$156:$G$517,MATCH(RIGHT(L1643,255),RIGHT('Disaggregation Records'!$D$156:$D$517,255),0))="","",INDEX('Disaggregation Records'!$G$156:$G$517,MATCH(RIGHT(L1643,255),RIGHT('Disaggregation Records'!$D$156:$D$517,255),0))),"")</f>
        <v/>
      </c>
    </row>
    <row r="1644" spans="1:18" ht="20.100000000000001" customHeight="1">
      <c r="B1644" s="571"/>
      <c r="C1644" s="573"/>
      <c r="D1644" s="575"/>
      <c r="E1644" s="575"/>
      <c r="F1644" s="128"/>
      <c r="G1644" s="577"/>
      <c r="H1644" s="540"/>
      <c r="I1644" s="579"/>
      <c r="J1644" s="533"/>
      <c r="K1644" s="126"/>
      <c r="L1644" s="126"/>
      <c r="M1644" s="126"/>
      <c r="N1644" s="126"/>
      <c r="O1644" s="314"/>
      <c r="P1644" s="314"/>
      <c r="Q1644" s="310"/>
      <c r="R1644" s="314" t="str" cm="1">
        <f t="array" ref="R1644">IFERROR(IF(INDEX('Disaggregation Records'!$G$156:$G$517,MATCH(RIGHT(L1644,255),RIGHT('Disaggregation Records'!$D$156:$D$517,255),0))="","",INDEX('Disaggregation Records'!$G$156:$G$517,MATCH(RIGHT(L1644,255),RIGHT('Disaggregation Records'!$D$156:$D$517,255),0))),"")</f>
        <v/>
      </c>
    </row>
    <row r="1645" spans="1:18" ht="20.100000000000001" customHeight="1">
      <c r="A1645" s="126" t="str">
        <f t="shared" ca="1" si="1781"/>
        <v>a16Dm000000M3yRIAS</v>
      </c>
      <c r="B1645" s="570">
        <v>26</v>
      </c>
      <c r="C1645" s="572" t="str">
        <f ca="1">IFERROR(VLOOKUP(B1645,'Coverage Indicators - Section D'!$A$9:$AO$94,41,FALSE),"")</f>
        <v>HTS-3f Number of people in prisons and other closed settings that have received an HIV test during the reporting period and know their results</v>
      </c>
      <c r="D1645" s="574" t="str">
        <f ca="1">M1645</f>
        <v/>
      </c>
      <c r="E1645" s="574" t="str">
        <f ca="1">N1645</f>
        <v/>
      </c>
      <c r="F1645" s="127"/>
      <c r="G1645" s="576" t="str">
        <f ca="1">IF(OR(INDIRECT("'update Helper'!E"&amp;Q1645)="",F1645&lt;&gt;0,F1646&lt;&gt;0),IF(IFERROR((F1645/F1646),"")="","",(F1645/F1646)),INDIRECT("'update Helper'!E"&amp;Q1645)/100)</f>
        <v/>
      </c>
      <c r="H1645" s="539"/>
      <c r="I1645" s="578"/>
      <c r="J1645" s="532"/>
      <c r="K1645" s="126">
        <f ca="1">IF(AND(EXACT(C1645,C1643),C1643&lt;&gt;0),K1643+1,0)</f>
        <v>12</v>
      </c>
      <c r="L1645" s="126" t="str">
        <f t="shared" ref="L1645" ca="1" si="1843">IF(C1645&lt;&gt;"",C1645&amp;"-"&amp;K1645,"")</f>
        <v>HTS-3f Number of people in prisons and other closed settings that have received an HIV test during the reporting period and know their results-12</v>
      </c>
      <c r="M1645" s="126" t="str">
        <f t="array" aca="1" ref="M1645" ca="1">IFERROR(IF(INDEX('Disaggregation Records'!$E$156:$E$517,MATCH(RIGHT(L1645,255),RIGHT('Disaggregation Records'!$D$156:$D$517,255),0))="","",INDEX('Disaggregation Records'!$E$156:$E$517,MATCH(RIGHT(L1645,255),RIGHT('Disaggregation Records'!$D$156:$D$517,255),0))),"")</f>
        <v/>
      </c>
      <c r="N1645" s="126" t="str">
        <f t="array" aca="1" ref="N1645" ca="1">IFERROR(IF(INDEX('Disaggregation Records'!$F$156:$F$517,MATCH(RIGHT(L1645,255),RIGHT('Disaggregation Records'!$D$156:$D$517,255),0))="","",INDEX('Disaggregation Records'!$F$156:$F$517,MATCH(RIGHT(L1645,255),RIGHT('Disaggregation Records'!$D$156:$D$517,255),0))),"")</f>
        <v/>
      </c>
      <c r="O1645" s="314" t="str">
        <f t="array" aca="1" ref="O1645" ca="1">IFERROR(IF(INDEX('Disaggregation Records'!$H$156:$H$517,MATCH(RIGHT(L1645,255),RIGHT('Disaggregation Records'!$D$156:$D$517,255),0))="","",INDEX('Disaggregation Records'!$H$156:$H$517,MATCH(RIGHT(L1645,255),RIGHT('Disaggregation Records'!$D$156:$D$517,255),0))),"")</f>
        <v/>
      </c>
      <c r="P1645" s="310"/>
      <c r="Q1645" s="310">
        <f t="shared" ref="Q1645" si="1844">Q1643+1</f>
        <v>2124</v>
      </c>
      <c r="R1645" s="314" t="str" cm="1">
        <f t="array" aca="1" ref="R1645" ca="1">IFERROR(IF(INDEX('Disaggregation Records'!$G$156:$G$517,MATCH(RIGHT(L1645,255),RIGHT('Disaggregation Records'!$D$156:$D$517,255),0))="","",INDEX('Disaggregation Records'!$G$156:$G$517,MATCH(RIGHT(L1645,255),RIGHT('Disaggregation Records'!$D$156:$D$517,255),0))),"")</f>
        <v/>
      </c>
    </row>
    <row r="1646" spans="1:18" ht="20.100000000000001" customHeight="1">
      <c r="A1646" s="126"/>
      <c r="B1646" s="571"/>
      <c r="C1646" s="573"/>
      <c r="D1646" s="575"/>
      <c r="E1646" s="575"/>
      <c r="F1646" s="128"/>
      <c r="G1646" s="577"/>
      <c r="H1646" s="540"/>
      <c r="I1646" s="579"/>
      <c r="J1646" s="533"/>
      <c r="L1646" s="126"/>
      <c r="N1646" s="126"/>
      <c r="O1646" s="314"/>
      <c r="P1646" s="310"/>
      <c r="Q1646" s="310"/>
      <c r="R1646" s="314" t="str" cm="1">
        <f t="array" ref="R1646">IFERROR(IF(INDEX('Disaggregation Records'!$G$156:$G$517,MATCH(RIGHT(L1646,255),RIGHT('Disaggregation Records'!$D$156:$D$517,255),0))="","",INDEX('Disaggregation Records'!$G$156:$G$517,MATCH(RIGHT(L1646,255),RIGHT('Disaggregation Records'!$D$156:$D$517,255),0))),"")</f>
        <v/>
      </c>
    </row>
    <row r="1647" spans="1:18" ht="20.100000000000001" customHeight="1">
      <c r="A1647" s="126" t="str">
        <f t="shared" ca="1" si="1784"/>
        <v>a16Dm000000M3ySIAS</v>
      </c>
      <c r="B1647" s="570">
        <v>26</v>
      </c>
      <c r="C1647" s="572" t="str">
        <f ca="1">IFERROR(VLOOKUP(B1647,'Coverage Indicators - Section D'!$A$9:$AO$94,41,FALSE),"")</f>
        <v>HTS-3f Number of people in prisons and other closed settings that have received an HIV test during the reporting period and know their results</v>
      </c>
      <c r="D1647" s="574" t="str">
        <f ca="1">M1647</f>
        <v/>
      </c>
      <c r="E1647" s="574" t="str">
        <f ca="1">N1647</f>
        <v/>
      </c>
      <c r="F1647" s="127"/>
      <c r="G1647" s="576" t="str">
        <f ca="1">IF(OR(INDIRECT("'update Helper'!E"&amp;Q1647)="",F1647&lt;&gt;0,F1648&lt;&gt;0),IF(IFERROR((F1647/F1648),"")="","",(F1647/F1648)),INDIRECT("'update Helper'!E"&amp;Q1647)/100)</f>
        <v/>
      </c>
      <c r="H1647" s="539"/>
      <c r="I1647" s="578"/>
      <c r="J1647" s="532"/>
      <c r="K1647" s="126">
        <f ca="1">IF(AND(EXACT(C1647,C1645),C1645&lt;&gt;0),K1645+1,0)</f>
        <v>13</v>
      </c>
      <c r="L1647" s="126" t="str">
        <f t="shared" ref="L1647" ca="1" si="1845">IF(C1647&lt;&gt;"",C1647&amp;"-"&amp;K1647,"")</f>
        <v>HTS-3f Number of people in prisons and other closed settings that have received an HIV test during the reporting period and know their results-13</v>
      </c>
      <c r="M1647" s="126" t="str">
        <f t="array" aca="1" ref="M1647" ca="1">IFERROR(IF(INDEX('Disaggregation Records'!$E$156:$E$517,MATCH(RIGHT(L1647,255),RIGHT('Disaggregation Records'!$D$156:$D$517,255),0))="","",INDEX('Disaggregation Records'!$E$156:$E$517,MATCH(RIGHT(L1647,255),RIGHT('Disaggregation Records'!$D$156:$D$517,255),0))),"")</f>
        <v/>
      </c>
      <c r="N1647" s="126" t="str">
        <f t="array" aca="1" ref="N1647" ca="1">IFERROR(IF(INDEX('Disaggregation Records'!$F$156:$F$517,MATCH(RIGHT(L1647,255),RIGHT('Disaggregation Records'!$D$156:$D$517,255),0))="","",INDEX('Disaggregation Records'!$F$156:$F$517,MATCH(RIGHT(L1647,255),RIGHT('Disaggregation Records'!$D$156:$D$517,255),0))),"")</f>
        <v/>
      </c>
      <c r="O1647" s="314" t="str">
        <f t="array" aca="1" ref="O1647" ca="1">IFERROR(IF(INDEX('Disaggregation Records'!$H$156:$H$517,MATCH(RIGHT(L1647,255),RIGHT('Disaggregation Records'!$D$156:$D$517,255),0))="","",INDEX('Disaggregation Records'!$H$156:$H$517,MATCH(RIGHT(L1647,255),RIGHT('Disaggregation Records'!$D$156:$D$517,255),0))),"")</f>
        <v/>
      </c>
      <c r="P1647" s="310"/>
      <c r="Q1647" s="310">
        <f t="shared" ref="Q1647" si="1846">Q1645+1</f>
        <v>2125</v>
      </c>
      <c r="R1647" s="314" t="str" cm="1">
        <f t="array" aca="1" ref="R1647" ca="1">IFERROR(IF(INDEX('Disaggregation Records'!$G$156:$G$517,MATCH(RIGHT(L1647,255),RIGHT('Disaggregation Records'!$D$156:$D$517,255),0))="","",INDEX('Disaggregation Records'!$G$156:$G$517,MATCH(RIGHT(L1647,255),RIGHT('Disaggregation Records'!$D$156:$D$517,255),0))),"")</f>
        <v/>
      </c>
    </row>
    <row r="1648" spans="1:18" ht="20.100000000000001" customHeight="1">
      <c r="B1648" s="571"/>
      <c r="C1648" s="573"/>
      <c r="D1648" s="575"/>
      <c r="E1648" s="575"/>
      <c r="F1648" s="128"/>
      <c r="G1648" s="577"/>
      <c r="H1648" s="540"/>
      <c r="I1648" s="579"/>
      <c r="J1648" s="533"/>
      <c r="L1648" s="126"/>
      <c r="N1648" s="126"/>
      <c r="O1648" s="314"/>
      <c r="P1648" s="310"/>
      <c r="Q1648" s="310"/>
      <c r="R1648" s="314" t="str" cm="1">
        <f t="array" ref="R1648">IFERROR(IF(INDEX('Disaggregation Records'!$G$156:$G$517,MATCH(RIGHT(L1648,255),RIGHT('Disaggregation Records'!$D$156:$D$517,255),0))="","",INDEX('Disaggregation Records'!$G$156:$G$517,MATCH(RIGHT(L1648,255),RIGHT('Disaggregation Records'!$D$156:$D$517,255),0))),"")</f>
        <v/>
      </c>
    </row>
    <row r="1649" spans="1:18" ht="20.100000000000001" customHeight="1">
      <c r="A1649" s="126" t="str">
        <f t="shared" ref="A1649:A1709" ca="1" si="1847">INDIRECT("'update Helper'!C"&amp;Q1649)</f>
        <v>a16Dm000000M3yTIAS</v>
      </c>
      <c r="B1649" s="570">
        <v>26</v>
      </c>
      <c r="C1649" s="572" t="str">
        <f ca="1">IFERROR(VLOOKUP(B1649,'Coverage Indicators - Section D'!$A$9:$AO$94,41,FALSE),"")</f>
        <v>HTS-3f Number of people in prisons and other closed settings that have received an HIV test during the reporting period and know their results</v>
      </c>
      <c r="D1649" s="574" t="str">
        <f ca="1">M1649</f>
        <v/>
      </c>
      <c r="E1649" s="574" t="str">
        <f ca="1">N1649</f>
        <v/>
      </c>
      <c r="F1649" s="127"/>
      <c r="G1649" s="576" t="str">
        <f ca="1">IF(OR(INDIRECT("'update Helper'!E"&amp;Q1649)="",F1649&lt;&gt;0,F1650&lt;&gt;0),IF(IFERROR((F1649/F1650),"")="","",(F1649/F1650)),INDIRECT("'update Helper'!E"&amp;Q1649)/100)</f>
        <v/>
      </c>
      <c r="H1649" s="539"/>
      <c r="I1649" s="578"/>
      <c r="J1649" s="532"/>
      <c r="K1649" s="126">
        <f ca="1">IF(AND(EXACT(C1649,C1647),C1647&lt;&gt;0),K1647+1,0)</f>
        <v>14</v>
      </c>
      <c r="L1649" s="126" t="str">
        <f t="shared" ref="L1649" ca="1" si="1848">IF(C1649&lt;&gt;"",C1649&amp;"-"&amp;K1649,"")</f>
        <v>HTS-3f Number of people in prisons and other closed settings that have received an HIV test during the reporting period and know their results-14</v>
      </c>
      <c r="M1649" s="126" t="str">
        <f t="array" aca="1" ref="M1649" ca="1">IFERROR(IF(INDEX('Disaggregation Records'!$E$156:$E$517,MATCH(RIGHT(L1649,255),RIGHT('Disaggregation Records'!$D$156:$D$517,255),0))="","",INDEX('Disaggregation Records'!$E$156:$E$517,MATCH(RIGHT(L1649,255),RIGHT('Disaggregation Records'!$D$156:$D$517,255),0))),"")</f>
        <v/>
      </c>
      <c r="N1649" s="126" t="str">
        <f t="array" aca="1" ref="N1649" ca="1">IFERROR(IF(INDEX('Disaggregation Records'!$F$156:$F$517,MATCH(RIGHT(L1649,255),RIGHT('Disaggregation Records'!$D$156:$D$517,255),0))="","",INDEX('Disaggregation Records'!$F$156:$F$517,MATCH(RIGHT(L1649,255),RIGHT('Disaggregation Records'!$D$156:$D$517,255),0))),"")</f>
        <v/>
      </c>
      <c r="O1649" s="314" t="str">
        <f t="array" aca="1" ref="O1649" ca="1">IFERROR(IF(INDEX('Disaggregation Records'!$H$156:$H$517,MATCH(RIGHT(L1649,255),RIGHT('Disaggregation Records'!$D$156:$D$517,255),0))="","",INDEX('Disaggregation Records'!$H$156:$H$517,MATCH(RIGHT(L1649,255),RIGHT('Disaggregation Records'!$D$156:$D$517,255),0))),"")</f>
        <v/>
      </c>
      <c r="P1649" s="310"/>
      <c r="Q1649" s="310">
        <f t="shared" ref="Q1649" si="1849">Q1647+1</f>
        <v>2126</v>
      </c>
      <c r="R1649" s="314" t="str" cm="1">
        <f t="array" aca="1" ref="R1649" ca="1">IFERROR(IF(INDEX('Disaggregation Records'!$G$156:$G$517,MATCH(RIGHT(L1649,255),RIGHT('Disaggregation Records'!$D$156:$D$517,255),0))="","",INDEX('Disaggregation Records'!$G$156:$G$517,MATCH(RIGHT(L1649,255),RIGHT('Disaggregation Records'!$D$156:$D$517,255),0))),"")</f>
        <v/>
      </c>
    </row>
    <row r="1650" spans="1:18" ht="20.100000000000001" customHeight="1">
      <c r="A1650" s="126"/>
      <c r="B1650" s="571"/>
      <c r="C1650" s="573"/>
      <c r="D1650" s="575"/>
      <c r="E1650" s="575"/>
      <c r="F1650" s="128"/>
      <c r="G1650" s="577"/>
      <c r="H1650" s="540"/>
      <c r="I1650" s="579"/>
      <c r="J1650" s="533"/>
      <c r="L1650" s="126"/>
      <c r="N1650" s="126"/>
      <c r="O1650" s="314"/>
      <c r="P1650" s="310"/>
      <c r="Q1650" s="310"/>
      <c r="R1650" s="314" t="str" cm="1">
        <f t="array" ref="R1650">IFERROR(IF(INDEX('Disaggregation Records'!$G$156:$G$517,MATCH(RIGHT(L1650,255),RIGHT('Disaggregation Records'!$D$156:$D$517,255),0))="","",INDEX('Disaggregation Records'!$G$156:$G$517,MATCH(RIGHT(L1650,255),RIGHT('Disaggregation Records'!$D$156:$D$517,255),0))),"")</f>
        <v/>
      </c>
    </row>
    <row r="1651" spans="1:18" ht="20.100000000000001" customHeight="1">
      <c r="A1651" s="126" t="str">
        <f t="shared" ref="A1651:A1711" ca="1" si="1850">INDIRECT("'update Helper'!C"&amp;Q1651)</f>
        <v>a16Dm000000M3yUIAS</v>
      </c>
      <c r="B1651" s="570">
        <v>26</v>
      </c>
      <c r="C1651" s="572" t="str">
        <f ca="1">IFERROR(VLOOKUP(B1651,'Coverage Indicators - Section D'!$A$9:$AO$94,41,FALSE),"")</f>
        <v>HTS-3f Number of people in prisons and other closed settings that have received an HIV test during the reporting period and know their results</v>
      </c>
      <c r="D1651" s="574" t="str">
        <f ca="1">M1651</f>
        <v/>
      </c>
      <c r="E1651" s="574" t="str">
        <f ca="1">N1651</f>
        <v/>
      </c>
      <c r="F1651" s="127"/>
      <c r="G1651" s="576" t="str">
        <f ca="1">IF(OR(INDIRECT("'update Helper'!E"&amp;Q1651)="",F1651&lt;&gt;0,F1652&lt;&gt;0),IF(IFERROR((F1651/F1652),"")="","",(F1651/F1652)),INDIRECT("'update Helper'!E"&amp;Q1651)/100)</f>
        <v/>
      </c>
      <c r="H1651" s="539"/>
      <c r="I1651" s="578"/>
      <c r="J1651" s="532"/>
      <c r="K1651" s="126">
        <f ca="1">IF(AND(EXACT(C1651,C1649),C1649&lt;&gt;0),K1649+1,0)</f>
        <v>15</v>
      </c>
      <c r="L1651" s="126" t="str">
        <f t="shared" ref="L1651" ca="1" si="1851">IF(C1651&lt;&gt;"",C1651&amp;"-"&amp;K1651,"")</f>
        <v>HTS-3f Number of people in prisons and other closed settings that have received an HIV test during the reporting period and know their results-15</v>
      </c>
      <c r="M1651" s="126" t="str">
        <f t="array" aca="1" ref="M1651" ca="1">IFERROR(IF(INDEX('Disaggregation Records'!$E$156:$E$517,MATCH(RIGHT(L1651,255),RIGHT('Disaggregation Records'!$D$156:$D$517,255),0))="","",INDEX('Disaggregation Records'!$E$156:$E$517,MATCH(RIGHT(L1651,255),RIGHT('Disaggregation Records'!$D$156:$D$517,255),0))),"")</f>
        <v/>
      </c>
      <c r="N1651" s="126" t="str">
        <f t="array" aca="1" ref="N1651" ca="1">IFERROR(IF(INDEX('Disaggregation Records'!$F$156:$F$517,MATCH(RIGHT(L1651,255),RIGHT('Disaggregation Records'!$D$156:$D$517,255),0))="","",INDEX('Disaggregation Records'!$F$156:$F$517,MATCH(RIGHT(L1651,255),RIGHT('Disaggregation Records'!$D$156:$D$517,255),0))),"")</f>
        <v/>
      </c>
      <c r="O1651" s="314" t="str">
        <f t="array" aca="1" ref="O1651" ca="1">IFERROR(IF(INDEX('Disaggregation Records'!$H$156:$H$517,MATCH(RIGHT(L1651,255),RIGHT('Disaggregation Records'!$D$156:$D$517,255),0))="","",INDEX('Disaggregation Records'!$H$156:$H$517,MATCH(RIGHT(L1651,255),RIGHT('Disaggregation Records'!$D$156:$D$517,255),0))),"")</f>
        <v/>
      </c>
      <c r="P1651" s="314"/>
      <c r="Q1651" s="310">
        <f t="shared" ref="Q1651" si="1852">Q1649+1</f>
        <v>2127</v>
      </c>
      <c r="R1651" s="314" t="str" cm="1">
        <f t="array" aca="1" ref="R1651" ca="1">IFERROR(IF(INDEX('Disaggregation Records'!$G$156:$G$517,MATCH(RIGHT(L1651,255),RIGHT('Disaggregation Records'!$D$156:$D$517,255),0))="","",INDEX('Disaggregation Records'!$G$156:$G$517,MATCH(RIGHT(L1651,255),RIGHT('Disaggregation Records'!$D$156:$D$517,255),0))),"")</f>
        <v/>
      </c>
    </row>
    <row r="1652" spans="1:18" ht="20.100000000000001" customHeight="1">
      <c r="B1652" s="571"/>
      <c r="C1652" s="573"/>
      <c r="D1652" s="575"/>
      <c r="E1652" s="575"/>
      <c r="F1652" s="128"/>
      <c r="G1652" s="577"/>
      <c r="H1652" s="540"/>
      <c r="I1652" s="579"/>
      <c r="J1652" s="533"/>
      <c r="K1652" s="126"/>
      <c r="L1652" s="126"/>
      <c r="M1652" s="126"/>
      <c r="N1652" s="126"/>
      <c r="O1652" s="314"/>
      <c r="P1652" s="314"/>
      <c r="Q1652" s="310"/>
      <c r="R1652" s="314" t="str" cm="1">
        <f t="array" ref="R1652">IFERROR(IF(INDEX('Disaggregation Records'!$G$156:$G$517,MATCH(RIGHT(L1652,255),RIGHT('Disaggregation Records'!$D$156:$D$517,255),0))="","",INDEX('Disaggregation Records'!$G$156:$G$517,MATCH(RIGHT(L1652,255),RIGHT('Disaggregation Records'!$D$156:$D$517,255),0))),"")</f>
        <v/>
      </c>
    </row>
    <row r="1653" spans="1:18" ht="20.100000000000001" customHeight="1">
      <c r="A1653" s="126" t="str">
        <f t="shared" ca="1" si="1847"/>
        <v>a16Dm000000M3yVIAS</v>
      </c>
      <c r="B1653" s="570">
        <v>26</v>
      </c>
      <c r="C1653" s="572" t="str">
        <f ca="1">IFERROR(VLOOKUP(B1653,'Coverage Indicators - Section D'!$A$9:$AO$94,41,FALSE),"")</f>
        <v>HTS-3f Number of people in prisons and other closed settings that have received an HIV test during the reporting period and know their results</v>
      </c>
      <c r="D1653" s="574" t="str">
        <f ca="1">M1653</f>
        <v/>
      </c>
      <c r="E1653" s="574" t="str">
        <f ca="1">N1653</f>
        <v/>
      </c>
      <c r="F1653" s="127"/>
      <c r="G1653" s="576" t="str">
        <f ca="1">IF(OR(INDIRECT("'update Helper'!E"&amp;Q1653)="",F1653&lt;&gt;0,F1654&lt;&gt;0),IF(IFERROR((F1653/F1654),"")="","",(F1653/F1654)),INDIRECT("'update Helper'!E"&amp;Q1653)/100)</f>
        <v/>
      </c>
      <c r="H1653" s="539"/>
      <c r="I1653" s="578"/>
      <c r="J1653" s="532"/>
      <c r="K1653" s="126">
        <f ca="1">IF(AND(EXACT(C1653,C1651),C1651&lt;&gt;0),K1651+1,0)</f>
        <v>16</v>
      </c>
      <c r="L1653" s="126" t="str">
        <f t="shared" ref="L1653" ca="1" si="1853">IF(C1653&lt;&gt;"",C1653&amp;"-"&amp;K1653,"")</f>
        <v>HTS-3f Number of people in prisons and other closed settings that have received an HIV test during the reporting period and know their results-16</v>
      </c>
      <c r="M1653" s="126" t="str">
        <f t="array" aca="1" ref="M1653" ca="1">IFERROR(IF(INDEX('Disaggregation Records'!$E$156:$E$517,MATCH(RIGHT(L1653,255),RIGHT('Disaggregation Records'!$D$156:$D$517,255),0))="","",INDEX('Disaggregation Records'!$E$156:$E$517,MATCH(RIGHT(L1653,255),RIGHT('Disaggregation Records'!$D$156:$D$517,255),0))),"")</f>
        <v/>
      </c>
      <c r="N1653" s="126" t="str">
        <f t="array" aca="1" ref="N1653" ca="1">IFERROR(IF(INDEX('Disaggregation Records'!$F$156:$F$517,MATCH(RIGHT(L1653,255),RIGHT('Disaggregation Records'!$D$156:$D$517,255),0))="","",INDEX('Disaggregation Records'!$F$156:$F$517,MATCH(RIGHT(L1653,255),RIGHT('Disaggregation Records'!$D$156:$D$517,255),0))),"")</f>
        <v/>
      </c>
      <c r="O1653" s="314" t="str">
        <f t="array" aca="1" ref="O1653" ca="1">IFERROR(IF(INDEX('Disaggregation Records'!$H$156:$H$517,MATCH(RIGHT(L1653,255),RIGHT('Disaggregation Records'!$D$156:$D$517,255),0))="","",INDEX('Disaggregation Records'!$H$156:$H$517,MATCH(RIGHT(L1653,255),RIGHT('Disaggregation Records'!$D$156:$D$517,255),0))),"")</f>
        <v/>
      </c>
      <c r="P1653" s="314"/>
      <c r="Q1653" s="310">
        <f t="shared" ref="Q1653" si="1854">Q1651+1</f>
        <v>2128</v>
      </c>
      <c r="R1653" s="314" t="str" cm="1">
        <f t="array" aca="1" ref="R1653" ca="1">IFERROR(IF(INDEX('Disaggregation Records'!$G$156:$G$517,MATCH(RIGHT(L1653,255),RIGHT('Disaggregation Records'!$D$156:$D$517,255),0))="","",INDEX('Disaggregation Records'!$G$156:$G$517,MATCH(RIGHT(L1653,255),RIGHT('Disaggregation Records'!$D$156:$D$517,255),0))),"")</f>
        <v/>
      </c>
    </row>
    <row r="1654" spans="1:18" ht="20.100000000000001" customHeight="1">
      <c r="A1654" s="126"/>
      <c r="B1654" s="571"/>
      <c r="C1654" s="573"/>
      <c r="D1654" s="575"/>
      <c r="E1654" s="575"/>
      <c r="F1654" s="128"/>
      <c r="G1654" s="577"/>
      <c r="H1654" s="540"/>
      <c r="I1654" s="579"/>
      <c r="J1654" s="533"/>
      <c r="K1654" s="126"/>
      <c r="L1654" s="126"/>
      <c r="M1654" s="126"/>
      <c r="N1654" s="126"/>
      <c r="O1654" s="314"/>
      <c r="P1654" s="314"/>
      <c r="Q1654" s="310"/>
      <c r="R1654" s="314" t="str" cm="1">
        <f t="array" ref="R1654">IFERROR(IF(INDEX('Disaggregation Records'!$G$156:$G$517,MATCH(RIGHT(L1654,255),RIGHT('Disaggregation Records'!$D$156:$D$517,255),0))="","",INDEX('Disaggregation Records'!$G$156:$G$517,MATCH(RIGHT(L1654,255),RIGHT('Disaggregation Records'!$D$156:$D$517,255),0))),"")</f>
        <v/>
      </c>
    </row>
    <row r="1655" spans="1:18" ht="20.100000000000001" customHeight="1">
      <c r="A1655" s="126" t="str">
        <f t="shared" ca="1" si="1850"/>
        <v>a16Dm000000M3yWIAS</v>
      </c>
      <c r="B1655" s="570">
        <v>26</v>
      </c>
      <c r="C1655" s="572" t="str">
        <f ca="1">IFERROR(VLOOKUP(B1655,'Coverage Indicators - Section D'!$A$9:$AO$94,41,FALSE),"")</f>
        <v>HTS-3f Number of people in prisons and other closed settings that have received an HIV test during the reporting period and know their results</v>
      </c>
      <c r="D1655" s="574" t="str">
        <f ca="1">M1655</f>
        <v/>
      </c>
      <c r="E1655" s="574" t="str">
        <f ca="1">N1655</f>
        <v/>
      </c>
      <c r="F1655" s="127"/>
      <c r="G1655" s="576" t="str">
        <f ca="1">IF(OR(INDIRECT("'update Helper'!E"&amp;Q1655)="",F1655&lt;&gt;0,F1656&lt;&gt;0),IF(IFERROR((F1655/F1656),"")="","",(F1655/F1656)),INDIRECT("'update Helper'!E"&amp;Q1655)/100)</f>
        <v/>
      </c>
      <c r="H1655" s="539"/>
      <c r="I1655" s="578"/>
      <c r="J1655" s="532"/>
      <c r="K1655" s="126">
        <f ca="1">IF(AND(EXACT(C1655,C1653),C1653&lt;&gt;0),K1653+1,0)</f>
        <v>17</v>
      </c>
      <c r="L1655" s="126" t="str">
        <f t="shared" ref="L1655" ca="1" si="1855">IF(C1655&lt;&gt;"",C1655&amp;"-"&amp;K1655,"")</f>
        <v>HTS-3f Number of people in prisons and other closed settings that have received an HIV test during the reporting period and know their results-17</v>
      </c>
      <c r="M1655" s="126" t="str">
        <f t="array" aca="1" ref="M1655" ca="1">IFERROR(IF(INDEX('Disaggregation Records'!$E$156:$E$517,MATCH(RIGHT(L1655,255),RIGHT('Disaggregation Records'!$D$156:$D$517,255),0))="","",INDEX('Disaggregation Records'!$E$156:$E$517,MATCH(RIGHT(L1655,255),RIGHT('Disaggregation Records'!$D$156:$D$517,255),0))),"")</f>
        <v/>
      </c>
      <c r="N1655" s="126" t="str">
        <f t="array" aca="1" ref="N1655" ca="1">IFERROR(IF(INDEX('Disaggregation Records'!$F$156:$F$517,MATCH(RIGHT(L1655,255),RIGHT('Disaggregation Records'!$D$156:$D$517,255),0))="","",INDEX('Disaggregation Records'!$F$156:$F$517,MATCH(RIGHT(L1655,255),RIGHT('Disaggregation Records'!$D$156:$D$517,255),0))),"")</f>
        <v/>
      </c>
      <c r="O1655" s="314" t="str">
        <f t="array" aca="1" ref="O1655" ca="1">IFERROR(IF(INDEX('Disaggregation Records'!$H$156:$H$517,MATCH(RIGHT(L1655,255),RIGHT('Disaggregation Records'!$D$156:$D$517,255),0))="","",INDEX('Disaggregation Records'!$H$156:$H$517,MATCH(RIGHT(L1655,255),RIGHT('Disaggregation Records'!$D$156:$D$517,255),0))),"")</f>
        <v/>
      </c>
      <c r="P1655" s="310"/>
      <c r="Q1655" s="310">
        <f t="shared" ref="Q1655" si="1856">Q1653+1</f>
        <v>2129</v>
      </c>
      <c r="R1655" s="314" t="str" cm="1">
        <f t="array" aca="1" ref="R1655" ca="1">IFERROR(IF(INDEX('Disaggregation Records'!$G$156:$G$517,MATCH(RIGHT(L1655,255),RIGHT('Disaggregation Records'!$D$156:$D$517,255),0))="","",INDEX('Disaggregation Records'!$G$156:$G$517,MATCH(RIGHT(L1655,255),RIGHT('Disaggregation Records'!$D$156:$D$517,255),0))),"")</f>
        <v/>
      </c>
    </row>
    <row r="1656" spans="1:18" ht="20.100000000000001" customHeight="1">
      <c r="B1656" s="571"/>
      <c r="C1656" s="573"/>
      <c r="D1656" s="575"/>
      <c r="E1656" s="575"/>
      <c r="F1656" s="128"/>
      <c r="G1656" s="577"/>
      <c r="H1656" s="540"/>
      <c r="I1656" s="579"/>
      <c r="J1656" s="533"/>
      <c r="L1656" s="126"/>
      <c r="N1656" s="126"/>
      <c r="O1656" s="314"/>
      <c r="P1656" s="310"/>
      <c r="Q1656" s="310"/>
      <c r="R1656" s="314" t="str" cm="1">
        <f t="array" ref="R1656">IFERROR(IF(INDEX('Disaggregation Records'!$G$156:$G$517,MATCH(RIGHT(L1656,255),RIGHT('Disaggregation Records'!$D$156:$D$517,255),0))="","",INDEX('Disaggregation Records'!$G$156:$G$517,MATCH(RIGHT(L1656,255),RIGHT('Disaggregation Records'!$D$156:$D$517,255),0))),"")</f>
        <v/>
      </c>
    </row>
    <row r="1657" spans="1:18" ht="20.100000000000001" customHeight="1">
      <c r="A1657" s="126" t="str">
        <f t="shared" ca="1" si="1847"/>
        <v>a16Dm000000M3yXIAS</v>
      </c>
      <c r="B1657" s="570">
        <v>26</v>
      </c>
      <c r="C1657" s="572" t="str">
        <f ca="1">IFERROR(VLOOKUP(B1657,'Coverage Indicators - Section D'!$A$9:$AO$94,41,FALSE),"")</f>
        <v>HTS-3f Number of people in prisons and other closed settings that have received an HIV test during the reporting period and know their results</v>
      </c>
      <c r="D1657" s="574" t="str">
        <f ca="1">M1657</f>
        <v/>
      </c>
      <c r="E1657" s="574" t="str">
        <f ca="1">N1657</f>
        <v/>
      </c>
      <c r="F1657" s="127"/>
      <c r="G1657" s="576" t="str">
        <f ca="1">IF(OR(INDIRECT("'update Helper'!E"&amp;Q1657)="",F1657&lt;&gt;0,F1658&lt;&gt;0),IF(IFERROR((F1657/F1658),"")="","",(F1657/F1658)),INDIRECT("'update Helper'!E"&amp;Q1657)/100)</f>
        <v/>
      </c>
      <c r="H1657" s="539"/>
      <c r="I1657" s="578"/>
      <c r="J1657" s="532"/>
      <c r="K1657" s="126">
        <f ca="1">IF(AND(EXACT(C1657,C1655),C1655&lt;&gt;0),K1655+1,0)</f>
        <v>18</v>
      </c>
      <c r="L1657" s="126" t="str">
        <f t="shared" ref="L1657" ca="1" si="1857">IF(C1657&lt;&gt;"",C1657&amp;"-"&amp;K1657,"")</f>
        <v>HTS-3f Number of people in prisons and other closed settings that have received an HIV test during the reporting period and know their results-18</v>
      </c>
      <c r="M1657" s="126" t="str">
        <f t="array" aca="1" ref="M1657" ca="1">IFERROR(IF(INDEX('Disaggregation Records'!$E$156:$E$517,MATCH(RIGHT(L1657,255),RIGHT('Disaggregation Records'!$D$156:$D$517,255),0))="","",INDEX('Disaggregation Records'!$E$156:$E$517,MATCH(RIGHT(L1657,255),RIGHT('Disaggregation Records'!$D$156:$D$517,255),0))),"")</f>
        <v/>
      </c>
      <c r="N1657" s="126" t="str">
        <f t="array" aca="1" ref="N1657" ca="1">IFERROR(IF(INDEX('Disaggregation Records'!$F$156:$F$517,MATCH(RIGHT(L1657,255),RIGHT('Disaggregation Records'!$D$156:$D$517,255),0))="","",INDEX('Disaggregation Records'!$F$156:$F$517,MATCH(RIGHT(L1657,255),RIGHT('Disaggregation Records'!$D$156:$D$517,255),0))),"")</f>
        <v/>
      </c>
      <c r="O1657" s="314" t="str">
        <f t="array" aca="1" ref="O1657" ca="1">IFERROR(IF(INDEX('Disaggregation Records'!$H$156:$H$517,MATCH(RIGHT(L1657,255),RIGHT('Disaggregation Records'!$D$156:$D$517,255),0))="","",INDEX('Disaggregation Records'!$H$156:$H$517,MATCH(RIGHT(L1657,255),RIGHT('Disaggregation Records'!$D$156:$D$517,255),0))),"")</f>
        <v/>
      </c>
      <c r="P1657" s="310"/>
      <c r="Q1657" s="310">
        <f t="shared" ref="Q1657" si="1858">Q1655+1</f>
        <v>2130</v>
      </c>
      <c r="R1657" s="314" t="str" cm="1">
        <f t="array" aca="1" ref="R1657" ca="1">IFERROR(IF(INDEX('Disaggregation Records'!$G$156:$G$517,MATCH(RIGHT(L1657,255),RIGHT('Disaggregation Records'!$D$156:$D$517,255),0))="","",INDEX('Disaggregation Records'!$G$156:$G$517,MATCH(RIGHT(L1657,255),RIGHT('Disaggregation Records'!$D$156:$D$517,255),0))),"")</f>
        <v/>
      </c>
    </row>
    <row r="1658" spans="1:18" ht="20.100000000000001" customHeight="1">
      <c r="A1658" s="126"/>
      <c r="B1658" s="571"/>
      <c r="C1658" s="573"/>
      <c r="D1658" s="575"/>
      <c r="E1658" s="575"/>
      <c r="F1658" s="128"/>
      <c r="G1658" s="577"/>
      <c r="H1658" s="540"/>
      <c r="I1658" s="579"/>
      <c r="J1658" s="533"/>
      <c r="L1658" s="126"/>
      <c r="N1658" s="126"/>
      <c r="O1658" s="314"/>
      <c r="P1658" s="310"/>
      <c r="Q1658" s="310"/>
      <c r="R1658" s="314" t="str" cm="1">
        <f t="array" ref="R1658">IFERROR(IF(INDEX('Disaggregation Records'!$G$156:$G$517,MATCH(RIGHT(L1658,255),RIGHT('Disaggregation Records'!$D$156:$D$517,255),0))="","",INDEX('Disaggregation Records'!$G$156:$G$517,MATCH(RIGHT(L1658,255),RIGHT('Disaggregation Records'!$D$156:$D$517,255),0))),"")</f>
        <v/>
      </c>
    </row>
    <row r="1659" spans="1:18" ht="20.100000000000001" customHeight="1">
      <c r="A1659" s="126" t="str">
        <f t="shared" ca="1" si="1850"/>
        <v>a16Dm000000M3yYIAS</v>
      </c>
      <c r="B1659" s="570">
        <v>26</v>
      </c>
      <c r="C1659" s="572" t="str">
        <f ca="1">IFERROR(VLOOKUP(B1659,'Coverage Indicators - Section D'!$A$9:$AO$94,41,FALSE),"")</f>
        <v>HTS-3f Number of people in prisons and other closed settings that have received an HIV test during the reporting period and know their results</v>
      </c>
      <c r="D1659" s="574" t="str">
        <f ca="1">M1659</f>
        <v/>
      </c>
      <c r="E1659" s="574" t="str">
        <f ca="1">N1659</f>
        <v/>
      </c>
      <c r="F1659" s="127"/>
      <c r="G1659" s="576" t="str">
        <f ca="1">IF(OR(INDIRECT("'update Helper'!E"&amp;Q1659)="",F1659&lt;&gt;0,F1660&lt;&gt;0),IF(IFERROR((F1659/F1660),"")="","",(F1659/F1660)),INDIRECT("'update Helper'!E"&amp;Q1659)/100)</f>
        <v/>
      </c>
      <c r="H1659" s="539"/>
      <c r="I1659" s="578"/>
      <c r="J1659" s="532"/>
      <c r="K1659" s="126">
        <f ca="1">IF(AND(EXACT(C1659,C1657),C1657&lt;&gt;0),K1657+1,0)</f>
        <v>19</v>
      </c>
      <c r="L1659" s="126" t="str">
        <f t="shared" ref="L1659" ca="1" si="1859">IF(C1659&lt;&gt;"",C1659&amp;"-"&amp;K1659,"")</f>
        <v>HTS-3f Number of people in prisons and other closed settings that have received an HIV test during the reporting period and know their results-19</v>
      </c>
      <c r="M1659" s="126" t="str">
        <f t="array" aca="1" ref="M1659" ca="1">IFERROR(IF(INDEX('Disaggregation Records'!$E$156:$E$517,MATCH(RIGHT(L1659,255),RIGHT('Disaggregation Records'!$D$156:$D$517,255),0))="","",INDEX('Disaggregation Records'!$E$156:$E$517,MATCH(RIGHT(L1659,255),RIGHT('Disaggregation Records'!$D$156:$D$517,255),0))),"")</f>
        <v/>
      </c>
      <c r="N1659" s="126" t="str">
        <f t="array" aca="1" ref="N1659" ca="1">IFERROR(IF(INDEX('Disaggregation Records'!$F$156:$F$517,MATCH(RIGHT(L1659,255),RIGHT('Disaggregation Records'!$D$156:$D$517,255),0))="","",INDEX('Disaggregation Records'!$F$156:$F$517,MATCH(RIGHT(L1659,255),RIGHT('Disaggregation Records'!$D$156:$D$517,255),0))),"")</f>
        <v/>
      </c>
      <c r="O1659" s="314" t="str">
        <f t="array" aca="1" ref="O1659" ca="1">IFERROR(IF(INDEX('Disaggregation Records'!$H$156:$H$517,MATCH(RIGHT(L1659,255),RIGHT('Disaggregation Records'!$D$156:$D$517,255),0))="","",INDEX('Disaggregation Records'!$H$156:$H$517,MATCH(RIGHT(L1659,255),RIGHT('Disaggregation Records'!$D$156:$D$517,255),0))),"")</f>
        <v/>
      </c>
      <c r="P1659" s="310"/>
      <c r="Q1659" s="310">
        <f t="shared" ref="Q1659" si="1860">Q1657+1</f>
        <v>2131</v>
      </c>
      <c r="R1659" s="314" t="str" cm="1">
        <f t="array" aca="1" ref="R1659" ca="1">IFERROR(IF(INDEX('Disaggregation Records'!$G$156:$G$517,MATCH(RIGHT(L1659,255),RIGHT('Disaggregation Records'!$D$156:$D$517,255),0))="","",INDEX('Disaggregation Records'!$G$156:$G$517,MATCH(RIGHT(L1659,255),RIGHT('Disaggregation Records'!$D$156:$D$517,255),0))),"")</f>
        <v/>
      </c>
    </row>
    <row r="1660" spans="1:18" ht="20.100000000000001" customHeight="1">
      <c r="B1660" s="571"/>
      <c r="C1660" s="573"/>
      <c r="D1660" s="575"/>
      <c r="E1660" s="575"/>
      <c r="F1660" s="128"/>
      <c r="G1660" s="577"/>
      <c r="H1660" s="540"/>
      <c r="I1660" s="579"/>
      <c r="J1660" s="533"/>
      <c r="L1660" s="126"/>
      <c r="N1660" s="126"/>
      <c r="O1660" s="314"/>
      <c r="P1660" s="310"/>
      <c r="Q1660" s="310"/>
      <c r="R1660" s="314" t="str" cm="1">
        <f t="array" ref="R1660">IFERROR(IF(INDEX('Disaggregation Records'!$G$156:$G$517,MATCH(RIGHT(L1660,255),RIGHT('Disaggregation Records'!$D$156:$D$517,255),0))="","",INDEX('Disaggregation Records'!$G$156:$G$517,MATCH(RIGHT(L1660,255),RIGHT('Disaggregation Records'!$D$156:$D$517,255),0))),"")</f>
        <v/>
      </c>
    </row>
    <row r="1661" spans="1:18" ht="20.100000000000001" customHeight="1">
      <c r="A1661" s="126" t="str">
        <f t="shared" ca="1" si="1847"/>
        <v>a16Dm000000M3yZIAS</v>
      </c>
      <c r="B1661" s="570">
        <v>27</v>
      </c>
      <c r="C1661" s="572" t="str">
        <f ca="1">IFERROR(VLOOKUP(B1661,'Coverage Indicators - Section D'!$A$9:$AO$94,41,FALSE),"")</f>
        <v>HTS-6 Number of individual HIV self-test kits distributed</v>
      </c>
      <c r="D1661" s="574" t="str">
        <f ca="1">M1661</f>
        <v/>
      </c>
      <c r="E1661" s="574" t="str">
        <f ca="1">N1661</f>
        <v/>
      </c>
      <c r="F1661" s="127"/>
      <c r="G1661" s="576" t="str">
        <f ca="1">IF(OR(INDIRECT("'update Helper'!E"&amp;Q1661)="",F1661&lt;&gt;0,F1662&lt;&gt;0),IF(IFERROR((F1661/F1662),"")="","",(F1661/F1662)),INDIRECT("'update Helper'!E"&amp;Q1661)/100)</f>
        <v/>
      </c>
      <c r="H1661" s="539"/>
      <c r="I1661" s="578"/>
      <c r="J1661" s="532"/>
      <c r="K1661" s="126">
        <f ca="1">IF(AND(EXACT(C1661,C1659),C1659&lt;&gt;0),K1659+1,0)</f>
        <v>0</v>
      </c>
      <c r="L1661" s="126" t="str">
        <f t="shared" ref="L1661" ca="1" si="1861">IF(C1661&lt;&gt;"",C1661&amp;"-"&amp;K1661,"")</f>
        <v>HTS-6 Number of individual HIV self-test kits distributed-0</v>
      </c>
      <c r="M1661" s="126" t="str">
        <f t="array" aca="1" ref="M1661" ca="1">IFERROR(IF(INDEX('Disaggregation Records'!$E$156:$E$517,MATCH(RIGHT(L1661,255),RIGHT('Disaggregation Records'!$D$156:$D$517,255),0))="","",INDEX('Disaggregation Records'!$E$156:$E$517,MATCH(RIGHT(L1661,255),RIGHT('Disaggregation Records'!$D$156:$D$517,255),0))),"")</f>
        <v/>
      </c>
      <c r="N1661" s="126" t="str">
        <f t="array" aca="1" ref="N1661" ca="1">IFERROR(IF(INDEX('Disaggregation Records'!$F$156:$F$517,MATCH(RIGHT(L1661,255),RIGHT('Disaggregation Records'!$D$156:$D$517,255),0))="","",INDEX('Disaggregation Records'!$F$156:$F$517,MATCH(RIGHT(L1661,255),RIGHT('Disaggregation Records'!$D$156:$D$517,255),0))),"")</f>
        <v/>
      </c>
      <c r="O1661" s="314" t="str">
        <f t="array" aca="1" ref="O1661" ca="1">IFERROR(IF(INDEX('Disaggregation Records'!$H$156:$H$517,MATCH(RIGHT(L1661,255),RIGHT('Disaggregation Records'!$D$156:$D$517,255),0))="","",INDEX('Disaggregation Records'!$H$156:$H$517,MATCH(RIGHT(L1661,255),RIGHT('Disaggregation Records'!$D$156:$D$517,255),0))),"")</f>
        <v/>
      </c>
      <c r="P1661" s="314"/>
      <c r="Q1661" s="310">
        <f t="shared" ref="Q1661" si="1862">Q1659+1</f>
        <v>2132</v>
      </c>
      <c r="R1661" s="314" t="str" cm="1">
        <f t="array" aca="1" ref="R1661" ca="1">IFERROR(IF(INDEX('Disaggregation Records'!$G$156:$G$517,MATCH(RIGHT(L1661,255),RIGHT('Disaggregation Records'!$D$156:$D$517,255),0))="","",INDEX('Disaggregation Records'!$G$156:$G$517,MATCH(RIGHT(L1661,255),RIGHT('Disaggregation Records'!$D$156:$D$517,255),0))),"")</f>
        <v/>
      </c>
    </row>
    <row r="1662" spans="1:18" ht="20.100000000000001" customHeight="1">
      <c r="A1662" s="126"/>
      <c r="B1662" s="571"/>
      <c r="C1662" s="573"/>
      <c r="D1662" s="575"/>
      <c r="E1662" s="575"/>
      <c r="F1662" s="128"/>
      <c r="G1662" s="577"/>
      <c r="H1662" s="540"/>
      <c r="I1662" s="579"/>
      <c r="J1662" s="533"/>
      <c r="K1662" s="126"/>
      <c r="L1662" s="126"/>
      <c r="M1662" s="126"/>
      <c r="N1662" s="126"/>
      <c r="O1662" s="314"/>
      <c r="P1662" s="314"/>
      <c r="Q1662" s="310"/>
      <c r="R1662" s="314" t="str" cm="1">
        <f t="array" ref="R1662">IFERROR(IF(INDEX('Disaggregation Records'!$G$156:$G$517,MATCH(RIGHT(L1662,255),RIGHT('Disaggregation Records'!$D$156:$D$517,255),0))="","",INDEX('Disaggregation Records'!$G$156:$G$517,MATCH(RIGHT(L1662,255),RIGHT('Disaggregation Records'!$D$156:$D$517,255),0))),"")</f>
        <v/>
      </c>
    </row>
    <row r="1663" spans="1:18" ht="20.100000000000001" customHeight="1">
      <c r="A1663" s="126" t="str">
        <f t="shared" ca="1" si="1850"/>
        <v>a16Dm000000M3yaIAC</v>
      </c>
      <c r="B1663" s="570">
        <v>27</v>
      </c>
      <c r="C1663" s="572" t="str">
        <f ca="1">IFERROR(VLOOKUP(B1663,'Coverage Indicators - Section D'!$A$9:$AO$94,41,FALSE),"")</f>
        <v>HTS-6 Number of individual HIV self-test kits distributed</v>
      </c>
      <c r="D1663" s="574" t="str">
        <f ca="1">M1663</f>
        <v/>
      </c>
      <c r="E1663" s="574" t="str">
        <f ca="1">N1663</f>
        <v/>
      </c>
      <c r="F1663" s="127"/>
      <c r="G1663" s="576" t="str">
        <f ca="1">IF(OR(INDIRECT("'update Helper'!E"&amp;Q1663)="",F1663&lt;&gt;0,F1664&lt;&gt;0),IF(IFERROR((F1663/F1664),"")="","",(F1663/F1664)),INDIRECT("'update Helper'!E"&amp;Q1663)/100)</f>
        <v/>
      </c>
      <c r="H1663" s="539"/>
      <c r="I1663" s="578"/>
      <c r="J1663" s="532"/>
      <c r="K1663" s="126">
        <f ca="1">IF(AND(EXACT(C1663,C1661),C1661&lt;&gt;0),K1661+1,0)</f>
        <v>1</v>
      </c>
      <c r="L1663" s="126" t="str">
        <f t="shared" ref="L1663" ca="1" si="1863">IF(C1663&lt;&gt;"",C1663&amp;"-"&amp;K1663,"")</f>
        <v>HTS-6 Number of individual HIV self-test kits distributed-1</v>
      </c>
      <c r="M1663" s="126" t="str">
        <f t="array" aca="1" ref="M1663" ca="1">IFERROR(IF(INDEX('Disaggregation Records'!$E$156:$E$517,MATCH(RIGHT(L1663,255),RIGHT('Disaggregation Records'!$D$156:$D$517,255),0))="","",INDEX('Disaggregation Records'!$E$156:$E$517,MATCH(RIGHT(L1663,255),RIGHT('Disaggregation Records'!$D$156:$D$517,255),0))),"")</f>
        <v/>
      </c>
      <c r="N1663" s="126" t="str">
        <f t="array" aca="1" ref="N1663" ca="1">IFERROR(IF(INDEX('Disaggregation Records'!$F$156:$F$517,MATCH(RIGHT(L1663,255),RIGHT('Disaggregation Records'!$D$156:$D$517,255),0))="","",INDEX('Disaggregation Records'!$F$156:$F$517,MATCH(RIGHT(L1663,255),RIGHT('Disaggregation Records'!$D$156:$D$517,255),0))),"")</f>
        <v/>
      </c>
      <c r="O1663" s="314" t="str">
        <f t="array" aca="1" ref="O1663" ca="1">IFERROR(IF(INDEX('Disaggregation Records'!$H$156:$H$517,MATCH(RIGHT(L1663,255),RIGHT('Disaggregation Records'!$D$156:$D$517,255),0))="","",INDEX('Disaggregation Records'!$H$156:$H$517,MATCH(RIGHT(L1663,255),RIGHT('Disaggregation Records'!$D$156:$D$517,255),0))),"")</f>
        <v/>
      </c>
      <c r="P1663" s="314"/>
      <c r="Q1663" s="310">
        <f t="shared" ref="Q1663" si="1864">Q1661+1</f>
        <v>2133</v>
      </c>
      <c r="R1663" s="314" t="str" cm="1">
        <f t="array" aca="1" ref="R1663" ca="1">IFERROR(IF(INDEX('Disaggregation Records'!$G$156:$G$517,MATCH(RIGHT(L1663,255),RIGHT('Disaggregation Records'!$D$156:$D$517,255),0))="","",INDEX('Disaggregation Records'!$G$156:$G$517,MATCH(RIGHT(L1663,255),RIGHT('Disaggregation Records'!$D$156:$D$517,255),0))),"")</f>
        <v/>
      </c>
    </row>
    <row r="1664" spans="1:18" ht="20.100000000000001" customHeight="1">
      <c r="B1664" s="571"/>
      <c r="C1664" s="573"/>
      <c r="D1664" s="575"/>
      <c r="E1664" s="575"/>
      <c r="F1664" s="128"/>
      <c r="G1664" s="577"/>
      <c r="H1664" s="540"/>
      <c r="I1664" s="579"/>
      <c r="J1664" s="533"/>
      <c r="K1664" s="126"/>
      <c r="L1664" s="126"/>
      <c r="M1664" s="126"/>
      <c r="N1664" s="126"/>
      <c r="O1664" s="314"/>
      <c r="P1664" s="314"/>
      <c r="Q1664" s="310"/>
      <c r="R1664" s="314" t="str" cm="1">
        <f t="array" ref="R1664">IFERROR(IF(INDEX('Disaggregation Records'!$G$156:$G$517,MATCH(RIGHT(L1664,255),RIGHT('Disaggregation Records'!$D$156:$D$517,255),0))="","",INDEX('Disaggregation Records'!$G$156:$G$517,MATCH(RIGHT(L1664,255),RIGHT('Disaggregation Records'!$D$156:$D$517,255),0))),"")</f>
        <v/>
      </c>
    </row>
    <row r="1665" spans="1:18" ht="20.100000000000001" customHeight="1">
      <c r="A1665" s="126" t="str">
        <f t="shared" ca="1" si="1847"/>
        <v>a16Dm000000M3ybIAC</v>
      </c>
      <c r="B1665" s="570">
        <v>27</v>
      </c>
      <c r="C1665" s="572" t="str">
        <f ca="1">IFERROR(VLOOKUP(B1665,'Coverage Indicators - Section D'!$A$9:$AO$94,41,FALSE),"")</f>
        <v>HTS-6 Number of individual HIV self-test kits distributed</v>
      </c>
      <c r="D1665" s="574" t="str">
        <f ca="1">M1665</f>
        <v/>
      </c>
      <c r="E1665" s="574" t="str">
        <f ca="1">N1665</f>
        <v/>
      </c>
      <c r="F1665" s="127"/>
      <c r="G1665" s="576" t="str">
        <f ca="1">IF(OR(INDIRECT("'update Helper'!E"&amp;Q1665)="",F1665&lt;&gt;0,F1666&lt;&gt;0),IF(IFERROR((F1665/F1666),"")="","",(F1665/F1666)),INDIRECT("'update Helper'!E"&amp;Q1665)/100)</f>
        <v/>
      </c>
      <c r="H1665" s="539"/>
      <c r="I1665" s="578"/>
      <c r="J1665" s="532"/>
      <c r="K1665" s="126">
        <f ca="1">IF(AND(EXACT(C1665,C1663),C1663&lt;&gt;0),K1663+1,0)</f>
        <v>2</v>
      </c>
      <c r="L1665" s="126" t="str">
        <f t="shared" ref="L1665" ca="1" si="1865">IF(C1665&lt;&gt;"",C1665&amp;"-"&amp;K1665,"")</f>
        <v>HTS-6 Number of individual HIV self-test kits distributed-2</v>
      </c>
      <c r="M1665" s="126" t="str">
        <f t="array" aca="1" ref="M1665" ca="1">IFERROR(IF(INDEX('Disaggregation Records'!$E$156:$E$517,MATCH(RIGHT(L1665,255),RIGHT('Disaggregation Records'!$D$156:$D$517,255),0))="","",INDEX('Disaggregation Records'!$E$156:$E$517,MATCH(RIGHT(L1665,255),RIGHT('Disaggregation Records'!$D$156:$D$517,255),0))),"")</f>
        <v/>
      </c>
      <c r="N1665" s="126" t="str">
        <f t="array" aca="1" ref="N1665" ca="1">IFERROR(IF(INDEX('Disaggregation Records'!$F$156:$F$517,MATCH(RIGHT(L1665,255),RIGHT('Disaggregation Records'!$D$156:$D$517,255),0))="","",INDEX('Disaggregation Records'!$F$156:$F$517,MATCH(RIGHT(L1665,255),RIGHT('Disaggregation Records'!$D$156:$D$517,255),0))),"")</f>
        <v/>
      </c>
      <c r="O1665" s="314" t="str">
        <f t="array" aca="1" ref="O1665" ca="1">IFERROR(IF(INDEX('Disaggregation Records'!$H$156:$H$517,MATCH(RIGHT(L1665,255),RIGHT('Disaggregation Records'!$D$156:$D$517,255),0))="","",INDEX('Disaggregation Records'!$H$156:$H$517,MATCH(RIGHT(L1665,255),RIGHT('Disaggregation Records'!$D$156:$D$517,255),0))),"")</f>
        <v/>
      </c>
      <c r="P1665" s="310"/>
      <c r="Q1665" s="310">
        <f t="shared" ref="Q1665" si="1866">Q1663+1</f>
        <v>2134</v>
      </c>
      <c r="R1665" s="314" t="str" cm="1">
        <f t="array" aca="1" ref="R1665" ca="1">IFERROR(IF(INDEX('Disaggregation Records'!$G$156:$G$517,MATCH(RIGHT(L1665,255),RIGHT('Disaggregation Records'!$D$156:$D$517,255),0))="","",INDEX('Disaggregation Records'!$G$156:$G$517,MATCH(RIGHT(L1665,255),RIGHT('Disaggregation Records'!$D$156:$D$517,255),0))),"")</f>
        <v/>
      </c>
    </row>
    <row r="1666" spans="1:18" ht="20.100000000000001" customHeight="1">
      <c r="A1666" s="126"/>
      <c r="B1666" s="571"/>
      <c r="C1666" s="573"/>
      <c r="D1666" s="575"/>
      <c r="E1666" s="575"/>
      <c r="F1666" s="128"/>
      <c r="G1666" s="577"/>
      <c r="H1666" s="540"/>
      <c r="I1666" s="579"/>
      <c r="J1666" s="533"/>
      <c r="L1666" s="126"/>
      <c r="N1666" s="126"/>
      <c r="O1666" s="314"/>
      <c r="P1666" s="310"/>
      <c r="Q1666" s="310"/>
      <c r="R1666" s="314" t="str" cm="1">
        <f t="array" ref="R1666">IFERROR(IF(INDEX('Disaggregation Records'!$G$156:$G$517,MATCH(RIGHT(L1666,255),RIGHT('Disaggregation Records'!$D$156:$D$517,255),0))="","",INDEX('Disaggregation Records'!$G$156:$G$517,MATCH(RIGHT(L1666,255),RIGHT('Disaggregation Records'!$D$156:$D$517,255),0))),"")</f>
        <v/>
      </c>
    </row>
    <row r="1667" spans="1:18" ht="20.100000000000001" customHeight="1">
      <c r="A1667" s="126" t="str">
        <f t="shared" ca="1" si="1850"/>
        <v>a16Dm000000M3ycIAC</v>
      </c>
      <c r="B1667" s="570">
        <v>27</v>
      </c>
      <c r="C1667" s="572" t="str">
        <f ca="1">IFERROR(VLOOKUP(B1667,'Coverage Indicators - Section D'!$A$9:$AO$94,41,FALSE),"")</f>
        <v>HTS-6 Number of individual HIV self-test kits distributed</v>
      </c>
      <c r="D1667" s="574" t="str">
        <f ca="1">M1667</f>
        <v/>
      </c>
      <c r="E1667" s="574" t="str">
        <f ca="1">N1667</f>
        <v/>
      </c>
      <c r="F1667" s="127"/>
      <c r="G1667" s="576" t="str">
        <f ca="1">IF(OR(INDIRECT("'update Helper'!E"&amp;Q1667)="",F1667&lt;&gt;0,F1668&lt;&gt;0),IF(IFERROR((F1667/F1668),"")="","",(F1667/F1668)),INDIRECT("'update Helper'!E"&amp;Q1667)/100)</f>
        <v/>
      </c>
      <c r="H1667" s="539"/>
      <c r="I1667" s="578"/>
      <c r="J1667" s="532"/>
      <c r="K1667" s="126">
        <f ca="1">IF(AND(EXACT(C1667,C1665),C1665&lt;&gt;0),K1665+1,0)</f>
        <v>3</v>
      </c>
      <c r="L1667" s="126" t="str">
        <f t="shared" ref="L1667" ca="1" si="1867">IF(C1667&lt;&gt;"",C1667&amp;"-"&amp;K1667,"")</f>
        <v>HTS-6 Number of individual HIV self-test kits distributed-3</v>
      </c>
      <c r="M1667" s="126" t="str">
        <f t="array" aca="1" ref="M1667" ca="1">IFERROR(IF(INDEX('Disaggregation Records'!$E$156:$E$517,MATCH(RIGHT(L1667,255),RIGHT('Disaggregation Records'!$D$156:$D$517,255),0))="","",INDEX('Disaggregation Records'!$E$156:$E$517,MATCH(RIGHT(L1667,255),RIGHT('Disaggregation Records'!$D$156:$D$517,255),0))),"")</f>
        <v/>
      </c>
      <c r="N1667" s="126" t="str">
        <f t="array" aca="1" ref="N1667" ca="1">IFERROR(IF(INDEX('Disaggregation Records'!$F$156:$F$517,MATCH(RIGHT(L1667,255),RIGHT('Disaggregation Records'!$D$156:$D$517,255),0))="","",INDEX('Disaggregation Records'!$F$156:$F$517,MATCH(RIGHT(L1667,255),RIGHT('Disaggregation Records'!$D$156:$D$517,255),0))),"")</f>
        <v/>
      </c>
      <c r="O1667" s="314" t="str">
        <f t="array" aca="1" ref="O1667" ca="1">IFERROR(IF(INDEX('Disaggregation Records'!$H$156:$H$517,MATCH(RIGHT(L1667,255),RIGHT('Disaggregation Records'!$D$156:$D$517,255),0))="","",INDEX('Disaggregation Records'!$H$156:$H$517,MATCH(RIGHT(L1667,255),RIGHT('Disaggregation Records'!$D$156:$D$517,255),0))),"")</f>
        <v/>
      </c>
      <c r="P1667" s="310"/>
      <c r="Q1667" s="310">
        <f t="shared" ref="Q1667" si="1868">Q1665+1</f>
        <v>2135</v>
      </c>
      <c r="R1667" s="314" t="str" cm="1">
        <f t="array" aca="1" ref="R1667" ca="1">IFERROR(IF(INDEX('Disaggregation Records'!$G$156:$G$517,MATCH(RIGHT(L1667,255),RIGHT('Disaggregation Records'!$D$156:$D$517,255),0))="","",INDEX('Disaggregation Records'!$G$156:$G$517,MATCH(RIGHT(L1667,255),RIGHT('Disaggregation Records'!$D$156:$D$517,255),0))),"")</f>
        <v/>
      </c>
    </row>
    <row r="1668" spans="1:18" ht="20.100000000000001" customHeight="1">
      <c r="B1668" s="571"/>
      <c r="C1668" s="573"/>
      <c r="D1668" s="575"/>
      <c r="E1668" s="575"/>
      <c r="F1668" s="128"/>
      <c r="G1668" s="577"/>
      <c r="H1668" s="540"/>
      <c r="I1668" s="579"/>
      <c r="J1668" s="533"/>
      <c r="L1668" s="126"/>
      <c r="N1668" s="126"/>
      <c r="O1668" s="314"/>
      <c r="P1668" s="310"/>
      <c r="Q1668" s="310"/>
      <c r="R1668" s="314" t="str" cm="1">
        <f t="array" ref="R1668">IFERROR(IF(INDEX('Disaggregation Records'!$G$156:$G$517,MATCH(RIGHT(L1668,255),RIGHT('Disaggregation Records'!$D$156:$D$517,255),0))="","",INDEX('Disaggregation Records'!$G$156:$G$517,MATCH(RIGHT(L1668,255),RIGHT('Disaggregation Records'!$D$156:$D$517,255),0))),"")</f>
        <v/>
      </c>
    </row>
    <row r="1669" spans="1:18" ht="20.100000000000001" customHeight="1">
      <c r="A1669" s="126" t="str">
        <f t="shared" ca="1" si="1847"/>
        <v>a16Dm000000M3ydIAC</v>
      </c>
      <c r="B1669" s="570">
        <v>27</v>
      </c>
      <c r="C1669" s="572" t="str">
        <f ca="1">IFERROR(VLOOKUP(B1669,'Coverage Indicators - Section D'!$A$9:$AO$94,41,FALSE),"")</f>
        <v>HTS-6 Number of individual HIV self-test kits distributed</v>
      </c>
      <c r="D1669" s="574" t="str">
        <f ca="1">M1669</f>
        <v/>
      </c>
      <c r="E1669" s="574" t="str">
        <f ca="1">N1669</f>
        <v/>
      </c>
      <c r="F1669" s="127"/>
      <c r="G1669" s="576" t="str">
        <f ca="1">IF(OR(INDIRECT("'update Helper'!E"&amp;Q1669)="",F1669&lt;&gt;0,F1670&lt;&gt;0),IF(IFERROR((F1669/F1670),"")="","",(F1669/F1670)),INDIRECT("'update Helper'!E"&amp;Q1669)/100)</f>
        <v/>
      </c>
      <c r="H1669" s="539"/>
      <c r="I1669" s="578"/>
      <c r="J1669" s="532"/>
      <c r="K1669" s="126">
        <f ca="1">IF(AND(EXACT(C1669,C1667),C1667&lt;&gt;0),K1667+1,0)</f>
        <v>4</v>
      </c>
      <c r="L1669" s="126" t="str">
        <f t="shared" ref="L1669" ca="1" si="1869">IF(C1669&lt;&gt;"",C1669&amp;"-"&amp;K1669,"")</f>
        <v>HTS-6 Number of individual HIV self-test kits distributed-4</v>
      </c>
      <c r="M1669" s="126" t="str">
        <f t="array" aca="1" ref="M1669" ca="1">IFERROR(IF(INDEX('Disaggregation Records'!$E$156:$E$517,MATCH(RIGHT(L1669,255),RIGHT('Disaggregation Records'!$D$156:$D$517,255),0))="","",INDEX('Disaggregation Records'!$E$156:$E$517,MATCH(RIGHT(L1669,255),RIGHT('Disaggregation Records'!$D$156:$D$517,255),0))),"")</f>
        <v/>
      </c>
      <c r="N1669" s="126" t="str">
        <f t="array" aca="1" ref="N1669" ca="1">IFERROR(IF(INDEX('Disaggregation Records'!$F$156:$F$517,MATCH(RIGHT(L1669,255),RIGHT('Disaggregation Records'!$D$156:$D$517,255),0))="","",INDEX('Disaggregation Records'!$F$156:$F$517,MATCH(RIGHT(L1669,255),RIGHT('Disaggregation Records'!$D$156:$D$517,255),0))),"")</f>
        <v/>
      </c>
      <c r="O1669" s="314" t="str">
        <f t="array" aca="1" ref="O1669" ca="1">IFERROR(IF(INDEX('Disaggregation Records'!$H$156:$H$517,MATCH(RIGHT(L1669,255),RIGHT('Disaggregation Records'!$D$156:$D$517,255),0))="","",INDEX('Disaggregation Records'!$H$156:$H$517,MATCH(RIGHT(L1669,255),RIGHT('Disaggregation Records'!$D$156:$D$517,255),0))),"")</f>
        <v/>
      </c>
      <c r="P1669" s="310"/>
      <c r="Q1669" s="310">
        <f t="shared" ref="Q1669" si="1870">Q1667+1</f>
        <v>2136</v>
      </c>
      <c r="R1669" s="314" t="str" cm="1">
        <f t="array" aca="1" ref="R1669" ca="1">IFERROR(IF(INDEX('Disaggregation Records'!$G$156:$G$517,MATCH(RIGHT(L1669,255),RIGHT('Disaggregation Records'!$D$156:$D$517,255),0))="","",INDEX('Disaggregation Records'!$G$156:$G$517,MATCH(RIGHT(L1669,255),RIGHT('Disaggregation Records'!$D$156:$D$517,255),0))),"")</f>
        <v/>
      </c>
    </row>
    <row r="1670" spans="1:18" ht="20.100000000000001" customHeight="1">
      <c r="A1670" s="126"/>
      <c r="B1670" s="571"/>
      <c r="C1670" s="573"/>
      <c r="D1670" s="575"/>
      <c r="E1670" s="575"/>
      <c r="F1670" s="128"/>
      <c r="G1670" s="577"/>
      <c r="H1670" s="540"/>
      <c r="I1670" s="579"/>
      <c r="J1670" s="533"/>
      <c r="L1670" s="126"/>
      <c r="N1670" s="126"/>
      <c r="O1670" s="314"/>
      <c r="P1670" s="310"/>
      <c r="Q1670" s="310"/>
      <c r="R1670" s="314" t="str" cm="1">
        <f t="array" ref="R1670">IFERROR(IF(INDEX('Disaggregation Records'!$G$156:$G$517,MATCH(RIGHT(L1670,255),RIGHT('Disaggregation Records'!$D$156:$D$517,255),0))="","",INDEX('Disaggregation Records'!$G$156:$G$517,MATCH(RIGHT(L1670,255),RIGHT('Disaggregation Records'!$D$156:$D$517,255),0))),"")</f>
        <v/>
      </c>
    </row>
    <row r="1671" spans="1:18" ht="20.100000000000001" customHeight="1">
      <c r="A1671" s="126" t="str">
        <f t="shared" ca="1" si="1850"/>
        <v>a16Dm000000M3yeIAC</v>
      </c>
      <c r="B1671" s="570">
        <v>27</v>
      </c>
      <c r="C1671" s="572" t="str">
        <f ca="1">IFERROR(VLOOKUP(B1671,'Coverage Indicators - Section D'!$A$9:$AO$94,41,FALSE),"")</f>
        <v>HTS-6 Number of individual HIV self-test kits distributed</v>
      </c>
      <c r="D1671" s="574" t="str">
        <f ca="1">M1671</f>
        <v/>
      </c>
      <c r="E1671" s="574" t="str">
        <f ca="1">N1671</f>
        <v/>
      </c>
      <c r="F1671" s="127"/>
      <c r="G1671" s="576" t="str">
        <f ca="1">IF(OR(INDIRECT("'update Helper'!E"&amp;Q1671)="",F1671&lt;&gt;0,F1672&lt;&gt;0),IF(IFERROR((F1671/F1672),"")="","",(F1671/F1672)),INDIRECT("'update Helper'!E"&amp;Q1671)/100)</f>
        <v/>
      </c>
      <c r="H1671" s="539"/>
      <c r="I1671" s="578"/>
      <c r="J1671" s="532"/>
      <c r="K1671" s="126">
        <f ca="1">IF(AND(EXACT(C1671,C1669),C1669&lt;&gt;0),K1669+1,0)</f>
        <v>5</v>
      </c>
      <c r="L1671" s="126" t="str">
        <f t="shared" ref="L1671" ca="1" si="1871">IF(C1671&lt;&gt;"",C1671&amp;"-"&amp;K1671,"")</f>
        <v>HTS-6 Number of individual HIV self-test kits distributed-5</v>
      </c>
      <c r="M1671" s="126" t="str">
        <f t="array" aca="1" ref="M1671" ca="1">IFERROR(IF(INDEX('Disaggregation Records'!$E$156:$E$517,MATCH(RIGHT(L1671,255),RIGHT('Disaggregation Records'!$D$156:$D$517,255),0))="","",INDEX('Disaggregation Records'!$E$156:$E$517,MATCH(RIGHT(L1671,255),RIGHT('Disaggregation Records'!$D$156:$D$517,255),0))),"")</f>
        <v/>
      </c>
      <c r="N1671" s="126" t="str">
        <f t="array" aca="1" ref="N1671" ca="1">IFERROR(IF(INDEX('Disaggregation Records'!$F$156:$F$517,MATCH(RIGHT(L1671,255),RIGHT('Disaggregation Records'!$D$156:$D$517,255),0))="","",INDEX('Disaggregation Records'!$F$156:$F$517,MATCH(RIGHT(L1671,255),RIGHT('Disaggregation Records'!$D$156:$D$517,255),0))),"")</f>
        <v/>
      </c>
      <c r="O1671" s="314" t="str">
        <f t="array" aca="1" ref="O1671" ca="1">IFERROR(IF(INDEX('Disaggregation Records'!$H$156:$H$517,MATCH(RIGHT(L1671,255),RIGHT('Disaggregation Records'!$D$156:$D$517,255),0))="","",INDEX('Disaggregation Records'!$H$156:$H$517,MATCH(RIGHT(L1671,255),RIGHT('Disaggregation Records'!$D$156:$D$517,255),0))),"")</f>
        <v/>
      </c>
      <c r="P1671" s="314"/>
      <c r="Q1671" s="310">
        <f t="shared" ref="Q1671" si="1872">Q1669+1</f>
        <v>2137</v>
      </c>
      <c r="R1671" s="314" t="str" cm="1">
        <f t="array" aca="1" ref="R1671" ca="1">IFERROR(IF(INDEX('Disaggregation Records'!$G$156:$G$517,MATCH(RIGHT(L1671,255),RIGHT('Disaggregation Records'!$D$156:$D$517,255),0))="","",INDEX('Disaggregation Records'!$G$156:$G$517,MATCH(RIGHT(L1671,255),RIGHT('Disaggregation Records'!$D$156:$D$517,255),0))),"")</f>
        <v/>
      </c>
    </row>
    <row r="1672" spans="1:18" ht="20.100000000000001" customHeight="1">
      <c r="B1672" s="571"/>
      <c r="C1672" s="573"/>
      <c r="D1672" s="575"/>
      <c r="E1672" s="575"/>
      <c r="F1672" s="128"/>
      <c r="G1672" s="577"/>
      <c r="H1672" s="540"/>
      <c r="I1672" s="579"/>
      <c r="J1672" s="533"/>
      <c r="K1672" s="126"/>
      <c r="L1672" s="126"/>
      <c r="M1672" s="126"/>
      <c r="N1672" s="126"/>
      <c r="O1672" s="314"/>
      <c r="P1672" s="314"/>
      <c r="Q1672" s="310"/>
      <c r="R1672" s="314" t="str" cm="1">
        <f t="array" ref="R1672">IFERROR(IF(INDEX('Disaggregation Records'!$G$156:$G$517,MATCH(RIGHT(L1672,255),RIGHT('Disaggregation Records'!$D$156:$D$517,255),0))="","",INDEX('Disaggregation Records'!$G$156:$G$517,MATCH(RIGHT(L1672,255),RIGHT('Disaggregation Records'!$D$156:$D$517,255),0))),"")</f>
        <v/>
      </c>
    </row>
    <row r="1673" spans="1:18" ht="20.100000000000001" customHeight="1">
      <c r="A1673" s="126" t="str">
        <f t="shared" ca="1" si="1847"/>
        <v>a16Dm000000M3yfIAC</v>
      </c>
      <c r="B1673" s="570">
        <v>27</v>
      </c>
      <c r="C1673" s="572" t="str">
        <f ca="1">IFERROR(VLOOKUP(B1673,'Coverage Indicators - Section D'!$A$9:$AO$94,41,FALSE),"")</f>
        <v>HTS-6 Number of individual HIV self-test kits distributed</v>
      </c>
      <c r="D1673" s="574" t="str">
        <f ca="1">M1673</f>
        <v/>
      </c>
      <c r="E1673" s="574" t="str">
        <f ca="1">N1673</f>
        <v/>
      </c>
      <c r="F1673" s="127"/>
      <c r="G1673" s="576" t="str">
        <f ca="1">IF(OR(INDIRECT("'update Helper'!E"&amp;Q1673)="",F1673&lt;&gt;0,F1674&lt;&gt;0),IF(IFERROR((F1673/F1674),"")="","",(F1673/F1674)),INDIRECT("'update Helper'!E"&amp;Q1673)/100)</f>
        <v/>
      </c>
      <c r="H1673" s="539"/>
      <c r="I1673" s="578"/>
      <c r="J1673" s="532"/>
      <c r="K1673" s="126">
        <f ca="1">IF(AND(EXACT(C1673,C1671),C1671&lt;&gt;0),K1671+1,0)</f>
        <v>6</v>
      </c>
      <c r="L1673" s="126" t="str">
        <f t="shared" ref="L1673" ca="1" si="1873">IF(C1673&lt;&gt;"",C1673&amp;"-"&amp;K1673,"")</f>
        <v>HTS-6 Number of individual HIV self-test kits distributed-6</v>
      </c>
      <c r="M1673" s="126" t="str">
        <f t="array" aca="1" ref="M1673" ca="1">IFERROR(IF(INDEX('Disaggregation Records'!$E$156:$E$517,MATCH(RIGHT(L1673,255),RIGHT('Disaggregation Records'!$D$156:$D$517,255),0))="","",INDEX('Disaggregation Records'!$E$156:$E$517,MATCH(RIGHT(L1673,255),RIGHT('Disaggregation Records'!$D$156:$D$517,255),0))),"")</f>
        <v/>
      </c>
      <c r="N1673" s="126" t="str">
        <f t="array" aca="1" ref="N1673" ca="1">IFERROR(IF(INDEX('Disaggregation Records'!$F$156:$F$517,MATCH(RIGHT(L1673,255),RIGHT('Disaggregation Records'!$D$156:$D$517,255),0))="","",INDEX('Disaggregation Records'!$F$156:$F$517,MATCH(RIGHT(L1673,255),RIGHT('Disaggregation Records'!$D$156:$D$517,255),0))),"")</f>
        <v/>
      </c>
      <c r="O1673" s="314" t="str">
        <f t="array" aca="1" ref="O1673" ca="1">IFERROR(IF(INDEX('Disaggregation Records'!$H$156:$H$517,MATCH(RIGHT(L1673,255),RIGHT('Disaggregation Records'!$D$156:$D$517,255),0))="","",INDEX('Disaggregation Records'!$H$156:$H$517,MATCH(RIGHT(L1673,255),RIGHT('Disaggregation Records'!$D$156:$D$517,255),0))),"")</f>
        <v/>
      </c>
      <c r="P1673" s="314"/>
      <c r="Q1673" s="310">
        <f t="shared" ref="Q1673" si="1874">Q1671+1</f>
        <v>2138</v>
      </c>
      <c r="R1673" s="314" t="str" cm="1">
        <f t="array" aca="1" ref="R1673" ca="1">IFERROR(IF(INDEX('Disaggregation Records'!$G$156:$G$517,MATCH(RIGHT(L1673,255),RIGHT('Disaggregation Records'!$D$156:$D$517,255),0))="","",INDEX('Disaggregation Records'!$G$156:$G$517,MATCH(RIGHT(L1673,255),RIGHT('Disaggregation Records'!$D$156:$D$517,255),0))),"")</f>
        <v/>
      </c>
    </row>
    <row r="1674" spans="1:18" ht="20.100000000000001" customHeight="1">
      <c r="A1674" s="126"/>
      <c r="B1674" s="571"/>
      <c r="C1674" s="573"/>
      <c r="D1674" s="575"/>
      <c r="E1674" s="575"/>
      <c r="F1674" s="128"/>
      <c r="G1674" s="577"/>
      <c r="H1674" s="540"/>
      <c r="I1674" s="579"/>
      <c r="J1674" s="533"/>
      <c r="K1674" s="126"/>
      <c r="L1674" s="126"/>
      <c r="M1674" s="126"/>
      <c r="N1674" s="126"/>
      <c r="O1674" s="314"/>
      <c r="P1674" s="314"/>
      <c r="Q1674" s="310"/>
      <c r="R1674" s="314" t="str" cm="1">
        <f t="array" ref="R1674">IFERROR(IF(INDEX('Disaggregation Records'!$G$156:$G$517,MATCH(RIGHT(L1674,255),RIGHT('Disaggregation Records'!$D$156:$D$517,255),0))="","",INDEX('Disaggregation Records'!$G$156:$G$517,MATCH(RIGHT(L1674,255),RIGHT('Disaggregation Records'!$D$156:$D$517,255),0))),"")</f>
        <v/>
      </c>
    </row>
    <row r="1675" spans="1:18" ht="20.100000000000001" customHeight="1">
      <c r="A1675" s="126" t="str">
        <f t="shared" ca="1" si="1850"/>
        <v>a16Dm000000M3ygIAC</v>
      </c>
      <c r="B1675" s="570">
        <v>27</v>
      </c>
      <c r="C1675" s="572" t="str">
        <f ca="1">IFERROR(VLOOKUP(B1675,'Coverage Indicators - Section D'!$A$9:$AO$94,41,FALSE),"")</f>
        <v>HTS-6 Number of individual HIV self-test kits distributed</v>
      </c>
      <c r="D1675" s="574" t="str">
        <f ca="1">M1675</f>
        <v/>
      </c>
      <c r="E1675" s="574" t="str">
        <f ca="1">N1675</f>
        <v/>
      </c>
      <c r="F1675" s="127"/>
      <c r="G1675" s="576" t="str">
        <f ca="1">IF(OR(INDIRECT("'update Helper'!E"&amp;Q1675)="",F1675&lt;&gt;0,F1676&lt;&gt;0),IF(IFERROR((F1675/F1676),"")="","",(F1675/F1676)),INDIRECT("'update Helper'!E"&amp;Q1675)/100)</f>
        <v/>
      </c>
      <c r="H1675" s="539"/>
      <c r="I1675" s="578"/>
      <c r="J1675" s="532"/>
      <c r="K1675" s="126">
        <f ca="1">IF(AND(EXACT(C1675,C1673),C1673&lt;&gt;0),K1673+1,0)</f>
        <v>7</v>
      </c>
      <c r="L1675" s="126" t="str">
        <f t="shared" ref="L1675" ca="1" si="1875">IF(C1675&lt;&gt;"",C1675&amp;"-"&amp;K1675,"")</f>
        <v>HTS-6 Number of individual HIV self-test kits distributed-7</v>
      </c>
      <c r="M1675" s="126" t="str">
        <f t="array" aca="1" ref="M1675" ca="1">IFERROR(IF(INDEX('Disaggregation Records'!$E$156:$E$517,MATCH(RIGHT(L1675,255),RIGHT('Disaggregation Records'!$D$156:$D$517,255),0))="","",INDEX('Disaggregation Records'!$E$156:$E$517,MATCH(RIGHT(L1675,255),RIGHT('Disaggregation Records'!$D$156:$D$517,255),0))),"")</f>
        <v/>
      </c>
      <c r="N1675" s="126" t="str">
        <f t="array" aca="1" ref="N1675" ca="1">IFERROR(IF(INDEX('Disaggregation Records'!$F$156:$F$517,MATCH(RIGHT(L1675,255),RIGHT('Disaggregation Records'!$D$156:$D$517,255),0))="","",INDEX('Disaggregation Records'!$F$156:$F$517,MATCH(RIGHT(L1675,255),RIGHT('Disaggregation Records'!$D$156:$D$517,255),0))),"")</f>
        <v/>
      </c>
      <c r="O1675" s="314" t="str">
        <f t="array" aca="1" ref="O1675" ca="1">IFERROR(IF(INDEX('Disaggregation Records'!$H$156:$H$517,MATCH(RIGHT(L1675,255),RIGHT('Disaggregation Records'!$D$156:$D$517,255),0))="","",INDEX('Disaggregation Records'!$H$156:$H$517,MATCH(RIGHT(L1675,255),RIGHT('Disaggregation Records'!$D$156:$D$517,255),0))),"")</f>
        <v/>
      </c>
      <c r="P1675" s="310"/>
      <c r="Q1675" s="310">
        <f t="shared" ref="Q1675" si="1876">Q1673+1</f>
        <v>2139</v>
      </c>
      <c r="R1675" s="314" t="str" cm="1">
        <f t="array" aca="1" ref="R1675" ca="1">IFERROR(IF(INDEX('Disaggregation Records'!$G$156:$G$517,MATCH(RIGHT(L1675,255),RIGHT('Disaggregation Records'!$D$156:$D$517,255),0))="","",INDEX('Disaggregation Records'!$G$156:$G$517,MATCH(RIGHT(L1675,255),RIGHT('Disaggregation Records'!$D$156:$D$517,255),0))),"")</f>
        <v/>
      </c>
    </row>
    <row r="1676" spans="1:18" ht="20.100000000000001" customHeight="1">
      <c r="B1676" s="571"/>
      <c r="C1676" s="573"/>
      <c r="D1676" s="575"/>
      <c r="E1676" s="575"/>
      <c r="F1676" s="128"/>
      <c r="G1676" s="577"/>
      <c r="H1676" s="540"/>
      <c r="I1676" s="579"/>
      <c r="J1676" s="533"/>
      <c r="L1676" s="126"/>
      <c r="N1676" s="126"/>
      <c r="O1676" s="314"/>
      <c r="P1676" s="310"/>
      <c r="Q1676" s="310"/>
      <c r="R1676" s="314" t="str" cm="1">
        <f t="array" ref="R1676">IFERROR(IF(INDEX('Disaggregation Records'!$G$156:$G$517,MATCH(RIGHT(L1676,255),RIGHT('Disaggregation Records'!$D$156:$D$517,255),0))="","",INDEX('Disaggregation Records'!$G$156:$G$517,MATCH(RIGHT(L1676,255),RIGHT('Disaggregation Records'!$D$156:$D$517,255),0))),"")</f>
        <v/>
      </c>
    </row>
    <row r="1677" spans="1:18" ht="20.100000000000001" customHeight="1">
      <c r="A1677" s="126" t="str">
        <f t="shared" ca="1" si="1847"/>
        <v>a16Dm000000M3yhIAC</v>
      </c>
      <c r="B1677" s="570">
        <v>27</v>
      </c>
      <c r="C1677" s="572" t="str">
        <f ca="1">IFERROR(VLOOKUP(B1677,'Coverage Indicators - Section D'!$A$9:$AO$94,41,FALSE),"")</f>
        <v>HTS-6 Number of individual HIV self-test kits distributed</v>
      </c>
      <c r="D1677" s="574" t="str">
        <f ca="1">M1677</f>
        <v/>
      </c>
      <c r="E1677" s="574" t="str">
        <f ca="1">N1677</f>
        <v/>
      </c>
      <c r="F1677" s="127"/>
      <c r="G1677" s="576" t="str">
        <f ca="1">IF(OR(INDIRECT("'update Helper'!E"&amp;Q1677)="",F1677&lt;&gt;0,F1678&lt;&gt;0),IF(IFERROR((F1677/F1678),"")="","",(F1677/F1678)),INDIRECT("'update Helper'!E"&amp;Q1677)/100)</f>
        <v/>
      </c>
      <c r="H1677" s="539"/>
      <c r="I1677" s="578"/>
      <c r="J1677" s="532"/>
      <c r="K1677" s="126">
        <f ca="1">IF(AND(EXACT(C1677,C1675),C1675&lt;&gt;0),K1675+1,0)</f>
        <v>8</v>
      </c>
      <c r="L1677" s="126" t="str">
        <f t="shared" ref="L1677" ca="1" si="1877">IF(C1677&lt;&gt;"",C1677&amp;"-"&amp;K1677,"")</f>
        <v>HTS-6 Number of individual HIV self-test kits distributed-8</v>
      </c>
      <c r="M1677" s="126" t="str">
        <f t="array" aca="1" ref="M1677" ca="1">IFERROR(IF(INDEX('Disaggregation Records'!$E$156:$E$517,MATCH(RIGHT(L1677,255),RIGHT('Disaggregation Records'!$D$156:$D$517,255),0))="","",INDEX('Disaggregation Records'!$E$156:$E$517,MATCH(RIGHT(L1677,255),RIGHT('Disaggregation Records'!$D$156:$D$517,255),0))),"")</f>
        <v/>
      </c>
      <c r="N1677" s="126" t="str">
        <f t="array" aca="1" ref="N1677" ca="1">IFERROR(IF(INDEX('Disaggregation Records'!$F$156:$F$517,MATCH(RIGHT(L1677,255),RIGHT('Disaggregation Records'!$D$156:$D$517,255),0))="","",INDEX('Disaggregation Records'!$F$156:$F$517,MATCH(RIGHT(L1677,255),RIGHT('Disaggregation Records'!$D$156:$D$517,255),0))),"")</f>
        <v/>
      </c>
      <c r="O1677" s="314" t="str">
        <f t="array" aca="1" ref="O1677" ca="1">IFERROR(IF(INDEX('Disaggregation Records'!$H$156:$H$517,MATCH(RIGHT(L1677,255),RIGHT('Disaggregation Records'!$D$156:$D$517,255),0))="","",INDEX('Disaggregation Records'!$H$156:$H$517,MATCH(RIGHT(L1677,255),RIGHT('Disaggregation Records'!$D$156:$D$517,255),0))),"")</f>
        <v/>
      </c>
      <c r="P1677" s="310"/>
      <c r="Q1677" s="310">
        <f t="shared" ref="Q1677" si="1878">Q1675+1</f>
        <v>2140</v>
      </c>
      <c r="R1677" s="314" t="str" cm="1">
        <f t="array" aca="1" ref="R1677" ca="1">IFERROR(IF(INDEX('Disaggregation Records'!$G$156:$G$517,MATCH(RIGHT(L1677,255),RIGHT('Disaggregation Records'!$D$156:$D$517,255),0))="","",INDEX('Disaggregation Records'!$G$156:$G$517,MATCH(RIGHT(L1677,255),RIGHT('Disaggregation Records'!$D$156:$D$517,255),0))),"")</f>
        <v/>
      </c>
    </row>
    <row r="1678" spans="1:18" ht="20.100000000000001" customHeight="1">
      <c r="A1678" s="126"/>
      <c r="B1678" s="571"/>
      <c r="C1678" s="573"/>
      <c r="D1678" s="575"/>
      <c r="E1678" s="575"/>
      <c r="F1678" s="128"/>
      <c r="G1678" s="577"/>
      <c r="H1678" s="540"/>
      <c r="I1678" s="579"/>
      <c r="J1678" s="533"/>
      <c r="L1678" s="126"/>
      <c r="N1678" s="126"/>
      <c r="O1678" s="314"/>
      <c r="P1678" s="310"/>
      <c r="Q1678" s="310"/>
      <c r="R1678" s="314" t="str" cm="1">
        <f t="array" ref="R1678">IFERROR(IF(INDEX('Disaggregation Records'!$G$156:$G$517,MATCH(RIGHT(L1678,255),RIGHT('Disaggregation Records'!$D$156:$D$517,255),0))="","",INDEX('Disaggregation Records'!$G$156:$G$517,MATCH(RIGHT(L1678,255),RIGHT('Disaggregation Records'!$D$156:$D$517,255),0))),"")</f>
        <v/>
      </c>
    </row>
    <row r="1679" spans="1:18" ht="20.100000000000001" customHeight="1">
      <c r="A1679" s="126" t="str">
        <f t="shared" ca="1" si="1850"/>
        <v>a16Dm000000M3yiIAC</v>
      </c>
      <c r="B1679" s="570">
        <v>27</v>
      </c>
      <c r="C1679" s="572" t="str">
        <f ca="1">IFERROR(VLOOKUP(B1679,'Coverage Indicators - Section D'!$A$9:$AO$94,41,FALSE),"")</f>
        <v>HTS-6 Number of individual HIV self-test kits distributed</v>
      </c>
      <c r="D1679" s="574" t="str">
        <f ca="1">M1679</f>
        <v/>
      </c>
      <c r="E1679" s="574" t="str">
        <f ca="1">N1679</f>
        <v/>
      </c>
      <c r="F1679" s="127"/>
      <c r="G1679" s="576" t="str">
        <f ca="1">IF(OR(INDIRECT("'update Helper'!E"&amp;Q1679)="",F1679&lt;&gt;0,F1680&lt;&gt;0),IF(IFERROR((F1679/F1680),"")="","",(F1679/F1680)),INDIRECT("'update Helper'!E"&amp;Q1679)/100)</f>
        <v/>
      </c>
      <c r="H1679" s="539"/>
      <c r="I1679" s="578"/>
      <c r="J1679" s="532"/>
      <c r="K1679" s="126">
        <f ca="1">IF(AND(EXACT(C1679,C1677),C1677&lt;&gt;0),K1677+1,0)</f>
        <v>9</v>
      </c>
      <c r="L1679" s="126" t="str">
        <f t="shared" ref="L1679" ca="1" si="1879">IF(C1679&lt;&gt;"",C1679&amp;"-"&amp;K1679,"")</f>
        <v>HTS-6 Number of individual HIV self-test kits distributed-9</v>
      </c>
      <c r="M1679" s="126" t="str">
        <f t="array" aca="1" ref="M1679" ca="1">IFERROR(IF(INDEX('Disaggregation Records'!$E$156:$E$517,MATCH(RIGHT(L1679,255),RIGHT('Disaggregation Records'!$D$156:$D$517,255),0))="","",INDEX('Disaggregation Records'!$E$156:$E$517,MATCH(RIGHT(L1679,255),RIGHT('Disaggregation Records'!$D$156:$D$517,255),0))),"")</f>
        <v/>
      </c>
      <c r="N1679" s="126" t="str">
        <f t="array" aca="1" ref="N1679" ca="1">IFERROR(IF(INDEX('Disaggregation Records'!$F$156:$F$517,MATCH(RIGHT(L1679,255),RIGHT('Disaggregation Records'!$D$156:$D$517,255),0))="","",INDEX('Disaggregation Records'!$F$156:$F$517,MATCH(RIGHT(L1679,255),RIGHT('Disaggregation Records'!$D$156:$D$517,255),0))),"")</f>
        <v/>
      </c>
      <c r="O1679" s="314" t="str">
        <f t="array" aca="1" ref="O1679" ca="1">IFERROR(IF(INDEX('Disaggregation Records'!$H$156:$H$517,MATCH(RIGHT(L1679,255),RIGHT('Disaggregation Records'!$D$156:$D$517,255),0))="","",INDEX('Disaggregation Records'!$H$156:$H$517,MATCH(RIGHT(L1679,255),RIGHT('Disaggregation Records'!$D$156:$D$517,255),0))),"")</f>
        <v/>
      </c>
      <c r="P1679" s="310"/>
      <c r="Q1679" s="310">
        <f t="shared" ref="Q1679" si="1880">Q1677+1</f>
        <v>2141</v>
      </c>
      <c r="R1679" s="314" t="str" cm="1">
        <f t="array" aca="1" ref="R1679" ca="1">IFERROR(IF(INDEX('Disaggregation Records'!$G$156:$G$517,MATCH(RIGHT(L1679,255),RIGHT('Disaggregation Records'!$D$156:$D$517,255),0))="","",INDEX('Disaggregation Records'!$G$156:$G$517,MATCH(RIGHT(L1679,255),RIGHT('Disaggregation Records'!$D$156:$D$517,255),0))),"")</f>
        <v/>
      </c>
    </row>
    <row r="1680" spans="1:18" ht="20.100000000000001" customHeight="1">
      <c r="B1680" s="571"/>
      <c r="C1680" s="573"/>
      <c r="D1680" s="575"/>
      <c r="E1680" s="575"/>
      <c r="F1680" s="128"/>
      <c r="G1680" s="577"/>
      <c r="H1680" s="540"/>
      <c r="I1680" s="579"/>
      <c r="J1680" s="533"/>
      <c r="L1680" s="126"/>
      <c r="N1680" s="126"/>
      <c r="O1680" s="314"/>
      <c r="P1680" s="310"/>
      <c r="Q1680" s="310"/>
      <c r="R1680" s="314" t="str" cm="1">
        <f t="array" ref="R1680">IFERROR(IF(INDEX('Disaggregation Records'!$G$156:$G$517,MATCH(RIGHT(L1680,255),RIGHT('Disaggregation Records'!$D$156:$D$517,255),0))="","",INDEX('Disaggregation Records'!$G$156:$G$517,MATCH(RIGHT(L1680,255),RIGHT('Disaggregation Records'!$D$156:$D$517,255),0))),"")</f>
        <v/>
      </c>
    </row>
    <row r="1681" spans="1:18" ht="20.100000000000001" customHeight="1">
      <c r="A1681" s="126" t="str">
        <f t="shared" ca="1" si="1847"/>
        <v>a16Dm000000M3yjIAC</v>
      </c>
      <c r="B1681" s="570">
        <v>27</v>
      </c>
      <c r="C1681" s="572" t="str">
        <f ca="1">IFERROR(VLOOKUP(B1681,'Coverage Indicators - Section D'!$A$9:$AO$94,41,FALSE),"")</f>
        <v>HTS-6 Number of individual HIV self-test kits distributed</v>
      </c>
      <c r="D1681" s="574" t="str">
        <f ca="1">M1681</f>
        <v/>
      </c>
      <c r="E1681" s="574" t="str">
        <f ca="1">N1681</f>
        <v/>
      </c>
      <c r="F1681" s="127"/>
      <c r="G1681" s="576" t="str">
        <f ca="1">IF(OR(INDIRECT("'update Helper'!E"&amp;Q1681)="",F1681&lt;&gt;0,F1682&lt;&gt;0),IF(IFERROR((F1681/F1682),"")="","",(F1681/F1682)),INDIRECT("'update Helper'!E"&amp;Q1681)/100)</f>
        <v/>
      </c>
      <c r="H1681" s="539"/>
      <c r="I1681" s="578"/>
      <c r="J1681" s="532"/>
      <c r="K1681" s="126">
        <f ca="1">IF(AND(EXACT(C1681,C1679),C1679&lt;&gt;0),K1679+1,0)</f>
        <v>10</v>
      </c>
      <c r="L1681" s="126" t="str">
        <f t="shared" ref="L1681" ca="1" si="1881">IF(C1681&lt;&gt;"",C1681&amp;"-"&amp;K1681,"")</f>
        <v>HTS-6 Number of individual HIV self-test kits distributed-10</v>
      </c>
      <c r="M1681" s="126" t="str">
        <f t="array" aca="1" ref="M1681" ca="1">IFERROR(IF(INDEX('Disaggregation Records'!$E$156:$E$517,MATCH(RIGHT(L1681,255),RIGHT('Disaggregation Records'!$D$156:$D$517,255),0))="","",INDEX('Disaggregation Records'!$E$156:$E$517,MATCH(RIGHT(L1681,255),RIGHT('Disaggregation Records'!$D$156:$D$517,255),0))),"")</f>
        <v/>
      </c>
      <c r="N1681" s="126" t="str">
        <f t="array" aca="1" ref="N1681" ca="1">IFERROR(IF(INDEX('Disaggregation Records'!$F$156:$F$517,MATCH(RIGHT(L1681,255),RIGHT('Disaggregation Records'!$D$156:$D$517,255),0))="","",INDEX('Disaggregation Records'!$F$156:$F$517,MATCH(RIGHT(L1681,255),RIGHT('Disaggregation Records'!$D$156:$D$517,255),0))),"")</f>
        <v/>
      </c>
      <c r="O1681" s="314" t="str">
        <f t="array" aca="1" ref="O1681" ca="1">IFERROR(IF(INDEX('Disaggregation Records'!$H$156:$H$517,MATCH(RIGHT(L1681,255),RIGHT('Disaggregation Records'!$D$156:$D$517,255),0))="","",INDEX('Disaggregation Records'!$H$156:$H$517,MATCH(RIGHT(L1681,255),RIGHT('Disaggregation Records'!$D$156:$D$517,255),0))),"")</f>
        <v/>
      </c>
      <c r="P1681" s="314"/>
      <c r="Q1681" s="310">
        <f t="shared" ref="Q1681" si="1882">Q1679+1</f>
        <v>2142</v>
      </c>
      <c r="R1681" s="314" t="str" cm="1">
        <f t="array" aca="1" ref="R1681" ca="1">IFERROR(IF(INDEX('Disaggregation Records'!$G$156:$G$517,MATCH(RIGHT(L1681,255),RIGHT('Disaggregation Records'!$D$156:$D$517,255),0))="","",INDEX('Disaggregation Records'!$G$156:$G$517,MATCH(RIGHT(L1681,255),RIGHT('Disaggregation Records'!$D$156:$D$517,255),0))),"")</f>
        <v/>
      </c>
    </row>
    <row r="1682" spans="1:18" ht="20.100000000000001" customHeight="1">
      <c r="A1682" s="126"/>
      <c r="B1682" s="571"/>
      <c r="C1682" s="573"/>
      <c r="D1682" s="575"/>
      <c r="E1682" s="575"/>
      <c r="F1682" s="128"/>
      <c r="G1682" s="577"/>
      <c r="H1682" s="540"/>
      <c r="I1682" s="579"/>
      <c r="J1682" s="533"/>
      <c r="K1682" s="126"/>
      <c r="L1682" s="126"/>
      <c r="M1682" s="126"/>
      <c r="N1682" s="126"/>
      <c r="O1682" s="314"/>
      <c r="P1682" s="314"/>
      <c r="Q1682" s="310"/>
      <c r="R1682" s="314" t="str" cm="1">
        <f t="array" ref="R1682">IFERROR(IF(INDEX('Disaggregation Records'!$G$156:$G$517,MATCH(RIGHT(L1682,255),RIGHT('Disaggregation Records'!$D$156:$D$517,255),0))="","",INDEX('Disaggregation Records'!$G$156:$G$517,MATCH(RIGHT(L1682,255),RIGHT('Disaggregation Records'!$D$156:$D$517,255),0))),"")</f>
        <v/>
      </c>
    </row>
    <row r="1683" spans="1:18" ht="20.100000000000001" customHeight="1">
      <c r="A1683" s="126" t="str">
        <f t="shared" ca="1" si="1850"/>
        <v>a16Dm000000M3ykIAC</v>
      </c>
      <c r="B1683" s="570">
        <v>27</v>
      </c>
      <c r="C1683" s="572" t="str">
        <f ca="1">IFERROR(VLOOKUP(B1683,'Coverage Indicators - Section D'!$A$9:$AO$94,41,FALSE),"")</f>
        <v>HTS-6 Number of individual HIV self-test kits distributed</v>
      </c>
      <c r="D1683" s="574" t="str">
        <f ca="1">M1683</f>
        <v/>
      </c>
      <c r="E1683" s="574" t="str">
        <f ca="1">N1683</f>
        <v/>
      </c>
      <c r="F1683" s="127"/>
      <c r="G1683" s="576" t="str">
        <f ca="1">IF(OR(INDIRECT("'update Helper'!E"&amp;Q1683)="",F1683&lt;&gt;0,F1684&lt;&gt;0),IF(IFERROR((F1683/F1684),"")="","",(F1683/F1684)),INDIRECT("'update Helper'!E"&amp;Q1683)/100)</f>
        <v/>
      </c>
      <c r="H1683" s="539"/>
      <c r="I1683" s="578"/>
      <c r="J1683" s="532"/>
      <c r="K1683" s="126">
        <f ca="1">IF(AND(EXACT(C1683,C1681),C1681&lt;&gt;0),K1681+1,0)</f>
        <v>11</v>
      </c>
      <c r="L1683" s="126" t="str">
        <f t="shared" ref="L1683" ca="1" si="1883">IF(C1683&lt;&gt;"",C1683&amp;"-"&amp;K1683,"")</f>
        <v>HTS-6 Number of individual HIV self-test kits distributed-11</v>
      </c>
      <c r="M1683" s="126" t="str">
        <f t="array" aca="1" ref="M1683" ca="1">IFERROR(IF(INDEX('Disaggregation Records'!$E$156:$E$517,MATCH(RIGHT(L1683,255),RIGHT('Disaggregation Records'!$D$156:$D$517,255),0))="","",INDEX('Disaggregation Records'!$E$156:$E$517,MATCH(RIGHT(L1683,255),RIGHT('Disaggregation Records'!$D$156:$D$517,255),0))),"")</f>
        <v/>
      </c>
      <c r="N1683" s="126" t="str">
        <f t="array" aca="1" ref="N1683" ca="1">IFERROR(IF(INDEX('Disaggregation Records'!$F$156:$F$517,MATCH(RIGHT(L1683,255),RIGHT('Disaggregation Records'!$D$156:$D$517,255),0))="","",INDEX('Disaggregation Records'!$F$156:$F$517,MATCH(RIGHT(L1683,255),RIGHT('Disaggregation Records'!$D$156:$D$517,255),0))),"")</f>
        <v/>
      </c>
      <c r="O1683" s="314" t="str">
        <f t="array" aca="1" ref="O1683" ca="1">IFERROR(IF(INDEX('Disaggregation Records'!$H$156:$H$517,MATCH(RIGHT(L1683,255),RIGHT('Disaggregation Records'!$D$156:$D$517,255),0))="","",INDEX('Disaggregation Records'!$H$156:$H$517,MATCH(RIGHT(L1683,255),RIGHT('Disaggregation Records'!$D$156:$D$517,255),0))),"")</f>
        <v/>
      </c>
      <c r="P1683" s="314"/>
      <c r="Q1683" s="310">
        <f t="shared" ref="Q1683" si="1884">Q1681+1</f>
        <v>2143</v>
      </c>
      <c r="R1683" s="314" t="str" cm="1">
        <f t="array" aca="1" ref="R1683" ca="1">IFERROR(IF(INDEX('Disaggregation Records'!$G$156:$G$517,MATCH(RIGHT(L1683,255),RIGHT('Disaggregation Records'!$D$156:$D$517,255),0))="","",INDEX('Disaggregation Records'!$G$156:$G$517,MATCH(RIGHT(L1683,255),RIGHT('Disaggregation Records'!$D$156:$D$517,255),0))),"")</f>
        <v/>
      </c>
    </row>
    <row r="1684" spans="1:18" ht="20.100000000000001" customHeight="1">
      <c r="B1684" s="571"/>
      <c r="C1684" s="573"/>
      <c r="D1684" s="575"/>
      <c r="E1684" s="575"/>
      <c r="F1684" s="128"/>
      <c r="G1684" s="577"/>
      <c r="H1684" s="540"/>
      <c r="I1684" s="579"/>
      <c r="J1684" s="533"/>
      <c r="K1684" s="126"/>
      <c r="L1684" s="126"/>
      <c r="M1684" s="126"/>
      <c r="N1684" s="126"/>
      <c r="O1684" s="314"/>
      <c r="P1684" s="314"/>
      <c r="Q1684" s="310"/>
      <c r="R1684" s="314" t="str" cm="1">
        <f t="array" ref="R1684">IFERROR(IF(INDEX('Disaggregation Records'!$G$156:$G$517,MATCH(RIGHT(L1684,255),RIGHT('Disaggregation Records'!$D$156:$D$517,255),0))="","",INDEX('Disaggregation Records'!$G$156:$G$517,MATCH(RIGHT(L1684,255),RIGHT('Disaggregation Records'!$D$156:$D$517,255),0))),"")</f>
        <v/>
      </c>
    </row>
    <row r="1685" spans="1:18" ht="20.100000000000001" customHeight="1">
      <c r="A1685" s="126" t="str">
        <f t="shared" ca="1" si="1847"/>
        <v>a16Dm000000M3ylIAC</v>
      </c>
      <c r="B1685" s="570">
        <v>27</v>
      </c>
      <c r="C1685" s="572" t="str">
        <f ca="1">IFERROR(VLOOKUP(B1685,'Coverage Indicators - Section D'!$A$9:$AO$94,41,FALSE),"")</f>
        <v>HTS-6 Number of individual HIV self-test kits distributed</v>
      </c>
      <c r="D1685" s="574" t="str">
        <f ca="1">M1685</f>
        <v/>
      </c>
      <c r="E1685" s="574" t="str">
        <f ca="1">N1685</f>
        <v/>
      </c>
      <c r="F1685" s="127"/>
      <c r="G1685" s="576" t="str">
        <f ca="1">IF(OR(INDIRECT("'update Helper'!E"&amp;Q1685)="",F1685&lt;&gt;0,F1686&lt;&gt;0),IF(IFERROR((F1685/F1686),"")="","",(F1685/F1686)),INDIRECT("'update Helper'!E"&amp;Q1685)/100)</f>
        <v/>
      </c>
      <c r="H1685" s="539"/>
      <c r="I1685" s="578"/>
      <c r="J1685" s="532"/>
      <c r="K1685" s="126">
        <f ca="1">IF(AND(EXACT(C1685,C1683),C1683&lt;&gt;0),K1683+1,0)</f>
        <v>12</v>
      </c>
      <c r="L1685" s="126" t="str">
        <f t="shared" ref="L1685" ca="1" si="1885">IF(C1685&lt;&gt;"",C1685&amp;"-"&amp;K1685,"")</f>
        <v>HTS-6 Number of individual HIV self-test kits distributed-12</v>
      </c>
      <c r="M1685" s="126" t="str">
        <f t="array" aca="1" ref="M1685" ca="1">IFERROR(IF(INDEX('Disaggregation Records'!$E$156:$E$517,MATCH(RIGHT(L1685,255),RIGHT('Disaggregation Records'!$D$156:$D$517,255),0))="","",INDEX('Disaggregation Records'!$E$156:$E$517,MATCH(RIGHT(L1685,255),RIGHT('Disaggregation Records'!$D$156:$D$517,255),0))),"")</f>
        <v/>
      </c>
      <c r="N1685" s="126" t="str">
        <f t="array" aca="1" ref="N1685" ca="1">IFERROR(IF(INDEX('Disaggregation Records'!$F$156:$F$517,MATCH(RIGHT(L1685,255),RIGHT('Disaggregation Records'!$D$156:$D$517,255),0))="","",INDEX('Disaggregation Records'!$F$156:$F$517,MATCH(RIGHT(L1685,255),RIGHT('Disaggregation Records'!$D$156:$D$517,255),0))),"")</f>
        <v/>
      </c>
      <c r="O1685" s="314" t="str">
        <f t="array" aca="1" ref="O1685" ca="1">IFERROR(IF(INDEX('Disaggregation Records'!$H$156:$H$517,MATCH(RIGHT(L1685,255),RIGHT('Disaggregation Records'!$D$156:$D$517,255),0))="","",INDEX('Disaggregation Records'!$H$156:$H$517,MATCH(RIGHT(L1685,255),RIGHT('Disaggregation Records'!$D$156:$D$517,255),0))),"")</f>
        <v/>
      </c>
      <c r="P1685" s="310"/>
      <c r="Q1685" s="310">
        <f t="shared" ref="Q1685" si="1886">Q1683+1</f>
        <v>2144</v>
      </c>
      <c r="R1685" s="314" t="str" cm="1">
        <f t="array" aca="1" ref="R1685" ca="1">IFERROR(IF(INDEX('Disaggregation Records'!$G$156:$G$517,MATCH(RIGHT(L1685,255),RIGHT('Disaggregation Records'!$D$156:$D$517,255),0))="","",INDEX('Disaggregation Records'!$G$156:$G$517,MATCH(RIGHT(L1685,255),RIGHT('Disaggregation Records'!$D$156:$D$517,255),0))),"")</f>
        <v/>
      </c>
    </row>
    <row r="1686" spans="1:18" ht="20.100000000000001" customHeight="1">
      <c r="A1686" s="126"/>
      <c r="B1686" s="571"/>
      <c r="C1686" s="573"/>
      <c r="D1686" s="575"/>
      <c r="E1686" s="575"/>
      <c r="F1686" s="128"/>
      <c r="G1686" s="577"/>
      <c r="H1686" s="540"/>
      <c r="I1686" s="579"/>
      <c r="J1686" s="533"/>
      <c r="L1686" s="126"/>
      <c r="N1686" s="126"/>
      <c r="O1686" s="314"/>
      <c r="P1686" s="310"/>
      <c r="Q1686" s="310"/>
      <c r="R1686" s="314" t="str" cm="1">
        <f t="array" ref="R1686">IFERROR(IF(INDEX('Disaggregation Records'!$G$156:$G$517,MATCH(RIGHT(L1686,255),RIGHT('Disaggregation Records'!$D$156:$D$517,255),0))="","",INDEX('Disaggregation Records'!$G$156:$G$517,MATCH(RIGHT(L1686,255),RIGHT('Disaggregation Records'!$D$156:$D$517,255),0))),"")</f>
        <v/>
      </c>
    </row>
    <row r="1687" spans="1:18" ht="20.100000000000001" customHeight="1">
      <c r="A1687" s="126" t="str">
        <f t="shared" ca="1" si="1850"/>
        <v>a16Dm000000M3ymIAC</v>
      </c>
      <c r="B1687" s="570">
        <v>27</v>
      </c>
      <c r="C1687" s="572" t="str">
        <f ca="1">IFERROR(VLOOKUP(B1687,'Coverage Indicators - Section D'!$A$9:$AO$94,41,FALSE),"")</f>
        <v>HTS-6 Number of individual HIV self-test kits distributed</v>
      </c>
      <c r="D1687" s="574" t="str">
        <f ca="1">M1687</f>
        <v/>
      </c>
      <c r="E1687" s="574" t="str">
        <f ca="1">N1687</f>
        <v/>
      </c>
      <c r="F1687" s="127"/>
      <c r="G1687" s="576" t="str">
        <f ca="1">IF(OR(INDIRECT("'update Helper'!E"&amp;Q1687)="",F1687&lt;&gt;0,F1688&lt;&gt;0),IF(IFERROR((F1687/F1688),"")="","",(F1687/F1688)),INDIRECT("'update Helper'!E"&amp;Q1687)/100)</f>
        <v/>
      </c>
      <c r="H1687" s="539"/>
      <c r="I1687" s="578"/>
      <c r="J1687" s="532"/>
      <c r="K1687" s="126">
        <f ca="1">IF(AND(EXACT(C1687,C1685),C1685&lt;&gt;0),K1685+1,0)</f>
        <v>13</v>
      </c>
      <c r="L1687" s="126" t="str">
        <f t="shared" ref="L1687" ca="1" si="1887">IF(C1687&lt;&gt;"",C1687&amp;"-"&amp;K1687,"")</f>
        <v>HTS-6 Number of individual HIV self-test kits distributed-13</v>
      </c>
      <c r="M1687" s="126" t="str">
        <f t="array" aca="1" ref="M1687" ca="1">IFERROR(IF(INDEX('Disaggregation Records'!$E$156:$E$517,MATCH(RIGHT(L1687,255),RIGHT('Disaggregation Records'!$D$156:$D$517,255),0))="","",INDEX('Disaggregation Records'!$E$156:$E$517,MATCH(RIGHT(L1687,255),RIGHT('Disaggregation Records'!$D$156:$D$517,255),0))),"")</f>
        <v/>
      </c>
      <c r="N1687" s="126" t="str">
        <f t="array" aca="1" ref="N1687" ca="1">IFERROR(IF(INDEX('Disaggregation Records'!$F$156:$F$517,MATCH(RIGHT(L1687,255),RIGHT('Disaggregation Records'!$D$156:$D$517,255),0))="","",INDEX('Disaggregation Records'!$F$156:$F$517,MATCH(RIGHT(L1687,255),RIGHT('Disaggregation Records'!$D$156:$D$517,255),0))),"")</f>
        <v/>
      </c>
      <c r="O1687" s="314" t="str">
        <f t="array" aca="1" ref="O1687" ca="1">IFERROR(IF(INDEX('Disaggregation Records'!$H$156:$H$517,MATCH(RIGHT(L1687,255),RIGHT('Disaggregation Records'!$D$156:$D$517,255),0))="","",INDEX('Disaggregation Records'!$H$156:$H$517,MATCH(RIGHT(L1687,255),RIGHT('Disaggregation Records'!$D$156:$D$517,255),0))),"")</f>
        <v/>
      </c>
      <c r="P1687" s="310"/>
      <c r="Q1687" s="310">
        <f t="shared" ref="Q1687" si="1888">Q1685+1</f>
        <v>2145</v>
      </c>
      <c r="R1687" s="314" t="str" cm="1">
        <f t="array" aca="1" ref="R1687" ca="1">IFERROR(IF(INDEX('Disaggregation Records'!$G$156:$G$517,MATCH(RIGHT(L1687,255),RIGHT('Disaggregation Records'!$D$156:$D$517,255),0))="","",INDEX('Disaggregation Records'!$G$156:$G$517,MATCH(RIGHT(L1687,255),RIGHT('Disaggregation Records'!$D$156:$D$517,255),0))),"")</f>
        <v/>
      </c>
    </row>
    <row r="1688" spans="1:18" ht="20.100000000000001" customHeight="1">
      <c r="B1688" s="571"/>
      <c r="C1688" s="573"/>
      <c r="D1688" s="575"/>
      <c r="E1688" s="575"/>
      <c r="F1688" s="128"/>
      <c r="G1688" s="577"/>
      <c r="H1688" s="540"/>
      <c r="I1688" s="579"/>
      <c r="J1688" s="533"/>
      <c r="L1688" s="126"/>
      <c r="N1688" s="126"/>
      <c r="O1688" s="314"/>
      <c r="P1688" s="310"/>
      <c r="Q1688" s="310"/>
      <c r="R1688" s="314" t="str" cm="1">
        <f t="array" ref="R1688">IFERROR(IF(INDEX('Disaggregation Records'!$G$156:$G$517,MATCH(RIGHT(L1688,255),RIGHT('Disaggregation Records'!$D$156:$D$517,255),0))="","",INDEX('Disaggregation Records'!$G$156:$G$517,MATCH(RIGHT(L1688,255),RIGHT('Disaggregation Records'!$D$156:$D$517,255),0))),"")</f>
        <v/>
      </c>
    </row>
    <row r="1689" spans="1:18" ht="20.100000000000001" customHeight="1">
      <c r="A1689" s="126" t="str">
        <f t="shared" ca="1" si="1847"/>
        <v>a16Dm000000M3ynIAC</v>
      </c>
      <c r="B1689" s="570">
        <v>27</v>
      </c>
      <c r="C1689" s="572" t="str">
        <f ca="1">IFERROR(VLOOKUP(B1689,'Coverage Indicators - Section D'!$A$9:$AO$94,41,FALSE),"")</f>
        <v>HTS-6 Number of individual HIV self-test kits distributed</v>
      </c>
      <c r="D1689" s="574" t="str">
        <f ca="1">M1689</f>
        <v/>
      </c>
      <c r="E1689" s="574" t="str">
        <f ca="1">N1689</f>
        <v/>
      </c>
      <c r="F1689" s="127"/>
      <c r="G1689" s="576" t="str">
        <f ca="1">IF(OR(INDIRECT("'update Helper'!E"&amp;Q1689)="",F1689&lt;&gt;0,F1690&lt;&gt;0),IF(IFERROR((F1689/F1690),"")="","",(F1689/F1690)),INDIRECT("'update Helper'!E"&amp;Q1689)/100)</f>
        <v/>
      </c>
      <c r="H1689" s="539"/>
      <c r="I1689" s="578"/>
      <c r="J1689" s="532"/>
      <c r="K1689" s="126">
        <f ca="1">IF(AND(EXACT(C1689,C1687),C1687&lt;&gt;0),K1687+1,0)</f>
        <v>14</v>
      </c>
      <c r="L1689" s="126" t="str">
        <f t="shared" ref="L1689" ca="1" si="1889">IF(C1689&lt;&gt;"",C1689&amp;"-"&amp;K1689,"")</f>
        <v>HTS-6 Number of individual HIV self-test kits distributed-14</v>
      </c>
      <c r="M1689" s="126" t="str">
        <f t="array" aca="1" ref="M1689" ca="1">IFERROR(IF(INDEX('Disaggregation Records'!$E$156:$E$517,MATCH(RIGHT(L1689,255),RIGHT('Disaggregation Records'!$D$156:$D$517,255),0))="","",INDEX('Disaggregation Records'!$E$156:$E$517,MATCH(RIGHT(L1689,255),RIGHT('Disaggregation Records'!$D$156:$D$517,255),0))),"")</f>
        <v/>
      </c>
      <c r="N1689" s="126" t="str">
        <f t="array" aca="1" ref="N1689" ca="1">IFERROR(IF(INDEX('Disaggregation Records'!$F$156:$F$517,MATCH(RIGHT(L1689,255),RIGHT('Disaggregation Records'!$D$156:$D$517,255),0))="","",INDEX('Disaggregation Records'!$F$156:$F$517,MATCH(RIGHT(L1689,255),RIGHT('Disaggregation Records'!$D$156:$D$517,255),0))),"")</f>
        <v/>
      </c>
      <c r="O1689" s="314" t="str">
        <f t="array" aca="1" ref="O1689" ca="1">IFERROR(IF(INDEX('Disaggregation Records'!$H$156:$H$517,MATCH(RIGHT(L1689,255),RIGHT('Disaggregation Records'!$D$156:$D$517,255),0))="","",INDEX('Disaggregation Records'!$H$156:$H$517,MATCH(RIGHT(L1689,255),RIGHT('Disaggregation Records'!$D$156:$D$517,255),0))),"")</f>
        <v/>
      </c>
      <c r="P1689" s="310"/>
      <c r="Q1689" s="310">
        <f t="shared" ref="Q1689" si="1890">Q1687+1</f>
        <v>2146</v>
      </c>
      <c r="R1689" s="314" t="str" cm="1">
        <f t="array" aca="1" ref="R1689" ca="1">IFERROR(IF(INDEX('Disaggregation Records'!$G$156:$G$517,MATCH(RIGHT(L1689,255),RIGHT('Disaggregation Records'!$D$156:$D$517,255),0))="","",INDEX('Disaggregation Records'!$G$156:$G$517,MATCH(RIGHT(L1689,255),RIGHT('Disaggregation Records'!$D$156:$D$517,255),0))),"")</f>
        <v/>
      </c>
    </row>
    <row r="1690" spans="1:18" ht="20.100000000000001" customHeight="1">
      <c r="A1690" s="126"/>
      <c r="B1690" s="571"/>
      <c r="C1690" s="573"/>
      <c r="D1690" s="575"/>
      <c r="E1690" s="575"/>
      <c r="F1690" s="128"/>
      <c r="G1690" s="577"/>
      <c r="H1690" s="540"/>
      <c r="I1690" s="579"/>
      <c r="J1690" s="533"/>
      <c r="L1690" s="126"/>
      <c r="N1690" s="126"/>
      <c r="O1690" s="314"/>
      <c r="P1690" s="310"/>
      <c r="Q1690" s="310"/>
      <c r="R1690" s="314" t="str" cm="1">
        <f t="array" ref="R1690">IFERROR(IF(INDEX('Disaggregation Records'!$G$156:$G$517,MATCH(RIGHT(L1690,255),RIGHT('Disaggregation Records'!$D$156:$D$517,255),0))="","",INDEX('Disaggregation Records'!$G$156:$G$517,MATCH(RIGHT(L1690,255),RIGHT('Disaggregation Records'!$D$156:$D$517,255),0))),"")</f>
        <v/>
      </c>
    </row>
    <row r="1691" spans="1:18" ht="20.100000000000001" customHeight="1">
      <c r="A1691" s="126" t="str">
        <f t="shared" ca="1" si="1850"/>
        <v>a16Dm000000M3yoIAC</v>
      </c>
      <c r="B1691" s="570">
        <v>27</v>
      </c>
      <c r="C1691" s="572" t="str">
        <f ca="1">IFERROR(VLOOKUP(B1691,'Coverage Indicators - Section D'!$A$9:$AO$94,41,FALSE),"")</f>
        <v>HTS-6 Number of individual HIV self-test kits distributed</v>
      </c>
      <c r="D1691" s="574" t="str">
        <f ca="1">M1691</f>
        <v/>
      </c>
      <c r="E1691" s="574" t="str">
        <f ca="1">N1691</f>
        <v/>
      </c>
      <c r="F1691" s="127"/>
      <c r="G1691" s="576" t="str">
        <f ca="1">IF(OR(INDIRECT("'update Helper'!E"&amp;Q1691)="",F1691&lt;&gt;0,F1692&lt;&gt;0),IF(IFERROR((F1691/F1692),"")="","",(F1691/F1692)),INDIRECT("'update Helper'!E"&amp;Q1691)/100)</f>
        <v/>
      </c>
      <c r="H1691" s="539"/>
      <c r="I1691" s="578"/>
      <c r="J1691" s="532"/>
      <c r="K1691" s="126">
        <f ca="1">IF(AND(EXACT(C1691,C1689),C1689&lt;&gt;0),K1689+1,0)</f>
        <v>15</v>
      </c>
      <c r="L1691" s="126" t="str">
        <f t="shared" ref="L1691" ca="1" si="1891">IF(C1691&lt;&gt;"",C1691&amp;"-"&amp;K1691,"")</f>
        <v>HTS-6 Number of individual HIV self-test kits distributed-15</v>
      </c>
      <c r="M1691" s="126" t="str">
        <f t="array" aca="1" ref="M1691" ca="1">IFERROR(IF(INDEX('Disaggregation Records'!$E$156:$E$517,MATCH(RIGHT(L1691,255),RIGHT('Disaggregation Records'!$D$156:$D$517,255),0))="","",INDEX('Disaggregation Records'!$E$156:$E$517,MATCH(RIGHT(L1691,255),RIGHT('Disaggregation Records'!$D$156:$D$517,255),0))),"")</f>
        <v/>
      </c>
      <c r="N1691" s="126" t="str">
        <f t="array" aca="1" ref="N1691" ca="1">IFERROR(IF(INDEX('Disaggregation Records'!$F$156:$F$517,MATCH(RIGHT(L1691,255),RIGHT('Disaggregation Records'!$D$156:$D$517,255),0))="","",INDEX('Disaggregation Records'!$F$156:$F$517,MATCH(RIGHT(L1691,255),RIGHT('Disaggregation Records'!$D$156:$D$517,255),0))),"")</f>
        <v/>
      </c>
      <c r="O1691" s="314" t="str">
        <f t="array" aca="1" ref="O1691" ca="1">IFERROR(IF(INDEX('Disaggregation Records'!$H$156:$H$517,MATCH(RIGHT(L1691,255),RIGHT('Disaggregation Records'!$D$156:$D$517,255),0))="","",INDEX('Disaggregation Records'!$H$156:$H$517,MATCH(RIGHT(L1691,255),RIGHT('Disaggregation Records'!$D$156:$D$517,255),0))),"")</f>
        <v/>
      </c>
      <c r="P1691" s="314"/>
      <c r="Q1691" s="310">
        <f t="shared" ref="Q1691" si="1892">Q1689+1</f>
        <v>2147</v>
      </c>
      <c r="R1691" s="314" t="str" cm="1">
        <f t="array" aca="1" ref="R1691" ca="1">IFERROR(IF(INDEX('Disaggregation Records'!$G$156:$G$517,MATCH(RIGHT(L1691,255),RIGHT('Disaggregation Records'!$D$156:$D$517,255),0))="","",INDEX('Disaggregation Records'!$G$156:$G$517,MATCH(RIGHT(L1691,255),RIGHT('Disaggregation Records'!$D$156:$D$517,255),0))),"")</f>
        <v/>
      </c>
    </row>
    <row r="1692" spans="1:18" ht="20.100000000000001" customHeight="1">
      <c r="B1692" s="571"/>
      <c r="C1692" s="573"/>
      <c r="D1692" s="575"/>
      <c r="E1692" s="575"/>
      <c r="F1692" s="128"/>
      <c r="G1692" s="577"/>
      <c r="H1692" s="540"/>
      <c r="I1692" s="579"/>
      <c r="J1692" s="533"/>
      <c r="K1692" s="126"/>
      <c r="L1692" s="126"/>
      <c r="M1692" s="126"/>
      <c r="N1692" s="126"/>
      <c r="O1692" s="314"/>
      <c r="P1692" s="314"/>
      <c r="Q1692" s="310"/>
      <c r="R1692" s="314" t="str" cm="1">
        <f t="array" ref="R1692">IFERROR(IF(INDEX('Disaggregation Records'!$G$156:$G$517,MATCH(RIGHT(L1692,255),RIGHT('Disaggregation Records'!$D$156:$D$517,255),0))="","",INDEX('Disaggregation Records'!$G$156:$G$517,MATCH(RIGHT(L1692,255),RIGHT('Disaggregation Records'!$D$156:$D$517,255),0))),"")</f>
        <v/>
      </c>
    </row>
    <row r="1693" spans="1:18" ht="20.100000000000001" customHeight="1">
      <c r="A1693" s="126" t="str">
        <f t="shared" ca="1" si="1847"/>
        <v>a16Dm000000M3ypIAC</v>
      </c>
      <c r="B1693" s="570">
        <v>27</v>
      </c>
      <c r="C1693" s="572" t="str">
        <f ca="1">IFERROR(VLOOKUP(B1693,'Coverage Indicators - Section D'!$A$9:$AO$94,41,FALSE),"")</f>
        <v>HTS-6 Number of individual HIV self-test kits distributed</v>
      </c>
      <c r="D1693" s="574" t="str">
        <f ca="1">M1693</f>
        <v/>
      </c>
      <c r="E1693" s="574" t="str">
        <f ca="1">N1693</f>
        <v/>
      </c>
      <c r="F1693" s="127"/>
      <c r="G1693" s="576" t="str">
        <f ca="1">IF(OR(INDIRECT("'update Helper'!E"&amp;Q1693)="",F1693&lt;&gt;0,F1694&lt;&gt;0),IF(IFERROR((F1693/F1694),"")="","",(F1693/F1694)),INDIRECT("'update Helper'!E"&amp;Q1693)/100)</f>
        <v/>
      </c>
      <c r="H1693" s="539"/>
      <c r="I1693" s="578"/>
      <c r="J1693" s="532"/>
      <c r="K1693" s="126">
        <f ca="1">IF(AND(EXACT(C1693,C1691),C1691&lt;&gt;0),K1691+1,0)</f>
        <v>16</v>
      </c>
      <c r="L1693" s="126" t="str">
        <f t="shared" ref="L1693" ca="1" si="1893">IF(C1693&lt;&gt;"",C1693&amp;"-"&amp;K1693,"")</f>
        <v>HTS-6 Number of individual HIV self-test kits distributed-16</v>
      </c>
      <c r="M1693" s="126" t="str">
        <f t="array" aca="1" ref="M1693" ca="1">IFERROR(IF(INDEX('Disaggregation Records'!$E$156:$E$517,MATCH(RIGHT(L1693,255),RIGHT('Disaggregation Records'!$D$156:$D$517,255),0))="","",INDEX('Disaggregation Records'!$E$156:$E$517,MATCH(RIGHT(L1693,255),RIGHT('Disaggregation Records'!$D$156:$D$517,255),0))),"")</f>
        <v/>
      </c>
      <c r="N1693" s="126" t="str">
        <f t="array" aca="1" ref="N1693" ca="1">IFERROR(IF(INDEX('Disaggregation Records'!$F$156:$F$517,MATCH(RIGHT(L1693,255),RIGHT('Disaggregation Records'!$D$156:$D$517,255),0))="","",INDEX('Disaggregation Records'!$F$156:$F$517,MATCH(RIGHT(L1693,255),RIGHT('Disaggregation Records'!$D$156:$D$517,255),0))),"")</f>
        <v/>
      </c>
      <c r="O1693" s="314" t="str">
        <f t="array" aca="1" ref="O1693" ca="1">IFERROR(IF(INDEX('Disaggregation Records'!$H$156:$H$517,MATCH(RIGHT(L1693,255),RIGHT('Disaggregation Records'!$D$156:$D$517,255),0))="","",INDEX('Disaggregation Records'!$H$156:$H$517,MATCH(RIGHT(L1693,255),RIGHT('Disaggregation Records'!$D$156:$D$517,255),0))),"")</f>
        <v/>
      </c>
      <c r="P1693" s="314"/>
      <c r="Q1693" s="310">
        <f t="shared" ref="Q1693" si="1894">Q1691+1</f>
        <v>2148</v>
      </c>
      <c r="R1693" s="314" t="str" cm="1">
        <f t="array" aca="1" ref="R1693" ca="1">IFERROR(IF(INDEX('Disaggregation Records'!$G$156:$G$517,MATCH(RIGHT(L1693,255),RIGHT('Disaggregation Records'!$D$156:$D$517,255),0))="","",INDEX('Disaggregation Records'!$G$156:$G$517,MATCH(RIGHT(L1693,255),RIGHT('Disaggregation Records'!$D$156:$D$517,255),0))),"")</f>
        <v/>
      </c>
    </row>
    <row r="1694" spans="1:18" ht="20.100000000000001" customHeight="1">
      <c r="A1694" s="126"/>
      <c r="B1694" s="571"/>
      <c r="C1694" s="573"/>
      <c r="D1694" s="575"/>
      <c r="E1694" s="575"/>
      <c r="F1694" s="128"/>
      <c r="G1694" s="577"/>
      <c r="H1694" s="540"/>
      <c r="I1694" s="579"/>
      <c r="J1694" s="533"/>
      <c r="K1694" s="126"/>
      <c r="L1694" s="126"/>
      <c r="M1694" s="126"/>
      <c r="N1694" s="126"/>
      <c r="O1694" s="314"/>
      <c r="P1694" s="314"/>
      <c r="Q1694" s="310"/>
      <c r="R1694" s="314" t="str" cm="1">
        <f t="array" ref="R1694">IFERROR(IF(INDEX('Disaggregation Records'!$G$156:$G$517,MATCH(RIGHT(L1694,255),RIGHT('Disaggregation Records'!$D$156:$D$517,255),0))="","",INDEX('Disaggregation Records'!$G$156:$G$517,MATCH(RIGHT(L1694,255),RIGHT('Disaggregation Records'!$D$156:$D$517,255),0))),"")</f>
        <v/>
      </c>
    </row>
    <row r="1695" spans="1:18" ht="20.100000000000001" customHeight="1">
      <c r="A1695" s="126" t="str">
        <f t="shared" ca="1" si="1850"/>
        <v>a16Dm000000M3yqIAC</v>
      </c>
      <c r="B1695" s="570">
        <v>27</v>
      </c>
      <c r="C1695" s="572" t="str">
        <f ca="1">IFERROR(VLOOKUP(B1695,'Coverage Indicators - Section D'!$A$9:$AO$94,41,FALSE),"")</f>
        <v>HTS-6 Number of individual HIV self-test kits distributed</v>
      </c>
      <c r="D1695" s="574" t="str">
        <f ca="1">M1695</f>
        <v/>
      </c>
      <c r="E1695" s="574" t="str">
        <f ca="1">N1695</f>
        <v/>
      </c>
      <c r="F1695" s="127"/>
      <c r="G1695" s="576" t="str">
        <f ca="1">IF(OR(INDIRECT("'update Helper'!E"&amp;Q1695)="",F1695&lt;&gt;0,F1696&lt;&gt;0),IF(IFERROR((F1695/F1696),"")="","",(F1695/F1696)),INDIRECT("'update Helper'!E"&amp;Q1695)/100)</f>
        <v/>
      </c>
      <c r="H1695" s="539"/>
      <c r="I1695" s="578"/>
      <c r="J1695" s="532"/>
      <c r="K1695" s="126">
        <f ca="1">IF(AND(EXACT(C1695,C1693),C1693&lt;&gt;0),K1693+1,0)</f>
        <v>17</v>
      </c>
      <c r="L1695" s="126" t="str">
        <f t="shared" ref="L1695" ca="1" si="1895">IF(C1695&lt;&gt;"",C1695&amp;"-"&amp;K1695,"")</f>
        <v>HTS-6 Number of individual HIV self-test kits distributed-17</v>
      </c>
      <c r="M1695" s="126" t="str">
        <f t="array" aca="1" ref="M1695" ca="1">IFERROR(IF(INDEX('Disaggregation Records'!$E$156:$E$517,MATCH(RIGHT(L1695,255),RIGHT('Disaggregation Records'!$D$156:$D$517,255),0))="","",INDEX('Disaggregation Records'!$E$156:$E$517,MATCH(RIGHT(L1695,255),RIGHT('Disaggregation Records'!$D$156:$D$517,255),0))),"")</f>
        <v/>
      </c>
      <c r="N1695" s="126" t="str">
        <f t="array" aca="1" ref="N1695" ca="1">IFERROR(IF(INDEX('Disaggregation Records'!$F$156:$F$517,MATCH(RIGHT(L1695,255),RIGHT('Disaggregation Records'!$D$156:$D$517,255),0))="","",INDEX('Disaggregation Records'!$F$156:$F$517,MATCH(RIGHT(L1695,255),RIGHT('Disaggregation Records'!$D$156:$D$517,255),0))),"")</f>
        <v/>
      </c>
      <c r="O1695" s="314" t="str">
        <f t="array" aca="1" ref="O1695" ca="1">IFERROR(IF(INDEX('Disaggregation Records'!$H$156:$H$517,MATCH(RIGHT(L1695,255),RIGHT('Disaggregation Records'!$D$156:$D$517,255),0))="","",INDEX('Disaggregation Records'!$H$156:$H$517,MATCH(RIGHT(L1695,255),RIGHT('Disaggregation Records'!$D$156:$D$517,255),0))),"")</f>
        <v/>
      </c>
      <c r="P1695" s="310"/>
      <c r="Q1695" s="310">
        <f t="shared" ref="Q1695" si="1896">Q1693+1</f>
        <v>2149</v>
      </c>
      <c r="R1695" s="314" t="str" cm="1">
        <f t="array" aca="1" ref="R1695" ca="1">IFERROR(IF(INDEX('Disaggregation Records'!$G$156:$G$517,MATCH(RIGHT(L1695,255),RIGHT('Disaggregation Records'!$D$156:$D$517,255),0))="","",INDEX('Disaggregation Records'!$G$156:$G$517,MATCH(RIGHT(L1695,255),RIGHT('Disaggregation Records'!$D$156:$D$517,255),0))),"")</f>
        <v/>
      </c>
    </row>
    <row r="1696" spans="1:18" ht="20.100000000000001" customHeight="1">
      <c r="B1696" s="571"/>
      <c r="C1696" s="573"/>
      <c r="D1696" s="575"/>
      <c r="E1696" s="575"/>
      <c r="F1696" s="128"/>
      <c r="G1696" s="577"/>
      <c r="H1696" s="540"/>
      <c r="I1696" s="579"/>
      <c r="J1696" s="533"/>
      <c r="L1696" s="126"/>
      <c r="N1696" s="126"/>
      <c r="O1696" s="314"/>
      <c r="P1696" s="310"/>
      <c r="Q1696" s="310"/>
      <c r="R1696" s="314" t="str" cm="1">
        <f t="array" ref="R1696">IFERROR(IF(INDEX('Disaggregation Records'!$G$156:$G$517,MATCH(RIGHT(L1696,255),RIGHT('Disaggregation Records'!$D$156:$D$517,255),0))="","",INDEX('Disaggregation Records'!$G$156:$G$517,MATCH(RIGHT(L1696,255),RIGHT('Disaggregation Records'!$D$156:$D$517,255),0))),"")</f>
        <v/>
      </c>
    </row>
    <row r="1697" spans="1:18" ht="20.100000000000001" customHeight="1">
      <c r="A1697" s="126" t="str">
        <f t="shared" ca="1" si="1847"/>
        <v>a16Dm000000M3yrIAC</v>
      </c>
      <c r="B1697" s="570">
        <v>27</v>
      </c>
      <c r="C1697" s="572" t="str">
        <f ca="1">IFERROR(VLOOKUP(B1697,'Coverage Indicators - Section D'!$A$9:$AO$94,41,FALSE),"")</f>
        <v>HTS-6 Number of individual HIV self-test kits distributed</v>
      </c>
      <c r="D1697" s="574" t="str">
        <f ca="1">M1697</f>
        <v/>
      </c>
      <c r="E1697" s="574" t="str">
        <f ca="1">N1697</f>
        <v/>
      </c>
      <c r="F1697" s="127"/>
      <c r="G1697" s="576" t="str">
        <f ca="1">IF(OR(INDIRECT("'update Helper'!E"&amp;Q1697)="",F1697&lt;&gt;0,F1698&lt;&gt;0),IF(IFERROR((F1697/F1698),"")="","",(F1697/F1698)),INDIRECT("'update Helper'!E"&amp;Q1697)/100)</f>
        <v/>
      </c>
      <c r="H1697" s="539"/>
      <c r="I1697" s="578"/>
      <c r="J1697" s="532"/>
      <c r="K1697" s="126">
        <f ca="1">IF(AND(EXACT(C1697,C1695),C1695&lt;&gt;0),K1695+1,0)</f>
        <v>18</v>
      </c>
      <c r="L1697" s="126" t="str">
        <f t="shared" ref="L1697" ca="1" si="1897">IF(C1697&lt;&gt;"",C1697&amp;"-"&amp;K1697,"")</f>
        <v>HTS-6 Number of individual HIV self-test kits distributed-18</v>
      </c>
      <c r="M1697" s="126" t="str">
        <f t="array" aca="1" ref="M1697" ca="1">IFERROR(IF(INDEX('Disaggregation Records'!$E$156:$E$517,MATCH(RIGHT(L1697,255),RIGHT('Disaggregation Records'!$D$156:$D$517,255),0))="","",INDEX('Disaggregation Records'!$E$156:$E$517,MATCH(RIGHT(L1697,255),RIGHT('Disaggregation Records'!$D$156:$D$517,255),0))),"")</f>
        <v/>
      </c>
      <c r="N1697" s="126" t="str">
        <f t="array" aca="1" ref="N1697" ca="1">IFERROR(IF(INDEX('Disaggregation Records'!$F$156:$F$517,MATCH(RIGHT(L1697,255),RIGHT('Disaggregation Records'!$D$156:$D$517,255),0))="","",INDEX('Disaggregation Records'!$F$156:$F$517,MATCH(RIGHT(L1697,255),RIGHT('Disaggregation Records'!$D$156:$D$517,255),0))),"")</f>
        <v/>
      </c>
      <c r="O1697" s="314" t="str">
        <f t="array" aca="1" ref="O1697" ca="1">IFERROR(IF(INDEX('Disaggregation Records'!$H$156:$H$517,MATCH(RIGHT(L1697,255),RIGHT('Disaggregation Records'!$D$156:$D$517,255),0))="","",INDEX('Disaggregation Records'!$H$156:$H$517,MATCH(RIGHT(L1697,255),RIGHT('Disaggregation Records'!$D$156:$D$517,255),0))),"")</f>
        <v/>
      </c>
      <c r="P1697" s="310"/>
      <c r="Q1697" s="310">
        <f t="shared" ref="Q1697" si="1898">Q1695+1</f>
        <v>2150</v>
      </c>
      <c r="R1697" s="314" t="str" cm="1">
        <f t="array" aca="1" ref="R1697" ca="1">IFERROR(IF(INDEX('Disaggregation Records'!$G$156:$G$517,MATCH(RIGHT(L1697,255),RIGHT('Disaggregation Records'!$D$156:$D$517,255),0))="","",INDEX('Disaggregation Records'!$G$156:$G$517,MATCH(RIGHT(L1697,255),RIGHT('Disaggregation Records'!$D$156:$D$517,255),0))),"")</f>
        <v/>
      </c>
    </row>
    <row r="1698" spans="1:18" ht="20.100000000000001" customHeight="1">
      <c r="A1698" s="126"/>
      <c r="B1698" s="571"/>
      <c r="C1698" s="573"/>
      <c r="D1698" s="575"/>
      <c r="E1698" s="575"/>
      <c r="F1698" s="128"/>
      <c r="G1698" s="577"/>
      <c r="H1698" s="540"/>
      <c r="I1698" s="579"/>
      <c r="J1698" s="533"/>
      <c r="L1698" s="126"/>
      <c r="N1698" s="126"/>
      <c r="O1698" s="314"/>
      <c r="P1698" s="310"/>
      <c r="Q1698" s="310"/>
      <c r="R1698" s="314" t="str" cm="1">
        <f t="array" ref="R1698">IFERROR(IF(INDEX('Disaggregation Records'!$G$156:$G$517,MATCH(RIGHT(L1698,255),RIGHT('Disaggregation Records'!$D$156:$D$517,255),0))="","",INDEX('Disaggregation Records'!$G$156:$G$517,MATCH(RIGHT(L1698,255),RIGHT('Disaggregation Records'!$D$156:$D$517,255),0))),"")</f>
        <v/>
      </c>
    </row>
    <row r="1699" spans="1:18" ht="20.100000000000001" customHeight="1">
      <c r="A1699" s="126" t="str">
        <f t="shared" ca="1" si="1850"/>
        <v>a16Dm000000M3ysIAC</v>
      </c>
      <c r="B1699" s="570">
        <v>27</v>
      </c>
      <c r="C1699" s="572" t="str">
        <f ca="1">IFERROR(VLOOKUP(B1699,'Coverage Indicators - Section D'!$A$9:$AO$94,41,FALSE),"")</f>
        <v>HTS-6 Number of individual HIV self-test kits distributed</v>
      </c>
      <c r="D1699" s="574" t="str">
        <f ca="1">M1699</f>
        <v/>
      </c>
      <c r="E1699" s="574" t="str">
        <f ca="1">N1699</f>
        <v/>
      </c>
      <c r="F1699" s="127"/>
      <c r="G1699" s="576" t="str">
        <f ca="1">IF(OR(INDIRECT("'update Helper'!E"&amp;Q1699)="",F1699&lt;&gt;0,F1700&lt;&gt;0),IF(IFERROR((F1699/F1700),"")="","",(F1699/F1700)),INDIRECT("'update Helper'!E"&amp;Q1699)/100)</f>
        <v/>
      </c>
      <c r="H1699" s="539"/>
      <c r="I1699" s="578"/>
      <c r="J1699" s="532"/>
      <c r="K1699" s="126">
        <f ca="1">IF(AND(EXACT(C1699,C1697),C1697&lt;&gt;0),K1697+1,0)</f>
        <v>19</v>
      </c>
      <c r="L1699" s="126" t="str">
        <f t="shared" ref="L1699" ca="1" si="1899">IF(C1699&lt;&gt;"",C1699&amp;"-"&amp;K1699,"")</f>
        <v>HTS-6 Number of individual HIV self-test kits distributed-19</v>
      </c>
      <c r="M1699" s="126" t="str">
        <f t="array" aca="1" ref="M1699" ca="1">IFERROR(IF(INDEX('Disaggregation Records'!$E$156:$E$517,MATCH(RIGHT(L1699,255),RIGHT('Disaggregation Records'!$D$156:$D$517,255),0))="","",INDEX('Disaggregation Records'!$E$156:$E$517,MATCH(RIGHT(L1699,255),RIGHT('Disaggregation Records'!$D$156:$D$517,255),0))),"")</f>
        <v/>
      </c>
      <c r="N1699" s="126" t="str">
        <f t="array" aca="1" ref="N1699" ca="1">IFERROR(IF(INDEX('Disaggregation Records'!$F$156:$F$517,MATCH(RIGHT(L1699,255),RIGHT('Disaggregation Records'!$D$156:$D$517,255),0))="","",INDEX('Disaggregation Records'!$F$156:$F$517,MATCH(RIGHT(L1699,255),RIGHT('Disaggregation Records'!$D$156:$D$517,255),0))),"")</f>
        <v/>
      </c>
      <c r="O1699" s="314" t="str">
        <f t="array" aca="1" ref="O1699" ca="1">IFERROR(IF(INDEX('Disaggregation Records'!$H$156:$H$517,MATCH(RIGHT(L1699,255),RIGHT('Disaggregation Records'!$D$156:$D$517,255),0))="","",INDEX('Disaggregation Records'!$H$156:$H$517,MATCH(RIGHT(L1699,255),RIGHT('Disaggregation Records'!$D$156:$D$517,255),0))),"")</f>
        <v/>
      </c>
      <c r="P1699" s="310"/>
      <c r="Q1699" s="310">
        <f t="shared" ref="Q1699" si="1900">Q1697+1</f>
        <v>2151</v>
      </c>
      <c r="R1699" s="314" t="str" cm="1">
        <f t="array" aca="1" ref="R1699" ca="1">IFERROR(IF(INDEX('Disaggregation Records'!$G$156:$G$517,MATCH(RIGHT(L1699,255),RIGHT('Disaggregation Records'!$D$156:$D$517,255),0))="","",INDEX('Disaggregation Records'!$G$156:$G$517,MATCH(RIGHT(L1699,255),RIGHT('Disaggregation Records'!$D$156:$D$517,255),0))),"")</f>
        <v/>
      </c>
    </row>
    <row r="1700" spans="1:18" ht="20.100000000000001" customHeight="1">
      <c r="B1700" s="571"/>
      <c r="C1700" s="573"/>
      <c r="D1700" s="575"/>
      <c r="E1700" s="575"/>
      <c r="F1700" s="128"/>
      <c r="G1700" s="577"/>
      <c r="H1700" s="540"/>
      <c r="I1700" s="579"/>
      <c r="J1700" s="533"/>
      <c r="L1700" s="126"/>
      <c r="N1700" s="126"/>
      <c r="O1700" s="314"/>
      <c r="P1700" s="310"/>
      <c r="Q1700" s="310"/>
      <c r="R1700" s="314" t="str" cm="1">
        <f t="array" ref="R1700">IFERROR(IF(INDEX('Disaggregation Records'!$G$156:$G$517,MATCH(RIGHT(L1700,255),RIGHT('Disaggregation Records'!$D$156:$D$517,255),0))="","",INDEX('Disaggregation Records'!$G$156:$G$517,MATCH(RIGHT(L1700,255),RIGHT('Disaggregation Records'!$D$156:$D$517,255),0))),"")</f>
        <v/>
      </c>
    </row>
    <row r="1701" spans="1:18" ht="20.100000000000001" customHeight="1">
      <c r="A1701" s="126" t="str">
        <f t="shared" ca="1" si="1847"/>
        <v>a16Dm000000M3ytIAC</v>
      </c>
      <c r="B1701" s="570">
        <v>28</v>
      </c>
      <c r="C1701" s="572" t="str">
        <f ca="1">IFERROR(VLOOKUP(B1701,'Coverage Indicators - Section D'!$A$9:$AO$94,41,FALSE),"")</f>
        <v>VT-1 Percentage of pregnant women who know their HIV status</v>
      </c>
      <c r="D1701" s="574" t="str">
        <f ca="1">M1701</f>
        <v>HIV status</v>
      </c>
      <c r="E1701" s="574" t="str">
        <f ca="1">N1701</f>
        <v>Unknown</v>
      </c>
      <c r="F1701" s="127"/>
      <c r="G1701" s="576" t="str">
        <f ca="1">IF(OR(INDIRECT("'update Helper'!E"&amp;Q1701)="",F1701&lt;&gt;0,F1702&lt;&gt;0),IF(IFERROR((F1701/F1702),"")="","",(F1701/F1702)),INDIRECT("'update Helper'!E"&amp;Q1701)/100)</f>
        <v/>
      </c>
      <c r="H1701" s="539"/>
      <c r="I1701" s="578"/>
      <c r="J1701" s="532" t="s">
        <v>2301</v>
      </c>
      <c r="K1701" s="126">
        <f ca="1">IF(AND(EXACT(C1701,C1699),C1699&lt;&gt;0),K1699+1,0)</f>
        <v>0</v>
      </c>
      <c r="L1701" s="126" t="str">
        <f t="shared" ref="L1701" ca="1" si="1901">IF(C1701&lt;&gt;"",C1701&amp;"-"&amp;K1701,"")</f>
        <v>VT-1 Percentage of pregnant women who know their HIV status-0</v>
      </c>
      <c r="M1701" s="126" t="str">
        <f t="array" aca="1" ref="M1701" ca="1">IFERROR(IF(INDEX('Disaggregation Records'!$E$156:$E$517,MATCH(RIGHT(L1701,255),RIGHT('Disaggregation Records'!$D$156:$D$517,255),0))="","",INDEX('Disaggregation Records'!$E$156:$E$517,MATCH(RIGHT(L1701,255),RIGHT('Disaggregation Records'!$D$156:$D$517,255),0))),"")</f>
        <v>HIV status</v>
      </c>
      <c r="N1701" s="126" t="str">
        <f t="array" aca="1" ref="N1701" ca="1">IFERROR(IF(INDEX('Disaggregation Records'!$F$156:$F$517,MATCH(RIGHT(L1701,255),RIGHT('Disaggregation Records'!$D$156:$D$517,255),0))="","",INDEX('Disaggregation Records'!$F$156:$F$517,MATCH(RIGHT(L1701,255),RIGHT('Disaggregation Records'!$D$156:$D$517,255),0))),"")</f>
        <v>Unknown</v>
      </c>
      <c r="O1701" s="314" t="str">
        <f t="array" aca="1" ref="O1701" ca="1">IFERROR(IF(INDEX('Disaggregation Records'!$H$156:$H$517,MATCH(RIGHT(L1701,255),RIGHT('Disaggregation Records'!$D$156:$D$517,255),0))="","",INDEX('Disaggregation Records'!$H$156:$H$517,MATCH(RIGHT(L1701,255),RIGHT('Disaggregation Records'!$D$156:$D$517,255),0))),"")</f>
        <v>IDR-01262</v>
      </c>
      <c r="P1701" s="314"/>
      <c r="Q1701" s="310">
        <f t="shared" ref="Q1701" si="1902">Q1699+1</f>
        <v>2152</v>
      </c>
      <c r="R1701" s="314" t="str" cm="1">
        <f t="array" aca="1" ref="R1701" ca="1">IFERROR(IF(INDEX('Disaggregation Records'!$G$156:$G$517,MATCH(RIGHT(L1701,255),RIGHT('Disaggregation Records'!$D$156:$D$517,255),0))="","",INDEX('Disaggregation Records'!$G$156:$G$517,MATCH(RIGHT(L1701,255),RIGHT('Disaggregation Records'!$D$156:$D$517,255),0))),"")</f>
        <v>a1LDm000000Cb36MAC</v>
      </c>
    </row>
    <row r="1702" spans="1:18" ht="20.100000000000001" customHeight="1">
      <c r="A1702" s="126"/>
      <c r="B1702" s="571"/>
      <c r="C1702" s="573"/>
      <c r="D1702" s="575"/>
      <c r="E1702" s="575"/>
      <c r="F1702" s="128"/>
      <c r="G1702" s="577"/>
      <c r="H1702" s="540"/>
      <c r="I1702" s="579"/>
      <c r="J1702" s="533"/>
      <c r="K1702" s="126"/>
      <c r="L1702" s="126"/>
      <c r="M1702" s="126"/>
      <c r="N1702" s="126"/>
      <c r="O1702" s="314"/>
      <c r="P1702" s="314"/>
      <c r="Q1702" s="310"/>
      <c r="R1702" s="314" t="str" cm="1">
        <f t="array" ref="R1702">IFERROR(IF(INDEX('Disaggregation Records'!$G$156:$G$517,MATCH(RIGHT(L1702,255),RIGHT('Disaggregation Records'!$D$156:$D$517,255),0))="","",INDEX('Disaggregation Records'!$G$156:$G$517,MATCH(RIGHT(L1702,255),RIGHT('Disaggregation Records'!$D$156:$D$517,255),0))),"")</f>
        <v/>
      </c>
    </row>
    <row r="1703" spans="1:18" ht="20.100000000000001" customHeight="1">
      <c r="A1703" s="126" t="str">
        <f t="shared" ca="1" si="1850"/>
        <v>a16Dm000000M3yuIAC</v>
      </c>
      <c r="B1703" s="570">
        <v>28</v>
      </c>
      <c r="C1703" s="572" t="str">
        <f ca="1">IFERROR(VLOOKUP(B1703,'Coverage Indicators - Section D'!$A$9:$AO$94,41,FALSE),"")</f>
        <v>VT-1 Percentage of pregnant women who know their HIV status</v>
      </c>
      <c r="D1703" s="574" t="str">
        <f ca="1">M1703</f>
        <v>HIV status</v>
      </c>
      <c r="E1703" s="574" t="str">
        <f ca="1">N1703</f>
        <v>Negative</v>
      </c>
      <c r="F1703" s="127"/>
      <c r="G1703" s="576" t="str">
        <f ca="1">IF(OR(INDIRECT("'update Helper'!E"&amp;Q1703)="",F1703&lt;&gt;0,F1704&lt;&gt;0),IF(IFERROR((F1703/F1704),"")="","",(F1703/F1704)),INDIRECT("'update Helper'!E"&amp;Q1703)/100)</f>
        <v/>
      </c>
      <c r="H1703" s="539"/>
      <c r="I1703" s="578"/>
      <c r="J1703" s="532" t="s">
        <v>2301</v>
      </c>
      <c r="K1703" s="126">
        <f ca="1">IF(AND(EXACT(C1703,C1701),C1701&lt;&gt;0),K1701+1,0)</f>
        <v>1</v>
      </c>
      <c r="L1703" s="126" t="str">
        <f t="shared" ref="L1703" ca="1" si="1903">IF(C1703&lt;&gt;"",C1703&amp;"-"&amp;K1703,"")</f>
        <v>VT-1 Percentage of pregnant women who know their HIV status-1</v>
      </c>
      <c r="M1703" s="126" t="str">
        <f t="array" aca="1" ref="M1703" ca="1">IFERROR(IF(INDEX('Disaggregation Records'!$E$156:$E$517,MATCH(RIGHT(L1703,255),RIGHT('Disaggregation Records'!$D$156:$D$517,255),0))="","",INDEX('Disaggregation Records'!$E$156:$E$517,MATCH(RIGHT(L1703,255),RIGHT('Disaggregation Records'!$D$156:$D$517,255),0))),"")</f>
        <v>HIV status</v>
      </c>
      <c r="N1703" s="126" t="str">
        <f t="array" aca="1" ref="N1703" ca="1">IFERROR(IF(INDEX('Disaggregation Records'!$F$156:$F$517,MATCH(RIGHT(L1703,255),RIGHT('Disaggregation Records'!$D$156:$D$517,255),0))="","",INDEX('Disaggregation Records'!$F$156:$F$517,MATCH(RIGHT(L1703,255),RIGHT('Disaggregation Records'!$D$156:$D$517,255),0))),"")</f>
        <v>Negative</v>
      </c>
      <c r="O1703" s="314" t="str">
        <f t="array" aca="1" ref="O1703" ca="1">IFERROR(IF(INDEX('Disaggregation Records'!$H$156:$H$517,MATCH(RIGHT(L1703,255),RIGHT('Disaggregation Records'!$D$156:$D$517,255),0))="","",INDEX('Disaggregation Records'!$H$156:$H$517,MATCH(RIGHT(L1703,255),RIGHT('Disaggregation Records'!$D$156:$D$517,255),0))),"")</f>
        <v>IDR-01261</v>
      </c>
      <c r="P1703" s="314"/>
      <c r="Q1703" s="310">
        <f t="shared" ref="Q1703" si="1904">Q1701+1</f>
        <v>2153</v>
      </c>
      <c r="R1703" s="314" t="str" cm="1">
        <f t="array" aca="1" ref="R1703" ca="1">IFERROR(IF(INDEX('Disaggregation Records'!$G$156:$G$517,MATCH(RIGHT(L1703,255),RIGHT('Disaggregation Records'!$D$156:$D$517,255),0))="","",INDEX('Disaggregation Records'!$G$156:$G$517,MATCH(RIGHT(L1703,255),RIGHT('Disaggregation Records'!$D$156:$D$517,255),0))),"")</f>
        <v>a1LDm000000Cb35MAC</v>
      </c>
    </row>
    <row r="1704" spans="1:18" ht="20.100000000000001" customHeight="1">
      <c r="B1704" s="571"/>
      <c r="C1704" s="573"/>
      <c r="D1704" s="575"/>
      <c r="E1704" s="575"/>
      <c r="F1704" s="128"/>
      <c r="G1704" s="577"/>
      <c r="H1704" s="540"/>
      <c r="I1704" s="579"/>
      <c r="J1704" s="533"/>
      <c r="K1704" s="126"/>
      <c r="L1704" s="126"/>
      <c r="M1704" s="126"/>
      <c r="N1704" s="126"/>
      <c r="O1704" s="314"/>
      <c r="P1704" s="314"/>
      <c r="Q1704" s="310"/>
      <c r="R1704" s="314" t="str" cm="1">
        <f t="array" ref="R1704">IFERROR(IF(INDEX('Disaggregation Records'!$G$156:$G$517,MATCH(RIGHT(L1704,255),RIGHT('Disaggregation Records'!$D$156:$D$517,255),0))="","",INDEX('Disaggregation Records'!$G$156:$G$517,MATCH(RIGHT(L1704,255),RIGHT('Disaggregation Records'!$D$156:$D$517,255),0))),"")</f>
        <v/>
      </c>
    </row>
    <row r="1705" spans="1:18" ht="20.100000000000001" customHeight="1">
      <c r="A1705" s="126" t="str">
        <f t="shared" ca="1" si="1847"/>
        <v>a16Dm000000M3yvIAC</v>
      </c>
      <c r="B1705" s="570">
        <v>28</v>
      </c>
      <c r="C1705" s="572" t="str">
        <f ca="1">IFERROR(VLOOKUP(B1705,'Coverage Indicators - Section D'!$A$9:$AO$94,41,FALSE),"")</f>
        <v>VT-1 Percentage of pregnant women who know their HIV status</v>
      </c>
      <c r="D1705" s="574" t="str">
        <f ca="1">M1705</f>
        <v>HIV status</v>
      </c>
      <c r="E1705" s="574" t="str">
        <f ca="1">N1705</f>
        <v>Positive</v>
      </c>
      <c r="F1705" s="127"/>
      <c r="G1705" s="576" t="str">
        <f ca="1">IF(OR(INDIRECT("'update Helper'!E"&amp;Q1705)="",F1705&lt;&gt;0,F1706&lt;&gt;0),IF(IFERROR((F1705/F1706),"")="","",(F1705/F1706)),INDIRECT("'update Helper'!E"&amp;Q1705)/100)</f>
        <v/>
      </c>
      <c r="H1705" s="539"/>
      <c r="I1705" s="578"/>
      <c r="J1705" s="532" t="s">
        <v>2301</v>
      </c>
      <c r="K1705" s="126">
        <f ca="1">IF(AND(EXACT(C1705,C1703),C1703&lt;&gt;0),K1703+1,0)</f>
        <v>2</v>
      </c>
      <c r="L1705" s="126" t="str">
        <f t="shared" ref="L1705" ca="1" si="1905">IF(C1705&lt;&gt;"",C1705&amp;"-"&amp;K1705,"")</f>
        <v>VT-1 Percentage of pregnant women who know their HIV status-2</v>
      </c>
      <c r="M1705" s="126" t="str">
        <f t="array" aca="1" ref="M1705" ca="1">IFERROR(IF(INDEX('Disaggregation Records'!$E$156:$E$517,MATCH(RIGHT(L1705,255),RIGHT('Disaggregation Records'!$D$156:$D$517,255),0))="","",INDEX('Disaggregation Records'!$E$156:$E$517,MATCH(RIGHT(L1705,255),RIGHT('Disaggregation Records'!$D$156:$D$517,255),0))),"")</f>
        <v>HIV status</v>
      </c>
      <c r="N1705" s="126" t="str">
        <f t="array" aca="1" ref="N1705" ca="1">IFERROR(IF(INDEX('Disaggregation Records'!$F$156:$F$517,MATCH(RIGHT(L1705,255),RIGHT('Disaggregation Records'!$D$156:$D$517,255),0))="","",INDEX('Disaggregation Records'!$F$156:$F$517,MATCH(RIGHT(L1705,255),RIGHT('Disaggregation Records'!$D$156:$D$517,255),0))),"")</f>
        <v>Positive</v>
      </c>
      <c r="O1705" s="314" t="str">
        <f t="array" aca="1" ref="O1705" ca="1">IFERROR(IF(INDEX('Disaggregation Records'!$H$156:$H$517,MATCH(RIGHT(L1705,255),RIGHT('Disaggregation Records'!$D$156:$D$517,255),0))="","",INDEX('Disaggregation Records'!$H$156:$H$517,MATCH(RIGHT(L1705,255),RIGHT('Disaggregation Records'!$D$156:$D$517,255),0))),"")</f>
        <v>IDR-01260</v>
      </c>
      <c r="P1705" s="310"/>
      <c r="Q1705" s="310">
        <f t="shared" ref="Q1705" si="1906">Q1703+1</f>
        <v>2154</v>
      </c>
      <c r="R1705" s="314" t="str" cm="1">
        <f t="array" aca="1" ref="R1705" ca="1">IFERROR(IF(INDEX('Disaggregation Records'!$G$156:$G$517,MATCH(RIGHT(L1705,255),RIGHT('Disaggregation Records'!$D$156:$D$517,255),0))="","",INDEX('Disaggregation Records'!$G$156:$G$517,MATCH(RIGHT(L1705,255),RIGHT('Disaggregation Records'!$D$156:$D$517,255),0))),"")</f>
        <v>a1LDm000000Cb34MAC</v>
      </c>
    </row>
    <row r="1706" spans="1:18" ht="20.100000000000001" customHeight="1">
      <c r="A1706" s="126"/>
      <c r="B1706" s="571"/>
      <c r="C1706" s="573"/>
      <c r="D1706" s="575"/>
      <c r="E1706" s="575"/>
      <c r="F1706" s="128"/>
      <c r="G1706" s="577"/>
      <c r="H1706" s="540"/>
      <c r="I1706" s="579"/>
      <c r="J1706" s="533"/>
      <c r="L1706" s="126"/>
      <c r="N1706" s="126"/>
      <c r="O1706" s="314"/>
      <c r="P1706" s="310"/>
      <c r="Q1706" s="310"/>
      <c r="R1706" s="314" t="str" cm="1">
        <f t="array" ref="R1706">IFERROR(IF(INDEX('Disaggregation Records'!$G$156:$G$517,MATCH(RIGHT(L1706,255),RIGHT('Disaggregation Records'!$D$156:$D$517,255),0))="","",INDEX('Disaggregation Records'!$G$156:$G$517,MATCH(RIGHT(L1706,255),RIGHT('Disaggregation Records'!$D$156:$D$517,255),0))),"")</f>
        <v/>
      </c>
    </row>
    <row r="1707" spans="1:18" ht="20.100000000000001" customHeight="1">
      <c r="A1707" s="126" t="str">
        <f t="shared" ca="1" si="1850"/>
        <v>a16Dm000000M3ywIAC</v>
      </c>
      <c r="B1707" s="570">
        <v>28</v>
      </c>
      <c r="C1707" s="572" t="str">
        <f ca="1">IFERROR(VLOOKUP(B1707,'Coverage Indicators - Section D'!$A$9:$AO$94,41,FALSE),"")</f>
        <v>VT-1 Percentage of pregnant women who know their HIV status</v>
      </c>
      <c r="D1707" s="574" t="str">
        <f ca="1">M1707</f>
        <v/>
      </c>
      <c r="E1707" s="574" t="str">
        <f ca="1">N1707</f>
        <v/>
      </c>
      <c r="F1707" s="127"/>
      <c r="G1707" s="576" t="str">
        <f ca="1">IF(OR(INDIRECT("'update Helper'!E"&amp;Q1707)="",F1707&lt;&gt;0,F1708&lt;&gt;0),IF(IFERROR((F1707/F1708),"")="","",(F1707/F1708)),INDIRECT("'update Helper'!E"&amp;Q1707)/100)</f>
        <v/>
      </c>
      <c r="H1707" s="539"/>
      <c r="I1707" s="578"/>
      <c r="J1707" s="532"/>
      <c r="K1707" s="126">
        <f ca="1">IF(AND(EXACT(C1707,C1705),C1705&lt;&gt;0),K1705+1,0)</f>
        <v>3</v>
      </c>
      <c r="L1707" s="126" t="str">
        <f t="shared" ref="L1707" ca="1" si="1907">IF(C1707&lt;&gt;"",C1707&amp;"-"&amp;K1707,"")</f>
        <v>VT-1 Percentage of pregnant women who know their HIV status-3</v>
      </c>
      <c r="M1707" s="126" t="str">
        <f t="array" aca="1" ref="M1707" ca="1">IFERROR(IF(INDEX('Disaggregation Records'!$E$156:$E$517,MATCH(RIGHT(L1707,255),RIGHT('Disaggregation Records'!$D$156:$D$517,255),0))="","",INDEX('Disaggregation Records'!$E$156:$E$517,MATCH(RIGHT(L1707,255),RIGHT('Disaggregation Records'!$D$156:$D$517,255),0))),"")</f>
        <v/>
      </c>
      <c r="N1707" s="126" t="str">
        <f t="array" aca="1" ref="N1707" ca="1">IFERROR(IF(INDEX('Disaggregation Records'!$F$156:$F$517,MATCH(RIGHT(L1707,255),RIGHT('Disaggregation Records'!$D$156:$D$517,255),0))="","",INDEX('Disaggregation Records'!$F$156:$F$517,MATCH(RIGHT(L1707,255),RIGHT('Disaggregation Records'!$D$156:$D$517,255),0))),"")</f>
        <v/>
      </c>
      <c r="O1707" s="314" t="str">
        <f t="array" aca="1" ref="O1707" ca="1">IFERROR(IF(INDEX('Disaggregation Records'!$H$156:$H$517,MATCH(RIGHT(L1707,255),RIGHT('Disaggregation Records'!$D$156:$D$517,255),0))="","",INDEX('Disaggregation Records'!$H$156:$H$517,MATCH(RIGHT(L1707,255),RIGHT('Disaggregation Records'!$D$156:$D$517,255),0))),"")</f>
        <v/>
      </c>
      <c r="P1707" s="310"/>
      <c r="Q1707" s="310">
        <f t="shared" ref="Q1707" si="1908">Q1705+1</f>
        <v>2155</v>
      </c>
      <c r="R1707" s="314" t="str" cm="1">
        <f t="array" aca="1" ref="R1707" ca="1">IFERROR(IF(INDEX('Disaggregation Records'!$G$156:$G$517,MATCH(RIGHT(L1707,255),RIGHT('Disaggregation Records'!$D$156:$D$517,255),0))="","",INDEX('Disaggregation Records'!$G$156:$G$517,MATCH(RIGHT(L1707,255),RIGHT('Disaggregation Records'!$D$156:$D$517,255),0))),"")</f>
        <v/>
      </c>
    </row>
    <row r="1708" spans="1:18" ht="20.100000000000001" customHeight="1">
      <c r="B1708" s="571"/>
      <c r="C1708" s="573"/>
      <c r="D1708" s="575"/>
      <c r="E1708" s="575"/>
      <c r="F1708" s="128"/>
      <c r="G1708" s="577"/>
      <c r="H1708" s="540"/>
      <c r="I1708" s="579"/>
      <c r="J1708" s="533"/>
      <c r="L1708" s="126"/>
      <c r="N1708" s="126"/>
      <c r="O1708" s="314"/>
      <c r="P1708" s="310"/>
      <c r="Q1708" s="310"/>
      <c r="R1708" s="314" t="str" cm="1">
        <f t="array" ref="R1708">IFERROR(IF(INDEX('Disaggregation Records'!$G$156:$G$517,MATCH(RIGHT(L1708,255),RIGHT('Disaggregation Records'!$D$156:$D$517,255),0))="","",INDEX('Disaggregation Records'!$G$156:$G$517,MATCH(RIGHT(L1708,255),RIGHT('Disaggregation Records'!$D$156:$D$517,255),0))),"")</f>
        <v/>
      </c>
    </row>
    <row r="1709" spans="1:18" ht="20.100000000000001" customHeight="1">
      <c r="A1709" s="126" t="str">
        <f t="shared" ca="1" si="1847"/>
        <v>a16Dm000000M3yxIAC</v>
      </c>
      <c r="B1709" s="570">
        <v>28</v>
      </c>
      <c r="C1709" s="572" t="str">
        <f ca="1">IFERROR(VLOOKUP(B1709,'Coverage Indicators - Section D'!$A$9:$AO$94,41,FALSE),"")</f>
        <v>VT-1 Percentage of pregnant women who know their HIV status</v>
      </c>
      <c r="D1709" s="574" t="str">
        <f ca="1">M1709</f>
        <v/>
      </c>
      <c r="E1709" s="574" t="str">
        <f ca="1">N1709</f>
        <v/>
      </c>
      <c r="F1709" s="127"/>
      <c r="G1709" s="576" t="str">
        <f ca="1">IF(OR(INDIRECT("'update Helper'!E"&amp;Q1709)="",F1709&lt;&gt;0,F1710&lt;&gt;0),IF(IFERROR((F1709/F1710),"")="","",(F1709/F1710)),INDIRECT("'update Helper'!E"&amp;Q1709)/100)</f>
        <v/>
      </c>
      <c r="H1709" s="539"/>
      <c r="I1709" s="578"/>
      <c r="J1709" s="532"/>
      <c r="K1709" s="126">
        <f ca="1">IF(AND(EXACT(C1709,C1707),C1707&lt;&gt;0),K1707+1,0)</f>
        <v>4</v>
      </c>
      <c r="L1709" s="126" t="str">
        <f t="shared" ref="L1709" ca="1" si="1909">IF(C1709&lt;&gt;"",C1709&amp;"-"&amp;K1709,"")</f>
        <v>VT-1 Percentage of pregnant women who know their HIV status-4</v>
      </c>
      <c r="M1709" s="126" t="str">
        <f t="array" aca="1" ref="M1709" ca="1">IFERROR(IF(INDEX('Disaggregation Records'!$E$156:$E$517,MATCH(RIGHT(L1709,255),RIGHT('Disaggregation Records'!$D$156:$D$517,255),0))="","",INDEX('Disaggregation Records'!$E$156:$E$517,MATCH(RIGHT(L1709,255),RIGHT('Disaggregation Records'!$D$156:$D$517,255),0))),"")</f>
        <v/>
      </c>
      <c r="N1709" s="126" t="str">
        <f t="array" aca="1" ref="N1709" ca="1">IFERROR(IF(INDEX('Disaggregation Records'!$F$156:$F$517,MATCH(RIGHT(L1709,255),RIGHT('Disaggregation Records'!$D$156:$D$517,255),0))="","",INDEX('Disaggregation Records'!$F$156:$F$517,MATCH(RIGHT(L1709,255),RIGHT('Disaggregation Records'!$D$156:$D$517,255),0))),"")</f>
        <v/>
      </c>
      <c r="O1709" s="314" t="str">
        <f t="array" aca="1" ref="O1709" ca="1">IFERROR(IF(INDEX('Disaggregation Records'!$H$156:$H$517,MATCH(RIGHT(L1709,255),RIGHT('Disaggregation Records'!$D$156:$D$517,255),0))="","",INDEX('Disaggregation Records'!$H$156:$H$517,MATCH(RIGHT(L1709,255),RIGHT('Disaggregation Records'!$D$156:$D$517,255),0))),"")</f>
        <v/>
      </c>
      <c r="P1709" s="310"/>
      <c r="Q1709" s="310">
        <f t="shared" ref="Q1709" si="1910">Q1707+1</f>
        <v>2156</v>
      </c>
      <c r="R1709" s="314" t="str" cm="1">
        <f t="array" aca="1" ref="R1709" ca="1">IFERROR(IF(INDEX('Disaggregation Records'!$G$156:$G$517,MATCH(RIGHT(L1709,255),RIGHT('Disaggregation Records'!$D$156:$D$517,255),0))="","",INDEX('Disaggregation Records'!$G$156:$G$517,MATCH(RIGHT(L1709,255),RIGHT('Disaggregation Records'!$D$156:$D$517,255),0))),"")</f>
        <v/>
      </c>
    </row>
    <row r="1710" spans="1:18" ht="20.100000000000001" customHeight="1">
      <c r="A1710" s="126"/>
      <c r="B1710" s="571"/>
      <c r="C1710" s="573"/>
      <c r="D1710" s="575"/>
      <c r="E1710" s="575"/>
      <c r="F1710" s="128"/>
      <c r="G1710" s="577"/>
      <c r="H1710" s="540"/>
      <c r="I1710" s="579"/>
      <c r="J1710" s="533"/>
      <c r="L1710" s="126"/>
      <c r="N1710" s="126"/>
      <c r="O1710" s="314"/>
      <c r="P1710" s="310"/>
      <c r="Q1710" s="310"/>
      <c r="R1710" s="314" t="str" cm="1">
        <f t="array" ref="R1710">IFERROR(IF(INDEX('Disaggregation Records'!$G$156:$G$517,MATCH(RIGHT(L1710,255),RIGHT('Disaggregation Records'!$D$156:$D$517,255),0))="","",INDEX('Disaggregation Records'!$G$156:$G$517,MATCH(RIGHT(L1710,255),RIGHT('Disaggregation Records'!$D$156:$D$517,255),0))),"")</f>
        <v/>
      </c>
    </row>
    <row r="1711" spans="1:18" ht="20.100000000000001" customHeight="1">
      <c r="A1711" s="126" t="str">
        <f t="shared" ca="1" si="1850"/>
        <v>a16Dm000000M3yyIAC</v>
      </c>
      <c r="B1711" s="570">
        <v>28</v>
      </c>
      <c r="C1711" s="572" t="str">
        <f ca="1">IFERROR(VLOOKUP(B1711,'Coverage Indicators - Section D'!$A$9:$AO$94,41,FALSE),"")</f>
        <v>VT-1 Percentage of pregnant women who know their HIV status</v>
      </c>
      <c r="D1711" s="574" t="str">
        <f ca="1">M1711</f>
        <v/>
      </c>
      <c r="E1711" s="574" t="str">
        <f ca="1">N1711</f>
        <v/>
      </c>
      <c r="F1711" s="127"/>
      <c r="G1711" s="576" t="str">
        <f ca="1">IF(OR(INDIRECT("'update Helper'!E"&amp;Q1711)="",F1711&lt;&gt;0,F1712&lt;&gt;0),IF(IFERROR((F1711/F1712),"")="","",(F1711/F1712)),INDIRECT("'update Helper'!E"&amp;Q1711)/100)</f>
        <v/>
      </c>
      <c r="H1711" s="539"/>
      <c r="I1711" s="578"/>
      <c r="J1711" s="532"/>
      <c r="K1711" s="126">
        <f ca="1">IF(AND(EXACT(C1711,C1709),C1709&lt;&gt;0),K1709+1,0)</f>
        <v>5</v>
      </c>
      <c r="L1711" s="126" t="str">
        <f t="shared" ref="L1711" ca="1" si="1911">IF(C1711&lt;&gt;"",C1711&amp;"-"&amp;K1711,"")</f>
        <v>VT-1 Percentage of pregnant women who know their HIV status-5</v>
      </c>
      <c r="M1711" s="126" t="str">
        <f t="array" aca="1" ref="M1711" ca="1">IFERROR(IF(INDEX('Disaggregation Records'!$E$156:$E$517,MATCH(RIGHT(L1711,255),RIGHT('Disaggregation Records'!$D$156:$D$517,255),0))="","",INDEX('Disaggregation Records'!$E$156:$E$517,MATCH(RIGHT(L1711,255),RIGHT('Disaggregation Records'!$D$156:$D$517,255),0))),"")</f>
        <v/>
      </c>
      <c r="N1711" s="126" t="str">
        <f t="array" aca="1" ref="N1711" ca="1">IFERROR(IF(INDEX('Disaggregation Records'!$F$156:$F$517,MATCH(RIGHT(L1711,255),RIGHT('Disaggregation Records'!$D$156:$D$517,255),0))="","",INDEX('Disaggregation Records'!$F$156:$F$517,MATCH(RIGHT(L1711,255),RIGHT('Disaggregation Records'!$D$156:$D$517,255),0))),"")</f>
        <v/>
      </c>
      <c r="O1711" s="314" t="str">
        <f t="array" aca="1" ref="O1711" ca="1">IFERROR(IF(INDEX('Disaggregation Records'!$H$156:$H$517,MATCH(RIGHT(L1711,255),RIGHT('Disaggregation Records'!$D$156:$D$517,255),0))="","",INDEX('Disaggregation Records'!$H$156:$H$517,MATCH(RIGHT(L1711,255),RIGHT('Disaggregation Records'!$D$156:$D$517,255),0))),"")</f>
        <v/>
      </c>
      <c r="P1711" s="314"/>
      <c r="Q1711" s="310">
        <f t="shared" ref="Q1711" si="1912">Q1709+1</f>
        <v>2157</v>
      </c>
      <c r="R1711" s="314" t="str" cm="1">
        <f t="array" aca="1" ref="R1711" ca="1">IFERROR(IF(INDEX('Disaggregation Records'!$G$156:$G$517,MATCH(RIGHT(L1711,255),RIGHT('Disaggregation Records'!$D$156:$D$517,255),0))="","",INDEX('Disaggregation Records'!$G$156:$G$517,MATCH(RIGHT(L1711,255),RIGHT('Disaggregation Records'!$D$156:$D$517,255),0))),"")</f>
        <v/>
      </c>
    </row>
    <row r="1712" spans="1:18" ht="20.100000000000001" customHeight="1">
      <c r="B1712" s="571"/>
      <c r="C1712" s="573"/>
      <c r="D1712" s="575"/>
      <c r="E1712" s="575"/>
      <c r="F1712" s="128"/>
      <c r="G1712" s="577"/>
      <c r="H1712" s="540"/>
      <c r="I1712" s="579"/>
      <c r="J1712" s="533"/>
      <c r="K1712" s="126"/>
      <c r="L1712" s="126"/>
      <c r="M1712" s="126"/>
      <c r="N1712" s="126"/>
      <c r="O1712" s="314"/>
      <c r="P1712" s="314"/>
      <c r="Q1712" s="310"/>
      <c r="R1712" s="314" t="str" cm="1">
        <f t="array" ref="R1712">IFERROR(IF(INDEX('Disaggregation Records'!$G$156:$G$517,MATCH(RIGHT(L1712,255),RIGHT('Disaggregation Records'!$D$156:$D$517,255),0))="","",INDEX('Disaggregation Records'!$G$156:$G$517,MATCH(RIGHT(L1712,255),RIGHT('Disaggregation Records'!$D$156:$D$517,255),0))),"")</f>
        <v/>
      </c>
    </row>
    <row r="1713" spans="1:18" ht="20.100000000000001" customHeight="1">
      <c r="A1713" s="126" t="str">
        <f t="shared" ref="A1713:A1773" ca="1" si="1913">INDIRECT("'update Helper'!C"&amp;Q1713)</f>
        <v>a16Dm000000M3yzIAC</v>
      </c>
      <c r="B1713" s="570">
        <v>28</v>
      </c>
      <c r="C1713" s="572" t="str">
        <f ca="1">IFERROR(VLOOKUP(B1713,'Coverage Indicators - Section D'!$A$9:$AO$94,41,FALSE),"")</f>
        <v>VT-1 Percentage of pregnant women who know their HIV status</v>
      </c>
      <c r="D1713" s="574" t="str">
        <f ca="1">M1713</f>
        <v/>
      </c>
      <c r="E1713" s="574" t="str">
        <f ca="1">N1713</f>
        <v/>
      </c>
      <c r="F1713" s="127"/>
      <c r="G1713" s="576" t="str">
        <f ca="1">IF(OR(INDIRECT("'update Helper'!E"&amp;Q1713)="",F1713&lt;&gt;0,F1714&lt;&gt;0),IF(IFERROR((F1713/F1714),"")="","",(F1713/F1714)),INDIRECT("'update Helper'!E"&amp;Q1713)/100)</f>
        <v/>
      </c>
      <c r="H1713" s="539"/>
      <c r="I1713" s="578"/>
      <c r="J1713" s="532"/>
      <c r="K1713" s="126">
        <f ca="1">IF(AND(EXACT(C1713,C1711),C1711&lt;&gt;0),K1711+1,0)</f>
        <v>6</v>
      </c>
      <c r="L1713" s="126" t="str">
        <f t="shared" ref="L1713" ca="1" si="1914">IF(C1713&lt;&gt;"",C1713&amp;"-"&amp;K1713,"")</f>
        <v>VT-1 Percentage of pregnant women who know their HIV status-6</v>
      </c>
      <c r="M1713" s="126" t="str">
        <f t="array" aca="1" ref="M1713" ca="1">IFERROR(IF(INDEX('Disaggregation Records'!$E$156:$E$517,MATCH(RIGHT(L1713,255),RIGHT('Disaggregation Records'!$D$156:$D$517,255),0))="","",INDEX('Disaggregation Records'!$E$156:$E$517,MATCH(RIGHT(L1713,255),RIGHT('Disaggregation Records'!$D$156:$D$517,255),0))),"")</f>
        <v/>
      </c>
      <c r="N1713" s="126" t="str">
        <f t="array" aca="1" ref="N1713" ca="1">IFERROR(IF(INDEX('Disaggregation Records'!$F$156:$F$517,MATCH(RIGHT(L1713,255),RIGHT('Disaggregation Records'!$D$156:$D$517,255),0))="","",INDEX('Disaggregation Records'!$F$156:$F$517,MATCH(RIGHT(L1713,255),RIGHT('Disaggregation Records'!$D$156:$D$517,255),0))),"")</f>
        <v/>
      </c>
      <c r="O1713" s="314" t="str">
        <f t="array" aca="1" ref="O1713" ca="1">IFERROR(IF(INDEX('Disaggregation Records'!$H$156:$H$517,MATCH(RIGHT(L1713,255),RIGHT('Disaggregation Records'!$D$156:$D$517,255),0))="","",INDEX('Disaggregation Records'!$H$156:$H$517,MATCH(RIGHT(L1713,255),RIGHT('Disaggregation Records'!$D$156:$D$517,255),0))),"")</f>
        <v/>
      </c>
      <c r="P1713" s="314"/>
      <c r="Q1713" s="310">
        <f t="shared" ref="Q1713" si="1915">Q1711+1</f>
        <v>2158</v>
      </c>
      <c r="R1713" s="314" t="str" cm="1">
        <f t="array" aca="1" ref="R1713" ca="1">IFERROR(IF(INDEX('Disaggregation Records'!$G$156:$G$517,MATCH(RIGHT(L1713,255),RIGHT('Disaggregation Records'!$D$156:$D$517,255),0))="","",INDEX('Disaggregation Records'!$G$156:$G$517,MATCH(RIGHT(L1713,255),RIGHT('Disaggregation Records'!$D$156:$D$517,255),0))),"")</f>
        <v/>
      </c>
    </row>
    <row r="1714" spans="1:18" ht="20.100000000000001" customHeight="1">
      <c r="A1714" s="126"/>
      <c r="B1714" s="571"/>
      <c r="C1714" s="573"/>
      <c r="D1714" s="575"/>
      <c r="E1714" s="575"/>
      <c r="F1714" s="128"/>
      <c r="G1714" s="577"/>
      <c r="H1714" s="540"/>
      <c r="I1714" s="579"/>
      <c r="J1714" s="533"/>
      <c r="K1714" s="126"/>
      <c r="L1714" s="126"/>
      <c r="M1714" s="126"/>
      <c r="N1714" s="126"/>
      <c r="O1714" s="314"/>
      <c r="P1714" s="314"/>
      <c r="Q1714" s="310"/>
      <c r="R1714" s="314" t="str" cm="1">
        <f t="array" ref="R1714">IFERROR(IF(INDEX('Disaggregation Records'!$G$156:$G$517,MATCH(RIGHT(L1714,255),RIGHT('Disaggregation Records'!$D$156:$D$517,255),0))="","",INDEX('Disaggregation Records'!$G$156:$G$517,MATCH(RIGHT(L1714,255),RIGHT('Disaggregation Records'!$D$156:$D$517,255),0))),"")</f>
        <v/>
      </c>
    </row>
    <row r="1715" spans="1:18" ht="20.100000000000001" customHeight="1">
      <c r="A1715" s="126" t="str">
        <f t="shared" ref="A1715:A1775" ca="1" si="1916">INDIRECT("'update Helper'!C"&amp;Q1715)</f>
        <v>a16Dm000000M3z0IAC</v>
      </c>
      <c r="B1715" s="570">
        <v>28</v>
      </c>
      <c r="C1715" s="572" t="str">
        <f ca="1">IFERROR(VLOOKUP(B1715,'Coverage Indicators - Section D'!$A$9:$AO$94,41,FALSE),"")</f>
        <v>VT-1 Percentage of pregnant women who know their HIV status</v>
      </c>
      <c r="D1715" s="574" t="str">
        <f ca="1">M1715</f>
        <v/>
      </c>
      <c r="E1715" s="574" t="str">
        <f ca="1">N1715</f>
        <v/>
      </c>
      <c r="F1715" s="127"/>
      <c r="G1715" s="576" t="str">
        <f ca="1">IF(OR(INDIRECT("'update Helper'!E"&amp;Q1715)="",F1715&lt;&gt;0,F1716&lt;&gt;0),IF(IFERROR((F1715/F1716),"")="","",(F1715/F1716)),INDIRECT("'update Helper'!E"&amp;Q1715)/100)</f>
        <v/>
      </c>
      <c r="H1715" s="539"/>
      <c r="I1715" s="578"/>
      <c r="J1715" s="532"/>
      <c r="K1715" s="126">
        <f ca="1">IF(AND(EXACT(C1715,C1713),C1713&lt;&gt;0),K1713+1,0)</f>
        <v>7</v>
      </c>
      <c r="L1715" s="126" t="str">
        <f t="shared" ref="L1715" ca="1" si="1917">IF(C1715&lt;&gt;"",C1715&amp;"-"&amp;K1715,"")</f>
        <v>VT-1 Percentage of pregnant women who know their HIV status-7</v>
      </c>
      <c r="M1715" s="126" t="str">
        <f t="array" aca="1" ref="M1715" ca="1">IFERROR(IF(INDEX('Disaggregation Records'!$E$156:$E$517,MATCH(RIGHT(L1715,255),RIGHT('Disaggregation Records'!$D$156:$D$517,255),0))="","",INDEX('Disaggregation Records'!$E$156:$E$517,MATCH(RIGHT(L1715,255),RIGHT('Disaggregation Records'!$D$156:$D$517,255),0))),"")</f>
        <v/>
      </c>
      <c r="N1715" s="126" t="str">
        <f t="array" aca="1" ref="N1715" ca="1">IFERROR(IF(INDEX('Disaggregation Records'!$F$156:$F$517,MATCH(RIGHT(L1715,255),RIGHT('Disaggregation Records'!$D$156:$D$517,255),0))="","",INDEX('Disaggregation Records'!$F$156:$F$517,MATCH(RIGHT(L1715,255),RIGHT('Disaggregation Records'!$D$156:$D$517,255),0))),"")</f>
        <v/>
      </c>
      <c r="O1715" s="314" t="str">
        <f t="array" aca="1" ref="O1715" ca="1">IFERROR(IF(INDEX('Disaggregation Records'!$H$156:$H$517,MATCH(RIGHT(L1715,255),RIGHT('Disaggregation Records'!$D$156:$D$517,255),0))="","",INDEX('Disaggregation Records'!$H$156:$H$517,MATCH(RIGHT(L1715,255),RIGHT('Disaggregation Records'!$D$156:$D$517,255),0))),"")</f>
        <v/>
      </c>
      <c r="P1715" s="310"/>
      <c r="Q1715" s="310">
        <f t="shared" ref="Q1715" si="1918">Q1713+1</f>
        <v>2159</v>
      </c>
      <c r="R1715" s="314" t="str" cm="1">
        <f t="array" aca="1" ref="R1715" ca="1">IFERROR(IF(INDEX('Disaggregation Records'!$G$156:$G$517,MATCH(RIGHT(L1715,255),RIGHT('Disaggregation Records'!$D$156:$D$517,255),0))="","",INDEX('Disaggregation Records'!$G$156:$G$517,MATCH(RIGHT(L1715,255),RIGHT('Disaggregation Records'!$D$156:$D$517,255),0))),"")</f>
        <v/>
      </c>
    </row>
    <row r="1716" spans="1:18" ht="20.100000000000001" customHeight="1">
      <c r="B1716" s="571"/>
      <c r="C1716" s="573"/>
      <c r="D1716" s="575"/>
      <c r="E1716" s="575"/>
      <c r="F1716" s="128"/>
      <c r="G1716" s="577"/>
      <c r="H1716" s="540"/>
      <c r="I1716" s="579"/>
      <c r="J1716" s="533"/>
      <c r="L1716" s="126"/>
      <c r="N1716" s="126"/>
      <c r="O1716" s="314"/>
      <c r="P1716" s="310"/>
      <c r="Q1716" s="310"/>
      <c r="R1716" s="314" t="str" cm="1">
        <f t="array" ref="R1716">IFERROR(IF(INDEX('Disaggregation Records'!$G$156:$G$517,MATCH(RIGHT(L1716,255),RIGHT('Disaggregation Records'!$D$156:$D$517,255),0))="","",INDEX('Disaggregation Records'!$G$156:$G$517,MATCH(RIGHT(L1716,255),RIGHT('Disaggregation Records'!$D$156:$D$517,255),0))),"")</f>
        <v/>
      </c>
    </row>
    <row r="1717" spans="1:18" ht="20.100000000000001" customHeight="1">
      <c r="A1717" s="126" t="str">
        <f t="shared" ca="1" si="1913"/>
        <v>a16Dm000000M3z1IAC</v>
      </c>
      <c r="B1717" s="570">
        <v>28</v>
      </c>
      <c r="C1717" s="572" t="str">
        <f ca="1">IFERROR(VLOOKUP(B1717,'Coverage Indicators - Section D'!$A$9:$AO$94,41,FALSE),"")</f>
        <v>VT-1 Percentage of pregnant women who know their HIV status</v>
      </c>
      <c r="D1717" s="574" t="str">
        <f ca="1">M1717</f>
        <v/>
      </c>
      <c r="E1717" s="574" t="str">
        <f ca="1">N1717</f>
        <v/>
      </c>
      <c r="F1717" s="127"/>
      <c r="G1717" s="576" t="str">
        <f ca="1">IF(OR(INDIRECT("'update Helper'!E"&amp;Q1717)="",F1717&lt;&gt;0,F1718&lt;&gt;0),IF(IFERROR((F1717/F1718),"")="","",(F1717/F1718)),INDIRECT("'update Helper'!E"&amp;Q1717)/100)</f>
        <v/>
      </c>
      <c r="H1717" s="539"/>
      <c r="I1717" s="578"/>
      <c r="J1717" s="532"/>
      <c r="K1717" s="126">
        <f ca="1">IF(AND(EXACT(C1717,C1715),C1715&lt;&gt;0),K1715+1,0)</f>
        <v>8</v>
      </c>
      <c r="L1717" s="126" t="str">
        <f t="shared" ref="L1717" ca="1" si="1919">IF(C1717&lt;&gt;"",C1717&amp;"-"&amp;K1717,"")</f>
        <v>VT-1 Percentage of pregnant women who know their HIV status-8</v>
      </c>
      <c r="M1717" s="126" t="str">
        <f t="array" aca="1" ref="M1717" ca="1">IFERROR(IF(INDEX('Disaggregation Records'!$E$156:$E$517,MATCH(RIGHT(L1717,255),RIGHT('Disaggregation Records'!$D$156:$D$517,255),0))="","",INDEX('Disaggregation Records'!$E$156:$E$517,MATCH(RIGHT(L1717,255),RIGHT('Disaggregation Records'!$D$156:$D$517,255),0))),"")</f>
        <v/>
      </c>
      <c r="N1717" s="126" t="str">
        <f t="array" aca="1" ref="N1717" ca="1">IFERROR(IF(INDEX('Disaggregation Records'!$F$156:$F$517,MATCH(RIGHT(L1717,255),RIGHT('Disaggregation Records'!$D$156:$D$517,255),0))="","",INDEX('Disaggregation Records'!$F$156:$F$517,MATCH(RIGHT(L1717,255),RIGHT('Disaggregation Records'!$D$156:$D$517,255),0))),"")</f>
        <v/>
      </c>
      <c r="O1717" s="314" t="str">
        <f t="array" aca="1" ref="O1717" ca="1">IFERROR(IF(INDEX('Disaggregation Records'!$H$156:$H$517,MATCH(RIGHT(L1717,255),RIGHT('Disaggregation Records'!$D$156:$D$517,255),0))="","",INDEX('Disaggregation Records'!$H$156:$H$517,MATCH(RIGHT(L1717,255),RIGHT('Disaggregation Records'!$D$156:$D$517,255),0))),"")</f>
        <v/>
      </c>
      <c r="P1717" s="310"/>
      <c r="Q1717" s="310">
        <f t="shared" ref="Q1717" si="1920">Q1715+1</f>
        <v>2160</v>
      </c>
      <c r="R1717" s="314" t="str" cm="1">
        <f t="array" aca="1" ref="R1717" ca="1">IFERROR(IF(INDEX('Disaggregation Records'!$G$156:$G$517,MATCH(RIGHT(L1717,255),RIGHT('Disaggregation Records'!$D$156:$D$517,255),0))="","",INDEX('Disaggregation Records'!$G$156:$G$517,MATCH(RIGHT(L1717,255),RIGHT('Disaggregation Records'!$D$156:$D$517,255),0))),"")</f>
        <v/>
      </c>
    </row>
    <row r="1718" spans="1:18" ht="20.100000000000001" customHeight="1">
      <c r="A1718" s="126"/>
      <c r="B1718" s="571"/>
      <c r="C1718" s="573"/>
      <c r="D1718" s="575"/>
      <c r="E1718" s="575"/>
      <c r="F1718" s="128"/>
      <c r="G1718" s="577"/>
      <c r="H1718" s="540"/>
      <c r="I1718" s="579"/>
      <c r="J1718" s="533"/>
      <c r="L1718" s="126"/>
      <c r="N1718" s="126"/>
      <c r="O1718" s="314"/>
      <c r="P1718" s="310"/>
      <c r="Q1718" s="310"/>
      <c r="R1718" s="314" t="str" cm="1">
        <f t="array" ref="R1718">IFERROR(IF(INDEX('Disaggregation Records'!$G$156:$G$517,MATCH(RIGHT(L1718,255),RIGHT('Disaggregation Records'!$D$156:$D$517,255),0))="","",INDEX('Disaggregation Records'!$G$156:$G$517,MATCH(RIGHT(L1718,255),RIGHT('Disaggregation Records'!$D$156:$D$517,255),0))),"")</f>
        <v/>
      </c>
    </row>
    <row r="1719" spans="1:18" ht="20.100000000000001" customHeight="1">
      <c r="A1719" s="126" t="str">
        <f t="shared" ca="1" si="1916"/>
        <v>a16Dm000000M3z2IAC</v>
      </c>
      <c r="B1719" s="570">
        <v>28</v>
      </c>
      <c r="C1719" s="572" t="str">
        <f ca="1">IFERROR(VLOOKUP(B1719,'Coverage Indicators - Section D'!$A$9:$AO$94,41,FALSE),"")</f>
        <v>VT-1 Percentage of pregnant women who know their HIV status</v>
      </c>
      <c r="D1719" s="574" t="str">
        <f ca="1">M1719</f>
        <v/>
      </c>
      <c r="E1719" s="574" t="str">
        <f ca="1">N1719</f>
        <v/>
      </c>
      <c r="F1719" s="127"/>
      <c r="G1719" s="576" t="str">
        <f ca="1">IF(OR(INDIRECT("'update Helper'!E"&amp;Q1719)="",F1719&lt;&gt;0,F1720&lt;&gt;0),IF(IFERROR((F1719/F1720),"")="","",(F1719/F1720)),INDIRECT("'update Helper'!E"&amp;Q1719)/100)</f>
        <v/>
      </c>
      <c r="H1719" s="539"/>
      <c r="I1719" s="578"/>
      <c r="J1719" s="532"/>
      <c r="K1719" s="126">
        <f ca="1">IF(AND(EXACT(C1719,C1717),C1717&lt;&gt;0),K1717+1,0)</f>
        <v>9</v>
      </c>
      <c r="L1719" s="126" t="str">
        <f t="shared" ref="L1719" ca="1" si="1921">IF(C1719&lt;&gt;"",C1719&amp;"-"&amp;K1719,"")</f>
        <v>VT-1 Percentage of pregnant women who know their HIV status-9</v>
      </c>
      <c r="M1719" s="126" t="str">
        <f t="array" aca="1" ref="M1719" ca="1">IFERROR(IF(INDEX('Disaggregation Records'!$E$156:$E$517,MATCH(RIGHT(L1719,255),RIGHT('Disaggregation Records'!$D$156:$D$517,255),0))="","",INDEX('Disaggregation Records'!$E$156:$E$517,MATCH(RIGHT(L1719,255),RIGHT('Disaggregation Records'!$D$156:$D$517,255),0))),"")</f>
        <v/>
      </c>
      <c r="N1719" s="126" t="str">
        <f t="array" aca="1" ref="N1719" ca="1">IFERROR(IF(INDEX('Disaggregation Records'!$F$156:$F$517,MATCH(RIGHT(L1719,255),RIGHT('Disaggregation Records'!$D$156:$D$517,255),0))="","",INDEX('Disaggregation Records'!$F$156:$F$517,MATCH(RIGHT(L1719,255),RIGHT('Disaggregation Records'!$D$156:$D$517,255),0))),"")</f>
        <v/>
      </c>
      <c r="O1719" s="314" t="str">
        <f t="array" aca="1" ref="O1719" ca="1">IFERROR(IF(INDEX('Disaggregation Records'!$H$156:$H$517,MATCH(RIGHT(L1719,255),RIGHT('Disaggregation Records'!$D$156:$D$517,255),0))="","",INDEX('Disaggregation Records'!$H$156:$H$517,MATCH(RIGHT(L1719,255),RIGHT('Disaggregation Records'!$D$156:$D$517,255),0))),"")</f>
        <v/>
      </c>
      <c r="P1719" s="310"/>
      <c r="Q1719" s="310">
        <f t="shared" ref="Q1719" si="1922">Q1717+1</f>
        <v>2161</v>
      </c>
      <c r="R1719" s="314" t="str" cm="1">
        <f t="array" aca="1" ref="R1719" ca="1">IFERROR(IF(INDEX('Disaggregation Records'!$G$156:$G$517,MATCH(RIGHT(L1719,255),RIGHT('Disaggregation Records'!$D$156:$D$517,255),0))="","",INDEX('Disaggregation Records'!$G$156:$G$517,MATCH(RIGHT(L1719,255),RIGHT('Disaggregation Records'!$D$156:$D$517,255),0))),"")</f>
        <v/>
      </c>
    </row>
    <row r="1720" spans="1:18" ht="20.100000000000001" customHeight="1">
      <c r="B1720" s="571"/>
      <c r="C1720" s="573"/>
      <c r="D1720" s="575"/>
      <c r="E1720" s="575"/>
      <c r="F1720" s="128"/>
      <c r="G1720" s="577"/>
      <c r="H1720" s="540"/>
      <c r="I1720" s="579"/>
      <c r="J1720" s="533"/>
      <c r="L1720" s="126"/>
      <c r="N1720" s="126"/>
      <c r="O1720" s="314"/>
      <c r="P1720" s="310"/>
      <c r="Q1720" s="310"/>
      <c r="R1720" s="314" t="str" cm="1">
        <f t="array" ref="R1720">IFERROR(IF(INDEX('Disaggregation Records'!$G$156:$G$517,MATCH(RIGHT(L1720,255),RIGHT('Disaggregation Records'!$D$156:$D$517,255),0))="","",INDEX('Disaggregation Records'!$G$156:$G$517,MATCH(RIGHT(L1720,255),RIGHT('Disaggregation Records'!$D$156:$D$517,255),0))),"")</f>
        <v/>
      </c>
    </row>
    <row r="1721" spans="1:18" ht="20.100000000000001" customHeight="1">
      <c r="A1721" s="126" t="str">
        <f t="shared" ca="1" si="1913"/>
        <v>a16Dm000000M3z3IAC</v>
      </c>
      <c r="B1721" s="570">
        <v>28</v>
      </c>
      <c r="C1721" s="572" t="str">
        <f ca="1">IFERROR(VLOOKUP(B1721,'Coverage Indicators - Section D'!$A$9:$AO$94,41,FALSE),"")</f>
        <v>VT-1 Percentage of pregnant women who know their HIV status</v>
      </c>
      <c r="D1721" s="574" t="str">
        <f ca="1">M1721</f>
        <v/>
      </c>
      <c r="E1721" s="574" t="str">
        <f ca="1">N1721</f>
        <v/>
      </c>
      <c r="F1721" s="127"/>
      <c r="G1721" s="576" t="str">
        <f ca="1">IF(OR(INDIRECT("'update Helper'!E"&amp;Q1721)="",F1721&lt;&gt;0,F1722&lt;&gt;0),IF(IFERROR((F1721/F1722),"")="","",(F1721/F1722)),INDIRECT("'update Helper'!E"&amp;Q1721)/100)</f>
        <v/>
      </c>
      <c r="H1721" s="539"/>
      <c r="I1721" s="578"/>
      <c r="J1721" s="532"/>
      <c r="K1721" s="126">
        <f ca="1">IF(AND(EXACT(C1721,C1719),C1719&lt;&gt;0),K1719+1,0)</f>
        <v>10</v>
      </c>
      <c r="L1721" s="126" t="str">
        <f t="shared" ref="L1721" ca="1" si="1923">IF(C1721&lt;&gt;"",C1721&amp;"-"&amp;K1721,"")</f>
        <v>VT-1 Percentage of pregnant women who know their HIV status-10</v>
      </c>
      <c r="M1721" s="126" t="str">
        <f t="array" aca="1" ref="M1721" ca="1">IFERROR(IF(INDEX('Disaggregation Records'!$E$156:$E$517,MATCH(RIGHT(L1721,255),RIGHT('Disaggregation Records'!$D$156:$D$517,255),0))="","",INDEX('Disaggregation Records'!$E$156:$E$517,MATCH(RIGHT(L1721,255),RIGHT('Disaggregation Records'!$D$156:$D$517,255),0))),"")</f>
        <v/>
      </c>
      <c r="N1721" s="126" t="str">
        <f t="array" aca="1" ref="N1721" ca="1">IFERROR(IF(INDEX('Disaggregation Records'!$F$156:$F$517,MATCH(RIGHT(L1721,255),RIGHT('Disaggregation Records'!$D$156:$D$517,255),0))="","",INDEX('Disaggregation Records'!$F$156:$F$517,MATCH(RIGHT(L1721,255),RIGHT('Disaggregation Records'!$D$156:$D$517,255),0))),"")</f>
        <v/>
      </c>
      <c r="O1721" s="314" t="str">
        <f t="array" aca="1" ref="O1721" ca="1">IFERROR(IF(INDEX('Disaggregation Records'!$H$156:$H$517,MATCH(RIGHT(L1721,255),RIGHT('Disaggregation Records'!$D$156:$D$517,255),0))="","",INDEX('Disaggregation Records'!$H$156:$H$517,MATCH(RIGHT(L1721,255),RIGHT('Disaggregation Records'!$D$156:$D$517,255),0))),"")</f>
        <v/>
      </c>
      <c r="P1721" s="314"/>
      <c r="Q1721" s="310">
        <f t="shared" ref="Q1721" si="1924">Q1719+1</f>
        <v>2162</v>
      </c>
      <c r="R1721" s="314" t="str" cm="1">
        <f t="array" aca="1" ref="R1721" ca="1">IFERROR(IF(INDEX('Disaggregation Records'!$G$156:$G$517,MATCH(RIGHT(L1721,255),RIGHT('Disaggregation Records'!$D$156:$D$517,255),0))="","",INDEX('Disaggregation Records'!$G$156:$G$517,MATCH(RIGHT(L1721,255),RIGHT('Disaggregation Records'!$D$156:$D$517,255),0))),"")</f>
        <v/>
      </c>
    </row>
    <row r="1722" spans="1:18" ht="20.100000000000001" customHeight="1">
      <c r="A1722" s="126"/>
      <c r="B1722" s="571"/>
      <c r="C1722" s="573"/>
      <c r="D1722" s="575"/>
      <c r="E1722" s="575"/>
      <c r="F1722" s="128"/>
      <c r="G1722" s="577"/>
      <c r="H1722" s="540"/>
      <c r="I1722" s="579"/>
      <c r="J1722" s="533"/>
      <c r="K1722" s="126"/>
      <c r="L1722" s="126"/>
      <c r="M1722" s="126"/>
      <c r="N1722" s="126"/>
      <c r="O1722" s="314"/>
      <c r="P1722" s="314"/>
      <c r="Q1722" s="310"/>
      <c r="R1722" s="314" t="str" cm="1">
        <f t="array" ref="R1722">IFERROR(IF(INDEX('Disaggregation Records'!$G$156:$G$517,MATCH(RIGHT(L1722,255),RIGHT('Disaggregation Records'!$D$156:$D$517,255),0))="","",INDEX('Disaggregation Records'!$G$156:$G$517,MATCH(RIGHT(L1722,255),RIGHT('Disaggregation Records'!$D$156:$D$517,255),0))),"")</f>
        <v/>
      </c>
    </row>
    <row r="1723" spans="1:18" ht="20.100000000000001" customHeight="1">
      <c r="A1723" s="126" t="str">
        <f t="shared" ca="1" si="1916"/>
        <v>a16Dm000000M3z4IAC</v>
      </c>
      <c r="B1723" s="570">
        <v>28</v>
      </c>
      <c r="C1723" s="572" t="str">
        <f ca="1">IFERROR(VLOOKUP(B1723,'Coverage Indicators - Section D'!$A$9:$AO$94,41,FALSE),"")</f>
        <v>VT-1 Percentage of pregnant women who know their HIV status</v>
      </c>
      <c r="D1723" s="574" t="str">
        <f ca="1">M1723</f>
        <v/>
      </c>
      <c r="E1723" s="574" t="str">
        <f ca="1">N1723</f>
        <v/>
      </c>
      <c r="F1723" s="127"/>
      <c r="G1723" s="576" t="str">
        <f ca="1">IF(OR(INDIRECT("'update Helper'!E"&amp;Q1723)="",F1723&lt;&gt;0,F1724&lt;&gt;0),IF(IFERROR((F1723/F1724),"")="","",(F1723/F1724)),INDIRECT("'update Helper'!E"&amp;Q1723)/100)</f>
        <v/>
      </c>
      <c r="H1723" s="539"/>
      <c r="I1723" s="578"/>
      <c r="J1723" s="532"/>
      <c r="K1723" s="126">
        <f ca="1">IF(AND(EXACT(C1723,C1721),C1721&lt;&gt;0),K1721+1,0)</f>
        <v>11</v>
      </c>
      <c r="L1723" s="126" t="str">
        <f t="shared" ref="L1723" ca="1" si="1925">IF(C1723&lt;&gt;"",C1723&amp;"-"&amp;K1723,"")</f>
        <v>VT-1 Percentage of pregnant women who know their HIV status-11</v>
      </c>
      <c r="M1723" s="126" t="str">
        <f t="array" aca="1" ref="M1723" ca="1">IFERROR(IF(INDEX('Disaggregation Records'!$E$156:$E$517,MATCH(RIGHT(L1723,255),RIGHT('Disaggregation Records'!$D$156:$D$517,255),0))="","",INDEX('Disaggregation Records'!$E$156:$E$517,MATCH(RIGHT(L1723,255),RIGHT('Disaggregation Records'!$D$156:$D$517,255),0))),"")</f>
        <v/>
      </c>
      <c r="N1723" s="126" t="str">
        <f t="array" aca="1" ref="N1723" ca="1">IFERROR(IF(INDEX('Disaggregation Records'!$F$156:$F$517,MATCH(RIGHT(L1723,255),RIGHT('Disaggregation Records'!$D$156:$D$517,255),0))="","",INDEX('Disaggregation Records'!$F$156:$F$517,MATCH(RIGHT(L1723,255),RIGHT('Disaggregation Records'!$D$156:$D$517,255),0))),"")</f>
        <v/>
      </c>
      <c r="O1723" s="314" t="str">
        <f t="array" aca="1" ref="O1723" ca="1">IFERROR(IF(INDEX('Disaggregation Records'!$H$156:$H$517,MATCH(RIGHT(L1723,255),RIGHT('Disaggregation Records'!$D$156:$D$517,255),0))="","",INDEX('Disaggregation Records'!$H$156:$H$517,MATCH(RIGHT(L1723,255),RIGHT('Disaggregation Records'!$D$156:$D$517,255),0))),"")</f>
        <v/>
      </c>
      <c r="P1723" s="314"/>
      <c r="Q1723" s="310">
        <f t="shared" ref="Q1723" si="1926">Q1721+1</f>
        <v>2163</v>
      </c>
      <c r="R1723" s="314" t="str" cm="1">
        <f t="array" aca="1" ref="R1723" ca="1">IFERROR(IF(INDEX('Disaggregation Records'!$G$156:$G$517,MATCH(RIGHT(L1723,255),RIGHT('Disaggregation Records'!$D$156:$D$517,255),0))="","",INDEX('Disaggregation Records'!$G$156:$G$517,MATCH(RIGHT(L1723,255),RIGHT('Disaggregation Records'!$D$156:$D$517,255),0))),"")</f>
        <v/>
      </c>
    </row>
    <row r="1724" spans="1:18" ht="20.100000000000001" customHeight="1">
      <c r="B1724" s="571"/>
      <c r="C1724" s="573"/>
      <c r="D1724" s="575"/>
      <c r="E1724" s="575"/>
      <c r="F1724" s="128"/>
      <c r="G1724" s="577"/>
      <c r="H1724" s="540"/>
      <c r="I1724" s="579"/>
      <c r="J1724" s="533"/>
      <c r="K1724" s="126"/>
      <c r="L1724" s="126"/>
      <c r="M1724" s="126"/>
      <c r="N1724" s="126"/>
      <c r="O1724" s="314"/>
      <c r="P1724" s="314"/>
      <c r="Q1724" s="310"/>
      <c r="R1724" s="314" t="str" cm="1">
        <f t="array" ref="R1724">IFERROR(IF(INDEX('Disaggregation Records'!$G$156:$G$517,MATCH(RIGHT(L1724,255),RIGHT('Disaggregation Records'!$D$156:$D$517,255),0))="","",INDEX('Disaggregation Records'!$G$156:$G$517,MATCH(RIGHT(L1724,255),RIGHT('Disaggregation Records'!$D$156:$D$517,255),0))),"")</f>
        <v/>
      </c>
    </row>
    <row r="1725" spans="1:18" ht="20.100000000000001" customHeight="1">
      <c r="A1725" s="126" t="str">
        <f t="shared" ca="1" si="1913"/>
        <v>a16Dm000000M3z5IAC</v>
      </c>
      <c r="B1725" s="570">
        <v>28</v>
      </c>
      <c r="C1725" s="572" t="str">
        <f ca="1">IFERROR(VLOOKUP(B1725,'Coverage Indicators - Section D'!$A$9:$AO$94,41,FALSE),"")</f>
        <v>VT-1 Percentage of pregnant women who know their HIV status</v>
      </c>
      <c r="D1725" s="574" t="str">
        <f ca="1">M1725</f>
        <v/>
      </c>
      <c r="E1725" s="574" t="str">
        <f ca="1">N1725</f>
        <v/>
      </c>
      <c r="F1725" s="127"/>
      <c r="G1725" s="576" t="str">
        <f ca="1">IF(OR(INDIRECT("'update Helper'!E"&amp;Q1725)="",F1725&lt;&gt;0,F1726&lt;&gt;0),IF(IFERROR((F1725/F1726),"")="","",(F1725/F1726)),INDIRECT("'update Helper'!E"&amp;Q1725)/100)</f>
        <v/>
      </c>
      <c r="H1725" s="539"/>
      <c r="I1725" s="578"/>
      <c r="J1725" s="532"/>
      <c r="K1725" s="126">
        <f ca="1">IF(AND(EXACT(C1725,C1723),C1723&lt;&gt;0),K1723+1,0)</f>
        <v>12</v>
      </c>
      <c r="L1725" s="126" t="str">
        <f t="shared" ref="L1725" ca="1" si="1927">IF(C1725&lt;&gt;"",C1725&amp;"-"&amp;K1725,"")</f>
        <v>VT-1 Percentage of pregnant women who know their HIV status-12</v>
      </c>
      <c r="M1725" s="126" t="str">
        <f t="array" aca="1" ref="M1725" ca="1">IFERROR(IF(INDEX('Disaggregation Records'!$E$156:$E$517,MATCH(RIGHT(L1725,255),RIGHT('Disaggregation Records'!$D$156:$D$517,255),0))="","",INDEX('Disaggregation Records'!$E$156:$E$517,MATCH(RIGHT(L1725,255),RIGHT('Disaggregation Records'!$D$156:$D$517,255),0))),"")</f>
        <v/>
      </c>
      <c r="N1725" s="126" t="str">
        <f t="array" aca="1" ref="N1725" ca="1">IFERROR(IF(INDEX('Disaggregation Records'!$F$156:$F$517,MATCH(RIGHT(L1725,255),RIGHT('Disaggregation Records'!$D$156:$D$517,255),0))="","",INDEX('Disaggregation Records'!$F$156:$F$517,MATCH(RIGHT(L1725,255),RIGHT('Disaggregation Records'!$D$156:$D$517,255),0))),"")</f>
        <v/>
      </c>
      <c r="O1725" s="314" t="str">
        <f t="array" aca="1" ref="O1725" ca="1">IFERROR(IF(INDEX('Disaggregation Records'!$H$156:$H$517,MATCH(RIGHT(L1725,255),RIGHT('Disaggregation Records'!$D$156:$D$517,255),0))="","",INDEX('Disaggregation Records'!$H$156:$H$517,MATCH(RIGHT(L1725,255),RIGHT('Disaggregation Records'!$D$156:$D$517,255),0))),"")</f>
        <v/>
      </c>
      <c r="P1725" s="310"/>
      <c r="Q1725" s="310">
        <f t="shared" ref="Q1725" si="1928">Q1723+1</f>
        <v>2164</v>
      </c>
      <c r="R1725" s="314" t="str" cm="1">
        <f t="array" aca="1" ref="R1725" ca="1">IFERROR(IF(INDEX('Disaggregation Records'!$G$156:$G$517,MATCH(RIGHT(L1725,255),RIGHT('Disaggregation Records'!$D$156:$D$517,255),0))="","",INDEX('Disaggregation Records'!$G$156:$G$517,MATCH(RIGHT(L1725,255),RIGHT('Disaggregation Records'!$D$156:$D$517,255),0))),"")</f>
        <v/>
      </c>
    </row>
    <row r="1726" spans="1:18" ht="20.100000000000001" customHeight="1">
      <c r="A1726" s="126"/>
      <c r="B1726" s="571"/>
      <c r="C1726" s="573"/>
      <c r="D1726" s="575"/>
      <c r="E1726" s="575"/>
      <c r="F1726" s="128"/>
      <c r="G1726" s="577"/>
      <c r="H1726" s="540"/>
      <c r="I1726" s="579"/>
      <c r="J1726" s="533"/>
      <c r="L1726" s="126"/>
      <c r="N1726" s="126"/>
      <c r="O1726" s="314"/>
      <c r="P1726" s="310"/>
      <c r="Q1726" s="310"/>
      <c r="R1726" s="314" t="str" cm="1">
        <f t="array" ref="R1726">IFERROR(IF(INDEX('Disaggregation Records'!$G$156:$G$517,MATCH(RIGHT(L1726,255),RIGHT('Disaggregation Records'!$D$156:$D$517,255),0))="","",INDEX('Disaggregation Records'!$G$156:$G$517,MATCH(RIGHT(L1726,255),RIGHT('Disaggregation Records'!$D$156:$D$517,255),0))),"")</f>
        <v/>
      </c>
    </row>
    <row r="1727" spans="1:18" ht="20.100000000000001" customHeight="1">
      <c r="A1727" s="126" t="str">
        <f t="shared" ca="1" si="1916"/>
        <v>a16Dm000000M3z6IAC</v>
      </c>
      <c r="B1727" s="570">
        <v>28</v>
      </c>
      <c r="C1727" s="572" t="str">
        <f ca="1">IFERROR(VLOOKUP(B1727,'Coverage Indicators - Section D'!$A$9:$AO$94,41,FALSE),"")</f>
        <v>VT-1 Percentage of pregnant women who know their HIV status</v>
      </c>
      <c r="D1727" s="574" t="str">
        <f ca="1">M1727</f>
        <v/>
      </c>
      <c r="E1727" s="574" t="str">
        <f ca="1">N1727</f>
        <v/>
      </c>
      <c r="F1727" s="127"/>
      <c r="G1727" s="576" t="str">
        <f ca="1">IF(OR(INDIRECT("'update Helper'!E"&amp;Q1727)="",F1727&lt;&gt;0,F1728&lt;&gt;0),IF(IFERROR((F1727/F1728),"")="","",(F1727/F1728)),INDIRECT("'update Helper'!E"&amp;Q1727)/100)</f>
        <v/>
      </c>
      <c r="H1727" s="539"/>
      <c r="I1727" s="578"/>
      <c r="J1727" s="532"/>
      <c r="K1727" s="126">
        <f ca="1">IF(AND(EXACT(C1727,C1725),C1725&lt;&gt;0),K1725+1,0)</f>
        <v>13</v>
      </c>
      <c r="L1727" s="126" t="str">
        <f t="shared" ref="L1727" ca="1" si="1929">IF(C1727&lt;&gt;"",C1727&amp;"-"&amp;K1727,"")</f>
        <v>VT-1 Percentage of pregnant women who know their HIV status-13</v>
      </c>
      <c r="M1727" s="126" t="str">
        <f t="array" aca="1" ref="M1727" ca="1">IFERROR(IF(INDEX('Disaggregation Records'!$E$156:$E$517,MATCH(RIGHT(L1727,255),RIGHT('Disaggregation Records'!$D$156:$D$517,255),0))="","",INDEX('Disaggregation Records'!$E$156:$E$517,MATCH(RIGHT(L1727,255),RIGHT('Disaggregation Records'!$D$156:$D$517,255),0))),"")</f>
        <v/>
      </c>
      <c r="N1727" s="126" t="str">
        <f t="array" aca="1" ref="N1727" ca="1">IFERROR(IF(INDEX('Disaggregation Records'!$F$156:$F$517,MATCH(RIGHT(L1727,255),RIGHT('Disaggregation Records'!$D$156:$D$517,255),0))="","",INDEX('Disaggregation Records'!$F$156:$F$517,MATCH(RIGHT(L1727,255),RIGHT('Disaggregation Records'!$D$156:$D$517,255),0))),"")</f>
        <v/>
      </c>
      <c r="O1727" s="314" t="str">
        <f t="array" aca="1" ref="O1727" ca="1">IFERROR(IF(INDEX('Disaggregation Records'!$H$156:$H$517,MATCH(RIGHT(L1727,255),RIGHT('Disaggregation Records'!$D$156:$D$517,255),0))="","",INDEX('Disaggregation Records'!$H$156:$H$517,MATCH(RIGHT(L1727,255),RIGHT('Disaggregation Records'!$D$156:$D$517,255),0))),"")</f>
        <v/>
      </c>
      <c r="P1727" s="310"/>
      <c r="Q1727" s="310">
        <f t="shared" ref="Q1727" si="1930">Q1725+1</f>
        <v>2165</v>
      </c>
      <c r="R1727" s="314" t="str" cm="1">
        <f t="array" aca="1" ref="R1727" ca="1">IFERROR(IF(INDEX('Disaggregation Records'!$G$156:$G$517,MATCH(RIGHT(L1727,255),RIGHT('Disaggregation Records'!$D$156:$D$517,255),0))="","",INDEX('Disaggregation Records'!$G$156:$G$517,MATCH(RIGHT(L1727,255),RIGHT('Disaggregation Records'!$D$156:$D$517,255),0))),"")</f>
        <v/>
      </c>
    </row>
    <row r="1728" spans="1:18" ht="20.100000000000001" customHeight="1">
      <c r="B1728" s="571"/>
      <c r="C1728" s="573"/>
      <c r="D1728" s="575"/>
      <c r="E1728" s="575"/>
      <c r="F1728" s="128"/>
      <c r="G1728" s="577"/>
      <c r="H1728" s="540"/>
      <c r="I1728" s="579"/>
      <c r="J1728" s="533"/>
      <c r="L1728" s="126"/>
      <c r="N1728" s="126"/>
      <c r="O1728" s="314"/>
      <c r="P1728" s="310"/>
      <c r="Q1728" s="310"/>
      <c r="R1728" s="314" t="str" cm="1">
        <f t="array" ref="R1728">IFERROR(IF(INDEX('Disaggregation Records'!$G$156:$G$517,MATCH(RIGHT(L1728,255),RIGHT('Disaggregation Records'!$D$156:$D$517,255),0))="","",INDEX('Disaggregation Records'!$G$156:$G$517,MATCH(RIGHT(L1728,255),RIGHT('Disaggregation Records'!$D$156:$D$517,255),0))),"")</f>
        <v/>
      </c>
    </row>
    <row r="1729" spans="1:18" ht="20.100000000000001" customHeight="1">
      <c r="A1729" s="126" t="str">
        <f t="shared" ca="1" si="1913"/>
        <v>a16Dm000000M3z7IAC</v>
      </c>
      <c r="B1729" s="570">
        <v>28</v>
      </c>
      <c r="C1729" s="572" t="str">
        <f ca="1">IFERROR(VLOOKUP(B1729,'Coverage Indicators - Section D'!$A$9:$AO$94,41,FALSE),"")</f>
        <v>VT-1 Percentage of pregnant women who know their HIV status</v>
      </c>
      <c r="D1729" s="574" t="str">
        <f ca="1">M1729</f>
        <v/>
      </c>
      <c r="E1729" s="574" t="str">
        <f ca="1">N1729</f>
        <v/>
      </c>
      <c r="F1729" s="127"/>
      <c r="G1729" s="576" t="str">
        <f ca="1">IF(OR(INDIRECT("'update Helper'!E"&amp;Q1729)="",F1729&lt;&gt;0,F1730&lt;&gt;0),IF(IFERROR((F1729/F1730),"")="","",(F1729/F1730)),INDIRECT("'update Helper'!E"&amp;Q1729)/100)</f>
        <v/>
      </c>
      <c r="H1729" s="539"/>
      <c r="I1729" s="578"/>
      <c r="J1729" s="532"/>
      <c r="K1729" s="126">
        <f ca="1">IF(AND(EXACT(C1729,C1727),C1727&lt;&gt;0),K1727+1,0)</f>
        <v>14</v>
      </c>
      <c r="L1729" s="126" t="str">
        <f t="shared" ref="L1729" ca="1" si="1931">IF(C1729&lt;&gt;"",C1729&amp;"-"&amp;K1729,"")</f>
        <v>VT-1 Percentage of pregnant women who know their HIV status-14</v>
      </c>
      <c r="M1729" s="126" t="str">
        <f t="array" aca="1" ref="M1729" ca="1">IFERROR(IF(INDEX('Disaggregation Records'!$E$156:$E$517,MATCH(RIGHT(L1729,255),RIGHT('Disaggregation Records'!$D$156:$D$517,255),0))="","",INDEX('Disaggregation Records'!$E$156:$E$517,MATCH(RIGHT(L1729,255),RIGHT('Disaggregation Records'!$D$156:$D$517,255),0))),"")</f>
        <v/>
      </c>
      <c r="N1729" s="126" t="str">
        <f t="array" aca="1" ref="N1729" ca="1">IFERROR(IF(INDEX('Disaggregation Records'!$F$156:$F$517,MATCH(RIGHT(L1729,255),RIGHT('Disaggregation Records'!$D$156:$D$517,255),0))="","",INDEX('Disaggregation Records'!$F$156:$F$517,MATCH(RIGHT(L1729,255),RIGHT('Disaggregation Records'!$D$156:$D$517,255),0))),"")</f>
        <v/>
      </c>
      <c r="O1729" s="314" t="str">
        <f t="array" aca="1" ref="O1729" ca="1">IFERROR(IF(INDEX('Disaggregation Records'!$H$156:$H$517,MATCH(RIGHT(L1729,255),RIGHT('Disaggregation Records'!$D$156:$D$517,255),0))="","",INDEX('Disaggregation Records'!$H$156:$H$517,MATCH(RIGHT(L1729,255),RIGHT('Disaggregation Records'!$D$156:$D$517,255),0))),"")</f>
        <v/>
      </c>
      <c r="P1729" s="310"/>
      <c r="Q1729" s="310">
        <f t="shared" ref="Q1729" si="1932">Q1727+1</f>
        <v>2166</v>
      </c>
      <c r="R1729" s="314" t="str" cm="1">
        <f t="array" aca="1" ref="R1729" ca="1">IFERROR(IF(INDEX('Disaggregation Records'!$G$156:$G$517,MATCH(RIGHT(L1729,255),RIGHT('Disaggregation Records'!$D$156:$D$517,255),0))="","",INDEX('Disaggregation Records'!$G$156:$G$517,MATCH(RIGHT(L1729,255),RIGHT('Disaggregation Records'!$D$156:$D$517,255),0))),"")</f>
        <v/>
      </c>
    </row>
    <row r="1730" spans="1:18" ht="20.100000000000001" customHeight="1">
      <c r="A1730" s="126"/>
      <c r="B1730" s="571"/>
      <c r="C1730" s="573"/>
      <c r="D1730" s="575"/>
      <c r="E1730" s="575"/>
      <c r="F1730" s="128"/>
      <c r="G1730" s="577"/>
      <c r="H1730" s="540"/>
      <c r="I1730" s="579"/>
      <c r="J1730" s="533"/>
      <c r="L1730" s="126"/>
      <c r="N1730" s="126"/>
      <c r="O1730" s="314"/>
      <c r="P1730" s="310"/>
      <c r="Q1730" s="310"/>
      <c r="R1730" s="314" t="str" cm="1">
        <f t="array" ref="R1730">IFERROR(IF(INDEX('Disaggregation Records'!$G$156:$G$517,MATCH(RIGHT(L1730,255),RIGHT('Disaggregation Records'!$D$156:$D$517,255),0))="","",INDEX('Disaggregation Records'!$G$156:$G$517,MATCH(RIGHT(L1730,255),RIGHT('Disaggregation Records'!$D$156:$D$517,255),0))),"")</f>
        <v/>
      </c>
    </row>
    <row r="1731" spans="1:18" ht="20.100000000000001" customHeight="1">
      <c r="A1731" s="126" t="str">
        <f t="shared" ca="1" si="1916"/>
        <v>a16Dm000000M3z8IAC</v>
      </c>
      <c r="B1731" s="570">
        <v>28</v>
      </c>
      <c r="C1731" s="572" t="str">
        <f ca="1">IFERROR(VLOOKUP(B1731,'Coverage Indicators - Section D'!$A$9:$AO$94,41,FALSE),"")</f>
        <v>VT-1 Percentage of pregnant women who know their HIV status</v>
      </c>
      <c r="D1731" s="574" t="str">
        <f ca="1">M1731</f>
        <v/>
      </c>
      <c r="E1731" s="574" t="str">
        <f ca="1">N1731</f>
        <v/>
      </c>
      <c r="F1731" s="127"/>
      <c r="G1731" s="576" t="str">
        <f ca="1">IF(OR(INDIRECT("'update Helper'!E"&amp;Q1731)="",F1731&lt;&gt;0,F1732&lt;&gt;0),IF(IFERROR((F1731/F1732),"")="","",(F1731/F1732)),INDIRECT("'update Helper'!E"&amp;Q1731)/100)</f>
        <v/>
      </c>
      <c r="H1731" s="539"/>
      <c r="I1731" s="578"/>
      <c r="J1731" s="532"/>
      <c r="K1731" s="126">
        <f ca="1">IF(AND(EXACT(C1731,C1729),C1729&lt;&gt;0),K1729+1,0)</f>
        <v>15</v>
      </c>
      <c r="L1731" s="126" t="str">
        <f t="shared" ref="L1731" ca="1" si="1933">IF(C1731&lt;&gt;"",C1731&amp;"-"&amp;K1731,"")</f>
        <v>VT-1 Percentage of pregnant women who know their HIV status-15</v>
      </c>
      <c r="M1731" s="126" t="str">
        <f t="array" aca="1" ref="M1731" ca="1">IFERROR(IF(INDEX('Disaggregation Records'!$E$156:$E$517,MATCH(RIGHT(L1731,255),RIGHT('Disaggregation Records'!$D$156:$D$517,255),0))="","",INDEX('Disaggregation Records'!$E$156:$E$517,MATCH(RIGHT(L1731,255),RIGHT('Disaggregation Records'!$D$156:$D$517,255),0))),"")</f>
        <v/>
      </c>
      <c r="N1731" s="126" t="str">
        <f t="array" aca="1" ref="N1731" ca="1">IFERROR(IF(INDEX('Disaggregation Records'!$F$156:$F$517,MATCH(RIGHT(L1731,255),RIGHT('Disaggregation Records'!$D$156:$D$517,255),0))="","",INDEX('Disaggregation Records'!$F$156:$F$517,MATCH(RIGHT(L1731,255),RIGHT('Disaggregation Records'!$D$156:$D$517,255),0))),"")</f>
        <v/>
      </c>
      <c r="O1731" s="314" t="str">
        <f t="array" aca="1" ref="O1731" ca="1">IFERROR(IF(INDEX('Disaggregation Records'!$H$156:$H$517,MATCH(RIGHT(L1731,255),RIGHT('Disaggregation Records'!$D$156:$D$517,255),0))="","",INDEX('Disaggregation Records'!$H$156:$H$517,MATCH(RIGHT(L1731,255),RIGHT('Disaggregation Records'!$D$156:$D$517,255),0))),"")</f>
        <v/>
      </c>
      <c r="P1731" s="314"/>
      <c r="Q1731" s="310">
        <f t="shared" ref="Q1731" si="1934">Q1729+1</f>
        <v>2167</v>
      </c>
      <c r="R1731" s="314" t="str" cm="1">
        <f t="array" aca="1" ref="R1731" ca="1">IFERROR(IF(INDEX('Disaggregation Records'!$G$156:$G$517,MATCH(RIGHT(L1731,255),RIGHT('Disaggregation Records'!$D$156:$D$517,255),0))="","",INDEX('Disaggregation Records'!$G$156:$G$517,MATCH(RIGHT(L1731,255),RIGHT('Disaggregation Records'!$D$156:$D$517,255),0))),"")</f>
        <v/>
      </c>
    </row>
    <row r="1732" spans="1:18" ht="20.100000000000001" customHeight="1">
      <c r="B1732" s="571"/>
      <c r="C1732" s="573"/>
      <c r="D1732" s="575"/>
      <c r="E1732" s="575"/>
      <c r="F1732" s="128"/>
      <c r="G1732" s="577"/>
      <c r="H1732" s="540"/>
      <c r="I1732" s="579"/>
      <c r="J1732" s="533"/>
      <c r="K1732" s="126"/>
      <c r="L1732" s="126"/>
      <c r="M1732" s="126"/>
      <c r="N1732" s="126"/>
      <c r="O1732" s="314"/>
      <c r="P1732" s="314"/>
      <c r="Q1732" s="310"/>
      <c r="R1732" s="314" t="str" cm="1">
        <f t="array" ref="R1732">IFERROR(IF(INDEX('Disaggregation Records'!$G$156:$G$517,MATCH(RIGHT(L1732,255),RIGHT('Disaggregation Records'!$D$156:$D$517,255),0))="","",INDEX('Disaggregation Records'!$G$156:$G$517,MATCH(RIGHT(L1732,255),RIGHT('Disaggregation Records'!$D$156:$D$517,255),0))),"")</f>
        <v/>
      </c>
    </row>
    <row r="1733" spans="1:18" ht="20.100000000000001" customHeight="1">
      <c r="A1733" s="126" t="str">
        <f t="shared" ca="1" si="1913"/>
        <v>a16Dm000000M3z9IAC</v>
      </c>
      <c r="B1733" s="570">
        <v>28</v>
      </c>
      <c r="C1733" s="572" t="str">
        <f ca="1">IFERROR(VLOOKUP(B1733,'Coverage Indicators - Section D'!$A$9:$AO$94,41,FALSE),"")</f>
        <v>VT-1 Percentage of pregnant women who know their HIV status</v>
      </c>
      <c r="D1733" s="574" t="str">
        <f ca="1">M1733</f>
        <v/>
      </c>
      <c r="E1733" s="574" t="str">
        <f ca="1">N1733</f>
        <v/>
      </c>
      <c r="F1733" s="127"/>
      <c r="G1733" s="576" t="str">
        <f ca="1">IF(OR(INDIRECT("'update Helper'!E"&amp;Q1733)="",F1733&lt;&gt;0,F1734&lt;&gt;0),IF(IFERROR((F1733/F1734),"")="","",(F1733/F1734)),INDIRECT("'update Helper'!E"&amp;Q1733)/100)</f>
        <v/>
      </c>
      <c r="H1733" s="539"/>
      <c r="I1733" s="578"/>
      <c r="J1733" s="532"/>
      <c r="K1733" s="126">
        <f ca="1">IF(AND(EXACT(C1733,C1731),C1731&lt;&gt;0),K1731+1,0)</f>
        <v>16</v>
      </c>
      <c r="L1733" s="126" t="str">
        <f t="shared" ref="L1733" ca="1" si="1935">IF(C1733&lt;&gt;"",C1733&amp;"-"&amp;K1733,"")</f>
        <v>VT-1 Percentage of pregnant women who know their HIV status-16</v>
      </c>
      <c r="M1733" s="126" t="str">
        <f t="array" aca="1" ref="M1733" ca="1">IFERROR(IF(INDEX('Disaggregation Records'!$E$156:$E$517,MATCH(RIGHT(L1733,255),RIGHT('Disaggregation Records'!$D$156:$D$517,255),0))="","",INDEX('Disaggregation Records'!$E$156:$E$517,MATCH(RIGHT(L1733,255),RIGHT('Disaggregation Records'!$D$156:$D$517,255),0))),"")</f>
        <v/>
      </c>
      <c r="N1733" s="126" t="str">
        <f t="array" aca="1" ref="N1733" ca="1">IFERROR(IF(INDEX('Disaggregation Records'!$F$156:$F$517,MATCH(RIGHT(L1733,255),RIGHT('Disaggregation Records'!$D$156:$D$517,255),0))="","",INDEX('Disaggregation Records'!$F$156:$F$517,MATCH(RIGHT(L1733,255),RIGHT('Disaggregation Records'!$D$156:$D$517,255),0))),"")</f>
        <v/>
      </c>
      <c r="O1733" s="314" t="str">
        <f t="array" aca="1" ref="O1733" ca="1">IFERROR(IF(INDEX('Disaggregation Records'!$H$156:$H$517,MATCH(RIGHT(L1733,255),RIGHT('Disaggregation Records'!$D$156:$D$517,255),0))="","",INDEX('Disaggregation Records'!$H$156:$H$517,MATCH(RIGHT(L1733,255),RIGHT('Disaggregation Records'!$D$156:$D$517,255),0))),"")</f>
        <v/>
      </c>
      <c r="P1733" s="314"/>
      <c r="Q1733" s="310">
        <f t="shared" ref="Q1733" si="1936">Q1731+1</f>
        <v>2168</v>
      </c>
      <c r="R1733" s="314" t="str" cm="1">
        <f t="array" aca="1" ref="R1733" ca="1">IFERROR(IF(INDEX('Disaggregation Records'!$G$156:$G$517,MATCH(RIGHT(L1733,255),RIGHT('Disaggregation Records'!$D$156:$D$517,255),0))="","",INDEX('Disaggregation Records'!$G$156:$G$517,MATCH(RIGHT(L1733,255),RIGHT('Disaggregation Records'!$D$156:$D$517,255),0))),"")</f>
        <v/>
      </c>
    </row>
    <row r="1734" spans="1:18" ht="20.100000000000001" customHeight="1">
      <c r="A1734" s="126"/>
      <c r="B1734" s="571"/>
      <c r="C1734" s="573"/>
      <c r="D1734" s="575"/>
      <c r="E1734" s="575"/>
      <c r="F1734" s="128"/>
      <c r="G1734" s="577"/>
      <c r="H1734" s="540"/>
      <c r="I1734" s="579"/>
      <c r="J1734" s="533"/>
      <c r="K1734" s="126"/>
      <c r="L1734" s="126"/>
      <c r="M1734" s="126"/>
      <c r="N1734" s="126"/>
      <c r="O1734" s="314"/>
      <c r="P1734" s="314"/>
      <c r="Q1734" s="310"/>
      <c r="R1734" s="314" t="str" cm="1">
        <f t="array" ref="R1734">IFERROR(IF(INDEX('Disaggregation Records'!$G$156:$G$517,MATCH(RIGHT(L1734,255),RIGHT('Disaggregation Records'!$D$156:$D$517,255),0))="","",INDEX('Disaggregation Records'!$G$156:$G$517,MATCH(RIGHT(L1734,255),RIGHT('Disaggregation Records'!$D$156:$D$517,255),0))),"")</f>
        <v/>
      </c>
    </row>
    <row r="1735" spans="1:18" ht="20.100000000000001" customHeight="1">
      <c r="A1735" s="126" t="str">
        <f t="shared" ca="1" si="1916"/>
        <v>a16Dm000000M3zAIAS</v>
      </c>
      <c r="B1735" s="570">
        <v>28</v>
      </c>
      <c r="C1735" s="572" t="str">
        <f ca="1">IFERROR(VLOOKUP(B1735,'Coverage Indicators - Section D'!$A$9:$AO$94,41,FALSE),"")</f>
        <v>VT-1 Percentage of pregnant women who know their HIV status</v>
      </c>
      <c r="D1735" s="574" t="str">
        <f ca="1">M1735</f>
        <v/>
      </c>
      <c r="E1735" s="574" t="str">
        <f ca="1">N1735</f>
        <v/>
      </c>
      <c r="F1735" s="127"/>
      <c r="G1735" s="576" t="str">
        <f ca="1">IF(OR(INDIRECT("'update Helper'!E"&amp;Q1735)="",F1735&lt;&gt;0,F1736&lt;&gt;0),IF(IFERROR((F1735/F1736),"")="","",(F1735/F1736)),INDIRECT("'update Helper'!E"&amp;Q1735)/100)</f>
        <v/>
      </c>
      <c r="H1735" s="539"/>
      <c r="I1735" s="578"/>
      <c r="J1735" s="532"/>
      <c r="K1735" s="126">
        <f ca="1">IF(AND(EXACT(C1735,C1733),C1733&lt;&gt;0),K1733+1,0)</f>
        <v>17</v>
      </c>
      <c r="L1735" s="126" t="str">
        <f t="shared" ref="L1735" ca="1" si="1937">IF(C1735&lt;&gt;"",C1735&amp;"-"&amp;K1735,"")</f>
        <v>VT-1 Percentage of pregnant women who know their HIV status-17</v>
      </c>
      <c r="M1735" s="126" t="str">
        <f t="array" aca="1" ref="M1735" ca="1">IFERROR(IF(INDEX('Disaggregation Records'!$E$156:$E$517,MATCH(RIGHT(L1735,255),RIGHT('Disaggregation Records'!$D$156:$D$517,255),0))="","",INDEX('Disaggregation Records'!$E$156:$E$517,MATCH(RIGHT(L1735,255),RIGHT('Disaggregation Records'!$D$156:$D$517,255),0))),"")</f>
        <v/>
      </c>
      <c r="N1735" s="126" t="str">
        <f t="array" aca="1" ref="N1735" ca="1">IFERROR(IF(INDEX('Disaggregation Records'!$F$156:$F$517,MATCH(RIGHT(L1735,255),RIGHT('Disaggregation Records'!$D$156:$D$517,255),0))="","",INDEX('Disaggregation Records'!$F$156:$F$517,MATCH(RIGHT(L1735,255),RIGHT('Disaggregation Records'!$D$156:$D$517,255),0))),"")</f>
        <v/>
      </c>
      <c r="O1735" s="314" t="str">
        <f t="array" aca="1" ref="O1735" ca="1">IFERROR(IF(INDEX('Disaggregation Records'!$H$156:$H$517,MATCH(RIGHT(L1735,255),RIGHT('Disaggregation Records'!$D$156:$D$517,255),0))="","",INDEX('Disaggregation Records'!$H$156:$H$517,MATCH(RIGHT(L1735,255),RIGHT('Disaggregation Records'!$D$156:$D$517,255),0))),"")</f>
        <v/>
      </c>
      <c r="P1735" s="310"/>
      <c r="Q1735" s="310">
        <f t="shared" ref="Q1735" si="1938">Q1733+1</f>
        <v>2169</v>
      </c>
      <c r="R1735" s="314" t="str" cm="1">
        <f t="array" aca="1" ref="R1735" ca="1">IFERROR(IF(INDEX('Disaggregation Records'!$G$156:$G$517,MATCH(RIGHT(L1735,255),RIGHT('Disaggregation Records'!$D$156:$D$517,255),0))="","",INDEX('Disaggregation Records'!$G$156:$G$517,MATCH(RIGHT(L1735,255),RIGHT('Disaggregation Records'!$D$156:$D$517,255),0))),"")</f>
        <v/>
      </c>
    </row>
    <row r="1736" spans="1:18" ht="20.100000000000001" customHeight="1">
      <c r="B1736" s="571"/>
      <c r="C1736" s="573"/>
      <c r="D1736" s="575"/>
      <c r="E1736" s="575"/>
      <c r="F1736" s="128"/>
      <c r="G1736" s="577"/>
      <c r="H1736" s="540"/>
      <c r="I1736" s="579"/>
      <c r="J1736" s="533"/>
      <c r="L1736" s="126"/>
      <c r="N1736" s="126"/>
      <c r="O1736" s="314"/>
      <c r="P1736" s="310"/>
      <c r="Q1736" s="310"/>
      <c r="R1736" s="314" t="str" cm="1">
        <f t="array" ref="R1736">IFERROR(IF(INDEX('Disaggregation Records'!$G$156:$G$517,MATCH(RIGHT(L1736,255),RIGHT('Disaggregation Records'!$D$156:$D$517,255),0))="","",INDEX('Disaggregation Records'!$G$156:$G$517,MATCH(RIGHT(L1736,255),RIGHT('Disaggregation Records'!$D$156:$D$517,255),0))),"")</f>
        <v/>
      </c>
    </row>
    <row r="1737" spans="1:18" ht="20.100000000000001" customHeight="1">
      <c r="A1737" s="126" t="str">
        <f t="shared" ca="1" si="1913"/>
        <v>a16Dm000000M3zBIAS</v>
      </c>
      <c r="B1737" s="570">
        <v>28</v>
      </c>
      <c r="C1737" s="572" t="str">
        <f ca="1">IFERROR(VLOOKUP(B1737,'Coverage Indicators - Section D'!$A$9:$AO$94,41,FALSE),"")</f>
        <v>VT-1 Percentage of pregnant women who know their HIV status</v>
      </c>
      <c r="D1737" s="574" t="str">
        <f ca="1">M1737</f>
        <v/>
      </c>
      <c r="E1737" s="574" t="str">
        <f ca="1">N1737</f>
        <v/>
      </c>
      <c r="F1737" s="127"/>
      <c r="G1737" s="576" t="str">
        <f ca="1">IF(OR(INDIRECT("'update Helper'!E"&amp;Q1737)="",F1737&lt;&gt;0,F1738&lt;&gt;0),IF(IFERROR((F1737/F1738),"")="","",(F1737/F1738)),INDIRECT("'update Helper'!E"&amp;Q1737)/100)</f>
        <v/>
      </c>
      <c r="H1737" s="539"/>
      <c r="I1737" s="578"/>
      <c r="J1737" s="532"/>
      <c r="K1737" s="126">
        <f ca="1">IF(AND(EXACT(C1737,C1735),C1735&lt;&gt;0),K1735+1,0)</f>
        <v>18</v>
      </c>
      <c r="L1737" s="126" t="str">
        <f t="shared" ref="L1737" ca="1" si="1939">IF(C1737&lt;&gt;"",C1737&amp;"-"&amp;K1737,"")</f>
        <v>VT-1 Percentage of pregnant women who know their HIV status-18</v>
      </c>
      <c r="M1737" s="126" t="str">
        <f t="array" aca="1" ref="M1737" ca="1">IFERROR(IF(INDEX('Disaggregation Records'!$E$156:$E$517,MATCH(RIGHT(L1737,255),RIGHT('Disaggregation Records'!$D$156:$D$517,255),0))="","",INDEX('Disaggregation Records'!$E$156:$E$517,MATCH(RIGHT(L1737,255),RIGHT('Disaggregation Records'!$D$156:$D$517,255),0))),"")</f>
        <v/>
      </c>
      <c r="N1737" s="126" t="str">
        <f t="array" aca="1" ref="N1737" ca="1">IFERROR(IF(INDEX('Disaggregation Records'!$F$156:$F$517,MATCH(RIGHT(L1737,255),RIGHT('Disaggregation Records'!$D$156:$D$517,255),0))="","",INDEX('Disaggregation Records'!$F$156:$F$517,MATCH(RIGHT(L1737,255),RIGHT('Disaggregation Records'!$D$156:$D$517,255),0))),"")</f>
        <v/>
      </c>
      <c r="O1737" s="314" t="str">
        <f t="array" aca="1" ref="O1737" ca="1">IFERROR(IF(INDEX('Disaggregation Records'!$H$156:$H$517,MATCH(RIGHT(L1737,255),RIGHT('Disaggregation Records'!$D$156:$D$517,255),0))="","",INDEX('Disaggregation Records'!$H$156:$H$517,MATCH(RIGHT(L1737,255),RIGHT('Disaggregation Records'!$D$156:$D$517,255),0))),"")</f>
        <v/>
      </c>
      <c r="P1737" s="310"/>
      <c r="Q1737" s="310">
        <f t="shared" ref="Q1737" si="1940">Q1735+1</f>
        <v>2170</v>
      </c>
      <c r="R1737" s="314" t="str" cm="1">
        <f t="array" aca="1" ref="R1737" ca="1">IFERROR(IF(INDEX('Disaggregation Records'!$G$156:$G$517,MATCH(RIGHT(L1737,255),RIGHT('Disaggregation Records'!$D$156:$D$517,255),0))="","",INDEX('Disaggregation Records'!$G$156:$G$517,MATCH(RIGHT(L1737,255),RIGHT('Disaggregation Records'!$D$156:$D$517,255),0))),"")</f>
        <v/>
      </c>
    </row>
    <row r="1738" spans="1:18" ht="20.100000000000001" customHeight="1">
      <c r="A1738" s="126"/>
      <c r="B1738" s="571"/>
      <c r="C1738" s="573"/>
      <c r="D1738" s="575"/>
      <c r="E1738" s="575"/>
      <c r="F1738" s="128"/>
      <c r="G1738" s="577"/>
      <c r="H1738" s="540"/>
      <c r="I1738" s="579"/>
      <c r="J1738" s="533"/>
      <c r="L1738" s="126"/>
      <c r="N1738" s="126"/>
      <c r="O1738" s="314"/>
      <c r="P1738" s="310"/>
      <c r="Q1738" s="310"/>
      <c r="R1738" s="314" t="str" cm="1">
        <f t="array" ref="R1738">IFERROR(IF(INDEX('Disaggregation Records'!$G$156:$G$517,MATCH(RIGHT(L1738,255),RIGHT('Disaggregation Records'!$D$156:$D$517,255),0))="","",INDEX('Disaggregation Records'!$G$156:$G$517,MATCH(RIGHT(L1738,255),RIGHT('Disaggregation Records'!$D$156:$D$517,255),0))),"")</f>
        <v/>
      </c>
    </row>
    <row r="1739" spans="1:18" ht="20.100000000000001" customHeight="1">
      <c r="A1739" s="126" t="str">
        <f t="shared" ca="1" si="1916"/>
        <v>a16Dm000000M3zCIAS</v>
      </c>
      <c r="B1739" s="570">
        <v>28</v>
      </c>
      <c r="C1739" s="572" t="str">
        <f ca="1">IFERROR(VLOOKUP(B1739,'Coverage Indicators - Section D'!$A$9:$AO$94,41,FALSE),"")</f>
        <v>VT-1 Percentage of pregnant women who know their HIV status</v>
      </c>
      <c r="D1739" s="574" t="str">
        <f ca="1">M1739</f>
        <v/>
      </c>
      <c r="E1739" s="574" t="str">
        <f ca="1">N1739</f>
        <v/>
      </c>
      <c r="F1739" s="127"/>
      <c r="G1739" s="576" t="str">
        <f ca="1">IF(OR(INDIRECT("'update Helper'!E"&amp;Q1739)="",F1739&lt;&gt;0,F1740&lt;&gt;0),IF(IFERROR((F1739/F1740),"")="","",(F1739/F1740)),INDIRECT("'update Helper'!E"&amp;Q1739)/100)</f>
        <v/>
      </c>
      <c r="H1739" s="539"/>
      <c r="I1739" s="578"/>
      <c r="J1739" s="532"/>
      <c r="K1739" s="126">
        <f ca="1">IF(AND(EXACT(C1739,C1737),C1737&lt;&gt;0),K1737+1,0)</f>
        <v>19</v>
      </c>
      <c r="L1739" s="126" t="str">
        <f t="shared" ref="L1739" ca="1" si="1941">IF(C1739&lt;&gt;"",C1739&amp;"-"&amp;K1739,"")</f>
        <v>VT-1 Percentage of pregnant women who know their HIV status-19</v>
      </c>
      <c r="M1739" s="126" t="str">
        <f t="array" aca="1" ref="M1739" ca="1">IFERROR(IF(INDEX('Disaggregation Records'!$E$156:$E$517,MATCH(RIGHT(L1739,255),RIGHT('Disaggregation Records'!$D$156:$D$517,255),0))="","",INDEX('Disaggregation Records'!$E$156:$E$517,MATCH(RIGHT(L1739,255),RIGHT('Disaggregation Records'!$D$156:$D$517,255),0))),"")</f>
        <v/>
      </c>
      <c r="N1739" s="126" t="str">
        <f t="array" aca="1" ref="N1739" ca="1">IFERROR(IF(INDEX('Disaggregation Records'!$F$156:$F$517,MATCH(RIGHT(L1739,255),RIGHT('Disaggregation Records'!$D$156:$D$517,255),0))="","",INDEX('Disaggregation Records'!$F$156:$F$517,MATCH(RIGHT(L1739,255),RIGHT('Disaggregation Records'!$D$156:$D$517,255),0))),"")</f>
        <v/>
      </c>
      <c r="O1739" s="314" t="str">
        <f t="array" aca="1" ref="O1739" ca="1">IFERROR(IF(INDEX('Disaggregation Records'!$H$156:$H$517,MATCH(RIGHT(L1739,255),RIGHT('Disaggregation Records'!$D$156:$D$517,255),0))="","",INDEX('Disaggregation Records'!$H$156:$H$517,MATCH(RIGHT(L1739,255),RIGHT('Disaggregation Records'!$D$156:$D$517,255),0))),"")</f>
        <v/>
      </c>
      <c r="P1739" s="310"/>
      <c r="Q1739" s="310">
        <f t="shared" ref="Q1739" si="1942">Q1737+1</f>
        <v>2171</v>
      </c>
      <c r="R1739" s="314" t="str" cm="1">
        <f t="array" aca="1" ref="R1739" ca="1">IFERROR(IF(INDEX('Disaggregation Records'!$G$156:$G$517,MATCH(RIGHT(L1739,255),RIGHT('Disaggregation Records'!$D$156:$D$517,255),0))="","",INDEX('Disaggregation Records'!$G$156:$G$517,MATCH(RIGHT(L1739,255),RIGHT('Disaggregation Records'!$D$156:$D$517,255),0))),"")</f>
        <v/>
      </c>
    </row>
    <row r="1740" spans="1:18" ht="20.100000000000001" customHeight="1">
      <c r="B1740" s="571"/>
      <c r="C1740" s="573"/>
      <c r="D1740" s="575"/>
      <c r="E1740" s="575"/>
      <c r="F1740" s="128"/>
      <c r="G1740" s="577"/>
      <c r="H1740" s="540"/>
      <c r="I1740" s="579"/>
      <c r="J1740" s="533"/>
      <c r="L1740" s="126"/>
      <c r="N1740" s="126"/>
      <c r="O1740" s="314"/>
      <c r="P1740" s="310"/>
      <c r="Q1740" s="310"/>
      <c r="R1740" s="314" t="str" cm="1">
        <f t="array" ref="R1740">IFERROR(IF(INDEX('Disaggregation Records'!$G$156:$G$517,MATCH(RIGHT(L1740,255),RIGHT('Disaggregation Records'!$D$156:$D$517,255),0))="","",INDEX('Disaggregation Records'!$G$156:$G$517,MATCH(RIGHT(L1740,255),RIGHT('Disaggregation Records'!$D$156:$D$517,255),0))),"")</f>
        <v/>
      </c>
    </row>
    <row r="1741" spans="1:18" ht="20.100000000000001" customHeight="1">
      <c r="A1741" s="126" t="str">
        <f t="shared" ca="1" si="1913"/>
        <v>a16Dm000000M3zDIAS</v>
      </c>
      <c r="B1741" s="570">
        <v>29</v>
      </c>
      <c r="C1741" s="572" t="str">
        <f ca="1">IFERROR(VLOOKUP(B1741,'Coverage Indicators - Section D'!$A$9:$AO$94,41,FALSE),"")</f>
        <v>VT-2 Percentage of HIV-exposed infants receiving a virological test for HIV within 2 months of birth</v>
      </c>
      <c r="D1741" s="574" t="str">
        <f ca="1">M1741</f>
        <v>HIV status</v>
      </c>
      <c r="E1741" s="574" t="str">
        <f ca="1">N1741</f>
        <v>Unknown</v>
      </c>
      <c r="F1741" s="127"/>
      <c r="G1741" s="576" t="str">
        <f ca="1">IF(OR(INDIRECT("'update Helper'!E"&amp;Q1741)="",F1741&lt;&gt;0,F1742&lt;&gt;0),IF(IFERROR((F1741/F1742),"")="","",(F1741/F1742)),INDIRECT("'update Helper'!E"&amp;Q1741)/100)</f>
        <v/>
      </c>
      <c r="H1741" s="539"/>
      <c r="I1741" s="578"/>
      <c r="J1741" s="532" t="s">
        <v>2301</v>
      </c>
      <c r="K1741" s="126">
        <f ca="1">IF(AND(EXACT(C1741,C1739),C1739&lt;&gt;0),K1739+1,0)</f>
        <v>0</v>
      </c>
      <c r="L1741" s="126" t="str">
        <f t="shared" ref="L1741" ca="1" si="1943">IF(C1741&lt;&gt;"",C1741&amp;"-"&amp;K1741,"")</f>
        <v>VT-2 Percentage of HIV-exposed infants receiving a virological test for HIV within 2 months of birth-0</v>
      </c>
      <c r="M1741" s="126" t="str">
        <f t="array" aca="1" ref="M1741" ca="1">IFERROR(IF(INDEX('Disaggregation Records'!$E$156:$E$517,MATCH(RIGHT(L1741,255),RIGHT('Disaggregation Records'!$D$156:$D$517,255),0))="","",INDEX('Disaggregation Records'!$E$156:$E$517,MATCH(RIGHT(L1741,255),RIGHT('Disaggregation Records'!$D$156:$D$517,255),0))),"")</f>
        <v>HIV status</v>
      </c>
      <c r="N1741" s="126" t="str">
        <f t="array" aca="1" ref="N1741" ca="1">IFERROR(IF(INDEX('Disaggregation Records'!$F$156:$F$517,MATCH(RIGHT(L1741,255),RIGHT('Disaggregation Records'!$D$156:$D$517,255),0))="","",INDEX('Disaggregation Records'!$F$156:$F$517,MATCH(RIGHT(L1741,255),RIGHT('Disaggregation Records'!$D$156:$D$517,255),0))),"")</f>
        <v>Unknown</v>
      </c>
      <c r="O1741" s="314" t="str">
        <f t="array" aca="1" ref="O1741" ca="1">IFERROR(IF(INDEX('Disaggregation Records'!$H$156:$H$517,MATCH(RIGHT(L1741,255),RIGHT('Disaggregation Records'!$D$156:$D$517,255),0))="","",INDEX('Disaggregation Records'!$H$156:$H$517,MATCH(RIGHT(L1741,255),RIGHT('Disaggregation Records'!$D$156:$D$517,255),0))),"")</f>
        <v>IDR-01265</v>
      </c>
      <c r="P1741" s="314"/>
      <c r="Q1741" s="310">
        <f t="shared" ref="Q1741" si="1944">Q1739+1</f>
        <v>2172</v>
      </c>
      <c r="R1741" s="314" t="str" cm="1">
        <f t="array" aca="1" ref="R1741" ca="1">IFERROR(IF(INDEX('Disaggregation Records'!$G$156:$G$517,MATCH(RIGHT(L1741,255),RIGHT('Disaggregation Records'!$D$156:$D$517,255),0))="","",INDEX('Disaggregation Records'!$G$156:$G$517,MATCH(RIGHT(L1741,255),RIGHT('Disaggregation Records'!$D$156:$D$517,255),0))),"")</f>
        <v>a1LDm000000Cb39MAC</v>
      </c>
    </row>
    <row r="1742" spans="1:18" ht="20.100000000000001" customHeight="1">
      <c r="A1742" s="126"/>
      <c r="B1742" s="571"/>
      <c r="C1742" s="573"/>
      <c r="D1742" s="575"/>
      <c r="E1742" s="575"/>
      <c r="F1742" s="128"/>
      <c r="G1742" s="577"/>
      <c r="H1742" s="540"/>
      <c r="I1742" s="579"/>
      <c r="J1742" s="533"/>
      <c r="K1742" s="126"/>
      <c r="L1742" s="126"/>
      <c r="M1742" s="126"/>
      <c r="N1742" s="126"/>
      <c r="O1742" s="314"/>
      <c r="P1742" s="314"/>
      <c r="Q1742" s="310"/>
      <c r="R1742" s="314" t="str" cm="1">
        <f t="array" ref="R1742">IFERROR(IF(INDEX('Disaggregation Records'!$G$156:$G$517,MATCH(RIGHT(L1742,255),RIGHT('Disaggregation Records'!$D$156:$D$517,255),0))="","",INDEX('Disaggregation Records'!$G$156:$G$517,MATCH(RIGHT(L1742,255),RIGHT('Disaggregation Records'!$D$156:$D$517,255),0))),"")</f>
        <v/>
      </c>
    </row>
    <row r="1743" spans="1:18" ht="20.100000000000001" customHeight="1">
      <c r="A1743" s="126" t="str">
        <f t="shared" ca="1" si="1916"/>
        <v>a16Dm000000M3zEIAS</v>
      </c>
      <c r="B1743" s="570">
        <v>29</v>
      </c>
      <c r="C1743" s="572" t="str">
        <f ca="1">IFERROR(VLOOKUP(B1743,'Coverage Indicators - Section D'!$A$9:$AO$94,41,FALSE),"")</f>
        <v>VT-2 Percentage of HIV-exposed infants receiving a virological test for HIV within 2 months of birth</v>
      </c>
      <c r="D1743" s="574" t="str">
        <f ca="1">M1743</f>
        <v>HIV status</v>
      </c>
      <c r="E1743" s="574" t="str">
        <f ca="1">N1743</f>
        <v>Negative</v>
      </c>
      <c r="F1743" s="127"/>
      <c r="G1743" s="576" t="str">
        <f ca="1">IF(OR(INDIRECT("'update Helper'!E"&amp;Q1743)="",F1743&lt;&gt;0,F1744&lt;&gt;0),IF(IFERROR((F1743/F1744),"")="","",(F1743/F1744)),INDIRECT("'update Helper'!E"&amp;Q1743)/100)</f>
        <v/>
      </c>
      <c r="H1743" s="539"/>
      <c r="I1743" s="578"/>
      <c r="J1743" s="532" t="s">
        <v>2301</v>
      </c>
      <c r="K1743" s="126">
        <f ca="1">IF(AND(EXACT(C1743,C1741),C1741&lt;&gt;0),K1741+1,0)</f>
        <v>1</v>
      </c>
      <c r="L1743" s="126" t="str">
        <f t="shared" ref="L1743" ca="1" si="1945">IF(C1743&lt;&gt;"",C1743&amp;"-"&amp;K1743,"")</f>
        <v>VT-2 Percentage of HIV-exposed infants receiving a virological test for HIV within 2 months of birth-1</v>
      </c>
      <c r="M1743" s="126" t="str">
        <f t="array" aca="1" ref="M1743" ca="1">IFERROR(IF(INDEX('Disaggregation Records'!$E$156:$E$517,MATCH(RIGHT(L1743,255),RIGHT('Disaggregation Records'!$D$156:$D$517,255),0))="","",INDEX('Disaggregation Records'!$E$156:$E$517,MATCH(RIGHT(L1743,255),RIGHT('Disaggregation Records'!$D$156:$D$517,255),0))),"")</f>
        <v>HIV status</v>
      </c>
      <c r="N1743" s="126" t="str">
        <f t="array" aca="1" ref="N1743" ca="1">IFERROR(IF(INDEX('Disaggregation Records'!$F$156:$F$517,MATCH(RIGHT(L1743,255),RIGHT('Disaggregation Records'!$D$156:$D$517,255),0))="","",INDEX('Disaggregation Records'!$F$156:$F$517,MATCH(RIGHT(L1743,255),RIGHT('Disaggregation Records'!$D$156:$D$517,255),0))),"")</f>
        <v>Negative</v>
      </c>
      <c r="O1743" s="314" t="str">
        <f t="array" aca="1" ref="O1743" ca="1">IFERROR(IF(INDEX('Disaggregation Records'!$H$156:$H$517,MATCH(RIGHT(L1743,255),RIGHT('Disaggregation Records'!$D$156:$D$517,255),0))="","",INDEX('Disaggregation Records'!$H$156:$H$517,MATCH(RIGHT(L1743,255),RIGHT('Disaggregation Records'!$D$156:$D$517,255),0))),"")</f>
        <v>IDR-01264</v>
      </c>
      <c r="P1743" s="314"/>
      <c r="Q1743" s="310">
        <f t="shared" ref="Q1743" si="1946">Q1741+1</f>
        <v>2173</v>
      </c>
      <c r="R1743" s="314" t="str" cm="1">
        <f t="array" aca="1" ref="R1743" ca="1">IFERROR(IF(INDEX('Disaggregation Records'!$G$156:$G$517,MATCH(RIGHT(L1743,255),RIGHT('Disaggregation Records'!$D$156:$D$517,255),0))="","",INDEX('Disaggregation Records'!$G$156:$G$517,MATCH(RIGHT(L1743,255),RIGHT('Disaggregation Records'!$D$156:$D$517,255),0))),"")</f>
        <v>a1LDm000000Cb38MAC</v>
      </c>
    </row>
    <row r="1744" spans="1:18" ht="20.100000000000001" customHeight="1">
      <c r="B1744" s="571"/>
      <c r="C1744" s="573"/>
      <c r="D1744" s="575"/>
      <c r="E1744" s="575"/>
      <c r="F1744" s="128"/>
      <c r="G1744" s="577"/>
      <c r="H1744" s="540"/>
      <c r="I1744" s="579"/>
      <c r="J1744" s="533"/>
      <c r="K1744" s="126"/>
      <c r="L1744" s="126"/>
      <c r="M1744" s="126"/>
      <c r="N1744" s="126"/>
      <c r="O1744" s="314"/>
      <c r="P1744" s="314"/>
      <c r="Q1744" s="310"/>
      <c r="R1744" s="314" t="str" cm="1">
        <f t="array" ref="R1744">IFERROR(IF(INDEX('Disaggregation Records'!$G$156:$G$517,MATCH(RIGHT(L1744,255),RIGHT('Disaggregation Records'!$D$156:$D$517,255),0))="","",INDEX('Disaggregation Records'!$G$156:$G$517,MATCH(RIGHT(L1744,255),RIGHT('Disaggregation Records'!$D$156:$D$517,255),0))),"")</f>
        <v/>
      </c>
    </row>
    <row r="1745" spans="1:18" ht="20.100000000000001" customHeight="1">
      <c r="A1745" s="126" t="str">
        <f t="shared" ca="1" si="1913"/>
        <v>a16Dm000000M3zFIAS</v>
      </c>
      <c r="B1745" s="570">
        <v>29</v>
      </c>
      <c r="C1745" s="572" t="str">
        <f ca="1">IFERROR(VLOOKUP(B1745,'Coverage Indicators - Section D'!$A$9:$AO$94,41,FALSE),"")</f>
        <v>VT-2 Percentage of HIV-exposed infants receiving a virological test for HIV within 2 months of birth</v>
      </c>
      <c r="D1745" s="574" t="str">
        <f ca="1">M1745</f>
        <v>HIV status</v>
      </c>
      <c r="E1745" s="574" t="str">
        <f ca="1">N1745</f>
        <v>Positive</v>
      </c>
      <c r="F1745" s="127"/>
      <c r="G1745" s="576" t="str">
        <f ca="1">IF(OR(INDIRECT("'update Helper'!E"&amp;Q1745)="",F1745&lt;&gt;0,F1746&lt;&gt;0),IF(IFERROR((F1745/F1746),"")="","",(F1745/F1746)),INDIRECT("'update Helper'!E"&amp;Q1745)/100)</f>
        <v/>
      </c>
      <c r="H1745" s="539"/>
      <c r="I1745" s="578"/>
      <c r="J1745" s="532" t="s">
        <v>2301</v>
      </c>
      <c r="K1745" s="126">
        <f ca="1">IF(AND(EXACT(C1745,C1743),C1743&lt;&gt;0),K1743+1,0)</f>
        <v>2</v>
      </c>
      <c r="L1745" s="126" t="str">
        <f t="shared" ref="L1745" ca="1" si="1947">IF(C1745&lt;&gt;"",C1745&amp;"-"&amp;K1745,"")</f>
        <v>VT-2 Percentage of HIV-exposed infants receiving a virological test for HIV within 2 months of birth-2</v>
      </c>
      <c r="M1745" s="126" t="str">
        <f t="array" aca="1" ref="M1745" ca="1">IFERROR(IF(INDEX('Disaggregation Records'!$E$156:$E$517,MATCH(RIGHT(L1745,255),RIGHT('Disaggregation Records'!$D$156:$D$517,255),0))="","",INDEX('Disaggregation Records'!$E$156:$E$517,MATCH(RIGHT(L1745,255),RIGHT('Disaggregation Records'!$D$156:$D$517,255),0))),"")</f>
        <v>HIV status</v>
      </c>
      <c r="N1745" s="126" t="str">
        <f t="array" aca="1" ref="N1745" ca="1">IFERROR(IF(INDEX('Disaggregation Records'!$F$156:$F$517,MATCH(RIGHT(L1745,255),RIGHT('Disaggregation Records'!$D$156:$D$517,255),0))="","",INDEX('Disaggregation Records'!$F$156:$F$517,MATCH(RIGHT(L1745,255),RIGHT('Disaggregation Records'!$D$156:$D$517,255),0))),"")</f>
        <v>Positive</v>
      </c>
      <c r="O1745" s="314" t="str">
        <f t="array" aca="1" ref="O1745" ca="1">IFERROR(IF(INDEX('Disaggregation Records'!$H$156:$H$517,MATCH(RIGHT(L1745,255),RIGHT('Disaggregation Records'!$D$156:$D$517,255),0))="","",INDEX('Disaggregation Records'!$H$156:$H$517,MATCH(RIGHT(L1745,255),RIGHT('Disaggregation Records'!$D$156:$D$517,255),0))),"")</f>
        <v>IDR-01263</v>
      </c>
      <c r="P1745" s="310"/>
      <c r="Q1745" s="310">
        <f t="shared" ref="Q1745" si="1948">Q1743+1</f>
        <v>2174</v>
      </c>
      <c r="R1745" s="314" t="str" cm="1">
        <f t="array" aca="1" ref="R1745" ca="1">IFERROR(IF(INDEX('Disaggregation Records'!$G$156:$G$517,MATCH(RIGHT(L1745,255),RIGHT('Disaggregation Records'!$D$156:$D$517,255),0))="","",INDEX('Disaggregation Records'!$G$156:$G$517,MATCH(RIGHT(L1745,255),RIGHT('Disaggregation Records'!$D$156:$D$517,255),0))),"")</f>
        <v>a1LDm000000Cb37MAC</v>
      </c>
    </row>
    <row r="1746" spans="1:18" ht="20.100000000000001" customHeight="1">
      <c r="A1746" s="126"/>
      <c r="B1746" s="571"/>
      <c r="C1746" s="573"/>
      <c r="D1746" s="575"/>
      <c r="E1746" s="575"/>
      <c r="F1746" s="128"/>
      <c r="G1746" s="577"/>
      <c r="H1746" s="540"/>
      <c r="I1746" s="579"/>
      <c r="J1746" s="533"/>
      <c r="L1746" s="126"/>
      <c r="N1746" s="126"/>
      <c r="O1746" s="314"/>
      <c r="P1746" s="310"/>
      <c r="Q1746" s="310"/>
      <c r="R1746" s="314" t="str" cm="1">
        <f t="array" ref="R1746">IFERROR(IF(INDEX('Disaggregation Records'!$G$156:$G$517,MATCH(RIGHT(L1746,255),RIGHT('Disaggregation Records'!$D$156:$D$517,255),0))="","",INDEX('Disaggregation Records'!$G$156:$G$517,MATCH(RIGHT(L1746,255),RIGHT('Disaggregation Records'!$D$156:$D$517,255),0))),"")</f>
        <v/>
      </c>
    </row>
    <row r="1747" spans="1:18" ht="20.100000000000001" customHeight="1">
      <c r="A1747" s="126" t="str">
        <f t="shared" ca="1" si="1916"/>
        <v>a16Dm000000M3zGIAS</v>
      </c>
      <c r="B1747" s="570">
        <v>29</v>
      </c>
      <c r="C1747" s="572" t="str">
        <f ca="1">IFERROR(VLOOKUP(B1747,'Coverage Indicators - Section D'!$A$9:$AO$94,41,FALSE),"")</f>
        <v>VT-2 Percentage of HIV-exposed infants receiving a virological test for HIV within 2 months of birth</v>
      </c>
      <c r="D1747" s="574" t="str">
        <f ca="1">M1747</f>
        <v/>
      </c>
      <c r="E1747" s="574" t="str">
        <f ca="1">N1747</f>
        <v/>
      </c>
      <c r="F1747" s="127"/>
      <c r="G1747" s="576" t="str">
        <f ca="1">IF(OR(INDIRECT("'update Helper'!E"&amp;Q1747)="",F1747&lt;&gt;0,F1748&lt;&gt;0),IF(IFERROR((F1747/F1748),"")="","",(F1747/F1748)),INDIRECT("'update Helper'!E"&amp;Q1747)/100)</f>
        <v/>
      </c>
      <c r="H1747" s="539"/>
      <c r="I1747" s="578"/>
      <c r="J1747" s="532"/>
      <c r="K1747" s="126">
        <f ca="1">IF(AND(EXACT(C1747,C1745),C1745&lt;&gt;0),K1745+1,0)</f>
        <v>3</v>
      </c>
      <c r="L1747" s="126" t="str">
        <f t="shared" ref="L1747" ca="1" si="1949">IF(C1747&lt;&gt;"",C1747&amp;"-"&amp;K1747,"")</f>
        <v>VT-2 Percentage of HIV-exposed infants receiving a virological test for HIV within 2 months of birth-3</v>
      </c>
      <c r="M1747" s="126" t="str">
        <f t="array" aca="1" ref="M1747" ca="1">IFERROR(IF(INDEX('Disaggregation Records'!$E$156:$E$517,MATCH(RIGHT(L1747,255),RIGHT('Disaggregation Records'!$D$156:$D$517,255),0))="","",INDEX('Disaggregation Records'!$E$156:$E$517,MATCH(RIGHT(L1747,255),RIGHT('Disaggregation Records'!$D$156:$D$517,255),0))),"")</f>
        <v/>
      </c>
      <c r="N1747" s="126" t="str">
        <f t="array" aca="1" ref="N1747" ca="1">IFERROR(IF(INDEX('Disaggregation Records'!$F$156:$F$517,MATCH(RIGHT(L1747,255),RIGHT('Disaggregation Records'!$D$156:$D$517,255),0))="","",INDEX('Disaggregation Records'!$F$156:$F$517,MATCH(RIGHT(L1747,255),RIGHT('Disaggregation Records'!$D$156:$D$517,255),0))),"")</f>
        <v/>
      </c>
      <c r="O1747" s="314" t="str">
        <f t="array" aca="1" ref="O1747" ca="1">IFERROR(IF(INDEX('Disaggregation Records'!$H$156:$H$517,MATCH(RIGHT(L1747,255),RIGHT('Disaggregation Records'!$D$156:$D$517,255),0))="","",INDEX('Disaggregation Records'!$H$156:$H$517,MATCH(RIGHT(L1747,255),RIGHT('Disaggregation Records'!$D$156:$D$517,255),0))),"")</f>
        <v/>
      </c>
      <c r="P1747" s="310"/>
      <c r="Q1747" s="310">
        <f t="shared" ref="Q1747" si="1950">Q1745+1</f>
        <v>2175</v>
      </c>
      <c r="R1747" s="314" t="str" cm="1">
        <f t="array" aca="1" ref="R1747" ca="1">IFERROR(IF(INDEX('Disaggregation Records'!$G$156:$G$517,MATCH(RIGHT(L1747,255),RIGHT('Disaggregation Records'!$D$156:$D$517,255),0))="","",INDEX('Disaggregation Records'!$G$156:$G$517,MATCH(RIGHT(L1747,255),RIGHT('Disaggregation Records'!$D$156:$D$517,255),0))),"")</f>
        <v/>
      </c>
    </row>
    <row r="1748" spans="1:18" ht="20.100000000000001" customHeight="1">
      <c r="B1748" s="571"/>
      <c r="C1748" s="573"/>
      <c r="D1748" s="575"/>
      <c r="E1748" s="575"/>
      <c r="F1748" s="128"/>
      <c r="G1748" s="577"/>
      <c r="H1748" s="540"/>
      <c r="I1748" s="579"/>
      <c r="J1748" s="533"/>
      <c r="L1748" s="126"/>
      <c r="N1748" s="126"/>
      <c r="O1748" s="314"/>
      <c r="P1748" s="310"/>
      <c r="Q1748" s="310"/>
      <c r="R1748" s="314" t="str" cm="1">
        <f t="array" ref="R1748">IFERROR(IF(INDEX('Disaggregation Records'!$G$156:$G$517,MATCH(RIGHT(L1748,255),RIGHT('Disaggregation Records'!$D$156:$D$517,255),0))="","",INDEX('Disaggregation Records'!$G$156:$G$517,MATCH(RIGHT(L1748,255),RIGHT('Disaggregation Records'!$D$156:$D$517,255),0))),"")</f>
        <v/>
      </c>
    </row>
    <row r="1749" spans="1:18" ht="20.100000000000001" customHeight="1">
      <c r="A1749" s="126" t="str">
        <f t="shared" ca="1" si="1913"/>
        <v>a16Dm000000M3zHIAS</v>
      </c>
      <c r="B1749" s="570">
        <v>29</v>
      </c>
      <c r="C1749" s="572" t="str">
        <f ca="1">IFERROR(VLOOKUP(B1749,'Coverage Indicators - Section D'!$A$9:$AO$94,41,FALSE),"")</f>
        <v>VT-2 Percentage of HIV-exposed infants receiving a virological test for HIV within 2 months of birth</v>
      </c>
      <c r="D1749" s="574" t="str">
        <f ca="1">M1749</f>
        <v/>
      </c>
      <c r="E1749" s="574" t="str">
        <f ca="1">N1749</f>
        <v/>
      </c>
      <c r="F1749" s="127"/>
      <c r="G1749" s="576" t="str">
        <f ca="1">IF(OR(INDIRECT("'update Helper'!E"&amp;Q1749)="",F1749&lt;&gt;0,F1750&lt;&gt;0),IF(IFERROR((F1749/F1750),"")="","",(F1749/F1750)),INDIRECT("'update Helper'!E"&amp;Q1749)/100)</f>
        <v/>
      </c>
      <c r="H1749" s="539"/>
      <c r="I1749" s="578"/>
      <c r="J1749" s="532"/>
      <c r="K1749" s="126">
        <f ca="1">IF(AND(EXACT(C1749,C1747),C1747&lt;&gt;0),K1747+1,0)</f>
        <v>4</v>
      </c>
      <c r="L1749" s="126" t="str">
        <f t="shared" ref="L1749" ca="1" si="1951">IF(C1749&lt;&gt;"",C1749&amp;"-"&amp;K1749,"")</f>
        <v>VT-2 Percentage of HIV-exposed infants receiving a virological test for HIV within 2 months of birth-4</v>
      </c>
      <c r="M1749" s="126" t="str">
        <f t="array" aca="1" ref="M1749" ca="1">IFERROR(IF(INDEX('Disaggregation Records'!$E$156:$E$517,MATCH(RIGHT(L1749,255),RIGHT('Disaggregation Records'!$D$156:$D$517,255),0))="","",INDEX('Disaggregation Records'!$E$156:$E$517,MATCH(RIGHT(L1749,255),RIGHT('Disaggregation Records'!$D$156:$D$517,255),0))),"")</f>
        <v/>
      </c>
      <c r="N1749" s="126" t="str">
        <f t="array" aca="1" ref="N1749" ca="1">IFERROR(IF(INDEX('Disaggregation Records'!$F$156:$F$517,MATCH(RIGHT(L1749,255),RIGHT('Disaggregation Records'!$D$156:$D$517,255),0))="","",INDEX('Disaggregation Records'!$F$156:$F$517,MATCH(RIGHT(L1749,255),RIGHT('Disaggregation Records'!$D$156:$D$517,255),0))),"")</f>
        <v/>
      </c>
      <c r="O1749" s="314" t="str">
        <f t="array" aca="1" ref="O1749" ca="1">IFERROR(IF(INDEX('Disaggregation Records'!$H$156:$H$517,MATCH(RIGHT(L1749,255),RIGHT('Disaggregation Records'!$D$156:$D$517,255),0))="","",INDEX('Disaggregation Records'!$H$156:$H$517,MATCH(RIGHT(L1749,255),RIGHT('Disaggregation Records'!$D$156:$D$517,255),0))),"")</f>
        <v/>
      </c>
      <c r="P1749" s="310"/>
      <c r="Q1749" s="310">
        <f t="shared" ref="Q1749" si="1952">Q1747+1</f>
        <v>2176</v>
      </c>
      <c r="R1749" s="314" t="str" cm="1">
        <f t="array" aca="1" ref="R1749" ca="1">IFERROR(IF(INDEX('Disaggregation Records'!$G$156:$G$517,MATCH(RIGHT(L1749,255),RIGHT('Disaggregation Records'!$D$156:$D$517,255),0))="","",INDEX('Disaggregation Records'!$G$156:$G$517,MATCH(RIGHT(L1749,255),RIGHT('Disaggregation Records'!$D$156:$D$517,255),0))),"")</f>
        <v/>
      </c>
    </row>
    <row r="1750" spans="1:18" ht="20.100000000000001" customHeight="1">
      <c r="A1750" s="126"/>
      <c r="B1750" s="571"/>
      <c r="C1750" s="573"/>
      <c r="D1750" s="575"/>
      <c r="E1750" s="575"/>
      <c r="F1750" s="128"/>
      <c r="G1750" s="577"/>
      <c r="H1750" s="540"/>
      <c r="I1750" s="579"/>
      <c r="J1750" s="533"/>
      <c r="L1750" s="126"/>
      <c r="N1750" s="126"/>
      <c r="O1750" s="314"/>
      <c r="P1750" s="310"/>
      <c r="Q1750" s="310"/>
      <c r="R1750" s="314" t="str" cm="1">
        <f t="array" ref="R1750">IFERROR(IF(INDEX('Disaggregation Records'!$G$156:$G$517,MATCH(RIGHT(L1750,255),RIGHT('Disaggregation Records'!$D$156:$D$517,255),0))="","",INDEX('Disaggregation Records'!$G$156:$G$517,MATCH(RIGHT(L1750,255),RIGHT('Disaggregation Records'!$D$156:$D$517,255),0))),"")</f>
        <v/>
      </c>
    </row>
    <row r="1751" spans="1:18" ht="20.100000000000001" customHeight="1">
      <c r="A1751" s="126" t="str">
        <f t="shared" ca="1" si="1916"/>
        <v>a16Dm000000M3zIIAS</v>
      </c>
      <c r="B1751" s="570">
        <v>29</v>
      </c>
      <c r="C1751" s="572" t="str">
        <f ca="1">IFERROR(VLOOKUP(B1751,'Coverage Indicators - Section D'!$A$9:$AO$94,41,FALSE),"")</f>
        <v>VT-2 Percentage of HIV-exposed infants receiving a virological test for HIV within 2 months of birth</v>
      </c>
      <c r="D1751" s="574" t="str">
        <f ca="1">M1751</f>
        <v/>
      </c>
      <c r="E1751" s="574" t="str">
        <f ca="1">N1751</f>
        <v/>
      </c>
      <c r="F1751" s="127"/>
      <c r="G1751" s="576" t="str">
        <f ca="1">IF(OR(INDIRECT("'update Helper'!E"&amp;Q1751)="",F1751&lt;&gt;0,F1752&lt;&gt;0),IF(IFERROR((F1751/F1752),"")="","",(F1751/F1752)),INDIRECT("'update Helper'!E"&amp;Q1751)/100)</f>
        <v/>
      </c>
      <c r="H1751" s="539"/>
      <c r="I1751" s="578"/>
      <c r="J1751" s="532"/>
      <c r="K1751" s="126">
        <f ca="1">IF(AND(EXACT(C1751,C1749),C1749&lt;&gt;0),K1749+1,0)</f>
        <v>5</v>
      </c>
      <c r="L1751" s="126" t="str">
        <f t="shared" ref="L1751" ca="1" si="1953">IF(C1751&lt;&gt;"",C1751&amp;"-"&amp;K1751,"")</f>
        <v>VT-2 Percentage of HIV-exposed infants receiving a virological test for HIV within 2 months of birth-5</v>
      </c>
      <c r="M1751" s="126" t="str">
        <f t="array" aca="1" ref="M1751" ca="1">IFERROR(IF(INDEX('Disaggregation Records'!$E$156:$E$517,MATCH(RIGHT(L1751,255),RIGHT('Disaggregation Records'!$D$156:$D$517,255),0))="","",INDEX('Disaggregation Records'!$E$156:$E$517,MATCH(RIGHT(L1751,255),RIGHT('Disaggregation Records'!$D$156:$D$517,255),0))),"")</f>
        <v/>
      </c>
      <c r="N1751" s="126" t="str">
        <f t="array" aca="1" ref="N1751" ca="1">IFERROR(IF(INDEX('Disaggregation Records'!$F$156:$F$517,MATCH(RIGHT(L1751,255),RIGHT('Disaggregation Records'!$D$156:$D$517,255),0))="","",INDEX('Disaggregation Records'!$F$156:$F$517,MATCH(RIGHT(L1751,255),RIGHT('Disaggregation Records'!$D$156:$D$517,255),0))),"")</f>
        <v/>
      </c>
      <c r="O1751" s="314" t="str">
        <f t="array" aca="1" ref="O1751" ca="1">IFERROR(IF(INDEX('Disaggregation Records'!$H$156:$H$517,MATCH(RIGHT(L1751,255),RIGHT('Disaggregation Records'!$D$156:$D$517,255),0))="","",INDEX('Disaggregation Records'!$H$156:$H$517,MATCH(RIGHT(L1751,255),RIGHT('Disaggregation Records'!$D$156:$D$517,255),0))),"")</f>
        <v/>
      </c>
      <c r="P1751" s="314"/>
      <c r="Q1751" s="310">
        <f t="shared" ref="Q1751" si="1954">Q1749+1</f>
        <v>2177</v>
      </c>
      <c r="R1751" s="314" t="str" cm="1">
        <f t="array" aca="1" ref="R1751" ca="1">IFERROR(IF(INDEX('Disaggregation Records'!$G$156:$G$517,MATCH(RIGHT(L1751,255),RIGHT('Disaggregation Records'!$D$156:$D$517,255),0))="","",INDEX('Disaggregation Records'!$G$156:$G$517,MATCH(RIGHT(L1751,255),RIGHT('Disaggregation Records'!$D$156:$D$517,255),0))),"")</f>
        <v/>
      </c>
    </row>
    <row r="1752" spans="1:18" ht="20.100000000000001" customHeight="1">
      <c r="B1752" s="571"/>
      <c r="C1752" s="573"/>
      <c r="D1752" s="575"/>
      <c r="E1752" s="575"/>
      <c r="F1752" s="128"/>
      <c r="G1752" s="577"/>
      <c r="H1752" s="540"/>
      <c r="I1752" s="579"/>
      <c r="J1752" s="533"/>
      <c r="K1752" s="126"/>
      <c r="L1752" s="126"/>
      <c r="M1752" s="126"/>
      <c r="N1752" s="126"/>
      <c r="O1752" s="314"/>
      <c r="P1752" s="314"/>
      <c r="Q1752" s="310"/>
      <c r="R1752" s="314" t="str" cm="1">
        <f t="array" ref="R1752">IFERROR(IF(INDEX('Disaggregation Records'!$G$156:$G$517,MATCH(RIGHT(L1752,255),RIGHT('Disaggregation Records'!$D$156:$D$517,255),0))="","",INDEX('Disaggregation Records'!$G$156:$G$517,MATCH(RIGHT(L1752,255),RIGHT('Disaggregation Records'!$D$156:$D$517,255),0))),"")</f>
        <v/>
      </c>
    </row>
    <row r="1753" spans="1:18" ht="20.100000000000001" customHeight="1">
      <c r="A1753" s="126" t="str">
        <f t="shared" ca="1" si="1913"/>
        <v>a16Dm000000M3zJIAS</v>
      </c>
      <c r="B1753" s="570">
        <v>29</v>
      </c>
      <c r="C1753" s="572" t="str">
        <f ca="1">IFERROR(VLOOKUP(B1753,'Coverage Indicators - Section D'!$A$9:$AO$94,41,FALSE),"")</f>
        <v>VT-2 Percentage of HIV-exposed infants receiving a virological test for HIV within 2 months of birth</v>
      </c>
      <c r="D1753" s="574" t="str">
        <f ca="1">M1753</f>
        <v/>
      </c>
      <c r="E1753" s="574" t="str">
        <f ca="1">N1753</f>
        <v/>
      </c>
      <c r="F1753" s="127"/>
      <c r="G1753" s="576" t="str">
        <f ca="1">IF(OR(INDIRECT("'update Helper'!E"&amp;Q1753)="",F1753&lt;&gt;0,F1754&lt;&gt;0),IF(IFERROR((F1753/F1754),"")="","",(F1753/F1754)),INDIRECT("'update Helper'!E"&amp;Q1753)/100)</f>
        <v/>
      </c>
      <c r="H1753" s="539"/>
      <c r="I1753" s="578"/>
      <c r="J1753" s="532"/>
      <c r="K1753" s="126">
        <f ca="1">IF(AND(EXACT(C1753,C1751),C1751&lt;&gt;0),K1751+1,0)</f>
        <v>6</v>
      </c>
      <c r="L1753" s="126" t="str">
        <f t="shared" ref="L1753" ca="1" si="1955">IF(C1753&lt;&gt;"",C1753&amp;"-"&amp;K1753,"")</f>
        <v>VT-2 Percentage of HIV-exposed infants receiving a virological test for HIV within 2 months of birth-6</v>
      </c>
      <c r="M1753" s="126" t="str">
        <f t="array" aca="1" ref="M1753" ca="1">IFERROR(IF(INDEX('Disaggregation Records'!$E$156:$E$517,MATCH(RIGHT(L1753,255),RIGHT('Disaggregation Records'!$D$156:$D$517,255),0))="","",INDEX('Disaggregation Records'!$E$156:$E$517,MATCH(RIGHT(L1753,255),RIGHT('Disaggregation Records'!$D$156:$D$517,255),0))),"")</f>
        <v/>
      </c>
      <c r="N1753" s="126" t="str">
        <f t="array" aca="1" ref="N1753" ca="1">IFERROR(IF(INDEX('Disaggregation Records'!$F$156:$F$517,MATCH(RIGHT(L1753,255),RIGHT('Disaggregation Records'!$D$156:$D$517,255),0))="","",INDEX('Disaggregation Records'!$F$156:$F$517,MATCH(RIGHT(L1753,255),RIGHT('Disaggregation Records'!$D$156:$D$517,255),0))),"")</f>
        <v/>
      </c>
      <c r="O1753" s="314" t="str">
        <f t="array" aca="1" ref="O1753" ca="1">IFERROR(IF(INDEX('Disaggregation Records'!$H$156:$H$517,MATCH(RIGHT(L1753,255),RIGHT('Disaggregation Records'!$D$156:$D$517,255),0))="","",INDEX('Disaggregation Records'!$H$156:$H$517,MATCH(RIGHT(L1753,255),RIGHT('Disaggregation Records'!$D$156:$D$517,255),0))),"")</f>
        <v/>
      </c>
      <c r="P1753" s="314"/>
      <c r="Q1753" s="310">
        <f t="shared" ref="Q1753" si="1956">Q1751+1</f>
        <v>2178</v>
      </c>
      <c r="R1753" s="314" t="str" cm="1">
        <f t="array" aca="1" ref="R1753" ca="1">IFERROR(IF(INDEX('Disaggregation Records'!$G$156:$G$517,MATCH(RIGHT(L1753,255),RIGHT('Disaggregation Records'!$D$156:$D$517,255),0))="","",INDEX('Disaggregation Records'!$G$156:$G$517,MATCH(RIGHT(L1753,255),RIGHT('Disaggregation Records'!$D$156:$D$517,255),0))),"")</f>
        <v/>
      </c>
    </row>
    <row r="1754" spans="1:18" ht="20.100000000000001" customHeight="1">
      <c r="A1754" s="126"/>
      <c r="B1754" s="571"/>
      <c r="C1754" s="573"/>
      <c r="D1754" s="575"/>
      <c r="E1754" s="575"/>
      <c r="F1754" s="128"/>
      <c r="G1754" s="577"/>
      <c r="H1754" s="540"/>
      <c r="I1754" s="579"/>
      <c r="J1754" s="533"/>
      <c r="K1754" s="126"/>
      <c r="L1754" s="126"/>
      <c r="M1754" s="126"/>
      <c r="N1754" s="126"/>
      <c r="O1754" s="314"/>
      <c r="P1754" s="314"/>
      <c r="Q1754" s="310"/>
      <c r="R1754" s="314" t="str" cm="1">
        <f t="array" ref="R1754">IFERROR(IF(INDEX('Disaggregation Records'!$G$156:$G$517,MATCH(RIGHT(L1754,255),RIGHT('Disaggregation Records'!$D$156:$D$517,255),0))="","",INDEX('Disaggregation Records'!$G$156:$G$517,MATCH(RIGHT(L1754,255),RIGHT('Disaggregation Records'!$D$156:$D$517,255),0))),"")</f>
        <v/>
      </c>
    </row>
    <row r="1755" spans="1:18" ht="20.100000000000001" customHeight="1">
      <c r="A1755" s="126" t="str">
        <f t="shared" ca="1" si="1916"/>
        <v>a16Dm000000M3zKIAS</v>
      </c>
      <c r="B1755" s="570">
        <v>29</v>
      </c>
      <c r="C1755" s="572" t="str">
        <f ca="1">IFERROR(VLOOKUP(B1755,'Coverage Indicators - Section D'!$A$9:$AO$94,41,FALSE),"")</f>
        <v>VT-2 Percentage of HIV-exposed infants receiving a virological test for HIV within 2 months of birth</v>
      </c>
      <c r="D1755" s="574" t="str">
        <f ca="1">M1755</f>
        <v/>
      </c>
      <c r="E1755" s="574" t="str">
        <f ca="1">N1755</f>
        <v/>
      </c>
      <c r="F1755" s="127"/>
      <c r="G1755" s="576" t="str">
        <f ca="1">IF(OR(INDIRECT("'update Helper'!E"&amp;Q1755)="",F1755&lt;&gt;0,F1756&lt;&gt;0),IF(IFERROR((F1755/F1756),"")="","",(F1755/F1756)),INDIRECT("'update Helper'!E"&amp;Q1755)/100)</f>
        <v/>
      </c>
      <c r="H1755" s="539"/>
      <c r="I1755" s="578"/>
      <c r="J1755" s="532"/>
      <c r="K1755" s="126">
        <f ca="1">IF(AND(EXACT(C1755,C1753),C1753&lt;&gt;0),K1753+1,0)</f>
        <v>7</v>
      </c>
      <c r="L1755" s="126" t="str">
        <f t="shared" ref="L1755" ca="1" si="1957">IF(C1755&lt;&gt;"",C1755&amp;"-"&amp;K1755,"")</f>
        <v>VT-2 Percentage of HIV-exposed infants receiving a virological test for HIV within 2 months of birth-7</v>
      </c>
      <c r="M1755" s="126" t="str">
        <f t="array" aca="1" ref="M1755" ca="1">IFERROR(IF(INDEX('Disaggregation Records'!$E$156:$E$517,MATCH(RIGHT(L1755,255),RIGHT('Disaggregation Records'!$D$156:$D$517,255),0))="","",INDEX('Disaggregation Records'!$E$156:$E$517,MATCH(RIGHT(L1755,255),RIGHT('Disaggregation Records'!$D$156:$D$517,255),0))),"")</f>
        <v/>
      </c>
      <c r="N1755" s="126" t="str">
        <f t="array" aca="1" ref="N1755" ca="1">IFERROR(IF(INDEX('Disaggregation Records'!$F$156:$F$517,MATCH(RIGHT(L1755,255),RIGHT('Disaggregation Records'!$D$156:$D$517,255),0))="","",INDEX('Disaggregation Records'!$F$156:$F$517,MATCH(RIGHT(L1755,255),RIGHT('Disaggregation Records'!$D$156:$D$517,255),0))),"")</f>
        <v/>
      </c>
      <c r="O1755" s="314" t="str">
        <f t="array" aca="1" ref="O1755" ca="1">IFERROR(IF(INDEX('Disaggregation Records'!$H$156:$H$517,MATCH(RIGHT(L1755,255),RIGHT('Disaggregation Records'!$D$156:$D$517,255),0))="","",INDEX('Disaggregation Records'!$H$156:$H$517,MATCH(RIGHT(L1755,255),RIGHT('Disaggregation Records'!$D$156:$D$517,255),0))),"")</f>
        <v/>
      </c>
      <c r="P1755" s="310"/>
      <c r="Q1755" s="310">
        <f t="shared" ref="Q1755" si="1958">Q1753+1</f>
        <v>2179</v>
      </c>
      <c r="R1755" s="314" t="str" cm="1">
        <f t="array" aca="1" ref="R1755" ca="1">IFERROR(IF(INDEX('Disaggregation Records'!$G$156:$G$517,MATCH(RIGHT(L1755,255),RIGHT('Disaggregation Records'!$D$156:$D$517,255),0))="","",INDEX('Disaggregation Records'!$G$156:$G$517,MATCH(RIGHT(L1755,255),RIGHT('Disaggregation Records'!$D$156:$D$517,255),0))),"")</f>
        <v/>
      </c>
    </row>
    <row r="1756" spans="1:18" ht="20.100000000000001" customHeight="1">
      <c r="B1756" s="571"/>
      <c r="C1756" s="573"/>
      <c r="D1756" s="575"/>
      <c r="E1756" s="575"/>
      <c r="F1756" s="128"/>
      <c r="G1756" s="577"/>
      <c r="H1756" s="540"/>
      <c r="I1756" s="579"/>
      <c r="J1756" s="533"/>
      <c r="L1756" s="126"/>
      <c r="N1756" s="126"/>
      <c r="O1756" s="314"/>
      <c r="P1756" s="310"/>
      <c r="Q1756" s="310"/>
      <c r="R1756" s="314" t="str" cm="1">
        <f t="array" ref="R1756">IFERROR(IF(INDEX('Disaggregation Records'!$G$156:$G$517,MATCH(RIGHT(L1756,255),RIGHT('Disaggregation Records'!$D$156:$D$517,255),0))="","",INDEX('Disaggregation Records'!$G$156:$G$517,MATCH(RIGHT(L1756,255),RIGHT('Disaggregation Records'!$D$156:$D$517,255),0))),"")</f>
        <v/>
      </c>
    </row>
    <row r="1757" spans="1:18" ht="20.100000000000001" customHeight="1">
      <c r="A1757" s="126" t="str">
        <f t="shared" ca="1" si="1913"/>
        <v>a16Dm000000M3zLIAS</v>
      </c>
      <c r="B1757" s="570">
        <v>29</v>
      </c>
      <c r="C1757" s="572" t="str">
        <f ca="1">IFERROR(VLOOKUP(B1757,'Coverage Indicators - Section D'!$A$9:$AO$94,41,FALSE),"")</f>
        <v>VT-2 Percentage of HIV-exposed infants receiving a virological test for HIV within 2 months of birth</v>
      </c>
      <c r="D1757" s="574" t="str">
        <f ca="1">M1757</f>
        <v/>
      </c>
      <c r="E1757" s="574" t="str">
        <f ca="1">N1757</f>
        <v/>
      </c>
      <c r="F1757" s="127"/>
      <c r="G1757" s="576" t="str">
        <f ca="1">IF(OR(INDIRECT("'update Helper'!E"&amp;Q1757)="",F1757&lt;&gt;0,F1758&lt;&gt;0),IF(IFERROR((F1757/F1758),"")="","",(F1757/F1758)),INDIRECT("'update Helper'!E"&amp;Q1757)/100)</f>
        <v/>
      </c>
      <c r="H1757" s="539"/>
      <c r="I1757" s="578"/>
      <c r="J1757" s="532"/>
      <c r="K1757" s="126">
        <f ca="1">IF(AND(EXACT(C1757,C1755),C1755&lt;&gt;0),K1755+1,0)</f>
        <v>8</v>
      </c>
      <c r="L1757" s="126" t="str">
        <f t="shared" ref="L1757" ca="1" si="1959">IF(C1757&lt;&gt;"",C1757&amp;"-"&amp;K1757,"")</f>
        <v>VT-2 Percentage of HIV-exposed infants receiving a virological test for HIV within 2 months of birth-8</v>
      </c>
      <c r="M1757" s="126" t="str">
        <f t="array" aca="1" ref="M1757" ca="1">IFERROR(IF(INDEX('Disaggregation Records'!$E$156:$E$517,MATCH(RIGHT(L1757,255),RIGHT('Disaggregation Records'!$D$156:$D$517,255),0))="","",INDEX('Disaggregation Records'!$E$156:$E$517,MATCH(RIGHT(L1757,255),RIGHT('Disaggregation Records'!$D$156:$D$517,255),0))),"")</f>
        <v/>
      </c>
      <c r="N1757" s="126" t="str">
        <f t="array" aca="1" ref="N1757" ca="1">IFERROR(IF(INDEX('Disaggregation Records'!$F$156:$F$517,MATCH(RIGHT(L1757,255),RIGHT('Disaggregation Records'!$D$156:$D$517,255),0))="","",INDEX('Disaggregation Records'!$F$156:$F$517,MATCH(RIGHT(L1757,255),RIGHT('Disaggregation Records'!$D$156:$D$517,255),0))),"")</f>
        <v/>
      </c>
      <c r="O1757" s="314" t="str">
        <f t="array" aca="1" ref="O1757" ca="1">IFERROR(IF(INDEX('Disaggregation Records'!$H$156:$H$517,MATCH(RIGHT(L1757,255),RIGHT('Disaggregation Records'!$D$156:$D$517,255),0))="","",INDEX('Disaggregation Records'!$H$156:$H$517,MATCH(RIGHT(L1757,255),RIGHT('Disaggregation Records'!$D$156:$D$517,255),0))),"")</f>
        <v/>
      </c>
      <c r="P1757" s="310"/>
      <c r="Q1757" s="310">
        <f t="shared" ref="Q1757" si="1960">Q1755+1</f>
        <v>2180</v>
      </c>
      <c r="R1757" s="314" t="str" cm="1">
        <f t="array" aca="1" ref="R1757" ca="1">IFERROR(IF(INDEX('Disaggregation Records'!$G$156:$G$517,MATCH(RIGHT(L1757,255),RIGHT('Disaggregation Records'!$D$156:$D$517,255),0))="","",INDEX('Disaggregation Records'!$G$156:$G$517,MATCH(RIGHT(L1757,255),RIGHT('Disaggregation Records'!$D$156:$D$517,255),0))),"")</f>
        <v/>
      </c>
    </row>
    <row r="1758" spans="1:18" ht="20.100000000000001" customHeight="1">
      <c r="A1758" s="126"/>
      <c r="B1758" s="571"/>
      <c r="C1758" s="573"/>
      <c r="D1758" s="575"/>
      <c r="E1758" s="575"/>
      <c r="F1758" s="128"/>
      <c r="G1758" s="577"/>
      <c r="H1758" s="540"/>
      <c r="I1758" s="579"/>
      <c r="J1758" s="533"/>
      <c r="L1758" s="126"/>
      <c r="N1758" s="126"/>
      <c r="O1758" s="314"/>
      <c r="P1758" s="310"/>
      <c r="Q1758" s="310"/>
      <c r="R1758" s="314" t="str" cm="1">
        <f t="array" ref="R1758">IFERROR(IF(INDEX('Disaggregation Records'!$G$156:$G$517,MATCH(RIGHT(L1758,255),RIGHT('Disaggregation Records'!$D$156:$D$517,255),0))="","",INDEX('Disaggregation Records'!$G$156:$G$517,MATCH(RIGHT(L1758,255),RIGHT('Disaggregation Records'!$D$156:$D$517,255),0))),"")</f>
        <v/>
      </c>
    </row>
    <row r="1759" spans="1:18" ht="20.100000000000001" customHeight="1">
      <c r="A1759" s="126" t="str">
        <f t="shared" ca="1" si="1916"/>
        <v>a16Dm000000M3zMIAS</v>
      </c>
      <c r="B1759" s="570">
        <v>29</v>
      </c>
      <c r="C1759" s="572" t="str">
        <f ca="1">IFERROR(VLOOKUP(B1759,'Coverage Indicators - Section D'!$A$9:$AO$94,41,FALSE),"")</f>
        <v>VT-2 Percentage of HIV-exposed infants receiving a virological test for HIV within 2 months of birth</v>
      </c>
      <c r="D1759" s="574" t="str">
        <f ca="1">M1759</f>
        <v/>
      </c>
      <c r="E1759" s="574" t="str">
        <f ca="1">N1759</f>
        <v/>
      </c>
      <c r="F1759" s="127"/>
      <c r="G1759" s="576" t="str">
        <f ca="1">IF(OR(INDIRECT("'update Helper'!E"&amp;Q1759)="",F1759&lt;&gt;0,F1760&lt;&gt;0),IF(IFERROR((F1759/F1760),"")="","",(F1759/F1760)),INDIRECT("'update Helper'!E"&amp;Q1759)/100)</f>
        <v/>
      </c>
      <c r="H1759" s="539"/>
      <c r="I1759" s="578"/>
      <c r="J1759" s="532"/>
      <c r="K1759" s="126">
        <f ca="1">IF(AND(EXACT(C1759,C1757),C1757&lt;&gt;0),K1757+1,0)</f>
        <v>9</v>
      </c>
      <c r="L1759" s="126" t="str">
        <f t="shared" ref="L1759" ca="1" si="1961">IF(C1759&lt;&gt;"",C1759&amp;"-"&amp;K1759,"")</f>
        <v>VT-2 Percentage of HIV-exposed infants receiving a virological test for HIV within 2 months of birth-9</v>
      </c>
      <c r="M1759" s="126" t="str">
        <f t="array" aca="1" ref="M1759" ca="1">IFERROR(IF(INDEX('Disaggregation Records'!$E$156:$E$517,MATCH(RIGHT(L1759,255),RIGHT('Disaggregation Records'!$D$156:$D$517,255),0))="","",INDEX('Disaggregation Records'!$E$156:$E$517,MATCH(RIGHT(L1759,255),RIGHT('Disaggregation Records'!$D$156:$D$517,255),0))),"")</f>
        <v/>
      </c>
      <c r="N1759" s="126" t="str">
        <f t="array" aca="1" ref="N1759" ca="1">IFERROR(IF(INDEX('Disaggregation Records'!$F$156:$F$517,MATCH(RIGHT(L1759,255),RIGHT('Disaggregation Records'!$D$156:$D$517,255),0))="","",INDEX('Disaggregation Records'!$F$156:$F$517,MATCH(RIGHT(L1759,255),RIGHT('Disaggregation Records'!$D$156:$D$517,255),0))),"")</f>
        <v/>
      </c>
      <c r="O1759" s="314" t="str">
        <f t="array" aca="1" ref="O1759" ca="1">IFERROR(IF(INDEX('Disaggregation Records'!$H$156:$H$517,MATCH(RIGHT(L1759,255),RIGHT('Disaggregation Records'!$D$156:$D$517,255),0))="","",INDEX('Disaggregation Records'!$H$156:$H$517,MATCH(RIGHT(L1759,255),RIGHT('Disaggregation Records'!$D$156:$D$517,255),0))),"")</f>
        <v/>
      </c>
      <c r="P1759" s="310"/>
      <c r="Q1759" s="310">
        <f t="shared" ref="Q1759" si="1962">Q1757+1</f>
        <v>2181</v>
      </c>
      <c r="R1759" s="314" t="str" cm="1">
        <f t="array" aca="1" ref="R1759" ca="1">IFERROR(IF(INDEX('Disaggregation Records'!$G$156:$G$517,MATCH(RIGHT(L1759,255),RIGHT('Disaggregation Records'!$D$156:$D$517,255),0))="","",INDEX('Disaggregation Records'!$G$156:$G$517,MATCH(RIGHT(L1759,255),RIGHT('Disaggregation Records'!$D$156:$D$517,255),0))),"")</f>
        <v/>
      </c>
    </row>
    <row r="1760" spans="1:18" ht="20.100000000000001" customHeight="1">
      <c r="B1760" s="571"/>
      <c r="C1760" s="573"/>
      <c r="D1760" s="575"/>
      <c r="E1760" s="575"/>
      <c r="F1760" s="128"/>
      <c r="G1760" s="577"/>
      <c r="H1760" s="540"/>
      <c r="I1760" s="579"/>
      <c r="J1760" s="533"/>
      <c r="L1760" s="126"/>
      <c r="N1760" s="126"/>
      <c r="O1760" s="314"/>
      <c r="P1760" s="310"/>
      <c r="Q1760" s="310"/>
      <c r="R1760" s="314" t="str" cm="1">
        <f t="array" ref="R1760">IFERROR(IF(INDEX('Disaggregation Records'!$G$156:$G$517,MATCH(RIGHT(L1760,255),RIGHT('Disaggregation Records'!$D$156:$D$517,255),0))="","",INDEX('Disaggregation Records'!$G$156:$G$517,MATCH(RIGHT(L1760,255),RIGHT('Disaggregation Records'!$D$156:$D$517,255),0))),"")</f>
        <v/>
      </c>
    </row>
    <row r="1761" spans="1:18" ht="20.100000000000001" customHeight="1">
      <c r="A1761" s="126" t="str">
        <f t="shared" ca="1" si="1913"/>
        <v>a16Dm000000M3zNIAS</v>
      </c>
      <c r="B1761" s="570">
        <v>29</v>
      </c>
      <c r="C1761" s="572" t="str">
        <f ca="1">IFERROR(VLOOKUP(B1761,'Coverage Indicators - Section D'!$A$9:$AO$94,41,FALSE),"")</f>
        <v>VT-2 Percentage of HIV-exposed infants receiving a virological test for HIV within 2 months of birth</v>
      </c>
      <c r="D1761" s="574" t="str">
        <f ca="1">M1761</f>
        <v/>
      </c>
      <c r="E1761" s="574" t="str">
        <f ca="1">N1761</f>
        <v/>
      </c>
      <c r="F1761" s="127"/>
      <c r="G1761" s="576" t="str">
        <f ca="1">IF(OR(INDIRECT("'update Helper'!E"&amp;Q1761)="",F1761&lt;&gt;0,F1762&lt;&gt;0),IF(IFERROR((F1761/F1762),"")="","",(F1761/F1762)),INDIRECT("'update Helper'!E"&amp;Q1761)/100)</f>
        <v/>
      </c>
      <c r="H1761" s="539"/>
      <c r="I1761" s="578"/>
      <c r="J1761" s="532"/>
      <c r="K1761" s="126">
        <f ca="1">IF(AND(EXACT(C1761,C1759),C1759&lt;&gt;0),K1759+1,0)</f>
        <v>10</v>
      </c>
      <c r="L1761" s="126" t="str">
        <f t="shared" ref="L1761" ca="1" si="1963">IF(C1761&lt;&gt;"",C1761&amp;"-"&amp;K1761,"")</f>
        <v>VT-2 Percentage of HIV-exposed infants receiving a virological test for HIV within 2 months of birth-10</v>
      </c>
      <c r="M1761" s="126" t="str">
        <f t="array" aca="1" ref="M1761" ca="1">IFERROR(IF(INDEX('Disaggregation Records'!$E$156:$E$517,MATCH(RIGHT(L1761,255),RIGHT('Disaggregation Records'!$D$156:$D$517,255),0))="","",INDEX('Disaggregation Records'!$E$156:$E$517,MATCH(RIGHT(L1761,255),RIGHT('Disaggregation Records'!$D$156:$D$517,255),0))),"")</f>
        <v/>
      </c>
      <c r="N1761" s="126" t="str">
        <f t="array" aca="1" ref="N1761" ca="1">IFERROR(IF(INDEX('Disaggregation Records'!$F$156:$F$517,MATCH(RIGHT(L1761,255),RIGHT('Disaggregation Records'!$D$156:$D$517,255),0))="","",INDEX('Disaggregation Records'!$F$156:$F$517,MATCH(RIGHT(L1761,255),RIGHT('Disaggregation Records'!$D$156:$D$517,255),0))),"")</f>
        <v/>
      </c>
      <c r="O1761" s="314" t="str">
        <f t="array" aca="1" ref="O1761" ca="1">IFERROR(IF(INDEX('Disaggregation Records'!$H$156:$H$517,MATCH(RIGHT(L1761,255),RIGHT('Disaggregation Records'!$D$156:$D$517,255),0))="","",INDEX('Disaggregation Records'!$H$156:$H$517,MATCH(RIGHT(L1761,255),RIGHT('Disaggregation Records'!$D$156:$D$517,255),0))),"")</f>
        <v/>
      </c>
      <c r="P1761" s="314"/>
      <c r="Q1761" s="310">
        <f t="shared" ref="Q1761" si="1964">Q1759+1</f>
        <v>2182</v>
      </c>
      <c r="R1761" s="314" t="str" cm="1">
        <f t="array" aca="1" ref="R1761" ca="1">IFERROR(IF(INDEX('Disaggregation Records'!$G$156:$G$517,MATCH(RIGHT(L1761,255),RIGHT('Disaggregation Records'!$D$156:$D$517,255),0))="","",INDEX('Disaggregation Records'!$G$156:$G$517,MATCH(RIGHT(L1761,255),RIGHT('Disaggregation Records'!$D$156:$D$517,255),0))),"")</f>
        <v/>
      </c>
    </row>
    <row r="1762" spans="1:18" ht="20.100000000000001" customHeight="1">
      <c r="A1762" s="126"/>
      <c r="B1762" s="571"/>
      <c r="C1762" s="573"/>
      <c r="D1762" s="575"/>
      <c r="E1762" s="575"/>
      <c r="F1762" s="128"/>
      <c r="G1762" s="577"/>
      <c r="H1762" s="540"/>
      <c r="I1762" s="579"/>
      <c r="J1762" s="533"/>
      <c r="K1762" s="126"/>
      <c r="L1762" s="126"/>
      <c r="M1762" s="126"/>
      <c r="N1762" s="126"/>
      <c r="O1762" s="314"/>
      <c r="P1762" s="314"/>
      <c r="Q1762" s="310"/>
      <c r="R1762" s="314" t="str" cm="1">
        <f t="array" ref="R1762">IFERROR(IF(INDEX('Disaggregation Records'!$G$156:$G$517,MATCH(RIGHT(L1762,255),RIGHT('Disaggregation Records'!$D$156:$D$517,255),0))="","",INDEX('Disaggregation Records'!$G$156:$G$517,MATCH(RIGHT(L1762,255),RIGHT('Disaggregation Records'!$D$156:$D$517,255),0))),"")</f>
        <v/>
      </c>
    </row>
    <row r="1763" spans="1:18" ht="20.100000000000001" customHeight="1">
      <c r="A1763" s="126" t="str">
        <f t="shared" ca="1" si="1916"/>
        <v>a16Dm000000M3zOIAS</v>
      </c>
      <c r="B1763" s="570">
        <v>29</v>
      </c>
      <c r="C1763" s="572" t="str">
        <f ca="1">IFERROR(VLOOKUP(B1763,'Coverage Indicators - Section D'!$A$9:$AO$94,41,FALSE),"")</f>
        <v>VT-2 Percentage of HIV-exposed infants receiving a virological test for HIV within 2 months of birth</v>
      </c>
      <c r="D1763" s="574" t="str">
        <f ca="1">M1763</f>
        <v/>
      </c>
      <c r="E1763" s="574" t="str">
        <f ca="1">N1763</f>
        <v/>
      </c>
      <c r="F1763" s="127"/>
      <c r="G1763" s="576" t="str">
        <f ca="1">IF(OR(INDIRECT("'update Helper'!E"&amp;Q1763)="",F1763&lt;&gt;0,F1764&lt;&gt;0),IF(IFERROR((F1763/F1764),"")="","",(F1763/F1764)),INDIRECT("'update Helper'!E"&amp;Q1763)/100)</f>
        <v/>
      </c>
      <c r="H1763" s="539"/>
      <c r="I1763" s="578"/>
      <c r="J1763" s="532"/>
      <c r="K1763" s="126">
        <f ca="1">IF(AND(EXACT(C1763,C1761),C1761&lt;&gt;0),K1761+1,0)</f>
        <v>11</v>
      </c>
      <c r="L1763" s="126" t="str">
        <f t="shared" ref="L1763" ca="1" si="1965">IF(C1763&lt;&gt;"",C1763&amp;"-"&amp;K1763,"")</f>
        <v>VT-2 Percentage of HIV-exposed infants receiving a virological test for HIV within 2 months of birth-11</v>
      </c>
      <c r="M1763" s="126" t="str">
        <f t="array" aca="1" ref="M1763" ca="1">IFERROR(IF(INDEX('Disaggregation Records'!$E$156:$E$517,MATCH(RIGHT(L1763,255),RIGHT('Disaggregation Records'!$D$156:$D$517,255),0))="","",INDEX('Disaggregation Records'!$E$156:$E$517,MATCH(RIGHT(L1763,255),RIGHT('Disaggregation Records'!$D$156:$D$517,255),0))),"")</f>
        <v/>
      </c>
      <c r="N1763" s="126" t="str">
        <f t="array" aca="1" ref="N1763" ca="1">IFERROR(IF(INDEX('Disaggregation Records'!$F$156:$F$517,MATCH(RIGHT(L1763,255),RIGHT('Disaggregation Records'!$D$156:$D$517,255),0))="","",INDEX('Disaggregation Records'!$F$156:$F$517,MATCH(RIGHT(L1763,255),RIGHT('Disaggregation Records'!$D$156:$D$517,255),0))),"")</f>
        <v/>
      </c>
      <c r="O1763" s="314" t="str">
        <f t="array" aca="1" ref="O1763" ca="1">IFERROR(IF(INDEX('Disaggregation Records'!$H$156:$H$517,MATCH(RIGHT(L1763,255),RIGHT('Disaggregation Records'!$D$156:$D$517,255),0))="","",INDEX('Disaggregation Records'!$H$156:$H$517,MATCH(RIGHT(L1763,255),RIGHT('Disaggregation Records'!$D$156:$D$517,255),0))),"")</f>
        <v/>
      </c>
      <c r="P1763" s="314"/>
      <c r="Q1763" s="310">
        <f t="shared" ref="Q1763" si="1966">Q1761+1</f>
        <v>2183</v>
      </c>
      <c r="R1763" s="314" t="str" cm="1">
        <f t="array" aca="1" ref="R1763" ca="1">IFERROR(IF(INDEX('Disaggregation Records'!$G$156:$G$517,MATCH(RIGHT(L1763,255),RIGHT('Disaggregation Records'!$D$156:$D$517,255),0))="","",INDEX('Disaggregation Records'!$G$156:$G$517,MATCH(RIGHT(L1763,255),RIGHT('Disaggregation Records'!$D$156:$D$517,255),0))),"")</f>
        <v/>
      </c>
    </row>
    <row r="1764" spans="1:18" ht="20.100000000000001" customHeight="1">
      <c r="B1764" s="571"/>
      <c r="C1764" s="573"/>
      <c r="D1764" s="575"/>
      <c r="E1764" s="575"/>
      <c r="F1764" s="128"/>
      <c r="G1764" s="577"/>
      <c r="H1764" s="540"/>
      <c r="I1764" s="579"/>
      <c r="J1764" s="533"/>
      <c r="K1764" s="126"/>
      <c r="L1764" s="126"/>
      <c r="M1764" s="126"/>
      <c r="N1764" s="126"/>
      <c r="O1764" s="314"/>
      <c r="P1764" s="314"/>
      <c r="Q1764" s="310"/>
      <c r="R1764" s="314" t="str" cm="1">
        <f t="array" ref="R1764">IFERROR(IF(INDEX('Disaggregation Records'!$G$156:$G$517,MATCH(RIGHT(L1764,255),RIGHT('Disaggregation Records'!$D$156:$D$517,255),0))="","",INDEX('Disaggregation Records'!$G$156:$G$517,MATCH(RIGHT(L1764,255),RIGHT('Disaggregation Records'!$D$156:$D$517,255),0))),"")</f>
        <v/>
      </c>
    </row>
    <row r="1765" spans="1:18" ht="20.100000000000001" customHeight="1">
      <c r="A1765" s="126" t="str">
        <f t="shared" ca="1" si="1913"/>
        <v>a16Dm000000M3zPIAS</v>
      </c>
      <c r="B1765" s="570">
        <v>29</v>
      </c>
      <c r="C1765" s="572" t="str">
        <f ca="1">IFERROR(VLOOKUP(B1765,'Coverage Indicators - Section D'!$A$9:$AO$94,41,FALSE),"")</f>
        <v>VT-2 Percentage of HIV-exposed infants receiving a virological test for HIV within 2 months of birth</v>
      </c>
      <c r="D1765" s="574" t="str">
        <f ca="1">M1765</f>
        <v/>
      </c>
      <c r="E1765" s="574" t="str">
        <f ca="1">N1765</f>
        <v/>
      </c>
      <c r="F1765" s="127"/>
      <c r="G1765" s="576" t="str">
        <f ca="1">IF(OR(INDIRECT("'update Helper'!E"&amp;Q1765)="",F1765&lt;&gt;0,F1766&lt;&gt;0),IF(IFERROR((F1765/F1766),"")="","",(F1765/F1766)),INDIRECT("'update Helper'!E"&amp;Q1765)/100)</f>
        <v/>
      </c>
      <c r="H1765" s="539"/>
      <c r="I1765" s="578"/>
      <c r="J1765" s="532"/>
      <c r="K1765" s="126">
        <f ca="1">IF(AND(EXACT(C1765,C1763),C1763&lt;&gt;0),K1763+1,0)</f>
        <v>12</v>
      </c>
      <c r="L1765" s="126" t="str">
        <f t="shared" ref="L1765" ca="1" si="1967">IF(C1765&lt;&gt;"",C1765&amp;"-"&amp;K1765,"")</f>
        <v>VT-2 Percentage of HIV-exposed infants receiving a virological test for HIV within 2 months of birth-12</v>
      </c>
      <c r="M1765" s="126" t="str">
        <f t="array" aca="1" ref="M1765" ca="1">IFERROR(IF(INDEX('Disaggregation Records'!$E$156:$E$517,MATCH(RIGHT(L1765,255),RIGHT('Disaggregation Records'!$D$156:$D$517,255),0))="","",INDEX('Disaggregation Records'!$E$156:$E$517,MATCH(RIGHT(L1765,255),RIGHT('Disaggregation Records'!$D$156:$D$517,255),0))),"")</f>
        <v/>
      </c>
      <c r="N1765" s="126" t="str">
        <f t="array" aca="1" ref="N1765" ca="1">IFERROR(IF(INDEX('Disaggregation Records'!$F$156:$F$517,MATCH(RIGHT(L1765,255),RIGHT('Disaggregation Records'!$D$156:$D$517,255),0))="","",INDEX('Disaggregation Records'!$F$156:$F$517,MATCH(RIGHT(L1765,255),RIGHT('Disaggregation Records'!$D$156:$D$517,255),0))),"")</f>
        <v/>
      </c>
      <c r="O1765" s="314" t="str">
        <f t="array" aca="1" ref="O1765" ca="1">IFERROR(IF(INDEX('Disaggregation Records'!$H$156:$H$517,MATCH(RIGHT(L1765,255),RIGHT('Disaggregation Records'!$D$156:$D$517,255),0))="","",INDEX('Disaggregation Records'!$H$156:$H$517,MATCH(RIGHT(L1765,255),RIGHT('Disaggregation Records'!$D$156:$D$517,255),0))),"")</f>
        <v/>
      </c>
      <c r="P1765" s="310"/>
      <c r="Q1765" s="310">
        <f t="shared" ref="Q1765" si="1968">Q1763+1</f>
        <v>2184</v>
      </c>
      <c r="R1765" s="314" t="str" cm="1">
        <f t="array" aca="1" ref="R1765" ca="1">IFERROR(IF(INDEX('Disaggregation Records'!$G$156:$G$517,MATCH(RIGHT(L1765,255),RIGHT('Disaggregation Records'!$D$156:$D$517,255),0))="","",INDEX('Disaggregation Records'!$G$156:$G$517,MATCH(RIGHT(L1765,255),RIGHT('Disaggregation Records'!$D$156:$D$517,255),0))),"")</f>
        <v/>
      </c>
    </row>
    <row r="1766" spans="1:18" ht="20.100000000000001" customHeight="1">
      <c r="A1766" s="126"/>
      <c r="B1766" s="571"/>
      <c r="C1766" s="573"/>
      <c r="D1766" s="575"/>
      <c r="E1766" s="575"/>
      <c r="F1766" s="128"/>
      <c r="G1766" s="577"/>
      <c r="H1766" s="540"/>
      <c r="I1766" s="579"/>
      <c r="J1766" s="533"/>
      <c r="L1766" s="126"/>
      <c r="N1766" s="126"/>
      <c r="O1766" s="314"/>
      <c r="P1766" s="310"/>
      <c r="Q1766" s="310"/>
      <c r="R1766" s="314" t="str" cm="1">
        <f t="array" ref="R1766">IFERROR(IF(INDEX('Disaggregation Records'!$G$156:$G$517,MATCH(RIGHT(L1766,255),RIGHT('Disaggregation Records'!$D$156:$D$517,255),0))="","",INDEX('Disaggregation Records'!$G$156:$G$517,MATCH(RIGHT(L1766,255),RIGHT('Disaggregation Records'!$D$156:$D$517,255),0))),"")</f>
        <v/>
      </c>
    </row>
    <row r="1767" spans="1:18" ht="20.100000000000001" customHeight="1">
      <c r="A1767" s="126" t="str">
        <f t="shared" ca="1" si="1916"/>
        <v>a16Dm000000M3zQIAS</v>
      </c>
      <c r="B1767" s="570">
        <v>29</v>
      </c>
      <c r="C1767" s="572" t="str">
        <f ca="1">IFERROR(VLOOKUP(B1767,'Coverage Indicators - Section D'!$A$9:$AO$94,41,FALSE),"")</f>
        <v>VT-2 Percentage of HIV-exposed infants receiving a virological test for HIV within 2 months of birth</v>
      </c>
      <c r="D1767" s="574" t="str">
        <f ca="1">M1767</f>
        <v/>
      </c>
      <c r="E1767" s="574" t="str">
        <f ca="1">N1767</f>
        <v/>
      </c>
      <c r="F1767" s="127"/>
      <c r="G1767" s="576" t="str">
        <f ca="1">IF(OR(INDIRECT("'update Helper'!E"&amp;Q1767)="",F1767&lt;&gt;0,F1768&lt;&gt;0),IF(IFERROR((F1767/F1768),"")="","",(F1767/F1768)),INDIRECT("'update Helper'!E"&amp;Q1767)/100)</f>
        <v/>
      </c>
      <c r="H1767" s="539"/>
      <c r="I1767" s="578"/>
      <c r="J1767" s="532"/>
      <c r="K1767" s="126">
        <f ca="1">IF(AND(EXACT(C1767,C1765),C1765&lt;&gt;0),K1765+1,0)</f>
        <v>13</v>
      </c>
      <c r="L1767" s="126" t="str">
        <f t="shared" ref="L1767" ca="1" si="1969">IF(C1767&lt;&gt;"",C1767&amp;"-"&amp;K1767,"")</f>
        <v>VT-2 Percentage of HIV-exposed infants receiving a virological test for HIV within 2 months of birth-13</v>
      </c>
      <c r="M1767" s="126" t="str">
        <f t="array" aca="1" ref="M1767" ca="1">IFERROR(IF(INDEX('Disaggregation Records'!$E$156:$E$517,MATCH(RIGHT(L1767,255),RIGHT('Disaggregation Records'!$D$156:$D$517,255),0))="","",INDEX('Disaggregation Records'!$E$156:$E$517,MATCH(RIGHT(L1767,255),RIGHT('Disaggregation Records'!$D$156:$D$517,255),0))),"")</f>
        <v/>
      </c>
      <c r="N1767" s="126" t="str">
        <f t="array" aca="1" ref="N1767" ca="1">IFERROR(IF(INDEX('Disaggregation Records'!$F$156:$F$517,MATCH(RIGHT(L1767,255),RIGHT('Disaggregation Records'!$D$156:$D$517,255),0))="","",INDEX('Disaggregation Records'!$F$156:$F$517,MATCH(RIGHT(L1767,255),RIGHT('Disaggregation Records'!$D$156:$D$517,255),0))),"")</f>
        <v/>
      </c>
      <c r="O1767" s="314" t="str">
        <f t="array" aca="1" ref="O1767" ca="1">IFERROR(IF(INDEX('Disaggregation Records'!$H$156:$H$517,MATCH(RIGHT(L1767,255),RIGHT('Disaggregation Records'!$D$156:$D$517,255),0))="","",INDEX('Disaggregation Records'!$H$156:$H$517,MATCH(RIGHT(L1767,255),RIGHT('Disaggregation Records'!$D$156:$D$517,255),0))),"")</f>
        <v/>
      </c>
      <c r="P1767" s="310"/>
      <c r="Q1767" s="310">
        <f t="shared" ref="Q1767" si="1970">Q1765+1</f>
        <v>2185</v>
      </c>
      <c r="R1767" s="314" t="str" cm="1">
        <f t="array" aca="1" ref="R1767" ca="1">IFERROR(IF(INDEX('Disaggregation Records'!$G$156:$G$517,MATCH(RIGHT(L1767,255),RIGHT('Disaggregation Records'!$D$156:$D$517,255),0))="","",INDEX('Disaggregation Records'!$G$156:$G$517,MATCH(RIGHT(L1767,255),RIGHT('Disaggregation Records'!$D$156:$D$517,255),0))),"")</f>
        <v/>
      </c>
    </row>
    <row r="1768" spans="1:18" ht="20.100000000000001" customHeight="1">
      <c r="B1768" s="571"/>
      <c r="C1768" s="573"/>
      <c r="D1768" s="575"/>
      <c r="E1768" s="575"/>
      <c r="F1768" s="128"/>
      <c r="G1768" s="577"/>
      <c r="H1768" s="540"/>
      <c r="I1768" s="579"/>
      <c r="J1768" s="533"/>
      <c r="L1768" s="126"/>
      <c r="N1768" s="126"/>
      <c r="O1768" s="314"/>
      <c r="P1768" s="310"/>
      <c r="Q1768" s="310"/>
      <c r="R1768" s="314" t="str" cm="1">
        <f t="array" ref="R1768">IFERROR(IF(INDEX('Disaggregation Records'!$G$156:$G$517,MATCH(RIGHT(L1768,255),RIGHT('Disaggregation Records'!$D$156:$D$517,255),0))="","",INDEX('Disaggregation Records'!$G$156:$G$517,MATCH(RIGHT(L1768,255),RIGHT('Disaggregation Records'!$D$156:$D$517,255),0))),"")</f>
        <v/>
      </c>
    </row>
    <row r="1769" spans="1:18" ht="20.100000000000001" customHeight="1">
      <c r="A1769" s="126" t="str">
        <f t="shared" ca="1" si="1913"/>
        <v>a16Dm000000M3zRIAS</v>
      </c>
      <c r="B1769" s="570">
        <v>29</v>
      </c>
      <c r="C1769" s="572" t="str">
        <f ca="1">IFERROR(VLOOKUP(B1769,'Coverage Indicators - Section D'!$A$9:$AO$94,41,FALSE),"")</f>
        <v>VT-2 Percentage of HIV-exposed infants receiving a virological test for HIV within 2 months of birth</v>
      </c>
      <c r="D1769" s="574" t="str">
        <f ca="1">M1769</f>
        <v/>
      </c>
      <c r="E1769" s="574" t="str">
        <f ca="1">N1769</f>
        <v/>
      </c>
      <c r="F1769" s="127"/>
      <c r="G1769" s="576" t="str">
        <f ca="1">IF(OR(INDIRECT("'update Helper'!E"&amp;Q1769)="",F1769&lt;&gt;0,F1770&lt;&gt;0),IF(IFERROR((F1769/F1770),"")="","",(F1769/F1770)),INDIRECT("'update Helper'!E"&amp;Q1769)/100)</f>
        <v/>
      </c>
      <c r="H1769" s="539"/>
      <c r="I1769" s="578"/>
      <c r="J1769" s="532"/>
      <c r="K1769" s="126">
        <f ca="1">IF(AND(EXACT(C1769,C1767),C1767&lt;&gt;0),K1767+1,0)</f>
        <v>14</v>
      </c>
      <c r="L1769" s="126" t="str">
        <f t="shared" ref="L1769" ca="1" si="1971">IF(C1769&lt;&gt;"",C1769&amp;"-"&amp;K1769,"")</f>
        <v>VT-2 Percentage of HIV-exposed infants receiving a virological test for HIV within 2 months of birth-14</v>
      </c>
      <c r="M1769" s="126" t="str">
        <f t="array" aca="1" ref="M1769" ca="1">IFERROR(IF(INDEX('Disaggregation Records'!$E$156:$E$517,MATCH(RIGHT(L1769,255),RIGHT('Disaggregation Records'!$D$156:$D$517,255),0))="","",INDEX('Disaggregation Records'!$E$156:$E$517,MATCH(RIGHT(L1769,255),RIGHT('Disaggregation Records'!$D$156:$D$517,255),0))),"")</f>
        <v/>
      </c>
      <c r="N1769" s="126" t="str">
        <f t="array" aca="1" ref="N1769" ca="1">IFERROR(IF(INDEX('Disaggregation Records'!$F$156:$F$517,MATCH(RIGHT(L1769,255),RIGHT('Disaggregation Records'!$D$156:$D$517,255),0))="","",INDEX('Disaggregation Records'!$F$156:$F$517,MATCH(RIGHT(L1769,255),RIGHT('Disaggregation Records'!$D$156:$D$517,255),0))),"")</f>
        <v/>
      </c>
      <c r="O1769" s="314" t="str">
        <f t="array" aca="1" ref="O1769" ca="1">IFERROR(IF(INDEX('Disaggregation Records'!$H$156:$H$517,MATCH(RIGHT(L1769,255),RIGHT('Disaggregation Records'!$D$156:$D$517,255),0))="","",INDEX('Disaggregation Records'!$H$156:$H$517,MATCH(RIGHT(L1769,255),RIGHT('Disaggregation Records'!$D$156:$D$517,255),0))),"")</f>
        <v/>
      </c>
      <c r="P1769" s="310"/>
      <c r="Q1769" s="310">
        <f t="shared" ref="Q1769" si="1972">Q1767+1</f>
        <v>2186</v>
      </c>
      <c r="R1769" s="314" t="str" cm="1">
        <f t="array" aca="1" ref="R1769" ca="1">IFERROR(IF(INDEX('Disaggregation Records'!$G$156:$G$517,MATCH(RIGHT(L1769,255),RIGHT('Disaggregation Records'!$D$156:$D$517,255),0))="","",INDEX('Disaggregation Records'!$G$156:$G$517,MATCH(RIGHT(L1769,255),RIGHT('Disaggregation Records'!$D$156:$D$517,255),0))),"")</f>
        <v/>
      </c>
    </row>
    <row r="1770" spans="1:18" ht="20.100000000000001" customHeight="1">
      <c r="A1770" s="126"/>
      <c r="B1770" s="571"/>
      <c r="C1770" s="573"/>
      <c r="D1770" s="575"/>
      <c r="E1770" s="575"/>
      <c r="F1770" s="128"/>
      <c r="G1770" s="577"/>
      <c r="H1770" s="540"/>
      <c r="I1770" s="579"/>
      <c r="J1770" s="533"/>
      <c r="L1770" s="126"/>
      <c r="N1770" s="126"/>
      <c r="O1770" s="314"/>
      <c r="P1770" s="310"/>
      <c r="Q1770" s="310"/>
      <c r="R1770" s="314" t="str" cm="1">
        <f t="array" ref="R1770">IFERROR(IF(INDEX('Disaggregation Records'!$G$156:$G$517,MATCH(RIGHT(L1770,255),RIGHT('Disaggregation Records'!$D$156:$D$517,255),0))="","",INDEX('Disaggregation Records'!$G$156:$G$517,MATCH(RIGHT(L1770,255),RIGHT('Disaggregation Records'!$D$156:$D$517,255),0))),"")</f>
        <v/>
      </c>
    </row>
    <row r="1771" spans="1:18" ht="20.100000000000001" customHeight="1">
      <c r="A1771" s="126" t="str">
        <f t="shared" ca="1" si="1916"/>
        <v>a16Dm000000M3zSIAS</v>
      </c>
      <c r="B1771" s="570">
        <v>29</v>
      </c>
      <c r="C1771" s="572" t="str">
        <f ca="1">IFERROR(VLOOKUP(B1771,'Coverage Indicators - Section D'!$A$9:$AO$94,41,FALSE),"")</f>
        <v>VT-2 Percentage of HIV-exposed infants receiving a virological test for HIV within 2 months of birth</v>
      </c>
      <c r="D1771" s="574" t="str">
        <f ca="1">M1771</f>
        <v/>
      </c>
      <c r="E1771" s="574" t="str">
        <f ca="1">N1771</f>
        <v/>
      </c>
      <c r="F1771" s="127"/>
      <c r="G1771" s="576" t="str">
        <f ca="1">IF(OR(INDIRECT("'update Helper'!E"&amp;Q1771)="",F1771&lt;&gt;0,F1772&lt;&gt;0),IF(IFERROR((F1771/F1772),"")="","",(F1771/F1772)),INDIRECT("'update Helper'!E"&amp;Q1771)/100)</f>
        <v/>
      </c>
      <c r="H1771" s="539"/>
      <c r="I1771" s="578"/>
      <c r="J1771" s="532"/>
      <c r="K1771" s="126">
        <f ca="1">IF(AND(EXACT(C1771,C1769),C1769&lt;&gt;0),K1769+1,0)</f>
        <v>15</v>
      </c>
      <c r="L1771" s="126" t="str">
        <f t="shared" ref="L1771" ca="1" si="1973">IF(C1771&lt;&gt;"",C1771&amp;"-"&amp;K1771,"")</f>
        <v>VT-2 Percentage of HIV-exposed infants receiving a virological test for HIV within 2 months of birth-15</v>
      </c>
      <c r="M1771" s="126" t="str">
        <f t="array" aca="1" ref="M1771" ca="1">IFERROR(IF(INDEX('Disaggregation Records'!$E$156:$E$517,MATCH(RIGHT(L1771,255),RIGHT('Disaggregation Records'!$D$156:$D$517,255),0))="","",INDEX('Disaggregation Records'!$E$156:$E$517,MATCH(RIGHT(L1771,255),RIGHT('Disaggregation Records'!$D$156:$D$517,255),0))),"")</f>
        <v/>
      </c>
      <c r="N1771" s="126" t="str">
        <f t="array" aca="1" ref="N1771" ca="1">IFERROR(IF(INDEX('Disaggregation Records'!$F$156:$F$517,MATCH(RIGHT(L1771,255),RIGHT('Disaggregation Records'!$D$156:$D$517,255),0))="","",INDEX('Disaggregation Records'!$F$156:$F$517,MATCH(RIGHT(L1771,255),RIGHT('Disaggregation Records'!$D$156:$D$517,255),0))),"")</f>
        <v/>
      </c>
      <c r="O1771" s="314" t="str">
        <f t="array" aca="1" ref="O1771" ca="1">IFERROR(IF(INDEX('Disaggregation Records'!$H$156:$H$517,MATCH(RIGHT(L1771,255),RIGHT('Disaggregation Records'!$D$156:$D$517,255),0))="","",INDEX('Disaggregation Records'!$H$156:$H$517,MATCH(RIGHT(L1771,255),RIGHT('Disaggregation Records'!$D$156:$D$517,255),0))),"")</f>
        <v/>
      </c>
      <c r="P1771" s="314"/>
      <c r="Q1771" s="310">
        <f t="shared" ref="Q1771" si="1974">Q1769+1</f>
        <v>2187</v>
      </c>
      <c r="R1771" s="314" t="str" cm="1">
        <f t="array" aca="1" ref="R1771" ca="1">IFERROR(IF(INDEX('Disaggregation Records'!$G$156:$G$517,MATCH(RIGHT(L1771,255),RIGHT('Disaggregation Records'!$D$156:$D$517,255),0))="","",INDEX('Disaggregation Records'!$G$156:$G$517,MATCH(RIGHT(L1771,255),RIGHT('Disaggregation Records'!$D$156:$D$517,255),0))),"")</f>
        <v/>
      </c>
    </row>
    <row r="1772" spans="1:18" ht="20.100000000000001" customHeight="1">
      <c r="B1772" s="571"/>
      <c r="C1772" s="573"/>
      <c r="D1772" s="575"/>
      <c r="E1772" s="575"/>
      <c r="F1772" s="128"/>
      <c r="G1772" s="577"/>
      <c r="H1772" s="540"/>
      <c r="I1772" s="579"/>
      <c r="J1772" s="533"/>
      <c r="K1772" s="126"/>
      <c r="L1772" s="126"/>
      <c r="M1772" s="126"/>
      <c r="N1772" s="126"/>
      <c r="O1772" s="314"/>
      <c r="P1772" s="314"/>
      <c r="Q1772" s="310"/>
      <c r="R1772" s="314" t="str" cm="1">
        <f t="array" ref="R1772">IFERROR(IF(INDEX('Disaggregation Records'!$G$156:$G$517,MATCH(RIGHT(L1772,255),RIGHT('Disaggregation Records'!$D$156:$D$517,255),0))="","",INDEX('Disaggregation Records'!$G$156:$G$517,MATCH(RIGHT(L1772,255),RIGHT('Disaggregation Records'!$D$156:$D$517,255),0))),"")</f>
        <v/>
      </c>
    </row>
    <row r="1773" spans="1:18" ht="20.100000000000001" customHeight="1">
      <c r="A1773" s="126" t="str">
        <f t="shared" ca="1" si="1913"/>
        <v>a16Dm000000M3zTIAS</v>
      </c>
      <c r="B1773" s="570">
        <v>29</v>
      </c>
      <c r="C1773" s="572" t="str">
        <f ca="1">IFERROR(VLOOKUP(B1773,'Coverage Indicators - Section D'!$A$9:$AO$94,41,FALSE),"")</f>
        <v>VT-2 Percentage of HIV-exposed infants receiving a virological test for HIV within 2 months of birth</v>
      </c>
      <c r="D1773" s="574" t="str">
        <f ca="1">M1773</f>
        <v/>
      </c>
      <c r="E1773" s="574" t="str">
        <f ca="1">N1773</f>
        <v/>
      </c>
      <c r="F1773" s="127"/>
      <c r="G1773" s="576" t="str">
        <f ca="1">IF(OR(INDIRECT("'update Helper'!E"&amp;Q1773)="",F1773&lt;&gt;0,F1774&lt;&gt;0),IF(IFERROR((F1773/F1774),"")="","",(F1773/F1774)),INDIRECT("'update Helper'!E"&amp;Q1773)/100)</f>
        <v/>
      </c>
      <c r="H1773" s="539"/>
      <c r="I1773" s="578"/>
      <c r="J1773" s="532"/>
      <c r="K1773" s="126">
        <f ca="1">IF(AND(EXACT(C1773,C1771),C1771&lt;&gt;0),K1771+1,0)</f>
        <v>16</v>
      </c>
      <c r="L1773" s="126" t="str">
        <f t="shared" ref="L1773" ca="1" si="1975">IF(C1773&lt;&gt;"",C1773&amp;"-"&amp;K1773,"")</f>
        <v>VT-2 Percentage of HIV-exposed infants receiving a virological test for HIV within 2 months of birth-16</v>
      </c>
      <c r="M1773" s="126" t="str">
        <f t="array" aca="1" ref="M1773" ca="1">IFERROR(IF(INDEX('Disaggregation Records'!$E$156:$E$517,MATCH(RIGHT(L1773,255),RIGHT('Disaggregation Records'!$D$156:$D$517,255),0))="","",INDEX('Disaggregation Records'!$E$156:$E$517,MATCH(RIGHT(L1773,255),RIGHT('Disaggregation Records'!$D$156:$D$517,255),0))),"")</f>
        <v/>
      </c>
      <c r="N1773" s="126" t="str">
        <f t="array" aca="1" ref="N1773" ca="1">IFERROR(IF(INDEX('Disaggregation Records'!$F$156:$F$517,MATCH(RIGHT(L1773,255),RIGHT('Disaggregation Records'!$D$156:$D$517,255),0))="","",INDEX('Disaggregation Records'!$F$156:$F$517,MATCH(RIGHT(L1773,255),RIGHT('Disaggregation Records'!$D$156:$D$517,255),0))),"")</f>
        <v/>
      </c>
      <c r="O1773" s="314" t="str">
        <f t="array" aca="1" ref="O1773" ca="1">IFERROR(IF(INDEX('Disaggregation Records'!$H$156:$H$517,MATCH(RIGHT(L1773,255),RIGHT('Disaggregation Records'!$D$156:$D$517,255),0))="","",INDEX('Disaggregation Records'!$H$156:$H$517,MATCH(RIGHT(L1773,255),RIGHT('Disaggregation Records'!$D$156:$D$517,255),0))),"")</f>
        <v/>
      </c>
      <c r="P1773" s="314"/>
      <c r="Q1773" s="310">
        <f t="shared" ref="Q1773" si="1976">Q1771+1</f>
        <v>2188</v>
      </c>
      <c r="R1773" s="314" t="str" cm="1">
        <f t="array" aca="1" ref="R1773" ca="1">IFERROR(IF(INDEX('Disaggregation Records'!$G$156:$G$517,MATCH(RIGHT(L1773,255),RIGHT('Disaggregation Records'!$D$156:$D$517,255),0))="","",INDEX('Disaggregation Records'!$G$156:$G$517,MATCH(RIGHT(L1773,255),RIGHT('Disaggregation Records'!$D$156:$D$517,255),0))),"")</f>
        <v/>
      </c>
    </row>
    <row r="1774" spans="1:18" ht="20.100000000000001" customHeight="1">
      <c r="A1774" s="126"/>
      <c r="B1774" s="571"/>
      <c r="C1774" s="573"/>
      <c r="D1774" s="575"/>
      <c r="E1774" s="575"/>
      <c r="F1774" s="128"/>
      <c r="G1774" s="577"/>
      <c r="H1774" s="540"/>
      <c r="I1774" s="579"/>
      <c r="J1774" s="533"/>
      <c r="K1774" s="126"/>
      <c r="L1774" s="126"/>
      <c r="M1774" s="126"/>
      <c r="N1774" s="126"/>
      <c r="O1774" s="314"/>
      <c r="P1774" s="314"/>
      <c r="Q1774" s="310"/>
      <c r="R1774" s="314" t="str" cm="1">
        <f t="array" ref="R1774">IFERROR(IF(INDEX('Disaggregation Records'!$G$156:$G$517,MATCH(RIGHT(L1774,255),RIGHT('Disaggregation Records'!$D$156:$D$517,255),0))="","",INDEX('Disaggregation Records'!$G$156:$G$517,MATCH(RIGHT(L1774,255),RIGHT('Disaggregation Records'!$D$156:$D$517,255),0))),"")</f>
        <v/>
      </c>
    </row>
    <row r="1775" spans="1:18" ht="20.100000000000001" customHeight="1">
      <c r="A1775" s="126" t="str">
        <f t="shared" ca="1" si="1916"/>
        <v>a16Dm000000M3zUIAS</v>
      </c>
      <c r="B1775" s="570">
        <v>29</v>
      </c>
      <c r="C1775" s="572" t="str">
        <f ca="1">IFERROR(VLOOKUP(B1775,'Coverage Indicators - Section D'!$A$9:$AO$94,41,FALSE),"")</f>
        <v>VT-2 Percentage of HIV-exposed infants receiving a virological test for HIV within 2 months of birth</v>
      </c>
      <c r="D1775" s="574" t="str">
        <f ca="1">M1775</f>
        <v/>
      </c>
      <c r="E1775" s="574" t="str">
        <f ca="1">N1775</f>
        <v/>
      </c>
      <c r="F1775" s="127"/>
      <c r="G1775" s="576" t="str">
        <f ca="1">IF(OR(INDIRECT("'update Helper'!E"&amp;Q1775)="",F1775&lt;&gt;0,F1776&lt;&gt;0),IF(IFERROR((F1775/F1776),"")="","",(F1775/F1776)),INDIRECT("'update Helper'!E"&amp;Q1775)/100)</f>
        <v/>
      </c>
      <c r="H1775" s="539"/>
      <c r="I1775" s="578"/>
      <c r="J1775" s="532"/>
      <c r="K1775" s="126">
        <f ca="1">IF(AND(EXACT(C1775,C1773),C1773&lt;&gt;0),K1773+1,0)</f>
        <v>17</v>
      </c>
      <c r="L1775" s="126" t="str">
        <f t="shared" ref="L1775" ca="1" si="1977">IF(C1775&lt;&gt;"",C1775&amp;"-"&amp;K1775,"")</f>
        <v>VT-2 Percentage of HIV-exposed infants receiving a virological test for HIV within 2 months of birth-17</v>
      </c>
      <c r="M1775" s="126" t="str">
        <f t="array" aca="1" ref="M1775" ca="1">IFERROR(IF(INDEX('Disaggregation Records'!$E$156:$E$517,MATCH(RIGHT(L1775,255),RIGHT('Disaggregation Records'!$D$156:$D$517,255),0))="","",INDEX('Disaggregation Records'!$E$156:$E$517,MATCH(RIGHT(L1775,255),RIGHT('Disaggregation Records'!$D$156:$D$517,255),0))),"")</f>
        <v/>
      </c>
      <c r="N1775" s="126" t="str">
        <f t="array" aca="1" ref="N1775" ca="1">IFERROR(IF(INDEX('Disaggregation Records'!$F$156:$F$517,MATCH(RIGHT(L1775,255),RIGHT('Disaggregation Records'!$D$156:$D$517,255),0))="","",INDEX('Disaggregation Records'!$F$156:$F$517,MATCH(RIGHT(L1775,255),RIGHT('Disaggregation Records'!$D$156:$D$517,255),0))),"")</f>
        <v/>
      </c>
      <c r="O1775" s="314" t="str">
        <f t="array" aca="1" ref="O1775" ca="1">IFERROR(IF(INDEX('Disaggregation Records'!$H$156:$H$517,MATCH(RIGHT(L1775,255),RIGHT('Disaggregation Records'!$D$156:$D$517,255),0))="","",INDEX('Disaggregation Records'!$H$156:$H$517,MATCH(RIGHT(L1775,255),RIGHT('Disaggregation Records'!$D$156:$D$517,255),0))),"")</f>
        <v/>
      </c>
      <c r="P1775" s="310"/>
      <c r="Q1775" s="310">
        <f t="shared" ref="Q1775" si="1978">Q1773+1</f>
        <v>2189</v>
      </c>
      <c r="R1775" s="314" t="str" cm="1">
        <f t="array" aca="1" ref="R1775" ca="1">IFERROR(IF(INDEX('Disaggregation Records'!$G$156:$G$517,MATCH(RIGHT(L1775,255),RIGHT('Disaggregation Records'!$D$156:$D$517,255),0))="","",INDEX('Disaggregation Records'!$G$156:$G$517,MATCH(RIGHT(L1775,255),RIGHT('Disaggregation Records'!$D$156:$D$517,255),0))),"")</f>
        <v/>
      </c>
    </row>
    <row r="1776" spans="1:18" ht="20.100000000000001" customHeight="1">
      <c r="B1776" s="571"/>
      <c r="C1776" s="573"/>
      <c r="D1776" s="575"/>
      <c r="E1776" s="575"/>
      <c r="F1776" s="128"/>
      <c r="G1776" s="577"/>
      <c r="H1776" s="540"/>
      <c r="I1776" s="579"/>
      <c r="J1776" s="533"/>
      <c r="L1776" s="126"/>
      <c r="N1776" s="126"/>
      <c r="O1776" s="314"/>
      <c r="P1776" s="310"/>
      <c r="Q1776" s="310"/>
      <c r="R1776" s="314" t="str" cm="1">
        <f t="array" ref="R1776">IFERROR(IF(INDEX('Disaggregation Records'!$G$156:$G$517,MATCH(RIGHT(L1776,255),RIGHT('Disaggregation Records'!$D$156:$D$517,255),0))="","",INDEX('Disaggregation Records'!$G$156:$G$517,MATCH(RIGHT(L1776,255),RIGHT('Disaggregation Records'!$D$156:$D$517,255),0))),"")</f>
        <v/>
      </c>
    </row>
    <row r="1777" spans="1:18" ht="20.100000000000001" customHeight="1">
      <c r="A1777" s="126" t="str">
        <f t="shared" ref="A1777:A1817" ca="1" si="1979">INDIRECT("'update Helper'!C"&amp;Q1777)</f>
        <v>a16Dm000000M3zVIAS</v>
      </c>
      <c r="B1777" s="570">
        <v>29</v>
      </c>
      <c r="C1777" s="572" t="str">
        <f ca="1">IFERROR(VLOOKUP(B1777,'Coverage Indicators - Section D'!$A$9:$AO$94,41,FALSE),"")</f>
        <v>VT-2 Percentage of HIV-exposed infants receiving a virological test for HIV within 2 months of birth</v>
      </c>
      <c r="D1777" s="574" t="str">
        <f ca="1">M1777</f>
        <v/>
      </c>
      <c r="E1777" s="574" t="str">
        <f ca="1">N1777</f>
        <v/>
      </c>
      <c r="F1777" s="127"/>
      <c r="G1777" s="576" t="str">
        <f ca="1">IF(OR(INDIRECT("'update Helper'!E"&amp;Q1777)="",F1777&lt;&gt;0,F1778&lt;&gt;0),IF(IFERROR((F1777/F1778),"")="","",(F1777/F1778)),INDIRECT("'update Helper'!E"&amp;Q1777)/100)</f>
        <v/>
      </c>
      <c r="H1777" s="539"/>
      <c r="I1777" s="578"/>
      <c r="J1777" s="532"/>
      <c r="K1777" s="126">
        <f ca="1">IF(AND(EXACT(C1777,C1775),C1775&lt;&gt;0),K1775+1,0)</f>
        <v>18</v>
      </c>
      <c r="L1777" s="126" t="str">
        <f t="shared" ref="L1777" ca="1" si="1980">IF(C1777&lt;&gt;"",C1777&amp;"-"&amp;K1777,"")</f>
        <v>VT-2 Percentage of HIV-exposed infants receiving a virological test for HIV within 2 months of birth-18</v>
      </c>
      <c r="M1777" s="126" t="str">
        <f t="array" aca="1" ref="M1777" ca="1">IFERROR(IF(INDEX('Disaggregation Records'!$E$156:$E$517,MATCH(RIGHT(L1777,255),RIGHT('Disaggregation Records'!$D$156:$D$517,255),0))="","",INDEX('Disaggregation Records'!$E$156:$E$517,MATCH(RIGHT(L1777,255),RIGHT('Disaggregation Records'!$D$156:$D$517,255),0))),"")</f>
        <v/>
      </c>
      <c r="N1777" s="126" t="str">
        <f t="array" aca="1" ref="N1777" ca="1">IFERROR(IF(INDEX('Disaggregation Records'!$F$156:$F$517,MATCH(RIGHT(L1777,255),RIGHT('Disaggregation Records'!$D$156:$D$517,255),0))="","",INDEX('Disaggregation Records'!$F$156:$F$517,MATCH(RIGHT(L1777,255),RIGHT('Disaggregation Records'!$D$156:$D$517,255),0))),"")</f>
        <v/>
      </c>
      <c r="O1777" s="314" t="str">
        <f t="array" aca="1" ref="O1777" ca="1">IFERROR(IF(INDEX('Disaggregation Records'!$H$156:$H$517,MATCH(RIGHT(L1777,255),RIGHT('Disaggregation Records'!$D$156:$D$517,255),0))="","",INDEX('Disaggregation Records'!$H$156:$H$517,MATCH(RIGHT(L1777,255),RIGHT('Disaggregation Records'!$D$156:$D$517,255),0))),"")</f>
        <v/>
      </c>
      <c r="P1777" s="310"/>
      <c r="Q1777" s="310">
        <f t="shared" ref="Q1777" si="1981">Q1775+1</f>
        <v>2190</v>
      </c>
      <c r="R1777" s="314" t="str" cm="1">
        <f t="array" aca="1" ref="R1777" ca="1">IFERROR(IF(INDEX('Disaggregation Records'!$G$156:$G$517,MATCH(RIGHT(L1777,255),RIGHT('Disaggregation Records'!$D$156:$D$517,255),0))="","",INDEX('Disaggregation Records'!$G$156:$G$517,MATCH(RIGHT(L1777,255),RIGHT('Disaggregation Records'!$D$156:$D$517,255),0))),"")</f>
        <v/>
      </c>
    </row>
    <row r="1778" spans="1:18" ht="20.100000000000001" customHeight="1">
      <c r="A1778" s="126"/>
      <c r="B1778" s="571"/>
      <c r="C1778" s="573"/>
      <c r="D1778" s="575"/>
      <c r="E1778" s="575"/>
      <c r="F1778" s="128"/>
      <c r="G1778" s="577"/>
      <c r="H1778" s="540"/>
      <c r="I1778" s="579"/>
      <c r="J1778" s="533"/>
      <c r="L1778" s="126"/>
      <c r="N1778" s="126"/>
      <c r="O1778" s="314"/>
      <c r="P1778" s="310"/>
      <c r="Q1778" s="310"/>
      <c r="R1778" s="314" t="str" cm="1">
        <f t="array" ref="R1778">IFERROR(IF(INDEX('Disaggregation Records'!$G$156:$G$517,MATCH(RIGHT(L1778,255),RIGHT('Disaggregation Records'!$D$156:$D$517,255),0))="","",INDEX('Disaggregation Records'!$G$156:$G$517,MATCH(RIGHT(L1778,255),RIGHT('Disaggregation Records'!$D$156:$D$517,255),0))),"")</f>
        <v/>
      </c>
    </row>
    <row r="1779" spans="1:18" ht="20.100000000000001" customHeight="1">
      <c r="A1779" s="126" t="str">
        <f t="shared" ref="A1779:A2299" ca="1" si="1982">INDIRECT("'update Helper'!C"&amp;Q1779)</f>
        <v>a16Dm000000M3zWIAS</v>
      </c>
      <c r="B1779" s="570">
        <v>29</v>
      </c>
      <c r="C1779" s="572" t="str">
        <f ca="1">IFERROR(VLOOKUP(B1779,'Coverage Indicators - Section D'!$A$9:$AO$94,41,FALSE),"")</f>
        <v>VT-2 Percentage of HIV-exposed infants receiving a virological test for HIV within 2 months of birth</v>
      </c>
      <c r="D1779" s="574" t="str">
        <f ca="1">M1779</f>
        <v/>
      </c>
      <c r="E1779" s="574" t="str">
        <f ca="1">N1779</f>
        <v/>
      </c>
      <c r="F1779" s="127"/>
      <c r="G1779" s="576" t="str">
        <f ca="1">IF(OR(INDIRECT("'update Helper'!E"&amp;Q1779)="",F1779&lt;&gt;0,F1780&lt;&gt;0),IF(IFERROR((F1779/F1780),"")="","",(F1779/F1780)),INDIRECT("'update Helper'!E"&amp;Q1779)/100)</f>
        <v/>
      </c>
      <c r="H1779" s="539"/>
      <c r="I1779" s="578"/>
      <c r="J1779" s="532"/>
      <c r="K1779" s="126">
        <f ca="1">IF(AND(EXACT(C1779,C1777),C1777&lt;&gt;0),K1777+1,0)</f>
        <v>19</v>
      </c>
      <c r="L1779" s="126" t="str">
        <f t="shared" ref="L1779" ca="1" si="1983">IF(C1779&lt;&gt;"",C1779&amp;"-"&amp;K1779,"")</f>
        <v>VT-2 Percentage of HIV-exposed infants receiving a virological test for HIV within 2 months of birth-19</v>
      </c>
      <c r="M1779" s="126" t="str">
        <f t="array" aca="1" ref="M1779" ca="1">IFERROR(IF(INDEX('Disaggregation Records'!$E$156:$E$517,MATCH(RIGHT(L1779,255),RIGHT('Disaggregation Records'!$D$156:$D$517,255),0))="","",INDEX('Disaggregation Records'!$E$156:$E$517,MATCH(RIGHT(L1779,255),RIGHT('Disaggregation Records'!$D$156:$D$517,255),0))),"")</f>
        <v/>
      </c>
      <c r="N1779" s="126" t="str">
        <f t="array" aca="1" ref="N1779" ca="1">IFERROR(IF(INDEX('Disaggregation Records'!$F$156:$F$517,MATCH(RIGHT(L1779,255),RIGHT('Disaggregation Records'!$D$156:$D$517,255),0))="","",INDEX('Disaggregation Records'!$F$156:$F$517,MATCH(RIGHT(L1779,255),RIGHT('Disaggregation Records'!$D$156:$D$517,255),0))),"")</f>
        <v/>
      </c>
      <c r="O1779" s="314" t="str">
        <f t="array" aca="1" ref="O1779" ca="1">IFERROR(IF(INDEX('Disaggregation Records'!$H$156:$H$517,MATCH(RIGHT(L1779,255),RIGHT('Disaggregation Records'!$D$156:$D$517,255),0))="","",INDEX('Disaggregation Records'!$H$156:$H$517,MATCH(RIGHT(L1779,255),RIGHT('Disaggregation Records'!$D$156:$D$517,255),0))),"")</f>
        <v/>
      </c>
      <c r="P1779" s="310"/>
      <c r="Q1779" s="310">
        <f t="shared" ref="Q1779" si="1984">Q1777+1</f>
        <v>2191</v>
      </c>
      <c r="R1779" s="314" t="str" cm="1">
        <f t="array" aca="1" ref="R1779" ca="1">IFERROR(IF(INDEX('Disaggregation Records'!$G$156:$G$517,MATCH(RIGHT(L1779,255),RIGHT('Disaggregation Records'!$D$156:$D$517,255),0))="","",INDEX('Disaggregation Records'!$G$156:$G$517,MATCH(RIGHT(L1779,255),RIGHT('Disaggregation Records'!$D$156:$D$517,255),0))),"")</f>
        <v/>
      </c>
    </row>
    <row r="1780" spans="1:18" ht="20.100000000000001" customHeight="1">
      <c r="B1780" s="571"/>
      <c r="C1780" s="573"/>
      <c r="D1780" s="575"/>
      <c r="E1780" s="575"/>
      <c r="F1780" s="128"/>
      <c r="G1780" s="577"/>
      <c r="H1780" s="540"/>
      <c r="I1780" s="579"/>
      <c r="J1780" s="533"/>
      <c r="L1780" s="126"/>
      <c r="N1780" s="126"/>
      <c r="O1780" s="314"/>
      <c r="P1780" s="310"/>
      <c r="Q1780" s="310"/>
      <c r="R1780" s="314" t="str" cm="1">
        <f t="array" ref="R1780">IFERROR(IF(INDEX('Disaggregation Records'!$G$156:$G$517,MATCH(RIGHT(L1780,255),RIGHT('Disaggregation Records'!$D$156:$D$517,255),0))="","",INDEX('Disaggregation Records'!$G$156:$G$517,MATCH(RIGHT(L1780,255),RIGHT('Disaggregation Records'!$D$156:$D$517,255),0))),"")</f>
        <v/>
      </c>
    </row>
    <row r="1781" spans="1:18" ht="20.100000000000001" customHeight="1">
      <c r="A1781" s="126" t="str">
        <f t="shared" ca="1" si="1979"/>
        <v>a16Dm000000M3zXIAS</v>
      </c>
      <c r="B1781" s="570">
        <v>30</v>
      </c>
      <c r="C1781" s="572" t="str">
        <f ca="1">IFERROR(VLOOKUP(B1781,'Coverage Indicators - Section D'!$A$9:$AO$94,41,FALSE),"")</f>
        <v>VT-3 Percentage of women accessing antenatal care services who were tested for syphilis</v>
      </c>
      <c r="D1781" s="574" t="str">
        <f ca="1">M1781</f>
        <v/>
      </c>
      <c r="E1781" s="574" t="str">
        <f ca="1">N1781</f>
        <v/>
      </c>
      <c r="F1781" s="127"/>
      <c r="G1781" s="576" t="str">
        <f ca="1">IF(OR(INDIRECT("'update Helper'!E"&amp;Q1781)="",F1781&lt;&gt;0,F1782&lt;&gt;0),IF(IFERROR((F1781/F1782),"")="","",(F1781/F1782)),INDIRECT("'update Helper'!E"&amp;Q1781)/100)</f>
        <v/>
      </c>
      <c r="H1781" s="539"/>
      <c r="I1781" s="578"/>
      <c r="J1781" s="532"/>
      <c r="K1781" s="126">
        <f ca="1">IF(AND(EXACT(C1781,C1779),C1779&lt;&gt;0),K1779+1,0)</f>
        <v>0</v>
      </c>
      <c r="L1781" s="126" t="str">
        <f t="shared" ref="L1781" ca="1" si="1985">IF(C1781&lt;&gt;"",C1781&amp;"-"&amp;K1781,"")</f>
        <v>VT-3 Percentage of women accessing antenatal care services who were tested for syphilis-0</v>
      </c>
      <c r="M1781" s="126" t="str">
        <f t="array" aca="1" ref="M1781" ca="1">IFERROR(IF(INDEX('Disaggregation Records'!$E$156:$E$517,MATCH(RIGHT(L1781,255),RIGHT('Disaggregation Records'!$D$156:$D$517,255),0))="","",INDEX('Disaggregation Records'!$E$156:$E$517,MATCH(RIGHT(L1781,255),RIGHT('Disaggregation Records'!$D$156:$D$517,255),0))),"")</f>
        <v/>
      </c>
      <c r="N1781" s="126" t="str">
        <f t="array" aca="1" ref="N1781" ca="1">IFERROR(IF(INDEX('Disaggregation Records'!$F$156:$F$517,MATCH(RIGHT(L1781,255),RIGHT('Disaggregation Records'!$D$156:$D$517,255),0))="","",INDEX('Disaggregation Records'!$F$156:$F$517,MATCH(RIGHT(L1781,255),RIGHT('Disaggregation Records'!$D$156:$D$517,255),0))),"")</f>
        <v/>
      </c>
      <c r="O1781" s="314" t="str">
        <f t="array" aca="1" ref="O1781" ca="1">IFERROR(IF(INDEX('Disaggregation Records'!$H$156:$H$517,MATCH(RIGHT(L1781,255),RIGHT('Disaggregation Records'!$D$156:$D$517,255),0))="","",INDEX('Disaggregation Records'!$H$156:$H$517,MATCH(RIGHT(L1781,255),RIGHT('Disaggregation Records'!$D$156:$D$517,255),0))),"")</f>
        <v/>
      </c>
      <c r="P1781" s="314"/>
      <c r="Q1781" s="310">
        <f t="shared" ref="Q1781" si="1986">Q1779+1</f>
        <v>2192</v>
      </c>
      <c r="R1781" s="314" t="str" cm="1">
        <f t="array" aca="1" ref="R1781" ca="1">IFERROR(IF(INDEX('Disaggregation Records'!$G$156:$G$517,MATCH(RIGHT(L1781,255),RIGHT('Disaggregation Records'!$D$156:$D$517,255),0))="","",INDEX('Disaggregation Records'!$G$156:$G$517,MATCH(RIGHT(L1781,255),RIGHT('Disaggregation Records'!$D$156:$D$517,255),0))),"")</f>
        <v/>
      </c>
    </row>
    <row r="1782" spans="1:18" ht="20.100000000000001" customHeight="1">
      <c r="A1782" s="126"/>
      <c r="B1782" s="571"/>
      <c r="C1782" s="573"/>
      <c r="D1782" s="575"/>
      <c r="E1782" s="575"/>
      <c r="F1782" s="128"/>
      <c r="G1782" s="577"/>
      <c r="H1782" s="540"/>
      <c r="I1782" s="579"/>
      <c r="J1782" s="533"/>
      <c r="K1782" s="126"/>
      <c r="L1782" s="126"/>
      <c r="M1782" s="126"/>
      <c r="N1782" s="126"/>
      <c r="O1782" s="314"/>
      <c r="P1782" s="314"/>
      <c r="Q1782" s="310"/>
      <c r="R1782" s="314" t="str" cm="1">
        <f t="array" ref="R1782">IFERROR(IF(INDEX('Disaggregation Records'!$G$156:$G$517,MATCH(RIGHT(L1782,255),RIGHT('Disaggregation Records'!$D$156:$D$517,255),0))="","",INDEX('Disaggregation Records'!$G$156:$G$517,MATCH(RIGHT(L1782,255),RIGHT('Disaggregation Records'!$D$156:$D$517,255),0))),"")</f>
        <v/>
      </c>
    </row>
    <row r="1783" spans="1:18" ht="20.100000000000001" customHeight="1">
      <c r="A1783" s="126" t="str">
        <f t="shared" ca="1" si="1982"/>
        <v>a16Dm000000M3zYIAS</v>
      </c>
      <c r="B1783" s="570">
        <v>30</v>
      </c>
      <c r="C1783" s="572" t="str">
        <f ca="1">IFERROR(VLOOKUP(B1783,'Coverage Indicators - Section D'!$A$9:$AO$94,41,FALSE),"")</f>
        <v>VT-3 Percentage of women accessing antenatal care services who were tested for syphilis</v>
      </c>
      <c r="D1783" s="574" t="str">
        <f ca="1">M1783</f>
        <v/>
      </c>
      <c r="E1783" s="574" t="str">
        <f ca="1">N1783</f>
        <v/>
      </c>
      <c r="F1783" s="127"/>
      <c r="G1783" s="576" t="str">
        <f ca="1">IF(OR(INDIRECT("'update Helper'!E"&amp;Q1783)="",F1783&lt;&gt;0,F1784&lt;&gt;0),IF(IFERROR((F1783/F1784),"")="","",(F1783/F1784)),INDIRECT("'update Helper'!E"&amp;Q1783)/100)</f>
        <v/>
      </c>
      <c r="H1783" s="539"/>
      <c r="I1783" s="578"/>
      <c r="J1783" s="532"/>
      <c r="K1783" s="126">
        <f ca="1">IF(AND(EXACT(C1783,C1781),C1781&lt;&gt;0),K1781+1,0)</f>
        <v>1</v>
      </c>
      <c r="L1783" s="126" t="str">
        <f t="shared" ref="L1783" ca="1" si="1987">IF(C1783&lt;&gt;"",C1783&amp;"-"&amp;K1783,"")</f>
        <v>VT-3 Percentage of women accessing antenatal care services who were tested for syphilis-1</v>
      </c>
      <c r="M1783" s="126" t="str">
        <f t="array" aca="1" ref="M1783" ca="1">IFERROR(IF(INDEX('Disaggregation Records'!$E$156:$E$517,MATCH(RIGHT(L1783,255),RIGHT('Disaggregation Records'!$D$156:$D$517,255),0))="","",INDEX('Disaggregation Records'!$E$156:$E$517,MATCH(RIGHT(L1783,255),RIGHT('Disaggregation Records'!$D$156:$D$517,255),0))),"")</f>
        <v/>
      </c>
      <c r="N1783" s="126" t="str">
        <f t="array" aca="1" ref="N1783" ca="1">IFERROR(IF(INDEX('Disaggregation Records'!$F$156:$F$517,MATCH(RIGHT(L1783,255),RIGHT('Disaggregation Records'!$D$156:$D$517,255),0))="","",INDEX('Disaggregation Records'!$F$156:$F$517,MATCH(RIGHT(L1783,255),RIGHT('Disaggregation Records'!$D$156:$D$517,255),0))),"")</f>
        <v/>
      </c>
      <c r="O1783" s="314" t="str">
        <f t="array" aca="1" ref="O1783" ca="1">IFERROR(IF(INDEX('Disaggregation Records'!$H$156:$H$517,MATCH(RIGHT(L1783,255),RIGHT('Disaggregation Records'!$D$156:$D$517,255),0))="","",INDEX('Disaggregation Records'!$H$156:$H$517,MATCH(RIGHT(L1783,255),RIGHT('Disaggregation Records'!$D$156:$D$517,255),0))),"")</f>
        <v/>
      </c>
      <c r="P1783" s="314"/>
      <c r="Q1783" s="310">
        <f t="shared" ref="Q1783" si="1988">Q1781+1</f>
        <v>2193</v>
      </c>
      <c r="R1783" s="314" t="str" cm="1">
        <f t="array" aca="1" ref="R1783" ca="1">IFERROR(IF(INDEX('Disaggregation Records'!$G$156:$G$517,MATCH(RIGHT(L1783,255),RIGHT('Disaggregation Records'!$D$156:$D$517,255),0))="","",INDEX('Disaggregation Records'!$G$156:$G$517,MATCH(RIGHT(L1783,255),RIGHT('Disaggregation Records'!$D$156:$D$517,255),0))),"")</f>
        <v/>
      </c>
    </row>
    <row r="1784" spans="1:18" ht="20.100000000000001" customHeight="1">
      <c r="B1784" s="571"/>
      <c r="C1784" s="573"/>
      <c r="D1784" s="575"/>
      <c r="E1784" s="575"/>
      <c r="F1784" s="128"/>
      <c r="G1784" s="577"/>
      <c r="H1784" s="540"/>
      <c r="I1784" s="579"/>
      <c r="J1784" s="533"/>
      <c r="K1784" s="126"/>
      <c r="L1784" s="126"/>
      <c r="M1784" s="126"/>
      <c r="N1784" s="126"/>
      <c r="O1784" s="314"/>
      <c r="P1784" s="314"/>
      <c r="Q1784" s="310"/>
      <c r="R1784" s="314" t="str" cm="1">
        <f t="array" ref="R1784">IFERROR(IF(INDEX('Disaggregation Records'!$G$156:$G$517,MATCH(RIGHT(L1784,255),RIGHT('Disaggregation Records'!$D$156:$D$517,255),0))="","",INDEX('Disaggregation Records'!$G$156:$G$517,MATCH(RIGHT(L1784,255),RIGHT('Disaggregation Records'!$D$156:$D$517,255),0))),"")</f>
        <v/>
      </c>
    </row>
    <row r="1785" spans="1:18" ht="20.100000000000001" customHeight="1">
      <c r="A1785" s="126" t="str">
        <f t="shared" ca="1" si="1979"/>
        <v>a16Dm000000M3zZIAS</v>
      </c>
      <c r="B1785" s="570">
        <v>30</v>
      </c>
      <c r="C1785" s="572" t="str">
        <f ca="1">IFERROR(VLOOKUP(B1785,'Coverage Indicators - Section D'!$A$9:$AO$94,41,FALSE),"")</f>
        <v>VT-3 Percentage of women accessing antenatal care services who were tested for syphilis</v>
      </c>
      <c r="D1785" s="574" t="str">
        <f ca="1">M1785</f>
        <v/>
      </c>
      <c r="E1785" s="574" t="str">
        <f ca="1">N1785</f>
        <v/>
      </c>
      <c r="F1785" s="127"/>
      <c r="G1785" s="576" t="str">
        <f ca="1">IF(OR(INDIRECT("'update Helper'!E"&amp;Q1785)="",F1785&lt;&gt;0,F1786&lt;&gt;0),IF(IFERROR((F1785/F1786),"")="","",(F1785/F1786)),INDIRECT("'update Helper'!E"&amp;Q1785)/100)</f>
        <v/>
      </c>
      <c r="H1785" s="539"/>
      <c r="I1785" s="578"/>
      <c r="J1785" s="532"/>
      <c r="K1785" s="126">
        <f ca="1">IF(AND(EXACT(C1785,C1783),C1783&lt;&gt;0),K1783+1,0)</f>
        <v>2</v>
      </c>
      <c r="L1785" s="126" t="str">
        <f t="shared" ref="L1785" ca="1" si="1989">IF(C1785&lt;&gt;"",C1785&amp;"-"&amp;K1785,"")</f>
        <v>VT-3 Percentage of women accessing antenatal care services who were tested for syphilis-2</v>
      </c>
      <c r="M1785" s="126" t="str">
        <f t="array" aca="1" ref="M1785" ca="1">IFERROR(IF(INDEX('Disaggregation Records'!$E$156:$E$517,MATCH(RIGHT(L1785,255),RIGHT('Disaggregation Records'!$D$156:$D$517,255),0))="","",INDEX('Disaggregation Records'!$E$156:$E$517,MATCH(RIGHT(L1785,255),RIGHT('Disaggregation Records'!$D$156:$D$517,255),0))),"")</f>
        <v/>
      </c>
      <c r="N1785" s="126" t="str">
        <f t="array" aca="1" ref="N1785" ca="1">IFERROR(IF(INDEX('Disaggregation Records'!$F$156:$F$517,MATCH(RIGHT(L1785,255),RIGHT('Disaggregation Records'!$D$156:$D$517,255),0))="","",INDEX('Disaggregation Records'!$F$156:$F$517,MATCH(RIGHT(L1785,255),RIGHT('Disaggregation Records'!$D$156:$D$517,255),0))),"")</f>
        <v/>
      </c>
      <c r="O1785" s="314" t="str">
        <f t="array" aca="1" ref="O1785" ca="1">IFERROR(IF(INDEX('Disaggregation Records'!$H$156:$H$517,MATCH(RIGHT(L1785,255),RIGHT('Disaggregation Records'!$D$156:$D$517,255),0))="","",INDEX('Disaggregation Records'!$H$156:$H$517,MATCH(RIGHT(L1785,255),RIGHT('Disaggregation Records'!$D$156:$D$517,255),0))),"")</f>
        <v/>
      </c>
      <c r="P1785" s="310"/>
      <c r="Q1785" s="310">
        <f t="shared" ref="Q1785" si="1990">Q1783+1</f>
        <v>2194</v>
      </c>
      <c r="R1785" s="314" t="str" cm="1">
        <f t="array" aca="1" ref="R1785" ca="1">IFERROR(IF(INDEX('Disaggregation Records'!$G$156:$G$517,MATCH(RIGHT(L1785,255),RIGHT('Disaggregation Records'!$D$156:$D$517,255),0))="","",INDEX('Disaggregation Records'!$G$156:$G$517,MATCH(RIGHT(L1785,255),RIGHT('Disaggregation Records'!$D$156:$D$517,255),0))),"")</f>
        <v/>
      </c>
    </row>
    <row r="1786" spans="1:18" ht="20.100000000000001" customHeight="1">
      <c r="A1786" s="126"/>
      <c r="B1786" s="571"/>
      <c r="C1786" s="573"/>
      <c r="D1786" s="575"/>
      <c r="E1786" s="575"/>
      <c r="F1786" s="128"/>
      <c r="G1786" s="577"/>
      <c r="H1786" s="540"/>
      <c r="I1786" s="579"/>
      <c r="J1786" s="533"/>
      <c r="L1786" s="126"/>
      <c r="N1786" s="126"/>
      <c r="O1786" s="314"/>
      <c r="P1786" s="310"/>
      <c r="Q1786" s="310"/>
      <c r="R1786" s="314" t="str" cm="1">
        <f t="array" ref="R1786">IFERROR(IF(INDEX('Disaggregation Records'!$G$156:$G$517,MATCH(RIGHT(L1786,255),RIGHT('Disaggregation Records'!$D$156:$D$517,255),0))="","",INDEX('Disaggregation Records'!$G$156:$G$517,MATCH(RIGHT(L1786,255),RIGHT('Disaggregation Records'!$D$156:$D$517,255),0))),"")</f>
        <v/>
      </c>
    </row>
    <row r="1787" spans="1:18" ht="20.100000000000001" customHeight="1">
      <c r="A1787" s="126" t="str">
        <f t="shared" ca="1" si="1982"/>
        <v>a16Dm000000M3zaIAC</v>
      </c>
      <c r="B1787" s="570">
        <v>30</v>
      </c>
      <c r="C1787" s="572" t="str">
        <f ca="1">IFERROR(VLOOKUP(B1787,'Coverage Indicators - Section D'!$A$9:$AO$94,41,FALSE),"")</f>
        <v>VT-3 Percentage of women accessing antenatal care services who were tested for syphilis</v>
      </c>
      <c r="D1787" s="574" t="str">
        <f ca="1">M1787</f>
        <v/>
      </c>
      <c r="E1787" s="574" t="str">
        <f ca="1">N1787</f>
        <v/>
      </c>
      <c r="F1787" s="127"/>
      <c r="G1787" s="576" t="str">
        <f ca="1">IF(OR(INDIRECT("'update Helper'!E"&amp;Q1787)="",F1787&lt;&gt;0,F1788&lt;&gt;0),IF(IFERROR((F1787/F1788),"")="","",(F1787/F1788)),INDIRECT("'update Helper'!E"&amp;Q1787)/100)</f>
        <v/>
      </c>
      <c r="H1787" s="539"/>
      <c r="I1787" s="578"/>
      <c r="J1787" s="532"/>
      <c r="K1787" s="126">
        <f ca="1">IF(AND(EXACT(C1787,C1785),C1785&lt;&gt;0),K1785+1,0)</f>
        <v>3</v>
      </c>
      <c r="L1787" s="126" t="str">
        <f t="shared" ref="L1787" ca="1" si="1991">IF(C1787&lt;&gt;"",C1787&amp;"-"&amp;K1787,"")</f>
        <v>VT-3 Percentage of women accessing antenatal care services who were tested for syphilis-3</v>
      </c>
      <c r="M1787" s="126" t="str">
        <f t="array" aca="1" ref="M1787" ca="1">IFERROR(IF(INDEX('Disaggregation Records'!$E$156:$E$517,MATCH(RIGHT(L1787,255),RIGHT('Disaggregation Records'!$D$156:$D$517,255),0))="","",INDEX('Disaggregation Records'!$E$156:$E$517,MATCH(RIGHT(L1787,255),RIGHT('Disaggregation Records'!$D$156:$D$517,255),0))),"")</f>
        <v/>
      </c>
      <c r="N1787" s="126" t="str">
        <f t="array" aca="1" ref="N1787" ca="1">IFERROR(IF(INDEX('Disaggregation Records'!$F$156:$F$517,MATCH(RIGHT(L1787,255),RIGHT('Disaggregation Records'!$D$156:$D$517,255),0))="","",INDEX('Disaggregation Records'!$F$156:$F$517,MATCH(RIGHT(L1787,255),RIGHT('Disaggregation Records'!$D$156:$D$517,255),0))),"")</f>
        <v/>
      </c>
      <c r="O1787" s="314" t="str">
        <f t="array" aca="1" ref="O1787" ca="1">IFERROR(IF(INDEX('Disaggregation Records'!$H$156:$H$517,MATCH(RIGHT(L1787,255),RIGHT('Disaggregation Records'!$D$156:$D$517,255),0))="","",INDEX('Disaggregation Records'!$H$156:$H$517,MATCH(RIGHT(L1787,255),RIGHT('Disaggregation Records'!$D$156:$D$517,255),0))),"")</f>
        <v/>
      </c>
      <c r="P1787" s="310"/>
      <c r="Q1787" s="310">
        <f t="shared" ref="Q1787" si="1992">Q1785+1</f>
        <v>2195</v>
      </c>
      <c r="R1787" s="314" t="str" cm="1">
        <f t="array" aca="1" ref="R1787" ca="1">IFERROR(IF(INDEX('Disaggregation Records'!$G$156:$G$517,MATCH(RIGHT(L1787,255),RIGHT('Disaggregation Records'!$D$156:$D$517,255),0))="","",INDEX('Disaggregation Records'!$G$156:$G$517,MATCH(RIGHT(L1787,255),RIGHT('Disaggregation Records'!$D$156:$D$517,255),0))),"")</f>
        <v/>
      </c>
    </row>
    <row r="1788" spans="1:18" ht="20.100000000000001" customHeight="1">
      <c r="B1788" s="571"/>
      <c r="C1788" s="573"/>
      <c r="D1788" s="575"/>
      <c r="E1788" s="575"/>
      <c r="F1788" s="128"/>
      <c r="G1788" s="577"/>
      <c r="H1788" s="540"/>
      <c r="I1788" s="579"/>
      <c r="J1788" s="533"/>
      <c r="L1788" s="126"/>
      <c r="N1788" s="126"/>
      <c r="O1788" s="314"/>
      <c r="P1788" s="310"/>
      <c r="Q1788" s="310"/>
      <c r="R1788" s="314" t="str" cm="1">
        <f t="array" ref="R1788">IFERROR(IF(INDEX('Disaggregation Records'!$G$156:$G$517,MATCH(RIGHT(L1788,255),RIGHT('Disaggregation Records'!$D$156:$D$517,255),0))="","",INDEX('Disaggregation Records'!$G$156:$G$517,MATCH(RIGHT(L1788,255),RIGHT('Disaggregation Records'!$D$156:$D$517,255),0))),"")</f>
        <v/>
      </c>
    </row>
    <row r="1789" spans="1:18" ht="20.100000000000001" customHeight="1">
      <c r="A1789" s="126" t="str">
        <f t="shared" ca="1" si="1979"/>
        <v>a16Dm000000M3zbIAC</v>
      </c>
      <c r="B1789" s="570">
        <v>30</v>
      </c>
      <c r="C1789" s="572" t="str">
        <f ca="1">IFERROR(VLOOKUP(B1789,'Coverage Indicators - Section D'!$A$9:$AO$94,41,FALSE),"")</f>
        <v>VT-3 Percentage of women accessing antenatal care services who were tested for syphilis</v>
      </c>
      <c r="D1789" s="574" t="str">
        <f ca="1">M1789</f>
        <v/>
      </c>
      <c r="E1789" s="574" t="str">
        <f ca="1">N1789</f>
        <v/>
      </c>
      <c r="F1789" s="127"/>
      <c r="G1789" s="576" t="str">
        <f ca="1">IF(OR(INDIRECT("'update Helper'!E"&amp;Q1789)="",F1789&lt;&gt;0,F1790&lt;&gt;0),IF(IFERROR((F1789/F1790),"")="","",(F1789/F1790)),INDIRECT("'update Helper'!E"&amp;Q1789)/100)</f>
        <v/>
      </c>
      <c r="H1789" s="539"/>
      <c r="I1789" s="578"/>
      <c r="J1789" s="532"/>
      <c r="K1789" s="126">
        <f ca="1">IF(AND(EXACT(C1789,C1787),C1787&lt;&gt;0),K1787+1,0)</f>
        <v>4</v>
      </c>
      <c r="L1789" s="126" t="str">
        <f t="shared" ref="L1789" ca="1" si="1993">IF(C1789&lt;&gt;"",C1789&amp;"-"&amp;K1789,"")</f>
        <v>VT-3 Percentage of women accessing antenatal care services who were tested for syphilis-4</v>
      </c>
      <c r="M1789" s="126" t="str">
        <f t="array" aca="1" ref="M1789" ca="1">IFERROR(IF(INDEX('Disaggregation Records'!$E$156:$E$517,MATCH(RIGHT(L1789,255),RIGHT('Disaggregation Records'!$D$156:$D$517,255),0))="","",INDEX('Disaggregation Records'!$E$156:$E$517,MATCH(RIGHT(L1789,255),RIGHT('Disaggregation Records'!$D$156:$D$517,255),0))),"")</f>
        <v/>
      </c>
      <c r="N1789" s="126" t="str">
        <f t="array" aca="1" ref="N1789" ca="1">IFERROR(IF(INDEX('Disaggregation Records'!$F$156:$F$517,MATCH(RIGHT(L1789,255),RIGHT('Disaggregation Records'!$D$156:$D$517,255),0))="","",INDEX('Disaggregation Records'!$F$156:$F$517,MATCH(RIGHT(L1789,255),RIGHT('Disaggregation Records'!$D$156:$D$517,255),0))),"")</f>
        <v/>
      </c>
      <c r="O1789" s="314" t="str">
        <f t="array" aca="1" ref="O1789" ca="1">IFERROR(IF(INDEX('Disaggregation Records'!$H$156:$H$517,MATCH(RIGHT(L1789,255),RIGHT('Disaggregation Records'!$D$156:$D$517,255),0))="","",INDEX('Disaggregation Records'!$H$156:$H$517,MATCH(RIGHT(L1789,255),RIGHT('Disaggregation Records'!$D$156:$D$517,255),0))),"")</f>
        <v/>
      </c>
      <c r="P1789" s="310"/>
      <c r="Q1789" s="310">
        <f t="shared" ref="Q1789" si="1994">Q1787+1</f>
        <v>2196</v>
      </c>
      <c r="R1789" s="314" t="str" cm="1">
        <f t="array" aca="1" ref="R1789" ca="1">IFERROR(IF(INDEX('Disaggregation Records'!$G$156:$G$517,MATCH(RIGHT(L1789,255),RIGHT('Disaggregation Records'!$D$156:$D$517,255),0))="","",INDEX('Disaggregation Records'!$G$156:$G$517,MATCH(RIGHT(L1789,255),RIGHT('Disaggregation Records'!$D$156:$D$517,255),0))),"")</f>
        <v/>
      </c>
    </row>
    <row r="1790" spans="1:18" ht="20.100000000000001" customHeight="1">
      <c r="A1790" s="126"/>
      <c r="B1790" s="571"/>
      <c r="C1790" s="573"/>
      <c r="D1790" s="575"/>
      <c r="E1790" s="575"/>
      <c r="F1790" s="128"/>
      <c r="G1790" s="577"/>
      <c r="H1790" s="540"/>
      <c r="I1790" s="579"/>
      <c r="J1790" s="533"/>
      <c r="L1790" s="126"/>
      <c r="N1790" s="126"/>
      <c r="O1790" s="314"/>
      <c r="P1790" s="310"/>
      <c r="Q1790" s="310"/>
      <c r="R1790" s="314" t="str" cm="1">
        <f t="array" ref="R1790">IFERROR(IF(INDEX('Disaggregation Records'!$G$156:$G$517,MATCH(RIGHT(L1790,255),RIGHT('Disaggregation Records'!$D$156:$D$517,255),0))="","",INDEX('Disaggregation Records'!$G$156:$G$517,MATCH(RIGHT(L1790,255),RIGHT('Disaggregation Records'!$D$156:$D$517,255),0))),"")</f>
        <v/>
      </c>
    </row>
    <row r="1791" spans="1:18" ht="20.100000000000001" customHeight="1">
      <c r="A1791" s="126" t="str">
        <f t="shared" ca="1" si="1982"/>
        <v>a16Dm000000M3zcIAC</v>
      </c>
      <c r="B1791" s="570">
        <v>30</v>
      </c>
      <c r="C1791" s="572" t="str">
        <f ca="1">IFERROR(VLOOKUP(B1791,'Coverage Indicators - Section D'!$A$9:$AO$94,41,FALSE),"")</f>
        <v>VT-3 Percentage of women accessing antenatal care services who were tested for syphilis</v>
      </c>
      <c r="D1791" s="574" t="str">
        <f ca="1">M1791</f>
        <v/>
      </c>
      <c r="E1791" s="574" t="str">
        <f ca="1">N1791</f>
        <v/>
      </c>
      <c r="F1791" s="127"/>
      <c r="G1791" s="576" t="str">
        <f ca="1">IF(OR(INDIRECT("'update Helper'!E"&amp;Q1791)="",F1791&lt;&gt;0,F1792&lt;&gt;0),IF(IFERROR((F1791/F1792),"")="","",(F1791/F1792)),INDIRECT("'update Helper'!E"&amp;Q1791)/100)</f>
        <v/>
      </c>
      <c r="H1791" s="539"/>
      <c r="I1791" s="578"/>
      <c r="J1791" s="532"/>
      <c r="K1791" s="126">
        <f ca="1">IF(AND(EXACT(C1791,C1789),C1789&lt;&gt;0),K1789+1,0)</f>
        <v>5</v>
      </c>
      <c r="L1791" s="126" t="str">
        <f t="shared" ref="L1791" ca="1" si="1995">IF(C1791&lt;&gt;"",C1791&amp;"-"&amp;K1791,"")</f>
        <v>VT-3 Percentage of women accessing antenatal care services who were tested for syphilis-5</v>
      </c>
      <c r="M1791" s="126" t="str">
        <f t="array" aca="1" ref="M1791" ca="1">IFERROR(IF(INDEX('Disaggregation Records'!$E$156:$E$517,MATCH(RIGHT(L1791,255),RIGHT('Disaggregation Records'!$D$156:$D$517,255),0))="","",INDEX('Disaggregation Records'!$E$156:$E$517,MATCH(RIGHT(L1791,255),RIGHT('Disaggregation Records'!$D$156:$D$517,255),0))),"")</f>
        <v/>
      </c>
      <c r="N1791" s="126" t="str">
        <f t="array" aca="1" ref="N1791" ca="1">IFERROR(IF(INDEX('Disaggregation Records'!$F$156:$F$517,MATCH(RIGHT(L1791,255),RIGHT('Disaggregation Records'!$D$156:$D$517,255),0))="","",INDEX('Disaggregation Records'!$F$156:$F$517,MATCH(RIGHT(L1791,255),RIGHT('Disaggregation Records'!$D$156:$D$517,255),0))),"")</f>
        <v/>
      </c>
      <c r="O1791" s="314" t="str">
        <f t="array" aca="1" ref="O1791" ca="1">IFERROR(IF(INDEX('Disaggregation Records'!$H$156:$H$517,MATCH(RIGHT(L1791,255),RIGHT('Disaggregation Records'!$D$156:$D$517,255),0))="","",INDEX('Disaggregation Records'!$H$156:$H$517,MATCH(RIGHT(L1791,255),RIGHT('Disaggregation Records'!$D$156:$D$517,255),0))),"")</f>
        <v/>
      </c>
      <c r="P1791" s="314"/>
      <c r="Q1791" s="310">
        <f t="shared" ref="Q1791" si="1996">Q1789+1</f>
        <v>2197</v>
      </c>
      <c r="R1791" s="314" t="str" cm="1">
        <f t="array" aca="1" ref="R1791" ca="1">IFERROR(IF(INDEX('Disaggregation Records'!$G$156:$G$517,MATCH(RIGHT(L1791,255),RIGHT('Disaggregation Records'!$D$156:$D$517,255),0))="","",INDEX('Disaggregation Records'!$G$156:$G$517,MATCH(RIGHT(L1791,255),RIGHT('Disaggregation Records'!$D$156:$D$517,255),0))),"")</f>
        <v/>
      </c>
    </row>
    <row r="1792" spans="1:18" ht="20.100000000000001" customHeight="1">
      <c r="B1792" s="571"/>
      <c r="C1792" s="573"/>
      <c r="D1792" s="575"/>
      <c r="E1792" s="575"/>
      <c r="F1792" s="128"/>
      <c r="G1792" s="577"/>
      <c r="H1792" s="540"/>
      <c r="I1792" s="579"/>
      <c r="J1792" s="533"/>
      <c r="K1792" s="126"/>
      <c r="L1792" s="126"/>
      <c r="M1792" s="126"/>
      <c r="N1792" s="126"/>
      <c r="O1792" s="314"/>
      <c r="P1792" s="314"/>
      <c r="Q1792" s="310"/>
      <c r="R1792" s="314" t="str" cm="1">
        <f t="array" ref="R1792">IFERROR(IF(INDEX('Disaggregation Records'!$G$156:$G$517,MATCH(RIGHT(L1792,255),RIGHT('Disaggregation Records'!$D$156:$D$517,255),0))="","",INDEX('Disaggregation Records'!$G$156:$G$517,MATCH(RIGHT(L1792,255),RIGHT('Disaggregation Records'!$D$156:$D$517,255),0))),"")</f>
        <v/>
      </c>
    </row>
    <row r="1793" spans="1:18" ht="20.100000000000001" customHeight="1">
      <c r="A1793" s="126" t="str">
        <f t="shared" ca="1" si="1979"/>
        <v>a16Dm000000M3zdIAC</v>
      </c>
      <c r="B1793" s="570">
        <v>30</v>
      </c>
      <c r="C1793" s="572" t="str">
        <f ca="1">IFERROR(VLOOKUP(B1793,'Coverage Indicators - Section D'!$A$9:$AO$94,41,FALSE),"")</f>
        <v>VT-3 Percentage of women accessing antenatal care services who were tested for syphilis</v>
      </c>
      <c r="D1793" s="574" t="str">
        <f ca="1">M1793</f>
        <v/>
      </c>
      <c r="E1793" s="574" t="str">
        <f ca="1">N1793</f>
        <v/>
      </c>
      <c r="F1793" s="127"/>
      <c r="G1793" s="576" t="str">
        <f ca="1">IF(OR(INDIRECT("'update Helper'!E"&amp;Q1793)="",F1793&lt;&gt;0,F1794&lt;&gt;0),IF(IFERROR((F1793/F1794),"")="","",(F1793/F1794)),INDIRECT("'update Helper'!E"&amp;Q1793)/100)</f>
        <v/>
      </c>
      <c r="H1793" s="539"/>
      <c r="I1793" s="578"/>
      <c r="J1793" s="532"/>
      <c r="K1793" s="126">
        <f ca="1">IF(AND(EXACT(C1793,C1791),C1791&lt;&gt;0),K1791+1,0)</f>
        <v>6</v>
      </c>
      <c r="L1793" s="126" t="str">
        <f t="shared" ref="L1793" ca="1" si="1997">IF(C1793&lt;&gt;"",C1793&amp;"-"&amp;K1793,"")</f>
        <v>VT-3 Percentage of women accessing antenatal care services who were tested for syphilis-6</v>
      </c>
      <c r="M1793" s="126" t="str">
        <f t="array" aca="1" ref="M1793" ca="1">IFERROR(IF(INDEX('Disaggregation Records'!$E$156:$E$517,MATCH(RIGHT(L1793,255),RIGHT('Disaggregation Records'!$D$156:$D$517,255),0))="","",INDEX('Disaggregation Records'!$E$156:$E$517,MATCH(RIGHT(L1793,255),RIGHT('Disaggregation Records'!$D$156:$D$517,255),0))),"")</f>
        <v/>
      </c>
      <c r="N1793" s="126" t="str">
        <f t="array" aca="1" ref="N1793" ca="1">IFERROR(IF(INDEX('Disaggregation Records'!$F$156:$F$517,MATCH(RIGHT(L1793,255),RIGHT('Disaggregation Records'!$D$156:$D$517,255),0))="","",INDEX('Disaggregation Records'!$F$156:$F$517,MATCH(RIGHT(L1793,255),RIGHT('Disaggregation Records'!$D$156:$D$517,255),0))),"")</f>
        <v/>
      </c>
      <c r="O1793" s="314" t="str">
        <f t="array" aca="1" ref="O1793" ca="1">IFERROR(IF(INDEX('Disaggregation Records'!$H$156:$H$517,MATCH(RIGHT(L1793,255),RIGHT('Disaggregation Records'!$D$156:$D$517,255),0))="","",INDEX('Disaggregation Records'!$H$156:$H$517,MATCH(RIGHT(L1793,255),RIGHT('Disaggregation Records'!$D$156:$D$517,255),0))),"")</f>
        <v/>
      </c>
      <c r="P1793" s="314"/>
      <c r="Q1793" s="310">
        <f t="shared" ref="Q1793" si="1998">Q1791+1</f>
        <v>2198</v>
      </c>
      <c r="R1793" s="314" t="str" cm="1">
        <f t="array" aca="1" ref="R1793" ca="1">IFERROR(IF(INDEX('Disaggregation Records'!$G$156:$G$517,MATCH(RIGHT(L1793,255),RIGHT('Disaggregation Records'!$D$156:$D$517,255),0))="","",INDEX('Disaggregation Records'!$G$156:$G$517,MATCH(RIGHT(L1793,255),RIGHT('Disaggregation Records'!$D$156:$D$517,255),0))),"")</f>
        <v/>
      </c>
    </row>
    <row r="1794" spans="1:18" ht="20.100000000000001" customHeight="1">
      <c r="A1794" s="126"/>
      <c r="B1794" s="571"/>
      <c r="C1794" s="573"/>
      <c r="D1794" s="575"/>
      <c r="E1794" s="575"/>
      <c r="F1794" s="128"/>
      <c r="G1794" s="577"/>
      <c r="H1794" s="540"/>
      <c r="I1794" s="579"/>
      <c r="J1794" s="533"/>
      <c r="K1794" s="126"/>
      <c r="L1794" s="126"/>
      <c r="M1794" s="126"/>
      <c r="N1794" s="126"/>
      <c r="O1794" s="314"/>
      <c r="P1794" s="314"/>
      <c r="Q1794" s="310"/>
      <c r="R1794" s="314" t="str" cm="1">
        <f t="array" ref="R1794">IFERROR(IF(INDEX('Disaggregation Records'!$G$156:$G$517,MATCH(RIGHT(L1794,255),RIGHT('Disaggregation Records'!$D$156:$D$517,255),0))="","",INDEX('Disaggregation Records'!$G$156:$G$517,MATCH(RIGHT(L1794,255),RIGHT('Disaggregation Records'!$D$156:$D$517,255),0))),"")</f>
        <v/>
      </c>
    </row>
    <row r="1795" spans="1:18" ht="20.100000000000001" customHeight="1">
      <c r="A1795" s="126" t="str">
        <f t="shared" ca="1" si="1982"/>
        <v>a16Dm000000M3zeIAC</v>
      </c>
      <c r="B1795" s="570">
        <v>30</v>
      </c>
      <c r="C1795" s="572" t="str">
        <f ca="1">IFERROR(VLOOKUP(B1795,'Coverage Indicators - Section D'!$A$9:$AO$94,41,FALSE),"")</f>
        <v>VT-3 Percentage of women accessing antenatal care services who were tested for syphilis</v>
      </c>
      <c r="D1795" s="574" t="str">
        <f ca="1">M1795</f>
        <v/>
      </c>
      <c r="E1795" s="574" t="str">
        <f ca="1">N1795</f>
        <v/>
      </c>
      <c r="F1795" s="127"/>
      <c r="G1795" s="576" t="str">
        <f ca="1">IF(OR(INDIRECT("'update Helper'!E"&amp;Q1795)="",F1795&lt;&gt;0,F1796&lt;&gt;0),IF(IFERROR((F1795/F1796),"")="","",(F1795/F1796)),INDIRECT("'update Helper'!E"&amp;Q1795)/100)</f>
        <v/>
      </c>
      <c r="H1795" s="539"/>
      <c r="I1795" s="578"/>
      <c r="J1795" s="532"/>
      <c r="K1795" s="126">
        <f ca="1">IF(AND(EXACT(C1795,C1793),C1793&lt;&gt;0),K1793+1,0)</f>
        <v>7</v>
      </c>
      <c r="L1795" s="126" t="str">
        <f t="shared" ref="L1795" ca="1" si="1999">IF(C1795&lt;&gt;"",C1795&amp;"-"&amp;K1795,"")</f>
        <v>VT-3 Percentage of women accessing antenatal care services who were tested for syphilis-7</v>
      </c>
      <c r="M1795" s="126" t="str">
        <f t="array" aca="1" ref="M1795" ca="1">IFERROR(IF(INDEX('Disaggregation Records'!$E$156:$E$517,MATCH(RIGHT(L1795,255),RIGHT('Disaggregation Records'!$D$156:$D$517,255),0))="","",INDEX('Disaggregation Records'!$E$156:$E$517,MATCH(RIGHT(L1795,255),RIGHT('Disaggregation Records'!$D$156:$D$517,255),0))),"")</f>
        <v/>
      </c>
      <c r="N1795" s="126" t="str">
        <f t="array" aca="1" ref="N1795" ca="1">IFERROR(IF(INDEX('Disaggregation Records'!$F$156:$F$517,MATCH(RIGHT(L1795,255),RIGHT('Disaggregation Records'!$D$156:$D$517,255),0))="","",INDEX('Disaggregation Records'!$F$156:$F$517,MATCH(RIGHT(L1795,255),RIGHT('Disaggregation Records'!$D$156:$D$517,255),0))),"")</f>
        <v/>
      </c>
      <c r="O1795" s="314" t="str">
        <f t="array" aca="1" ref="O1795" ca="1">IFERROR(IF(INDEX('Disaggregation Records'!$H$156:$H$517,MATCH(RIGHT(L1795,255),RIGHT('Disaggregation Records'!$D$156:$D$517,255),0))="","",INDEX('Disaggregation Records'!$H$156:$H$517,MATCH(RIGHT(L1795,255),RIGHT('Disaggregation Records'!$D$156:$D$517,255),0))),"")</f>
        <v/>
      </c>
      <c r="P1795" s="310"/>
      <c r="Q1795" s="310">
        <f t="shared" ref="Q1795" si="2000">Q1793+1</f>
        <v>2199</v>
      </c>
      <c r="R1795" s="314" t="str" cm="1">
        <f t="array" aca="1" ref="R1795" ca="1">IFERROR(IF(INDEX('Disaggregation Records'!$G$156:$G$517,MATCH(RIGHT(L1795,255),RIGHT('Disaggregation Records'!$D$156:$D$517,255),0))="","",INDEX('Disaggregation Records'!$G$156:$G$517,MATCH(RIGHT(L1795,255),RIGHT('Disaggregation Records'!$D$156:$D$517,255),0))),"")</f>
        <v/>
      </c>
    </row>
    <row r="1796" spans="1:18" ht="20.100000000000001" customHeight="1">
      <c r="B1796" s="571"/>
      <c r="C1796" s="573"/>
      <c r="D1796" s="575"/>
      <c r="E1796" s="575"/>
      <c r="F1796" s="128"/>
      <c r="G1796" s="577"/>
      <c r="H1796" s="540"/>
      <c r="I1796" s="579"/>
      <c r="J1796" s="533"/>
      <c r="L1796" s="126"/>
      <c r="N1796" s="126"/>
      <c r="O1796" s="314"/>
      <c r="P1796" s="310"/>
      <c r="Q1796" s="310"/>
      <c r="R1796" s="314" t="str" cm="1">
        <f t="array" ref="R1796">IFERROR(IF(INDEX('Disaggregation Records'!$G$156:$G$517,MATCH(RIGHT(L1796,255),RIGHT('Disaggregation Records'!$D$156:$D$517,255),0))="","",INDEX('Disaggregation Records'!$G$156:$G$517,MATCH(RIGHT(L1796,255),RIGHT('Disaggregation Records'!$D$156:$D$517,255),0))),"")</f>
        <v/>
      </c>
    </row>
    <row r="1797" spans="1:18" ht="20.100000000000001" customHeight="1">
      <c r="A1797" s="126" t="str">
        <f t="shared" ca="1" si="1979"/>
        <v>a16Dm000000M3zfIAC</v>
      </c>
      <c r="B1797" s="570">
        <v>30</v>
      </c>
      <c r="C1797" s="572" t="str">
        <f ca="1">IFERROR(VLOOKUP(B1797,'Coverage Indicators - Section D'!$A$9:$AO$94,41,FALSE),"")</f>
        <v>VT-3 Percentage of women accessing antenatal care services who were tested for syphilis</v>
      </c>
      <c r="D1797" s="574" t="str">
        <f ca="1">M1797</f>
        <v/>
      </c>
      <c r="E1797" s="574" t="str">
        <f ca="1">N1797</f>
        <v/>
      </c>
      <c r="F1797" s="127"/>
      <c r="G1797" s="576" t="str">
        <f ca="1">IF(OR(INDIRECT("'update Helper'!E"&amp;Q1797)="",F1797&lt;&gt;0,F1798&lt;&gt;0),IF(IFERROR((F1797/F1798),"")="","",(F1797/F1798)),INDIRECT("'update Helper'!E"&amp;Q1797)/100)</f>
        <v/>
      </c>
      <c r="H1797" s="539"/>
      <c r="I1797" s="578"/>
      <c r="J1797" s="532"/>
      <c r="K1797" s="126">
        <f ca="1">IF(AND(EXACT(C1797,C1795),C1795&lt;&gt;0),K1795+1,0)</f>
        <v>8</v>
      </c>
      <c r="L1797" s="126" t="str">
        <f t="shared" ref="L1797" ca="1" si="2001">IF(C1797&lt;&gt;"",C1797&amp;"-"&amp;K1797,"")</f>
        <v>VT-3 Percentage of women accessing antenatal care services who were tested for syphilis-8</v>
      </c>
      <c r="M1797" s="126" t="str">
        <f t="array" aca="1" ref="M1797" ca="1">IFERROR(IF(INDEX('Disaggregation Records'!$E$156:$E$517,MATCH(RIGHT(L1797,255),RIGHT('Disaggregation Records'!$D$156:$D$517,255),0))="","",INDEX('Disaggregation Records'!$E$156:$E$517,MATCH(RIGHT(L1797,255),RIGHT('Disaggregation Records'!$D$156:$D$517,255),0))),"")</f>
        <v/>
      </c>
      <c r="N1797" s="126" t="str">
        <f t="array" aca="1" ref="N1797" ca="1">IFERROR(IF(INDEX('Disaggregation Records'!$F$156:$F$517,MATCH(RIGHT(L1797,255),RIGHT('Disaggregation Records'!$D$156:$D$517,255),0))="","",INDEX('Disaggregation Records'!$F$156:$F$517,MATCH(RIGHT(L1797,255),RIGHT('Disaggregation Records'!$D$156:$D$517,255),0))),"")</f>
        <v/>
      </c>
      <c r="O1797" s="314" t="str">
        <f t="array" aca="1" ref="O1797" ca="1">IFERROR(IF(INDEX('Disaggregation Records'!$H$156:$H$517,MATCH(RIGHT(L1797,255),RIGHT('Disaggregation Records'!$D$156:$D$517,255),0))="","",INDEX('Disaggregation Records'!$H$156:$H$517,MATCH(RIGHT(L1797,255),RIGHT('Disaggregation Records'!$D$156:$D$517,255),0))),"")</f>
        <v/>
      </c>
      <c r="P1797" s="310"/>
      <c r="Q1797" s="310">
        <f t="shared" ref="Q1797" si="2002">Q1795+1</f>
        <v>2200</v>
      </c>
      <c r="R1797" s="314" t="str" cm="1">
        <f t="array" aca="1" ref="R1797" ca="1">IFERROR(IF(INDEX('Disaggregation Records'!$G$156:$G$517,MATCH(RIGHT(L1797,255),RIGHT('Disaggregation Records'!$D$156:$D$517,255),0))="","",INDEX('Disaggregation Records'!$G$156:$G$517,MATCH(RIGHT(L1797,255),RIGHT('Disaggregation Records'!$D$156:$D$517,255),0))),"")</f>
        <v/>
      </c>
    </row>
    <row r="1798" spans="1:18" ht="20.100000000000001" customHeight="1">
      <c r="A1798" s="126"/>
      <c r="B1798" s="571"/>
      <c r="C1798" s="573"/>
      <c r="D1798" s="575"/>
      <c r="E1798" s="575"/>
      <c r="F1798" s="128"/>
      <c r="G1798" s="577"/>
      <c r="H1798" s="540"/>
      <c r="I1798" s="579"/>
      <c r="J1798" s="533"/>
      <c r="L1798" s="126"/>
      <c r="N1798" s="126"/>
      <c r="O1798" s="314"/>
      <c r="P1798" s="310"/>
      <c r="Q1798" s="310"/>
      <c r="R1798" s="314" t="str" cm="1">
        <f t="array" ref="R1798">IFERROR(IF(INDEX('Disaggregation Records'!$G$156:$G$517,MATCH(RIGHT(L1798,255),RIGHT('Disaggregation Records'!$D$156:$D$517,255),0))="","",INDEX('Disaggregation Records'!$G$156:$G$517,MATCH(RIGHT(L1798,255),RIGHT('Disaggregation Records'!$D$156:$D$517,255),0))),"")</f>
        <v/>
      </c>
    </row>
    <row r="1799" spans="1:18" ht="20.100000000000001" customHeight="1">
      <c r="A1799" s="126" t="str">
        <f t="shared" ca="1" si="1982"/>
        <v>a16Dm000000M3zgIAC</v>
      </c>
      <c r="B1799" s="570">
        <v>30</v>
      </c>
      <c r="C1799" s="572" t="str">
        <f ca="1">IFERROR(VLOOKUP(B1799,'Coverage Indicators - Section D'!$A$9:$AO$94,41,FALSE),"")</f>
        <v>VT-3 Percentage of women accessing antenatal care services who were tested for syphilis</v>
      </c>
      <c r="D1799" s="574" t="str">
        <f ca="1">M1799</f>
        <v/>
      </c>
      <c r="E1799" s="574" t="str">
        <f ca="1">N1799</f>
        <v/>
      </c>
      <c r="F1799" s="127"/>
      <c r="G1799" s="576" t="str">
        <f ca="1">IF(OR(INDIRECT("'update Helper'!E"&amp;Q1799)="",F1799&lt;&gt;0,F1800&lt;&gt;0),IF(IFERROR((F1799/F1800),"")="","",(F1799/F1800)),INDIRECT("'update Helper'!E"&amp;Q1799)/100)</f>
        <v/>
      </c>
      <c r="H1799" s="539"/>
      <c r="I1799" s="578"/>
      <c r="J1799" s="532"/>
      <c r="K1799" s="126">
        <f ca="1">IF(AND(EXACT(C1799,C1797),C1797&lt;&gt;0),K1797+1,0)</f>
        <v>9</v>
      </c>
      <c r="L1799" s="126" t="str">
        <f t="shared" ref="L1799" ca="1" si="2003">IF(C1799&lt;&gt;"",C1799&amp;"-"&amp;K1799,"")</f>
        <v>VT-3 Percentage of women accessing antenatal care services who were tested for syphilis-9</v>
      </c>
      <c r="M1799" s="126" t="str">
        <f t="array" aca="1" ref="M1799" ca="1">IFERROR(IF(INDEX('Disaggregation Records'!$E$156:$E$517,MATCH(RIGHT(L1799,255),RIGHT('Disaggregation Records'!$D$156:$D$517,255),0))="","",INDEX('Disaggregation Records'!$E$156:$E$517,MATCH(RIGHT(L1799,255),RIGHT('Disaggregation Records'!$D$156:$D$517,255),0))),"")</f>
        <v/>
      </c>
      <c r="N1799" s="126" t="str">
        <f t="array" aca="1" ref="N1799" ca="1">IFERROR(IF(INDEX('Disaggregation Records'!$F$156:$F$517,MATCH(RIGHT(L1799,255),RIGHT('Disaggregation Records'!$D$156:$D$517,255),0))="","",INDEX('Disaggregation Records'!$F$156:$F$517,MATCH(RIGHT(L1799,255),RIGHT('Disaggregation Records'!$D$156:$D$517,255),0))),"")</f>
        <v/>
      </c>
      <c r="O1799" s="314" t="str">
        <f t="array" aca="1" ref="O1799" ca="1">IFERROR(IF(INDEX('Disaggregation Records'!$H$156:$H$517,MATCH(RIGHT(L1799,255),RIGHT('Disaggregation Records'!$D$156:$D$517,255),0))="","",INDEX('Disaggregation Records'!$H$156:$H$517,MATCH(RIGHT(L1799,255),RIGHT('Disaggregation Records'!$D$156:$D$517,255),0))),"")</f>
        <v/>
      </c>
      <c r="P1799" s="310"/>
      <c r="Q1799" s="310">
        <f t="shared" ref="Q1799" si="2004">Q1797+1</f>
        <v>2201</v>
      </c>
      <c r="R1799" s="314" t="str" cm="1">
        <f t="array" aca="1" ref="R1799" ca="1">IFERROR(IF(INDEX('Disaggregation Records'!$G$156:$G$517,MATCH(RIGHT(L1799,255),RIGHT('Disaggregation Records'!$D$156:$D$517,255),0))="","",INDEX('Disaggregation Records'!$G$156:$G$517,MATCH(RIGHT(L1799,255),RIGHT('Disaggregation Records'!$D$156:$D$517,255),0))),"")</f>
        <v/>
      </c>
    </row>
    <row r="1800" spans="1:18" ht="20.100000000000001" customHeight="1">
      <c r="B1800" s="571"/>
      <c r="C1800" s="573"/>
      <c r="D1800" s="575"/>
      <c r="E1800" s="575"/>
      <c r="F1800" s="128"/>
      <c r="G1800" s="577"/>
      <c r="H1800" s="540"/>
      <c r="I1800" s="579"/>
      <c r="J1800" s="533"/>
      <c r="L1800" s="126"/>
      <c r="N1800" s="126"/>
      <c r="O1800" s="314"/>
      <c r="P1800" s="310"/>
      <c r="Q1800" s="310"/>
      <c r="R1800" s="314" t="str" cm="1">
        <f t="array" ref="R1800">IFERROR(IF(INDEX('Disaggregation Records'!$G$156:$G$517,MATCH(RIGHT(L1800,255),RIGHT('Disaggregation Records'!$D$156:$D$517,255),0))="","",INDEX('Disaggregation Records'!$G$156:$G$517,MATCH(RIGHT(L1800,255),RIGHT('Disaggregation Records'!$D$156:$D$517,255),0))),"")</f>
        <v/>
      </c>
    </row>
    <row r="1801" spans="1:18" ht="20.100000000000001" customHeight="1">
      <c r="A1801" s="126" t="str">
        <f t="shared" ca="1" si="1979"/>
        <v>a16Dm000000M3zhIAC</v>
      </c>
      <c r="B1801" s="570">
        <v>30</v>
      </c>
      <c r="C1801" s="572" t="str">
        <f ca="1">IFERROR(VLOOKUP(B1801,'Coverage Indicators - Section D'!$A$9:$AO$94,41,FALSE),"")</f>
        <v>VT-3 Percentage of women accessing antenatal care services who were tested for syphilis</v>
      </c>
      <c r="D1801" s="574" t="str">
        <f ca="1">M1801</f>
        <v/>
      </c>
      <c r="E1801" s="574" t="str">
        <f ca="1">N1801</f>
        <v/>
      </c>
      <c r="F1801" s="127"/>
      <c r="G1801" s="576" t="str">
        <f ca="1">IF(OR(INDIRECT("'update Helper'!E"&amp;Q1801)="",F1801&lt;&gt;0,F1802&lt;&gt;0),IF(IFERROR((F1801/F1802),"")="","",(F1801/F1802)),INDIRECT("'update Helper'!E"&amp;Q1801)/100)</f>
        <v/>
      </c>
      <c r="H1801" s="539"/>
      <c r="I1801" s="578"/>
      <c r="J1801" s="532"/>
      <c r="K1801" s="126">
        <f ca="1">IF(AND(EXACT(C1801,C1799),C1799&lt;&gt;0),K1799+1,0)</f>
        <v>10</v>
      </c>
      <c r="L1801" s="126" t="str">
        <f t="shared" ref="L1801" ca="1" si="2005">IF(C1801&lt;&gt;"",C1801&amp;"-"&amp;K1801,"")</f>
        <v>VT-3 Percentage of women accessing antenatal care services who were tested for syphilis-10</v>
      </c>
      <c r="M1801" s="126" t="str">
        <f t="array" aca="1" ref="M1801" ca="1">IFERROR(IF(INDEX('Disaggregation Records'!$E$156:$E$517,MATCH(RIGHT(L1801,255),RIGHT('Disaggregation Records'!$D$156:$D$517,255),0))="","",INDEX('Disaggregation Records'!$E$156:$E$517,MATCH(RIGHT(L1801,255),RIGHT('Disaggregation Records'!$D$156:$D$517,255),0))),"")</f>
        <v/>
      </c>
      <c r="N1801" s="126" t="str">
        <f t="array" aca="1" ref="N1801" ca="1">IFERROR(IF(INDEX('Disaggregation Records'!$F$156:$F$517,MATCH(RIGHT(L1801,255),RIGHT('Disaggregation Records'!$D$156:$D$517,255),0))="","",INDEX('Disaggregation Records'!$F$156:$F$517,MATCH(RIGHT(L1801,255),RIGHT('Disaggregation Records'!$D$156:$D$517,255),0))),"")</f>
        <v/>
      </c>
      <c r="O1801" s="314" t="str">
        <f t="array" aca="1" ref="O1801" ca="1">IFERROR(IF(INDEX('Disaggregation Records'!$H$156:$H$517,MATCH(RIGHT(L1801,255),RIGHT('Disaggregation Records'!$D$156:$D$517,255),0))="","",INDEX('Disaggregation Records'!$H$156:$H$517,MATCH(RIGHT(L1801,255),RIGHT('Disaggregation Records'!$D$156:$D$517,255),0))),"")</f>
        <v/>
      </c>
      <c r="P1801" s="314"/>
      <c r="Q1801" s="310">
        <f t="shared" ref="Q1801" si="2006">Q1799+1</f>
        <v>2202</v>
      </c>
      <c r="R1801" s="314" t="str" cm="1">
        <f t="array" aca="1" ref="R1801" ca="1">IFERROR(IF(INDEX('Disaggregation Records'!$G$156:$G$517,MATCH(RIGHT(L1801,255),RIGHT('Disaggregation Records'!$D$156:$D$517,255),0))="","",INDEX('Disaggregation Records'!$G$156:$G$517,MATCH(RIGHT(L1801,255),RIGHT('Disaggregation Records'!$D$156:$D$517,255),0))),"")</f>
        <v/>
      </c>
    </row>
    <row r="1802" spans="1:18" ht="20.100000000000001" customHeight="1">
      <c r="A1802" s="126"/>
      <c r="B1802" s="571"/>
      <c r="C1802" s="573"/>
      <c r="D1802" s="575"/>
      <c r="E1802" s="575"/>
      <c r="F1802" s="128"/>
      <c r="G1802" s="577"/>
      <c r="H1802" s="540"/>
      <c r="I1802" s="579"/>
      <c r="J1802" s="533"/>
      <c r="K1802" s="126"/>
      <c r="L1802" s="126"/>
      <c r="M1802" s="126"/>
      <c r="N1802" s="126"/>
      <c r="O1802" s="314"/>
      <c r="P1802" s="314"/>
      <c r="Q1802" s="310"/>
      <c r="R1802" s="314" t="str" cm="1">
        <f t="array" ref="R1802">IFERROR(IF(INDEX('Disaggregation Records'!$G$156:$G$517,MATCH(RIGHT(L1802,255),RIGHT('Disaggregation Records'!$D$156:$D$517,255),0))="","",INDEX('Disaggregation Records'!$G$156:$G$517,MATCH(RIGHT(L1802,255),RIGHT('Disaggregation Records'!$D$156:$D$517,255),0))),"")</f>
        <v/>
      </c>
    </row>
    <row r="1803" spans="1:18" ht="20.100000000000001" customHeight="1">
      <c r="A1803" s="126" t="str">
        <f t="shared" ca="1" si="1982"/>
        <v>a16Dm000000M3ziIAC</v>
      </c>
      <c r="B1803" s="570">
        <v>30</v>
      </c>
      <c r="C1803" s="572" t="str">
        <f ca="1">IFERROR(VLOOKUP(B1803,'Coverage Indicators - Section D'!$A$9:$AO$94,41,FALSE),"")</f>
        <v>VT-3 Percentage of women accessing antenatal care services who were tested for syphilis</v>
      </c>
      <c r="D1803" s="574" t="str">
        <f ca="1">M1803</f>
        <v/>
      </c>
      <c r="E1803" s="574" t="str">
        <f ca="1">N1803</f>
        <v/>
      </c>
      <c r="F1803" s="127"/>
      <c r="G1803" s="576" t="str">
        <f ca="1">IF(OR(INDIRECT("'update Helper'!E"&amp;Q1803)="",F1803&lt;&gt;0,F1804&lt;&gt;0),IF(IFERROR((F1803/F1804),"")="","",(F1803/F1804)),INDIRECT("'update Helper'!E"&amp;Q1803)/100)</f>
        <v/>
      </c>
      <c r="H1803" s="539"/>
      <c r="I1803" s="578"/>
      <c r="J1803" s="532"/>
      <c r="K1803" s="126">
        <f ca="1">IF(AND(EXACT(C1803,C1801),C1801&lt;&gt;0),K1801+1,0)</f>
        <v>11</v>
      </c>
      <c r="L1803" s="126" t="str">
        <f t="shared" ref="L1803" ca="1" si="2007">IF(C1803&lt;&gt;"",C1803&amp;"-"&amp;K1803,"")</f>
        <v>VT-3 Percentage of women accessing antenatal care services who were tested for syphilis-11</v>
      </c>
      <c r="M1803" s="126" t="str">
        <f t="array" aca="1" ref="M1803" ca="1">IFERROR(IF(INDEX('Disaggregation Records'!$E$156:$E$517,MATCH(RIGHT(L1803,255),RIGHT('Disaggregation Records'!$D$156:$D$517,255),0))="","",INDEX('Disaggregation Records'!$E$156:$E$517,MATCH(RIGHT(L1803,255),RIGHT('Disaggregation Records'!$D$156:$D$517,255),0))),"")</f>
        <v/>
      </c>
      <c r="N1803" s="126" t="str">
        <f t="array" aca="1" ref="N1803" ca="1">IFERROR(IF(INDEX('Disaggregation Records'!$F$156:$F$517,MATCH(RIGHT(L1803,255),RIGHT('Disaggregation Records'!$D$156:$D$517,255),0))="","",INDEX('Disaggregation Records'!$F$156:$F$517,MATCH(RIGHT(L1803,255),RIGHT('Disaggregation Records'!$D$156:$D$517,255),0))),"")</f>
        <v/>
      </c>
      <c r="O1803" s="314" t="str">
        <f t="array" aca="1" ref="O1803" ca="1">IFERROR(IF(INDEX('Disaggregation Records'!$H$156:$H$517,MATCH(RIGHT(L1803,255),RIGHT('Disaggregation Records'!$D$156:$D$517,255),0))="","",INDEX('Disaggregation Records'!$H$156:$H$517,MATCH(RIGHT(L1803,255),RIGHT('Disaggregation Records'!$D$156:$D$517,255),0))),"")</f>
        <v/>
      </c>
      <c r="P1803" s="314"/>
      <c r="Q1803" s="310">
        <f t="shared" ref="Q1803" si="2008">Q1801+1</f>
        <v>2203</v>
      </c>
      <c r="R1803" s="314" t="str" cm="1">
        <f t="array" aca="1" ref="R1803" ca="1">IFERROR(IF(INDEX('Disaggregation Records'!$G$156:$G$517,MATCH(RIGHT(L1803,255),RIGHT('Disaggregation Records'!$D$156:$D$517,255),0))="","",INDEX('Disaggregation Records'!$G$156:$G$517,MATCH(RIGHT(L1803,255),RIGHT('Disaggregation Records'!$D$156:$D$517,255),0))),"")</f>
        <v/>
      </c>
    </row>
    <row r="1804" spans="1:18" ht="20.100000000000001" customHeight="1">
      <c r="B1804" s="571"/>
      <c r="C1804" s="573"/>
      <c r="D1804" s="575"/>
      <c r="E1804" s="575"/>
      <c r="F1804" s="128"/>
      <c r="G1804" s="577"/>
      <c r="H1804" s="540"/>
      <c r="I1804" s="579"/>
      <c r="J1804" s="533"/>
      <c r="K1804" s="126"/>
      <c r="L1804" s="126"/>
      <c r="M1804" s="126"/>
      <c r="N1804" s="126"/>
      <c r="O1804" s="314"/>
      <c r="P1804" s="314"/>
      <c r="Q1804" s="310"/>
      <c r="R1804" s="314" t="str" cm="1">
        <f t="array" ref="R1804">IFERROR(IF(INDEX('Disaggregation Records'!$G$156:$G$517,MATCH(RIGHT(L1804,255),RIGHT('Disaggregation Records'!$D$156:$D$517,255),0))="","",INDEX('Disaggregation Records'!$G$156:$G$517,MATCH(RIGHT(L1804,255),RIGHT('Disaggregation Records'!$D$156:$D$517,255),0))),"")</f>
        <v/>
      </c>
    </row>
    <row r="1805" spans="1:18" ht="20.100000000000001" customHeight="1">
      <c r="A1805" s="126" t="str">
        <f t="shared" ca="1" si="1979"/>
        <v>a16Dm000000M3zjIAC</v>
      </c>
      <c r="B1805" s="570">
        <v>30</v>
      </c>
      <c r="C1805" s="572" t="str">
        <f ca="1">IFERROR(VLOOKUP(B1805,'Coverage Indicators - Section D'!$A$9:$AO$94,41,FALSE),"")</f>
        <v>VT-3 Percentage of women accessing antenatal care services who were tested for syphilis</v>
      </c>
      <c r="D1805" s="574" t="str">
        <f ca="1">M1805</f>
        <v/>
      </c>
      <c r="E1805" s="574" t="str">
        <f ca="1">N1805</f>
        <v/>
      </c>
      <c r="F1805" s="127"/>
      <c r="G1805" s="576" t="str">
        <f ca="1">IF(OR(INDIRECT("'update Helper'!E"&amp;Q1805)="",F1805&lt;&gt;0,F1806&lt;&gt;0),IF(IFERROR((F1805/F1806),"")="","",(F1805/F1806)),INDIRECT("'update Helper'!E"&amp;Q1805)/100)</f>
        <v/>
      </c>
      <c r="H1805" s="539"/>
      <c r="I1805" s="578"/>
      <c r="J1805" s="532"/>
      <c r="K1805" s="126">
        <f ca="1">IF(AND(EXACT(C1805,C1803),C1803&lt;&gt;0),K1803+1,0)</f>
        <v>12</v>
      </c>
      <c r="L1805" s="126" t="str">
        <f t="shared" ref="L1805" ca="1" si="2009">IF(C1805&lt;&gt;"",C1805&amp;"-"&amp;K1805,"")</f>
        <v>VT-3 Percentage of women accessing antenatal care services who were tested for syphilis-12</v>
      </c>
      <c r="M1805" s="126" t="str">
        <f t="array" aca="1" ref="M1805" ca="1">IFERROR(IF(INDEX('Disaggregation Records'!$E$156:$E$517,MATCH(RIGHT(L1805,255),RIGHT('Disaggregation Records'!$D$156:$D$517,255),0))="","",INDEX('Disaggregation Records'!$E$156:$E$517,MATCH(RIGHT(L1805,255),RIGHT('Disaggregation Records'!$D$156:$D$517,255),0))),"")</f>
        <v/>
      </c>
      <c r="N1805" s="126" t="str">
        <f t="array" aca="1" ref="N1805" ca="1">IFERROR(IF(INDEX('Disaggregation Records'!$F$156:$F$517,MATCH(RIGHT(L1805,255),RIGHT('Disaggregation Records'!$D$156:$D$517,255),0))="","",INDEX('Disaggregation Records'!$F$156:$F$517,MATCH(RIGHT(L1805,255),RIGHT('Disaggregation Records'!$D$156:$D$517,255),0))),"")</f>
        <v/>
      </c>
      <c r="O1805" s="314" t="str">
        <f t="array" aca="1" ref="O1805" ca="1">IFERROR(IF(INDEX('Disaggregation Records'!$H$156:$H$517,MATCH(RIGHT(L1805,255),RIGHT('Disaggregation Records'!$D$156:$D$517,255),0))="","",INDEX('Disaggregation Records'!$H$156:$H$517,MATCH(RIGHT(L1805,255),RIGHT('Disaggregation Records'!$D$156:$D$517,255),0))),"")</f>
        <v/>
      </c>
      <c r="P1805" s="310"/>
      <c r="Q1805" s="310">
        <f t="shared" ref="Q1805" si="2010">Q1803+1</f>
        <v>2204</v>
      </c>
      <c r="R1805" s="314" t="str" cm="1">
        <f t="array" aca="1" ref="R1805" ca="1">IFERROR(IF(INDEX('Disaggregation Records'!$G$156:$G$517,MATCH(RIGHT(L1805,255),RIGHT('Disaggregation Records'!$D$156:$D$517,255),0))="","",INDEX('Disaggregation Records'!$G$156:$G$517,MATCH(RIGHT(L1805,255),RIGHT('Disaggregation Records'!$D$156:$D$517,255),0))),"")</f>
        <v/>
      </c>
    </row>
    <row r="1806" spans="1:18" ht="20.100000000000001" customHeight="1">
      <c r="A1806" s="126"/>
      <c r="B1806" s="571"/>
      <c r="C1806" s="573"/>
      <c r="D1806" s="575"/>
      <c r="E1806" s="575"/>
      <c r="F1806" s="128"/>
      <c r="G1806" s="577"/>
      <c r="H1806" s="540"/>
      <c r="I1806" s="579"/>
      <c r="J1806" s="533"/>
      <c r="L1806" s="126"/>
      <c r="N1806" s="126"/>
      <c r="O1806" s="314"/>
      <c r="P1806" s="310"/>
      <c r="Q1806" s="310"/>
      <c r="R1806" s="314" t="str" cm="1">
        <f t="array" ref="R1806">IFERROR(IF(INDEX('Disaggregation Records'!$G$156:$G$517,MATCH(RIGHT(L1806,255),RIGHT('Disaggregation Records'!$D$156:$D$517,255),0))="","",INDEX('Disaggregation Records'!$G$156:$G$517,MATCH(RIGHT(L1806,255),RIGHT('Disaggregation Records'!$D$156:$D$517,255),0))),"")</f>
        <v/>
      </c>
    </row>
    <row r="1807" spans="1:18" ht="20.100000000000001" customHeight="1">
      <c r="A1807" s="126" t="str">
        <f t="shared" ca="1" si="1982"/>
        <v>a16Dm000000M3zkIAC</v>
      </c>
      <c r="B1807" s="570">
        <v>30</v>
      </c>
      <c r="C1807" s="572" t="str">
        <f ca="1">IFERROR(VLOOKUP(B1807,'Coverage Indicators - Section D'!$A$9:$AO$94,41,FALSE),"")</f>
        <v>VT-3 Percentage of women accessing antenatal care services who were tested for syphilis</v>
      </c>
      <c r="D1807" s="574" t="str">
        <f ca="1">M1807</f>
        <v/>
      </c>
      <c r="E1807" s="574" t="str">
        <f ca="1">N1807</f>
        <v/>
      </c>
      <c r="F1807" s="127"/>
      <c r="G1807" s="576" t="str">
        <f ca="1">IF(OR(INDIRECT("'update Helper'!E"&amp;Q1807)="",F1807&lt;&gt;0,F1808&lt;&gt;0),IF(IFERROR((F1807/F1808),"")="","",(F1807/F1808)),INDIRECT("'update Helper'!E"&amp;Q1807)/100)</f>
        <v/>
      </c>
      <c r="H1807" s="539"/>
      <c r="I1807" s="578"/>
      <c r="J1807" s="532"/>
      <c r="K1807" s="126">
        <f ca="1">IF(AND(EXACT(C1807,C1805),C1805&lt;&gt;0),K1805+1,0)</f>
        <v>13</v>
      </c>
      <c r="L1807" s="126" t="str">
        <f t="shared" ref="L1807" ca="1" si="2011">IF(C1807&lt;&gt;"",C1807&amp;"-"&amp;K1807,"")</f>
        <v>VT-3 Percentage of women accessing antenatal care services who were tested for syphilis-13</v>
      </c>
      <c r="M1807" s="126" t="str">
        <f t="array" aca="1" ref="M1807" ca="1">IFERROR(IF(INDEX('Disaggregation Records'!$E$156:$E$517,MATCH(RIGHT(L1807,255),RIGHT('Disaggregation Records'!$D$156:$D$517,255),0))="","",INDEX('Disaggregation Records'!$E$156:$E$517,MATCH(RIGHT(L1807,255),RIGHT('Disaggregation Records'!$D$156:$D$517,255),0))),"")</f>
        <v/>
      </c>
      <c r="N1807" s="126" t="str">
        <f t="array" aca="1" ref="N1807" ca="1">IFERROR(IF(INDEX('Disaggregation Records'!$F$156:$F$517,MATCH(RIGHT(L1807,255),RIGHT('Disaggregation Records'!$D$156:$D$517,255),0))="","",INDEX('Disaggregation Records'!$F$156:$F$517,MATCH(RIGHT(L1807,255),RIGHT('Disaggregation Records'!$D$156:$D$517,255),0))),"")</f>
        <v/>
      </c>
      <c r="O1807" s="314" t="str">
        <f t="array" aca="1" ref="O1807" ca="1">IFERROR(IF(INDEX('Disaggregation Records'!$H$156:$H$517,MATCH(RIGHT(L1807,255),RIGHT('Disaggregation Records'!$D$156:$D$517,255),0))="","",INDEX('Disaggregation Records'!$H$156:$H$517,MATCH(RIGHT(L1807,255),RIGHT('Disaggregation Records'!$D$156:$D$517,255),0))),"")</f>
        <v/>
      </c>
      <c r="P1807" s="310"/>
      <c r="Q1807" s="310">
        <f t="shared" ref="Q1807" si="2012">Q1805+1</f>
        <v>2205</v>
      </c>
      <c r="R1807" s="314" t="str" cm="1">
        <f t="array" aca="1" ref="R1807" ca="1">IFERROR(IF(INDEX('Disaggregation Records'!$G$156:$G$517,MATCH(RIGHT(L1807,255),RIGHT('Disaggregation Records'!$D$156:$D$517,255),0))="","",INDEX('Disaggregation Records'!$G$156:$G$517,MATCH(RIGHT(L1807,255),RIGHT('Disaggregation Records'!$D$156:$D$517,255),0))),"")</f>
        <v/>
      </c>
    </row>
    <row r="1808" spans="1:18" ht="20.100000000000001" customHeight="1">
      <c r="B1808" s="571"/>
      <c r="C1808" s="573"/>
      <c r="D1808" s="575"/>
      <c r="E1808" s="575"/>
      <c r="F1808" s="128"/>
      <c r="G1808" s="577"/>
      <c r="H1808" s="540"/>
      <c r="I1808" s="579"/>
      <c r="J1808" s="533"/>
      <c r="L1808" s="126"/>
      <c r="N1808" s="126"/>
      <c r="O1808" s="314"/>
      <c r="P1808" s="310"/>
      <c r="Q1808" s="310"/>
      <c r="R1808" s="314" t="str" cm="1">
        <f t="array" ref="R1808">IFERROR(IF(INDEX('Disaggregation Records'!$G$156:$G$517,MATCH(RIGHT(L1808,255),RIGHT('Disaggregation Records'!$D$156:$D$517,255),0))="","",INDEX('Disaggregation Records'!$G$156:$G$517,MATCH(RIGHT(L1808,255),RIGHT('Disaggregation Records'!$D$156:$D$517,255),0))),"")</f>
        <v/>
      </c>
    </row>
    <row r="1809" spans="1:18" ht="20.100000000000001" customHeight="1">
      <c r="A1809" s="126" t="str">
        <f t="shared" ca="1" si="1979"/>
        <v>a16Dm000000M3zlIAC</v>
      </c>
      <c r="B1809" s="570">
        <v>30</v>
      </c>
      <c r="C1809" s="572" t="str">
        <f ca="1">IFERROR(VLOOKUP(B1809,'Coverage Indicators - Section D'!$A$9:$AO$94,41,FALSE),"")</f>
        <v>VT-3 Percentage of women accessing antenatal care services who were tested for syphilis</v>
      </c>
      <c r="D1809" s="574" t="str">
        <f ca="1">M1809</f>
        <v/>
      </c>
      <c r="E1809" s="574" t="str">
        <f ca="1">N1809</f>
        <v/>
      </c>
      <c r="F1809" s="127"/>
      <c r="G1809" s="576" t="str">
        <f ca="1">IF(OR(INDIRECT("'update Helper'!E"&amp;Q1809)="",F1809&lt;&gt;0,F1810&lt;&gt;0),IF(IFERROR((F1809/F1810),"")="","",(F1809/F1810)),INDIRECT("'update Helper'!E"&amp;Q1809)/100)</f>
        <v/>
      </c>
      <c r="H1809" s="539"/>
      <c r="I1809" s="578"/>
      <c r="J1809" s="532"/>
      <c r="K1809" s="126">
        <f ca="1">IF(AND(EXACT(C1809,C1807),C1807&lt;&gt;0),K1807+1,0)</f>
        <v>14</v>
      </c>
      <c r="L1809" s="126" t="str">
        <f t="shared" ref="L1809" ca="1" si="2013">IF(C1809&lt;&gt;"",C1809&amp;"-"&amp;K1809,"")</f>
        <v>VT-3 Percentage of women accessing antenatal care services who were tested for syphilis-14</v>
      </c>
      <c r="M1809" s="126" t="str">
        <f t="array" aca="1" ref="M1809" ca="1">IFERROR(IF(INDEX('Disaggregation Records'!$E$156:$E$517,MATCH(RIGHT(L1809,255),RIGHT('Disaggregation Records'!$D$156:$D$517,255),0))="","",INDEX('Disaggregation Records'!$E$156:$E$517,MATCH(RIGHT(L1809,255),RIGHT('Disaggregation Records'!$D$156:$D$517,255),0))),"")</f>
        <v/>
      </c>
      <c r="N1809" s="126" t="str">
        <f t="array" aca="1" ref="N1809" ca="1">IFERROR(IF(INDEX('Disaggregation Records'!$F$156:$F$517,MATCH(RIGHT(L1809,255),RIGHT('Disaggregation Records'!$D$156:$D$517,255),0))="","",INDEX('Disaggregation Records'!$F$156:$F$517,MATCH(RIGHT(L1809,255),RIGHT('Disaggregation Records'!$D$156:$D$517,255),0))),"")</f>
        <v/>
      </c>
      <c r="O1809" s="314" t="str">
        <f t="array" aca="1" ref="O1809" ca="1">IFERROR(IF(INDEX('Disaggregation Records'!$H$156:$H$517,MATCH(RIGHT(L1809,255),RIGHT('Disaggregation Records'!$D$156:$D$517,255),0))="","",INDEX('Disaggregation Records'!$H$156:$H$517,MATCH(RIGHT(L1809,255),RIGHT('Disaggregation Records'!$D$156:$D$517,255),0))),"")</f>
        <v/>
      </c>
      <c r="P1809" s="310"/>
      <c r="Q1809" s="310">
        <f t="shared" ref="Q1809" si="2014">Q1807+1</f>
        <v>2206</v>
      </c>
      <c r="R1809" s="314" t="str" cm="1">
        <f t="array" aca="1" ref="R1809" ca="1">IFERROR(IF(INDEX('Disaggregation Records'!$G$156:$G$517,MATCH(RIGHT(L1809,255),RIGHT('Disaggregation Records'!$D$156:$D$517,255),0))="","",INDEX('Disaggregation Records'!$G$156:$G$517,MATCH(RIGHT(L1809,255),RIGHT('Disaggregation Records'!$D$156:$D$517,255),0))),"")</f>
        <v/>
      </c>
    </row>
    <row r="1810" spans="1:18" ht="20.100000000000001" customHeight="1">
      <c r="A1810" s="126"/>
      <c r="B1810" s="571"/>
      <c r="C1810" s="573"/>
      <c r="D1810" s="575"/>
      <c r="E1810" s="575"/>
      <c r="F1810" s="128"/>
      <c r="G1810" s="577"/>
      <c r="H1810" s="540"/>
      <c r="I1810" s="579"/>
      <c r="J1810" s="533"/>
      <c r="L1810" s="126"/>
      <c r="N1810" s="126"/>
      <c r="O1810" s="314"/>
      <c r="P1810" s="310"/>
      <c r="Q1810" s="310"/>
      <c r="R1810" s="314" t="str" cm="1">
        <f t="array" ref="R1810">IFERROR(IF(INDEX('Disaggregation Records'!$G$156:$G$517,MATCH(RIGHT(L1810,255),RIGHT('Disaggregation Records'!$D$156:$D$517,255),0))="","",INDEX('Disaggregation Records'!$G$156:$G$517,MATCH(RIGHT(L1810,255),RIGHT('Disaggregation Records'!$D$156:$D$517,255),0))),"")</f>
        <v/>
      </c>
    </row>
    <row r="1811" spans="1:18" ht="20.100000000000001" customHeight="1">
      <c r="A1811" s="126" t="str">
        <f t="shared" ca="1" si="1982"/>
        <v>a16Dm000000M3zmIAC</v>
      </c>
      <c r="B1811" s="570">
        <v>30</v>
      </c>
      <c r="C1811" s="572" t="str">
        <f ca="1">IFERROR(VLOOKUP(B1811,'Coverage Indicators - Section D'!$A$9:$AO$94,41,FALSE),"")</f>
        <v>VT-3 Percentage of women accessing antenatal care services who were tested for syphilis</v>
      </c>
      <c r="D1811" s="574" t="str">
        <f ca="1">M1811</f>
        <v/>
      </c>
      <c r="E1811" s="574" t="str">
        <f ca="1">N1811</f>
        <v/>
      </c>
      <c r="F1811" s="127"/>
      <c r="G1811" s="576" t="str">
        <f ca="1">IF(OR(INDIRECT("'update Helper'!E"&amp;Q1811)="",F1811&lt;&gt;0,F1812&lt;&gt;0),IF(IFERROR((F1811/F1812),"")="","",(F1811/F1812)),INDIRECT("'update Helper'!E"&amp;Q1811)/100)</f>
        <v/>
      </c>
      <c r="H1811" s="539"/>
      <c r="I1811" s="578"/>
      <c r="J1811" s="532"/>
      <c r="K1811" s="126">
        <f ca="1">IF(AND(EXACT(C1811,C1809),C1809&lt;&gt;0),K1809+1,0)</f>
        <v>15</v>
      </c>
      <c r="L1811" s="126" t="str">
        <f t="shared" ref="L1811" ca="1" si="2015">IF(C1811&lt;&gt;"",C1811&amp;"-"&amp;K1811,"")</f>
        <v>VT-3 Percentage of women accessing antenatal care services who were tested for syphilis-15</v>
      </c>
      <c r="M1811" s="126" t="str">
        <f t="array" aca="1" ref="M1811" ca="1">IFERROR(IF(INDEX('Disaggregation Records'!$E$156:$E$517,MATCH(RIGHT(L1811,255),RIGHT('Disaggregation Records'!$D$156:$D$517,255),0))="","",INDEX('Disaggregation Records'!$E$156:$E$517,MATCH(RIGHT(L1811,255),RIGHT('Disaggregation Records'!$D$156:$D$517,255),0))),"")</f>
        <v/>
      </c>
      <c r="N1811" s="126" t="str">
        <f t="array" aca="1" ref="N1811" ca="1">IFERROR(IF(INDEX('Disaggregation Records'!$F$156:$F$517,MATCH(RIGHT(L1811,255),RIGHT('Disaggregation Records'!$D$156:$D$517,255),0))="","",INDEX('Disaggregation Records'!$F$156:$F$517,MATCH(RIGHT(L1811,255),RIGHT('Disaggregation Records'!$D$156:$D$517,255),0))),"")</f>
        <v/>
      </c>
      <c r="O1811" s="314" t="str">
        <f t="array" aca="1" ref="O1811" ca="1">IFERROR(IF(INDEX('Disaggregation Records'!$H$156:$H$517,MATCH(RIGHT(L1811,255),RIGHT('Disaggregation Records'!$D$156:$D$517,255),0))="","",INDEX('Disaggregation Records'!$H$156:$H$517,MATCH(RIGHT(L1811,255),RIGHT('Disaggregation Records'!$D$156:$D$517,255),0))),"")</f>
        <v/>
      </c>
      <c r="P1811" s="314"/>
      <c r="Q1811" s="310">
        <f t="shared" ref="Q1811" si="2016">Q1809+1</f>
        <v>2207</v>
      </c>
      <c r="R1811" s="314" t="str" cm="1">
        <f t="array" aca="1" ref="R1811" ca="1">IFERROR(IF(INDEX('Disaggregation Records'!$G$156:$G$517,MATCH(RIGHT(L1811,255),RIGHT('Disaggregation Records'!$D$156:$D$517,255),0))="","",INDEX('Disaggregation Records'!$G$156:$G$517,MATCH(RIGHT(L1811,255),RIGHT('Disaggregation Records'!$D$156:$D$517,255),0))),"")</f>
        <v/>
      </c>
    </row>
    <row r="1812" spans="1:18" ht="20.100000000000001" customHeight="1">
      <c r="B1812" s="571"/>
      <c r="C1812" s="573"/>
      <c r="D1812" s="575"/>
      <c r="E1812" s="575"/>
      <c r="F1812" s="128"/>
      <c r="G1812" s="577"/>
      <c r="H1812" s="540"/>
      <c r="I1812" s="579"/>
      <c r="J1812" s="533"/>
      <c r="K1812" s="126"/>
      <c r="L1812" s="126"/>
      <c r="M1812" s="126"/>
      <c r="N1812" s="126"/>
      <c r="O1812" s="314"/>
      <c r="P1812" s="314"/>
      <c r="Q1812" s="310"/>
      <c r="R1812" s="314" t="str" cm="1">
        <f t="array" ref="R1812">IFERROR(IF(INDEX('Disaggregation Records'!$G$156:$G$517,MATCH(RIGHT(L1812,255),RIGHT('Disaggregation Records'!$D$156:$D$517,255),0))="","",INDEX('Disaggregation Records'!$G$156:$G$517,MATCH(RIGHT(L1812,255),RIGHT('Disaggregation Records'!$D$156:$D$517,255),0))),"")</f>
        <v/>
      </c>
    </row>
    <row r="1813" spans="1:18" ht="20.100000000000001" customHeight="1">
      <c r="A1813" s="126" t="str">
        <f t="shared" ca="1" si="1979"/>
        <v>a16Dm000000M3znIAC</v>
      </c>
      <c r="B1813" s="570">
        <v>30</v>
      </c>
      <c r="C1813" s="572" t="str">
        <f ca="1">IFERROR(VLOOKUP(B1813,'Coverage Indicators - Section D'!$A$9:$AO$94,41,FALSE),"")</f>
        <v>VT-3 Percentage of women accessing antenatal care services who were tested for syphilis</v>
      </c>
      <c r="D1813" s="574" t="str">
        <f ca="1">M1813</f>
        <v/>
      </c>
      <c r="E1813" s="574" t="str">
        <f ca="1">N1813</f>
        <v/>
      </c>
      <c r="F1813" s="127"/>
      <c r="G1813" s="576" t="str">
        <f ca="1">IF(OR(INDIRECT("'update Helper'!E"&amp;Q1813)="",F1813&lt;&gt;0,F1814&lt;&gt;0),IF(IFERROR((F1813/F1814),"")="","",(F1813/F1814)),INDIRECT("'update Helper'!E"&amp;Q1813)/100)</f>
        <v/>
      </c>
      <c r="H1813" s="539"/>
      <c r="I1813" s="578"/>
      <c r="J1813" s="532"/>
      <c r="K1813" s="126">
        <f ca="1">IF(AND(EXACT(C1813,C1811),C1811&lt;&gt;0),K1811+1,0)</f>
        <v>16</v>
      </c>
      <c r="L1813" s="126" t="str">
        <f t="shared" ref="L1813" ca="1" si="2017">IF(C1813&lt;&gt;"",C1813&amp;"-"&amp;K1813,"")</f>
        <v>VT-3 Percentage of women accessing antenatal care services who were tested for syphilis-16</v>
      </c>
      <c r="M1813" s="126" t="str">
        <f t="array" aca="1" ref="M1813" ca="1">IFERROR(IF(INDEX('Disaggregation Records'!$E$156:$E$517,MATCH(RIGHT(L1813,255),RIGHT('Disaggregation Records'!$D$156:$D$517,255),0))="","",INDEX('Disaggregation Records'!$E$156:$E$517,MATCH(RIGHT(L1813,255),RIGHT('Disaggregation Records'!$D$156:$D$517,255),0))),"")</f>
        <v/>
      </c>
      <c r="N1813" s="126" t="str">
        <f t="array" aca="1" ref="N1813" ca="1">IFERROR(IF(INDEX('Disaggregation Records'!$F$156:$F$517,MATCH(RIGHT(L1813,255),RIGHT('Disaggregation Records'!$D$156:$D$517,255),0))="","",INDEX('Disaggregation Records'!$F$156:$F$517,MATCH(RIGHT(L1813,255),RIGHT('Disaggregation Records'!$D$156:$D$517,255),0))),"")</f>
        <v/>
      </c>
      <c r="O1813" s="314" t="str">
        <f t="array" aca="1" ref="O1813" ca="1">IFERROR(IF(INDEX('Disaggregation Records'!$H$156:$H$517,MATCH(RIGHT(L1813,255),RIGHT('Disaggregation Records'!$D$156:$D$517,255),0))="","",INDEX('Disaggregation Records'!$H$156:$H$517,MATCH(RIGHT(L1813,255),RIGHT('Disaggregation Records'!$D$156:$D$517,255),0))),"")</f>
        <v/>
      </c>
      <c r="P1813" s="314"/>
      <c r="Q1813" s="310">
        <f t="shared" ref="Q1813" si="2018">Q1811+1</f>
        <v>2208</v>
      </c>
      <c r="R1813" s="314" t="str" cm="1">
        <f t="array" aca="1" ref="R1813" ca="1">IFERROR(IF(INDEX('Disaggregation Records'!$G$156:$G$517,MATCH(RIGHT(L1813,255),RIGHT('Disaggregation Records'!$D$156:$D$517,255),0))="","",INDEX('Disaggregation Records'!$G$156:$G$517,MATCH(RIGHT(L1813,255),RIGHT('Disaggregation Records'!$D$156:$D$517,255),0))),"")</f>
        <v/>
      </c>
    </row>
    <row r="1814" spans="1:18" ht="20.100000000000001" customHeight="1">
      <c r="A1814" s="126"/>
      <c r="B1814" s="571"/>
      <c r="C1814" s="573"/>
      <c r="D1814" s="575"/>
      <c r="E1814" s="575"/>
      <c r="F1814" s="128"/>
      <c r="G1814" s="577"/>
      <c r="H1814" s="540"/>
      <c r="I1814" s="579"/>
      <c r="J1814" s="533"/>
      <c r="K1814" s="126"/>
      <c r="L1814" s="126"/>
      <c r="M1814" s="126"/>
      <c r="N1814" s="126"/>
      <c r="O1814" s="314"/>
      <c r="P1814" s="314"/>
      <c r="Q1814" s="310"/>
      <c r="R1814" s="314" t="str" cm="1">
        <f t="array" ref="R1814">IFERROR(IF(INDEX('Disaggregation Records'!$G$156:$G$517,MATCH(RIGHT(L1814,255),RIGHT('Disaggregation Records'!$D$156:$D$517,255),0))="","",INDEX('Disaggregation Records'!$G$156:$G$517,MATCH(RIGHT(L1814,255),RIGHT('Disaggregation Records'!$D$156:$D$517,255),0))),"")</f>
        <v/>
      </c>
    </row>
    <row r="1815" spans="1:18" ht="20.100000000000001" customHeight="1">
      <c r="A1815" s="126" t="str">
        <f t="shared" ca="1" si="1982"/>
        <v>a16Dm000000M3zoIAC</v>
      </c>
      <c r="B1815" s="570">
        <v>30</v>
      </c>
      <c r="C1815" s="572" t="str">
        <f ca="1">IFERROR(VLOOKUP(B1815,'Coverage Indicators - Section D'!$A$9:$AO$94,41,FALSE),"")</f>
        <v>VT-3 Percentage of women accessing antenatal care services who were tested for syphilis</v>
      </c>
      <c r="D1815" s="574" t="str">
        <f ca="1">M1815</f>
        <v/>
      </c>
      <c r="E1815" s="574" t="str">
        <f ca="1">N1815</f>
        <v/>
      </c>
      <c r="F1815" s="127"/>
      <c r="G1815" s="576" t="str">
        <f ca="1">IF(OR(INDIRECT("'update Helper'!E"&amp;Q1815)="",F1815&lt;&gt;0,F1816&lt;&gt;0),IF(IFERROR((F1815/F1816),"")="","",(F1815/F1816)),INDIRECT("'update Helper'!E"&amp;Q1815)/100)</f>
        <v/>
      </c>
      <c r="H1815" s="539"/>
      <c r="I1815" s="578"/>
      <c r="J1815" s="532"/>
      <c r="K1815" s="126">
        <f ca="1">IF(AND(EXACT(C1815,C1813),C1813&lt;&gt;0),K1813+1,0)</f>
        <v>17</v>
      </c>
      <c r="L1815" s="126" t="str">
        <f t="shared" ref="L1815" ca="1" si="2019">IF(C1815&lt;&gt;"",C1815&amp;"-"&amp;K1815,"")</f>
        <v>VT-3 Percentage of women accessing antenatal care services who were tested for syphilis-17</v>
      </c>
      <c r="M1815" s="126" t="str">
        <f t="array" aca="1" ref="M1815" ca="1">IFERROR(IF(INDEX('Disaggregation Records'!$E$156:$E$517,MATCH(RIGHT(L1815,255),RIGHT('Disaggregation Records'!$D$156:$D$517,255),0))="","",INDEX('Disaggregation Records'!$E$156:$E$517,MATCH(RIGHT(L1815,255),RIGHT('Disaggregation Records'!$D$156:$D$517,255),0))),"")</f>
        <v/>
      </c>
      <c r="N1815" s="126" t="str">
        <f t="array" aca="1" ref="N1815" ca="1">IFERROR(IF(INDEX('Disaggregation Records'!$F$156:$F$517,MATCH(RIGHT(L1815,255),RIGHT('Disaggregation Records'!$D$156:$D$517,255),0))="","",INDEX('Disaggregation Records'!$F$156:$F$517,MATCH(RIGHT(L1815,255),RIGHT('Disaggregation Records'!$D$156:$D$517,255),0))),"")</f>
        <v/>
      </c>
      <c r="O1815" s="314" t="str">
        <f t="array" aca="1" ref="O1815" ca="1">IFERROR(IF(INDEX('Disaggregation Records'!$H$156:$H$517,MATCH(RIGHT(L1815,255),RIGHT('Disaggregation Records'!$D$156:$D$517,255),0))="","",INDEX('Disaggregation Records'!$H$156:$H$517,MATCH(RIGHT(L1815,255),RIGHT('Disaggregation Records'!$D$156:$D$517,255),0))),"")</f>
        <v/>
      </c>
      <c r="P1815" s="310"/>
      <c r="Q1815" s="310">
        <f t="shared" ref="Q1815" si="2020">Q1813+1</f>
        <v>2209</v>
      </c>
      <c r="R1815" s="314" t="str" cm="1">
        <f t="array" aca="1" ref="R1815" ca="1">IFERROR(IF(INDEX('Disaggregation Records'!$G$156:$G$517,MATCH(RIGHT(L1815,255),RIGHT('Disaggregation Records'!$D$156:$D$517,255),0))="","",INDEX('Disaggregation Records'!$G$156:$G$517,MATCH(RIGHT(L1815,255),RIGHT('Disaggregation Records'!$D$156:$D$517,255),0))),"")</f>
        <v/>
      </c>
    </row>
    <row r="1816" spans="1:18" ht="20.100000000000001" customHeight="1">
      <c r="B1816" s="571"/>
      <c r="C1816" s="573"/>
      <c r="D1816" s="575"/>
      <c r="E1816" s="575"/>
      <c r="F1816" s="128"/>
      <c r="G1816" s="577"/>
      <c r="H1816" s="540"/>
      <c r="I1816" s="579"/>
      <c r="J1816" s="533"/>
      <c r="L1816" s="126"/>
      <c r="N1816" s="126"/>
      <c r="O1816" s="314"/>
      <c r="P1816" s="310"/>
      <c r="Q1816" s="310"/>
      <c r="R1816" s="314" t="str" cm="1">
        <f t="array" ref="R1816">IFERROR(IF(INDEX('Disaggregation Records'!$G$156:$G$517,MATCH(RIGHT(L1816,255),RIGHT('Disaggregation Records'!$D$156:$D$517,255),0))="","",INDEX('Disaggregation Records'!$G$156:$G$517,MATCH(RIGHT(L1816,255),RIGHT('Disaggregation Records'!$D$156:$D$517,255),0))),"")</f>
        <v/>
      </c>
    </row>
    <row r="1817" spans="1:18" ht="20.100000000000001" customHeight="1">
      <c r="A1817" s="126" t="str">
        <f t="shared" ca="1" si="1979"/>
        <v>a16Dm000000M3zpIAC</v>
      </c>
      <c r="B1817" s="570">
        <v>30</v>
      </c>
      <c r="C1817" s="572" t="str">
        <f ca="1">IFERROR(VLOOKUP(B1817,'Coverage Indicators - Section D'!$A$9:$AO$94,41,FALSE),"")</f>
        <v>VT-3 Percentage of women accessing antenatal care services who were tested for syphilis</v>
      </c>
      <c r="D1817" s="574" t="str">
        <f ca="1">M1817</f>
        <v/>
      </c>
      <c r="E1817" s="574" t="str">
        <f ca="1">N1817</f>
        <v/>
      </c>
      <c r="F1817" s="127"/>
      <c r="G1817" s="576" t="str">
        <f ca="1">IF(OR(INDIRECT("'update Helper'!E"&amp;Q1817)="",F1817&lt;&gt;0,F1818&lt;&gt;0),IF(IFERROR((F1817/F1818),"")="","",(F1817/F1818)),INDIRECT("'update Helper'!E"&amp;Q1817)/100)</f>
        <v/>
      </c>
      <c r="H1817" s="539"/>
      <c r="I1817" s="578"/>
      <c r="J1817" s="532"/>
      <c r="K1817" s="126">
        <f ca="1">IF(AND(EXACT(C1817,C1815),C1815&lt;&gt;0),K1815+1,0)</f>
        <v>18</v>
      </c>
      <c r="L1817" s="126" t="str">
        <f t="shared" ref="L1817" ca="1" si="2021">IF(C1817&lt;&gt;"",C1817&amp;"-"&amp;K1817,"")</f>
        <v>VT-3 Percentage of women accessing antenatal care services who were tested for syphilis-18</v>
      </c>
      <c r="M1817" s="126" t="str">
        <f t="array" aca="1" ref="M1817" ca="1">IFERROR(IF(INDEX('Disaggregation Records'!$E$156:$E$517,MATCH(RIGHT(L1817,255),RIGHT('Disaggregation Records'!$D$156:$D$517,255),0))="","",INDEX('Disaggregation Records'!$E$156:$E$517,MATCH(RIGHT(L1817,255),RIGHT('Disaggregation Records'!$D$156:$D$517,255),0))),"")</f>
        <v/>
      </c>
      <c r="N1817" s="126" t="str">
        <f t="array" aca="1" ref="N1817" ca="1">IFERROR(IF(INDEX('Disaggregation Records'!$F$156:$F$517,MATCH(RIGHT(L1817,255),RIGHT('Disaggregation Records'!$D$156:$D$517,255),0))="","",INDEX('Disaggregation Records'!$F$156:$F$517,MATCH(RIGHT(L1817,255),RIGHT('Disaggregation Records'!$D$156:$D$517,255),0))),"")</f>
        <v/>
      </c>
      <c r="O1817" s="314" t="str">
        <f t="array" aca="1" ref="O1817" ca="1">IFERROR(IF(INDEX('Disaggregation Records'!$H$156:$H$517,MATCH(RIGHT(L1817,255),RIGHT('Disaggregation Records'!$D$156:$D$517,255),0))="","",INDEX('Disaggregation Records'!$H$156:$H$517,MATCH(RIGHT(L1817,255),RIGHT('Disaggregation Records'!$D$156:$D$517,255),0))),"")</f>
        <v/>
      </c>
      <c r="P1817" s="310"/>
      <c r="Q1817" s="310">
        <f t="shared" ref="Q1817" si="2022">Q1815+1</f>
        <v>2210</v>
      </c>
      <c r="R1817" s="314" t="str" cm="1">
        <f t="array" aca="1" ref="R1817" ca="1">IFERROR(IF(INDEX('Disaggregation Records'!$G$156:$G$517,MATCH(RIGHT(L1817,255),RIGHT('Disaggregation Records'!$D$156:$D$517,255),0))="","",INDEX('Disaggregation Records'!$G$156:$G$517,MATCH(RIGHT(L1817,255),RIGHT('Disaggregation Records'!$D$156:$D$517,255),0))),"")</f>
        <v/>
      </c>
    </row>
    <row r="1818" spans="1:18" ht="20.100000000000001" customHeight="1">
      <c r="A1818" s="126"/>
      <c r="B1818" s="571"/>
      <c r="C1818" s="573"/>
      <c r="D1818" s="575"/>
      <c r="E1818" s="575"/>
      <c r="F1818" s="128"/>
      <c r="G1818" s="577"/>
      <c r="H1818" s="540"/>
      <c r="I1818" s="579"/>
      <c r="J1818" s="533"/>
      <c r="L1818" s="126"/>
      <c r="N1818" s="126"/>
      <c r="O1818" s="314"/>
      <c r="P1818" s="310"/>
      <c r="Q1818" s="310"/>
      <c r="R1818" s="314" t="str" cm="1">
        <f t="array" ref="R1818">IFERROR(IF(INDEX('Disaggregation Records'!$G$156:$G$517,MATCH(RIGHT(L1818,255),RIGHT('Disaggregation Records'!$D$156:$D$517,255),0))="","",INDEX('Disaggregation Records'!$G$156:$G$517,MATCH(RIGHT(L1818,255),RIGHT('Disaggregation Records'!$D$156:$D$517,255),0))),"")</f>
        <v/>
      </c>
    </row>
    <row r="1819" spans="1:18" s="126" customFormat="1" ht="20.100000000000001" customHeight="1">
      <c r="A1819" s="126" t="str">
        <f t="shared" ref="A1819" ca="1" si="2023">INDIRECT("'update Helper'!C"&amp;Q1819)</f>
        <v>a16Dm000000M3qBIAS</v>
      </c>
      <c r="B1819" s="570">
        <v>30</v>
      </c>
      <c r="C1819" s="572" t="str">
        <f ca="1">IFERROR(VLOOKUP(B1819,'Coverage Indicators - Section D'!$A$9:$AO$94,41,FALSE),"")</f>
        <v>VT-3 Percentage of women accessing antenatal care services who were tested for syphilis</v>
      </c>
      <c r="D1819" s="574" t="str">
        <f ca="1">M1819</f>
        <v/>
      </c>
      <c r="E1819" s="574" t="str">
        <f ca="1">N1819</f>
        <v/>
      </c>
      <c r="F1819" s="127">
        <v>187489</v>
      </c>
      <c r="G1819" s="576">
        <f ca="1">IF(OR(INDIRECT("'update Helper'!E"&amp;Q1819)="",F1819&lt;&gt;0,F1820&lt;&gt;0),IF(IFERROR((F1819/F1820),"")="","",(F1819/F1820)),INDIRECT("'update Helper'!E"&amp;Q1819)/100)</f>
        <v>0.87444964740121633</v>
      </c>
      <c r="H1819" s="539">
        <v>2021</v>
      </c>
      <c r="I1819" s="578" t="s">
        <v>780</v>
      </c>
      <c r="J1819" s="532" t="s">
        <v>2273</v>
      </c>
      <c r="K1819" s="126">
        <f ca="1">IF(AND(EXACT(C1819,C1817),C1817&lt;&gt;0),K1817+1,0)</f>
        <v>19</v>
      </c>
      <c r="L1819" s="126" t="str">
        <f ca="1">IF(C1819&lt;&gt;"",C1819&amp;"-"&amp;K1819,"")</f>
        <v>VT-3 Percentage of women accessing antenatal care services who were tested for syphilis-19</v>
      </c>
      <c r="M1819" s="126" t="str">
        <f t="array" aca="1" ref="M1819" ca="1">IFERROR(IF(INDEX('Disaggregation Records'!$E$156:$E$517,MATCH(RIGHT(L1819,255),RIGHT('Disaggregation Records'!$D$156:$D$517,255),0))="","",INDEX('Disaggregation Records'!$E$156:$E$517,MATCH(RIGHT(L1819,255),RIGHT('Disaggregation Records'!$D$156:$D$517,255),0))),"")</f>
        <v/>
      </c>
      <c r="N1819" s="126" t="str">
        <f t="array" aca="1" ref="N1819" ca="1">IFERROR(IF(INDEX('Disaggregation Records'!$F$156:$F$517,MATCH(RIGHT(L1819,255),RIGHT('Disaggregation Records'!$D$156:$D$517,255),0))="","",INDEX('Disaggregation Records'!$F$156:$F$517,MATCH(RIGHT(L1819,255),RIGHT('Disaggregation Records'!$D$156:$D$517,255),0))),"")</f>
        <v/>
      </c>
      <c r="O1819" s="314" t="str">
        <f t="array" aca="1" ref="O1819" ca="1">IFERROR(IF(INDEX('Disaggregation Records'!$H$156:$H$517,MATCH(RIGHT(L1819,255),RIGHT('Disaggregation Records'!$D$156:$D$517,255),0))="","",INDEX('Disaggregation Records'!$H$156:$H$517,MATCH(RIGHT(L1819,255),RIGHT('Disaggregation Records'!$D$156:$D$517,255),0))),"")</f>
        <v/>
      </c>
      <c r="P1819" s="314"/>
      <c r="Q1819" s="314">
        <f>ROW(Coverage_Indicator_Disaggregation)+3</f>
        <v>1612</v>
      </c>
      <c r="R1819" s="314" t="str" cm="1">
        <f t="array" aca="1" ref="R1819" ca="1">IFERROR(IF(INDEX('Disaggregation Records'!$G$156:$G$517,MATCH(RIGHT(L1819,255),RIGHT('Disaggregation Records'!$D$156:$D$517,255),0))="","",INDEX('Disaggregation Records'!$G$156:$G$517,MATCH(RIGHT(L1819,255),RIGHT('Disaggregation Records'!$D$156:$D$517,255),0))),"")</f>
        <v/>
      </c>
    </row>
    <row r="1820" spans="1:18" s="126" customFormat="1" ht="20.100000000000001" customHeight="1">
      <c r="B1820" s="571"/>
      <c r="C1820" s="573"/>
      <c r="D1820" s="575"/>
      <c r="E1820" s="575"/>
      <c r="F1820" s="128">
        <v>214408</v>
      </c>
      <c r="G1820" s="577"/>
      <c r="H1820" s="540"/>
      <c r="I1820" s="579"/>
      <c r="J1820" s="533"/>
      <c r="O1820" s="314"/>
      <c r="P1820" s="314"/>
      <c r="Q1820" s="314"/>
      <c r="R1820" s="314" t="str" cm="1">
        <f t="array" ref="R1820">IFERROR(IF(INDEX('Disaggregation Records'!$G$156:$G$517,MATCH(RIGHT(L1820,255),RIGHT('Disaggregation Records'!$D$156:$D$517,255),0))="","",INDEX('Disaggregation Records'!$G$156:$G$517,MATCH(RIGHT(L1820,255),RIGHT('Disaggregation Records'!$D$156:$D$517,255),0))),"")</f>
        <v/>
      </c>
    </row>
    <row r="1821" spans="1:18" ht="20.100000000000001" customHeight="1">
      <c r="A1821" s="126" t="str">
        <f t="shared" ref="A1821" ca="1" si="2024">INDIRECT("'update Helper'!C"&amp;Q1821)</f>
        <v>a16Dm000000M3qCIAS</v>
      </c>
      <c r="B1821" s="570">
        <v>31</v>
      </c>
      <c r="C1821" s="572" t="str">
        <f ca="1">IFERROR(VLOOKUP(B1821,'Coverage Indicators - Section D'!$A$9:$AO$94,41,FALSE),"")</f>
        <v>TCS-1.1 Percentage of people on ART among all people living with HIV at the end of the reporting period</v>
      </c>
      <c r="D1821" s="574" t="str">
        <f ca="1">M1821</f>
        <v>Gender</v>
      </c>
      <c r="E1821" s="574" t="str">
        <f t="shared" ref="E1821" ca="1" si="2025">N1821</f>
        <v>Male</v>
      </c>
      <c r="F1821" s="127"/>
      <c r="G1821" s="576"/>
      <c r="H1821" s="539"/>
      <c r="I1821" s="578"/>
      <c r="J1821" s="532"/>
      <c r="K1821" s="126">
        <f ca="1">IF(AND(EXACT(C1821,C1819),C1819&lt;&gt;0),K1819+1,0)</f>
        <v>0</v>
      </c>
      <c r="L1821" s="126" t="str">
        <f t="shared" ref="L1821" ca="1" si="2026">IF(C1821&lt;&gt;"",C1821&amp;"-"&amp;K1821,"")</f>
        <v>TCS-1.1 Percentage of people on ART among all people living with HIV at the end of the reporting period-0</v>
      </c>
      <c r="M1821" s="126" t="str">
        <f t="array" aca="1" ref="M1821" ca="1">IFERROR(IF(INDEX('Disaggregation Records'!$E$156:$E$517,MATCH(RIGHT(L1821,255),RIGHT('Disaggregation Records'!$D$156:$D$517,255),0))="","",INDEX('Disaggregation Records'!$E$156:$E$517,MATCH(RIGHT(L1821,255),RIGHT('Disaggregation Records'!$D$156:$D$517,255),0))),"")</f>
        <v>Gender</v>
      </c>
      <c r="N1821" s="126" t="str">
        <f t="array" aca="1" ref="N1821" ca="1">IFERROR(IF(INDEX('Disaggregation Records'!$F$156:$F$517,MATCH(RIGHT(L1821,255),RIGHT('Disaggregation Records'!$D$156:$D$517,255),0))="","",INDEX('Disaggregation Records'!$F$156:$F$517,MATCH(RIGHT(L1821,255),RIGHT('Disaggregation Records'!$D$156:$D$517,255),0))),"")</f>
        <v>Male</v>
      </c>
      <c r="O1821" s="314" t="str">
        <f t="array" aca="1" ref="O1821" ca="1">IFERROR(IF(INDEX('Disaggregation Records'!$H$156:$H$517,MATCH(RIGHT(L1821,255),RIGHT('Disaggregation Records'!$D$156:$D$517,255),0))="","",INDEX('Disaggregation Records'!$H$156:$H$517,MATCH(RIGHT(L1821,255),RIGHT('Disaggregation Records'!$D$156:$D$517,255),0))),"")</f>
        <v>IDR-01298</v>
      </c>
      <c r="P1821" s="314"/>
      <c r="Q1821" s="310">
        <f>Q1819+1</f>
        <v>1613</v>
      </c>
      <c r="R1821" s="314" t="str" cm="1">
        <f t="array" aca="1" ref="R1821" ca="1">IFERROR(IF(INDEX('Disaggregation Records'!$G$156:$G$517,MATCH(RIGHT(L1821,255),RIGHT('Disaggregation Records'!$D$156:$D$517,255),0))="","",INDEX('Disaggregation Records'!$G$156:$G$517,MATCH(RIGHT(L1821,255),RIGHT('Disaggregation Records'!$D$156:$D$517,255),0))),"")</f>
        <v>a1LDm000000Cb3gMAC</v>
      </c>
    </row>
    <row r="1822" spans="1:18" ht="20.100000000000001" customHeight="1">
      <c r="B1822" s="571"/>
      <c r="C1822" s="573"/>
      <c r="D1822" s="575"/>
      <c r="E1822" s="575"/>
      <c r="F1822" s="128"/>
      <c r="G1822" s="577"/>
      <c r="H1822" s="540"/>
      <c r="I1822" s="579"/>
      <c r="J1822" s="533"/>
      <c r="K1822" s="126"/>
      <c r="L1822" s="126"/>
      <c r="M1822" s="126"/>
      <c r="N1822" s="126"/>
      <c r="O1822" s="314"/>
      <c r="P1822" s="314"/>
      <c r="Q1822" s="310"/>
      <c r="R1822" s="314" t="str" cm="1">
        <f t="array" ref="R1822">IFERROR(IF(INDEX('Disaggregation Records'!$G$156:$G$517,MATCH(RIGHT(L1822,255),RIGHT('Disaggregation Records'!$D$156:$D$517,255),0))="","",INDEX('Disaggregation Records'!$G$156:$G$517,MATCH(RIGHT(L1822,255),RIGHT('Disaggregation Records'!$D$156:$D$517,255),0))),"")</f>
        <v/>
      </c>
    </row>
    <row r="1823" spans="1:18" ht="20.100000000000001" customHeight="1">
      <c r="A1823" s="126" t="str">
        <f t="shared" ref="A1823:A1883" ca="1" si="2027">INDIRECT("'update Helper'!C"&amp;Q1823)</f>
        <v>a16Dm000000M3qDIAS</v>
      </c>
      <c r="B1823" s="570">
        <v>31</v>
      </c>
      <c r="C1823" s="572" t="str">
        <f ca="1">IFERROR(VLOOKUP(B1823,'Coverage Indicators - Section D'!$A$9:$AO$94,41,FALSE),"")</f>
        <v>TCS-1.1 Percentage of people on ART among all people living with HIV at the end of the reporting period</v>
      </c>
      <c r="D1823" s="574" t="str">
        <f ca="1">M1823</f>
        <v>Gender</v>
      </c>
      <c r="E1823" s="574" t="str">
        <f t="shared" ref="E1823" ca="1" si="2028">N1823</f>
        <v>Female</v>
      </c>
      <c r="F1823" s="127"/>
      <c r="G1823" s="576"/>
      <c r="H1823" s="539"/>
      <c r="I1823" s="578"/>
      <c r="J1823" s="532"/>
      <c r="K1823" s="126">
        <f ca="1">IF(AND(EXACT(C1823,C1821),C1821&lt;&gt;0),K1821+1,0)</f>
        <v>1</v>
      </c>
      <c r="L1823" s="126" t="str">
        <f t="shared" ref="L1823" ca="1" si="2029">IF(C1823&lt;&gt;"",C1823&amp;"-"&amp;K1823,"")</f>
        <v>TCS-1.1 Percentage of people on ART among all people living with HIV at the end of the reporting period-1</v>
      </c>
      <c r="M1823" s="126" t="str">
        <f t="array" aca="1" ref="M1823" ca="1">IFERROR(IF(INDEX('Disaggregation Records'!$E$156:$E$517,MATCH(RIGHT(L1823,255),RIGHT('Disaggregation Records'!$D$156:$D$517,255),0))="","",INDEX('Disaggregation Records'!$E$156:$E$517,MATCH(RIGHT(L1823,255),RIGHT('Disaggregation Records'!$D$156:$D$517,255),0))),"")</f>
        <v>Gender</v>
      </c>
      <c r="N1823" s="126" t="str">
        <f t="array" aca="1" ref="N1823" ca="1">IFERROR(IF(INDEX('Disaggregation Records'!$F$156:$F$517,MATCH(RIGHT(L1823,255),RIGHT('Disaggregation Records'!$D$156:$D$517,255),0))="","",INDEX('Disaggregation Records'!$F$156:$F$517,MATCH(RIGHT(L1823,255),RIGHT('Disaggregation Records'!$D$156:$D$517,255),0))),"")</f>
        <v>Female</v>
      </c>
      <c r="O1823" s="314" t="str">
        <f t="array" aca="1" ref="O1823" ca="1">IFERROR(IF(INDEX('Disaggregation Records'!$H$156:$H$517,MATCH(RIGHT(L1823,255),RIGHT('Disaggregation Records'!$D$156:$D$517,255),0))="","",INDEX('Disaggregation Records'!$H$156:$H$517,MATCH(RIGHT(L1823,255),RIGHT('Disaggregation Records'!$D$156:$D$517,255),0))),"")</f>
        <v>IDR-01297</v>
      </c>
      <c r="P1823" s="310"/>
      <c r="Q1823" s="310">
        <f t="shared" ref="Q1823" si="2030">Q1821+1</f>
        <v>1614</v>
      </c>
      <c r="R1823" s="314" t="str" cm="1">
        <f t="array" aca="1" ref="R1823" ca="1">IFERROR(IF(INDEX('Disaggregation Records'!$G$156:$G$517,MATCH(RIGHT(L1823,255),RIGHT('Disaggregation Records'!$D$156:$D$517,255),0))="","",INDEX('Disaggregation Records'!$G$156:$G$517,MATCH(RIGHT(L1823,255),RIGHT('Disaggregation Records'!$D$156:$D$517,255),0))),"")</f>
        <v>a1LDm000000Cb3fMAC</v>
      </c>
    </row>
    <row r="1824" spans="1:18" ht="20.100000000000001" customHeight="1">
      <c r="A1824" s="126"/>
      <c r="B1824" s="571"/>
      <c r="C1824" s="573"/>
      <c r="D1824" s="575"/>
      <c r="E1824" s="575"/>
      <c r="F1824" s="128"/>
      <c r="G1824" s="577"/>
      <c r="H1824" s="540"/>
      <c r="I1824" s="579"/>
      <c r="J1824" s="533"/>
      <c r="L1824" s="126"/>
      <c r="N1824" s="126"/>
      <c r="O1824" s="314"/>
      <c r="P1824" s="310"/>
      <c r="Q1824" s="310"/>
      <c r="R1824" s="314" t="str" cm="1">
        <f t="array" ref="R1824">IFERROR(IF(INDEX('Disaggregation Records'!$G$156:$G$517,MATCH(RIGHT(L1824,255),RIGHT('Disaggregation Records'!$D$156:$D$517,255),0))="","",INDEX('Disaggregation Records'!$G$156:$G$517,MATCH(RIGHT(L1824,255),RIGHT('Disaggregation Records'!$D$156:$D$517,255),0))),"")</f>
        <v/>
      </c>
    </row>
    <row r="1825" spans="1:18" ht="20.100000000000001" customHeight="1">
      <c r="A1825" s="126" t="str">
        <f t="shared" ref="A1825:A1885" ca="1" si="2031">INDIRECT("'update Helper'!C"&amp;Q1825)</f>
        <v>a16Dm000000M3qEIAS</v>
      </c>
      <c r="B1825" s="570">
        <v>31</v>
      </c>
      <c r="C1825" s="572" t="str">
        <f ca="1">IFERROR(VLOOKUP(B1825,'Coverage Indicators - Section D'!$A$9:$AO$94,41,FALSE),"")</f>
        <v>TCS-1.1 Percentage of people on ART among all people living with HIV at the end of the reporting period</v>
      </c>
      <c r="D1825" s="574" t="str">
        <f ca="1">M1825</f>
        <v/>
      </c>
      <c r="E1825" s="574" t="str">
        <f t="shared" ref="E1825" ca="1" si="2032">N1825</f>
        <v/>
      </c>
      <c r="F1825" s="127">
        <v>121367</v>
      </c>
      <c r="G1825" s="576">
        <f ca="1">IF(OR(INDIRECT("'update Helper'!E"&amp;Q1825)="",F1825&lt;&gt;0,F1826&lt;&gt;0),IF(IFERROR((F1825/F1826),"")="","",(F1825/F1826)),INDIRECT("'update Helper'!E"&amp;Q1825)/100)</f>
        <v>0.56605630386925865</v>
      </c>
      <c r="H1825" s="539">
        <v>2021</v>
      </c>
      <c r="I1825" s="578" t="s">
        <v>780</v>
      </c>
      <c r="J1825" s="532" t="s">
        <v>2276</v>
      </c>
      <c r="K1825" s="126">
        <f ca="1">IF(AND(EXACT(C1825,C1823),C1823&lt;&gt;0),K1823+1,0)</f>
        <v>2</v>
      </c>
      <c r="L1825" s="126" t="str">
        <f t="shared" ref="L1825" ca="1" si="2033">IF(C1825&lt;&gt;"",C1825&amp;"-"&amp;K1825,"")</f>
        <v>TCS-1.1 Percentage of people on ART among all people living with HIV at the end of the reporting period-2</v>
      </c>
      <c r="M1825" s="126" t="str">
        <f t="array" aca="1" ref="M1825" ca="1">IFERROR(IF(INDEX('Disaggregation Records'!$E$156:$E$517,MATCH(RIGHT(L1825,255),RIGHT('Disaggregation Records'!$D$156:$D$517,255),0))="","",INDEX('Disaggregation Records'!$E$156:$E$517,MATCH(RIGHT(L1825,255),RIGHT('Disaggregation Records'!$D$156:$D$517,255),0))),"")</f>
        <v/>
      </c>
      <c r="N1825" s="126" t="str">
        <f t="array" aca="1" ref="N1825" ca="1">IFERROR(IF(INDEX('Disaggregation Records'!$F$156:$F$517,MATCH(RIGHT(L1825,255),RIGHT('Disaggregation Records'!$D$156:$D$517,255),0))="","",INDEX('Disaggregation Records'!$F$156:$F$517,MATCH(RIGHT(L1825,255),RIGHT('Disaggregation Records'!$D$156:$D$517,255),0))),"")</f>
        <v/>
      </c>
      <c r="O1825" s="314" t="str">
        <f t="array" aca="1" ref="O1825" ca="1">IFERROR(IF(INDEX('Disaggregation Records'!$H$156:$H$517,MATCH(RIGHT(L1825,255),RIGHT('Disaggregation Records'!$D$156:$D$517,255),0))="","",INDEX('Disaggregation Records'!$H$156:$H$517,MATCH(RIGHT(L1825,255),RIGHT('Disaggregation Records'!$D$156:$D$517,255),0))),"")</f>
        <v/>
      </c>
      <c r="P1825" s="310"/>
      <c r="Q1825" s="310">
        <f t="shared" ref="Q1825" si="2034">Q1823+1</f>
        <v>1615</v>
      </c>
      <c r="R1825" s="314" t="str" cm="1">
        <f t="array" aca="1" ref="R1825" ca="1">IFERROR(IF(INDEX('Disaggregation Records'!$G$156:$G$517,MATCH(RIGHT(L1825,255),RIGHT('Disaggregation Records'!$D$156:$D$517,255),0))="","",INDEX('Disaggregation Records'!$G$156:$G$517,MATCH(RIGHT(L1825,255),RIGHT('Disaggregation Records'!$D$156:$D$517,255),0))),"")</f>
        <v/>
      </c>
    </row>
    <row r="1826" spans="1:18" ht="20.100000000000001" customHeight="1">
      <c r="B1826" s="571"/>
      <c r="C1826" s="573"/>
      <c r="D1826" s="575"/>
      <c r="E1826" s="575"/>
      <c r="F1826" s="128">
        <v>214408</v>
      </c>
      <c r="G1826" s="577"/>
      <c r="H1826" s="540"/>
      <c r="I1826" s="579"/>
      <c r="J1826" s="533"/>
      <c r="L1826" s="126"/>
      <c r="N1826" s="126"/>
      <c r="O1826" s="314"/>
      <c r="P1826" s="310"/>
      <c r="Q1826" s="310"/>
      <c r="R1826" s="314" t="str" cm="1">
        <f t="array" ref="R1826">IFERROR(IF(INDEX('Disaggregation Records'!$G$156:$G$517,MATCH(RIGHT(L1826,255),RIGHT('Disaggregation Records'!$D$156:$D$517,255),0))="","",INDEX('Disaggregation Records'!$G$156:$G$517,MATCH(RIGHT(L1826,255),RIGHT('Disaggregation Records'!$D$156:$D$517,255),0))),"")</f>
        <v/>
      </c>
    </row>
    <row r="1827" spans="1:18" ht="20.100000000000001" customHeight="1">
      <c r="A1827" s="126" t="str">
        <f t="shared" ref="A1827:A1887" ca="1" si="2035">INDIRECT("'update Helper'!C"&amp;Q1827)</f>
        <v>a16Dm000000M3qFIAS</v>
      </c>
      <c r="B1827" s="570">
        <v>31</v>
      </c>
      <c r="C1827" s="572" t="str">
        <f ca="1">IFERROR(VLOOKUP(B1827,'Coverage Indicators - Section D'!$A$9:$AO$94,41,FALSE),"")</f>
        <v>TCS-1.1 Percentage of people on ART among all people living with HIV at the end of the reporting period</v>
      </c>
      <c r="D1827" s="574" t="str">
        <f ca="1">M1827</f>
        <v/>
      </c>
      <c r="E1827" s="574" t="str">
        <f t="shared" ref="E1827" ca="1" si="2036">N1827</f>
        <v/>
      </c>
      <c r="F1827" s="127">
        <v>153679</v>
      </c>
      <c r="G1827" s="576">
        <f ca="1">IF(OR(INDIRECT("'update Helper'!E"&amp;Q1827)="",F1827&lt;&gt;0,F1828&lt;&gt;0),IF(IFERROR((F1827/F1828),"")="","",(F1827/F1828)),INDIRECT("'update Helper'!E"&amp;Q1827)/100)</f>
        <v>0.71675963583448377</v>
      </c>
      <c r="H1827" s="539">
        <v>2021</v>
      </c>
      <c r="I1827" s="578" t="s">
        <v>2211</v>
      </c>
      <c r="J1827" s="532" t="s">
        <v>2277</v>
      </c>
      <c r="K1827" s="126">
        <f ca="1">IF(AND(EXACT(C1827,C1825),C1825&lt;&gt;0),K1825+1,0)</f>
        <v>3</v>
      </c>
      <c r="L1827" s="126" t="str">
        <f t="shared" ref="L1827" ca="1" si="2037">IF(C1827&lt;&gt;"",C1827&amp;"-"&amp;K1827,"")</f>
        <v>TCS-1.1 Percentage of people on ART among all people living with HIV at the end of the reporting period-3</v>
      </c>
      <c r="M1827" s="126" t="str">
        <f t="array" aca="1" ref="M1827" ca="1">IFERROR(IF(INDEX('Disaggregation Records'!$E$156:$E$517,MATCH(RIGHT(L1827,255),RIGHT('Disaggregation Records'!$D$156:$D$517,255),0))="","",INDEX('Disaggregation Records'!$E$156:$E$517,MATCH(RIGHT(L1827,255),RIGHT('Disaggregation Records'!$D$156:$D$517,255),0))),"")</f>
        <v/>
      </c>
      <c r="N1827" s="126" t="str">
        <f t="array" aca="1" ref="N1827" ca="1">IFERROR(IF(INDEX('Disaggregation Records'!$F$156:$F$517,MATCH(RIGHT(L1827,255),RIGHT('Disaggregation Records'!$D$156:$D$517,255),0))="","",INDEX('Disaggregation Records'!$F$156:$F$517,MATCH(RIGHT(L1827,255),RIGHT('Disaggregation Records'!$D$156:$D$517,255),0))),"")</f>
        <v/>
      </c>
      <c r="O1827" s="314" t="str">
        <f t="array" aca="1" ref="O1827" ca="1">IFERROR(IF(INDEX('Disaggregation Records'!$H$156:$H$517,MATCH(RIGHT(L1827,255),RIGHT('Disaggregation Records'!$D$156:$D$517,255),0))="","",INDEX('Disaggregation Records'!$H$156:$H$517,MATCH(RIGHT(L1827,255),RIGHT('Disaggregation Records'!$D$156:$D$517,255),0))),"")</f>
        <v/>
      </c>
      <c r="P1827" s="310"/>
      <c r="Q1827" s="310">
        <f t="shared" ref="Q1827" si="2038">Q1825+1</f>
        <v>1616</v>
      </c>
      <c r="R1827" s="314" t="str" cm="1">
        <f t="array" aca="1" ref="R1827" ca="1">IFERROR(IF(INDEX('Disaggregation Records'!$G$156:$G$517,MATCH(RIGHT(L1827,255),RIGHT('Disaggregation Records'!$D$156:$D$517,255),0))="","",INDEX('Disaggregation Records'!$G$156:$G$517,MATCH(RIGHT(L1827,255),RIGHT('Disaggregation Records'!$D$156:$D$517,255),0))),"")</f>
        <v/>
      </c>
    </row>
    <row r="1828" spans="1:18" ht="20.100000000000001" customHeight="1">
      <c r="A1828" s="126"/>
      <c r="B1828" s="571"/>
      <c r="C1828" s="573"/>
      <c r="D1828" s="575"/>
      <c r="E1828" s="575"/>
      <c r="F1828" s="128">
        <v>214408</v>
      </c>
      <c r="G1828" s="577"/>
      <c r="H1828" s="540"/>
      <c r="I1828" s="579"/>
      <c r="J1828" s="533"/>
      <c r="L1828" s="126"/>
      <c r="N1828" s="126"/>
      <c r="O1828" s="314"/>
      <c r="P1828" s="310"/>
      <c r="Q1828" s="310"/>
      <c r="R1828" s="314" t="str" cm="1">
        <f t="array" ref="R1828">IFERROR(IF(INDEX('Disaggregation Records'!$G$156:$G$517,MATCH(RIGHT(L1828,255),RIGHT('Disaggregation Records'!$D$156:$D$517,255),0))="","",INDEX('Disaggregation Records'!$G$156:$G$517,MATCH(RIGHT(L1828,255),RIGHT('Disaggregation Records'!$D$156:$D$517,255),0))),"")</f>
        <v/>
      </c>
    </row>
    <row r="1829" spans="1:18" ht="20.100000000000001" customHeight="1">
      <c r="A1829" s="126" t="str">
        <f t="shared" ref="A1829:A1889" ca="1" si="2039">INDIRECT("'update Helper'!C"&amp;Q1829)</f>
        <v>a16Dm000000M3qGIAS</v>
      </c>
      <c r="B1829" s="570">
        <v>31</v>
      </c>
      <c r="C1829" s="572" t="str">
        <f ca="1">IFERROR(VLOOKUP(B1829,'Coverage Indicators - Section D'!$A$9:$AO$94,41,FALSE),"")</f>
        <v>TCS-1.1 Percentage of people on ART among all people living with HIV at the end of the reporting period</v>
      </c>
      <c r="D1829" s="574" t="str">
        <f ca="1">M1829</f>
        <v/>
      </c>
      <c r="E1829" s="574" t="str">
        <f ca="1">N1829</f>
        <v/>
      </c>
      <c r="F1829" s="127">
        <v>131846</v>
      </c>
      <c r="G1829" s="576">
        <f ca="1">IF(OR(INDIRECT("'update Helper'!E"&amp;Q1829)="",F1829&lt;&gt;0,F1830&lt;&gt;0),IF(IFERROR((F1829/F1830),"")="","",(F1829/F1830)),INDIRECT("'update Helper'!E"&amp;Q1829)/100)</f>
        <v>0.61493041304428941</v>
      </c>
      <c r="H1829" s="539">
        <v>2021</v>
      </c>
      <c r="I1829" s="578" t="s">
        <v>780</v>
      </c>
      <c r="J1829" s="532" t="s">
        <v>2278</v>
      </c>
      <c r="K1829" s="126">
        <f ca="1">IF(AND(EXACT(C1829,C1827),C1827&lt;&gt;0),K1827+1,0)</f>
        <v>4</v>
      </c>
      <c r="L1829" s="126" t="str">
        <f t="shared" ref="L1829" ca="1" si="2040">IF(C1829&lt;&gt;"",C1829&amp;"-"&amp;K1829,"")</f>
        <v>TCS-1.1 Percentage of people on ART among all people living with HIV at the end of the reporting period-4</v>
      </c>
      <c r="M1829" s="126" t="str">
        <f t="array" aca="1" ref="M1829" ca="1">IFERROR(IF(INDEX('Disaggregation Records'!$E$156:$E$517,MATCH(RIGHT(L1829,255),RIGHT('Disaggregation Records'!$D$156:$D$517,255),0))="","",INDEX('Disaggregation Records'!$E$156:$E$517,MATCH(RIGHT(L1829,255),RIGHT('Disaggregation Records'!$D$156:$D$517,255),0))),"")</f>
        <v/>
      </c>
      <c r="N1829" s="126" t="str">
        <f t="array" aca="1" ref="N1829" ca="1">IFERROR(IF(INDEX('Disaggregation Records'!$F$156:$F$517,MATCH(RIGHT(L1829,255),RIGHT('Disaggregation Records'!$D$156:$D$517,255),0))="","",INDEX('Disaggregation Records'!$F$156:$F$517,MATCH(RIGHT(L1829,255),RIGHT('Disaggregation Records'!$D$156:$D$517,255),0))),"")</f>
        <v/>
      </c>
      <c r="O1829" s="314" t="str">
        <f t="array" aca="1" ref="O1829" ca="1">IFERROR(IF(INDEX('Disaggregation Records'!$H$156:$H$517,MATCH(RIGHT(L1829,255),RIGHT('Disaggregation Records'!$D$156:$D$517,255),0))="","",INDEX('Disaggregation Records'!$H$156:$H$517,MATCH(RIGHT(L1829,255),RIGHT('Disaggregation Records'!$D$156:$D$517,255),0))),"")</f>
        <v/>
      </c>
      <c r="P1829" s="314"/>
      <c r="Q1829" s="310">
        <f t="shared" ref="Q1829" si="2041">Q1827+1</f>
        <v>1617</v>
      </c>
      <c r="R1829" s="314" t="str" cm="1">
        <f t="array" aca="1" ref="R1829" ca="1">IFERROR(IF(INDEX('Disaggregation Records'!$G$156:$G$517,MATCH(RIGHT(L1829,255),RIGHT('Disaggregation Records'!$D$156:$D$517,255),0))="","",INDEX('Disaggregation Records'!$G$156:$G$517,MATCH(RIGHT(L1829,255),RIGHT('Disaggregation Records'!$D$156:$D$517,255),0))),"")</f>
        <v/>
      </c>
    </row>
    <row r="1830" spans="1:18" ht="20.100000000000001" customHeight="1">
      <c r="B1830" s="571"/>
      <c r="C1830" s="573"/>
      <c r="D1830" s="575"/>
      <c r="E1830" s="575"/>
      <c r="F1830" s="128">
        <v>214408</v>
      </c>
      <c r="G1830" s="577"/>
      <c r="H1830" s="540"/>
      <c r="I1830" s="579"/>
      <c r="J1830" s="533"/>
      <c r="K1830" s="126"/>
      <c r="L1830" s="126"/>
      <c r="M1830" s="126"/>
      <c r="N1830" s="126"/>
      <c r="O1830" s="314"/>
      <c r="P1830" s="314"/>
      <c r="Q1830" s="310"/>
      <c r="R1830" s="314" t="str" cm="1">
        <f t="array" ref="R1830">IFERROR(IF(INDEX('Disaggregation Records'!$G$156:$G$517,MATCH(RIGHT(L1830,255),RIGHT('Disaggregation Records'!$D$156:$D$517,255),0))="","",INDEX('Disaggregation Records'!$G$156:$G$517,MATCH(RIGHT(L1830,255),RIGHT('Disaggregation Records'!$D$156:$D$517,255),0))),"")</f>
        <v/>
      </c>
    </row>
    <row r="1831" spans="1:18" ht="20.100000000000001" customHeight="1">
      <c r="A1831" s="126" t="str">
        <f t="shared" ref="A1831:A1891" ca="1" si="2042">INDIRECT("'update Helper'!C"&amp;Q1831)</f>
        <v>a16Dm000000M3qHIAS</v>
      </c>
      <c r="B1831" s="570">
        <v>31</v>
      </c>
      <c r="C1831" s="572" t="str">
        <f ca="1">IFERROR(VLOOKUP(B1831,'Coverage Indicators - Section D'!$A$9:$AO$94,41,FALSE),"")</f>
        <v>TCS-1.1 Percentage of people on ART among all people living with HIV at the end of the reporting period</v>
      </c>
      <c r="D1831" s="574" t="str">
        <f ca="1">M1831</f>
        <v/>
      </c>
      <c r="E1831" s="574" t="str">
        <f ca="1">N1831</f>
        <v/>
      </c>
      <c r="F1831" s="127">
        <v>93041</v>
      </c>
      <c r="G1831" s="576">
        <f ca="1">IF(OR(INDIRECT("'update Helper'!E"&amp;Q1831)="",F1831&lt;&gt;0,F1832&lt;&gt;0),IF(IFERROR((F1831/F1832),"")="","",(F1831/F1832)),INDIRECT("'update Helper'!E"&amp;Q1831)/100)</f>
        <v>0.43394369613074141</v>
      </c>
      <c r="H1831" s="539">
        <v>2021</v>
      </c>
      <c r="I1831" s="578" t="s">
        <v>780</v>
      </c>
      <c r="J1831" s="532" t="s">
        <v>2279</v>
      </c>
      <c r="K1831" s="126">
        <f ca="1">IF(AND(EXACT(C1831,C1829),C1829&lt;&gt;0),K1829+1,0)</f>
        <v>5</v>
      </c>
      <c r="L1831" s="126" t="str">
        <f t="shared" ref="L1831" ca="1" si="2043">IF(C1831&lt;&gt;"",C1831&amp;"-"&amp;K1831,"")</f>
        <v>TCS-1.1 Percentage of people on ART among all people living with HIV at the end of the reporting period-5</v>
      </c>
      <c r="M1831" s="126" t="str">
        <f t="array" aca="1" ref="M1831" ca="1">IFERROR(IF(INDEX('Disaggregation Records'!$E$156:$E$517,MATCH(RIGHT(L1831,255),RIGHT('Disaggregation Records'!$D$156:$D$517,255),0))="","",INDEX('Disaggregation Records'!$E$156:$E$517,MATCH(RIGHT(L1831,255),RIGHT('Disaggregation Records'!$D$156:$D$517,255),0))),"")</f>
        <v/>
      </c>
      <c r="N1831" s="126" t="str">
        <f t="array" aca="1" ref="N1831" ca="1">IFERROR(IF(INDEX('Disaggregation Records'!$F$156:$F$517,MATCH(RIGHT(L1831,255),RIGHT('Disaggregation Records'!$D$156:$D$517,255),0))="","",INDEX('Disaggregation Records'!$F$156:$F$517,MATCH(RIGHT(L1831,255),RIGHT('Disaggregation Records'!$D$156:$D$517,255),0))),"")</f>
        <v/>
      </c>
      <c r="O1831" s="314" t="str">
        <f t="array" aca="1" ref="O1831" ca="1">IFERROR(IF(INDEX('Disaggregation Records'!$H$156:$H$517,MATCH(RIGHT(L1831,255),RIGHT('Disaggregation Records'!$D$156:$D$517,255),0))="","",INDEX('Disaggregation Records'!$H$156:$H$517,MATCH(RIGHT(L1831,255),RIGHT('Disaggregation Records'!$D$156:$D$517,255),0))),"")</f>
        <v/>
      </c>
      <c r="P1831" s="314"/>
      <c r="Q1831" s="310">
        <f t="shared" ref="Q1831" si="2044">Q1829+1</f>
        <v>1618</v>
      </c>
      <c r="R1831" s="314" t="str" cm="1">
        <f t="array" aca="1" ref="R1831" ca="1">IFERROR(IF(INDEX('Disaggregation Records'!$G$156:$G$517,MATCH(RIGHT(L1831,255),RIGHT('Disaggregation Records'!$D$156:$D$517,255),0))="","",INDEX('Disaggregation Records'!$G$156:$G$517,MATCH(RIGHT(L1831,255),RIGHT('Disaggregation Records'!$D$156:$D$517,255),0))),"")</f>
        <v/>
      </c>
    </row>
    <row r="1832" spans="1:18" ht="20.100000000000001" customHeight="1">
      <c r="A1832" s="126"/>
      <c r="B1832" s="571"/>
      <c r="C1832" s="573"/>
      <c r="D1832" s="575"/>
      <c r="E1832" s="575"/>
      <c r="F1832" s="128">
        <v>214408</v>
      </c>
      <c r="G1832" s="577"/>
      <c r="H1832" s="540"/>
      <c r="I1832" s="579"/>
      <c r="J1832" s="533"/>
      <c r="K1832" s="126"/>
      <c r="L1832" s="126"/>
      <c r="M1832" s="126"/>
      <c r="N1832" s="126"/>
      <c r="O1832" s="314"/>
      <c r="P1832" s="314"/>
      <c r="Q1832" s="310"/>
      <c r="R1832" s="314" t="str" cm="1">
        <f t="array" ref="R1832">IFERROR(IF(INDEX('Disaggregation Records'!$G$156:$G$517,MATCH(RIGHT(L1832,255),RIGHT('Disaggregation Records'!$D$156:$D$517,255),0))="","",INDEX('Disaggregation Records'!$G$156:$G$517,MATCH(RIGHT(L1832,255),RIGHT('Disaggregation Records'!$D$156:$D$517,255),0))),"")</f>
        <v/>
      </c>
    </row>
    <row r="1833" spans="1:18" ht="20.100000000000001" customHeight="1">
      <c r="A1833" s="126" t="str">
        <f t="shared" ref="A1833:A1893" ca="1" si="2045">INDIRECT("'update Helper'!C"&amp;Q1833)</f>
        <v>a16Dm000000M3qIIAS</v>
      </c>
      <c r="B1833" s="570">
        <v>31</v>
      </c>
      <c r="C1833" s="572" t="str">
        <f ca="1">IFERROR(VLOOKUP(B1833,'Coverage Indicators - Section D'!$A$9:$AO$94,41,FALSE),"")</f>
        <v>TCS-1.1 Percentage of people on ART among all people living with HIV at the end of the reporting period</v>
      </c>
      <c r="D1833" s="574" t="str">
        <f ca="1">M1833</f>
        <v/>
      </c>
      <c r="E1833" s="574" t="str">
        <f ca="1">N1833</f>
        <v/>
      </c>
      <c r="F1833" s="127">
        <v>13373</v>
      </c>
      <c r="G1833" s="576">
        <f ca="1">IF(OR(INDIRECT("'update Helper'!E"&amp;Q1833)="",F1833&lt;&gt;0,F1834&lt;&gt;0),IF(IFERROR((F1833/F1834),"")="","",(F1833/F1834)),INDIRECT("'update Helper'!E"&amp;Q1833)/100)</f>
        <v>6.2371739860452968E-2</v>
      </c>
      <c r="H1833" s="539">
        <v>2021</v>
      </c>
      <c r="I1833" s="578" t="s">
        <v>2211</v>
      </c>
      <c r="J1833" s="532" t="s">
        <v>2280</v>
      </c>
      <c r="K1833" s="126">
        <f ca="1">IF(AND(EXACT(C1833,C1831),C1831&lt;&gt;0),K1831+1,0)</f>
        <v>6</v>
      </c>
      <c r="L1833" s="126" t="str">
        <f t="shared" ref="L1833" ca="1" si="2046">IF(C1833&lt;&gt;"",C1833&amp;"-"&amp;K1833,"")</f>
        <v>TCS-1.1 Percentage of people on ART among all people living with HIV at the end of the reporting period-6</v>
      </c>
      <c r="M1833" s="126" t="str">
        <f t="array" aca="1" ref="M1833" ca="1">IFERROR(IF(INDEX('Disaggregation Records'!$E$156:$E$517,MATCH(RIGHT(L1833,255),RIGHT('Disaggregation Records'!$D$156:$D$517,255),0))="","",INDEX('Disaggregation Records'!$E$156:$E$517,MATCH(RIGHT(L1833,255),RIGHT('Disaggregation Records'!$D$156:$D$517,255),0))),"")</f>
        <v/>
      </c>
      <c r="N1833" s="126" t="str">
        <f t="array" aca="1" ref="N1833" ca="1">IFERROR(IF(INDEX('Disaggregation Records'!$F$156:$F$517,MATCH(RIGHT(L1833,255),RIGHT('Disaggregation Records'!$D$156:$D$517,255),0))="","",INDEX('Disaggregation Records'!$F$156:$F$517,MATCH(RIGHT(L1833,255),RIGHT('Disaggregation Records'!$D$156:$D$517,255),0))),"")</f>
        <v/>
      </c>
      <c r="O1833" s="314" t="str">
        <f t="array" aca="1" ref="O1833" ca="1">IFERROR(IF(INDEX('Disaggregation Records'!$H$156:$H$517,MATCH(RIGHT(L1833,255),RIGHT('Disaggregation Records'!$D$156:$D$517,255),0))="","",INDEX('Disaggregation Records'!$H$156:$H$517,MATCH(RIGHT(L1833,255),RIGHT('Disaggregation Records'!$D$156:$D$517,255),0))),"")</f>
        <v/>
      </c>
      <c r="P1833" s="310"/>
      <c r="Q1833" s="310">
        <f t="shared" ref="Q1833" si="2047">Q1831+1</f>
        <v>1619</v>
      </c>
      <c r="R1833" s="314" t="str" cm="1">
        <f t="array" aca="1" ref="R1833" ca="1">IFERROR(IF(INDEX('Disaggregation Records'!$G$156:$G$517,MATCH(RIGHT(L1833,255),RIGHT('Disaggregation Records'!$D$156:$D$517,255),0))="","",INDEX('Disaggregation Records'!$G$156:$G$517,MATCH(RIGHT(L1833,255),RIGHT('Disaggregation Records'!$D$156:$D$517,255),0))),"")</f>
        <v/>
      </c>
    </row>
    <row r="1834" spans="1:18" ht="20.100000000000001" customHeight="1">
      <c r="B1834" s="571"/>
      <c r="C1834" s="573"/>
      <c r="D1834" s="575"/>
      <c r="E1834" s="575"/>
      <c r="F1834" s="128">
        <v>214408</v>
      </c>
      <c r="G1834" s="577"/>
      <c r="H1834" s="540"/>
      <c r="I1834" s="579"/>
      <c r="J1834" s="533"/>
      <c r="L1834" s="126"/>
      <c r="N1834" s="126"/>
      <c r="O1834" s="314"/>
      <c r="P1834" s="310"/>
      <c r="Q1834" s="310"/>
      <c r="R1834" s="314" t="str" cm="1">
        <f t="array" ref="R1834">IFERROR(IF(INDEX('Disaggregation Records'!$G$156:$G$517,MATCH(RIGHT(L1834,255),RIGHT('Disaggregation Records'!$D$156:$D$517,255),0))="","",INDEX('Disaggregation Records'!$G$156:$G$517,MATCH(RIGHT(L1834,255),RIGHT('Disaggregation Records'!$D$156:$D$517,255),0))),"")</f>
        <v/>
      </c>
    </row>
    <row r="1835" spans="1:18" ht="20.100000000000001" customHeight="1">
      <c r="A1835" s="126" t="str">
        <f t="shared" ref="A1835:A1895" ca="1" si="2048">INDIRECT("'update Helper'!C"&amp;Q1835)</f>
        <v>a16Dm000000M3qJIAS</v>
      </c>
      <c r="B1835" s="570">
        <v>31</v>
      </c>
      <c r="C1835" s="572" t="str">
        <f ca="1">IFERROR(VLOOKUP(B1835,'Coverage Indicators - Section D'!$A$9:$AO$94,41,FALSE),"")</f>
        <v>TCS-1.1 Percentage of people on ART among all people living with HIV at the end of the reporting period</v>
      </c>
      <c r="D1835" s="574" t="str">
        <f ca="1">M1835</f>
        <v/>
      </c>
      <c r="E1835" s="574" t="str">
        <f ca="1">N1835</f>
        <v/>
      </c>
      <c r="F1835" s="127"/>
      <c r="G1835" s="576" t="str">
        <f ca="1">IF(OR(INDIRECT("'update Helper'!E"&amp;Q1835)="",F1835&lt;&gt;0,F1836&lt;&gt;0),IF(IFERROR((F1835/F1836),"")="","",(F1835/F1836)),INDIRECT("'update Helper'!E"&amp;Q1835)/100)</f>
        <v/>
      </c>
      <c r="H1835" s="539"/>
      <c r="I1835" s="578"/>
      <c r="J1835" s="532"/>
      <c r="K1835" s="126">
        <f ca="1">IF(AND(EXACT(C1835,C1833),C1833&lt;&gt;0),K1833+1,0)</f>
        <v>7</v>
      </c>
      <c r="L1835" s="126" t="str">
        <f t="shared" ref="L1835" ca="1" si="2049">IF(C1835&lt;&gt;"",C1835&amp;"-"&amp;K1835,"")</f>
        <v>TCS-1.1 Percentage of people on ART among all people living with HIV at the end of the reporting period-7</v>
      </c>
      <c r="M1835" s="126" t="str">
        <f t="array" aca="1" ref="M1835" ca="1">IFERROR(IF(INDEX('Disaggregation Records'!$E$156:$E$517,MATCH(RIGHT(L1835,255),RIGHT('Disaggregation Records'!$D$156:$D$517,255),0))="","",INDEX('Disaggregation Records'!$E$156:$E$517,MATCH(RIGHT(L1835,255),RIGHT('Disaggregation Records'!$D$156:$D$517,255),0))),"")</f>
        <v/>
      </c>
      <c r="N1835" s="126" t="str">
        <f t="array" aca="1" ref="N1835" ca="1">IFERROR(IF(INDEX('Disaggregation Records'!$F$156:$F$517,MATCH(RIGHT(L1835,255),RIGHT('Disaggregation Records'!$D$156:$D$517,255),0))="","",INDEX('Disaggregation Records'!$F$156:$F$517,MATCH(RIGHT(L1835,255),RIGHT('Disaggregation Records'!$D$156:$D$517,255),0))),"")</f>
        <v/>
      </c>
      <c r="O1835" s="314" t="str">
        <f t="array" aca="1" ref="O1835" ca="1">IFERROR(IF(INDEX('Disaggregation Records'!$H$156:$H$517,MATCH(RIGHT(L1835,255),RIGHT('Disaggregation Records'!$D$156:$D$517,255),0))="","",INDEX('Disaggregation Records'!$H$156:$H$517,MATCH(RIGHT(L1835,255),RIGHT('Disaggregation Records'!$D$156:$D$517,255),0))),"")</f>
        <v/>
      </c>
      <c r="P1835" s="310"/>
      <c r="Q1835" s="310">
        <f t="shared" ref="Q1835" si="2050">Q1833+1</f>
        <v>1620</v>
      </c>
      <c r="R1835" s="314" t="str" cm="1">
        <f t="array" aca="1" ref="R1835" ca="1">IFERROR(IF(INDEX('Disaggregation Records'!$G$156:$G$517,MATCH(RIGHT(L1835,255),RIGHT('Disaggregation Records'!$D$156:$D$517,255),0))="","",INDEX('Disaggregation Records'!$G$156:$G$517,MATCH(RIGHT(L1835,255),RIGHT('Disaggregation Records'!$D$156:$D$517,255),0))),"")</f>
        <v/>
      </c>
    </row>
    <row r="1836" spans="1:18" ht="20.100000000000001" customHeight="1">
      <c r="A1836" s="126"/>
      <c r="B1836" s="571"/>
      <c r="C1836" s="573"/>
      <c r="D1836" s="575"/>
      <c r="E1836" s="575"/>
      <c r="F1836" s="128"/>
      <c r="G1836" s="577"/>
      <c r="H1836" s="540"/>
      <c r="I1836" s="579"/>
      <c r="J1836" s="533"/>
      <c r="L1836" s="126"/>
      <c r="N1836" s="126"/>
      <c r="O1836" s="314"/>
      <c r="P1836" s="310"/>
      <c r="Q1836" s="310"/>
      <c r="R1836" s="314" t="str" cm="1">
        <f t="array" ref="R1836">IFERROR(IF(INDEX('Disaggregation Records'!$G$156:$G$517,MATCH(RIGHT(L1836,255),RIGHT('Disaggregation Records'!$D$156:$D$517,255),0))="","",INDEX('Disaggregation Records'!$G$156:$G$517,MATCH(RIGHT(L1836,255),RIGHT('Disaggregation Records'!$D$156:$D$517,255),0))),"")</f>
        <v/>
      </c>
    </row>
    <row r="1837" spans="1:18" ht="20.100000000000001" customHeight="1">
      <c r="A1837" s="126" t="str">
        <f t="shared" ref="A1837:A1897" ca="1" si="2051">INDIRECT("'update Helper'!C"&amp;Q1837)</f>
        <v>a16Dm000000M3qKIAS</v>
      </c>
      <c r="B1837" s="570">
        <v>31</v>
      </c>
      <c r="C1837" s="572" t="str">
        <f ca="1">IFERROR(VLOOKUP(B1837,'Coverage Indicators - Section D'!$A$9:$AO$94,41,FALSE),"")</f>
        <v>TCS-1.1 Percentage of people on ART among all people living with HIV at the end of the reporting period</v>
      </c>
      <c r="D1837" s="574" t="str">
        <f ca="1">M1837</f>
        <v/>
      </c>
      <c r="E1837" s="574" t="str">
        <f ca="1">N1837</f>
        <v/>
      </c>
      <c r="F1837" s="127"/>
      <c r="G1837" s="576" t="str">
        <f ca="1">IF(OR(INDIRECT("'update Helper'!E"&amp;Q1837)="",F1837&lt;&gt;0,F1838&lt;&gt;0),IF(IFERROR((F1837/F1838),"")="","",(F1837/F1838)),INDIRECT("'update Helper'!E"&amp;Q1837)/100)</f>
        <v/>
      </c>
      <c r="H1837" s="539"/>
      <c r="I1837" s="578"/>
      <c r="J1837" s="532"/>
      <c r="K1837" s="126">
        <f ca="1">IF(AND(EXACT(C1837,C1835),C1835&lt;&gt;0),K1835+1,0)</f>
        <v>8</v>
      </c>
      <c r="L1837" s="126" t="str">
        <f t="shared" ref="L1837" ca="1" si="2052">IF(C1837&lt;&gt;"",C1837&amp;"-"&amp;K1837,"")</f>
        <v>TCS-1.1 Percentage of people on ART among all people living with HIV at the end of the reporting period-8</v>
      </c>
      <c r="M1837" s="126" t="str">
        <f t="array" aca="1" ref="M1837" ca="1">IFERROR(IF(INDEX('Disaggregation Records'!$E$156:$E$517,MATCH(RIGHT(L1837,255),RIGHT('Disaggregation Records'!$D$156:$D$517,255),0))="","",INDEX('Disaggregation Records'!$E$156:$E$517,MATCH(RIGHT(L1837,255),RIGHT('Disaggregation Records'!$D$156:$D$517,255),0))),"")</f>
        <v/>
      </c>
      <c r="N1837" s="126" t="str">
        <f t="array" aca="1" ref="N1837" ca="1">IFERROR(IF(INDEX('Disaggregation Records'!$F$156:$F$517,MATCH(RIGHT(L1837,255),RIGHT('Disaggregation Records'!$D$156:$D$517,255),0))="","",INDEX('Disaggregation Records'!$F$156:$F$517,MATCH(RIGHT(L1837,255),RIGHT('Disaggregation Records'!$D$156:$D$517,255),0))),"")</f>
        <v/>
      </c>
      <c r="O1837" s="314" t="str">
        <f t="array" aca="1" ref="O1837" ca="1">IFERROR(IF(INDEX('Disaggregation Records'!$H$156:$H$517,MATCH(RIGHT(L1837,255),RIGHT('Disaggregation Records'!$D$156:$D$517,255),0))="","",INDEX('Disaggregation Records'!$H$156:$H$517,MATCH(RIGHT(L1837,255),RIGHT('Disaggregation Records'!$D$156:$D$517,255),0))),"")</f>
        <v/>
      </c>
      <c r="P1837" s="310"/>
      <c r="Q1837" s="310">
        <f t="shared" ref="Q1837" si="2053">Q1835+1</f>
        <v>1621</v>
      </c>
      <c r="R1837" s="314" t="str" cm="1">
        <f t="array" aca="1" ref="R1837" ca="1">IFERROR(IF(INDEX('Disaggregation Records'!$G$156:$G$517,MATCH(RIGHT(L1837,255),RIGHT('Disaggregation Records'!$D$156:$D$517,255),0))="","",INDEX('Disaggregation Records'!$G$156:$G$517,MATCH(RIGHT(L1837,255),RIGHT('Disaggregation Records'!$D$156:$D$517,255),0))),"")</f>
        <v/>
      </c>
    </row>
    <row r="1838" spans="1:18" ht="20.100000000000001" customHeight="1">
      <c r="B1838" s="571"/>
      <c r="C1838" s="573"/>
      <c r="D1838" s="575"/>
      <c r="E1838" s="575"/>
      <c r="F1838" s="128"/>
      <c r="G1838" s="577"/>
      <c r="H1838" s="540"/>
      <c r="I1838" s="579"/>
      <c r="J1838" s="533"/>
      <c r="L1838" s="126"/>
      <c r="N1838" s="126"/>
      <c r="O1838" s="314"/>
      <c r="P1838" s="310"/>
      <c r="Q1838" s="310"/>
      <c r="R1838" s="314" t="str" cm="1">
        <f t="array" ref="R1838">IFERROR(IF(INDEX('Disaggregation Records'!$G$156:$G$517,MATCH(RIGHT(L1838,255),RIGHT('Disaggregation Records'!$D$156:$D$517,255),0))="","",INDEX('Disaggregation Records'!$G$156:$G$517,MATCH(RIGHT(L1838,255),RIGHT('Disaggregation Records'!$D$156:$D$517,255),0))),"")</f>
        <v/>
      </c>
    </row>
    <row r="1839" spans="1:18" ht="20.100000000000001" customHeight="1">
      <c r="A1839" s="126" t="str">
        <f t="shared" ref="A1839:A1899" ca="1" si="2054">INDIRECT("'update Helper'!C"&amp;Q1839)</f>
        <v>a16Dm000000M3qLIAS</v>
      </c>
      <c r="B1839" s="570">
        <v>31</v>
      </c>
      <c r="C1839" s="572" t="str">
        <f ca="1">IFERROR(VLOOKUP(B1839,'Coverage Indicators - Section D'!$A$9:$AO$94,41,FALSE),"")</f>
        <v>TCS-1.1 Percentage of people on ART among all people living with HIV at the end of the reporting period</v>
      </c>
      <c r="D1839" s="574" t="str">
        <f ca="1">M1839</f>
        <v/>
      </c>
      <c r="E1839" s="574" t="str">
        <f ca="1">N1839</f>
        <v/>
      </c>
      <c r="F1839" s="127"/>
      <c r="G1839" s="576" t="str">
        <f ca="1">IF(OR(INDIRECT("'update Helper'!E"&amp;Q1839)="",F1839&lt;&gt;0,F1840&lt;&gt;0),IF(IFERROR((F1839/F1840),"")="","",(F1839/F1840)),INDIRECT("'update Helper'!E"&amp;Q1839)/100)</f>
        <v/>
      </c>
      <c r="H1839" s="539"/>
      <c r="I1839" s="578"/>
      <c r="J1839" s="532"/>
      <c r="K1839" s="126">
        <f ca="1">IF(AND(EXACT(C1839,C1837),C1837&lt;&gt;0),K1837+1,0)</f>
        <v>9</v>
      </c>
      <c r="L1839" s="126" t="str">
        <f t="shared" ref="L1839" ca="1" si="2055">IF(C1839&lt;&gt;"",C1839&amp;"-"&amp;K1839,"")</f>
        <v>TCS-1.1 Percentage of people on ART among all people living with HIV at the end of the reporting period-9</v>
      </c>
      <c r="M1839" s="126" t="str">
        <f t="array" aca="1" ref="M1839" ca="1">IFERROR(IF(INDEX('Disaggregation Records'!$E$156:$E$517,MATCH(RIGHT(L1839,255),RIGHT('Disaggregation Records'!$D$156:$D$517,255),0))="","",INDEX('Disaggregation Records'!$E$156:$E$517,MATCH(RIGHT(L1839,255),RIGHT('Disaggregation Records'!$D$156:$D$517,255),0))),"")</f>
        <v/>
      </c>
      <c r="N1839" s="126" t="str">
        <f t="array" aca="1" ref="N1839" ca="1">IFERROR(IF(INDEX('Disaggregation Records'!$F$156:$F$517,MATCH(RIGHT(L1839,255),RIGHT('Disaggregation Records'!$D$156:$D$517,255),0))="","",INDEX('Disaggregation Records'!$F$156:$F$517,MATCH(RIGHT(L1839,255),RIGHT('Disaggregation Records'!$D$156:$D$517,255),0))),"")</f>
        <v/>
      </c>
      <c r="O1839" s="314" t="str">
        <f t="array" aca="1" ref="O1839" ca="1">IFERROR(IF(INDEX('Disaggregation Records'!$H$156:$H$517,MATCH(RIGHT(L1839,255),RIGHT('Disaggregation Records'!$D$156:$D$517,255),0))="","",INDEX('Disaggregation Records'!$H$156:$H$517,MATCH(RIGHT(L1839,255),RIGHT('Disaggregation Records'!$D$156:$D$517,255),0))),"")</f>
        <v/>
      </c>
      <c r="P1839" s="314"/>
      <c r="Q1839" s="310">
        <f t="shared" ref="Q1839" si="2056">Q1837+1</f>
        <v>1622</v>
      </c>
      <c r="R1839" s="314" t="str" cm="1">
        <f t="array" aca="1" ref="R1839" ca="1">IFERROR(IF(INDEX('Disaggregation Records'!$G$156:$G$517,MATCH(RIGHT(L1839,255),RIGHT('Disaggregation Records'!$D$156:$D$517,255),0))="","",INDEX('Disaggregation Records'!$G$156:$G$517,MATCH(RIGHT(L1839,255),RIGHT('Disaggregation Records'!$D$156:$D$517,255),0))),"")</f>
        <v/>
      </c>
    </row>
    <row r="1840" spans="1:18" ht="20.100000000000001" customHeight="1">
      <c r="A1840" s="126"/>
      <c r="B1840" s="571"/>
      <c r="C1840" s="573"/>
      <c r="D1840" s="575"/>
      <c r="E1840" s="575"/>
      <c r="F1840" s="128"/>
      <c r="G1840" s="577"/>
      <c r="H1840" s="540"/>
      <c r="I1840" s="579"/>
      <c r="J1840" s="533"/>
      <c r="K1840" s="126"/>
      <c r="L1840" s="126"/>
      <c r="M1840" s="126"/>
      <c r="N1840" s="126"/>
      <c r="O1840" s="314"/>
      <c r="P1840" s="314"/>
      <c r="Q1840" s="310"/>
      <c r="R1840" s="314" t="str" cm="1">
        <f t="array" ref="R1840">IFERROR(IF(INDEX('Disaggregation Records'!$G$156:$G$517,MATCH(RIGHT(L1840,255),RIGHT('Disaggregation Records'!$D$156:$D$517,255),0))="","",INDEX('Disaggregation Records'!$G$156:$G$517,MATCH(RIGHT(L1840,255),RIGHT('Disaggregation Records'!$D$156:$D$517,255),0))),"")</f>
        <v/>
      </c>
    </row>
    <row r="1841" spans="1:18" ht="20.100000000000001" customHeight="1">
      <c r="A1841" s="126" t="str">
        <f t="shared" ref="A1841:A1901" ca="1" si="2057">INDIRECT("'update Helper'!C"&amp;Q1841)</f>
        <v>a16Dm000000M3qMIAS</v>
      </c>
      <c r="B1841" s="570">
        <v>31</v>
      </c>
      <c r="C1841" s="572" t="str">
        <f ca="1">IFERROR(VLOOKUP(B1841,'Coverage Indicators - Section D'!$A$9:$AO$94,41,FALSE),"")</f>
        <v>TCS-1.1 Percentage of people on ART among all people living with HIV at the end of the reporting period</v>
      </c>
      <c r="D1841" s="574" t="str">
        <f ca="1">M1841</f>
        <v/>
      </c>
      <c r="E1841" s="574" t="str">
        <f ca="1">N1841</f>
        <v/>
      </c>
      <c r="F1841" s="127"/>
      <c r="G1841" s="576" t="str">
        <f ca="1">IF(OR(INDIRECT("'update Helper'!E"&amp;Q1841)="",F1841&lt;&gt;0,F1842&lt;&gt;0),IF(IFERROR((F1841/F1842),"")="","",(F1841/F1842)),INDIRECT("'update Helper'!E"&amp;Q1841)/100)</f>
        <v/>
      </c>
      <c r="H1841" s="539"/>
      <c r="I1841" s="578"/>
      <c r="J1841" s="532"/>
      <c r="K1841" s="126">
        <f ca="1">IF(AND(EXACT(C1841,C1839),C1839&lt;&gt;0),K1839+1,0)</f>
        <v>10</v>
      </c>
      <c r="L1841" s="126" t="str">
        <f t="shared" ref="L1841" ca="1" si="2058">IF(C1841&lt;&gt;"",C1841&amp;"-"&amp;K1841,"")</f>
        <v>TCS-1.1 Percentage of people on ART among all people living with HIV at the end of the reporting period-10</v>
      </c>
      <c r="M1841" s="126" t="str">
        <f t="array" aca="1" ref="M1841" ca="1">IFERROR(IF(INDEX('Disaggregation Records'!$E$156:$E$517,MATCH(RIGHT(L1841,255),RIGHT('Disaggregation Records'!$D$156:$D$517,255),0))="","",INDEX('Disaggregation Records'!$E$156:$E$517,MATCH(RIGHT(L1841,255),RIGHT('Disaggregation Records'!$D$156:$D$517,255),0))),"")</f>
        <v/>
      </c>
      <c r="N1841" s="126" t="str">
        <f t="array" aca="1" ref="N1841" ca="1">IFERROR(IF(INDEX('Disaggregation Records'!$F$156:$F$517,MATCH(RIGHT(L1841,255),RIGHT('Disaggregation Records'!$D$156:$D$517,255),0))="","",INDEX('Disaggregation Records'!$F$156:$F$517,MATCH(RIGHT(L1841,255),RIGHT('Disaggregation Records'!$D$156:$D$517,255),0))),"")</f>
        <v/>
      </c>
      <c r="O1841" s="314" t="str">
        <f t="array" aca="1" ref="O1841" ca="1">IFERROR(IF(INDEX('Disaggregation Records'!$H$156:$H$517,MATCH(RIGHT(L1841,255),RIGHT('Disaggregation Records'!$D$156:$D$517,255),0))="","",INDEX('Disaggregation Records'!$H$156:$H$517,MATCH(RIGHT(L1841,255),RIGHT('Disaggregation Records'!$D$156:$D$517,255),0))),"")</f>
        <v/>
      </c>
      <c r="P1841" s="314"/>
      <c r="Q1841" s="310">
        <f t="shared" ref="Q1841" si="2059">Q1839+1</f>
        <v>1623</v>
      </c>
      <c r="R1841" s="314" t="str" cm="1">
        <f t="array" aca="1" ref="R1841" ca="1">IFERROR(IF(INDEX('Disaggregation Records'!$G$156:$G$517,MATCH(RIGHT(L1841,255),RIGHT('Disaggregation Records'!$D$156:$D$517,255),0))="","",INDEX('Disaggregation Records'!$G$156:$G$517,MATCH(RIGHT(L1841,255),RIGHT('Disaggregation Records'!$D$156:$D$517,255),0))),"")</f>
        <v/>
      </c>
    </row>
    <row r="1842" spans="1:18" ht="20.100000000000001" customHeight="1">
      <c r="B1842" s="571"/>
      <c r="C1842" s="573"/>
      <c r="D1842" s="575"/>
      <c r="E1842" s="575"/>
      <c r="F1842" s="128"/>
      <c r="G1842" s="577"/>
      <c r="H1842" s="540"/>
      <c r="I1842" s="579"/>
      <c r="J1842" s="533"/>
      <c r="K1842" s="126"/>
      <c r="L1842" s="126"/>
      <c r="M1842" s="126"/>
      <c r="N1842" s="126"/>
      <c r="O1842" s="314"/>
      <c r="P1842" s="314"/>
      <c r="Q1842" s="310"/>
      <c r="R1842" s="314" t="str" cm="1">
        <f t="array" ref="R1842">IFERROR(IF(INDEX('Disaggregation Records'!$G$156:$G$517,MATCH(RIGHT(L1842,255),RIGHT('Disaggregation Records'!$D$156:$D$517,255),0))="","",INDEX('Disaggregation Records'!$G$156:$G$517,MATCH(RIGHT(L1842,255),RIGHT('Disaggregation Records'!$D$156:$D$517,255),0))),"")</f>
        <v/>
      </c>
    </row>
    <row r="1843" spans="1:18" ht="20.100000000000001" customHeight="1">
      <c r="A1843" s="126" t="str">
        <f t="shared" ref="A1843:A1903" ca="1" si="2060">INDIRECT("'update Helper'!C"&amp;Q1843)</f>
        <v>a16Dm000000M3qNIAS</v>
      </c>
      <c r="B1843" s="570">
        <v>31</v>
      </c>
      <c r="C1843" s="572" t="str">
        <f ca="1">IFERROR(VLOOKUP(B1843,'Coverage Indicators - Section D'!$A$9:$AO$94,41,FALSE),"")</f>
        <v>TCS-1.1 Percentage of people on ART among all people living with HIV at the end of the reporting period</v>
      </c>
      <c r="D1843" s="574" t="str">
        <f ca="1">M1843</f>
        <v/>
      </c>
      <c r="E1843" s="574" t="str">
        <f ca="1">N1843</f>
        <v/>
      </c>
      <c r="F1843" s="127"/>
      <c r="G1843" s="576" t="str">
        <f ca="1">IF(OR(INDIRECT("'update Helper'!E"&amp;Q1843)="",F1843&lt;&gt;0,F1844&lt;&gt;0),IF(IFERROR((F1843/F1844),"")="","",(F1843/F1844)),INDIRECT("'update Helper'!E"&amp;Q1843)/100)</f>
        <v/>
      </c>
      <c r="H1843" s="539"/>
      <c r="I1843" s="578"/>
      <c r="J1843" s="532"/>
      <c r="K1843" s="126">
        <f ca="1">IF(AND(EXACT(C1843,C1841),C1841&lt;&gt;0),K1841+1,0)</f>
        <v>11</v>
      </c>
      <c r="L1843" s="126" t="str">
        <f t="shared" ref="L1843" ca="1" si="2061">IF(C1843&lt;&gt;"",C1843&amp;"-"&amp;K1843,"")</f>
        <v>TCS-1.1 Percentage of people on ART among all people living with HIV at the end of the reporting period-11</v>
      </c>
      <c r="M1843" s="126" t="str">
        <f t="array" aca="1" ref="M1843" ca="1">IFERROR(IF(INDEX('Disaggregation Records'!$E$156:$E$517,MATCH(RIGHT(L1843,255),RIGHT('Disaggregation Records'!$D$156:$D$517,255),0))="","",INDEX('Disaggregation Records'!$E$156:$E$517,MATCH(RIGHT(L1843,255),RIGHT('Disaggregation Records'!$D$156:$D$517,255),0))),"")</f>
        <v/>
      </c>
      <c r="N1843" s="126" t="str">
        <f t="array" aca="1" ref="N1843" ca="1">IFERROR(IF(INDEX('Disaggregation Records'!$F$156:$F$517,MATCH(RIGHT(L1843,255),RIGHT('Disaggregation Records'!$D$156:$D$517,255),0))="","",INDEX('Disaggregation Records'!$F$156:$F$517,MATCH(RIGHT(L1843,255),RIGHT('Disaggregation Records'!$D$156:$D$517,255),0))),"")</f>
        <v/>
      </c>
      <c r="O1843" s="314" t="str">
        <f t="array" aca="1" ref="O1843" ca="1">IFERROR(IF(INDEX('Disaggregation Records'!$H$156:$H$517,MATCH(RIGHT(L1843,255),RIGHT('Disaggregation Records'!$D$156:$D$517,255),0))="","",INDEX('Disaggregation Records'!$H$156:$H$517,MATCH(RIGHT(L1843,255),RIGHT('Disaggregation Records'!$D$156:$D$517,255),0))),"")</f>
        <v/>
      </c>
      <c r="P1843" s="310"/>
      <c r="Q1843" s="310">
        <f t="shared" ref="Q1843" si="2062">Q1841+1</f>
        <v>1624</v>
      </c>
      <c r="R1843" s="314" t="str" cm="1">
        <f t="array" aca="1" ref="R1843" ca="1">IFERROR(IF(INDEX('Disaggregation Records'!$G$156:$G$517,MATCH(RIGHT(L1843,255),RIGHT('Disaggregation Records'!$D$156:$D$517,255),0))="","",INDEX('Disaggregation Records'!$G$156:$G$517,MATCH(RIGHT(L1843,255),RIGHT('Disaggregation Records'!$D$156:$D$517,255),0))),"")</f>
        <v/>
      </c>
    </row>
    <row r="1844" spans="1:18" ht="20.100000000000001" customHeight="1">
      <c r="A1844" s="126"/>
      <c r="B1844" s="571"/>
      <c r="C1844" s="573"/>
      <c r="D1844" s="575"/>
      <c r="E1844" s="575"/>
      <c r="F1844" s="128"/>
      <c r="G1844" s="577"/>
      <c r="H1844" s="540"/>
      <c r="I1844" s="579"/>
      <c r="J1844" s="533"/>
      <c r="L1844" s="126"/>
      <c r="N1844" s="126"/>
      <c r="O1844" s="314"/>
      <c r="P1844" s="310"/>
      <c r="Q1844" s="310"/>
      <c r="R1844" s="314" t="str" cm="1">
        <f t="array" ref="R1844">IFERROR(IF(INDEX('Disaggregation Records'!$G$156:$G$517,MATCH(RIGHT(L1844,255),RIGHT('Disaggregation Records'!$D$156:$D$517,255),0))="","",INDEX('Disaggregation Records'!$G$156:$G$517,MATCH(RIGHT(L1844,255),RIGHT('Disaggregation Records'!$D$156:$D$517,255),0))),"")</f>
        <v/>
      </c>
    </row>
    <row r="1845" spans="1:18" ht="20.100000000000001" customHeight="1">
      <c r="A1845" s="126" t="str">
        <f t="shared" ref="A1845:A1905" ca="1" si="2063">INDIRECT("'update Helper'!C"&amp;Q1845)</f>
        <v>a16Dm000000M3qOIAS</v>
      </c>
      <c r="B1845" s="570">
        <v>31</v>
      </c>
      <c r="C1845" s="572" t="str">
        <f ca="1">IFERROR(VLOOKUP(B1845,'Coverage Indicators - Section D'!$A$9:$AO$94,41,FALSE),"")</f>
        <v>TCS-1.1 Percentage of people on ART among all people living with HIV at the end of the reporting period</v>
      </c>
      <c r="D1845" s="574" t="str">
        <f ca="1">M1845</f>
        <v/>
      </c>
      <c r="E1845" s="574" t="str">
        <f ca="1">N1845</f>
        <v/>
      </c>
      <c r="F1845" s="127"/>
      <c r="G1845" s="576" t="str">
        <f ca="1">IF(OR(INDIRECT("'update Helper'!E"&amp;Q1845)="",F1845&lt;&gt;0,F1846&lt;&gt;0),IF(IFERROR((F1845/F1846),"")="","",(F1845/F1846)),INDIRECT("'update Helper'!E"&amp;Q1845)/100)</f>
        <v/>
      </c>
      <c r="H1845" s="539"/>
      <c r="I1845" s="578"/>
      <c r="J1845" s="532"/>
      <c r="K1845" s="126">
        <f ca="1">IF(AND(EXACT(C1845,C1843),C1843&lt;&gt;0),K1843+1,0)</f>
        <v>12</v>
      </c>
      <c r="L1845" s="126" t="str">
        <f t="shared" ref="L1845" ca="1" si="2064">IF(C1845&lt;&gt;"",C1845&amp;"-"&amp;K1845,"")</f>
        <v>TCS-1.1 Percentage of people on ART among all people living with HIV at the end of the reporting period-12</v>
      </c>
      <c r="M1845" s="126" t="str">
        <f t="array" aca="1" ref="M1845" ca="1">IFERROR(IF(INDEX('Disaggregation Records'!$E$156:$E$517,MATCH(RIGHT(L1845,255),RIGHT('Disaggregation Records'!$D$156:$D$517,255),0))="","",INDEX('Disaggregation Records'!$E$156:$E$517,MATCH(RIGHT(L1845,255),RIGHT('Disaggregation Records'!$D$156:$D$517,255),0))),"")</f>
        <v/>
      </c>
      <c r="N1845" s="126" t="str">
        <f t="array" aca="1" ref="N1845" ca="1">IFERROR(IF(INDEX('Disaggregation Records'!$F$156:$F$517,MATCH(RIGHT(L1845,255),RIGHT('Disaggregation Records'!$D$156:$D$517,255),0))="","",INDEX('Disaggregation Records'!$F$156:$F$517,MATCH(RIGHT(L1845,255),RIGHT('Disaggregation Records'!$D$156:$D$517,255),0))),"")</f>
        <v/>
      </c>
      <c r="O1845" s="314" t="str">
        <f t="array" aca="1" ref="O1845" ca="1">IFERROR(IF(INDEX('Disaggregation Records'!$H$156:$H$517,MATCH(RIGHT(L1845,255),RIGHT('Disaggregation Records'!$D$156:$D$517,255),0))="","",INDEX('Disaggregation Records'!$H$156:$H$517,MATCH(RIGHT(L1845,255),RIGHT('Disaggregation Records'!$D$156:$D$517,255),0))),"")</f>
        <v/>
      </c>
      <c r="P1845" s="310"/>
      <c r="Q1845" s="310">
        <f t="shared" ref="Q1845" si="2065">Q1843+1</f>
        <v>1625</v>
      </c>
      <c r="R1845" s="314" t="str" cm="1">
        <f t="array" aca="1" ref="R1845" ca="1">IFERROR(IF(INDEX('Disaggregation Records'!$G$156:$G$517,MATCH(RIGHT(L1845,255),RIGHT('Disaggregation Records'!$D$156:$D$517,255),0))="","",INDEX('Disaggregation Records'!$G$156:$G$517,MATCH(RIGHT(L1845,255),RIGHT('Disaggregation Records'!$D$156:$D$517,255),0))),"")</f>
        <v/>
      </c>
    </row>
    <row r="1846" spans="1:18" ht="20.100000000000001" customHeight="1">
      <c r="B1846" s="571"/>
      <c r="C1846" s="573"/>
      <c r="D1846" s="575"/>
      <c r="E1846" s="575"/>
      <c r="F1846" s="128"/>
      <c r="G1846" s="577"/>
      <c r="H1846" s="540"/>
      <c r="I1846" s="579"/>
      <c r="J1846" s="533"/>
      <c r="L1846" s="126"/>
      <c r="N1846" s="126"/>
      <c r="O1846" s="314"/>
      <c r="P1846" s="310"/>
      <c r="Q1846" s="310"/>
      <c r="R1846" s="314" t="str" cm="1">
        <f t="array" ref="R1846">IFERROR(IF(INDEX('Disaggregation Records'!$G$156:$G$517,MATCH(RIGHT(L1846,255),RIGHT('Disaggregation Records'!$D$156:$D$517,255),0))="","",INDEX('Disaggregation Records'!$G$156:$G$517,MATCH(RIGHT(L1846,255),RIGHT('Disaggregation Records'!$D$156:$D$517,255),0))),"")</f>
        <v/>
      </c>
    </row>
    <row r="1847" spans="1:18" ht="20.100000000000001" customHeight="1">
      <c r="A1847" s="126" t="str">
        <f t="shared" ref="A1847:A1907" ca="1" si="2066">INDIRECT("'update Helper'!C"&amp;Q1847)</f>
        <v>a16Dm000000M3qPIAS</v>
      </c>
      <c r="B1847" s="570">
        <v>31</v>
      </c>
      <c r="C1847" s="572" t="str">
        <f ca="1">IFERROR(VLOOKUP(B1847,'Coverage Indicators - Section D'!$A$9:$AO$94,41,FALSE),"")</f>
        <v>TCS-1.1 Percentage of people on ART among all people living with HIV at the end of the reporting period</v>
      </c>
      <c r="D1847" s="574" t="str">
        <f ca="1">M1847</f>
        <v/>
      </c>
      <c r="E1847" s="574" t="str">
        <f ca="1">N1847</f>
        <v/>
      </c>
      <c r="F1847" s="127"/>
      <c r="G1847" s="576" t="str">
        <f ca="1">IF(OR(INDIRECT("'update Helper'!E"&amp;Q1847)="",F1847&lt;&gt;0,F1848&lt;&gt;0),IF(IFERROR((F1847/F1848),"")="","",(F1847/F1848)),INDIRECT("'update Helper'!E"&amp;Q1847)/100)</f>
        <v/>
      </c>
      <c r="H1847" s="539"/>
      <c r="I1847" s="578"/>
      <c r="J1847" s="532"/>
      <c r="K1847" s="126">
        <f ca="1">IF(AND(EXACT(C1847,C1845),C1845&lt;&gt;0),K1845+1,0)</f>
        <v>13</v>
      </c>
      <c r="L1847" s="126" t="str">
        <f t="shared" ref="L1847" ca="1" si="2067">IF(C1847&lt;&gt;"",C1847&amp;"-"&amp;K1847,"")</f>
        <v>TCS-1.1 Percentage of people on ART among all people living with HIV at the end of the reporting period-13</v>
      </c>
      <c r="M1847" s="126" t="str">
        <f t="array" aca="1" ref="M1847" ca="1">IFERROR(IF(INDEX('Disaggregation Records'!$E$156:$E$517,MATCH(RIGHT(L1847,255),RIGHT('Disaggregation Records'!$D$156:$D$517,255),0))="","",INDEX('Disaggregation Records'!$E$156:$E$517,MATCH(RIGHT(L1847,255),RIGHT('Disaggregation Records'!$D$156:$D$517,255),0))),"")</f>
        <v/>
      </c>
      <c r="N1847" s="126" t="str">
        <f t="array" aca="1" ref="N1847" ca="1">IFERROR(IF(INDEX('Disaggregation Records'!$F$156:$F$517,MATCH(RIGHT(L1847,255),RIGHT('Disaggregation Records'!$D$156:$D$517,255),0))="","",INDEX('Disaggregation Records'!$F$156:$F$517,MATCH(RIGHT(L1847,255),RIGHT('Disaggregation Records'!$D$156:$D$517,255),0))),"")</f>
        <v/>
      </c>
      <c r="O1847" s="314" t="str">
        <f t="array" aca="1" ref="O1847" ca="1">IFERROR(IF(INDEX('Disaggregation Records'!$H$156:$H$517,MATCH(RIGHT(L1847,255),RIGHT('Disaggregation Records'!$D$156:$D$517,255),0))="","",INDEX('Disaggregation Records'!$H$156:$H$517,MATCH(RIGHT(L1847,255),RIGHT('Disaggregation Records'!$D$156:$D$517,255),0))),"")</f>
        <v/>
      </c>
      <c r="P1847" s="310"/>
      <c r="Q1847" s="310">
        <f t="shared" ref="Q1847" si="2068">Q1845+1</f>
        <v>1626</v>
      </c>
      <c r="R1847" s="314" t="str" cm="1">
        <f t="array" aca="1" ref="R1847" ca="1">IFERROR(IF(INDEX('Disaggregation Records'!$G$156:$G$517,MATCH(RIGHT(L1847,255),RIGHT('Disaggregation Records'!$D$156:$D$517,255),0))="","",INDEX('Disaggregation Records'!$G$156:$G$517,MATCH(RIGHT(L1847,255),RIGHT('Disaggregation Records'!$D$156:$D$517,255),0))),"")</f>
        <v/>
      </c>
    </row>
    <row r="1848" spans="1:18" ht="20.100000000000001" customHeight="1">
      <c r="A1848" s="126"/>
      <c r="B1848" s="571"/>
      <c r="C1848" s="573"/>
      <c r="D1848" s="575"/>
      <c r="E1848" s="575"/>
      <c r="F1848" s="128"/>
      <c r="G1848" s="577"/>
      <c r="H1848" s="540"/>
      <c r="I1848" s="579"/>
      <c r="J1848" s="533"/>
      <c r="L1848" s="126"/>
      <c r="N1848" s="126"/>
      <c r="O1848" s="314"/>
      <c r="P1848" s="310"/>
      <c r="Q1848" s="310"/>
      <c r="R1848" s="314" t="str" cm="1">
        <f t="array" ref="R1848">IFERROR(IF(INDEX('Disaggregation Records'!$G$156:$G$517,MATCH(RIGHT(L1848,255),RIGHT('Disaggregation Records'!$D$156:$D$517,255),0))="","",INDEX('Disaggregation Records'!$G$156:$G$517,MATCH(RIGHT(L1848,255),RIGHT('Disaggregation Records'!$D$156:$D$517,255),0))),"")</f>
        <v/>
      </c>
    </row>
    <row r="1849" spans="1:18" ht="20.100000000000001" customHeight="1">
      <c r="A1849" s="126" t="str">
        <f t="shared" ref="A1849:A1909" ca="1" si="2069">INDIRECT("'update Helper'!C"&amp;Q1849)</f>
        <v>a16Dm000000M3qQIAS</v>
      </c>
      <c r="B1849" s="570">
        <v>31</v>
      </c>
      <c r="C1849" s="572" t="str">
        <f ca="1">IFERROR(VLOOKUP(B1849,'Coverage Indicators - Section D'!$A$9:$AO$94,41,FALSE),"")</f>
        <v>TCS-1.1 Percentage of people on ART among all people living with HIV at the end of the reporting period</v>
      </c>
      <c r="D1849" s="574" t="str">
        <f ca="1">M1849</f>
        <v/>
      </c>
      <c r="E1849" s="574" t="str">
        <f ca="1">N1849</f>
        <v/>
      </c>
      <c r="F1849" s="127"/>
      <c r="G1849" s="576" t="str">
        <f ca="1">IF(OR(INDIRECT("'update Helper'!E"&amp;Q1849)="",F1849&lt;&gt;0,F1850&lt;&gt;0),IF(IFERROR((F1849/F1850),"")="","",(F1849/F1850)),INDIRECT("'update Helper'!E"&amp;Q1849)/100)</f>
        <v/>
      </c>
      <c r="H1849" s="539"/>
      <c r="I1849" s="578"/>
      <c r="J1849" s="532"/>
      <c r="K1849" s="126">
        <f ca="1">IF(AND(EXACT(C1849,C1847),C1847&lt;&gt;0),K1847+1,0)</f>
        <v>14</v>
      </c>
      <c r="L1849" s="126" t="str">
        <f t="shared" ref="L1849" ca="1" si="2070">IF(C1849&lt;&gt;"",C1849&amp;"-"&amp;K1849,"")</f>
        <v>TCS-1.1 Percentage of people on ART among all people living with HIV at the end of the reporting period-14</v>
      </c>
      <c r="M1849" s="126" t="str">
        <f t="array" aca="1" ref="M1849" ca="1">IFERROR(IF(INDEX('Disaggregation Records'!$E$156:$E$517,MATCH(RIGHT(L1849,255),RIGHT('Disaggregation Records'!$D$156:$D$517,255),0))="","",INDEX('Disaggregation Records'!$E$156:$E$517,MATCH(RIGHT(L1849,255),RIGHT('Disaggregation Records'!$D$156:$D$517,255),0))),"")</f>
        <v/>
      </c>
      <c r="N1849" s="126" t="str">
        <f t="array" aca="1" ref="N1849" ca="1">IFERROR(IF(INDEX('Disaggregation Records'!$F$156:$F$517,MATCH(RIGHT(L1849,255),RIGHT('Disaggregation Records'!$D$156:$D$517,255),0))="","",INDEX('Disaggregation Records'!$F$156:$F$517,MATCH(RIGHT(L1849,255),RIGHT('Disaggregation Records'!$D$156:$D$517,255),0))),"")</f>
        <v/>
      </c>
      <c r="O1849" s="314" t="str">
        <f t="array" aca="1" ref="O1849" ca="1">IFERROR(IF(INDEX('Disaggregation Records'!$H$156:$H$517,MATCH(RIGHT(L1849,255),RIGHT('Disaggregation Records'!$D$156:$D$517,255),0))="","",INDEX('Disaggregation Records'!$H$156:$H$517,MATCH(RIGHT(L1849,255),RIGHT('Disaggregation Records'!$D$156:$D$517,255),0))),"")</f>
        <v/>
      </c>
      <c r="P1849" s="314"/>
      <c r="Q1849" s="310">
        <f t="shared" ref="Q1849" si="2071">Q1847+1</f>
        <v>1627</v>
      </c>
      <c r="R1849" s="314" t="str" cm="1">
        <f t="array" aca="1" ref="R1849" ca="1">IFERROR(IF(INDEX('Disaggregation Records'!$G$156:$G$517,MATCH(RIGHT(L1849,255),RIGHT('Disaggregation Records'!$D$156:$D$517,255),0))="","",INDEX('Disaggregation Records'!$G$156:$G$517,MATCH(RIGHT(L1849,255),RIGHT('Disaggregation Records'!$D$156:$D$517,255),0))),"")</f>
        <v/>
      </c>
    </row>
    <row r="1850" spans="1:18" ht="20.100000000000001" customHeight="1">
      <c r="B1850" s="571"/>
      <c r="C1850" s="573"/>
      <c r="D1850" s="575"/>
      <c r="E1850" s="575"/>
      <c r="F1850" s="128"/>
      <c r="G1850" s="577"/>
      <c r="H1850" s="540"/>
      <c r="I1850" s="579"/>
      <c r="J1850" s="533"/>
      <c r="K1850" s="126"/>
      <c r="L1850" s="126"/>
      <c r="M1850" s="126"/>
      <c r="N1850" s="126"/>
      <c r="O1850" s="314"/>
      <c r="P1850" s="314"/>
      <c r="Q1850" s="310"/>
      <c r="R1850" s="314" t="str" cm="1">
        <f t="array" ref="R1850">IFERROR(IF(INDEX('Disaggregation Records'!$G$156:$G$517,MATCH(RIGHT(L1850,255),RIGHT('Disaggregation Records'!$D$156:$D$517,255),0))="","",INDEX('Disaggregation Records'!$G$156:$G$517,MATCH(RIGHT(L1850,255),RIGHT('Disaggregation Records'!$D$156:$D$517,255),0))),"")</f>
        <v/>
      </c>
    </row>
    <row r="1851" spans="1:18" ht="20.100000000000001" customHeight="1">
      <c r="A1851" s="126" t="str">
        <f t="shared" ref="A1851:A1911" ca="1" si="2072">INDIRECT("'update Helper'!C"&amp;Q1851)</f>
        <v>a16Dm000000M3qRIAS</v>
      </c>
      <c r="B1851" s="570">
        <v>31</v>
      </c>
      <c r="C1851" s="572" t="str">
        <f ca="1">IFERROR(VLOOKUP(B1851,'Coverage Indicators - Section D'!$A$9:$AO$94,41,FALSE),"")</f>
        <v>TCS-1.1 Percentage of people on ART among all people living with HIV at the end of the reporting period</v>
      </c>
      <c r="D1851" s="574" t="str">
        <f ca="1">M1851</f>
        <v/>
      </c>
      <c r="E1851" s="574" t="str">
        <f ca="1">N1851</f>
        <v/>
      </c>
      <c r="F1851" s="127"/>
      <c r="G1851" s="576" t="str">
        <f ca="1">IF(OR(INDIRECT("'update Helper'!E"&amp;Q1851)="",F1851&lt;&gt;0,F1852&lt;&gt;0),IF(IFERROR((F1851/F1852),"")="","",(F1851/F1852)),INDIRECT("'update Helper'!E"&amp;Q1851)/100)</f>
        <v/>
      </c>
      <c r="H1851" s="539"/>
      <c r="I1851" s="578"/>
      <c r="J1851" s="532"/>
      <c r="K1851" s="126">
        <f ca="1">IF(AND(EXACT(C1851,C1849),C1849&lt;&gt;0),K1849+1,0)</f>
        <v>15</v>
      </c>
      <c r="L1851" s="126" t="str">
        <f t="shared" ref="L1851" ca="1" si="2073">IF(C1851&lt;&gt;"",C1851&amp;"-"&amp;K1851,"")</f>
        <v>TCS-1.1 Percentage of people on ART among all people living with HIV at the end of the reporting period-15</v>
      </c>
      <c r="M1851" s="126" t="str">
        <f t="array" aca="1" ref="M1851" ca="1">IFERROR(IF(INDEX('Disaggregation Records'!$E$156:$E$517,MATCH(RIGHT(L1851,255),RIGHT('Disaggregation Records'!$D$156:$D$517,255),0))="","",INDEX('Disaggregation Records'!$E$156:$E$517,MATCH(RIGHT(L1851,255),RIGHT('Disaggregation Records'!$D$156:$D$517,255),0))),"")</f>
        <v/>
      </c>
      <c r="N1851" s="126" t="str">
        <f t="array" aca="1" ref="N1851" ca="1">IFERROR(IF(INDEX('Disaggregation Records'!$F$156:$F$517,MATCH(RIGHT(L1851,255),RIGHT('Disaggregation Records'!$D$156:$D$517,255),0))="","",INDEX('Disaggregation Records'!$F$156:$F$517,MATCH(RIGHT(L1851,255),RIGHT('Disaggregation Records'!$D$156:$D$517,255),0))),"")</f>
        <v/>
      </c>
      <c r="O1851" s="314" t="str">
        <f t="array" aca="1" ref="O1851" ca="1">IFERROR(IF(INDEX('Disaggregation Records'!$H$156:$H$517,MATCH(RIGHT(L1851,255),RIGHT('Disaggregation Records'!$D$156:$D$517,255),0))="","",INDEX('Disaggregation Records'!$H$156:$H$517,MATCH(RIGHT(L1851,255),RIGHT('Disaggregation Records'!$D$156:$D$517,255),0))),"")</f>
        <v/>
      </c>
      <c r="P1851" s="314"/>
      <c r="Q1851" s="310">
        <f t="shared" ref="Q1851" si="2074">Q1849+1</f>
        <v>1628</v>
      </c>
      <c r="R1851" s="314" t="str" cm="1">
        <f t="array" aca="1" ref="R1851" ca="1">IFERROR(IF(INDEX('Disaggregation Records'!$G$156:$G$517,MATCH(RIGHT(L1851,255),RIGHT('Disaggregation Records'!$D$156:$D$517,255),0))="","",INDEX('Disaggregation Records'!$G$156:$G$517,MATCH(RIGHT(L1851,255),RIGHT('Disaggregation Records'!$D$156:$D$517,255),0))),"")</f>
        <v/>
      </c>
    </row>
    <row r="1852" spans="1:18" ht="20.100000000000001" customHeight="1">
      <c r="A1852" s="126"/>
      <c r="B1852" s="571"/>
      <c r="C1852" s="573"/>
      <c r="D1852" s="575"/>
      <c r="E1852" s="575"/>
      <c r="F1852" s="128"/>
      <c r="G1852" s="577"/>
      <c r="H1852" s="540"/>
      <c r="I1852" s="579"/>
      <c r="J1852" s="533"/>
      <c r="K1852" s="126"/>
      <c r="L1852" s="126"/>
      <c r="M1852" s="126"/>
      <c r="N1852" s="126"/>
      <c r="O1852" s="314"/>
      <c r="P1852" s="314"/>
      <c r="Q1852" s="310"/>
      <c r="R1852" s="314" t="str" cm="1">
        <f t="array" ref="R1852">IFERROR(IF(INDEX('Disaggregation Records'!$G$156:$G$517,MATCH(RIGHT(L1852,255),RIGHT('Disaggregation Records'!$D$156:$D$517,255),0))="","",INDEX('Disaggregation Records'!$G$156:$G$517,MATCH(RIGHT(L1852,255),RIGHT('Disaggregation Records'!$D$156:$D$517,255),0))),"")</f>
        <v/>
      </c>
    </row>
    <row r="1853" spans="1:18" ht="20.100000000000001" customHeight="1">
      <c r="A1853" s="126" t="str">
        <f t="shared" ref="A1853:A1913" ca="1" si="2075">INDIRECT("'update Helper'!C"&amp;Q1853)</f>
        <v>a16Dm000000M3qSIAS</v>
      </c>
      <c r="B1853" s="570">
        <v>31</v>
      </c>
      <c r="C1853" s="572" t="str">
        <f ca="1">IFERROR(VLOOKUP(B1853,'Coverage Indicators - Section D'!$A$9:$AO$94,41,FALSE),"")</f>
        <v>TCS-1.1 Percentage of people on ART among all people living with HIV at the end of the reporting period</v>
      </c>
      <c r="D1853" s="574" t="str">
        <f ca="1">M1853</f>
        <v/>
      </c>
      <c r="E1853" s="574" t="str">
        <f ca="1">N1853</f>
        <v/>
      </c>
      <c r="F1853" s="127"/>
      <c r="G1853" s="576" t="str">
        <f ca="1">IF(OR(INDIRECT("'update Helper'!E"&amp;Q1853)="",F1853&lt;&gt;0,F1854&lt;&gt;0),IF(IFERROR((F1853/F1854),"")="","",(F1853/F1854)),INDIRECT("'update Helper'!E"&amp;Q1853)/100)</f>
        <v/>
      </c>
      <c r="H1853" s="539"/>
      <c r="I1853" s="578"/>
      <c r="J1853" s="532"/>
      <c r="K1853" s="126">
        <f ca="1">IF(AND(EXACT(C1853,C1851),C1851&lt;&gt;0),K1851+1,0)</f>
        <v>16</v>
      </c>
      <c r="L1853" s="126" t="str">
        <f t="shared" ref="L1853" ca="1" si="2076">IF(C1853&lt;&gt;"",C1853&amp;"-"&amp;K1853,"")</f>
        <v>TCS-1.1 Percentage of people on ART among all people living with HIV at the end of the reporting period-16</v>
      </c>
      <c r="M1853" s="126" t="str">
        <f t="array" aca="1" ref="M1853" ca="1">IFERROR(IF(INDEX('Disaggregation Records'!$E$156:$E$517,MATCH(RIGHT(L1853,255),RIGHT('Disaggregation Records'!$D$156:$D$517,255),0))="","",INDEX('Disaggregation Records'!$E$156:$E$517,MATCH(RIGHT(L1853,255),RIGHT('Disaggregation Records'!$D$156:$D$517,255),0))),"")</f>
        <v/>
      </c>
      <c r="N1853" s="126" t="str">
        <f t="array" aca="1" ref="N1853" ca="1">IFERROR(IF(INDEX('Disaggregation Records'!$F$156:$F$517,MATCH(RIGHT(L1853,255),RIGHT('Disaggregation Records'!$D$156:$D$517,255),0))="","",INDEX('Disaggregation Records'!$F$156:$F$517,MATCH(RIGHT(L1853,255),RIGHT('Disaggregation Records'!$D$156:$D$517,255),0))),"")</f>
        <v/>
      </c>
      <c r="O1853" s="314" t="str">
        <f t="array" aca="1" ref="O1853" ca="1">IFERROR(IF(INDEX('Disaggregation Records'!$H$156:$H$517,MATCH(RIGHT(L1853,255),RIGHT('Disaggregation Records'!$D$156:$D$517,255),0))="","",INDEX('Disaggregation Records'!$H$156:$H$517,MATCH(RIGHT(L1853,255),RIGHT('Disaggregation Records'!$D$156:$D$517,255),0))),"")</f>
        <v/>
      </c>
      <c r="P1853" s="310"/>
      <c r="Q1853" s="310">
        <f t="shared" ref="Q1853" si="2077">Q1851+1</f>
        <v>1629</v>
      </c>
      <c r="R1853" s="314" t="str" cm="1">
        <f t="array" aca="1" ref="R1853" ca="1">IFERROR(IF(INDEX('Disaggregation Records'!$G$156:$G$517,MATCH(RIGHT(L1853,255),RIGHT('Disaggregation Records'!$D$156:$D$517,255),0))="","",INDEX('Disaggregation Records'!$G$156:$G$517,MATCH(RIGHT(L1853,255),RIGHT('Disaggregation Records'!$D$156:$D$517,255),0))),"")</f>
        <v/>
      </c>
    </row>
    <row r="1854" spans="1:18" ht="20.100000000000001" customHeight="1">
      <c r="B1854" s="571"/>
      <c r="C1854" s="573"/>
      <c r="D1854" s="575"/>
      <c r="E1854" s="575"/>
      <c r="F1854" s="128"/>
      <c r="G1854" s="577"/>
      <c r="H1854" s="540"/>
      <c r="I1854" s="579"/>
      <c r="J1854" s="533"/>
      <c r="L1854" s="126"/>
      <c r="N1854" s="126"/>
      <c r="O1854" s="314"/>
      <c r="P1854" s="310"/>
      <c r="Q1854" s="310"/>
      <c r="R1854" s="314" t="str" cm="1">
        <f t="array" ref="R1854">IFERROR(IF(INDEX('Disaggregation Records'!$G$156:$G$517,MATCH(RIGHT(L1854,255),RIGHT('Disaggregation Records'!$D$156:$D$517,255),0))="","",INDEX('Disaggregation Records'!$G$156:$G$517,MATCH(RIGHT(L1854,255),RIGHT('Disaggregation Records'!$D$156:$D$517,255),0))),"")</f>
        <v/>
      </c>
    </row>
    <row r="1855" spans="1:18" ht="20.100000000000001" customHeight="1">
      <c r="A1855" s="126" t="str">
        <f t="shared" ref="A1855:A1915" ca="1" si="2078">INDIRECT("'update Helper'!C"&amp;Q1855)</f>
        <v>a16Dm000000M3qTIAS</v>
      </c>
      <c r="B1855" s="570">
        <v>31</v>
      </c>
      <c r="C1855" s="572" t="str">
        <f ca="1">IFERROR(VLOOKUP(B1855,'Coverage Indicators - Section D'!$A$9:$AO$94,41,FALSE),"")</f>
        <v>TCS-1.1 Percentage of people on ART among all people living with HIV at the end of the reporting period</v>
      </c>
      <c r="D1855" s="574" t="str">
        <f ca="1">M1855</f>
        <v/>
      </c>
      <c r="E1855" s="574" t="str">
        <f ca="1">N1855</f>
        <v/>
      </c>
      <c r="F1855" s="127"/>
      <c r="G1855" s="576" t="str">
        <f ca="1">IF(OR(INDIRECT("'update Helper'!E"&amp;Q1855)="",F1855&lt;&gt;0,F1856&lt;&gt;0),IF(IFERROR((F1855/F1856),"")="","",(F1855/F1856)),INDIRECT("'update Helper'!E"&amp;Q1855)/100)</f>
        <v/>
      </c>
      <c r="H1855" s="539"/>
      <c r="I1855" s="578"/>
      <c r="J1855" s="532"/>
      <c r="K1855" s="126">
        <f ca="1">IF(AND(EXACT(C1855,C1853),C1853&lt;&gt;0),K1853+1,0)</f>
        <v>17</v>
      </c>
      <c r="L1855" s="126" t="str">
        <f t="shared" ref="L1855" ca="1" si="2079">IF(C1855&lt;&gt;"",C1855&amp;"-"&amp;K1855,"")</f>
        <v>TCS-1.1 Percentage of people on ART among all people living with HIV at the end of the reporting period-17</v>
      </c>
      <c r="M1855" s="126" t="str">
        <f t="array" aca="1" ref="M1855" ca="1">IFERROR(IF(INDEX('Disaggregation Records'!$E$156:$E$517,MATCH(RIGHT(L1855,255),RIGHT('Disaggregation Records'!$D$156:$D$517,255),0))="","",INDEX('Disaggregation Records'!$E$156:$E$517,MATCH(RIGHT(L1855,255),RIGHT('Disaggregation Records'!$D$156:$D$517,255),0))),"")</f>
        <v/>
      </c>
      <c r="N1855" s="126" t="str">
        <f t="array" aca="1" ref="N1855" ca="1">IFERROR(IF(INDEX('Disaggregation Records'!$F$156:$F$517,MATCH(RIGHT(L1855,255),RIGHT('Disaggregation Records'!$D$156:$D$517,255),0))="","",INDEX('Disaggregation Records'!$F$156:$F$517,MATCH(RIGHT(L1855,255),RIGHT('Disaggregation Records'!$D$156:$D$517,255),0))),"")</f>
        <v/>
      </c>
      <c r="O1855" s="314" t="str">
        <f t="array" aca="1" ref="O1855" ca="1">IFERROR(IF(INDEX('Disaggregation Records'!$H$156:$H$517,MATCH(RIGHT(L1855,255),RIGHT('Disaggregation Records'!$D$156:$D$517,255),0))="","",INDEX('Disaggregation Records'!$H$156:$H$517,MATCH(RIGHT(L1855,255),RIGHT('Disaggregation Records'!$D$156:$D$517,255),0))),"")</f>
        <v/>
      </c>
      <c r="P1855" s="310"/>
      <c r="Q1855" s="310">
        <f t="shared" ref="Q1855" si="2080">Q1853+1</f>
        <v>1630</v>
      </c>
      <c r="R1855" s="314" t="str" cm="1">
        <f t="array" aca="1" ref="R1855" ca="1">IFERROR(IF(INDEX('Disaggregation Records'!$G$156:$G$517,MATCH(RIGHT(L1855,255),RIGHT('Disaggregation Records'!$D$156:$D$517,255),0))="","",INDEX('Disaggregation Records'!$G$156:$G$517,MATCH(RIGHT(L1855,255),RIGHT('Disaggregation Records'!$D$156:$D$517,255),0))),"")</f>
        <v/>
      </c>
    </row>
    <row r="1856" spans="1:18" ht="20.100000000000001" customHeight="1">
      <c r="A1856" s="126"/>
      <c r="B1856" s="571"/>
      <c r="C1856" s="573"/>
      <c r="D1856" s="575"/>
      <c r="E1856" s="575"/>
      <c r="F1856" s="128"/>
      <c r="G1856" s="577"/>
      <c r="H1856" s="540"/>
      <c r="I1856" s="579"/>
      <c r="J1856" s="533"/>
      <c r="L1856" s="126"/>
      <c r="N1856" s="126"/>
      <c r="O1856" s="314"/>
      <c r="P1856" s="310"/>
      <c r="Q1856" s="310"/>
      <c r="R1856" s="314" t="str" cm="1">
        <f t="array" ref="R1856">IFERROR(IF(INDEX('Disaggregation Records'!$G$156:$G$517,MATCH(RIGHT(L1856,255),RIGHT('Disaggregation Records'!$D$156:$D$517,255),0))="","",INDEX('Disaggregation Records'!$G$156:$G$517,MATCH(RIGHT(L1856,255),RIGHT('Disaggregation Records'!$D$156:$D$517,255),0))),"")</f>
        <v/>
      </c>
    </row>
    <row r="1857" spans="1:18" ht="20.100000000000001" customHeight="1">
      <c r="A1857" s="126" t="str">
        <f t="shared" ref="A1857:A1917" ca="1" si="2081">INDIRECT("'update Helper'!C"&amp;Q1857)</f>
        <v>a16Dm000000M3qUIAS</v>
      </c>
      <c r="B1857" s="570">
        <v>31</v>
      </c>
      <c r="C1857" s="572" t="str">
        <f ca="1">IFERROR(VLOOKUP(B1857,'Coverage Indicators - Section D'!$A$9:$AO$94,41,FALSE),"")</f>
        <v>TCS-1.1 Percentage of people on ART among all people living with HIV at the end of the reporting period</v>
      </c>
      <c r="D1857" s="574" t="str">
        <f ca="1">M1857</f>
        <v/>
      </c>
      <c r="E1857" s="574" t="str">
        <f ca="1">N1857</f>
        <v/>
      </c>
      <c r="F1857" s="127"/>
      <c r="G1857" s="576" t="str">
        <f ca="1">IF(OR(INDIRECT("'update Helper'!E"&amp;Q1857)="",F1857&lt;&gt;0,F1858&lt;&gt;0),IF(IFERROR((F1857/F1858),"")="","",(F1857/F1858)),INDIRECT("'update Helper'!E"&amp;Q1857)/100)</f>
        <v/>
      </c>
      <c r="H1857" s="539"/>
      <c r="I1857" s="578"/>
      <c r="J1857" s="532"/>
      <c r="K1857" s="126">
        <f ca="1">IF(AND(EXACT(C1857,C1855),C1855&lt;&gt;0),K1855+1,0)</f>
        <v>18</v>
      </c>
      <c r="L1857" s="126" t="str">
        <f t="shared" ref="L1857" ca="1" si="2082">IF(C1857&lt;&gt;"",C1857&amp;"-"&amp;K1857,"")</f>
        <v>TCS-1.1 Percentage of people on ART among all people living with HIV at the end of the reporting period-18</v>
      </c>
      <c r="M1857" s="126" t="str">
        <f t="array" aca="1" ref="M1857" ca="1">IFERROR(IF(INDEX('Disaggregation Records'!$E$156:$E$517,MATCH(RIGHT(L1857,255),RIGHT('Disaggregation Records'!$D$156:$D$517,255),0))="","",INDEX('Disaggregation Records'!$E$156:$E$517,MATCH(RIGHT(L1857,255),RIGHT('Disaggregation Records'!$D$156:$D$517,255),0))),"")</f>
        <v/>
      </c>
      <c r="N1857" s="126" t="str">
        <f t="array" aca="1" ref="N1857" ca="1">IFERROR(IF(INDEX('Disaggregation Records'!$F$156:$F$517,MATCH(RIGHT(L1857,255),RIGHT('Disaggregation Records'!$D$156:$D$517,255),0))="","",INDEX('Disaggregation Records'!$F$156:$F$517,MATCH(RIGHT(L1857,255),RIGHT('Disaggregation Records'!$D$156:$D$517,255),0))),"")</f>
        <v/>
      </c>
      <c r="O1857" s="314" t="str">
        <f t="array" aca="1" ref="O1857" ca="1">IFERROR(IF(INDEX('Disaggregation Records'!$H$156:$H$517,MATCH(RIGHT(L1857,255),RIGHT('Disaggregation Records'!$D$156:$D$517,255),0))="","",INDEX('Disaggregation Records'!$H$156:$H$517,MATCH(RIGHT(L1857,255),RIGHT('Disaggregation Records'!$D$156:$D$517,255),0))),"")</f>
        <v/>
      </c>
      <c r="P1857" s="310"/>
      <c r="Q1857" s="310">
        <f t="shared" ref="Q1857" si="2083">Q1855+1</f>
        <v>1631</v>
      </c>
      <c r="R1857" s="314" t="str" cm="1">
        <f t="array" aca="1" ref="R1857" ca="1">IFERROR(IF(INDEX('Disaggregation Records'!$G$156:$G$517,MATCH(RIGHT(L1857,255),RIGHT('Disaggregation Records'!$D$156:$D$517,255),0))="","",INDEX('Disaggregation Records'!$G$156:$G$517,MATCH(RIGHT(L1857,255),RIGHT('Disaggregation Records'!$D$156:$D$517,255),0))),"")</f>
        <v/>
      </c>
    </row>
    <row r="1858" spans="1:18" ht="20.100000000000001" customHeight="1">
      <c r="B1858" s="571"/>
      <c r="C1858" s="573"/>
      <c r="D1858" s="575"/>
      <c r="E1858" s="575"/>
      <c r="F1858" s="128"/>
      <c r="G1858" s="577"/>
      <c r="H1858" s="540"/>
      <c r="I1858" s="579"/>
      <c r="J1858" s="533"/>
      <c r="L1858" s="126"/>
      <c r="N1858" s="126"/>
      <c r="O1858" s="314"/>
      <c r="P1858" s="310"/>
      <c r="Q1858" s="310"/>
      <c r="R1858" s="314" t="str" cm="1">
        <f t="array" ref="R1858">IFERROR(IF(INDEX('Disaggregation Records'!$G$156:$G$517,MATCH(RIGHT(L1858,255),RIGHT('Disaggregation Records'!$D$156:$D$517,255),0))="","",INDEX('Disaggregation Records'!$G$156:$G$517,MATCH(RIGHT(L1858,255),RIGHT('Disaggregation Records'!$D$156:$D$517,255),0))),"")</f>
        <v/>
      </c>
    </row>
    <row r="1859" spans="1:18" ht="20.100000000000001" customHeight="1">
      <c r="A1859" s="126" t="str">
        <f t="shared" ref="A1859:A1919" ca="1" si="2084">INDIRECT("'update Helper'!C"&amp;Q1859)</f>
        <v>a16Dm000000M3qVIAS</v>
      </c>
      <c r="B1859" s="570">
        <v>31</v>
      </c>
      <c r="C1859" s="572" t="str">
        <f ca="1">IFERROR(VLOOKUP(B1859,'Coverage Indicators - Section D'!$A$9:$AO$94,41,FALSE),"")</f>
        <v>TCS-1.1 Percentage of people on ART among all people living with HIV at the end of the reporting period</v>
      </c>
      <c r="D1859" s="574" t="str">
        <f ca="1">M1859</f>
        <v/>
      </c>
      <c r="E1859" s="574" t="str">
        <f ca="1">N1859</f>
        <v/>
      </c>
      <c r="F1859" s="127"/>
      <c r="G1859" s="576" t="str">
        <f ca="1">IF(OR(INDIRECT("'update Helper'!E"&amp;Q1859)="",F1859&lt;&gt;0,F1860&lt;&gt;0),IF(IFERROR((F1859/F1860),"")="","",(F1859/F1860)),INDIRECT("'update Helper'!E"&amp;Q1859)/100)</f>
        <v/>
      </c>
      <c r="H1859" s="539"/>
      <c r="I1859" s="578" t="s">
        <v>2281</v>
      </c>
      <c r="J1859" s="532" t="s">
        <v>2282</v>
      </c>
      <c r="K1859" s="126">
        <f ca="1">IF(AND(EXACT(C1859,C1857),C1857&lt;&gt;0),K1857+1,0)</f>
        <v>19</v>
      </c>
      <c r="L1859" s="126" t="str">
        <f t="shared" ref="L1859" ca="1" si="2085">IF(C1859&lt;&gt;"",C1859&amp;"-"&amp;K1859,"")</f>
        <v>TCS-1.1 Percentage of people on ART among all people living with HIV at the end of the reporting period-19</v>
      </c>
      <c r="M1859" s="126" t="str">
        <f t="array" aca="1" ref="M1859" ca="1">IFERROR(IF(INDEX('Disaggregation Records'!$E$156:$E$517,MATCH(RIGHT(L1859,255),RIGHT('Disaggregation Records'!$D$156:$D$517,255),0))="","",INDEX('Disaggregation Records'!$E$156:$E$517,MATCH(RIGHT(L1859,255),RIGHT('Disaggregation Records'!$D$156:$D$517,255),0))),"")</f>
        <v/>
      </c>
      <c r="N1859" s="126" t="str">
        <f t="array" aca="1" ref="N1859" ca="1">IFERROR(IF(INDEX('Disaggregation Records'!$F$156:$F$517,MATCH(RIGHT(L1859,255),RIGHT('Disaggregation Records'!$D$156:$D$517,255),0))="","",INDEX('Disaggregation Records'!$F$156:$F$517,MATCH(RIGHT(L1859,255),RIGHT('Disaggregation Records'!$D$156:$D$517,255),0))),"")</f>
        <v/>
      </c>
      <c r="O1859" s="314" t="str">
        <f t="array" aca="1" ref="O1859" ca="1">IFERROR(IF(INDEX('Disaggregation Records'!$H$156:$H$517,MATCH(RIGHT(L1859,255),RIGHT('Disaggregation Records'!$D$156:$D$517,255),0))="","",INDEX('Disaggregation Records'!$H$156:$H$517,MATCH(RIGHT(L1859,255),RIGHT('Disaggregation Records'!$D$156:$D$517,255),0))),"")</f>
        <v/>
      </c>
      <c r="P1859" s="314"/>
      <c r="Q1859" s="310">
        <f t="shared" ref="Q1859" si="2086">Q1857+1</f>
        <v>1632</v>
      </c>
      <c r="R1859" s="314" t="str" cm="1">
        <f t="array" aca="1" ref="R1859" ca="1">IFERROR(IF(INDEX('Disaggregation Records'!$G$156:$G$517,MATCH(RIGHT(L1859,255),RIGHT('Disaggregation Records'!$D$156:$D$517,255),0))="","",INDEX('Disaggregation Records'!$G$156:$G$517,MATCH(RIGHT(L1859,255),RIGHT('Disaggregation Records'!$D$156:$D$517,255),0))),"")</f>
        <v/>
      </c>
    </row>
    <row r="1860" spans="1:18" ht="20.100000000000001" customHeight="1">
      <c r="A1860" s="126"/>
      <c r="B1860" s="571"/>
      <c r="C1860" s="573"/>
      <c r="D1860" s="575"/>
      <c r="E1860" s="575"/>
      <c r="F1860" s="128"/>
      <c r="G1860" s="577"/>
      <c r="H1860" s="540"/>
      <c r="I1860" s="579"/>
      <c r="J1860" s="533"/>
      <c r="K1860" s="126"/>
      <c r="L1860" s="126"/>
      <c r="M1860" s="126"/>
      <c r="N1860" s="126"/>
      <c r="O1860" s="314"/>
      <c r="P1860" s="314"/>
      <c r="Q1860" s="310"/>
      <c r="R1860" s="314" t="str" cm="1">
        <f t="array" ref="R1860">IFERROR(IF(INDEX('Disaggregation Records'!$G$156:$G$517,MATCH(RIGHT(L1860,255),RIGHT('Disaggregation Records'!$D$156:$D$517,255),0))="","",INDEX('Disaggregation Records'!$G$156:$G$517,MATCH(RIGHT(L1860,255),RIGHT('Disaggregation Records'!$D$156:$D$517,255),0))),"")</f>
        <v/>
      </c>
    </row>
    <row r="1861" spans="1:18" ht="20.100000000000001" customHeight="1">
      <c r="A1861" s="126" t="str">
        <f t="shared" ref="A1861:A1921" ca="1" si="2087">INDIRECT("'update Helper'!C"&amp;Q1861)</f>
        <v>a16Dm000000M3qWIAS</v>
      </c>
      <c r="B1861" s="570">
        <v>32</v>
      </c>
      <c r="C1861" s="572" t="str">
        <f ca="1">IFERROR(VLOOKUP(B1861,'Coverage Indicators - Section D'!$A$9:$AO$94,41,FALSE),"")</f>
        <v>TCS-1b Percentage of adults (15 and above) on ART among all adults living with HIV at the end of the reporting period</v>
      </c>
      <c r="D1861" s="574" t="str">
        <f ca="1">M1861</f>
        <v>Gender</v>
      </c>
      <c r="E1861" s="574" t="str">
        <f ca="1">N1861</f>
        <v>Male</v>
      </c>
      <c r="F1861" s="127"/>
      <c r="G1861" s="576"/>
      <c r="H1861" s="539"/>
      <c r="I1861" s="578"/>
      <c r="J1861" s="532"/>
      <c r="K1861" s="126">
        <f ca="1">IF(AND(EXACT(C1861,C1859),C1859&lt;&gt;0),K1859+1,0)</f>
        <v>0</v>
      </c>
      <c r="L1861" s="126" t="str">
        <f t="shared" ref="L1861" ca="1" si="2088">IF(C1861&lt;&gt;"",C1861&amp;"-"&amp;K1861,"")</f>
        <v>TCS-1b Percentage of adults (15 and above) on ART among all adults living with HIV at the end of the reporting period-0</v>
      </c>
      <c r="M1861" s="126" t="str">
        <f t="array" aca="1" ref="M1861" ca="1">IFERROR(IF(INDEX('Disaggregation Records'!$E$156:$E$517,MATCH(RIGHT(L1861,255),RIGHT('Disaggregation Records'!$D$156:$D$517,255),0))="","",INDEX('Disaggregation Records'!$E$156:$E$517,MATCH(RIGHT(L1861,255),RIGHT('Disaggregation Records'!$D$156:$D$517,255),0))),"")</f>
        <v>Gender</v>
      </c>
      <c r="N1861" s="126" t="str">
        <f t="array" aca="1" ref="N1861" ca="1">IFERROR(IF(INDEX('Disaggregation Records'!$F$156:$F$517,MATCH(RIGHT(L1861,255),RIGHT('Disaggregation Records'!$D$156:$D$517,255),0))="","",INDEX('Disaggregation Records'!$F$156:$F$517,MATCH(RIGHT(L1861,255),RIGHT('Disaggregation Records'!$D$156:$D$517,255),0))),"")</f>
        <v>Male</v>
      </c>
      <c r="O1861" s="314" t="str">
        <f t="array" aca="1" ref="O1861" ca="1">IFERROR(IF(INDEX('Disaggregation Records'!$H$156:$H$517,MATCH(RIGHT(L1861,255),RIGHT('Disaggregation Records'!$D$156:$D$517,255),0))="","",INDEX('Disaggregation Records'!$H$156:$H$517,MATCH(RIGHT(L1861,255),RIGHT('Disaggregation Records'!$D$156:$D$517,255),0))),"")</f>
        <v>IDR-01300</v>
      </c>
      <c r="P1861" s="314"/>
      <c r="Q1861" s="310">
        <f t="shared" ref="Q1861" si="2089">Q1859+1</f>
        <v>1633</v>
      </c>
      <c r="R1861" s="314" t="str" cm="1">
        <f t="array" aca="1" ref="R1861" ca="1">IFERROR(IF(INDEX('Disaggregation Records'!$G$156:$G$517,MATCH(RIGHT(L1861,255),RIGHT('Disaggregation Records'!$D$156:$D$517,255),0))="","",INDEX('Disaggregation Records'!$G$156:$G$517,MATCH(RIGHT(L1861,255),RIGHT('Disaggregation Records'!$D$156:$D$517,255),0))),"")</f>
        <v>a1LDm000000Cb3iMAC</v>
      </c>
    </row>
    <row r="1862" spans="1:18" ht="20.100000000000001" customHeight="1">
      <c r="B1862" s="571"/>
      <c r="C1862" s="573"/>
      <c r="D1862" s="575"/>
      <c r="E1862" s="575"/>
      <c r="F1862" s="128"/>
      <c r="G1862" s="577"/>
      <c r="H1862" s="540"/>
      <c r="I1862" s="579"/>
      <c r="J1862" s="533"/>
      <c r="K1862" s="126"/>
      <c r="L1862" s="126"/>
      <c r="M1862" s="126"/>
      <c r="N1862" s="126"/>
      <c r="O1862" s="314"/>
      <c r="P1862" s="314"/>
      <c r="Q1862" s="310"/>
      <c r="R1862" s="314" t="str" cm="1">
        <f t="array" ref="R1862">IFERROR(IF(INDEX('Disaggregation Records'!$G$156:$G$517,MATCH(RIGHT(L1862,255),RIGHT('Disaggregation Records'!$D$156:$D$517,255),0))="","",INDEX('Disaggregation Records'!$G$156:$G$517,MATCH(RIGHT(L1862,255),RIGHT('Disaggregation Records'!$D$156:$D$517,255),0))),"")</f>
        <v/>
      </c>
    </row>
    <row r="1863" spans="1:18" ht="20.100000000000001" customHeight="1">
      <c r="A1863" s="126" t="str">
        <f t="shared" ref="A1863:A1923" ca="1" si="2090">INDIRECT("'update Helper'!C"&amp;Q1863)</f>
        <v>a16Dm000000M3qXIAS</v>
      </c>
      <c r="B1863" s="570">
        <v>32</v>
      </c>
      <c r="C1863" s="572" t="str">
        <f ca="1">IFERROR(VLOOKUP(B1863,'Coverage Indicators - Section D'!$A$9:$AO$94,41,FALSE),"")</f>
        <v>TCS-1b Percentage of adults (15 and above) on ART among all adults living with HIV at the end of the reporting period</v>
      </c>
      <c r="D1863" s="574" t="str">
        <f ca="1">M1863</f>
        <v>Gender</v>
      </c>
      <c r="E1863" s="574" t="str">
        <f ca="1">N1863</f>
        <v>Female</v>
      </c>
      <c r="F1863" s="127"/>
      <c r="G1863" s="576"/>
      <c r="H1863" s="539"/>
      <c r="I1863" s="578"/>
      <c r="J1863" s="532"/>
      <c r="K1863" s="126">
        <f ca="1">IF(AND(EXACT(C1863,C1861),C1861&lt;&gt;0),K1861+1,0)</f>
        <v>1</v>
      </c>
      <c r="L1863" s="126" t="str">
        <f t="shared" ref="L1863" ca="1" si="2091">IF(C1863&lt;&gt;"",C1863&amp;"-"&amp;K1863,"")</f>
        <v>TCS-1b Percentage of adults (15 and above) on ART among all adults living with HIV at the end of the reporting period-1</v>
      </c>
      <c r="M1863" s="126" t="str">
        <f t="array" aca="1" ref="M1863" ca="1">IFERROR(IF(INDEX('Disaggregation Records'!$E$156:$E$517,MATCH(RIGHT(L1863,255),RIGHT('Disaggregation Records'!$D$156:$D$517,255),0))="","",INDEX('Disaggregation Records'!$E$156:$E$517,MATCH(RIGHT(L1863,255),RIGHT('Disaggregation Records'!$D$156:$D$517,255),0))),"")</f>
        <v>Gender</v>
      </c>
      <c r="N1863" s="126" t="str">
        <f t="array" aca="1" ref="N1863" ca="1">IFERROR(IF(INDEX('Disaggregation Records'!$F$156:$F$517,MATCH(RIGHT(L1863,255),RIGHT('Disaggregation Records'!$D$156:$D$517,255),0))="","",INDEX('Disaggregation Records'!$F$156:$F$517,MATCH(RIGHT(L1863,255),RIGHT('Disaggregation Records'!$D$156:$D$517,255),0))),"")</f>
        <v>Female</v>
      </c>
      <c r="O1863" s="314" t="str">
        <f t="array" aca="1" ref="O1863" ca="1">IFERROR(IF(INDEX('Disaggregation Records'!$H$156:$H$517,MATCH(RIGHT(L1863,255),RIGHT('Disaggregation Records'!$D$156:$D$517,255),0))="","",INDEX('Disaggregation Records'!$H$156:$H$517,MATCH(RIGHT(L1863,255),RIGHT('Disaggregation Records'!$D$156:$D$517,255),0))),"")</f>
        <v>IDR-01299</v>
      </c>
      <c r="P1863" s="310"/>
      <c r="Q1863" s="310">
        <f t="shared" ref="Q1863" si="2092">Q1861+1</f>
        <v>1634</v>
      </c>
      <c r="R1863" s="314" t="str" cm="1">
        <f t="array" aca="1" ref="R1863" ca="1">IFERROR(IF(INDEX('Disaggregation Records'!$G$156:$G$517,MATCH(RIGHT(L1863,255),RIGHT('Disaggregation Records'!$D$156:$D$517,255),0))="","",INDEX('Disaggregation Records'!$G$156:$G$517,MATCH(RIGHT(L1863,255),RIGHT('Disaggregation Records'!$D$156:$D$517,255),0))),"")</f>
        <v>a1LDm000000Cb3hMAC</v>
      </c>
    </row>
    <row r="1864" spans="1:18" ht="20.100000000000001" customHeight="1">
      <c r="A1864" s="126"/>
      <c r="B1864" s="571"/>
      <c r="C1864" s="573"/>
      <c r="D1864" s="575"/>
      <c r="E1864" s="575"/>
      <c r="F1864" s="128"/>
      <c r="G1864" s="577"/>
      <c r="H1864" s="540"/>
      <c r="I1864" s="579"/>
      <c r="J1864" s="533"/>
      <c r="L1864" s="126"/>
      <c r="N1864" s="126"/>
      <c r="O1864" s="314"/>
      <c r="P1864" s="310"/>
      <c r="Q1864" s="310"/>
      <c r="R1864" s="314" t="str" cm="1">
        <f t="array" ref="R1864">IFERROR(IF(INDEX('Disaggregation Records'!$G$156:$G$517,MATCH(RIGHT(L1864,255),RIGHT('Disaggregation Records'!$D$156:$D$517,255),0))="","",INDEX('Disaggregation Records'!$G$156:$G$517,MATCH(RIGHT(L1864,255),RIGHT('Disaggregation Records'!$D$156:$D$517,255),0))),"")</f>
        <v/>
      </c>
    </row>
    <row r="1865" spans="1:18" ht="20.100000000000001" customHeight="1">
      <c r="A1865" s="126" t="str">
        <f t="shared" ref="A1865:A1925" ca="1" si="2093">INDIRECT("'update Helper'!C"&amp;Q1865)</f>
        <v>a16Dm000000M3qYIAS</v>
      </c>
      <c r="B1865" s="570">
        <v>32</v>
      </c>
      <c r="C1865" s="572" t="str">
        <f ca="1">IFERROR(VLOOKUP(B1865,'Coverage Indicators - Section D'!$A$9:$AO$94,41,FALSE),"")</f>
        <v>TCS-1b Percentage of adults (15 and above) on ART among all adults living with HIV at the end of the reporting period</v>
      </c>
      <c r="D1865" s="574" t="str">
        <f ca="1">M1865</f>
        <v/>
      </c>
      <c r="E1865" s="574" t="str">
        <f ca="1">N1865</f>
        <v/>
      </c>
      <c r="F1865" s="127"/>
      <c r="G1865" s="576" t="str">
        <f ca="1">IF(OR(INDIRECT("'update Helper'!E"&amp;Q1865)="",F1865&lt;&gt;0,F1866&lt;&gt;0),IF(IFERROR((F1865/F1866),"")="","",(F1865/F1866)),INDIRECT("'update Helper'!E"&amp;Q1865)/100)</f>
        <v/>
      </c>
      <c r="H1865" s="539"/>
      <c r="I1865" s="578" t="s">
        <v>2281</v>
      </c>
      <c r="J1865" s="532" t="s">
        <v>2282</v>
      </c>
      <c r="K1865" s="126">
        <f ca="1">IF(AND(EXACT(C1865,C1863),C1863&lt;&gt;0),K1863+1,0)</f>
        <v>2</v>
      </c>
      <c r="L1865" s="126" t="str">
        <f t="shared" ref="L1865" ca="1" si="2094">IF(C1865&lt;&gt;"",C1865&amp;"-"&amp;K1865,"")</f>
        <v>TCS-1b Percentage of adults (15 and above) on ART among all adults living with HIV at the end of the reporting period-2</v>
      </c>
      <c r="M1865" s="126" t="str">
        <f t="array" aca="1" ref="M1865" ca="1">IFERROR(IF(INDEX('Disaggregation Records'!$E$156:$E$517,MATCH(RIGHT(L1865,255),RIGHT('Disaggregation Records'!$D$156:$D$517,255),0))="","",INDEX('Disaggregation Records'!$E$156:$E$517,MATCH(RIGHT(L1865,255),RIGHT('Disaggregation Records'!$D$156:$D$517,255),0))),"")</f>
        <v/>
      </c>
      <c r="N1865" s="126" t="str">
        <f t="array" aca="1" ref="N1865" ca="1">IFERROR(IF(INDEX('Disaggregation Records'!$F$156:$F$517,MATCH(RIGHT(L1865,255),RIGHT('Disaggregation Records'!$D$156:$D$517,255),0))="","",INDEX('Disaggregation Records'!$F$156:$F$517,MATCH(RIGHT(L1865,255),RIGHT('Disaggregation Records'!$D$156:$D$517,255),0))),"")</f>
        <v/>
      </c>
      <c r="O1865" s="314" t="str">
        <f t="array" aca="1" ref="O1865" ca="1">IFERROR(IF(INDEX('Disaggregation Records'!$H$156:$H$517,MATCH(RIGHT(L1865,255),RIGHT('Disaggregation Records'!$D$156:$D$517,255),0))="","",INDEX('Disaggregation Records'!$H$156:$H$517,MATCH(RIGHT(L1865,255),RIGHT('Disaggregation Records'!$D$156:$D$517,255),0))),"")</f>
        <v/>
      </c>
      <c r="P1865" s="310"/>
      <c r="Q1865" s="310">
        <f t="shared" ref="Q1865" si="2095">Q1863+1</f>
        <v>1635</v>
      </c>
      <c r="R1865" s="314" t="str" cm="1">
        <f t="array" aca="1" ref="R1865" ca="1">IFERROR(IF(INDEX('Disaggregation Records'!$G$156:$G$517,MATCH(RIGHT(L1865,255),RIGHT('Disaggregation Records'!$D$156:$D$517,255),0))="","",INDEX('Disaggregation Records'!$G$156:$G$517,MATCH(RIGHT(L1865,255),RIGHT('Disaggregation Records'!$D$156:$D$517,255),0))),"")</f>
        <v/>
      </c>
    </row>
    <row r="1866" spans="1:18" ht="20.100000000000001" customHeight="1">
      <c r="B1866" s="571"/>
      <c r="C1866" s="573"/>
      <c r="D1866" s="575"/>
      <c r="E1866" s="575"/>
      <c r="F1866" s="128"/>
      <c r="G1866" s="577"/>
      <c r="H1866" s="540"/>
      <c r="I1866" s="579"/>
      <c r="J1866" s="533"/>
      <c r="L1866" s="126"/>
      <c r="N1866" s="126"/>
      <c r="O1866" s="314"/>
      <c r="P1866" s="310"/>
      <c r="Q1866" s="310"/>
      <c r="R1866" s="314" t="str" cm="1">
        <f t="array" ref="R1866">IFERROR(IF(INDEX('Disaggregation Records'!$G$156:$G$517,MATCH(RIGHT(L1866,255),RIGHT('Disaggregation Records'!$D$156:$D$517,255),0))="","",INDEX('Disaggregation Records'!$G$156:$G$517,MATCH(RIGHT(L1866,255),RIGHT('Disaggregation Records'!$D$156:$D$517,255),0))),"")</f>
        <v/>
      </c>
    </row>
    <row r="1867" spans="1:18" ht="20.100000000000001" customHeight="1">
      <c r="A1867" s="126" t="str">
        <f t="shared" ref="A1867:A1927" ca="1" si="2096">INDIRECT("'update Helper'!C"&amp;Q1867)</f>
        <v>a16Dm000000M3qZIAS</v>
      </c>
      <c r="B1867" s="570">
        <v>32</v>
      </c>
      <c r="C1867" s="572" t="str">
        <f ca="1">IFERROR(VLOOKUP(B1867,'Coverage Indicators - Section D'!$A$9:$AO$94,41,FALSE),"")</f>
        <v>TCS-1b Percentage of adults (15 and above) on ART among all adults living with HIV at the end of the reporting period</v>
      </c>
      <c r="D1867" s="574" t="str">
        <f ca="1">M1867</f>
        <v/>
      </c>
      <c r="E1867" s="574" t="str">
        <f ca="1">N1867</f>
        <v/>
      </c>
      <c r="F1867" s="127"/>
      <c r="G1867" s="576" t="str">
        <f ca="1">IF(OR(INDIRECT("'update Helper'!E"&amp;Q1867)="",F1867&lt;&gt;0,F1868&lt;&gt;0),IF(IFERROR((F1867/F1868),"")="","",(F1867/F1868)),INDIRECT("'update Helper'!E"&amp;Q1867)/100)</f>
        <v/>
      </c>
      <c r="H1867" s="539"/>
      <c r="I1867" s="578" t="s">
        <v>2281</v>
      </c>
      <c r="J1867" s="532" t="s">
        <v>2282</v>
      </c>
      <c r="K1867" s="126">
        <f ca="1">IF(AND(EXACT(C1867,C1865),C1865&lt;&gt;0),K1865+1,0)</f>
        <v>3</v>
      </c>
      <c r="L1867" s="126" t="str">
        <f t="shared" ref="L1867" ca="1" si="2097">IF(C1867&lt;&gt;"",C1867&amp;"-"&amp;K1867,"")</f>
        <v>TCS-1b Percentage of adults (15 and above) on ART among all adults living with HIV at the end of the reporting period-3</v>
      </c>
      <c r="M1867" s="126" t="str">
        <f t="array" aca="1" ref="M1867" ca="1">IFERROR(IF(INDEX('Disaggregation Records'!$E$156:$E$517,MATCH(RIGHT(L1867,255),RIGHT('Disaggregation Records'!$D$156:$D$517,255),0))="","",INDEX('Disaggregation Records'!$E$156:$E$517,MATCH(RIGHT(L1867,255),RIGHT('Disaggregation Records'!$D$156:$D$517,255),0))),"")</f>
        <v/>
      </c>
      <c r="N1867" s="126" t="str">
        <f t="array" aca="1" ref="N1867" ca="1">IFERROR(IF(INDEX('Disaggregation Records'!$F$156:$F$517,MATCH(RIGHT(L1867,255),RIGHT('Disaggregation Records'!$D$156:$D$517,255),0))="","",INDEX('Disaggregation Records'!$F$156:$F$517,MATCH(RIGHT(L1867,255),RIGHT('Disaggregation Records'!$D$156:$D$517,255),0))),"")</f>
        <v/>
      </c>
      <c r="O1867" s="314" t="str">
        <f t="array" aca="1" ref="O1867" ca="1">IFERROR(IF(INDEX('Disaggregation Records'!$H$156:$H$517,MATCH(RIGHT(L1867,255),RIGHT('Disaggregation Records'!$D$156:$D$517,255),0))="","",INDEX('Disaggregation Records'!$H$156:$H$517,MATCH(RIGHT(L1867,255),RIGHT('Disaggregation Records'!$D$156:$D$517,255),0))),"")</f>
        <v/>
      </c>
      <c r="P1867" s="310"/>
      <c r="Q1867" s="310">
        <f t="shared" ref="Q1867" si="2098">Q1865+1</f>
        <v>1636</v>
      </c>
      <c r="R1867" s="314" t="str" cm="1">
        <f t="array" aca="1" ref="R1867" ca="1">IFERROR(IF(INDEX('Disaggregation Records'!$G$156:$G$517,MATCH(RIGHT(L1867,255),RIGHT('Disaggregation Records'!$D$156:$D$517,255),0))="","",INDEX('Disaggregation Records'!$G$156:$G$517,MATCH(RIGHT(L1867,255),RIGHT('Disaggregation Records'!$D$156:$D$517,255),0))),"")</f>
        <v/>
      </c>
    </row>
    <row r="1868" spans="1:18" ht="20.100000000000001" customHeight="1">
      <c r="A1868" s="126"/>
      <c r="B1868" s="571"/>
      <c r="C1868" s="573"/>
      <c r="D1868" s="575"/>
      <c r="E1868" s="575"/>
      <c r="F1868" s="128"/>
      <c r="G1868" s="577"/>
      <c r="H1868" s="540"/>
      <c r="I1868" s="579"/>
      <c r="J1868" s="533"/>
      <c r="L1868" s="126"/>
      <c r="N1868" s="126"/>
      <c r="O1868" s="314"/>
      <c r="P1868" s="310"/>
      <c r="Q1868" s="310"/>
      <c r="R1868" s="314" t="str" cm="1">
        <f t="array" ref="R1868">IFERROR(IF(INDEX('Disaggregation Records'!$G$156:$G$517,MATCH(RIGHT(L1868,255),RIGHT('Disaggregation Records'!$D$156:$D$517,255),0))="","",INDEX('Disaggregation Records'!$G$156:$G$517,MATCH(RIGHT(L1868,255),RIGHT('Disaggregation Records'!$D$156:$D$517,255),0))),"")</f>
        <v/>
      </c>
    </row>
    <row r="1869" spans="1:18" ht="20.100000000000001" customHeight="1">
      <c r="A1869" s="126" t="str">
        <f t="shared" ref="A1869:A1929" ca="1" si="2099">INDIRECT("'update Helper'!C"&amp;Q1869)</f>
        <v>a16Dm000000M3qaIAC</v>
      </c>
      <c r="B1869" s="570">
        <v>32</v>
      </c>
      <c r="C1869" s="572" t="str">
        <f ca="1">IFERROR(VLOOKUP(B1869,'Coverage Indicators - Section D'!$A$9:$AO$94,41,FALSE),"")</f>
        <v>TCS-1b Percentage of adults (15 and above) on ART among all adults living with HIV at the end of the reporting period</v>
      </c>
      <c r="D1869" s="574" t="str">
        <f ca="1">M1869</f>
        <v/>
      </c>
      <c r="E1869" s="574" t="str">
        <f ca="1">N1869</f>
        <v/>
      </c>
      <c r="F1869" s="127"/>
      <c r="G1869" s="576" t="str">
        <f ca="1">IF(OR(INDIRECT("'update Helper'!E"&amp;Q1869)="",F1869&lt;&gt;0,F1870&lt;&gt;0),IF(IFERROR((F1869/F1870),"")="","",(F1869/F1870)),INDIRECT("'update Helper'!E"&amp;Q1869)/100)</f>
        <v/>
      </c>
      <c r="H1869" s="539"/>
      <c r="I1869" s="578" t="s">
        <v>2281</v>
      </c>
      <c r="J1869" s="532" t="s">
        <v>2282</v>
      </c>
      <c r="K1869" s="126">
        <f ca="1">IF(AND(EXACT(C1869,C1867),C1867&lt;&gt;0),K1867+1,0)</f>
        <v>4</v>
      </c>
      <c r="L1869" s="126" t="str">
        <f t="shared" ref="L1869" ca="1" si="2100">IF(C1869&lt;&gt;"",C1869&amp;"-"&amp;K1869,"")</f>
        <v>TCS-1b Percentage of adults (15 and above) on ART among all adults living with HIV at the end of the reporting period-4</v>
      </c>
      <c r="M1869" s="126" t="str">
        <f t="array" aca="1" ref="M1869" ca="1">IFERROR(IF(INDEX('Disaggregation Records'!$E$156:$E$517,MATCH(RIGHT(L1869,255),RIGHT('Disaggregation Records'!$D$156:$D$517,255),0))="","",INDEX('Disaggregation Records'!$E$156:$E$517,MATCH(RIGHT(L1869,255),RIGHT('Disaggregation Records'!$D$156:$D$517,255),0))),"")</f>
        <v/>
      </c>
      <c r="N1869" s="126" t="str">
        <f t="array" aca="1" ref="N1869" ca="1">IFERROR(IF(INDEX('Disaggregation Records'!$F$156:$F$517,MATCH(RIGHT(L1869,255),RIGHT('Disaggregation Records'!$D$156:$D$517,255),0))="","",INDEX('Disaggregation Records'!$F$156:$F$517,MATCH(RIGHT(L1869,255),RIGHT('Disaggregation Records'!$D$156:$D$517,255),0))),"")</f>
        <v/>
      </c>
      <c r="O1869" s="314" t="str">
        <f t="array" aca="1" ref="O1869" ca="1">IFERROR(IF(INDEX('Disaggregation Records'!$H$156:$H$517,MATCH(RIGHT(L1869,255),RIGHT('Disaggregation Records'!$D$156:$D$517,255),0))="","",INDEX('Disaggregation Records'!$H$156:$H$517,MATCH(RIGHT(L1869,255),RIGHT('Disaggregation Records'!$D$156:$D$517,255),0))),"")</f>
        <v/>
      </c>
      <c r="P1869" s="314"/>
      <c r="Q1869" s="310">
        <f t="shared" ref="Q1869" si="2101">Q1867+1</f>
        <v>1637</v>
      </c>
      <c r="R1869" s="314" t="str" cm="1">
        <f t="array" aca="1" ref="R1869" ca="1">IFERROR(IF(INDEX('Disaggregation Records'!$G$156:$G$517,MATCH(RIGHT(L1869,255),RIGHT('Disaggregation Records'!$D$156:$D$517,255),0))="","",INDEX('Disaggregation Records'!$G$156:$G$517,MATCH(RIGHT(L1869,255),RIGHT('Disaggregation Records'!$D$156:$D$517,255),0))),"")</f>
        <v/>
      </c>
    </row>
    <row r="1870" spans="1:18" ht="20.100000000000001" customHeight="1">
      <c r="B1870" s="571"/>
      <c r="C1870" s="573"/>
      <c r="D1870" s="575"/>
      <c r="E1870" s="575"/>
      <c r="F1870" s="128"/>
      <c r="G1870" s="577"/>
      <c r="H1870" s="540"/>
      <c r="I1870" s="579"/>
      <c r="J1870" s="533"/>
      <c r="K1870" s="126"/>
      <c r="L1870" s="126"/>
      <c r="M1870" s="126"/>
      <c r="N1870" s="126"/>
      <c r="O1870" s="314"/>
      <c r="P1870" s="314"/>
      <c r="Q1870" s="310"/>
      <c r="R1870" s="314" t="str" cm="1">
        <f t="array" ref="R1870">IFERROR(IF(INDEX('Disaggregation Records'!$G$156:$G$517,MATCH(RIGHT(L1870,255),RIGHT('Disaggregation Records'!$D$156:$D$517,255),0))="","",INDEX('Disaggregation Records'!$G$156:$G$517,MATCH(RIGHT(L1870,255),RIGHT('Disaggregation Records'!$D$156:$D$517,255),0))),"")</f>
        <v/>
      </c>
    </row>
    <row r="1871" spans="1:18" ht="20.100000000000001" customHeight="1">
      <c r="A1871" s="126" t="str">
        <f t="shared" ref="A1871:A1931" ca="1" si="2102">INDIRECT("'update Helper'!C"&amp;Q1871)</f>
        <v>a16Dm000000M3qbIAC</v>
      </c>
      <c r="B1871" s="570">
        <v>32</v>
      </c>
      <c r="C1871" s="572" t="str">
        <f ca="1">IFERROR(VLOOKUP(B1871,'Coverage Indicators - Section D'!$A$9:$AO$94,41,FALSE),"")</f>
        <v>TCS-1b Percentage of adults (15 and above) on ART among all adults living with HIV at the end of the reporting period</v>
      </c>
      <c r="D1871" s="574" t="str">
        <f ca="1">M1871</f>
        <v/>
      </c>
      <c r="E1871" s="574" t="str">
        <f ca="1">N1871</f>
        <v/>
      </c>
      <c r="F1871" s="127">
        <v>8875</v>
      </c>
      <c r="G1871" s="576">
        <f ca="1">IF(OR(INDIRECT("'update Helper'!E"&amp;Q1871)="",F1871&lt;&gt;0,F1872&lt;&gt;0),IF(IFERROR((F1871/F1872),"")="","",(F1871/F1872)),INDIRECT("'update Helper'!E"&amp;Q1871)/100)</f>
        <v>0.73706502782160954</v>
      </c>
      <c r="H1871" s="539">
        <v>2021</v>
      </c>
      <c r="I1871" s="578" t="s">
        <v>2211</v>
      </c>
      <c r="J1871" s="532" t="s">
        <v>2284</v>
      </c>
      <c r="K1871" s="126">
        <f ca="1">IF(AND(EXACT(C1871,C1869),C1869&lt;&gt;0),K1869+1,0)</f>
        <v>5</v>
      </c>
      <c r="L1871" s="126" t="str">
        <f t="shared" ref="L1871" ca="1" si="2103">IF(C1871&lt;&gt;"",C1871&amp;"-"&amp;K1871,"")</f>
        <v>TCS-1b Percentage of adults (15 and above) on ART among all adults living with HIV at the end of the reporting period-5</v>
      </c>
      <c r="M1871" s="126" t="str">
        <f t="array" aca="1" ref="M1871" ca="1">IFERROR(IF(INDEX('Disaggregation Records'!$E$156:$E$517,MATCH(RIGHT(L1871,255),RIGHT('Disaggregation Records'!$D$156:$D$517,255),0))="","",INDEX('Disaggregation Records'!$E$156:$E$517,MATCH(RIGHT(L1871,255),RIGHT('Disaggregation Records'!$D$156:$D$517,255),0))),"")</f>
        <v/>
      </c>
      <c r="N1871" s="126" t="str">
        <f t="array" aca="1" ref="N1871" ca="1">IFERROR(IF(INDEX('Disaggregation Records'!$F$156:$F$517,MATCH(RIGHT(L1871,255),RIGHT('Disaggregation Records'!$D$156:$D$517,255),0))="","",INDEX('Disaggregation Records'!$F$156:$F$517,MATCH(RIGHT(L1871,255),RIGHT('Disaggregation Records'!$D$156:$D$517,255),0))),"")</f>
        <v/>
      </c>
      <c r="O1871" s="314" t="str">
        <f t="array" aca="1" ref="O1871" ca="1">IFERROR(IF(INDEX('Disaggregation Records'!$H$156:$H$517,MATCH(RIGHT(L1871,255),RIGHT('Disaggregation Records'!$D$156:$D$517,255),0))="","",INDEX('Disaggregation Records'!$H$156:$H$517,MATCH(RIGHT(L1871,255),RIGHT('Disaggregation Records'!$D$156:$D$517,255),0))),"")</f>
        <v/>
      </c>
      <c r="P1871" s="314"/>
      <c r="Q1871" s="310">
        <f t="shared" ref="Q1871" si="2104">Q1869+1</f>
        <v>1638</v>
      </c>
      <c r="R1871" s="314" t="str" cm="1">
        <f t="array" aca="1" ref="R1871" ca="1">IFERROR(IF(INDEX('Disaggregation Records'!$G$156:$G$517,MATCH(RIGHT(L1871,255),RIGHT('Disaggregation Records'!$D$156:$D$517,255),0))="","",INDEX('Disaggregation Records'!$G$156:$G$517,MATCH(RIGHT(L1871,255),RIGHT('Disaggregation Records'!$D$156:$D$517,255),0))),"")</f>
        <v/>
      </c>
    </row>
    <row r="1872" spans="1:18" ht="20.100000000000001" customHeight="1">
      <c r="A1872" s="126"/>
      <c r="B1872" s="571"/>
      <c r="C1872" s="573"/>
      <c r="D1872" s="575"/>
      <c r="E1872" s="575"/>
      <c r="F1872" s="128">
        <v>12041</v>
      </c>
      <c r="G1872" s="577"/>
      <c r="H1872" s="540"/>
      <c r="I1872" s="579"/>
      <c r="J1872" s="533"/>
      <c r="K1872" s="126"/>
      <c r="L1872" s="126"/>
      <c r="M1872" s="126"/>
      <c r="N1872" s="126"/>
      <c r="O1872" s="314"/>
      <c r="P1872" s="314"/>
      <c r="Q1872" s="310"/>
      <c r="R1872" s="314" t="str" cm="1">
        <f t="array" ref="R1872">IFERROR(IF(INDEX('Disaggregation Records'!$G$156:$G$517,MATCH(RIGHT(L1872,255),RIGHT('Disaggregation Records'!$D$156:$D$517,255),0))="","",INDEX('Disaggregation Records'!$G$156:$G$517,MATCH(RIGHT(L1872,255),RIGHT('Disaggregation Records'!$D$156:$D$517,255),0))),"")</f>
        <v/>
      </c>
    </row>
    <row r="1873" spans="1:18" ht="20.100000000000001" customHeight="1">
      <c r="A1873" s="126" t="str">
        <f t="shared" ref="A1873:A1933" ca="1" si="2105">INDIRECT("'update Helper'!C"&amp;Q1873)</f>
        <v>a16Dm000000M3qcIAC</v>
      </c>
      <c r="B1873" s="570">
        <v>32</v>
      </c>
      <c r="C1873" s="572" t="str">
        <f ca="1">IFERROR(VLOOKUP(B1873,'Coverage Indicators - Section D'!$A$9:$AO$94,41,FALSE),"")</f>
        <v>TCS-1b Percentage of adults (15 and above) on ART among all adults living with HIV at the end of the reporting period</v>
      </c>
      <c r="D1873" s="574" t="str">
        <f ca="1">M1873</f>
        <v/>
      </c>
      <c r="E1873" s="574" t="str">
        <f ca="1">N1873</f>
        <v/>
      </c>
      <c r="F1873" s="127"/>
      <c r="G1873" s="576" t="str">
        <f ca="1">IF(OR(INDIRECT("'update Helper'!E"&amp;Q1873)="",F1873&lt;&gt;0,F1874&lt;&gt;0),IF(IFERROR((F1873/F1874),"")="","",(F1873/F1874)),INDIRECT("'update Helper'!E"&amp;Q1873)/100)</f>
        <v/>
      </c>
      <c r="H1873" s="539"/>
      <c r="I1873" s="578"/>
      <c r="J1873" s="532"/>
      <c r="K1873" s="126">
        <f ca="1">IF(AND(EXACT(C1873,C1871),C1871&lt;&gt;0),K1871+1,0)</f>
        <v>6</v>
      </c>
      <c r="L1873" s="126" t="str">
        <f t="shared" ref="L1873" ca="1" si="2106">IF(C1873&lt;&gt;"",C1873&amp;"-"&amp;K1873,"")</f>
        <v>TCS-1b Percentage of adults (15 and above) on ART among all adults living with HIV at the end of the reporting period-6</v>
      </c>
      <c r="M1873" s="126" t="str">
        <f t="array" aca="1" ref="M1873" ca="1">IFERROR(IF(INDEX('Disaggregation Records'!$E$156:$E$517,MATCH(RIGHT(L1873,255),RIGHT('Disaggregation Records'!$D$156:$D$517,255),0))="","",INDEX('Disaggregation Records'!$E$156:$E$517,MATCH(RIGHT(L1873,255),RIGHT('Disaggregation Records'!$D$156:$D$517,255),0))),"")</f>
        <v/>
      </c>
      <c r="N1873" s="126" t="str">
        <f t="array" aca="1" ref="N1873" ca="1">IFERROR(IF(INDEX('Disaggregation Records'!$F$156:$F$517,MATCH(RIGHT(L1873,255),RIGHT('Disaggregation Records'!$D$156:$D$517,255),0))="","",INDEX('Disaggregation Records'!$F$156:$F$517,MATCH(RIGHT(L1873,255),RIGHT('Disaggregation Records'!$D$156:$D$517,255),0))),"")</f>
        <v/>
      </c>
      <c r="O1873" s="314" t="str">
        <f t="array" aca="1" ref="O1873" ca="1">IFERROR(IF(INDEX('Disaggregation Records'!$H$156:$H$517,MATCH(RIGHT(L1873,255),RIGHT('Disaggregation Records'!$D$156:$D$517,255),0))="","",INDEX('Disaggregation Records'!$H$156:$H$517,MATCH(RIGHT(L1873,255),RIGHT('Disaggregation Records'!$D$156:$D$517,255),0))),"")</f>
        <v/>
      </c>
      <c r="P1873" s="310"/>
      <c r="Q1873" s="310">
        <f t="shared" ref="Q1873" si="2107">Q1871+1</f>
        <v>1639</v>
      </c>
      <c r="R1873" s="314" t="str" cm="1">
        <f t="array" aca="1" ref="R1873" ca="1">IFERROR(IF(INDEX('Disaggregation Records'!$G$156:$G$517,MATCH(RIGHT(L1873,255),RIGHT('Disaggregation Records'!$D$156:$D$517,255),0))="","",INDEX('Disaggregation Records'!$G$156:$G$517,MATCH(RIGHT(L1873,255),RIGHT('Disaggregation Records'!$D$156:$D$517,255),0))),"")</f>
        <v/>
      </c>
    </row>
    <row r="1874" spans="1:18" ht="20.100000000000001" customHeight="1">
      <c r="B1874" s="571"/>
      <c r="C1874" s="573"/>
      <c r="D1874" s="575"/>
      <c r="E1874" s="575"/>
      <c r="F1874" s="128"/>
      <c r="G1874" s="577"/>
      <c r="H1874" s="540"/>
      <c r="I1874" s="579"/>
      <c r="J1874" s="533"/>
      <c r="L1874" s="126"/>
      <c r="N1874" s="126"/>
      <c r="O1874" s="314"/>
      <c r="P1874" s="310"/>
      <c r="Q1874" s="310"/>
      <c r="R1874" s="314" t="str" cm="1">
        <f t="array" ref="R1874">IFERROR(IF(INDEX('Disaggregation Records'!$G$156:$G$517,MATCH(RIGHT(L1874,255),RIGHT('Disaggregation Records'!$D$156:$D$517,255),0))="","",INDEX('Disaggregation Records'!$G$156:$G$517,MATCH(RIGHT(L1874,255),RIGHT('Disaggregation Records'!$D$156:$D$517,255),0))),"")</f>
        <v/>
      </c>
    </row>
    <row r="1875" spans="1:18" ht="20.100000000000001" customHeight="1">
      <c r="A1875" s="126" t="str">
        <f t="shared" ref="A1875:A1935" ca="1" si="2108">INDIRECT("'update Helper'!C"&amp;Q1875)</f>
        <v>a16Dm000000M3qdIAC</v>
      </c>
      <c r="B1875" s="570">
        <v>32</v>
      </c>
      <c r="C1875" s="572" t="str">
        <f ca="1">IFERROR(VLOOKUP(B1875,'Coverage Indicators - Section D'!$A$9:$AO$94,41,FALSE),"")</f>
        <v>TCS-1b Percentage of adults (15 and above) on ART among all adults living with HIV at the end of the reporting period</v>
      </c>
      <c r="D1875" s="574" t="str">
        <f ca="1">M1875</f>
        <v/>
      </c>
      <c r="E1875" s="574" t="str">
        <f ca="1">N1875</f>
        <v/>
      </c>
      <c r="F1875" s="127"/>
      <c r="G1875" s="576" t="str">
        <f ca="1">IF(OR(INDIRECT("'update Helper'!E"&amp;Q1875)="",F1875&lt;&gt;0,F1876&lt;&gt;0),IF(IFERROR((F1875/F1876),"")="","",(F1875/F1876)),INDIRECT("'update Helper'!E"&amp;Q1875)/100)</f>
        <v/>
      </c>
      <c r="H1875" s="539"/>
      <c r="I1875" s="578"/>
      <c r="J1875" s="532"/>
      <c r="K1875" s="126">
        <f ca="1">IF(AND(EXACT(C1875,C1873),C1873&lt;&gt;0),K1873+1,0)</f>
        <v>7</v>
      </c>
      <c r="L1875" s="126" t="str">
        <f t="shared" ref="L1875" ca="1" si="2109">IF(C1875&lt;&gt;"",C1875&amp;"-"&amp;K1875,"")</f>
        <v>TCS-1b Percentage of adults (15 and above) on ART among all adults living with HIV at the end of the reporting period-7</v>
      </c>
      <c r="M1875" s="126" t="str">
        <f t="array" aca="1" ref="M1875" ca="1">IFERROR(IF(INDEX('Disaggregation Records'!$E$156:$E$517,MATCH(RIGHT(L1875,255),RIGHT('Disaggregation Records'!$D$156:$D$517,255),0))="","",INDEX('Disaggregation Records'!$E$156:$E$517,MATCH(RIGHT(L1875,255),RIGHT('Disaggregation Records'!$D$156:$D$517,255),0))),"")</f>
        <v/>
      </c>
      <c r="N1875" s="126" t="str">
        <f t="array" aca="1" ref="N1875" ca="1">IFERROR(IF(INDEX('Disaggregation Records'!$F$156:$F$517,MATCH(RIGHT(L1875,255),RIGHT('Disaggregation Records'!$D$156:$D$517,255),0))="","",INDEX('Disaggregation Records'!$F$156:$F$517,MATCH(RIGHT(L1875,255),RIGHT('Disaggregation Records'!$D$156:$D$517,255),0))),"")</f>
        <v/>
      </c>
      <c r="O1875" s="314" t="str">
        <f t="array" aca="1" ref="O1875" ca="1">IFERROR(IF(INDEX('Disaggregation Records'!$H$156:$H$517,MATCH(RIGHT(L1875,255),RIGHT('Disaggregation Records'!$D$156:$D$517,255),0))="","",INDEX('Disaggregation Records'!$H$156:$H$517,MATCH(RIGHT(L1875,255),RIGHT('Disaggregation Records'!$D$156:$D$517,255),0))),"")</f>
        <v/>
      </c>
      <c r="P1875" s="310"/>
      <c r="Q1875" s="310">
        <f t="shared" ref="Q1875" si="2110">Q1873+1</f>
        <v>1640</v>
      </c>
      <c r="R1875" s="314" t="str" cm="1">
        <f t="array" aca="1" ref="R1875" ca="1">IFERROR(IF(INDEX('Disaggregation Records'!$G$156:$G$517,MATCH(RIGHT(L1875,255),RIGHT('Disaggregation Records'!$D$156:$D$517,255),0))="","",INDEX('Disaggregation Records'!$G$156:$G$517,MATCH(RIGHT(L1875,255),RIGHT('Disaggregation Records'!$D$156:$D$517,255),0))),"")</f>
        <v/>
      </c>
    </row>
    <row r="1876" spans="1:18" ht="20.100000000000001" customHeight="1">
      <c r="A1876" s="126"/>
      <c r="B1876" s="571"/>
      <c r="C1876" s="573"/>
      <c r="D1876" s="575"/>
      <c r="E1876" s="575"/>
      <c r="F1876" s="128"/>
      <c r="G1876" s="577"/>
      <c r="H1876" s="540"/>
      <c r="I1876" s="579"/>
      <c r="J1876" s="533"/>
      <c r="L1876" s="126"/>
      <c r="N1876" s="126"/>
      <c r="O1876" s="314"/>
      <c r="P1876" s="310"/>
      <c r="Q1876" s="310"/>
      <c r="R1876" s="314" t="str" cm="1">
        <f t="array" ref="R1876">IFERROR(IF(INDEX('Disaggregation Records'!$G$156:$G$517,MATCH(RIGHT(L1876,255),RIGHT('Disaggregation Records'!$D$156:$D$517,255),0))="","",INDEX('Disaggregation Records'!$G$156:$G$517,MATCH(RIGHT(L1876,255),RIGHT('Disaggregation Records'!$D$156:$D$517,255),0))),"")</f>
        <v/>
      </c>
    </row>
    <row r="1877" spans="1:18" ht="20.100000000000001" customHeight="1">
      <c r="A1877" s="126" t="str">
        <f t="shared" ref="A1877:A1937" ca="1" si="2111">INDIRECT("'update Helper'!C"&amp;Q1877)</f>
        <v>a16Dm000000M3qeIAC</v>
      </c>
      <c r="B1877" s="570">
        <v>32</v>
      </c>
      <c r="C1877" s="572" t="str">
        <f ca="1">IFERROR(VLOOKUP(B1877,'Coverage Indicators - Section D'!$A$9:$AO$94,41,FALSE),"")</f>
        <v>TCS-1b Percentage of adults (15 and above) on ART among all adults living with HIV at the end of the reporting period</v>
      </c>
      <c r="D1877" s="574" t="str">
        <f ca="1">M1877</f>
        <v/>
      </c>
      <c r="E1877" s="574" t="str">
        <f ca="1">N1877</f>
        <v/>
      </c>
      <c r="F1877" s="127"/>
      <c r="G1877" s="576" t="str">
        <f ca="1">IF(OR(INDIRECT("'update Helper'!E"&amp;Q1877)="",F1877&lt;&gt;0,F1878&lt;&gt;0),IF(IFERROR((F1877/F1878),"")="","",(F1877/F1878)),INDIRECT("'update Helper'!E"&amp;Q1877)/100)</f>
        <v/>
      </c>
      <c r="H1877" s="539"/>
      <c r="I1877" s="578"/>
      <c r="J1877" s="532"/>
      <c r="K1877" s="126">
        <f ca="1">IF(AND(EXACT(C1877,C1875),C1875&lt;&gt;0),K1875+1,0)</f>
        <v>8</v>
      </c>
      <c r="L1877" s="126" t="str">
        <f t="shared" ref="L1877" ca="1" si="2112">IF(C1877&lt;&gt;"",C1877&amp;"-"&amp;K1877,"")</f>
        <v>TCS-1b Percentage of adults (15 and above) on ART among all adults living with HIV at the end of the reporting period-8</v>
      </c>
      <c r="M1877" s="126" t="str">
        <f t="array" aca="1" ref="M1877" ca="1">IFERROR(IF(INDEX('Disaggregation Records'!$E$156:$E$517,MATCH(RIGHT(L1877,255),RIGHT('Disaggregation Records'!$D$156:$D$517,255),0))="","",INDEX('Disaggregation Records'!$E$156:$E$517,MATCH(RIGHT(L1877,255),RIGHT('Disaggregation Records'!$D$156:$D$517,255),0))),"")</f>
        <v/>
      </c>
      <c r="N1877" s="126" t="str">
        <f t="array" aca="1" ref="N1877" ca="1">IFERROR(IF(INDEX('Disaggregation Records'!$F$156:$F$517,MATCH(RIGHT(L1877,255),RIGHT('Disaggregation Records'!$D$156:$D$517,255),0))="","",INDEX('Disaggregation Records'!$F$156:$F$517,MATCH(RIGHT(L1877,255),RIGHT('Disaggregation Records'!$D$156:$D$517,255),0))),"")</f>
        <v/>
      </c>
      <c r="O1877" s="314" t="str">
        <f t="array" aca="1" ref="O1877" ca="1">IFERROR(IF(INDEX('Disaggregation Records'!$H$156:$H$517,MATCH(RIGHT(L1877,255),RIGHT('Disaggregation Records'!$D$156:$D$517,255),0))="","",INDEX('Disaggregation Records'!$H$156:$H$517,MATCH(RIGHT(L1877,255),RIGHT('Disaggregation Records'!$D$156:$D$517,255),0))),"")</f>
        <v/>
      </c>
      <c r="P1877" s="310"/>
      <c r="Q1877" s="310">
        <f t="shared" ref="Q1877" si="2113">Q1875+1</f>
        <v>1641</v>
      </c>
      <c r="R1877" s="314" t="str" cm="1">
        <f t="array" aca="1" ref="R1877" ca="1">IFERROR(IF(INDEX('Disaggregation Records'!$G$156:$G$517,MATCH(RIGHT(L1877,255),RIGHT('Disaggregation Records'!$D$156:$D$517,255),0))="","",INDEX('Disaggregation Records'!$G$156:$G$517,MATCH(RIGHT(L1877,255),RIGHT('Disaggregation Records'!$D$156:$D$517,255),0))),"")</f>
        <v/>
      </c>
    </row>
    <row r="1878" spans="1:18" ht="20.100000000000001" customHeight="1">
      <c r="B1878" s="571"/>
      <c r="C1878" s="573"/>
      <c r="D1878" s="575"/>
      <c r="E1878" s="575"/>
      <c r="F1878" s="128"/>
      <c r="G1878" s="577"/>
      <c r="H1878" s="540"/>
      <c r="I1878" s="579"/>
      <c r="J1878" s="533"/>
      <c r="L1878" s="126"/>
      <c r="N1878" s="126"/>
      <c r="O1878" s="314"/>
      <c r="P1878" s="310"/>
      <c r="Q1878" s="310"/>
      <c r="R1878" s="314" t="str" cm="1">
        <f t="array" ref="R1878">IFERROR(IF(INDEX('Disaggregation Records'!$G$156:$G$517,MATCH(RIGHT(L1878,255),RIGHT('Disaggregation Records'!$D$156:$D$517,255),0))="","",INDEX('Disaggregation Records'!$G$156:$G$517,MATCH(RIGHT(L1878,255),RIGHT('Disaggregation Records'!$D$156:$D$517,255),0))),"")</f>
        <v/>
      </c>
    </row>
    <row r="1879" spans="1:18" ht="20.100000000000001" customHeight="1">
      <c r="A1879" s="126" t="str">
        <f t="shared" ref="A1879:A1939" ca="1" si="2114">INDIRECT("'update Helper'!C"&amp;Q1879)</f>
        <v>a16Dm000000M3qfIAC</v>
      </c>
      <c r="B1879" s="570">
        <v>32</v>
      </c>
      <c r="C1879" s="572" t="str">
        <f ca="1">IFERROR(VLOOKUP(B1879,'Coverage Indicators - Section D'!$A$9:$AO$94,41,FALSE),"")</f>
        <v>TCS-1b Percentage of adults (15 and above) on ART among all adults living with HIV at the end of the reporting period</v>
      </c>
      <c r="D1879" s="574" t="str">
        <f ca="1">M1879</f>
        <v/>
      </c>
      <c r="E1879" s="574" t="str">
        <f ca="1">N1879</f>
        <v/>
      </c>
      <c r="F1879" s="127"/>
      <c r="G1879" s="576" t="str">
        <f ca="1">IF(OR(INDIRECT("'update Helper'!E"&amp;Q1879)="",F1879&lt;&gt;0,F1880&lt;&gt;0),IF(IFERROR((F1879/F1880),"")="","",(F1879/F1880)),INDIRECT("'update Helper'!E"&amp;Q1879)/100)</f>
        <v/>
      </c>
      <c r="H1879" s="539"/>
      <c r="I1879" s="578"/>
      <c r="J1879" s="532"/>
      <c r="K1879" s="126">
        <f ca="1">IF(AND(EXACT(C1879,C1877),C1877&lt;&gt;0),K1877+1,0)</f>
        <v>9</v>
      </c>
      <c r="L1879" s="126" t="str">
        <f t="shared" ref="L1879" ca="1" si="2115">IF(C1879&lt;&gt;"",C1879&amp;"-"&amp;K1879,"")</f>
        <v>TCS-1b Percentage of adults (15 and above) on ART among all adults living with HIV at the end of the reporting period-9</v>
      </c>
      <c r="M1879" s="126" t="str">
        <f t="array" aca="1" ref="M1879" ca="1">IFERROR(IF(INDEX('Disaggregation Records'!$E$156:$E$517,MATCH(RIGHT(L1879,255),RIGHT('Disaggregation Records'!$D$156:$D$517,255),0))="","",INDEX('Disaggregation Records'!$E$156:$E$517,MATCH(RIGHT(L1879,255),RIGHT('Disaggregation Records'!$D$156:$D$517,255),0))),"")</f>
        <v/>
      </c>
      <c r="N1879" s="126" t="str">
        <f t="array" aca="1" ref="N1879" ca="1">IFERROR(IF(INDEX('Disaggregation Records'!$F$156:$F$517,MATCH(RIGHT(L1879,255),RIGHT('Disaggregation Records'!$D$156:$D$517,255),0))="","",INDEX('Disaggregation Records'!$F$156:$F$517,MATCH(RIGHT(L1879,255),RIGHT('Disaggregation Records'!$D$156:$D$517,255),0))),"")</f>
        <v/>
      </c>
      <c r="O1879" s="314" t="str">
        <f t="array" aca="1" ref="O1879" ca="1">IFERROR(IF(INDEX('Disaggregation Records'!$H$156:$H$517,MATCH(RIGHT(L1879,255),RIGHT('Disaggregation Records'!$D$156:$D$517,255),0))="","",INDEX('Disaggregation Records'!$H$156:$H$517,MATCH(RIGHT(L1879,255),RIGHT('Disaggregation Records'!$D$156:$D$517,255),0))),"")</f>
        <v/>
      </c>
      <c r="P1879" s="314"/>
      <c r="Q1879" s="310">
        <f t="shared" ref="Q1879" si="2116">Q1877+1</f>
        <v>1642</v>
      </c>
      <c r="R1879" s="314" t="str" cm="1">
        <f t="array" aca="1" ref="R1879" ca="1">IFERROR(IF(INDEX('Disaggregation Records'!$G$156:$G$517,MATCH(RIGHT(L1879,255),RIGHT('Disaggregation Records'!$D$156:$D$517,255),0))="","",INDEX('Disaggregation Records'!$G$156:$G$517,MATCH(RIGHT(L1879,255),RIGHT('Disaggregation Records'!$D$156:$D$517,255),0))),"")</f>
        <v/>
      </c>
    </row>
    <row r="1880" spans="1:18" ht="20.100000000000001" customHeight="1">
      <c r="A1880" s="126"/>
      <c r="B1880" s="571"/>
      <c r="C1880" s="573"/>
      <c r="D1880" s="575"/>
      <c r="E1880" s="575"/>
      <c r="F1880" s="128"/>
      <c r="G1880" s="577"/>
      <c r="H1880" s="540"/>
      <c r="I1880" s="579"/>
      <c r="J1880" s="533"/>
      <c r="K1880" s="126"/>
      <c r="L1880" s="126"/>
      <c r="M1880" s="126"/>
      <c r="N1880" s="126"/>
      <c r="O1880" s="314"/>
      <c r="P1880" s="314"/>
      <c r="Q1880" s="310"/>
      <c r="R1880" s="314" t="str" cm="1">
        <f t="array" ref="R1880">IFERROR(IF(INDEX('Disaggregation Records'!$G$156:$G$517,MATCH(RIGHT(L1880,255),RIGHT('Disaggregation Records'!$D$156:$D$517,255),0))="","",INDEX('Disaggregation Records'!$G$156:$G$517,MATCH(RIGHT(L1880,255),RIGHT('Disaggregation Records'!$D$156:$D$517,255),0))),"")</f>
        <v/>
      </c>
    </row>
    <row r="1881" spans="1:18" ht="20.100000000000001" customHeight="1">
      <c r="A1881" s="126" t="str">
        <f t="shared" ref="A1881:A1941" ca="1" si="2117">INDIRECT("'update Helper'!C"&amp;Q1881)</f>
        <v>a16Dm000000M3qgIAC</v>
      </c>
      <c r="B1881" s="570">
        <v>32</v>
      </c>
      <c r="C1881" s="572" t="str">
        <f ca="1">IFERROR(VLOOKUP(B1881,'Coverage Indicators - Section D'!$A$9:$AO$94,41,FALSE),"")</f>
        <v>TCS-1b Percentage of adults (15 and above) on ART among all adults living with HIV at the end of the reporting period</v>
      </c>
      <c r="D1881" s="574" t="str">
        <f ca="1">M1881</f>
        <v/>
      </c>
      <c r="E1881" s="574" t="str">
        <f ca="1">N1881</f>
        <v/>
      </c>
      <c r="F1881" s="127"/>
      <c r="G1881" s="576" t="str">
        <f ca="1">IF(OR(INDIRECT("'update Helper'!E"&amp;Q1881)="",F1881&lt;&gt;0,F1882&lt;&gt;0),IF(IFERROR((F1881/F1882),"")="","",(F1881/F1882)),INDIRECT("'update Helper'!E"&amp;Q1881)/100)</f>
        <v/>
      </c>
      <c r="H1881" s="539"/>
      <c r="I1881" s="578"/>
      <c r="J1881" s="532"/>
      <c r="K1881" s="126">
        <f ca="1">IF(AND(EXACT(C1881,C1879),C1879&lt;&gt;0),K1879+1,0)</f>
        <v>10</v>
      </c>
      <c r="L1881" s="126" t="str">
        <f t="shared" ref="L1881" ca="1" si="2118">IF(C1881&lt;&gt;"",C1881&amp;"-"&amp;K1881,"")</f>
        <v>TCS-1b Percentage of adults (15 and above) on ART among all adults living with HIV at the end of the reporting period-10</v>
      </c>
      <c r="M1881" s="126" t="str">
        <f t="array" aca="1" ref="M1881" ca="1">IFERROR(IF(INDEX('Disaggregation Records'!$E$156:$E$517,MATCH(RIGHT(L1881,255),RIGHT('Disaggregation Records'!$D$156:$D$517,255),0))="","",INDEX('Disaggregation Records'!$E$156:$E$517,MATCH(RIGHT(L1881,255),RIGHT('Disaggregation Records'!$D$156:$D$517,255),0))),"")</f>
        <v/>
      </c>
      <c r="N1881" s="126" t="str">
        <f t="array" aca="1" ref="N1881" ca="1">IFERROR(IF(INDEX('Disaggregation Records'!$F$156:$F$517,MATCH(RIGHT(L1881,255),RIGHT('Disaggregation Records'!$D$156:$D$517,255),0))="","",INDEX('Disaggregation Records'!$F$156:$F$517,MATCH(RIGHT(L1881,255),RIGHT('Disaggregation Records'!$D$156:$D$517,255),0))),"")</f>
        <v/>
      </c>
      <c r="O1881" s="314" t="str">
        <f t="array" aca="1" ref="O1881" ca="1">IFERROR(IF(INDEX('Disaggregation Records'!$H$156:$H$517,MATCH(RIGHT(L1881,255),RIGHT('Disaggregation Records'!$D$156:$D$517,255),0))="","",INDEX('Disaggregation Records'!$H$156:$H$517,MATCH(RIGHT(L1881,255),RIGHT('Disaggregation Records'!$D$156:$D$517,255),0))),"")</f>
        <v/>
      </c>
      <c r="P1881" s="314"/>
      <c r="Q1881" s="310">
        <f t="shared" ref="Q1881" si="2119">Q1879+1</f>
        <v>1643</v>
      </c>
      <c r="R1881" s="314" t="str" cm="1">
        <f t="array" aca="1" ref="R1881" ca="1">IFERROR(IF(INDEX('Disaggregation Records'!$G$156:$G$517,MATCH(RIGHT(L1881,255),RIGHT('Disaggregation Records'!$D$156:$D$517,255),0))="","",INDEX('Disaggregation Records'!$G$156:$G$517,MATCH(RIGHT(L1881,255),RIGHT('Disaggregation Records'!$D$156:$D$517,255),0))),"")</f>
        <v/>
      </c>
    </row>
    <row r="1882" spans="1:18" ht="20.100000000000001" customHeight="1">
      <c r="B1882" s="571"/>
      <c r="C1882" s="573"/>
      <c r="D1882" s="575"/>
      <c r="E1882" s="575"/>
      <c r="F1882" s="128"/>
      <c r="G1882" s="577"/>
      <c r="H1882" s="540"/>
      <c r="I1882" s="579"/>
      <c r="J1882" s="533"/>
      <c r="K1882" s="126"/>
      <c r="L1882" s="126"/>
      <c r="M1882" s="126"/>
      <c r="N1882" s="126"/>
      <c r="O1882" s="314"/>
      <c r="P1882" s="314"/>
      <c r="Q1882" s="310"/>
      <c r="R1882" s="314" t="str" cm="1">
        <f t="array" ref="R1882">IFERROR(IF(INDEX('Disaggregation Records'!$G$156:$G$517,MATCH(RIGHT(L1882,255),RIGHT('Disaggregation Records'!$D$156:$D$517,255),0))="","",INDEX('Disaggregation Records'!$G$156:$G$517,MATCH(RIGHT(L1882,255),RIGHT('Disaggregation Records'!$D$156:$D$517,255),0))),"")</f>
        <v/>
      </c>
    </row>
    <row r="1883" spans="1:18" ht="20.100000000000001" customHeight="1">
      <c r="A1883" s="126" t="str">
        <f t="shared" ref="A1883:A1943" ca="1" si="2120">INDIRECT("'update Helper'!C"&amp;Q1883)</f>
        <v>a16Dm000000M3qhIAC</v>
      </c>
      <c r="B1883" s="570">
        <v>32</v>
      </c>
      <c r="C1883" s="572" t="str">
        <f ca="1">IFERROR(VLOOKUP(B1883,'Coverage Indicators - Section D'!$A$9:$AO$94,41,FALSE),"")</f>
        <v>TCS-1b Percentage of adults (15 and above) on ART among all adults living with HIV at the end of the reporting period</v>
      </c>
      <c r="D1883" s="574" t="str">
        <f ca="1">M1883</f>
        <v/>
      </c>
      <c r="E1883" s="574" t="str">
        <f ca="1">N1883</f>
        <v/>
      </c>
      <c r="F1883" s="127"/>
      <c r="G1883" s="576" t="str">
        <f ca="1">IF(OR(INDIRECT("'update Helper'!E"&amp;Q1883)="",F1883&lt;&gt;0,F1884&lt;&gt;0),IF(IFERROR((F1883/F1884),"")="","",(F1883/F1884)),INDIRECT("'update Helper'!E"&amp;Q1883)/100)</f>
        <v/>
      </c>
      <c r="H1883" s="539"/>
      <c r="I1883" s="578"/>
      <c r="J1883" s="532"/>
      <c r="K1883" s="126">
        <f ca="1">IF(AND(EXACT(C1883,C1881),C1881&lt;&gt;0),K1881+1,0)</f>
        <v>11</v>
      </c>
      <c r="L1883" s="126" t="str">
        <f t="shared" ref="L1883" ca="1" si="2121">IF(C1883&lt;&gt;"",C1883&amp;"-"&amp;K1883,"")</f>
        <v>TCS-1b Percentage of adults (15 and above) on ART among all adults living with HIV at the end of the reporting period-11</v>
      </c>
      <c r="M1883" s="126" t="str">
        <f t="array" aca="1" ref="M1883" ca="1">IFERROR(IF(INDEX('Disaggregation Records'!$E$156:$E$517,MATCH(RIGHT(L1883,255),RIGHT('Disaggregation Records'!$D$156:$D$517,255),0))="","",INDEX('Disaggregation Records'!$E$156:$E$517,MATCH(RIGHT(L1883,255),RIGHT('Disaggregation Records'!$D$156:$D$517,255),0))),"")</f>
        <v/>
      </c>
      <c r="N1883" s="126" t="str">
        <f t="array" aca="1" ref="N1883" ca="1">IFERROR(IF(INDEX('Disaggregation Records'!$F$156:$F$517,MATCH(RIGHT(L1883,255),RIGHT('Disaggregation Records'!$D$156:$D$517,255),0))="","",INDEX('Disaggregation Records'!$F$156:$F$517,MATCH(RIGHT(L1883,255),RIGHT('Disaggregation Records'!$D$156:$D$517,255),0))),"")</f>
        <v/>
      </c>
      <c r="O1883" s="314" t="str">
        <f t="array" aca="1" ref="O1883" ca="1">IFERROR(IF(INDEX('Disaggregation Records'!$H$156:$H$517,MATCH(RIGHT(L1883,255),RIGHT('Disaggregation Records'!$D$156:$D$517,255),0))="","",INDEX('Disaggregation Records'!$H$156:$H$517,MATCH(RIGHT(L1883,255),RIGHT('Disaggregation Records'!$D$156:$D$517,255),0))),"")</f>
        <v/>
      </c>
      <c r="P1883" s="310"/>
      <c r="Q1883" s="310">
        <f t="shared" ref="Q1883" si="2122">Q1881+1</f>
        <v>1644</v>
      </c>
      <c r="R1883" s="314" t="str" cm="1">
        <f t="array" aca="1" ref="R1883" ca="1">IFERROR(IF(INDEX('Disaggregation Records'!$G$156:$G$517,MATCH(RIGHT(L1883,255),RIGHT('Disaggregation Records'!$D$156:$D$517,255),0))="","",INDEX('Disaggregation Records'!$G$156:$G$517,MATCH(RIGHT(L1883,255),RIGHT('Disaggregation Records'!$D$156:$D$517,255),0))),"")</f>
        <v/>
      </c>
    </row>
    <row r="1884" spans="1:18" ht="20.100000000000001" customHeight="1">
      <c r="A1884" s="126"/>
      <c r="B1884" s="571"/>
      <c r="C1884" s="573"/>
      <c r="D1884" s="575"/>
      <c r="E1884" s="575"/>
      <c r="F1884" s="128"/>
      <c r="G1884" s="577"/>
      <c r="H1884" s="540"/>
      <c r="I1884" s="579"/>
      <c r="J1884" s="533"/>
      <c r="L1884" s="126"/>
      <c r="N1884" s="126"/>
      <c r="O1884" s="314"/>
      <c r="P1884" s="310"/>
      <c r="Q1884" s="310"/>
      <c r="R1884" s="314" t="str" cm="1">
        <f t="array" ref="R1884">IFERROR(IF(INDEX('Disaggregation Records'!$G$156:$G$517,MATCH(RIGHT(L1884,255),RIGHT('Disaggregation Records'!$D$156:$D$517,255),0))="","",INDEX('Disaggregation Records'!$G$156:$G$517,MATCH(RIGHT(L1884,255),RIGHT('Disaggregation Records'!$D$156:$D$517,255),0))),"")</f>
        <v/>
      </c>
    </row>
    <row r="1885" spans="1:18" ht="20.100000000000001" customHeight="1">
      <c r="A1885" s="126" t="str">
        <f t="shared" ref="A1885:A1945" ca="1" si="2123">INDIRECT("'update Helper'!C"&amp;Q1885)</f>
        <v>a16Dm000000M3qiIAC</v>
      </c>
      <c r="B1885" s="570">
        <v>32</v>
      </c>
      <c r="C1885" s="572" t="str">
        <f ca="1">IFERROR(VLOOKUP(B1885,'Coverage Indicators - Section D'!$A$9:$AO$94,41,FALSE),"")</f>
        <v>TCS-1b Percentage of adults (15 and above) on ART among all adults living with HIV at the end of the reporting period</v>
      </c>
      <c r="D1885" s="574" t="str">
        <f ca="1">M1885</f>
        <v/>
      </c>
      <c r="E1885" s="574" t="str">
        <f ca="1">N1885</f>
        <v/>
      </c>
      <c r="F1885" s="127"/>
      <c r="G1885" s="576" t="str">
        <f ca="1">IF(OR(INDIRECT("'update Helper'!E"&amp;Q1885)="",F1885&lt;&gt;0,F1886&lt;&gt;0),IF(IFERROR((F1885/F1886),"")="","",(F1885/F1886)),INDIRECT("'update Helper'!E"&amp;Q1885)/100)</f>
        <v/>
      </c>
      <c r="H1885" s="539"/>
      <c r="I1885" s="578"/>
      <c r="J1885" s="532"/>
      <c r="K1885" s="126">
        <f ca="1">IF(AND(EXACT(C1885,C1883),C1883&lt;&gt;0),K1883+1,0)</f>
        <v>12</v>
      </c>
      <c r="L1885" s="126" t="str">
        <f t="shared" ref="L1885" ca="1" si="2124">IF(C1885&lt;&gt;"",C1885&amp;"-"&amp;K1885,"")</f>
        <v>TCS-1b Percentage of adults (15 and above) on ART among all adults living with HIV at the end of the reporting period-12</v>
      </c>
      <c r="M1885" s="126" t="str">
        <f t="array" aca="1" ref="M1885" ca="1">IFERROR(IF(INDEX('Disaggregation Records'!$E$156:$E$517,MATCH(RIGHT(L1885,255),RIGHT('Disaggregation Records'!$D$156:$D$517,255),0))="","",INDEX('Disaggregation Records'!$E$156:$E$517,MATCH(RIGHT(L1885,255),RIGHT('Disaggregation Records'!$D$156:$D$517,255),0))),"")</f>
        <v/>
      </c>
      <c r="N1885" s="126" t="str">
        <f t="array" aca="1" ref="N1885" ca="1">IFERROR(IF(INDEX('Disaggregation Records'!$F$156:$F$517,MATCH(RIGHT(L1885,255),RIGHT('Disaggregation Records'!$D$156:$D$517,255),0))="","",INDEX('Disaggregation Records'!$F$156:$F$517,MATCH(RIGHT(L1885,255),RIGHT('Disaggregation Records'!$D$156:$D$517,255),0))),"")</f>
        <v/>
      </c>
      <c r="O1885" s="314" t="str">
        <f t="array" aca="1" ref="O1885" ca="1">IFERROR(IF(INDEX('Disaggregation Records'!$H$156:$H$517,MATCH(RIGHT(L1885,255),RIGHT('Disaggregation Records'!$D$156:$D$517,255),0))="","",INDEX('Disaggregation Records'!$H$156:$H$517,MATCH(RIGHT(L1885,255),RIGHT('Disaggregation Records'!$D$156:$D$517,255),0))),"")</f>
        <v/>
      </c>
      <c r="P1885" s="310"/>
      <c r="Q1885" s="310">
        <f t="shared" ref="Q1885" si="2125">Q1883+1</f>
        <v>1645</v>
      </c>
      <c r="R1885" s="314" t="str" cm="1">
        <f t="array" aca="1" ref="R1885" ca="1">IFERROR(IF(INDEX('Disaggregation Records'!$G$156:$G$517,MATCH(RIGHT(L1885,255),RIGHT('Disaggregation Records'!$D$156:$D$517,255),0))="","",INDEX('Disaggregation Records'!$G$156:$G$517,MATCH(RIGHT(L1885,255),RIGHT('Disaggregation Records'!$D$156:$D$517,255),0))),"")</f>
        <v/>
      </c>
    </row>
    <row r="1886" spans="1:18" ht="20.100000000000001" customHeight="1">
      <c r="B1886" s="571"/>
      <c r="C1886" s="573"/>
      <c r="D1886" s="575"/>
      <c r="E1886" s="575"/>
      <c r="F1886" s="128"/>
      <c r="G1886" s="577"/>
      <c r="H1886" s="540"/>
      <c r="I1886" s="579"/>
      <c r="J1886" s="533"/>
      <c r="L1886" s="126"/>
      <c r="N1886" s="126"/>
      <c r="O1886" s="314"/>
      <c r="P1886" s="310"/>
      <c r="Q1886" s="310"/>
      <c r="R1886" s="314" t="str" cm="1">
        <f t="array" ref="R1886">IFERROR(IF(INDEX('Disaggregation Records'!$G$156:$G$517,MATCH(RIGHT(L1886,255),RIGHT('Disaggregation Records'!$D$156:$D$517,255),0))="","",INDEX('Disaggregation Records'!$G$156:$G$517,MATCH(RIGHT(L1886,255),RIGHT('Disaggregation Records'!$D$156:$D$517,255),0))),"")</f>
        <v/>
      </c>
    </row>
    <row r="1887" spans="1:18" ht="20.100000000000001" customHeight="1">
      <c r="A1887" s="126" t="str">
        <f t="shared" ref="A1887:A1947" ca="1" si="2126">INDIRECT("'update Helper'!C"&amp;Q1887)</f>
        <v>a16Dm000000M3qjIAC</v>
      </c>
      <c r="B1887" s="570">
        <v>32</v>
      </c>
      <c r="C1887" s="572" t="str">
        <f ca="1">IFERROR(VLOOKUP(B1887,'Coverage Indicators - Section D'!$A$9:$AO$94,41,FALSE),"")</f>
        <v>TCS-1b Percentage of adults (15 and above) on ART among all adults living with HIV at the end of the reporting period</v>
      </c>
      <c r="D1887" s="574" t="str">
        <f ca="1">M1887</f>
        <v/>
      </c>
      <c r="E1887" s="574" t="str">
        <f ca="1">N1887</f>
        <v/>
      </c>
      <c r="F1887" s="127"/>
      <c r="G1887" s="576" t="str">
        <f ca="1">IF(OR(INDIRECT("'update Helper'!E"&amp;Q1887)="",F1887&lt;&gt;0,F1888&lt;&gt;0),IF(IFERROR((F1887/F1888),"")="","",(F1887/F1888)),INDIRECT("'update Helper'!E"&amp;Q1887)/100)</f>
        <v/>
      </c>
      <c r="H1887" s="539"/>
      <c r="I1887" s="578"/>
      <c r="J1887" s="532"/>
      <c r="K1887" s="126">
        <f ca="1">IF(AND(EXACT(C1887,C1885),C1885&lt;&gt;0),K1885+1,0)</f>
        <v>13</v>
      </c>
      <c r="L1887" s="126" t="str">
        <f t="shared" ref="L1887" ca="1" si="2127">IF(C1887&lt;&gt;"",C1887&amp;"-"&amp;K1887,"")</f>
        <v>TCS-1b Percentage of adults (15 and above) on ART among all adults living with HIV at the end of the reporting period-13</v>
      </c>
      <c r="M1887" s="126" t="str">
        <f t="array" aca="1" ref="M1887" ca="1">IFERROR(IF(INDEX('Disaggregation Records'!$E$156:$E$517,MATCH(RIGHT(L1887,255),RIGHT('Disaggregation Records'!$D$156:$D$517,255),0))="","",INDEX('Disaggregation Records'!$E$156:$E$517,MATCH(RIGHT(L1887,255),RIGHT('Disaggregation Records'!$D$156:$D$517,255),0))),"")</f>
        <v/>
      </c>
      <c r="N1887" s="126" t="str">
        <f t="array" aca="1" ref="N1887" ca="1">IFERROR(IF(INDEX('Disaggregation Records'!$F$156:$F$517,MATCH(RIGHT(L1887,255),RIGHT('Disaggregation Records'!$D$156:$D$517,255),0))="","",INDEX('Disaggregation Records'!$F$156:$F$517,MATCH(RIGHT(L1887,255),RIGHT('Disaggregation Records'!$D$156:$D$517,255),0))),"")</f>
        <v/>
      </c>
      <c r="O1887" s="314" t="str">
        <f t="array" aca="1" ref="O1887" ca="1">IFERROR(IF(INDEX('Disaggregation Records'!$H$156:$H$517,MATCH(RIGHT(L1887,255),RIGHT('Disaggregation Records'!$D$156:$D$517,255),0))="","",INDEX('Disaggregation Records'!$H$156:$H$517,MATCH(RIGHT(L1887,255),RIGHT('Disaggregation Records'!$D$156:$D$517,255),0))),"")</f>
        <v/>
      </c>
      <c r="P1887" s="310"/>
      <c r="Q1887" s="310">
        <f t="shared" ref="Q1887" si="2128">Q1885+1</f>
        <v>1646</v>
      </c>
      <c r="R1887" s="314" t="str" cm="1">
        <f t="array" aca="1" ref="R1887" ca="1">IFERROR(IF(INDEX('Disaggregation Records'!$G$156:$G$517,MATCH(RIGHT(L1887,255),RIGHT('Disaggregation Records'!$D$156:$D$517,255),0))="","",INDEX('Disaggregation Records'!$G$156:$G$517,MATCH(RIGHT(L1887,255),RIGHT('Disaggregation Records'!$D$156:$D$517,255),0))),"")</f>
        <v/>
      </c>
    </row>
    <row r="1888" spans="1:18" ht="20.100000000000001" customHeight="1">
      <c r="A1888" s="126"/>
      <c r="B1888" s="571"/>
      <c r="C1888" s="573"/>
      <c r="D1888" s="575"/>
      <c r="E1888" s="575"/>
      <c r="F1888" s="128"/>
      <c r="G1888" s="577"/>
      <c r="H1888" s="540"/>
      <c r="I1888" s="579"/>
      <c r="J1888" s="533"/>
      <c r="L1888" s="126"/>
      <c r="N1888" s="126"/>
      <c r="O1888" s="314"/>
      <c r="P1888" s="310"/>
      <c r="Q1888" s="310"/>
      <c r="R1888" s="314" t="str" cm="1">
        <f t="array" ref="R1888">IFERROR(IF(INDEX('Disaggregation Records'!$G$156:$G$517,MATCH(RIGHT(L1888,255),RIGHT('Disaggregation Records'!$D$156:$D$517,255),0))="","",INDEX('Disaggregation Records'!$G$156:$G$517,MATCH(RIGHT(L1888,255),RIGHT('Disaggregation Records'!$D$156:$D$517,255),0))),"")</f>
        <v/>
      </c>
    </row>
    <row r="1889" spans="1:18" ht="20.100000000000001" customHeight="1">
      <c r="A1889" s="126" t="str">
        <f t="shared" ref="A1889:A1949" ca="1" si="2129">INDIRECT("'update Helper'!C"&amp;Q1889)</f>
        <v>a16Dm000000M3qkIAC</v>
      </c>
      <c r="B1889" s="570">
        <v>32</v>
      </c>
      <c r="C1889" s="572" t="str">
        <f ca="1">IFERROR(VLOOKUP(B1889,'Coverage Indicators - Section D'!$A$9:$AO$94,41,FALSE),"")</f>
        <v>TCS-1b Percentage of adults (15 and above) on ART among all adults living with HIV at the end of the reporting period</v>
      </c>
      <c r="D1889" s="574" t="str">
        <f ca="1">M1889</f>
        <v/>
      </c>
      <c r="E1889" s="574" t="str">
        <f ca="1">N1889</f>
        <v/>
      </c>
      <c r="F1889" s="127"/>
      <c r="G1889" s="576" t="str">
        <f ca="1">IF(OR(INDIRECT("'update Helper'!E"&amp;Q1889)="",F1889&lt;&gt;0,F1890&lt;&gt;0),IF(IFERROR((F1889/F1890),"")="","",(F1889/F1890)),INDIRECT("'update Helper'!E"&amp;Q1889)/100)</f>
        <v/>
      </c>
      <c r="H1889" s="539"/>
      <c r="I1889" s="578"/>
      <c r="J1889" s="532"/>
      <c r="K1889" s="126">
        <f ca="1">IF(AND(EXACT(C1889,C1887),C1887&lt;&gt;0),K1887+1,0)</f>
        <v>14</v>
      </c>
      <c r="L1889" s="126" t="str">
        <f t="shared" ref="L1889" ca="1" si="2130">IF(C1889&lt;&gt;"",C1889&amp;"-"&amp;K1889,"")</f>
        <v>TCS-1b Percentage of adults (15 and above) on ART among all adults living with HIV at the end of the reporting period-14</v>
      </c>
      <c r="M1889" s="126" t="str">
        <f t="array" aca="1" ref="M1889" ca="1">IFERROR(IF(INDEX('Disaggregation Records'!$E$156:$E$517,MATCH(RIGHT(L1889,255),RIGHT('Disaggregation Records'!$D$156:$D$517,255),0))="","",INDEX('Disaggregation Records'!$E$156:$E$517,MATCH(RIGHT(L1889,255),RIGHT('Disaggregation Records'!$D$156:$D$517,255),0))),"")</f>
        <v/>
      </c>
      <c r="N1889" s="126" t="str">
        <f t="array" aca="1" ref="N1889" ca="1">IFERROR(IF(INDEX('Disaggregation Records'!$F$156:$F$517,MATCH(RIGHT(L1889,255),RIGHT('Disaggregation Records'!$D$156:$D$517,255),0))="","",INDEX('Disaggregation Records'!$F$156:$F$517,MATCH(RIGHT(L1889,255),RIGHT('Disaggregation Records'!$D$156:$D$517,255),0))),"")</f>
        <v/>
      </c>
      <c r="O1889" s="314" t="str">
        <f t="array" aca="1" ref="O1889" ca="1">IFERROR(IF(INDEX('Disaggregation Records'!$H$156:$H$517,MATCH(RIGHT(L1889,255),RIGHT('Disaggregation Records'!$D$156:$D$517,255),0))="","",INDEX('Disaggregation Records'!$H$156:$H$517,MATCH(RIGHT(L1889,255),RIGHT('Disaggregation Records'!$D$156:$D$517,255),0))),"")</f>
        <v/>
      </c>
      <c r="P1889" s="314"/>
      <c r="Q1889" s="310">
        <f t="shared" ref="Q1889" si="2131">Q1887+1</f>
        <v>1647</v>
      </c>
      <c r="R1889" s="314" t="str" cm="1">
        <f t="array" aca="1" ref="R1889" ca="1">IFERROR(IF(INDEX('Disaggregation Records'!$G$156:$G$517,MATCH(RIGHT(L1889,255),RIGHT('Disaggregation Records'!$D$156:$D$517,255),0))="","",INDEX('Disaggregation Records'!$G$156:$G$517,MATCH(RIGHT(L1889,255),RIGHT('Disaggregation Records'!$D$156:$D$517,255),0))),"")</f>
        <v/>
      </c>
    </row>
    <row r="1890" spans="1:18" ht="20.100000000000001" customHeight="1">
      <c r="B1890" s="571"/>
      <c r="C1890" s="573"/>
      <c r="D1890" s="575"/>
      <c r="E1890" s="575"/>
      <c r="F1890" s="128"/>
      <c r="G1890" s="577"/>
      <c r="H1890" s="540"/>
      <c r="I1890" s="579"/>
      <c r="J1890" s="533"/>
      <c r="K1890" s="126"/>
      <c r="L1890" s="126"/>
      <c r="M1890" s="126"/>
      <c r="N1890" s="126"/>
      <c r="O1890" s="314"/>
      <c r="P1890" s="314"/>
      <c r="Q1890" s="310"/>
      <c r="R1890" s="314" t="str" cm="1">
        <f t="array" ref="R1890">IFERROR(IF(INDEX('Disaggregation Records'!$G$156:$G$517,MATCH(RIGHT(L1890,255),RIGHT('Disaggregation Records'!$D$156:$D$517,255),0))="","",INDEX('Disaggregation Records'!$G$156:$G$517,MATCH(RIGHT(L1890,255),RIGHT('Disaggregation Records'!$D$156:$D$517,255),0))),"")</f>
        <v/>
      </c>
    </row>
    <row r="1891" spans="1:18" ht="20.100000000000001" customHeight="1">
      <c r="A1891" s="126" t="str">
        <f t="shared" ref="A1891:A1951" ca="1" si="2132">INDIRECT("'update Helper'!C"&amp;Q1891)</f>
        <v>a16Dm000000M3qlIAC</v>
      </c>
      <c r="B1891" s="570">
        <v>32</v>
      </c>
      <c r="C1891" s="572" t="str">
        <f ca="1">IFERROR(VLOOKUP(B1891,'Coverage Indicators - Section D'!$A$9:$AO$94,41,FALSE),"")</f>
        <v>TCS-1b Percentage of adults (15 and above) on ART among all adults living with HIV at the end of the reporting period</v>
      </c>
      <c r="D1891" s="574" t="str">
        <f ca="1">M1891</f>
        <v/>
      </c>
      <c r="E1891" s="574" t="str">
        <f ca="1">N1891</f>
        <v/>
      </c>
      <c r="F1891" s="127"/>
      <c r="G1891" s="576" t="str">
        <f ca="1">IF(OR(INDIRECT("'update Helper'!E"&amp;Q1891)="",F1891&lt;&gt;0,F1892&lt;&gt;0),IF(IFERROR((F1891/F1892),"")="","",(F1891/F1892)),INDIRECT("'update Helper'!E"&amp;Q1891)/100)</f>
        <v/>
      </c>
      <c r="H1891" s="539"/>
      <c r="I1891" s="578"/>
      <c r="J1891" s="532"/>
      <c r="K1891" s="126">
        <f ca="1">IF(AND(EXACT(C1891,C1889),C1889&lt;&gt;0),K1889+1,0)</f>
        <v>15</v>
      </c>
      <c r="L1891" s="126" t="str">
        <f t="shared" ref="L1891" ca="1" si="2133">IF(C1891&lt;&gt;"",C1891&amp;"-"&amp;K1891,"")</f>
        <v>TCS-1b Percentage of adults (15 and above) on ART among all adults living with HIV at the end of the reporting period-15</v>
      </c>
      <c r="M1891" s="126" t="str">
        <f t="array" aca="1" ref="M1891" ca="1">IFERROR(IF(INDEX('Disaggregation Records'!$E$156:$E$517,MATCH(RIGHT(L1891,255),RIGHT('Disaggregation Records'!$D$156:$D$517,255),0))="","",INDEX('Disaggregation Records'!$E$156:$E$517,MATCH(RIGHT(L1891,255),RIGHT('Disaggregation Records'!$D$156:$D$517,255),0))),"")</f>
        <v/>
      </c>
      <c r="N1891" s="126" t="str">
        <f t="array" aca="1" ref="N1891" ca="1">IFERROR(IF(INDEX('Disaggregation Records'!$F$156:$F$517,MATCH(RIGHT(L1891,255),RIGHT('Disaggregation Records'!$D$156:$D$517,255),0))="","",INDEX('Disaggregation Records'!$F$156:$F$517,MATCH(RIGHT(L1891,255),RIGHT('Disaggregation Records'!$D$156:$D$517,255),0))),"")</f>
        <v/>
      </c>
      <c r="O1891" s="314" t="str">
        <f t="array" aca="1" ref="O1891" ca="1">IFERROR(IF(INDEX('Disaggregation Records'!$H$156:$H$517,MATCH(RIGHT(L1891,255),RIGHT('Disaggregation Records'!$D$156:$D$517,255),0))="","",INDEX('Disaggregation Records'!$H$156:$H$517,MATCH(RIGHT(L1891,255),RIGHT('Disaggregation Records'!$D$156:$D$517,255),0))),"")</f>
        <v/>
      </c>
      <c r="P1891" s="314"/>
      <c r="Q1891" s="310">
        <f t="shared" ref="Q1891" si="2134">Q1889+1</f>
        <v>1648</v>
      </c>
      <c r="R1891" s="314" t="str" cm="1">
        <f t="array" aca="1" ref="R1891" ca="1">IFERROR(IF(INDEX('Disaggregation Records'!$G$156:$G$517,MATCH(RIGHT(L1891,255),RIGHT('Disaggregation Records'!$D$156:$D$517,255),0))="","",INDEX('Disaggregation Records'!$G$156:$G$517,MATCH(RIGHT(L1891,255),RIGHT('Disaggregation Records'!$D$156:$D$517,255),0))),"")</f>
        <v/>
      </c>
    </row>
    <row r="1892" spans="1:18" ht="20.100000000000001" customHeight="1">
      <c r="A1892" s="126"/>
      <c r="B1892" s="571"/>
      <c r="C1892" s="573"/>
      <c r="D1892" s="575"/>
      <c r="E1892" s="575"/>
      <c r="F1892" s="128"/>
      <c r="G1892" s="577"/>
      <c r="H1892" s="540"/>
      <c r="I1892" s="579"/>
      <c r="J1892" s="533"/>
      <c r="K1892" s="126"/>
      <c r="L1892" s="126"/>
      <c r="M1892" s="126"/>
      <c r="N1892" s="126"/>
      <c r="O1892" s="314"/>
      <c r="P1892" s="314"/>
      <c r="Q1892" s="310"/>
      <c r="R1892" s="314" t="str" cm="1">
        <f t="array" ref="R1892">IFERROR(IF(INDEX('Disaggregation Records'!$G$156:$G$517,MATCH(RIGHT(L1892,255),RIGHT('Disaggregation Records'!$D$156:$D$517,255),0))="","",INDEX('Disaggregation Records'!$G$156:$G$517,MATCH(RIGHT(L1892,255),RIGHT('Disaggregation Records'!$D$156:$D$517,255),0))),"")</f>
        <v/>
      </c>
    </row>
    <row r="1893" spans="1:18" ht="20.100000000000001" customHeight="1">
      <c r="A1893" s="126" t="str">
        <f t="shared" ref="A1893:A1953" ca="1" si="2135">INDIRECT("'update Helper'!C"&amp;Q1893)</f>
        <v>a16Dm000000M3qmIAC</v>
      </c>
      <c r="B1893" s="570">
        <v>32</v>
      </c>
      <c r="C1893" s="572" t="str">
        <f ca="1">IFERROR(VLOOKUP(B1893,'Coverage Indicators - Section D'!$A$9:$AO$94,41,FALSE),"")</f>
        <v>TCS-1b Percentage of adults (15 and above) on ART among all adults living with HIV at the end of the reporting period</v>
      </c>
      <c r="D1893" s="574" t="str">
        <f ca="1">M1893</f>
        <v/>
      </c>
      <c r="E1893" s="574" t="str">
        <f ca="1">N1893</f>
        <v/>
      </c>
      <c r="F1893" s="127"/>
      <c r="G1893" s="576" t="str">
        <f ca="1">IF(OR(INDIRECT("'update Helper'!E"&amp;Q1893)="",F1893&lt;&gt;0,F1894&lt;&gt;0),IF(IFERROR((F1893/F1894),"")="","",(F1893/F1894)),INDIRECT("'update Helper'!E"&amp;Q1893)/100)</f>
        <v/>
      </c>
      <c r="H1893" s="539"/>
      <c r="I1893" s="578"/>
      <c r="J1893" s="532"/>
      <c r="K1893" s="126">
        <f ca="1">IF(AND(EXACT(C1893,C1891),C1891&lt;&gt;0),K1891+1,0)</f>
        <v>16</v>
      </c>
      <c r="L1893" s="126" t="str">
        <f t="shared" ref="L1893" ca="1" si="2136">IF(C1893&lt;&gt;"",C1893&amp;"-"&amp;K1893,"")</f>
        <v>TCS-1b Percentage of adults (15 and above) on ART among all adults living with HIV at the end of the reporting period-16</v>
      </c>
      <c r="M1893" s="126" t="str">
        <f t="array" aca="1" ref="M1893" ca="1">IFERROR(IF(INDEX('Disaggregation Records'!$E$156:$E$517,MATCH(RIGHT(L1893,255),RIGHT('Disaggregation Records'!$D$156:$D$517,255),0))="","",INDEX('Disaggregation Records'!$E$156:$E$517,MATCH(RIGHT(L1893,255),RIGHT('Disaggregation Records'!$D$156:$D$517,255),0))),"")</f>
        <v/>
      </c>
      <c r="N1893" s="126" t="str">
        <f t="array" aca="1" ref="N1893" ca="1">IFERROR(IF(INDEX('Disaggregation Records'!$F$156:$F$517,MATCH(RIGHT(L1893,255),RIGHT('Disaggregation Records'!$D$156:$D$517,255),0))="","",INDEX('Disaggregation Records'!$F$156:$F$517,MATCH(RIGHT(L1893,255),RIGHT('Disaggregation Records'!$D$156:$D$517,255),0))),"")</f>
        <v/>
      </c>
      <c r="O1893" s="314" t="str">
        <f t="array" aca="1" ref="O1893" ca="1">IFERROR(IF(INDEX('Disaggregation Records'!$H$156:$H$517,MATCH(RIGHT(L1893,255),RIGHT('Disaggregation Records'!$D$156:$D$517,255),0))="","",INDEX('Disaggregation Records'!$H$156:$H$517,MATCH(RIGHT(L1893,255),RIGHT('Disaggregation Records'!$D$156:$D$517,255),0))),"")</f>
        <v/>
      </c>
      <c r="P1893" s="310"/>
      <c r="Q1893" s="310">
        <f t="shared" ref="Q1893" si="2137">Q1891+1</f>
        <v>1649</v>
      </c>
      <c r="R1893" s="314" t="str" cm="1">
        <f t="array" aca="1" ref="R1893" ca="1">IFERROR(IF(INDEX('Disaggregation Records'!$G$156:$G$517,MATCH(RIGHT(L1893,255),RIGHT('Disaggregation Records'!$D$156:$D$517,255),0))="","",INDEX('Disaggregation Records'!$G$156:$G$517,MATCH(RIGHT(L1893,255),RIGHT('Disaggregation Records'!$D$156:$D$517,255),0))),"")</f>
        <v/>
      </c>
    </row>
    <row r="1894" spans="1:18" ht="20.100000000000001" customHeight="1">
      <c r="B1894" s="571"/>
      <c r="C1894" s="573"/>
      <c r="D1894" s="575"/>
      <c r="E1894" s="575"/>
      <c r="F1894" s="128"/>
      <c r="G1894" s="577"/>
      <c r="H1894" s="540"/>
      <c r="I1894" s="579"/>
      <c r="J1894" s="533"/>
      <c r="L1894" s="126"/>
      <c r="N1894" s="126"/>
      <c r="O1894" s="314"/>
      <c r="P1894" s="310"/>
      <c r="Q1894" s="310"/>
      <c r="R1894" s="314" t="str" cm="1">
        <f t="array" ref="R1894">IFERROR(IF(INDEX('Disaggregation Records'!$G$156:$G$517,MATCH(RIGHT(L1894,255),RIGHT('Disaggregation Records'!$D$156:$D$517,255),0))="","",INDEX('Disaggregation Records'!$G$156:$G$517,MATCH(RIGHT(L1894,255),RIGHT('Disaggregation Records'!$D$156:$D$517,255),0))),"")</f>
        <v/>
      </c>
    </row>
    <row r="1895" spans="1:18" ht="20.100000000000001" customHeight="1">
      <c r="A1895" s="126" t="str">
        <f t="shared" ref="A1895:A1955" ca="1" si="2138">INDIRECT("'update Helper'!C"&amp;Q1895)</f>
        <v>a16Dm000000M3qnIAC</v>
      </c>
      <c r="B1895" s="570">
        <v>32</v>
      </c>
      <c r="C1895" s="572" t="str">
        <f ca="1">IFERROR(VLOOKUP(B1895,'Coverage Indicators - Section D'!$A$9:$AO$94,41,FALSE),"")</f>
        <v>TCS-1b Percentage of adults (15 and above) on ART among all adults living with HIV at the end of the reporting period</v>
      </c>
      <c r="D1895" s="574" t="str">
        <f ca="1">M1895</f>
        <v/>
      </c>
      <c r="E1895" s="574" t="str">
        <f ca="1">N1895</f>
        <v/>
      </c>
      <c r="F1895" s="127"/>
      <c r="G1895" s="576" t="str">
        <f ca="1">IF(OR(INDIRECT("'update Helper'!E"&amp;Q1895)="",F1895&lt;&gt;0,F1896&lt;&gt;0),IF(IFERROR((F1895/F1896),"")="","",(F1895/F1896)),INDIRECT("'update Helper'!E"&amp;Q1895)/100)</f>
        <v/>
      </c>
      <c r="H1895" s="539"/>
      <c r="I1895" s="578"/>
      <c r="J1895" s="532"/>
      <c r="K1895" s="126">
        <f ca="1">IF(AND(EXACT(C1895,C1893),C1893&lt;&gt;0),K1893+1,0)</f>
        <v>17</v>
      </c>
      <c r="L1895" s="126" t="str">
        <f t="shared" ref="L1895" ca="1" si="2139">IF(C1895&lt;&gt;"",C1895&amp;"-"&amp;K1895,"")</f>
        <v>TCS-1b Percentage of adults (15 and above) on ART among all adults living with HIV at the end of the reporting period-17</v>
      </c>
      <c r="M1895" s="126" t="str">
        <f t="array" aca="1" ref="M1895" ca="1">IFERROR(IF(INDEX('Disaggregation Records'!$E$156:$E$517,MATCH(RIGHT(L1895,255),RIGHT('Disaggregation Records'!$D$156:$D$517,255),0))="","",INDEX('Disaggregation Records'!$E$156:$E$517,MATCH(RIGHT(L1895,255),RIGHT('Disaggregation Records'!$D$156:$D$517,255),0))),"")</f>
        <v/>
      </c>
      <c r="N1895" s="126" t="str">
        <f t="array" aca="1" ref="N1895" ca="1">IFERROR(IF(INDEX('Disaggregation Records'!$F$156:$F$517,MATCH(RIGHT(L1895,255),RIGHT('Disaggregation Records'!$D$156:$D$517,255),0))="","",INDEX('Disaggregation Records'!$F$156:$F$517,MATCH(RIGHT(L1895,255),RIGHT('Disaggregation Records'!$D$156:$D$517,255),0))),"")</f>
        <v/>
      </c>
      <c r="O1895" s="314" t="str">
        <f t="array" aca="1" ref="O1895" ca="1">IFERROR(IF(INDEX('Disaggregation Records'!$H$156:$H$517,MATCH(RIGHT(L1895,255),RIGHT('Disaggregation Records'!$D$156:$D$517,255),0))="","",INDEX('Disaggregation Records'!$H$156:$H$517,MATCH(RIGHT(L1895,255),RIGHT('Disaggregation Records'!$D$156:$D$517,255),0))),"")</f>
        <v/>
      </c>
      <c r="P1895" s="310"/>
      <c r="Q1895" s="310">
        <f t="shared" ref="Q1895" si="2140">Q1893+1</f>
        <v>1650</v>
      </c>
      <c r="R1895" s="314" t="str" cm="1">
        <f t="array" aca="1" ref="R1895" ca="1">IFERROR(IF(INDEX('Disaggregation Records'!$G$156:$G$517,MATCH(RIGHT(L1895,255),RIGHT('Disaggregation Records'!$D$156:$D$517,255),0))="","",INDEX('Disaggregation Records'!$G$156:$G$517,MATCH(RIGHT(L1895,255),RIGHT('Disaggregation Records'!$D$156:$D$517,255),0))),"")</f>
        <v/>
      </c>
    </row>
    <row r="1896" spans="1:18" ht="20.100000000000001" customHeight="1">
      <c r="A1896" s="126"/>
      <c r="B1896" s="571"/>
      <c r="C1896" s="573"/>
      <c r="D1896" s="575"/>
      <c r="E1896" s="575"/>
      <c r="F1896" s="128"/>
      <c r="G1896" s="577"/>
      <c r="H1896" s="540"/>
      <c r="I1896" s="579"/>
      <c r="J1896" s="533"/>
      <c r="L1896" s="126"/>
      <c r="N1896" s="126"/>
      <c r="O1896" s="314"/>
      <c r="P1896" s="310"/>
      <c r="Q1896" s="310"/>
      <c r="R1896" s="314" t="str" cm="1">
        <f t="array" ref="R1896">IFERROR(IF(INDEX('Disaggregation Records'!$G$156:$G$517,MATCH(RIGHT(L1896,255),RIGHT('Disaggregation Records'!$D$156:$D$517,255),0))="","",INDEX('Disaggregation Records'!$G$156:$G$517,MATCH(RIGHT(L1896,255),RIGHT('Disaggregation Records'!$D$156:$D$517,255),0))),"")</f>
        <v/>
      </c>
    </row>
    <row r="1897" spans="1:18" ht="20.100000000000001" customHeight="1">
      <c r="A1897" s="126" t="str">
        <f t="shared" ref="A1897:A1957" ca="1" si="2141">INDIRECT("'update Helper'!C"&amp;Q1897)</f>
        <v>a16Dm000000M3qoIAC</v>
      </c>
      <c r="B1897" s="570">
        <v>32</v>
      </c>
      <c r="C1897" s="572" t="str">
        <f ca="1">IFERROR(VLOOKUP(B1897,'Coverage Indicators - Section D'!$A$9:$AO$94,41,FALSE),"")</f>
        <v>TCS-1b Percentage of adults (15 and above) on ART among all adults living with HIV at the end of the reporting period</v>
      </c>
      <c r="D1897" s="574" t="str">
        <f ca="1">M1897</f>
        <v/>
      </c>
      <c r="E1897" s="574" t="str">
        <f ca="1">N1897</f>
        <v/>
      </c>
      <c r="F1897" s="127"/>
      <c r="G1897" s="576" t="str">
        <f ca="1">IF(OR(INDIRECT("'update Helper'!E"&amp;Q1897)="",F1897&lt;&gt;0,F1898&lt;&gt;0),IF(IFERROR((F1897/F1898),"")="","",(F1897/F1898)),INDIRECT("'update Helper'!E"&amp;Q1897)/100)</f>
        <v/>
      </c>
      <c r="H1897" s="539"/>
      <c r="I1897" s="578"/>
      <c r="J1897" s="532"/>
      <c r="K1897" s="126">
        <f ca="1">IF(AND(EXACT(C1897,C1895),C1895&lt;&gt;0),K1895+1,0)</f>
        <v>18</v>
      </c>
      <c r="L1897" s="126" t="str">
        <f t="shared" ref="L1897" ca="1" si="2142">IF(C1897&lt;&gt;"",C1897&amp;"-"&amp;K1897,"")</f>
        <v>TCS-1b Percentage of adults (15 and above) on ART among all adults living with HIV at the end of the reporting period-18</v>
      </c>
      <c r="M1897" s="126" t="str">
        <f t="array" aca="1" ref="M1897" ca="1">IFERROR(IF(INDEX('Disaggregation Records'!$E$156:$E$517,MATCH(RIGHT(L1897,255),RIGHT('Disaggregation Records'!$D$156:$D$517,255),0))="","",INDEX('Disaggregation Records'!$E$156:$E$517,MATCH(RIGHT(L1897,255),RIGHT('Disaggregation Records'!$D$156:$D$517,255),0))),"")</f>
        <v/>
      </c>
      <c r="N1897" s="126" t="str">
        <f t="array" aca="1" ref="N1897" ca="1">IFERROR(IF(INDEX('Disaggregation Records'!$F$156:$F$517,MATCH(RIGHT(L1897,255),RIGHT('Disaggregation Records'!$D$156:$D$517,255),0))="","",INDEX('Disaggregation Records'!$F$156:$F$517,MATCH(RIGHT(L1897,255),RIGHT('Disaggregation Records'!$D$156:$D$517,255),0))),"")</f>
        <v/>
      </c>
      <c r="O1897" s="314" t="str">
        <f t="array" aca="1" ref="O1897" ca="1">IFERROR(IF(INDEX('Disaggregation Records'!$H$156:$H$517,MATCH(RIGHT(L1897,255),RIGHT('Disaggregation Records'!$D$156:$D$517,255),0))="","",INDEX('Disaggregation Records'!$H$156:$H$517,MATCH(RIGHT(L1897,255),RIGHT('Disaggregation Records'!$D$156:$D$517,255),0))),"")</f>
        <v/>
      </c>
      <c r="P1897" s="310"/>
      <c r="Q1897" s="310">
        <f t="shared" ref="Q1897" si="2143">Q1895+1</f>
        <v>1651</v>
      </c>
      <c r="R1897" s="314" t="str" cm="1">
        <f t="array" aca="1" ref="R1897" ca="1">IFERROR(IF(INDEX('Disaggregation Records'!$G$156:$G$517,MATCH(RIGHT(L1897,255),RIGHT('Disaggregation Records'!$D$156:$D$517,255),0))="","",INDEX('Disaggregation Records'!$G$156:$G$517,MATCH(RIGHT(L1897,255),RIGHT('Disaggregation Records'!$D$156:$D$517,255),0))),"")</f>
        <v/>
      </c>
    </row>
    <row r="1898" spans="1:18" ht="20.100000000000001" customHeight="1">
      <c r="B1898" s="571"/>
      <c r="C1898" s="573"/>
      <c r="D1898" s="575"/>
      <c r="E1898" s="575"/>
      <c r="F1898" s="128"/>
      <c r="G1898" s="577"/>
      <c r="H1898" s="540"/>
      <c r="I1898" s="579"/>
      <c r="J1898" s="533"/>
      <c r="L1898" s="126"/>
      <c r="N1898" s="126"/>
      <c r="O1898" s="314"/>
      <c r="P1898" s="310"/>
      <c r="Q1898" s="310"/>
      <c r="R1898" s="314" t="str" cm="1">
        <f t="array" ref="R1898">IFERROR(IF(INDEX('Disaggregation Records'!$G$156:$G$517,MATCH(RIGHT(L1898,255),RIGHT('Disaggregation Records'!$D$156:$D$517,255),0))="","",INDEX('Disaggregation Records'!$G$156:$G$517,MATCH(RIGHT(L1898,255),RIGHT('Disaggregation Records'!$D$156:$D$517,255),0))),"")</f>
        <v/>
      </c>
    </row>
    <row r="1899" spans="1:18" ht="20.100000000000001" customHeight="1">
      <c r="A1899" s="126" t="str">
        <f t="shared" ref="A1899:A1959" ca="1" si="2144">INDIRECT("'update Helper'!C"&amp;Q1899)</f>
        <v>a16Dm000000M3qpIAC</v>
      </c>
      <c r="B1899" s="570">
        <v>32</v>
      </c>
      <c r="C1899" s="572" t="str">
        <f ca="1">IFERROR(VLOOKUP(B1899,'Coverage Indicators - Section D'!$A$9:$AO$94,41,FALSE),"")</f>
        <v>TCS-1b Percentage of adults (15 and above) on ART among all adults living with HIV at the end of the reporting period</v>
      </c>
      <c r="D1899" s="574" t="str">
        <f ca="1">M1899</f>
        <v/>
      </c>
      <c r="E1899" s="574" t="str">
        <f ca="1">N1899</f>
        <v/>
      </c>
      <c r="F1899" s="127"/>
      <c r="G1899" s="576" t="str">
        <f ca="1">IF(OR(INDIRECT("'update Helper'!E"&amp;Q1899)="",F1899&lt;&gt;0,F1900&lt;&gt;0),IF(IFERROR((F1899/F1900),"")="","",(F1899/F1900)),INDIRECT("'update Helper'!E"&amp;Q1899)/100)</f>
        <v/>
      </c>
      <c r="H1899" s="539">
        <v>2021</v>
      </c>
      <c r="I1899" s="578" t="s">
        <v>2281</v>
      </c>
      <c r="J1899" s="532" t="s">
        <v>2282</v>
      </c>
      <c r="K1899" s="126">
        <f ca="1">IF(AND(EXACT(C1899,C1897),C1897&lt;&gt;0),K1897+1,0)</f>
        <v>19</v>
      </c>
      <c r="L1899" s="126" t="str">
        <f t="shared" ref="L1899" ca="1" si="2145">IF(C1899&lt;&gt;"",C1899&amp;"-"&amp;K1899,"")</f>
        <v>TCS-1b Percentage of adults (15 and above) on ART among all adults living with HIV at the end of the reporting period-19</v>
      </c>
      <c r="M1899" s="126" t="str">
        <f t="array" aca="1" ref="M1899" ca="1">IFERROR(IF(INDEX('Disaggregation Records'!$E$156:$E$517,MATCH(RIGHT(L1899,255),RIGHT('Disaggregation Records'!$D$156:$D$517,255),0))="","",INDEX('Disaggregation Records'!$E$156:$E$517,MATCH(RIGHT(L1899,255),RIGHT('Disaggregation Records'!$D$156:$D$517,255),0))),"")</f>
        <v/>
      </c>
      <c r="N1899" s="126" t="str">
        <f t="array" aca="1" ref="N1899" ca="1">IFERROR(IF(INDEX('Disaggregation Records'!$F$156:$F$517,MATCH(RIGHT(L1899,255),RIGHT('Disaggregation Records'!$D$156:$D$517,255),0))="","",INDEX('Disaggregation Records'!$F$156:$F$517,MATCH(RIGHT(L1899,255),RIGHT('Disaggregation Records'!$D$156:$D$517,255),0))),"")</f>
        <v/>
      </c>
      <c r="O1899" s="314" t="str">
        <f t="array" aca="1" ref="O1899" ca="1">IFERROR(IF(INDEX('Disaggregation Records'!$H$156:$H$517,MATCH(RIGHT(L1899,255),RIGHT('Disaggregation Records'!$D$156:$D$517,255),0))="","",INDEX('Disaggregation Records'!$H$156:$H$517,MATCH(RIGHT(L1899,255),RIGHT('Disaggregation Records'!$D$156:$D$517,255),0))),"")</f>
        <v/>
      </c>
      <c r="P1899" s="314"/>
      <c r="Q1899" s="310">
        <f t="shared" ref="Q1899" si="2146">Q1897+1</f>
        <v>1652</v>
      </c>
      <c r="R1899" s="314" t="str" cm="1">
        <f t="array" aca="1" ref="R1899" ca="1">IFERROR(IF(INDEX('Disaggregation Records'!$G$156:$G$517,MATCH(RIGHT(L1899,255),RIGHT('Disaggregation Records'!$D$156:$D$517,255),0))="","",INDEX('Disaggregation Records'!$G$156:$G$517,MATCH(RIGHT(L1899,255),RIGHT('Disaggregation Records'!$D$156:$D$517,255),0))),"")</f>
        <v/>
      </c>
    </row>
    <row r="1900" spans="1:18" ht="20.100000000000001" customHeight="1">
      <c r="A1900" s="126"/>
      <c r="B1900" s="571"/>
      <c r="C1900" s="573"/>
      <c r="D1900" s="575"/>
      <c r="E1900" s="575"/>
      <c r="F1900" s="128"/>
      <c r="G1900" s="577"/>
      <c r="H1900" s="540"/>
      <c r="I1900" s="579"/>
      <c r="J1900" s="533"/>
      <c r="K1900" s="126"/>
      <c r="L1900" s="126"/>
      <c r="M1900" s="126"/>
      <c r="N1900" s="126"/>
      <c r="O1900" s="314"/>
      <c r="P1900" s="314"/>
      <c r="Q1900" s="310"/>
      <c r="R1900" s="314" t="str" cm="1">
        <f t="array" ref="R1900">IFERROR(IF(INDEX('Disaggregation Records'!$G$156:$G$517,MATCH(RIGHT(L1900,255),RIGHT('Disaggregation Records'!$D$156:$D$517,255),0))="","",INDEX('Disaggregation Records'!$G$156:$G$517,MATCH(RIGHT(L1900,255),RIGHT('Disaggregation Records'!$D$156:$D$517,255),0))),"")</f>
        <v/>
      </c>
    </row>
    <row r="1901" spans="1:18" ht="20.100000000000001" customHeight="1">
      <c r="A1901" s="126" t="str">
        <f t="shared" ref="A1901:A1961" ca="1" si="2147">INDIRECT("'update Helper'!C"&amp;Q1901)</f>
        <v>a16Dm000000M3qqIAC</v>
      </c>
      <c r="B1901" s="570">
        <v>33</v>
      </c>
      <c r="C1901" s="572" t="str">
        <f ca="1">IFERROR(VLOOKUP(B1901,'Coverage Indicators - Section D'!$A$9:$AO$94,41,FALSE),"")</f>
        <v>TCS-1c Percentage of children (under 15) on ART among all children living with HIV at the end of the reporting period</v>
      </c>
      <c r="D1901" s="574" t="str">
        <f ca="1">M1901</f>
        <v>Gender</v>
      </c>
      <c r="E1901" s="574" t="str">
        <f ca="1">N1901</f>
        <v>Male</v>
      </c>
      <c r="F1901" s="127"/>
      <c r="G1901" s="576" t="str">
        <f ca="1">IF(OR(INDIRECT("'update Helper'!E"&amp;Q1901)="",F1901&lt;&gt;0,F1902&lt;&gt;0),IF(IFERROR((F1901/F1902),"")="","",(F1901/F1902)),INDIRECT("'update Helper'!E"&amp;Q1901)/100)</f>
        <v/>
      </c>
      <c r="H1901" s="539"/>
      <c r="I1901" s="578"/>
      <c r="J1901" s="532"/>
      <c r="K1901" s="126">
        <f ca="1">IF(AND(EXACT(C1901,C1899),C1899&lt;&gt;0),K1899+1,0)</f>
        <v>0</v>
      </c>
      <c r="L1901" s="126" t="str">
        <f t="shared" ref="L1901" ca="1" si="2148">IF(C1901&lt;&gt;"",C1901&amp;"-"&amp;K1901,"")</f>
        <v>TCS-1c Percentage of children (under 15) on ART among all children living with HIV at the end of the reporting period-0</v>
      </c>
      <c r="M1901" s="126" t="str">
        <f t="array" aca="1" ref="M1901" ca="1">IFERROR(IF(INDEX('Disaggregation Records'!$E$156:$E$517,MATCH(RIGHT(L1901,255),RIGHT('Disaggregation Records'!$D$156:$D$517,255),0))="","",INDEX('Disaggregation Records'!$E$156:$E$517,MATCH(RIGHT(L1901,255),RIGHT('Disaggregation Records'!$D$156:$D$517,255),0))),"")</f>
        <v>Gender</v>
      </c>
      <c r="N1901" s="126" t="str">
        <f t="array" aca="1" ref="N1901" ca="1">IFERROR(IF(INDEX('Disaggregation Records'!$F$156:$F$517,MATCH(RIGHT(L1901,255),RIGHT('Disaggregation Records'!$D$156:$D$517,255),0))="","",INDEX('Disaggregation Records'!$F$156:$F$517,MATCH(RIGHT(L1901,255),RIGHT('Disaggregation Records'!$D$156:$D$517,255),0))),"")</f>
        <v>Male</v>
      </c>
      <c r="O1901" s="314" t="str">
        <f t="array" aca="1" ref="O1901" ca="1">IFERROR(IF(INDEX('Disaggregation Records'!$H$156:$H$517,MATCH(RIGHT(L1901,255),RIGHT('Disaggregation Records'!$D$156:$D$517,255),0))="","",INDEX('Disaggregation Records'!$H$156:$H$517,MATCH(RIGHT(L1901,255),RIGHT('Disaggregation Records'!$D$156:$D$517,255),0))),"")</f>
        <v>IDR-01302</v>
      </c>
      <c r="P1901" s="314"/>
      <c r="Q1901" s="310">
        <f t="shared" ref="Q1901" si="2149">Q1899+1</f>
        <v>1653</v>
      </c>
      <c r="R1901" s="314" t="str" cm="1">
        <f t="array" aca="1" ref="R1901" ca="1">IFERROR(IF(INDEX('Disaggregation Records'!$G$156:$G$517,MATCH(RIGHT(L1901,255),RIGHT('Disaggregation Records'!$D$156:$D$517,255),0))="","",INDEX('Disaggregation Records'!$G$156:$G$517,MATCH(RIGHT(L1901,255),RIGHT('Disaggregation Records'!$D$156:$D$517,255),0))),"")</f>
        <v>a1LDm000000Cb3kMAC</v>
      </c>
    </row>
    <row r="1902" spans="1:18" ht="20.100000000000001" customHeight="1">
      <c r="B1902" s="571"/>
      <c r="C1902" s="573"/>
      <c r="D1902" s="575"/>
      <c r="E1902" s="575"/>
      <c r="F1902" s="128"/>
      <c r="G1902" s="577"/>
      <c r="H1902" s="540"/>
      <c r="I1902" s="579"/>
      <c r="J1902" s="533"/>
      <c r="K1902" s="126"/>
      <c r="L1902" s="126"/>
      <c r="M1902" s="126"/>
      <c r="N1902" s="126"/>
      <c r="O1902" s="314"/>
      <c r="P1902" s="314"/>
      <c r="Q1902" s="310"/>
      <c r="R1902" s="314" t="str" cm="1">
        <f t="array" ref="R1902">IFERROR(IF(INDEX('Disaggregation Records'!$G$156:$G$517,MATCH(RIGHT(L1902,255),RIGHT('Disaggregation Records'!$D$156:$D$517,255),0))="","",INDEX('Disaggregation Records'!$G$156:$G$517,MATCH(RIGHT(L1902,255),RIGHT('Disaggregation Records'!$D$156:$D$517,255),0))),"")</f>
        <v/>
      </c>
    </row>
    <row r="1903" spans="1:18" ht="20.100000000000001" customHeight="1">
      <c r="A1903" s="126" t="str">
        <f t="shared" ref="A1903:A1963" ca="1" si="2150">INDIRECT("'update Helper'!C"&amp;Q1903)</f>
        <v>a16Dm000000M3qrIAC</v>
      </c>
      <c r="B1903" s="570">
        <v>33</v>
      </c>
      <c r="C1903" s="572" t="str">
        <f ca="1">IFERROR(VLOOKUP(B1903,'Coverage Indicators - Section D'!$A$9:$AO$94,41,FALSE),"")</f>
        <v>TCS-1c Percentage of children (under 15) on ART among all children living with HIV at the end of the reporting period</v>
      </c>
      <c r="D1903" s="574" t="str">
        <f ca="1">M1903</f>
        <v>Gender</v>
      </c>
      <c r="E1903" s="574" t="str">
        <f ca="1">N1903</f>
        <v>Female</v>
      </c>
      <c r="F1903" s="127"/>
      <c r="G1903" s="576" t="str">
        <f ca="1">IF(OR(INDIRECT("'update Helper'!E"&amp;Q1903)="",F1903&lt;&gt;0,F1904&lt;&gt;0),IF(IFERROR((F1903/F1904),"")="","",(F1903/F1904)),INDIRECT("'update Helper'!E"&amp;Q1903)/100)</f>
        <v/>
      </c>
      <c r="H1903" s="539"/>
      <c r="I1903" s="578"/>
      <c r="J1903" s="532"/>
      <c r="K1903" s="126">
        <f ca="1">IF(AND(EXACT(C1903,C1901),C1901&lt;&gt;0),K1901+1,0)</f>
        <v>1</v>
      </c>
      <c r="L1903" s="126" t="str">
        <f t="shared" ref="L1903" ca="1" si="2151">IF(C1903&lt;&gt;"",C1903&amp;"-"&amp;K1903,"")</f>
        <v>TCS-1c Percentage of children (under 15) on ART among all children living with HIV at the end of the reporting period-1</v>
      </c>
      <c r="M1903" s="126" t="str">
        <f t="array" aca="1" ref="M1903" ca="1">IFERROR(IF(INDEX('Disaggregation Records'!$E$156:$E$517,MATCH(RIGHT(L1903,255),RIGHT('Disaggregation Records'!$D$156:$D$517,255),0))="","",INDEX('Disaggregation Records'!$E$156:$E$517,MATCH(RIGHT(L1903,255),RIGHT('Disaggregation Records'!$D$156:$D$517,255),0))),"")</f>
        <v>Gender</v>
      </c>
      <c r="N1903" s="126" t="str">
        <f t="array" aca="1" ref="N1903" ca="1">IFERROR(IF(INDEX('Disaggregation Records'!$F$156:$F$517,MATCH(RIGHT(L1903,255),RIGHT('Disaggregation Records'!$D$156:$D$517,255),0))="","",INDEX('Disaggregation Records'!$F$156:$F$517,MATCH(RIGHT(L1903,255),RIGHT('Disaggregation Records'!$D$156:$D$517,255),0))),"")</f>
        <v>Female</v>
      </c>
      <c r="O1903" s="314" t="str">
        <f t="array" aca="1" ref="O1903" ca="1">IFERROR(IF(INDEX('Disaggregation Records'!$H$156:$H$517,MATCH(RIGHT(L1903,255),RIGHT('Disaggregation Records'!$D$156:$D$517,255),0))="","",INDEX('Disaggregation Records'!$H$156:$H$517,MATCH(RIGHT(L1903,255),RIGHT('Disaggregation Records'!$D$156:$D$517,255),0))),"")</f>
        <v>IDR-01301</v>
      </c>
      <c r="P1903" s="310"/>
      <c r="Q1903" s="310">
        <f t="shared" ref="Q1903" si="2152">Q1901+1</f>
        <v>1654</v>
      </c>
      <c r="R1903" s="314" t="str" cm="1">
        <f t="array" aca="1" ref="R1903" ca="1">IFERROR(IF(INDEX('Disaggregation Records'!$G$156:$G$517,MATCH(RIGHT(L1903,255),RIGHT('Disaggregation Records'!$D$156:$D$517,255),0))="","",INDEX('Disaggregation Records'!$G$156:$G$517,MATCH(RIGHT(L1903,255),RIGHT('Disaggregation Records'!$D$156:$D$517,255),0))),"")</f>
        <v>a1LDm000000Cb3jMAC</v>
      </c>
    </row>
    <row r="1904" spans="1:18" ht="20.100000000000001" customHeight="1">
      <c r="A1904" s="126"/>
      <c r="B1904" s="571"/>
      <c r="C1904" s="573"/>
      <c r="D1904" s="575"/>
      <c r="E1904" s="575"/>
      <c r="F1904" s="128"/>
      <c r="G1904" s="577"/>
      <c r="H1904" s="540"/>
      <c r="I1904" s="579"/>
      <c r="J1904" s="533"/>
      <c r="L1904" s="126"/>
      <c r="N1904" s="126"/>
      <c r="O1904" s="314"/>
      <c r="P1904" s="310"/>
      <c r="Q1904" s="310"/>
      <c r="R1904" s="314" t="str" cm="1">
        <f t="array" ref="R1904">IFERROR(IF(INDEX('Disaggregation Records'!$G$156:$G$517,MATCH(RIGHT(L1904,255),RIGHT('Disaggregation Records'!$D$156:$D$517,255),0))="","",INDEX('Disaggregation Records'!$G$156:$G$517,MATCH(RIGHT(L1904,255),RIGHT('Disaggregation Records'!$D$156:$D$517,255),0))),"")</f>
        <v/>
      </c>
    </row>
    <row r="1905" spans="1:18" ht="20.100000000000001" customHeight="1">
      <c r="A1905" s="126" t="str">
        <f t="shared" ref="A1905:A1965" ca="1" si="2153">INDIRECT("'update Helper'!C"&amp;Q1905)</f>
        <v>a16Dm000000M3qsIAC</v>
      </c>
      <c r="B1905" s="570">
        <v>33</v>
      </c>
      <c r="C1905" s="572" t="str">
        <f ca="1">IFERROR(VLOOKUP(B1905,'Coverage Indicators - Section D'!$A$9:$AO$94,41,FALSE),"")</f>
        <v>TCS-1c Percentage of children (under 15) on ART among all children living with HIV at the end of the reporting period</v>
      </c>
      <c r="D1905" s="574" t="str">
        <f ca="1">M1905</f>
        <v/>
      </c>
      <c r="E1905" s="574" t="str">
        <f ca="1">N1905</f>
        <v/>
      </c>
      <c r="F1905" s="127"/>
      <c r="G1905" s="576" t="str">
        <f ca="1">IF(OR(INDIRECT("'update Helper'!E"&amp;Q1905)="",F1905&lt;&gt;0,F1906&lt;&gt;0),IF(IFERROR((F1905/F1906),"")="","",(F1905/F1906)),INDIRECT("'update Helper'!E"&amp;Q1905)/100)</f>
        <v/>
      </c>
      <c r="H1905" s="539"/>
      <c r="I1905" s="578"/>
      <c r="J1905" s="532"/>
      <c r="K1905" s="126">
        <f ca="1">IF(AND(EXACT(C1905,C1903),C1903&lt;&gt;0),K1903+1,0)</f>
        <v>2</v>
      </c>
      <c r="L1905" s="126" t="str">
        <f t="shared" ref="L1905" ca="1" si="2154">IF(C1905&lt;&gt;"",C1905&amp;"-"&amp;K1905,"")</f>
        <v>TCS-1c Percentage of children (under 15) on ART among all children living with HIV at the end of the reporting period-2</v>
      </c>
      <c r="M1905" s="126" t="str">
        <f t="array" aca="1" ref="M1905" ca="1">IFERROR(IF(INDEX('Disaggregation Records'!$E$156:$E$517,MATCH(RIGHT(L1905,255),RIGHT('Disaggregation Records'!$D$156:$D$517,255),0))="","",INDEX('Disaggregation Records'!$E$156:$E$517,MATCH(RIGHT(L1905,255),RIGHT('Disaggregation Records'!$D$156:$D$517,255),0))),"")</f>
        <v/>
      </c>
      <c r="N1905" s="126" t="str">
        <f t="array" aca="1" ref="N1905" ca="1">IFERROR(IF(INDEX('Disaggregation Records'!$F$156:$F$517,MATCH(RIGHT(L1905,255),RIGHT('Disaggregation Records'!$D$156:$D$517,255),0))="","",INDEX('Disaggregation Records'!$F$156:$F$517,MATCH(RIGHT(L1905,255),RIGHT('Disaggregation Records'!$D$156:$D$517,255),0))),"")</f>
        <v/>
      </c>
      <c r="O1905" s="314" t="str">
        <f t="array" aca="1" ref="O1905" ca="1">IFERROR(IF(INDEX('Disaggregation Records'!$H$156:$H$517,MATCH(RIGHT(L1905,255),RIGHT('Disaggregation Records'!$D$156:$D$517,255),0))="","",INDEX('Disaggregation Records'!$H$156:$H$517,MATCH(RIGHT(L1905,255),RIGHT('Disaggregation Records'!$D$156:$D$517,255),0))),"")</f>
        <v/>
      </c>
      <c r="P1905" s="310"/>
      <c r="Q1905" s="310">
        <f t="shared" ref="Q1905" si="2155">Q1903+1</f>
        <v>1655</v>
      </c>
      <c r="R1905" s="314" t="str" cm="1">
        <f t="array" aca="1" ref="R1905" ca="1">IFERROR(IF(INDEX('Disaggregation Records'!$G$156:$G$517,MATCH(RIGHT(L1905,255),RIGHT('Disaggregation Records'!$D$156:$D$517,255),0))="","",INDEX('Disaggregation Records'!$G$156:$G$517,MATCH(RIGHT(L1905,255),RIGHT('Disaggregation Records'!$D$156:$D$517,255),0))),"")</f>
        <v/>
      </c>
    </row>
    <row r="1906" spans="1:18" ht="20.100000000000001" customHeight="1">
      <c r="B1906" s="571"/>
      <c r="C1906" s="573"/>
      <c r="D1906" s="575"/>
      <c r="E1906" s="575"/>
      <c r="F1906" s="128"/>
      <c r="G1906" s="577"/>
      <c r="H1906" s="540"/>
      <c r="I1906" s="579"/>
      <c r="J1906" s="533"/>
      <c r="L1906" s="126"/>
      <c r="N1906" s="126"/>
      <c r="O1906" s="314"/>
      <c r="P1906" s="310"/>
      <c r="Q1906" s="310"/>
      <c r="R1906" s="314" t="str" cm="1">
        <f t="array" ref="R1906">IFERROR(IF(INDEX('Disaggregation Records'!$G$156:$G$517,MATCH(RIGHT(L1906,255),RIGHT('Disaggregation Records'!$D$156:$D$517,255),0))="","",INDEX('Disaggregation Records'!$G$156:$G$517,MATCH(RIGHT(L1906,255),RIGHT('Disaggregation Records'!$D$156:$D$517,255),0))),"")</f>
        <v/>
      </c>
    </row>
    <row r="1907" spans="1:18" ht="20.100000000000001" customHeight="1">
      <c r="A1907" s="126" t="str">
        <f t="shared" ref="A1907:A1967" ca="1" si="2156">INDIRECT("'update Helper'!C"&amp;Q1907)</f>
        <v>a16Dm000000M3qtIAC</v>
      </c>
      <c r="B1907" s="570">
        <v>33</v>
      </c>
      <c r="C1907" s="572" t="str">
        <f ca="1">IFERROR(VLOOKUP(B1907,'Coverage Indicators - Section D'!$A$9:$AO$94,41,FALSE),"")</f>
        <v>TCS-1c Percentage of children (under 15) on ART among all children living with HIV at the end of the reporting period</v>
      </c>
      <c r="D1907" s="574" t="str">
        <f ca="1">M1907</f>
        <v/>
      </c>
      <c r="E1907" s="574" t="str">
        <f ca="1">N1907</f>
        <v/>
      </c>
      <c r="F1907" s="127"/>
      <c r="G1907" s="576" t="str">
        <f ca="1">IF(OR(INDIRECT("'update Helper'!E"&amp;Q1907)="",F1907&lt;&gt;0,F1908&lt;&gt;0),IF(IFERROR((F1907/F1908),"")="","",(F1907/F1908)),INDIRECT("'update Helper'!E"&amp;Q1907)/100)</f>
        <v/>
      </c>
      <c r="H1907" s="539"/>
      <c r="I1907" s="578"/>
      <c r="J1907" s="532"/>
      <c r="K1907" s="126">
        <f ca="1">IF(AND(EXACT(C1907,C1905),C1905&lt;&gt;0),K1905+1,0)</f>
        <v>3</v>
      </c>
      <c r="L1907" s="126" t="str">
        <f t="shared" ref="L1907" ca="1" si="2157">IF(C1907&lt;&gt;"",C1907&amp;"-"&amp;K1907,"")</f>
        <v>TCS-1c Percentage of children (under 15) on ART among all children living with HIV at the end of the reporting period-3</v>
      </c>
      <c r="M1907" s="126" t="str">
        <f t="array" aca="1" ref="M1907" ca="1">IFERROR(IF(INDEX('Disaggregation Records'!$E$156:$E$517,MATCH(RIGHT(L1907,255),RIGHT('Disaggregation Records'!$D$156:$D$517,255),0))="","",INDEX('Disaggregation Records'!$E$156:$E$517,MATCH(RIGHT(L1907,255),RIGHT('Disaggregation Records'!$D$156:$D$517,255),0))),"")</f>
        <v/>
      </c>
      <c r="N1907" s="126" t="str">
        <f t="array" aca="1" ref="N1907" ca="1">IFERROR(IF(INDEX('Disaggregation Records'!$F$156:$F$517,MATCH(RIGHT(L1907,255),RIGHT('Disaggregation Records'!$D$156:$D$517,255),0))="","",INDEX('Disaggregation Records'!$F$156:$F$517,MATCH(RIGHT(L1907,255),RIGHT('Disaggregation Records'!$D$156:$D$517,255),0))),"")</f>
        <v/>
      </c>
      <c r="O1907" s="314" t="str">
        <f t="array" aca="1" ref="O1907" ca="1">IFERROR(IF(INDEX('Disaggregation Records'!$H$156:$H$517,MATCH(RIGHT(L1907,255),RIGHT('Disaggregation Records'!$D$156:$D$517,255),0))="","",INDEX('Disaggregation Records'!$H$156:$H$517,MATCH(RIGHT(L1907,255),RIGHT('Disaggregation Records'!$D$156:$D$517,255),0))),"")</f>
        <v/>
      </c>
      <c r="P1907" s="310"/>
      <c r="Q1907" s="310">
        <f t="shared" ref="Q1907" si="2158">Q1905+1</f>
        <v>1656</v>
      </c>
      <c r="R1907" s="314" t="str" cm="1">
        <f t="array" aca="1" ref="R1907" ca="1">IFERROR(IF(INDEX('Disaggregation Records'!$G$156:$G$517,MATCH(RIGHT(L1907,255),RIGHT('Disaggregation Records'!$D$156:$D$517,255),0))="","",INDEX('Disaggregation Records'!$G$156:$G$517,MATCH(RIGHT(L1907,255),RIGHT('Disaggregation Records'!$D$156:$D$517,255),0))),"")</f>
        <v/>
      </c>
    </row>
    <row r="1908" spans="1:18" ht="20.100000000000001" customHeight="1">
      <c r="A1908" s="126"/>
      <c r="B1908" s="571"/>
      <c r="C1908" s="573"/>
      <c r="D1908" s="575"/>
      <c r="E1908" s="575"/>
      <c r="F1908" s="128"/>
      <c r="G1908" s="577"/>
      <c r="H1908" s="540"/>
      <c r="I1908" s="579"/>
      <c r="J1908" s="533"/>
      <c r="L1908" s="126"/>
      <c r="N1908" s="126"/>
      <c r="O1908" s="314"/>
      <c r="P1908" s="310"/>
      <c r="Q1908" s="310"/>
      <c r="R1908" s="314" t="str" cm="1">
        <f t="array" ref="R1908">IFERROR(IF(INDEX('Disaggregation Records'!$G$156:$G$517,MATCH(RIGHT(L1908,255),RIGHT('Disaggregation Records'!$D$156:$D$517,255),0))="","",INDEX('Disaggregation Records'!$G$156:$G$517,MATCH(RIGHT(L1908,255),RIGHT('Disaggregation Records'!$D$156:$D$517,255),0))),"")</f>
        <v/>
      </c>
    </row>
    <row r="1909" spans="1:18" ht="20.100000000000001" customHeight="1">
      <c r="A1909" s="126" t="str">
        <f t="shared" ref="A1909:A1969" ca="1" si="2159">INDIRECT("'update Helper'!C"&amp;Q1909)</f>
        <v>a16Dm000000M3quIAC</v>
      </c>
      <c r="B1909" s="570">
        <v>33</v>
      </c>
      <c r="C1909" s="572" t="str">
        <f ca="1">IFERROR(VLOOKUP(B1909,'Coverage Indicators - Section D'!$A$9:$AO$94,41,FALSE),"")</f>
        <v>TCS-1c Percentage of children (under 15) on ART among all children living with HIV at the end of the reporting period</v>
      </c>
      <c r="D1909" s="574" t="str">
        <f ca="1">M1909</f>
        <v/>
      </c>
      <c r="E1909" s="574" t="str">
        <f ca="1">N1909</f>
        <v/>
      </c>
      <c r="F1909" s="127"/>
      <c r="G1909" s="576" t="str">
        <f ca="1">IF(OR(INDIRECT("'update Helper'!E"&amp;Q1909)="",F1909&lt;&gt;0,F1910&lt;&gt;0),IF(IFERROR((F1909/F1910),"")="","",(F1909/F1910)),INDIRECT("'update Helper'!E"&amp;Q1909)/100)</f>
        <v/>
      </c>
      <c r="H1909" s="539"/>
      <c r="I1909" s="578"/>
      <c r="J1909" s="532"/>
      <c r="K1909" s="126">
        <f ca="1">IF(AND(EXACT(C1909,C1907),C1907&lt;&gt;0),K1907+1,0)</f>
        <v>4</v>
      </c>
      <c r="L1909" s="126" t="str">
        <f t="shared" ref="L1909" ca="1" si="2160">IF(C1909&lt;&gt;"",C1909&amp;"-"&amp;K1909,"")</f>
        <v>TCS-1c Percentage of children (under 15) on ART among all children living with HIV at the end of the reporting period-4</v>
      </c>
      <c r="M1909" s="126" t="str">
        <f t="array" aca="1" ref="M1909" ca="1">IFERROR(IF(INDEX('Disaggregation Records'!$E$156:$E$517,MATCH(RIGHT(L1909,255),RIGHT('Disaggregation Records'!$D$156:$D$517,255),0))="","",INDEX('Disaggregation Records'!$E$156:$E$517,MATCH(RIGHT(L1909,255),RIGHT('Disaggregation Records'!$D$156:$D$517,255),0))),"")</f>
        <v/>
      </c>
      <c r="N1909" s="126" t="str">
        <f t="array" aca="1" ref="N1909" ca="1">IFERROR(IF(INDEX('Disaggregation Records'!$F$156:$F$517,MATCH(RIGHT(L1909,255),RIGHT('Disaggregation Records'!$D$156:$D$517,255),0))="","",INDEX('Disaggregation Records'!$F$156:$F$517,MATCH(RIGHT(L1909,255),RIGHT('Disaggregation Records'!$D$156:$D$517,255),0))),"")</f>
        <v/>
      </c>
      <c r="O1909" s="314" t="str">
        <f t="array" aca="1" ref="O1909" ca="1">IFERROR(IF(INDEX('Disaggregation Records'!$H$156:$H$517,MATCH(RIGHT(L1909,255),RIGHT('Disaggregation Records'!$D$156:$D$517,255),0))="","",INDEX('Disaggregation Records'!$H$156:$H$517,MATCH(RIGHT(L1909,255),RIGHT('Disaggregation Records'!$D$156:$D$517,255),0))),"")</f>
        <v/>
      </c>
      <c r="P1909" s="314"/>
      <c r="Q1909" s="310">
        <f t="shared" ref="Q1909" si="2161">Q1907+1</f>
        <v>1657</v>
      </c>
      <c r="R1909" s="314" t="str" cm="1">
        <f t="array" aca="1" ref="R1909" ca="1">IFERROR(IF(INDEX('Disaggregation Records'!$G$156:$G$517,MATCH(RIGHT(L1909,255),RIGHT('Disaggregation Records'!$D$156:$D$517,255),0))="","",INDEX('Disaggregation Records'!$G$156:$G$517,MATCH(RIGHT(L1909,255),RIGHT('Disaggregation Records'!$D$156:$D$517,255),0))),"")</f>
        <v/>
      </c>
    </row>
    <row r="1910" spans="1:18" ht="20.100000000000001" customHeight="1">
      <c r="B1910" s="571"/>
      <c r="C1910" s="573"/>
      <c r="D1910" s="575"/>
      <c r="E1910" s="575"/>
      <c r="F1910" s="128"/>
      <c r="G1910" s="577"/>
      <c r="H1910" s="540"/>
      <c r="I1910" s="579"/>
      <c r="J1910" s="533"/>
      <c r="K1910" s="126"/>
      <c r="L1910" s="126"/>
      <c r="M1910" s="126"/>
      <c r="N1910" s="126"/>
      <c r="O1910" s="314"/>
      <c r="P1910" s="314"/>
      <c r="Q1910" s="310"/>
      <c r="R1910" s="314" t="str" cm="1">
        <f t="array" ref="R1910">IFERROR(IF(INDEX('Disaggregation Records'!$G$156:$G$517,MATCH(RIGHT(L1910,255),RIGHT('Disaggregation Records'!$D$156:$D$517,255),0))="","",INDEX('Disaggregation Records'!$G$156:$G$517,MATCH(RIGHT(L1910,255),RIGHT('Disaggregation Records'!$D$156:$D$517,255),0))),"")</f>
        <v/>
      </c>
    </row>
    <row r="1911" spans="1:18" ht="20.100000000000001" customHeight="1">
      <c r="A1911" s="126" t="str">
        <f t="shared" ref="A1911:A1971" ca="1" si="2162">INDIRECT("'update Helper'!C"&amp;Q1911)</f>
        <v>a16Dm000000M3qvIAC</v>
      </c>
      <c r="B1911" s="570">
        <v>33</v>
      </c>
      <c r="C1911" s="572" t="str">
        <f ca="1">IFERROR(VLOOKUP(B1911,'Coverage Indicators - Section D'!$A$9:$AO$94,41,FALSE),"")</f>
        <v>TCS-1c Percentage of children (under 15) on ART among all children living with HIV at the end of the reporting period</v>
      </c>
      <c r="D1911" s="574" t="str">
        <f ca="1">M1911</f>
        <v/>
      </c>
      <c r="E1911" s="574" t="str">
        <f ca="1">N1911</f>
        <v/>
      </c>
      <c r="F1911" s="127"/>
      <c r="G1911" s="576" t="str">
        <f ca="1">IF(OR(INDIRECT("'update Helper'!E"&amp;Q1911)="",F1911&lt;&gt;0,F1912&lt;&gt;0),IF(IFERROR((F1911/F1912),"")="","",(F1911/F1912)),INDIRECT("'update Helper'!E"&amp;Q1911)/100)</f>
        <v/>
      </c>
      <c r="H1911" s="539"/>
      <c r="I1911" s="578"/>
      <c r="J1911" s="532"/>
      <c r="K1911" s="126">
        <f ca="1">IF(AND(EXACT(C1911,C1909),C1909&lt;&gt;0),K1909+1,0)</f>
        <v>5</v>
      </c>
      <c r="L1911" s="126" t="str">
        <f t="shared" ref="L1911" ca="1" si="2163">IF(C1911&lt;&gt;"",C1911&amp;"-"&amp;K1911,"")</f>
        <v>TCS-1c Percentage of children (under 15) on ART among all children living with HIV at the end of the reporting period-5</v>
      </c>
      <c r="M1911" s="126" t="str">
        <f t="array" aca="1" ref="M1911" ca="1">IFERROR(IF(INDEX('Disaggregation Records'!$E$156:$E$517,MATCH(RIGHT(L1911,255),RIGHT('Disaggregation Records'!$D$156:$D$517,255),0))="","",INDEX('Disaggregation Records'!$E$156:$E$517,MATCH(RIGHT(L1911,255),RIGHT('Disaggregation Records'!$D$156:$D$517,255),0))),"")</f>
        <v/>
      </c>
      <c r="N1911" s="126" t="str">
        <f t="array" aca="1" ref="N1911" ca="1">IFERROR(IF(INDEX('Disaggregation Records'!$F$156:$F$517,MATCH(RIGHT(L1911,255),RIGHT('Disaggregation Records'!$D$156:$D$517,255),0))="","",INDEX('Disaggregation Records'!$F$156:$F$517,MATCH(RIGHT(L1911,255),RIGHT('Disaggregation Records'!$D$156:$D$517,255),0))),"")</f>
        <v/>
      </c>
      <c r="O1911" s="314" t="str">
        <f t="array" aca="1" ref="O1911" ca="1">IFERROR(IF(INDEX('Disaggregation Records'!$H$156:$H$517,MATCH(RIGHT(L1911,255),RIGHT('Disaggregation Records'!$D$156:$D$517,255),0))="","",INDEX('Disaggregation Records'!$H$156:$H$517,MATCH(RIGHT(L1911,255),RIGHT('Disaggregation Records'!$D$156:$D$517,255),0))),"")</f>
        <v/>
      </c>
      <c r="P1911" s="314"/>
      <c r="Q1911" s="310">
        <f t="shared" ref="Q1911" si="2164">Q1909+1</f>
        <v>1658</v>
      </c>
      <c r="R1911" s="314" t="str" cm="1">
        <f t="array" aca="1" ref="R1911" ca="1">IFERROR(IF(INDEX('Disaggregation Records'!$G$156:$G$517,MATCH(RIGHT(L1911,255),RIGHT('Disaggregation Records'!$D$156:$D$517,255),0))="","",INDEX('Disaggregation Records'!$G$156:$G$517,MATCH(RIGHT(L1911,255),RIGHT('Disaggregation Records'!$D$156:$D$517,255),0))),"")</f>
        <v/>
      </c>
    </row>
    <row r="1912" spans="1:18" ht="20.100000000000001" customHeight="1">
      <c r="A1912" s="126"/>
      <c r="B1912" s="571"/>
      <c r="C1912" s="573"/>
      <c r="D1912" s="575"/>
      <c r="E1912" s="575"/>
      <c r="F1912" s="128"/>
      <c r="G1912" s="577"/>
      <c r="H1912" s="540"/>
      <c r="I1912" s="579"/>
      <c r="J1912" s="533"/>
      <c r="K1912" s="126"/>
      <c r="L1912" s="126"/>
      <c r="M1912" s="126"/>
      <c r="N1912" s="126"/>
      <c r="O1912" s="314"/>
      <c r="P1912" s="314"/>
      <c r="Q1912" s="310"/>
      <c r="R1912" s="314" t="str" cm="1">
        <f t="array" ref="R1912">IFERROR(IF(INDEX('Disaggregation Records'!$G$156:$G$517,MATCH(RIGHT(L1912,255),RIGHT('Disaggregation Records'!$D$156:$D$517,255),0))="","",INDEX('Disaggregation Records'!$G$156:$G$517,MATCH(RIGHT(L1912,255),RIGHT('Disaggregation Records'!$D$156:$D$517,255),0))),"")</f>
        <v/>
      </c>
    </row>
    <row r="1913" spans="1:18" ht="20.100000000000001" customHeight="1">
      <c r="A1913" s="126" t="str">
        <f t="shared" ref="A1913:A1973" ca="1" si="2165">INDIRECT("'update Helper'!C"&amp;Q1913)</f>
        <v>a16Dm000000M3qwIAC</v>
      </c>
      <c r="B1913" s="570">
        <v>33</v>
      </c>
      <c r="C1913" s="572" t="str">
        <f ca="1">IFERROR(VLOOKUP(B1913,'Coverage Indicators - Section D'!$A$9:$AO$94,41,FALSE),"")</f>
        <v>TCS-1c Percentage of children (under 15) on ART among all children living with HIV at the end of the reporting period</v>
      </c>
      <c r="D1913" s="574" t="str">
        <f ca="1">M1913</f>
        <v/>
      </c>
      <c r="E1913" s="574" t="str">
        <f ca="1">N1913</f>
        <v/>
      </c>
      <c r="F1913" s="127"/>
      <c r="G1913" s="576" t="str">
        <f ca="1">IF(OR(INDIRECT("'update Helper'!E"&amp;Q1913)="",F1913&lt;&gt;0,F1914&lt;&gt;0),IF(IFERROR((F1913/F1914),"")="","",(F1913/F1914)),INDIRECT("'update Helper'!E"&amp;Q1913)/100)</f>
        <v/>
      </c>
      <c r="H1913" s="539"/>
      <c r="I1913" s="578"/>
      <c r="J1913" s="532"/>
      <c r="K1913" s="126">
        <f ca="1">IF(AND(EXACT(C1913,C1911),C1911&lt;&gt;0),K1911+1,0)</f>
        <v>6</v>
      </c>
      <c r="L1913" s="126" t="str">
        <f t="shared" ref="L1913" ca="1" si="2166">IF(C1913&lt;&gt;"",C1913&amp;"-"&amp;K1913,"")</f>
        <v>TCS-1c Percentage of children (under 15) on ART among all children living with HIV at the end of the reporting period-6</v>
      </c>
      <c r="M1913" s="126" t="str">
        <f t="array" aca="1" ref="M1913" ca="1">IFERROR(IF(INDEX('Disaggregation Records'!$E$156:$E$517,MATCH(RIGHT(L1913,255),RIGHT('Disaggregation Records'!$D$156:$D$517,255),0))="","",INDEX('Disaggregation Records'!$E$156:$E$517,MATCH(RIGHT(L1913,255),RIGHT('Disaggregation Records'!$D$156:$D$517,255),0))),"")</f>
        <v/>
      </c>
      <c r="N1913" s="126" t="str">
        <f t="array" aca="1" ref="N1913" ca="1">IFERROR(IF(INDEX('Disaggregation Records'!$F$156:$F$517,MATCH(RIGHT(L1913,255),RIGHT('Disaggregation Records'!$D$156:$D$517,255),0))="","",INDEX('Disaggregation Records'!$F$156:$F$517,MATCH(RIGHT(L1913,255),RIGHT('Disaggregation Records'!$D$156:$D$517,255),0))),"")</f>
        <v/>
      </c>
      <c r="O1913" s="314" t="str">
        <f t="array" aca="1" ref="O1913" ca="1">IFERROR(IF(INDEX('Disaggregation Records'!$H$156:$H$517,MATCH(RIGHT(L1913,255),RIGHT('Disaggregation Records'!$D$156:$D$517,255),0))="","",INDEX('Disaggregation Records'!$H$156:$H$517,MATCH(RIGHT(L1913,255),RIGHT('Disaggregation Records'!$D$156:$D$517,255),0))),"")</f>
        <v/>
      </c>
      <c r="P1913" s="310"/>
      <c r="Q1913" s="310">
        <f t="shared" ref="Q1913" si="2167">Q1911+1</f>
        <v>1659</v>
      </c>
      <c r="R1913" s="314" t="str" cm="1">
        <f t="array" aca="1" ref="R1913" ca="1">IFERROR(IF(INDEX('Disaggregation Records'!$G$156:$G$517,MATCH(RIGHT(L1913,255),RIGHT('Disaggregation Records'!$D$156:$D$517,255),0))="","",INDEX('Disaggregation Records'!$G$156:$G$517,MATCH(RIGHT(L1913,255),RIGHT('Disaggregation Records'!$D$156:$D$517,255),0))),"")</f>
        <v/>
      </c>
    </row>
    <row r="1914" spans="1:18" ht="20.100000000000001" customHeight="1">
      <c r="B1914" s="571"/>
      <c r="C1914" s="573"/>
      <c r="D1914" s="575"/>
      <c r="E1914" s="575"/>
      <c r="F1914" s="128"/>
      <c r="G1914" s="577"/>
      <c r="H1914" s="540"/>
      <c r="I1914" s="579"/>
      <c r="J1914" s="533"/>
      <c r="L1914" s="126"/>
      <c r="N1914" s="126"/>
      <c r="O1914" s="314"/>
      <c r="P1914" s="310"/>
      <c r="Q1914" s="310"/>
      <c r="R1914" s="314" t="str" cm="1">
        <f t="array" ref="R1914">IFERROR(IF(INDEX('Disaggregation Records'!$G$156:$G$517,MATCH(RIGHT(L1914,255),RIGHT('Disaggregation Records'!$D$156:$D$517,255),0))="","",INDEX('Disaggregation Records'!$G$156:$G$517,MATCH(RIGHT(L1914,255),RIGHT('Disaggregation Records'!$D$156:$D$517,255),0))),"")</f>
        <v/>
      </c>
    </row>
    <row r="1915" spans="1:18" ht="20.100000000000001" customHeight="1">
      <c r="A1915" s="126" t="str">
        <f t="shared" ref="A1915:A1975" ca="1" si="2168">INDIRECT("'update Helper'!C"&amp;Q1915)</f>
        <v>a16Dm000000M3qxIAC</v>
      </c>
      <c r="B1915" s="570">
        <v>33</v>
      </c>
      <c r="C1915" s="572" t="str">
        <f ca="1">IFERROR(VLOOKUP(B1915,'Coverage Indicators - Section D'!$A$9:$AO$94,41,FALSE),"")</f>
        <v>TCS-1c Percentage of children (under 15) on ART among all children living with HIV at the end of the reporting period</v>
      </c>
      <c r="D1915" s="574" t="str">
        <f ca="1">M1915</f>
        <v/>
      </c>
      <c r="E1915" s="574" t="str">
        <f ca="1">N1915</f>
        <v/>
      </c>
      <c r="F1915" s="127"/>
      <c r="G1915" s="576" t="str">
        <f ca="1">IF(OR(INDIRECT("'update Helper'!E"&amp;Q1915)="",F1915&lt;&gt;0,F1916&lt;&gt;0),IF(IFERROR((F1915/F1916),"")="","",(F1915/F1916)),INDIRECT("'update Helper'!E"&amp;Q1915)/100)</f>
        <v/>
      </c>
      <c r="H1915" s="539"/>
      <c r="I1915" s="578"/>
      <c r="J1915" s="532"/>
      <c r="K1915" s="126">
        <f ca="1">IF(AND(EXACT(C1915,C1913),C1913&lt;&gt;0),K1913+1,0)</f>
        <v>7</v>
      </c>
      <c r="L1915" s="126" t="str">
        <f t="shared" ref="L1915" ca="1" si="2169">IF(C1915&lt;&gt;"",C1915&amp;"-"&amp;K1915,"")</f>
        <v>TCS-1c Percentage of children (under 15) on ART among all children living with HIV at the end of the reporting period-7</v>
      </c>
      <c r="M1915" s="126" t="str">
        <f t="array" aca="1" ref="M1915" ca="1">IFERROR(IF(INDEX('Disaggregation Records'!$E$156:$E$517,MATCH(RIGHT(L1915,255),RIGHT('Disaggregation Records'!$D$156:$D$517,255),0))="","",INDEX('Disaggregation Records'!$E$156:$E$517,MATCH(RIGHT(L1915,255),RIGHT('Disaggregation Records'!$D$156:$D$517,255),0))),"")</f>
        <v/>
      </c>
      <c r="N1915" s="126" t="str">
        <f t="array" aca="1" ref="N1915" ca="1">IFERROR(IF(INDEX('Disaggregation Records'!$F$156:$F$517,MATCH(RIGHT(L1915,255),RIGHT('Disaggregation Records'!$D$156:$D$517,255),0))="","",INDEX('Disaggregation Records'!$F$156:$F$517,MATCH(RIGHT(L1915,255),RIGHT('Disaggregation Records'!$D$156:$D$517,255),0))),"")</f>
        <v/>
      </c>
      <c r="O1915" s="314" t="str">
        <f t="array" aca="1" ref="O1915" ca="1">IFERROR(IF(INDEX('Disaggregation Records'!$H$156:$H$517,MATCH(RIGHT(L1915,255),RIGHT('Disaggregation Records'!$D$156:$D$517,255),0))="","",INDEX('Disaggregation Records'!$H$156:$H$517,MATCH(RIGHT(L1915,255),RIGHT('Disaggregation Records'!$D$156:$D$517,255),0))),"")</f>
        <v/>
      </c>
      <c r="P1915" s="310"/>
      <c r="Q1915" s="310">
        <f t="shared" ref="Q1915" si="2170">Q1913+1</f>
        <v>1660</v>
      </c>
      <c r="R1915" s="314" t="str" cm="1">
        <f t="array" aca="1" ref="R1915" ca="1">IFERROR(IF(INDEX('Disaggregation Records'!$G$156:$G$517,MATCH(RIGHT(L1915,255),RIGHT('Disaggregation Records'!$D$156:$D$517,255),0))="","",INDEX('Disaggregation Records'!$G$156:$G$517,MATCH(RIGHT(L1915,255),RIGHT('Disaggregation Records'!$D$156:$D$517,255),0))),"")</f>
        <v/>
      </c>
    </row>
    <row r="1916" spans="1:18" ht="20.100000000000001" customHeight="1">
      <c r="A1916" s="126"/>
      <c r="B1916" s="571"/>
      <c r="C1916" s="573"/>
      <c r="D1916" s="575"/>
      <c r="E1916" s="575"/>
      <c r="F1916" s="128"/>
      <c r="G1916" s="577"/>
      <c r="H1916" s="540"/>
      <c r="I1916" s="579"/>
      <c r="J1916" s="533"/>
      <c r="L1916" s="126"/>
      <c r="N1916" s="126"/>
      <c r="O1916" s="314"/>
      <c r="P1916" s="310"/>
      <c r="Q1916" s="310"/>
      <c r="R1916" s="314" t="str" cm="1">
        <f t="array" ref="R1916">IFERROR(IF(INDEX('Disaggregation Records'!$G$156:$G$517,MATCH(RIGHT(L1916,255),RIGHT('Disaggregation Records'!$D$156:$D$517,255),0))="","",INDEX('Disaggregation Records'!$G$156:$G$517,MATCH(RIGHT(L1916,255),RIGHT('Disaggregation Records'!$D$156:$D$517,255),0))),"")</f>
        <v/>
      </c>
    </row>
    <row r="1917" spans="1:18" ht="20.100000000000001" customHeight="1">
      <c r="A1917" s="126" t="str">
        <f t="shared" ref="A1917:A1977" ca="1" si="2171">INDIRECT("'update Helper'!C"&amp;Q1917)</f>
        <v>a16Dm000000M3qyIAC</v>
      </c>
      <c r="B1917" s="570">
        <v>33</v>
      </c>
      <c r="C1917" s="572" t="str">
        <f ca="1">IFERROR(VLOOKUP(B1917,'Coverage Indicators - Section D'!$A$9:$AO$94,41,FALSE),"")</f>
        <v>TCS-1c Percentage of children (under 15) on ART among all children living with HIV at the end of the reporting period</v>
      </c>
      <c r="D1917" s="574" t="str">
        <f ca="1">M1917</f>
        <v/>
      </c>
      <c r="E1917" s="574" t="str">
        <f ca="1">N1917</f>
        <v/>
      </c>
      <c r="F1917" s="127"/>
      <c r="G1917" s="576" t="str">
        <f ca="1">IF(OR(INDIRECT("'update Helper'!E"&amp;Q1917)="",F1917&lt;&gt;0,F1918&lt;&gt;0),IF(IFERROR((F1917/F1918),"")="","",(F1917/F1918)),INDIRECT("'update Helper'!E"&amp;Q1917)/100)</f>
        <v/>
      </c>
      <c r="H1917" s="539"/>
      <c r="I1917" s="578"/>
      <c r="J1917" s="532"/>
      <c r="K1917" s="126">
        <f ca="1">IF(AND(EXACT(C1917,C1915),C1915&lt;&gt;0),K1915+1,0)</f>
        <v>8</v>
      </c>
      <c r="L1917" s="126" t="str">
        <f t="shared" ref="L1917" ca="1" si="2172">IF(C1917&lt;&gt;"",C1917&amp;"-"&amp;K1917,"")</f>
        <v>TCS-1c Percentage of children (under 15) on ART among all children living with HIV at the end of the reporting period-8</v>
      </c>
      <c r="M1917" s="126" t="str">
        <f t="array" aca="1" ref="M1917" ca="1">IFERROR(IF(INDEX('Disaggregation Records'!$E$156:$E$517,MATCH(RIGHT(L1917,255),RIGHT('Disaggregation Records'!$D$156:$D$517,255),0))="","",INDEX('Disaggregation Records'!$E$156:$E$517,MATCH(RIGHT(L1917,255),RIGHT('Disaggregation Records'!$D$156:$D$517,255),0))),"")</f>
        <v/>
      </c>
      <c r="N1917" s="126" t="str">
        <f t="array" aca="1" ref="N1917" ca="1">IFERROR(IF(INDEX('Disaggregation Records'!$F$156:$F$517,MATCH(RIGHT(L1917,255),RIGHT('Disaggregation Records'!$D$156:$D$517,255),0))="","",INDEX('Disaggregation Records'!$F$156:$F$517,MATCH(RIGHT(L1917,255),RIGHT('Disaggregation Records'!$D$156:$D$517,255),0))),"")</f>
        <v/>
      </c>
      <c r="O1917" s="314" t="str">
        <f t="array" aca="1" ref="O1917" ca="1">IFERROR(IF(INDEX('Disaggregation Records'!$H$156:$H$517,MATCH(RIGHT(L1917,255),RIGHT('Disaggregation Records'!$D$156:$D$517,255),0))="","",INDEX('Disaggregation Records'!$H$156:$H$517,MATCH(RIGHT(L1917,255),RIGHT('Disaggregation Records'!$D$156:$D$517,255),0))),"")</f>
        <v/>
      </c>
      <c r="P1917" s="310"/>
      <c r="Q1917" s="310">
        <f t="shared" ref="Q1917" si="2173">Q1915+1</f>
        <v>1661</v>
      </c>
      <c r="R1917" s="314" t="str" cm="1">
        <f t="array" aca="1" ref="R1917" ca="1">IFERROR(IF(INDEX('Disaggregation Records'!$G$156:$G$517,MATCH(RIGHT(L1917,255),RIGHT('Disaggregation Records'!$D$156:$D$517,255),0))="","",INDEX('Disaggregation Records'!$G$156:$G$517,MATCH(RIGHT(L1917,255),RIGHT('Disaggregation Records'!$D$156:$D$517,255),0))),"")</f>
        <v/>
      </c>
    </row>
    <row r="1918" spans="1:18" ht="20.100000000000001" customHeight="1">
      <c r="B1918" s="571"/>
      <c r="C1918" s="573"/>
      <c r="D1918" s="575"/>
      <c r="E1918" s="575"/>
      <c r="F1918" s="128"/>
      <c r="G1918" s="577"/>
      <c r="H1918" s="540"/>
      <c r="I1918" s="579"/>
      <c r="J1918" s="533"/>
      <c r="L1918" s="126"/>
      <c r="N1918" s="126"/>
      <c r="O1918" s="314"/>
      <c r="P1918" s="310"/>
      <c r="Q1918" s="310"/>
      <c r="R1918" s="314" t="str" cm="1">
        <f t="array" ref="R1918">IFERROR(IF(INDEX('Disaggregation Records'!$G$156:$G$517,MATCH(RIGHT(L1918,255),RIGHT('Disaggregation Records'!$D$156:$D$517,255),0))="","",INDEX('Disaggregation Records'!$G$156:$G$517,MATCH(RIGHT(L1918,255),RIGHT('Disaggregation Records'!$D$156:$D$517,255),0))),"")</f>
        <v/>
      </c>
    </row>
    <row r="1919" spans="1:18" ht="20.100000000000001" customHeight="1">
      <c r="A1919" s="126" t="str">
        <f t="shared" ref="A1919:A1979" ca="1" si="2174">INDIRECT("'update Helper'!C"&amp;Q1919)</f>
        <v>a16Dm000000M3qzIAC</v>
      </c>
      <c r="B1919" s="570">
        <v>33</v>
      </c>
      <c r="C1919" s="572" t="str">
        <f ca="1">IFERROR(VLOOKUP(B1919,'Coverage Indicators - Section D'!$A$9:$AO$94,41,FALSE),"")</f>
        <v>TCS-1c Percentage of children (under 15) on ART among all children living with HIV at the end of the reporting period</v>
      </c>
      <c r="D1919" s="574" t="str">
        <f ca="1">M1919</f>
        <v/>
      </c>
      <c r="E1919" s="574" t="str">
        <f ca="1">N1919</f>
        <v/>
      </c>
      <c r="F1919" s="127"/>
      <c r="G1919" s="576" t="str">
        <f ca="1">IF(OR(INDIRECT("'update Helper'!E"&amp;Q1919)="",F1919&lt;&gt;0,F1920&lt;&gt;0),IF(IFERROR((F1919/F1920),"")="","",(F1919/F1920)),INDIRECT("'update Helper'!E"&amp;Q1919)/100)</f>
        <v/>
      </c>
      <c r="H1919" s="539"/>
      <c r="I1919" s="578"/>
      <c r="J1919" s="532"/>
      <c r="K1919" s="126">
        <f ca="1">IF(AND(EXACT(C1919,C1917),C1917&lt;&gt;0),K1917+1,0)</f>
        <v>9</v>
      </c>
      <c r="L1919" s="126" t="str">
        <f t="shared" ref="L1919" ca="1" si="2175">IF(C1919&lt;&gt;"",C1919&amp;"-"&amp;K1919,"")</f>
        <v>TCS-1c Percentage of children (under 15) on ART among all children living with HIV at the end of the reporting period-9</v>
      </c>
      <c r="M1919" s="126" t="str">
        <f t="array" aca="1" ref="M1919" ca="1">IFERROR(IF(INDEX('Disaggregation Records'!$E$156:$E$517,MATCH(RIGHT(L1919,255),RIGHT('Disaggregation Records'!$D$156:$D$517,255),0))="","",INDEX('Disaggregation Records'!$E$156:$E$517,MATCH(RIGHT(L1919,255),RIGHT('Disaggregation Records'!$D$156:$D$517,255),0))),"")</f>
        <v/>
      </c>
      <c r="N1919" s="126" t="str">
        <f t="array" aca="1" ref="N1919" ca="1">IFERROR(IF(INDEX('Disaggregation Records'!$F$156:$F$517,MATCH(RIGHT(L1919,255),RIGHT('Disaggregation Records'!$D$156:$D$517,255),0))="","",INDEX('Disaggregation Records'!$F$156:$F$517,MATCH(RIGHT(L1919,255),RIGHT('Disaggregation Records'!$D$156:$D$517,255),0))),"")</f>
        <v/>
      </c>
      <c r="O1919" s="314" t="str">
        <f t="array" aca="1" ref="O1919" ca="1">IFERROR(IF(INDEX('Disaggregation Records'!$H$156:$H$517,MATCH(RIGHT(L1919,255),RIGHT('Disaggregation Records'!$D$156:$D$517,255),0))="","",INDEX('Disaggregation Records'!$H$156:$H$517,MATCH(RIGHT(L1919,255),RIGHT('Disaggregation Records'!$D$156:$D$517,255),0))),"")</f>
        <v/>
      </c>
      <c r="P1919" s="314"/>
      <c r="Q1919" s="310">
        <f t="shared" ref="Q1919" si="2176">Q1917+1</f>
        <v>1662</v>
      </c>
      <c r="R1919" s="314" t="str" cm="1">
        <f t="array" aca="1" ref="R1919" ca="1">IFERROR(IF(INDEX('Disaggregation Records'!$G$156:$G$517,MATCH(RIGHT(L1919,255),RIGHT('Disaggregation Records'!$D$156:$D$517,255),0))="","",INDEX('Disaggregation Records'!$G$156:$G$517,MATCH(RIGHT(L1919,255),RIGHT('Disaggregation Records'!$D$156:$D$517,255),0))),"")</f>
        <v/>
      </c>
    </row>
    <row r="1920" spans="1:18" ht="20.100000000000001" customHeight="1">
      <c r="A1920" s="126"/>
      <c r="B1920" s="571"/>
      <c r="C1920" s="573"/>
      <c r="D1920" s="575"/>
      <c r="E1920" s="575"/>
      <c r="F1920" s="128"/>
      <c r="G1920" s="577"/>
      <c r="H1920" s="540"/>
      <c r="I1920" s="579"/>
      <c r="J1920" s="533"/>
      <c r="K1920" s="126"/>
      <c r="L1920" s="126"/>
      <c r="M1920" s="126"/>
      <c r="N1920" s="126"/>
      <c r="O1920" s="314"/>
      <c r="P1920" s="314"/>
      <c r="Q1920" s="310"/>
      <c r="R1920" s="314" t="str" cm="1">
        <f t="array" ref="R1920">IFERROR(IF(INDEX('Disaggregation Records'!$G$156:$G$517,MATCH(RIGHT(L1920,255),RIGHT('Disaggregation Records'!$D$156:$D$517,255),0))="","",INDEX('Disaggregation Records'!$G$156:$G$517,MATCH(RIGHT(L1920,255),RIGHT('Disaggregation Records'!$D$156:$D$517,255),0))),"")</f>
        <v/>
      </c>
    </row>
    <row r="1921" spans="1:18" ht="20.100000000000001" customHeight="1">
      <c r="A1921" s="126" t="str">
        <f t="shared" ref="A1921:A1981" ca="1" si="2177">INDIRECT("'update Helper'!C"&amp;Q1921)</f>
        <v>a16Dm000000M3r0IAC</v>
      </c>
      <c r="B1921" s="570">
        <v>33</v>
      </c>
      <c r="C1921" s="572" t="str">
        <f ca="1">IFERROR(VLOOKUP(B1921,'Coverage Indicators - Section D'!$A$9:$AO$94,41,FALSE),"")</f>
        <v>TCS-1c Percentage of children (under 15) on ART among all children living with HIV at the end of the reporting period</v>
      </c>
      <c r="D1921" s="574" t="str">
        <f ca="1">M1921</f>
        <v/>
      </c>
      <c r="E1921" s="574" t="str">
        <f ca="1">N1921</f>
        <v/>
      </c>
      <c r="F1921" s="127"/>
      <c r="G1921" s="576" t="str">
        <f ca="1">IF(OR(INDIRECT("'update Helper'!E"&amp;Q1921)="",F1921&lt;&gt;0,F1922&lt;&gt;0),IF(IFERROR((F1921/F1922),"")="","",(F1921/F1922)),INDIRECT("'update Helper'!E"&amp;Q1921)/100)</f>
        <v/>
      </c>
      <c r="H1921" s="539"/>
      <c r="I1921" s="578"/>
      <c r="J1921" s="532"/>
      <c r="K1921" s="126">
        <f ca="1">IF(AND(EXACT(C1921,C1919),C1919&lt;&gt;0),K1919+1,0)</f>
        <v>10</v>
      </c>
      <c r="L1921" s="126" t="str">
        <f t="shared" ref="L1921" ca="1" si="2178">IF(C1921&lt;&gt;"",C1921&amp;"-"&amp;K1921,"")</f>
        <v>TCS-1c Percentage of children (under 15) on ART among all children living with HIV at the end of the reporting period-10</v>
      </c>
      <c r="M1921" s="126" t="str">
        <f t="array" aca="1" ref="M1921" ca="1">IFERROR(IF(INDEX('Disaggregation Records'!$E$156:$E$517,MATCH(RIGHT(L1921,255),RIGHT('Disaggregation Records'!$D$156:$D$517,255),0))="","",INDEX('Disaggregation Records'!$E$156:$E$517,MATCH(RIGHT(L1921,255),RIGHT('Disaggregation Records'!$D$156:$D$517,255),0))),"")</f>
        <v/>
      </c>
      <c r="N1921" s="126" t="str">
        <f t="array" aca="1" ref="N1921" ca="1">IFERROR(IF(INDEX('Disaggregation Records'!$F$156:$F$517,MATCH(RIGHT(L1921,255),RIGHT('Disaggregation Records'!$D$156:$D$517,255),0))="","",INDEX('Disaggregation Records'!$F$156:$F$517,MATCH(RIGHT(L1921,255),RIGHT('Disaggregation Records'!$D$156:$D$517,255),0))),"")</f>
        <v/>
      </c>
      <c r="O1921" s="314" t="str">
        <f t="array" aca="1" ref="O1921" ca="1">IFERROR(IF(INDEX('Disaggregation Records'!$H$156:$H$517,MATCH(RIGHT(L1921,255),RIGHT('Disaggregation Records'!$D$156:$D$517,255),0))="","",INDEX('Disaggregation Records'!$H$156:$H$517,MATCH(RIGHT(L1921,255),RIGHT('Disaggregation Records'!$D$156:$D$517,255),0))),"")</f>
        <v/>
      </c>
      <c r="P1921" s="314"/>
      <c r="Q1921" s="310">
        <f t="shared" ref="Q1921" si="2179">Q1919+1</f>
        <v>1663</v>
      </c>
      <c r="R1921" s="314" t="str" cm="1">
        <f t="array" aca="1" ref="R1921" ca="1">IFERROR(IF(INDEX('Disaggregation Records'!$G$156:$G$517,MATCH(RIGHT(L1921,255),RIGHT('Disaggregation Records'!$D$156:$D$517,255),0))="","",INDEX('Disaggregation Records'!$G$156:$G$517,MATCH(RIGHT(L1921,255),RIGHT('Disaggregation Records'!$D$156:$D$517,255),0))),"")</f>
        <v/>
      </c>
    </row>
    <row r="1922" spans="1:18" ht="20.100000000000001" customHeight="1">
      <c r="B1922" s="571"/>
      <c r="C1922" s="573"/>
      <c r="D1922" s="575"/>
      <c r="E1922" s="575"/>
      <c r="F1922" s="128"/>
      <c r="G1922" s="577"/>
      <c r="H1922" s="540"/>
      <c r="I1922" s="579"/>
      <c r="J1922" s="533"/>
      <c r="K1922" s="126"/>
      <c r="L1922" s="126"/>
      <c r="M1922" s="126"/>
      <c r="N1922" s="126"/>
      <c r="O1922" s="314"/>
      <c r="P1922" s="314"/>
      <c r="Q1922" s="310"/>
      <c r="R1922" s="314" t="str" cm="1">
        <f t="array" ref="R1922">IFERROR(IF(INDEX('Disaggregation Records'!$G$156:$G$517,MATCH(RIGHT(L1922,255),RIGHT('Disaggregation Records'!$D$156:$D$517,255),0))="","",INDEX('Disaggregation Records'!$G$156:$G$517,MATCH(RIGHT(L1922,255),RIGHT('Disaggregation Records'!$D$156:$D$517,255),0))),"")</f>
        <v/>
      </c>
    </row>
    <row r="1923" spans="1:18" ht="20.100000000000001" customHeight="1">
      <c r="A1923" s="126" t="str">
        <f t="shared" ref="A1923:A1983" ca="1" si="2180">INDIRECT("'update Helper'!C"&amp;Q1923)</f>
        <v>a16Dm000000M3r1IAC</v>
      </c>
      <c r="B1923" s="570">
        <v>33</v>
      </c>
      <c r="C1923" s="572" t="str">
        <f ca="1">IFERROR(VLOOKUP(B1923,'Coverage Indicators - Section D'!$A$9:$AO$94,41,FALSE),"")</f>
        <v>TCS-1c Percentage of children (under 15) on ART among all children living with HIV at the end of the reporting period</v>
      </c>
      <c r="D1923" s="574" t="str">
        <f ca="1">M1923</f>
        <v/>
      </c>
      <c r="E1923" s="574" t="str">
        <f ca="1">N1923</f>
        <v/>
      </c>
      <c r="F1923" s="127"/>
      <c r="G1923" s="576" t="str">
        <f ca="1">IF(OR(INDIRECT("'update Helper'!E"&amp;Q1923)="",F1923&lt;&gt;0,F1924&lt;&gt;0),IF(IFERROR((F1923/F1924),"")="","",(F1923/F1924)),INDIRECT("'update Helper'!E"&amp;Q1923)/100)</f>
        <v/>
      </c>
      <c r="H1923" s="539"/>
      <c r="I1923" s="578"/>
      <c r="J1923" s="532"/>
      <c r="K1923" s="126">
        <f ca="1">IF(AND(EXACT(C1923,C1921),C1921&lt;&gt;0),K1921+1,0)</f>
        <v>11</v>
      </c>
      <c r="L1923" s="126" t="str">
        <f t="shared" ref="L1923" ca="1" si="2181">IF(C1923&lt;&gt;"",C1923&amp;"-"&amp;K1923,"")</f>
        <v>TCS-1c Percentage of children (under 15) on ART among all children living with HIV at the end of the reporting period-11</v>
      </c>
      <c r="M1923" s="126" t="str">
        <f t="array" aca="1" ref="M1923" ca="1">IFERROR(IF(INDEX('Disaggregation Records'!$E$156:$E$517,MATCH(RIGHT(L1923,255),RIGHT('Disaggregation Records'!$D$156:$D$517,255),0))="","",INDEX('Disaggregation Records'!$E$156:$E$517,MATCH(RIGHT(L1923,255),RIGHT('Disaggregation Records'!$D$156:$D$517,255),0))),"")</f>
        <v/>
      </c>
      <c r="N1923" s="126" t="str">
        <f t="array" aca="1" ref="N1923" ca="1">IFERROR(IF(INDEX('Disaggregation Records'!$F$156:$F$517,MATCH(RIGHT(L1923,255),RIGHT('Disaggregation Records'!$D$156:$D$517,255),0))="","",INDEX('Disaggregation Records'!$F$156:$F$517,MATCH(RIGHT(L1923,255),RIGHT('Disaggregation Records'!$D$156:$D$517,255),0))),"")</f>
        <v/>
      </c>
      <c r="O1923" s="314" t="str">
        <f t="array" aca="1" ref="O1923" ca="1">IFERROR(IF(INDEX('Disaggregation Records'!$H$156:$H$517,MATCH(RIGHT(L1923,255),RIGHT('Disaggregation Records'!$D$156:$D$517,255),0))="","",INDEX('Disaggregation Records'!$H$156:$H$517,MATCH(RIGHT(L1923,255),RIGHT('Disaggregation Records'!$D$156:$D$517,255),0))),"")</f>
        <v/>
      </c>
      <c r="P1923" s="310"/>
      <c r="Q1923" s="310">
        <f t="shared" ref="Q1923" si="2182">Q1921+1</f>
        <v>1664</v>
      </c>
      <c r="R1923" s="314" t="str" cm="1">
        <f t="array" aca="1" ref="R1923" ca="1">IFERROR(IF(INDEX('Disaggregation Records'!$G$156:$G$517,MATCH(RIGHT(L1923,255),RIGHT('Disaggregation Records'!$D$156:$D$517,255),0))="","",INDEX('Disaggregation Records'!$G$156:$G$517,MATCH(RIGHT(L1923,255),RIGHT('Disaggregation Records'!$D$156:$D$517,255),0))),"")</f>
        <v/>
      </c>
    </row>
    <row r="1924" spans="1:18" ht="20.100000000000001" customHeight="1">
      <c r="A1924" s="126"/>
      <c r="B1924" s="571"/>
      <c r="C1924" s="573"/>
      <c r="D1924" s="575"/>
      <c r="E1924" s="575"/>
      <c r="F1924" s="128"/>
      <c r="G1924" s="577"/>
      <c r="H1924" s="540"/>
      <c r="I1924" s="579"/>
      <c r="J1924" s="533"/>
      <c r="L1924" s="126"/>
      <c r="N1924" s="126"/>
      <c r="O1924" s="314"/>
      <c r="P1924" s="310"/>
      <c r="Q1924" s="310"/>
      <c r="R1924" s="314" t="str" cm="1">
        <f t="array" ref="R1924">IFERROR(IF(INDEX('Disaggregation Records'!$G$156:$G$517,MATCH(RIGHT(L1924,255),RIGHT('Disaggregation Records'!$D$156:$D$517,255),0))="","",INDEX('Disaggregation Records'!$G$156:$G$517,MATCH(RIGHT(L1924,255),RIGHT('Disaggregation Records'!$D$156:$D$517,255),0))),"")</f>
        <v/>
      </c>
    </row>
    <row r="1925" spans="1:18" ht="20.100000000000001" customHeight="1">
      <c r="A1925" s="126" t="str">
        <f t="shared" ref="A1925:A1985" ca="1" si="2183">INDIRECT("'update Helper'!C"&amp;Q1925)</f>
        <v>a16Dm000000M3r2IAC</v>
      </c>
      <c r="B1925" s="570">
        <v>33</v>
      </c>
      <c r="C1925" s="572" t="str">
        <f ca="1">IFERROR(VLOOKUP(B1925,'Coverage Indicators - Section D'!$A$9:$AO$94,41,FALSE),"")</f>
        <v>TCS-1c Percentage of children (under 15) on ART among all children living with HIV at the end of the reporting period</v>
      </c>
      <c r="D1925" s="574" t="str">
        <f ca="1">M1925</f>
        <v/>
      </c>
      <c r="E1925" s="574" t="str">
        <f ca="1">N1925</f>
        <v/>
      </c>
      <c r="F1925" s="127"/>
      <c r="G1925" s="576" t="str">
        <f ca="1">IF(OR(INDIRECT("'update Helper'!E"&amp;Q1925)="",F1925&lt;&gt;0,F1926&lt;&gt;0),IF(IFERROR((F1925/F1926),"")="","",(F1925/F1926)),INDIRECT("'update Helper'!E"&amp;Q1925)/100)</f>
        <v/>
      </c>
      <c r="H1925" s="539"/>
      <c r="I1925" s="578"/>
      <c r="J1925" s="532"/>
      <c r="K1925" s="126">
        <f ca="1">IF(AND(EXACT(C1925,C1923),C1923&lt;&gt;0),K1923+1,0)</f>
        <v>12</v>
      </c>
      <c r="L1925" s="126" t="str">
        <f t="shared" ref="L1925" ca="1" si="2184">IF(C1925&lt;&gt;"",C1925&amp;"-"&amp;K1925,"")</f>
        <v>TCS-1c Percentage of children (under 15) on ART among all children living with HIV at the end of the reporting period-12</v>
      </c>
      <c r="M1925" s="126" t="str">
        <f t="array" aca="1" ref="M1925" ca="1">IFERROR(IF(INDEX('Disaggregation Records'!$E$156:$E$517,MATCH(RIGHT(L1925,255),RIGHT('Disaggregation Records'!$D$156:$D$517,255),0))="","",INDEX('Disaggregation Records'!$E$156:$E$517,MATCH(RIGHT(L1925,255),RIGHT('Disaggregation Records'!$D$156:$D$517,255),0))),"")</f>
        <v/>
      </c>
      <c r="N1925" s="126" t="str">
        <f t="array" aca="1" ref="N1925" ca="1">IFERROR(IF(INDEX('Disaggregation Records'!$F$156:$F$517,MATCH(RIGHT(L1925,255),RIGHT('Disaggregation Records'!$D$156:$D$517,255),0))="","",INDEX('Disaggregation Records'!$F$156:$F$517,MATCH(RIGHT(L1925,255),RIGHT('Disaggregation Records'!$D$156:$D$517,255),0))),"")</f>
        <v/>
      </c>
      <c r="O1925" s="314" t="str">
        <f t="array" aca="1" ref="O1925" ca="1">IFERROR(IF(INDEX('Disaggregation Records'!$H$156:$H$517,MATCH(RIGHT(L1925,255),RIGHT('Disaggregation Records'!$D$156:$D$517,255),0))="","",INDEX('Disaggregation Records'!$H$156:$H$517,MATCH(RIGHT(L1925,255),RIGHT('Disaggregation Records'!$D$156:$D$517,255),0))),"")</f>
        <v/>
      </c>
      <c r="P1925" s="310"/>
      <c r="Q1925" s="310">
        <f t="shared" ref="Q1925" si="2185">Q1923+1</f>
        <v>1665</v>
      </c>
      <c r="R1925" s="314" t="str" cm="1">
        <f t="array" aca="1" ref="R1925" ca="1">IFERROR(IF(INDEX('Disaggregation Records'!$G$156:$G$517,MATCH(RIGHT(L1925,255),RIGHT('Disaggregation Records'!$D$156:$D$517,255),0))="","",INDEX('Disaggregation Records'!$G$156:$G$517,MATCH(RIGHT(L1925,255),RIGHT('Disaggregation Records'!$D$156:$D$517,255),0))),"")</f>
        <v/>
      </c>
    </row>
    <row r="1926" spans="1:18" ht="20.100000000000001" customHeight="1">
      <c r="B1926" s="571"/>
      <c r="C1926" s="573"/>
      <c r="D1926" s="575"/>
      <c r="E1926" s="575"/>
      <c r="F1926" s="128"/>
      <c r="G1926" s="577"/>
      <c r="H1926" s="540"/>
      <c r="I1926" s="579"/>
      <c r="J1926" s="533"/>
      <c r="L1926" s="126"/>
      <c r="N1926" s="126"/>
      <c r="O1926" s="314"/>
      <c r="P1926" s="310"/>
      <c r="Q1926" s="310"/>
      <c r="R1926" s="314" t="str" cm="1">
        <f t="array" ref="R1926">IFERROR(IF(INDEX('Disaggregation Records'!$G$156:$G$517,MATCH(RIGHT(L1926,255),RIGHT('Disaggregation Records'!$D$156:$D$517,255),0))="","",INDEX('Disaggregation Records'!$G$156:$G$517,MATCH(RIGHT(L1926,255),RIGHT('Disaggregation Records'!$D$156:$D$517,255),0))),"")</f>
        <v/>
      </c>
    </row>
    <row r="1927" spans="1:18" ht="20.100000000000001" customHeight="1">
      <c r="A1927" s="126" t="str">
        <f t="shared" ref="A1927:A1987" ca="1" si="2186">INDIRECT("'update Helper'!C"&amp;Q1927)</f>
        <v>a16Dm000000M3r3IAC</v>
      </c>
      <c r="B1927" s="570">
        <v>33</v>
      </c>
      <c r="C1927" s="572" t="str">
        <f ca="1">IFERROR(VLOOKUP(B1927,'Coverage Indicators - Section D'!$A$9:$AO$94,41,FALSE),"")</f>
        <v>TCS-1c Percentage of children (under 15) on ART among all children living with HIV at the end of the reporting period</v>
      </c>
      <c r="D1927" s="574" t="str">
        <f ca="1">M1927</f>
        <v/>
      </c>
      <c r="E1927" s="574" t="str">
        <f ca="1">N1927</f>
        <v/>
      </c>
      <c r="F1927" s="127"/>
      <c r="G1927" s="576" t="str">
        <f ca="1">IF(OR(INDIRECT("'update Helper'!E"&amp;Q1927)="",F1927&lt;&gt;0,F1928&lt;&gt;0),IF(IFERROR((F1927/F1928),"")="","",(F1927/F1928)),INDIRECT("'update Helper'!E"&amp;Q1927)/100)</f>
        <v/>
      </c>
      <c r="H1927" s="539"/>
      <c r="I1927" s="578"/>
      <c r="J1927" s="532"/>
      <c r="K1927" s="126">
        <f ca="1">IF(AND(EXACT(C1927,C1925),C1925&lt;&gt;0),K1925+1,0)</f>
        <v>13</v>
      </c>
      <c r="L1927" s="126" t="str">
        <f t="shared" ref="L1927" ca="1" si="2187">IF(C1927&lt;&gt;"",C1927&amp;"-"&amp;K1927,"")</f>
        <v>TCS-1c Percentage of children (under 15) on ART among all children living with HIV at the end of the reporting period-13</v>
      </c>
      <c r="M1927" s="126" t="str">
        <f t="array" aca="1" ref="M1927" ca="1">IFERROR(IF(INDEX('Disaggregation Records'!$E$156:$E$517,MATCH(RIGHT(L1927,255),RIGHT('Disaggregation Records'!$D$156:$D$517,255),0))="","",INDEX('Disaggregation Records'!$E$156:$E$517,MATCH(RIGHT(L1927,255),RIGHT('Disaggregation Records'!$D$156:$D$517,255),0))),"")</f>
        <v/>
      </c>
      <c r="N1927" s="126" t="str">
        <f t="array" aca="1" ref="N1927" ca="1">IFERROR(IF(INDEX('Disaggregation Records'!$F$156:$F$517,MATCH(RIGHT(L1927,255),RIGHT('Disaggregation Records'!$D$156:$D$517,255),0))="","",INDEX('Disaggregation Records'!$F$156:$F$517,MATCH(RIGHT(L1927,255),RIGHT('Disaggregation Records'!$D$156:$D$517,255),0))),"")</f>
        <v/>
      </c>
      <c r="O1927" s="314" t="str">
        <f t="array" aca="1" ref="O1927" ca="1">IFERROR(IF(INDEX('Disaggregation Records'!$H$156:$H$517,MATCH(RIGHT(L1927,255),RIGHT('Disaggregation Records'!$D$156:$D$517,255),0))="","",INDEX('Disaggregation Records'!$H$156:$H$517,MATCH(RIGHT(L1927,255),RIGHT('Disaggregation Records'!$D$156:$D$517,255),0))),"")</f>
        <v/>
      </c>
      <c r="P1927" s="310"/>
      <c r="Q1927" s="310">
        <f t="shared" ref="Q1927" si="2188">Q1925+1</f>
        <v>1666</v>
      </c>
      <c r="R1927" s="314" t="str" cm="1">
        <f t="array" aca="1" ref="R1927" ca="1">IFERROR(IF(INDEX('Disaggregation Records'!$G$156:$G$517,MATCH(RIGHT(L1927,255),RIGHT('Disaggregation Records'!$D$156:$D$517,255),0))="","",INDEX('Disaggregation Records'!$G$156:$G$517,MATCH(RIGHT(L1927,255),RIGHT('Disaggregation Records'!$D$156:$D$517,255),0))),"")</f>
        <v/>
      </c>
    </row>
    <row r="1928" spans="1:18" ht="20.100000000000001" customHeight="1">
      <c r="A1928" s="126"/>
      <c r="B1928" s="571"/>
      <c r="C1928" s="573"/>
      <c r="D1928" s="575"/>
      <c r="E1928" s="575"/>
      <c r="F1928" s="128"/>
      <c r="G1928" s="577"/>
      <c r="H1928" s="540"/>
      <c r="I1928" s="579"/>
      <c r="J1928" s="533"/>
      <c r="L1928" s="126"/>
      <c r="N1928" s="126"/>
      <c r="O1928" s="314"/>
      <c r="P1928" s="310"/>
      <c r="Q1928" s="310"/>
      <c r="R1928" s="314" t="str" cm="1">
        <f t="array" ref="R1928">IFERROR(IF(INDEX('Disaggregation Records'!$G$156:$G$517,MATCH(RIGHT(L1928,255),RIGHT('Disaggregation Records'!$D$156:$D$517,255),0))="","",INDEX('Disaggregation Records'!$G$156:$G$517,MATCH(RIGHT(L1928,255),RIGHT('Disaggregation Records'!$D$156:$D$517,255),0))),"")</f>
        <v/>
      </c>
    </row>
    <row r="1929" spans="1:18" ht="20.100000000000001" customHeight="1">
      <c r="A1929" s="126" t="str">
        <f t="shared" ref="A1929:A1989" ca="1" si="2189">INDIRECT("'update Helper'!C"&amp;Q1929)</f>
        <v>a16Dm000000M3r4IAC</v>
      </c>
      <c r="B1929" s="570">
        <v>33</v>
      </c>
      <c r="C1929" s="572" t="str">
        <f ca="1">IFERROR(VLOOKUP(B1929,'Coverage Indicators - Section D'!$A$9:$AO$94,41,FALSE),"")</f>
        <v>TCS-1c Percentage of children (under 15) on ART among all children living with HIV at the end of the reporting period</v>
      </c>
      <c r="D1929" s="574" t="str">
        <f ca="1">M1929</f>
        <v/>
      </c>
      <c r="E1929" s="574" t="str">
        <f ca="1">N1929</f>
        <v/>
      </c>
      <c r="F1929" s="127"/>
      <c r="G1929" s="576" t="str">
        <f ca="1">IF(OR(INDIRECT("'update Helper'!E"&amp;Q1929)="",F1929&lt;&gt;0,F1930&lt;&gt;0),IF(IFERROR((F1929/F1930),"")="","",(F1929/F1930)),INDIRECT("'update Helper'!E"&amp;Q1929)/100)</f>
        <v/>
      </c>
      <c r="H1929" s="539"/>
      <c r="I1929" s="578"/>
      <c r="J1929" s="532"/>
      <c r="K1929" s="126">
        <f ca="1">IF(AND(EXACT(C1929,C1927),C1927&lt;&gt;0),K1927+1,0)</f>
        <v>14</v>
      </c>
      <c r="L1929" s="126" t="str">
        <f t="shared" ref="L1929" ca="1" si="2190">IF(C1929&lt;&gt;"",C1929&amp;"-"&amp;K1929,"")</f>
        <v>TCS-1c Percentage of children (under 15) on ART among all children living with HIV at the end of the reporting period-14</v>
      </c>
      <c r="M1929" s="126" t="str">
        <f t="array" aca="1" ref="M1929" ca="1">IFERROR(IF(INDEX('Disaggregation Records'!$E$156:$E$517,MATCH(RIGHT(L1929,255),RIGHT('Disaggregation Records'!$D$156:$D$517,255),0))="","",INDEX('Disaggregation Records'!$E$156:$E$517,MATCH(RIGHT(L1929,255),RIGHT('Disaggregation Records'!$D$156:$D$517,255),0))),"")</f>
        <v/>
      </c>
      <c r="N1929" s="126" t="str">
        <f t="array" aca="1" ref="N1929" ca="1">IFERROR(IF(INDEX('Disaggregation Records'!$F$156:$F$517,MATCH(RIGHT(L1929,255),RIGHT('Disaggregation Records'!$D$156:$D$517,255),0))="","",INDEX('Disaggregation Records'!$F$156:$F$517,MATCH(RIGHT(L1929,255),RIGHT('Disaggregation Records'!$D$156:$D$517,255),0))),"")</f>
        <v/>
      </c>
      <c r="O1929" s="314" t="str">
        <f t="array" aca="1" ref="O1929" ca="1">IFERROR(IF(INDEX('Disaggregation Records'!$H$156:$H$517,MATCH(RIGHT(L1929,255),RIGHT('Disaggregation Records'!$D$156:$D$517,255),0))="","",INDEX('Disaggregation Records'!$H$156:$H$517,MATCH(RIGHT(L1929,255),RIGHT('Disaggregation Records'!$D$156:$D$517,255),0))),"")</f>
        <v/>
      </c>
      <c r="P1929" s="314"/>
      <c r="Q1929" s="310">
        <f t="shared" ref="Q1929" si="2191">Q1927+1</f>
        <v>1667</v>
      </c>
      <c r="R1929" s="314" t="str" cm="1">
        <f t="array" aca="1" ref="R1929" ca="1">IFERROR(IF(INDEX('Disaggregation Records'!$G$156:$G$517,MATCH(RIGHT(L1929,255),RIGHT('Disaggregation Records'!$D$156:$D$517,255),0))="","",INDEX('Disaggregation Records'!$G$156:$G$517,MATCH(RIGHT(L1929,255),RIGHT('Disaggregation Records'!$D$156:$D$517,255),0))),"")</f>
        <v/>
      </c>
    </row>
    <row r="1930" spans="1:18" ht="20.100000000000001" customHeight="1">
      <c r="B1930" s="571"/>
      <c r="C1930" s="573"/>
      <c r="D1930" s="575"/>
      <c r="E1930" s="575"/>
      <c r="F1930" s="128"/>
      <c r="G1930" s="577"/>
      <c r="H1930" s="540"/>
      <c r="I1930" s="579"/>
      <c r="J1930" s="533"/>
      <c r="K1930" s="126"/>
      <c r="L1930" s="126"/>
      <c r="M1930" s="126"/>
      <c r="N1930" s="126"/>
      <c r="O1930" s="314"/>
      <c r="P1930" s="314"/>
      <c r="Q1930" s="310"/>
      <c r="R1930" s="314" t="str" cm="1">
        <f t="array" ref="R1930">IFERROR(IF(INDEX('Disaggregation Records'!$G$156:$G$517,MATCH(RIGHT(L1930,255),RIGHT('Disaggregation Records'!$D$156:$D$517,255),0))="","",INDEX('Disaggregation Records'!$G$156:$G$517,MATCH(RIGHT(L1930,255),RIGHT('Disaggregation Records'!$D$156:$D$517,255),0))),"")</f>
        <v/>
      </c>
    </row>
    <row r="1931" spans="1:18" ht="20.100000000000001" customHeight="1">
      <c r="A1931" s="126" t="str">
        <f t="shared" ref="A1931:A1991" ca="1" si="2192">INDIRECT("'update Helper'!C"&amp;Q1931)</f>
        <v>a16Dm000000M3r5IAC</v>
      </c>
      <c r="B1931" s="570">
        <v>33</v>
      </c>
      <c r="C1931" s="572" t="str">
        <f ca="1">IFERROR(VLOOKUP(B1931,'Coverage Indicators - Section D'!$A$9:$AO$94,41,FALSE),"")</f>
        <v>TCS-1c Percentage of children (under 15) on ART among all children living with HIV at the end of the reporting period</v>
      </c>
      <c r="D1931" s="574" t="str">
        <f ca="1">M1931</f>
        <v/>
      </c>
      <c r="E1931" s="574" t="str">
        <f ca="1">N1931</f>
        <v/>
      </c>
      <c r="F1931" s="127"/>
      <c r="G1931" s="576" t="str">
        <f ca="1">IF(OR(INDIRECT("'update Helper'!E"&amp;Q1931)="",F1931&lt;&gt;0,F1932&lt;&gt;0),IF(IFERROR((F1931/F1932),"")="","",(F1931/F1932)),INDIRECT("'update Helper'!E"&amp;Q1931)/100)</f>
        <v/>
      </c>
      <c r="H1931" s="539"/>
      <c r="I1931" s="578"/>
      <c r="J1931" s="532"/>
      <c r="K1931" s="126">
        <f ca="1">IF(AND(EXACT(C1931,C1929),C1929&lt;&gt;0),K1929+1,0)</f>
        <v>15</v>
      </c>
      <c r="L1931" s="126" t="str">
        <f t="shared" ref="L1931" ca="1" si="2193">IF(C1931&lt;&gt;"",C1931&amp;"-"&amp;K1931,"")</f>
        <v>TCS-1c Percentage of children (under 15) on ART among all children living with HIV at the end of the reporting period-15</v>
      </c>
      <c r="M1931" s="126" t="str">
        <f t="array" aca="1" ref="M1931" ca="1">IFERROR(IF(INDEX('Disaggregation Records'!$E$156:$E$517,MATCH(RIGHT(L1931,255),RIGHT('Disaggregation Records'!$D$156:$D$517,255),0))="","",INDEX('Disaggregation Records'!$E$156:$E$517,MATCH(RIGHT(L1931,255),RIGHT('Disaggregation Records'!$D$156:$D$517,255),0))),"")</f>
        <v/>
      </c>
      <c r="N1931" s="126" t="str">
        <f t="array" aca="1" ref="N1931" ca="1">IFERROR(IF(INDEX('Disaggregation Records'!$F$156:$F$517,MATCH(RIGHT(L1931,255),RIGHT('Disaggregation Records'!$D$156:$D$517,255),0))="","",INDEX('Disaggregation Records'!$F$156:$F$517,MATCH(RIGHT(L1931,255),RIGHT('Disaggregation Records'!$D$156:$D$517,255),0))),"")</f>
        <v/>
      </c>
      <c r="O1931" s="314" t="str">
        <f t="array" aca="1" ref="O1931" ca="1">IFERROR(IF(INDEX('Disaggregation Records'!$H$156:$H$517,MATCH(RIGHT(L1931,255),RIGHT('Disaggregation Records'!$D$156:$D$517,255),0))="","",INDEX('Disaggregation Records'!$H$156:$H$517,MATCH(RIGHT(L1931,255),RIGHT('Disaggregation Records'!$D$156:$D$517,255),0))),"")</f>
        <v/>
      </c>
      <c r="P1931" s="314"/>
      <c r="Q1931" s="310">
        <f t="shared" ref="Q1931" si="2194">Q1929+1</f>
        <v>1668</v>
      </c>
      <c r="R1931" s="314" t="str" cm="1">
        <f t="array" aca="1" ref="R1931" ca="1">IFERROR(IF(INDEX('Disaggregation Records'!$G$156:$G$517,MATCH(RIGHT(L1931,255),RIGHT('Disaggregation Records'!$D$156:$D$517,255),0))="","",INDEX('Disaggregation Records'!$G$156:$G$517,MATCH(RIGHT(L1931,255),RIGHT('Disaggregation Records'!$D$156:$D$517,255),0))),"")</f>
        <v/>
      </c>
    </row>
    <row r="1932" spans="1:18" ht="20.100000000000001" customHeight="1">
      <c r="A1932" s="126"/>
      <c r="B1932" s="571"/>
      <c r="C1932" s="573"/>
      <c r="D1932" s="575"/>
      <c r="E1932" s="575"/>
      <c r="F1932" s="128"/>
      <c r="G1932" s="577"/>
      <c r="H1932" s="540"/>
      <c r="I1932" s="579"/>
      <c r="J1932" s="533"/>
      <c r="K1932" s="126"/>
      <c r="L1932" s="126"/>
      <c r="M1932" s="126"/>
      <c r="N1932" s="126"/>
      <c r="O1932" s="314"/>
      <c r="P1932" s="314"/>
      <c r="Q1932" s="310"/>
      <c r="R1932" s="314" t="str" cm="1">
        <f t="array" ref="R1932">IFERROR(IF(INDEX('Disaggregation Records'!$G$156:$G$517,MATCH(RIGHT(L1932,255),RIGHT('Disaggregation Records'!$D$156:$D$517,255),0))="","",INDEX('Disaggregation Records'!$G$156:$G$517,MATCH(RIGHT(L1932,255),RIGHT('Disaggregation Records'!$D$156:$D$517,255),0))),"")</f>
        <v/>
      </c>
    </row>
    <row r="1933" spans="1:18" ht="20.100000000000001" customHeight="1">
      <c r="A1933" s="126" t="str">
        <f t="shared" ref="A1933:A1993" ca="1" si="2195">INDIRECT("'update Helper'!C"&amp;Q1933)</f>
        <v>a16Dm000000M3r6IAC</v>
      </c>
      <c r="B1933" s="570">
        <v>33</v>
      </c>
      <c r="C1933" s="572" t="str">
        <f ca="1">IFERROR(VLOOKUP(B1933,'Coverage Indicators - Section D'!$A$9:$AO$94,41,FALSE),"")</f>
        <v>TCS-1c Percentage of children (under 15) on ART among all children living with HIV at the end of the reporting period</v>
      </c>
      <c r="D1933" s="574" t="str">
        <f ca="1">M1933</f>
        <v/>
      </c>
      <c r="E1933" s="574" t="str">
        <f ca="1">N1933</f>
        <v/>
      </c>
      <c r="F1933" s="127"/>
      <c r="G1933" s="576" t="str">
        <f ca="1">IF(OR(INDIRECT("'update Helper'!E"&amp;Q1933)="",F1933&lt;&gt;0,F1934&lt;&gt;0),IF(IFERROR((F1933/F1934),"")="","",(F1933/F1934)),INDIRECT("'update Helper'!E"&amp;Q1933)/100)</f>
        <v/>
      </c>
      <c r="H1933" s="539"/>
      <c r="I1933" s="578"/>
      <c r="J1933" s="532"/>
      <c r="K1933" s="126">
        <f ca="1">IF(AND(EXACT(C1933,C1931),C1931&lt;&gt;0),K1931+1,0)</f>
        <v>16</v>
      </c>
      <c r="L1933" s="126" t="str">
        <f t="shared" ref="L1933" ca="1" si="2196">IF(C1933&lt;&gt;"",C1933&amp;"-"&amp;K1933,"")</f>
        <v>TCS-1c Percentage of children (under 15) on ART among all children living with HIV at the end of the reporting period-16</v>
      </c>
      <c r="M1933" s="126" t="str">
        <f t="array" aca="1" ref="M1933" ca="1">IFERROR(IF(INDEX('Disaggregation Records'!$E$156:$E$517,MATCH(RIGHT(L1933,255),RIGHT('Disaggregation Records'!$D$156:$D$517,255),0))="","",INDEX('Disaggregation Records'!$E$156:$E$517,MATCH(RIGHT(L1933,255),RIGHT('Disaggregation Records'!$D$156:$D$517,255),0))),"")</f>
        <v/>
      </c>
      <c r="N1933" s="126" t="str">
        <f t="array" aca="1" ref="N1933" ca="1">IFERROR(IF(INDEX('Disaggregation Records'!$F$156:$F$517,MATCH(RIGHT(L1933,255),RIGHT('Disaggregation Records'!$D$156:$D$517,255),0))="","",INDEX('Disaggregation Records'!$F$156:$F$517,MATCH(RIGHT(L1933,255),RIGHT('Disaggregation Records'!$D$156:$D$517,255),0))),"")</f>
        <v/>
      </c>
      <c r="O1933" s="314" t="str">
        <f t="array" aca="1" ref="O1933" ca="1">IFERROR(IF(INDEX('Disaggregation Records'!$H$156:$H$517,MATCH(RIGHT(L1933,255),RIGHT('Disaggregation Records'!$D$156:$D$517,255),0))="","",INDEX('Disaggregation Records'!$H$156:$H$517,MATCH(RIGHT(L1933,255),RIGHT('Disaggregation Records'!$D$156:$D$517,255),0))),"")</f>
        <v/>
      </c>
      <c r="P1933" s="310"/>
      <c r="Q1933" s="310">
        <f t="shared" ref="Q1933" si="2197">Q1931+1</f>
        <v>1669</v>
      </c>
      <c r="R1933" s="314" t="str" cm="1">
        <f t="array" aca="1" ref="R1933" ca="1">IFERROR(IF(INDEX('Disaggregation Records'!$G$156:$G$517,MATCH(RIGHT(L1933,255),RIGHT('Disaggregation Records'!$D$156:$D$517,255),0))="","",INDEX('Disaggregation Records'!$G$156:$G$517,MATCH(RIGHT(L1933,255),RIGHT('Disaggregation Records'!$D$156:$D$517,255),0))),"")</f>
        <v/>
      </c>
    </row>
    <row r="1934" spans="1:18" ht="20.100000000000001" customHeight="1">
      <c r="B1934" s="571"/>
      <c r="C1934" s="573"/>
      <c r="D1934" s="575"/>
      <c r="E1934" s="575"/>
      <c r="F1934" s="128"/>
      <c r="G1934" s="577"/>
      <c r="H1934" s="540"/>
      <c r="I1934" s="579"/>
      <c r="J1934" s="533"/>
      <c r="L1934" s="126"/>
      <c r="N1934" s="126"/>
      <c r="O1934" s="314"/>
      <c r="P1934" s="310"/>
      <c r="Q1934" s="310"/>
      <c r="R1934" s="314" t="str" cm="1">
        <f t="array" ref="R1934">IFERROR(IF(INDEX('Disaggregation Records'!$G$156:$G$517,MATCH(RIGHT(L1934,255),RIGHT('Disaggregation Records'!$D$156:$D$517,255),0))="","",INDEX('Disaggregation Records'!$G$156:$G$517,MATCH(RIGHT(L1934,255),RIGHT('Disaggregation Records'!$D$156:$D$517,255),0))),"")</f>
        <v/>
      </c>
    </row>
    <row r="1935" spans="1:18" ht="20.100000000000001" customHeight="1">
      <c r="A1935" s="126" t="str">
        <f t="shared" ref="A1935:A1995" ca="1" si="2198">INDIRECT("'update Helper'!C"&amp;Q1935)</f>
        <v>a16Dm000000M3r7IAC</v>
      </c>
      <c r="B1935" s="570">
        <v>33</v>
      </c>
      <c r="C1935" s="572" t="str">
        <f ca="1">IFERROR(VLOOKUP(B1935,'Coverage Indicators - Section D'!$A$9:$AO$94,41,FALSE),"")</f>
        <v>TCS-1c Percentage of children (under 15) on ART among all children living with HIV at the end of the reporting period</v>
      </c>
      <c r="D1935" s="574" t="str">
        <f ca="1">M1935</f>
        <v/>
      </c>
      <c r="E1935" s="574" t="str">
        <f ca="1">N1935</f>
        <v/>
      </c>
      <c r="F1935" s="127"/>
      <c r="G1935" s="576" t="str">
        <f ca="1">IF(OR(INDIRECT("'update Helper'!E"&amp;Q1935)="",F1935&lt;&gt;0,F1936&lt;&gt;0),IF(IFERROR((F1935/F1936),"")="","",(F1935/F1936)),INDIRECT("'update Helper'!E"&amp;Q1935)/100)</f>
        <v/>
      </c>
      <c r="H1935" s="539"/>
      <c r="I1935" s="578"/>
      <c r="J1935" s="532"/>
      <c r="K1935" s="126">
        <f ca="1">IF(AND(EXACT(C1935,C1933),C1933&lt;&gt;0),K1933+1,0)</f>
        <v>17</v>
      </c>
      <c r="L1935" s="126" t="str">
        <f t="shared" ref="L1935" ca="1" si="2199">IF(C1935&lt;&gt;"",C1935&amp;"-"&amp;K1935,"")</f>
        <v>TCS-1c Percentage of children (under 15) on ART among all children living with HIV at the end of the reporting period-17</v>
      </c>
      <c r="M1935" s="126" t="str">
        <f t="array" aca="1" ref="M1935" ca="1">IFERROR(IF(INDEX('Disaggregation Records'!$E$156:$E$517,MATCH(RIGHT(L1935,255),RIGHT('Disaggregation Records'!$D$156:$D$517,255),0))="","",INDEX('Disaggregation Records'!$E$156:$E$517,MATCH(RIGHT(L1935,255),RIGHT('Disaggregation Records'!$D$156:$D$517,255),0))),"")</f>
        <v/>
      </c>
      <c r="N1935" s="126" t="str">
        <f t="array" aca="1" ref="N1935" ca="1">IFERROR(IF(INDEX('Disaggregation Records'!$F$156:$F$517,MATCH(RIGHT(L1935,255),RIGHT('Disaggregation Records'!$D$156:$D$517,255),0))="","",INDEX('Disaggregation Records'!$F$156:$F$517,MATCH(RIGHT(L1935,255),RIGHT('Disaggregation Records'!$D$156:$D$517,255),0))),"")</f>
        <v/>
      </c>
      <c r="O1935" s="314" t="str">
        <f t="array" aca="1" ref="O1935" ca="1">IFERROR(IF(INDEX('Disaggregation Records'!$H$156:$H$517,MATCH(RIGHT(L1935,255),RIGHT('Disaggregation Records'!$D$156:$D$517,255),0))="","",INDEX('Disaggregation Records'!$H$156:$H$517,MATCH(RIGHT(L1935,255),RIGHT('Disaggregation Records'!$D$156:$D$517,255),0))),"")</f>
        <v/>
      </c>
      <c r="P1935" s="310"/>
      <c r="Q1935" s="310">
        <f t="shared" ref="Q1935" si="2200">Q1933+1</f>
        <v>1670</v>
      </c>
      <c r="R1935" s="314" t="str" cm="1">
        <f t="array" aca="1" ref="R1935" ca="1">IFERROR(IF(INDEX('Disaggregation Records'!$G$156:$G$517,MATCH(RIGHT(L1935,255),RIGHT('Disaggregation Records'!$D$156:$D$517,255),0))="","",INDEX('Disaggregation Records'!$G$156:$G$517,MATCH(RIGHT(L1935,255),RIGHT('Disaggregation Records'!$D$156:$D$517,255),0))),"")</f>
        <v/>
      </c>
    </row>
    <row r="1936" spans="1:18" ht="20.100000000000001" customHeight="1">
      <c r="A1936" s="126"/>
      <c r="B1936" s="571"/>
      <c r="C1936" s="573"/>
      <c r="D1936" s="575"/>
      <c r="E1936" s="575"/>
      <c r="F1936" s="128"/>
      <c r="G1936" s="577"/>
      <c r="H1936" s="540"/>
      <c r="I1936" s="579"/>
      <c r="J1936" s="533"/>
      <c r="L1936" s="126"/>
      <c r="N1936" s="126"/>
      <c r="O1936" s="314"/>
      <c r="P1936" s="310"/>
      <c r="Q1936" s="310"/>
      <c r="R1936" s="314" t="str" cm="1">
        <f t="array" ref="R1936">IFERROR(IF(INDEX('Disaggregation Records'!$G$156:$G$517,MATCH(RIGHT(L1936,255),RIGHT('Disaggregation Records'!$D$156:$D$517,255),0))="","",INDEX('Disaggregation Records'!$G$156:$G$517,MATCH(RIGHT(L1936,255),RIGHT('Disaggregation Records'!$D$156:$D$517,255),0))),"")</f>
        <v/>
      </c>
    </row>
    <row r="1937" spans="1:18" ht="20.100000000000001" customHeight="1">
      <c r="A1937" s="126" t="str">
        <f t="shared" ref="A1937:A1997" ca="1" si="2201">INDIRECT("'update Helper'!C"&amp;Q1937)</f>
        <v>a16Dm000000M3r8IAC</v>
      </c>
      <c r="B1937" s="570">
        <v>33</v>
      </c>
      <c r="C1937" s="572" t="str">
        <f ca="1">IFERROR(VLOOKUP(B1937,'Coverage Indicators - Section D'!$A$9:$AO$94,41,FALSE),"")</f>
        <v>TCS-1c Percentage of children (under 15) on ART among all children living with HIV at the end of the reporting period</v>
      </c>
      <c r="D1937" s="574" t="str">
        <f ca="1">M1937</f>
        <v/>
      </c>
      <c r="E1937" s="574" t="str">
        <f ca="1">N1937</f>
        <v/>
      </c>
      <c r="F1937" s="127"/>
      <c r="G1937" s="576" t="str">
        <f ca="1">IF(OR(INDIRECT("'update Helper'!E"&amp;Q1937)="",F1937&lt;&gt;0,F1938&lt;&gt;0),IF(IFERROR((F1937/F1938),"")="","",(F1937/F1938)),INDIRECT("'update Helper'!E"&amp;Q1937)/100)</f>
        <v/>
      </c>
      <c r="H1937" s="539"/>
      <c r="I1937" s="578"/>
      <c r="J1937" s="532"/>
      <c r="K1937" s="126">
        <f ca="1">IF(AND(EXACT(C1937,C1935),C1935&lt;&gt;0),K1935+1,0)</f>
        <v>18</v>
      </c>
      <c r="L1937" s="126" t="str">
        <f t="shared" ref="L1937" ca="1" si="2202">IF(C1937&lt;&gt;"",C1937&amp;"-"&amp;K1937,"")</f>
        <v>TCS-1c Percentage of children (under 15) on ART among all children living with HIV at the end of the reporting period-18</v>
      </c>
      <c r="M1937" s="126" t="str">
        <f t="array" aca="1" ref="M1937" ca="1">IFERROR(IF(INDEX('Disaggregation Records'!$E$156:$E$517,MATCH(RIGHT(L1937,255),RIGHT('Disaggregation Records'!$D$156:$D$517,255),0))="","",INDEX('Disaggregation Records'!$E$156:$E$517,MATCH(RIGHT(L1937,255),RIGHT('Disaggregation Records'!$D$156:$D$517,255),0))),"")</f>
        <v/>
      </c>
      <c r="N1937" s="126" t="str">
        <f t="array" aca="1" ref="N1937" ca="1">IFERROR(IF(INDEX('Disaggregation Records'!$F$156:$F$517,MATCH(RIGHT(L1937,255),RIGHT('Disaggregation Records'!$D$156:$D$517,255),0))="","",INDEX('Disaggregation Records'!$F$156:$F$517,MATCH(RIGHT(L1937,255),RIGHT('Disaggregation Records'!$D$156:$D$517,255),0))),"")</f>
        <v/>
      </c>
      <c r="O1937" s="314" t="str">
        <f t="array" aca="1" ref="O1937" ca="1">IFERROR(IF(INDEX('Disaggregation Records'!$H$156:$H$517,MATCH(RIGHT(L1937,255),RIGHT('Disaggregation Records'!$D$156:$D$517,255),0))="","",INDEX('Disaggregation Records'!$H$156:$H$517,MATCH(RIGHT(L1937,255),RIGHT('Disaggregation Records'!$D$156:$D$517,255),0))),"")</f>
        <v/>
      </c>
      <c r="P1937" s="310"/>
      <c r="Q1937" s="310">
        <f t="shared" ref="Q1937" si="2203">Q1935+1</f>
        <v>1671</v>
      </c>
      <c r="R1937" s="314" t="str" cm="1">
        <f t="array" aca="1" ref="R1937" ca="1">IFERROR(IF(INDEX('Disaggregation Records'!$G$156:$G$517,MATCH(RIGHT(L1937,255),RIGHT('Disaggregation Records'!$D$156:$D$517,255),0))="","",INDEX('Disaggregation Records'!$G$156:$G$517,MATCH(RIGHT(L1937,255),RIGHT('Disaggregation Records'!$D$156:$D$517,255),0))),"")</f>
        <v/>
      </c>
    </row>
    <row r="1938" spans="1:18" ht="20.100000000000001" customHeight="1">
      <c r="B1938" s="571"/>
      <c r="C1938" s="573"/>
      <c r="D1938" s="575"/>
      <c r="E1938" s="575"/>
      <c r="F1938" s="128"/>
      <c r="G1938" s="577"/>
      <c r="H1938" s="540"/>
      <c r="I1938" s="579"/>
      <c r="J1938" s="533"/>
      <c r="L1938" s="126"/>
      <c r="N1938" s="126"/>
      <c r="O1938" s="314"/>
      <c r="P1938" s="310"/>
      <c r="Q1938" s="310"/>
      <c r="R1938" s="314" t="str" cm="1">
        <f t="array" ref="R1938">IFERROR(IF(INDEX('Disaggregation Records'!$G$156:$G$517,MATCH(RIGHT(L1938,255),RIGHT('Disaggregation Records'!$D$156:$D$517,255),0))="","",INDEX('Disaggregation Records'!$G$156:$G$517,MATCH(RIGHT(L1938,255),RIGHT('Disaggregation Records'!$D$156:$D$517,255),0))),"")</f>
        <v/>
      </c>
    </row>
    <row r="1939" spans="1:18" ht="20.100000000000001" customHeight="1">
      <c r="A1939" s="126" t="str">
        <f t="shared" ref="A1939:A1999" ca="1" si="2204">INDIRECT("'update Helper'!C"&amp;Q1939)</f>
        <v>a16Dm000000M3r9IAC</v>
      </c>
      <c r="B1939" s="570">
        <v>33</v>
      </c>
      <c r="C1939" s="572" t="str">
        <f ca="1">IFERROR(VLOOKUP(B1939,'Coverage Indicators - Section D'!$A$9:$AO$94,41,FALSE),"")</f>
        <v>TCS-1c Percentage of children (under 15) on ART among all children living with HIV at the end of the reporting period</v>
      </c>
      <c r="D1939" s="574" t="str">
        <f ca="1">M1939</f>
        <v/>
      </c>
      <c r="E1939" s="574" t="str">
        <f ca="1">N1939</f>
        <v/>
      </c>
      <c r="F1939" s="127">
        <v>984</v>
      </c>
      <c r="G1939" s="576">
        <f ca="1">IF(OR(INDIRECT("'update Helper'!E"&amp;Q1939)="",F1939&lt;&gt;0,F1940&lt;&gt;0),IF(IFERROR((F1939/F1940),"")="","",(F1939/F1940)),INDIRECT("'update Helper'!E"&amp;Q1939)/100)</f>
        <v>0.79611650485436891</v>
      </c>
      <c r="H1939" s="539">
        <v>2021</v>
      </c>
      <c r="I1939" s="578" t="s">
        <v>2285</v>
      </c>
      <c r="J1939" s="532" t="s">
        <v>2286</v>
      </c>
      <c r="K1939" s="126">
        <f ca="1">IF(AND(EXACT(C1939,C1937),C1937&lt;&gt;0),K1937+1,0)</f>
        <v>19</v>
      </c>
      <c r="L1939" s="126" t="str">
        <f t="shared" ref="L1939" ca="1" si="2205">IF(C1939&lt;&gt;"",C1939&amp;"-"&amp;K1939,"")</f>
        <v>TCS-1c Percentage of children (under 15) on ART among all children living with HIV at the end of the reporting period-19</v>
      </c>
      <c r="M1939" s="126" t="str">
        <f t="array" aca="1" ref="M1939" ca="1">IFERROR(IF(INDEX('Disaggregation Records'!$E$156:$E$517,MATCH(RIGHT(L1939,255),RIGHT('Disaggregation Records'!$D$156:$D$517,255),0))="","",INDEX('Disaggregation Records'!$E$156:$E$517,MATCH(RIGHT(L1939,255),RIGHT('Disaggregation Records'!$D$156:$D$517,255),0))),"")</f>
        <v/>
      </c>
      <c r="N1939" s="126" t="str">
        <f t="array" aca="1" ref="N1939" ca="1">IFERROR(IF(INDEX('Disaggregation Records'!$F$156:$F$517,MATCH(RIGHT(L1939,255),RIGHT('Disaggregation Records'!$D$156:$D$517,255),0))="","",INDEX('Disaggregation Records'!$F$156:$F$517,MATCH(RIGHT(L1939,255),RIGHT('Disaggregation Records'!$D$156:$D$517,255),0))),"")</f>
        <v/>
      </c>
      <c r="O1939" s="314" t="str">
        <f t="array" aca="1" ref="O1939" ca="1">IFERROR(IF(INDEX('Disaggregation Records'!$H$156:$H$517,MATCH(RIGHT(L1939,255),RIGHT('Disaggregation Records'!$D$156:$D$517,255),0))="","",INDEX('Disaggregation Records'!$H$156:$H$517,MATCH(RIGHT(L1939,255),RIGHT('Disaggregation Records'!$D$156:$D$517,255),0))),"")</f>
        <v/>
      </c>
      <c r="P1939" s="314"/>
      <c r="Q1939" s="310">
        <f t="shared" ref="Q1939" si="2206">Q1937+1</f>
        <v>1672</v>
      </c>
      <c r="R1939" s="314" t="str" cm="1">
        <f t="array" aca="1" ref="R1939" ca="1">IFERROR(IF(INDEX('Disaggregation Records'!$G$156:$G$517,MATCH(RIGHT(L1939,255),RIGHT('Disaggregation Records'!$D$156:$D$517,255),0))="","",INDEX('Disaggregation Records'!$G$156:$G$517,MATCH(RIGHT(L1939,255),RIGHT('Disaggregation Records'!$D$156:$D$517,255),0))),"")</f>
        <v/>
      </c>
    </row>
    <row r="1940" spans="1:18" ht="20.100000000000001" customHeight="1">
      <c r="A1940" s="126"/>
      <c r="B1940" s="571"/>
      <c r="C1940" s="573"/>
      <c r="D1940" s="575"/>
      <c r="E1940" s="575"/>
      <c r="F1940" s="128">
        <v>1236</v>
      </c>
      <c r="G1940" s="577"/>
      <c r="H1940" s="540"/>
      <c r="I1940" s="579"/>
      <c r="J1940" s="533"/>
      <c r="K1940" s="126"/>
      <c r="L1940" s="126"/>
      <c r="M1940" s="126"/>
      <c r="N1940" s="126"/>
      <c r="O1940" s="314"/>
      <c r="P1940" s="314"/>
      <c r="Q1940" s="310"/>
      <c r="R1940" s="314" t="str" cm="1">
        <f t="array" ref="R1940">IFERROR(IF(INDEX('Disaggregation Records'!$G$156:$G$517,MATCH(RIGHT(L1940,255),RIGHT('Disaggregation Records'!$D$156:$D$517,255),0))="","",INDEX('Disaggregation Records'!$G$156:$G$517,MATCH(RIGHT(L1940,255),RIGHT('Disaggregation Records'!$D$156:$D$517,255),0))),"")</f>
        <v/>
      </c>
    </row>
    <row r="1941" spans="1:18" ht="20.100000000000001" customHeight="1">
      <c r="A1941" s="126" t="str">
        <f t="shared" ref="A1941:A2001" ca="1" si="2207">INDIRECT("'update Helper'!C"&amp;Q1941)</f>
        <v>a16Dm000000M3rAIAS</v>
      </c>
      <c r="B1941" s="570">
        <v>34</v>
      </c>
      <c r="C1941" s="572" t="str">
        <f ca="1">IFERROR(VLOOKUP(B1941,'Coverage Indicators - Section D'!$A$9:$AO$94,41,FALSE),"")</f>
        <v>TCS-10 Percentage of pregnant women living with HIV who received antiretroviral medicine to reduce the risk of vertical transmission of HIV</v>
      </c>
      <c r="D1941" s="574" t="str">
        <f ca="1">M1941</f>
        <v/>
      </c>
      <c r="E1941" s="574" t="str">
        <f ca="1">N1941</f>
        <v/>
      </c>
      <c r="F1941" s="127">
        <v>443</v>
      </c>
      <c r="G1941" s="576">
        <f ca="1">IF(OR(INDIRECT("'update Helper'!E"&amp;Q1941)="",F1941&lt;&gt;0,F1942&lt;&gt;0),IF(IFERROR((F1941/F1942),"")="","",(F1941/F1942)),INDIRECT("'update Helper'!E"&amp;Q1941)/100)</f>
        <v>0.35841423948220064</v>
      </c>
      <c r="H1941" s="539">
        <v>2021</v>
      </c>
      <c r="I1941" s="578" t="s">
        <v>2285</v>
      </c>
      <c r="J1941" s="532" t="s">
        <v>2287</v>
      </c>
      <c r="K1941" s="126">
        <f ca="1">IF(AND(EXACT(C1941,C1939),C1939&lt;&gt;0),K1939+1,0)</f>
        <v>0</v>
      </c>
      <c r="L1941" s="126" t="str">
        <f t="shared" ref="L1941" ca="1" si="2208">IF(C1941&lt;&gt;"",C1941&amp;"-"&amp;K1941,"")</f>
        <v>TCS-10 Percentage of pregnant women living with HIV who received antiretroviral medicine to reduce the risk of vertical transmission of HIV-0</v>
      </c>
      <c r="M1941" s="126" t="str">
        <f t="array" aca="1" ref="M1941" ca="1">IFERROR(IF(INDEX('Disaggregation Records'!$E$156:$E$517,MATCH(RIGHT(L1941,255),RIGHT('Disaggregation Records'!$D$156:$D$517,255),0))="","",INDEX('Disaggregation Records'!$E$156:$E$517,MATCH(RIGHT(L1941,255),RIGHT('Disaggregation Records'!$D$156:$D$517,255),0))),"")</f>
        <v/>
      </c>
      <c r="N1941" s="126" t="str">
        <f t="array" aca="1" ref="N1941" ca="1">IFERROR(IF(INDEX('Disaggregation Records'!$F$156:$F$517,MATCH(RIGHT(L1941,255),RIGHT('Disaggregation Records'!$D$156:$D$517,255),0))="","",INDEX('Disaggregation Records'!$F$156:$F$517,MATCH(RIGHT(L1941,255),RIGHT('Disaggregation Records'!$D$156:$D$517,255),0))),"")</f>
        <v/>
      </c>
      <c r="O1941" s="314" t="str">
        <f t="array" aca="1" ref="O1941" ca="1">IFERROR(IF(INDEX('Disaggregation Records'!$H$156:$H$517,MATCH(RIGHT(L1941,255),RIGHT('Disaggregation Records'!$D$156:$D$517,255),0))="","",INDEX('Disaggregation Records'!$H$156:$H$517,MATCH(RIGHT(L1941,255),RIGHT('Disaggregation Records'!$D$156:$D$517,255),0))),"")</f>
        <v/>
      </c>
      <c r="P1941" s="314"/>
      <c r="Q1941" s="310">
        <f t="shared" ref="Q1941" si="2209">Q1939+1</f>
        <v>1673</v>
      </c>
      <c r="R1941" s="314" t="str" cm="1">
        <f t="array" aca="1" ref="R1941" ca="1">IFERROR(IF(INDEX('Disaggregation Records'!$G$156:$G$517,MATCH(RIGHT(L1941,255),RIGHT('Disaggregation Records'!$D$156:$D$517,255),0))="","",INDEX('Disaggregation Records'!$G$156:$G$517,MATCH(RIGHT(L1941,255),RIGHT('Disaggregation Records'!$D$156:$D$517,255),0))),"")</f>
        <v/>
      </c>
    </row>
    <row r="1942" spans="1:18" ht="20.100000000000001" customHeight="1">
      <c r="B1942" s="571"/>
      <c r="C1942" s="573"/>
      <c r="D1942" s="575"/>
      <c r="E1942" s="575"/>
      <c r="F1942" s="128">
        <v>1236</v>
      </c>
      <c r="G1942" s="577"/>
      <c r="H1942" s="540"/>
      <c r="I1942" s="579"/>
      <c r="J1942" s="533"/>
      <c r="K1942" s="126"/>
      <c r="L1942" s="126"/>
      <c r="M1942" s="126"/>
      <c r="N1942" s="126"/>
      <c r="O1942" s="314"/>
      <c r="P1942" s="314"/>
      <c r="Q1942" s="310"/>
      <c r="R1942" s="314" t="str" cm="1">
        <f t="array" ref="R1942">IFERROR(IF(INDEX('Disaggregation Records'!$G$156:$G$517,MATCH(RIGHT(L1942,255),RIGHT('Disaggregation Records'!$D$156:$D$517,255),0))="","",INDEX('Disaggregation Records'!$G$156:$G$517,MATCH(RIGHT(L1942,255),RIGHT('Disaggregation Records'!$D$156:$D$517,255),0))),"")</f>
        <v/>
      </c>
    </row>
    <row r="1943" spans="1:18" ht="20.100000000000001" customHeight="1">
      <c r="A1943" s="126" t="str">
        <f t="shared" ref="A1943:A2003" ca="1" si="2210">INDIRECT("'update Helper'!C"&amp;Q1943)</f>
        <v>a16Dm000000M3rBIAS</v>
      </c>
      <c r="B1943" s="570">
        <v>34</v>
      </c>
      <c r="C1943" s="572" t="str">
        <f ca="1">IFERROR(VLOOKUP(B1943,'Coverage Indicators - Section D'!$A$9:$AO$94,41,FALSE),"")</f>
        <v>TCS-10 Percentage of pregnant women living with HIV who received antiretroviral medicine to reduce the risk of vertical transmission of HIV</v>
      </c>
      <c r="D1943" s="574" t="str">
        <f ca="1">M1943</f>
        <v/>
      </c>
      <c r="E1943" s="574" t="str">
        <f ca="1">N1943</f>
        <v/>
      </c>
      <c r="F1943" s="127">
        <v>36</v>
      </c>
      <c r="G1943" s="576">
        <f ca="1">IF(OR(INDIRECT("'update Helper'!E"&amp;Q1943)="",F1943&lt;&gt;0,F1944&lt;&gt;0),IF(IFERROR((F1943/F1944),"")="","",(F1943/F1944)),INDIRECT("'update Helper'!E"&amp;Q1943)/100)</f>
        <v>2.9126213592233011E-2</v>
      </c>
      <c r="H1943" s="539">
        <v>2021</v>
      </c>
      <c r="I1943" s="578" t="s">
        <v>2285</v>
      </c>
      <c r="J1943" s="532" t="s">
        <v>2288</v>
      </c>
      <c r="K1943" s="126">
        <f ca="1">IF(AND(EXACT(C1943,C1941),C1941&lt;&gt;0),K1941+1,0)</f>
        <v>1</v>
      </c>
      <c r="L1943" s="126" t="str">
        <f t="shared" ref="L1943" ca="1" si="2211">IF(C1943&lt;&gt;"",C1943&amp;"-"&amp;K1943,"")</f>
        <v>TCS-10 Percentage of pregnant women living with HIV who received antiretroviral medicine to reduce the risk of vertical transmission of HIV-1</v>
      </c>
      <c r="M1943" s="126" t="str">
        <f t="array" aca="1" ref="M1943" ca="1">IFERROR(IF(INDEX('Disaggregation Records'!$E$156:$E$517,MATCH(RIGHT(L1943,255),RIGHT('Disaggregation Records'!$D$156:$D$517,255),0))="","",INDEX('Disaggregation Records'!$E$156:$E$517,MATCH(RIGHT(L1943,255),RIGHT('Disaggregation Records'!$D$156:$D$517,255),0))),"")</f>
        <v/>
      </c>
      <c r="N1943" s="126" t="str">
        <f t="array" aca="1" ref="N1943" ca="1">IFERROR(IF(INDEX('Disaggregation Records'!$F$156:$F$517,MATCH(RIGHT(L1943,255),RIGHT('Disaggregation Records'!$D$156:$D$517,255),0))="","",INDEX('Disaggregation Records'!$F$156:$F$517,MATCH(RIGHT(L1943,255),RIGHT('Disaggregation Records'!$D$156:$D$517,255),0))),"")</f>
        <v/>
      </c>
      <c r="O1943" s="314" t="str">
        <f t="array" aca="1" ref="O1943" ca="1">IFERROR(IF(INDEX('Disaggregation Records'!$H$156:$H$517,MATCH(RIGHT(L1943,255),RIGHT('Disaggregation Records'!$D$156:$D$517,255),0))="","",INDEX('Disaggregation Records'!$H$156:$H$517,MATCH(RIGHT(L1943,255),RIGHT('Disaggregation Records'!$D$156:$D$517,255),0))),"")</f>
        <v/>
      </c>
      <c r="P1943" s="310"/>
      <c r="Q1943" s="310">
        <f t="shared" ref="Q1943" si="2212">Q1941+1</f>
        <v>1674</v>
      </c>
      <c r="R1943" s="314" t="str" cm="1">
        <f t="array" aca="1" ref="R1943" ca="1">IFERROR(IF(INDEX('Disaggregation Records'!$G$156:$G$517,MATCH(RIGHT(L1943,255),RIGHT('Disaggregation Records'!$D$156:$D$517,255),0))="","",INDEX('Disaggregation Records'!$G$156:$G$517,MATCH(RIGHT(L1943,255),RIGHT('Disaggregation Records'!$D$156:$D$517,255),0))),"")</f>
        <v/>
      </c>
    </row>
    <row r="1944" spans="1:18" ht="20.100000000000001" customHeight="1">
      <c r="A1944" s="126"/>
      <c r="B1944" s="571"/>
      <c r="C1944" s="573"/>
      <c r="D1944" s="575"/>
      <c r="E1944" s="575"/>
      <c r="F1944" s="128">
        <v>1236</v>
      </c>
      <c r="G1944" s="577"/>
      <c r="H1944" s="540"/>
      <c r="I1944" s="579"/>
      <c r="J1944" s="533"/>
      <c r="L1944" s="126"/>
      <c r="N1944" s="126"/>
      <c r="O1944" s="314"/>
      <c r="P1944" s="310"/>
      <c r="Q1944" s="310"/>
      <c r="R1944" s="314" t="str" cm="1">
        <f t="array" ref="R1944">IFERROR(IF(INDEX('Disaggregation Records'!$G$156:$G$517,MATCH(RIGHT(L1944,255),RIGHT('Disaggregation Records'!$D$156:$D$517,255),0))="","",INDEX('Disaggregation Records'!$G$156:$G$517,MATCH(RIGHT(L1944,255),RIGHT('Disaggregation Records'!$D$156:$D$517,255),0))),"")</f>
        <v/>
      </c>
    </row>
    <row r="1945" spans="1:18" ht="20.100000000000001" customHeight="1">
      <c r="A1945" s="126" t="str">
        <f t="shared" ref="A1945:A2005" ca="1" si="2213">INDIRECT("'update Helper'!C"&amp;Q1945)</f>
        <v>a16Dm000000M3rCIAS</v>
      </c>
      <c r="B1945" s="570">
        <v>34</v>
      </c>
      <c r="C1945" s="572" t="str">
        <f ca="1">IFERROR(VLOOKUP(B1945,'Coverage Indicators - Section D'!$A$9:$AO$94,41,FALSE),"")</f>
        <v>TCS-10 Percentage of pregnant women living with HIV who received antiretroviral medicine to reduce the risk of vertical transmission of HIV</v>
      </c>
      <c r="D1945" s="574" t="str">
        <f ca="1">M1945</f>
        <v/>
      </c>
      <c r="E1945" s="574" t="str">
        <f ca="1">N1945</f>
        <v/>
      </c>
      <c r="F1945" s="127">
        <v>756</v>
      </c>
      <c r="G1945" s="576">
        <f ca="1">IF(OR(INDIRECT("'update Helper'!E"&amp;Q1945)="",F1945&lt;&gt;0,F1946&lt;&gt;0),IF(IFERROR((F1945/F1946),"")="","",(F1945/F1946)),INDIRECT("'update Helper'!E"&amp;Q1945)/100)</f>
        <v>0.61165048543689315</v>
      </c>
      <c r="H1945" s="539">
        <v>2021</v>
      </c>
      <c r="I1945" s="578" t="s">
        <v>2285</v>
      </c>
      <c r="J1945" s="532" t="s">
        <v>2289</v>
      </c>
      <c r="K1945" s="126">
        <f ca="1">IF(AND(EXACT(C1945,C1943),C1943&lt;&gt;0),K1943+1,0)</f>
        <v>2</v>
      </c>
      <c r="L1945" s="126" t="str">
        <f t="shared" ref="L1945" ca="1" si="2214">IF(C1945&lt;&gt;"",C1945&amp;"-"&amp;K1945,"")</f>
        <v>TCS-10 Percentage of pregnant women living with HIV who received antiretroviral medicine to reduce the risk of vertical transmission of HIV-2</v>
      </c>
      <c r="M1945" s="126" t="str">
        <f t="array" aca="1" ref="M1945" ca="1">IFERROR(IF(INDEX('Disaggregation Records'!$E$156:$E$517,MATCH(RIGHT(L1945,255),RIGHT('Disaggregation Records'!$D$156:$D$517,255),0))="","",INDEX('Disaggregation Records'!$E$156:$E$517,MATCH(RIGHT(L1945,255),RIGHT('Disaggregation Records'!$D$156:$D$517,255),0))),"")</f>
        <v/>
      </c>
      <c r="N1945" s="126" t="str">
        <f t="array" aca="1" ref="N1945" ca="1">IFERROR(IF(INDEX('Disaggregation Records'!$F$156:$F$517,MATCH(RIGHT(L1945,255),RIGHT('Disaggregation Records'!$D$156:$D$517,255),0))="","",INDEX('Disaggregation Records'!$F$156:$F$517,MATCH(RIGHT(L1945,255),RIGHT('Disaggregation Records'!$D$156:$D$517,255),0))),"")</f>
        <v/>
      </c>
      <c r="O1945" s="314" t="str">
        <f t="array" aca="1" ref="O1945" ca="1">IFERROR(IF(INDEX('Disaggregation Records'!$H$156:$H$517,MATCH(RIGHT(L1945,255),RIGHT('Disaggregation Records'!$D$156:$D$517,255),0))="","",INDEX('Disaggregation Records'!$H$156:$H$517,MATCH(RIGHT(L1945,255),RIGHT('Disaggregation Records'!$D$156:$D$517,255),0))),"")</f>
        <v/>
      </c>
      <c r="P1945" s="310"/>
      <c r="Q1945" s="310">
        <f t="shared" ref="Q1945" si="2215">Q1943+1</f>
        <v>1675</v>
      </c>
      <c r="R1945" s="314" t="str" cm="1">
        <f t="array" aca="1" ref="R1945" ca="1">IFERROR(IF(INDEX('Disaggregation Records'!$G$156:$G$517,MATCH(RIGHT(L1945,255),RIGHT('Disaggregation Records'!$D$156:$D$517,255),0))="","",INDEX('Disaggregation Records'!$G$156:$G$517,MATCH(RIGHT(L1945,255),RIGHT('Disaggregation Records'!$D$156:$D$517,255),0))),"")</f>
        <v/>
      </c>
    </row>
    <row r="1946" spans="1:18" ht="20.100000000000001" customHeight="1">
      <c r="B1946" s="571"/>
      <c r="C1946" s="573"/>
      <c r="D1946" s="575"/>
      <c r="E1946" s="575"/>
      <c r="F1946" s="128">
        <v>1236</v>
      </c>
      <c r="G1946" s="577"/>
      <c r="H1946" s="540"/>
      <c r="I1946" s="579"/>
      <c r="J1946" s="533"/>
      <c r="L1946" s="126"/>
      <c r="N1946" s="126"/>
      <c r="O1946" s="314"/>
      <c r="P1946" s="310"/>
      <c r="Q1946" s="310"/>
      <c r="R1946" s="314" t="str" cm="1">
        <f t="array" ref="R1946">IFERROR(IF(INDEX('Disaggregation Records'!$G$156:$G$517,MATCH(RIGHT(L1946,255),RIGHT('Disaggregation Records'!$D$156:$D$517,255),0))="","",INDEX('Disaggregation Records'!$G$156:$G$517,MATCH(RIGHT(L1946,255),RIGHT('Disaggregation Records'!$D$156:$D$517,255),0))),"")</f>
        <v/>
      </c>
    </row>
    <row r="1947" spans="1:18" ht="20.100000000000001" customHeight="1">
      <c r="A1947" s="126" t="str">
        <f t="shared" ref="A1947:A2007" ca="1" si="2216">INDIRECT("'update Helper'!C"&amp;Q1947)</f>
        <v>a16Dm000000M3rDIAS</v>
      </c>
      <c r="B1947" s="570">
        <v>34</v>
      </c>
      <c r="C1947" s="572" t="str">
        <f ca="1">IFERROR(VLOOKUP(B1947,'Coverage Indicators - Section D'!$A$9:$AO$94,41,FALSE),"")</f>
        <v>TCS-10 Percentage of pregnant women living with HIV who received antiretroviral medicine to reduce the risk of vertical transmission of HIV</v>
      </c>
      <c r="D1947" s="574" t="str">
        <f ca="1">M1947</f>
        <v/>
      </c>
      <c r="E1947" s="574" t="str">
        <f ca="1">N1947</f>
        <v/>
      </c>
      <c r="F1947" s="127">
        <v>740</v>
      </c>
      <c r="G1947" s="576">
        <f ca="1">IF(OR(INDIRECT("'update Helper'!E"&amp;Q1947)="",F1947&lt;&gt;0,F1948&lt;&gt;0),IF(IFERROR((F1947/F1948),"")="","",(F1947/F1948)),INDIRECT("'update Helper'!E"&amp;Q1947)/100)</f>
        <v>0.59870550161812297</v>
      </c>
      <c r="H1947" s="539">
        <v>2021</v>
      </c>
      <c r="I1947" s="578" t="s">
        <v>2285</v>
      </c>
      <c r="J1947" s="532" t="s">
        <v>2290</v>
      </c>
      <c r="K1947" s="126">
        <f ca="1">IF(AND(EXACT(C1947,C1945),C1945&lt;&gt;0),K1945+1,0)</f>
        <v>3</v>
      </c>
      <c r="L1947" s="126" t="str">
        <f t="shared" ref="L1947" ca="1" si="2217">IF(C1947&lt;&gt;"",C1947&amp;"-"&amp;K1947,"")</f>
        <v>TCS-10 Percentage of pregnant women living with HIV who received antiretroviral medicine to reduce the risk of vertical transmission of HIV-3</v>
      </c>
      <c r="M1947" s="126" t="str">
        <f t="array" aca="1" ref="M1947" ca="1">IFERROR(IF(INDEX('Disaggregation Records'!$E$156:$E$517,MATCH(RIGHT(L1947,255),RIGHT('Disaggregation Records'!$D$156:$D$517,255),0))="","",INDEX('Disaggregation Records'!$E$156:$E$517,MATCH(RIGHT(L1947,255),RIGHT('Disaggregation Records'!$D$156:$D$517,255),0))),"")</f>
        <v/>
      </c>
      <c r="N1947" s="126" t="str">
        <f t="array" aca="1" ref="N1947" ca="1">IFERROR(IF(INDEX('Disaggregation Records'!$F$156:$F$517,MATCH(RIGHT(L1947,255),RIGHT('Disaggregation Records'!$D$156:$D$517,255),0))="","",INDEX('Disaggregation Records'!$F$156:$F$517,MATCH(RIGHT(L1947,255),RIGHT('Disaggregation Records'!$D$156:$D$517,255),0))),"")</f>
        <v/>
      </c>
      <c r="O1947" s="314" t="str">
        <f t="array" aca="1" ref="O1947" ca="1">IFERROR(IF(INDEX('Disaggregation Records'!$H$156:$H$517,MATCH(RIGHT(L1947,255),RIGHT('Disaggregation Records'!$D$156:$D$517,255),0))="","",INDEX('Disaggregation Records'!$H$156:$H$517,MATCH(RIGHT(L1947,255),RIGHT('Disaggregation Records'!$D$156:$D$517,255),0))),"")</f>
        <v/>
      </c>
      <c r="P1947" s="310"/>
      <c r="Q1947" s="310">
        <f t="shared" ref="Q1947" si="2218">Q1945+1</f>
        <v>1676</v>
      </c>
      <c r="R1947" s="314" t="str" cm="1">
        <f t="array" aca="1" ref="R1947" ca="1">IFERROR(IF(INDEX('Disaggregation Records'!$G$156:$G$517,MATCH(RIGHT(L1947,255),RIGHT('Disaggregation Records'!$D$156:$D$517,255),0))="","",INDEX('Disaggregation Records'!$G$156:$G$517,MATCH(RIGHT(L1947,255),RIGHT('Disaggregation Records'!$D$156:$D$517,255),0))),"")</f>
        <v/>
      </c>
    </row>
    <row r="1948" spans="1:18" ht="20.100000000000001" customHeight="1">
      <c r="A1948" s="126"/>
      <c r="B1948" s="571"/>
      <c r="C1948" s="573"/>
      <c r="D1948" s="575"/>
      <c r="E1948" s="575"/>
      <c r="F1948" s="128">
        <v>1236</v>
      </c>
      <c r="G1948" s="577"/>
      <c r="H1948" s="540"/>
      <c r="I1948" s="579"/>
      <c r="J1948" s="533"/>
      <c r="L1948" s="126"/>
      <c r="N1948" s="126"/>
      <c r="O1948" s="314"/>
      <c r="P1948" s="310"/>
      <c r="Q1948" s="310"/>
      <c r="R1948" s="314" t="str" cm="1">
        <f t="array" ref="R1948">IFERROR(IF(INDEX('Disaggregation Records'!$G$156:$G$517,MATCH(RIGHT(L1948,255),RIGHT('Disaggregation Records'!$D$156:$D$517,255),0))="","",INDEX('Disaggregation Records'!$G$156:$G$517,MATCH(RIGHT(L1948,255),RIGHT('Disaggregation Records'!$D$156:$D$517,255),0))),"")</f>
        <v/>
      </c>
    </row>
    <row r="1949" spans="1:18" ht="20.100000000000001" customHeight="1">
      <c r="A1949" s="126" t="str">
        <f t="shared" ref="A1949:A2009" ca="1" si="2219">INDIRECT("'update Helper'!C"&amp;Q1949)</f>
        <v>a16Dm000000M3rEIAS</v>
      </c>
      <c r="B1949" s="570">
        <v>34</v>
      </c>
      <c r="C1949" s="572" t="str">
        <f ca="1">IFERROR(VLOOKUP(B1949,'Coverage Indicators - Section D'!$A$9:$AO$94,41,FALSE),"")</f>
        <v>TCS-10 Percentage of pregnant women living with HIV who received antiretroviral medicine to reduce the risk of vertical transmission of HIV</v>
      </c>
      <c r="D1949" s="574" t="str">
        <f ca="1">M1949</f>
        <v/>
      </c>
      <c r="E1949" s="574" t="str">
        <f ca="1">N1949</f>
        <v/>
      </c>
      <c r="F1949" s="127">
        <v>480</v>
      </c>
      <c r="G1949" s="576">
        <f ca="1">IF(OR(INDIRECT("'update Helper'!E"&amp;Q1949)="",F1949&lt;&gt;0,F1950&lt;&gt;0),IF(IFERROR((F1949/F1950),"")="","",(F1949/F1950)),INDIRECT("'update Helper'!E"&amp;Q1949)/100)</f>
        <v>0.38834951456310679</v>
      </c>
      <c r="H1949" s="539">
        <v>2021</v>
      </c>
      <c r="I1949" s="578" t="s">
        <v>2285</v>
      </c>
      <c r="J1949" s="532" t="s">
        <v>2291</v>
      </c>
      <c r="K1949" s="126">
        <f ca="1">IF(AND(EXACT(C1949,C1947),C1947&lt;&gt;0),K1947+1,0)</f>
        <v>4</v>
      </c>
      <c r="L1949" s="126" t="str">
        <f t="shared" ref="L1949" ca="1" si="2220">IF(C1949&lt;&gt;"",C1949&amp;"-"&amp;K1949,"")</f>
        <v>TCS-10 Percentage of pregnant women living with HIV who received antiretroviral medicine to reduce the risk of vertical transmission of HIV-4</v>
      </c>
      <c r="M1949" s="126" t="str">
        <f t="array" aca="1" ref="M1949" ca="1">IFERROR(IF(INDEX('Disaggregation Records'!$E$156:$E$517,MATCH(RIGHT(L1949,255),RIGHT('Disaggregation Records'!$D$156:$D$517,255),0))="","",INDEX('Disaggregation Records'!$E$156:$E$517,MATCH(RIGHT(L1949,255),RIGHT('Disaggregation Records'!$D$156:$D$517,255),0))),"")</f>
        <v/>
      </c>
      <c r="N1949" s="126" t="str">
        <f t="array" aca="1" ref="N1949" ca="1">IFERROR(IF(INDEX('Disaggregation Records'!$F$156:$F$517,MATCH(RIGHT(L1949,255),RIGHT('Disaggregation Records'!$D$156:$D$517,255),0))="","",INDEX('Disaggregation Records'!$F$156:$F$517,MATCH(RIGHT(L1949,255),RIGHT('Disaggregation Records'!$D$156:$D$517,255),0))),"")</f>
        <v/>
      </c>
      <c r="O1949" s="314" t="str">
        <f t="array" aca="1" ref="O1949" ca="1">IFERROR(IF(INDEX('Disaggregation Records'!$H$156:$H$517,MATCH(RIGHT(L1949,255),RIGHT('Disaggregation Records'!$D$156:$D$517,255),0))="","",INDEX('Disaggregation Records'!$H$156:$H$517,MATCH(RIGHT(L1949,255),RIGHT('Disaggregation Records'!$D$156:$D$517,255),0))),"")</f>
        <v/>
      </c>
      <c r="P1949" s="314"/>
      <c r="Q1949" s="310">
        <f t="shared" ref="Q1949" si="2221">Q1947+1</f>
        <v>1677</v>
      </c>
      <c r="R1949" s="314" t="str" cm="1">
        <f t="array" aca="1" ref="R1949" ca="1">IFERROR(IF(INDEX('Disaggregation Records'!$G$156:$G$517,MATCH(RIGHT(L1949,255),RIGHT('Disaggregation Records'!$D$156:$D$517,255),0))="","",INDEX('Disaggregation Records'!$G$156:$G$517,MATCH(RIGHT(L1949,255),RIGHT('Disaggregation Records'!$D$156:$D$517,255),0))),"")</f>
        <v/>
      </c>
    </row>
    <row r="1950" spans="1:18" ht="20.100000000000001" customHeight="1">
      <c r="B1950" s="571"/>
      <c r="C1950" s="573"/>
      <c r="D1950" s="575"/>
      <c r="E1950" s="575"/>
      <c r="F1950" s="128">
        <v>1236</v>
      </c>
      <c r="G1950" s="577"/>
      <c r="H1950" s="540"/>
      <c r="I1950" s="579"/>
      <c r="J1950" s="533"/>
      <c r="K1950" s="126"/>
      <c r="L1950" s="126"/>
      <c r="M1950" s="126"/>
      <c r="N1950" s="126"/>
      <c r="O1950" s="314"/>
      <c r="P1950" s="314"/>
      <c r="Q1950" s="310"/>
      <c r="R1950" s="314" t="str" cm="1">
        <f t="array" ref="R1950">IFERROR(IF(INDEX('Disaggregation Records'!$G$156:$G$517,MATCH(RIGHT(L1950,255),RIGHT('Disaggregation Records'!$D$156:$D$517,255),0))="","",INDEX('Disaggregation Records'!$G$156:$G$517,MATCH(RIGHT(L1950,255),RIGHT('Disaggregation Records'!$D$156:$D$517,255),0))),"")</f>
        <v/>
      </c>
    </row>
    <row r="1951" spans="1:18" ht="20.100000000000001" customHeight="1">
      <c r="A1951" s="126" t="str">
        <f t="shared" ref="A1951:A2011" ca="1" si="2222">INDIRECT("'update Helper'!C"&amp;Q1951)</f>
        <v>a16Dm000000M3rFIAS</v>
      </c>
      <c r="B1951" s="570">
        <v>34</v>
      </c>
      <c r="C1951" s="572" t="str">
        <f ca="1">IFERROR(VLOOKUP(B1951,'Coverage Indicators - Section D'!$A$9:$AO$94,41,FALSE),"")</f>
        <v>TCS-10 Percentage of pregnant women living with HIV who received antiretroviral medicine to reduce the risk of vertical transmission of HIV</v>
      </c>
      <c r="D1951" s="574" t="str">
        <f ca="1">M1951</f>
        <v/>
      </c>
      <c r="E1951" s="574" t="str">
        <f ca="1">N1951</f>
        <v/>
      </c>
      <c r="F1951" s="127">
        <v>53</v>
      </c>
      <c r="G1951" s="576">
        <f ca="1">IF(OR(INDIRECT("'update Helper'!E"&amp;Q1951)="",F1951&lt;&gt;0,F1952&lt;&gt;0),IF(IFERROR((F1951/F1952),"")="","",(F1951/F1952)),INDIRECT("'update Helper'!E"&amp;Q1951)/100)</f>
        <v>4.2880258899676373E-2</v>
      </c>
      <c r="H1951" s="539">
        <v>2021</v>
      </c>
      <c r="I1951" s="578" t="s">
        <v>2285</v>
      </c>
      <c r="J1951" s="532" t="s">
        <v>2292</v>
      </c>
      <c r="K1951" s="126">
        <f ca="1">IF(AND(EXACT(C1951,C1949),C1949&lt;&gt;0),K1949+1,0)</f>
        <v>5</v>
      </c>
      <c r="L1951" s="126" t="str">
        <f t="shared" ref="L1951" ca="1" si="2223">IF(C1951&lt;&gt;"",C1951&amp;"-"&amp;K1951,"")</f>
        <v>TCS-10 Percentage of pregnant women living with HIV who received antiretroviral medicine to reduce the risk of vertical transmission of HIV-5</v>
      </c>
      <c r="M1951" s="126" t="str">
        <f t="array" aca="1" ref="M1951" ca="1">IFERROR(IF(INDEX('Disaggregation Records'!$E$156:$E$517,MATCH(RIGHT(L1951,255),RIGHT('Disaggregation Records'!$D$156:$D$517,255),0))="","",INDEX('Disaggregation Records'!$E$156:$E$517,MATCH(RIGHT(L1951,255),RIGHT('Disaggregation Records'!$D$156:$D$517,255),0))),"")</f>
        <v/>
      </c>
      <c r="N1951" s="126" t="str">
        <f t="array" aca="1" ref="N1951" ca="1">IFERROR(IF(INDEX('Disaggregation Records'!$F$156:$F$517,MATCH(RIGHT(L1951,255),RIGHT('Disaggregation Records'!$D$156:$D$517,255),0))="","",INDEX('Disaggregation Records'!$F$156:$F$517,MATCH(RIGHT(L1951,255),RIGHT('Disaggregation Records'!$D$156:$D$517,255),0))),"")</f>
        <v/>
      </c>
      <c r="O1951" s="314" t="str">
        <f t="array" aca="1" ref="O1951" ca="1">IFERROR(IF(INDEX('Disaggregation Records'!$H$156:$H$517,MATCH(RIGHT(L1951,255),RIGHT('Disaggregation Records'!$D$156:$D$517,255),0))="","",INDEX('Disaggregation Records'!$H$156:$H$517,MATCH(RIGHT(L1951,255),RIGHT('Disaggregation Records'!$D$156:$D$517,255),0))),"")</f>
        <v/>
      </c>
      <c r="P1951" s="314"/>
      <c r="Q1951" s="310">
        <f t="shared" ref="Q1951" si="2224">Q1949+1</f>
        <v>1678</v>
      </c>
      <c r="R1951" s="314" t="str" cm="1">
        <f t="array" aca="1" ref="R1951" ca="1">IFERROR(IF(INDEX('Disaggregation Records'!$G$156:$G$517,MATCH(RIGHT(L1951,255),RIGHT('Disaggregation Records'!$D$156:$D$517,255),0))="","",INDEX('Disaggregation Records'!$G$156:$G$517,MATCH(RIGHT(L1951,255),RIGHT('Disaggregation Records'!$D$156:$D$517,255),0))),"")</f>
        <v/>
      </c>
    </row>
    <row r="1952" spans="1:18" ht="20.100000000000001" customHeight="1">
      <c r="A1952" s="126"/>
      <c r="B1952" s="571"/>
      <c r="C1952" s="573"/>
      <c r="D1952" s="575"/>
      <c r="E1952" s="575"/>
      <c r="F1952" s="128">
        <v>1236</v>
      </c>
      <c r="G1952" s="577"/>
      <c r="H1952" s="540"/>
      <c r="I1952" s="579"/>
      <c r="J1952" s="533"/>
      <c r="K1952" s="126"/>
      <c r="L1952" s="126"/>
      <c r="M1952" s="126"/>
      <c r="N1952" s="126"/>
      <c r="O1952" s="314"/>
      <c r="P1952" s="314"/>
      <c r="Q1952" s="310"/>
      <c r="R1952" s="314" t="str" cm="1">
        <f t="array" ref="R1952">IFERROR(IF(INDEX('Disaggregation Records'!$G$156:$G$517,MATCH(RIGHT(L1952,255),RIGHT('Disaggregation Records'!$D$156:$D$517,255),0))="","",INDEX('Disaggregation Records'!$G$156:$G$517,MATCH(RIGHT(L1952,255),RIGHT('Disaggregation Records'!$D$156:$D$517,255),0))),"")</f>
        <v/>
      </c>
    </row>
    <row r="1953" spans="1:18" ht="20.100000000000001" customHeight="1">
      <c r="A1953" s="126" t="str">
        <f t="shared" ref="A1953:A2013" ca="1" si="2225">INDIRECT("'update Helper'!C"&amp;Q1953)</f>
        <v>a16Dm000000M3rGIAS</v>
      </c>
      <c r="B1953" s="570">
        <v>34</v>
      </c>
      <c r="C1953" s="572" t="str">
        <f ca="1">IFERROR(VLOOKUP(B1953,'Coverage Indicators - Section D'!$A$9:$AO$94,41,FALSE),"")</f>
        <v>TCS-10 Percentage of pregnant women living with HIV who received antiretroviral medicine to reduce the risk of vertical transmission of HIV</v>
      </c>
      <c r="D1953" s="574" t="str">
        <f ca="1">M1953</f>
        <v/>
      </c>
      <c r="E1953" s="574" t="str">
        <f ca="1">N1953</f>
        <v/>
      </c>
      <c r="F1953" s="127"/>
      <c r="G1953" s="576" t="str">
        <f ca="1">IF(OR(INDIRECT("'update Helper'!E"&amp;Q1953)="",F1953&lt;&gt;0,F1954&lt;&gt;0),IF(IFERROR((F1953/F1954),"")="","",(F1953/F1954)),INDIRECT("'update Helper'!E"&amp;Q1953)/100)</f>
        <v/>
      </c>
      <c r="H1953" s="539"/>
      <c r="I1953" s="578"/>
      <c r="J1953" s="532"/>
      <c r="K1953" s="126">
        <f ca="1">IF(AND(EXACT(C1953,C1951),C1951&lt;&gt;0),K1951+1,0)</f>
        <v>6</v>
      </c>
      <c r="L1953" s="126" t="str">
        <f t="shared" ref="L1953" ca="1" si="2226">IF(C1953&lt;&gt;"",C1953&amp;"-"&amp;K1953,"")</f>
        <v>TCS-10 Percentage of pregnant women living with HIV who received antiretroviral medicine to reduce the risk of vertical transmission of HIV-6</v>
      </c>
      <c r="M1953" s="126" t="str">
        <f t="array" aca="1" ref="M1953" ca="1">IFERROR(IF(INDEX('Disaggregation Records'!$E$156:$E$517,MATCH(RIGHT(L1953,255),RIGHT('Disaggregation Records'!$D$156:$D$517,255),0))="","",INDEX('Disaggregation Records'!$E$156:$E$517,MATCH(RIGHT(L1953,255),RIGHT('Disaggregation Records'!$D$156:$D$517,255),0))),"")</f>
        <v/>
      </c>
      <c r="N1953" s="126" t="str">
        <f t="array" aca="1" ref="N1953" ca="1">IFERROR(IF(INDEX('Disaggregation Records'!$F$156:$F$517,MATCH(RIGHT(L1953,255),RIGHT('Disaggregation Records'!$D$156:$D$517,255),0))="","",INDEX('Disaggregation Records'!$F$156:$F$517,MATCH(RIGHT(L1953,255),RIGHT('Disaggregation Records'!$D$156:$D$517,255),0))),"")</f>
        <v/>
      </c>
      <c r="O1953" s="314" t="str">
        <f t="array" aca="1" ref="O1953" ca="1">IFERROR(IF(INDEX('Disaggregation Records'!$H$156:$H$517,MATCH(RIGHT(L1953,255),RIGHT('Disaggregation Records'!$D$156:$D$517,255),0))="","",INDEX('Disaggregation Records'!$H$156:$H$517,MATCH(RIGHT(L1953,255),RIGHT('Disaggregation Records'!$D$156:$D$517,255),0))),"")</f>
        <v/>
      </c>
      <c r="P1953" s="310"/>
      <c r="Q1953" s="310">
        <f t="shared" ref="Q1953" si="2227">Q1951+1</f>
        <v>1679</v>
      </c>
      <c r="R1953" s="314" t="str" cm="1">
        <f t="array" aca="1" ref="R1953" ca="1">IFERROR(IF(INDEX('Disaggregation Records'!$G$156:$G$517,MATCH(RIGHT(L1953,255),RIGHT('Disaggregation Records'!$D$156:$D$517,255),0))="","",INDEX('Disaggregation Records'!$G$156:$G$517,MATCH(RIGHT(L1953,255),RIGHT('Disaggregation Records'!$D$156:$D$517,255),0))),"")</f>
        <v/>
      </c>
    </row>
    <row r="1954" spans="1:18" ht="20.100000000000001" customHeight="1">
      <c r="B1954" s="571"/>
      <c r="C1954" s="573"/>
      <c r="D1954" s="575"/>
      <c r="E1954" s="575"/>
      <c r="F1954" s="128"/>
      <c r="G1954" s="577"/>
      <c r="H1954" s="540"/>
      <c r="I1954" s="579"/>
      <c r="J1954" s="533"/>
      <c r="L1954" s="126"/>
      <c r="N1954" s="126"/>
      <c r="O1954" s="314"/>
      <c r="P1954" s="310"/>
      <c r="Q1954" s="310"/>
      <c r="R1954" s="314" t="str" cm="1">
        <f t="array" ref="R1954">IFERROR(IF(INDEX('Disaggregation Records'!$G$156:$G$517,MATCH(RIGHT(L1954,255),RIGHT('Disaggregation Records'!$D$156:$D$517,255),0))="","",INDEX('Disaggregation Records'!$G$156:$G$517,MATCH(RIGHT(L1954,255),RIGHT('Disaggregation Records'!$D$156:$D$517,255),0))),"")</f>
        <v/>
      </c>
    </row>
    <row r="1955" spans="1:18" ht="20.100000000000001" customHeight="1">
      <c r="A1955" s="126" t="str">
        <f t="shared" ref="A1955:A2015" ca="1" si="2228">INDIRECT("'update Helper'!C"&amp;Q1955)</f>
        <v>a16Dm000000M3rHIAS</v>
      </c>
      <c r="B1955" s="570">
        <v>34</v>
      </c>
      <c r="C1955" s="572" t="str">
        <f ca="1">IFERROR(VLOOKUP(B1955,'Coverage Indicators - Section D'!$A$9:$AO$94,41,FALSE),"")</f>
        <v>TCS-10 Percentage of pregnant women living with HIV who received antiretroviral medicine to reduce the risk of vertical transmission of HIV</v>
      </c>
      <c r="D1955" s="574" t="str">
        <f ca="1">M1955</f>
        <v/>
      </c>
      <c r="E1955" s="574" t="str">
        <f ca="1">N1955</f>
        <v/>
      </c>
      <c r="F1955" s="127"/>
      <c r="G1955" s="576" t="str">
        <f ca="1">IF(OR(INDIRECT("'update Helper'!E"&amp;Q1955)="",F1955&lt;&gt;0,F1956&lt;&gt;0),IF(IFERROR((F1955/F1956),"")="","",(F1955/F1956)),INDIRECT("'update Helper'!E"&amp;Q1955)/100)</f>
        <v/>
      </c>
      <c r="H1955" s="539"/>
      <c r="I1955" s="578"/>
      <c r="J1955" s="532"/>
      <c r="K1955" s="126">
        <f ca="1">IF(AND(EXACT(C1955,C1953),C1953&lt;&gt;0),K1953+1,0)</f>
        <v>7</v>
      </c>
      <c r="L1955" s="126" t="str">
        <f t="shared" ref="L1955" ca="1" si="2229">IF(C1955&lt;&gt;"",C1955&amp;"-"&amp;K1955,"")</f>
        <v>TCS-10 Percentage of pregnant women living with HIV who received antiretroviral medicine to reduce the risk of vertical transmission of HIV-7</v>
      </c>
      <c r="M1955" s="126" t="str">
        <f t="array" aca="1" ref="M1955" ca="1">IFERROR(IF(INDEX('Disaggregation Records'!$E$156:$E$517,MATCH(RIGHT(L1955,255),RIGHT('Disaggregation Records'!$D$156:$D$517,255),0))="","",INDEX('Disaggregation Records'!$E$156:$E$517,MATCH(RIGHT(L1955,255),RIGHT('Disaggregation Records'!$D$156:$D$517,255),0))),"")</f>
        <v/>
      </c>
      <c r="N1955" s="126" t="str">
        <f t="array" aca="1" ref="N1955" ca="1">IFERROR(IF(INDEX('Disaggregation Records'!$F$156:$F$517,MATCH(RIGHT(L1955,255),RIGHT('Disaggregation Records'!$D$156:$D$517,255),0))="","",INDEX('Disaggregation Records'!$F$156:$F$517,MATCH(RIGHT(L1955,255),RIGHT('Disaggregation Records'!$D$156:$D$517,255),0))),"")</f>
        <v/>
      </c>
      <c r="O1955" s="314" t="str">
        <f t="array" aca="1" ref="O1955" ca="1">IFERROR(IF(INDEX('Disaggregation Records'!$H$156:$H$517,MATCH(RIGHT(L1955,255),RIGHT('Disaggregation Records'!$D$156:$D$517,255),0))="","",INDEX('Disaggregation Records'!$H$156:$H$517,MATCH(RIGHT(L1955,255),RIGHT('Disaggregation Records'!$D$156:$D$517,255),0))),"")</f>
        <v/>
      </c>
      <c r="P1955" s="310"/>
      <c r="Q1955" s="310">
        <f t="shared" ref="Q1955" si="2230">Q1953+1</f>
        <v>1680</v>
      </c>
      <c r="R1955" s="314" t="str" cm="1">
        <f t="array" aca="1" ref="R1955" ca="1">IFERROR(IF(INDEX('Disaggregation Records'!$G$156:$G$517,MATCH(RIGHT(L1955,255),RIGHT('Disaggregation Records'!$D$156:$D$517,255),0))="","",INDEX('Disaggregation Records'!$G$156:$G$517,MATCH(RIGHT(L1955,255),RIGHT('Disaggregation Records'!$D$156:$D$517,255),0))),"")</f>
        <v/>
      </c>
    </row>
    <row r="1956" spans="1:18" ht="20.100000000000001" customHeight="1">
      <c r="A1956" s="126"/>
      <c r="B1956" s="571"/>
      <c r="C1956" s="573"/>
      <c r="D1956" s="575"/>
      <c r="E1956" s="575"/>
      <c r="F1956" s="128"/>
      <c r="G1956" s="577"/>
      <c r="H1956" s="540"/>
      <c r="I1956" s="579"/>
      <c r="J1956" s="533"/>
      <c r="L1956" s="126"/>
      <c r="N1956" s="126"/>
      <c r="O1956" s="314"/>
      <c r="P1956" s="310"/>
      <c r="Q1956" s="310"/>
      <c r="R1956" s="314" t="str" cm="1">
        <f t="array" ref="R1956">IFERROR(IF(INDEX('Disaggregation Records'!$G$156:$G$517,MATCH(RIGHT(L1956,255),RIGHT('Disaggregation Records'!$D$156:$D$517,255),0))="","",INDEX('Disaggregation Records'!$G$156:$G$517,MATCH(RIGHT(L1956,255),RIGHT('Disaggregation Records'!$D$156:$D$517,255),0))),"")</f>
        <v/>
      </c>
    </row>
    <row r="1957" spans="1:18" ht="20.100000000000001" customHeight="1">
      <c r="A1957" s="126" t="str">
        <f t="shared" ref="A1957:A2017" ca="1" si="2231">INDIRECT("'update Helper'!C"&amp;Q1957)</f>
        <v>a16Dm000000M3rIIAS</v>
      </c>
      <c r="B1957" s="570">
        <v>34</v>
      </c>
      <c r="C1957" s="572" t="str">
        <f ca="1">IFERROR(VLOOKUP(B1957,'Coverage Indicators - Section D'!$A$9:$AO$94,41,FALSE),"")</f>
        <v>TCS-10 Percentage of pregnant women living with HIV who received antiretroviral medicine to reduce the risk of vertical transmission of HIV</v>
      </c>
      <c r="D1957" s="574" t="str">
        <f ca="1">M1957</f>
        <v/>
      </c>
      <c r="E1957" s="574" t="str">
        <f ca="1">N1957</f>
        <v/>
      </c>
      <c r="F1957" s="127"/>
      <c r="G1957" s="576" t="str">
        <f ca="1">IF(OR(INDIRECT("'update Helper'!E"&amp;Q1957)="",F1957&lt;&gt;0,F1958&lt;&gt;0),IF(IFERROR((F1957/F1958),"")="","",(F1957/F1958)),INDIRECT("'update Helper'!E"&amp;Q1957)/100)</f>
        <v/>
      </c>
      <c r="H1957" s="539"/>
      <c r="I1957" s="578"/>
      <c r="J1957" s="532"/>
      <c r="K1957" s="126">
        <f ca="1">IF(AND(EXACT(C1957,C1955),C1955&lt;&gt;0),K1955+1,0)</f>
        <v>8</v>
      </c>
      <c r="L1957" s="126" t="str">
        <f t="shared" ref="L1957" ca="1" si="2232">IF(C1957&lt;&gt;"",C1957&amp;"-"&amp;K1957,"")</f>
        <v>TCS-10 Percentage of pregnant women living with HIV who received antiretroviral medicine to reduce the risk of vertical transmission of HIV-8</v>
      </c>
      <c r="M1957" s="126" t="str">
        <f t="array" aca="1" ref="M1957" ca="1">IFERROR(IF(INDEX('Disaggregation Records'!$E$156:$E$517,MATCH(RIGHT(L1957,255),RIGHT('Disaggregation Records'!$D$156:$D$517,255),0))="","",INDEX('Disaggregation Records'!$E$156:$E$517,MATCH(RIGHT(L1957,255),RIGHT('Disaggregation Records'!$D$156:$D$517,255),0))),"")</f>
        <v/>
      </c>
      <c r="N1957" s="126" t="str">
        <f t="array" aca="1" ref="N1957" ca="1">IFERROR(IF(INDEX('Disaggregation Records'!$F$156:$F$517,MATCH(RIGHT(L1957,255),RIGHT('Disaggregation Records'!$D$156:$D$517,255),0))="","",INDEX('Disaggregation Records'!$F$156:$F$517,MATCH(RIGHT(L1957,255),RIGHT('Disaggregation Records'!$D$156:$D$517,255),0))),"")</f>
        <v/>
      </c>
      <c r="O1957" s="314" t="str">
        <f t="array" aca="1" ref="O1957" ca="1">IFERROR(IF(INDEX('Disaggregation Records'!$H$156:$H$517,MATCH(RIGHT(L1957,255),RIGHT('Disaggregation Records'!$D$156:$D$517,255),0))="","",INDEX('Disaggregation Records'!$H$156:$H$517,MATCH(RIGHT(L1957,255),RIGHT('Disaggregation Records'!$D$156:$D$517,255),0))),"")</f>
        <v/>
      </c>
      <c r="P1957" s="310"/>
      <c r="Q1957" s="310">
        <f t="shared" ref="Q1957" si="2233">Q1955+1</f>
        <v>1681</v>
      </c>
      <c r="R1957" s="314" t="str" cm="1">
        <f t="array" aca="1" ref="R1957" ca="1">IFERROR(IF(INDEX('Disaggregation Records'!$G$156:$G$517,MATCH(RIGHT(L1957,255),RIGHT('Disaggregation Records'!$D$156:$D$517,255),0))="","",INDEX('Disaggregation Records'!$G$156:$G$517,MATCH(RIGHT(L1957,255),RIGHT('Disaggregation Records'!$D$156:$D$517,255),0))),"")</f>
        <v/>
      </c>
    </row>
    <row r="1958" spans="1:18" ht="20.100000000000001" customHeight="1">
      <c r="B1958" s="571"/>
      <c r="C1958" s="573"/>
      <c r="D1958" s="575"/>
      <c r="E1958" s="575"/>
      <c r="F1958" s="128"/>
      <c r="G1958" s="577"/>
      <c r="H1958" s="540"/>
      <c r="I1958" s="579"/>
      <c r="J1958" s="533"/>
      <c r="L1958" s="126"/>
      <c r="N1958" s="126"/>
      <c r="O1958" s="314"/>
      <c r="P1958" s="310"/>
      <c r="Q1958" s="310"/>
      <c r="R1958" s="314" t="str" cm="1">
        <f t="array" ref="R1958">IFERROR(IF(INDEX('Disaggregation Records'!$G$156:$G$517,MATCH(RIGHT(L1958,255),RIGHT('Disaggregation Records'!$D$156:$D$517,255),0))="","",INDEX('Disaggregation Records'!$G$156:$G$517,MATCH(RIGHT(L1958,255),RIGHT('Disaggregation Records'!$D$156:$D$517,255),0))),"")</f>
        <v/>
      </c>
    </row>
    <row r="1959" spans="1:18" ht="20.100000000000001" customHeight="1">
      <c r="A1959" s="126" t="str">
        <f t="shared" ref="A1959:A2019" ca="1" si="2234">INDIRECT("'update Helper'!C"&amp;Q1959)</f>
        <v>a16Dm000000M3rJIAS</v>
      </c>
      <c r="B1959" s="570">
        <v>34</v>
      </c>
      <c r="C1959" s="572" t="str">
        <f ca="1">IFERROR(VLOOKUP(B1959,'Coverage Indicators - Section D'!$A$9:$AO$94,41,FALSE),"")</f>
        <v>TCS-10 Percentage of pregnant women living with HIV who received antiretroviral medicine to reduce the risk of vertical transmission of HIV</v>
      </c>
      <c r="D1959" s="574" t="str">
        <f ca="1">M1959</f>
        <v/>
      </c>
      <c r="E1959" s="574" t="str">
        <f ca="1">N1959</f>
        <v/>
      </c>
      <c r="F1959" s="127"/>
      <c r="G1959" s="576" t="str">
        <f ca="1">IF(OR(INDIRECT("'update Helper'!E"&amp;Q1959)="",F1959&lt;&gt;0,F1960&lt;&gt;0),IF(IFERROR((F1959/F1960),"")="","",(F1959/F1960)),INDIRECT("'update Helper'!E"&amp;Q1959)/100)</f>
        <v/>
      </c>
      <c r="H1959" s="539"/>
      <c r="I1959" s="578"/>
      <c r="J1959" s="532"/>
      <c r="K1959" s="126">
        <f ca="1">IF(AND(EXACT(C1959,C1957),C1957&lt;&gt;0),K1957+1,0)</f>
        <v>9</v>
      </c>
      <c r="L1959" s="126" t="str">
        <f t="shared" ref="L1959" ca="1" si="2235">IF(C1959&lt;&gt;"",C1959&amp;"-"&amp;K1959,"")</f>
        <v>TCS-10 Percentage of pregnant women living with HIV who received antiretroviral medicine to reduce the risk of vertical transmission of HIV-9</v>
      </c>
      <c r="M1959" s="126" t="str">
        <f t="array" aca="1" ref="M1959" ca="1">IFERROR(IF(INDEX('Disaggregation Records'!$E$156:$E$517,MATCH(RIGHT(L1959,255),RIGHT('Disaggregation Records'!$D$156:$D$517,255),0))="","",INDEX('Disaggregation Records'!$E$156:$E$517,MATCH(RIGHT(L1959,255),RIGHT('Disaggregation Records'!$D$156:$D$517,255),0))),"")</f>
        <v/>
      </c>
      <c r="N1959" s="126" t="str">
        <f t="array" aca="1" ref="N1959" ca="1">IFERROR(IF(INDEX('Disaggregation Records'!$F$156:$F$517,MATCH(RIGHT(L1959,255),RIGHT('Disaggregation Records'!$D$156:$D$517,255),0))="","",INDEX('Disaggregation Records'!$F$156:$F$517,MATCH(RIGHT(L1959,255),RIGHT('Disaggregation Records'!$D$156:$D$517,255),0))),"")</f>
        <v/>
      </c>
      <c r="O1959" s="314" t="str">
        <f t="array" aca="1" ref="O1959" ca="1">IFERROR(IF(INDEX('Disaggregation Records'!$H$156:$H$517,MATCH(RIGHT(L1959,255),RIGHT('Disaggregation Records'!$D$156:$D$517,255),0))="","",INDEX('Disaggregation Records'!$H$156:$H$517,MATCH(RIGHT(L1959,255),RIGHT('Disaggregation Records'!$D$156:$D$517,255),0))),"")</f>
        <v/>
      </c>
      <c r="P1959" s="314"/>
      <c r="Q1959" s="310">
        <f t="shared" ref="Q1959" si="2236">Q1957+1</f>
        <v>1682</v>
      </c>
      <c r="R1959" s="314" t="str" cm="1">
        <f t="array" aca="1" ref="R1959" ca="1">IFERROR(IF(INDEX('Disaggregation Records'!$G$156:$G$517,MATCH(RIGHT(L1959,255),RIGHT('Disaggregation Records'!$D$156:$D$517,255),0))="","",INDEX('Disaggregation Records'!$G$156:$G$517,MATCH(RIGHT(L1959,255),RIGHT('Disaggregation Records'!$D$156:$D$517,255),0))),"")</f>
        <v/>
      </c>
    </row>
    <row r="1960" spans="1:18" ht="20.100000000000001" customHeight="1">
      <c r="A1960" s="126"/>
      <c r="B1960" s="571"/>
      <c r="C1960" s="573"/>
      <c r="D1960" s="575"/>
      <c r="E1960" s="575"/>
      <c r="F1960" s="128"/>
      <c r="G1960" s="577"/>
      <c r="H1960" s="540"/>
      <c r="I1960" s="579"/>
      <c r="J1960" s="533"/>
      <c r="K1960" s="126"/>
      <c r="L1960" s="126"/>
      <c r="M1960" s="126"/>
      <c r="N1960" s="126"/>
      <c r="O1960" s="314"/>
      <c r="P1960" s="314"/>
      <c r="Q1960" s="310"/>
      <c r="R1960" s="314" t="str" cm="1">
        <f t="array" ref="R1960">IFERROR(IF(INDEX('Disaggregation Records'!$G$156:$G$517,MATCH(RIGHT(L1960,255),RIGHT('Disaggregation Records'!$D$156:$D$517,255),0))="","",INDEX('Disaggregation Records'!$G$156:$G$517,MATCH(RIGHT(L1960,255),RIGHT('Disaggregation Records'!$D$156:$D$517,255),0))),"")</f>
        <v/>
      </c>
    </row>
    <row r="1961" spans="1:18" ht="20.100000000000001" customHeight="1">
      <c r="A1961" s="126" t="str">
        <f t="shared" ref="A1961:A2021" ca="1" si="2237">INDIRECT("'update Helper'!C"&amp;Q1961)</f>
        <v>a16Dm000000M3rKIAS</v>
      </c>
      <c r="B1961" s="570">
        <v>34</v>
      </c>
      <c r="C1961" s="572" t="str">
        <f ca="1">IFERROR(VLOOKUP(B1961,'Coverage Indicators - Section D'!$A$9:$AO$94,41,FALSE),"")</f>
        <v>TCS-10 Percentage of pregnant women living with HIV who received antiretroviral medicine to reduce the risk of vertical transmission of HIV</v>
      </c>
      <c r="D1961" s="574" t="str">
        <f ca="1">M1961</f>
        <v/>
      </c>
      <c r="E1961" s="574" t="str">
        <f ca="1">N1961</f>
        <v/>
      </c>
      <c r="F1961" s="127"/>
      <c r="G1961" s="576" t="str">
        <f ca="1">IF(OR(INDIRECT("'update Helper'!E"&amp;Q1961)="",F1961&lt;&gt;0,F1962&lt;&gt;0),IF(IFERROR((F1961/F1962),"")="","",(F1961/F1962)),INDIRECT("'update Helper'!E"&amp;Q1961)/100)</f>
        <v/>
      </c>
      <c r="H1961" s="539"/>
      <c r="I1961" s="578"/>
      <c r="J1961" s="532"/>
      <c r="K1961" s="126">
        <f ca="1">IF(AND(EXACT(C1961,C1959),C1959&lt;&gt;0),K1959+1,0)</f>
        <v>10</v>
      </c>
      <c r="L1961" s="126" t="str">
        <f t="shared" ref="L1961" ca="1" si="2238">IF(C1961&lt;&gt;"",C1961&amp;"-"&amp;K1961,"")</f>
        <v>TCS-10 Percentage of pregnant women living with HIV who received antiretroviral medicine to reduce the risk of vertical transmission of HIV-10</v>
      </c>
      <c r="M1961" s="126" t="str">
        <f t="array" aca="1" ref="M1961" ca="1">IFERROR(IF(INDEX('Disaggregation Records'!$E$156:$E$517,MATCH(RIGHT(L1961,255),RIGHT('Disaggregation Records'!$D$156:$D$517,255),0))="","",INDEX('Disaggregation Records'!$E$156:$E$517,MATCH(RIGHT(L1961,255),RIGHT('Disaggregation Records'!$D$156:$D$517,255),0))),"")</f>
        <v/>
      </c>
      <c r="N1961" s="126" t="str">
        <f t="array" aca="1" ref="N1961" ca="1">IFERROR(IF(INDEX('Disaggregation Records'!$F$156:$F$517,MATCH(RIGHT(L1961,255),RIGHT('Disaggregation Records'!$D$156:$D$517,255),0))="","",INDEX('Disaggregation Records'!$F$156:$F$517,MATCH(RIGHT(L1961,255),RIGHT('Disaggregation Records'!$D$156:$D$517,255),0))),"")</f>
        <v/>
      </c>
      <c r="O1961" s="314" t="str">
        <f t="array" aca="1" ref="O1961" ca="1">IFERROR(IF(INDEX('Disaggregation Records'!$H$156:$H$517,MATCH(RIGHT(L1961,255),RIGHT('Disaggregation Records'!$D$156:$D$517,255),0))="","",INDEX('Disaggregation Records'!$H$156:$H$517,MATCH(RIGHT(L1961,255),RIGHT('Disaggregation Records'!$D$156:$D$517,255),0))),"")</f>
        <v/>
      </c>
      <c r="P1961" s="314"/>
      <c r="Q1961" s="310">
        <f t="shared" ref="Q1961" si="2239">Q1959+1</f>
        <v>1683</v>
      </c>
      <c r="R1961" s="314" t="str" cm="1">
        <f t="array" aca="1" ref="R1961" ca="1">IFERROR(IF(INDEX('Disaggregation Records'!$G$156:$G$517,MATCH(RIGHT(L1961,255),RIGHT('Disaggregation Records'!$D$156:$D$517,255),0))="","",INDEX('Disaggregation Records'!$G$156:$G$517,MATCH(RIGHT(L1961,255),RIGHT('Disaggregation Records'!$D$156:$D$517,255),0))),"")</f>
        <v/>
      </c>
    </row>
    <row r="1962" spans="1:18" ht="20.100000000000001" customHeight="1">
      <c r="B1962" s="571"/>
      <c r="C1962" s="573"/>
      <c r="D1962" s="575"/>
      <c r="E1962" s="575"/>
      <c r="F1962" s="128"/>
      <c r="G1962" s="577"/>
      <c r="H1962" s="540"/>
      <c r="I1962" s="579"/>
      <c r="J1962" s="533"/>
      <c r="K1962" s="126"/>
      <c r="L1962" s="126"/>
      <c r="M1962" s="126"/>
      <c r="N1962" s="126"/>
      <c r="O1962" s="314"/>
      <c r="P1962" s="314"/>
      <c r="Q1962" s="310"/>
      <c r="R1962" s="314" t="str" cm="1">
        <f t="array" ref="R1962">IFERROR(IF(INDEX('Disaggregation Records'!$G$156:$G$517,MATCH(RIGHT(L1962,255),RIGHT('Disaggregation Records'!$D$156:$D$517,255),0))="","",INDEX('Disaggregation Records'!$G$156:$G$517,MATCH(RIGHT(L1962,255),RIGHT('Disaggregation Records'!$D$156:$D$517,255),0))),"")</f>
        <v/>
      </c>
    </row>
    <row r="1963" spans="1:18" ht="20.100000000000001" customHeight="1">
      <c r="A1963" s="126" t="str">
        <f t="shared" ref="A1963:A2023" ca="1" si="2240">INDIRECT("'update Helper'!C"&amp;Q1963)</f>
        <v>a16Dm000000M3rLIAS</v>
      </c>
      <c r="B1963" s="570">
        <v>34</v>
      </c>
      <c r="C1963" s="572" t="str">
        <f ca="1">IFERROR(VLOOKUP(B1963,'Coverage Indicators - Section D'!$A$9:$AO$94,41,FALSE),"")</f>
        <v>TCS-10 Percentage of pregnant women living with HIV who received antiretroviral medicine to reduce the risk of vertical transmission of HIV</v>
      </c>
      <c r="D1963" s="574" t="str">
        <f ca="1">M1963</f>
        <v/>
      </c>
      <c r="E1963" s="574" t="str">
        <f ca="1">N1963</f>
        <v/>
      </c>
      <c r="F1963" s="127"/>
      <c r="G1963" s="576" t="str">
        <f ca="1">IF(OR(INDIRECT("'update Helper'!E"&amp;Q1963)="",F1963&lt;&gt;0,F1964&lt;&gt;0),IF(IFERROR((F1963/F1964),"")="","",(F1963/F1964)),INDIRECT("'update Helper'!E"&amp;Q1963)/100)</f>
        <v/>
      </c>
      <c r="H1963" s="539"/>
      <c r="I1963" s="578"/>
      <c r="J1963" s="532"/>
      <c r="K1963" s="126">
        <f ca="1">IF(AND(EXACT(C1963,C1961),C1961&lt;&gt;0),K1961+1,0)</f>
        <v>11</v>
      </c>
      <c r="L1963" s="126" t="str">
        <f t="shared" ref="L1963" ca="1" si="2241">IF(C1963&lt;&gt;"",C1963&amp;"-"&amp;K1963,"")</f>
        <v>TCS-10 Percentage of pregnant women living with HIV who received antiretroviral medicine to reduce the risk of vertical transmission of HIV-11</v>
      </c>
      <c r="M1963" s="126" t="str">
        <f t="array" aca="1" ref="M1963" ca="1">IFERROR(IF(INDEX('Disaggregation Records'!$E$156:$E$517,MATCH(RIGHT(L1963,255),RIGHT('Disaggregation Records'!$D$156:$D$517,255),0))="","",INDEX('Disaggregation Records'!$E$156:$E$517,MATCH(RIGHT(L1963,255),RIGHT('Disaggregation Records'!$D$156:$D$517,255),0))),"")</f>
        <v/>
      </c>
      <c r="N1963" s="126" t="str">
        <f t="array" aca="1" ref="N1963" ca="1">IFERROR(IF(INDEX('Disaggregation Records'!$F$156:$F$517,MATCH(RIGHT(L1963,255),RIGHT('Disaggregation Records'!$D$156:$D$517,255),0))="","",INDEX('Disaggregation Records'!$F$156:$F$517,MATCH(RIGHT(L1963,255),RIGHT('Disaggregation Records'!$D$156:$D$517,255),0))),"")</f>
        <v/>
      </c>
      <c r="O1963" s="314" t="str">
        <f t="array" aca="1" ref="O1963" ca="1">IFERROR(IF(INDEX('Disaggregation Records'!$H$156:$H$517,MATCH(RIGHT(L1963,255),RIGHT('Disaggregation Records'!$D$156:$D$517,255),0))="","",INDEX('Disaggregation Records'!$H$156:$H$517,MATCH(RIGHT(L1963,255),RIGHT('Disaggregation Records'!$D$156:$D$517,255),0))),"")</f>
        <v/>
      </c>
      <c r="P1963" s="310"/>
      <c r="Q1963" s="310">
        <f t="shared" ref="Q1963" si="2242">Q1961+1</f>
        <v>1684</v>
      </c>
      <c r="R1963" s="314" t="str" cm="1">
        <f t="array" aca="1" ref="R1963" ca="1">IFERROR(IF(INDEX('Disaggregation Records'!$G$156:$G$517,MATCH(RIGHT(L1963,255),RIGHT('Disaggregation Records'!$D$156:$D$517,255),0))="","",INDEX('Disaggregation Records'!$G$156:$G$517,MATCH(RIGHT(L1963,255),RIGHT('Disaggregation Records'!$D$156:$D$517,255),0))),"")</f>
        <v/>
      </c>
    </row>
    <row r="1964" spans="1:18" ht="20.100000000000001" customHeight="1">
      <c r="A1964" s="126"/>
      <c r="B1964" s="571"/>
      <c r="C1964" s="573"/>
      <c r="D1964" s="575"/>
      <c r="E1964" s="575"/>
      <c r="F1964" s="128"/>
      <c r="G1964" s="577"/>
      <c r="H1964" s="540"/>
      <c r="I1964" s="579"/>
      <c r="J1964" s="533"/>
      <c r="L1964" s="126"/>
      <c r="N1964" s="126"/>
      <c r="O1964" s="314"/>
      <c r="P1964" s="310"/>
      <c r="Q1964" s="310"/>
      <c r="R1964" s="314" t="str" cm="1">
        <f t="array" ref="R1964">IFERROR(IF(INDEX('Disaggregation Records'!$G$156:$G$517,MATCH(RIGHT(L1964,255),RIGHT('Disaggregation Records'!$D$156:$D$517,255),0))="","",INDEX('Disaggregation Records'!$G$156:$G$517,MATCH(RIGHT(L1964,255),RIGHT('Disaggregation Records'!$D$156:$D$517,255),0))),"")</f>
        <v/>
      </c>
    </row>
    <row r="1965" spans="1:18" ht="20.100000000000001" customHeight="1">
      <c r="A1965" s="126" t="str">
        <f t="shared" ref="A1965:A2025" ca="1" si="2243">INDIRECT("'update Helper'!C"&amp;Q1965)</f>
        <v>a16Dm000000M3rMIAS</v>
      </c>
      <c r="B1965" s="570">
        <v>34</v>
      </c>
      <c r="C1965" s="572" t="str">
        <f ca="1">IFERROR(VLOOKUP(B1965,'Coverage Indicators - Section D'!$A$9:$AO$94,41,FALSE),"")</f>
        <v>TCS-10 Percentage of pregnant women living with HIV who received antiretroviral medicine to reduce the risk of vertical transmission of HIV</v>
      </c>
      <c r="D1965" s="574" t="str">
        <f ca="1">M1965</f>
        <v/>
      </c>
      <c r="E1965" s="574" t="str">
        <f ca="1">N1965</f>
        <v/>
      </c>
      <c r="F1965" s="127"/>
      <c r="G1965" s="576" t="str">
        <f ca="1">IF(OR(INDIRECT("'update Helper'!E"&amp;Q1965)="",F1965&lt;&gt;0,F1966&lt;&gt;0),IF(IFERROR((F1965/F1966),"")="","",(F1965/F1966)),INDIRECT("'update Helper'!E"&amp;Q1965)/100)</f>
        <v/>
      </c>
      <c r="H1965" s="539"/>
      <c r="I1965" s="578"/>
      <c r="J1965" s="532"/>
      <c r="K1965" s="126">
        <f ca="1">IF(AND(EXACT(C1965,C1963),C1963&lt;&gt;0),K1963+1,0)</f>
        <v>12</v>
      </c>
      <c r="L1965" s="126" t="str">
        <f t="shared" ref="L1965" ca="1" si="2244">IF(C1965&lt;&gt;"",C1965&amp;"-"&amp;K1965,"")</f>
        <v>TCS-10 Percentage of pregnant women living with HIV who received antiretroviral medicine to reduce the risk of vertical transmission of HIV-12</v>
      </c>
      <c r="M1965" s="126" t="str">
        <f t="array" aca="1" ref="M1965" ca="1">IFERROR(IF(INDEX('Disaggregation Records'!$E$156:$E$517,MATCH(RIGHT(L1965,255),RIGHT('Disaggregation Records'!$D$156:$D$517,255),0))="","",INDEX('Disaggregation Records'!$E$156:$E$517,MATCH(RIGHT(L1965,255),RIGHT('Disaggregation Records'!$D$156:$D$517,255),0))),"")</f>
        <v/>
      </c>
      <c r="N1965" s="126" t="str">
        <f t="array" aca="1" ref="N1965" ca="1">IFERROR(IF(INDEX('Disaggregation Records'!$F$156:$F$517,MATCH(RIGHT(L1965,255),RIGHT('Disaggregation Records'!$D$156:$D$517,255),0))="","",INDEX('Disaggregation Records'!$F$156:$F$517,MATCH(RIGHT(L1965,255),RIGHT('Disaggregation Records'!$D$156:$D$517,255),0))),"")</f>
        <v/>
      </c>
      <c r="O1965" s="314" t="str">
        <f t="array" aca="1" ref="O1965" ca="1">IFERROR(IF(INDEX('Disaggregation Records'!$H$156:$H$517,MATCH(RIGHT(L1965,255),RIGHT('Disaggregation Records'!$D$156:$D$517,255),0))="","",INDEX('Disaggregation Records'!$H$156:$H$517,MATCH(RIGHT(L1965,255),RIGHT('Disaggregation Records'!$D$156:$D$517,255),0))),"")</f>
        <v/>
      </c>
      <c r="P1965" s="310"/>
      <c r="Q1965" s="310">
        <f t="shared" ref="Q1965" si="2245">Q1963+1</f>
        <v>1685</v>
      </c>
      <c r="R1965" s="314" t="str" cm="1">
        <f t="array" aca="1" ref="R1965" ca="1">IFERROR(IF(INDEX('Disaggregation Records'!$G$156:$G$517,MATCH(RIGHT(L1965,255),RIGHT('Disaggregation Records'!$D$156:$D$517,255),0))="","",INDEX('Disaggregation Records'!$G$156:$G$517,MATCH(RIGHT(L1965,255),RIGHT('Disaggregation Records'!$D$156:$D$517,255),0))),"")</f>
        <v/>
      </c>
    </row>
    <row r="1966" spans="1:18" ht="20.100000000000001" customHeight="1">
      <c r="B1966" s="571"/>
      <c r="C1966" s="573"/>
      <c r="D1966" s="575"/>
      <c r="E1966" s="575"/>
      <c r="F1966" s="128"/>
      <c r="G1966" s="577"/>
      <c r="H1966" s="540"/>
      <c r="I1966" s="579"/>
      <c r="J1966" s="533"/>
      <c r="L1966" s="126"/>
      <c r="N1966" s="126"/>
      <c r="O1966" s="314"/>
      <c r="P1966" s="310"/>
      <c r="Q1966" s="310"/>
      <c r="R1966" s="314" t="str" cm="1">
        <f t="array" ref="R1966">IFERROR(IF(INDEX('Disaggregation Records'!$G$156:$G$517,MATCH(RIGHT(L1966,255),RIGHT('Disaggregation Records'!$D$156:$D$517,255),0))="","",INDEX('Disaggregation Records'!$G$156:$G$517,MATCH(RIGHT(L1966,255),RIGHT('Disaggregation Records'!$D$156:$D$517,255),0))),"")</f>
        <v/>
      </c>
    </row>
    <row r="1967" spans="1:18" ht="20.100000000000001" customHeight="1">
      <c r="A1967" s="126" t="str">
        <f t="shared" ref="A1967:A2027" ca="1" si="2246">INDIRECT("'update Helper'!C"&amp;Q1967)</f>
        <v>a16Dm000000M3rNIAS</v>
      </c>
      <c r="B1967" s="570">
        <v>34</v>
      </c>
      <c r="C1967" s="572" t="str">
        <f ca="1">IFERROR(VLOOKUP(B1967,'Coverage Indicators - Section D'!$A$9:$AO$94,41,FALSE),"")</f>
        <v>TCS-10 Percentage of pregnant women living with HIV who received antiretroviral medicine to reduce the risk of vertical transmission of HIV</v>
      </c>
      <c r="D1967" s="574" t="str">
        <f ca="1">M1967</f>
        <v/>
      </c>
      <c r="E1967" s="574" t="str">
        <f ca="1">N1967</f>
        <v/>
      </c>
      <c r="F1967" s="127"/>
      <c r="G1967" s="576" t="str">
        <f ca="1">IF(OR(INDIRECT("'update Helper'!E"&amp;Q1967)="",F1967&lt;&gt;0,F1968&lt;&gt;0),IF(IFERROR((F1967/F1968),"")="","",(F1967/F1968)),INDIRECT("'update Helper'!E"&amp;Q1967)/100)</f>
        <v/>
      </c>
      <c r="H1967" s="539"/>
      <c r="I1967" s="578"/>
      <c r="J1967" s="532"/>
      <c r="K1967" s="126">
        <f ca="1">IF(AND(EXACT(C1967,C1965),C1965&lt;&gt;0),K1965+1,0)</f>
        <v>13</v>
      </c>
      <c r="L1967" s="126" t="str">
        <f t="shared" ref="L1967" ca="1" si="2247">IF(C1967&lt;&gt;"",C1967&amp;"-"&amp;K1967,"")</f>
        <v>TCS-10 Percentage of pregnant women living with HIV who received antiretroviral medicine to reduce the risk of vertical transmission of HIV-13</v>
      </c>
      <c r="M1967" s="126" t="str">
        <f t="array" aca="1" ref="M1967" ca="1">IFERROR(IF(INDEX('Disaggregation Records'!$E$156:$E$517,MATCH(RIGHT(L1967,255),RIGHT('Disaggregation Records'!$D$156:$D$517,255),0))="","",INDEX('Disaggregation Records'!$E$156:$E$517,MATCH(RIGHT(L1967,255),RIGHT('Disaggregation Records'!$D$156:$D$517,255),0))),"")</f>
        <v/>
      </c>
      <c r="N1967" s="126" t="str">
        <f t="array" aca="1" ref="N1967" ca="1">IFERROR(IF(INDEX('Disaggregation Records'!$F$156:$F$517,MATCH(RIGHT(L1967,255),RIGHT('Disaggregation Records'!$D$156:$D$517,255),0))="","",INDEX('Disaggregation Records'!$F$156:$F$517,MATCH(RIGHT(L1967,255),RIGHT('Disaggregation Records'!$D$156:$D$517,255),0))),"")</f>
        <v/>
      </c>
      <c r="O1967" s="314" t="str">
        <f t="array" aca="1" ref="O1967" ca="1">IFERROR(IF(INDEX('Disaggregation Records'!$H$156:$H$517,MATCH(RIGHT(L1967,255),RIGHT('Disaggregation Records'!$D$156:$D$517,255),0))="","",INDEX('Disaggregation Records'!$H$156:$H$517,MATCH(RIGHT(L1967,255),RIGHT('Disaggregation Records'!$D$156:$D$517,255),0))),"")</f>
        <v/>
      </c>
      <c r="P1967" s="310"/>
      <c r="Q1967" s="310">
        <f t="shared" ref="Q1967" si="2248">Q1965+1</f>
        <v>1686</v>
      </c>
      <c r="R1967" s="314" t="str" cm="1">
        <f t="array" aca="1" ref="R1967" ca="1">IFERROR(IF(INDEX('Disaggregation Records'!$G$156:$G$517,MATCH(RIGHT(L1967,255),RIGHT('Disaggregation Records'!$D$156:$D$517,255),0))="","",INDEX('Disaggregation Records'!$G$156:$G$517,MATCH(RIGHT(L1967,255),RIGHT('Disaggregation Records'!$D$156:$D$517,255),0))),"")</f>
        <v/>
      </c>
    </row>
    <row r="1968" spans="1:18" ht="20.100000000000001" customHeight="1">
      <c r="A1968" s="126"/>
      <c r="B1968" s="571"/>
      <c r="C1968" s="573"/>
      <c r="D1968" s="575"/>
      <c r="E1968" s="575"/>
      <c r="F1968" s="128"/>
      <c r="G1968" s="577"/>
      <c r="H1968" s="540"/>
      <c r="I1968" s="579"/>
      <c r="J1968" s="533"/>
      <c r="L1968" s="126"/>
      <c r="N1968" s="126"/>
      <c r="O1968" s="314"/>
      <c r="P1968" s="310"/>
      <c r="Q1968" s="310"/>
      <c r="R1968" s="314" t="str" cm="1">
        <f t="array" ref="R1968">IFERROR(IF(INDEX('Disaggregation Records'!$G$156:$G$517,MATCH(RIGHT(L1968,255),RIGHT('Disaggregation Records'!$D$156:$D$517,255),0))="","",INDEX('Disaggregation Records'!$G$156:$G$517,MATCH(RIGHT(L1968,255),RIGHT('Disaggregation Records'!$D$156:$D$517,255),0))),"")</f>
        <v/>
      </c>
    </row>
    <row r="1969" spans="1:18" ht="20.100000000000001" customHeight="1">
      <c r="A1969" s="126" t="str">
        <f t="shared" ref="A1969:A2029" ca="1" si="2249">INDIRECT("'update Helper'!C"&amp;Q1969)</f>
        <v>a16Dm000000M3rOIAS</v>
      </c>
      <c r="B1969" s="570">
        <v>34</v>
      </c>
      <c r="C1969" s="572" t="str">
        <f ca="1">IFERROR(VLOOKUP(B1969,'Coverage Indicators - Section D'!$A$9:$AO$94,41,FALSE),"")</f>
        <v>TCS-10 Percentage of pregnant women living with HIV who received antiretroviral medicine to reduce the risk of vertical transmission of HIV</v>
      </c>
      <c r="D1969" s="574" t="str">
        <f ca="1">M1969</f>
        <v/>
      </c>
      <c r="E1969" s="574" t="str">
        <f ca="1">N1969</f>
        <v/>
      </c>
      <c r="F1969" s="127"/>
      <c r="G1969" s="576" t="str">
        <f ca="1">IF(OR(INDIRECT("'update Helper'!E"&amp;Q1969)="",F1969&lt;&gt;0,F1970&lt;&gt;0),IF(IFERROR((F1969/F1970),"")="","",(F1969/F1970)),INDIRECT("'update Helper'!E"&amp;Q1969)/100)</f>
        <v/>
      </c>
      <c r="H1969" s="539"/>
      <c r="I1969" s="578"/>
      <c r="J1969" s="532"/>
      <c r="K1969" s="126">
        <f ca="1">IF(AND(EXACT(C1969,C1967),C1967&lt;&gt;0),K1967+1,0)</f>
        <v>14</v>
      </c>
      <c r="L1969" s="126" t="str">
        <f t="shared" ref="L1969" ca="1" si="2250">IF(C1969&lt;&gt;"",C1969&amp;"-"&amp;K1969,"")</f>
        <v>TCS-10 Percentage of pregnant women living with HIV who received antiretroviral medicine to reduce the risk of vertical transmission of HIV-14</v>
      </c>
      <c r="M1969" s="126" t="str">
        <f t="array" aca="1" ref="M1969" ca="1">IFERROR(IF(INDEX('Disaggregation Records'!$E$156:$E$517,MATCH(RIGHT(L1969,255),RIGHT('Disaggregation Records'!$D$156:$D$517,255),0))="","",INDEX('Disaggregation Records'!$E$156:$E$517,MATCH(RIGHT(L1969,255),RIGHT('Disaggregation Records'!$D$156:$D$517,255),0))),"")</f>
        <v/>
      </c>
      <c r="N1969" s="126" t="str">
        <f t="array" aca="1" ref="N1969" ca="1">IFERROR(IF(INDEX('Disaggregation Records'!$F$156:$F$517,MATCH(RIGHT(L1969,255),RIGHT('Disaggregation Records'!$D$156:$D$517,255),0))="","",INDEX('Disaggregation Records'!$F$156:$F$517,MATCH(RIGHT(L1969,255),RIGHT('Disaggregation Records'!$D$156:$D$517,255),0))),"")</f>
        <v/>
      </c>
      <c r="O1969" s="314" t="str">
        <f t="array" aca="1" ref="O1969" ca="1">IFERROR(IF(INDEX('Disaggregation Records'!$H$156:$H$517,MATCH(RIGHT(L1969,255),RIGHT('Disaggregation Records'!$D$156:$D$517,255),0))="","",INDEX('Disaggregation Records'!$H$156:$H$517,MATCH(RIGHT(L1969,255),RIGHT('Disaggregation Records'!$D$156:$D$517,255),0))),"")</f>
        <v/>
      </c>
      <c r="P1969" s="314"/>
      <c r="Q1969" s="310">
        <f t="shared" ref="Q1969" si="2251">Q1967+1</f>
        <v>1687</v>
      </c>
      <c r="R1969" s="314" t="str" cm="1">
        <f t="array" aca="1" ref="R1969" ca="1">IFERROR(IF(INDEX('Disaggregation Records'!$G$156:$G$517,MATCH(RIGHT(L1969,255),RIGHT('Disaggregation Records'!$D$156:$D$517,255),0))="","",INDEX('Disaggregation Records'!$G$156:$G$517,MATCH(RIGHT(L1969,255),RIGHT('Disaggregation Records'!$D$156:$D$517,255),0))),"")</f>
        <v/>
      </c>
    </row>
    <row r="1970" spans="1:18" ht="20.100000000000001" customHeight="1">
      <c r="B1970" s="571"/>
      <c r="C1970" s="573"/>
      <c r="D1970" s="575"/>
      <c r="E1970" s="575"/>
      <c r="F1970" s="128"/>
      <c r="G1970" s="577"/>
      <c r="H1970" s="540"/>
      <c r="I1970" s="579"/>
      <c r="J1970" s="533"/>
      <c r="K1970" s="126"/>
      <c r="L1970" s="126"/>
      <c r="M1970" s="126"/>
      <c r="N1970" s="126"/>
      <c r="O1970" s="314"/>
      <c r="P1970" s="314"/>
      <c r="Q1970" s="310"/>
      <c r="R1970" s="314" t="str" cm="1">
        <f t="array" ref="R1970">IFERROR(IF(INDEX('Disaggregation Records'!$G$156:$G$517,MATCH(RIGHT(L1970,255),RIGHT('Disaggregation Records'!$D$156:$D$517,255),0))="","",INDEX('Disaggregation Records'!$G$156:$G$517,MATCH(RIGHT(L1970,255),RIGHT('Disaggregation Records'!$D$156:$D$517,255),0))),"")</f>
        <v/>
      </c>
    </row>
    <row r="1971" spans="1:18" ht="20.100000000000001" customHeight="1">
      <c r="A1971" s="126" t="str">
        <f t="shared" ref="A1971:A2031" ca="1" si="2252">INDIRECT("'update Helper'!C"&amp;Q1971)</f>
        <v>a16Dm000000M3rPIAS</v>
      </c>
      <c r="B1971" s="570">
        <v>34</v>
      </c>
      <c r="C1971" s="572" t="str">
        <f ca="1">IFERROR(VLOOKUP(B1971,'Coverage Indicators - Section D'!$A$9:$AO$94,41,FALSE),"")</f>
        <v>TCS-10 Percentage of pregnant women living with HIV who received antiretroviral medicine to reduce the risk of vertical transmission of HIV</v>
      </c>
      <c r="D1971" s="574" t="str">
        <f ca="1">M1971</f>
        <v/>
      </c>
      <c r="E1971" s="574" t="str">
        <f ca="1">N1971</f>
        <v/>
      </c>
      <c r="F1971" s="127"/>
      <c r="G1971" s="576" t="str">
        <f ca="1">IF(OR(INDIRECT("'update Helper'!E"&amp;Q1971)="",F1971&lt;&gt;0,F1972&lt;&gt;0),IF(IFERROR((F1971/F1972),"")="","",(F1971/F1972)),INDIRECT("'update Helper'!E"&amp;Q1971)/100)</f>
        <v/>
      </c>
      <c r="H1971" s="539"/>
      <c r="I1971" s="578"/>
      <c r="J1971" s="532"/>
      <c r="K1971" s="126">
        <f ca="1">IF(AND(EXACT(C1971,C1969),C1969&lt;&gt;0),K1969+1,0)</f>
        <v>15</v>
      </c>
      <c r="L1971" s="126" t="str">
        <f t="shared" ref="L1971" ca="1" si="2253">IF(C1971&lt;&gt;"",C1971&amp;"-"&amp;K1971,"")</f>
        <v>TCS-10 Percentage of pregnant women living with HIV who received antiretroviral medicine to reduce the risk of vertical transmission of HIV-15</v>
      </c>
      <c r="M1971" s="126" t="str">
        <f t="array" aca="1" ref="M1971" ca="1">IFERROR(IF(INDEX('Disaggregation Records'!$E$156:$E$517,MATCH(RIGHT(L1971,255),RIGHT('Disaggregation Records'!$D$156:$D$517,255),0))="","",INDEX('Disaggregation Records'!$E$156:$E$517,MATCH(RIGHT(L1971,255),RIGHT('Disaggregation Records'!$D$156:$D$517,255),0))),"")</f>
        <v/>
      </c>
      <c r="N1971" s="126" t="str">
        <f t="array" aca="1" ref="N1971" ca="1">IFERROR(IF(INDEX('Disaggregation Records'!$F$156:$F$517,MATCH(RIGHT(L1971,255),RIGHT('Disaggregation Records'!$D$156:$D$517,255),0))="","",INDEX('Disaggregation Records'!$F$156:$F$517,MATCH(RIGHT(L1971,255),RIGHT('Disaggregation Records'!$D$156:$D$517,255),0))),"")</f>
        <v/>
      </c>
      <c r="O1971" s="314" t="str">
        <f t="array" aca="1" ref="O1971" ca="1">IFERROR(IF(INDEX('Disaggregation Records'!$H$156:$H$517,MATCH(RIGHT(L1971,255),RIGHT('Disaggregation Records'!$D$156:$D$517,255),0))="","",INDEX('Disaggregation Records'!$H$156:$H$517,MATCH(RIGHT(L1971,255),RIGHT('Disaggregation Records'!$D$156:$D$517,255),0))),"")</f>
        <v/>
      </c>
      <c r="P1971" s="314"/>
      <c r="Q1971" s="310">
        <f t="shared" ref="Q1971" si="2254">Q1969+1</f>
        <v>1688</v>
      </c>
      <c r="R1971" s="314" t="str" cm="1">
        <f t="array" aca="1" ref="R1971" ca="1">IFERROR(IF(INDEX('Disaggregation Records'!$G$156:$G$517,MATCH(RIGHT(L1971,255),RIGHT('Disaggregation Records'!$D$156:$D$517,255),0))="","",INDEX('Disaggregation Records'!$G$156:$G$517,MATCH(RIGHT(L1971,255),RIGHT('Disaggregation Records'!$D$156:$D$517,255),0))),"")</f>
        <v/>
      </c>
    </row>
    <row r="1972" spans="1:18" ht="20.100000000000001" customHeight="1">
      <c r="A1972" s="126"/>
      <c r="B1972" s="571"/>
      <c r="C1972" s="573"/>
      <c r="D1972" s="575"/>
      <c r="E1972" s="575"/>
      <c r="F1972" s="128"/>
      <c r="G1972" s="577"/>
      <c r="H1972" s="540"/>
      <c r="I1972" s="579"/>
      <c r="J1972" s="533"/>
      <c r="K1972" s="126"/>
      <c r="L1972" s="126"/>
      <c r="M1972" s="126"/>
      <c r="N1972" s="126"/>
      <c r="O1972" s="314"/>
      <c r="P1972" s="314"/>
      <c r="Q1972" s="310"/>
      <c r="R1972" s="314" t="str" cm="1">
        <f t="array" ref="R1972">IFERROR(IF(INDEX('Disaggregation Records'!$G$156:$G$517,MATCH(RIGHT(L1972,255),RIGHT('Disaggregation Records'!$D$156:$D$517,255),0))="","",INDEX('Disaggregation Records'!$G$156:$G$517,MATCH(RIGHT(L1972,255),RIGHT('Disaggregation Records'!$D$156:$D$517,255),0))),"")</f>
        <v/>
      </c>
    </row>
    <row r="1973" spans="1:18" ht="20.100000000000001" customHeight="1">
      <c r="A1973" s="126" t="str">
        <f t="shared" ref="A1973:A2033" ca="1" si="2255">INDIRECT("'update Helper'!C"&amp;Q1973)</f>
        <v>a16Dm000000M3rQIAS</v>
      </c>
      <c r="B1973" s="570">
        <v>34</v>
      </c>
      <c r="C1973" s="572" t="str">
        <f ca="1">IFERROR(VLOOKUP(B1973,'Coverage Indicators - Section D'!$A$9:$AO$94,41,FALSE),"")</f>
        <v>TCS-10 Percentage of pregnant women living with HIV who received antiretroviral medicine to reduce the risk of vertical transmission of HIV</v>
      </c>
      <c r="D1973" s="574" t="str">
        <f ca="1">M1973</f>
        <v/>
      </c>
      <c r="E1973" s="574" t="str">
        <f ca="1">N1973</f>
        <v/>
      </c>
      <c r="F1973" s="127"/>
      <c r="G1973" s="576" t="str">
        <f ca="1">IF(OR(INDIRECT("'update Helper'!E"&amp;Q1973)="",F1973&lt;&gt;0,F1974&lt;&gt;0),IF(IFERROR((F1973/F1974),"")="","",(F1973/F1974)),INDIRECT("'update Helper'!E"&amp;Q1973)/100)</f>
        <v/>
      </c>
      <c r="H1973" s="539"/>
      <c r="I1973" s="578"/>
      <c r="J1973" s="532"/>
      <c r="K1973" s="126">
        <f ca="1">IF(AND(EXACT(C1973,C1971),C1971&lt;&gt;0),K1971+1,0)</f>
        <v>16</v>
      </c>
      <c r="L1973" s="126" t="str">
        <f t="shared" ref="L1973" ca="1" si="2256">IF(C1973&lt;&gt;"",C1973&amp;"-"&amp;K1973,"")</f>
        <v>TCS-10 Percentage of pregnant women living with HIV who received antiretroviral medicine to reduce the risk of vertical transmission of HIV-16</v>
      </c>
      <c r="M1973" s="126" t="str">
        <f t="array" aca="1" ref="M1973" ca="1">IFERROR(IF(INDEX('Disaggregation Records'!$E$156:$E$517,MATCH(RIGHT(L1973,255),RIGHT('Disaggregation Records'!$D$156:$D$517,255),0))="","",INDEX('Disaggregation Records'!$E$156:$E$517,MATCH(RIGHT(L1973,255),RIGHT('Disaggregation Records'!$D$156:$D$517,255),0))),"")</f>
        <v/>
      </c>
      <c r="N1973" s="126" t="str">
        <f t="array" aca="1" ref="N1973" ca="1">IFERROR(IF(INDEX('Disaggregation Records'!$F$156:$F$517,MATCH(RIGHT(L1973,255),RIGHT('Disaggregation Records'!$D$156:$D$517,255),0))="","",INDEX('Disaggregation Records'!$F$156:$F$517,MATCH(RIGHT(L1973,255),RIGHT('Disaggregation Records'!$D$156:$D$517,255),0))),"")</f>
        <v/>
      </c>
      <c r="O1973" s="314" t="str">
        <f t="array" aca="1" ref="O1973" ca="1">IFERROR(IF(INDEX('Disaggregation Records'!$H$156:$H$517,MATCH(RIGHT(L1973,255),RIGHT('Disaggregation Records'!$D$156:$D$517,255),0))="","",INDEX('Disaggregation Records'!$H$156:$H$517,MATCH(RIGHT(L1973,255),RIGHT('Disaggregation Records'!$D$156:$D$517,255),0))),"")</f>
        <v/>
      </c>
      <c r="P1973" s="310"/>
      <c r="Q1973" s="310">
        <f t="shared" ref="Q1973" si="2257">Q1971+1</f>
        <v>1689</v>
      </c>
      <c r="R1973" s="314" t="str" cm="1">
        <f t="array" aca="1" ref="R1973" ca="1">IFERROR(IF(INDEX('Disaggregation Records'!$G$156:$G$517,MATCH(RIGHT(L1973,255),RIGHT('Disaggregation Records'!$D$156:$D$517,255),0))="","",INDEX('Disaggregation Records'!$G$156:$G$517,MATCH(RIGHT(L1973,255),RIGHT('Disaggregation Records'!$D$156:$D$517,255),0))),"")</f>
        <v/>
      </c>
    </row>
    <row r="1974" spans="1:18" ht="20.100000000000001" customHeight="1">
      <c r="B1974" s="571"/>
      <c r="C1974" s="573"/>
      <c r="D1974" s="575"/>
      <c r="E1974" s="575"/>
      <c r="F1974" s="128"/>
      <c r="G1974" s="577"/>
      <c r="H1974" s="540"/>
      <c r="I1974" s="579"/>
      <c r="J1974" s="533"/>
      <c r="L1974" s="126"/>
      <c r="N1974" s="126"/>
      <c r="O1974" s="314"/>
      <c r="P1974" s="310"/>
      <c r="Q1974" s="310"/>
      <c r="R1974" s="314" t="str" cm="1">
        <f t="array" ref="R1974">IFERROR(IF(INDEX('Disaggregation Records'!$G$156:$G$517,MATCH(RIGHT(L1974,255),RIGHT('Disaggregation Records'!$D$156:$D$517,255),0))="","",INDEX('Disaggregation Records'!$G$156:$G$517,MATCH(RIGHT(L1974,255),RIGHT('Disaggregation Records'!$D$156:$D$517,255),0))),"")</f>
        <v/>
      </c>
    </row>
    <row r="1975" spans="1:18" ht="20.100000000000001" customHeight="1">
      <c r="A1975" s="126" t="str">
        <f t="shared" ref="A1975:A2035" ca="1" si="2258">INDIRECT("'update Helper'!C"&amp;Q1975)</f>
        <v>a16Dm000000M3rRIAS</v>
      </c>
      <c r="B1975" s="570">
        <v>34</v>
      </c>
      <c r="C1975" s="572" t="str">
        <f ca="1">IFERROR(VLOOKUP(B1975,'Coverage Indicators - Section D'!$A$9:$AO$94,41,FALSE),"")</f>
        <v>TCS-10 Percentage of pregnant women living with HIV who received antiretroviral medicine to reduce the risk of vertical transmission of HIV</v>
      </c>
      <c r="D1975" s="574" t="str">
        <f ca="1">M1975</f>
        <v/>
      </c>
      <c r="E1975" s="574" t="str">
        <f ca="1">N1975</f>
        <v/>
      </c>
      <c r="F1975" s="127"/>
      <c r="G1975" s="576" t="str">
        <f ca="1">IF(OR(INDIRECT("'update Helper'!E"&amp;Q1975)="",F1975&lt;&gt;0,F1976&lt;&gt;0),IF(IFERROR((F1975/F1976),"")="","",(F1975/F1976)),INDIRECT("'update Helper'!E"&amp;Q1975)/100)</f>
        <v/>
      </c>
      <c r="H1975" s="539"/>
      <c r="I1975" s="578"/>
      <c r="J1975" s="532"/>
      <c r="K1975" s="126">
        <f ca="1">IF(AND(EXACT(C1975,C1973),C1973&lt;&gt;0),K1973+1,0)</f>
        <v>17</v>
      </c>
      <c r="L1975" s="126" t="str">
        <f t="shared" ref="L1975" ca="1" si="2259">IF(C1975&lt;&gt;"",C1975&amp;"-"&amp;K1975,"")</f>
        <v>TCS-10 Percentage of pregnant women living with HIV who received antiretroviral medicine to reduce the risk of vertical transmission of HIV-17</v>
      </c>
      <c r="M1975" s="126" t="str">
        <f t="array" aca="1" ref="M1975" ca="1">IFERROR(IF(INDEX('Disaggregation Records'!$E$156:$E$517,MATCH(RIGHT(L1975,255),RIGHT('Disaggregation Records'!$D$156:$D$517,255),0))="","",INDEX('Disaggregation Records'!$E$156:$E$517,MATCH(RIGHT(L1975,255),RIGHT('Disaggregation Records'!$D$156:$D$517,255),0))),"")</f>
        <v/>
      </c>
      <c r="N1975" s="126" t="str">
        <f t="array" aca="1" ref="N1975" ca="1">IFERROR(IF(INDEX('Disaggregation Records'!$F$156:$F$517,MATCH(RIGHT(L1975,255),RIGHT('Disaggregation Records'!$D$156:$D$517,255),0))="","",INDEX('Disaggregation Records'!$F$156:$F$517,MATCH(RIGHT(L1975,255),RIGHT('Disaggregation Records'!$D$156:$D$517,255),0))),"")</f>
        <v/>
      </c>
      <c r="O1975" s="314" t="str">
        <f t="array" aca="1" ref="O1975" ca="1">IFERROR(IF(INDEX('Disaggregation Records'!$H$156:$H$517,MATCH(RIGHT(L1975,255),RIGHT('Disaggregation Records'!$D$156:$D$517,255),0))="","",INDEX('Disaggregation Records'!$H$156:$H$517,MATCH(RIGHT(L1975,255),RIGHT('Disaggregation Records'!$D$156:$D$517,255),0))),"")</f>
        <v/>
      </c>
      <c r="P1975" s="310"/>
      <c r="Q1975" s="310">
        <f t="shared" ref="Q1975" si="2260">Q1973+1</f>
        <v>1690</v>
      </c>
      <c r="R1975" s="314" t="str" cm="1">
        <f t="array" aca="1" ref="R1975" ca="1">IFERROR(IF(INDEX('Disaggregation Records'!$G$156:$G$517,MATCH(RIGHT(L1975,255),RIGHT('Disaggregation Records'!$D$156:$D$517,255),0))="","",INDEX('Disaggregation Records'!$G$156:$G$517,MATCH(RIGHT(L1975,255),RIGHT('Disaggregation Records'!$D$156:$D$517,255),0))),"")</f>
        <v/>
      </c>
    </row>
    <row r="1976" spans="1:18" ht="20.100000000000001" customHeight="1">
      <c r="A1976" s="126"/>
      <c r="B1976" s="571"/>
      <c r="C1976" s="573"/>
      <c r="D1976" s="575"/>
      <c r="E1976" s="575"/>
      <c r="F1976" s="128"/>
      <c r="G1976" s="577"/>
      <c r="H1976" s="540"/>
      <c r="I1976" s="579"/>
      <c r="J1976" s="533"/>
      <c r="L1976" s="126"/>
      <c r="N1976" s="126"/>
      <c r="O1976" s="314"/>
      <c r="P1976" s="310"/>
      <c r="Q1976" s="310"/>
      <c r="R1976" s="314" t="str" cm="1">
        <f t="array" ref="R1976">IFERROR(IF(INDEX('Disaggregation Records'!$G$156:$G$517,MATCH(RIGHT(L1976,255),RIGHT('Disaggregation Records'!$D$156:$D$517,255),0))="","",INDEX('Disaggregation Records'!$G$156:$G$517,MATCH(RIGHT(L1976,255),RIGHT('Disaggregation Records'!$D$156:$D$517,255),0))),"")</f>
        <v/>
      </c>
    </row>
    <row r="1977" spans="1:18" ht="20.100000000000001" customHeight="1">
      <c r="A1977" s="126" t="str">
        <f t="shared" ref="A1977:A2037" ca="1" si="2261">INDIRECT("'update Helper'!C"&amp;Q1977)</f>
        <v>a16Dm000000M3rSIAS</v>
      </c>
      <c r="B1977" s="570">
        <v>34</v>
      </c>
      <c r="C1977" s="572" t="str">
        <f ca="1">IFERROR(VLOOKUP(B1977,'Coverage Indicators - Section D'!$A$9:$AO$94,41,FALSE),"")</f>
        <v>TCS-10 Percentage of pregnant women living with HIV who received antiretroviral medicine to reduce the risk of vertical transmission of HIV</v>
      </c>
      <c r="D1977" s="574" t="str">
        <f ca="1">M1977</f>
        <v/>
      </c>
      <c r="E1977" s="574" t="str">
        <f ca="1">N1977</f>
        <v/>
      </c>
      <c r="F1977" s="127"/>
      <c r="G1977" s="576" t="str">
        <f ca="1">IF(OR(INDIRECT("'update Helper'!E"&amp;Q1977)="",F1977&lt;&gt;0,F1978&lt;&gt;0),IF(IFERROR((F1977/F1978),"")="","",(F1977/F1978)),INDIRECT("'update Helper'!E"&amp;Q1977)/100)</f>
        <v/>
      </c>
      <c r="H1977" s="539"/>
      <c r="I1977" s="578"/>
      <c r="J1977" s="532"/>
      <c r="K1977" s="126">
        <f ca="1">IF(AND(EXACT(C1977,C1975),C1975&lt;&gt;0),K1975+1,0)</f>
        <v>18</v>
      </c>
      <c r="L1977" s="126" t="str">
        <f t="shared" ref="L1977" ca="1" si="2262">IF(C1977&lt;&gt;"",C1977&amp;"-"&amp;K1977,"")</f>
        <v>TCS-10 Percentage of pregnant women living with HIV who received antiretroviral medicine to reduce the risk of vertical transmission of HIV-18</v>
      </c>
      <c r="M1977" s="126" t="str">
        <f t="array" aca="1" ref="M1977" ca="1">IFERROR(IF(INDEX('Disaggregation Records'!$E$156:$E$517,MATCH(RIGHT(L1977,255),RIGHT('Disaggregation Records'!$D$156:$D$517,255),0))="","",INDEX('Disaggregation Records'!$E$156:$E$517,MATCH(RIGHT(L1977,255),RIGHT('Disaggregation Records'!$D$156:$D$517,255),0))),"")</f>
        <v/>
      </c>
      <c r="N1977" s="126" t="str">
        <f t="array" aca="1" ref="N1977" ca="1">IFERROR(IF(INDEX('Disaggregation Records'!$F$156:$F$517,MATCH(RIGHT(L1977,255),RIGHT('Disaggregation Records'!$D$156:$D$517,255),0))="","",INDEX('Disaggregation Records'!$F$156:$F$517,MATCH(RIGHT(L1977,255),RIGHT('Disaggregation Records'!$D$156:$D$517,255),0))),"")</f>
        <v/>
      </c>
      <c r="O1977" s="314" t="str">
        <f t="array" aca="1" ref="O1977" ca="1">IFERROR(IF(INDEX('Disaggregation Records'!$H$156:$H$517,MATCH(RIGHT(L1977,255),RIGHT('Disaggregation Records'!$D$156:$D$517,255),0))="","",INDEX('Disaggregation Records'!$H$156:$H$517,MATCH(RIGHT(L1977,255),RIGHT('Disaggregation Records'!$D$156:$D$517,255),0))),"")</f>
        <v/>
      </c>
      <c r="P1977" s="310"/>
      <c r="Q1977" s="310">
        <f t="shared" ref="Q1977" si="2263">Q1975+1</f>
        <v>1691</v>
      </c>
      <c r="R1977" s="314" t="str" cm="1">
        <f t="array" aca="1" ref="R1977" ca="1">IFERROR(IF(INDEX('Disaggregation Records'!$G$156:$G$517,MATCH(RIGHT(L1977,255),RIGHT('Disaggregation Records'!$D$156:$D$517,255),0))="","",INDEX('Disaggregation Records'!$G$156:$G$517,MATCH(RIGHT(L1977,255),RIGHT('Disaggregation Records'!$D$156:$D$517,255),0))),"")</f>
        <v/>
      </c>
    </row>
    <row r="1978" spans="1:18" ht="20.100000000000001" customHeight="1">
      <c r="B1978" s="571"/>
      <c r="C1978" s="573"/>
      <c r="D1978" s="575"/>
      <c r="E1978" s="575"/>
      <c r="F1978" s="128"/>
      <c r="G1978" s="577"/>
      <c r="H1978" s="540"/>
      <c r="I1978" s="579"/>
      <c r="J1978" s="533"/>
      <c r="L1978" s="126"/>
      <c r="N1978" s="126"/>
      <c r="O1978" s="314"/>
      <c r="P1978" s="310"/>
      <c r="Q1978" s="310"/>
      <c r="R1978" s="314" t="str" cm="1">
        <f t="array" ref="R1978">IFERROR(IF(INDEX('Disaggregation Records'!$G$156:$G$517,MATCH(RIGHT(L1978,255),RIGHT('Disaggregation Records'!$D$156:$D$517,255),0))="","",INDEX('Disaggregation Records'!$G$156:$G$517,MATCH(RIGHT(L1978,255),RIGHT('Disaggregation Records'!$D$156:$D$517,255),0))),"")</f>
        <v/>
      </c>
    </row>
    <row r="1979" spans="1:18" ht="20.100000000000001" customHeight="1">
      <c r="A1979" s="126" t="str">
        <f t="shared" ref="A1979:A2039" ca="1" si="2264">INDIRECT("'update Helper'!C"&amp;Q1979)</f>
        <v>a16Dm000000M3rTIAS</v>
      </c>
      <c r="B1979" s="570">
        <v>34</v>
      </c>
      <c r="C1979" s="572" t="str">
        <f ca="1">IFERROR(VLOOKUP(B1979,'Coverage Indicators - Section D'!$A$9:$AO$94,41,FALSE),"")</f>
        <v>TCS-10 Percentage of pregnant women living with HIV who received antiretroviral medicine to reduce the risk of vertical transmission of HIV</v>
      </c>
      <c r="D1979" s="574" t="str">
        <f ca="1">M1979</f>
        <v/>
      </c>
      <c r="E1979" s="574" t="str">
        <f ca="1">N1979</f>
        <v/>
      </c>
      <c r="F1979" s="127">
        <v>1072</v>
      </c>
      <c r="G1979" s="576">
        <f ca="1">IF(OR(INDIRECT("'update Helper'!E"&amp;Q1979)="",F1979&lt;&gt;0,F1980&lt;&gt;0),IF(IFERROR((F1979/F1980),"")="","",(F1979/F1980)),INDIRECT("'update Helper'!E"&amp;Q1979)/100)</f>
        <v>0.8673139158576052</v>
      </c>
      <c r="H1979" s="539">
        <v>2021</v>
      </c>
      <c r="I1979" s="578" t="s">
        <v>2285</v>
      </c>
      <c r="J1979" s="532" t="s">
        <v>2293</v>
      </c>
      <c r="K1979" s="126">
        <f ca="1">IF(AND(EXACT(C1979,C1977),C1977&lt;&gt;0),K1977+1,0)</f>
        <v>19</v>
      </c>
      <c r="L1979" s="126" t="str">
        <f t="shared" ref="L1979" ca="1" si="2265">IF(C1979&lt;&gt;"",C1979&amp;"-"&amp;K1979,"")</f>
        <v>TCS-10 Percentage of pregnant women living with HIV who received antiretroviral medicine to reduce the risk of vertical transmission of HIV-19</v>
      </c>
      <c r="M1979" s="126" t="str">
        <f t="array" aca="1" ref="M1979" ca="1">IFERROR(IF(INDEX('Disaggregation Records'!$E$156:$E$517,MATCH(RIGHT(L1979,255),RIGHT('Disaggregation Records'!$D$156:$D$517,255),0))="","",INDEX('Disaggregation Records'!$E$156:$E$517,MATCH(RIGHT(L1979,255),RIGHT('Disaggregation Records'!$D$156:$D$517,255),0))),"")</f>
        <v/>
      </c>
      <c r="N1979" s="126" t="str">
        <f t="array" aca="1" ref="N1979" ca="1">IFERROR(IF(INDEX('Disaggregation Records'!$F$156:$F$517,MATCH(RIGHT(L1979,255),RIGHT('Disaggregation Records'!$D$156:$D$517,255),0))="","",INDEX('Disaggregation Records'!$F$156:$F$517,MATCH(RIGHT(L1979,255),RIGHT('Disaggregation Records'!$D$156:$D$517,255),0))),"")</f>
        <v/>
      </c>
      <c r="O1979" s="314" t="str">
        <f t="array" aca="1" ref="O1979" ca="1">IFERROR(IF(INDEX('Disaggregation Records'!$H$156:$H$517,MATCH(RIGHT(L1979,255),RIGHT('Disaggregation Records'!$D$156:$D$517,255),0))="","",INDEX('Disaggregation Records'!$H$156:$H$517,MATCH(RIGHT(L1979,255),RIGHT('Disaggregation Records'!$D$156:$D$517,255),0))),"")</f>
        <v/>
      </c>
      <c r="P1979" s="314"/>
      <c r="Q1979" s="310">
        <f t="shared" ref="Q1979" si="2266">Q1977+1</f>
        <v>1692</v>
      </c>
      <c r="R1979" s="314" t="str" cm="1">
        <f t="array" aca="1" ref="R1979" ca="1">IFERROR(IF(INDEX('Disaggregation Records'!$G$156:$G$517,MATCH(RIGHT(L1979,255),RIGHT('Disaggregation Records'!$D$156:$D$517,255),0))="","",INDEX('Disaggregation Records'!$G$156:$G$517,MATCH(RIGHT(L1979,255),RIGHT('Disaggregation Records'!$D$156:$D$517,255),0))),"")</f>
        <v/>
      </c>
    </row>
    <row r="1980" spans="1:18" ht="20.100000000000001" customHeight="1">
      <c r="A1980" s="126"/>
      <c r="B1980" s="571"/>
      <c r="C1980" s="573"/>
      <c r="D1980" s="575"/>
      <c r="E1980" s="575"/>
      <c r="F1980" s="128">
        <v>1236</v>
      </c>
      <c r="G1980" s="577"/>
      <c r="H1980" s="540"/>
      <c r="I1980" s="579"/>
      <c r="J1980" s="533"/>
      <c r="K1980" s="126"/>
      <c r="L1980" s="126"/>
      <c r="M1980" s="126"/>
      <c r="N1980" s="126"/>
      <c r="O1980" s="314"/>
      <c r="P1980" s="314"/>
      <c r="Q1980" s="310"/>
      <c r="R1980" s="314" t="str" cm="1">
        <f t="array" ref="R1980">IFERROR(IF(INDEX('Disaggregation Records'!$G$156:$G$517,MATCH(RIGHT(L1980,255),RIGHT('Disaggregation Records'!$D$156:$D$517,255),0))="","",INDEX('Disaggregation Records'!$G$156:$G$517,MATCH(RIGHT(L1980,255),RIGHT('Disaggregation Records'!$D$156:$D$517,255),0))),"")</f>
        <v/>
      </c>
    </row>
    <row r="1981" spans="1:18" ht="20.100000000000001" customHeight="1">
      <c r="A1981" s="126" t="str">
        <f t="shared" ref="A1981:A2041" ca="1" si="2267">INDIRECT("'update Helper'!C"&amp;Q1981)</f>
        <v>a16Dm000000M3rUIAS</v>
      </c>
      <c r="B1981" s="570">
        <v>35</v>
      </c>
      <c r="C1981" s="572" t="str">
        <f ca="1">IFERROR(VLOOKUP(B1981,'Coverage Indicators - Section D'!$A$9:$AO$94,41,FALSE),"")</f>
        <v>TCS-8 Percentage of people living with HIV and on ART with viral load test result</v>
      </c>
      <c r="D1981" s="574" t="str">
        <f ca="1">M1981</f>
        <v>Age</v>
      </c>
      <c r="E1981" s="574" t="str">
        <f ca="1">N1981</f>
        <v>15+</v>
      </c>
      <c r="F1981" s="127"/>
      <c r="G1981" s="576"/>
      <c r="H1981" s="539"/>
      <c r="I1981" s="578"/>
      <c r="J1981" s="532"/>
      <c r="K1981" s="126">
        <f ca="1">IF(AND(EXACT(C1981,C1979),C1979&lt;&gt;0),K1979+1,0)</f>
        <v>0</v>
      </c>
      <c r="L1981" s="126" t="str">
        <f t="shared" ref="L1981" ca="1" si="2268">IF(C1981&lt;&gt;"",C1981&amp;"-"&amp;K1981,"")</f>
        <v>TCS-8 Percentage of people living with HIV and on ART with viral load test result-0</v>
      </c>
      <c r="M1981" s="126" t="str">
        <f t="array" aca="1" ref="M1981" ca="1">IFERROR(IF(INDEX('Disaggregation Records'!$E$156:$E$517,MATCH(RIGHT(L1981,255),RIGHT('Disaggregation Records'!$D$156:$D$517,255),0))="","",INDEX('Disaggregation Records'!$E$156:$E$517,MATCH(RIGHT(L1981,255),RIGHT('Disaggregation Records'!$D$156:$D$517,255),0))),"")</f>
        <v>Age</v>
      </c>
      <c r="N1981" s="126" t="str">
        <f t="array" aca="1" ref="N1981" ca="1">IFERROR(IF(INDEX('Disaggregation Records'!$F$156:$F$517,MATCH(RIGHT(L1981,255),RIGHT('Disaggregation Records'!$D$156:$D$517,255),0))="","",INDEX('Disaggregation Records'!$F$156:$F$517,MATCH(RIGHT(L1981,255),RIGHT('Disaggregation Records'!$D$156:$D$517,255),0))),"")</f>
        <v>15+</v>
      </c>
      <c r="O1981" s="314" t="str">
        <f t="array" aca="1" ref="O1981" ca="1">IFERROR(IF(INDEX('Disaggregation Records'!$H$156:$H$517,MATCH(RIGHT(L1981,255),RIGHT('Disaggregation Records'!$D$156:$D$517,255),0))="","",INDEX('Disaggregation Records'!$H$156:$H$517,MATCH(RIGHT(L1981,255),RIGHT('Disaggregation Records'!$D$156:$D$517,255),0))),"")</f>
        <v>IDR-01306</v>
      </c>
      <c r="P1981" s="314"/>
      <c r="Q1981" s="310">
        <f t="shared" ref="Q1981" si="2269">Q1979+1</f>
        <v>1693</v>
      </c>
      <c r="R1981" s="314" t="str" cm="1">
        <f t="array" aca="1" ref="R1981" ca="1">IFERROR(IF(INDEX('Disaggregation Records'!$G$156:$G$517,MATCH(RIGHT(L1981,255),RIGHT('Disaggregation Records'!$D$156:$D$517,255),0))="","",INDEX('Disaggregation Records'!$G$156:$G$517,MATCH(RIGHT(L1981,255),RIGHT('Disaggregation Records'!$D$156:$D$517,255),0))),"")</f>
        <v>a1LDm000000Cb3oMAC</v>
      </c>
    </row>
    <row r="1982" spans="1:18" ht="20.100000000000001" customHeight="1">
      <c r="B1982" s="571"/>
      <c r="C1982" s="573"/>
      <c r="D1982" s="575"/>
      <c r="E1982" s="575"/>
      <c r="F1982" s="128"/>
      <c r="G1982" s="577"/>
      <c r="H1982" s="540"/>
      <c r="I1982" s="579"/>
      <c r="J1982" s="533"/>
      <c r="K1982" s="126"/>
      <c r="L1982" s="126"/>
      <c r="M1982" s="126"/>
      <c r="N1982" s="126"/>
      <c r="O1982" s="314"/>
      <c r="P1982" s="314"/>
      <c r="Q1982" s="310"/>
      <c r="R1982" s="314" t="str" cm="1">
        <f t="array" ref="R1982">IFERROR(IF(INDEX('Disaggregation Records'!$G$156:$G$517,MATCH(RIGHT(L1982,255),RIGHT('Disaggregation Records'!$D$156:$D$517,255),0))="","",INDEX('Disaggregation Records'!$G$156:$G$517,MATCH(RIGHT(L1982,255),RIGHT('Disaggregation Records'!$D$156:$D$517,255),0))),"")</f>
        <v/>
      </c>
    </row>
    <row r="1983" spans="1:18" ht="20.100000000000001" customHeight="1">
      <c r="A1983" s="126" t="str">
        <f t="shared" ref="A1983:A2043" ca="1" si="2270">INDIRECT("'update Helper'!C"&amp;Q1983)</f>
        <v>a16Dm000000M3rVIAS</v>
      </c>
      <c r="B1983" s="570">
        <v>35</v>
      </c>
      <c r="C1983" s="572" t="str">
        <f ca="1">IFERROR(VLOOKUP(B1983,'Coverage Indicators - Section D'!$A$9:$AO$94,41,FALSE),"")</f>
        <v>TCS-8 Percentage of people living with HIV and on ART with viral load test result</v>
      </c>
      <c r="D1983" s="574" t="str">
        <f ca="1">M1983</f>
        <v>Age</v>
      </c>
      <c r="E1983" s="574" t="str">
        <f ca="1">N1983</f>
        <v>&lt;15</v>
      </c>
      <c r="F1983" s="127"/>
      <c r="G1983" s="576"/>
      <c r="H1983" s="539"/>
      <c r="I1983" s="578"/>
      <c r="J1983" s="532"/>
      <c r="K1983" s="126">
        <f ca="1">IF(AND(EXACT(C1983,C1981),C1981&lt;&gt;0),K1981+1,0)</f>
        <v>1</v>
      </c>
      <c r="L1983" s="126" t="str">
        <f t="shared" ref="L1983" ca="1" si="2271">IF(C1983&lt;&gt;"",C1983&amp;"-"&amp;K1983,"")</f>
        <v>TCS-8 Percentage of people living with HIV and on ART with viral load test result-1</v>
      </c>
      <c r="M1983" s="126" t="str">
        <f t="array" aca="1" ref="M1983" ca="1">IFERROR(IF(INDEX('Disaggregation Records'!$E$156:$E$517,MATCH(RIGHT(L1983,255),RIGHT('Disaggregation Records'!$D$156:$D$517,255),0))="","",INDEX('Disaggregation Records'!$E$156:$E$517,MATCH(RIGHT(L1983,255),RIGHT('Disaggregation Records'!$D$156:$D$517,255),0))),"")</f>
        <v>Age</v>
      </c>
      <c r="N1983" s="126" t="str">
        <f t="array" aca="1" ref="N1983" ca="1">IFERROR(IF(INDEX('Disaggregation Records'!$F$156:$F$517,MATCH(RIGHT(L1983,255),RIGHT('Disaggregation Records'!$D$156:$D$517,255),0))="","",INDEX('Disaggregation Records'!$F$156:$F$517,MATCH(RIGHT(L1983,255),RIGHT('Disaggregation Records'!$D$156:$D$517,255),0))),"")</f>
        <v>&lt;15</v>
      </c>
      <c r="O1983" s="314" t="str">
        <f t="array" aca="1" ref="O1983" ca="1">IFERROR(IF(INDEX('Disaggregation Records'!$H$156:$H$517,MATCH(RIGHT(L1983,255),RIGHT('Disaggregation Records'!$D$156:$D$517,255),0))="","",INDEX('Disaggregation Records'!$H$156:$H$517,MATCH(RIGHT(L1983,255),RIGHT('Disaggregation Records'!$D$156:$D$517,255),0))),"")</f>
        <v>IDR-01305</v>
      </c>
      <c r="P1983" s="310"/>
      <c r="Q1983" s="310">
        <f t="shared" ref="Q1983" si="2272">Q1981+1</f>
        <v>1694</v>
      </c>
      <c r="R1983" s="314" t="str" cm="1">
        <f t="array" aca="1" ref="R1983" ca="1">IFERROR(IF(INDEX('Disaggregation Records'!$G$156:$G$517,MATCH(RIGHT(L1983,255),RIGHT('Disaggregation Records'!$D$156:$D$517,255),0))="","",INDEX('Disaggregation Records'!$G$156:$G$517,MATCH(RIGHT(L1983,255),RIGHT('Disaggregation Records'!$D$156:$D$517,255),0))),"")</f>
        <v>a1LDm000000Cb3nMAC</v>
      </c>
    </row>
    <row r="1984" spans="1:18" ht="20.100000000000001" customHeight="1">
      <c r="A1984" s="126"/>
      <c r="B1984" s="571"/>
      <c r="C1984" s="573"/>
      <c r="D1984" s="575"/>
      <c r="E1984" s="575"/>
      <c r="F1984" s="128"/>
      <c r="G1984" s="577"/>
      <c r="H1984" s="540"/>
      <c r="I1984" s="579"/>
      <c r="J1984" s="533"/>
      <c r="L1984" s="126"/>
      <c r="N1984" s="126"/>
      <c r="O1984" s="314"/>
      <c r="P1984" s="310"/>
      <c r="Q1984" s="310"/>
      <c r="R1984" s="314" t="str" cm="1">
        <f t="array" ref="R1984">IFERROR(IF(INDEX('Disaggregation Records'!$G$156:$G$517,MATCH(RIGHT(L1984,255),RIGHT('Disaggregation Records'!$D$156:$D$517,255),0))="","",INDEX('Disaggregation Records'!$G$156:$G$517,MATCH(RIGHT(L1984,255),RIGHT('Disaggregation Records'!$D$156:$D$517,255),0))),"")</f>
        <v/>
      </c>
    </row>
    <row r="1985" spans="1:18" ht="20.100000000000001" customHeight="1">
      <c r="A1985" s="126" t="str">
        <f t="shared" ref="A1985:A2045" ca="1" si="2273">INDIRECT("'update Helper'!C"&amp;Q1985)</f>
        <v>a16Dm000000M3rWIAS</v>
      </c>
      <c r="B1985" s="570">
        <v>35</v>
      </c>
      <c r="C1985" s="572" t="str">
        <f ca="1">IFERROR(VLOOKUP(B1985,'Coverage Indicators - Section D'!$A$9:$AO$94,41,FALSE),"")</f>
        <v>TCS-8 Percentage of people living with HIV and on ART with viral load test result</v>
      </c>
      <c r="D1985" s="574" t="str">
        <f ca="1">M1985</f>
        <v>Gender | Age</v>
      </c>
      <c r="E1985" s="574" t="str">
        <f ca="1">N1985</f>
        <v>Male 15+</v>
      </c>
      <c r="F1985" s="127"/>
      <c r="G1985" s="576"/>
      <c r="H1985" s="539"/>
      <c r="I1985" s="578"/>
      <c r="J1985" s="532"/>
      <c r="K1985" s="126">
        <f ca="1">IF(AND(EXACT(C1985,C1983),C1983&lt;&gt;0),K1983+1,0)</f>
        <v>2</v>
      </c>
      <c r="L1985" s="126" t="str">
        <f t="shared" ref="L1985" ca="1" si="2274">IF(C1985&lt;&gt;"",C1985&amp;"-"&amp;K1985,"")</f>
        <v>TCS-8 Percentage of people living with HIV and on ART with viral load test result-2</v>
      </c>
      <c r="M1985" s="126" t="str">
        <f t="array" aca="1" ref="M1985" ca="1">IFERROR(IF(INDEX('Disaggregation Records'!$E$156:$E$517,MATCH(RIGHT(L1985,255),RIGHT('Disaggregation Records'!$D$156:$D$517,255),0))="","",INDEX('Disaggregation Records'!$E$156:$E$517,MATCH(RIGHT(L1985,255),RIGHT('Disaggregation Records'!$D$156:$D$517,255),0))),"")</f>
        <v>Gender | Age</v>
      </c>
      <c r="N1985" s="126" t="str">
        <f t="array" aca="1" ref="N1985" ca="1">IFERROR(IF(INDEX('Disaggregation Records'!$F$156:$F$517,MATCH(RIGHT(L1985,255),RIGHT('Disaggregation Records'!$D$156:$D$517,255),0))="","",INDEX('Disaggregation Records'!$F$156:$F$517,MATCH(RIGHT(L1985,255),RIGHT('Disaggregation Records'!$D$156:$D$517,255),0))),"")</f>
        <v>Male 15+</v>
      </c>
      <c r="O1985" s="314" t="str">
        <f t="array" aca="1" ref="O1985" ca="1">IFERROR(IF(INDEX('Disaggregation Records'!$H$156:$H$517,MATCH(RIGHT(L1985,255),RIGHT('Disaggregation Records'!$D$156:$D$517,255),0))="","",INDEX('Disaggregation Records'!$H$156:$H$517,MATCH(RIGHT(L1985,255),RIGHT('Disaggregation Records'!$D$156:$D$517,255),0))),"")</f>
        <v>IDR-01304</v>
      </c>
      <c r="P1985" s="310"/>
      <c r="Q1985" s="310">
        <f t="shared" ref="Q1985" si="2275">Q1983+1</f>
        <v>1695</v>
      </c>
      <c r="R1985" s="314" t="str" cm="1">
        <f t="array" aca="1" ref="R1985" ca="1">IFERROR(IF(INDEX('Disaggregation Records'!$G$156:$G$517,MATCH(RIGHT(L1985,255),RIGHT('Disaggregation Records'!$D$156:$D$517,255),0))="","",INDEX('Disaggregation Records'!$G$156:$G$517,MATCH(RIGHT(L1985,255),RIGHT('Disaggregation Records'!$D$156:$D$517,255),0))),"")</f>
        <v>a1LDm000000Cb3mMAC</v>
      </c>
    </row>
    <row r="1986" spans="1:18" ht="20.100000000000001" customHeight="1">
      <c r="B1986" s="571"/>
      <c r="C1986" s="573"/>
      <c r="D1986" s="575"/>
      <c r="E1986" s="575"/>
      <c r="F1986" s="128"/>
      <c r="G1986" s="577"/>
      <c r="H1986" s="540"/>
      <c r="I1986" s="579"/>
      <c r="J1986" s="533"/>
      <c r="L1986" s="126"/>
      <c r="N1986" s="126"/>
      <c r="O1986" s="314"/>
      <c r="P1986" s="310"/>
      <c r="Q1986" s="310"/>
      <c r="R1986" s="314" t="str" cm="1">
        <f t="array" ref="R1986">IFERROR(IF(INDEX('Disaggregation Records'!$G$156:$G$517,MATCH(RIGHT(L1986,255),RIGHT('Disaggregation Records'!$D$156:$D$517,255),0))="","",INDEX('Disaggregation Records'!$G$156:$G$517,MATCH(RIGHT(L1986,255),RIGHT('Disaggregation Records'!$D$156:$D$517,255),0))),"")</f>
        <v/>
      </c>
    </row>
    <row r="1987" spans="1:18" ht="20.100000000000001" customHeight="1">
      <c r="A1987" s="126" t="str">
        <f t="shared" ref="A1987:A2047" ca="1" si="2276">INDIRECT("'update Helper'!C"&amp;Q1987)</f>
        <v>a16Dm000000M3rXIAS</v>
      </c>
      <c r="B1987" s="570">
        <v>35</v>
      </c>
      <c r="C1987" s="572" t="str">
        <f ca="1">IFERROR(VLOOKUP(B1987,'Coverage Indicators - Section D'!$A$9:$AO$94,41,FALSE),"")</f>
        <v>TCS-8 Percentage of people living with HIV and on ART with viral load test result</v>
      </c>
      <c r="D1987" s="574" t="str">
        <f ca="1">M1987</f>
        <v>Gender | Age</v>
      </c>
      <c r="E1987" s="574" t="str">
        <f ca="1">N1987</f>
        <v>Female 15+</v>
      </c>
      <c r="F1987" s="127"/>
      <c r="G1987" s="576"/>
      <c r="H1987" s="539"/>
      <c r="I1987" s="578"/>
      <c r="J1987" s="532"/>
      <c r="K1987" s="126">
        <f ca="1">IF(AND(EXACT(C1987,C1985),C1985&lt;&gt;0),K1985+1,0)</f>
        <v>3</v>
      </c>
      <c r="L1987" s="126" t="str">
        <f t="shared" ref="L1987" ca="1" si="2277">IF(C1987&lt;&gt;"",C1987&amp;"-"&amp;K1987,"")</f>
        <v>TCS-8 Percentage of people living with HIV and on ART with viral load test result-3</v>
      </c>
      <c r="M1987" s="126" t="str">
        <f t="array" aca="1" ref="M1987" ca="1">IFERROR(IF(INDEX('Disaggregation Records'!$E$156:$E$517,MATCH(RIGHT(L1987,255),RIGHT('Disaggregation Records'!$D$156:$D$517,255),0))="","",INDEX('Disaggregation Records'!$E$156:$E$517,MATCH(RIGHT(L1987,255),RIGHT('Disaggregation Records'!$D$156:$D$517,255),0))),"")</f>
        <v>Gender | Age</v>
      </c>
      <c r="N1987" s="126" t="str">
        <f t="array" aca="1" ref="N1987" ca="1">IFERROR(IF(INDEX('Disaggregation Records'!$F$156:$F$517,MATCH(RIGHT(L1987,255),RIGHT('Disaggregation Records'!$D$156:$D$517,255),0))="","",INDEX('Disaggregation Records'!$F$156:$F$517,MATCH(RIGHT(L1987,255),RIGHT('Disaggregation Records'!$D$156:$D$517,255),0))),"")</f>
        <v>Female 15+</v>
      </c>
      <c r="O1987" s="314" t="str">
        <f t="array" aca="1" ref="O1987" ca="1">IFERROR(IF(INDEX('Disaggregation Records'!$H$156:$H$517,MATCH(RIGHT(L1987,255),RIGHT('Disaggregation Records'!$D$156:$D$517,255),0))="","",INDEX('Disaggregation Records'!$H$156:$H$517,MATCH(RIGHT(L1987,255),RIGHT('Disaggregation Records'!$D$156:$D$517,255),0))),"")</f>
        <v>IDR-01303</v>
      </c>
      <c r="P1987" s="310"/>
      <c r="Q1987" s="310">
        <f t="shared" ref="Q1987" si="2278">Q1985+1</f>
        <v>1696</v>
      </c>
      <c r="R1987" s="314" t="str" cm="1">
        <f t="array" aca="1" ref="R1987" ca="1">IFERROR(IF(INDEX('Disaggregation Records'!$G$156:$G$517,MATCH(RIGHT(L1987,255),RIGHT('Disaggregation Records'!$D$156:$D$517,255),0))="","",INDEX('Disaggregation Records'!$G$156:$G$517,MATCH(RIGHT(L1987,255),RIGHT('Disaggregation Records'!$D$156:$D$517,255),0))),"")</f>
        <v>a1LDm000000Cb3lMAC</v>
      </c>
    </row>
    <row r="1988" spans="1:18" ht="20.100000000000001" customHeight="1">
      <c r="A1988" s="126"/>
      <c r="B1988" s="571"/>
      <c r="C1988" s="573"/>
      <c r="D1988" s="575"/>
      <c r="E1988" s="575"/>
      <c r="F1988" s="128"/>
      <c r="G1988" s="577"/>
      <c r="H1988" s="540"/>
      <c r="I1988" s="579"/>
      <c r="J1988" s="533"/>
      <c r="L1988" s="126"/>
      <c r="N1988" s="126"/>
      <c r="O1988" s="314"/>
      <c r="P1988" s="310"/>
      <c r="Q1988" s="310"/>
      <c r="R1988" s="314" t="str" cm="1">
        <f t="array" ref="R1988">IFERROR(IF(INDEX('Disaggregation Records'!$G$156:$G$517,MATCH(RIGHT(L1988,255),RIGHT('Disaggregation Records'!$D$156:$D$517,255),0))="","",INDEX('Disaggregation Records'!$G$156:$G$517,MATCH(RIGHT(L1988,255),RIGHT('Disaggregation Records'!$D$156:$D$517,255),0))),"")</f>
        <v/>
      </c>
    </row>
    <row r="1989" spans="1:18" ht="20.100000000000001" customHeight="1">
      <c r="A1989" s="126" t="str">
        <f t="shared" ref="A1989:A2049" ca="1" si="2279">INDIRECT("'update Helper'!C"&amp;Q1989)</f>
        <v>a16Dm000000M3rYIAS</v>
      </c>
      <c r="B1989" s="570">
        <v>35</v>
      </c>
      <c r="C1989" s="572" t="str">
        <f ca="1">IFERROR(VLOOKUP(B1989,'Coverage Indicators - Section D'!$A$9:$AO$94,41,FALSE),"")</f>
        <v>TCS-8 Percentage of people living with HIV and on ART with viral load test result</v>
      </c>
      <c r="D1989" s="574" t="str">
        <f ca="1">M1989</f>
        <v/>
      </c>
      <c r="E1989" s="574" t="str">
        <f ca="1">N1989</f>
        <v/>
      </c>
      <c r="F1989" s="127">
        <v>1120</v>
      </c>
      <c r="G1989" s="576">
        <f ca="1">IF(OR(INDIRECT("'update Helper'!E"&amp;Q1989)="",F1989&lt;&gt;0,F1990&lt;&gt;0),IF(IFERROR((F1989/F1990),"")="","",(F1989/F1990)),INDIRECT("'update Helper'!E"&amp;Q1989)/100)</f>
        <v>0.90614886731391586</v>
      </c>
      <c r="H1989" s="539">
        <v>2021</v>
      </c>
      <c r="I1989" s="578" t="s">
        <v>2285</v>
      </c>
      <c r="J1989" s="532" t="s">
        <v>2298</v>
      </c>
      <c r="K1989" s="126">
        <f ca="1">IF(AND(EXACT(C1989,C1987),C1987&lt;&gt;0),K1987+1,0)</f>
        <v>4</v>
      </c>
      <c r="L1989" s="126" t="str">
        <f t="shared" ref="L1989" ca="1" si="2280">IF(C1989&lt;&gt;"",C1989&amp;"-"&amp;K1989,"")</f>
        <v>TCS-8 Percentage of people living with HIV and on ART with viral load test result-4</v>
      </c>
      <c r="M1989" s="126" t="str">
        <f t="array" aca="1" ref="M1989" ca="1">IFERROR(IF(INDEX('Disaggregation Records'!$E$156:$E$517,MATCH(RIGHT(L1989,255),RIGHT('Disaggregation Records'!$D$156:$D$517,255),0))="","",INDEX('Disaggregation Records'!$E$156:$E$517,MATCH(RIGHT(L1989,255),RIGHT('Disaggregation Records'!$D$156:$D$517,255),0))),"")</f>
        <v/>
      </c>
      <c r="N1989" s="126" t="str">
        <f t="array" aca="1" ref="N1989" ca="1">IFERROR(IF(INDEX('Disaggregation Records'!$F$156:$F$517,MATCH(RIGHT(L1989,255),RIGHT('Disaggregation Records'!$D$156:$D$517,255),0))="","",INDEX('Disaggregation Records'!$F$156:$F$517,MATCH(RIGHT(L1989,255),RIGHT('Disaggregation Records'!$D$156:$D$517,255),0))),"")</f>
        <v/>
      </c>
      <c r="O1989" s="314" t="str">
        <f t="array" aca="1" ref="O1989" ca="1">IFERROR(IF(INDEX('Disaggregation Records'!$H$156:$H$517,MATCH(RIGHT(L1989,255),RIGHT('Disaggregation Records'!$D$156:$D$517,255),0))="","",INDEX('Disaggregation Records'!$H$156:$H$517,MATCH(RIGHT(L1989,255),RIGHT('Disaggregation Records'!$D$156:$D$517,255),0))),"")</f>
        <v/>
      </c>
      <c r="P1989" s="314"/>
      <c r="Q1989" s="310">
        <f t="shared" ref="Q1989" si="2281">Q1987+1</f>
        <v>1697</v>
      </c>
      <c r="R1989" s="314" t="str" cm="1">
        <f t="array" aca="1" ref="R1989" ca="1">IFERROR(IF(INDEX('Disaggregation Records'!$G$156:$G$517,MATCH(RIGHT(L1989,255),RIGHT('Disaggregation Records'!$D$156:$D$517,255),0))="","",INDEX('Disaggregation Records'!$G$156:$G$517,MATCH(RIGHT(L1989,255),RIGHT('Disaggregation Records'!$D$156:$D$517,255),0))),"")</f>
        <v/>
      </c>
    </row>
    <row r="1990" spans="1:18" ht="20.100000000000001" customHeight="1">
      <c r="B1990" s="571"/>
      <c r="C1990" s="573"/>
      <c r="D1990" s="575"/>
      <c r="E1990" s="575"/>
      <c r="F1990" s="128">
        <v>1236</v>
      </c>
      <c r="G1990" s="577"/>
      <c r="H1990" s="540"/>
      <c r="I1990" s="579"/>
      <c r="J1990" s="533"/>
      <c r="K1990" s="126"/>
      <c r="L1990" s="126"/>
      <c r="M1990" s="126"/>
      <c r="N1990" s="126"/>
      <c r="O1990" s="314"/>
      <c r="P1990" s="314"/>
      <c r="Q1990" s="310"/>
      <c r="R1990" s="314" t="str" cm="1">
        <f t="array" ref="R1990">IFERROR(IF(INDEX('Disaggregation Records'!$G$156:$G$517,MATCH(RIGHT(L1990,255),RIGHT('Disaggregation Records'!$D$156:$D$517,255),0))="","",INDEX('Disaggregation Records'!$G$156:$G$517,MATCH(RIGHT(L1990,255),RIGHT('Disaggregation Records'!$D$156:$D$517,255),0))),"")</f>
        <v/>
      </c>
    </row>
    <row r="1991" spans="1:18" ht="20.100000000000001" customHeight="1">
      <c r="A1991" s="126" t="str">
        <f t="shared" ref="A1991:A2051" ca="1" si="2282">INDIRECT("'update Helper'!C"&amp;Q1991)</f>
        <v>a16Dm000000M3rZIAS</v>
      </c>
      <c r="B1991" s="570">
        <v>35</v>
      </c>
      <c r="C1991" s="572" t="str">
        <f ca="1">IFERROR(VLOOKUP(B1991,'Coverage Indicators - Section D'!$A$9:$AO$94,41,FALSE),"")</f>
        <v>TCS-8 Percentage of people living with HIV and on ART with viral load test result</v>
      </c>
      <c r="D1991" s="574" t="str">
        <f ca="1">M1991</f>
        <v/>
      </c>
      <c r="E1991" s="574" t="str">
        <f ca="1">N1991</f>
        <v/>
      </c>
      <c r="F1991" s="127"/>
      <c r="G1991" s="576" t="str">
        <f ca="1">IF(OR(INDIRECT("'update Helper'!E"&amp;Q1991)="",F1991&lt;&gt;0,F1992&lt;&gt;0),IF(IFERROR((F1991/F1992),"")="","",(F1991/F1992)),INDIRECT("'update Helper'!E"&amp;Q1991)/100)</f>
        <v/>
      </c>
      <c r="H1991" s="539"/>
      <c r="I1991" s="578"/>
      <c r="J1991" s="532"/>
      <c r="K1991" s="126">
        <f ca="1">IF(AND(EXACT(C1991,C1989),C1989&lt;&gt;0),K1989+1,0)</f>
        <v>5</v>
      </c>
      <c r="L1991" s="126" t="str">
        <f t="shared" ref="L1991" ca="1" si="2283">IF(C1991&lt;&gt;"",C1991&amp;"-"&amp;K1991,"")</f>
        <v>TCS-8 Percentage of people living with HIV and on ART with viral load test result-5</v>
      </c>
      <c r="M1991" s="126" t="str">
        <f t="array" aca="1" ref="M1991" ca="1">IFERROR(IF(INDEX('Disaggregation Records'!$E$156:$E$517,MATCH(RIGHT(L1991,255),RIGHT('Disaggregation Records'!$D$156:$D$517,255),0))="","",INDEX('Disaggregation Records'!$E$156:$E$517,MATCH(RIGHT(L1991,255),RIGHT('Disaggregation Records'!$D$156:$D$517,255),0))),"")</f>
        <v/>
      </c>
      <c r="N1991" s="126" t="str">
        <f t="array" aca="1" ref="N1991" ca="1">IFERROR(IF(INDEX('Disaggregation Records'!$F$156:$F$517,MATCH(RIGHT(L1991,255),RIGHT('Disaggregation Records'!$D$156:$D$517,255),0))="","",INDEX('Disaggregation Records'!$F$156:$F$517,MATCH(RIGHT(L1991,255),RIGHT('Disaggregation Records'!$D$156:$D$517,255),0))),"")</f>
        <v/>
      </c>
      <c r="O1991" s="314" t="str">
        <f t="array" aca="1" ref="O1991" ca="1">IFERROR(IF(INDEX('Disaggregation Records'!$H$156:$H$517,MATCH(RIGHT(L1991,255),RIGHT('Disaggregation Records'!$D$156:$D$517,255),0))="","",INDEX('Disaggregation Records'!$H$156:$H$517,MATCH(RIGHT(L1991,255),RIGHT('Disaggregation Records'!$D$156:$D$517,255),0))),"")</f>
        <v/>
      </c>
      <c r="P1991" s="314"/>
      <c r="Q1991" s="310">
        <f t="shared" ref="Q1991" si="2284">Q1989+1</f>
        <v>1698</v>
      </c>
      <c r="R1991" s="314" t="str" cm="1">
        <f t="array" aca="1" ref="R1991" ca="1">IFERROR(IF(INDEX('Disaggregation Records'!$G$156:$G$517,MATCH(RIGHT(L1991,255),RIGHT('Disaggregation Records'!$D$156:$D$517,255),0))="","",INDEX('Disaggregation Records'!$G$156:$G$517,MATCH(RIGHT(L1991,255),RIGHT('Disaggregation Records'!$D$156:$D$517,255),0))),"")</f>
        <v/>
      </c>
    </row>
    <row r="1992" spans="1:18" ht="20.100000000000001" customHeight="1">
      <c r="A1992" s="126"/>
      <c r="B1992" s="571"/>
      <c r="C1992" s="573"/>
      <c r="D1992" s="575"/>
      <c r="E1992" s="575"/>
      <c r="F1992" s="128"/>
      <c r="G1992" s="577"/>
      <c r="H1992" s="540"/>
      <c r="I1992" s="579"/>
      <c r="J1992" s="533"/>
      <c r="K1992" s="126"/>
      <c r="L1992" s="126"/>
      <c r="M1992" s="126"/>
      <c r="N1992" s="126"/>
      <c r="O1992" s="314"/>
      <c r="P1992" s="314"/>
      <c r="Q1992" s="310"/>
      <c r="R1992" s="314" t="str" cm="1">
        <f t="array" ref="R1992">IFERROR(IF(INDEX('Disaggregation Records'!$G$156:$G$517,MATCH(RIGHT(L1992,255),RIGHT('Disaggregation Records'!$D$156:$D$517,255),0))="","",INDEX('Disaggregation Records'!$G$156:$G$517,MATCH(RIGHT(L1992,255),RIGHT('Disaggregation Records'!$D$156:$D$517,255),0))),"")</f>
        <v/>
      </c>
    </row>
    <row r="1993" spans="1:18" ht="20.100000000000001" customHeight="1">
      <c r="A1993" s="126" t="str">
        <f t="shared" ref="A1993:A2053" ca="1" si="2285">INDIRECT("'update Helper'!C"&amp;Q1993)</f>
        <v>a16Dm000000M3raIAC</v>
      </c>
      <c r="B1993" s="570">
        <v>35</v>
      </c>
      <c r="C1993" s="572" t="str">
        <f ca="1">IFERROR(VLOOKUP(B1993,'Coverage Indicators - Section D'!$A$9:$AO$94,41,FALSE),"")</f>
        <v>TCS-8 Percentage of people living with HIV and on ART with viral load test result</v>
      </c>
      <c r="D1993" s="574" t="str">
        <f ca="1">M1993</f>
        <v/>
      </c>
      <c r="E1993" s="574" t="str">
        <f ca="1">N1993</f>
        <v/>
      </c>
      <c r="F1993" s="127"/>
      <c r="G1993" s="576" t="str">
        <f ca="1">IF(OR(INDIRECT("'update Helper'!E"&amp;Q1993)="",F1993&lt;&gt;0,F1994&lt;&gt;0),IF(IFERROR((F1993/F1994),"")="","",(F1993/F1994)),INDIRECT("'update Helper'!E"&amp;Q1993)/100)</f>
        <v/>
      </c>
      <c r="H1993" s="539"/>
      <c r="I1993" s="578"/>
      <c r="J1993" s="532"/>
      <c r="K1993" s="126">
        <f ca="1">IF(AND(EXACT(C1993,C1991),C1991&lt;&gt;0),K1991+1,0)</f>
        <v>6</v>
      </c>
      <c r="L1993" s="126" t="str">
        <f t="shared" ref="L1993" ca="1" si="2286">IF(C1993&lt;&gt;"",C1993&amp;"-"&amp;K1993,"")</f>
        <v>TCS-8 Percentage of people living with HIV and on ART with viral load test result-6</v>
      </c>
      <c r="M1993" s="126" t="str">
        <f t="array" aca="1" ref="M1993" ca="1">IFERROR(IF(INDEX('Disaggregation Records'!$E$156:$E$517,MATCH(RIGHT(L1993,255),RIGHT('Disaggregation Records'!$D$156:$D$517,255),0))="","",INDEX('Disaggregation Records'!$E$156:$E$517,MATCH(RIGHT(L1993,255),RIGHT('Disaggregation Records'!$D$156:$D$517,255),0))),"")</f>
        <v/>
      </c>
      <c r="N1993" s="126" t="str">
        <f t="array" aca="1" ref="N1993" ca="1">IFERROR(IF(INDEX('Disaggregation Records'!$F$156:$F$517,MATCH(RIGHT(L1993,255),RIGHT('Disaggregation Records'!$D$156:$D$517,255),0))="","",INDEX('Disaggregation Records'!$F$156:$F$517,MATCH(RIGHT(L1993,255),RIGHT('Disaggregation Records'!$D$156:$D$517,255),0))),"")</f>
        <v/>
      </c>
      <c r="O1993" s="314" t="str">
        <f t="array" aca="1" ref="O1993" ca="1">IFERROR(IF(INDEX('Disaggregation Records'!$H$156:$H$517,MATCH(RIGHT(L1993,255),RIGHT('Disaggregation Records'!$D$156:$D$517,255),0))="","",INDEX('Disaggregation Records'!$H$156:$H$517,MATCH(RIGHT(L1993,255),RIGHT('Disaggregation Records'!$D$156:$D$517,255),0))),"")</f>
        <v/>
      </c>
      <c r="P1993" s="310"/>
      <c r="Q1993" s="310">
        <f t="shared" ref="Q1993" si="2287">Q1991+1</f>
        <v>1699</v>
      </c>
      <c r="R1993" s="314" t="str" cm="1">
        <f t="array" aca="1" ref="R1993" ca="1">IFERROR(IF(INDEX('Disaggregation Records'!$G$156:$G$517,MATCH(RIGHT(L1993,255),RIGHT('Disaggregation Records'!$D$156:$D$517,255),0))="","",INDEX('Disaggregation Records'!$G$156:$G$517,MATCH(RIGHT(L1993,255),RIGHT('Disaggregation Records'!$D$156:$D$517,255),0))),"")</f>
        <v/>
      </c>
    </row>
    <row r="1994" spans="1:18" ht="20.100000000000001" customHeight="1">
      <c r="B1994" s="571"/>
      <c r="C1994" s="573"/>
      <c r="D1994" s="575"/>
      <c r="E1994" s="575"/>
      <c r="F1994" s="128"/>
      <c r="G1994" s="577"/>
      <c r="H1994" s="540"/>
      <c r="I1994" s="579"/>
      <c r="J1994" s="533"/>
      <c r="L1994" s="126"/>
      <c r="N1994" s="126"/>
      <c r="O1994" s="314"/>
      <c r="P1994" s="310"/>
      <c r="Q1994" s="310"/>
      <c r="R1994" s="314" t="str" cm="1">
        <f t="array" ref="R1994">IFERROR(IF(INDEX('Disaggregation Records'!$G$156:$G$517,MATCH(RIGHT(L1994,255),RIGHT('Disaggregation Records'!$D$156:$D$517,255),0))="","",INDEX('Disaggregation Records'!$G$156:$G$517,MATCH(RIGHT(L1994,255),RIGHT('Disaggregation Records'!$D$156:$D$517,255),0))),"")</f>
        <v/>
      </c>
    </row>
    <row r="1995" spans="1:18" ht="20.100000000000001" customHeight="1">
      <c r="A1995" s="126" t="str">
        <f t="shared" ref="A1995:A2055" ca="1" si="2288">INDIRECT("'update Helper'!C"&amp;Q1995)</f>
        <v>a16Dm000000M3rbIAC</v>
      </c>
      <c r="B1995" s="570">
        <v>35</v>
      </c>
      <c r="C1995" s="572" t="str">
        <f ca="1">IFERROR(VLOOKUP(B1995,'Coverage Indicators - Section D'!$A$9:$AO$94,41,FALSE),"")</f>
        <v>TCS-8 Percentage of people living with HIV and on ART with viral load test result</v>
      </c>
      <c r="D1995" s="574" t="str">
        <f ca="1">M1995</f>
        <v/>
      </c>
      <c r="E1995" s="574" t="str">
        <f ca="1">N1995</f>
        <v/>
      </c>
      <c r="F1995" s="127"/>
      <c r="G1995" s="576" t="str">
        <f ca="1">IF(OR(INDIRECT("'update Helper'!E"&amp;Q1995)="",F1995&lt;&gt;0,F1996&lt;&gt;0),IF(IFERROR((F1995/F1996),"")="","",(F1995/F1996)),INDIRECT("'update Helper'!E"&amp;Q1995)/100)</f>
        <v/>
      </c>
      <c r="H1995" s="539"/>
      <c r="I1995" s="578"/>
      <c r="J1995" s="532"/>
      <c r="K1995" s="126">
        <f ca="1">IF(AND(EXACT(C1995,C1993),C1993&lt;&gt;0),K1993+1,0)</f>
        <v>7</v>
      </c>
      <c r="L1995" s="126" t="str">
        <f t="shared" ref="L1995" ca="1" si="2289">IF(C1995&lt;&gt;"",C1995&amp;"-"&amp;K1995,"")</f>
        <v>TCS-8 Percentage of people living with HIV and on ART with viral load test result-7</v>
      </c>
      <c r="M1995" s="126" t="str">
        <f t="array" aca="1" ref="M1995" ca="1">IFERROR(IF(INDEX('Disaggregation Records'!$E$156:$E$517,MATCH(RIGHT(L1995,255),RIGHT('Disaggregation Records'!$D$156:$D$517,255),0))="","",INDEX('Disaggregation Records'!$E$156:$E$517,MATCH(RIGHT(L1995,255),RIGHT('Disaggregation Records'!$D$156:$D$517,255),0))),"")</f>
        <v/>
      </c>
      <c r="N1995" s="126" t="str">
        <f t="array" aca="1" ref="N1995" ca="1">IFERROR(IF(INDEX('Disaggregation Records'!$F$156:$F$517,MATCH(RIGHT(L1995,255),RIGHT('Disaggregation Records'!$D$156:$D$517,255),0))="","",INDEX('Disaggregation Records'!$F$156:$F$517,MATCH(RIGHT(L1995,255),RIGHT('Disaggregation Records'!$D$156:$D$517,255),0))),"")</f>
        <v/>
      </c>
      <c r="O1995" s="314" t="str">
        <f t="array" aca="1" ref="O1995" ca="1">IFERROR(IF(INDEX('Disaggregation Records'!$H$156:$H$517,MATCH(RIGHT(L1995,255),RIGHT('Disaggregation Records'!$D$156:$D$517,255),0))="","",INDEX('Disaggregation Records'!$H$156:$H$517,MATCH(RIGHT(L1995,255),RIGHT('Disaggregation Records'!$D$156:$D$517,255),0))),"")</f>
        <v/>
      </c>
      <c r="P1995" s="310"/>
      <c r="Q1995" s="310">
        <f t="shared" ref="Q1995" si="2290">Q1993+1</f>
        <v>1700</v>
      </c>
      <c r="R1995" s="314" t="str" cm="1">
        <f t="array" aca="1" ref="R1995" ca="1">IFERROR(IF(INDEX('Disaggregation Records'!$G$156:$G$517,MATCH(RIGHT(L1995,255),RIGHT('Disaggregation Records'!$D$156:$D$517,255),0))="","",INDEX('Disaggregation Records'!$G$156:$G$517,MATCH(RIGHT(L1995,255),RIGHT('Disaggregation Records'!$D$156:$D$517,255),0))),"")</f>
        <v/>
      </c>
    </row>
    <row r="1996" spans="1:18" ht="20.100000000000001" customHeight="1">
      <c r="A1996" s="126"/>
      <c r="B1996" s="571"/>
      <c r="C1996" s="573"/>
      <c r="D1996" s="575"/>
      <c r="E1996" s="575"/>
      <c r="F1996" s="128"/>
      <c r="G1996" s="577"/>
      <c r="H1996" s="540"/>
      <c r="I1996" s="579"/>
      <c r="J1996" s="533"/>
      <c r="L1996" s="126"/>
      <c r="N1996" s="126"/>
      <c r="O1996" s="314"/>
      <c r="P1996" s="310"/>
      <c r="Q1996" s="310"/>
      <c r="R1996" s="314" t="str" cm="1">
        <f t="array" ref="R1996">IFERROR(IF(INDEX('Disaggregation Records'!$G$156:$G$517,MATCH(RIGHT(L1996,255),RIGHT('Disaggregation Records'!$D$156:$D$517,255),0))="","",INDEX('Disaggregation Records'!$G$156:$G$517,MATCH(RIGHT(L1996,255),RIGHT('Disaggregation Records'!$D$156:$D$517,255),0))),"")</f>
        <v/>
      </c>
    </row>
    <row r="1997" spans="1:18" ht="20.100000000000001" customHeight="1">
      <c r="A1997" s="126" t="str">
        <f t="shared" ref="A1997:A2057" ca="1" si="2291">INDIRECT("'update Helper'!C"&amp;Q1997)</f>
        <v>a16Dm000000M3rcIAC</v>
      </c>
      <c r="B1997" s="570">
        <v>35</v>
      </c>
      <c r="C1997" s="572" t="str">
        <f ca="1">IFERROR(VLOOKUP(B1997,'Coverage Indicators - Section D'!$A$9:$AO$94,41,FALSE),"")</f>
        <v>TCS-8 Percentage of people living with HIV and on ART with viral load test result</v>
      </c>
      <c r="D1997" s="574" t="str">
        <f ca="1">M1997</f>
        <v/>
      </c>
      <c r="E1997" s="574" t="str">
        <f ca="1">N1997</f>
        <v/>
      </c>
      <c r="F1997" s="127"/>
      <c r="G1997" s="576" t="str">
        <f ca="1">IF(OR(INDIRECT("'update Helper'!E"&amp;Q1997)="",F1997&lt;&gt;0,F1998&lt;&gt;0),IF(IFERROR((F1997/F1998),"")="","",(F1997/F1998)),INDIRECT("'update Helper'!E"&amp;Q1997)/100)</f>
        <v/>
      </c>
      <c r="H1997" s="539"/>
      <c r="I1997" s="578"/>
      <c r="J1997" s="532"/>
      <c r="K1997" s="126">
        <f ca="1">IF(AND(EXACT(C1997,C1995),C1995&lt;&gt;0),K1995+1,0)</f>
        <v>8</v>
      </c>
      <c r="L1997" s="126" t="str">
        <f t="shared" ref="L1997" ca="1" si="2292">IF(C1997&lt;&gt;"",C1997&amp;"-"&amp;K1997,"")</f>
        <v>TCS-8 Percentage of people living with HIV and on ART with viral load test result-8</v>
      </c>
      <c r="M1997" s="126" t="str">
        <f t="array" aca="1" ref="M1997" ca="1">IFERROR(IF(INDEX('Disaggregation Records'!$E$156:$E$517,MATCH(RIGHT(L1997,255),RIGHT('Disaggregation Records'!$D$156:$D$517,255),0))="","",INDEX('Disaggregation Records'!$E$156:$E$517,MATCH(RIGHT(L1997,255),RIGHT('Disaggregation Records'!$D$156:$D$517,255),0))),"")</f>
        <v/>
      </c>
      <c r="N1997" s="126" t="str">
        <f t="array" aca="1" ref="N1997" ca="1">IFERROR(IF(INDEX('Disaggregation Records'!$F$156:$F$517,MATCH(RIGHT(L1997,255),RIGHT('Disaggregation Records'!$D$156:$D$517,255),0))="","",INDEX('Disaggregation Records'!$F$156:$F$517,MATCH(RIGHT(L1997,255),RIGHT('Disaggregation Records'!$D$156:$D$517,255),0))),"")</f>
        <v/>
      </c>
      <c r="O1997" s="314" t="str">
        <f t="array" aca="1" ref="O1997" ca="1">IFERROR(IF(INDEX('Disaggregation Records'!$H$156:$H$517,MATCH(RIGHT(L1997,255),RIGHT('Disaggregation Records'!$D$156:$D$517,255),0))="","",INDEX('Disaggregation Records'!$H$156:$H$517,MATCH(RIGHT(L1997,255),RIGHT('Disaggregation Records'!$D$156:$D$517,255),0))),"")</f>
        <v/>
      </c>
      <c r="P1997" s="310"/>
      <c r="Q1997" s="310">
        <f t="shared" ref="Q1997" si="2293">Q1995+1</f>
        <v>1701</v>
      </c>
      <c r="R1997" s="314" t="str" cm="1">
        <f t="array" aca="1" ref="R1997" ca="1">IFERROR(IF(INDEX('Disaggregation Records'!$G$156:$G$517,MATCH(RIGHT(L1997,255),RIGHT('Disaggregation Records'!$D$156:$D$517,255),0))="","",INDEX('Disaggregation Records'!$G$156:$G$517,MATCH(RIGHT(L1997,255),RIGHT('Disaggregation Records'!$D$156:$D$517,255),0))),"")</f>
        <v/>
      </c>
    </row>
    <row r="1998" spans="1:18" ht="20.100000000000001" customHeight="1">
      <c r="B1998" s="571"/>
      <c r="C1998" s="573"/>
      <c r="D1998" s="575"/>
      <c r="E1998" s="575"/>
      <c r="F1998" s="128"/>
      <c r="G1998" s="577"/>
      <c r="H1998" s="540"/>
      <c r="I1998" s="579"/>
      <c r="J1998" s="533"/>
      <c r="L1998" s="126"/>
      <c r="N1998" s="126"/>
      <c r="O1998" s="314"/>
      <c r="P1998" s="310"/>
      <c r="Q1998" s="310"/>
      <c r="R1998" s="314" t="str" cm="1">
        <f t="array" ref="R1998">IFERROR(IF(INDEX('Disaggregation Records'!$G$156:$G$517,MATCH(RIGHT(L1998,255),RIGHT('Disaggregation Records'!$D$156:$D$517,255),0))="","",INDEX('Disaggregation Records'!$G$156:$G$517,MATCH(RIGHT(L1998,255),RIGHT('Disaggregation Records'!$D$156:$D$517,255),0))),"")</f>
        <v/>
      </c>
    </row>
    <row r="1999" spans="1:18" ht="20.100000000000001" customHeight="1">
      <c r="A1999" s="126" t="str">
        <f t="shared" ref="A1999:A2059" ca="1" si="2294">INDIRECT("'update Helper'!C"&amp;Q1999)</f>
        <v>a16Dm000000M3rdIAC</v>
      </c>
      <c r="B1999" s="570">
        <v>35</v>
      </c>
      <c r="C1999" s="572" t="str">
        <f ca="1">IFERROR(VLOOKUP(B1999,'Coverage Indicators - Section D'!$A$9:$AO$94,41,FALSE),"")</f>
        <v>TCS-8 Percentage of people living with HIV and on ART with viral load test result</v>
      </c>
      <c r="D1999" s="574" t="str">
        <f ca="1">M1999</f>
        <v/>
      </c>
      <c r="E1999" s="574" t="str">
        <f ca="1">N1999</f>
        <v/>
      </c>
      <c r="F1999" s="127"/>
      <c r="G1999" s="576" t="str">
        <f ca="1">IF(OR(INDIRECT("'update Helper'!E"&amp;Q1999)="",F1999&lt;&gt;0,F2000&lt;&gt;0),IF(IFERROR((F1999/F2000),"")="","",(F1999/F2000)),INDIRECT("'update Helper'!E"&amp;Q1999)/100)</f>
        <v/>
      </c>
      <c r="H1999" s="539"/>
      <c r="I1999" s="578"/>
      <c r="J1999" s="532"/>
      <c r="K1999" s="126">
        <f ca="1">IF(AND(EXACT(C1999,C1997),C1997&lt;&gt;0),K1997+1,0)</f>
        <v>9</v>
      </c>
      <c r="L1999" s="126" t="str">
        <f t="shared" ref="L1999" ca="1" si="2295">IF(C1999&lt;&gt;"",C1999&amp;"-"&amp;K1999,"")</f>
        <v>TCS-8 Percentage of people living with HIV and on ART with viral load test result-9</v>
      </c>
      <c r="M1999" s="126" t="str">
        <f t="array" aca="1" ref="M1999" ca="1">IFERROR(IF(INDEX('Disaggregation Records'!$E$156:$E$517,MATCH(RIGHT(L1999,255),RIGHT('Disaggregation Records'!$D$156:$D$517,255),0))="","",INDEX('Disaggregation Records'!$E$156:$E$517,MATCH(RIGHT(L1999,255),RIGHT('Disaggregation Records'!$D$156:$D$517,255),0))),"")</f>
        <v/>
      </c>
      <c r="N1999" s="126" t="str">
        <f t="array" aca="1" ref="N1999" ca="1">IFERROR(IF(INDEX('Disaggregation Records'!$F$156:$F$517,MATCH(RIGHT(L1999,255),RIGHT('Disaggregation Records'!$D$156:$D$517,255),0))="","",INDEX('Disaggregation Records'!$F$156:$F$517,MATCH(RIGHT(L1999,255),RIGHT('Disaggregation Records'!$D$156:$D$517,255),0))),"")</f>
        <v/>
      </c>
      <c r="O1999" s="314" t="str">
        <f t="array" aca="1" ref="O1999" ca="1">IFERROR(IF(INDEX('Disaggregation Records'!$H$156:$H$517,MATCH(RIGHT(L1999,255),RIGHT('Disaggregation Records'!$D$156:$D$517,255),0))="","",INDEX('Disaggregation Records'!$H$156:$H$517,MATCH(RIGHT(L1999,255),RIGHT('Disaggregation Records'!$D$156:$D$517,255),0))),"")</f>
        <v/>
      </c>
      <c r="P1999" s="314"/>
      <c r="Q1999" s="310">
        <f t="shared" ref="Q1999" si="2296">Q1997+1</f>
        <v>1702</v>
      </c>
      <c r="R1999" s="314" t="str" cm="1">
        <f t="array" aca="1" ref="R1999" ca="1">IFERROR(IF(INDEX('Disaggregation Records'!$G$156:$G$517,MATCH(RIGHT(L1999,255),RIGHT('Disaggregation Records'!$D$156:$D$517,255),0))="","",INDEX('Disaggregation Records'!$G$156:$G$517,MATCH(RIGHT(L1999,255),RIGHT('Disaggregation Records'!$D$156:$D$517,255),0))),"")</f>
        <v/>
      </c>
    </row>
    <row r="2000" spans="1:18" ht="20.100000000000001" customHeight="1">
      <c r="A2000" s="126"/>
      <c r="B2000" s="571"/>
      <c r="C2000" s="573"/>
      <c r="D2000" s="575"/>
      <c r="E2000" s="575"/>
      <c r="F2000" s="128"/>
      <c r="G2000" s="577"/>
      <c r="H2000" s="540"/>
      <c r="I2000" s="579"/>
      <c r="J2000" s="533"/>
      <c r="K2000" s="126"/>
      <c r="L2000" s="126"/>
      <c r="M2000" s="126"/>
      <c r="N2000" s="126"/>
      <c r="O2000" s="314"/>
      <c r="P2000" s="314"/>
      <c r="Q2000" s="310"/>
      <c r="R2000" s="314" t="str" cm="1">
        <f t="array" ref="R2000">IFERROR(IF(INDEX('Disaggregation Records'!$G$156:$G$517,MATCH(RIGHT(L2000,255),RIGHT('Disaggregation Records'!$D$156:$D$517,255),0))="","",INDEX('Disaggregation Records'!$G$156:$G$517,MATCH(RIGHT(L2000,255),RIGHT('Disaggregation Records'!$D$156:$D$517,255),0))),"")</f>
        <v/>
      </c>
    </row>
    <row r="2001" spans="1:18" ht="20.100000000000001" customHeight="1">
      <c r="A2001" s="126" t="str">
        <f t="shared" ref="A2001:A2061" ca="1" si="2297">INDIRECT("'update Helper'!C"&amp;Q2001)</f>
        <v>a16Dm000000M3reIAC</v>
      </c>
      <c r="B2001" s="570">
        <v>35</v>
      </c>
      <c r="C2001" s="572" t="str">
        <f ca="1">IFERROR(VLOOKUP(B2001,'Coverage Indicators - Section D'!$A$9:$AO$94,41,FALSE),"")</f>
        <v>TCS-8 Percentage of people living with HIV and on ART with viral load test result</v>
      </c>
      <c r="D2001" s="574" t="str">
        <f ca="1">M2001</f>
        <v/>
      </c>
      <c r="E2001" s="574" t="str">
        <f ca="1">N2001</f>
        <v/>
      </c>
      <c r="F2001" s="127"/>
      <c r="G2001" s="576" t="str">
        <f ca="1">IF(OR(INDIRECT("'update Helper'!E"&amp;Q2001)="",F2001&lt;&gt;0,F2002&lt;&gt;0),IF(IFERROR((F2001/F2002),"")="","",(F2001/F2002)),INDIRECT("'update Helper'!E"&amp;Q2001)/100)</f>
        <v/>
      </c>
      <c r="H2001" s="539"/>
      <c r="I2001" s="578"/>
      <c r="J2001" s="532"/>
      <c r="K2001" s="126">
        <f ca="1">IF(AND(EXACT(C2001,C1999),C1999&lt;&gt;0),K1999+1,0)</f>
        <v>10</v>
      </c>
      <c r="L2001" s="126" t="str">
        <f t="shared" ref="L2001" ca="1" si="2298">IF(C2001&lt;&gt;"",C2001&amp;"-"&amp;K2001,"")</f>
        <v>TCS-8 Percentage of people living with HIV and on ART with viral load test result-10</v>
      </c>
      <c r="M2001" s="126" t="str">
        <f t="array" aca="1" ref="M2001" ca="1">IFERROR(IF(INDEX('Disaggregation Records'!$E$156:$E$517,MATCH(RIGHT(L2001,255),RIGHT('Disaggregation Records'!$D$156:$D$517,255),0))="","",INDEX('Disaggregation Records'!$E$156:$E$517,MATCH(RIGHT(L2001,255),RIGHT('Disaggregation Records'!$D$156:$D$517,255),0))),"")</f>
        <v/>
      </c>
      <c r="N2001" s="126" t="str">
        <f t="array" aca="1" ref="N2001" ca="1">IFERROR(IF(INDEX('Disaggregation Records'!$F$156:$F$517,MATCH(RIGHT(L2001,255),RIGHT('Disaggregation Records'!$D$156:$D$517,255),0))="","",INDEX('Disaggregation Records'!$F$156:$F$517,MATCH(RIGHT(L2001,255),RIGHT('Disaggregation Records'!$D$156:$D$517,255),0))),"")</f>
        <v/>
      </c>
      <c r="O2001" s="314" t="str">
        <f t="array" aca="1" ref="O2001" ca="1">IFERROR(IF(INDEX('Disaggregation Records'!$H$156:$H$517,MATCH(RIGHT(L2001,255),RIGHT('Disaggregation Records'!$D$156:$D$517,255),0))="","",INDEX('Disaggregation Records'!$H$156:$H$517,MATCH(RIGHT(L2001,255),RIGHT('Disaggregation Records'!$D$156:$D$517,255),0))),"")</f>
        <v/>
      </c>
      <c r="P2001" s="314"/>
      <c r="Q2001" s="310">
        <f t="shared" ref="Q2001" si="2299">Q1999+1</f>
        <v>1703</v>
      </c>
      <c r="R2001" s="314" t="str" cm="1">
        <f t="array" aca="1" ref="R2001" ca="1">IFERROR(IF(INDEX('Disaggregation Records'!$G$156:$G$517,MATCH(RIGHT(L2001,255),RIGHT('Disaggregation Records'!$D$156:$D$517,255),0))="","",INDEX('Disaggregation Records'!$G$156:$G$517,MATCH(RIGHT(L2001,255),RIGHT('Disaggregation Records'!$D$156:$D$517,255),0))),"")</f>
        <v/>
      </c>
    </row>
    <row r="2002" spans="1:18" ht="20.100000000000001" customHeight="1">
      <c r="B2002" s="571"/>
      <c r="C2002" s="573"/>
      <c r="D2002" s="575"/>
      <c r="E2002" s="575"/>
      <c r="F2002" s="128"/>
      <c r="G2002" s="577"/>
      <c r="H2002" s="540"/>
      <c r="I2002" s="579"/>
      <c r="J2002" s="533"/>
      <c r="K2002" s="126"/>
      <c r="L2002" s="126"/>
      <c r="M2002" s="126"/>
      <c r="N2002" s="126"/>
      <c r="O2002" s="314"/>
      <c r="P2002" s="314"/>
      <c r="Q2002" s="310"/>
      <c r="R2002" s="314" t="str" cm="1">
        <f t="array" ref="R2002">IFERROR(IF(INDEX('Disaggregation Records'!$G$156:$G$517,MATCH(RIGHT(L2002,255),RIGHT('Disaggregation Records'!$D$156:$D$517,255),0))="","",INDEX('Disaggregation Records'!$G$156:$G$517,MATCH(RIGHT(L2002,255),RIGHT('Disaggregation Records'!$D$156:$D$517,255),0))),"")</f>
        <v/>
      </c>
    </row>
    <row r="2003" spans="1:18" ht="20.100000000000001" customHeight="1">
      <c r="A2003" s="126" t="str">
        <f t="shared" ref="A2003:A2063" ca="1" si="2300">INDIRECT("'update Helper'!C"&amp;Q2003)</f>
        <v>a16Dm000000M3rfIAC</v>
      </c>
      <c r="B2003" s="570">
        <v>35</v>
      </c>
      <c r="C2003" s="572" t="str">
        <f ca="1">IFERROR(VLOOKUP(B2003,'Coverage Indicators - Section D'!$A$9:$AO$94,41,FALSE),"")</f>
        <v>TCS-8 Percentage of people living with HIV and on ART with viral load test result</v>
      </c>
      <c r="D2003" s="574" t="str">
        <f ca="1">M2003</f>
        <v/>
      </c>
      <c r="E2003" s="574" t="str">
        <f ca="1">N2003</f>
        <v/>
      </c>
      <c r="F2003" s="127"/>
      <c r="G2003" s="576" t="str">
        <f ca="1">IF(OR(INDIRECT("'update Helper'!E"&amp;Q2003)="",F2003&lt;&gt;0,F2004&lt;&gt;0),IF(IFERROR((F2003/F2004),"")="","",(F2003/F2004)),INDIRECT("'update Helper'!E"&amp;Q2003)/100)</f>
        <v/>
      </c>
      <c r="H2003" s="539"/>
      <c r="I2003" s="578"/>
      <c r="J2003" s="532"/>
      <c r="K2003" s="126">
        <f ca="1">IF(AND(EXACT(C2003,C2001),C2001&lt;&gt;0),K2001+1,0)</f>
        <v>11</v>
      </c>
      <c r="L2003" s="126" t="str">
        <f t="shared" ref="L2003" ca="1" si="2301">IF(C2003&lt;&gt;"",C2003&amp;"-"&amp;K2003,"")</f>
        <v>TCS-8 Percentage of people living with HIV and on ART with viral load test result-11</v>
      </c>
      <c r="M2003" s="126" t="str">
        <f t="array" aca="1" ref="M2003" ca="1">IFERROR(IF(INDEX('Disaggregation Records'!$E$156:$E$517,MATCH(RIGHT(L2003,255),RIGHT('Disaggregation Records'!$D$156:$D$517,255),0))="","",INDEX('Disaggregation Records'!$E$156:$E$517,MATCH(RIGHT(L2003,255),RIGHT('Disaggregation Records'!$D$156:$D$517,255),0))),"")</f>
        <v/>
      </c>
      <c r="N2003" s="126" t="str">
        <f t="array" aca="1" ref="N2003" ca="1">IFERROR(IF(INDEX('Disaggregation Records'!$F$156:$F$517,MATCH(RIGHT(L2003,255),RIGHT('Disaggregation Records'!$D$156:$D$517,255),0))="","",INDEX('Disaggregation Records'!$F$156:$F$517,MATCH(RIGHT(L2003,255),RIGHT('Disaggregation Records'!$D$156:$D$517,255),0))),"")</f>
        <v/>
      </c>
      <c r="O2003" s="314" t="str">
        <f t="array" aca="1" ref="O2003" ca="1">IFERROR(IF(INDEX('Disaggregation Records'!$H$156:$H$517,MATCH(RIGHT(L2003,255),RIGHT('Disaggregation Records'!$D$156:$D$517,255),0))="","",INDEX('Disaggregation Records'!$H$156:$H$517,MATCH(RIGHT(L2003,255),RIGHT('Disaggregation Records'!$D$156:$D$517,255),0))),"")</f>
        <v/>
      </c>
      <c r="P2003" s="310"/>
      <c r="Q2003" s="310">
        <f t="shared" ref="Q2003" si="2302">Q2001+1</f>
        <v>1704</v>
      </c>
      <c r="R2003" s="314" t="str" cm="1">
        <f t="array" aca="1" ref="R2003" ca="1">IFERROR(IF(INDEX('Disaggregation Records'!$G$156:$G$517,MATCH(RIGHT(L2003,255),RIGHT('Disaggregation Records'!$D$156:$D$517,255),0))="","",INDEX('Disaggregation Records'!$G$156:$G$517,MATCH(RIGHT(L2003,255),RIGHT('Disaggregation Records'!$D$156:$D$517,255),0))),"")</f>
        <v/>
      </c>
    </row>
    <row r="2004" spans="1:18" ht="20.100000000000001" customHeight="1">
      <c r="A2004" s="126"/>
      <c r="B2004" s="571"/>
      <c r="C2004" s="573"/>
      <c r="D2004" s="575"/>
      <c r="E2004" s="575"/>
      <c r="F2004" s="128"/>
      <c r="G2004" s="577"/>
      <c r="H2004" s="540"/>
      <c r="I2004" s="579"/>
      <c r="J2004" s="533"/>
      <c r="L2004" s="126"/>
      <c r="N2004" s="126"/>
      <c r="O2004" s="314"/>
      <c r="P2004" s="310"/>
      <c r="Q2004" s="310"/>
      <c r="R2004" s="314" t="str" cm="1">
        <f t="array" ref="R2004">IFERROR(IF(INDEX('Disaggregation Records'!$G$156:$G$517,MATCH(RIGHT(L2004,255),RIGHT('Disaggregation Records'!$D$156:$D$517,255),0))="","",INDEX('Disaggregation Records'!$G$156:$G$517,MATCH(RIGHT(L2004,255),RIGHT('Disaggregation Records'!$D$156:$D$517,255),0))),"")</f>
        <v/>
      </c>
    </row>
    <row r="2005" spans="1:18" ht="20.100000000000001" customHeight="1">
      <c r="A2005" s="126" t="str">
        <f t="shared" ref="A2005:A2065" ca="1" si="2303">INDIRECT("'update Helper'!C"&amp;Q2005)</f>
        <v>a16Dm000000M3rgIAC</v>
      </c>
      <c r="B2005" s="570">
        <v>35</v>
      </c>
      <c r="C2005" s="572" t="str">
        <f ca="1">IFERROR(VLOOKUP(B2005,'Coverage Indicators - Section D'!$A$9:$AO$94,41,FALSE),"")</f>
        <v>TCS-8 Percentage of people living with HIV and on ART with viral load test result</v>
      </c>
      <c r="D2005" s="574" t="str">
        <f ca="1">M2005</f>
        <v/>
      </c>
      <c r="E2005" s="574" t="str">
        <f ca="1">N2005</f>
        <v/>
      </c>
      <c r="F2005" s="127"/>
      <c r="G2005" s="576" t="str">
        <f ca="1">IF(OR(INDIRECT("'update Helper'!E"&amp;Q2005)="",F2005&lt;&gt;0,F2006&lt;&gt;0),IF(IFERROR((F2005/F2006),"")="","",(F2005/F2006)),INDIRECT("'update Helper'!E"&amp;Q2005)/100)</f>
        <v/>
      </c>
      <c r="H2005" s="539"/>
      <c r="I2005" s="578"/>
      <c r="J2005" s="532"/>
      <c r="K2005" s="126">
        <f ca="1">IF(AND(EXACT(C2005,C2003),C2003&lt;&gt;0),K2003+1,0)</f>
        <v>12</v>
      </c>
      <c r="L2005" s="126" t="str">
        <f t="shared" ref="L2005" ca="1" si="2304">IF(C2005&lt;&gt;"",C2005&amp;"-"&amp;K2005,"")</f>
        <v>TCS-8 Percentage of people living with HIV and on ART with viral load test result-12</v>
      </c>
      <c r="M2005" s="126" t="str">
        <f t="array" aca="1" ref="M2005" ca="1">IFERROR(IF(INDEX('Disaggregation Records'!$E$156:$E$517,MATCH(RIGHT(L2005,255),RIGHT('Disaggregation Records'!$D$156:$D$517,255),0))="","",INDEX('Disaggregation Records'!$E$156:$E$517,MATCH(RIGHT(L2005,255),RIGHT('Disaggregation Records'!$D$156:$D$517,255),0))),"")</f>
        <v/>
      </c>
      <c r="N2005" s="126" t="str">
        <f t="array" aca="1" ref="N2005" ca="1">IFERROR(IF(INDEX('Disaggregation Records'!$F$156:$F$517,MATCH(RIGHT(L2005,255),RIGHT('Disaggregation Records'!$D$156:$D$517,255),0))="","",INDEX('Disaggregation Records'!$F$156:$F$517,MATCH(RIGHT(L2005,255),RIGHT('Disaggregation Records'!$D$156:$D$517,255),0))),"")</f>
        <v/>
      </c>
      <c r="O2005" s="314" t="str">
        <f t="array" aca="1" ref="O2005" ca="1">IFERROR(IF(INDEX('Disaggregation Records'!$H$156:$H$517,MATCH(RIGHT(L2005,255),RIGHT('Disaggregation Records'!$D$156:$D$517,255),0))="","",INDEX('Disaggregation Records'!$H$156:$H$517,MATCH(RIGHT(L2005,255),RIGHT('Disaggregation Records'!$D$156:$D$517,255),0))),"")</f>
        <v/>
      </c>
      <c r="P2005" s="310"/>
      <c r="Q2005" s="310">
        <f t="shared" ref="Q2005" si="2305">Q2003+1</f>
        <v>1705</v>
      </c>
      <c r="R2005" s="314" t="str" cm="1">
        <f t="array" aca="1" ref="R2005" ca="1">IFERROR(IF(INDEX('Disaggregation Records'!$G$156:$G$517,MATCH(RIGHT(L2005,255),RIGHT('Disaggregation Records'!$D$156:$D$517,255),0))="","",INDEX('Disaggregation Records'!$G$156:$G$517,MATCH(RIGHT(L2005,255),RIGHT('Disaggregation Records'!$D$156:$D$517,255),0))),"")</f>
        <v/>
      </c>
    </row>
    <row r="2006" spans="1:18" ht="20.100000000000001" customHeight="1">
      <c r="B2006" s="571"/>
      <c r="C2006" s="573"/>
      <c r="D2006" s="575"/>
      <c r="E2006" s="575"/>
      <c r="F2006" s="128"/>
      <c r="G2006" s="577"/>
      <c r="H2006" s="540"/>
      <c r="I2006" s="579"/>
      <c r="J2006" s="533"/>
      <c r="L2006" s="126"/>
      <c r="N2006" s="126"/>
      <c r="O2006" s="314"/>
      <c r="P2006" s="310"/>
      <c r="Q2006" s="310"/>
      <c r="R2006" s="314" t="str" cm="1">
        <f t="array" ref="R2006">IFERROR(IF(INDEX('Disaggregation Records'!$G$156:$G$517,MATCH(RIGHT(L2006,255),RIGHT('Disaggregation Records'!$D$156:$D$517,255),0))="","",INDEX('Disaggregation Records'!$G$156:$G$517,MATCH(RIGHT(L2006,255),RIGHT('Disaggregation Records'!$D$156:$D$517,255),0))),"")</f>
        <v/>
      </c>
    </row>
    <row r="2007" spans="1:18" ht="20.100000000000001" customHeight="1">
      <c r="A2007" s="126" t="str">
        <f t="shared" ref="A2007:A2067" ca="1" si="2306">INDIRECT("'update Helper'!C"&amp;Q2007)</f>
        <v>a16Dm000000M3rhIAC</v>
      </c>
      <c r="B2007" s="570">
        <v>35</v>
      </c>
      <c r="C2007" s="572" t="str">
        <f ca="1">IFERROR(VLOOKUP(B2007,'Coverage Indicators - Section D'!$A$9:$AO$94,41,FALSE),"")</f>
        <v>TCS-8 Percentage of people living with HIV and on ART with viral load test result</v>
      </c>
      <c r="D2007" s="574" t="str">
        <f ca="1">M2007</f>
        <v/>
      </c>
      <c r="E2007" s="574" t="str">
        <f ca="1">N2007</f>
        <v/>
      </c>
      <c r="F2007" s="127"/>
      <c r="G2007" s="576" t="str">
        <f ca="1">IF(OR(INDIRECT("'update Helper'!E"&amp;Q2007)="",F2007&lt;&gt;0,F2008&lt;&gt;0),IF(IFERROR((F2007/F2008),"")="","",(F2007/F2008)),INDIRECT("'update Helper'!E"&amp;Q2007)/100)</f>
        <v/>
      </c>
      <c r="H2007" s="539"/>
      <c r="I2007" s="578"/>
      <c r="J2007" s="532"/>
      <c r="K2007" s="126">
        <f ca="1">IF(AND(EXACT(C2007,C2005),C2005&lt;&gt;0),K2005+1,0)</f>
        <v>13</v>
      </c>
      <c r="L2007" s="126" t="str">
        <f t="shared" ref="L2007" ca="1" si="2307">IF(C2007&lt;&gt;"",C2007&amp;"-"&amp;K2007,"")</f>
        <v>TCS-8 Percentage of people living with HIV and on ART with viral load test result-13</v>
      </c>
      <c r="M2007" s="126" t="str">
        <f t="array" aca="1" ref="M2007" ca="1">IFERROR(IF(INDEX('Disaggregation Records'!$E$156:$E$517,MATCH(RIGHT(L2007,255),RIGHT('Disaggregation Records'!$D$156:$D$517,255),0))="","",INDEX('Disaggregation Records'!$E$156:$E$517,MATCH(RIGHT(L2007,255),RIGHT('Disaggregation Records'!$D$156:$D$517,255),0))),"")</f>
        <v/>
      </c>
      <c r="N2007" s="126" t="str">
        <f t="array" aca="1" ref="N2007" ca="1">IFERROR(IF(INDEX('Disaggregation Records'!$F$156:$F$517,MATCH(RIGHT(L2007,255),RIGHT('Disaggregation Records'!$D$156:$D$517,255),0))="","",INDEX('Disaggregation Records'!$F$156:$F$517,MATCH(RIGHT(L2007,255),RIGHT('Disaggregation Records'!$D$156:$D$517,255),0))),"")</f>
        <v/>
      </c>
      <c r="O2007" s="314" t="str">
        <f t="array" aca="1" ref="O2007" ca="1">IFERROR(IF(INDEX('Disaggregation Records'!$H$156:$H$517,MATCH(RIGHT(L2007,255),RIGHT('Disaggregation Records'!$D$156:$D$517,255),0))="","",INDEX('Disaggregation Records'!$H$156:$H$517,MATCH(RIGHT(L2007,255),RIGHT('Disaggregation Records'!$D$156:$D$517,255),0))),"")</f>
        <v/>
      </c>
      <c r="P2007" s="310"/>
      <c r="Q2007" s="310">
        <f t="shared" ref="Q2007" si="2308">Q2005+1</f>
        <v>1706</v>
      </c>
      <c r="R2007" s="314" t="str" cm="1">
        <f t="array" aca="1" ref="R2007" ca="1">IFERROR(IF(INDEX('Disaggregation Records'!$G$156:$G$517,MATCH(RIGHT(L2007,255),RIGHT('Disaggregation Records'!$D$156:$D$517,255),0))="","",INDEX('Disaggregation Records'!$G$156:$G$517,MATCH(RIGHT(L2007,255),RIGHT('Disaggregation Records'!$D$156:$D$517,255),0))),"")</f>
        <v/>
      </c>
    </row>
    <row r="2008" spans="1:18" ht="20.100000000000001" customHeight="1">
      <c r="A2008" s="126"/>
      <c r="B2008" s="571"/>
      <c r="C2008" s="573"/>
      <c r="D2008" s="575"/>
      <c r="E2008" s="575"/>
      <c r="F2008" s="128"/>
      <c r="G2008" s="577"/>
      <c r="H2008" s="540"/>
      <c r="I2008" s="579"/>
      <c r="J2008" s="533"/>
      <c r="L2008" s="126"/>
      <c r="N2008" s="126"/>
      <c r="O2008" s="314"/>
      <c r="P2008" s="310"/>
      <c r="Q2008" s="310"/>
      <c r="R2008" s="314" t="str" cm="1">
        <f t="array" ref="R2008">IFERROR(IF(INDEX('Disaggregation Records'!$G$156:$G$517,MATCH(RIGHT(L2008,255),RIGHT('Disaggregation Records'!$D$156:$D$517,255),0))="","",INDEX('Disaggregation Records'!$G$156:$G$517,MATCH(RIGHT(L2008,255),RIGHT('Disaggregation Records'!$D$156:$D$517,255),0))),"")</f>
        <v/>
      </c>
    </row>
    <row r="2009" spans="1:18" ht="20.100000000000001" customHeight="1">
      <c r="A2009" s="126" t="str">
        <f t="shared" ref="A2009:A2069" ca="1" si="2309">INDIRECT("'update Helper'!C"&amp;Q2009)</f>
        <v>a16Dm000000M3riIAC</v>
      </c>
      <c r="B2009" s="570">
        <v>35</v>
      </c>
      <c r="C2009" s="572" t="str">
        <f ca="1">IFERROR(VLOOKUP(B2009,'Coverage Indicators - Section D'!$A$9:$AO$94,41,FALSE),"")</f>
        <v>TCS-8 Percentage of people living with HIV and on ART with viral load test result</v>
      </c>
      <c r="D2009" s="574" t="str">
        <f ca="1">M2009</f>
        <v/>
      </c>
      <c r="E2009" s="574" t="str">
        <f ca="1">N2009</f>
        <v/>
      </c>
      <c r="F2009" s="127"/>
      <c r="G2009" s="576" t="str">
        <f ca="1">IF(OR(INDIRECT("'update Helper'!E"&amp;Q2009)="",F2009&lt;&gt;0,F2010&lt;&gt;0),IF(IFERROR((F2009/F2010),"")="","",(F2009/F2010)),INDIRECT("'update Helper'!E"&amp;Q2009)/100)</f>
        <v/>
      </c>
      <c r="H2009" s="539"/>
      <c r="I2009" s="578"/>
      <c r="J2009" s="532"/>
      <c r="K2009" s="126">
        <f ca="1">IF(AND(EXACT(C2009,C2007),C2007&lt;&gt;0),K2007+1,0)</f>
        <v>14</v>
      </c>
      <c r="L2009" s="126" t="str">
        <f t="shared" ref="L2009" ca="1" si="2310">IF(C2009&lt;&gt;"",C2009&amp;"-"&amp;K2009,"")</f>
        <v>TCS-8 Percentage of people living with HIV and on ART with viral load test result-14</v>
      </c>
      <c r="M2009" s="126" t="str">
        <f t="array" aca="1" ref="M2009" ca="1">IFERROR(IF(INDEX('Disaggregation Records'!$E$156:$E$517,MATCH(RIGHT(L2009,255),RIGHT('Disaggregation Records'!$D$156:$D$517,255),0))="","",INDEX('Disaggregation Records'!$E$156:$E$517,MATCH(RIGHT(L2009,255),RIGHT('Disaggregation Records'!$D$156:$D$517,255),0))),"")</f>
        <v/>
      </c>
      <c r="N2009" s="126" t="str">
        <f t="array" aca="1" ref="N2009" ca="1">IFERROR(IF(INDEX('Disaggregation Records'!$F$156:$F$517,MATCH(RIGHT(L2009,255),RIGHT('Disaggregation Records'!$D$156:$D$517,255),0))="","",INDEX('Disaggregation Records'!$F$156:$F$517,MATCH(RIGHT(L2009,255),RIGHT('Disaggregation Records'!$D$156:$D$517,255),0))),"")</f>
        <v/>
      </c>
      <c r="O2009" s="314" t="str">
        <f t="array" aca="1" ref="O2009" ca="1">IFERROR(IF(INDEX('Disaggregation Records'!$H$156:$H$517,MATCH(RIGHT(L2009,255),RIGHT('Disaggregation Records'!$D$156:$D$517,255),0))="","",INDEX('Disaggregation Records'!$H$156:$H$517,MATCH(RIGHT(L2009,255),RIGHT('Disaggregation Records'!$D$156:$D$517,255),0))),"")</f>
        <v/>
      </c>
      <c r="P2009" s="314"/>
      <c r="Q2009" s="310">
        <f t="shared" ref="Q2009" si="2311">Q2007+1</f>
        <v>1707</v>
      </c>
      <c r="R2009" s="314" t="str" cm="1">
        <f t="array" aca="1" ref="R2009" ca="1">IFERROR(IF(INDEX('Disaggregation Records'!$G$156:$G$517,MATCH(RIGHT(L2009,255),RIGHT('Disaggregation Records'!$D$156:$D$517,255),0))="","",INDEX('Disaggregation Records'!$G$156:$G$517,MATCH(RIGHT(L2009,255),RIGHT('Disaggregation Records'!$D$156:$D$517,255),0))),"")</f>
        <v/>
      </c>
    </row>
    <row r="2010" spans="1:18" ht="20.100000000000001" customHeight="1">
      <c r="B2010" s="571"/>
      <c r="C2010" s="573"/>
      <c r="D2010" s="575"/>
      <c r="E2010" s="575"/>
      <c r="F2010" s="128"/>
      <c r="G2010" s="577"/>
      <c r="H2010" s="540"/>
      <c r="I2010" s="579"/>
      <c r="J2010" s="533"/>
      <c r="K2010" s="126"/>
      <c r="L2010" s="126"/>
      <c r="M2010" s="126"/>
      <c r="N2010" s="126"/>
      <c r="O2010" s="314"/>
      <c r="P2010" s="314"/>
      <c r="Q2010" s="310"/>
      <c r="R2010" s="314" t="str" cm="1">
        <f t="array" ref="R2010">IFERROR(IF(INDEX('Disaggregation Records'!$G$156:$G$517,MATCH(RIGHT(L2010,255),RIGHT('Disaggregation Records'!$D$156:$D$517,255),0))="","",INDEX('Disaggregation Records'!$G$156:$G$517,MATCH(RIGHT(L2010,255),RIGHT('Disaggregation Records'!$D$156:$D$517,255),0))),"")</f>
        <v/>
      </c>
    </row>
    <row r="2011" spans="1:18" ht="20.100000000000001" customHeight="1">
      <c r="A2011" s="126" t="str">
        <f t="shared" ref="A2011:A2071" ca="1" si="2312">INDIRECT("'update Helper'!C"&amp;Q2011)</f>
        <v>a16Dm000000M3rjIAC</v>
      </c>
      <c r="B2011" s="570">
        <v>35</v>
      </c>
      <c r="C2011" s="572" t="str">
        <f ca="1">IFERROR(VLOOKUP(B2011,'Coverage Indicators - Section D'!$A$9:$AO$94,41,FALSE),"")</f>
        <v>TCS-8 Percentage of people living with HIV and on ART with viral load test result</v>
      </c>
      <c r="D2011" s="574" t="str">
        <f ca="1">M2011</f>
        <v/>
      </c>
      <c r="E2011" s="574" t="str">
        <f ca="1">N2011</f>
        <v/>
      </c>
      <c r="F2011" s="127"/>
      <c r="G2011" s="576" t="str">
        <f ca="1">IF(OR(INDIRECT("'update Helper'!E"&amp;Q2011)="",F2011&lt;&gt;0,F2012&lt;&gt;0),IF(IFERROR((F2011/F2012),"")="","",(F2011/F2012)),INDIRECT("'update Helper'!E"&amp;Q2011)/100)</f>
        <v/>
      </c>
      <c r="H2011" s="539"/>
      <c r="I2011" s="578"/>
      <c r="J2011" s="532"/>
      <c r="K2011" s="126">
        <f ca="1">IF(AND(EXACT(C2011,C2009),C2009&lt;&gt;0),K2009+1,0)</f>
        <v>15</v>
      </c>
      <c r="L2011" s="126" t="str">
        <f t="shared" ref="L2011" ca="1" si="2313">IF(C2011&lt;&gt;"",C2011&amp;"-"&amp;K2011,"")</f>
        <v>TCS-8 Percentage of people living with HIV and on ART with viral load test result-15</v>
      </c>
      <c r="M2011" s="126" t="str">
        <f t="array" aca="1" ref="M2011" ca="1">IFERROR(IF(INDEX('Disaggregation Records'!$E$156:$E$517,MATCH(RIGHT(L2011,255),RIGHT('Disaggregation Records'!$D$156:$D$517,255),0))="","",INDEX('Disaggregation Records'!$E$156:$E$517,MATCH(RIGHT(L2011,255),RIGHT('Disaggregation Records'!$D$156:$D$517,255),0))),"")</f>
        <v/>
      </c>
      <c r="N2011" s="126" t="str">
        <f t="array" aca="1" ref="N2011" ca="1">IFERROR(IF(INDEX('Disaggregation Records'!$F$156:$F$517,MATCH(RIGHT(L2011,255),RIGHT('Disaggregation Records'!$D$156:$D$517,255),0))="","",INDEX('Disaggregation Records'!$F$156:$F$517,MATCH(RIGHT(L2011,255),RIGHT('Disaggregation Records'!$D$156:$D$517,255),0))),"")</f>
        <v/>
      </c>
      <c r="O2011" s="314" t="str">
        <f t="array" aca="1" ref="O2011" ca="1">IFERROR(IF(INDEX('Disaggregation Records'!$H$156:$H$517,MATCH(RIGHT(L2011,255),RIGHT('Disaggregation Records'!$D$156:$D$517,255),0))="","",INDEX('Disaggregation Records'!$H$156:$H$517,MATCH(RIGHT(L2011,255),RIGHT('Disaggregation Records'!$D$156:$D$517,255),0))),"")</f>
        <v/>
      </c>
      <c r="P2011" s="314"/>
      <c r="Q2011" s="310">
        <f t="shared" ref="Q2011" si="2314">Q2009+1</f>
        <v>1708</v>
      </c>
      <c r="R2011" s="314" t="str" cm="1">
        <f t="array" aca="1" ref="R2011" ca="1">IFERROR(IF(INDEX('Disaggregation Records'!$G$156:$G$517,MATCH(RIGHT(L2011,255),RIGHT('Disaggregation Records'!$D$156:$D$517,255),0))="","",INDEX('Disaggregation Records'!$G$156:$G$517,MATCH(RIGHT(L2011,255),RIGHT('Disaggregation Records'!$D$156:$D$517,255),0))),"")</f>
        <v/>
      </c>
    </row>
    <row r="2012" spans="1:18" ht="20.100000000000001" customHeight="1">
      <c r="A2012" s="126"/>
      <c r="B2012" s="571"/>
      <c r="C2012" s="573"/>
      <c r="D2012" s="575"/>
      <c r="E2012" s="575"/>
      <c r="F2012" s="128"/>
      <c r="G2012" s="577"/>
      <c r="H2012" s="540"/>
      <c r="I2012" s="579"/>
      <c r="J2012" s="533"/>
      <c r="K2012" s="126"/>
      <c r="L2012" s="126"/>
      <c r="M2012" s="126"/>
      <c r="N2012" s="126"/>
      <c r="O2012" s="314"/>
      <c r="P2012" s="314"/>
      <c r="Q2012" s="310"/>
      <c r="R2012" s="314" t="str" cm="1">
        <f t="array" ref="R2012">IFERROR(IF(INDEX('Disaggregation Records'!$G$156:$G$517,MATCH(RIGHT(L2012,255),RIGHT('Disaggregation Records'!$D$156:$D$517,255),0))="","",INDEX('Disaggregation Records'!$G$156:$G$517,MATCH(RIGHT(L2012,255),RIGHT('Disaggregation Records'!$D$156:$D$517,255),0))),"")</f>
        <v/>
      </c>
    </row>
    <row r="2013" spans="1:18" ht="20.100000000000001" customHeight="1">
      <c r="A2013" s="126" t="str">
        <f t="shared" ref="A2013:A2073" ca="1" si="2315">INDIRECT("'update Helper'!C"&amp;Q2013)</f>
        <v>a16Dm000000M3rkIAC</v>
      </c>
      <c r="B2013" s="570">
        <v>35</v>
      </c>
      <c r="C2013" s="572" t="str">
        <f ca="1">IFERROR(VLOOKUP(B2013,'Coverage Indicators - Section D'!$A$9:$AO$94,41,FALSE),"")</f>
        <v>TCS-8 Percentage of people living with HIV and on ART with viral load test result</v>
      </c>
      <c r="D2013" s="574" t="str">
        <f ca="1">M2013</f>
        <v/>
      </c>
      <c r="E2013" s="574" t="str">
        <f ca="1">N2013</f>
        <v/>
      </c>
      <c r="F2013" s="127"/>
      <c r="G2013" s="576" t="str">
        <f ca="1">IF(OR(INDIRECT("'update Helper'!E"&amp;Q2013)="",F2013&lt;&gt;0,F2014&lt;&gt;0),IF(IFERROR((F2013/F2014),"")="","",(F2013/F2014)),INDIRECT("'update Helper'!E"&amp;Q2013)/100)</f>
        <v/>
      </c>
      <c r="H2013" s="539"/>
      <c r="I2013" s="578"/>
      <c r="J2013" s="532"/>
      <c r="K2013" s="126">
        <f ca="1">IF(AND(EXACT(C2013,C2011),C2011&lt;&gt;0),K2011+1,0)</f>
        <v>16</v>
      </c>
      <c r="L2013" s="126" t="str">
        <f t="shared" ref="L2013" ca="1" si="2316">IF(C2013&lt;&gt;"",C2013&amp;"-"&amp;K2013,"")</f>
        <v>TCS-8 Percentage of people living with HIV and on ART with viral load test result-16</v>
      </c>
      <c r="M2013" s="126" t="str">
        <f t="array" aca="1" ref="M2013" ca="1">IFERROR(IF(INDEX('Disaggregation Records'!$E$156:$E$517,MATCH(RIGHT(L2013,255),RIGHT('Disaggregation Records'!$D$156:$D$517,255),0))="","",INDEX('Disaggregation Records'!$E$156:$E$517,MATCH(RIGHT(L2013,255),RIGHT('Disaggregation Records'!$D$156:$D$517,255),0))),"")</f>
        <v/>
      </c>
      <c r="N2013" s="126" t="str">
        <f t="array" aca="1" ref="N2013" ca="1">IFERROR(IF(INDEX('Disaggregation Records'!$F$156:$F$517,MATCH(RIGHT(L2013,255),RIGHT('Disaggregation Records'!$D$156:$D$517,255),0))="","",INDEX('Disaggregation Records'!$F$156:$F$517,MATCH(RIGHT(L2013,255),RIGHT('Disaggregation Records'!$D$156:$D$517,255),0))),"")</f>
        <v/>
      </c>
      <c r="O2013" s="314" t="str">
        <f t="array" aca="1" ref="O2013" ca="1">IFERROR(IF(INDEX('Disaggregation Records'!$H$156:$H$517,MATCH(RIGHT(L2013,255),RIGHT('Disaggregation Records'!$D$156:$D$517,255),0))="","",INDEX('Disaggregation Records'!$H$156:$H$517,MATCH(RIGHT(L2013,255),RIGHT('Disaggregation Records'!$D$156:$D$517,255),0))),"")</f>
        <v/>
      </c>
      <c r="P2013" s="310"/>
      <c r="Q2013" s="310">
        <f t="shared" ref="Q2013" si="2317">Q2011+1</f>
        <v>1709</v>
      </c>
      <c r="R2013" s="314" t="str" cm="1">
        <f t="array" aca="1" ref="R2013" ca="1">IFERROR(IF(INDEX('Disaggregation Records'!$G$156:$G$517,MATCH(RIGHT(L2013,255),RIGHT('Disaggregation Records'!$D$156:$D$517,255),0))="","",INDEX('Disaggregation Records'!$G$156:$G$517,MATCH(RIGHT(L2013,255),RIGHT('Disaggregation Records'!$D$156:$D$517,255),0))),"")</f>
        <v/>
      </c>
    </row>
    <row r="2014" spans="1:18" ht="20.100000000000001" customHeight="1">
      <c r="B2014" s="571"/>
      <c r="C2014" s="573"/>
      <c r="D2014" s="575"/>
      <c r="E2014" s="575"/>
      <c r="F2014" s="128"/>
      <c r="G2014" s="577"/>
      <c r="H2014" s="540"/>
      <c r="I2014" s="579"/>
      <c r="J2014" s="533"/>
      <c r="L2014" s="126"/>
      <c r="N2014" s="126"/>
      <c r="O2014" s="314"/>
      <c r="P2014" s="310"/>
      <c r="Q2014" s="310"/>
      <c r="R2014" s="314" t="str" cm="1">
        <f t="array" ref="R2014">IFERROR(IF(INDEX('Disaggregation Records'!$G$156:$G$517,MATCH(RIGHT(L2014,255),RIGHT('Disaggregation Records'!$D$156:$D$517,255),0))="","",INDEX('Disaggregation Records'!$G$156:$G$517,MATCH(RIGHT(L2014,255),RIGHT('Disaggregation Records'!$D$156:$D$517,255),0))),"")</f>
        <v/>
      </c>
    </row>
    <row r="2015" spans="1:18" ht="20.100000000000001" customHeight="1">
      <c r="A2015" s="126" t="str">
        <f t="shared" ref="A2015:A2075" ca="1" si="2318">INDIRECT("'update Helper'!C"&amp;Q2015)</f>
        <v>a16Dm000000M3rlIAC</v>
      </c>
      <c r="B2015" s="570">
        <v>35</v>
      </c>
      <c r="C2015" s="572" t="str">
        <f ca="1">IFERROR(VLOOKUP(B2015,'Coverage Indicators - Section D'!$A$9:$AO$94,41,FALSE),"")</f>
        <v>TCS-8 Percentage of people living with HIV and on ART with viral load test result</v>
      </c>
      <c r="D2015" s="574" t="str">
        <f ca="1">M2015</f>
        <v/>
      </c>
      <c r="E2015" s="574" t="str">
        <f ca="1">N2015</f>
        <v/>
      </c>
      <c r="F2015" s="127"/>
      <c r="G2015" s="576" t="str">
        <f ca="1">IF(OR(INDIRECT("'update Helper'!E"&amp;Q2015)="",F2015&lt;&gt;0,F2016&lt;&gt;0),IF(IFERROR((F2015/F2016),"")="","",(F2015/F2016)),INDIRECT("'update Helper'!E"&amp;Q2015)/100)</f>
        <v/>
      </c>
      <c r="H2015" s="539"/>
      <c r="I2015" s="578"/>
      <c r="J2015" s="532"/>
      <c r="K2015" s="126">
        <f ca="1">IF(AND(EXACT(C2015,C2013),C2013&lt;&gt;0),K2013+1,0)</f>
        <v>17</v>
      </c>
      <c r="L2015" s="126" t="str">
        <f t="shared" ref="L2015" ca="1" si="2319">IF(C2015&lt;&gt;"",C2015&amp;"-"&amp;K2015,"")</f>
        <v>TCS-8 Percentage of people living with HIV and on ART with viral load test result-17</v>
      </c>
      <c r="M2015" s="126" t="str">
        <f t="array" aca="1" ref="M2015" ca="1">IFERROR(IF(INDEX('Disaggregation Records'!$E$156:$E$517,MATCH(RIGHT(L2015,255),RIGHT('Disaggregation Records'!$D$156:$D$517,255),0))="","",INDEX('Disaggregation Records'!$E$156:$E$517,MATCH(RIGHT(L2015,255),RIGHT('Disaggregation Records'!$D$156:$D$517,255),0))),"")</f>
        <v/>
      </c>
      <c r="N2015" s="126" t="str">
        <f t="array" aca="1" ref="N2015" ca="1">IFERROR(IF(INDEX('Disaggregation Records'!$F$156:$F$517,MATCH(RIGHT(L2015,255),RIGHT('Disaggregation Records'!$D$156:$D$517,255),0))="","",INDEX('Disaggregation Records'!$F$156:$F$517,MATCH(RIGHT(L2015,255),RIGHT('Disaggregation Records'!$D$156:$D$517,255),0))),"")</f>
        <v/>
      </c>
      <c r="O2015" s="314" t="str">
        <f t="array" aca="1" ref="O2015" ca="1">IFERROR(IF(INDEX('Disaggregation Records'!$H$156:$H$517,MATCH(RIGHT(L2015,255),RIGHT('Disaggregation Records'!$D$156:$D$517,255),0))="","",INDEX('Disaggregation Records'!$H$156:$H$517,MATCH(RIGHT(L2015,255),RIGHT('Disaggregation Records'!$D$156:$D$517,255),0))),"")</f>
        <v/>
      </c>
      <c r="P2015" s="310"/>
      <c r="Q2015" s="310">
        <f t="shared" ref="Q2015" si="2320">Q2013+1</f>
        <v>1710</v>
      </c>
      <c r="R2015" s="314" t="str" cm="1">
        <f t="array" aca="1" ref="R2015" ca="1">IFERROR(IF(INDEX('Disaggregation Records'!$G$156:$G$517,MATCH(RIGHT(L2015,255),RIGHT('Disaggregation Records'!$D$156:$D$517,255),0))="","",INDEX('Disaggregation Records'!$G$156:$G$517,MATCH(RIGHT(L2015,255),RIGHT('Disaggregation Records'!$D$156:$D$517,255),0))),"")</f>
        <v/>
      </c>
    </row>
    <row r="2016" spans="1:18" ht="20.100000000000001" customHeight="1">
      <c r="A2016" s="126"/>
      <c r="B2016" s="571"/>
      <c r="C2016" s="573"/>
      <c r="D2016" s="575"/>
      <c r="E2016" s="575"/>
      <c r="F2016" s="128"/>
      <c r="G2016" s="577"/>
      <c r="H2016" s="540"/>
      <c r="I2016" s="579"/>
      <c r="J2016" s="533"/>
      <c r="L2016" s="126"/>
      <c r="N2016" s="126"/>
      <c r="O2016" s="314"/>
      <c r="P2016" s="310"/>
      <c r="Q2016" s="310"/>
      <c r="R2016" s="314" t="str" cm="1">
        <f t="array" ref="R2016">IFERROR(IF(INDEX('Disaggregation Records'!$G$156:$G$517,MATCH(RIGHT(L2016,255),RIGHT('Disaggregation Records'!$D$156:$D$517,255),0))="","",INDEX('Disaggregation Records'!$G$156:$G$517,MATCH(RIGHT(L2016,255),RIGHT('Disaggregation Records'!$D$156:$D$517,255),0))),"")</f>
        <v/>
      </c>
    </row>
    <row r="2017" spans="1:18" ht="20.100000000000001" customHeight="1">
      <c r="A2017" s="126" t="str">
        <f t="shared" ref="A2017:A2077" ca="1" si="2321">INDIRECT("'update Helper'!C"&amp;Q2017)</f>
        <v>a16Dm000000M3rmIAC</v>
      </c>
      <c r="B2017" s="570">
        <v>35</v>
      </c>
      <c r="C2017" s="572" t="str">
        <f ca="1">IFERROR(VLOOKUP(B2017,'Coverage Indicators - Section D'!$A$9:$AO$94,41,FALSE),"")</f>
        <v>TCS-8 Percentage of people living with HIV and on ART with viral load test result</v>
      </c>
      <c r="D2017" s="574" t="str">
        <f ca="1">M2017</f>
        <v/>
      </c>
      <c r="E2017" s="574" t="str">
        <f ca="1">N2017</f>
        <v/>
      </c>
      <c r="F2017" s="127"/>
      <c r="G2017" s="576" t="str">
        <f ca="1">IF(OR(INDIRECT("'update Helper'!E"&amp;Q2017)="",F2017&lt;&gt;0,F2018&lt;&gt;0),IF(IFERROR((F2017/F2018),"")="","",(F2017/F2018)),INDIRECT("'update Helper'!E"&amp;Q2017)/100)</f>
        <v/>
      </c>
      <c r="H2017" s="539"/>
      <c r="I2017" s="578"/>
      <c r="J2017" s="532"/>
      <c r="K2017" s="126">
        <f ca="1">IF(AND(EXACT(C2017,C2015),C2015&lt;&gt;0),K2015+1,0)</f>
        <v>18</v>
      </c>
      <c r="L2017" s="126" t="str">
        <f t="shared" ref="L2017" ca="1" si="2322">IF(C2017&lt;&gt;"",C2017&amp;"-"&amp;K2017,"")</f>
        <v>TCS-8 Percentage of people living with HIV and on ART with viral load test result-18</v>
      </c>
      <c r="M2017" s="126" t="str">
        <f t="array" aca="1" ref="M2017" ca="1">IFERROR(IF(INDEX('Disaggregation Records'!$E$156:$E$517,MATCH(RIGHT(L2017,255),RIGHT('Disaggregation Records'!$D$156:$D$517,255),0))="","",INDEX('Disaggregation Records'!$E$156:$E$517,MATCH(RIGHT(L2017,255),RIGHT('Disaggregation Records'!$D$156:$D$517,255),0))),"")</f>
        <v/>
      </c>
      <c r="N2017" s="126" t="str">
        <f t="array" aca="1" ref="N2017" ca="1">IFERROR(IF(INDEX('Disaggregation Records'!$F$156:$F$517,MATCH(RIGHT(L2017,255),RIGHT('Disaggregation Records'!$D$156:$D$517,255),0))="","",INDEX('Disaggregation Records'!$F$156:$F$517,MATCH(RIGHT(L2017,255),RIGHT('Disaggregation Records'!$D$156:$D$517,255),0))),"")</f>
        <v/>
      </c>
      <c r="O2017" s="314" t="str">
        <f t="array" aca="1" ref="O2017" ca="1">IFERROR(IF(INDEX('Disaggregation Records'!$H$156:$H$517,MATCH(RIGHT(L2017,255),RIGHT('Disaggregation Records'!$D$156:$D$517,255),0))="","",INDEX('Disaggregation Records'!$H$156:$H$517,MATCH(RIGHT(L2017,255),RIGHT('Disaggregation Records'!$D$156:$D$517,255),0))),"")</f>
        <v/>
      </c>
      <c r="P2017" s="310"/>
      <c r="Q2017" s="310">
        <f t="shared" ref="Q2017" si="2323">Q2015+1</f>
        <v>1711</v>
      </c>
      <c r="R2017" s="314" t="str" cm="1">
        <f t="array" aca="1" ref="R2017" ca="1">IFERROR(IF(INDEX('Disaggregation Records'!$G$156:$G$517,MATCH(RIGHT(L2017,255),RIGHT('Disaggregation Records'!$D$156:$D$517,255),0))="","",INDEX('Disaggregation Records'!$G$156:$G$517,MATCH(RIGHT(L2017,255),RIGHT('Disaggregation Records'!$D$156:$D$517,255),0))),"")</f>
        <v/>
      </c>
    </row>
    <row r="2018" spans="1:18" ht="20.100000000000001" customHeight="1">
      <c r="B2018" s="571"/>
      <c r="C2018" s="573"/>
      <c r="D2018" s="575"/>
      <c r="E2018" s="575"/>
      <c r="F2018" s="128"/>
      <c r="G2018" s="577"/>
      <c r="H2018" s="540"/>
      <c r="I2018" s="579"/>
      <c r="J2018" s="533"/>
      <c r="L2018" s="126"/>
      <c r="N2018" s="126"/>
      <c r="O2018" s="314"/>
      <c r="P2018" s="310"/>
      <c r="Q2018" s="310"/>
      <c r="R2018" s="314" t="str" cm="1">
        <f t="array" ref="R2018">IFERROR(IF(INDEX('Disaggregation Records'!$G$156:$G$517,MATCH(RIGHT(L2018,255),RIGHT('Disaggregation Records'!$D$156:$D$517,255),0))="","",INDEX('Disaggregation Records'!$G$156:$G$517,MATCH(RIGHT(L2018,255),RIGHT('Disaggregation Records'!$D$156:$D$517,255),0))),"")</f>
        <v/>
      </c>
    </row>
    <row r="2019" spans="1:18" ht="20.100000000000001" customHeight="1">
      <c r="A2019" s="126" t="str">
        <f t="shared" ref="A2019:A2079" ca="1" si="2324">INDIRECT("'update Helper'!C"&amp;Q2019)</f>
        <v>a16Dm000000M3rnIAC</v>
      </c>
      <c r="B2019" s="570">
        <v>35</v>
      </c>
      <c r="C2019" s="572" t="str">
        <f ca="1">IFERROR(VLOOKUP(B2019,'Coverage Indicators - Section D'!$A$9:$AO$94,41,FALSE),"")</f>
        <v>TCS-8 Percentage of people living with HIV and on ART with viral load test result</v>
      </c>
      <c r="D2019" s="574" t="str">
        <f ca="1">M2019</f>
        <v/>
      </c>
      <c r="E2019" s="574" t="str">
        <f ca="1">N2019</f>
        <v/>
      </c>
      <c r="F2019" s="127"/>
      <c r="G2019" s="576" t="str">
        <f ca="1">IF(OR(INDIRECT("'update Helper'!E"&amp;Q2019)="",F2019&lt;&gt;0,F2020&lt;&gt;0),IF(IFERROR((F2019/F2020),"")="","",(F2019/F2020)),INDIRECT("'update Helper'!E"&amp;Q2019)/100)</f>
        <v/>
      </c>
      <c r="H2019" s="539"/>
      <c r="I2019" s="578" t="s">
        <v>2281</v>
      </c>
      <c r="J2019" s="532" t="s">
        <v>2282</v>
      </c>
      <c r="K2019" s="126">
        <f ca="1">IF(AND(EXACT(C2019,C2017),C2017&lt;&gt;0),K2017+1,0)</f>
        <v>19</v>
      </c>
      <c r="L2019" s="126" t="str">
        <f t="shared" ref="L2019" ca="1" si="2325">IF(C2019&lt;&gt;"",C2019&amp;"-"&amp;K2019,"")</f>
        <v>TCS-8 Percentage of people living with HIV and on ART with viral load test result-19</v>
      </c>
      <c r="M2019" s="126" t="str">
        <f t="array" aca="1" ref="M2019" ca="1">IFERROR(IF(INDEX('Disaggregation Records'!$E$156:$E$517,MATCH(RIGHT(L2019,255),RIGHT('Disaggregation Records'!$D$156:$D$517,255),0))="","",INDEX('Disaggregation Records'!$E$156:$E$517,MATCH(RIGHT(L2019,255),RIGHT('Disaggregation Records'!$D$156:$D$517,255),0))),"")</f>
        <v/>
      </c>
      <c r="N2019" s="126" t="str">
        <f t="array" aca="1" ref="N2019" ca="1">IFERROR(IF(INDEX('Disaggregation Records'!$F$156:$F$517,MATCH(RIGHT(L2019,255),RIGHT('Disaggregation Records'!$D$156:$D$517,255),0))="","",INDEX('Disaggregation Records'!$F$156:$F$517,MATCH(RIGHT(L2019,255),RIGHT('Disaggregation Records'!$D$156:$D$517,255),0))),"")</f>
        <v/>
      </c>
      <c r="O2019" s="314" t="str">
        <f t="array" aca="1" ref="O2019" ca="1">IFERROR(IF(INDEX('Disaggregation Records'!$H$156:$H$517,MATCH(RIGHT(L2019,255),RIGHT('Disaggregation Records'!$D$156:$D$517,255),0))="","",INDEX('Disaggregation Records'!$H$156:$H$517,MATCH(RIGHT(L2019,255),RIGHT('Disaggregation Records'!$D$156:$D$517,255),0))),"")</f>
        <v/>
      </c>
      <c r="P2019" s="314"/>
      <c r="Q2019" s="310">
        <f t="shared" ref="Q2019" si="2326">Q2017+1</f>
        <v>1712</v>
      </c>
      <c r="R2019" s="314" t="str" cm="1">
        <f t="array" aca="1" ref="R2019" ca="1">IFERROR(IF(INDEX('Disaggregation Records'!$G$156:$G$517,MATCH(RIGHT(L2019,255),RIGHT('Disaggregation Records'!$D$156:$D$517,255),0))="","",INDEX('Disaggregation Records'!$G$156:$G$517,MATCH(RIGHT(L2019,255),RIGHT('Disaggregation Records'!$D$156:$D$517,255),0))),"")</f>
        <v/>
      </c>
    </row>
    <row r="2020" spans="1:18" ht="20.100000000000001" customHeight="1">
      <c r="A2020" s="126"/>
      <c r="B2020" s="571"/>
      <c r="C2020" s="573"/>
      <c r="D2020" s="575"/>
      <c r="E2020" s="575"/>
      <c r="F2020" s="128"/>
      <c r="G2020" s="577"/>
      <c r="H2020" s="540"/>
      <c r="I2020" s="579"/>
      <c r="J2020" s="533"/>
      <c r="K2020" s="126"/>
      <c r="L2020" s="126"/>
      <c r="M2020" s="126"/>
      <c r="N2020" s="126"/>
      <c r="O2020" s="314"/>
      <c r="P2020" s="314"/>
      <c r="Q2020" s="310"/>
      <c r="R2020" s="314" t="str" cm="1">
        <f t="array" ref="R2020">IFERROR(IF(INDEX('Disaggregation Records'!$G$156:$G$517,MATCH(RIGHT(L2020,255),RIGHT('Disaggregation Records'!$D$156:$D$517,255),0))="","",INDEX('Disaggregation Records'!$G$156:$G$517,MATCH(RIGHT(L2020,255),RIGHT('Disaggregation Records'!$D$156:$D$517,255),0))),"")</f>
        <v/>
      </c>
    </row>
    <row r="2021" spans="1:18" ht="20.100000000000001" customHeight="1">
      <c r="A2021" s="126" t="str">
        <f t="shared" ref="A2021:A2081" ca="1" si="2327">INDIRECT("'update Helper'!C"&amp;Q2021)</f>
        <v>a16Dm000000M3roIAC</v>
      </c>
      <c r="B2021" s="570">
        <v>36</v>
      </c>
      <c r="C2021" s="572" t="str">
        <f ca="1">IFERROR(VLOOKUP(B2021,'Coverage Indicators - Section D'!$A$9:$AO$94,41,FALSE),"")</f>
        <v>TB/HIV-3.1a Percentage of people living with HIV newly initiated on ART who were screened for TB</v>
      </c>
      <c r="D2021" s="574" t="str">
        <f ca="1">M2021</f>
        <v>Age</v>
      </c>
      <c r="E2021" s="574" t="str">
        <f ca="1">N2021</f>
        <v>15+</v>
      </c>
      <c r="F2021" s="127"/>
      <c r="G2021" s="576" t="str">
        <f ca="1">IF(OR(INDIRECT("'update Helper'!E"&amp;Q2021)="",F2021&lt;&gt;0,F2022&lt;&gt;0),IF(IFERROR((F2021/F2022),"")="","",(F2021/F2022)),INDIRECT("'update Helper'!E"&amp;Q2021)/100)</f>
        <v/>
      </c>
      <c r="H2021" s="539"/>
      <c r="I2021" s="578"/>
      <c r="J2021" s="532"/>
      <c r="K2021" s="126">
        <f ca="1">IF(AND(EXACT(C2021,C2019),C2019&lt;&gt;0),K2019+1,0)</f>
        <v>0</v>
      </c>
      <c r="L2021" s="126" t="str">
        <f t="shared" ref="L2021" ca="1" si="2328">IF(C2021&lt;&gt;"",C2021&amp;"-"&amp;K2021,"")</f>
        <v>TB/HIV-3.1a Percentage of people living with HIV newly initiated on ART who were screened for TB-0</v>
      </c>
      <c r="M2021" s="126" t="str">
        <f t="array" aca="1" ref="M2021" ca="1">IFERROR(IF(INDEX('Disaggregation Records'!$E$156:$E$517,MATCH(RIGHT(L2021,255),RIGHT('Disaggregation Records'!$D$156:$D$517,255),0))="","",INDEX('Disaggregation Records'!$E$156:$E$517,MATCH(RIGHT(L2021,255),RIGHT('Disaggregation Records'!$D$156:$D$517,255),0))),"")</f>
        <v>Age</v>
      </c>
      <c r="N2021" s="126" t="str">
        <f t="array" aca="1" ref="N2021" ca="1">IFERROR(IF(INDEX('Disaggregation Records'!$F$156:$F$517,MATCH(RIGHT(L2021,255),RIGHT('Disaggregation Records'!$D$156:$D$517,255),0))="","",INDEX('Disaggregation Records'!$F$156:$F$517,MATCH(RIGHT(L2021,255),RIGHT('Disaggregation Records'!$D$156:$D$517,255),0))),"")</f>
        <v>15+</v>
      </c>
      <c r="O2021" s="314" t="str">
        <f t="array" aca="1" ref="O2021" ca="1">IFERROR(IF(INDEX('Disaggregation Records'!$H$156:$H$517,MATCH(RIGHT(L2021,255),RIGHT('Disaggregation Records'!$D$156:$D$517,255),0))="","",INDEX('Disaggregation Records'!$H$156:$H$517,MATCH(RIGHT(L2021,255),RIGHT('Disaggregation Records'!$D$156:$D$517,255),0))),"")</f>
        <v>IDR-01348</v>
      </c>
      <c r="P2021" s="314"/>
      <c r="Q2021" s="310">
        <f t="shared" ref="Q2021" si="2329">Q2019+1</f>
        <v>1713</v>
      </c>
      <c r="R2021" s="314" t="str" cm="1">
        <f t="array" aca="1" ref="R2021" ca="1">IFERROR(IF(INDEX('Disaggregation Records'!$G$156:$G$517,MATCH(RIGHT(L2021,255),RIGHT('Disaggregation Records'!$D$156:$D$517,255),0))="","",INDEX('Disaggregation Records'!$G$156:$G$517,MATCH(RIGHT(L2021,255),RIGHT('Disaggregation Records'!$D$156:$D$517,255),0))),"")</f>
        <v>a1LDm000000Cb4UMAS</v>
      </c>
    </row>
    <row r="2022" spans="1:18" ht="20.100000000000001" customHeight="1">
      <c r="B2022" s="571"/>
      <c r="C2022" s="573"/>
      <c r="D2022" s="575"/>
      <c r="E2022" s="575"/>
      <c r="F2022" s="128"/>
      <c r="G2022" s="577"/>
      <c r="H2022" s="540"/>
      <c r="I2022" s="579"/>
      <c r="J2022" s="533"/>
      <c r="K2022" s="126"/>
      <c r="L2022" s="126"/>
      <c r="M2022" s="126"/>
      <c r="N2022" s="126"/>
      <c r="O2022" s="314"/>
      <c r="P2022" s="314"/>
      <c r="Q2022" s="310"/>
      <c r="R2022" s="314" t="str" cm="1">
        <f t="array" ref="R2022">IFERROR(IF(INDEX('Disaggregation Records'!$G$156:$G$517,MATCH(RIGHT(L2022,255),RIGHT('Disaggregation Records'!$D$156:$D$517,255),0))="","",INDEX('Disaggregation Records'!$G$156:$G$517,MATCH(RIGHT(L2022,255),RIGHT('Disaggregation Records'!$D$156:$D$517,255),0))),"")</f>
        <v/>
      </c>
    </row>
    <row r="2023" spans="1:18" ht="20.100000000000001" customHeight="1">
      <c r="A2023" s="126" t="str">
        <f t="shared" ref="A2023:A2083" ca="1" si="2330">INDIRECT("'update Helper'!C"&amp;Q2023)</f>
        <v>a16Dm000000M3rpIAC</v>
      </c>
      <c r="B2023" s="570">
        <v>36</v>
      </c>
      <c r="C2023" s="572" t="str">
        <f ca="1">IFERROR(VLOOKUP(B2023,'Coverage Indicators - Section D'!$A$9:$AO$94,41,FALSE),"")</f>
        <v>TB/HIV-3.1a Percentage of people living with HIV newly initiated on ART who were screened for TB</v>
      </c>
      <c r="D2023" s="574" t="str">
        <f ca="1">M2023</f>
        <v>Gender</v>
      </c>
      <c r="E2023" s="574" t="str">
        <f ca="1">N2023</f>
        <v>Male</v>
      </c>
      <c r="F2023" s="127"/>
      <c r="G2023" s="576" t="str">
        <f ca="1">IF(OR(INDIRECT("'update Helper'!E"&amp;Q2023)="",F2023&lt;&gt;0,F2024&lt;&gt;0),IF(IFERROR((F2023/F2024),"")="","",(F2023/F2024)),INDIRECT("'update Helper'!E"&amp;Q2023)/100)</f>
        <v/>
      </c>
      <c r="H2023" s="539"/>
      <c r="I2023" s="578"/>
      <c r="J2023" s="532"/>
      <c r="K2023" s="126">
        <f ca="1">IF(AND(EXACT(C2023,C2021),C2021&lt;&gt;0),K2021+1,0)</f>
        <v>1</v>
      </c>
      <c r="L2023" s="126" t="str">
        <f t="shared" ref="L2023" ca="1" si="2331">IF(C2023&lt;&gt;"",C2023&amp;"-"&amp;K2023,"")</f>
        <v>TB/HIV-3.1a Percentage of people living with HIV newly initiated on ART who were screened for TB-1</v>
      </c>
      <c r="M2023" s="126" t="str">
        <f t="array" aca="1" ref="M2023" ca="1">IFERROR(IF(INDEX('Disaggregation Records'!$E$156:$E$517,MATCH(RIGHT(L2023,255),RIGHT('Disaggregation Records'!$D$156:$D$517,255),0))="","",INDEX('Disaggregation Records'!$E$156:$E$517,MATCH(RIGHT(L2023,255),RIGHT('Disaggregation Records'!$D$156:$D$517,255),0))),"")</f>
        <v>Gender</v>
      </c>
      <c r="N2023" s="126" t="str">
        <f t="array" aca="1" ref="N2023" ca="1">IFERROR(IF(INDEX('Disaggregation Records'!$F$156:$F$517,MATCH(RIGHT(L2023,255),RIGHT('Disaggregation Records'!$D$156:$D$517,255),0))="","",INDEX('Disaggregation Records'!$F$156:$F$517,MATCH(RIGHT(L2023,255),RIGHT('Disaggregation Records'!$D$156:$D$517,255),0))),"")</f>
        <v>Male</v>
      </c>
      <c r="O2023" s="314" t="str">
        <f t="array" aca="1" ref="O2023" ca="1">IFERROR(IF(INDEX('Disaggregation Records'!$H$156:$H$517,MATCH(RIGHT(L2023,255),RIGHT('Disaggregation Records'!$D$156:$D$517,255),0))="","",INDEX('Disaggregation Records'!$H$156:$H$517,MATCH(RIGHT(L2023,255),RIGHT('Disaggregation Records'!$D$156:$D$517,255),0))),"")</f>
        <v>IDR-01347</v>
      </c>
      <c r="P2023" s="310"/>
      <c r="Q2023" s="310">
        <f t="shared" ref="Q2023" si="2332">Q2021+1</f>
        <v>1714</v>
      </c>
      <c r="R2023" s="314" t="str" cm="1">
        <f t="array" aca="1" ref="R2023" ca="1">IFERROR(IF(INDEX('Disaggregation Records'!$G$156:$G$517,MATCH(RIGHT(L2023,255),RIGHT('Disaggregation Records'!$D$156:$D$517,255),0))="","",INDEX('Disaggregation Records'!$G$156:$G$517,MATCH(RIGHT(L2023,255),RIGHT('Disaggregation Records'!$D$156:$D$517,255),0))),"")</f>
        <v>a1LDm000000Cb4TMAS</v>
      </c>
    </row>
    <row r="2024" spans="1:18" ht="20.100000000000001" customHeight="1">
      <c r="A2024" s="126"/>
      <c r="B2024" s="571"/>
      <c r="C2024" s="573"/>
      <c r="D2024" s="575"/>
      <c r="E2024" s="575"/>
      <c r="F2024" s="128"/>
      <c r="G2024" s="577"/>
      <c r="H2024" s="540"/>
      <c r="I2024" s="579"/>
      <c r="J2024" s="533"/>
      <c r="L2024" s="126"/>
      <c r="N2024" s="126"/>
      <c r="O2024" s="314"/>
      <c r="P2024" s="310"/>
      <c r="Q2024" s="310"/>
      <c r="R2024" s="314" t="str" cm="1">
        <f t="array" ref="R2024">IFERROR(IF(INDEX('Disaggregation Records'!$G$156:$G$517,MATCH(RIGHT(L2024,255),RIGHT('Disaggregation Records'!$D$156:$D$517,255),0))="","",INDEX('Disaggregation Records'!$G$156:$G$517,MATCH(RIGHT(L2024,255),RIGHT('Disaggregation Records'!$D$156:$D$517,255),0))),"")</f>
        <v/>
      </c>
    </row>
    <row r="2025" spans="1:18" ht="20.100000000000001" customHeight="1">
      <c r="A2025" s="126" t="str">
        <f t="shared" ref="A2025:A2085" ca="1" si="2333">INDIRECT("'update Helper'!C"&amp;Q2025)</f>
        <v>a16Dm000000M3rqIAC</v>
      </c>
      <c r="B2025" s="570">
        <v>36</v>
      </c>
      <c r="C2025" s="572" t="str">
        <f ca="1">IFERROR(VLOOKUP(B2025,'Coverage Indicators - Section D'!$A$9:$AO$94,41,FALSE),"")</f>
        <v>TB/HIV-3.1a Percentage of people living with HIV newly initiated on ART who were screened for TB</v>
      </c>
      <c r="D2025" s="574" t="str">
        <f ca="1">M2025</f>
        <v>Age</v>
      </c>
      <c r="E2025" s="574" t="str">
        <f ca="1">N2025</f>
        <v>5-14</v>
      </c>
      <c r="F2025" s="127"/>
      <c r="G2025" s="576" t="str">
        <f ca="1">IF(OR(INDIRECT("'update Helper'!E"&amp;Q2025)="",F2025&lt;&gt;0,F2026&lt;&gt;0),IF(IFERROR((F2025/F2026),"")="","",(F2025/F2026)),INDIRECT("'update Helper'!E"&amp;Q2025)/100)</f>
        <v/>
      </c>
      <c r="H2025" s="539"/>
      <c r="I2025" s="578"/>
      <c r="J2025" s="532"/>
      <c r="K2025" s="126">
        <f ca="1">IF(AND(EXACT(C2025,C2023),C2023&lt;&gt;0),K2023+1,0)</f>
        <v>2</v>
      </c>
      <c r="L2025" s="126" t="str">
        <f t="shared" ref="L2025" ca="1" si="2334">IF(C2025&lt;&gt;"",C2025&amp;"-"&amp;K2025,"")</f>
        <v>TB/HIV-3.1a Percentage of people living with HIV newly initiated on ART who were screened for TB-2</v>
      </c>
      <c r="M2025" s="126" t="str">
        <f t="array" aca="1" ref="M2025" ca="1">IFERROR(IF(INDEX('Disaggregation Records'!$E$156:$E$517,MATCH(RIGHT(L2025,255),RIGHT('Disaggregation Records'!$D$156:$D$517,255),0))="","",INDEX('Disaggregation Records'!$E$156:$E$517,MATCH(RIGHT(L2025,255),RIGHT('Disaggregation Records'!$D$156:$D$517,255),0))),"")</f>
        <v>Age</v>
      </c>
      <c r="N2025" s="126" t="str">
        <f t="array" aca="1" ref="N2025" ca="1">IFERROR(IF(INDEX('Disaggregation Records'!$F$156:$F$517,MATCH(RIGHT(L2025,255),RIGHT('Disaggregation Records'!$D$156:$D$517,255),0))="","",INDEX('Disaggregation Records'!$F$156:$F$517,MATCH(RIGHT(L2025,255),RIGHT('Disaggregation Records'!$D$156:$D$517,255),0))),"")</f>
        <v>5-14</v>
      </c>
      <c r="O2025" s="314" t="str">
        <f t="array" aca="1" ref="O2025" ca="1">IFERROR(IF(INDEX('Disaggregation Records'!$H$156:$H$517,MATCH(RIGHT(L2025,255),RIGHT('Disaggregation Records'!$D$156:$D$517,255),0))="","",INDEX('Disaggregation Records'!$H$156:$H$517,MATCH(RIGHT(L2025,255),RIGHT('Disaggregation Records'!$D$156:$D$517,255),0))),"")</f>
        <v>IDR-01346</v>
      </c>
      <c r="P2025" s="310"/>
      <c r="Q2025" s="310">
        <f t="shared" ref="Q2025" si="2335">Q2023+1</f>
        <v>1715</v>
      </c>
      <c r="R2025" s="314" t="str" cm="1">
        <f t="array" aca="1" ref="R2025" ca="1">IFERROR(IF(INDEX('Disaggregation Records'!$G$156:$G$517,MATCH(RIGHT(L2025,255),RIGHT('Disaggregation Records'!$D$156:$D$517,255),0))="","",INDEX('Disaggregation Records'!$G$156:$G$517,MATCH(RIGHT(L2025,255),RIGHT('Disaggregation Records'!$D$156:$D$517,255),0))),"")</f>
        <v>a1LDm000000Cb4SMAS</v>
      </c>
    </row>
    <row r="2026" spans="1:18" ht="20.100000000000001" customHeight="1">
      <c r="B2026" s="571"/>
      <c r="C2026" s="573"/>
      <c r="D2026" s="575"/>
      <c r="E2026" s="575"/>
      <c r="F2026" s="128"/>
      <c r="G2026" s="577"/>
      <c r="H2026" s="540"/>
      <c r="I2026" s="579"/>
      <c r="J2026" s="533"/>
      <c r="L2026" s="126"/>
      <c r="N2026" s="126"/>
      <c r="O2026" s="314"/>
      <c r="P2026" s="310"/>
      <c r="Q2026" s="310"/>
      <c r="R2026" s="314" t="str" cm="1">
        <f t="array" ref="R2026">IFERROR(IF(INDEX('Disaggregation Records'!$G$156:$G$517,MATCH(RIGHT(L2026,255),RIGHT('Disaggregation Records'!$D$156:$D$517,255),0))="","",INDEX('Disaggregation Records'!$G$156:$G$517,MATCH(RIGHT(L2026,255),RIGHT('Disaggregation Records'!$D$156:$D$517,255),0))),"")</f>
        <v/>
      </c>
    </row>
    <row r="2027" spans="1:18" ht="20.100000000000001" customHeight="1">
      <c r="A2027" s="126" t="str">
        <f t="shared" ref="A2027:A2087" ca="1" si="2336">INDIRECT("'update Helper'!C"&amp;Q2027)</f>
        <v>a16Dm000000M3rrIAC</v>
      </c>
      <c r="B2027" s="570">
        <v>36</v>
      </c>
      <c r="C2027" s="572" t="str">
        <f ca="1">IFERROR(VLOOKUP(B2027,'Coverage Indicators - Section D'!$A$9:$AO$94,41,FALSE),"")</f>
        <v>TB/HIV-3.1a Percentage of people living with HIV newly initiated on ART who were screened for TB</v>
      </c>
      <c r="D2027" s="574" t="str">
        <f ca="1">M2027</f>
        <v>Age</v>
      </c>
      <c r="E2027" s="574" t="str">
        <f ca="1">N2027</f>
        <v>&lt;5</v>
      </c>
      <c r="F2027" s="127"/>
      <c r="G2027" s="576" t="str">
        <f ca="1">IF(OR(INDIRECT("'update Helper'!E"&amp;Q2027)="",F2027&lt;&gt;0,F2028&lt;&gt;0),IF(IFERROR((F2027/F2028),"")="","",(F2027/F2028)),INDIRECT("'update Helper'!E"&amp;Q2027)/100)</f>
        <v/>
      </c>
      <c r="H2027" s="539"/>
      <c r="I2027" s="578"/>
      <c r="J2027" s="532"/>
      <c r="K2027" s="126">
        <f ca="1">IF(AND(EXACT(C2027,C2025),C2025&lt;&gt;0),K2025+1,0)</f>
        <v>3</v>
      </c>
      <c r="L2027" s="126" t="str">
        <f t="shared" ref="L2027" ca="1" si="2337">IF(C2027&lt;&gt;"",C2027&amp;"-"&amp;K2027,"")</f>
        <v>TB/HIV-3.1a Percentage of people living with HIV newly initiated on ART who were screened for TB-3</v>
      </c>
      <c r="M2027" s="126" t="str">
        <f t="array" aca="1" ref="M2027" ca="1">IFERROR(IF(INDEX('Disaggregation Records'!$E$156:$E$517,MATCH(RIGHT(L2027,255),RIGHT('Disaggregation Records'!$D$156:$D$517,255),0))="","",INDEX('Disaggregation Records'!$E$156:$E$517,MATCH(RIGHT(L2027,255),RIGHT('Disaggregation Records'!$D$156:$D$517,255),0))),"")</f>
        <v>Age</v>
      </c>
      <c r="N2027" s="126" t="str">
        <f t="array" aca="1" ref="N2027" ca="1">IFERROR(IF(INDEX('Disaggregation Records'!$F$156:$F$517,MATCH(RIGHT(L2027,255),RIGHT('Disaggregation Records'!$D$156:$D$517,255),0))="","",INDEX('Disaggregation Records'!$F$156:$F$517,MATCH(RIGHT(L2027,255),RIGHT('Disaggregation Records'!$D$156:$D$517,255),0))),"")</f>
        <v>&lt;5</v>
      </c>
      <c r="O2027" s="314" t="str">
        <f t="array" aca="1" ref="O2027" ca="1">IFERROR(IF(INDEX('Disaggregation Records'!$H$156:$H$517,MATCH(RIGHT(L2027,255),RIGHT('Disaggregation Records'!$D$156:$D$517,255),0))="","",INDEX('Disaggregation Records'!$H$156:$H$517,MATCH(RIGHT(L2027,255),RIGHT('Disaggregation Records'!$D$156:$D$517,255),0))),"")</f>
        <v>IDR-01345</v>
      </c>
      <c r="P2027" s="310"/>
      <c r="Q2027" s="310">
        <f t="shared" ref="Q2027" si="2338">Q2025+1</f>
        <v>1716</v>
      </c>
      <c r="R2027" s="314" t="str" cm="1">
        <f t="array" aca="1" ref="R2027" ca="1">IFERROR(IF(INDEX('Disaggregation Records'!$G$156:$G$517,MATCH(RIGHT(L2027,255),RIGHT('Disaggregation Records'!$D$156:$D$517,255),0))="","",INDEX('Disaggregation Records'!$G$156:$G$517,MATCH(RIGHT(L2027,255),RIGHT('Disaggregation Records'!$D$156:$D$517,255),0))),"")</f>
        <v>a1LDm000000Cb4RMAS</v>
      </c>
    </row>
    <row r="2028" spans="1:18" ht="20.100000000000001" customHeight="1">
      <c r="A2028" s="126"/>
      <c r="B2028" s="571"/>
      <c r="C2028" s="573"/>
      <c r="D2028" s="575"/>
      <c r="E2028" s="575"/>
      <c r="F2028" s="128"/>
      <c r="G2028" s="577"/>
      <c r="H2028" s="540"/>
      <c r="I2028" s="579"/>
      <c r="J2028" s="533"/>
      <c r="L2028" s="126"/>
      <c r="N2028" s="126"/>
      <c r="O2028" s="314"/>
      <c r="P2028" s="310"/>
      <c r="Q2028" s="310"/>
      <c r="R2028" s="314" t="str" cm="1">
        <f t="array" ref="R2028">IFERROR(IF(INDEX('Disaggregation Records'!$G$156:$G$517,MATCH(RIGHT(L2028,255),RIGHT('Disaggregation Records'!$D$156:$D$517,255),0))="","",INDEX('Disaggregation Records'!$G$156:$G$517,MATCH(RIGHT(L2028,255),RIGHT('Disaggregation Records'!$D$156:$D$517,255),0))),"")</f>
        <v/>
      </c>
    </row>
    <row r="2029" spans="1:18" ht="20.100000000000001" customHeight="1">
      <c r="A2029" s="126" t="str">
        <f t="shared" ref="A2029:A2089" ca="1" si="2339">INDIRECT("'update Helper'!C"&amp;Q2029)</f>
        <v>a16Dm000000M3rsIAC</v>
      </c>
      <c r="B2029" s="570">
        <v>36</v>
      </c>
      <c r="C2029" s="572" t="str">
        <f ca="1">IFERROR(VLOOKUP(B2029,'Coverage Indicators - Section D'!$A$9:$AO$94,41,FALSE),"")</f>
        <v>TB/HIV-3.1a Percentage of people living with HIV newly initiated on ART who were screened for TB</v>
      </c>
      <c r="D2029" s="574" t="str">
        <f ca="1">M2029</f>
        <v>Gender</v>
      </c>
      <c r="E2029" s="574" t="str">
        <f ca="1">N2029</f>
        <v>Female</v>
      </c>
      <c r="F2029" s="127"/>
      <c r="G2029" s="576" t="str">
        <f ca="1">IF(OR(INDIRECT("'update Helper'!E"&amp;Q2029)="",F2029&lt;&gt;0,F2030&lt;&gt;0),IF(IFERROR((F2029/F2030),"")="","",(F2029/F2030)),INDIRECT("'update Helper'!E"&amp;Q2029)/100)</f>
        <v/>
      </c>
      <c r="H2029" s="539"/>
      <c r="I2029" s="578"/>
      <c r="J2029" s="532"/>
      <c r="K2029" s="126">
        <f ca="1">IF(AND(EXACT(C2029,C2027),C2027&lt;&gt;0),K2027+1,0)</f>
        <v>4</v>
      </c>
      <c r="L2029" s="126" t="str">
        <f t="shared" ref="L2029" ca="1" si="2340">IF(C2029&lt;&gt;"",C2029&amp;"-"&amp;K2029,"")</f>
        <v>TB/HIV-3.1a Percentage of people living with HIV newly initiated on ART who were screened for TB-4</v>
      </c>
      <c r="M2029" s="126" t="str">
        <f t="array" aca="1" ref="M2029" ca="1">IFERROR(IF(INDEX('Disaggregation Records'!$E$156:$E$517,MATCH(RIGHT(L2029,255),RIGHT('Disaggregation Records'!$D$156:$D$517,255),0))="","",INDEX('Disaggregation Records'!$E$156:$E$517,MATCH(RIGHT(L2029,255),RIGHT('Disaggregation Records'!$D$156:$D$517,255),0))),"")</f>
        <v>Gender</v>
      </c>
      <c r="N2029" s="126" t="str">
        <f t="array" aca="1" ref="N2029" ca="1">IFERROR(IF(INDEX('Disaggregation Records'!$F$156:$F$517,MATCH(RIGHT(L2029,255),RIGHT('Disaggregation Records'!$D$156:$D$517,255),0))="","",INDEX('Disaggregation Records'!$F$156:$F$517,MATCH(RIGHT(L2029,255),RIGHT('Disaggregation Records'!$D$156:$D$517,255),0))),"")</f>
        <v>Female</v>
      </c>
      <c r="O2029" s="314" t="str">
        <f t="array" aca="1" ref="O2029" ca="1">IFERROR(IF(INDEX('Disaggregation Records'!$H$156:$H$517,MATCH(RIGHT(L2029,255),RIGHT('Disaggregation Records'!$D$156:$D$517,255),0))="","",INDEX('Disaggregation Records'!$H$156:$H$517,MATCH(RIGHT(L2029,255),RIGHT('Disaggregation Records'!$D$156:$D$517,255),0))),"")</f>
        <v>IDR-01344</v>
      </c>
      <c r="P2029" s="314"/>
      <c r="Q2029" s="310">
        <f t="shared" ref="Q2029" si="2341">Q2027+1</f>
        <v>1717</v>
      </c>
      <c r="R2029" s="314" t="str" cm="1">
        <f t="array" aca="1" ref="R2029" ca="1">IFERROR(IF(INDEX('Disaggregation Records'!$G$156:$G$517,MATCH(RIGHT(L2029,255),RIGHT('Disaggregation Records'!$D$156:$D$517,255),0))="","",INDEX('Disaggregation Records'!$G$156:$G$517,MATCH(RIGHT(L2029,255),RIGHT('Disaggregation Records'!$D$156:$D$517,255),0))),"")</f>
        <v>a1LDm000000Cb4QMAS</v>
      </c>
    </row>
    <row r="2030" spans="1:18" ht="20.100000000000001" customHeight="1">
      <c r="B2030" s="571"/>
      <c r="C2030" s="573"/>
      <c r="D2030" s="575"/>
      <c r="E2030" s="575"/>
      <c r="F2030" s="128"/>
      <c r="G2030" s="577"/>
      <c r="H2030" s="540"/>
      <c r="I2030" s="579"/>
      <c r="J2030" s="533"/>
      <c r="K2030" s="126"/>
      <c r="L2030" s="126"/>
      <c r="M2030" s="126"/>
      <c r="N2030" s="126"/>
      <c r="O2030" s="314"/>
      <c r="P2030" s="314"/>
      <c r="Q2030" s="310"/>
      <c r="R2030" s="314" t="str" cm="1">
        <f t="array" ref="R2030">IFERROR(IF(INDEX('Disaggregation Records'!$G$156:$G$517,MATCH(RIGHT(L2030,255),RIGHT('Disaggregation Records'!$D$156:$D$517,255),0))="","",INDEX('Disaggregation Records'!$G$156:$G$517,MATCH(RIGHT(L2030,255),RIGHT('Disaggregation Records'!$D$156:$D$517,255),0))),"")</f>
        <v/>
      </c>
    </row>
    <row r="2031" spans="1:18" ht="20.100000000000001" customHeight="1">
      <c r="A2031" s="126" t="str">
        <f t="shared" ref="A2031:A2091" ca="1" si="2342">INDIRECT("'update Helper'!C"&amp;Q2031)</f>
        <v>a16Dm000000M3rtIAC</v>
      </c>
      <c r="B2031" s="570">
        <v>36</v>
      </c>
      <c r="C2031" s="572" t="str">
        <f ca="1">IFERROR(VLOOKUP(B2031,'Coverage Indicators - Section D'!$A$9:$AO$94,41,FALSE),"")</f>
        <v>TB/HIV-3.1a Percentage of people living with HIV newly initiated on ART who were screened for TB</v>
      </c>
      <c r="D2031" s="574" t="str">
        <f ca="1">M2031</f>
        <v/>
      </c>
      <c r="E2031" s="574" t="str">
        <f ca="1">N2031</f>
        <v/>
      </c>
      <c r="F2031" s="127"/>
      <c r="G2031" s="576" t="str">
        <f ca="1">IF(OR(INDIRECT("'update Helper'!E"&amp;Q2031)="",F2031&lt;&gt;0,F2032&lt;&gt;0),IF(IFERROR((F2031/F2032),"")="","",(F2031/F2032)),INDIRECT("'update Helper'!E"&amp;Q2031)/100)</f>
        <v/>
      </c>
      <c r="H2031" s="539"/>
      <c r="I2031" s="578" t="s">
        <v>2281</v>
      </c>
      <c r="J2031" s="532" t="s">
        <v>2282</v>
      </c>
      <c r="K2031" s="126">
        <f ca="1">IF(AND(EXACT(C2031,C2029),C2029&lt;&gt;0),K2029+1,0)</f>
        <v>5</v>
      </c>
      <c r="L2031" s="126" t="str">
        <f t="shared" ref="L2031" ca="1" si="2343">IF(C2031&lt;&gt;"",C2031&amp;"-"&amp;K2031,"")</f>
        <v>TB/HIV-3.1a Percentage of people living with HIV newly initiated on ART who were screened for TB-5</v>
      </c>
      <c r="M2031" s="126" t="str">
        <f t="array" aca="1" ref="M2031" ca="1">IFERROR(IF(INDEX('Disaggregation Records'!$E$156:$E$517,MATCH(RIGHT(L2031,255),RIGHT('Disaggregation Records'!$D$156:$D$517,255),0))="","",INDEX('Disaggregation Records'!$E$156:$E$517,MATCH(RIGHT(L2031,255),RIGHT('Disaggregation Records'!$D$156:$D$517,255),0))),"")</f>
        <v/>
      </c>
      <c r="N2031" s="126" t="str">
        <f t="array" aca="1" ref="N2031" ca="1">IFERROR(IF(INDEX('Disaggregation Records'!$F$156:$F$517,MATCH(RIGHT(L2031,255),RIGHT('Disaggregation Records'!$D$156:$D$517,255),0))="","",INDEX('Disaggregation Records'!$F$156:$F$517,MATCH(RIGHT(L2031,255),RIGHT('Disaggregation Records'!$D$156:$D$517,255),0))),"")</f>
        <v/>
      </c>
      <c r="O2031" s="314" t="str">
        <f t="array" aca="1" ref="O2031" ca="1">IFERROR(IF(INDEX('Disaggregation Records'!$H$156:$H$517,MATCH(RIGHT(L2031,255),RIGHT('Disaggregation Records'!$D$156:$D$517,255),0))="","",INDEX('Disaggregation Records'!$H$156:$H$517,MATCH(RIGHT(L2031,255),RIGHT('Disaggregation Records'!$D$156:$D$517,255),0))),"")</f>
        <v/>
      </c>
      <c r="P2031" s="314"/>
      <c r="Q2031" s="310">
        <f t="shared" ref="Q2031" si="2344">Q2029+1</f>
        <v>1718</v>
      </c>
      <c r="R2031" s="314" t="str" cm="1">
        <f t="array" aca="1" ref="R2031" ca="1">IFERROR(IF(INDEX('Disaggregation Records'!$G$156:$G$517,MATCH(RIGHT(L2031,255),RIGHT('Disaggregation Records'!$D$156:$D$517,255),0))="","",INDEX('Disaggregation Records'!$G$156:$G$517,MATCH(RIGHT(L2031,255),RIGHT('Disaggregation Records'!$D$156:$D$517,255),0))),"")</f>
        <v/>
      </c>
    </row>
    <row r="2032" spans="1:18" ht="20.100000000000001" customHeight="1">
      <c r="A2032" s="126"/>
      <c r="B2032" s="571"/>
      <c r="C2032" s="573"/>
      <c r="D2032" s="575"/>
      <c r="E2032" s="575"/>
      <c r="F2032" s="128"/>
      <c r="G2032" s="577"/>
      <c r="H2032" s="540"/>
      <c r="I2032" s="579"/>
      <c r="J2032" s="533"/>
      <c r="K2032" s="126"/>
      <c r="L2032" s="126"/>
      <c r="M2032" s="126"/>
      <c r="N2032" s="126"/>
      <c r="O2032" s="314"/>
      <c r="P2032" s="314"/>
      <c r="Q2032" s="310"/>
      <c r="R2032" s="314" t="str" cm="1">
        <f t="array" ref="R2032">IFERROR(IF(INDEX('Disaggregation Records'!$G$156:$G$517,MATCH(RIGHT(L2032,255),RIGHT('Disaggregation Records'!$D$156:$D$517,255),0))="","",INDEX('Disaggregation Records'!$G$156:$G$517,MATCH(RIGHT(L2032,255),RIGHT('Disaggregation Records'!$D$156:$D$517,255),0))),"")</f>
        <v/>
      </c>
    </row>
    <row r="2033" spans="1:18" ht="20.100000000000001" customHeight="1">
      <c r="A2033" s="126" t="str">
        <f t="shared" ref="A2033:A2093" ca="1" si="2345">INDIRECT("'update Helper'!C"&amp;Q2033)</f>
        <v>a16Dm000000M3ruIAC</v>
      </c>
      <c r="B2033" s="570">
        <v>36</v>
      </c>
      <c r="C2033" s="572" t="str">
        <f ca="1">IFERROR(VLOOKUP(B2033,'Coverage Indicators - Section D'!$A$9:$AO$94,41,FALSE),"")</f>
        <v>TB/HIV-3.1a Percentage of people living with HIV newly initiated on ART who were screened for TB</v>
      </c>
      <c r="D2033" s="574" t="str">
        <f ca="1">M2033</f>
        <v/>
      </c>
      <c r="E2033" s="574" t="str">
        <f ca="1">N2033</f>
        <v/>
      </c>
      <c r="F2033" s="127"/>
      <c r="G2033" s="576" t="str">
        <f ca="1">IF(OR(INDIRECT("'update Helper'!E"&amp;Q2033)="",F2033&lt;&gt;0,F2034&lt;&gt;0),IF(IFERROR((F2033/F2034),"")="","",(F2033/F2034)),INDIRECT("'update Helper'!E"&amp;Q2033)/100)</f>
        <v/>
      </c>
      <c r="H2033" s="539"/>
      <c r="I2033" s="578" t="s">
        <v>2281</v>
      </c>
      <c r="J2033" s="532" t="s">
        <v>2282</v>
      </c>
      <c r="K2033" s="126">
        <f ca="1">IF(AND(EXACT(C2033,C2031),C2031&lt;&gt;0),K2031+1,0)</f>
        <v>6</v>
      </c>
      <c r="L2033" s="126" t="str">
        <f t="shared" ref="L2033" ca="1" si="2346">IF(C2033&lt;&gt;"",C2033&amp;"-"&amp;K2033,"")</f>
        <v>TB/HIV-3.1a Percentage of people living with HIV newly initiated on ART who were screened for TB-6</v>
      </c>
      <c r="M2033" s="126" t="str">
        <f t="array" aca="1" ref="M2033" ca="1">IFERROR(IF(INDEX('Disaggregation Records'!$E$156:$E$517,MATCH(RIGHT(L2033,255),RIGHT('Disaggregation Records'!$D$156:$D$517,255),0))="","",INDEX('Disaggregation Records'!$E$156:$E$517,MATCH(RIGHT(L2033,255),RIGHT('Disaggregation Records'!$D$156:$D$517,255),0))),"")</f>
        <v/>
      </c>
      <c r="N2033" s="126" t="str">
        <f t="array" aca="1" ref="N2033" ca="1">IFERROR(IF(INDEX('Disaggregation Records'!$F$156:$F$517,MATCH(RIGHT(L2033,255),RIGHT('Disaggregation Records'!$D$156:$D$517,255),0))="","",INDEX('Disaggregation Records'!$F$156:$F$517,MATCH(RIGHT(L2033,255),RIGHT('Disaggregation Records'!$D$156:$D$517,255),0))),"")</f>
        <v/>
      </c>
      <c r="O2033" s="314" t="str">
        <f t="array" aca="1" ref="O2033" ca="1">IFERROR(IF(INDEX('Disaggregation Records'!$H$156:$H$517,MATCH(RIGHT(L2033,255),RIGHT('Disaggregation Records'!$D$156:$D$517,255),0))="","",INDEX('Disaggregation Records'!$H$156:$H$517,MATCH(RIGHT(L2033,255),RIGHT('Disaggregation Records'!$D$156:$D$517,255),0))),"")</f>
        <v/>
      </c>
      <c r="P2033" s="310"/>
      <c r="Q2033" s="310">
        <f t="shared" ref="Q2033" si="2347">Q2031+1</f>
        <v>1719</v>
      </c>
      <c r="R2033" s="314" t="str" cm="1">
        <f t="array" aca="1" ref="R2033" ca="1">IFERROR(IF(INDEX('Disaggregation Records'!$G$156:$G$517,MATCH(RIGHT(L2033,255),RIGHT('Disaggregation Records'!$D$156:$D$517,255),0))="","",INDEX('Disaggregation Records'!$G$156:$G$517,MATCH(RIGHT(L2033,255),RIGHT('Disaggregation Records'!$D$156:$D$517,255),0))),"")</f>
        <v/>
      </c>
    </row>
    <row r="2034" spans="1:18" ht="20.100000000000001" customHeight="1">
      <c r="B2034" s="571"/>
      <c r="C2034" s="573"/>
      <c r="D2034" s="575"/>
      <c r="E2034" s="575"/>
      <c r="F2034" s="128"/>
      <c r="G2034" s="577"/>
      <c r="H2034" s="540"/>
      <c r="I2034" s="579"/>
      <c r="J2034" s="533"/>
      <c r="L2034" s="126"/>
      <c r="N2034" s="126"/>
      <c r="O2034" s="314"/>
      <c r="P2034" s="310"/>
      <c r="Q2034" s="310"/>
      <c r="R2034" s="314" t="str" cm="1">
        <f t="array" ref="R2034">IFERROR(IF(INDEX('Disaggregation Records'!$G$156:$G$517,MATCH(RIGHT(L2034,255),RIGHT('Disaggregation Records'!$D$156:$D$517,255),0))="","",INDEX('Disaggregation Records'!$G$156:$G$517,MATCH(RIGHT(L2034,255),RIGHT('Disaggregation Records'!$D$156:$D$517,255),0))),"")</f>
        <v/>
      </c>
    </row>
    <row r="2035" spans="1:18" ht="20.100000000000001" customHeight="1">
      <c r="A2035" s="126" t="str">
        <f t="shared" ref="A2035:A2095" ca="1" si="2348">INDIRECT("'update Helper'!C"&amp;Q2035)</f>
        <v>a16Dm000000M3rvIAC</v>
      </c>
      <c r="B2035" s="570">
        <v>36</v>
      </c>
      <c r="C2035" s="572" t="str">
        <f ca="1">IFERROR(VLOOKUP(B2035,'Coverage Indicators - Section D'!$A$9:$AO$94,41,FALSE),"")</f>
        <v>TB/HIV-3.1a Percentage of people living with HIV newly initiated on ART who were screened for TB</v>
      </c>
      <c r="D2035" s="574" t="str">
        <f ca="1">M2035</f>
        <v/>
      </c>
      <c r="E2035" s="574" t="str">
        <f ca="1">N2035</f>
        <v/>
      </c>
      <c r="F2035" s="127"/>
      <c r="G2035" s="576" t="str">
        <f ca="1">IF(OR(INDIRECT("'update Helper'!E"&amp;Q2035)="",F2035&lt;&gt;0,F2036&lt;&gt;0),IF(IFERROR((F2035/F2036),"")="","",(F2035/F2036)),INDIRECT("'update Helper'!E"&amp;Q2035)/100)</f>
        <v/>
      </c>
      <c r="H2035" s="539"/>
      <c r="I2035" s="578" t="s">
        <v>2281</v>
      </c>
      <c r="J2035" s="532" t="s">
        <v>2282</v>
      </c>
      <c r="K2035" s="126">
        <f ca="1">IF(AND(EXACT(C2035,C2033),C2033&lt;&gt;0),K2033+1,0)</f>
        <v>7</v>
      </c>
      <c r="L2035" s="126" t="str">
        <f t="shared" ref="L2035" ca="1" si="2349">IF(C2035&lt;&gt;"",C2035&amp;"-"&amp;K2035,"")</f>
        <v>TB/HIV-3.1a Percentage of people living with HIV newly initiated on ART who were screened for TB-7</v>
      </c>
      <c r="M2035" s="126" t="str">
        <f t="array" aca="1" ref="M2035" ca="1">IFERROR(IF(INDEX('Disaggregation Records'!$E$156:$E$517,MATCH(RIGHT(L2035,255),RIGHT('Disaggregation Records'!$D$156:$D$517,255),0))="","",INDEX('Disaggregation Records'!$E$156:$E$517,MATCH(RIGHT(L2035,255),RIGHT('Disaggregation Records'!$D$156:$D$517,255),0))),"")</f>
        <v/>
      </c>
      <c r="N2035" s="126" t="str">
        <f t="array" aca="1" ref="N2035" ca="1">IFERROR(IF(INDEX('Disaggregation Records'!$F$156:$F$517,MATCH(RIGHT(L2035,255),RIGHT('Disaggregation Records'!$D$156:$D$517,255),0))="","",INDEX('Disaggregation Records'!$F$156:$F$517,MATCH(RIGHT(L2035,255),RIGHT('Disaggregation Records'!$D$156:$D$517,255),0))),"")</f>
        <v/>
      </c>
      <c r="O2035" s="314" t="str">
        <f t="array" aca="1" ref="O2035" ca="1">IFERROR(IF(INDEX('Disaggregation Records'!$H$156:$H$517,MATCH(RIGHT(L2035,255),RIGHT('Disaggregation Records'!$D$156:$D$517,255),0))="","",INDEX('Disaggregation Records'!$H$156:$H$517,MATCH(RIGHT(L2035,255),RIGHT('Disaggregation Records'!$D$156:$D$517,255),0))),"")</f>
        <v/>
      </c>
      <c r="P2035" s="310"/>
      <c r="Q2035" s="310">
        <f t="shared" ref="Q2035" si="2350">Q2033+1</f>
        <v>1720</v>
      </c>
      <c r="R2035" s="314" t="str" cm="1">
        <f t="array" aca="1" ref="R2035" ca="1">IFERROR(IF(INDEX('Disaggregation Records'!$G$156:$G$517,MATCH(RIGHT(L2035,255),RIGHT('Disaggregation Records'!$D$156:$D$517,255),0))="","",INDEX('Disaggregation Records'!$G$156:$G$517,MATCH(RIGHT(L2035,255),RIGHT('Disaggregation Records'!$D$156:$D$517,255),0))),"")</f>
        <v/>
      </c>
    </row>
    <row r="2036" spans="1:18" ht="20.100000000000001" customHeight="1">
      <c r="A2036" s="126"/>
      <c r="B2036" s="571"/>
      <c r="C2036" s="573"/>
      <c r="D2036" s="575"/>
      <c r="E2036" s="575"/>
      <c r="F2036" s="128"/>
      <c r="G2036" s="577"/>
      <c r="H2036" s="540"/>
      <c r="I2036" s="579"/>
      <c r="J2036" s="533"/>
      <c r="L2036" s="126"/>
      <c r="N2036" s="126"/>
      <c r="O2036" s="314"/>
      <c r="P2036" s="310"/>
      <c r="Q2036" s="310"/>
      <c r="R2036" s="314" t="str" cm="1">
        <f t="array" ref="R2036">IFERROR(IF(INDEX('Disaggregation Records'!$G$156:$G$517,MATCH(RIGHT(L2036,255),RIGHT('Disaggregation Records'!$D$156:$D$517,255),0))="","",INDEX('Disaggregation Records'!$G$156:$G$517,MATCH(RIGHT(L2036,255),RIGHT('Disaggregation Records'!$D$156:$D$517,255),0))),"")</f>
        <v/>
      </c>
    </row>
    <row r="2037" spans="1:18" ht="20.100000000000001" customHeight="1">
      <c r="A2037" s="126" t="str">
        <f t="shared" ref="A2037:A2097" ca="1" si="2351">INDIRECT("'update Helper'!C"&amp;Q2037)</f>
        <v>a16Dm000000M3rwIAC</v>
      </c>
      <c r="B2037" s="570">
        <v>36</v>
      </c>
      <c r="C2037" s="572" t="str">
        <f ca="1">IFERROR(VLOOKUP(B2037,'Coverage Indicators - Section D'!$A$9:$AO$94,41,FALSE),"")</f>
        <v>TB/HIV-3.1a Percentage of people living with HIV newly initiated on ART who were screened for TB</v>
      </c>
      <c r="D2037" s="574" t="str">
        <f ca="1">M2037</f>
        <v/>
      </c>
      <c r="E2037" s="574" t="str">
        <f ca="1">N2037</f>
        <v/>
      </c>
      <c r="F2037" s="127"/>
      <c r="G2037" s="576" t="str">
        <f ca="1">IF(OR(INDIRECT("'update Helper'!E"&amp;Q2037)="",F2037&lt;&gt;0,F2038&lt;&gt;0),IF(IFERROR((F2037/F2038),"")="","",(F2037/F2038)),INDIRECT("'update Helper'!E"&amp;Q2037)/100)</f>
        <v/>
      </c>
      <c r="H2037" s="539"/>
      <c r="I2037" s="578" t="s">
        <v>2281</v>
      </c>
      <c r="J2037" s="532" t="s">
        <v>2282</v>
      </c>
      <c r="K2037" s="126">
        <f ca="1">IF(AND(EXACT(C2037,C2035),C2035&lt;&gt;0),K2035+1,0)</f>
        <v>8</v>
      </c>
      <c r="L2037" s="126" t="str">
        <f t="shared" ref="L2037" ca="1" si="2352">IF(C2037&lt;&gt;"",C2037&amp;"-"&amp;K2037,"")</f>
        <v>TB/HIV-3.1a Percentage of people living with HIV newly initiated on ART who were screened for TB-8</v>
      </c>
      <c r="M2037" s="126" t="str">
        <f t="array" aca="1" ref="M2037" ca="1">IFERROR(IF(INDEX('Disaggregation Records'!$E$156:$E$517,MATCH(RIGHT(L2037,255),RIGHT('Disaggregation Records'!$D$156:$D$517,255),0))="","",INDEX('Disaggregation Records'!$E$156:$E$517,MATCH(RIGHT(L2037,255),RIGHT('Disaggregation Records'!$D$156:$D$517,255),0))),"")</f>
        <v/>
      </c>
      <c r="N2037" s="126" t="str">
        <f t="array" aca="1" ref="N2037" ca="1">IFERROR(IF(INDEX('Disaggregation Records'!$F$156:$F$517,MATCH(RIGHT(L2037,255),RIGHT('Disaggregation Records'!$D$156:$D$517,255),0))="","",INDEX('Disaggregation Records'!$F$156:$F$517,MATCH(RIGHT(L2037,255),RIGHT('Disaggregation Records'!$D$156:$D$517,255),0))),"")</f>
        <v/>
      </c>
      <c r="O2037" s="314" t="str">
        <f t="array" aca="1" ref="O2037" ca="1">IFERROR(IF(INDEX('Disaggregation Records'!$H$156:$H$517,MATCH(RIGHT(L2037,255),RIGHT('Disaggregation Records'!$D$156:$D$517,255),0))="","",INDEX('Disaggregation Records'!$H$156:$H$517,MATCH(RIGHT(L2037,255),RIGHT('Disaggregation Records'!$D$156:$D$517,255),0))),"")</f>
        <v/>
      </c>
      <c r="P2037" s="310"/>
      <c r="Q2037" s="310">
        <f t="shared" ref="Q2037" si="2353">Q2035+1</f>
        <v>1721</v>
      </c>
      <c r="R2037" s="314" t="str" cm="1">
        <f t="array" aca="1" ref="R2037" ca="1">IFERROR(IF(INDEX('Disaggregation Records'!$G$156:$G$517,MATCH(RIGHT(L2037,255),RIGHT('Disaggregation Records'!$D$156:$D$517,255),0))="","",INDEX('Disaggregation Records'!$G$156:$G$517,MATCH(RIGHT(L2037,255),RIGHT('Disaggregation Records'!$D$156:$D$517,255),0))),"")</f>
        <v/>
      </c>
    </row>
    <row r="2038" spans="1:18" ht="20.100000000000001" customHeight="1">
      <c r="B2038" s="571"/>
      <c r="C2038" s="573"/>
      <c r="D2038" s="575"/>
      <c r="E2038" s="575"/>
      <c r="F2038" s="128"/>
      <c r="G2038" s="577"/>
      <c r="H2038" s="540"/>
      <c r="I2038" s="579"/>
      <c r="J2038" s="533"/>
      <c r="L2038" s="126"/>
      <c r="N2038" s="126"/>
      <c r="O2038" s="314"/>
      <c r="P2038" s="310"/>
      <c r="Q2038" s="310"/>
      <c r="R2038" s="314" t="str" cm="1">
        <f t="array" ref="R2038">IFERROR(IF(INDEX('Disaggregation Records'!$G$156:$G$517,MATCH(RIGHT(L2038,255),RIGHT('Disaggregation Records'!$D$156:$D$517,255),0))="","",INDEX('Disaggregation Records'!$G$156:$G$517,MATCH(RIGHT(L2038,255),RIGHT('Disaggregation Records'!$D$156:$D$517,255),0))),"")</f>
        <v/>
      </c>
    </row>
    <row r="2039" spans="1:18" ht="20.100000000000001" customHeight="1">
      <c r="A2039" s="126" t="str">
        <f t="shared" ref="A2039:A2099" ca="1" si="2354">INDIRECT("'update Helper'!C"&amp;Q2039)</f>
        <v>a16Dm000000M3rxIAC</v>
      </c>
      <c r="B2039" s="570">
        <v>36</v>
      </c>
      <c r="C2039" s="572" t="str">
        <f ca="1">IFERROR(VLOOKUP(B2039,'Coverage Indicators - Section D'!$A$9:$AO$94,41,FALSE),"")</f>
        <v>TB/HIV-3.1a Percentage of people living with HIV newly initiated on ART who were screened for TB</v>
      </c>
      <c r="D2039" s="574" t="str">
        <f ca="1">M2039</f>
        <v/>
      </c>
      <c r="E2039" s="574" t="str">
        <f ca="1">N2039</f>
        <v/>
      </c>
      <c r="F2039" s="127">
        <v>59419</v>
      </c>
      <c r="G2039" s="576" t="str">
        <f ca="1">IF(OR(INDIRECT("'update Helper'!E"&amp;Q2039)="",F2039&lt;&gt;0,F2040&lt;&gt;0),IF(IFERROR((F2039/F2040),"")="","",(F2039/F2040)),INDIRECT("'update Helper'!E"&amp;Q2039)/100)</f>
        <v/>
      </c>
      <c r="H2039" s="539">
        <v>2021</v>
      </c>
      <c r="I2039" s="578" t="s">
        <v>780</v>
      </c>
      <c r="J2039" s="532" t="s">
        <v>2282</v>
      </c>
      <c r="K2039" s="126">
        <f ca="1">IF(AND(EXACT(C2039,C2037),C2037&lt;&gt;0),K2037+1,0)</f>
        <v>9</v>
      </c>
      <c r="L2039" s="126" t="str">
        <f t="shared" ref="L2039" ca="1" si="2355">IF(C2039&lt;&gt;"",C2039&amp;"-"&amp;K2039,"")</f>
        <v>TB/HIV-3.1a Percentage of people living with HIV newly initiated on ART who were screened for TB-9</v>
      </c>
      <c r="M2039" s="126" t="str">
        <f t="array" aca="1" ref="M2039" ca="1">IFERROR(IF(INDEX('Disaggregation Records'!$E$156:$E$517,MATCH(RIGHT(L2039,255),RIGHT('Disaggregation Records'!$D$156:$D$517,255),0))="","",INDEX('Disaggregation Records'!$E$156:$E$517,MATCH(RIGHT(L2039,255),RIGHT('Disaggregation Records'!$D$156:$D$517,255),0))),"")</f>
        <v/>
      </c>
      <c r="N2039" s="126" t="str">
        <f t="array" aca="1" ref="N2039" ca="1">IFERROR(IF(INDEX('Disaggregation Records'!$F$156:$F$517,MATCH(RIGHT(L2039,255),RIGHT('Disaggregation Records'!$D$156:$D$517,255),0))="","",INDEX('Disaggregation Records'!$F$156:$F$517,MATCH(RIGHT(L2039,255),RIGHT('Disaggregation Records'!$D$156:$D$517,255),0))),"")</f>
        <v/>
      </c>
      <c r="O2039" s="314" t="str">
        <f t="array" aca="1" ref="O2039" ca="1">IFERROR(IF(INDEX('Disaggregation Records'!$H$156:$H$517,MATCH(RIGHT(L2039,255),RIGHT('Disaggregation Records'!$D$156:$D$517,255),0))="","",INDEX('Disaggregation Records'!$H$156:$H$517,MATCH(RIGHT(L2039,255),RIGHT('Disaggregation Records'!$D$156:$D$517,255),0))),"")</f>
        <v/>
      </c>
      <c r="P2039" s="314"/>
      <c r="Q2039" s="310">
        <f t="shared" ref="Q2039" si="2356">Q2037+1</f>
        <v>1722</v>
      </c>
      <c r="R2039" s="314" t="str" cm="1">
        <f t="array" aca="1" ref="R2039" ca="1">IFERROR(IF(INDEX('Disaggregation Records'!$G$156:$G$517,MATCH(RIGHT(L2039,255),RIGHT('Disaggregation Records'!$D$156:$D$517,255),0))="","",INDEX('Disaggregation Records'!$G$156:$G$517,MATCH(RIGHT(L2039,255),RIGHT('Disaggregation Records'!$D$156:$D$517,255),0))),"")</f>
        <v/>
      </c>
    </row>
    <row r="2040" spans="1:18" ht="20.100000000000001" customHeight="1">
      <c r="A2040" s="126"/>
      <c r="B2040" s="571"/>
      <c r="C2040" s="573"/>
      <c r="D2040" s="575"/>
      <c r="E2040" s="575"/>
      <c r="F2040" s="128"/>
      <c r="G2040" s="577"/>
      <c r="H2040" s="540"/>
      <c r="I2040" s="579"/>
      <c r="J2040" s="533"/>
      <c r="K2040" s="126"/>
      <c r="L2040" s="126"/>
      <c r="M2040" s="126"/>
      <c r="N2040" s="126"/>
      <c r="O2040" s="314"/>
      <c r="P2040" s="314"/>
      <c r="Q2040" s="310"/>
      <c r="R2040" s="314" t="str" cm="1">
        <f t="array" ref="R2040">IFERROR(IF(INDEX('Disaggregation Records'!$G$156:$G$517,MATCH(RIGHT(L2040,255),RIGHT('Disaggregation Records'!$D$156:$D$517,255),0))="","",INDEX('Disaggregation Records'!$G$156:$G$517,MATCH(RIGHT(L2040,255),RIGHT('Disaggregation Records'!$D$156:$D$517,255),0))),"")</f>
        <v/>
      </c>
    </row>
    <row r="2041" spans="1:18" ht="20.100000000000001" customHeight="1">
      <c r="A2041" s="126" t="str">
        <f t="shared" ref="A2041:A2101" ca="1" si="2357">INDIRECT("'update Helper'!C"&amp;Q2041)</f>
        <v>a16Dm000000M3ryIAC</v>
      </c>
      <c r="B2041" s="570">
        <v>36</v>
      </c>
      <c r="C2041" s="572" t="str">
        <f ca="1">IFERROR(VLOOKUP(B2041,'Coverage Indicators - Section D'!$A$9:$AO$94,41,FALSE),"")</f>
        <v>TB/HIV-3.1a Percentage of people living with HIV newly initiated on ART who were screened for TB</v>
      </c>
      <c r="D2041" s="574" t="str">
        <f ca="1">M2041</f>
        <v/>
      </c>
      <c r="E2041" s="574" t="str">
        <f ca="1">N2041</f>
        <v/>
      </c>
      <c r="F2041" s="127"/>
      <c r="G2041" s="576" t="str">
        <f ca="1">IF(OR(INDIRECT("'update Helper'!E"&amp;Q2041)="",F2041&lt;&gt;0,F2042&lt;&gt;0),IF(IFERROR((F2041/F2042),"")="","",(F2041/F2042)),INDIRECT("'update Helper'!E"&amp;Q2041)/100)</f>
        <v/>
      </c>
      <c r="H2041" s="539"/>
      <c r="I2041" s="578" t="s">
        <v>2281</v>
      </c>
      <c r="J2041" s="532" t="s">
        <v>2282</v>
      </c>
      <c r="K2041" s="126">
        <f ca="1">IF(AND(EXACT(C2041,C2039),C2039&lt;&gt;0),K2039+1,0)</f>
        <v>10</v>
      </c>
      <c r="L2041" s="126" t="str">
        <f t="shared" ref="L2041" ca="1" si="2358">IF(C2041&lt;&gt;"",C2041&amp;"-"&amp;K2041,"")</f>
        <v>TB/HIV-3.1a Percentage of people living with HIV newly initiated on ART who were screened for TB-10</v>
      </c>
      <c r="M2041" s="126" t="str">
        <f t="array" aca="1" ref="M2041" ca="1">IFERROR(IF(INDEX('Disaggregation Records'!$E$156:$E$517,MATCH(RIGHT(L2041,255),RIGHT('Disaggregation Records'!$D$156:$D$517,255),0))="","",INDEX('Disaggregation Records'!$E$156:$E$517,MATCH(RIGHT(L2041,255),RIGHT('Disaggregation Records'!$D$156:$D$517,255),0))),"")</f>
        <v/>
      </c>
      <c r="N2041" s="126" t="str">
        <f t="array" aca="1" ref="N2041" ca="1">IFERROR(IF(INDEX('Disaggregation Records'!$F$156:$F$517,MATCH(RIGHT(L2041,255),RIGHT('Disaggregation Records'!$D$156:$D$517,255),0))="","",INDEX('Disaggregation Records'!$F$156:$F$517,MATCH(RIGHT(L2041,255),RIGHT('Disaggregation Records'!$D$156:$D$517,255),0))),"")</f>
        <v/>
      </c>
      <c r="O2041" s="314" t="str">
        <f t="array" aca="1" ref="O2041" ca="1">IFERROR(IF(INDEX('Disaggregation Records'!$H$156:$H$517,MATCH(RIGHT(L2041,255),RIGHT('Disaggregation Records'!$D$156:$D$517,255),0))="","",INDEX('Disaggregation Records'!$H$156:$H$517,MATCH(RIGHT(L2041,255),RIGHT('Disaggregation Records'!$D$156:$D$517,255),0))),"")</f>
        <v/>
      </c>
      <c r="P2041" s="314"/>
      <c r="Q2041" s="310">
        <f t="shared" ref="Q2041" si="2359">Q2039+1</f>
        <v>1723</v>
      </c>
      <c r="R2041" s="314" t="str" cm="1">
        <f t="array" aca="1" ref="R2041" ca="1">IFERROR(IF(INDEX('Disaggregation Records'!$G$156:$G$517,MATCH(RIGHT(L2041,255),RIGHT('Disaggregation Records'!$D$156:$D$517,255),0))="","",INDEX('Disaggregation Records'!$G$156:$G$517,MATCH(RIGHT(L2041,255),RIGHT('Disaggregation Records'!$D$156:$D$517,255),0))),"")</f>
        <v/>
      </c>
    </row>
    <row r="2042" spans="1:18" ht="20.100000000000001" customHeight="1">
      <c r="B2042" s="571"/>
      <c r="C2042" s="573"/>
      <c r="D2042" s="575"/>
      <c r="E2042" s="575"/>
      <c r="F2042" s="128"/>
      <c r="G2042" s="577"/>
      <c r="H2042" s="540"/>
      <c r="I2042" s="579"/>
      <c r="J2042" s="533"/>
      <c r="K2042" s="126"/>
      <c r="L2042" s="126"/>
      <c r="M2042" s="126"/>
      <c r="N2042" s="126"/>
      <c r="O2042" s="314"/>
      <c r="P2042" s="314"/>
      <c r="Q2042" s="310"/>
      <c r="R2042" s="314" t="str" cm="1">
        <f t="array" ref="R2042">IFERROR(IF(INDEX('Disaggregation Records'!$G$156:$G$517,MATCH(RIGHT(L2042,255),RIGHT('Disaggregation Records'!$D$156:$D$517,255),0))="","",INDEX('Disaggregation Records'!$G$156:$G$517,MATCH(RIGHT(L2042,255),RIGHT('Disaggregation Records'!$D$156:$D$517,255),0))),"")</f>
        <v/>
      </c>
    </row>
    <row r="2043" spans="1:18" ht="20.100000000000001" customHeight="1">
      <c r="A2043" s="126" t="str">
        <f t="shared" ref="A2043:A2103" ca="1" si="2360">INDIRECT("'update Helper'!C"&amp;Q2043)</f>
        <v>a16Dm000000M3rzIAC</v>
      </c>
      <c r="B2043" s="570">
        <v>36</v>
      </c>
      <c r="C2043" s="572" t="str">
        <f ca="1">IFERROR(VLOOKUP(B2043,'Coverage Indicators - Section D'!$A$9:$AO$94,41,FALSE),"")</f>
        <v>TB/HIV-3.1a Percentage of people living with HIV newly initiated on ART who were screened for TB</v>
      </c>
      <c r="D2043" s="574" t="str">
        <f ca="1">M2043</f>
        <v/>
      </c>
      <c r="E2043" s="574" t="str">
        <f ca="1">N2043</f>
        <v/>
      </c>
      <c r="F2043" s="127"/>
      <c r="G2043" s="576" t="str">
        <f ca="1">IF(OR(INDIRECT("'update Helper'!E"&amp;Q2043)="",F2043&lt;&gt;0,F2044&lt;&gt;0),IF(IFERROR((F2043/F2044),"")="","",(F2043/F2044)),INDIRECT("'update Helper'!E"&amp;Q2043)/100)</f>
        <v/>
      </c>
      <c r="H2043" s="539"/>
      <c r="I2043" s="578" t="s">
        <v>2281</v>
      </c>
      <c r="J2043" s="532" t="s">
        <v>2282</v>
      </c>
      <c r="K2043" s="126">
        <f ca="1">IF(AND(EXACT(C2043,C2041),C2041&lt;&gt;0),K2041+1,0)</f>
        <v>11</v>
      </c>
      <c r="L2043" s="126" t="str">
        <f t="shared" ref="L2043" ca="1" si="2361">IF(C2043&lt;&gt;"",C2043&amp;"-"&amp;K2043,"")</f>
        <v>TB/HIV-3.1a Percentage of people living with HIV newly initiated on ART who were screened for TB-11</v>
      </c>
      <c r="M2043" s="126" t="str">
        <f t="array" aca="1" ref="M2043" ca="1">IFERROR(IF(INDEX('Disaggregation Records'!$E$156:$E$517,MATCH(RIGHT(L2043,255),RIGHT('Disaggregation Records'!$D$156:$D$517,255),0))="","",INDEX('Disaggregation Records'!$E$156:$E$517,MATCH(RIGHT(L2043,255),RIGHT('Disaggregation Records'!$D$156:$D$517,255),0))),"")</f>
        <v/>
      </c>
      <c r="N2043" s="126" t="str">
        <f t="array" aca="1" ref="N2043" ca="1">IFERROR(IF(INDEX('Disaggregation Records'!$F$156:$F$517,MATCH(RIGHT(L2043,255),RIGHT('Disaggregation Records'!$D$156:$D$517,255),0))="","",INDEX('Disaggregation Records'!$F$156:$F$517,MATCH(RIGHT(L2043,255),RIGHT('Disaggregation Records'!$D$156:$D$517,255),0))),"")</f>
        <v/>
      </c>
      <c r="O2043" s="314" t="str">
        <f t="array" aca="1" ref="O2043" ca="1">IFERROR(IF(INDEX('Disaggregation Records'!$H$156:$H$517,MATCH(RIGHT(L2043,255),RIGHT('Disaggregation Records'!$D$156:$D$517,255),0))="","",INDEX('Disaggregation Records'!$H$156:$H$517,MATCH(RIGHT(L2043,255),RIGHT('Disaggregation Records'!$D$156:$D$517,255),0))),"")</f>
        <v/>
      </c>
      <c r="P2043" s="310"/>
      <c r="Q2043" s="310">
        <f t="shared" ref="Q2043" si="2362">Q2041+1</f>
        <v>1724</v>
      </c>
      <c r="R2043" s="314" t="str" cm="1">
        <f t="array" aca="1" ref="R2043" ca="1">IFERROR(IF(INDEX('Disaggregation Records'!$G$156:$G$517,MATCH(RIGHT(L2043,255),RIGHT('Disaggregation Records'!$D$156:$D$517,255),0))="","",INDEX('Disaggregation Records'!$G$156:$G$517,MATCH(RIGHT(L2043,255),RIGHT('Disaggregation Records'!$D$156:$D$517,255),0))),"")</f>
        <v/>
      </c>
    </row>
    <row r="2044" spans="1:18" ht="20.100000000000001" customHeight="1">
      <c r="A2044" s="126"/>
      <c r="B2044" s="571"/>
      <c r="C2044" s="573"/>
      <c r="D2044" s="575"/>
      <c r="E2044" s="575"/>
      <c r="F2044" s="128"/>
      <c r="G2044" s="577"/>
      <c r="H2044" s="540"/>
      <c r="I2044" s="579"/>
      <c r="J2044" s="533"/>
      <c r="L2044" s="126"/>
      <c r="N2044" s="126"/>
      <c r="O2044" s="314"/>
      <c r="P2044" s="310"/>
      <c r="Q2044" s="310"/>
      <c r="R2044" s="314" t="str" cm="1">
        <f t="array" ref="R2044">IFERROR(IF(INDEX('Disaggregation Records'!$G$156:$G$517,MATCH(RIGHT(L2044,255),RIGHT('Disaggregation Records'!$D$156:$D$517,255),0))="","",INDEX('Disaggregation Records'!$G$156:$G$517,MATCH(RIGHT(L2044,255),RIGHT('Disaggregation Records'!$D$156:$D$517,255),0))),"")</f>
        <v/>
      </c>
    </row>
    <row r="2045" spans="1:18" ht="20.100000000000001" customHeight="1">
      <c r="A2045" s="126" t="str">
        <f t="shared" ref="A2045:A2105" ca="1" si="2363">INDIRECT("'update Helper'!C"&amp;Q2045)</f>
        <v>a16Dm000000M3s0IAC</v>
      </c>
      <c r="B2045" s="570">
        <v>36</v>
      </c>
      <c r="C2045" s="572" t="str">
        <f ca="1">IFERROR(VLOOKUP(B2045,'Coverage Indicators - Section D'!$A$9:$AO$94,41,FALSE),"")</f>
        <v>TB/HIV-3.1a Percentage of people living with HIV newly initiated on ART who were screened for TB</v>
      </c>
      <c r="D2045" s="574" t="str">
        <f ca="1">M2045</f>
        <v/>
      </c>
      <c r="E2045" s="574" t="str">
        <f ca="1">N2045</f>
        <v/>
      </c>
      <c r="F2045" s="127"/>
      <c r="G2045" s="576" t="str">
        <f ca="1">IF(OR(INDIRECT("'update Helper'!E"&amp;Q2045)="",F2045&lt;&gt;0,F2046&lt;&gt;0),IF(IFERROR((F2045/F2046),"")="","",(F2045/F2046)),INDIRECT("'update Helper'!E"&amp;Q2045)/100)</f>
        <v/>
      </c>
      <c r="H2045" s="539"/>
      <c r="I2045" s="578"/>
      <c r="J2045" s="532"/>
      <c r="K2045" s="126">
        <f ca="1">IF(AND(EXACT(C2045,C2043),C2043&lt;&gt;0),K2043+1,0)</f>
        <v>12</v>
      </c>
      <c r="L2045" s="126" t="str">
        <f t="shared" ref="L2045" ca="1" si="2364">IF(C2045&lt;&gt;"",C2045&amp;"-"&amp;K2045,"")</f>
        <v>TB/HIV-3.1a Percentage of people living with HIV newly initiated on ART who were screened for TB-12</v>
      </c>
      <c r="M2045" s="126" t="str">
        <f t="array" aca="1" ref="M2045" ca="1">IFERROR(IF(INDEX('Disaggregation Records'!$E$156:$E$517,MATCH(RIGHT(L2045,255),RIGHT('Disaggregation Records'!$D$156:$D$517,255),0))="","",INDEX('Disaggregation Records'!$E$156:$E$517,MATCH(RIGHT(L2045,255),RIGHT('Disaggregation Records'!$D$156:$D$517,255),0))),"")</f>
        <v/>
      </c>
      <c r="N2045" s="126" t="str">
        <f t="array" aca="1" ref="N2045" ca="1">IFERROR(IF(INDEX('Disaggregation Records'!$F$156:$F$517,MATCH(RIGHT(L2045,255),RIGHT('Disaggregation Records'!$D$156:$D$517,255),0))="","",INDEX('Disaggregation Records'!$F$156:$F$517,MATCH(RIGHT(L2045,255),RIGHT('Disaggregation Records'!$D$156:$D$517,255),0))),"")</f>
        <v/>
      </c>
      <c r="O2045" s="314" t="str">
        <f t="array" aca="1" ref="O2045" ca="1">IFERROR(IF(INDEX('Disaggregation Records'!$H$156:$H$517,MATCH(RIGHT(L2045,255),RIGHT('Disaggregation Records'!$D$156:$D$517,255),0))="","",INDEX('Disaggregation Records'!$H$156:$H$517,MATCH(RIGHT(L2045,255),RIGHT('Disaggregation Records'!$D$156:$D$517,255),0))),"")</f>
        <v/>
      </c>
      <c r="P2045" s="310"/>
      <c r="Q2045" s="310">
        <f t="shared" ref="Q2045" si="2365">Q2043+1</f>
        <v>1725</v>
      </c>
      <c r="R2045" s="314" t="str" cm="1">
        <f t="array" aca="1" ref="R2045" ca="1">IFERROR(IF(INDEX('Disaggregation Records'!$G$156:$G$517,MATCH(RIGHT(L2045,255),RIGHT('Disaggregation Records'!$D$156:$D$517,255),0))="","",INDEX('Disaggregation Records'!$G$156:$G$517,MATCH(RIGHT(L2045,255),RIGHT('Disaggregation Records'!$D$156:$D$517,255),0))),"")</f>
        <v/>
      </c>
    </row>
    <row r="2046" spans="1:18" ht="20.100000000000001" customHeight="1">
      <c r="B2046" s="571"/>
      <c r="C2046" s="573"/>
      <c r="D2046" s="575"/>
      <c r="E2046" s="575"/>
      <c r="F2046" s="128"/>
      <c r="G2046" s="577"/>
      <c r="H2046" s="540"/>
      <c r="I2046" s="579"/>
      <c r="J2046" s="533"/>
      <c r="L2046" s="126"/>
      <c r="N2046" s="126"/>
      <c r="O2046" s="314"/>
      <c r="P2046" s="310"/>
      <c r="Q2046" s="310"/>
      <c r="R2046" s="314" t="str" cm="1">
        <f t="array" ref="R2046">IFERROR(IF(INDEX('Disaggregation Records'!$G$156:$G$517,MATCH(RIGHT(L2046,255),RIGHT('Disaggregation Records'!$D$156:$D$517,255),0))="","",INDEX('Disaggregation Records'!$G$156:$G$517,MATCH(RIGHT(L2046,255),RIGHT('Disaggregation Records'!$D$156:$D$517,255),0))),"")</f>
        <v/>
      </c>
    </row>
    <row r="2047" spans="1:18" ht="20.100000000000001" customHeight="1">
      <c r="A2047" s="126" t="str">
        <f t="shared" ref="A2047:A2107" ca="1" si="2366">INDIRECT("'update Helper'!C"&amp;Q2047)</f>
        <v>a16Dm000000M3s1IAC</v>
      </c>
      <c r="B2047" s="570">
        <v>36</v>
      </c>
      <c r="C2047" s="572" t="str">
        <f ca="1">IFERROR(VLOOKUP(B2047,'Coverage Indicators - Section D'!$A$9:$AO$94,41,FALSE),"")</f>
        <v>TB/HIV-3.1a Percentage of people living with HIV newly initiated on ART who were screened for TB</v>
      </c>
      <c r="D2047" s="574" t="str">
        <f ca="1">M2047</f>
        <v/>
      </c>
      <c r="E2047" s="574" t="str">
        <f ca="1">N2047</f>
        <v/>
      </c>
      <c r="F2047" s="127"/>
      <c r="G2047" s="576" t="str">
        <f ca="1">IF(OR(INDIRECT("'update Helper'!E"&amp;Q2047)="",F2047&lt;&gt;0,F2048&lt;&gt;0),IF(IFERROR((F2047/F2048),"")="","",(F2047/F2048)),INDIRECT("'update Helper'!E"&amp;Q2047)/100)</f>
        <v/>
      </c>
      <c r="H2047" s="539"/>
      <c r="I2047" s="578"/>
      <c r="J2047" s="532"/>
      <c r="K2047" s="126">
        <f ca="1">IF(AND(EXACT(C2047,C2045),C2045&lt;&gt;0),K2045+1,0)</f>
        <v>13</v>
      </c>
      <c r="L2047" s="126" t="str">
        <f t="shared" ref="L2047" ca="1" si="2367">IF(C2047&lt;&gt;"",C2047&amp;"-"&amp;K2047,"")</f>
        <v>TB/HIV-3.1a Percentage of people living with HIV newly initiated on ART who were screened for TB-13</v>
      </c>
      <c r="M2047" s="126" t="str">
        <f t="array" aca="1" ref="M2047" ca="1">IFERROR(IF(INDEX('Disaggregation Records'!$E$156:$E$517,MATCH(RIGHT(L2047,255),RIGHT('Disaggregation Records'!$D$156:$D$517,255),0))="","",INDEX('Disaggregation Records'!$E$156:$E$517,MATCH(RIGHT(L2047,255),RIGHT('Disaggregation Records'!$D$156:$D$517,255),0))),"")</f>
        <v/>
      </c>
      <c r="N2047" s="126" t="str">
        <f t="array" aca="1" ref="N2047" ca="1">IFERROR(IF(INDEX('Disaggregation Records'!$F$156:$F$517,MATCH(RIGHT(L2047,255),RIGHT('Disaggregation Records'!$D$156:$D$517,255),0))="","",INDEX('Disaggregation Records'!$F$156:$F$517,MATCH(RIGHT(L2047,255),RIGHT('Disaggregation Records'!$D$156:$D$517,255),0))),"")</f>
        <v/>
      </c>
      <c r="O2047" s="314" t="str">
        <f t="array" aca="1" ref="O2047" ca="1">IFERROR(IF(INDEX('Disaggregation Records'!$H$156:$H$517,MATCH(RIGHT(L2047,255),RIGHT('Disaggregation Records'!$D$156:$D$517,255),0))="","",INDEX('Disaggregation Records'!$H$156:$H$517,MATCH(RIGHT(L2047,255),RIGHT('Disaggregation Records'!$D$156:$D$517,255),0))),"")</f>
        <v/>
      </c>
      <c r="P2047" s="310"/>
      <c r="Q2047" s="310">
        <f t="shared" ref="Q2047" si="2368">Q2045+1</f>
        <v>1726</v>
      </c>
      <c r="R2047" s="314" t="str" cm="1">
        <f t="array" aca="1" ref="R2047" ca="1">IFERROR(IF(INDEX('Disaggregation Records'!$G$156:$G$517,MATCH(RIGHT(L2047,255),RIGHT('Disaggregation Records'!$D$156:$D$517,255),0))="","",INDEX('Disaggregation Records'!$G$156:$G$517,MATCH(RIGHT(L2047,255),RIGHT('Disaggregation Records'!$D$156:$D$517,255),0))),"")</f>
        <v/>
      </c>
    </row>
    <row r="2048" spans="1:18" ht="20.100000000000001" customHeight="1">
      <c r="A2048" s="126"/>
      <c r="B2048" s="571"/>
      <c r="C2048" s="573"/>
      <c r="D2048" s="575"/>
      <c r="E2048" s="575"/>
      <c r="F2048" s="128"/>
      <c r="G2048" s="577"/>
      <c r="H2048" s="540"/>
      <c r="I2048" s="579"/>
      <c r="J2048" s="533"/>
      <c r="L2048" s="126"/>
      <c r="N2048" s="126"/>
      <c r="O2048" s="314"/>
      <c r="P2048" s="310"/>
      <c r="Q2048" s="310"/>
      <c r="R2048" s="314" t="str" cm="1">
        <f t="array" ref="R2048">IFERROR(IF(INDEX('Disaggregation Records'!$G$156:$G$517,MATCH(RIGHT(L2048,255),RIGHT('Disaggregation Records'!$D$156:$D$517,255),0))="","",INDEX('Disaggregation Records'!$G$156:$G$517,MATCH(RIGHT(L2048,255),RIGHT('Disaggregation Records'!$D$156:$D$517,255),0))),"")</f>
        <v/>
      </c>
    </row>
    <row r="2049" spans="1:18" ht="20.100000000000001" customHeight="1">
      <c r="A2049" s="126" t="str">
        <f t="shared" ref="A2049:A2109" ca="1" si="2369">INDIRECT("'update Helper'!C"&amp;Q2049)</f>
        <v>a16Dm000000M3s2IAC</v>
      </c>
      <c r="B2049" s="570">
        <v>36</v>
      </c>
      <c r="C2049" s="572" t="str">
        <f ca="1">IFERROR(VLOOKUP(B2049,'Coverage Indicators - Section D'!$A$9:$AO$94,41,FALSE),"")</f>
        <v>TB/HIV-3.1a Percentage of people living with HIV newly initiated on ART who were screened for TB</v>
      </c>
      <c r="D2049" s="574" t="str">
        <f ca="1">M2049</f>
        <v/>
      </c>
      <c r="E2049" s="574" t="str">
        <f ca="1">N2049</f>
        <v/>
      </c>
      <c r="F2049" s="127"/>
      <c r="G2049" s="576" t="str">
        <f ca="1">IF(OR(INDIRECT("'update Helper'!E"&amp;Q2049)="",F2049&lt;&gt;0,F2050&lt;&gt;0),IF(IFERROR((F2049/F2050),"")="","",(F2049/F2050)),INDIRECT("'update Helper'!E"&amp;Q2049)/100)</f>
        <v/>
      </c>
      <c r="H2049" s="539"/>
      <c r="I2049" s="578"/>
      <c r="J2049" s="532"/>
      <c r="K2049" s="126">
        <f ca="1">IF(AND(EXACT(C2049,C2047),C2047&lt;&gt;0),K2047+1,0)</f>
        <v>14</v>
      </c>
      <c r="L2049" s="126" t="str">
        <f t="shared" ref="L2049" ca="1" si="2370">IF(C2049&lt;&gt;"",C2049&amp;"-"&amp;K2049,"")</f>
        <v>TB/HIV-3.1a Percentage of people living with HIV newly initiated on ART who were screened for TB-14</v>
      </c>
      <c r="M2049" s="126" t="str">
        <f t="array" aca="1" ref="M2049" ca="1">IFERROR(IF(INDEX('Disaggregation Records'!$E$156:$E$517,MATCH(RIGHT(L2049,255),RIGHT('Disaggregation Records'!$D$156:$D$517,255),0))="","",INDEX('Disaggregation Records'!$E$156:$E$517,MATCH(RIGHT(L2049,255),RIGHT('Disaggregation Records'!$D$156:$D$517,255),0))),"")</f>
        <v/>
      </c>
      <c r="N2049" s="126" t="str">
        <f t="array" aca="1" ref="N2049" ca="1">IFERROR(IF(INDEX('Disaggregation Records'!$F$156:$F$517,MATCH(RIGHT(L2049,255),RIGHT('Disaggregation Records'!$D$156:$D$517,255),0))="","",INDEX('Disaggregation Records'!$F$156:$F$517,MATCH(RIGHT(L2049,255),RIGHT('Disaggregation Records'!$D$156:$D$517,255),0))),"")</f>
        <v/>
      </c>
      <c r="O2049" s="314" t="str">
        <f t="array" aca="1" ref="O2049" ca="1">IFERROR(IF(INDEX('Disaggregation Records'!$H$156:$H$517,MATCH(RIGHT(L2049,255),RIGHT('Disaggregation Records'!$D$156:$D$517,255),0))="","",INDEX('Disaggregation Records'!$H$156:$H$517,MATCH(RIGHT(L2049,255),RIGHT('Disaggregation Records'!$D$156:$D$517,255),0))),"")</f>
        <v/>
      </c>
      <c r="P2049" s="314"/>
      <c r="Q2049" s="310">
        <f t="shared" ref="Q2049" si="2371">Q2047+1</f>
        <v>1727</v>
      </c>
      <c r="R2049" s="314" t="str" cm="1">
        <f t="array" aca="1" ref="R2049" ca="1">IFERROR(IF(INDEX('Disaggregation Records'!$G$156:$G$517,MATCH(RIGHT(L2049,255),RIGHT('Disaggregation Records'!$D$156:$D$517,255),0))="","",INDEX('Disaggregation Records'!$G$156:$G$517,MATCH(RIGHT(L2049,255),RIGHT('Disaggregation Records'!$D$156:$D$517,255),0))),"")</f>
        <v/>
      </c>
    </row>
    <row r="2050" spans="1:18" ht="20.100000000000001" customHeight="1">
      <c r="B2050" s="571"/>
      <c r="C2050" s="573"/>
      <c r="D2050" s="575"/>
      <c r="E2050" s="575"/>
      <c r="F2050" s="128"/>
      <c r="G2050" s="577"/>
      <c r="H2050" s="540"/>
      <c r="I2050" s="579"/>
      <c r="J2050" s="533"/>
      <c r="K2050" s="126"/>
      <c r="L2050" s="126"/>
      <c r="M2050" s="126"/>
      <c r="N2050" s="126"/>
      <c r="O2050" s="314"/>
      <c r="P2050" s="314"/>
      <c r="Q2050" s="310"/>
      <c r="R2050" s="314" t="str" cm="1">
        <f t="array" ref="R2050">IFERROR(IF(INDEX('Disaggregation Records'!$G$156:$G$517,MATCH(RIGHT(L2050,255),RIGHT('Disaggregation Records'!$D$156:$D$517,255),0))="","",INDEX('Disaggregation Records'!$G$156:$G$517,MATCH(RIGHT(L2050,255),RIGHT('Disaggregation Records'!$D$156:$D$517,255),0))),"")</f>
        <v/>
      </c>
    </row>
    <row r="2051" spans="1:18" ht="20.100000000000001" customHeight="1">
      <c r="A2051" s="126" t="str">
        <f t="shared" ref="A2051:A2111" ca="1" si="2372">INDIRECT("'update Helper'!C"&amp;Q2051)</f>
        <v>a16Dm000000M3s3IAC</v>
      </c>
      <c r="B2051" s="570">
        <v>36</v>
      </c>
      <c r="C2051" s="572" t="str">
        <f ca="1">IFERROR(VLOOKUP(B2051,'Coverage Indicators - Section D'!$A$9:$AO$94,41,FALSE),"")</f>
        <v>TB/HIV-3.1a Percentage of people living with HIV newly initiated on ART who were screened for TB</v>
      </c>
      <c r="D2051" s="574" t="str">
        <f ca="1">M2051</f>
        <v/>
      </c>
      <c r="E2051" s="574" t="str">
        <f ca="1">N2051</f>
        <v/>
      </c>
      <c r="F2051" s="127"/>
      <c r="G2051" s="576" t="str">
        <f ca="1">IF(OR(INDIRECT("'update Helper'!E"&amp;Q2051)="",F2051&lt;&gt;0,F2052&lt;&gt;0),IF(IFERROR((F2051/F2052),"")="","",(F2051/F2052)),INDIRECT("'update Helper'!E"&amp;Q2051)/100)</f>
        <v/>
      </c>
      <c r="H2051" s="539"/>
      <c r="I2051" s="578"/>
      <c r="J2051" s="532"/>
      <c r="K2051" s="126">
        <f ca="1">IF(AND(EXACT(C2051,C2049),C2049&lt;&gt;0),K2049+1,0)</f>
        <v>15</v>
      </c>
      <c r="L2051" s="126" t="str">
        <f t="shared" ref="L2051" ca="1" si="2373">IF(C2051&lt;&gt;"",C2051&amp;"-"&amp;K2051,"")</f>
        <v>TB/HIV-3.1a Percentage of people living with HIV newly initiated on ART who were screened for TB-15</v>
      </c>
      <c r="M2051" s="126" t="str">
        <f t="array" aca="1" ref="M2051" ca="1">IFERROR(IF(INDEX('Disaggregation Records'!$E$156:$E$517,MATCH(RIGHT(L2051,255),RIGHT('Disaggregation Records'!$D$156:$D$517,255),0))="","",INDEX('Disaggregation Records'!$E$156:$E$517,MATCH(RIGHT(L2051,255),RIGHT('Disaggregation Records'!$D$156:$D$517,255),0))),"")</f>
        <v/>
      </c>
      <c r="N2051" s="126" t="str">
        <f t="array" aca="1" ref="N2051" ca="1">IFERROR(IF(INDEX('Disaggregation Records'!$F$156:$F$517,MATCH(RIGHT(L2051,255),RIGHT('Disaggregation Records'!$D$156:$D$517,255),0))="","",INDEX('Disaggregation Records'!$F$156:$F$517,MATCH(RIGHT(L2051,255),RIGHT('Disaggregation Records'!$D$156:$D$517,255),0))),"")</f>
        <v/>
      </c>
      <c r="O2051" s="314" t="str">
        <f t="array" aca="1" ref="O2051" ca="1">IFERROR(IF(INDEX('Disaggregation Records'!$H$156:$H$517,MATCH(RIGHT(L2051,255),RIGHT('Disaggregation Records'!$D$156:$D$517,255),0))="","",INDEX('Disaggregation Records'!$H$156:$H$517,MATCH(RIGHT(L2051,255),RIGHT('Disaggregation Records'!$D$156:$D$517,255),0))),"")</f>
        <v/>
      </c>
      <c r="P2051" s="314"/>
      <c r="Q2051" s="310">
        <f t="shared" ref="Q2051" si="2374">Q2049+1</f>
        <v>1728</v>
      </c>
      <c r="R2051" s="314" t="str" cm="1">
        <f t="array" aca="1" ref="R2051" ca="1">IFERROR(IF(INDEX('Disaggregation Records'!$G$156:$G$517,MATCH(RIGHT(L2051,255),RIGHT('Disaggregation Records'!$D$156:$D$517,255),0))="","",INDEX('Disaggregation Records'!$G$156:$G$517,MATCH(RIGHT(L2051,255),RIGHT('Disaggregation Records'!$D$156:$D$517,255),0))),"")</f>
        <v/>
      </c>
    </row>
    <row r="2052" spans="1:18" ht="20.100000000000001" customHeight="1">
      <c r="A2052" s="126"/>
      <c r="B2052" s="571"/>
      <c r="C2052" s="573"/>
      <c r="D2052" s="575"/>
      <c r="E2052" s="575"/>
      <c r="F2052" s="128"/>
      <c r="G2052" s="577"/>
      <c r="H2052" s="540"/>
      <c r="I2052" s="579"/>
      <c r="J2052" s="533"/>
      <c r="K2052" s="126"/>
      <c r="L2052" s="126"/>
      <c r="M2052" s="126"/>
      <c r="N2052" s="126"/>
      <c r="O2052" s="314"/>
      <c r="P2052" s="314"/>
      <c r="Q2052" s="310"/>
      <c r="R2052" s="314" t="str" cm="1">
        <f t="array" ref="R2052">IFERROR(IF(INDEX('Disaggregation Records'!$G$156:$G$517,MATCH(RIGHT(L2052,255),RIGHT('Disaggregation Records'!$D$156:$D$517,255),0))="","",INDEX('Disaggregation Records'!$G$156:$G$517,MATCH(RIGHT(L2052,255),RIGHT('Disaggregation Records'!$D$156:$D$517,255),0))),"")</f>
        <v/>
      </c>
    </row>
    <row r="2053" spans="1:18" ht="20.100000000000001" customHeight="1">
      <c r="A2053" s="126" t="str">
        <f t="shared" ref="A2053:A2113" ca="1" si="2375">INDIRECT("'update Helper'!C"&amp;Q2053)</f>
        <v>a16Dm000000M3s4IAC</v>
      </c>
      <c r="B2053" s="570">
        <v>36</v>
      </c>
      <c r="C2053" s="572" t="str">
        <f ca="1">IFERROR(VLOOKUP(B2053,'Coverage Indicators - Section D'!$A$9:$AO$94,41,FALSE),"")</f>
        <v>TB/HIV-3.1a Percentage of people living with HIV newly initiated on ART who were screened for TB</v>
      </c>
      <c r="D2053" s="574" t="str">
        <f ca="1">M2053</f>
        <v/>
      </c>
      <c r="E2053" s="574" t="str">
        <f ca="1">N2053</f>
        <v/>
      </c>
      <c r="F2053" s="127"/>
      <c r="G2053" s="576" t="str">
        <f ca="1">IF(OR(INDIRECT("'update Helper'!E"&amp;Q2053)="",F2053&lt;&gt;0,F2054&lt;&gt;0),IF(IFERROR((F2053/F2054),"")="","",(F2053/F2054)),INDIRECT("'update Helper'!E"&amp;Q2053)/100)</f>
        <v/>
      </c>
      <c r="H2053" s="539"/>
      <c r="I2053" s="578"/>
      <c r="J2053" s="532"/>
      <c r="K2053" s="126">
        <f ca="1">IF(AND(EXACT(C2053,C2051),C2051&lt;&gt;0),K2051+1,0)</f>
        <v>16</v>
      </c>
      <c r="L2053" s="126" t="str">
        <f t="shared" ref="L2053" ca="1" si="2376">IF(C2053&lt;&gt;"",C2053&amp;"-"&amp;K2053,"")</f>
        <v>TB/HIV-3.1a Percentage of people living with HIV newly initiated on ART who were screened for TB-16</v>
      </c>
      <c r="M2053" s="126" t="str">
        <f t="array" aca="1" ref="M2053" ca="1">IFERROR(IF(INDEX('Disaggregation Records'!$E$156:$E$517,MATCH(RIGHT(L2053,255),RIGHT('Disaggregation Records'!$D$156:$D$517,255),0))="","",INDEX('Disaggregation Records'!$E$156:$E$517,MATCH(RIGHT(L2053,255),RIGHT('Disaggregation Records'!$D$156:$D$517,255),0))),"")</f>
        <v/>
      </c>
      <c r="N2053" s="126" t="str">
        <f t="array" aca="1" ref="N2053" ca="1">IFERROR(IF(INDEX('Disaggregation Records'!$F$156:$F$517,MATCH(RIGHT(L2053,255),RIGHT('Disaggregation Records'!$D$156:$D$517,255),0))="","",INDEX('Disaggregation Records'!$F$156:$F$517,MATCH(RIGHT(L2053,255),RIGHT('Disaggregation Records'!$D$156:$D$517,255),0))),"")</f>
        <v/>
      </c>
      <c r="O2053" s="314" t="str">
        <f t="array" aca="1" ref="O2053" ca="1">IFERROR(IF(INDEX('Disaggregation Records'!$H$156:$H$517,MATCH(RIGHT(L2053,255),RIGHT('Disaggregation Records'!$D$156:$D$517,255),0))="","",INDEX('Disaggregation Records'!$H$156:$H$517,MATCH(RIGHT(L2053,255),RIGHT('Disaggregation Records'!$D$156:$D$517,255),0))),"")</f>
        <v/>
      </c>
      <c r="P2053" s="310"/>
      <c r="Q2053" s="310">
        <f t="shared" ref="Q2053" si="2377">Q2051+1</f>
        <v>1729</v>
      </c>
      <c r="R2053" s="314" t="str" cm="1">
        <f t="array" aca="1" ref="R2053" ca="1">IFERROR(IF(INDEX('Disaggregation Records'!$G$156:$G$517,MATCH(RIGHT(L2053,255),RIGHT('Disaggregation Records'!$D$156:$D$517,255),0))="","",INDEX('Disaggregation Records'!$G$156:$G$517,MATCH(RIGHT(L2053,255),RIGHT('Disaggregation Records'!$D$156:$D$517,255),0))),"")</f>
        <v/>
      </c>
    </row>
    <row r="2054" spans="1:18" ht="20.100000000000001" customHeight="1">
      <c r="B2054" s="571"/>
      <c r="C2054" s="573"/>
      <c r="D2054" s="575"/>
      <c r="E2054" s="575"/>
      <c r="F2054" s="128"/>
      <c r="G2054" s="577"/>
      <c r="H2054" s="540"/>
      <c r="I2054" s="579"/>
      <c r="J2054" s="533"/>
      <c r="L2054" s="126"/>
      <c r="N2054" s="126"/>
      <c r="O2054" s="314"/>
      <c r="P2054" s="310"/>
      <c r="Q2054" s="310"/>
      <c r="R2054" s="314" t="str" cm="1">
        <f t="array" ref="R2054">IFERROR(IF(INDEX('Disaggregation Records'!$G$156:$G$517,MATCH(RIGHT(L2054,255),RIGHT('Disaggregation Records'!$D$156:$D$517,255),0))="","",INDEX('Disaggregation Records'!$G$156:$G$517,MATCH(RIGHT(L2054,255),RIGHT('Disaggregation Records'!$D$156:$D$517,255),0))),"")</f>
        <v/>
      </c>
    </row>
    <row r="2055" spans="1:18" ht="20.100000000000001" customHeight="1">
      <c r="A2055" s="126" t="str">
        <f t="shared" ref="A2055:A2115" ca="1" si="2378">INDIRECT("'update Helper'!C"&amp;Q2055)</f>
        <v>a16Dm000000M3s5IAC</v>
      </c>
      <c r="B2055" s="570">
        <v>36</v>
      </c>
      <c r="C2055" s="572" t="str">
        <f ca="1">IFERROR(VLOOKUP(B2055,'Coverage Indicators - Section D'!$A$9:$AO$94,41,FALSE),"")</f>
        <v>TB/HIV-3.1a Percentage of people living with HIV newly initiated on ART who were screened for TB</v>
      </c>
      <c r="D2055" s="574" t="str">
        <f ca="1">M2055</f>
        <v/>
      </c>
      <c r="E2055" s="574" t="str">
        <f ca="1">N2055</f>
        <v/>
      </c>
      <c r="F2055" s="127"/>
      <c r="G2055" s="576" t="str">
        <f ca="1">IF(OR(INDIRECT("'update Helper'!E"&amp;Q2055)="",F2055&lt;&gt;0,F2056&lt;&gt;0),IF(IFERROR((F2055/F2056),"")="","",(F2055/F2056)),INDIRECT("'update Helper'!E"&amp;Q2055)/100)</f>
        <v/>
      </c>
      <c r="H2055" s="539"/>
      <c r="I2055" s="578"/>
      <c r="J2055" s="532"/>
      <c r="K2055" s="126">
        <f ca="1">IF(AND(EXACT(C2055,C2053),C2053&lt;&gt;0),K2053+1,0)</f>
        <v>17</v>
      </c>
      <c r="L2055" s="126" t="str">
        <f t="shared" ref="L2055" ca="1" si="2379">IF(C2055&lt;&gt;"",C2055&amp;"-"&amp;K2055,"")</f>
        <v>TB/HIV-3.1a Percentage of people living with HIV newly initiated on ART who were screened for TB-17</v>
      </c>
      <c r="M2055" s="126" t="str">
        <f t="array" aca="1" ref="M2055" ca="1">IFERROR(IF(INDEX('Disaggregation Records'!$E$156:$E$517,MATCH(RIGHT(L2055,255),RIGHT('Disaggregation Records'!$D$156:$D$517,255),0))="","",INDEX('Disaggregation Records'!$E$156:$E$517,MATCH(RIGHT(L2055,255),RIGHT('Disaggregation Records'!$D$156:$D$517,255),0))),"")</f>
        <v/>
      </c>
      <c r="N2055" s="126" t="str">
        <f t="array" aca="1" ref="N2055" ca="1">IFERROR(IF(INDEX('Disaggregation Records'!$F$156:$F$517,MATCH(RIGHT(L2055,255),RIGHT('Disaggregation Records'!$D$156:$D$517,255),0))="","",INDEX('Disaggregation Records'!$F$156:$F$517,MATCH(RIGHT(L2055,255),RIGHT('Disaggregation Records'!$D$156:$D$517,255),0))),"")</f>
        <v/>
      </c>
      <c r="O2055" s="314" t="str">
        <f t="array" aca="1" ref="O2055" ca="1">IFERROR(IF(INDEX('Disaggregation Records'!$H$156:$H$517,MATCH(RIGHT(L2055,255),RIGHT('Disaggregation Records'!$D$156:$D$517,255),0))="","",INDEX('Disaggregation Records'!$H$156:$H$517,MATCH(RIGHT(L2055,255),RIGHT('Disaggregation Records'!$D$156:$D$517,255),0))),"")</f>
        <v/>
      </c>
      <c r="P2055" s="310"/>
      <c r="Q2055" s="310">
        <f t="shared" ref="Q2055" si="2380">Q2053+1</f>
        <v>1730</v>
      </c>
      <c r="R2055" s="314" t="str" cm="1">
        <f t="array" aca="1" ref="R2055" ca="1">IFERROR(IF(INDEX('Disaggregation Records'!$G$156:$G$517,MATCH(RIGHT(L2055,255),RIGHT('Disaggregation Records'!$D$156:$D$517,255),0))="","",INDEX('Disaggregation Records'!$G$156:$G$517,MATCH(RIGHT(L2055,255),RIGHT('Disaggregation Records'!$D$156:$D$517,255),0))),"")</f>
        <v/>
      </c>
    </row>
    <row r="2056" spans="1:18" ht="20.100000000000001" customHeight="1">
      <c r="A2056" s="126"/>
      <c r="B2056" s="571"/>
      <c r="C2056" s="573"/>
      <c r="D2056" s="575"/>
      <c r="E2056" s="575"/>
      <c r="F2056" s="128"/>
      <c r="G2056" s="577"/>
      <c r="H2056" s="540"/>
      <c r="I2056" s="579"/>
      <c r="J2056" s="533"/>
      <c r="L2056" s="126"/>
      <c r="N2056" s="126"/>
      <c r="O2056" s="314"/>
      <c r="P2056" s="310"/>
      <c r="Q2056" s="310"/>
      <c r="R2056" s="314" t="str" cm="1">
        <f t="array" ref="R2056">IFERROR(IF(INDEX('Disaggregation Records'!$G$156:$G$517,MATCH(RIGHT(L2056,255),RIGHT('Disaggregation Records'!$D$156:$D$517,255),0))="","",INDEX('Disaggregation Records'!$G$156:$G$517,MATCH(RIGHT(L2056,255),RIGHT('Disaggregation Records'!$D$156:$D$517,255),0))),"")</f>
        <v/>
      </c>
    </row>
    <row r="2057" spans="1:18" ht="20.100000000000001" customHeight="1">
      <c r="A2057" s="126" t="str">
        <f t="shared" ref="A2057:A2117" ca="1" si="2381">INDIRECT("'update Helper'!C"&amp;Q2057)</f>
        <v>a16Dm000000M3s6IAC</v>
      </c>
      <c r="B2057" s="570">
        <v>36</v>
      </c>
      <c r="C2057" s="572" t="str">
        <f ca="1">IFERROR(VLOOKUP(B2057,'Coverage Indicators - Section D'!$A$9:$AO$94,41,FALSE),"")</f>
        <v>TB/HIV-3.1a Percentage of people living with HIV newly initiated on ART who were screened for TB</v>
      </c>
      <c r="D2057" s="574" t="str">
        <f ca="1">M2057</f>
        <v/>
      </c>
      <c r="E2057" s="574" t="str">
        <f ca="1">N2057</f>
        <v/>
      </c>
      <c r="F2057" s="127"/>
      <c r="G2057" s="576" t="str">
        <f ca="1">IF(OR(INDIRECT("'update Helper'!E"&amp;Q2057)="",F2057&lt;&gt;0,F2058&lt;&gt;0),IF(IFERROR((F2057/F2058),"")="","",(F2057/F2058)),INDIRECT("'update Helper'!E"&amp;Q2057)/100)</f>
        <v/>
      </c>
      <c r="H2057" s="539"/>
      <c r="I2057" s="578"/>
      <c r="J2057" s="532"/>
      <c r="K2057" s="126">
        <f ca="1">IF(AND(EXACT(C2057,C2055),C2055&lt;&gt;0),K2055+1,0)</f>
        <v>18</v>
      </c>
      <c r="L2057" s="126" t="str">
        <f t="shared" ref="L2057" ca="1" si="2382">IF(C2057&lt;&gt;"",C2057&amp;"-"&amp;K2057,"")</f>
        <v>TB/HIV-3.1a Percentage of people living with HIV newly initiated on ART who were screened for TB-18</v>
      </c>
      <c r="M2057" s="126" t="str">
        <f t="array" aca="1" ref="M2057" ca="1">IFERROR(IF(INDEX('Disaggregation Records'!$E$156:$E$517,MATCH(RIGHT(L2057,255),RIGHT('Disaggregation Records'!$D$156:$D$517,255),0))="","",INDEX('Disaggregation Records'!$E$156:$E$517,MATCH(RIGHT(L2057,255),RIGHT('Disaggregation Records'!$D$156:$D$517,255),0))),"")</f>
        <v/>
      </c>
      <c r="N2057" s="126" t="str">
        <f t="array" aca="1" ref="N2057" ca="1">IFERROR(IF(INDEX('Disaggregation Records'!$F$156:$F$517,MATCH(RIGHT(L2057,255),RIGHT('Disaggregation Records'!$D$156:$D$517,255),0))="","",INDEX('Disaggregation Records'!$F$156:$F$517,MATCH(RIGHT(L2057,255),RIGHT('Disaggregation Records'!$D$156:$D$517,255),0))),"")</f>
        <v/>
      </c>
      <c r="O2057" s="314" t="str">
        <f t="array" aca="1" ref="O2057" ca="1">IFERROR(IF(INDEX('Disaggregation Records'!$H$156:$H$517,MATCH(RIGHT(L2057,255),RIGHT('Disaggregation Records'!$D$156:$D$517,255),0))="","",INDEX('Disaggregation Records'!$H$156:$H$517,MATCH(RIGHT(L2057,255),RIGHT('Disaggregation Records'!$D$156:$D$517,255),0))),"")</f>
        <v/>
      </c>
      <c r="P2057" s="310"/>
      <c r="Q2057" s="310">
        <f t="shared" ref="Q2057" si="2383">Q2055+1</f>
        <v>1731</v>
      </c>
      <c r="R2057" s="314" t="str" cm="1">
        <f t="array" aca="1" ref="R2057" ca="1">IFERROR(IF(INDEX('Disaggregation Records'!$G$156:$G$517,MATCH(RIGHT(L2057,255),RIGHT('Disaggregation Records'!$D$156:$D$517,255),0))="","",INDEX('Disaggregation Records'!$G$156:$G$517,MATCH(RIGHT(L2057,255),RIGHT('Disaggregation Records'!$D$156:$D$517,255),0))),"")</f>
        <v/>
      </c>
    </row>
    <row r="2058" spans="1:18" ht="20.100000000000001" customHeight="1">
      <c r="B2058" s="571"/>
      <c r="C2058" s="573"/>
      <c r="D2058" s="575"/>
      <c r="E2058" s="575"/>
      <c r="F2058" s="128"/>
      <c r="G2058" s="577"/>
      <c r="H2058" s="540"/>
      <c r="I2058" s="579"/>
      <c r="J2058" s="533"/>
      <c r="L2058" s="126"/>
      <c r="N2058" s="126"/>
      <c r="O2058" s="314"/>
      <c r="P2058" s="310"/>
      <c r="Q2058" s="310"/>
      <c r="R2058" s="314" t="str" cm="1">
        <f t="array" ref="R2058">IFERROR(IF(INDEX('Disaggregation Records'!$G$156:$G$517,MATCH(RIGHT(L2058,255),RIGHT('Disaggregation Records'!$D$156:$D$517,255),0))="","",INDEX('Disaggregation Records'!$G$156:$G$517,MATCH(RIGHT(L2058,255),RIGHT('Disaggregation Records'!$D$156:$D$517,255),0))),"")</f>
        <v/>
      </c>
    </row>
    <row r="2059" spans="1:18" ht="20.100000000000001" customHeight="1">
      <c r="A2059" s="126" t="str">
        <f t="shared" ref="A2059:A2119" ca="1" si="2384">INDIRECT("'update Helper'!C"&amp;Q2059)</f>
        <v>a16Dm000000M3s7IAC</v>
      </c>
      <c r="B2059" s="570">
        <v>36</v>
      </c>
      <c r="C2059" s="572" t="str">
        <f ca="1">IFERROR(VLOOKUP(B2059,'Coverage Indicators - Section D'!$A$9:$AO$94,41,FALSE),"")</f>
        <v>TB/HIV-3.1a Percentage of people living with HIV newly initiated on ART who were screened for TB</v>
      </c>
      <c r="D2059" s="574" t="str">
        <f ca="1">M2059</f>
        <v/>
      </c>
      <c r="E2059" s="574" t="str">
        <f ca="1">N2059</f>
        <v/>
      </c>
      <c r="F2059" s="127"/>
      <c r="G2059" s="576" t="str">
        <f ca="1">IF(OR(INDIRECT("'update Helper'!E"&amp;Q2059)="",F2059&lt;&gt;0,F2060&lt;&gt;0),IF(IFERROR((F2059/F2060),"")="","",(F2059/F2060)),INDIRECT("'update Helper'!E"&amp;Q2059)/100)</f>
        <v/>
      </c>
      <c r="H2059" s="539"/>
      <c r="I2059" s="578"/>
      <c r="J2059" s="532"/>
      <c r="K2059" s="126">
        <f ca="1">IF(AND(EXACT(C2059,C2057),C2057&lt;&gt;0),K2057+1,0)</f>
        <v>19</v>
      </c>
      <c r="L2059" s="126" t="str">
        <f t="shared" ref="L2059" ca="1" si="2385">IF(C2059&lt;&gt;"",C2059&amp;"-"&amp;K2059,"")</f>
        <v>TB/HIV-3.1a Percentage of people living with HIV newly initiated on ART who were screened for TB-19</v>
      </c>
      <c r="M2059" s="126" t="str">
        <f t="array" aca="1" ref="M2059" ca="1">IFERROR(IF(INDEX('Disaggregation Records'!$E$156:$E$517,MATCH(RIGHT(L2059,255),RIGHT('Disaggregation Records'!$D$156:$D$517,255),0))="","",INDEX('Disaggregation Records'!$E$156:$E$517,MATCH(RIGHT(L2059,255),RIGHT('Disaggregation Records'!$D$156:$D$517,255),0))),"")</f>
        <v/>
      </c>
      <c r="N2059" s="126" t="str">
        <f t="array" aca="1" ref="N2059" ca="1">IFERROR(IF(INDEX('Disaggregation Records'!$F$156:$F$517,MATCH(RIGHT(L2059,255),RIGHT('Disaggregation Records'!$D$156:$D$517,255),0))="","",INDEX('Disaggregation Records'!$F$156:$F$517,MATCH(RIGHT(L2059,255),RIGHT('Disaggregation Records'!$D$156:$D$517,255),0))),"")</f>
        <v/>
      </c>
      <c r="O2059" s="314" t="str">
        <f t="array" aca="1" ref="O2059" ca="1">IFERROR(IF(INDEX('Disaggregation Records'!$H$156:$H$517,MATCH(RIGHT(L2059,255),RIGHT('Disaggregation Records'!$D$156:$D$517,255),0))="","",INDEX('Disaggregation Records'!$H$156:$H$517,MATCH(RIGHT(L2059,255),RIGHT('Disaggregation Records'!$D$156:$D$517,255),0))),"")</f>
        <v/>
      </c>
      <c r="P2059" s="314"/>
      <c r="Q2059" s="310">
        <f t="shared" ref="Q2059" si="2386">Q2057+1</f>
        <v>1732</v>
      </c>
      <c r="R2059" s="314" t="str" cm="1">
        <f t="array" aca="1" ref="R2059" ca="1">IFERROR(IF(INDEX('Disaggregation Records'!$G$156:$G$517,MATCH(RIGHT(L2059,255),RIGHT('Disaggregation Records'!$D$156:$D$517,255),0))="","",INDEX('Disaggregation Records'!$G$156:$G$517,MATCH(RIGHT(L2059,255),RIGHT('Disaggregation Records'!$D$156:$D$517,255),0))),"")</f>
        <v/>
      </c>
    </row>
    <row r="2060" spans="1:18" ht="20.100000000000001" customHeight="1">
      <c r="A2060" s="126"/>
      <c r="B2060" s="571"/>
      <c r="C2060" s="573"/>
      <c r="D2060" s="575"/>
      <c r="E2060" s="575"/>
      <c r="F2060" s="128"/>
      <c r="G2060" s="577"/>
      <c r="H2060" s="540"/>
      <c r="I2060" s="579"/>
      <c r="J2060" s="533"/>
      <c r="K2060" s="126"/>
      <c r="L2060" s="126"/>
      <c r="M2060" s="126"/>
      <c r="N2060" s="126"/>
      <c r="O2060" s="314"/>
      <c r="P2060" s="314"/>
      <c r="Q2060" s="310"/>
      <c r="R2060" s="314" t="str" cm="1">
        <f t="array" ref="R2060">IFERROR(IF(INDEX('Disaggregation Records'!$G$156:$G$517,MATCH(RIGHT(L2060,255),RIGHT('Disaggregation Records'!$D$156:$D$517,255),0))="","",INDEX('Disaggregation Records'!$G$156:$G$517,MATCH(RIGHT(L2060,255),RIGHT('Disaggregation Records'!$D$156:$D$517,255),0))),"")</f>
        <v/>
      </c>
    </row>
    <row r="2061" spans="1:18" ht="20.100000000000001" customHeight="1">
      <c r="A2061" s="126" t="str">
        <f t="shared" ref="A2061:A2121" ca="1" si="2387">INDIRECT("'update Helper'!C"&amp;Q2061)</f>
        <v>a16Dm000000M3s8IAC</v>
      </c>
      <c r="B2061" s="570">
        <v>37</v>
      </c>
      <c r="C2061" s="572" t="str">
        <f ca="1">IFERROR(VLOOKUP(B2061,'Coverage Indicators - Section D'!$A$9:$AO$94,41,FALSE),"")</f>
        <v>TB/HIV-7.1 Percentage of people living with HIV currently enrolled on antiretroviral therapy who started TB preventive treatment (TPT) during the reporting period</v>
      </c>
      <c r="D2061" s="574" t="str">
        <f ca="1">M2061</f>
        <v>Age</v>
      </c>
      <c r="E2061" s="574" t="str">
        <f ca="1">N2061</f>
        <v>15+</v>
      </c>
      <c r="F2061" s="127"/>
      <c r="G2061" s="576" t="str">
        <f ca="1">IF(OR(INDIRECT("'update Helper'!E"&amp;Q2061)="",F2061&lt;&gt;0,F2062&lt;&gt;0),IF(IFERROR((F2061/F2062),"")="","",(F2061/F2062)),INDIRECT("'update Helper'!E"&amp;Q2061)/100)</f>
        <v/>
      </c>
      <c r="H2061" s="539"/>
      <c r="I2061" s="578"/>
      <c r="J2061" s="532"/>
      <c r="K2061" s="126">
        <f ca="1">IF(AND(EXACT(C2061,C2059),C2059&lt;&gt;0),K2059+1,0)</f>
        <v>0</v>
      </c>
      <c r="L2061" s="126" t="str">
        <f t="shared" ref="L2061" ca="1" si="2388">IF(C2061&lt;&gt;"",C2061&amp;"-"&amp;K2061,"")</f>
        <v>TB/HIV-7.1 Percentage of people living with HIV currently enrolled on antiretroviral therapy who started TB preventive treatment (TPT) during the reporting period-0</v>
      </c>
      <c r="M2061" s="126" t="str">
        <f t="array" aca="1" ref="M2061" ca="1">IFERROR(IF(INDEX('Disaggregation Records'!$E$156:$E$517,MATCH(RIGHT(L2061,255),RIGHT('Disaggregation Records'!$D$156:$D$517,255),0))="","",INDEX('Disaggregation Records'!$E$156:$E$517,MATCH(RIGHT(L2061,255),RIGHT('Disaggregation Records'!$D$156:$D$517,255),0))),"")</f>
        <v>Age</v>
      </c>
      <c r="N2061" s="126" t="str">
        <f t="array" aca="1" ref="N2061" ca="1">IFERROR(IF(INDEX('Disaggregation Records'!$F$156:$F$517,MATCH(RIGHT(L2061,255),RIGHT('Disaggregation Records'!$D$156:$D$517,255),0))="","",INDEX('Disaggregation Records'!$F$156:$F$517,MATCH(RIGHT(L2061,255),RIGHT('Disaggregation Records'!$D$156:$D$517,255),0))),"")</f>
        <v>15+</v>
      </c>
      <c r="O2061" s="314" t="str">
        <f t="array" aca="1" ref="O2061" ca="1">IFERROR(IF(INDEX('Disaggregation Records'!$H$156:$H$517,MATCH(RIGHT(L2061,255),RIGHT('Disaggregation Records'!$D$156:$D$517,255),0))="","",INDEX('Disaggregation Records'!$H$156:$H$517,MATCH(RIGHT(L2061,255),RIGHT('Disaggregation Records'!$D$156:$D$517,255),0))),"")</f>
        <v>IDR-01371</v>
      </c>
      <c r="P2061" s="314"/>
      <c r="Q2061" s="310">
        <f t="shared" ref="Q2061" si="2389">Q2059+1</f>
        <v>1733</v>
      </c>
      <c r="R2061" s="314" t="str" cm="1">
        <f t="array" aca="1" ref="R2061" ca="1">IFERROR(IF(INDEX('Disaggregation Records'!$G$156:$G$517,MATCH(RIGHT(L2061,255),RIGHT('Disaggregation Records'!$D$156:$D$517,255),0))="","",INDEX('Disaggregation Records'!$G$156:$G$517,MATCH(RIGHT(L2061,255),RIGHT('Disaggregation Records'!$D$156:$D$517,255),0))),"")</f>
        <v>a1LDm000000Cb4rMAC</v>
      </c>
    </row>
    <row r="2062" spans="1:18" ht="20.100000000000001" customHeight="1">
      <c r="B2062" s="571"/>
      <c r="C2062" s="573"/>
      <c r="D2062" s="575"/>
      <c r="E2062" s="575"/>
      <c r="F2062" s="128"/>
      <c r="G2062" s="577"/>
      <c r="H2062" s="540"/>
      <c r="I2062" s="579"/>
      <c r="J2062" s="533"/>
      <c r="K2062" s="126"/>
      <c r="L2062" s="126"/>
      <c r="M2062" s="126"/>
      <c r="N2062" s="126"/>
      <c r="O2062" s="314"/>
      <c r="P2062" s="314"/>
      <c r="Q2062" s="310"/>
      <c r="R2062" s="314" t="str" cm="1">
        <f t="array" ref="R2062">IFERROR(IF(INDEX('Disaggregation Records'!$G$156:$G$517,MATCH(RIGHT(L2062,255),RIGHT('Disaggregation Records'!$D$156:$D$517,255),0))="","",INDEX('Disaggregation Records'!$G$156:$G$517,MATCH(RIGHT(L2062,255),RIGHT('Disaggregation Records'!$D$156:$D$517,255),0))),"")</f>
        <v/>
      </c>
    </row>
    <row r="2063" spans="1:18" ht="20.100000000000001" customHeight="1">
      <c r="A2063" s="126" t="str">
        <f t="shared" ref="A2063:A2123" ca="1" si="2390">INDIRECT("'update Helper'!C"&amp;Q2063)</f>
        <v>a16Dm000000M3s9IAC</v>
      </c>
      <c r="B2063" s="570">
        <v>37</v>
      </c>
      <c r="C2063" s="572" t="str">
        <f ca="1">IFERROR(VLOOKUP(B2063,'Coverage Indicators - Section D'!$A$9:$AO$94,41,FALSE),"")</f>
        <v>TB/HIV-7.1 Percentage of people living with HIV currently enrolled on antiretroviral therapy who started TB preventive treatment (TPT) during the reporting period</v>
      </c>
      <c r="D2063" s="574" t="str">
        <f ca="1">M2063</f>
        <v>TPT regimen</v>
      </c>
      <c r="E2063" s="574" t="str">
        <f ca="1">N2063</f>
        <v>6H</v>
      </c>
      <c r="F2063" s="127"/>
      <c r="G2063" s="576" t="str">
        <f ca="1">IF(OR(INDIRECT("'update Helper'!E"&amp;Q2063)="",F2063&lt;&gt;0,F2064&lt;&gt;0),IF(IFERROR((F2063/F2064),"")="","",(F2063/F2064)),INDIRECT("'update Helper'!E"&amp;Q2063)/100)</f>
        <v/>
      </c>
      <c r="H2063" s="539"/>
      <c r="I2063" s="578"/>
      <c r="J2063" s="532"/>
      <c r="K2063" s="126">
        <f ca="1">IF(AND(EXACT(C2063,C2061),C2061&lt;&gt;0),K2061+1,0)</f>
        <v>1</v>
      </c>
      <c r="L2063" s="126" t="str">
        <f t="shared" ref="L2063" ca="1" si="2391">IF(C2063&lt;&gt;"",C2063&amp;"-"&amp;K2063,"")</f>
        <v>TB/HIV-7.1 Percentage of people living with HIV currently enrolled on antiretroviral therapy who started TB preventive treatment (TPT) during the reporting period-1</v>
      </c>
      <c r="M2063" s="126" t="str">
        <f t="array" aca="1" ref="M2063" ca="1">IFERROR(IF(INDEX('Disaggregation Records'!$E$156:$E$517,MATCH(RIGHT(L2063,255),RIGHT('Disaggregation Records'!$D$156:$D$517,255),0))="","",INDEX('Disaggregation Records'!$E$156:$E$517,MATCH(RIGHT(L2063,255),RIGHT('Disaggregation Records'!$D$156:$D$517,255),0))),"")</f>
        <v>TPT regimen</v>
      </c>
      <c r="N2063" s="126" t="str">
        <f t="array" aca="1" ref="N2063" ca="1">IFERROR(IF(INDEX('Disaggregation Records'!$F$156:$F$517,MATCH(RIGHT(L2063,255),RIGHT('Disaggregation Records'!$D$156:$D$517,255),0))="","",INDEX('Disaggregation Records'!$F$156:$F$517,MATCH(RIGHT(L2063,255),RIGHT('Disaggregation Records'!$D$156:$D$517,255),0))),"")</f>
        <v>6H</v>
      </c>
      <c r="O2063" s="314" t="str">
        <f t="array" aca="1" ref="O2063" ca="1">IFERROR(IF(INDEX('Disaggregation Records'!$H$156:$H$517,MATCH(RIGHT(L2063,255),RIGHT('Disaggregation Records'!$D$156:$D$517,255),0))="","",INDEX('Disaggregation Records'!$H$156:$H$517,MATCH(RIGHT(L2063,255),RIGHT('Disaggregation Records'!$D$156:$D$517,255),0))),"")</f>
        <v>IDR-01370</v>
      </c>
      <c r="P2063" s="310"/>
      <c r="Q2063" s="310">
        <f t="shared" ref="Q2063" si="2392">Q2061+1</f>
        <v>1734</v>
      </c>
      <c r="R2063" s="314" t="str" cm="1">
        <f t="array" aca="1" ref="R2063" ca="1">IFERROR(IF(INDEX('Disaggregation Records'!$G$156:$G$517,MATCH(RIGHT(L2063,255),RIGHT('Disaggregation Records'!$D$156:$D$517,255),0))="","",INDEX('Disaggregation Records'!$G$156:$G$517,MATCH(RIGHT(L2063,255),RIGHT('Disaggregation Records'!$D$156:$D$517,255),0))),"")</f>
        <v>a1LDm000000Cb4qMAC</v>
      </c>
    </row>
    <row r="2064" spans="1:18" ht="20.100000000000001" customHeight="1">
      <c r="A2064" s="126"/>
      <c r="B2064" s="571"/>
      <c r="C2064" s="573"/>
      <c r="D2064" s="575"/>
      <c r="E2064" s="575"/>
      <c r="F2064" s="128"/>
      <c r="G2064" s="577"/>
      <c r="H2064" s="540"/>
      <c r="I2064" s="579"/>
      <c r="J2064" s="533"/>
      <c r="L2064" s="126"/>
      <c r="N2064" s="126"/>
      <c r="O2064" s="314"/>
      <c r="P2064" s="310"/>
      <c r="Q2064" s="310"/>
      <c r="R2064" s="314" t="str" cm="1">
        <f t="array" ref="R2064">IFERROR(IF(INDEX('Disaggregation Records'!$G$156:$G$517,MATCH(RIGHT(L2064,255),RIGHT('Disaggregation Records'!$D$156:$D$517,255),0))="","",INDEX('Disaggregation Records'!$G$156:$G$517,MATCH(RIGHT(L2064,255),RIGHT('Disaggregation Records'!$D$156:$D$517,255),0))),"")</f>
        <v/>
      </c>
    </row>
    <row r="2065" spans="1:18" ht="20.100000000000001" customHeight="1">
      <c r="A2065" s="126" t="str">
        <f t="shared" ref="A2065:A2125" ca="1" si="2393">INDIRECT("'update Helper'!C"&amp;Q2065)</f>
        <v>a16Dm000000M3sAIAS</v>
      </c>
      <c r="B2065" s="570">
        <v>37</v>
      </c>
      <c r="C2065" s="572" t="str">
        <f ca="1">IFERROR(VLOOKUP(B2065,'Coverage Indicators - Section D'!$A$9:$AO$94,41,FALSE),"")</f>
        <v>TB/HIV-7.1 Percentage of people living with HIV currently enrolled on antiretroviral therapy who started TB preventive treatment (TPT) during the reporting period</v>
      </c>
      <c r="D2065" s="574" t="str">
        <f ca="1">M2065</f>
        <v>TPT regimen</v>
      </c>
      <c r="E2065" s="574" t="str">
        <f ca="1">N2065</f>
        <v>3RH</v>
      </c>
      <c r="F2065" s="127"/>
      <c r="G2065" s="576" t="str">
        <f ca="1">IF(OR(INDIRECT("'update Helper'!E"&amp;Q2065)="",F2065&lt;&gt;0,F2066&lt;&gt;0),IF(IFERROR((F2065/F2066),"")="","",(F2065/F2066)),INDIRECT("'update Helper'!E"&amp;Q2065)/100)</f>
        <v/>
      </c>
      <c r="H2065" s="539"/>
      <c r="I2065" s="578"/>
      <c r="J2065" s="532"/>
      <c r="K2065" s="126">
        <f ca="1">IF(AND(EXACT(C2065,C2063),C2063&lt;&gt;0),K2063+1,0)</f>
        <v>2</v>
      </c>
      <c r="L2065" s="126" t="str">
        <f t="shared" ref="L2065" ca="1" si="2394">IF(C2065&lt;&gt;"",C2065&amp;"-"&amp;K2065,"")</f>
        <v>TB/HIV-7.1 Percentage of people living with HIV currently enrolled on antiretroviral therapy who started TB preventive treatment (TPT) during the reporting period-2</v>
      </c>
      <c r="M2065" s="126" t="str">
        <f t="array" aca="1" ref="M2065" ca="1">IFERROR(IF(INDEX('Disaggregation Records'!$E$156:$E$517,MATCH(RIGHT(L2065,255),RIGHT('Disaggregation Records'!$D$156:$D$517,255),0))="","",INDEX('Disaggregation Records'!$E$156:$E$517,MATCH(RIGHT(L2065,255),RIGHT('Disaggregation Records'!$D$156:$D$517,255),0))),"")</f>
        <v>TPT regimen</v>
      </c>
      <c r="N2065" s="126" t="str">
        <f t="array" aca="1" ref="N2065" ca="1">IFERROR(IF(INDEX('Disaggregation Records'!$F$156:$F$517,MATCH(RIGHT(L2065,255),RIGHT('Disaggregation Records'!$D$156:$D$517,255),0))="","",INDEX('Disaggregation Records'!$F$156:$F$517,MATCH(RIGHT(L2065,255),RIGHT('Disaggregation Records'!$D$156:$D$517,255),0))),"")</f>
        <v>3RH</v>
      </c>
      <c r="O2065" s="314" t="str">
        <f t="array" aca="1" ref="O2065" ca="1">IFERROR(IF(INDEX('Disaggregation Records'!$H$156:$H$517,MATCH(RIGHT(L2065,255),RIGHT('Disaggregation Records'!$D$156:$D$517,255),0))="","",INDEX('Disaggregation Records'!$H$156:$H$517,MATCH(RIGHT(L2065,255),RIGHT('Disaggregation Records'!$D$156:$D$517,255),0))),"")</f>
        <v>IDR-01369</v>
      </c>
      <c r="P2065" s="310"/>
      <c r="Q2065" s="310">
        <f t="shared" ref="Q2065" si="2395">Q2063+1</f>
        <v>1735</v>
      </c>
      <c r="R2065" s="314" t="str" cm="1">
        <f t="array" aca="1" ref="R2065" ca="1">IFERROR(IF(INDEX('Disaggregation Records'!$G$156:$G$517,MATCH(RIGHT(L2065,255),RIGHT('Disaggregation Records'!$D$156:$D$517,255),0))="","",INDEX('Disaggregation Records'!$G$156:$G$517,MATCH(RIGHT(L2065,255),RIGHT('Disaggregation Records'!$D$156:$D$517,255),0))),"")</f>
        <v>a1LDm000000Cb4pMAC</v>
      </c>
    </row>
    <row r="2066" spans="1:18" ht="20.100000000000001" customHeight="1">
      <c r="B2066" s="571"/>
      <c r="C2066" s="573"/>
      <c r="D2066" s="575"/>
      <c r="E2066" s="575"/>
      <c r="F2066" s="128"/>
      <c r="G2066" s="577"/>
      <c r="H2066" s="540"/>
      <c r="I2066" s="579"/>
      <c r="J2066" s="533"/>
      <c r="L2066" s="126"/>
      <c r="N2066" s="126"/>
      <c r="O2066" s="314"/>
      <c r="P2066" s="310"/>
      <c r="Q2066" s="310"/>
      <c r="R2066" s="314" t="str" cm="1">
        <f t="array" ref="R2066">IFERROR(IF(INDEX('Disaggregation Records'!$G$156:$G$517,MATCH(RIGHT(L2066,255),RIGHT('Disaggregation Records'!$D$156:$D$517,255),0))="","",INDEX('Disaggregation Records'!$G$156:$G$517,MATCH(RIGHT(L2066,255),RIGHT('Disaggregation Records'!$D$156:$D$517,255),0))),"")</f>
        <v/>
      </c>
    </row>
    <row r="2067" spans="1:18" ht="20.100000000000001" customHeight="1">
      <c r="A2067" s="126" t="str">
        <f t="shared" ref="A2067:A2127" ca="1" si="2396">INDIRECT("'update Helper'!C"&amp;Q2067)</f>
        <v>a16Dm000000M3sBIAS</v>
      </c>
      <c r="B2067" s="570">
        <v>37</v>
      </c>
      <c r="C2067" s="572" t="str">
        <f ca="1">IFERROR(VLOOKUP(B2067,'Coverage Indicators - Section D'!$A$9:$AO$94,41,FALSE),"")</f>
        <v>TB/HIV-7.1 Percentage of people living with HIV currently enrolled on antiretroviral therapy who started TB preventive treatment (TPT) during the reporting period</v>
      </c>
      <c r="D2067" s="574" t="str">
        <f ca="1">M2067</f>
        <v>TPT regimen</v>
      </c>
      <c r="E2067" s="574" t="str">
        <f ca="1">N2067</f>
        <v>RIF</v>
      </c>
      <c r="F2067" s="127"/>
      <c r="G2067" s="576" t="str">
        <f ca="1">IF(OR(INDIRECT("'update Helper'!E"&amp;Q2067)="",F2067&lt;&gt;0,F2068&lt;&gt;0),IF(IFERROR((F2067/F2068),"")="","",(F2067/F2068)),INDIRECT("'update Helper'!E"&amp;Q2067)/100)</f>
        <v/>
      </c>
      <c r="H2067" s="539"/>
      <c r="I2067" s="578"/>
      <c r="J2067" s="532"/>
      <c r="K2067" s="126">
        <f ca="1">IF(AND(EXACT(C2067,C2065),C2065&lt;&gt;0),K2065+1,0)</f>
        <v>3</v>
      </c>
      <c r="L2067" s="126" t="str">
        <f t="shared" ref="L2067" ca="1" si="2397">IF(C2067&lt;&gt;"",C2067&amp;"-"&amp;K2067,"")</f>
        <v>TB/HIV-7.1 Percentage of people living with HIV currently enrolled on antiretroviral therapy who started TB preventive treatment (TPT) during the reporting period-3</v>
      </c>
      <c r="M2067" s="126" t="str">
        <f t="array" aca="1" ref="M2067" ca="1">IFERROR(IF(INDEX('Disaggregation Records'!$E$156:$E$517,MATCH(RIGHT(L2067,255),RIGHT('Disaggregation Records'!$D$156:$D$517,255),0))="","",INDEX('Disaggregation Records'!$E$156:$E$517,MATCH(RIGHT(L2067,255),RIGHT('Disaggregation Records'!$D$156:$D$517,255),0))),"")</f>
        <v>TPT regimen</v>
      </c>
      <c r="N2067" s="126" t="str">
        <f t="array" aca="1" ref="N2067" ca="1">IFERROR(IF(INDEX('Disaggregation Records'!$F$156:$F$517,MATCH(RIGHT(L2067,255),RIGHT('Disaggregation Records'!$D$156:$D$517,255),0))="","",INDEX('Disaggregation Records'!$F$156:$F$517,MATCH(RIGHT(L2067,255),RIGHT('Disaggregation Records'!$D$156:$D$517,255),0))),"")</f>
        <v>RIF</v>
      </c>
      <c r="O2067" s="314" t="str">
        <f t="array" aca="1" ref="O2067" ca="1">IFERROR(IF(INDEX('Disaggregation Records'!$H$156:$H$517,MATCH(RIGHT(L2067,255),RIGHT('Disaggregation Records'!$D$156:$D$517,255),0))="","",INDEX('Disaggregation Records'!$H$156:$H$517,MATCH(RIGHT(L2067,255),RIGHT('Disaggregation Records'!$D$156:$D$517,255),0))),"")</f>
        <v>IDR-01368</v>
      </c>
      <c r="P2067" s="310"/>
      <c r="Q2067" s="310">
        <f t="shared" ref="Q2067" si="2398">Q2065+1</f>
        <v>1736</v>
      </c>
      <c r="R2067" s="314" t="str" cm="1">
        <f t="array" aca="1" ref="R2067" ca="1">IFERROR(IF(INDEX('Disaggregation Records'!$G$156:$G$517,MATCH(RIGHT(L2067,255),RIGHT('Disaggregation Records'!$D$156:$D$517,255),0))="","",INDEX('Disaggregation Records'!$G$156:$G$517,MATCH(RIGHT(L2067,255),RIGHT('Disaggregation Records'!$D$156:$D$517,255),0))),"")</f>
        <v>a1LDm000000Cb4oMAC</v>
      </c>
    </row>
    <row r="2068" spans="1:18" ht="20.100000000000001" customHeight="1">
      <c r="A2068" s="126"/>
      <c r="B2068" s="571"/>
      <c r="C2068" s="573"/>
      <c r="D2068" s="575"/>
      <c r="E2068" s="575"/>
      <c r="F2068" s="128"/>
      <c r="G2068" s="577"/>
      <c r="H2068" s="540"/>
      <c r="I2068" s="579"/>
      <c r="J2068" s="533"/>
      <c r="L2068" s="126"/>
      <c r="N2068" s="126"/>
      <c r="O2068" s="314"/>
      <c r="P2068" s="310"/>
      <c r="Q2068" s="310"/>
      <c r="R2068" s="314" t="str" cm="1">
        <f t="array" ref="R2068">IFERROR(IF(INDEX('Disaggregation Records'!$G$156:$G$517,MATCH(RIGHT(L2068,255),RIGHT('Disaggregation Records'!$D$156:$D$517,255),0))="","",INDEX('Disaggregation Records'!$G$156:$G$517,MATCH(RIGHT(L2068,255),RIGHT('Disaggregation Records'!$D$156:$D$517,255),0))),"")</f>
        <v/>
      </c>
    </row>
    <row r="2069" spans="1:18" ht="20.100000000000001" customHeight="1">
      <c r="A2069" s="126" t="str">
        <f t="shared" ref="A2069:A2129" ca="1" si="2399">INDIRECT("'update Helper'!C"&amp;Q2069)</f>
        <v>a16Dm000000M3sCIAS</v>
      </c>
      <c r="B2069" s="570">
        <v>37</v>
      </c>
      <c r="C2069" s="572" t="str">
        <f ca="1">IFERROR(VLOOKUP(B2069,'Coverage Indicators - Section D'!$A$9:$AO$94,41,FALSE),"")</f>
        <v>TB/HIV-7.1 Percentage of people living with HIV currently enrolled on antiretroviral therapy who started TB preventive treatment (TPT) during the reporting period</v>
      </c>
      <c r="D2069" s="574" t="str">
        <f ca="1">M2069</f>
        <v>Gender</v>
      </c>
      <c r="E2069" s="574" t="str">
        <f ca="1">N2069</f>
        <v>Male</v>
      </c>
      <c r="F2069" s="127"/>
      <c r="G2069" s="576" t="str">
        <f ca="1">IF(OR(INDIRECT("'update Helper'!E"&amp;Q2069)="",F2069&lt;&gt;0,F2070&lt;&gt;0),IF(IFERROR((F2069/F2070),"")="","",(F2069/F2070)),INDIRECT("'update Helper'!E"&amp;Q2069)/100)</f>
        <v/>
      </c>
      <c r="H2069" s="539"/>
      <c r="I2069" s="578"/>
      <c r="J2069" s="532"/>
      <c r="K2069" s="126">
        <f ca="1">IF(AND(EXACT(C2069,C2067),C2067&lt;&gt;0),K2067+1,0)</f>
        <v>4</v>
      </c>
      <c r="L2069" s="126" t="str">
        <f t="shared" ref="L2069" ca="1" si="2400">IF(C2069&lt;&gt;"",C2069&amp;"-"&amp;K2069,"")</f>
        <v>TB/HIV-7.1 Percentage of people living with HIV currently enrolled on antiretroviral therapy who started TB preventive treatment (TPT) during the reporting period-4</v>
      </c>
      <c r="M2069" s="126" t="str">
        <f t="array" aca="1" ref="M2069" ca="1">IFERROR(IF(INDEX('Disaggregation Records'!$E$156:$E$517,MATCH(RIGHT(L2069,255),RIGHT('Disaggregation Records'!$D$156:$D$517,255),0))="","",INDEX('Disaggregation Records'!$E$156:$E$517,MATCH(RIGHT(L2069,255),RIGHT('Disaggregation Records'!$D$156:$D$517,255),0))),"")</f>
        <v>Gender</v>
      </c>
      <c r="N2069" s="126" t="str">
        <f t="array" aca="1" ref="N2069" ca="1">IFERROR(IF(INDEX('Disaggregation Records'!$F$156:$F$517,MATCH(RIGHT(L2069,255),RIGHT('Disaggregation Records'!$D$156:$D$517,255),0))="","",INDEX('Disaggregation Records'!$F$156:$F$517,MATCH(RIGHT(L2069,255),RIGHT('Disaggregation Records'!$D$156:$D$517,255),0))),"")</f>
        <v>Male</v>
      </c>
      <c r="O2069" s="314" t="str">
        <f t="array" aca="1" ref="O2069" ca="1">IFERROR(IF(INDEX('Disaggregation Records'!$H$156:$H$517,MATCH(RIGHT(L2069,255),RIGHT('Disaggregation Records'!$D$156:$D$517,255),0))="","",INDEX('Disaggregation Records'!$H$156:$H$517,MATCH(RIGHT(L2069,255),RIGHT('Disaggregation Records'!$D$156:$D$517,255),0))),"")</f>
        <v>IDR-01367</v>
      </c>
      <c r="P2069" s="314"/>
      <c r="Q2069" s="310">
        <f t="shared" ref="Q2069" si="2401">Q2067+1</f>
        <v>1737</v>
      </c>
      <c r="R2069" s="314" t="str" cm="1">
        <f t="array" aca="1" ref="R2069" ca="1">IFERROR(IF(INDEX('Disaggregation Records'!$G$156:$G$517,MATCH(RIGHT(L2069,255),RIGHT('Disaggregation Records'!$D$156:$D$517,255),0))="","",INDEX('Disaggregation Records'!$G$156:$G$517,MATCH(RIGHT(L2069,255),RIGHT('Disaggregation Records'!$D$156:$D$517,255),0))),"")</f>
        <v>a1LDm000000Cb4nMAC</v>
      </c>
    </row>
    <row r="2070" spans="1:18" ht="20.100000000000001" customHeight="1">
      <c r="B2070" s="571"/>
      <c r="C2070" s="573"/>
      <c r="D2070" s="575"/>
      <c r="E2070" s="575"/>
      <c r="F2070" s="128"/>
      <c r="G2070" s="577"/>
      <c r="H2070" s="540"/>
      <c r="I2070" s="579"/>
      <c r="J2070" s="533"/>
      <c r="K2070" s="126"/>
      <c r="L2070" s="126"/>
      <c r="M2070" s="126"/>
      <c r="N2070" s="126"/>
      <c r="O2070" s="314"/>
      <c r="P2070" s="314"/>
      <c r="Q2070" s="310"/>
      <c r="R2070" s="314" t="str" cm="1">
        <f t="array" ref="R2070">IFERROR(IF(INDEX('Disaggregation Records'!$G$156:$G$517,MATCH(RIGHT(L2070,255),RIGHT('Disaggregation Records'!$D$156:$D$517,255),0))="","",INDEX('Disaggregation Records'!$G$156:$G$517,MATCH(RIGHT(L2070,255),RIGHT('Disaggregation Records'!$D$156:$D$517,255),0))),"")</f>
        <v/>
      </c>
    </row>
    <row r="2071" spans="1:18" ht="20.100000000000001" customHeight="1">
      <c r="A2071" s="126" t="str">
        <f t="shared" ref="A2071:A2131" ca="1" si="2402">INDIRECT("'update Helper'!C"&amp;Q2071)</f>
        <v>a16Dm000000M3sDIAS</v>
      </c>
      <c r="B2071" s="570">
        <v>37</v>
      </c>
      <c r="C2071" s="572" t="str">
        <f ca="1">IFERROR(VLOOKUP(B2071,'Coverage Indicators - Section D'!$A$9:$AO$94,41,FALSE),"")</f>
        <v>TB/HIV-7.1 Percentage of people living with HIV currently enrolled on antiretroviral therapy who started TB preventive treatment (TPT) during the reporting period</v>
      </c>
      <c r="D2071" s="574" t="str">
        <f ca="1">M2071</f>
        <v>Age</v>
      </c>
      <c r="E2071" s="574" t="str">
        <f ca="1">N2071</f>
        <v>5-14</v>
      </c>
      <c r="F2071" s="127"/>
      <c r="G2071" s="576" t="str">
        <f ca="1">IF(OR(INDIRECT("'update Helper'!E"&amp;Q2071)="",F2071&lt;&gt;0,F2072&lt;&gt;0),IF(IFERROR((F2071/F2072),"")="","",(F2071/F2072)),INDIRECT("'update Helper'!E"&amp;Q2071)/100)</f>
        <v/>
      </c>
      <c r="H2071" s="539"/>
      <c r="I2071" s="578"/>
      <c r="J2071" s="532"/>
      <c r="K2071" s="126">
        <f ca="1">IF(AND(EXACT(C2071,C2069),C2069&lt;&gt;0),K2069+1,0)</f>
        <v>5</v>
      </c>
      <c r="L2071" s="126" t="str">
        <f t="shared" ref="L2071" ca="1" si="2403">IF(C2071&lt;&gt;"",C2071&amp;"-"&amp;K2071,"")</f>
        <v>TB/HIV-7.1 Percentage of people living with HIV currently enrolled on antiretroviral therapy who started TB preventive treatment (TPT) during the reporting period-5</v>
      </c>
      <c r="M2071" s="126" t="str">
        <f t="array" aca="1" ref="M2071" ca="1">IFERROR(IF(INDEX('Disaggregation Records'!$E$156:$E$517,MATCH(RIGHT(L2071,255),RIGHT('Disaggregation Records'!$D$156:$D$517,255),0))="","",INDEX('Disaggregation Records'!$E$156:$E$517,MATCH(RIGHT(L2071,255),RIGHT('Disaggregation Records'!$D$156:$D$517,255),0))),"")</f>
        <v>Age</v>
      </c>
      <c r="N2071" s="126" t="str">
        <f t="array" aca="1" ref="N2071" ca="1">IFERROR(IF(INDEX('Disaggregation Records'!$F$156:$F$517,MATCH(RIGHT(L2071,255),RIGHT('Disaggregation Records'!$D$156:$D$517,255),0))="","",INDEX('Disaggregation Records'!$F$156:$F$517,MATCH(RIGHT(L2071,255),RIGHT('Disaggregation Records'!$D$156:$D$517,255),0))),"")</f>
        <v>5-14</v>
      </c>
      <c r="O2071" s="314" t="str">
        <f t="array" aca="1" ref="O2071" ca="1">IFERROR(IF(INDEX('Disaggregation Records'!$H$156:$H$517,MATCH(RIGHT(L2071,255),RIGHT('Disaggregation Records'!$D$156:$D$517,255),0))="","",INDEX('Disaggregation Records'!$H$156:$H$517,MATCH(RIGHT(L2071,255),RIGHT('Disaggregation Records'!$D$156:$D$517,255),0))),"")</f>
        <v>IDR-01366</v>
      </c>
      <c r="P2071" s="314"/>
      <c r="Q2071" s="310">
        <f t="shared" ref="Q2071" si="2404">Q2069+1</f>
        <v>1738</v>
      </c>
      <c r="R2071" s="314" t="str" cm="1">
        <f t="array" aca="1" ref="R2071" ca="1">IFERROR(IF(INDEX('Disaggregation Records'!$G$156:$G$517,MATCH(RIGHT(L2071,255),RIGHT('Disaggregation Records'!$D$156:$D$517,255),0))="","",INDEX('Disaggregation Records'!$G$156:$G$517,MATCH(RIGHT(L2071,255),RIGHT('Disaggregation Records'!$D$156:$D$517,255),0))),"")</f>
        <v>a1LDm000000Cb4mMAC</v>
      </c>
    </row>
    <row r="2072" spans="1:18" ht="20.100000000000001" customHeight="1">
      <c r="A2072" s="126"/>
      <c r="B2072" s="571"/>
      <c r="C2072" s="573"/>
      <c r="D2072" s="575"/>
      <c r="E2072" s="575"/>
      <c r="F2072" s="128"/>
      <c r="G2072" s="577"/>
      <c r="H2072" s="540"/>
      <c r="I2072" s="579"/>
      <c r="J2072" s="533"/>
      <c r="K2072" s="126"/>
      <c r="L2072" s="126"/>
      <c r="M2072" s="126"/>
      <c r="N2072" s="126"/>
      <c r="O2072" s="314"/>
      <c r="P2072" s="314"/>
      <c r="Q2072" s="310"/>
      <c r="R2072" s="314" t="str" cm="1">
        <f t="array" ref="R2072">IFERROR(IF(INDEX('Disaggregation Records'!$G$156:$G$517,MATCH(RIGHT(L2072,255),RIGHT('Disaggregation Records'!$D$156:$D$517,255),0))="","",INDEX('Disaggregation Records'!$G$156:$G$517,MATCH(RIGHT(L2072,255),RIGHT('Disaggregation Records'!$D$156:$D$517,255),0))),"")</f>
        <v/>
      </c>
    </row>
    <row r="2073" spans="1:18" ht="20.100000000000001" customHeight="1">
      <c r="A2073" s="126" t="str">
        <f t="shared" ref="A2073:A2133" ca="1" si="2405">INDIRECT("'update Helper'!C"&amp;Q2073)</f>
        <v>a16Dm000000M3sEIAS</v>
      </c>
      <c r="B2073" s="570">
        <v>37</v>
      </c>
      <c r="C2073" s="572" t="str">
        <f ca="1">IFERROR(VLOOKUP(B2073,'Coverage Indicators - Section D'!$A$9:$AO$94,41,FALSE),"")</f>
        <v>TB/HIV-7.1 Percentage of people living with HIV currently enrolled on antiretroviral therapy who started TB preventive treatment (TPT) during the reporting period</v>
      </c>
      <c r="D2073" s="574" t="str">
        <f ca="1">M2073</f>
        <v>TPT regimen</v>
      </c>
      <c r="E2073" s="574" t="str">
        <f ca="1">N2073</f>
        <v>1HP</v>
      </c>
      <c r="F2073" s="127"/>
      <c r="G2073" s="576" t="str">
        <f ca="1">IF(OR(INDIRECT("'update Helper'!E"&amp;Q2073)="",F2073&lt;&gt;0,F2074&lt;&gt;0),IF(IFERROR((F2073/F2074),"")="","",(F2073/F2074)),INDIRECT("'update Helper'!E"&amp;Q2073)/100)</f>
        <v/>
      </c>
      <c r="H2073" s="539"/>
      <c r="I2073" s="578"/>
      <c r="J2073" s="532"/>
      <c r="K2073" s="126">
        <f ca="1">IF(AND(EXACT(C2073,C2071),C2071&lt;&gt;0),K2071+1,0)</f>
        <v>6</v>
      </c>
      <c r="L2073" s="126" t="str">
        <f t="shared" ref="L2073" ca="1" si="2406">IF(C2073&lt;&gt;"",C2073&amp;"-"&amp;K2073,"")</f>
        <v>TB/HIV-7.1 Percentage of people living with HIV currently enrolled on antiretroviral therapy who started TB preventive treatment (TPT) during the reporting period-6</v>
      </c>
      <c r="M2073" s="126" t="str">
        <f t="array" aca="1" ref="M2073" ca="1">IFERROR(IF(INDEX('Disaggregation Records'!$E$156:$E$517,MATCH(RIGHT(L2073,255),RIGHT('Disaggregation Records'!$D$156:$D$517,255),0))="","",INDEX('Disaggregation Records'!$E$156:$E$517,MATCH(RIGHT(L2073,255),RIGHT('Disaggregation Records'!$D$156:$D$517,255),0))),"")</f>
        <v>TPT regimen</v>
      </c>
      <c r="N2073" s="126" t="str">
        <f t="array" aca="1" ref="N2073" ca="1">IFERROR(IF(INDEX('Disaggregation Records'!$F$156:$F$517,MATCH(RIGHT(L2073,255),RIGHT('Disaggregation Records'!$D$156:$D$517,255),0))="","",INDEX('Disaggregation Records'!$F$156:$F$517,MATCH(RIGHT(L2073,255),RIGHT('Disaggregation Records'!$D$156:$D$517,255),0))),"")</f>
        <v>1HP</v>
      </c>
      <c r="O2073" s="314" t="str">
        <f t="array" aca="1" ref="O2073" ca="1">IFERROR(IF(INDEX('Disaggregation Records'!$H$156:$H$517,MATCH(RIGHT(L2073,255),RIGHT('Disaggregation Records'!$D$156:$D$517,255),0))="","",INDEX('Disaggregation Records'!$H$156:$H$517,MATCH(RIGHT(L2073,255),RIGHT('Disaggregation Records'!$D$156:$D$517,255),0))),"")</f>
        <v>IDR-01365</v>
      </c>
      <c r="P2073" s="310"/>
      <c r="Q2073" s="310">
        <f t="shared" ref="Q2073" si="2407">Q2071+1</f>
        <v>1739</v>
      </c>
      <c r="R2073" s="314" t="str" cm="1">
        <f t="array" aca="1" ref="R2073" ca="1">IFERROR(IF(INDEX('Disaggregation Records'!$G$156:$G$517,MATCH(RIGHT(L2073,255),RIGHT('Disaggregation Records'!$D$156:$D$517,255),0))="","",INDEX('Disaggregation Records'!$G$156:$G$517,MATCH(RIGHT(L2073,255),RIGHT('Disaggregation Records'!$D$156:$D$517,255),0))),"")</f>
        <v>a1LDm000000Cb4lMAC</v>
      </c>
    </row>
    <row r="2074" spans="1:18" ht="20.100000000000001" customHeight="1">
      <c r="B2074" s="571"/>
      <c r="C2074" s="573"/>
      <c r="D2074" s="575"/>
      <c r="E2074" s="575"/>
      <c r="F2074" s="128"/>
      <c r="G2074" s="577"/>
      <c r="H2074" s="540"/>
      <c r="I2074" s="579"/>
      <c r="J2074" s="533"/>
      <c r="L2074" s="126"/>
      <c r="N2074" s="126"/>
      <c r="O2074" s="314"/>
      <c r="P2074" s="310"/>
      <c r="Q2074" s="310"/>
      <c r="R2074" s="314" t="str" cm="1">
        <f t="array" ref="R2074">IFERROR(IF(INDEX('Disaggregation Records'!$G$156:$G$517,MATCH(RIGHT(L2074,255),RIGHT('Disaggregation Records'!$D$156:$D$517,255),0))="","",INDEX('Disaggregation Records'!$G$156:$G$517,MATCH(RIGHT(L2074,255),RIGHT('Disaggregation Records'!$D$156:$D$517,255),0))),"")</f>
        <v/>
      </c>
    </row>
    <row r="2075" spans="1:18" ht="20.100000000000001" customHeight="1">
      <c r="A2075" s="126" t="str">
        <f t="shared" ref="A2075:A2135" ca="1" si="2408">INDIRECT("'update Helper'!C"&amp;Q2075)</f>
        <v>a16Dm000000M3sFIAS</v>
      </c>
      <c r="B2075" s="570">
        <v>37</v>
      </c>
      <c r="C2075" s="572" t="str">
        <f ca="1">IFERROR(VLOOKUP(B2075,'Coverage Indicators - Section D'!$A$9:$AO$94,41,FALSE),"")</f>
        <v>TB/HIV-7.1 Percentage of people living with HIV currently enrolled on antiretroviral therapy who started TB preventive treatment (TPT) during the reporting period</v>
      </c>
      <c r="D2075" s="574" t="str">
        <f ca="1">M2075</f>
        <v>Age</v>
      </c>
      <c r="E2075" s="574" t="str">
        <f ca="1">N2075</f>
        <v>&lt;5</v>
      </c>
      <c r="F2075" s="127"/>
      <c r="G2075" s="576" t="str">
        <f ca="1">IF(OR(INDIRECT("'update Helper'!E"&amp;Q2075)="",F2075&lt;&gt;0,F2076&lt;&gt;0),IF(IFERROR((F2075/F2076),"")="","",(F2075/F2076)),INDIRECT("'update Helper'!E"&amp;Q2075)/100)</f>
        <v/>
      </c>
      <c r="H2075" s="539"/>
      <c r="I2075" s="578"/>
      <c r="J2075" s="532"/>
      <c r="K2075" s="126">
        <f ca="1">IF(AND(EXACT(C2075,C2073),C2073&lt;&gt;0),K2073+1,0)</f>
        <v>7</v>
      </c>
      <c r="L2075" s="126" t="str">
        <f t="shared" ref="L2075" ca="1" si="2409">IF(C2075&lt;&gt;"",C2075&amp;"-"&amp;K2075,"")</f>
        <v>TB/HIV-7.1 Percentage of people living with HIV currently enrolled on antiretroviral therapy who started TB preventive treatment (TPT) during the reporting period-7</v>
      </c>
      <c r="M2075" s="126" t="str">
        <f t="array" aca="1" ref="M2075" ca="1">IFERROR(IF(INDEX('Disaggregation Records'!$E$156:$E$517,MATCH(RIGHT(L2075,255),RIGHT('Disaggregation Records'!$D$156:$D$517,255),0))="","",INDEX('Disaggregation Records'!$E$156:$E$517,MATCH(RIGHT(L2075,255),RIGHT('Disaggregation Records'!$D$156:$D$517,255),0))),"")</f>
        <v>Age</v>
      </c>
      <c r="N2075" s="126" t="str">
        <f t="array" aca="1" ref="N2075" ca="1">IFERROR(IF(INDEX('Disaggregation Records'!$F$156:$F$517,MATCH(RIGHT(L2075,255),RIGHT('Disaggregation Records'!$D$156:$D$517,255),0))="","",INDEX('Disaggregation Records'!$F$156:$F$517,MATCH(RIGHT(L2075,255),RIGHT('Disaggregation Records'!$D$156:$D$517,255),0))),"")</f>
        <v>&lt;5</v>
      </c>
      <c r="O2075" s="314" t="str">
        <f t="array" aca="1" ref="O2075" ca="1">IFERROR(IF(INDEX('Disaggregation Records'!$H$156:$H$517,MATCH(RIGHT(L2075,255),RIGHT('Disaggregation Records'!$D$156:$D$517,255),0))="","",INDEX('Disaggregation Records'!$H$156:$H$517,MATCH(RIGHT(L2075,255),RIGHT('Disaggregation Records'!$D$156:$D$517,255),0))),"")</f>
        <v>IDR-01364</v>
      </c>
      <c r="P2075" s="310"/>
      <c r="Q2075" s="310">
        <f t="shared" ref="Q2075" si="2410">Q2073+1</f>
        <v>1740</v>
      </c>
      <c r="R2075" s="314" t="str" cm="1">
        <f t="array" aca="1" ref="R2075" ca="1">IFERROR(IF(INDEX('Disaggregation Records'!$G$156:$G$517,MATCH(RIGHT(L2075,255),RIGHT('Disaggregation Records'!$D$156:$D$517,255),0))="","",INDEX('Disaggregation Records'!$G$156:$G$517,MATCH(RIGHT(L2075,255),RIGHT('Disaggregation Records'!$D$156:$D$517,255),0))),"")</f>
        <v>a1LDm000000Cb4kMAC</v>
      </c>
    </row>
    <row r="2076" spans="1:18" ht="20.100000000000001" customHeight="1">
      <c r="A2076" s="126"/>
      <c r="B2076" s="571"/>
      <c r="C2076" s="573"/>
      <c r="D2076" s="575"/>
      <c r="E2076" s="575"/>
      <c r="F2076" s="128"/>
      <c r="G2076" s="577"/>
      <c r="H2076" s="540"/>
      <c r="I2076" s="579"/>
      <c r="J2076" s="533"/>
      <c r="L2076" s="126"/>
      <c r="N2076" s="126"/>
      <c r="O2076" s="314"/>
      <c r="P2076" s="310"/>
      <c r="Q2076" s="310"/>
      <c r="R2076" s="314" t="str" cm="1">
        <f t="array" ref="R2076">IFERROR(IF(INDEX('Disaggregation Records'!$G$156:$G$517,MATCH(RIGHT(L2076,255),RIGHT('Disaggregation Records'!$D$156:$D$517,255),0))="","",INDEX('Disaggregation Records'!$G$156:$G$517,MATCH(RIGHT(L2076,255),RIGHT('Disaggregation Records'!$D$156:$D$517,255),0))),"")</f>
        <v/>
      </c>
    </row>
    <row r="2077" spans="1:18" ht="20.100000000000001" customHeight="1">
      <c r="A2077" s="126" t="str">
        <f t="shared" ref="A2077:A2137" ca="1" si="2411">INDIRECT("'update Helper'!C"&amp;Q2077)</f>
        <v>a16Dm000000M3sGIAS</v>
      </c>
      <c r="B2077" s="570">
        <v>37</v>
      </c>
      <c r="C2077" s="572" t="str">
        <f ca="1">IFERROR(VLOOKUP(B2077,'Coverage Indicators - Section D'!$A$9:$AO$94,41,FALSE),"")</f>
        <v>TB/HIV-7.1 Percentage of people living with HIV currently enrolled on antiretroviral therapy who started TB preventive treatment (TPT) during the reporting period</v>
      </c>
      <c r="D2077" s="574" t="str">
        <f ca="1">M2077</f>
        <v>TPT regimen</v>
      </c>
      <c r="E2077" s="574" t="str">
        <f ca="1">N2077</f>
        <v>3HP</v>
      </c>
      <c r="F2077" s="127"/>
      <c r="G2077" s="576" t="str">
        <f ca="1">IF(OR(INDIRECT("'update Helper'!E"&amp;Q2077)="",F2077&lt;&gt;0,F2078&lt;&gt;0),IF(IFERROR((F2077/F2078),"")="","",(F2077/F2078)),INDIRECT("'update Helper'!E"&amp;Q2077)/100)</f>
        <v/>
      </c>
      <c r="H2077" s="539"/>
      <c r="I2077" s="578"/>
      <c r="J2077" s="532"/>
      <c r="K2077" s="126">
        <f ca="1">IF(AND(EXACT(C2077,C2075),C2075&lt;&gt;0),K2075+1,0)</f>
        <v>8</v>
      </c>
      <c r="L2077" s="126" t="str">
        <f t="shared" ref="L2077" ca="1" si="2412">IF(C2077&lt;&gt;"",C2077&amp;"-"&amp;K2077,"")</f>
        <v>TB/HIV-7.1 Percentage of people living with HIV currently enrolled on antiretroviral therapy who started TB preventive treatment (TPT) during the reporting period-8</v>
      </c>
      <c r="M2077" s="126" t="str">
        <f t="array" aca="1" ref="M2077" ca="1">IFERROR(IF(INDEX('Disaggregation Records'!$E$156:$E$517,MATCH(RIGHT(L2077,255),RIGHT('Disaggregation Records'!$D$156:$D$517,255),0))="","",INDEX('Disaggregation Records'!$E$156:$E$517,MATCH(RIGHT(L2077,255),RIGHT('Disaggregation Records'!$D$156:$D$517,255),0))),"")</f>
        <v>TPT regimen</v>
      </c>
      <c r="N2077" s="126" t="str">
        <f t="array" aca="1" ref="N2077" ca="1">IFERROR(IF(INDEX('Disaggregation Records'!$F$156:$F$517,MATCH(RIGHT(L2077,255),RIGHT('Disaggregation Records'!$D$156:$D$517,255),0))="","",INDEX('Disaggregation Records'!$F$156:$F$517,MATCH(RIGHT(L2077,255),RIGHT('Disaggregation Records'!$D$156:$D$517,255),0))),"")</f>
        <v>3HP</v>
      </c>
      <c r="O2077" s="314" t="str">
        <f t="array" aca="1" ref="O2077" ca="1">IFERROR(IF(INDEX('Disaggregation Records'!$H$156:$H$517,MATCH(RIGHT(L2077,255),RIGHT('Disaggregation Records'!$D$156:$D$517,255),0))="","",INDEX('Disaggregation Records'!$H$156:$H$517,MATCH(RIGHT(L2077,255),RIGHT('Disaggregation Records'!$D$156:$D$517,255),0))),"")</f>
        <v>IDR-01363</v>
      </c>
      <c r="P2077" s="310"/>
      <c r="Q2077" s="310">
        <f t="shared" ref="Q2077" si="2413">Q2075+1</f>
        <v>1741</v>
      </c>
      <c r="R2077" s="314" t="str" cm="1">
        <f t="array" aca="1" ref="R2077" ca="1">IFERROR(IF(INDEX('Disaggregation Records'!$G$156:$G$517,MATCH(RIGHT(L2077,255),RIGHT('Disaggregation Records'!$D$156:$D$517,255),0))="","",INDEX('Disaggregation Records'!$G$156:$G$517,MATCH(RIGHT(L2077,255),RIGHT('Disaggregation Records'!$D$156:$D$517,255),0))),"")</f>
        <v>a1LDm000000Cb4jMAC</v>
      </c>
    </row>
    <row r="2078" spans="1:18" ht="20.100000000000001" customHeight="1">
      <c r="B2078" s="571"/>
      <c r="C2078" s="573"/>
      <c r="D2078" s="575"/>
      <c r="E2078" s="575"/>
      <c r="F2078" s="128"/>
      <c r="G2078" s="577"/>
      <c r="H2078" s="540"/>
      <c r="I2078" s="579"/>
      <c r="J2078" s="533"/>
      <c r="L2078" s="126"/>
      <c r="N2078" s="126"/>
      <c r="O2078" s="314"/>
      <c r="P2078" s="310"/>
      <c r="Q2078" s="310"/>
      <c r="R2078" s="314" t="str" cm="1">
        <f t="array" ref="R2078">IFERROR(IF(INDEX('Disaggregation Records'!$G$156:$G$517,MATCH(RIGHT(L2078,255),RIGHT('Disaggregation Records'!$D$156:$D$517,255),0))="","",INDEX('Disaggregation Records'!$G$156:$G$517,MATCH(RIGHT(L2078,255),RIGHT('Disaggregation Records'!$D$156:$D$517,255),0))),"")</f>
        <v/>
      </c>
    </row>
    <row r="2079" spans="1:18" ht="20.100000000000001" customHeight="1">
      <c r="A2079" s="126" t="str">
        <f t="shared" ref="A2079:A2139" ca="1" si="2414">INDIRECT("'update Helper'!C"&amp;Q2079)</f>
        <v>a16Dm000000M3sHIAS</v>
      </c>
      <c r="B2079" s="570">
        <v>37</v>
      </c>
      <c r="C2079" s="572" t="str">
        <f ca="1">IFERROR(VLOOKUP(B2079,'Coverage Indicators - Section D'!$A$9:$AO$94,41,FALSE),"")</f>
        <v>TB/HIV-7.1 Percentage of people living with HIV currently enrolled on antiretroviral therapy who started TB preventive treatment (TPT) during the reporting period</v>
      </c>
      <c r="D2079" s="574" t="str">
        <f ca="1">M2079</f>
        <v>Gender</v>
      </c>
      <c r="E2079" s="574" t="str">
        <f ca="1">N2079</f>
        <v>Female</v>
      </c>
      <c r="F2079" s="127"/>
      <c r="G2079" s="576" t="str">
        <f ca="1">IF(OR(INDIRECT("'update Helper'!E"&amp;Q2079)="",F2079&lt;&gt;0,F2080&lt;&gt;0),IF(IFERROR((F2079/F2080),"")="","",(F2079/F2080)),INDIRECT("'update Helper'!E"&amp;Q2079)/100)</f>
        <v/>
      </c>
      <c r="H2079" s="539"/>
      <c r="I2079" s="578"/>
      <c r="J2079" s="532"/>
      <c r="K2079" s="126">
        <f ca="1">IF(AND(EXACT(C2079,C2077),C2077&lt;&gt;0),K2077+1,0)</f>
        <v>9</v>
      </c>
      <c r="L2079" s="126" t="str">
        <f t="shared" ref="L2079" ca="1" si="2415">IF(C2079&lt;&gt;"",C2079&amp;"-"&amp;K2079,"")</f>
        <v>TB/HIV-7.1 Percentage of people living with HIV currently enrolled on antiretroviral therapy who started TB preventive treatment (TPT) during the reporting period-9</v>
      </c>
      <c r="M2079" s="126" t="str">
        <f t="array" aca="1" ref="M2079" ca="1">IFERROR(IF(INDEX('Disaggregation Records'!$E$156:$E$517,MATCH(RIGHT(L2079,255),RIGHT('Disaggregation Records'!$D$156:$D$517,255),0))="","",INDEX('Disaggregation Records'!$E$156:$E$517,MATCH(RIGHT(L2079,255),RIGHT('Disaggregation Records'!$D$156:$D$517,255),0))),"")</f>
        <v>Gender</v>
      </c>
      <c r="N2079" s="126" t="str">
        <f t="array" aca="1" ref="N2079" ca="1">IFERROR(IF(INDEX('Disaggregation Records'!$F$156:$F$517,MATCH(RIGHT(L2079,255),RIGHT('Disaggregation Records'!$D$156:$D$517,255),0))="","",INDEX('Disaggregation Records'!$F$156:$F$517,MATCH(RIGHT(L2079,255),RIGHT('Disaggregation Records'!$D$156:$D$517,255),0))),"")</f>
        <v>Female</v>
      </c>
      <c r="O2079" s="314" t="str">
        <f t="array" aca="1" ref="O2079" ca="1">IFERROR(IF(INDEX('Disaggregation Records'!$H$156:$H$517,MATCH(RIGHT(L2079,255),RIGHT('Disaggregation Records'!$D$156:$D$517,255),0))="","",INDEX('Disaggregation Records'!$H$156:$H$517,MATCH(RIGHT(L2079,255),RIGHT('Disaggregation Records'!$D$156:$D$517,255),0))),"")</f>
        <v>IDR-01362</v>
      </c>
      <c r="P2079" s="314"/>
      <c r="Q2079" s="310">
        <f t="shared" ref="Q2079" si="2416">Q2077+1</f>
        <v>1742</v>
      </c>
      <c r="R2079" s="314" t="str" cm="1">
        <f t="array" aca="1" ref="R2079" ca="1">IFERROR(IF(INDEX('Disaggregation Records'!$G$156:$G$517,MATCH(RIGHT(L2079,255),RIGHT('Disaggregation Records'!$D$156:$D$517,255),0))="","",INDEX('Disaggregation Records'!$G$156:$G$517,MATCH(RIGHT(L2079,255),RIGHT('Disaggregation Records'!$D$156:$D$517,255),0))),"")</f>
        <v>a1LDm000000Cb4iMAC</v>
      </c>
    </row>
    <row r="2080" spans="1:18" ht="20.100000000000001" customHeight="1">
      <c r="A2080" s="126"/>
      <c r="B2080" s="571"/>
      <c r="C2080" s="573"/>
      <c r="D2080" s="575"/>
      <c r="E2080" s="575"/>
      <c r="F2080" s="128"/>
      <c r="G2080" s="577"/>
      <c r="H2080" s="540"/>
      <c r="I2080" s="579"/>
      <c r="J2080" s="533"/>
      <c r="K2080" s="126"/>
      <c r="L2080" s="126"/>
      <c r="M2080" s="126"/>
      <c r="N2080" s="126"/>
      <c r="O2080" s="314"/>
      <c r="P2080" s="314"/>
      <c r="Q2080" s="310"/>
      <c r="R2080" s="314" t="str" cm="1">
        <f t="array" ref="R2080">IFERROR(IF(INDEX('Disaggregation Records'!$G$156:$G$517,MATCH(RIGHT(L2080,255),RIGHT('Disaggregation Records'!$D$156:$D$517,255),0))="","",INDEX('Disaggregation Records'!$G$156:$G$517,MATCH(RIGHT(L2080,255),RIGHT('Disaggregation Records'!$D$156:$D$517,255),0))),"")</f>
        <v/>
      </c>
    </row>
    <row r="2081" spans="1:18" ht="20.100000000000001" customHeight="1">
      <c r="A2081" s="126" t="str">
        <f t="shared" ref="A2081:A2141" ca="1" si="2417">INDIRECT("'update Helper'!C"&amp;Q2081)</f>
        <v>a16Dm000000M3sIIAS</v>
      </c>
      <c r="B2081" s="570">
        <v>37</v>
      </c>
      <c r="C2081" s="572" t="str">
        <f ca="1">IFERROR(VLOOKUP(B2081,'Coverage Indicators - Section D'!$A$9:$AO$94,41,FALSE),"")</f>
        <v>TB/HIV-7.1 Percentage of people living with HIV currently enrolled on antiretroviral therapy who started TB preventive treatment (TPT) during the reporting period</v>
      </c>
      <c r="D2081" s="574" t="str">
        <f ca="1">M2081</f>
        <v/>
      </c>
      <c r="E2081" s="574" t="str">
        <f ca="1">N2081</f>
        <v/>
      </c>
      <c r="F2081" s="127"/>
      <c r="G2081" s="576" t="str">
        <f ca="1">IF(OR(INDIRECT("'update Helper'!E"&amp;Q2081)="",F2081&lt;&gt;0,F2082&lt;&gt;0),IF(IFERROR((F2081/F2082),"")="","",(F2081/F2082)),INDIRECT("'update Helper'!E"&amp;Q2081)/100)</f>
        <v/>
      </c>
      <c r="H2081" s="539"/>
      <c r="I2081" s="578"/>
      <c r="J2081" s="532"/>
      <c r="K2081" s="126">
        <f ca="1">IF(AND(EXACT(C2081,C2079),C2079&lt;&gt;0),K2079+1,0)</f>
        <v>10</v>
      </c>
      <c r="L2081" s="126" t="str">
        <f t="shared" ref="L2081" ca="1" si="2418">IF(C2081&lt;&gt;"",C2081&amp;"-"&amp;K2081,"")</f>
        <v>TB/HIV-7.1 Percentage of people living with HIV currently enrolled on antiretroviral therapy who started TB preventive treatment (TPT) during the reporting period-10</v>
      </c>
      <c r="M2081" s="126" t="str">
        <f t="array" aca="1" ref="M2081" ca="1">IFERROR(IF(INDEX('Disaggregation Records'!$E$156:$E$517,MATCH(RIGHT(L2081,255),RIGHT('Disaggregation Records'!$D$156:$D$517,255),0))="","",INDEX('Disaggregation Records'!$E$156:$E$517,MATCH(RIGHT(L2081,255),RIGHT('Disaggregation Records'!$D$156:$D$517,255),0))),"")</f>
        <v/>
      </c>
      <c r="N2081" s="126" t="str">
        <f t="array" aca="1" ref="N2081" ca="1">IFERROR(IF(INDEX('Disaggregation Records'!$F$156:$F$517,MATCH(RIGHT(L2081,255),RIGHT('Disaggregation Records'!$D$156:$D$517,255),0))="","",INDEX('Disaggregation Records'!$F$156:$F$517,MATCH(RIGHT(L2081,255),RIGHT('Disaggregation Records'!$D$156:$D$517,255),0))),"")</f>
        <v/>
      </c>
      <c r="O2081" s="314" t="str">
        <f t="array" aca="1" ref="O2081" ca="1">IFERROR(IF(INDEX('Disaggregation Records'!$H$156:$H$517,MATCH(RIGHT(L2081,255),RIGHT('Disaggregation Records'!$D$156:$D$517,255),0))="","",INDEX('Disaggregation Records'!$H$156:$H$517,MATCH(RIGHT(L2081,255),RIGHT('Disaggregation Records'!$D$156:$D$517,255),0))),"")</f>
        <v/>
      </c>
      <c r="P2081" s="314"/>
      <c r="Q2081" s="310">
        <f t="shared" ref="Q2081" si="2419">Q2079+1</f>
        <v>1743</v>
      </c>
      <c r="R2081" s="314" t="str" cm="1">
        <f t="array" aca="1" ref="R2081" ca="1">IFERROR(IF(INDEX('Disaggregation Records'!$G$156:$G$517,MATCH(RIGHT(L2081,255),RIGHT('Disaggregation Records'!$D$156:$D$517,255),0))="","",INDEX('Disaggregation Records'!$G$156:$G$517,MATCH(RIGHT(L2081,255),RIGHT('Disaggregation Records'!$D$156:$D$517,255),0))),"")</f>
        <v/>
      </c>
    </row>
    <row r="2082" spans="1:18" ht="20.100000000000001" customHeight="1">
      <c r="B2082" s="571"/>
      <c r="C2082" s="573"/>
      <c r="D2082" s="575"/>
      <c r="E2082" s="575"/>
      <c r="F2082" s="128"/>
      <c r="G2082" s="577"/>
      <c r="H2082" s="540"/>
      <c r="I2082" s="579"/>
      <c r="J2082" s="533"/>
      <c r="K2082" s="126"/>
      <c r="L2082" s="126"/>
      <c r="M2082" s="126"/>
      <c r="N2082" s="126"/>
      <c r="O2082" s="314"/>
      <c r="P2082" s="314"/>
      <c r="Q2082" s="310"/>
      <c r="R2082" s="314" t="str" cm="1">
        <f t="array" ref="R2082">IFERROR(IF(INDEX('Disaggregation Records'!$G$156:$G$517,MATCH(RIGHT(L2082,255),RIGHT('Disaggregation Records'!$D$156:$D$517,255),0))="","",INDEX('Disaggregation Records'!$G$156:$G$517,MATCH(RIGHT(L2082,255),RIGHT('Disaggregation Records'!$D$156:$D$517,255),0))),"")</f>
        <v/>
      </c>
    </row>
    <row r="2083" spans="1:18" ht="20.100000000000001" customHeight="1">
      <c r="A2083" s="126" t="str">
        <f t="shared" ref="A2083:A2143" ca="1" si="2420">INDIRECT("'update Helper'!C"&amp;Q2083)</f>
        <v>a16Dm000000M3sJIAS</v>
      </c>
      <c r="B2083" s="570">
        <v>37</v>
      </c>
      <c r="C2083" s="572" t="str">
        <f ca="1">IFERROR(VLOOKUP(B2083,'Coverage Indicators - Section D'!$A$9:$AO$94,41,FALSE),"")</f>
        <v>TB/HIV-7.1 Percentage of people living with HIV currently enrolled on antiretroviral therapy who started TB preventive treatment (TPT) during the reporting period</v>
      </c>
      <c r="D2083" s="574" t="str">
        <f ca="1">M2083</f>
        <v/>
      </c>
      <c r="E2083" s="574" t="str">
        <f ca="1">N2083</f>
        <v/>
      </c>
      <c r="F2083" s="127"/>
      <c r="G2083" s="576" t="str">
        <f ca="1">IF(OR(INDIRECT("'update Helper'!E"&amp;Q2083)="",F2083&lt;&gt;0,F2084&lt;&gt;0),IF(IFERROR((F2083/F2084),"")="","",(F2083/F2084)),INDIRECT("'update Helper'!E"&amp;Q2083)/100)</f>
        <v/>
      </c>
      <c r="H2083" s="539"/>
      <c r="I2083" s="578"/>
      <c r="J2083" s="532"/>
      <c r="K2083" s="126">
        <f ca="1">IF(AND(EXACT(C2083,C2081),C2081&lt;&gt;0),K2081+1,0)</f>
        <v>11</v>
      </c>
      <c r="L2083" s="126" t="str">
        <f t="shared" ref="L2083" ca="1" si="2421">IF(C2083&lt;&gt;"",C2083&amp;"-"&amp;K2083,"")</f>
        <v>TB/HIV-7.1 Percentage of people living with HIV currently enrolled on antiretroviral therapy who started TB preventive treatment (TPT) during the reporting period-11</v>
      </c>
      <c r="M2083" s="126" t="str">
        <f t="array" aca="1" ref="M2083" ca="1">IFERROR(IF(INDEX('Disaggregation Records'!$E$156:$E$517,MATCH(RIGHT(L2083,255),RIGHT('Disaggregation Records'!$D$156:$D$517,255),0))="","",INDEX('Disaggregation Records'!$E$156:$E$517,MATCH(RIGHT(L2083,255),RIGHT('Disaggregation Records'!$D$156:$D$517,255),0))),"")</f>
        <v/>
      </c>
      <c r="N2083" s="126" t="str">
        <f t="array" aca="1" ref="N2083" ca="1">IFERROR(IF(INDEX('Disaggregation Records'!$F$156:$F$517,MATCH(RIGHT(L2083,255),RIGHT('Disaggregation Records'!$D$156:$D$517,255),0))="","",INDEX('Disaggregation Records'!$F$156:$F$517,MATCH(RIGHT(L2083,255),RIGHT('Disaggregation Records'!$D$156:$D$517,255),0))),"")</f>
        <v/>
      </c>
      <c r="O2083" s="314" t="str">
        <f t="array" aca="1" ref="O2083" ca="1">IFERROR(IF(INDEX('Disaggregation Records'!$H$156:$H$517,MATCH(RIGHT(L2083,255),RIGHT('Disaggregation Records'!$D$156:$D$517,255),0))="","",INDEX('Disaggregation Records'!$H$156:$H$517,MATCH(RIGHT(L2083,255),RIGHT('Disaggregation Records'!$D$156:$D$517,255),0))),"")</f>
        <v/>
      </c>
      <c r="P2083" s="310"/>
      <c r="Q2083" s="310">
        <f t="shared" ref="Q2083" si="2422">Q2081+1</f>
        <v>1744</v>
      </c>
      <c r="R2083" s="314" t="str" cm="1">
        <f t="array" aca="1" ref="R2083" ca="1">IFERROR(IF(INDEX('Disaggregation Records'!$G$156:$G$517,MATCH(RIGHT(L2083,255),RIGHT('Disaggregation Records'!$D$156:$D$517,255),0))="","",INDEX('Disaggregation Records'!$G$156:$G$517,MATCH(RIGHT(L2083,255),RIGHT('Disaggregation Records'!$D$156:$D$517,255),0))),"")</f>
        <v/>
      </c>
    </row>
    <row r="2084" spans="1:18" ht="20.100000000000001" customHeight="1">
      <c r="A2084" s="126"/>
      <c r="B2084" s="571"/>
      <c r="C2084" s="573"/>
      <c r="D2084" s="575"/>
      <c r="E2084" s="575"/>
      <c r="F2084" s="128"/>
      <c r="G2084" s="577"/>
      <c r="H2084" s="540"/>
      <c r="I2084" s="579"/>
      <c r="J2084" s="533"/>
      <c r="L2084" s="126"/>
      <c r="N2084" s="126"/>
      <c r="O2084" s="314"/>
      <c r="P2084" s="310"/>
      <c r="Q2084" s="310"/>
      <c r="R2084" s="314" t="str" cm="1">
        <f t="array" ref="R2084">IFERROR(IF(INDEX('Disaggregation Records'!$G$156:$G$517,MATCH(RIGHT(L2084,255),RIGHT('Disaggregation Records'!$D$156:$D$517,255),0))="","",INDEX('Disaggregation Records'!$G$156:$G$517,MATCH(RIGHT(L2084,255),RIGHT('Disaggregation Records'!$D$156:$D$517,255),0))),"")</f>
        <v/>
      </c>
    </row>
    <row r="2085" spans="1:18" ht="20.100000000000001" customHeight="1">
      <c r="A2085" s="126" t="str">
        <f t="shared" ref="A2085:A2145" ca="1" si="2423">INDIRECT("'update Helper'!C"&amp;Q2085)</f>
        <v>a16Dm000000M3sKIAS</v>
      </c>
      <c r="B2085" s="570">
        <v>37</v>
      </c>
      <c r="C2085" s="572" t="str">
        <f ca="1">IFERROR(VLOOKUP(B2085,'Coverage Indicators - Section D'!$A$9:$AO$94,41,FALSE),"")</f>
        <v>TB/HIV-7.1 Percentage of people living with HIV currently enrolled on antiretroviral therapy who started TB preventive treatment (TPT) during the reporting period</v>
      </c>
      <c r="D2085" s="574" t="str">
        <f ca="1">M2085</f>
        <v/>
      </c>
      <c r="E2085" s="574" t="str">
        <f ca="1">N2085</f>
        <v/>
      </c>
      <c r="F2085" s="127"/>
      <c r="G2085" s="576" t="str">
        <f ca="1">IF(OR(INDIRECT("'update Helper'!E"&amp;Q2085)="",F2085&lt;&gt;0,F2086&lt;&gt;0),IF(IFERROR((F2085/F2086),"")="","",(F2085/F2086)),INDIRECT("'update Helper'!E"&amp;Q2085)/100)</f>
        <v/>
      </c>
      <c r="H2085" s="539"/>
      <c r="I2085" s="578"/>
      <c r="J2085" s="532"/>
      <c r="K2085" s="126">
        <f ca="1">IF(AND(EXACT(C2085,C2083),C2083&lt;&gt;0),K2083+1,0)</f>
        <v>12</v>
      </c>
      <c r="L2085" s="126" t="str">
        <f t="shared" ref="L2085" ca="1" si="2424">IF(C2085&lt;&gt;"",C2085&amp;"-"&amp;K2085,"")</f>
        <v>TB/HIV-7.1 Percentage of people living with HIV currently enrolled on antiretroviral therapy who started TB preventive treatment (TPT) during the reporting period-12</v>
      </c>
      <c r="M2085" s="126" t="str">
        <f t="array" aca="1" ref="M2085" ca="1">IFERROR(IF(INDEX('Disaggregation Records'!$E$156:$E$517,MATCH(RIGHT(L2085,255),RIGHT('Disaggregation Records'!$D$156:$D$517,255),0))="","",INDEX('Disaggregation Records'!$E$156:$E$517,MATCH(RIGHT(L2085,255),RIGHT('Disaggregation Records'!$D$156:$D$517,255),0))),"")</f>
        <v/>
      </c>
      <c r="N2085" s="126" t="str">
        <f t="array" aca="1" ref="N2085" ca="1">IFERROR(IF(INDEX('Disaggregation Records'!$F$156:$F$517,MATCH(RIGHT(L2085,255),RIGHT('Disaggregation Records'!$D$156:$D$517,255),0))="","",INDEX('Disaggregation Records'!$F$156:$F$517,MATCH(RIGHT(L2085,255),RIGHT('Disaggregation Records'!$D$156:$D$517,255),0))),"")</f>
        <v/>
      </c>
      <c r="O2085" s="314" t="str">
        <f t="array" aca="1" ref="O2085" ca="1">IFERROR(IF(INDEX('Disaggregation Records'!$H$156:$H$517,MATCH(RIGHT(L2085,255),RIGHT('Disaggregation Records'!$D$156:$D$517,255),0))="","",INDEX('Disaggregation Records'!$H$156:$H$517,MATCH(RIGHT(L2085,255),RIGHT('Disaggregation Records'!$D$156:$D$517,255),0))),"")</f>
        <v/>
      </c>
      <c r="P2085" s="310"/>
      <c r="Q2085" s="310">
        <f t="shared" ref="Q2085" si="2425">Q2083+1</f>
        <v>1745</v>
      </c>
      <c r="R2085" s="314" t="str" cm="1">
        <f t="array" aca="1" ref="R2085" ca="1">IFERROR(IF(INDEX('Disaggregation Records'!$G$156:$G$517,MATCH(RIGHT(L2085,255),RIGHT('Disaggregation Records'!$D$156:$D$517,255),0))="","",INDEX('Disaggregation Records'!$G$156:$G$517,MATCH(RIGHT(L2085,255),RIGHT('Disaggregation Records'!$D$156:$D$517,255),0))),"")</f>
        <v/>
      </c>
    </row>
    <row r="2086" spans="1:18" ht="20.100000000000001" customHeight="1">
      <c r="B2086" s="571"/>
      <c r="C2086" s="573"/>
      <c r="D2086" s="575"/>
      <c r="E2086" s="575"/>
      <c r="F2086" s="128"/>
      <c r="G2086" s="577"/>
      <c r="H2086" s="540"/>
      <c r="I2086" s="579"/>
      <c r="J2086" s="533"/>
      <c r="L2086" s="126"/>
      <c r="N2086" s="126"/>
      <c r="O2086" s="314"/>
      <c r="P2086" s="310"/>
      <c r="Q2086" s="310"/>
      <c r="R2086" s="314" t="str" cm="1">
        <f t="array" ref="R2086">IFERROR(IF(INDEX('Disaggregation Records'!$G$156:$G$517,MATCH(RIGHT(L2086,255),RIGHT('Disaggregation Records'!$D$156:$D$517,255),0))="","",INDEX('Disaggregation Records'!$G$156:$G$517,MATCH(RIGHT(L2086,255),RIGHT('Disaggregation Records'!$D$156:$D$517,255),0))),"")</f>
        <v/>
      </c>
    </row>
    <row r="2087" spans="1:18" ht="20.100000000000001" customHeight="1">
      <c r="A2087" s="126" t="str">
        <f t="shared" ref="A2087:A2147" ca="1" si="2426">INDIRECT("'update Helper'!C"&amp;Q2087)</f>
        <v>a16Dm000000M3sLIAS</v>
      </c>
      <c r="B2087" s="570">
        <v>37</v>
      </c>
      <c r="C2087" s="572" t="str">
        <f ca="1">IFERROR(VLOOKUP(B2087,'Coverage Indicators - Section D'!$A$9:$AO$94,41,FALSE),"")</f>
        <v>TB/HIV-7.1 Percentage of people living with HIV currently enrolled on antiretroviral therapy who started TB preventive treatment (TPT) during the reporting period</v>
      </c>
      <c r="D2087" s="574" t="str">
        <f ca="1">M2087</f>
        <v/>
      </c>
      <c r="E2087" s="574" t="str">
        <f ca="1">N2087</f>
        <v/>
      </c>
      <c r="F2087" s="127"/>
      <c r="G2087" s="576" t="str">
        <f ca="1">IF(OR(INDIRECT("'update Helper'!E"&amp;Q2087)="",F2087&lt;&gt;0,F2088&lt;&gt;0),IF(IFERROR((F2087/F2088),"")="","",(F2087/F2088)),INDIRECT("'update Helper'!E"&amp;Q2087)/100)</f>
        <v/>
      </c>
      <c r="H2087" s="539"/>
      <c r="I2087" s="578"/>
      <c r="J2087" s="532"/>
      <c r="K2087" s="126">
        <f ca="1">IF(AND(EXACT(C2087,C2085),C2085&lt;&gt;0),K2085+1,0)</f>
        <v>13</v>
      </c>
      <c r="L2087" s="126" t="str">
        <f t="shared" ref="L2087" ca="1" si="2427">IF(C2087&lt;&gt;"",C2087&amp;"-"&amp;K2087,"")</f>
        <v>TB/HIV-7.1 Percentage of people living with HIV currently enrolled on antiretroviral therapy who started TB preventive treatment (TPT) during the reporting period-13</v>
      </c>
      <c r="M2087" s="126" t="str">
        <f t="array" aca="1" ref="M2087" ca="1">IFERROR(IF(INDEX('Disaggregation Records'!$E$156:$E$517,MATCH(RIGHT(L2087,255),RIGHT('Disaggregation Records'!$D$156:$D$517,255),0))="","",INDEX('Disaggregation Records'!$E$156:$E$517,MATCH(RIGHT(L2087,255),RIGHT('Disaggregation Records'!$D$156:$D$517,255),0))),"")</f>
        <v/>
      </c>
      <c r="N2087" s="126" t="str">
        <f t="array" aca="1" ref="N2087" ca="1">IFERROR(IF(INDEX('Disaggregation Records'!$F$156:$F$517,MATCH(RIGHT(L2087,255),RIGHT('Disaggregation Records'!$D$156:$D$517,255),0))="","",INDEX('Disaggregation Records'!$F$156:$F$517,MATCH(RIGHT(L2087,255),RIGHT('Disaggregation Records'!$D$156:$D$517,255),0))),"")</f>
        <v/>
      </c>
      <c r="O2087" s="314" t="str">
        <f t="array" aca="1" ref="O2087" ca="1">IFERROR(IF(INDEX('Disaggregation Records'!$H$156:$H$517,MATCH(RIGHT(L2087,255),RIGHT('Disaggregation Records'!$D$156:$D$517,255),0))="","",INDEX('Disaggregation Records'!$H$156:$H$517,MATCH(RIGHT(L2087,255),RIGHT('Disaggregation Records'!$D$156:$D$517,255),0))),"")</f>
        <v/>
      </c>
      <c r="P2087" s="310"/>
      <c r="Q2087" s="310">
        <f t="shared" ref="Q2087" si="2428">Q2085+1</f>
        <v>1746</v>
      </c>
      <c r="R2087" s="314" t="str" cm="1">
        <f t="array" aca="1" ref="R2087" ca="1">IFERROR(IF(INDEX('Disaggregation Records'!$G$156:$G$517,MATCH(RIGHT(L2087,255),RIGHT('Disaggregation Records'!$D$156:$D$517,255),0))="","",INDEX('Disaggregation Records'!$G$156:$G$517,MATCH(RIGHT(L2087,255),RIGHT('Disaggregation Records'!$D$156:$D$517,255),0))),"")</f>
        <v/>
      </c>
    </row>
    <row r="2088" spans="1:18" ht="20.100000000000001" customHeight="1">
      <c r="A2088" s="126"/>
      <c r="B2088" s="571"/>
      <c r="C2088" s="573"/>
      <c r="D2088" s="575"/>
      <c r="E2088" s="575"/>
      <c r="F2088" s="128"/>
      <c r="G2088" s="577"/>
      <c r="H2088" s="540"/>
      <c r="I2088" s="579"/>
      <c r="J2088" s="533"/>
      <c r="L2088" s="126"/>
      <c r="N2088" s="126"/>
      <c r="O2088" s="314"/>
      <c r="P2088" s="310"/>
      <c r="Q2088" s="310"/>
      <c r="R2088" s="314" t="str" cm="1">
        <f t="array" ref="R2088">IFERROR(IF(INDEX('Disaggregation Records'!$G$156:$G$517,MATCH(RIGHT(L2088,255),RIGHT('Disaggregation Records'!$D$156:$D$517,255),0))="","",INDEX('Disaggregation Records'!$G$156:$G$517,MATCH(RIGHT(L2088,255),RIGHT('Disaggregation Records'!$D$156:$D$517,255),0))),"")</f>
        <v/>
      </c>
    </row>
    <row r="2089" spans="1:18" ht="20.100000000000001" customHeight="1">
      <c r="A2089" s="126" t="str">
        <f t="shared" ref="A2089:A2149" ca="1" si="2429">INDIRECT("'update Helper'!C"&amp;Q2089)</f>
        <v>a16Dm000000M3sMIAS</v>
      </c>
      <c r="B2089" s="570">
        <v>37</v>
      </c>
      <c r="C2089" s="572" t="str">
        <f ca="1">IFERROR(VLOOKUP(B2089,'Coverage Indicators - Section D'!$A$9:$AO$94,41,FALSE),"")</f>
        <v>TB/HIV-7.1 Percentage of people living with HIV currently enrolled on antiretroviral therapy who started TB preventive treatment (TPT) during the reporting period</v>
      </c>
      <c r="D2089" s="574" t="str">
        <f ca="1">M2089</f>
        <v/>
      </c>
      <c r="E2089" s="574" t="str">
        <f ca="1">N2089</f>
        <v/>
      </c>
      <c r="F2089" s="127"/>
      <c r="G2089" s="576" t="str">
        <f ca="1">IF(OR(INDIRECT("'update Helper'!E"&amp;Q2089)="",F2089&lt;&gt;0,F2090&lt;&gt;0),IF(IFERROR((F2089/F2090),"")="","",(F2089/F2090)),INDIRECT("'update Helper'!E"&amp;Q2089)/100)</f>
        <v/>
      </c>
      <c r="H2089" s="539"/>
      <c r="I2089" s="578"/>
      <c r="J2089" s="532"/>
      <c r="K2089" s="126">
        <f ca="1">IF(AND(EXACT(C2089,C2087),C2087&lt;&gt;0),K2087+1,0)</f>
        <v>14</v>
      </c>
      <c r="L2089" s="126" t="str">
        <f t="shared" ref="L2089" ca="1" si="2430">IF(C2089&lt;&gt;"",C2089&amp;"-"&amp;K2089,"")</f>
        <v>TB/HIV-7.1 Percentage of people living with HIV currently enrolled on antiretroviral therapy who started TB preventive treatment (TPT) during the reporting period-14</v>
      </c>
      <c r="M2089" s="126" t="str">
        <f t="array" aca="1" ref="M2089" ca="1">IFERROR(IF(INDEX('Disaggregation Records'!$E$156:$E$517,MATCH(RIGHT(L2089,255),RIGHT('Disaggregation Records'!$D$156:$D$517,255),0))="","",INDEX('Disaggregation Records'!$E$156:$E$517,MATCH(RIGHT(L2089,255),RIGHT('Disaggregation Records'!$D$156:$D$517,255),0))),"")</f>
        <v/>
      </c>
      <c r="N2089" s="126" t="str">
        <f t="array" aca="1" ref="N2089" ca="1">IFERROR(IF(INDEX('Disaggregation Records'!$F$156:$F$517,MATCH(RIGHT(L2089,255),RIGHT('Disaggregation Records'!$D$156:$D$517,255),0))="","",INDEX('Disaggregation Records'!$F$156:$F$517,MATCH(RIGHT(L2089,255),RIGHT('Disaggregation Records'!$D$156:$D$517,255),0))),"")</f>
        <v/>
      </c>
      <c r="O2089" s="314" t="str">
        <f t="array" aca="1" ref="O2089" ca="1">IFERROR(IF(INDEX('Disaggregation Records'!$H$156:$H$517,MATCH(RIGHT(L2089,255),RIGHT('Disaggregation Records'!$D$156:$D$517,255),0))="","",INDEX('Disaggregation Records'!$H$156:$H$517,MATCH(RIGHT(L2089,255),RIGHT('Disaggregation Records'!$D$156:$D$517,255),0))),"")</f>
        <v/>
      </c>
      <c r="P2089" s="314"/>
      <c r="Q2089" s="310">
        <f t="shared" ref="Q2089" si="2431">Q2087+1</f>
        <v>1747</v>
      </c>
      <c r="R2089" s="314" t="str" cm="1">
        <f t="array" aca="1" ref="R2089" ca="1">IFERROR(IF(INDEX('Disaggregation Records'!$G$156:$G$517,MATCH(RIGHT(L2089,255),RIGHT('Disaggregation Records'!$D$156:$D$517,255),0))="","",INDEX('Disaggregation Records'!$G$156:$G$517,MATCH(RIGHT(L2089,255),RIGHT('Disaggregation Records'!$D$156:$D$517,255),0))),"")</f>
        <v/>
      </c>
    </row>
    <row r="2090" spans="1:18" ht="20.100000000000001" customHeight="1">
      <c r="B2090" s="571"/>
      <c r="C2090" s="573"/>
      <c r="D2090" s="575"/>
      <c r="E2090" s="575"/>
      <c r="F2090" s="128"/>
      <c r="G2090" s="577"/>
      <c r="H2090" s="540"/>
      <c r="I2090" s="579"/>
      <c r="J2090" s="533"/>
      <c r="K2090" s="126"/>
      <c r="L2090" s="126"/>
      <c r="M2090" s="126"/>
      <c r="N2090" s="126"/>
      <c r="O2090" s="314"/>
      <c r="P2090" s="314"/>
      <c r="Q2090" s="310"/>
      <c r="R2090" s="314" t="str" cm="1">
        <f t="array" ref="R2090">IFERROR(IF(INDEX('Disaggregation Records'!$G$156:$G$517,MATCH(RIGHT(L2090,255),RIGHT('Disaggregation Records'!$D$156:$D$517,255),0))="","",INDEX('Disaggregation Records'!$G$156:$G$517,MATCH(RIGHT(L2090,255),RIGHT('Disaggregation Records'!$D$156:$D$517,255),0))),"")</f>
        <v/>
      </c>
    </row>
    <row r="2091" spans="1:18" ht="20.100000000000001" customHeight="1">
      <c r="A2091" s="126" t="str">
        <f t="shared" ref="A2091:A2151" ca="1" si="2432">INDIRECT("'update Helper'!C"&amp;Q2091)</f>
        <v>a16Dm000000M3sNIAS</v>
      </c>
      <c r="B2091" s="570">
        <v>37</v>
      </c>
      <c r="C2091" s="572" t="str">
        <f ca="1">IFERROR(VLOOKUP(B2091,'Coverage Indicators - Section D'!$A$9:$AO$94,41,FALSE),"")</f>
        <v>TB/HIV-7.1 Percentage of people living with HIV currently enrolled on antiretroviral therapy who started TB preventive treatment (TPT) during the reporting period</v>
      </c>
      <c r="D2091" s="574" t="str">
        <f ca="1">M2091</f>
        <v/>
      </c>
      <c r="E2091" s="574" t="str">
        <f ca="1">N2091</f>
        <v/>
      </c>
      <c r="F2091" s="127"/>
      <c r="G2091" s="576" t="str">
        <f ca="1">IF(OR(INDIRECT("'update Helper'!E"&amp;Q2091)="",F2091&lt;&gt;0,F2092&lt;&gt;0),IF(IFERROR((F2091/F2092),"")="","",(F2091/F2092)),INDIRECT("'update Helper'!E"&amp;Q2091)/100)</f>
        <v/>
      </c>
      <c r="H2091" s="539"/>
      <c r="I2091" s="578"/>
      <c r="J2091" s="532"/>
      <c r="K2091" s="126">
        <f ca="1">IF(AND(EXACT(C2091,C2089),C2089&lt;&gt;0),K2089+1,0)</f>
        <v>15</v>
      </c>
      <c r="L2091" s="126" t="str">
        <f t="shared" ref="L2091" ca="1" si="2433">IF(C2091&lt;&gt;"",C2091&amp;"-"&amp;K2091,"")</f>
        <v>TB/HIV-7.1 Percentage of people living with HIV currently enrolled on antiretroviral therapy who started TB preventive treatment (TPT) during the reporting period-15</v>
      </c>
      <c r="M2091" s="126" t="str">
        <f t="array" aca="1" ref="M2091" ca="1">IFERROR(IF(INDEX('Disaggregation Records'!$E$156:$E$517,MATCH(RIGHT(L2091,255),RIGHT('Disaggregation Records'!$D$156:$D$517,255),0))="","",INDEX('Disaggregation Records'!$E$156:$E$517,MATCH(RIGHT(L2091,255),RIGHT('Disaggregation Records'!$D$156:$D$517,255),0))),"")</f>
        <v/>
      </c>
      <c r="N2091" s="126" t="str">
        <f t="array" aca="1" ref="N2091" ca="1">IFERROR(IF(INDEX('Disaggregation Records'!$F$156:$F$517,MATCH(RIGHT(L2091,255),RIGHT('Disaggregation Records'!$D$156:$D$517,255),0))="","",INDEX('Disaggregation Records'!$F$156:$F$517,MATCH(RIGHT(L2091,255),RIGHT('Disaggregation Records'!$D$156:$D$517,255),0))),"")</f>
        <v/>
      </c>
      <c r="O2091" s="314" t="str">
        <f t="array" aca="1" ref="O2091" ca="1">IFERROR(IF(INDEX('Disaggregation Records'!$H$156:$H$517,MATCH(RIGHT(L2091,255),RIGHT('Disaggregation Records'!$D$156:$D$517,255),0))="","",INDEX('Disaggregation Records'!$H$156:$H$517,MATCH(RIGHT(L2091,255),RIGHT('Disaggregation Records'!$D$156:$D$517,255),0))),"")</f>
        <v/>
      </c>
      <c r="P2091" s="314"/>
      <c r="Q2091" s="310">
        <f t="shared" ref="Q2091" si="2434">Q2089+1</f>
        <v>1748</v>
      </c>
      <c r="R2091" s="314" t="str" cm="1">
        <f t="array" aca="1" ref="R2091" ca="1">IFERROR(IF(INDEX('Disaggregation Records'!$G$156:$G$517,MATCH(RIGHT(L2091,255),RIGHT('Disaggregation Records'!$D$156:$D$517,255),0))="","",INDEX('Disaggregation Records'!$G$156:$G$517,MATCH(RIGHT(L2091,255),RIGHT('Disaggregation Records'!$D$156:$D$517,255),0))),"")</f>
        <v/>
      </c>
    </row>
    <row r="2092" spans="1:18" ht="20.100000000000001" customHeight="1">
      <c r="A2092" s="126"/>
      <c r="B2092" s="571"/>
      <c r="C2092" s="573"/>
      <c r="D2092" s="575"/>
      <c r="E2092" s="575"/>
      <c r="F2092" s="128"/>
      <c r="G2092" s="577"/>
      <c r="H2092" s="540"/>
      <c r="I2092" s="579"/>
      <c r="J2092" s="533"/>
      <c r="K2092" s="126"/>
      <c r="L2092" s="126"/>
      <c r="M2092" s="126"/>
      <c r="N2092" s="126"/>
      <c r="O2092" s="314"/>
      <c r="P2092" s="314"/>
      <c r="Q2092" s="310"/>
      <c r="R2092" s="314" t="str" cm="1">
        <f t="array" ref="R2092">IFERROR(IF(INDEX('Disaggregation Records'!$G$156:$G$517,MATCH(RIGHT(L2092,255),RIGHT('Disaggregation Records'!$D$156:$D$517,255),0))="","",INDEX('Disaggregation Records'!$G$156:$G$517,MATCH(RIGHT(L2092,255),RIGHT('Disaggregation Records'!$D$156:$D$517,255),0))),"")</f>
        <v/>
      </c>
    </row>
    <row r="2093" spans="1:18" ht="20.100000000000001" customHeight="1">
      <c r="A2093" s="126" t="str">
        <f t="shared" ref="A2093:A2153" ca="1" si="2435">INDIRECT("'update Helper'!C"&amp;Q2093)</f>
        <v>a16Dm000000M3sOIAS</v>
      </c>
      <c r="B2093" s="570">
        <v>37</v>
      </c>
      <c r="C2093" s="572" t="str">
        <f ca="1">IFERROR(VLOOKUP(B2093,'Coverage Indicators - Section D'!$A$9:$AO$94,41,FALSE),"")</f>
        <v>TB/HIV-7.1 Percentage of people living with HIV currently enrolled on antiretroviral therapy who started TB preventive treatment (TPT) during the reporting period</v>
      </c>
      <c r="D2093" s="574" t="str">
        <f ca="1">M2093</f>
        <v/>
      </c>
      <c r="E2093" s="574" t="str">
        <f ca="1">N2093</f>
        <v/>
      </c>
      <c r="F2093" s="127"/>
      <c r="G2093" s="576" t="str">
        <f ca="1">IF(OR(INDIRECT("'update Helper'!E"&amp;Q2093)="",F2093&lt;&gt;0,F2094&lt;&gt;0),IF(IFERROR((F2093/F2094),"")="","",(F2093/F2094)),INDIRECT("'update Helper'!E"&amp;Q2093)/100)</f>
        <v/>
      </c>
      <c r="H2093" s="539"/>
      <c r="I2093" s="578"/>
      <c r="J2093" s="532"/>
      <c r="K2093" s="126">
        <f ca="1">IF(AND(EXACT(C2093,C2091),C2091&lt;&gt;0),K2091+1,0)</f>
        <v>16</v>
      </c>
      <c r="L2093" s="126" t="str">
        <f t="shared" ref="L2093" ca="1" si="2436">IF(C2093&lt;&gt;"",C2093&amp;"-"&amp;K2093,"")</f>
        <v>TB/HIV-7.1 Percentage of people living with HIV currently enrolled on antiretroviral therapy who started TB preventive treatment (TPT) during the reporting period-16</v>
      </c>
      <c r="M2093" s="126" t="str">
        <f t="array" aca="1" ref="M2093" ca="1">IFERROR(IF(INDEX('Disaggregation Records'!$E$156:$E$517,MATCH(RIGHT(L2093,255),RIGHT('Disaggregation Records'!$D$156:$D$517,255),0))="","",INDEX('Disaggregation Records'!$E$156:$E$517,MATCH(RIGHT(L2093,255),RIGHT('Disaggregation Records'!$D$156:$D$517,255),0))),"")</f>
        <v/>
      </c>
      <c r="N2093" s="126" t="str">
        <f t="array" aca="1" ref="N2093" ca="1">IFERROR(IF(INDEX('Disaggregation Records'!$F$156:$F$517,MATCH(RIGHT(L2093,255),RIGHT('Disaggregation Records'!$D$156:$D$517,255),0))="","",INDEX('Disaggregation Records'!$F$156:$F$517,MATCH(RIGHT(L2093,255),RIGHT('Disaggregation Records'!$D$156:$D$517,255),0))),"")</f>
        <v/>
      </c>
      <c r="O2093" s="314" t="str">
        <f t="array" aca="1" ref="O2093" ca="1">IFERROR(IF(INDEX('Disaggregation Records'!$H$156:$H$517,MATCH(RIGHT(L2093,255),RIGHT('Disaggregation Records'!$D$156:$D$517,255),0))="","",INDEX('Disaggregation Records'!$H$156:$H$517,MATCH(RIGHT(L2093,255),RIGHT('Disaggregation Records'!$D$156:$D$517,255),0))),"")</f>
        <v/>
      </c>
      <c r="P2093" s="310"/>
      <c r="Q2093" s="310">
        <f t="shared" ref="Q2093" si="2437">Q2091+1</f>
        <v>1749</v>
      </c>
      <c r="R2093" s="314" t="str" cm="1">
        <f t="array" aca="1" ref="R2093" ca="1">IFERROR(IF(INDEX('Disaggregation Records'!$G$156:$G$517,MATCH(RIGHT(L2093,255),RIGHT('Disaggregation Records'!$D$156:$D$517,255),0))="","",INDEX('Disaggregation Records'!$G$156:$G$517,MATCH(RIGHT(L2093,255),RIGHT('Disaggregation Records'!$D$156:$D$517,255),0))),"")</f>
        <v/>
      </c>
    </row>
    <row r="2094" spans="1:18" ht="20.100000000000001" customHeight="1">
      <c r="B2094" s="571"/>
      <c r="C2094" s="573"/>
      <c r="D2094" s="575"/>
      <c r="E2094" s="575"/>
      <c r="F2094" s="128"/>
      <c r="G2094" s="577"/>
      <c r="H2094" s="540"/>
      <c r="I2094" s="579"/>
      <c r="J2094" s="533"/>
      <c r="L2094" s="126"/>
      <c r="N2094" s="126"/>
      <c r="O2094" s="314"/>
      <c r="P2094" s="310"/>
      <c r="Q2094" s="310"/>
      <c r="R2094" s="314" t="str" cm="1">
        <f t="array" ref="R2094">IFERROR(IF(INDEX('Disaggregation Records'!$G$156:$G$517,MATCH(RIGHT(L2094,255),RIGHT('Disaggregation Records'!$D$156:$D$517,255),0))="","",INDEX('Disaggregation Records'!$G$156:$G$517,MATCH(RIGHT(L2094,255),RIGHT('Disaggregation Records'!$D$156:$D$517,255),0))),"")</f>
        <v/>
      </c>
    </row>
    <row r="2095" spans="1:18" ht="20.100000000000001" customHeight="1">
      <c r="A2095" s="126" t="str">
        <f t="shared" ref="A2095:A2155" ca="1" si="2438">INDIRECT("'update Helper'!C"&amp;Q2095)</f>
        <v>a16Dm000000M3sPIAS</v>
      </c>
      <c r="B2095" s="570">
        <v>37</v>
      </c>
      <c r="C2095" s="572" t="str">
        <f ca="1">IFERROR(VLOOKUP(B2095,'Coverage Indicators - Section D'!$A$9:$AO$94,41,FALSE),"")</f>
        <v>TB/HIV-7.1 Percentage of people living with HIV currently enrolled on antiretroviral therapy who started TB preventive treatment (TPT) during the reporting period</v>
      </c>
      <c r="D2095" s="574" t="str">
        <f ca="1">M2095</f>
        <v/>
      </c>
      <c r="E2095" s="574" t="str">
        <f ca="1">N2095</f>
        <v/>
      </c>
      <c r="F2095" s="127"/>
      <c r="G2095" s="576" t="str">
        <f ca="1">IF(OR(INDIRECT("'update Helper'!E"&amp;Q2095)="",F2095&lt;&gt;0,F2096&lt;&gt;0),IF(IFERROR((F2095/F2096),"")="","",(F2095/F2096)),INDIRECT("'update Helper'!E"&amp;Q2095)/100)</f>
        <v/>
      </c>
      <c r="H2095" s="539"/>
      <c r="I2095" s="578"/>
      <c r="J2095" s="532"/>
      <c r="K2095" s="126">
        <f ca="1">IF(AND(EXACT(C2095,C2093),C2093&lt;&gt;0),K2093+1,0)</f>
        <v>17</v>
      </c>
      <c r="L2095" s="126" t="str">
        <f t="shared" ref="L2095" ca="1" si="2439">IF(C2095&lt;&gt;"",C2095&amp;"-"&amp;K2095,"")</f>
        <v>TB/HIV-7.1 Percentage of people living with HIV currently enrolled on antiretroviral therapy who started TB preventive treatment (TPT) during the reporting period-17</v>
      </c>
      <c r="M2095" s="126" t="str">
        <f t="array" aca="1" ref="M2095" ca="1">IFERROR(IF(INDEX('Disaggregation Records'!$E$156:$E$517,MATCH(RIGHT(L2095,255),RIGHT('Disaggregation Records'!$D$156:$D$517,255),0))="","",INDEX('Disaggregation Records'!$E$156:$E$517,MATCH(RIGHT(L2095,255),RIGHT('Disaggregation Records'!$D$156:$D$517,255),0))),"")</f>
        <v/>
      </c>
      <c r="N2095" s="126" t="str">
        <f t="array" aca="1" ref="N2095" ca="1">IFERROR(IF(INDEX('Disaggregation Records'!$F$156:$F$517,MATCH(RIGHT(L2095,255),RIGHT('Disaggregation Records'!$D$156:$D$517,255),0))="","",INDEX('Disaggregation Records'!$F$156:$F$517,MATCH(RIGHT(L2095,255),RIGHT('Disaggregation Records'!$D$156:$D$517,255),0))),"")</f>
        <v/>
      </c>
      <c r="O2095" s="314" t="str">
        <f t="array" aca="1" ref="O2095" ca="1">IFERROR(IF(INDEX('Disaggregation Records'!$H$156:$H$517,MATCH(RIGHT(L2095,255),RIGHT('Disaggregation Records'!$D$156:$D$517,255),0))="","",INDEX('Disaggregation Records'!$H$156:$H$517,MATCH(RIGHT(L2095,255),RIGHT('Disaggregation Records'!$D$156:$D$517,255),0))),"")</f>
        <v/>
      </c>
      <c r="P2095" s="310"/>
      <c r="Q2095" s="310">
        <f t="shared" ref="Q2095" si="2440">Q2093+1</f>
        <v>1750</v>
      </c>
      <c r="R2095" s="314" t="str" cm="1">
        <f t="array" aca="1" ref="R2095" ca="1">IFERROR(IF(INDEX('Disaggregation Records'!$G$156:$G$517,MATCH(RIGHT(L2095,255),RIGHT('Disaggregation Records'!$D$156:$D$517,255),0))="","",INDEX('Disaggregation Records'!$G$156:$G$517,MATCH(RIGHT(L2095,255),RIGHT('Disaggregation Records'!$D$156:$D$517,255),0))),"")</f>
        <v/>
      </c>
    </row>
    <row r="2096" spans="1:18" ht="20.100000000000001" customHeight="1">
      <c r="A2096" s="126"/>
      <c r="B2096" s="571"/>
      <c r="C2096" s="573"/>
      <c r="D2096" s="575"/>
      <c r="E2096" s="575"/>
      <c r="F2096" s="128"/>
      <c r="G2096" s="577"/>
      <c r="H2096" s="540"/>
      <c r="I2096" s="579"/>
      <c r="J2096" s="533"/>
      <c r="L2096" s="126"/>
      <c r="N2096" s="126"/>
      <c r="O2096" s="314"/>
      <c r="P2096" s="310"/>
      <c r="Q2096" s="310"/>
      <c r="R2096" s="314" t="str" cm="1">
        <f t="array" ref="R2096">IFERROR(IF(INDEX('Disaggregation Records'!$G$156:$G$517,MATCH(RIGHT(L2096,255),RIGHT('Disaggregation Records'!$D$156:$D$517,255),0))="","",INDEX('Disaggregation Records'!$G$156:$G$517,MATCH(RIGHT(L2096,255),RIGHT('Disaggregation Records'!$D$156:$D$517,255),0))),"")</f>
        <v/>
      </c>
    </row>
    <row r="2097" spans="1:18" ht="20.100000000000001" customHeight="1">
      <c r="A2097" s="126" t="str">
        <f t="shared" ref="A2097:A2157" ca="1" si="2441">INDIRECT("'update Helper'!C"&amp;Q2097)</f>
        <v>a16Dm000000M3sQIAS</v>
      </c>
      <c r="B2097" s="570">
        <v>37</v>
      </c>
      <c r="C2097" s="572" t="str">
        <f ca="1">IFERROR(VLOOKUP(B2097,'Coverage Indicators - Section D'!$A$9:$AO$94,41,FALSE),"")</f>
        <v>TB/HIV-7.1 Percentage of people living with HIV currently enrolled on antiretroviral therapy who started TB preventive treatment (TPT) during the reporting period</v>
      </c>
      <c r="D2097" s="574" t="str">
        <f ca="1">M2097</f>
        <v/>
      </c>
      <c r="E2097" s="574" t="str">
        <f ca="1">N2097</f>
        <v/>
      </c>
      <c r="F2097" s="127"/>
      <c r="G2097" s="576" t="str">
        <f ca="1">IF(OR(INDIRECT("'update Helper'!E"&amp;Q2097)="",F2097&lt;&gt;0,F2098&lt;&gt;0),IF(IFERROR((F2097/F2098),"")="","",(F2097/F2098)),INDIRECT("'update Helper'!E"&amp;Q2097)/100)</f>
        <v/>
      </c>
      <c r="H2097" s="539"/>
      <c r="I2097" s="578"/>
      <c r="J2097" s="532"/>
      <c r="K2097" s="126">
        <f ca="1">IF(AND(EXACT(C2097,C2095),C2095&lt;&gt;0),K2095+1,0)</f>
        <v>18</v>
      </c>
      <c r="L2097" s="126" t="str">
        <f t="shared" ref="L2097" ca="1" si="2442">IF(C2097&lt;&gt;"",C2097&amp;"-"&amp;K2097,"")</f>
        <v>TB/HIV-7.1 Percentage of people living with HIV currently enrolled on antiretroviral therapy who started TB preventive treatment (TPT) during the reporting period-18</v>
      </c>
      <c r="M2097" s="126" t="str">
        <f t="array" aca="1" ref="M2097" ca="1">IFERROR(IF(INDEX('Disaggregation Records'!$E$156:$E$517,MATCH(RIGHT(L2097,255),RIGHT('Disaggregation Records'!$D$156:$D$517,255),0))="","",INDEX('Disaggregation Records'!$E$156:$E$517,MATCH(RIGHT(L2097,255),RIGHT('Disaggregation Records'!$D$156:$D$517,255),0))),"")</f>
        <v/>
      </c>
      <c r="N2097" s="126" t="str">
        <f t="array" aca="1" ref="N2097" ca="1">IFERROR(IF(INDEX('Disaggregation Records'!$F$156:$F$517,MATCH(RIGHT(L2097,255),RIGHT('Disaggregation Records'!$D$156:$D$517,255),0))="","",INDEX('Disaggregation Records'!$F$156:$F$517,MATCH(RIGHT(L2097,255),RIGHT('Disaggregation Records'!$D$156:$D$517,255),0))),"")</f>
        <v/>
      </c>
      <c r="O2097" s="314" t="str">
        <f t="array" aca="1" ref="O2097" ca="1">IFERROR(IF(INDEX('Disaggregation Records'!$H$156:$H$517,MATCH(RIGHT(L2097,255),RIGHT('Disaggregation Records'!$D$156:$D$517,255),0))="","",INDEX('Disaggregation Records'!$H$156:$H$517,MATCH(RIGHT(L2097,255),RIGHT('Disaggregation Records'!$D$156:$D$517,255),0))),"")</f>
        <v/>
      </c>
      <c r="P2097" s="310"/>
      <c r="Q2097" s="310">
        <f t="shared" ref="Q2097" si="2443">Q2095+1</f>
        <v>1751</v>
      </c>
      <c r="R2097" s="314" t="str" cm="1">
        <f t="array" aca="1" ref="R2097" ca="1">IFERROR(IF(INDEX('Disaggregation Records'!$G$156:$G$517,MATCH(RIGHT(L2097,255),RIGHT('Disaggregation Records'!$D$156:$D$517,255),0))="","",INDEX('Disaggregation Records'!$G$156:$G$517,MATCH(RIGHT(L2097,255),RIGHT('Disaggregation Records'!$D$156:$D$517,255),0))),"")</f>
        <v/>
      </c>
    </row>
    <row r="2098" spans="1:18" ht="20.100000000000001" customHeight="1">
      <c r="B2098" s="571"/>
      <c r="C2098" s="573"/>
      <c r="D2098" s="575"/>
      <c r="E2098" s="575"/>
      <c r="F2098" s="128"/>
      <c r="G2098" s="577"/>
      <c r="H2098" s="540"/>
      <c r="I2098" s="579"/>
      <c r="J2098" s="533"/>
      <c r="L2098" s="126"/>
      <c r="N2098" s="126"/>
      <c r="O2098" s="314"/>
      <c r="P2098" s="310"/>
      <c r="Q2098" s="310"/>
      <c r="R2098" s="314" t="str" cm="1">
        <f t="array" ref="R2098">IFERROR(IF(INDEX('Disaggregation Records'!$G$156:$G$517,MATCH(RIGHT(L2098,255),RIGHT('Disaggregation Records'!$D$156:$D$517,255),0))="","",INDEX('Disaggregation Records'!$G$156:$G$517,MATCH(RIGHT(L2098,255),RIGHT('Disaggregation Records'!$D$156:$D$517,255),0))),"")</f>
        <v/>
      </c>
    </row>
    <row r="2099" spans="1:18" ht="20.100000000000001" customHeight="1">
      <c r="A2099" s="126" t="str">
        <f t="shared" ref="A2099:A2159" ca="1" si="2444">INDIRECT("'update Helper'!C"&amp;Q2099)</f>
        <v>a16Dm000000M3sRIAS</v>
      </c>
      <c r="B2099" s="570">
        <v>37</v>
      </c>
      <c r="C2099" s="572" t="str">
        <f ca="1">IFERROR(VLOOKUP(B2099,'Coverage Indicators - Section D'!$A$9:$AO$94,41,FALSE),"")</f>
        <v>TB/HIV-7.1 Percentage of people living with HIV currently enrolled on antiretroviral therapy who started TB preventive treatment (TPT) during the reporting period</v>
      </c>
      <c r="D2099" s="574" t="str">
        <f ca="1">M2099</f>
        <v/>
      </c>
      <c r="E2099" s="574" t="str">
        <f ca="1">N2099</f>
        <v/>
      </c>
      <c r="F2099" s="127"/>
      <c r="G2099" s="576" t="str">
        <f ca="1">IF(OR(INDIRECT("'update Helper'!E"&amp;Q2099)="",F2099&lt;&gt;0,F2100&lt;&gt;0),IF(IFERROR((F2099/F2100),"")="","",(F2099/F2100)),INDIRECT("'update Helper'!E"&amp;Q2099)/100)</f>
        <v/>
      </c>
      <c r="H2099" s="539"/>
      <c r="I2099" s="578"/>
      <c r="J2099" s="532"/>
      <c r="K2099" s="126">
        <f ca="1">IF(AND(EXACT(C2099,C2097),C2097&lt;&gt;0),K2097+1,0)</f>
        <v>19</v>
      </c>
      <c r="L2099" s="126" t="str">
        <f t="shared" ref="L2099" ca="1" si="2445">IF(C2099&lt;&gt;"",C2099&amp;"-"&amp;K2099,"")</f>
        <v>TB/HIV-7.1 Percentage of people living with HIV currently enrolled on antiretroviral therapy who started TB preventive treatment (TPT) during the reporting period-19</v>
      </c>
      <c r="M2099" s="126" t="str">
        <f t="array" aca="1" ref="M2099" ca="1">IFERROR(IF(INDEX('Disaggregation Records'!$E$156:$E$517,MATCH(RIGHT(L2099,255),RIGHT('Disaggregation Records'!$D$156:$D$517,255),0))="","",INDEX('Disaggregation Records'!$E$156:$E$517,MATCH(RIGHT(L2099,255),RIGHT('Disaggregation Records'!$D$156:$D$517,255),0))),"")</f>
        <v/>
      </c>
      <c r="N2099" s="126" t="str">
        <f t="array" aca="1" ref="N2099" ca="1">IFERROR(IF(INDEX('Disaggregation Records'!$F$156:$F$517,MATCH(RIGHT(L2099,255),RIGHT('Disaggregation Records'!$D$156:$D$517,255),0))="","",INDEX('Disaggregation Records'!$F$156:$F$517,MATCH(RIGHT(L2099,255),RIGHT('Disaggregation Records'!$D$156:$D$517,255),0))),"")</f>
        <v/>
      </c>
      <c r="O2099" s="314" t="str">
        <f t="array" aca="1" ref="O2099" ca="1">IFERROR(IF(INDEX('Disaggregation Records'!$H$156:$H$517,MATCH(RIGHT(L2099,255),RIGHT('Disaggregation Records'!$D$156:$D$517,255),0))="","",INDEX('Disaggregation Records'!$H$156:$H$517,MATCH(RIGHT(L2099,255),RIGHT('Disaggregation Records'!$D$156:$D$517,255),0))),"")</f>
        <v/>
      </c>
      <c r="P2099" s="314"/>
      <c r="Q2099" s="310">
        <f t="shared" ref="Q2099" si="2446">Q2097+1</f>
        <v>1752</v>
      </c>
      <c r="R2099" s="314" t="str" cm="1">
        <f t="array" aca="1" ref="R2099" ca="1">IFERROR(IF(INDEX('Disaggregation Records'!$G$156:$G$517,MATCH(RIGHT(L2099,255),RIGHT('Disaggregation Records'!$D$156:$D$517,255),0))="","",INDEX('Disaggregation Records'!$G$156:$G$517,MATCH(RIGHT(L2099,255),RIGHT('Disaggregation Records'!$D$156:$D$517,255),0))),"")</f>
        <v/>
      </c>
    </row>
    <row r="2100" spans="1:18" ht="20.100000000000001" customHeight="1">
      <c r="A2100" s="126"/>
      <c r="B2100" s="571"/>
      <c r="C2100" s="573"/>
      <c r="D2100" s="575"/>
      <c r="E2100" s="575"/>
      <c r="F2100" s="128"/>
      <c r="G2100" s="577"/>
      <c r="H2100" s="540"/>
      <c r="I2100" s="579"/>
      <c r="J2100" s="533"/>
      <c r="K2100" s="126"/>
      <c r="L2100" s="126"/>
      <c r="M2100" s="126"/>
      <c r="N2100" s="126"/>
      <c r="O2100" s="314"/>
      <c r="P2100" s="314"/>
      <c r="Q2100" s="310"/>
      <c r="R2100" s="314" t="str" cm="1">
        <f t="array" ref="R2100">IFERROR(IF(INDEX('Disaggregation Records'!$G$156:$G$517,MATCH(RIGHT(L2100,255),RIGHT('Disaggregation Records'!$D$156:$D$517,255),0))="","",INDEX('Disaggregation Records'!$G$156:$G$517,MATCH(RIGHT(L2100,255),RIGHT('Disaggregation Records'!$D$156:$D$517,255),0))),"")</f>
        <v/>
      </c>
    </row>
    <row r="2101" spans="1:18" ht="20.100000000000001" customHeight="1">
      <c r="A2101" s="126" t="str">
        <f t="shared" ref="A2101:A2161" ca="1" si="2447">INDIRECT("'update Helper'!C"&amp;Q2101)</f>
        <v>a16Dm000000M3sSIAS</v>
      </c>
      <c r="B2101" s="570">
        <v>38</v>
      </c>
      <c r="C2101" s="572" t="str">
        <f ca="1">IFERROR(VLOOKUP(B2101,'Coverage Indicators - Section D'!$A$9:$AO$94,41,FALSE),"")</f>
        <v>RSSH/PP M&amp;E-1 Completeness of reporting: Percentage of expected monthly reports (for the reporting period) that are actually received</v>
      </c>
      <c r="D2101" s="574" t="str">
        <f ca="1">M2101</f>
        <v>Report type</v>
      </c>
      <c r="E2101" s="574" t="str">
        <f ca="1">N2101</f>
        <v>Notifiable diseases and event surveillance reports</v>
      </c>
      <c r="F2101" s="127"/>
      <c r="G2101" s="576" t="str">
        <f ca="1">IF(OR(INDIRECT("'update Helper'!E"&amp;Q2101)="",F2101&lt;&gt;0,F2102&lt;&gt;0),IF(IFERROR((F2101/F2102),"")="","",(F2101/F2102)),INDIRECT("'update Helper'!E"&amp;Q2101)/100)</f>
        <v/>
      </c>
      <c r="H2101" s="539"/>
      <c r="I2101" s="578"/>
      <c r="J2101" s="532"/>
      <c r="K2101" s="126">
        <f ca="1">IF(AND(EXACT(C2101,C2099),C2099&lt;&gt;0),K2099+1,0)</f>
        <v>0</v>
      </c>
      <c r="L2101" s="126" t="str">
        <f t="shared" ref="L2101" ca="1" si="2448">IF(C2101&lt;&gt;"",C2101&amp;"-"&amp;K2101,"")</f>
        <v>RSSH/PP M&amp;E-1 Completeness of reporting: Percentage of expected monthly reports (for the reporting period) that are actually received-0</v>
      </c>
      <c r="M2101" s="126" t="str">
        <f t="array" aca="1" ref="M2101" ca="1">IFERROR(IF(INDEX('Disaggregation Records'!$E$156:$E$517,MATCH(RIGHT(L2101,255),RIGHT('Disaggregation Records'!$D$156:$D$517,255),0))="","",INDEX('Disaggregation Records'!$E$156:$E$517,MATCH(RIGHT(L2101,255),RIGHT('Disaggregation Records'!$D$156:$D$517,255),0))),"")</f>
        <v>Report type</v>
      </c>
      <c r="N2101" s="126" t="str">
        <f t="array" aca="1" ref="N2101" ca="1">IFERROR(IF(INDEX('Disaggregation Records'!$F$156:$F$517,MATCH(RIGHT(L2101,255),RIGHT('Disaggregation Records'!$D$156:$D$517,255),0))="","",INDEX('Disaggregation Records'!$F$156:$F$517,MATCH(RIGHT(L2101,255),RIGHT('Disaggregation Records'!$D$156:$D$517,255),0))),"")</f>
        <v>Notifiable diseases and event surveillance reports</v>
      </c>
      <c r="O2101" s="314" t="str">
        <f t="array" aca="1" ref="O2101" ca="1">IFERROR(IF(INDEX('Disaggregation Records'!$H$156:$H$517,MATCH(RIGHT(L2101,255),RIGHT('Disaggregation Records'!$D$156:$D$517,255),0))="","",INDEX('Disaggregation Records'!$H$156:$H$517,MATCH(RIGHT(L2101,255),RIGHT('Disaggregation Records'!$D$156:$D$517,255),0))),"")</f>
        <v>IDR-01499</v>
      </c>
      <c r="P2101" s="314"/>
      <c r="Q2101" s="310">
        <f t="shared" ref="Q2101" si="2449">Q2099+1</f>
        <v>1753</v>
      </c>
      <c r="R2101" s="314" t="str" cm="1">
        <f t="array" aca="1" ref="R2101" ca="1">IFERROR(IF(INDEX('Disaggregation Records'!$G$156:$G$517,MATCH(RIGHT(L2101,255),RIGHT('Disaggregation Records'!$D$156:$D$517,255),0))="","",INDEX('Disaggregation Records'!$G$156:$G$517,MATCH(RIGHT(L2101,255),RIGHT('Disaggregation Records'!$D$156:$D$517,255),0))),"")</f>
        <v>a1LDm000000Cb6vMAC</v>
      </c>
    </row>
    <row r="2102" spans="1:18" ht="20.100000000000001" customHeight="1">
      <c r="B2102" s="571"/>
      <c r="C2102" s="573"/>
      <c r="D2102" s="575"/>
      <c r="E2102" s="575"/>
      <c r="F2102" s="128"/>
      <c r="G2102" s="577"/>
      <c r="H2102" s="540"/>
      <c r="I2102" s="579"/>
      <c r="J2102" s="533"/>
      <c r="K2102" s="126"/>
      <c r="L2102" s="126"/>
      <c r="M2102" s="126"/>
      <c r="N2102" s="126"/>
      <c r="O2102" s="314"/>
      <c r="P2102" s="314"/>
      <c r="Q2102" s="310"/>
      <c r="R2102" s="314" t="str" cm="1">
        <f t="array" ref="R2102">IFERROR(IF(INDEX('Disaggregation Records'!$G$156:$G$517,MATCH(RIGHT(L2102,255),RIGHT('Disaggregation Records'!$D$156:$D$517,255),0))="","",INDEX('Disaggregation Records'!$G$156:$G$517,MATCH(RIGHT(L2102,255),RIGHT('Disaggregation Records'!$D$156:$D$517,255),0))),"")</f>
        <v/>
      </c>
    </row>
    <row r="2103" spans="1:18" ht="20.100000000000001" customHeight="1">
      <c r="A2103" s="126" t="str">
        <f t="shared" ref="A2103:A2163" ca="1" si="2450">INDIRECT("'update Helper'!C"&amp;Q2103)</f>
        <v>a16Dm000000M3sTIAS</v>
      </c>
      <c r="B2103" s="570">
        <v>38</v>
      </c>
      <c r="C2103" s="572" t="str">
        <f ca="1">IFERROR(VLOOKUP(B2103,'Coverage Indicators - Section D'!$A$9:$AO$94,41,FALSE),"")</f>
        <v>RSSH/PP M&amp;E-1 Completeness of reporting: Percentage of expected monthly reports (for the reporting period) that are actually received</v>
      </c>
      <c r="D2103" s="574" t="str">
        <f ca="1">M2103</f>
        <v>Provider type</v>
      </c>
      <c r="E2103" s="574" t="str">
        <f ca="1">N2103</f>
        <v>Community</v>
      </c>
      <c r="F2103" s="127"/>
      <c r="G2103" s="576" t="str">
        <f ca="1">IF(OR(INDIRECT("'update Helper'!E"&amp;Q2103)="",F2103&lt;&gt;0,F2104&lt;&gt;0),IF(IFERROR((F2103/F2104),"")="","",(F2103/F2104)),INDIRECT("'update Helper'!E"&amp;Q2103)/100)</f>
        <v/>
      </c>
      <c r="H2103" s="539"/>
      <c r="I2103" s="578"/>
      <c r="J2103" s="532"/>
      <c r="K2103" s="126">
        <f ca="1">IF(AND(EXACT(C2103,C2101),C2101&lt;&gt;0),K2101+1,0)</f>
        <v>1</v>
      </c>
      <c r="L2103" s="126" t="str">
        <f t="shared" ref="L2103" ca="1" si="2451">IF(C2103&lt;&gt;"",C2103&amp;"-"&amp;K2103,"")</f>
        <v>RSSH/PP M&amp;E-1 Completeness of reporting: Percentage of expected monthly reports (for the reporting period) that are actually received-1</v>
      </c>
      <c r="M2103" s="126" t="str">
        <f t="array" aca="1" ref="M2103" ca="1">IFERROR(IF(INDEX('Disaggregation Records'!$E$156:$E$517,MATCH(RIGHT(L2103,255),RIGHT('Disaggregation Records'!$D$156:$D$517,255),0))="","",INDEX('Disaggregation Records'!$E$156:$E$517,MATCH(RIGHT(L2103,255),RIGHT('Disaggregation Records'!$D$156:$D$517,255),0))),"")</f>
        <v>Provider type</v>
      </c>
      <c r="N2103" s="126" t="str">
        <f t="array" aca="1" ref="N2103" ca="1">IFERROR(IF(INDEX('Disaggregation Records'!$F$156:$F$517,MATCH(RIGHT(L2103,255),RIGHT('Disaggregation Records'!$D$156:$D$517,255),0))="","",INDEX('Disaggregation Records'!$F$156:$F$517,MATCH(RIGHT(L2103,255),RIGHT('Disaggregation Records'!$D$156:$D$517,255),0))),"")</f>
        <v>Community</v>
      </c>
      <c r="O2103" s="314" t="str">
        <f t="array" aca="1" ref="O2103" ca="1">IFERROR(IF(INDEX('Disaggregation Records'!$H$156:$H$517,MATCH(RIGHT(L2103,255),RIGHT('Disaggregation Records'!$D$156:$D$517,255),0))="","",INDEX('Disaggregation Records'!$H$156:$H$517,MATCH(RIGHT(L2103,255),RIGHT('Disaggregation Records'!$D$156:$D$517,255),0))),"")</f>
        <v>IDR-01498</v>
      </c>
      <c r="P2103" s="310"/>
      <c r="Q2103" s="310">
        <f t="shared" ref="Q2103" si="2452">Q2101+1</f>
        <v>1754</v>
      </c>
      <c r="R2103" s="314" t="str" cm="1">
        <f t="array" aca="1" ref="R2103" ca="1">IFERROR(IF(INDEX('Disaggregation Records'!$G$156:$G$517,MATCH(RIGHT(L2103,255),RIGHT('Disaggregation Records'!$D$156:$D$517,255),0))="","",INDEX('Disaggregation Records'!$G$156:$G$517,MATCH(RIGHT(L2103,255),RIGHT('Disaggregation Records'!$D$156:$D$517,255),0))),"")</f>
        <v>a1LDm000000Cb6uMAC</v>
      </c>
    </row>
    <row r="2104" spans="1:18" ht="20.100000000000001" customHeight="1">
      <c r="A2104" s="126"/>
      <c r="B2104" s="571"/>
      <c r="C2104" s="573"/>
      <c r="D2104" s="575"/>
      <c r="E2104" s="575"/>
      <c r="F2104" s="128"/>
      <c r="G2104" s="577"/>
      <c r="H2104" s="540"/>
      <c r="I2104" s="579"/>
      <c r="J2104" s="533"/>
      <c r="L2104" s="126"/>
      <c r="N2104" s="126"/>
      <c r="O2104" s="314"/>
      <c r="P2104" s="310"/>
      <c r="Q2104" s="310"/>
      <c r="R2104" s="314" t="str" cm="1">
        <f t="array" ref="R2104">IFERROR(IF(INDEX('Disaggregation Records'!$G$156:$G$517,MATCH(RIGHT(L2104,255),RIGHT('Disaggregation Records'!$D$156:$D$517,255),0))="","",INDEX('Disaggregation Records'!$G$156:$G$517,MATCH(RIGHT(L2104,255),RIGHT('Disaggregation Records'!$D$156:$D$517,255),0))),"")</f>
        <v/>
      </c>
    </row>
    <row r="2105" spans="1:18" ht="20.100000000000001" customHeight="1">
      <c r="A2105" s="126" t="str">
        <f t="shared" ref="A2105:A2165" ca="1" si="2453">INDIRECT("'update Helper'!C"&amp;Q2105)</f>
        <v>a16Dm000000M3sUIAS</v>
      </c>
      <c r="B2105" s="570">
        <v>38</v>
      </c>
      <c r="C2105" s="572" t="str">
        <f ca="1">IFERROR(VLOOKUP(B2105,'Coverage Indicators - Section D'!$A$9:$AO$94,41,FALSE),"")</f>
        <v>RSSH/PP M&amp;E-1 Completeness of reporting: Percentage of expected monthly reports (for the reporting period) that are actually received</v>
      </c>
      <c r="D2105" s="574" t="str">
        <f ca="1">M2105</f>
        <v>Report type</v>
      </c>
      <c r="E2105" s="574" t="str">
        <f ca="1">N2105</f>
        <v>Integrated reports</v>
      </c>
      <c r="F2105" s="127"/>
      <c r="G2105" s="576" t="str">
        <f ca="1">IF(OR(INDIRECT("'update Helper'!E"&amp;Q2105)="",F2105&lt;&gt;0,F2106&lt;&gt;0),IF(IFERROR((F2105/F2106),"")="","",(F2105/F2106)),INDIRECT("'update Helper'!E"&amp;Q2105)/100)</f>
        <v/>
      </c>
      <c r="H2105" s="539"/>
      <c r="I2105" s="578"/>
      <c r="J2105" s="532"/>
      <c r="K2105" s="126">
        <f ca="1">IF(AND(EXACT(C2105,C2103),C2103&lt;&gt;0),K2103+1,0)</f>
        <v>2</v>
      </c>
      <c r="L2105" s="126" t="str">
        <f t="shared" ref="L2105" ca="1" si="2454">IF(C2105&lt;&gt;"",C2105&amp;"-"&amp;K2105,"")</f>
        <v>RSSH/PP M&amp;E-1 Completeness of reporting: Percentage of expected monthly reports (for the reporting period) that are actually received-2</v>
      </c>
      <c r="M2105" s="126" t="str">
        <f t="array" aca="1" ref="M2105" ca="1">IFERROR(IF(INDEX('Disaggregation Records'!$E$156:$E$517,MATCH(RIGHT(L2105,255),RIGHT('Disaggregation Records'!$D$156:$D$517,255),0))="","",INDEX('Disaggregation Records'!$E$156:$E$517,MATCH(RIGHT(L2105,255),RIGHT('Disaggregation Records'!$D$156:$D$517,255),0))),"")</f>
        <v>Report type</v>
      </c>
      <c r="N2105" s="126" t="str">
        <f t="array" aca="1" ref="N2105" ca="1">IFERROR(IF(INDEX('Disaggregation Records'!$F$156:$F$517,MATCH(RIGHT(L2105,255),RIGHT('Disaggregation Records'!$D$156:$D$517,255),0))="","",INDEX('Disaggregation Records'!$F$156:$F$517,MATCH(RIGHT(L2105,255),RIGHT('Disaggregation Records'!$D$156:$D$517,255),0))),"")</f>
        <v>Integrated reports</v>
      </c>
      <c r="O2105" s="314" t="str">
        <f t="array" aca="1" ref="O2105" ca="1">IFERROR(IF(INDEX('Disaggregation Records'!$H$156:$H$517,MATCH(RIGHT(L2105,255),RIGHT('Disaggregation Records'!$D$156:$D$517,255),0))="","",INDEX('Disaggregation Records'!$H$156:$H$517,MATCH(RIGHT(L2105,255),RIGHT('Disaggregation Records'!$D$156:$D$517,255),0))),"")</f>
        <v>IDR-01497</v>
      </c>
      <c r="P2105" s="310"/>
      <c r="Q2105" s="310">
        <f t="shared" ref="Q2105" si="2455">Q2103+1</f>
        <v>1755</v>
      </c>
      <c r="R2105" s="314" t="str" cm="1">
        <f t="array" aca="1" ref="R2105" ca="1">IFERROR(IF(INDEX('Disaggregation Records'!$G$156:$G$517,MATCH(RIGHT(L2105,255),RIGHT('Disaggregation Records'!$D$156:$D$517,255),0))="","",INDEX('Disaggregation Records'!$G$156:$G$517,MATCH(RIGHT(L2105,255),RIGHT('Disaggregation Records'!$D$156:$D$517,255),0))),"")</f>
        <v>a1LDm000000Cb6tMAC</v>
      </c>
    </row>
    <row r="2106" spans="1:18" ht="20.100000000000001" customHeight="1">
      <c r="B2106" s="571"/>
      <c r="C2106" s="573"/>
      <c r="D2106" s="575"/>
      <c r="E2106" s="575"/>
      <c r="F2106" s="128"/>
      <c r="G2106" s="577"/>
      <c r="H2106" s="540"/>
      <c r="I2106" s="579"/>
      <c r="J2106" s="533"/>
      <c r="L2106" s="126"/>
      <c r="N2106" s="126"/>
      <c r="O2106" s="314"/>
      <c r="P2106" s="310"/>
      <c r="Q2106" s="310"/>
      <c r="R2106" s="314" t="str" cm="1">
        <f t="array" ref="R2106">IFERROR(IF(INDEX('Disaggregation Records'!$G$156:$G$517,MATCH(RIGHT(L2106,255),RIGHT('Disaggregation Records'!$D$156:$D$517,255),0))="","",INDEX('Disaggregation Records'!$G$156:$G$517,MATCH(RIGHT(L2106,255),RIGHT('Disaggregation Records'!$D$156:$D$517,255),0))),"")</f>
        <v/>
      </c>
    </row>
    <row r="2107" spans="1:18" ht="20.100000000000001" customHeight="1">
      <c r="A2107" s="126" t="str">
        <f t="shared" ref="A2107:A2167" ca="1" si="2456">INDIRECT("'update Helper'!C"&amp;Q2107)</f>
        <v>a16Dm000000M3sVIAS</v>
      </c>
      <c r="B2107" s="570">
        <v>38</v>
      </c>
      <c r="C2107" s="572" t="str">
        <f ca="1">IFERROR(VLOOKUP(B2107,'Coverage Indicators - Section D'!$A$9:$AO$94,41,FALSE),"")</f>
        <v>RSSH/PP M&amp;E-1 Completeness of reporting: Percentage of expected monthly reports (for the reporting period) that are actually received</v>
      </c>
      <c r="D2107" s="574" t="str">
        <f ca="1">M2107</f>
        <v>Report type</v>
      </c>
      <c r="E2107" s="574" t="str">
        <f ca="1">N2107</f>
        <v>Malaria reports</v>
      </c>
      <c r="F2107" s="127"/>
      <c r="G2107" s="576" t="str">
        <f ca="1">IF(OR(INDIRECT("'update Helper'!E"&amp;Q2107)="",F2107&lt;&gt;0,F2108&lt;&gt;0),IF(IFERROR((F2107/F2108),"")="","",(F2107/F2108)),INDIRECT("'update Helper'!E"&amp;Q2107)/100)</f>
        <v/>
      </c>
      <c r="H2107" s="539"/>
      <c r="I2107" s="578"/>
      <c r="J2107" s="532"/>
      <c r="K2107" s="126">
        <f ca="1">IF(AND(EXACT(C2107,C2105),C2105&lt;&gt;0),K2105+1,0)</f>
        <v>3</v>
      </c>
      <c r="L2107" s="126" t="str">
        <f t="shared" ref="L2107" ca="1" si="2457">IF(C2107&lt;&gt;"",C2107&amp;"-"&amp;K2107,"")</f>
        <v>RSSH/PP M&amp;E-1 Completeness of reporting: Percentage of expected monthly reports (for the reporting period) that are actually received-3</v>
      </c>
      <c r="M2107" s="126" t="str">
        <f t="array" aca="1" ref="M2107" ca="1">IFERROR(IF(INDEX('Disaggregation Records'!$E$156:$E$517,MATCH(RIGHT(L2107,255),RIGHT('Disaggregation Records'!$D$156:$D$517,255),0))="","",INDEX('Disaggregation Records'!$E$156:$E$517,MATCH(RIGHT(L2107,255),RIGHT('Disaggregation Records'!$D$156:$D$517,255),0))),"")</f>
        <v>Report type</v>
      </c>
      <c r="N2107" s="126" t="str">
        <f t="array" aca="1" ref="N2107" ca="1">IFERROR(IF(INDEX('Disaggregation Records'!$F$156:$F$517,MATCH(RIGHT(L2107,255),RIGHT('Disaggregation Records'!$D$156:$D$517,255),0))="","",INDEX('Disaggregation Records'!$F$156:$F$517,MATCH(RIGHT(L2107,255),RIGHT('Disaggregation Records'!$D$156:$D$517,255),0))),"")</f>
        <v>Malaria reports</v>
      </c>
      <c r="O2107" s="314" t="str">
        <f t="array" aca="1" ref="O2107" ca="1">IFERROR(IF(INDEX('Disaggregation Records'!$H$156:$H$517,MATCH(RIGHT(L2107,255),RIGHT('Disaggregation Records'!$D$156:$D$517,255),0))="","",INDEX('Disaggregation Records'!$H$156:$H$517,MATCH(RIGHT(L2107,255),RIGHT('Disaggregation Records'!$D$156:$D$517,255),0))),"")</f>
        <v>IDR-01496</v>
      </c>
      <c r="P2107" s="310"/>
      <c r="Q2107" s="310">
        <f t="shared" ref="Q2107" si="2458">Q2105+1</f>
        <v>1756</v>
      </c>
      <c r="R2107" s="314" t="str" cm="1">
        <f t="array" aca="1" ref="R2107" ca="1">IFERROR(IF(INDEX('Disaggregation Records'!$G$156:$G$517,MATCH(RIGHT(L2107,255),RIGHT('Disaggregation Records'!$D$156:$D$517,255),0))="","",INDEX('Disaggregation Records'!$G$156:$G$517,MATCH(RIGHT(L2107,255),RIGHT('Disaggregation Records'!$D$156:$D$517,255),0))),"")</f>
        <v>a1LDm000000Cb6sMAC</v>
      </c>
    </row>
    <row r="2108" spans="1:18" ht="20.100000000000001" customHeight="1">
      <c r="A2108" s="126"/>
      <c r="B2108" s="571"/>
      <c r="C2108" s="573"/>
      <c r="D2108" s="575"/>
      <c r="E2108" s="575"/>
      <c r="F2108" s="128"/>
      <c r="G2108" s="577"/>
      <c r="H2108" s="540"/>
      <c r="I2108" s="579"/>
      <c r="J2108" s="533"/>
      <c r="L2108" s="126"/>
      <c r="N2108" s="126"/>
      <c r="O2108" s="314"/>
      <c r="P2108" s="310"/>
      <c r="Q2108" s="310"/>
      <c r="R2108" s="314" t="str" cm="1">
        <f t="array" ref="R2108">IFERROR(IF(INDEX('Disaggregation Records'!$G$156:$G$517,MATCH(RIGHT(L2108,255),RIGHT('Disaggregation Records'!$D$156:$D$517,255),0))="","",INDEX('Disaggregation Records'!$G$156:$G$517,MATCH(RIGHT(L2108,255),RIGHT('Disaggregation Records'!$D$156:$D$517,255),0))),"")</f>
        <v/>
      </c>
    </row>
    <row r="2109" spans="1:18" ht="20.100000000000001" customHeight="1">
      <c r="A2109" s="126" t="str">
        <f t="shared" ref="A2109:A2169" ca="1" si="2459">INDIRECT("'update Helper'!C"&amp;Q2109)</f>
        <v>a16Dm000000M3sWIAS</v>
      </c>
      <c r="B2109" s="570">
        <v>38</v>
      </c>
      <c r="C2109" s="572" t="str">
        <f ca="1">IFERROR(VLOOKUP(B2109,'Coverage Indicators - Section D'!$A$9:$AO$94,41,FALSE),"")</f>
        <v>RSSH/PP M&amp;E-1 Completeness of reporting: Percentage of expected monthly reports (for the reporting period) that are actually received</v>
      </c>
      <c r="D2109" s="574" t="str">
        <f ca="1">M2109</f>
        <v>Provider type</v>
      </c>
      <c r="E2109" s="574" t="str">
        <f ca="1">N2109</f>
        <v>Private</v>
      </c>
      <c r="F2109" s="127"/>
      <c r="G2109" s="576" t="str">
        <f ca="1">IF(OR(INDIRECT("'update Helper'!E"&amp;Q2109)="",F2109&lt;&gt;0,F2110&lt;&gt;0),IF(IFERROR((F2109/F2110),"")="","",(F2109/F2110)),INDIRECT("'update Helper'!E"&amp;Q2109)/100)</f>
        <v/>
      </c>
      <c r="H2109" s="539"/>
      <c r="I2109" s="578"/>
      <c r="J2109" s="532"/>
      <c r="K2109" s="126">
        <f ca="1">IF(AND(EXACT(C2109,C2107),C2107&lt;&gt;0),K2107+1,0)</f>
        <v>4</v>
      </c>
      <c r="L2109" s="126" t="str">
        <f t="shared" ref="L2109" ca="1" si="2460">IF(C2109&lt;&gt;"",C2109&amp;"-"&amp;K2109,"")</f>
        <v>RSSH/PP M&amp;E-1 Completeness of reporting: Percentage of expected monthly reports (for the reporting period) that are actually received-4</v>
      </c>
      <c r="M2109" s="126" t="str">
        <f t="array" aca="1" ref="M2109" ca="1">IFERROR(IF(INDEX('Disaggregation Records'!$E$156:$E$517,MATCH(RIGHT(L2109,255),RIGHT('Disaggregation Records'!$D$156:$D$517,255),0))="","",INDEX('Disaggregation Records'!$E$156:$E$517,MATCH(RIGHT(L2109,255),RIGHT('Disaggregation Records'!$D$156:$D$517,255),0))),"")</f>
        <v>Provider type</v>
      </c>
      <c r="N2109" s="126" t="str">
        <f t="array" aca="1" ref="N2109" ca="1">IFERROR(IF(INDEX('Disaggregation Records'!$F$156:$F$517,MATCH(RIGHT(L2109,255),RIGHT('Disaggregation Records'!$D$156:$D$517,255),0))="","",INDEX('Disaggregation Records'!$F$156:$F$517,MATCH(RIGHT(L2109,255),RIGHT('Disaggregation Records'!$D$156:$D$517,255),0))),"")</f>
        <v>Private</v>
      </c>
      <c r="O2109" s="314" t="str">
        <f t="array" aca="1" ref="O2109" ca="1">IFERROR(IF(INDEX('Disaggregation Records'!$H$156:$H$517,MATCH(RIGHT(L2109,255),RIGHT('Disaggregation Records'!$D$156:$D$517,255),0))="","",INDEX('Disaggregation Records'!$H$156:$H$517,MATCH(RIGHT(L2109,255),RIGHT('Disaggregation Records'!$D$156:$D$517,255),0))),"")</f>
        <v>IDR-01495</v>
      </c>
      <c r="P2109" s="314"/>
      <c r="Q2109" s="310">
        <f t="shared" ref="Q2109" si="2461">Q2107+1</f>
        <v>1757</v>
      </c>
      <c r="R2109" s="314" t="str" cm="1">
        <f t="array" aca="1" ref="R2109" ca="1">IFERROR(IF(INDEX('Disaggregation Records'!$G$156:$G$517,MATCH(RIGHT(L2109,255),RIGHT('Disaggregation Records'!$D$156:$D$517,255),0))="","",INDEX('Disaggregation Records'!$G$156:$G$517,MATCH(RIGHT(L2109,255),RIGHT('Disaggregation Records'!$D$156:$D$517,255),0))),"")</f>
        <v>a1LDm000000Cb6rMAC</v>
      </c>
    </row>
    <row r="2110" spans="1:18" ht="20.100000000000001" customHeight="1">
      <c r="B2110" s="571"/>
      <c r="C2110" s="573"/>
      <c r="D2110" s="575"/>
      <c r="E2110" s="575"/>
      <c r="F2110" s="128"/>
      <c r="G2110" s="577"/>
      <c r="H2110" s="540"/>
      <c r="I2110" s="579"/>
      <c r="J2110" s="533"/>
      <c r="K2110" s="126"/>
      <c r="L2110" s="126"/>
      <c r="M2110" s="126"/>
      <c r="N2110" s="126"/>
      <c r="O2110" s="314"/>
      <c r="P2110" s="314"/>
      <c r="Q2110" s="310"/>
      <c r="R2110" s="314" t="str" cm="1">
        <f t="array" ref="R2110">IFERROR(IF(INDEX('Disaggregation Records'!$G$156:$G$517,MATCH(RIGHT(L2110,255),RIGHT('Disaggregation Records'!$D$156:$D$517,255),0))="","",INDEX('Disaggregation Records'!$G$156:$G$517,MATCH(RIGHT(L2110,255),RIGHT('Disaggregation Records'!$D$156:$D$517,255),0))),"")</f>
        <v/>
      </c>
    </row>
    <row r="2111" spans="1:18" ht="20.100000000000001" customHeight="1">
      <c r="A2111" s="126" t="str">
        <f t="shared" ref="A2111:A2171" ca="1" si="2462">INDIRECT("'update Helper'!C"&amp;Q2111)</f>
        <v>a16Dm000000M3sXIAS</v>
      </c>
      <c r="B2111" s="570">
        <v>38</v>
      </c>
      <c r="C2111" s="572" t="str">
        <f ca="1">IFERROR(VLOOKUP(B2111,'Coverage Indicators - Section D'!$A$9:$AO$94,41,FALSE),"")</f>
        <v>RSSH/PP M&amp;E-1 Completeness of reporting: Percentage of expected monthly reports (for the reporting period) that are actually received</v>
      </c>
      <c r="D2111" s="574" t="str">
        <f ca="1">M2111</f>
        <v>Report type</v>
      </c>
      <c r="E2111" s="574" t="str">
        <f ca="1">N2111</f>
        <v>TB reports</v>
      </c>
      <c r="F2111" s="127"/>
      <c r="G2111" s="576" t="str">
        <f ca="1">IF(OR(INDIRECT("'update Helper'!E"&amp;Q2111)="",F2111&lt;&gt;0,F2112&lt;&gt;0),IF(IFERROR((F2111/F2112),"")="","",(F2111/F2112)),INDIRECT("'update Helper'!E"&amp;Q2111)/100)</f>
        <v/>
      </c>
      <c r="H2111" s="539"/>
      <c r="I2111" s="578"/>
      <c r="J2111" s="532"/>
      <c r="K2111" s="126">
        <f ca="1">IF(AND(EXACT(C2111,C2109),C2109&lt;&gt;0),K2109+1,0)</f>
        <v>5</v>
      </c>
      <c r="L2111" s="126" t="str">
        <f t="shared" ref="L2111" ca="1" si="2463">IF(C2111&lt;&gt;"",C2111&amp;"-"&amp;K2111,"")</f>
        <v>RSSH/PP M&amp;E-1 Completeness of reporting: Percentage of expected monthly reports (for the reporting period) that are actually received-5</v>
      </c>
      <c r="M2111" s="126" t="str">
        <f t="array" aca="1" ref="M2111" ca="1">IFERROR(IF(INDEX('Disaggregation Records'!$E$156:$E$517,MATCH(RIGHT(L2111,255),RIGHT('Disaggregation Records'!$D$156:$D$517,255),0))="","",INDEX('Disaggregation Records'!$E$156:$E$517,MATCH(RIGHT(L2111,255),RIGHT('Disaggregation Records'!$D$156:$D$517,255),0))),"")</f>
        <v>Report type</v>
      </c>
      <c r="N2111" s="126" t="str">
        <f t="array" aca="1" ref="N2111" ca="1">IFERROR(IF(INDEX('Disaggregation Records'!$F$156:$F$517,MATCH(RIGHT(L2111,255),RIGHT('Disaggregation Records'!$D$156:$D$517,255),0))="","",INDEX('Disaggregation Records'!$F$156:$F$517,MATCH(RIGHT(L2111,255),RIGHT('Disaggregation Records'!$D$156:$D$517,255),0))),"")</f>
        <v>TB reports</v>
      </c>
      <c r="O2111" s="314" t="str">
        <f t="array" aca="1" ref="O2111" ca="1">IFERROR(IF(INDEX('Disaggregation Records'!$H$156:$H$517,MATCH(RIGHT(L2111,255),RIGHT('Disaggregation Records'!$D$156:$D$517,255),0))="","",INDEX('Disaggregation Records'!$H$156:$H$517,MATCH(RIGHT(L2111,255),RIGHT('Disaggregation Records'!$D$156:$D$517,255),0))),"")</f>
        <v>IDR-01494</v>
      </c>
      <c r="P2111" s="314"/>
      <c r="Q2111" s="310">
        <f t="shared" ref="Q2111" si="2464">Q2109+1</f>
        <v>1758</v>
      </c>
      <c r="R2111" s="314" t="str" cm="1">
        <f t="array" aca="1" ref="R2111" ca="1">IFERROR(IF(INDEX('Disaggregation Records'!$G$156:$G$517,MATCH(RIGHT(L2111,255),RIGHT('Disaggregation Records'!$D$156:$D$517,255),0))="","",INDEX('Disaggregation Records'!$G$156:$G$517,MATCH(RIGHT(L2111,255),RIGHT('Disaggregation Records'!$D$156:$D$517,255),0))),"")</f>
        <v>a1LDm000000Cb6qMAC</v>
      </c>
    </row>
    <row r="2112" spans="1:18" ht="20.100000000000001" customHeight="1">
      <c r="A2112" s="126"/>
      <c r="B2112" s="571"/>
      <c r="C2112" s="573"/>
      <c r="D2112" s="575"/>
      <c r="E2112" s="575"/>
      <c r="F2112" s="128"/>
      <c r="G2112" s="577"/>
      <c r="H2112" s="540"/>
      <c r="I2112" s="579"/>
      <c r="J2112" s="533"/>
      <c r="K2112" s="126"/>
      <c r="L2112" s="126"/>
      <c r="M2112" s="126"/>
      <c r="N2112" s="126"/>
      <c r="O2112" s="314"/>
      <c r="P2112" s="314"/>
      <c r="Q2112" s="310"/>
      <c r="R2112" s="314" t="str" cm="1">
        <f t="array" ref="R2112">IFERROR(IF(INDEX('Disaggregation Records'!$G$156:$G$517,MATCH(RIGHT(L2112,255),RIGHT('Disaggregation Records'!$D$156:$D$517,255),0))="","",INDEX('Disaggregation Records'!$G$156:$G$517,MATCH(RIGHT(L2112,255),RIGHT('Disaggregation Records'!$D$156:$D$517,255),0))),"")</f>
        <v/>
      </c>
    </row>
    <row r="2113" spans="1:18" ht="20.100000000000001" customHeight="1">
      <c r="A2113" s="126" t="str">
        <f t="shared" ref="A2113:A2173" ca="1" si="2465">INDIRECT("'update Helper'!C"&amp;Q2113)</f>
        <v>a16Dm000000M3sYIAS</v>
      </c>
      <c r="B2113" s="570">
        <v>38</v>
      </c>
      <c r="C2113" s="572" t="str">
        <f ca="1">IFERROR(VLOOKUP(B2113,'Coverage Indicators - Section D'!$A$9:$AO$94,41,FALSE),"")</f>
        <v>RSSH/PP M&amp;E-1 Completeness of reporting: Percentage of expected monthly reports (for the reporting period) that are actually received</v>
      </c>
      <c r="D2113" s="574" t="str">
        <f ca="1">M2113</f>
        <v>Report type</v>
      </c>
      <c r="E2113" s="574" t="str">
        <f ca="1">N2113</f>
        <v>HIV reports</v>
      </c>
      <c r="F2113" s="127"/>
      <c r="G2113" s="576" t="str">
        <f ca="1">IF(OR(INDIRECT("'update Helper'!E"&amp;Q2113)="",F2113&lt;&gt;0,F2114&lt;&gt;0),IF(IFERROR((F2113/F2114),"")="","",(F2113/F2114)),INDIRECT("'update Helper'!E"&amp;Q2113)/100)</f>
        <v/>
      </c>
      <c r="H2113" s="539"/>
      <c r="I2113" s="578"/>
      <c r="J2113" s="532"/>
      <c r="K2113" s="126">
        <f ca="1">IF(AND(EXACT(C2113,C2111),C2111&lt;&gt;0),K2111+1,0)</f>
        <v>6</v>
      </c>
      <c r="L2113" s="126" t="str">
        <f t="shared" ref="L2113" ca="1" si="2466">IF(C2113&lt;&gt;"",C2113&amp;"-"&amp;K2113,"")</f>
        <v>RSSH/PP M&amp;E-1 Completeness of reporting: Percentage of expected monthly reports (for the reporting period) that are actually received-6</v>
      </c>
      <c r="M2113" s="126" t="str">
        <f t="array" aca="1" ref="M2113" ca="1">IFERROR(IF(INDEX('Disaggregation Records'!$E$156:$E$517,MATCH(RIGHT(L2113,255),RIGHT('Disaggregation Records'!$D$156:$D$517,255),0))="","",INDEX('Disaggregation Records'!$E$156:$E$517,MATCH(RIGHT(L2113,255),RIGHT('Disaggregation Records'!$D$156:$D$517,255),0))),"")</f>
        <v>Report type</v>
      </c>
      <c r="N2113" s="126" t="str">
        <f t="array" aca="1" ref="N2113" ca="1">IFERROR(IF(INDEX('Disaggregation Records'!$F$156:$F$517,MATCH(RIGHT(L2113,255),RIGHT('Disaggregation Records'!$D$156:$D$517,255),0))="","",INDEX('Disaggregation Records'!$F$156:$F$517,MATCH(RIGHT(L2113,255),RIGHT('Disaggregation Records'!$D$156:$D$517,255),0))),"")</f>
        <v>HIV reports</v>
      </c>
      <c r="O2113" s="314" t="str">
        <f t="array" aca="1" ref="O2113" ca="1">IFERROR(IF(INDEX('Disaggregation Records'!$H$156:$H$517,MATCH(RIGHT(L2113,255),RIGHT('Disaggregation Records'!$D$156:$D$517,255),0))="","",INDEX('Disaggregation Records'!$H$156:$H$517,MATCH(RIGHT(L2113,255),RIGHT('Disaggregation Records'!$D$156:$D$517,255),0))),"")</f>
        <v>IDR-01493</v>
      </c>
      <c r="P2113" s="310"/>
      <c r="Q2113" s="310">
        <f t="shared" ref="Q2113" si="2467">Q2111+1</f>
        <v>1759</v>
      </c>
      <c r="R2113" s="314" t="str" cm="1">
        <f t="array" aca="1" ref="R2113" ca="1">IFERROR(IF(INDEX('Disaggregation Records'!$G$156:$G$517,MATCH(RIGHT(L2113,255),RIGHT('Disaggregation Records'!$D$156:$D$517,255),0))="","",INDEX('Disaggregation Records'!$G$156:$G$517,MATCH(RIGHT(L2113,255),RIGHT('Disaggregation Records'!$D$156:$D$517,255),0))),"")</f>
        <v>a1LDm000000Cb6pMAC</v>
      </c>
    </row>
    <row r="2114" spans="1:18" ht="20.100000000000001" customHeight="1">
      <c r="B2114" s="571"/>
      <c r="C2114" s="573"/>
      <c r="D2114" s="575"/>
      <c r="E2114" s="575"/>
      <c r="F2114" s="128"/>
      <c r="G2114" s="577"/>
      <c r="H2114" s="540"/>
      <c r="I2114" s="579"/>
      <c r="J2114" s="533"/>
      <c r="L2114" s="126"/>
      <c r="N2114" s="126"/>
      <c r="O2114" s="314"/>
      <c r="P2114" s="310"/>
      <c r="Q2114" s="310"/>
      <c r="R2114" s="314" t="str" cm="1">
        <f t="array" ref="R2114">IFERROR(IF(INDEX('Disaggregation Records'!$G$156:$G$517,MATCH(RIGHT(L2114,255),RIGHT('Disaggregation Records'!$D$156:$D$517,255),0))="","",INDEX('Disaggregation Records'!$G$156:$G$517,MATCH(RIGHT(L2114,255),RIGHT('Disaggregation Records'!$D$156:$D$517,255),0))),"")</f>
        <v/>
      </c>
    </row>
    <row r="2115" spans="1:18" ht="20.100000000000001" customHeight="1">
      <c r="A2115" s="126" t="str">
        <f t="shared" ref="A2115:A2175" ca="1" si="2468">INDIRECT("'update Helper'!C"&amp;Q2115)</f>
        <v>a16Dm000000M3sZIAS</v>
      </c>
      <c r="B2115" s="570">
        <v>38</v>
      </c>
      <c r="C2115" s="572" t="str">
        <f ca="1">IFERROR(VLOOKUP(B2115,'Coverage Indicators - Section D'!$A$9:$AO$94,41,FALSE),"")</f>
        <v>RSSH/PP M&amp;E-1 Completeness of reporting: Percentage of expected monthly reports (for the reporting period) that are actually received</v>
      </c>
      <c r="D2115" s="574" t="str">
        <f ca="1">M2115</f>
        <v>Provider type</v>
      </c>
      <c r="E2115" s="574" t="str">
        <f ca="1">N2115</f>
        <v>Public</v>
      </c>
      <c r="F2115" s="127"/>
      <c r="G2115" s="576" t="str">
        <f ca="1">IF(OR(INDIRECT("'update Helper'!E"&amp;Q2115)="",F2115&lt;&gt;0,F2116&lt;&gt;0),IF(IFERROR((F2115/F2116),"")="","",(F2115/F2116)),INDIRECT("'update Helper'!E"&amp;Q2115)/100)</f>
        <v/>
      </c>
      <c r="H2115" s="539"/>
      <c r="I2115" s="578"/>
      <c r="J2115" s="532"/>
      <c r="K2115" s="126">
        <f ca="1">IF(AND(EXACT(C2115,C2113),C2113&lt;&gt;0),K2113+1,0)</f>
        <v>7</v>
      </c>
      <c r="L2115" s="126" t="str">
        <f t="shared" ref="L2115" ca="1" si="2469">IF(C2115&lt;&gt;"",C2115&amp;"-"&amp;K2115,"")</f>
        <v>RSSH/PP M&amp;E-1 Completeness of reporting: Percentage of expected monthly reports (for the reporting period) that are actually received-7</v>
      </c>
      <c r="M2115" s="126" t="str">
        <f t="array" aca="1" ref="M2115" ca="1">IFERROR(IF(INDEX('Disaggregation Records'!$E$156:$E$517,MATCH(RIGHT(L2115,255),RIGHT('Disaggregation Records'!$D$156:$D$517,255),0))="","",INDEX('Disaggregation Records'!$E$156:$E$517,MATCH(RIGHT(L2115,255),RIGHT('Disaggregation Records'!$D$156:$D$517,255),0))),"")</f>
        <v>Provider type</v>
      </c>
      <c r="N2115" s="126" t="str">
        <f t="array" aca="1" ref="N2115" ca="1">IFERROR(IF(INDEX('Disaggregation Records'!$F$156:$F$517,MATCH(RIGHT(L2115,255),RIGHT('Disaggregation Records'!$D$156:$D$517,255),0))="","",INDEX('Disaggregation Records'!$F$156:$F$517,MATCH(RIGHT(L2115,255),RIGHT('Disaggregation Records'!$D$156:$D$517,255),0))),"")</f>
        <v>Public</v>
      </c>
      <c r="O2115" s="314" t="str">
        <f t="array" aca="1" ref="O2115" ca="1">IFERROR(IF(INDEX('Disaggregation Records'!$H$156:$H$517,MATCH(RIGHT(L2115,255),RIGHT('Disaggregation Records'!$D$156:$D$517,255),0))="","",INDEX('Disaggregation Records'!$H$156:$H$517,MATCH(RIGHT(L2115,255),RIGHT('Disaggregation Records'!$D$156:$D$517,255),0))),"")</f>
        <v>IDR-01492</v>
      </c>
      <c r="P2115" s="310"/>
      <c r="Q2115" s="310">
        <f t="shared" ref="Q2115" si="2470">Q2113+1</f>
        <v>1760</v>
      </c>
      <c r="R2115" s="314" t="str" cm="1">
        <f t="array" aca="1" ref="R2115" ca="1">IFERROR(IF(INDEX('Disaggregation Records'!$G$156:$G$517,MATCH(RIGHT(L2115,255),RIGHT('Disaggregation Records'!$D$156:$D$517,255),0))="","",INDEX('Disaggregation Records'!$G$156:$G$517,MATCH(RIGHT(L2115,255),RIGHT('Disaggregation Records'!$D$156:$D$517,255),0))),"")</f>
        <v>a1LDm000000Cb6oMAC</v>
      </c>
    </row>
    <row r="2116" spans="1:18" ht="20.100000000000001" customHeight="1">
      <c r="A2116" s="126"/>
      <c r="B2116" s="571"/>
      <c r="C2116" s="573"/>
      <c r="D2116" s="575"/>
      <c r="E2116" s="575"/>
      <c r="F2116" s="128"/>
      <c r="G2116" s="577"/>
      <c r="H2116" s="540"/>
      <c r="I2116" s="579"/>
      <c r="J2116" s="533"/>
      <c r="L2116" s="126"/>
      <c r="N2116" s="126"/>
      <c r="O2116" s="314"/>
      <c r="P2116" s="310"/>
      <c r="Q2116" s="310"/>
      <c r="R2116" s="314" t="str" cm="1">
        <f t="array" ref="R2116">IFERROR(IF(INDEX('Disaggregation Records'!$G$156:$G$517,MATCH(RIGHT(L2116,255),RIGHT('Disaggregation Records'!$D$156:$D$517,255),0))="","",INDEX('Disaggregation Records'!$G$156:$G$517,MATCH(RIGHT(L2116,255),RIGHT('Disaggregation Records'!$D$156:$D$517,255),0))),"")</f>
        <v/>
      </c>
    </row>
    <row r="2117" spans="1:18" ht="20.100000000000001" customHeight="1">
      <c r="A2117" s="126" t="str">
        <f t="shared" ref="A2117:A2177" ca="1" si="2471">INDIRECT("'update Helper'!C"&amp;Q2117)</f>
        <v>a16Dm000000M3saIAC</v>
      </c>
      <c r="B2117" s="570">
        <v>38</v>
      </c>
      <c r="C2117" s="572" t="str">
        <f ca="1">IFERROR(VLOOKUP(B2117,'Coverage Indicators - Section D'!$A$9:$AO$94,41,FALSE),"")</f>
        <v>RSSH/PP M&amp;E-1 Completeness of reporting: Percentage of expected monthly reports (for the reporting period) that are actually received</v>
      </c>
      <c r="D2117" s="574" t="str">
        <f ca="1">M2117</f>
        <v/>
      </c>
      <c r="E2117" s="574" t="str">
        <f ca="1">N2117</f>
        <v/>
      </c>
      <c r="F2117" s="127"/>
      <c r="G2117" s="576" t="str">
        <f ca="1">IF(OR(INDIRECT("'update Helper'!E"&amp;Q2117)="",F2117&lt;&gt;0,F2118&lt;&gt;0),IF(IFERROR((F2117/F2118),"")="","",(F2117/F2118)),INDIRECT("'update Helper'!E"&amp;Q2117)/100)</f>
        <v/>
      </c>
      <c r="H2117" s="539"/>
      <c r="I2117" s="578"/>
      <c r="J2117" s="532"/>
      <c r="K2117" s="126">
        <f ca="1">IF(AND(EXACT(C2117,C2115),C2115&lt;&gt;0),K2115+1,0)</f>
        <v>8</v>
      </c>
      <c r="L2117" s="126" t="str">
        <f t="shared" ref="L2117" ca="1" si="2472">IF(C2117&lt;&gt;"",C2117&amp;"-"&amp;K2117,"")</f>
        <v>RSSH/PP M&amp;E-1 Completeness of reporting: Percentage of expected monthly reports (for the reporting period) that are actually received-8</v>
      </c>
      <c r="M2117" s="126" t="str">
        <f t="array" aca="1" ref="M2117" ca="1">IFERROR(IF(INDEX('Disaggregation Records'!$E$156:$E$517,MATCH(RIGHT(L2117,255),RIGHT('Disaggregation Records'!$D$156:$D$517,255),0))="","",INDEX('Disaggregation Records'!$E$156:$E$517,MATCH(RIGHT(L2117,255),RIGHT('Disaggregation Records'!$D$156:$D$517,255),0))),"")</f>
        <v/>
      </c>
      <c r="N2117" s="126" t="str">
        <f t="array" aca="1" ref="N2117" ca="1">IFERROR(IF(INDEX('Disaggregation Records'!$F$156:$F$517,MATCH(RIGHT(L2117,255),RIGHT('Disaggregation Records'!$D$156:$D$517,255),0))="","",INDEX('Disaggregation Records'!$F$156:$F$517,MATCH(RIGHT(L2117,255),RIGHT('Disaggregation Records'!$D$156:$D$517,255),0))),"")</f>
        <v/>
      </c>
      <c r="O2117" s="314" t="str">
        <f t="array" aca="1" ref="O2117" ca="1">IFERROR(IF(INDEX('Disaggregation Records'!$H$156:$H$517,MATCH(RIGHT(L2117,255),RIGHT('Disaggregation Records'!$D$156:$D$517,255),0))="","",INDEX('Disaggregation Records'!$H$156:$H$517,MATCH(RIGHT(L2117,255),RIGHT('Disaggregation Records'!$D$156:$D$517,255),0))),"")</f>
        <v/>
      </c>
      <c r="P2117" s="310"/>
      <c r="Q2117" s="310">
        <f t="shared" ref="Q2117" si="2473">Q2115+1</f>
        <v>1761</v>
      </c>
      <c r="R2117" s="314" t="str" cm="1">
        <f t="array" aca="1" ref="R2117" ca="1">IFERROR(IF(INDEX('Disaggregation Records'!$G$156:$G$517,MATCH(RIGHT(L2117,255),RIGHT('Disaggregation Records'!$D$156:$D$517,255),0))="","",INDEX('Disaggregation Records'!$G$156:$G$517,MATCH(RIGHT(L2117,255),RIGHT('Disaggregation Records'!$D$156:$D$517,255),0))),"")</f>
        <v/>
      </c>
    </row>
    <row r="2118" spans="1:18" ht="20.100000000000001" customHeight="1">
      <c r="B2118" s="571"/>
      <c r="C2118" s="573"/>
      <c r="D2118" s="575"/>
      <c r="E2118" s="575"/>
      <c r="F2118" s="128"/>
      <c r="G2118" s="577"/>
      <c r="H2118" s="540"/>
      <c r="I2118" s="579"/>
      <c r="J2118" s="533"/>
      <c r="L2118" s="126"/>
      <c r="N2118" s="126"/>
      <c r="O2118" s="314"/>
      <c r="P2118" s="310"/>
      <c r="Q2118" s="310"/>
      <c r="R2118" s="314" t="str" cm="1">
        <f t="array" ref="R2118">IFERROR(IF(INDEX('Disaggregation Records'!$G$156:$G$517,MATCH(RIGHT(L2118,255),RIGHT('Disaggregation Records'!$D$156:$D$517,255),0))="","",INDEX('Disaggregation Records'!$G$156:$G$517,MATCH(RIGHT(L2118,255),RIGHT('Disaggregation Records'!$D$156:$D$517,255),0))),"")</f>
        <v/>
      </c>
    </row>
    <row r="2119" spans="1:18" ht="20.100000000000001" customHeight="1">
      <c r="A2119" s="126" t="str">
        <f t="shared" ref="A2119:A2179" ca="1" si="2474">INDIRECT("'update Helper'!C"&amp;Q2119)</f>
        <v>a16Dm000000M3sbIAC</v>
      </c>
      <c r="B2119" s="570">
        <v>38</v>
      </c>
      <c r="C2119" s="572" t="str">
        <f ca="1">IFERROR(VLOOKUP(B2119,'Coverage Indicators - Section D'!$A$9:$AO$94,41,FALSE),"")</f>
        <v>RSSH/PP M&amp;E-1 Completeness of reporting: Percentage of expected monthly reports (for the reporting period) that are actually received</v>
      </c>
      <c r="D2119" s="574" t="str">
        <f ca="1">M2119</f>
        <v/>
      </c>
      <c r="E2119" s="574" t="str">
        <f ca="1">N2119</f>
        <v/>
      </c>
      <c r="F2119" s="127"/>
      <c r="G2119" s="576" t="str">
        <f ca="1">IF(OR(INDIRECT("'update Helper'!E"&amp;Q2119)="",F2119&lt;&gt;0,F2120&lt;&gt;0),IF(IFERROR((F2119/F2120),"")="","",(F2119/F2120)),INDIRECT("'update Helper'!E"&amp;Q2119)/100)</f>
        <v/>
      </c>
      <c r="H2119" s="539"/>
      <c r="I2119" s="578"/>
      <c r="J2119" s="532"/>
      <c r="K2119" s="126">
        <f ca="1">IF(AND(EXACT(C2119,C2117),C2117&lt;&gt;0),K2117+1,0)</f>
        <v>9</v>
      </c>
      <c r="L2119" s="126" t="str">
        <f t="shared" ref="L2119" ca="1" si="2475">IF(C2119&lt;&gt;"",C2119&amp;"-"&amp;K2119,"")</f>
        <v>RSSH/PP M&amp;E-1 Completeness of reporting: Percentage of expected monthly reports (for the reporting period) that are actually received-9</v>
      </c>
      <c r="M2119" s="126" t="str">
        <f t="array" aca="1" ref="M2119" ca="1">IFERROR(IF(INDEX('Disaggregation Records'!$E$156:$E$517,MATCH(RIGHT(L2119,255),RIGHT('Disaggregation Records'!$D$156:$D$517,255),0))="","",INDEX('Disaggregation Records'!$E$156:$E$517,MATCH(RIGHT(L2119,255),RIGHT('Disaggregation Records'!$D$156:$D$517,255),0))),"")</f>
        <v/>
      </c>
      <c r="N2119" s="126" t="str">
        <f t="array" aca="1" ref="N2119" ca="1">IFERROR(IF(INDEX('Disaggregation Records'!$F$156:$F$517,MATCH(RIGHT(L2119,255),RIGHT('Disaggregation Records'!$D$156:$D$517,255),0))="","",INDEX('Disaggregation Records'!$F$156:$F$517,MATCH(RIGHT(L2119,255),RIGHT('Disaggregation Records'!$D$156:$D$517,255),0))),"")</f>
        <v/>
      </c>
      <c r="O2119" s="314" t="str">
        <f t="array" aca="1" ref="O2119" ca="1">IFERROR(IF(INDEX('Disaggregation Records'!$H$156:$H$517,MATCH(RIGHT(L2119,255),RIGHT('Disaggregation Records'!$D$156:$D$517,255),0))="","",INDEX('Disaggregation Records'!$H$156:$H$517,MATCH(RIGHT(L2119,255),RIGHT('Disaggregation Records'!$D$156:$D$517,255),0))),"")</f>
        <v/>
      </c>
      <c r="P2119" s="314"/>
      <c r="Q2119" s="310">
        <f t="shared" ref="Q2119" si="2476">Q2117+1</f>
        <v>1762</v>
      </c>
      <c r="R2119" s="314" t="str" cm="1">
        <f t="array" aca="1" ref="R2119" ca="1">IFERROR(IF(INDEX('Disaggregation Records'!$G$156:$G$517,MATCH(RIGHT(L2119,255),RIGHT('Disaggregation Records'!$D$156:$D$517,255),0))="","",INDEX('Disaggregation Records'!$G$156:$G$517,MATCH(RIGHT(L2119,255),RIGHT('Disaggregation Records'!$D$156:$D$517,255),0))),"")</f>
        <v/>
      </c>
    </row>
    <row r="2120" spans="1:18" ht="20.100000000000001" customHeight="1">
      <c r="A2120" s="126"/>
      <c r="B2120" s="571"/>
      <c r="C2120" s="573"/>
      <c r="D2120" s="575"/>
      <c r="E2120" s="575"/>
      <c r="F2120" s="128"/>
      <c r="G2120" s="577"/>
      <c r="H2120" s="540"/>
      <c r="I2120" s="579"/>
      <c r="J2120" s="533"/>
      <c r="K2120" s="126"/>
      <c r="L2120" s="126"/>
      <c r="M2120" s="126"/>
      <c r="N2120" s="126"/>
      <c r="O2120" s="314"/>
      <c r="P2120" s="314"/>
      <c r="Q2120" s="310"/>
      <c r="R2120" s="314" t="str" cm="1">
        <f t="array" ref="R2120">IFERROR(IF(INDEX('Disaggregation Records'!$G$156:$G$517,MATCH(RIGHT(L2120,255),RIGHT('Disaggregation Records'!$D$156:$D$517,255),0))="","",INDEX('Disaggregation Records'!$G$156:$G$517,MATCH(RIGHT(L2120,255),RIGHT('Disaggregation Records'!$D$156:$D$517,255),0))),"")</f>
        <v/>
      </c>
    </row>
    <row r="2121" spans="1:18" ht="20.100000000000001" customHeight="1">
      <c r="A2121" s="126" t="str">
        <f t="shared" ref="A2121:A2181" ca="1" si="2477">INDIRECT("'update Helper'!C"&amp;Q2121)</f>
        <v>a16Dm000000M3scIAC</v>
      </c>
      <c r="B2121" s="570">
        <v>38</v>
      </c>
      <c r="C2121" s="572" t="str">
        <f ca="1">IFERROR(VLOOKUP(B2121,'Coverage Indicators - Section D'!$A$9:$AO$94,41,FALSE),"")</f>
        <v>RSSH/PP M&amp;E-1 Completeness of reporting: Percentage of expected monthly reports (for the reporting period) that are actually received</v>
      </c>
      <c r="D2121" s="574" t="str">
        <f ca="1">M2121</f>
        <v/>
      </c>
      <c r="E2121" s="574" t="str">
        <f ca="1">N2121</f>
        <v/>
      </c>
      <c r="F2121" s="127"/>
      <c r="G2121" s="576" t="str">
        <f ca="1">IF(OR(INDIRECT("'update Helper'!E"&amp;Q2121)="",F2121&lt;&gt;0,F2122&lt;&gt;0),IF(IFERROR((F2121/F2122),"")="","",(F2121/F2122)),INDIRECT("'update Helper'!E"&amp;Q2121)/100)</f>
        <v/>
      </c>
      <c r="H2121" s="539"/>
      <c r="I2121" s="578"/>
      <c r="J2121" s="532"/>
      <c r="K2121" s="126">
        <f ca="1">IF(AND(EXACT(C2121,C2119),C2119&lt;&gt;0),K2119+1,0)</f>
        <v>10</v>
      </c>
      <c r="L2121" s="126" t="str">
        <f t="shared" ref="L2121" ca="1" si="2478">IF(C2121&lt;&gt;"",C2121&amp;"-"&amp;K2121,"")</f>
        <v>RSSH/PP M&amp;E-1 Completeness of reporting: Percentage of expected monthly reports (for the reporting period) that are actually received-10</v>
      </c>
      <c r="M2121" s="126" t="str">
        <f t="array" aca="1" ref="M2121" ca="1">IFERROR(IF(INDEX('Disaggregation Records'!$E$156:$E$517,MATCH(RIGHT(L2121,255),RIGHT('Disaggregation Records'!$D$156:$D$517,255),0))="","",INDEX('Disaggregation Records'!$E$156:$E$517,MATCH(RIGHT(L2121,255),RIGHT('Disaggregation Records'!$D$156:$D$517,255),0))),"")</f>
        <v/>
      </c>
      <c r="N2121" s="126" t="str">
        <f t="array" aca="1" ref="N2121" ca="1">IFERROR(IF(INDEX('Disaggregation Records'!$F$156:$F$517,MATCH(RIGHT(L2121,255),RIGHT('Disaggregation Records'!$D$156:$D$517,255),0))="","",INDEX('Disaggregation Records'!$F$156:$F$517,MATCH(RIGHT(L2121,255),RIGHT('Disaggregation Records'!$D$156:$D$517,255),0))),"")</f>
        <v/>
      </c>
      <c r="O2121" s="314" t="str">
        <f t="array" aca="1" ref="O2121" ca="1">IFERROR(IF(INDEX('Disaggregation Records'!$H$156:$H$517,MATCH(RIGHT(L2121,255),RIGHT('Disaggregation Records'!$D$156:$D$517,255),0))="","",INDEX('Disaggregation Records'!$H$156:$H$517,MATCH(RIGHT(L2121,255),RIGHT('Disaggregation Records'!$D$156:$D$517,255),0))),"")</f>
        <v/>
      </c>
      <c r="P2121" s="314"/>
      <c r="Q2121" s="310">
        <f t="shared" ref="Q2121" si="2479">Q2119+1</f>
        <v>1763</v>
      </c>
      <c r="R2121" s="314" t="str" cm="1">
        <f t="array" aca="1" ref="R2121" ca="1">IFERROR(IF(INDEX('Disaggregation Records'!$G$156:$G$517,MATCH(RIGHT(L2121,255),RIGHT('Disaggregation Records'!$D$156:$D$517,255),0))="","",INDEX('Disaggregation Records'!$G$156:$G$517,MATCH(RIGHT(L2121,255),RIGHT('Disaggregation Records'!$D$156:$D$517,255),0))),"")</f>
        <v/>
      </c>
    </row>
    <row r="2122" spans="1:18" ht="20.100000000000001" customHeight="1">
      <c r="B2122" s="571"/>
      <c r="C2122" s="573"/>
      <c r="D2122" s="575"/>
      <c r="E2122" s="575"/>
      <c r="F2122" s="128"/>
      <c r="G2122" s="577"/>
      <c r="H2122" s="540"/>
      <c r="I2122" s="579"/>
      <c r="J2122" s="533"/>
      <c r="K2122" s="126"/>
      <c r="L2122" s="126"/>
      <c r="M2122" s="126"/>
      <c r="N2122" s="126"/>
      <c r="O2122" s="314"/>
      <c r="P2122" s="314"/>
      <c r="Q2122" s="310"/>
      <c r="R2122" s="314" t="str" cm="1">
        <f t="array" ref="R2122">IFERROR(IF(INDEX('Disaggregation Records'!$G$156:$G$517,MATCH(RIGHT(L2122,255),RIGHT('Disaggregation Records'!$D$156:$D$517,255),0))="","",INDEX('Disaggregation Records'!$G$156:$G$517,MATCH(RIGHT(L2122,255),RIGHT('Disaggregation Records'!$D$156:$D$517,255),0))),"")</f>
        <v/>
      </c>
    </row>
    <row r="2123" spans="1:18" ht="20.100000000000001" customHeight="1">
      <c r="A2123" s="126" t="str">
        <f t="shared" ref="A2123:A2183" ca="1" si="2480">INDIRECT("'update Helper'!C"&amp;Q2123)</f>
        <v>a16Dm000000M3sdIAC</v>
      </c>
      <c r="B2123" s="570">
        <v>38</v>
      </c>
      <c r="C2123" s="572" t="str">
        <f ca="1">IFERROR(VLOOKUP(B2123,'Coverage Indicators - Section D'!$A$9:$AO$94,41,FALSE),"")</f>
        <v>RSSH/PP M&amp;E-1 Completeness of reporting: Percentage of expected monthly reports (for the reporting period) that are actually received</v>
      </c>
      <c r="D2123" s="574" t="str">
        <f ca="1">M2123</f>
        <v/>
      </c>
      <c r="E2123" s="574" t="str">
        <f ca="1">N2123</f>
        <v/>
      </c>
      <c r="F2123" s="127"/>
      <c r="G2123" s="576" t="str">
        <f ca="1">IF(OR(INDIRECT("'update Helper'!E"&amp;Q2123)="",F2123&lt;&gt;0,F2124&lt;&gt;0),IF(IFERROR((F2123/F2124),"")="","",(F2123/F2124)),INDIRECT("'update Helper'!E"&amp;Q2123)/100)</f>
        <v/>
      </c>
      <c r="H2123" s="539"/>
      <c r="I2123" s="578"/>
      <c r="J2123" s="532"/>
      <c r="K2123" s="126">
        <f ca="1">IF(AND(EXACT(C2123,C2121),C2121&lt;&gt;0),K2121+1,0)</f>
        <v>11</v>
      </c>
      <c r="L2123" s="126" t="str">
        <f t="shared" ref="L2123" ca="1" si="2481">IF(C2123&lt;&gt;"",C2123&amp;"-"&amp;K2123,"")</f>
        <v>RSSH/PP M&amp;E-1 Completeness of reporting: Percentage of expected monthly reports (for the reporting period) that are actually received-11</v>
      </c>
      <c r="M2123" s="126" t="str">
        <f t="array" aca="1" ref="M2123" ca="1">IFERROR(IF(INDEX('Disaggregation Records'!$E$156:$E$517,MATCH(RIGHT(L2123,255),RIGHT('Disaggregation Records'!$D$156:$D$517,255),0))="","",INDEX('Disaggregation Records'!$E$156:$E$517,MATCH(RIGHT(L2123,255),RIGHT('Disaggregation Records'!$D$156:$D$517,255),0))),"")</f>
        <v/>
      </c>
      <c r="N2123" s="126" t="str">
        <f t="array" aca="1" ref="N2123" ca="1">IFERROR(IF(INDEX('Disaggregation Records'!$F$156:$F$517,MATCH(RIGHT(L2123,255),RIGHT('Disaggregation Records'!$D$156:$D$517,255),0))="","",INDEX('Disaggregation Records'!$F$156:$F$517,MATCH(RIGHT(L2123,255),RIGHT('Disaggregation Records'!$D$156:$D$517,255),0))),"")</f>
        <v/>
      </c>
      <c r="O2123" s="314" t="str">
        <f t="array" aca="1" ref="O2123" ca="1">IFERROR(IF(INDEX('Disaggregation Records'!$H$156:$H$517,MATCH(RIGHT(L2123,255),RIGHT('Disaggregation Records'!$D$156:$D$517,255),0))="","",INDEX('Disaggregation Records'!$H$156:$H$517,MATCH(RIGHT(L2123,255),RIGHT('Disaggregation Records'!$D$156:$D$517,255),0))),"")</f>
        <v/>
      </c>
      <c r="P2123" s="310"/>
      <c r="Q2123" s="310">
        <f t="shared" ref="Q2123" si="2482">Q2121+1</f>
        <v>1764</v>
      </c>
      <c r="R2123" s="314" t="str" cm="1">
        <f t="array" aca="1" ref="R2123" ca="1">IFERROR(IF(INDEX('Disaggregation Records'!$G$156:$G$517,MATCH(RIGHT(L2123,255),RIGHT('Disaggregation Records'!$D$156:$D$517,255),0))="","",INDEX('Disaggregation Records'!$G$156:$G$517,MATCH(RIGHT(L2123,255),RIGHT('Disaggregation Records'!$D$156:$D$517,255),0))),"")</f>
        <v/>
      </c>
    </row>
    <row r="2124" spans="1:18" ht="20.100000000000001" customHeight="1">
      <c r="A2124" s="126"/>
      <c r="B2124" s="571"/>
      <c r="C2124" s="573"/>
      <c r="D2124" s="575"/>
      <c r="E2124" s="575"/>
      <c r="F2124" s="128"/>
      <c r="G2124" s="577"/>
      <c r="H2124" s="540"/>
      <c r="I2124" s="579"/>
      <c r="J2124" s="533"/>
      <c r="L2124" s="126"/>
      <c r="N2124" s="126"/>
      <c r="O2124" s="314"/>
      <c r="P2124" s="310"/>
      <c r="Q2124" s="310"/>
      <c r="R2124" s="314" t="str" cm="1">
        <f t="array" ref="R2124">IFERROR(IF(INDEX('Disaggregation Records'!$G$156:$G$517,MATCH(RIGHT(L2124,255),RIGHT('Disaggregation Records'!$D$156:$D$517,255),0))="","",INDEX('Disaggregation Records'!$G$156:$G$517,MATCH(RIGHT(L2124,255),RIGHT('Disaggregation Records'!$D$156:$D$517,255),0))),"")</f>
        <v/>
      </c>
    </row>
    <row r="2125" spans="1:18" ht="20.100000000000001" customHeight="1">
      <c r="A2125" s="126" t="str">
        <f t="shared" ref="A2125:A2185" ca="1" si="2483">INDIRECT("'update Helper'!C"&amp;Q2125)</f>
        <v>a16Dm000000M3seIAC</v>
      </c>
      <c r="B2125" s="570">
        <v>38</v>
      </c>
      <c r="C2125" s="572" t="str">
        <f ca="1">IFERROR(VLOOKUP(B2125,'Coverage Indicators - Section D'!$A$9:$AO$94,41,FALSE),"")</f>
        <v>RSSH/PP M&amp;E-1 Completeness of reporting: Percentage of expected monthly reports (for the reporting period) that are actually received</v>
      </c>
      <c r="D2125" s="574" t="str">
        <f ca="1">M2125</f>
        <v/>
      </c>
      <c r="E2125" s="574" t="str">
        <f ca="1">N2125</f>
        <v/>
      </c>
      <c r="F2125" s="127"/>
      <c r="G2125" s="576" t="str">
        <f ca="1">IF(OR(INDIRECT("'update Helper'!E"&amp;Q2125)="",F2125&lt;&gt;0,F2126&lt;&gt;0),IF(IFERROR((F2125/F2126),"")="","",(F2125/F2126)),INDIRECT("'update Helper'!E"&amp;Q2125)/100)</f>
        <v/>
      </c>
      <c r="H2125" s="539"/>
      <c r="I2125" s="578"/>
      <c r="J2125" s="532"/>
      <c r="K2125" s="126">
        <f ca="1">IF(AND(EXACT(C2125,C2123),C2123&lt;&gt;0),K2123+1,0)</f>
        <v>12</v>
      </c>
      <c r="L2125" s="126" t="str">
        <f t="shared" ref="L2125" ca="1" si="2484">IF(C2125&lt;&gt;"",C2125&amp;"-"&amp;K2125,"")</f>
        <v>RSSH/PP M&amp;E-1 Completeness of reporting: Percentage of expected monthly reports (for the reporting period) that are actually received-12</v>
      </c>
      <c r="M2125" s="126" t="str">
        <f t="array" aca="1" ref="M2125" ca="1">IFERROR(IF(INDEX('Disaggregation Records'!$E$156:$E$517,MATCH(RIGHT(L2125,255),RIGHT('Disaggregation Records'!$D$156:$D$517,255),0))="","",INDEX('Disaggregation Records'!$E$156:$E$517,MATCH(RIGHT(L2125,255),RIGHT('Disaggregation Records'!$D$156:$D$517,255),0))),"")</f>
        <v/>
      </c>
      <c r="N2125" s="126" t="str">
        <f t="array" aca="1" ref="N2125" ca="1">IFERROR(IF(INDEX('Disaggregation Records'!$F$156:$F$517,MATCH(RIGHT(L2125,255),RIGHT('Disaggregation Records'!$D$156:$D$517,255),0))="","",INDEX('Disaggregation Records'!$F$156:$F$517,MATCH(RIGHT(L2125,255),RIGHT('Disaggregation Records'!$D$156:$D$517,255),0))),"")</f>
        <v/>
      </c>
      <c r="O2125" s="314" t="str">
        <f t="array" aca="1" ref="O2125" ca="1">IFERROR(IF(INDEX('Disaggregation Records'!$H$156:$H$517,MATCH(RIGHT(L2125,255),RIGHT('Disaggregation Records'!$D$156:$D$517,255),0))="","",INDEX('Disaggregation Records'!$H$156:$H$517,MATCH(RIGHT(L2125,255),RIGHT('Disaggregation Records'!$D$156:$D$517,255),0))),"")</f>
        <v/>
      </c>
      <c r="P2125" s="310"/>
      <c r="Q2125" s="310">
        <f t="shared" ref="Q2125" si="2485">Q2123+1</f>
        <v>1765</v>
      </c>
      <c r="R2125" s="314" t="str" cm="1">
        <f t="array" aca="1" ref="R2125" ca="1">IFERROR(IF(INDEX('Disaggregation Records'!$G$156:$G$517,MATCH(RIGHT(L2125,255),RIGHT('Disaggregation Records'!$D$156:$D$517,255),0))="","",INDEX('Disaggregation Records'!$G$156:$G$517,MATCH(RIGHT(L2125,255),RIGHT('Disaggregation Records'!$D$156:$D$517,255),0))),"")</f>
        <v/>
      </c>
    </row>
    <row r="2126" spans="1:18" ht="20.100000000000001" customHeight="1">
      <c r="B2126" s="571"/>
      <c r="C2126" s="573"/>
      <c r="D2126" s="575"/>
      <c r="E2126" s="575"/>
      <c r="F2126" s="128"/>
      <c r="G2126" s="577"/>
      <c r="H2126" s="540"/>
      <c r="I2126" s="579"/>
      <c r="J2126" s="533"/>
      <c r="L2126" s="126"/>
      <c r="N2126" s="126"/>
      <c r="O2126" s="314"/>
      <c r="P2126" s="310"/>
      <c r="Q2126" s="310"/>
      <c r="R2126" s="314" t="str" cm="1">
        <f t="array" ref="R2126">IFERROR(IF(INDEX('Disaggregation Records'!$G$156:$G$517,MATCH(RIGHT(L2126,255),RIGHT('Disaggregation Records'!$D$156:$D$517,255),0))="","",INDEX('Disaggregation Records'!$G$156:$G$517,MATCH(RIGHT(L2126,255),RIGHT('Disaggregation Records'!$D$156:$D$517,255),0))),"")</f>
        <v/>
      </c>
    </row>
    <row r="2127" spans="1:18" ht="20.100000000000001" customHeight="1">
      <c r="A2127" s="126" t="str">
        <f t="shared" ref="A2127:A2187" ca="1" si="2486">INDIRECT("'update Helper'!C"&amp;Q2127)</f>
        <v>a16Dm000000M3sfIAC</v>
      </c>
      <c r="B2127" s="570">
        <v>38</v>
      </c>
      <c r="C2127" s="572" t="str">
        <f ca="1">IFERROR(VLOOKUP(B2127,'Coverage Indicators - Section D'!$A$9:$AO$94,41,FALSE),"")</f>
        <v>RSSH/PP M&amp;E-1 Completeness of reporting: Percentage of expected monthly reports (for the reporting period) that are actually received</v>
      </c>
      <c r="D2127" s="574" t="str">
        <f ca="1">M2127</f>
        <v/>
      </c>
      <c r="E2127" s="574" t="str">
        <f ca="1">N2127</f>
        <v/>
      </c>
      <c r="F2127" s="127"/>
      <c r="G2127" s="576" t="str">
        <f ca="1">IF(OR(INDIRECT("'update Helper'!E"&amp;Q2127)="",F2127&lt;&gt;0,F2128&lt;&gt;0),IF(IFERROR((F2127/F2128),"")="","",(F2127/F2128)),INDIRECT("'update Helper'!E"&amp;Q2127)/100)</f>
        <v/>
      </c>
      <c r="H2127" s="539"/>
      <c r="I2127" s="578"/>
      <c r="J2127" s="532"/>
      <c r="K2127" s="126">
        <f ca="1">IF(AND(EXACT(C2127,C2125),C2125&lt;&gt;0),K2125+1,0)</f>
        <v>13</v>
      </c>
      <c r="L2127" s="126" t="str">
        <f t="shared" ref="L2127" ca="1" si="2487">IF(C2127&lt;&gt;"",C2127&amp;"-"&amp;K2127,"")</f>
        <v>RSSH/PP M&amp;E-1 Completeness of reporting: Percentage of expected monthly reports (for the reporting period) that are actually received-13</v>
      </c>
      <c r="M2127" s="126" t="str">
        <f t="array" aca="1" ref="M2127" ca="1">IFERROR(IF(INDEX('Disaggregation Records'!$E$156:$E$517,MATCH(RIGHT(L2127,255),RIGHT('Disaggregation Records'!$D$156:$D$517,255),0))="","",INDEX('Disaggregation Records'!$E$156:$E$517,MATCH(RIGHT(L2127,255),RIGHT('Disaggregation Records'!$D$156:$D$517,255),0))),"")</f>
        <v/>
      </c>
      <c r="N2127" s="126" t="str">
        <f t="array" aca="1" ref="N2127" ca="1">IFERROR(IF(INDEX('Disaggregation Records'!$F$156:$F$517,MATCH(RIGHT(L2127,255),RIGHT('Disaggregation Records'!$D$156:$D$517,255),0))="","",INDEX('Disaggregation Records'!$F$156:$F$517,MATCH(RIGHT(L2127,255),RIGHT('Disaggregation Records'!$D$156:$D$517,255),0))),"")</f>
        <v/>
      </c>
      <c r="O2127" s="314" t="str">
        <f t="array" aca="1" ref="O2127" ca="1">IFERROR(IF(INDEX('Disaggregation Records'!$H$156:$H$517,MATCH(RIGHT(L2127,255),RIGHT('Disaggregation Records'!$D$156:$D$517,255),0))="","",INDEX('Disaggregation Records'!$H$156:$H$517,MATCH(RIGHT(L2127,255),RIGHT('Disaggregation Records'!$D$156:$D$517,255),0))),"")</f>
        <v/>
      </c>
      <c r="P2127" s="310"/>
      <c r="Q2127" s="310">
        <f t="shared" ref="Q2127" si="2488">Q2125+1</f>
        <v>1766</v>
      </c>
      <c r="R2127" s="314" t="str" cm="1">
        <f t="array" aca="1" ref="R2127" ca="1">IFERROR(IF(INDEX('Disaggregation Records'!$G$156:$G$517,MATCH(RIGHT(L2127,255),RIGHT('Disaggregation Records'!$D$156:$D$517,255),0))="","",INDEX('Disaggregation Records'!$G$156:$G$517,MATCH(RIGHT(L2127,255),RIGHT('Disaggregation Records'!$D$156:$D$517,255),0))),"")</f>
        <v/>
      </c>
    </row>
    <row r="2128" spans="1:18" ht="20.100000000000001" customHeight="1">
      <c r="A2128" s="126"/>
      <c r="B2128" s="571"/>
      <c r="C2128" s="573"/>
      <c r="D2128" s="575"/>
      <c r="E2128" s="575"/>
      <c r="F2128" s="128"/>
      <c r="G2128" s="577"/>
      <c r="H2128" s="540"/>
      <c r="I2128" s="579"/>
      <c r="J2128" s="533"/>
      <c r="L2128" s="126"/>
      <c r="N2128" s="126"/>
      <c r="O2128" s="314"/>
      <c r="P2128" s="310"/>
      <c r="Q2128" s="310"/>
      <c r="R2128" s="314" t="str" cm="1">
        <f t="array" ref="R2128">IFERROR(IF(INDEX('Disaggregation Records'!$G$156:$G$517,MATCH(RIGHT(L2128,255),RIGHT('Disaggregation Records'!$D$156:$D$517,255),0))="","",INDEX('Disaggregation Records'!$G$156:$G$517,MATCH(RIGHT(L2128,255),RIGHT('Disaggregation Records'!$D$156:$D$517,255),0))),"")</f>
        <v/>
      </c>
    </row>
    <row r="2129" spans="1:18" ht="20.100000000000001" customHeight="1">
      <c r="A2129" s="126" t="str">
        <f t="shared" ref="A2129:A2189" ca="1" si="2489">INDIRECT("'update Helper'!C"&amp;Q2129)</f>
        <v>a16Dm000000M3sgIAC</v>
      </c>
      <c r="B2129" s="570">
        <v>38</v>
      </c>
      <c r="C2129" s="572" t="str">
        <f ca="1">IFERROR(VLOOKUP(B2129,'Coverage Indicators - Section D'!$A$9:$AO$94,41,FALSE),"")</f>
        <v>RSSH/PP M&amp;E-1 Completeness of reporting: Percentage of expected monthly reports (for the reporting period) that are actually received</v>
      </c>
      <c r="D2129" s="574" t="str">
        <f ca="1">M2129</f>
        <v/>
      </c>
      <c r="E2129" s="574" t="str">
        <f ca="1">N2129</f>
        <v/>
      </c>
      <c r="F2129" s="127"/>
      <c r="G2129" s="576" t="str">
        <f ca="1">IF(OR(INDIRECT("'update Helper'!E"&amp;Q2129)="",F2129&lt;&gt;0,F2130&lt;&gt;0),IF(IFERROR((F2129/F2130),"")="","",(F2129/F2130)),INDIRECT("'update Helper'!E"&amp;Q2129)/100)</f>
        <v/>
      </c>
      <c r="H2129" s="539"/>
      <c r="I2129" s="578"/>
      <c r="J2129" s="532"/>
      <c r="K2129" s="126">
        <f ca="1">IF(AND(EXACT(C2129,C2127),C2127&lt;&gt;0),K2127+1,0)</f>
        <v>14</v>
      </c>
      <c r="L2129" s="126" t="str">
        <f t="shared" ref="L2129" ca="1" si="2490">IF(C2129&lt;&gt;"",C2129&amp;"-"&amp;K2129,"")</f>
        <v>RSSH/PP M&amp;E-1 Completeness of reporting: Percentage of expected monthly reports (for the reporting period) that are actually received-14</v>
      </c>
      <c r="M2129" s="126" t="str">
        <f t="array" aca="1" ref="M2129" ca="1">IFERROR(IF(INDEX('Disaggregation Records'!$E$156:$E$517,MATCH(RIGHT(L2129,255),RIGHT('Disaggregation Records'!$D$156:$D$517,255),0))="","",INDEX('Disaggregation Records'!$E$156:$E$517,MATCH(RIGHT(L2129,255),RIGHT('Disaggregation Records'!$D$156:$D$517,255),0))),"")</f>
        <v/>
      </c>
      <c r="N2129" s="126" t="str">
        <f t="array" aca="1" ref="N2129" ca="1">IFERROR(IF(INDEX('Disaggregation Records'!$F$156:$F$517,MATCH(RIGHT(L2129,255),RIGHT('Disaggregation Records'!$D$156:$D$517,255),0))="","",INDEX('Disaggregation Records'!$F$156:$F$517,MATCH(RIGHT(L2129,255),RIGHT('Disaggregation Records'!$D$156:$D$517,255),0))),"")</f>
        <v/>
      </c>
      <c r="O2129" s="314" t="str">
        <f t="array" aca="1" ref="O2129" ca="1">IFERROR(IF(INDEX('Disaggregation Records'!$H$156:$H$517,MATCH(RIGHT(L2129,255),RIGHT('Disaggregation Records'!$D$156:$D$517,255),0))="","",INDEX('Disaggregation Records'!$H$156:$H$517,MATCH(RIGHT(L2129,255),RIGHT('Disaggregation Records'!$D$156:$D$517,255),0))),"")</f>
        <v/>
      </c>
      <c r="P2129" s="314"/>
      <c r="Q2129" s="310">
        <f t="shared" ref="Q2129" si="2491">Q2127+1</f>
        <v>1767</v>
      </c>
      <c r="R2129" s="314" t="str" cm="1">
        <f t="array" aca="1" ref="R2129" ca="1">IFERROR(IF(INDEX('Disaggregation Records'!$G$156:$G$517,MATCH(RIGHT(L2129,255),RIGHT('Disaggregation Records'!$D$156:$D$517,255),0))="","",INDEX('Disaggregation Records'!$G$156:$G$517,MATCH(RIGHT(L2129,255),RIGHT('Disaggregation Records'!$D$156:$D$517,255),0))),"")</f>
        <v/>
      </c>
    </row>
    <row r="2130" spans="1:18" ht="20.100000000000001" customHeight="1">
      <c r="B2130" s="571"/>
      <c r="C2130" s="573"/>
      <c r="D2130" s="575"/>
      <c r="E2130" s="575"/>
      <c r="F2130" s="128"/>
      <c r="G2130" s="577"/>
      <c r="H2130" s="540"/>
      <c r="I2130" s="579"/>
      <c r="J2130" s="533"/>
      <c r="K2130" s="126"/>
      <c r="L2130" s="126"/>
      <c r="M2130" s="126"/>
      <c r="N2130" s="126"/>
      <c r="O2130" s="314"/>
      <c r="P2130" s="314"/>
      <c r="Q2130" s="310"/>
      <c r="R2130" s="314" t="str" cm="1">
        <f t="array" ref="R2130">IFERROR(IF(INDEX('Disaggregation Records'!$G$156:$G$517,MATCH(RIGHT(L2130,255),RIGHT('Disaggregation Records'!$D$156:$D$517,255),0))="","",INDEX('Disaggregation Records'!$G$156:$G$517,MATCH(RIGHT(L2130,255),RIGHT('Disaggregation Records'!$D$156:$D$517,255),0))),"")</f>
        <v/>
      </c>
    </row>
    <row r="2131" spans="1:18" ht="20.100000000000001" customHeight="1">
      <c r="A2131" s="126" t="str">
        <f t="shared" ref="A2131:A2191" ca="1" si="2492">INDIRECT("'update Helper'!C"&amp;Q2131)</f>
        <v>a16Dm000000M3shIAC</v>
      </c>
      <c r="B2131" s="570">
        <v>38</v>
      </c>
      <c r="C2131" s="572" t="str">
        <f ca="1">IFERROR(VLOOKUP(B2131,'Coverage Indicators - Section D'!$A$9:$AO$94,41,FALSE),"")</f>
        <v>RSSH/PP M&amp;E-1 Completeness of reporting: Percentage of expected monthly reports (for the reporting period) that are actually received</v>
      </c>
      <c r="D2131" s="574" t="str">
        <f ca="1">M2131</f>
        <v/>
      </c>
      <c r="E2131" s="574" t="str">
        <f ca="1">N2131</f>
        <v/>
      </c>
      <c r="F2131" s="127"/>
      <c r="G2131" s="576" t="str">
        <f ca="1">IF(OR(INDIRECT("'update Helper'!E"&amp;Q2131)="",F2131&lt;&gt;0,F2132&lt;&gt;0),IF(IFERROR((F2131/F2132),"")="","",(F2131/F2132)),INDIRECT("'update Helper'!E"&amp;Q2131)/100)</f>
        <v/>
      </c>
      <c r="H2131" s="539"/>
      <c r="I2131" s="578"/>
      <c r="J2131" s="532"/>
      <c r="K2131" s="126">
        <f ca="1">IF(AND(EXACT(C2131,C2129),C2129&lt;&gt;0),K2129+1,0)</f>
        <v>15</v>
      </c>
      <c r="L2131" s="126" t="str">
        <f t="shared" ref="L2131" ca="1" si="2493">IF(C2131&lt;&gt;"",C2131&amp;"-"&amp;K2131,"")</f>
        <v>RSSH/PP M&amp;E-1 Completeness of reporting: Percentage of expected monthly reports (for the reporting period) that are actually received-15</v>
      </c>
      <c r="M2131" s="126" t="str">
        <f t="array" aca="1" ref="M2131" ca="1">IFERROR(IF(INDEX('Disaggregation Records'!$E$156:$E$517,MATCH(RIGHT(L2131,255),RIGHT('Disaggregation Records'!$D$156:$D$517,255),0))="","",INDEX('Disaggregation Records'!$E$156:$E$517,MATCH(RIGHT(L2131,255),RIGHT('Disaggregation Records'!$D$156:$D$517,255),0))),"")</f>
        <v/>
      </c>
      <c r="N2131" s="126" t="str">
        <f t="array" aca="1" ref="N2131" ca="1">IFERROR(IF(INDEX('Disaggregation Records'!$F$156:$F$517,MATCH(RIGHT(L2131,255),RIGHT('Disaggregation Records'!$D$156:$D$517,255),0))="","",INDEX('Disaggregation Records'!$F$156:$F$517,MATCH(RIGHT(L2131,255),RIGHT('Disaggregation Records'!$D$156:$D$517,255),0))),"")</f>
        <v/>
      </c>
      <c r="O2131" s="314" t="str">
        <f t="array" aca="1" ref="O2131" ca="1">IFERROR(IF(INDEX('Disaggregation Records'!$H$156:$H$517,MATCH(RIGHT(L2131,255),RIGHT('Disaggregation Records'!$D$156:$D$517,255),0))="","",INDEX('Disaggregation Records'!$H$156:$H$517,MATCH(RIGHT(L2131,255),RIGHT('Disaggregation Records'!$D$156:$D$517,255),0))),"")</f>
        <v/>
      </c>
      <c r="P2131" s="314"/>
      <c r="Q2131" s="310">
        <f t="shared" ref="Q2131" si="2494">Q2129+1</f>
        <v>1768</v>
      </c>
      <c r="R2131" s="314" t="str" cm="1">
        <f t="array" aca="1" ref="R2131" ca="1">IFERROR(IF(INDEX('Disaggregation Records'!$G$156:$G$517,MATCH(RIGHT(L2131,255),RIGHT('Disaggregation Records'!$D$156:$D$517,255),0))="","",INDEX('Disaggregation Records'!$G$156:$G$517,MATCH(RIGHT(L2131,255),RIGHT('Disaggregation Records'!$D$156:$D$517,255),0))),"")</f>
        <v/>
      </c>
    </row>
    <row r="2132" spans="1:18" ht="20.100000000000001" customHeight="1">
      <c r="A2132" s="126"/>
      <c r="B2132" s="571"/>
      <c r="C2132" s="573"/>
      <c r="D2132" s="575"/>
      <c r="E2132" s="575"/>
      <c r="F2132" s="128"/>
      <c r="G2132" s="577"/>
      <c r="H2132" s="540"/>
      <c r="I2132" s="579"/>
      <c r="J2132" s="533"/>
      <c r="K2132" s="126"/>
      <c r="L2132" s="126"/>
      <c r="M2132" s="126"/>
      <c r="N2132" s="126"/>
      <c r="O2132" s="314"/>
      <c r="P2132" s="314"/>
      <c r="Q2132" s="310"/>
      <c r="R2132" s="314" t="str" cm="1">
        <f t="array" ref="R2132">IFERROR(IF(INDEX('Disaggregation Records'!$G$156:$G$517,MATCH(RIGHT(L2132,255),RIGHT('Disaggregation Records'!$D$156:$D$517,255),0))="","",INDEX('Disaggregation Records'!$G$156:$G$517,MATCH(RIGHT(L2132,255),RIGHT('Disaggregation Records'!$D$156:$D$517,255),0))),"")</f>
        <v/>
      </c>
    </row>
    <row r="2133" spans="1:18" ht="20.100000000000001" customHeight="1">
      <c r="A2133" s="126" t="str">
        <f t="shared" ref="A2133:A2193" ca="1" si="2495">INDIRECT("'update Helper'!C"&amp;Q2133)</f>
        <v>a16Dm000000M3siIAC</v>
      </c>
      <c r="B2133" s="570">
        <v>38</v>
      </c>
      <c r="C2133" s="572" t="str">
        <f ca="1">IFERROR(VLOOKUP(B2133,'Coverage Indicators - Section D'!$A$9:$AO$94,41,FALSE),"")</f>
        <v>RSSH/PP M&amp;E-1 Completeness of reporting: Percentage of expected monthly reports (for the reporting period) that are actually received</v>
      </c>
      <c r="D2133" s="574" t="str">
        <f ca="1">M2133</f>
        <v/>
      </c>
      <c r="E2133" s="574" t="str">
        <f ca="1">N2133</f>
        <v/>
      </c>
      <c r="F2133" s="127"/>
      <c r="G2133" s="576" t="str">
        <f ca="1">IF(OR(INDIRECT("'update Helper'!E"&amp;Q2133)="",F2133&lt;&gt;0,F2134&lt;&gt;0),IF(IFERROR((F2133/F2134),"")="","",(F2133/F2134)),INDIRECT("'update Helper'!E"&amp;Q2133)/100)</f>
        <v/>
      </c>
      <c r="H2133" s="539"/>
      <c r="I2133" s="578"/>
      <c r="J2133" s="532"/>
      <c r="K2133" s="126">
        <f ca="1">IF(AND(EXACT(C2133,C2131),C2131&lt;&gt;0),K2131+1,0)</f>
        <v>16</v>
      </c>
      <c r="L2133" s="126" t="str">
        <f t="shared" ref="L2133" ca="1" si="2496">IF(C2133&lt;&gt;"",C2133&amp;"-"&amp;K2133,"")</f>
        <v>RSSH/PP M&amp;E-1 Completeness of reporting: Percentage of expected monthly reports (for the reporting period) that are actually received-16</v>
      </c>
      <c r="M2133" s="126" t="str">
        <f t="array" aca="1" ref="M2133" ca="1">IFERROR(IF(INDEX('Disaggregation Records'!$E$156:$E$517,MATCH(RIGHT(L2133,255),RIGHT('Disaggregation Records'!$D$156:$D$517,255),0))="","",INDEX('Disaggregation Records'!$E$156:$E$517,MATCH(RIGHT(L2133,255),RIGHT('Disaggregation Records'!$D$156:$D$517,255),0))),"")</f>
        <v/>
      </c>
      <c r="N2133" s="126" t="str">
        <f t="array" aca="1" ref="N2133" ca="1">IFERROR(IF(INDEX('Disaggregation Records'!$F$156:$F$517,MATCH(RIGHT(L2133,255),RIGHT('Disaggregation Records'!$D$156:$D$517,255),0))="","",INDEX('Disaggregation Records'!$F$156:$F$517,MATCH(RIGHT(L2133,255),RIGHT('Disaggregation Records'!$D$156:$D$517,255),0))),"")</f>
        <v/>
      </c>
      <c r="O2133" s="314" t="str">
        <f t="array" aca="1" ref="O2133" ca="1">IFERROR(IF(INDEX('Disaggregation Records'!$H$156:$H$517,MATCH(RIGHT(L2133,255),RIGHT('Disaggregation Records'!$D$156:$D$517,255),0))="","",INDEX('Disaggregation Records'!$H$156:$H$517,MATCH(RIGHT(L2133,255),RIGHT('Disaggregation Records'!$D$156:$D$517,255),0))),"")</f>
        <v/>
      </c>
      <c r="P2133" s="310"/>
      <c r="Q2133" s="310">
        <f t="shared" ref="Q2133" si="2497">Q2131+1</f>
        <v>1769</v>
      </c>
      <c r="R2133" s="314" t="str" cm="1">
        <f t="array" aca="1" ref="R2133" ca="1">IFERROR(IF(INDEX('Disaggregation Records'!$G$156:$G$517,MATCH(RIGHT(L2133,255),RIGHT('Disaggregation Records'!$D$156:$D$517,255),0))="","",INDEX('Disaggregation Records'!$G$156:$G$517,MATCH(RIGHT(L2133,255),RIGHT('Disaggregation Records'!$D$156:$D$517,255),0))),"")</f>
        <v/>
      </c>
    </row>
    <row r="2134" spans="1:18" ht="20.100000000000001" customHeight="1">
      <c r="B2134" s="571"/>
      <c r="C2134" s="573"/>
      <c r="D2134" s="575"/>
      <c r="E2134" s="575"/>
      <c r="F2134" s="128"/>
      <c r="G2134" s="577"/>
      <c r="H2134" s="540"/>
      <c r="I2134" s="579"/>
      <c r="J2134" s="533"/>
      <c r="L2134" s="126"/>
      <c r="N2134" s="126"/>
      <c r="O2134" s="314"/>
      <c r="P2134" s="310"/>
      <c r="Q2134" s="310"/>
      <c r="R2134" s="314" t="str" cm="1">
        <f t="array" ref="R2134">IFERROR(IF(INDEX('Disaggregation Records'!$G$156:$G$517,MATCH(RIGHT(L2134,255),RIGHT('Disaggregation Records'!$D$156:$D$517,255),0))="","",INDEX('Disaggregation Records'!$G$156:$G$517,MATCH(RIGHT(L2134,255),RIGHT('Disaggregation Records'!$D$156:$D$517,255),0))),"")</f>
        <v/>
      </c>
    </row>
    <row r="2135" spans="1:18" ht="20.100000000000001" customHeight="1">
      <c r="A2135" s="126" t="str">
        <f t="shared" ref="A2135:A2195" ca="1" si="2498">INDIRECT("'update Helper'!C"&amp;Q2135)</f>
        <v>a16Dm000000M3sjIAC</v>
      </c>
      <c r="B2135" s="570">
        <v>38</v>
      </c>
      <c r="C2135" s="572" t="str">
        <f ca="1">IFERROR(VLOOKUP(B2135,'Coverage Indicators - Section D'!$A$9:$AO$94,41,FALSE),"")</f>
        <v>RSSH/PP M&amp;E-1 Completeness of reporting: Percentage of expected monthly reports (for the reporting period) that are actually received</v>
      </c>
      <c r="D2135" s="574" t="str">
        <f ca="1">M2135</f>
        <v/>
      </c>
      <c r="E2135" s="574" t="str">
        <f ca="1">N2135</f>
        <v/>
      </c>
      <c r="F2135" s="127"/>
      <c r="G2135" s="576" t="str">
        <f ca="1">IF(OR(INDIRECT("'update Helper'!E"&amp;Q2135)="",F2135&lt;&gt;0,F2136&lt;&gt;0),IF(IFERROR((F2135/F2136),"")="","",(F2135/F2136)),INDIRECT("'update Helper'!E"&amp;Q2135)/100)</f>
        <v/>
      </c>
      <c r="H2135" s="539"/>
      <c r="I2135" s="578"/>
      <c r="J2135" s="532"/>
      <c r="K2135" s="126">
        <f ca="1">IF(AND(EXACT(C2135,C2133),C2133&lt;&gt;0),K2133+1,0)</f>
        <v>17</v>
      </c>
      <c r="L2135" s="126" t="str">
        <f t="shared" ref="L2135" ca="1" si="2499">IF(C2135&lt;&gt;"",C2135&amp;"-"&amp;K2135,"")</f>
        <v>RSSH/PP M&amp;E-1 Completeness of reporting: Percentage of expected monthly reports (for the reporting period) that are actually received-17</v>
      </c>
      <c r="M2135" s="126" t="str">
        <f t="array" aca="1" ref="M2135" ca="1">IFERROR(IF(INDEX('Disaggregation Records'!$E$156:$E$517,MATCH(RIGHT(L2135,255),RIGHT('Disaggregation Records'!$D$156:$D$517,255),0))="","",INDEX('Disaggregation Records'!$E$156:$E$517,MATCH(RIGHT(L2135,255),RIGHT('Disaggregation Records'!$D$156:$D$517,255),0))),"")</f>
        <v/>
      </c>
      <c r="N2135" s="126" t="str">
        <f t="array" aca="1" ref="N2135" ca="1">IFERROR(IF(INDEX('Disaggregation Records'!$F$156:$F$517,MATCH(RIGHT(L2135,255),RIGHT('Disaggregation Records'!$D$156:$D$517,255),0))="","",INDEX('Disaggregation Records'!$F$156:$F$517,MATCH(RIGHT(L2135,255),RIGHT('Disaggregation Records'!$D$156:$D$517,255),0))),"")</f>
        <v/>
      </c>
      <c r="O2135" s="314" t="str">
        <f t="array" aca="1" ref="O2135" ca="1">IFERROR(IF(INDEX('Disaggregation Records'!$H$156:$H$517,MATCH(RIGHT(L2135,255),RIGHT('Disaggregation Records'!$D$156:$D$517,255),0))="","",INDEX('Disaggregation Records'!$H$156:$H$517,MATCH(RIGHT(L2135,255),RIGHT('Disaggregation Records'!$D$156:$D$517,255),0))),"")</f>
        <v/>
      </c>
      <c r="P2135" s="310"/>
      <c r="Q2135" s="310">
        <f t="shared" ref="Q2135" si="2500">Q2133+1</f>
        <v>1770</v>
      </c>
      <c r="R2135" s="314" t="str" cm="1">
        <f t="array" aca="1" ref="R2135" ca="1">IFERROR(IF(INDEX('Disaggregation Records'!$G$156:$G$517,MATCH(RIGHT(L2135,255),RIGHT('Disaggregation Records'!$D$156:$D$517,255),0))="","",INDEX('Disaggregation Records'!$G$156:$G$517,MATCH(RIGHT(L2135,255),RIGHT('Disaggregation Records'!$D$156:$D$517,255),0))),"")</f>
        <v/>
      </c>
    </row>
    <row r="2136" spans="1:18" ht="20.100000000000001" customHeight="1">
      <c r="A2136" s="126"/>
      <c r="B2136" s="571"/>
      <c r="C2136" s="573"/>
      <c r="D2136" s="575"/>
      <c r="E2136" s="575"/>
      <c r="F2136" s="128"/>
      <c r="G2136" s="577"/>
      <c r="H2136" s="540"/>
      <c r="I2136" s="579"/>
      <c r="J2136" s="533"/>
      <c r="L2136" s="126"/>
      <c r="N2136" s="126"/>
      <c r="O2136" s="314"/>
      <c r="P2136" s="310"/>
      <c r="Q2136" s="310"/>
      <c r="R2136" s="314" t="str" cm="1">
        <f t="array" ref="R2136">IFERROR(IF(INDEX('Disaggregation Records'!$G$156:$G$517,MATCH(RIGHT(L2136,255),RIGHT('Disaggregation Records'!$D$156:$D$517,255),0))="","",INDEX('Disaggregation Records'!$G$156:$G$517,MATCH(RIGHT(L2136,255),RIGHT('Disaggregation Records'!$D$156:$D$517,255),0))),"")</f>
        <v/>
      </c>
    </row>
    <row r="2137" spans="1:18" ht="20.100000000000001" customHeight="1">
      <c r="A2137" s="126" t="str">
        <f t="shared" ref="A2137:A2197" ca="1" si="2501">INDIRECT("'update Helper'!C"&amp;Q2137)</f>
        <v>a16Dm000000M3skIAC</v>
      </c>
      <c r="B2137" s="570">
        <v>38</v>
      </c>
      <c r="C2137" s="572" t="str">
        <f ca="1">IFERROR(VLOOKUP(B2137,'Coverage Indicators - Section D'!$A$9:$AO$94,41,FALSE),"")</f>
        <v>RSSH/PP M&amp;E-1 Completeness of reporting: Percentage of expected monthly reports (for the reporting period) that are actually received</v>
      </c>
      <c r="D2137" s="574" t="str">
        <f ca="1">M2137</f>
        <v/>
      </c>
      <c r="E2137" s="574" t="str">
        <f ca="1">N2137</f>
        <v/>
      </c>
      <c r="F2137" s="127"/>
      <c r="G2137" s="576" t="str">
        <f ca="1">IF(OR(INDIRECT("'update Helper'!E"&amp;Q2137)="",F2137&lt;&gt;0,F2138&lt;&gt;0),IF(IFERROR((F2137/F2138),"")="","",(F2137/F2138)),INDIRECT("'update Helper'!E"&amp;Q2137)/100)</f>
        <v/>
      </c>
      <c r="H2137" s="539"/>
      <c r="I2137" s="578"/>
      <c r="J2137" s="532"/>
      <c r="K2137" s="126">
        <f ca="1">IF(AND(EXACT(C2137,C2135),C2135&lt;&gt;0),K2135+1,0)</f>
        <v>18</v>
      </c>
      <c r="L2137" s="126" t="str">
        <f t="shared" ref="L2137" ca="1" si="2502">IF(C2137&lt;&gt;"",C2137&amp;"-"&amp;K2137,"")</f>
        <v>RSSH/PP M&amp;E-1 Completeness of reporting: Percentage of expected monthly reports (for the reporting period) that are actually received-18</v>
      </c>
      <c r="M2137" s="126" t="str">
        <f t="array" aca="1" ref="M2137" ca="1">IFERROR(IF(INDEX('Disaggregation Records'!$E$156:$E$517,MATCH(RIGHT(L2137,255),RIGHT('Disaggregation Records'!$D$156:$D$517,255),0))="","",INDEX('Disaggregation Records'!$E$156:$E$517,MATCH(RIGHT(L2137,255),RIGHT('Disaggregation Records'!$D$156:$D$517,255),0))),"")</f>
        <v/>
      </c>
      <c r="N2137" s="126" t="str">
        <f t="array" aca="1" ref="N2137" ca="1">IFERROR(IF(INDEX('Disaggregation Records'!$F$156:$F$517,MATCH(RIGHT(L2137,255),RIGHT('Disaggregation Records'!$D$156:$D$517,255),0))="","",INDEX('Disaggregation Records'!$F$156:$F$517,MATCH(RIGHT(L2137,255),RIGHT('Disaggregation Records'!$D$156:$D$517,255),0))),"")</f>
        <v/>
      </c>
      <c r="O2137" s="314" t="str">
        <f t="array" aca="1" ref="O2137" ca="1">IFERROR(IF(INDEX('Disaggregation Records'!$H$156:$H$517,MATCH(RIGHT(L2137,255),RIGHT('Disaggregation Records'!$D$156:$D$517,255),0))="","",INDEX('Disaggregation Records'!$H$156:$H$517,MATCH(RIGHT(L2137,255),RIGHT('Disaggregation Records'!$D$156:$D$517,255),0))),"")</f>
        <v/>
      </c>
      <c r="P2137" s="310"/>
      <c r="Q2137" s="310">
        <f t="shared" ref="Q2137" si="2503">Q2135+1</f>
        <v>1771</v>
      </c>
      <c r="R2137" s="314" t="str" cm="1">
        <f t="array" aca="1" ref="R2137" ca="1">IFERROR(IF(INDEX('Disaggregation Records'!$G$156:$G$517,MATCH(RIGHT(L2137,255),RIGHT('Disaggregation Records'!$D$156:$D$517,255),0))="","",INDEX('Disaggregation Records'!$G$156:$G$517,MATCH(RIGHT(L2137,255),RIGHT('Disaggregation Records'!$D$156:$D$517,255),0))),"")</f>
        <v/>
      </c>
    </row>
    <row r="2138" spans="1:18" ht="20.100000000000001" customHeight="1">
      <c r="B2138" s="571"/>
      <c r="C2138" s="573"/>
      <c r="D2138" s="575"/>
      <c r="E2138" s="575"/>
      <c r="F2138" s="128"/>
      <c r="G2138" s="577"/>
      <c r="H2138" s="540"/>
      <c r="I2138" s="579"/>
      <c r="J2138" s="533"/>
      <c r="L2138" s="126"/>
      <c r="N2138" s="126"/>
      <c r="O2138" s="314"/>
      <c r="P2138" s="310"/>
      <c r="Q2138" s="310"/>
      <c r="R2138" s="314" t="str" cm="1">
        <f t="array" ref="R2138">IFERROR(IF(INDEX('Disaggregation Records'!$G$156:$G$517,MATCH(RIGHT(L2138,255),RIGHT('Disaggregation Records'!$D$156:$D$517,255),0))="","",INDEX('Disaggregation Records'!$G$156:$G$517,MATCH(RIGHT(L2138,255),RIGHT('Disaggregation Records'!$D$156:$D$517,255),0))),"")</f>
        <v/>
      </c>
    </row>
    <row r="2139" spans="1:18" ht="20.100000000000001" customHeight="1">
      <c r="A2139" s="126" t="str">
        <f t="shared" ref="A2139:A2199" ca="1" si="2504">INDIRECT("'update Helper'!C"&amp;Q2139)</f>
        <v>a16Dm000000M3slIAC</v>
      </c>
      <c r="B2139" s="570">
        <v>38</v>
      </c>
      <c r="C2139" s="572" t="str">
        <f ca="1">IFERROR(VLOOKUP(B2139,'Coverage Indicators - Section D'!$A$9:$AO$94,41,FALSE),"")</f>
        <v>RSSH/PP M&amp;E-1 Completeness of reporting: Percentage of expected monthly reports (for the reporting period) that are actually received</v>
      </c>
      <c r="D2139" s="574" t="str">
        <f ca="1">M2139</f>
        <v/>
      </c>
      <c r="E2139" s="574" t="str">
        <f ca="1">N2139</f>
        <v/>
      </c>
      <c r="F2139" s="127"/>
      <c r="G2139" s="576" t="str">
        <f ca="1">IF(OR(INDIRECT("'update Helper'!E"&amp;Q2139)="",F2139&lt;&gt;0,F2140&lt;&gt;0),IF(IFERROR((F2139/F2140),"")="","",(F2139/F2140)),INDIRECT("'update Helper'!E"&amp;Q2139)/100)</f>
        <v/>
      </c>
      <c r="H2139" s="539"/>
      <c r="I2139" s="578" t="s">
        <v>2281</v>
      </c>
      <c r="J2139" s="532" t="s">
        <v>2282</v>
      </c>
      <c r="K2139" s="126">
        <f ca="1">IF(AND(EXACT(C2139,C2137),C2137&lt;&gt;0),K2137+1,0)</f>
        <v>19</v>
      </c>
      <c r="L2139" s="126" t="str">
        <f t="shared" ref="L2139" ca="1" si="2505">IF(C2139&lt;&gt;"",C2139&amp;"-"&amp;K2139,"")</f>
        <v>RSSH/PP M&amp;E-1 Completeness of reporting: Percentage of expected monthly reports (for the reporting period) that are actually received-19</v>
      </c>
      <c r="M2139" s="126" t="str">
        <f t="array" aca="1" ref="M2139" ca="1">IFERROR(IF(INDEX('Disaggregation Records'!$E$156:$E$517,MATCH(RIGHT(L2139,255),RIGHT('Disaggregation Records'!$D$156:$D$517,255),0))="","",INDEX('Disaggregation Records'!$E$156:$E$517,MATCH(RIGHT(L2139,255),RIGHT('Disaggregation Records'!$D$156:$D$517,255),0))),"")</f>
        <v/>
      </c>
      <c r="N2139" s="126" t="str">
        <f t="array" aca="1" ref="N2139" ca="1">IFERROR(IF(INDEX('Disaggregation Records'!$F$156:$F$517,MATCH(RIGHT(L2139,255),RIGHT('Disaggregation Records'!$D$156:$D$517,255),0))="","",INDEX('Disaggregation Records'!$F$156:$F$517,MATCH(RIGHT(L2139,255),RIGHT('Disaggregation Records'!$D$156:$D$517,255),0))),"")</f>
        <v/>
      </c>
      <c r="O2139" s="314" t="str">
        <f t="array" aca="1" ref="O2139" ca="1">IFERROR(IF(INDEX('Disaggregation Records'!$H$156:$H$517,MATCH(RIGHT(L2139,255),RIGHT('Disaggregation Records'!$D$156:$D$517,255),0))="","",INDEX('Disaggregation Records'!$H$156:$H$517,MATCH(RIGHT(L2139,255),RIGHT('Disaggregation Records'!$D$156:$D$517,255),0))),"")</f>
        <v/>
      </c>
      <c r="P2139" s="314"/>
      <c r="Q2139" s="310">
        <f t="shared" ref="Q2139" si="2506">Q2137+1</f>
        <v>1772</v>
      </c>
      <c r="R2139" s="314" t="str" cm="1">
        <f t="array" aca="1" ref="R2139" ca="1">IFERROR(IF(INDEX('Disaggregation Records'!$G$156:$G$517,MATCH(RIGHT(L2139,255),RIGHT('Disaggregation Records'!$D$156:$D$517,255),0))="","",INDEX('Disaggregation Records'!$G$156:$G$517,MATCH(RIGHT(L2139,255),RIGHT('Disaggregation Records'!$D$156:$D$517,255),0))),"")</f>
        <v/>
      </c>
    </row>
    <row r="2140" spans="1:18" ht="20.100000000000001" customHeight="1">
      <c r="A2140" s="126"/>
      <c r="B2140" s="571"/>
      <c r="C2140" s="573"/>
      <c r="D2140" s="575"/>
      <c r="E2140" s="575"/>
      <c r="F2140" s="128"/>
      <c r="G2140" s="577"/>
      <c r="H2140" s="540"/>
      <c r="I2140" s="579"/>
      <c r="J2140" s="533"/>
      <c r="K2140" s="126"/>
      <c r="L2140" s="126"/>
      <c r="M2140" s="126"/>
      <c r="N2140" s="126"/>
      <c r="O2140" s="314"/>
      <c r="P2140" s="314"/>
      <c r="Q2140" s="310"/>
      <c r="R2140" s="314" t="str" cm="1">
        <f t="array" ref="R2140">IFERROR(IF(INDEX('Disaggregation Records'!$G$156:$G$517,MATCH(RIGHT(L2140,255),RIGHT('Disaggregation Records'!$D$156:$D$517,255),0))="","",INDEX('Disaggregation Records'!$G$156:$G$517,MATCH(RIGHT(L2140,255),RIGHT('Disaggregation Records'!$D$156:$D$517,255),0))),"")</f>
        <v/>
      </c>
    </row>
    <row r="2141" spans="1:18" ht="20.100000000000001" customHeight="1">
      <c r="A2141" s="126" t="str">
        <f t="shared" ref="A2141:A2201" ca="1" si="2507">INDIRECT("'update Helper'!C"&amp;Q2141)</f>
        <v>a16Dm000000M3smIAC</v>
      </c>
      <c r="B2141" s="570">
        <v>39</v>
      </c>
      <c r="C2141" s="572" t="str">
        <f ca="1">IFERROR(VLOOKUP(B2141,'Coverage Indicators - Section D'!$A$9:$AO$94,41,FALSE),"")</f>
        <v>RSSH/PP M&amp;E-2 Timeliness of reporting: Percentage of submitted monthly reports (for the reporting period) that are received on time per the national guidelines</v>
      </c>
      <c r="D2141" s="574" t="str">
        <f ca="1">M2141</f>
        <v>Report type</v>
      </c>
      <c r="E2141" s="574" t="str">
        <f ca="1">N2141</f>
        <v>Notifiable diseases and event surveillance reports</v>
      </c>
      <c r="F2141" s="127"/>
      <c r="G2141" s="576" t="str">
        <f ca="1">IF(OR(INDIRECT("'update Helper'!E"&amp;Q2141)="",F2141&lt;&gt;0,F2142&lt;&gt;0),IF(IFERROR((F2141/F2142),"")="","",(F2141/F2142)),INDIRECT("'update Helper'!E"&amp;Q2141)/100)</f>
        <v/>
      </c>
      <c r="H2141" s="539"/>
      <c r="I2141" s="578"/>
      <c r="J2141" s="532"/>
      <c r="K2141" s="126">
        <f ca="1">IF(AND(EXACT(C2141,C2139),C2139&lt;&gt;0),K2139+1,0)</f>
        <v>0</v>
      </c>
      <c r="L2141" s="126" t="str">
        <f t="shared" ref="L2141" ca="1" si="2508">IF(C2141&lt;&gt;"",C2141&amp;"-"&amp;K2141,"")</f>
        <v>RSSH/PP M&amp;E-2 Timeliness of reporting: Percentage of submitted monthly reports (for the reporting period) that are received on time per the national guidelines-0</v>
      </c>
      <c r="M2141" s="126" t="str">
        <f t="array" aca="1" ref="M2141" ca="1">IFERROR(IF(INDEX('Disaggregation Records'!$E$156:$E$517,MATCH(RIGHT(L2141,255),RIGHT('Disaggregation Records'!$D$156:$D$517,255),0))="","",INDEX('Disaggregation Records'!$E$156:$E$517,MATCH(RIGHT(L2141,255),RIGHT('Disaggregation Records'!$D$156:$D$517,255),0))),"")</f>
        <v>Report type</v>
      </c>
      <c r="N2141" s="126" t="str">
        <f t="array" aca="1" ref="N2141" ca="1">IFERROR(IF(INDEX('Disaggregation Records'!$F$156:$F$517,MATCH(RIGHT(L2141,255),RIGHT('Disaggregation Records'!$D$156:$D$517,255),0))="","",INDEX('Disaggregation Records'!$F$156:$F$517,MATCH(RIGHT(L2141,255),RIGHT('Disaggregation Records'!$D$156:$D$517,255),0))),"")</f>
        <v>Notifiable diseases and event surveillance reports</v>
      </c>
      <c r="O2141" s="314" t="str">
        <f t="array" aca="1" ref="O2141" ca="1">IFERROR(IF(INDEX('Disaggregation Records'!$H$156:$H$517,MATCH(RIGHT(L2141,255),RIGHT('Disaggregation Records'!$D$156:$D$517,255),0))="","",INDEX('Disaggregation Records'!$H$156:$H$517,MATCH(RIGHT(L2141,255),RIGHT('Disaggregation Records'!$D$156:$D$517,255),0))),"")</f>
        <v>IDR-01506</v>
      </c>
      <c r="P2141" s="314"/>
      <c r="Q2141" s="310">
        <f t="shared" ref="Q2141" si="2509">Q2139+1</f>
        <v>1773</v>
      </c>
      <c r="R2141" s="314" t="str" cm="1">
        <f t="array" aca="1" ref="R2141" ca="1">IFERROR(IF(INDEX('Disaggregation Records'!$G$156:$G$517,MATCH(RIGHT(L2141,255),RIGHT('Disaggregation Records'!$D$156:$D$517,255),0))="","",INDEX('Disaggregation Records'!$G$156:$G$517,MATCH(RIGHT(L2141,255),RIGHT('Disaggregation Records'!$D$156:$D$517,255),0))),"")</f>
        <v>a1LDm000000Cb72MAC</v>
      </c>
    </row>
    <row r="2142" spans="1:18" ht="20.100000000000001" customHeight="1">
      <c r="B2142" s="571"/>
      <c r="C2142" s="573"/>
      <c r="D2142" s="575"/>
      <c r="E2142" s="575"/>
      <c r="F2142" s="128"/>
      <c r="G2142" s="577"/>
      <c r="H2142" s="540"/>
      <c r="I2142" s="579"/>
      <c r="J2142" s="533"/>
      <c r="K2142" s="126"/>
      <c r="L2142" s="126"/>
      <c r="M2142" s="126"/>
      <c r="N2142" s="126"/>
      <c r="O2142" s="314"/>
      <c r="P2142" s="314"/>
      <c r="Q2142" s="310"/>
      <c r="R2142" s="314" t="str" cm="1">
        <f t="array" ref="R2142">IFERROR(IF(INDEX('Disaggregation Records'!$G$156:$G$517,MATCH(RIGHT(L2142,255),RIGHT('Disaggregation Records'!$D$156:$D$517,255),0))="","",INDEX('Disaggregation Records'!$G$156:$G$517,MATCH(RIGHT(L2142,255),RIGHT('Disaggregation Records'!$D$156:$D$517,255),0))),"")</f>
        <v/>
      </c>
    </row>
    <row r="2143" spans="1:18" ht="20.100000000000001" customHeight="1">
      <c r="A2143" s="126" t="str">
        <f t="shared" ref="A2143:A2203" ca="1" si="2510">INDIRECT("'update Helper'!C"&amp;Q2143)</f>
        <v>a16Dm000000M3snIAC</v>
      </c>
      <c r="B2143" s="570">
        <v>39</v>
      </c>
      <c r="C2143" s="572" t="str">
        <f ca="1">IFERROR(VLOOKUP(B2143,'Coverage Indicators - Section D'!$A$9:$AO$94,41,FALSE),"")</f>
        <v>RSSH/PP M&amp;E-2 Timeliness of reporting: Percentage of submitted monthly reports (for the reporting period) that are received on time per the national guidelines</v>
      </c>
      <c r="D2143" s="574" t="str">
        <f ca="1">M2143</f>
        <v>Provider type</v>
      </c>
      <c r="E2143" s="574" t="str">
        <f ca="1">N2143</f>
        <v>Community</v>
      </c>
      <c r="F2143" s="127"/>
      <c r="G2143" s="576" t="str">
        <f ca="1">IF(OR(INDIRECT("'update Helper'!E"&amp;Q2143)="",F2143&lt;&gt;0,F2144&lt;&gt;0),IF(IFERROR((F2143/F2144),"")="","",(F2143/F2144)),INDIRECT("'update Helper'!E"&amp;Q2143)/100)</f>
        <v/>
      </c>
      <c r="H2143" s="539"/>
      <c r="I2143" s="578"/>
      <c r="J2143" s="532"/>
      <c r="K2143" s="126">
        <f ca="1">IF(AND(EXACT(C2143,C2141),C2141&lt;&gt;0),K2141+1,0)</f>
        <v>1</v>
      </c>
      <c r="L2143" s="126" t="str">
        <f t="shared" ref="L2143" ca="1" si="2511">IF(C2143&lt;&gt;"",C2143&amp;"-"&amp;K2143,"")</f>
        <v>RSSH/PP M&amp;E-2 Timeliness of reporting: Percentage of submitted monthly reports (for the reporting period) that are received on time per the national guidelines-1</v>
      </c>
      <c r="M2143" s="126" t="str">
        <f t="array" aca="1" ref="M2143" ca="1">IFERROR(IF(INDEX('Disaggregation Records'!$E$156:$E$517,MATCH(RIGHT(L2143,255),RIGHT('Disaggregation Records'!$D$156:$D$517,255),0))="","",INDEX('Disaggregation Records'!$E$156:$E$517,MATCH(RIGHT(L2143,255),RIGHT('Disaggregation Records'!$D$156:$D$517,255),0))),"")</f>
        <v>Provider type</v>
      </c>
      <c r="N2143" s="126" t="str">
        <f t="array" aca="1" ref="N2143" ca="1">IFERROR(IF(INDEX('Disaggregation Records'!$F$156:$F$517,MATCH(RIGHT(L2143,255),RIGHT('Disaggregation Records'!$D$156:$D$517,255),0))="","",INDEX('Disaggregation Records'!$F$156:$F$517,MATCH(RIGHT(L2143,255),RIGHT('Disaggregation Records'!$D$156:$D$517,255),0))),"")</f>
        <v>Community</v>
      </c>
      <c r="O2143" s="314" t="str">
        <f t="array" aca="1" ref="O2143" ca="1">IFERROR(IF(INDEX('Disaggregation Records'!$H$156:$H$517,MATCH(RIGHT(L2143,255),RIGHT('Disaggregation Records'!$D$156:$D$517,255),0))="","",INDEX('Disaggregation Records'!$H$156:$H$517,MATCH(RIGHT(L2143,255),RIGHT('Disaggregation Records'!$D$156:$D$517,255),0))),"")</f>
        <v>IDR-01505</v>
      </c>
      <c r="P2143" s="310"/>
      <c r="Q2143" s="310">
        <f t="shared" ref="Q2143" si="2512">Q2141+1</f>
        <v>1774</v>
      </c>
      <c r="R2143" s="314" t="str" cm="1">
        <f t="array" aca="1" ref="R2143" ca="1">IFERROR(IF(INDEX('Disaggregation Records'!$G$156:$G$517,MATCH(RIGHT(L2143,255),RIGHT('Disaggregation Records'!$D$156:$D$517,255),0))="","",INDEX('Disaggregation Records'!$G$156:$G$517,MATCH(RIGHT(L2143,255),RIGHT('Disaggregation Records'!$D$156:$D$517,255),0))),"")</f>
        <v>a1LDm000000Cb71MAC</v>
      </c>
    </row>
    <row r="2144" spans="1:18" ht="20.100000000000001" customHeight="1">
      <c r="A2144" s="126"/>
      <c r="B2144" s="571"/>
      <c r="C2144" s="573"/>
      <c r="D2144" s="575"/>
      <c r="E2144" s="575"/>
      <c r="F2144" s="128"/>
      <c r="G2144" s="577"/>
      <c r="H2144" s="540"/>
      <c r="I2144" s="579"/>
      <c r="J2144" s="533"/>
      <c r="L2144" s="126"/>
      <c r="N2144" s="126"/>
      <c r="O2144" s="314"/>
      <c r="P2144" s="310"/>
      <c r="Q2144" s="310"/>
      <c r="R2144" s="314" t="str" cm="1">
        <f t="array" ref="R2144">IFERROR(IF(INDEX('Disaggregation Records'!$G$156:$G$517,MATCH(RIGHT(L2144,255),RIGHT('Disaggregation Records'!$D$156:$D$517,255),0))="","",INDEX('Disaggregation Records'!$G$156:$G$517,MATCH(RIGHT(L2144,255),RIGHT('Disaggregation Records'!$D$156:$D$517,255),0))),"")</f>
        <v/>
      </c>
    </row>
    <row r="2145" spans="1:18" ht="20.100000000000001" customHeight="1">
      <c r="A2145" s="126" t="str">
        <f t="shared" ref="A2145:A2205" ca="1" si="2513">INDIRECT("'update Helper'!C"&amp;Q2145)</f>
        <v>a16Dm000000M3soIAC</v>
      </c>
      <c r="B2145" s="570">
        <v>39</v>
      </c>
      <c r="C2145" s="572" t="str">
        <f ca="1">IFERROR(VLOOKUP(B2145,'Coverage Indicators - Section D'!$A$9:$AO$94,41,FALSE),"")</f>
        <v>RSSH/PP M&amp;E-2 Timeliness of reporting: Percentage of submitted monthly reports (for the reporting period) that are received on time per the national guidelines</v>
      </c>
      <c r="D2145" s="574" t="str">
        <f ca="1">M2145</f>
        <v>Report type</v>
      </c>
      <c r="E2145" s="574" t="str">
        <f ca="1">N2145</f>
        <v>Malaria reports</v>
      </c>
      <c r="F2145" s="127"/>
      <c r="G2145" s="576"/>
      <c r="H2145" s="539"/>
      <c r="I2145" s="578"/>
      <c r="J2145" s="532"/>
      <c r="K2145" s="126">
        <f ca="1">IF(AND(EXACT(C2145,C2143),C2143&lt;&gt;0),K2143+1,0)</f>
        <v>2</v>
      </c>
      <c r="L2145" s="126" t="str">
        <f t="shared" ref="L2145" ca="1" si="2514">IF(C2145&lt;&gt;"",C2145&amp;"-"&amp;K2145,"")</f>
        <v>RSSH/PP M&amp;E-2 Timeliness of reporting: Percentage of submitted monthly reports (for the reporting period) that are received on time per the national guidelines-2</v>
      </c>
      <c r="M2145" s="126" t="str">
        <f t="array" aca="1" ref="M2145" ca="1">IFERROR(IF(INDEX('Disaggregation Records'!$E$156:$E$517,MATCH(RIGHT(L2145,255),RIGHT('Disaggregation Records'!$D$156:$D$517,255),0))="","",INDEX('Disaggregation Records'!$E$156:$E$517,MATCH(RIGHT(L2145,255),RIGHT('Disaggregation Records'!$D$156:$D$517,255),0))),"")</f>
        <v>Report type</v>
      </c>
      <c r="N2145" s="126" t="str">
        <f t="array" aca="1" ref="N2145" ca="1">IFERROR(IF(INDEX('Disaggregation Records'!$F$156:$F$517,MATCH(RIGHT(L2145,255),RIGHT('Disaggregation Records'!$D$156:$D$517,255),0))="","",INDEX('Disaggregation Records'!$F$156:$F$517,MATCH(RIGHT(L2145,255),RIGHT('Disaggregation Records'!$D$156:$D$517,255),0))),"")</f>
        <v>Malaria reports</v>
      </c>
      <c r="O2145" s="314" t="str">
        <f t="array" aca="1" ref="O2145" ca="1">IFERROR(IF(INDEX('Disaggregation Records'!$H$156:$H$517,MATCH(RIGHT(L2145,255),RIGHT('Disaggregation Records'!$D$156:$D$517,255),0))="","",INDEX('Disaggregation Records'!$H$156:$H$517,MATCH(RIGHT(L2145,255),RIGHT('Disaggregation Records'!$D$156:$D$517,255),0))),"")</f>
        <v>IDR-01504</v>
      </c>
      <c r="P2145" s="310"/>
      <c r="Q2145" s="310">
        <f t="shared" ref="Q2145" si="2515">Q2143+1</f>
        <v>1775</v>
      </c>
      <c r="R2145" s="314" t="str" cm="1">
        <f t="array" aca="1" ref="R2145" ca="1">IFERROR(IF(INDEX('Disaggregation Records'!$G$156:$G$517,MATCH(RIGHT(L2145,255),RIGHT('Disaggregation Records'!$D$156:$D$517,255),0))="","",INDEX('Disaggregation Records'!$G$156:$G$517,MATCH(RIGHT(L2145,255),RIGHT('Disaggregation Records'!$D$156:$D$517,255),0))),"")</f>
        <v>a1LDm000000Cb70MAC</v>
      </c>
    </row>
    <row r="2146" spans="1:18" ht="20.100000000000001" customHeight="1">
      <c r="B2146" s="571"/>
      <c r="C2146" s="573"/>
      <c r="D2146" s="575"/>
      <c r="E2146" s="575"/>
      <c r="F2146" s="128"/>
      <c r="G2146" s="577"/>
      <c r="H2146" s="540"/>
      <c r="I2146" s="579"/>
      <c r="J2146" s="533"/>
      <c r="L2146" s="126"/>
      <c r="N2146" s="126"/>
      <c r="O2146" s="314"/>
      <c r="P2146" s="310"/>
      <c r="Q2146" s="310"/>
      <c r="R2146" s="314" t="str" cm="1">
        <f t="array" ref="R2146">IFERROR(IF(INDEX('Disaggregation Records'!$G$156:$G$517,MATCH(RIGHT(L2146,255),RIGHT('Disaggregation Records'!$D$156:$D$517,255),0))="","",INDEX('Disaggregation Records'!$G$156:$G$517,MATCH(RIGHT(L2146,255),RIGHT('Disaggregation Records'!$D$156:$D$517,255),0))),"")</f>
        <v/>
      </c>
    </row>
    <row r="2147" spans="1:18" ht="20.100000000000001" customHeight="1">
      <c r="A2147" s="126" t="str">
        <f t="shared" ref="A2147:A2207" ca="1" si="2516">INDIRECT("'update Helper'!C"&amp;Q2147)</f>
        <v>a16Dm000000M3spIAC</v>
      </c>
      <c r="B2147" s="570">
        <v>39</v>
      </c>
      <c r="C2147" s="572" t="str">
        <f ca="1">IFERROR(VLOOKUP(B2147,'Coverage Indicators - Section D'!$A$9:$AO$94,41,FALSE),"")</f>
        <v>RSSH/PP M&amp;E-2 Timeliness of reporting: Percentage of submitted monthly reports (for the reporting period) that are received on time per the national guidelines</v>
      </c>
      <c r="D2147" s="574" t="str">
        <f ca="1">M2147</f>
        <v>Provider type</v>
      </c>
      <c r="E2147" s="574" t="str">
        <f ca="1">N2147</f>
        <v>Private</v>
      </c>
      <c r="F2147" s="127"/>
      <c r="G2147" s="576" t="str">
        <f t="shared" ref="G2147" ca="1" si="2517">IF(OR(INDIRECT("'update Helper'!E"&amp;Q2147)="",F2147&lt;&gt;0,F2148&lt;&gt;0),IF(IFERROR((F2147/F2148),"")="","",(F2147/F2148)),INDIRECT("'update Helper'!E"&amp;Q2147)/100)</f>
        <v/>
      </c>
      <c r="H2147" s="539"/>
      <c r="I2147" s="578"/>
      <c r="J2147" s="532"/>
      <c r="K2147" s="126">
        <f ca="1">IF(AND(EXACT(C2147,C2145),C2145&lt;&gt;0),K2145+1,0)</f>
        <v>3</v>
      </c>
      <c r="L2147" s="126" t="str">
        <f t="shared" ref="L2147" ca="1" si="2518">IF(C2147&lt;&gt;"",C2147&amp;"-"&amp;K2147,"")</f>
        <v>RSSH/PP M&amp;E-2 Timeliness of reporting: Percentage of submitted monthly reports (for the reporting period) that are received on time per the national guidelines-3</v>
      </c>
      <c r="M2147" s="126" t="str">
        <f t="array" aca="1" ref="M2147" ca="1">IFERROR(IF(INDEX('Disaggregation Records'!$E$156:$E$517,MATCH(RIGHT(L2147,255),RIGHT('Disaggregation Records'!$D$156:$D$517,255),0))="","",INDEX('Disaggregation Records'!$E$156:$E$517,MATCH(RIGHT(L2147,255),RIGHT('Disaggregation Records'!$D$156:$D$517,255),0))),"")</f>
        <v>Provider type</v>
      </c>
      <c r="N2147" s="126" t="str">
        <f t="array" aca="1" ref="N2147" ca="1">IFERROR(IF(INDEX('Disaggregation Records'!$F$156:$F$517,MATCH(RIGHT(L2147,255),RIGHT('Disaggregation Records'!$D$156:$D$517,255),0))="","",INDEX('Disaggregation Records'!$F$156:$F$517,MATCH(RIGHT(L2147,255),RIGHT('Disaggregation Records'!$D$156:$D$517,255),0))),"")</f>
        <v>Private</v>
      </c>
      <c r="O2147" s="314" t="str">
        <f t="array" aca="1" ref="O2147" ca="1">IFERROR(IF(INDEX('Disaggregation Records'!$H$156:$H$517,MATCH(RIGHT(L2147,255),RIGHT('Disaggregation Records'!$D$156:$D$517,255),0))="","",INDEX('Disaggregation Records'!$H$156:$H$517,MATCH(RIGHT(L2147,255),RIGHT('Disaggregation Records'!$D$156:$D$517,255),0))),"")</f>
        <v>IDR-01503</v>
      </c>
      <c r="P2147" s="310"/>
      <c r="Q2147" s="310">
        <f t="shared" ref="Q2147" si="2519">Q2145+1</f>
        <v>1776</v>
      </c>
      <c r="R2147" s="314" t="str" cm="1">
        <f t="array" aca="1" ref="R2147" ca="1">IFERROR(IF(INDEX('Disaggregation Records'!$G$156:$G$517,MATCH(RIGHT(L2147,255),RIGHT('Disaggregation Records'!$D$156:$D$517,255),0))="","",INDEX('Disaggregation Records'!$G$156:$G$517,MATCH(RIGHT(L2147,255),RIGHT('Disaggregation Records'!$D$156:$D$517,255),0))),"")</f>
        <v>a1LDm000000Cb6zMAC</v>
      </c>
    </row>
    <row r="2148" spans="1:18" ht="20.100000000000001" customHeight="1">
      <c r="A2148" s="126"/>
      <c r="B2148" s="571"/>
      <c r="C2148" s="573"/>
      <c r="D2148" s="575"/>
      <c r="E2148" s="575"/>
      <c r="F2148" s="128"/>
      <c r="G2148" s="577"/>
      <c r="H2148" s="540"/>
      <c r="I2148" s="579"/>
      <c r="J2148" s="533"/>
      <c r="L2148" s="126"/>
      <c r="N2148" s="126"/>
      <c r="O2148" s="314"/>
      <c r="P2148" s="310"/>
      <c r="Q2148" s="310"/>
      <c r="R2148" s="314" t="str" cm="1">
        <f t="array" ref="R2148">IFERROR(IF(INDEX('Disaggregation Records'!$G$156:$G$517,MATCH(RIGHT(L2148,255),RIGHT('Disaggregation Records'!$D$156:$D$517,255),0))="","",INDEX('Disaggregation Records'!$G$156:$G$517,MATCH(RIGHT(L2148,255),RIGHT('Disaggregation Records'!$D$156:$D$517,255),0))),"")</f>
        <v/>
      </c>
    </row>
    <row r="2149" spans="1:18" ht="20.100000000000001" customHeight="1">
      <c r="A2149" s="126" t="str">
        <f t="shared" ref="A2149:A2209" ca="1" si="2520">INDIRECT("'update Helper'!C"&amp;Q2149)</f>
        <v>a16Dm000000M3sqIAC</v>
      </c>
      <c r="B2149" s="570">
        <v>39</v>
      </c>
      <c r="C2149" s="572" t="str">
        <f ca="1">IFERROR(VLOOKUP(B2149,'Coverage Indicators - Section D'!$A$9:$AO$94,41,FALSE),"")</f>
        <v>RSSH/PP M&amp;E-2 Timeliness of reporting: Percentage of submitted monthly reports (for the reporting period) that are received on time per the national guidelines</v>
      </c>
      <c r="D2149" s="574" t="str">
        <f ca="1">M2149</f>
        <v>Report type</v>
      </c>
      <c r="E2149" s="574" t="str">
        <f ca="1">N2149</f>
        <v>TB reports</v>
      </c>
      <c r="F2149" s="127"/>
      <c r="G2149" s="576" t="str">
        <f t="shared" ref="G2149" ca="1" si="2521">IF(OR(INDIRECT("'update Helper'!E"&amp;Q2149)="",F2149&lt;&gt;0,F2150&lt;&gt;0),IF(IFERROR((F2149/F2150),"")="","",(F2149/F2150)),INDIRECT("'update Helper'!E"&amp;Q2149)/100)</f>
        <v/>
      </c>
      <c r="H2149" s="539"/>
      <c r="I2149" s="578"/>
      <c r="J2149" s="532"/>
      <c r="K2149" s="126">
        <f ca="1">IF(AND(EXACT(C2149,C2147),C2147&lt;&gt;0),K2147+1,0)</f>
        <v>4</v>
      </c>
      <c r="L2149" s="126" t="str">
        <f t="shared" ref="L2149" ca="1" si="2522">IF(C2149&lt;&gt;"",C2149&amp;"-"&amp;K2149,"")</f>
        <v>RSSH/PP M&amp;E-2 Timeliness of reporting: Percentage of submitted monthly reports (for the reporting period) that are received on time per the national guidelines-4</v>
      </c>
      <c r="M2149" s="126" t="str">
        <f t="array" aca="1" ref="M2149" ca="1">IFERROR(IF(INDEX('Disaggregation Records'!$E$156:$E$517,MATCH(RIGHT(L2149,255),RIGHT('Disaggregation Records'!$D$156:$D$517,255),0))="","",INDEX('Disaggregation Records'!$E$156:$E$517,MATCH(RIGHT(L2149,255),RIGHT('Disaggregation Records'!$D$156:$D$517,255),0))),"")</f>
        <v>Report type</v>
      </c>
      <c r="N2149" s="126" t="str">
        <f t="array" aca="1" ref="N2149" ca="1">IFERROR(IF(INDEX('Disaggregation Records'!$F$156:$F$517,MATCH(RIGHT(L2149,255),RIGHT('Disaggregation Records'!$D$156:$D$517,255),0))="","",INDEX('Disaggregation Records'!$F$156:$F$517,MATCH(RIGHT(L2149,255),RIGHT('Disaggregation Records'!$D$156:$D$517,255),0))),"")</f>
        <v>TB reports</v>
      </c>
      <c r="O2149" s="314" t="str">
        <f t="array" aca="1" ref="O2149" ca="1">IFERROR(IF(INDEX('Disaggregation Records'!$H$156:$H$517,MATCH(RIGHT(L2149,255),RIGHT('Disaggregation Records'!$D$156:$D$517,255),0))="","",INDEX('Disaggregation Records'!$H$156:$H$517,MATCH(RIGHT(L2149,255),RIGHT('Disaggregation Records'!$D$156:$D$517,255),0))),"")</f>
        <v>IDR-01502</v>
      </c>
      <c r="P2149" s="314"/>
      <c r="Q2149" s="310">
        <f t="shared" ref="Q2149" si="2523">Q2147+1</f>
        <v>1777</v>
      </c>
      <c r="R2149" s="314" t="str" cm="1">
        <f t="array" aca="1" ref="R2149" ca="1">IFERROR(IF(INDEX('Disaggregation Records'!$G$156:$G$517,MATCH(RIGHT(L2149,255),RIGHT('Disaggregation Records'!$D$156:$D$517,255),0))="","",INDEX('Disaggregation Records'!$G$156:$G$517,MATCH(RIGHT(L2149,255),RIGHT('Disaggregation Records'!$D$156:$D$517,255),0))),"")</f>
        <v>a1LDm000000Cb6yMAC</v>
      </c>
    </row>
    <row r="2150" spans="1:18" ht="20.100000000000001" customHeight="1">
      <c r="B2150" s="571"/>
      <c r="C2150" s="573"/>
      <c r="D2150" s="575"/>
      <c r="E2150" s="575"/>
      <c r="F2150" s="128"/>
      <c r="G2150" s="577"/>
      <c r="H2150" s="540"/>
      <c r="I2150" s="579"/>
      <c r="J2150" s="533"/>
      <c r="K2150" s="126"/>
      <c r="L2150" s="126"/>
      <c r="M2150" s="126"/>
      <c r="N2150" s="126"/>
      <c r="O2150" s="314"/>
      <c r="P2150" s="314"/>
      <c r="Q2150" s="310"/>
      <c r="R2150" s="314" t="str" cm="1">
        <f t="array" ref="R2150">IFERROR(IF(INDEX('Disaggregation Records'!$G$156:$G$517,MATCH(RIGHT(L2150,255),RIGHT('Disaggregation Records'!$D$156:$D$517,255),0))="","",INDEX('Disaggregation Records'!$G$156:$G$517,MATCH(RIGHT(L2150,255),RIGHT('Disaggregation Records'!$D$156:$D$517,255),0))),"")</f>
        <v/>
      </c>
    </row>
    <row r="2151" spans="1:18" ht="20.100000000000001" customHeight="1">
      <c r="A2151" s="126" t="str">
        <f t="shared" ref="A2151:A2211" ca="1" si="2524">INDIRECT("'update Helper'!C"&amp;Q2151)</f>
        <v>a16Dm000000M3srIAC</v>
      </c>
      <c r="B2151" s="570">
        <v>39</v>
      </c>
      <c r="C2151" s="572" t="str">
        <f ca="1">IFERROR(VLOOKUP(B2151,'Coverage Indicators - Section D'!$A$9:$AO$94,41,FALSE),"")</f>
        <v>RSSH/PP M&amp;E-2 Timeliness of reporting: Percentage of submitted monthly reports (for the reporting period) that are received on time per the national guidelines</v>
      </c>
      <c r="D2151" s="574" t="str">
        <f ca="1">M2151</f>
        <v>Report type</v>
      </c>
      <c r="E2151" s="574" t="str">
        <f ca="1">N2151</f>
        <v>HIV reports</v>
      </c>
      <c r="F2151" s="127"/>
      <c r="G2151" s="576"/>
      <c r="H2151" s="539"/>
      <c r="I2151" s="578"/>
      <c r="J2151" s="532"/>
      <c r="K2151" s="126">
        <f ca="1">IF(AND(EXACT(C2151,C2149),C2149&lt;&gt;0),K2149+1,0)</f>
        <v>5</v>
      </c>
      <c r="L2151" s="126" t="str">
        <f t="shared" ref="L2151" ca="1" si="2525">IF(C2151&lt;&gt;"",C2151&amp;"-"&amp;K2151,"")</f>
        <v>RSSH/PP M&amp;E-2 Timeliness of reporting: Percentage of submitted monthly reports (for the reporting period) that are received on time per the national guidelines-5</v>
      </c>
      <c r="M2151" s="126" t="str">
        <f t="array" aca="1" ref="M2151" ca="1">IFERROR(IF(INDEX('Disaggregation Records'!$E$156:$E$517,MATCH(RIGHT(L2151,255),RIGHT('Disaggregation Records'!$D$156:$D$517,255),0))="","",INDEX('Disaggregation Records'!$E$156:$E$517,MATCH(RIGHT(L2151,255),RIGHT('Disaggregation Records'!$D$156:$D$517,255),0))),"")</f>
        <v>Report type</v>
      </c>
      <c r="N2151" s="126" t="str">
        <f t="array" aca="1" ref="N2151" ca="1">IFERROR(IF(INDEX('Disaggregation Records'!$F$156:$F$517,MATCH(RIGHT(L2151,255),RIGHT('Disaggregation Records'!$D$156:$D$517,255),0))="","",INDEX('Disaggregation Records'!$F$156:$F$517,MATCH(RIGHT(L2151,255),RIGHT('Disaggregation Records'!$D$156:$D$517,255),0))),"")</f>
        <v>HIV reports</v>
      </c>
      <c r="O2151" s="314" t="str">
        <f t="array" aca="1" ref="O2151" ca="1">IFERROR(IF(INDEX('Disaggregation Records'!$H$156:$H$517,MATCH(RIGHT(L2151,255),RIGHT('Disaggregation Records'!$D$156:$D$517,255),0))="","",INDEX('Disaggregation Records'!$H$156:$H$517,MATCH(RIGHT(L2151,255),RIGHT('Disaggregation Records'!$D$156:$D$517,255),0))),"")</f>
        <v>IDR-01501</v>
      </c>
      <c r="P2151" s="314"/>
      <c r="Q2151" s="310">
        <f t="shared" ref="Q2151" si="2526">Q2149+1</f>
        <v>1778</v>
      </c>
      <c r="R2151" s="314" t="str" cm="1">
        <f t="array" aca="1" ref="R2151" ca="1">IFERROR(IF(INDEX('Disaggregation Records'!$G$156:$G$517,MATCH(RIGHT(L2151,255),RIGHT('Disaggregation Records'!$D$156:$D$517,255),0))="","",INDEX('Disaggregation Records'!$G$156:$G$517,MATCH(RIGHT(L2151,255),RIGHT('Disaggregation Records'!$D$156:$D$517,255),0))),"")</f>
        <v>a1LDm000000Cb6xMAC</v>
      </c>
    </row>
    <row r="2152" spans="1:18" ht="20.100000000000001" customHeight="1">
      <c r="A2152" s="126"/>
      <c r="B2152" s="571"/>
      <c r="C2152" s="573"/>
      <c r="D2152" s="575"/>
      <c r="E2152" s="575"/>
      <c r="F2152" s="128"/>
      <c r="G2152" s="577"/>
      <c r="H2152" s="540"/>
      <c r="I2152" s="579"/>
      <c r="J2152" s="533"/>
      <c r="K2152" s="126"/>
      <c r="L2152" s="126"/>
      <c r="M2152" s="126"/>
      <c r="N2152" s="126"/>
      <c r="O2152" s="314"/>
      <c r="P2152" s="314"/>
      <c r="Q2152" s="310"/>
      <c r="R2152" s="314" t="str" cm="1">
        <f t="array" ref="R2152">IFERROR(IF(INDEX('Disaggregation Records'!$G$156:$G$517,MATCH(RIGHT(L2152,255),RIGHT('Disaggregation Records'!$D$156:$D$517,255),0))="","",INDEX('Disaggregation Records'!$G$156:$G$517,MATCH(RIGHT(L2152,255),RIGHT('Disaggregation Records'!$D$156:$D$517,255),0))),"")</f>
        <v/>
      </c>
    </row>
    <row r="2153" spans="1:18" ht="20.100000000000001" customHeight="1">
      <c r="A2153" s="126" t="str">
        <f t="shared" ref="A2153:A2213" ca="1" si="2527">INDIRECT("'update Helper'!C"&amp;Q2153)</f>
        <v>a16Dm000000M3ssIAC</v>
      </c>
      <c r="B2153" s="570">
        <v>39</v>
      </c>
      <c r="C2153" s="572" t="str">
        <f ca="1">IFERROR(VLOOKUP(B2153,'Coverage Indicators - Section D'!$A$9:$AO$94,41,FALSE),"")</f>
        <v>RSSH/PP M&amp;E-2 Timeliness of reporting: Percentage of submitted monthly reports (for the reporting period) that are received on time per the national guidelines</v>
      </c>
      <c r="D2153" s="574" t="str">
        <f ca="1">M2153</f>
        <v>Provider type</v>
      </c>
      <c r="E2153" s="574" t="str">
        <f ca="1">N2153</f>
        <v>Public</v>
      </c>
      <c r="F2153" s="127"/>
      <c r="G2153" s="576" t="str">
        <f t="shared" ref="G2153" ca="1" si="2528">IF(OR(INDIRECT("'update Helper'!E"&amp;Q2153)="",F2153&lt;&gt;0,F2154&lt;&gt;0),IF(IFERROR((F2153/F2154),"")="","",(F2153/F2154)),INDIRECT("'update Helper'!E"&amp;Q2153)/100)</f>
        <v/>
      </c>
      <c r="H2153" s="539"/>
      <c r="I2153" s="578"/>
      <c r="J2153" s="532"/>
      <c r="K2153" s="126">
        <f ca="1">IF(AND(EXACT(C2153,C2151),C2151&lt;&gt;0),K2151+1,0)</f>
        <v>6</v>
      </c>
      <c r="L2153" s="126" t="str">
        <f t="shared" ref="L2153" ca="1" si="2529">IF(C2153&lt;&gt;"",C2153&amp;"-"&amp;K2153,"")</f>
        <v>RSSH/PP M&amp;E-2 Timeliness of reporting: Percentage of submitted monthly reports (for the reporting period) that are received on time per the national guidelines-6</v>
      </c>
      <c r="M2153" s="126" t="str">
        <f t="array" aca="1" ref="M2153" ca="1">IFERROR(IF(INDEX('Disaggregation Records'!$E$156:$E$517,MATCH(RIGHT(L2153,255),RIGHT('Disaggregation Records'!$D$156:$D$517,255),0))="","",INDEX('Disaggregation Records'!$E$156:$E$517,MATCH(RIGHT(L2153,255),RIGHT('Disaggregation Records'!$D$156:$D$517,255),0))),"")</f>
        <v>Provider type</v>
      </c>
      <c r="N2153" s="126" t="str">
        <f t="array" aca="1" ref="N2153" ca="1">IFERROR(IF(INDEX('Disaggregation Records'!$F$156:$F$517,MATCH(RIGHT(L2153,255),RIGHT('Disaggregation Records'!$D$156:$D$517,255),0))="","",INDEX('Disaggregation Records'!$F$156:$F$517,MATCH(RIGHT(L2153,255),RIGHT('Disaggregation Records'!$D$156:$D$517,255),0))),"")</f>
        <v>Public</v>
      </c>
      <c r="O2153" s="314" t="str">
        <f t="array" aca="1" ref="O2153" ca="1">IFERROR(IF(INDEX('Disaggregation Records'!$H$156:$H$517,MATCH(RIGHT(L2153,255),RIGHT('Disaggregation Records'!$D$156:$D$517,255),0))="","",INDEX('Disaggregation Records'!$H$156:$H$517,MATCH(RIGHT(L2153,255),RIGHT('Disaggregation Records'!$D$156:$D$517,255),0))),"")</f>
        <v>IDR-01500</v>
      </c>
      <c r="P2153" s="310"/>
      <c r="Q2153" s="310">
        <f t="shared" ref="Q2153" si="2530">Q2151+1</f>
        <v>1779</v>
      </c>
      <c r="R2153" s="314" t="str" cm="1">
        <f t="array" aca="1" ref="R2153" ca="1">IFERROR(IF(INDEX('Disaggregation Records'!$G$156:$G$517,MATCH(RIGHT(L2153,255),RIGHT('Disaggregation Records'!$D$156:$D$517,255),0))="","",INDEX('Disaggregation Records'!$G$156:$G$517,MATCH(RIGHT(L2153,255),RIGHT('Disaggregation Records'!$D$156:$D$517,255),0))),"")</f>
        <v>a1LDm000000Cb6wMAC</v>
      </c>
    </row>
    <row r="2154" spans="1:18" ht="20.100000000000001" customHeight="1">
      <c r="B2154" s="571"/>
      <c r="C2154" s="573"/>
      <c r="D2154" s="575"/>
      <c r="E2154" s="575"/>
      <c r="F2154" s="128"/>
      <c r="G2154" s="577"/>
      <c r="H2154" s="540"/>
      <c r="I2154" s="579"/>
      <c r="J2154" s="533"/>
      <c r="L2154" s="126"/>
      <c r="N2154" s="126"/>
      <c r="O2154" s="314"/>
      <c r="P2154" s="310"/>
      <c r="Q2154" s="310"/>
      <c r="R2154" s="314" t="str" cm="1">
        <f t="array" ref="R2154">IFERROR(IF(INDEX('Disaggregation Records'!$G$156:$G$517,MATCH(RIGHT(L2154,255),RIGHT('Disaggregation Records'!$D$156:$D$517,255),0))="","",INDEX('Disaggregation Records'!$G$156:$G$517,MATCH(RIGHT(L2154,255),RIGHT('Disaggregation Records'!$D$156:$D$517,255),0))),"")</f>
        <v/>
      </c>
    </row>
    <row r="2155" spans="1:18" ht="20.100000000000001" customHeight="1">
      <c r="A2155" s="126" t="str">
        <f t="shared" ref="A2155:A2215" ca="1" si="2531">INDIRECT("'update Helper'!C"&amp;Q2155)</f>
        <v>a16Dm000000M3stIAC</v>
      </c>
      <c r="B2155" s="570">
        <v>39</v>
      </c>
      <c r="C2155" s="572" t="str">
        <f ca="1">IFERROR(VLOOKUP(B2155,'Coverage Indicators - Section D'!$A$9:$AO$94,41,FALSE),"")</f>
        <v>RSSH/PP M&amp;E-2 Timeliness of reporting: Percentage of submitted monthly reports (for the reporting period) that are received on time per the national guidelines</v>
      </c>
      <c r="D2155" s="574" t="str">
        <f ca="1">M2155</f>
        <v/>
      </c>
      <c r="E2155" s="574" t="str">
        <f ca="1">N2155</f>
        <v/>
      </c>
      <c r="F2155" s="127"/>
      <c r="G2155" s="576" t="str">
        <f ca="1">IF(OR(INDIRECT("'update Helper'!E"&amp;Q2155)="",F2155&lt;&gt;0,F2156&lt;&gt;0),IF(IFERROR((F2155/F2156),"")="","",(F2155/F2156)),INDIRECT("'update Helper'!E"&amp;Q2155)/100)</f>
        <v/>
      </c>
      <c r="H2155" s="539"/>
      <c r="I2155" s="578"/>
      <c r="J2155" s="532"/>
      <c r="K2155" s="126">
        <f ca="1">IF(AND(EXACT(C2155,C2153),C2153&lt;&gt;0),K2153+1,0)</f>
        <v>7</v>
      </c>
      <c r="L2155" s="126" t="str">
        <f t="shared" ref="L2155" ca="1" si="2532">IF(C2155&lt;&gt;"",C2155&amp;"-"&amp;K2155,"")</f>
        <v>RSSH/PP M&amp;E-2 Timeliness of reporting: Percentage of submitted monthly reports (for the reporting period) that are received on time per the national guidelines-7</v>
      </c>
      <c r="M2155" s="126" t="str">
        <f t="array" aca="1" ref="M2155" ca="1">IFERROR(IF(INDEX('Disaggregation Records'!$E$156:$E$517,MATCH(RIGHT(L2155,255),RIGHT('Disaggregation Records'!$D$156:$D$517,255),0))="","",INDEX('Disaggregation Records'!$E$156:$E$517,MATCH(RIGHT(L2155,255),RIGHT('Disaggregation Records'!$D$156:$D$517,255),0))),"")</f>
        <v/>
      </c>
      <c r="N2155" s="126" t="str">
        <f t="array" aca="1" ref="N2155" ca="1">IFERROR(IF(INDEX('Disaggregation Records'!$F$156:$F$517,MATCH(RIGHT(L2155,255),RIGHT('Disaggregation Records'!$D$156:$D$517,255),0))="","",INDEX('Disaggregation Records'!$F$156:$F$517,MATCH(RIGHT(L2155,255),RIGHT('Disaggregation Records'!$D$156:$D$517,255),0))),"")</f>
        <v/>
      </c>
      <c r="O2155" s="314" t="str">
        <f t="array" aca="1" ref="O2155" ca="1">IFERROR(IF(INDEX('Disaggregation Records'!$H$156:$H$517,MATCH(RIGHT(L2155,255),RIGHT('Disaggregation Records'!$D$156:$D$517,255),0))="","",INDEX('Disaggregation Records'!$H$156:$H$517,MATCH(RIGHT(L2155,255),RIGHT('Disaggregation Records'!$D$156:$D$517,255),0))),"")</f>
        <v/>
      </c>
      <c r="P2155" s="310"/>
      <c r="Q2155" s="310">
        <f t="shared" ref="Q2155" si="2533">Q2153+1</f>
        <v>1780</v>
      </c>
      <c r="R2155" s="314" t="str" cm="1">
        <f t="array" aca="1" ref="R2155" ca="1">IFERROR(IF(INDEX('Disaggregation Records'!$G$156:$G$517,MATCH(RIGHT(L2155,255),RIGHT('Disaggregation Records'!$D$156:$D$517,255),0))="","",INDEX('Disaggregation Records'!$G$156:$G$517,MATCH(RIGHT(L2155,255),RIGHT('Disaggregation Records'!$D$156:$D$517,255),0))),"")</f>
        <v/>
      </c>
    </row>
    <row r="2156" spans="1:18" ht="20.100000000000001" customHeight="1">
      <c r="A2156" s="126"/>
      <c r="B2156" s="571"/>
      <c r="C2156" s="573"/>
      <c r="D2156" s="575"/>
      <c r="E2156" s="575"/>
      <c r="F2156" s="128"/>
      <c r="G2156" s="577"/>
      <c r="H2156" s="540"/>
      <c r="I2156" s="579"/>
      <c r="J2156" s="533"/>
      <c r="L2156" s="126"/>
      <c r="N2156" s="126"/>
      <c r="O2156" s="314"/>
      <c r="P2156" s="310"/>
      <c r="Q2156" s="310"/>
      <c r="R2156" s="314" t="str" cm="1">
        <f t="array" ref="R2156">IFERROR(IF(INDEX('Disaggregation Records'!$G$156:$G$517,MATCH(RIGHT(L2156,255),RIGHT('Disaggregation Records'!$D$156:$D$517,255),0))="","",INDEX('Disaggregation Records'!$G$156:$G$517,MATCH(RIGHT(L2156,255),RIGHT('Disaggregation Records'!$D$156:$D$517,255),0))),"")</f>
        <v/>
      </c>
    </row>
    <row r="2157" spans="1:18" ht="20.100000000000001" customHeight="1">
      <c r="A2157" s="126" t="str">
        <f t="shared" ref="A2157:A2217" ca="1" si="2534">INDIRECT("'update Helper'!C"&amp;Q2157)</f>
        <v>a16Dm000000M3suIAC</v>
      </c>
      <c r="B2157" s="570">
        <v>39</v>
      </c>
      <c r="C2157" s="572" t="str">
        <f ca="1">IFERROR(VLOOKUP(B2157,'Coverage Indicators - Section D'!$A$9:$AO$94,41,FALSE),"")</f>
        <v>RSSH/PP M&amp;E-2 Timeliness of reporting: Percentage of submitted monthly reports (for the reporting period) that are received on time per the national guidelines</v>
      </c>
      <c r="D2157" s="574" t="str">
        <f ca="1">M2157</f>
        <v/>
      </c>
      <c r="E2157" s="574" t="str">
        <f ca="1">N2157</f>
        <v/>
      </c>
      <c r="F2157" s="127"/>
      <c r="G2157" s="576" t="str">
        <f ca="1">IF(OR(INDIRECT("'update Helper'!E"&amp;Q2157)="",F2157&lt;&gt;0,F2158&lt;&gt;0),IF(IFERROR((F2157/F2158),"")="","",(F2157/F2158)),INDIRECT("'update Helper'!E"&amp;Q2157)/100)</f>
        <v/>
      </c>
      <c r="H2157" s="539"/>
      <c r="I2157" s="578"/>
      <c r="J2157" s="532"/>
      <c r="K2157" s="126">
        <f ca="1">IF(AND(EXACT(C2157,C2155),C2155&lt;&gt;0),K2155+1,0)</f>
        <v>8</v>
      </c>
      <c r="L2157" s="126" t="str">
        <f t="shared" ref="L2157" ca="1" si="2535">IF(C2157&lt;&gt;"",C2157&amp;"-"&amp;K2157,"")</f>
        <v>RSSH/PP M&amp;E-2 Timeliness of reporting: Percentage of submitted monthly reports (for the reporting period) that are received on time per the national guidelines-8</v>
      </c>
      <c r="M2157" s="126" t="str">
        <f t="array" aca="1" ref="M2157" ca="1">IFERROR(IF(INDEX('Disaggregation Records'!$E$156:$E$517,MATCH(RIGHT(L2157,255),RIGHT('Disaggregation Records'!$D$156:$D$517,255),0))="","",INDEX('Disaggregation Records'!$E$156:$E$517,MATCH(RIGHT(L2157,255),RIGHT('Disaggregation Records'!$D$156:$D$517,255),0))),"")</f>
        <v/>
      </c>
      <c r="N2157" s="126" t="str">
        <f t="array" aca="1" ref="N2157" ca="1">IFERROR(IF(INDEX('Disaggregation Records'!$F$156:$F$517,MATCH(RIGHT(L2157,255),RIGHT('Disaggregation Records'!$D$156:$D$517,255),0))="","",INDEX('Disaggregation Records'!$F$156:$F$517,MATCH(RIGHT(L2157,255),RIGHT('Disaggregation Records'!$D$156:$D$517,255),0))),"")</f>
        <v/>
      </c>
      <c r="O2157" s="314" t="str">
        <f t="array" aca="1" ref="O2157" ca="1">IFERROR(IF(INDEX('Disaggregation Records'!$H$156:$H$517,MATCH(RIGHT(L2157,255),RIGHT('Disaggregation Records'!$D$156:$D$517,255),0))="","",INDEX('Disaggregation Records'!$H$156:$H$517,MATCH(RIGHT(L2157,255),RIGHT('Disaggregation Records'!$D$156:$D$517,255),0))),"")</f>
        <v/>
      </c>
      <c r="P2157" s="310"/>
      <c r="Q2157" s="310">
        <f t="shared" ref="Q2157" si="2536">Q2155+1</f>
        <v>1781</v>
      </c>
      <c r="R2157" s="314" t="str" cm="1">
        <f t="array" aca="1" ref="R2157" ca="1">IFERROR(IF(INDEX('Disaggregation Records'!$G$156:$G$517,MATCH(RIGHT(L2157,255),RIGHT('Disaggregation Records'!$D$156:$D$517,255),0))="","",INDEX('Disaggregation Records'!$G$156:$G$517,MATCH(RIGHT(L2157,255),RIGHT('Disaggregation Records'!$D$156:$D$517,255),0))),"")</f>
        <v/>
      </c>
    </row>
    <row r="2158" spans="1:18" ht="20.100000000000001" customHeight="1">
      <c r="B2158" s="571"/>
      <c r="C2158" s="573"/>
      <c r="D2158" s="575"/>
      <c r="E2158" s="575"/>
      <c r="F2158" s="128"/>
      <c r="G2158" s="577"/>
      <c r="H2158" s="540"/>
      <c r="I2158" s="579"/>
      <c r="J2158" s="533"/>
      <c r="L2158" s="126"/>
      <c r="N2158" s="126"/>
      <c r="O2158" s="314"/>
      <c r="P2158" s="310"/>
      <c r="Q2158" s="310"/>
      <c r="R2158" s="314" t="str" cm="1">
        <f t="array" ref="R2158">IFERROR(IF(INDEX('Disaggregation Records'!$G$156:$G$517,MATCH(RIGHT(L2158,255),RIGHT('Disaggregation Records'!$D$156:$D$517,255),0))="","",INDEX('Disaggregation Records'!$G$156:$G$517,MATCH(RIGHT(L2158,255),RIGHT('Disaggregation Records'!$D$156:$D$517,255),0))),"")</f>
        <v/>
      </c>
    </row>
    <row r="2159" spans="1:18" ht="20.100000000000001" customHeight="1">
      <c r="A2159" s="126" t="str">
        <f t="shared" ref="A2159:A2219" ca="1" si="2537">INDIRECT("'update Helper'!C"&amp;Q2159)</f>
        <v>a16Dm000000M3svIAC</v>
      </c>
      <c r="B2159" s="570">
        <v>39</v>
      </c>
      <c r="C2159" s="572" t="str">
        <f ca="1">IFERROR(VLOOKUP(B2159,'Coverage Indicators - Section D'!$A$9:$AO$94,41,FALSE),"")</f>
        <v>RSSH/PP M&amp;E-2 Timeliness of reporting: Percentage of submitted monthly reports (for the reporting period) that are received on time per the national guidelines</v>
      </c>
      <c r="D2159" s="574" t="str">
        <f ca="1">M2159</f>
        <v/>
      </c>
      <c r="E2159" s="574" t="str">
        <f ca="1">N2159</f>
        <v/>
      </c>
      <c r="F2159" s="127"/>
      <c r="G2159" s="576" t="str">
        <f ca="1">IF(OR(INDIRECT("'update Helper'!E"&amp;Q2159)="",F2159&lt;&gt;0,F2160&lt;&gt;0),IF(IFERROR((F2159/F2160),"")="","",(F2159/F2160)),INDIRECT("'update Helper'!E"&amp;Q2159)/100)</f>
        <v/>
      </c>
      <c r="H2159" s="539"/>
      <c r="I2159" s="578"/>
      <c r="J2159" s="532"/>
      <c r="K2159" s="126">
        <f ca="1">IF(AND(EXACT(C2159,C2157),C2157&lt;&gt;0),K2157+1,0)</f>
        <v>9</v>
      </c>
      <c r="L2159" s="126" t="str">
        <f t="shared" ref="L2159" ca="1" si="2538">IF(C2159&lt;&gt;"",C2159&amp;"-"&amp;K2159,"")</f>
        <v>RSSH/PP M&amp;E-2 Timeliness of reporting: Percentage of submitted monthly reports (for the reporting period) that are received on time per the national guidelines-9</v>
      </c>
      <c r="M2159" s="126" t="str">
        <f t="array" aca="1" ref="M2159" ca="1">IFERROR(IF(INDEX('Disaggregation Records'!$E$156:$E$517,MATCH(RIGHT(L2159,255),RIGHT('Disaggregation Records'!$D$156:$D$517,255),0))="","",INDEX('Disaggregation Records'!$E$156:$E$517,MATCH(RIGHT(L2159,255),RIGHT('Disaggregation Records'!$D$156:$D$517,255),0))),"")</f>
        <v/>
      </c>
      <c r="N2159" s="126" t="str">
        <f t="array" aca="1" ref="N2159" ca="1">IFERROR(IF(INDEX('Disaggregation Records'!$F$156:$F$517,MATCH(RIGHT(L2159,255),RIGHT('Disaggregation Records'!$D$156:$D$517,255),0))="","",INDEX('Disaggregation Records'!$F$156:$F$517,MATCH(RIGHT(L2159,255),RIGHT('Disaggregation Records'!$D$156:$D$517,255),0))),"")</f>
        <v/>
      </c>
      <c r="O2159" s="314" t="str">
        <f t="array" aca="1" ref="O2159" ca="1">IFERROR(IF(INDEX('Disaggregation Records'!$H$156:$H$517,MATCH(RIGHT(L2159,255),RIGHT('Disaggregation Records'!$D$156:$D$517,255),0))="","",INDEX('Disaggregation Records'!$H$156:$H$517,MATCH(RIGHT(L2159,255),RIGHT('Disaggregation Records'!$D$156:$D$517,255),0))),"")</f>
        <v/>
      </c>
      <c r="P2159" s="314"/>
      <c r="Q2159" s="310">
        <f t="shared" ref="Q2159" si="2539">Q2157+1</f>
        <v>1782</v>
      </c>
      <c r="R2159" s="314" t="str" cm="1">
        <f t="array" aca="1" ref="R2159" ca="1">IFERROR(IF(INDEX('Disaggregation Records'!$G$156:$G$517,MATCH(RIGHT(L2159,255),RIGHT('Disaggregation Records'!$D$156:$D$517,255),0))="","",INDEX('Disaggregation Records'!$G$156:$G$517,MATCH(RIGHT(L2159,255),RIGHT('Disaggregation Records'!$D$156:$D$517,255),0))),"")</f>
        <v/>
      </c>
    </row>
    <row r="2160" spans="1:18" ht="20.100000000000001" customHeight="1">
      <c r="A2160" s="126"/>
      <c r="B2160" s="571"/>
      <c r="C2160" s="573"/>
      <c r="D2160" s="575"/>
      <c r="E2160" s="575"/>
      <c r="F2160" s="128"/>
      <c r="G2160" s="577"/>
      <c r="H2160" s="540"/>
      <c r="I2160" s="579"/>
      <c r="J2160" s="533"/>
      <c r="K2160" s="126"/>
      <c r="L2160" s="126"/>
      <c r="M2160" s="126"/>
      <c r="N2160" s="126"/>
      <c r="O2160" s="314"/>
      <c r="P2160" s="314"/>
      <c r="Q2160" s="310"/>
      <c r="R2160" s="314" t="str" cm="1">
        <f t="array" ref="R2160">IFERROR(IF(INDEX('Disaggregation Records'!$G$156:$G$517,MATCH(RIGHT(L2160,255),RIGHT('Disaggregation Records'!$D$156:$D$517,255),0))="","",INDEX('Disaggregation Records'!$G$156:$G$517,MATCH(RIGHT(L2160,255),RIGHT('Disaggregation Records'!$D$156:$D$517,255),0))),"")</f>
        <v/>
      </c>
    </row>
    <row r="2161" spans="1:18" ht="20.100000000000001" customHeight="1">
      <c r="A2161" s="126" t="str">
        <f t="shared" ref="A2161:A2221" ca="1" si="2540">INDIRECT("'update Helper'!C"&amp;Q2161)</f>
        <v>a16Dm000000M3swIAC</v>
      </c>
      <c r="B2161" s="570">
        <v>39</v>
      </c>
      <c r="C2161" s="572" t="str">
        <f ca="1">IFERROR(VLOOKUP(B2161,'Coverage Indicators - Section D'!$A$9:$AO$94,41,FALSE),"")</f>
        <v>RSSH/PP M&amp;E-2 Timeliness of reporting: Percentage of submitted monthly reports (for the reporting period) that are received on time per the national guidelines</v>
      </c>
      <c r="D2161" s="574" t="str">
        <f ca="1">M2161</f>
        <v/>
      </c>
      <c r="E2161" s="574" t="str">
        <f ca="1">N2161</f>
        <v/>
      </c>
      <c r="F2161" s="127"/>
      <c r="G2161" s="576" t="str">
        <f ca="1">IF(OR(INDIRECT("'update Helper'!E"&amp;Q2161)="",F2161&lt;&gt;0,F2162&lt;&gt;0),IF(IFERROR((F2161/F2162),"")="","",(F2161/F2162)),INDIRECT("'update Helper'!E"&amp;Q2161)/100)</f>
        <v/>
      </c>
      <c r="H2161" s="539"/>
      <c r="I2161" s="578"/>
      <c r="J2161" s="532"/>
      <c r="K2161" s="126">
        <f ca="1">IF(AND(EXACT(C2161,C2159),C2159&lt;&gt;0),K2159+1,0)</f>
        <v>10</v>
      </c>
      <c r="L2161" s="126" t="str">
        <f t="shared" ref="L2161" ca="1" si="2541">IF(C2161&lt;&gt;"",C2161&amp;"-"&amp;K2161,"")</f>
        <v>RSSH/PP M&amp;E-2 Timeliness of reporting: Percentage of submitted monthly reports (for the reporting period) that are received on time per the national guidelines-10</v>
      </c>
      <c r="M2161" s="126" t="str">
        <f t="array" aca="1" ref="M2161" ca="1">IFERROR(IF(INDEX('Disaggregation Records'!$E$156:$E$517,MATCH(RIGHT(L2161,255),RIGHT('Disaggregation Records'!$D$156:$D$517,255),0))="","",INDEX('Disaggregation Records'!$E$156:$E$517,MATCH(RIGHT(L2161,255),RIGHT('Disaggregation Records'!$D$156:$D$517,255),0))),"")</f>
        <v/>
      </c>
      <c r="N2161" s="126" t="str">
        <f t="array" aca="1" ref="N2161" ca="1">IFERROR(IF(INDEX('Disaggregation Records'!$F$156:$F$517,MATCH(RIGHT(L2161,255),RIGHT('Disaggregation Records'!$D$156:$D$517,255),0))="","",INDEX('Disaggregation Records'!$F$156:$F$517,MATCH(RIGHT(L2161,255),RIGHT('Disaggregation Records'!$D$156:$D$517,255),0))),"")</f>
        <v/>
      </c>
      <c r="O2161" s="314" t="str">
        <f t="array" aca="1" ref="O2161" ca="1">IFERROR(IF(INDEX('Disaggregation Records'!$H$156:$H$517,MATCH(RIGHT(L2161,255),RIGHT('Disaggregation Records'!$D$156:$D$517,255),0))="","",INDEX('Disaggregation Records'!$H$156:$H$517,MATCH(RIGHT(L2161,255),RIGHT('Disaggregation Records'!$D$156:$D$517,255),0))),"")</f>
        <v/>
      </c>
      <c r="P2161" s="314"/>
      <c r="Q2161" s="310">
        <f t="shared" ref="Q2161" si="2542">Q2159+1</f>
        <v>1783</v>
      </c>
      <c r="R2161" s="314" t="str" cm="1">
        <f t="array" aca="1" ref="R2161" ca="1">IFERROR(IF(INDEX('Disaggregation Records'!$G$156:$G$517,MATCH(RIGHT(L2161,255),RIGHT('Disaggregation Records'!$D$156:$D$517,255),0))="","",INDEX('Disaggregation Records'!$G$156:$G$517,MATCH(RIGHT(L2161,255),RIGHT('Disaggregation Records'!$D$156:$D$517,255),0))),"")</f>
        <v/>
      </c>
    </row>
    <row r="2162" spans="1:18" ht="20.100000000000001" customHeight="1">
      <c r="B2162" s="571"/>
      <c r="C2162" s="573"/>
      <c r="D2162" s="575"/>
      <c r="E2162" s="575"/>
      <c r="F2162" s="128"/>
      <c r="G2162" s="577"/>
      <c r="H2162" s="540"/>
      <c r="I2162" s="579"/>
      <c r="J2162" s="533"/>
      <c r="K2162" s="126"/>
      <c r="L2162" s="126"/>
      <c r="M2162" s="126"/>
      <c r="N2162" s="126"/>
      <c r="O2162" s="314"/>
      <c r="P2162" s="314"/>
      <c r="Q2162" s="310"/>
      <c r="R2162" s="314" t="str" cm="1">
        <f t="array" ref="R2162">IFERROR(IF(INDEX('Disaggregation Records'!$G$156:$G$517,MATCH(RIGHT(L2162,255),RIGHT('Disaggregation Records'!$D$156:$D$517,255),0))="","",INDEX('Disaggregation Records'!$G$156:$G$517,MATCH(RIGHT(L2162,255),RIGHT('Disaggregation Records'!$D$156:$D$517,255),0))),"")</f>
        <v/>
      </c>
    </row>
    <row r="2163" spans="1:18" ht="20.100000000000001" customHeight="1">
      <c r="A2163" s="126" t="str">
        <f t="shared" ref="A2163:A2223" ca="1" si="2543">INDIRECT("'update Helper'!C"&amp;Q2163)</f>
        <v>a16Dm000000M3sxIAC</v>
      </c>
      <c r="B2163" s="570">
        <v>39</v>
      </c>
      <c r="C2163" s="572" t="str">
        <f ca="1">IFERROR(VLOOKUP(B2163,'Coverage Indicators - Section D'!$A$9:$AO$94,41,FALSE),"")</f>
        <v>RSSH/PP M&amp;E-2 Timeliness of reporting: Percentage of submitted monthly reports (for the reporting period) that are received on time per the national guidelines</v>
      </c>
      <c r="D2163" s="574" t="str">
        <f ca="1">M2163</f>
        <v/>
      </c>
      <c r="E2163" s="574" t="str">
        <f ca="1">N2163</f>
        <v/>
      </c>
      <c r="F2163" s="127"/>
      <c r="G2163" s="576" t="str">
        <f ca="1">IF(OR(INDIRECT("'update Helper'!E"&amp;Q2163)="",F2163&lt;&gt;0,F2164&lt;&gt;0),IF(IFERROR((F2163/F2164),"")="","",(F2163/F2164)),INDIRECT("'update Helper'!E"&amp;Q2163)/100)</f>
        <v/>
      </c>
      <c r="H2163" s="539"/>
      <c r="I2163" s="578"/>
      <c r="J2163" s="532"/>
      <c r="K2163" s="126">
        <f ca="1">IF(AND(EXACT(C2163,C2161),C2161&lt;&gt;0),K2161+1,0)</f>
        <v>11</v>
      </c>
      <c r="L2163" s="126" t="str">
        <f t="shared" ref="L2163" ca="1" si="2544">IF(C2163&lt;&gt;"",C2163&amp;"-"&amp;K2163,"")</f>
        <v>RSSH/PP M&amp;E-2 Timeliness of reporting: Percentage of submitted monthly reports (for the reporting period) that are received on time per the national guidelines-11</v>
      </c>
      <c r="M2163" s="126" t="str">
        <f t="array" aca="1" ref="M2163" ca="1">IFERROR(IF(INDEX('Disaggregation Records'!$E$156:$E$517,MATCH(RIGHT(L2163,255),RIGHT('Disaggregation Records'!$D$156:$D$517,255),0))="","",INDEX('Disaggregation Records'!$E$156:$E$517,MATCH(RIGHT(L2163,255),RIGHT('Disaggregation Records'!$D$156:$D$517,255),0))),"")</f>
        <v/>
      </c>
      <c r="N2163" s="126" t="str">
        <f t="array" aca="1" ref="N2163" ca="1">IFERROR(IF(INDEX('Disaggregation Records'!$F$156:$F$517,MATCH(RIGHT(L2163,255),RIGHT('Disaggregation Records'!$D$156:$D$517,255),0))="","",INDEX('Disaggregation Records'!$F$156:$F$517,MATCH(RIGHT(L2163,255),RIGHT('Disaggregation Records'!$D$156:$D$517,255),0))),"")</f>
        <v/>
      </c>
      <c r="O2163" s="314" t="str">
        <f t="array" aca="1" ref="O2163" ca="1">IFERROR(IF(INDEX('Disaggregation Records'!$H$156:$H$517,MATCH(RIGHT(L2163,255),RIGHT('Disaggregation Records'!$D$156:$D$517,255),0))="","",INDEX('Disaggregation Records'!$H$156:$H$517,MATCH(RIGHT(L2163,255),RIGHT('Disaggregation Records'!$D$156:$D$517,255),0))),"")</f>
        <v/>
      </c>
      <c r="P2163" s="310"/>
      <c r="Q2163" s="310">
        <f t="shared" ref="Q2163" si="2545">Q2161+1</f>
        <v>1784</v>
      </c>
      <c r="R2163" s="314" t="str" cm="1">
        <f t="array" aca="1" ref="R2163" ca="1">IFERROR(IF(INDEX('Disaggregation Records'!$G$156:$G$517,MATCH(RIGHT(L2163,255),RIGHT('Disaggregation Records'!$D$156:$D$517,255),0))="","",INDEX('Disaggregation Records'!$G$156:$G$517,MATCH(RIGHT(L2163,255),RIGHT('Disaggregation Records'!$D$156:$D$517,255),0))),"")</f>
        <v/>
      </c>
    </row>
    <row r="2164" spans="1:18" ht="20.100000000000001" customHeight="1">
      <c r="A2164" s="126"/>
      <c r="B2164" s="571"/>
      <c r="C2164" s="573"/>
      <c r="D2164" s="575"/>
      <c r="E2164" s="575"/>
      <c r="F2164" s="128"/>
      <c r="G2164" s="577"/>
      <c r="H2164" s="540"/>
      <c r="I2164" s="579"/>
      <c r="J2164" s="533"/>
      <c r="L2164" s="126"/>
      <c r="N2164" s="126"/>
      <c r="O2164" s="314"/>
      <c r="P2164" s="310"/>
      <c r="Q2164" s="310"/>
      <c r="R2164" s="314" t="str" cm="1">
        <f t="array" ref="R2164">IFERROR(IF(INDEX('Disaggregation Records'!$G$156:$G$517,MATCH(RIGHT(L2164,255),RIGHT('Disaggregation Records'!$D$156:$D$517,255),0))="","",INDEX('Disaggregation Records'!$G$156:$G$517,MATCH(RIGHT(L2164,255),RIGHT('Disaggregation Records'!$D$156:$D$517,255),0))),"")</f>
        <v/>
      </c>
    </row>
    <row r="2165" spans="1:18" ht="20.100000000000001" customHeight="1">
      <c r="A2165" s="126" t="str">
        <f t="shared" ref="A2165:A2225" ca="1" si="2546">INDIRECT("'update Helper'!C"&amp;Q2165)</f>
        <v>a16Dm000000M3syIAC</v>
      </c>
      <c r="B2165" s="570">
        <v>39</v>
      </c>
      <c r="C2165" s="572" t="str">
        <f ca="1">IFERROR(VLOOKUP(B2165,'Coverage Indicators - Section D'!$A$9:$AO$94,41,FALSE),"")</f>
        <v>RSSH/PP M&amp;E-2 Timeliness of reporting: Percentage of submitted monthly reports (for the reporting period) that are received on time per the national guidelines</v>
      </c>
      <c r="D2165" s="574" t="str">
        <f ca="1">M2165</f>
        <v/>
      </c>
      <c r="E2165" s="574" t="str">
        <f ca="1">N2165</f>
        <v/>
      </c>
      <c r="F2165" s="127"/>
      <c r="G2165" s="576" t="str">
        <f ca="1">IF(OR(INDIRECT("'update Helper'!E"&amp;Q2165)="",F2165&lt;&gt;0,F2166&lt;&gt;0),IF(IFERROR((F2165/F2166),"")="","",(F2165/F2166)),INDIRECT("'update Helper'!E"&amp;Q2165)/100)</f>
        <v/>
      </c>
      <c r="H2165" s="539"/>
      <c r="I2165" s="578"/>
      <c r="J2165" s="532"/>
      <c r="K2165" s="126">
        <f ca="1">IF(AND(EXACT(C2165,C2163),C2163&lt;&gt;0),K2163+1,0)</f>
        <v>12</v>
      </c>
      <c r="L2165" s="126" t="str">
        <f t="shared" ref="L2165" ca="1" si="2547">IF(C2165&lt;&gt;"",C2165&amp;"-"&amp;K2165,"")</f>
        <v>RSSH/PP M&amp;E-2 Timeliness of reporting: Percentage of submitted monthly reports (for the reporting period) that are received on time per the national guidelines-12</v>
      </c>
      <c r="M2165" s="126" t="str">
        <f t="array" aca="1" ref="M2165" ca="1">IFERROR(IF(INDEX('Disaggregation Records'!$E$156:$E$517,MATCH(RIGHT(L2165,255),RIGHT('Disaggregation Records'!$D$156:$D$517,255),0))="","",INDEX('Disaggregation Records'!$E$156:$E$517,MATCH(RIGHT(L2165,255),RIGHT('Disaggregation Records'!$D$156:$D$517,255),0))),"")</f>
        <v/>
      </c>
      <c r="N2165" s="126" t="str">
        <f t="array" aca="1" ref="N2165" ca="1">IFERROR(IF(INDEX('Disaggregation Records'!$F$156:$F$517,MATCH(RIGHT(L2165,255),RIGHT('Disaggregation Records'!$D$156:$D$517,255),0))="","",INDEX('Disaggregation Records'!$F$156:$F$517,MATCH(RIGHT(L2165,255),RIGHT('Disaggregation Records'!$D$156:$D$517,255),0))),"")</f>
        <v/>
      </c>
      <c r="O2165" s="314" t="str">
        <f t="array" aca="1" ref="O2165" ca="1">IFERROR(IF(INDEX('Disaggregation Records'!$H$156:$H$517,MATCH(RIGHT(L2165,255),RIGHT('Disaggregation Records'!$D$156:$D$517,255),0))="","",INDEX('Disaggregation Records'!$H$156:$H$517,MATCH(RIGHT(L2165,255),RIGHT('Disaggregation Records'!$D$156:$D$517,255),0))),"")</f>
        <v/>
      </c>
      <c r="P2165" s="310"/>
      <c r="Q2165" s="310">
        <f t="shared" ref="Q2165" si="2548">Q2163+1</f>
        <v>1785</v>
      </c>
      <c r="R2165" s="314" t="str" cm="1">
        <f t="array" aca="1" ref="R2165" ca="1">IFERROR(IF(INDEX('Disaggregation Records'!$G$156:$G$517,MATCH(RIGHT(L2165,255),RIGHT('Disaggregation Records'!$D$156:$D$517,255),0))="","",INDEX('Disaggregation Records'!$G$156:$G$517,MATCH(RIGHT(L2165,255),RIGHT('Disaggregation Records'!$D$156:$D$517,255),0))),"")</f>
        <v/>
      </c>
    </row>
    <row r="2166" spans="1:18" ht="20.100000000000001" customHeight="1">
      <c r="B2166" s="571"/>
      <c r="C2166" s="573"/>
      <c r="D2166" s="575"/>
      <c r="E2166" s="575"/>
      <c r="F2166" s="128"/>
      <c r="G2166" s="577"/>
      <c r="H2166" s="540"/>
      <c r="I2166" s="579"/>
      <c r="J2166" s="533"/>
      <c r="L2166" s="126"/>
      <c r="N2166" s="126"/>
      <c r="O2166" s="314"/>
      <c r="P2166" s="310"/>
      <c r="Q2166" s="310"/>
      <c r="R2166" s="314" t="str" cm="1">
        <f t="array" ref="R2166">IFERROR(IF(INDEX('Disaggregation Records'!$G$156:$G$517,MATCH(RIGHT(L2166,255),RIGHT('Disaggregation Records'!$D$156:$D$517,255),0))="","",INDEX('Disaggregation Records'!$G$156:$G$517,MATCH(RIGHT(L2166,255),RIGHT('Disaggregation Records'!$D$156:$D$517,255),0))),"")</f>
        <v/>
      </c>
    </row>
    <row r="2167" spans="1:18" ht="20.100000000000001" customHeight="1">
      <c r="A2167" s="126" t="str">
        <f t="shared" ref="A2167:A2227" ca="1" si="2549">INDIRECT("'update Helper'!C"&amp;Q2167)</f>
        <v>a16Dm000000M3szIAC</v>
      </c>
      <c r="B2167" s="570">
        <v>39</v>
      </c>
      <c r="C2167" s="572" t="str">
        <f ca="1">IFERROR(VLOOKUP(B2167,'Coverage Indicators - Section D'!$A$9:$AO$94,41,FALSE),"")</f>
        <v>RSSH/PP M&amp;E-2 Timeliness of reporting: Percentage of submitted monthly reports (for the reporting period) that are received on time per the national guidelines</v>
      </c>
      <c r="D2167" s="574" t="str">
        <f ca="1">M2167</f>
        <v/>
      </c>
      <c r="E2167" s="574" t="str">
        <f ca="1">N2167</f>
        <v/>
      </c>
      <c r="F2167" s="127"/>
      <c r="G2167" s="576" t="str">
        <f ca="1">IF(OR(INDIRECT("'update Helper'!E"&amp;Q2167)="",F2167&lt;&gt;0,F2168&lt;&gt;0),IF(IFERROR((F2167/F2168),"")="","",(F2167/F2168)),INDIRECT("'update Helper'!E"&amp;Q2167)/100)</f>
        <v/>
      </c>
      <c r="H2167" s="539"/>
      <c r="I2167" s="578"/>
      <c r="J2167" s="532"/>
      <c r="K2167" s="126">
        <f ca="1">IF(AND(EXACT(C2167,C2165),C2165&lt;&gt;0),K2165+1,0)</f>
        <v>13</v>
      </c>
      <c r="L2167" s="126" t="str">
        <f t="shared" ref="L2167" ca="1" si="2550">IF(C2167&lt;&gt;"",C2167&amp;"-"&amp;K2167,"")</f>
        <v>RSSH/PP M&amp;E-2 Timeliness of reporting: Percentage of submitted monthly reports (for the reporting period) that are received on time per the national guidelines-13</v>
      </c>
      <c r="M2167" s="126" t="str">
        <f t="array" aca="1" ref="M2167" ca="1">IFERROR(IF(INDEX('Disaggregation Records'!$E$156:$E$517,MATCH(RIGHT(L2167,255),RIGHT('Disaggregation Records'!$D$156:$D$517,255),0))="","",INDEX('Disaggregation Records'!$E$156:$E$517,MATCH(RIGHT(L2167,255),RIGHT('Disaggregation Records'!$D$156:$D$517,255),0))),"")</f>
        <v/>
      </c>
      <c r="N2167" s="126" t="str">
        <f t="array" aca="1" ref="N2167" ca="1">IFERROR(IF(INDEX('Disaggregation Records'!$F$156:$F$517,MATCH(RIGHT(L2167,255),RIGHT('Disaggregation Records'!$D$156:$D$517,255),0))="","",INDEX('Disaggregation Records'!$F$156:$F$517,MATCH(RIGHT(L2167,255),RIGHT('Disaggregation Records'!$D$156:$D$517,255),0))),"")</f>
        <v/>
      </c>
      <c r="O2167" s="314" t="str">
        <f t="array" aca="1" ref="O2167" ca="1">IFERROR(IF(INDEX('Disaggregation Records'!$H$156:$H$517,MATCH(RIGHT(L2167,255),RIGHT('Disaggregation Records'!$D$156:$D$517,255),0))="","",INDEX('Disaggregation Records'!$H$156:$H$517,MATCH(RIGHT(L2167,255),RIGHT('Disaggregation Records'!$D$156:$D$517,255),0))),"")</f>
        <v/>
      </c>
      <c r="P2167" s="310"/>
      <c r="Q2167" s="310">
        <f t="shared" ref="Q2167" si="2551">Q2165+1</f>
        <v>1786</v>
      </c>
      <c r="R2167" s="314" t="str" cm="1">
        <f t="array" aca="1" ref="R2167" ca="1">IFERROR(IF(INDEX('Disaggregation Records'!$G$156:$G$517,MATCH(RIGHT(L2167,255),RIGHT('Disaggregation Records'!$D$156:$D$517,255),0))="","",INDEX('Disaggregation Records'!$G$156:$G$517,MATCH(RIGHT(L2167,255),RIGHT('Disaggregation Records'!$D$156:$D$517,255),0))),"")</f>
        <v/>
      </c>
    </row>
    <row r="2168" spans="1:18" ht="20.100000000000001" customHeight="1">
      <c r="A2168" s="126"/>
      <c r="B2168" s="571"/>
      <c r="C2168" s="573"/>
      <c r="D2168" s="575"/>
      <c r="E2168" s="575"/>
      <c r="F2168" s="128"/>
      <c r="G2168" s="577"/>
      <c r="H2168" s="540"/>
      <c r="I2168" s="579"/>
      <c r="J2168" s="533"/>
      <c r="L2168" s="126"/>
      <c r="N2168" s="126"/>
      <c r="O2168" s="314"/>
      <c r="P2168" s="310"/>
      <c r="Q2168" s="310"/>
      <c r="R2168" s="314" t="str" cm="1">
        <f t="array" ref="R2168">IFERROR(IF(INDEX('Disaggregation Records'!$G$156:$G$517,MATCH(RIGHT(L2168,255),RIGHT('Disaggregation Records'!$D$156:$D$517,255),0))="","",INDEX('Disaggregation Records'!$G$156:$G$517,MATCH(RIGHT(L2168,255),RIGHT('Disaggregation Records'!$D$156:$D$517,255),0))),"")</f>
        <v/>
      </c>
    </row>
    <row r="2169" spans="1:18" ht="20.100000000000001" customHeight="1">
      <c r="A2169" s="126" t="str">
        <f t="shared" ref="A2169:A2229" ca="1" si="2552">INDIRECT("'update Helper'!C"&amp;Q2169)</f>
        <v>a16Dm000000M3t0IAC</v>
      </c>
      <c r="B2169" s="570">
        <v>39</v>
      </c>
      <c r="C2169" s="572" t="str">
        <f ca="1">IFERROR(VLOOKUP(B2169,'Coverage Indicators - Section D'!$A$9:$AO$94,41,FALSE),"")</f>
        <v>RSSH/PP M&amp;E-2 Timeliness of reporting: Percentage of submitted monthly reports (for the reporting period) that are received on time per the national guidelines</v>
      </c>
      <c r="D2169" s="574" t="str">
        <f ca="1">M2169</f>
        <v/>
      </c>
      <c r="E2169" s="574" t="str">
        <f ca="1">N2169</f>
        <v/>
      </c>
      <c r="F2169" s="127"/>
      <c r="G2169" s="576" t="str">
        <f ca="1">IF(OR(INDIRECT("'update Helper'!E"&amp;Q2169)="",F2169&lt;&gt;0,F2170&lt;&gt;0),IF(IFERROR((F2169/F2170),"")="","",(F2169/F2170)),INDIRECT("'update Helper'!E"&amp;Q2169)/100)</f>
        <v/>
      </c>
      <c r="H2169" s="539"/>
      <c r="I2169" s="578"/>
      <c r="J2169" s="532"/>
      <c r="K2169" s="126">
        <f ca="1">IF(AND(EXACT(C2169,C2167),C2167&lt;&gt;0),K2167+1,0)</f>
        <v>14</v>
      </c>
      <c r="L2169" s="126" t="str">
        <f t="shared" ref="L2169" ca="1" si="2553">IF(C2169&lt;&gt;"",C2169&amp;"-"&amp;K2169,"")</f>
        <v>RSSH/PP M&amp;E-2 Timeliness of reporting: Percentage of submitted monthly reports (for the reporting period) that are received on time per the national guidelines-14</v>
      </c>
      <c r="M2169" s="126" t="str">
        <f t="array" aca="1" ref="M2169" ca="1">IFERROR(IF(INDEX('Disaggregation Records'!$E$156:$E$517,MATCH(RIGHT(L2169,255),RIGHT('Disaggregation Records'!$D$156:$D$517,255),0))="","",INDEX('Disaggregation Records'!$E$156:$E$517,MATCH(RIGHT(L2169,255),RIGHT('Disaggregation Records'!$D$156:$D$517,255),0))),"")</f>
        <v/>
      </c>
      <c r="N2169" s="126" t="str">
        <f t="array" aca="1" ref="N2169" ca="1">IFERROR(IF(INDEX('Disaggregation Records'!$F$156:$F$517,MATCH(RIGHT(L2169,255),RIGHT('Disaggregation Records'!$D$156:$D$517,255),0))="","",INDEX('Disaggregation Records'!$F$156:$F$517,MATCH(RIGHT(L2169,255),RIGHT('Disaggregation Records'!$D$156:$D$517,255),0))),"")</f>
        <v/>
      </c>
      <c r="O2169" s="314" t="str">
        <f t="array" aca="1" ref="O2169" ca="1">IFERROR(IF(INDEX('Disaggregation Records'!$H$156:$H$517,MATCH(RIGHT(L2169,255),RIGHT('Disaggregation Records'!$D$156:$D$517,255),0))="","",INDEX('Disaggregation Records'!$H$156:$H$517,MATCH(RIGHT(L2169,255),RIGHT('Disaggregation Records'!$D$156:$D$517,255),0))),"")</f>
        <v/>
      </c>
      <c r="P2169" s="314"/>
      <c r="Q2169" s="310">
        <f t="shared" ref="Q2169" si="2554">Q2167+1</f>
        <v>1787</v>
      </c>
      <c r="R2169" s="314" t="str" cm="1">
        <f t="array" aca="1" ref="R2169" ca="1">IFERROR(IF(INDEX('Disaggregation Records'!$G$156:$G$517,MATCH(RIGHT(L2169,255),RIGHT('Disaggregation Records'!$D$156:$D$517,255),0))="","",INDEX('Disaggregation Records'!$G$156:$G$517,MATCH(RIGHT(L2169,255),RIGHT('Disaggregation Records'!$D$156:$D$517,255),0))),"")</f>
        <v/>
      </c>
    </row>
    <row r="2170" spans="1:18" ht="20.100000000000001" customHeight="1">
      <c r="B2170" s="571"/>
      <c r="C2170" s="573"/>
      <c r="D2170" s="575"/>
      <c r="E2170" s="575"/>
      <c r="F2170" s="128"/>
      <c r="G2170" s="577"/>
      <c r="H2170" s="540"/>
      <c r="I2170" s="579"/>
      <c r="J2170" s="533"/>
      <c r="K2170" s="126"/>
      <c r="L2170" s="126"/>
      <c r="M2170" s="126"/>
      <c r="N2170" s="126"/>
      <c r="O2170" s="314"/>
      <c r="P2170" s="314"/>
      <c r="Q2170" s="310"/>
      <c r="R2170" s="314" t="str" cm="1">
        <f t="array" ref="R2170">IFERROR(IF(INDEX('Disaggregation Records'!$G$156:$G$517,MATCH(RIGHT(L2170,255),RIGHT('Disaggregation Records'!$D$156:$D$517,255),0))="","",INDEX('Disaggregation Records'!$G$156:$G$517,MATCH(RIGHT(L2170,255),RIGHT('Disaggregation Records'!$D$156:$D$517,255),0))),"")</f>
        <v/>
      </c>
    </row>
    <row r="2171" spans="1:18" ht="20.100000000000001" customHeight="1">
      <c r="A2171" s="126" t="str">
        <f t="shared" ref="A2171:A2231" ca="1" si="2555">INDIRECT("'update Helper'!C"&amp;Q2171)</f>
        <v>a16Dm000000M3t1IAC</v>
      </c>
      <c r="B2171" s="570">
        <v>39</v>
      </c>
      <c r="C2171" s="572" t="str">
        <f ca="1">IFERROR(VLOOKUP(B2171,'Coverage Indicators - Section D'!$A$9:$AO$94,41,FALSE),"")</f>
        <v>RSSH/PP M&amp;E-2 Timeliness of reporting: Percentage of submitted monthly reports (for the reporting period) that are received on time per the national guidelines</v>
      </c>
      <c r="D2171" s="574" t="str">
        <f ca="1">M2171</f>
        <v/>
      </c>
      <c r="E2171" s="574" t="str">
        <f ca="1">N2171</f>
        <v/>
      </c>
      <c r="F2171" s="127"/>
      <c r="G2171" s="576" t="str">
        <f ca="1">IF(OR(INDIRECT("'update Helper'!E"&amp;Q2171)="",F2171&lt;&gt;0,F2172&lt;&gt;0),IF(IFERROR((F2171/F2172),"")="","",(F2171/F2172)),INDIRECT("'update Helper'!E"&amp;Q2171)/100)</f>
        <v/>
      </c>
      <c r="H2171" s="539"/>
      <c r="I2171" s="578"/>
      <c r="J2171" s="532"/>
      <c r="K2171" s="126">
        <f ca="1">IF(AND(EXACT(C2171,C2169),C2169&lt;&gt;0),K2169+1,0)</f>
        <v>15</v>
      </c>
      <c r="L2171" s="126" t="str">
        <f t="shared" ref="L2171" ca="1" si="2556">IF(C2171&lt;&gt;"",C2171&amp;"-"&amp;K2171,"")</f>
        <v>RSSH/PP M&amp;E-2 Timeliness of reporting: Percentage of submitted monthly reports (for the reporting period) that are received on time per the national guidelines-15</v>
      </c>
      <c r="M2171" s="126" t="str">
        <f t="array" aca="1" ref="M2171" ca="1">IFERROR(IF(INDEX('Disaggregation Records'!$E$156:$E$517,MATCH(RIGHT(L2171,255),RIGHT('Disaggregation Records'!$D$156:$D$517,255),0))="","",INDEX('Disaggregation Records'!$E$156:$E$517,MATCH(RIGHT(L2171,255),RIGHT('Disaggregation Records'!$D$156:$D$517,255),0))),"")</f>
        <v/>
      </c>
      <c r="N2171" s="126" t="str">
        <f t="array" aca="1" ref="N2171" ca="1">IFERROR(IF(INDEX('Disaggregation Records'!$F$156:$F$517,MATCH(RIGHT(L2171,255),RIGHT('Disaggregation Records'!$D$156:$D$517,255),0))="","",INDEX('Disaggregation Records'!$F$156:$F$517,MATCH(RIGHT(L2171,255),RIGHT('Disaggregation Records'!$D$156:$D$517,255),0))),"")</f>
        <v/>
      </c>
      <c r="O2171" s="314" t="str">
        <f t="array" aca="1" ref="O2171" ca="1">IFERROR(IF(INDEX('Disaggregation Records'!$H$156:$H$517,MATCH(RIGHT(L2171,255),RIGHT('Disaggregation Records'!$D$156:$D$517,255),0))="","",INDEX('Disaggregation Records'!$H$156:$H$517,MATCH(RIGHT(L2171,255),RIGHT('Disaggregation Records'!$D$156:$D$517,255),0))),"")</f>
        <v/>
      </c>
      <c r="P2171" s="314"/>
      <c r="Q2171" s="310">
        <f t="shared" ref="Q2171" si="2557">Q2169+1</f>
        <v>1788</v>
      </c>
      <c r="R2171" s="314" t="str" cm="1">
        <f t="array" aca="1" ref="R2171" ca="1">IFERROR(IF(INDEX('Disaggregation Records'!$G$156:$G$517,MATCH(RIGHT(L2171,255),RIGHT('Disaggregation Records'!$D$156:$D$517,255),0))="","",INDEX('Disaggregation Records'!$G$156:$G$517,MATCH(RIGHT(L2171,255),RIGHT('Disaggregation Records'!$D$156:$D$517,255),0))),"")</f>
        <v/>
      </c>
    </row>
    <row r="2172" spans="1:18" ht="20.100000000000001" customHeight="1">
      <c r="A2172" s="126"/>
      <c r="B2172" s="571"/>
      <c r="C2172" s="573"/>
      <c r="D2172" s="575"/>
      <c r="E2172" s="575"/>
      <c r="F2172" s="128"/>
      <c r="G2172" s="577"/>
      <c r="H2172" s="540"/>
      <c r="I2172" s="579"/>
      <c r="J2172" s="533"/>
      <c r="K2172" s="126"/>
      <c r="L2172" s="126"/>
      <c r="M2172" s="126"/>
      <c r="N2172" s="126"/>
      <c r="O2172" s="314"/>
      <c r="P2172" s="314"/>
      <c r="Q2172" s="310"/>
      <c r="R2172" s="314" t="str" cm="1">
        <f t="array" ref="R2172">IFERROR(IF(INDEX('Disaggregation Records'!$G$156:$G$517,MATCH(RIGHT(L2172,255),RIGHT('Disaggregation Records'!$D$156:$D$517,255),0))="","",INDEX('Disaggregation Records'!$G$156:$G$517,MATCH(RIGHT(L2172,255),RIGHT('Disaggregation Records'!$D$156:$D$517,255),0))),"")</f>
        <v/>
      </c>
    </row>
    <row r="2173" spans="1:18" ht="20.100000000000001" customHeight="1">
      <c r="A2173" s="126" t="str">
        <f t="shared" ref="A2173:A2233" ca="1" si="2558">INDIRECT("'update Helper'!C"&amp;Q2173)</f>
        <v>a16Dm000000M3t2IAC</v>
      </c>
      <c r="B2173" s="570">
        <v>39</v>
      </c>
      <c r="C2173" s="572" t="str">
        <f ca="1">IFERROR(VLOOKUP(B2173,'Coverage Indicators - Section D'!$A$9:$AO$94,41,FALSE),"")</f>
        <v>RSSH/PP M&amp;E-2 Timeliness of reporting: Percentage of submitted monthly reports (for the reporting period) that are received on time per the national guidelines</v>
      </c>
      <c r="D2173" s="574" t="str">
        <f ca="1">M2173</f>
        <v/>
      </c>
      <c r="E2173" s="574" t="str">
        <f ca="1">N2173</f>
        <v/>
      </c>
      <c r="F2173" s="127"/>
      <c r="G2173" s="576" t="str">
        <f ca="1">IF(OR(INDIRECT("'update Helper'!E"&amp;Q2173)="",F2173&lt;&gt;0,F2174&lt;&gt;0),IF(IFERROR((F2173/F2174),"")="","",(F2173/F2174)),INDIRECT("'update Helper'!E"&amp;Q2173)/100)</f>
        <v/>
      </c>
      <c r="H2173" s="539"/>
      <c r="I2173" s="578"/>
      <c r="J2173" s="532"/>
      <c r="K2173" s="126">
        <f ca="1">IF(AND(EXACT(C2173,C2171),C2171&lt;&gt;0),K2171+1,0)</f>
        <v>16</v>
      </c>
      <c r="L2173" s="126" t="str">
        <f t="shared" ref="L2173" ca="1" si="2559">IF(C2173&lt;&gt;"",C2173&amp;"-"&amp;K2173,"")</f>
        <v>RSSH/PP M&amp;E-2 Timeliness of reporting: Percentage of submitted monthly reports (for the reporting period) that are received on time per the national guidelines-16</v>
      </c>
      <c r="M2173" s="126" t="str">
        <f t="array" aca="1" ref="M2173" ca="1">IFERROR(IF(INDEX('Disaggregation Records'!$E$156:$E$517,MATCH(RIGHT(L2173,255),RIGHT('Disaggregation Records'!$D$156:$D$517,255),0))="","",INDEX('Disaggregation Records'!$E$156:$E$517,MATCH(RIGHT(L2173,255),RIGHT('Disaggregation Records'!$D$156:$D$517,255),0))),"")</f>
        <v/>
      </c>
      <c r="N2173" s="126" t="str">
        <f t="array" aca="1" ref="N2173" ca="1">IFERROR(IF(INDEX('Disaggregation Records'!$F$156:$F$517,MATCH(RIGHT(L2173,255),RIGHT('Disaggregation Records'!$D$156:$D$517,255),0))="","",INDEX('Disaggregation Records'!$F$156:$F$517,MATCH(RIGHT(L2173,255),RIGHT('Disaggregation Records'!$D$156:$D$517,255),0))),"")</f>
        <v/>
      </c>
      <c r="O2173" s="314" t="str">
        <f t="array" aca="1" ref="O2173" ca="1">IFERROR(IF(INDEX('Disaggregation Records'!$H$156:$H$517,MATCH(RIGHT(L2173,255),RIGHT('Disaggregation Records'!$D$156:$D$517,255),0))="","",INDEX('Disaggregation Records'!$H$156:$H$517,MATCH(RIGHT(L2173,255),RIGHT('Disaggregation Records'!$D$156:$D$517,255),0))),"")</f>
        <v/>
      </c>
      <c r="P2173" s="310"/>
      <c r="Q2173" s="310">
        <f t="shared" ref="Q2173" si="2560">Q2171+1</f>
        <v>1789</v>
      </c>
      <c r="R2173" s="314" t="str" cm="1">
        <f t="array" aca="1" ref="R2173" ca="1">IFERROR(IF(INDEX('Disaggregation Records'!$G$156:$G$517,MATCH(RIGHT(L2173,255),RIGHT('Disaggregation Records'!$D$156:$D$517,255),0))="","",INDEX('Disaggregation Records'!$G$156:$G$517,MATCH(RIGHT(L2173,255),RIGHT('Disaggregation Records'!$D$156:$D$517,255),0))),"")</f>
        <v/>
      </c>
    </row>
    <row r="2174" spans="1:18" ht="20.100000000000001" customHeight="1">
      <c r="B2174" s="571"/>
      <c r="C2174" s="573"/>
      <c r="D2174" s="575"/>
      <c r="E2174" s="575"/>
      <c r="F2174" s="128"/>
      <c r="G2174" s="577"/>
      <c r="H2174" s="540"/>
      <c r="I2174" s="579"/>
      <c r="J2174" s="533"/>
      <c r="L2174" s="126"/>
      <c r="N2174" s="126"/>
      <c r="O2174" s="314"/>
      <c r="P2174" s="310"/>
      <c r="Q2174" s="310"/>
      <c r="R2174" s="314" t="str" cm="1">
        <f t="array" ref="R2174">IFERROR(IF(INDEX('Disaggregation Records'!$G$156:$G$517,MATCH(RIGHT(L2174,255),RIGHT('Disaggregation Records'!$D$156:$D$517,255),0))="","",INDEX('Disaggregation Records'!$G$156:$G$517,MATCH(RIGHT(L2174,255),RIGHT('Disaggregation Records'!$D$156:$D$517,255),0))),"")</f>
        <v/>
      </c>
    </row>
    <row r="2175" spans="1:18" ht="20.100000000000001" customHeight="1">
      <c r="A2175" s="126" t="str">
        <f t="shared" ref="A2175:A2235" ca="1" si="2561">INDIRECT("'update Helper'!C"&amp;Q2175)</f>
        <v>a16Dm000000M3t3IAC</v>
      </c>
      <c r="B2175" s="570">
        <v>39</v>
      </c>
      <c r="C2175" s="572" t="str">
        <f ca="1">IFERROR(VLOOKUP(B2175,'Coverage Indicators - Section D'!$A$9:$AO$94,41,FALSE),"")</f>
        <v>RSSH/PP M&amp;E-2 Timeliness of reporting: Percentage of submitted monthly reports (for the reporting period) that are received on time per the national guidelines</v>
      </c>
      <c r="D2175" s="574" t="str">
        <f ca="1">M2175</f>
        <v/>
      </c>
      <c r="E2175" s="574" t="str">
        <f ca="1">N2175</f>
        <v/>
      </c>
      <c r="F2175" s="127"/>
      <c r="G2175" s="576" t="str">
        <f ca="1">IF(OR(INDIRECT("'update Helper'!E"&amp;Q2175)="",F2175&lt;&gt;0,F2176&lt;&gt;0),IF(IFERROR((F2175/F2176),"")="","",(F2175/F2176)),INDIRECT("'update Helper'!E"&amp;Q2175)/100)</f>
        <v/>
      </c>
      <c r="H2175" s="539"/>
      <c r="I2175" s="578"/>
      <c r="J2175" s="532"/>
      <c r="K2175" s="126">
        <f ca="1">IF(AND(EXACT(C2175,C2173),C2173&lt;&gt;0),K2173+1,0)</f>
        <v>17</v>
      </c>
      <c r="L2175" s="126" t="str">
        <f t="shared" ref="L2175" ca="1" si="2562">IF(C2175&lt;&gt;"",C2175&amp;"-"&amp;K2175,"")</f>
        <v>RSSH/PP M&amp;E-2 Timeliness of reporting: Percentage of submitted monthly reports (for the reporting period) that are received on time per the national guidelines-17</v>
      </c>
      <c r="M2175" s="126" t="str">
        <f t="array" aca="1" ref="M2175" ca="1">IFERROR(IF(INDEX('Disaggregation Records'!$E$156:$E$517,MATCH(RIGHT(L2175,255),RIGHT('Disaggregation Records'!$D$156:$D$517,255),0))="","",INDEX('Disaggregation Records'!$E$156:$E$517,MATCH(RIGHT(L2175,255),RIGHT('Disaggregation Records'!$D$156:$D$517,255),0))),"")</f>
        <v/>
      </c>
      <c r="N2175" s="126" t="str">
        <f t="array" aca="1" ref="N2175" ca="1">IFERROR(IF(INDEX('Disaggregation Records'!$F$156:$F$517,MATCH(RIGHT(L2175,255),RIGHT('Disaggregation Records'!$D$156:$D$517,255),0))="","",INDEX('Disaggregation Records'!$F$156:$F$517,MATCH(RIGHT(L2175,255),RIGHT('Disaggregation Records'!$D$156:$D$517,255),0))),"")</f>
        <v/>
      </c>
      <c r="O2175" s="314" t="str">
        <f t="array" aca="1" ref="O2175" ca="1">IFERROR(IF(INDEX('Disaggregation Records'!$H$156:$H$517,MATCH(RIGHT(L2175,255),RIGHT('Disaggregation Records'!$D$156:$D$517,255),0))="","",INDEX('Disaggregation Records'!$H$156:$H$517,MATCH(RIGHT(L2175,255),RIGHT('Disaggregation Records'!$D$156:$D$517,255),0))),"")</f>
        <v/>
      </c>
      <c r="P2175" s="310"/>
      <c r="Q2175" s="310">
        <f t="shared" ref="Q2175" si="2563">Q2173+1</f>
        <v>1790</v>
      </c>
      <c r="R2175" s="314" t="str" cm="1">
        <f t="array" aca="1" ref="R2175" ca="1">IFERROR(IF(INDEX('Disaggregation Records'!$G$156:$G$517,MATCH(RIGHT(L2175,255),RIGHT('Disaggregation Records'!$D$156:$D$517,255),0))="","",INDEX('Disaggregation Records'!$G$156:$G$517,MATCH(RIGHT(L2175,255),RIGHT('Disaggregation Records'!$D$156:$D$517,255),0))),"")</f>
        <v/>
      </c>
    </row>
    <row r="2176" spans="1:18" ht="20.100000000000001" customHeight="1">
      <c r="A2176" s="126"/>
      <c r="B2176" s="571"/>
      <c r="C2176" s="573"/>
      <c r="D2176" s="575"/>
      <c r="E2176" s="575"/>
      <c r="F2176" s="128"/>
      <c r="G2176" s="577"/>
      <c r="H2176" s="540"/>
      <c r="I2176" s="579"/>
      <c r="J2176" s="533"/>
      <c r="L2176" s="126"/>
      <c r="N2176" s="126"/>
      <c r="O2176" s="314"/>
      <c r="P2176" s="310"/>
      <c r="Q2176" s="310"/>
      <c r="R2176" s="314" t="str" cm="1">
        <f t="array" ref="R2176">IFERROR(IF(INDEX('Disaggregation Records'!$G$156:$G$517,MATCH(RIGHT(L2176,255),RIGHT('Disaggregation Records'!$D$156:$D$517,255),0))="","",INDEX('Disaggregation Records'!$G$156:$G$517,MATCH(RIGHT(L2176,255),RIGHT('Disaggregation Records'!$D$156:$D$517,255),0))),"")</f>
        <v/>
      </c>
    </row>
    <row r="2177" spans="1:18" ht="20.100000000000001" customHeight="1">
      <c r="A2177" s="126" t="str">
        <f t="shared" ref="A2177:A2237" ca="1" si="2564">INDIRECT("'update Helper'!C"&amp;Q2177)</f>
        <v>a16Dm000000M3t4IAC</v>
      </c>
      <c r="B2177" s="570">
        <v>39</v>
      </c>
      <c r="C2177" s="572" t="str">
        <f ca="1">IFERROR(VLOOKUP(B2177,'Coverage Indicators - Section D'!$A$9:$AO$94,41,FALSE),"")</f>
        <v>RSSH/PP M&amp;E-2 Timeliness of reporting: Percentage of submitted monthly reports (for the reporting period) that are received on time per the national guidelines</v>
      </c>
      <c r="D2177" s="574" t="str">
        <f ca="1">M2177</f>
        <v/>
      </c>
      <c r="E2177" s="574" t="str">
        <f ca="1">N2177</f>
        <v/>
      </c>
      <c r="F2177" s="127"/>
      <c r="G2177" s="576" t="str">
        <f ca="1">IF(OR(INDIRECT("'update Helper'!E"&amp;Q2177)="",F2177&lt;&gt;0,F2178&lt;&gt;0),IF(IFERROR((F2177/F2178),"")="","",(F2177/F2178)),INDIRECT("'update Helper'!E"&amp;Q2177)/100)</f>
        <v/>
      </c>
      <c r="H2177" s="539"/>
      <c r="I2177" s="578"/>
      <c r="J2177" s="532"/>
      <c r="K2177" s="126">
        <f ca="1">IF(AND(EXACT(C2177,C2175),C2175&lt;&gt;0),K2175+1,0)</f>
        <v>18</v>
      </c>
      <c r="L2177" s="126" t="str">
        <f t="shared" ref="L2177" ca="1" si="2565">IF(C2177&lt;&gt;"",C2177&amp;"-"&amp;K2177,"")</f>
        <v>RSSH/PP M&amp;E-2 Timeliness of reporting: Percentage of submitted monthly reports (for the reporting period) that are received on time per the national guidelines-18</v>
      </c>
      <c r="M2177" s="126" t="str">
        <f t="array" aca="1" ref="M2177" ca="1">IFERROR(IF(INDEX('Disaggregation Records'!$E$156:$E$517,MATCH(RIGHT(L2177,255),RIGHT('Disaggregation Records'!$D$156:$D$517,255),0))="","",INDEX('Disaggregation Records'!$E$156:$E$517,MATCH(RIGHT(L2177,255),RIGHT('Disaggregation Records'!$D$156:$D$517,255),0))),"")</f>
        <v/>
      </c>
      <c r="N2177" s="126" t="str">
        <f t="array" aca="1" ref="N2177" ca="1">IFERROR(IF(INDEX('Disaggregation Records'!$F$156:$F$517,MATCH(RIGHT(L2177,255),RIGHT('Disaggregation Records'!$D$156:$D$517,255),0))="","",INDEX('Disaggregation Records'!$F$156:$F$517,MATCH(RIGHT(L2177,255),RIGHT('Disaggregation Records'!$D$156:$D$517,255),0))),"")</f>
        <v/>
      </c>
      <c r="O2177" s="314" t="str">
        <f t="array" aca="1" ref="O2177" ca="1">IFERROR(IF(INDEX('Disaggregation Records'!$H$156:$H$517,MATCH(RIGHT(L2177,255),RIGHT('Disaggregation Records'!$D$156:$D$517,255),0))="","",INDEX('Disaggregation Records'!$H$156:$H$517,MATCH(RIGHT(L2177,255),RIGHT('Disaggregation Records'!$D$156:$D$517,255),0))),"")</f>
        <v/>
      </c>
      <c r="P2177" s="310"/>
      <c r="Q2177" s="310">
        <f t="shared" ref="Q2177" si="2566">Q2175+1</f>
        <v>1791</v>
      </c>
      <c r="R2177" s="314" t="str" cm="1">
        <f t="array" aca="1" ref="R2177" ca="1">IFERROR(IF(INDEX('Disaggregation Records'!$G$156:$G$517,MATCH(RIGHT(L2177,255),RIGHT('Disaggregation Records'!$D$156:$D$517,255),0))="","",INDEX('Disaggregation Records'!$G$156:$G$517,MATCH(RIGHT(L2177,255),RIGHT('Disaggregation Records'!$D$156:$D$517,255),0))),"")</f>
        <v/>
      </c>
    </row>
    <row r="2178" spans="1:18" ht="20.100000000000001" customHeight="1">
      <c r="B2178" s="571"/>
      <c r="C2178" s="573"/>
      <c r="D2178" s="575"/>
      <c r="E2178" s="575"/>
      <c r="F2178" s="128"/>
      <c r="G2178" s="577"/>
      <c r="H2178" s="540"/>
      <c r="I2178" s="579"/>
      <c r="J2178" s="533"/>
      <c r="L2178" s="126"/>
      <c r="N2178" s="126"/>
      <c r="O2178" s="314"/>
      <c r="P2178" s="310"/>
      <c r="Q2178" s="310"/>
      <c r="R2178" s="314" t="str" cm="1">
        <f t="array" ref="R2178">IFERROR(IF(INDEX('Disaggregation Records'!$G$156:$G$517,MATCH(RIGHT(L2178,255),RIGHT('Disaggregation Records'!$D$156:$D$517,255),0))="","",INDEX('Disaggregation Records'!$G$156:$G$517,MATCH(RIGHT(L2178,255),RIGHT('Disaggregation Records'!$D$156:$D$517,255),0))),"")</f>
        <v/>
      </c>
    </row>
    <row r="2179" spans="1:18" ht="20.100000000000001" customHeight="1">
      <c r="A2179" s="126" t="str">
        <f t="shared" ref="A2179:A2239" ca="1" si="2567">INDIRECT("'update Helper'!C"&amp;Q2179)</f>
        <v>a16Dm000000M3t5IAC</v>
      </c>
      <c r="B2179" s="570">
        <v>39</v>
      </c>
      <c r="C2179" s="572" t="str">
        <f ca="1">IFERROR(VLOOKUP(B2179,'Coverage Indicators - Section D'!$A$9:$AO$94,41,FALSE),"")</f>
        <v>RSSH/PP M&amp;E-2 Timeliness of reporting: Percentage of submitted monthly reports (for the reporting period) that are received on time per the national guidelines</v>
      </c>
      <c r="D2179" s="574" t="str">
        <f ca="1">M2179</f>
        <v/>
      </c>
      <c r="E2179" s="574" t="str">
        <f ca="1">N2179</f>
        <v/>
      </c>
      <c r="F2179" s="127"/>
      <c r="G2179" s="576" t="str">
        <f ca="1">IF(OR(INDIRECT("'update Helper'!E"&amp;Q2179)="",F2179&lt;&gt;0,F2180&lt;&gt;0),IF(IFERROR((F2179/F2180),"")="","",(F2179/F2180)),INDIRECT("'update Helper'!E"&amp;Q2179)/100)</f>
        <v/>
      </c>
      <c r="H2179" s="539"/>
      <c r="I2179" s="578" t="s">
        <v>2281</v>
      </c>
      <c r="J2179" s="532" t="s">
        <v>2282</v>
      </c>
      <c r="K2179" s="126">
        <f ca="1">IF(AND(EXACT(C2179,C2177),C2177&lt;&gt;0),K2177+1,0)</f>
        <v>19</v>
      </c>
      <c r="L2179" s="126" t="str">
        <f t="shared" ref="L2179" ca="1" si="2568">IF(C2179&lt;&gt;"",C2179&amp;"-"&amp;K2179,"")</f>
        <v>RSSH/PP M&amp;E-2 Timeliness of reporting: Percentage of submitted monthly reports (for the reporting period) that are received on time per the national guidelines-19</v>
      </c>
      <c r="M2179" s="126" t="str">
        <f t="array" aca="1" ref="M2179" ca="1">IFERROR(IF(INDEX('Disaggregation Records'!$E$156:$E$517,MATCH(RIGHT(L2179,255),RIGHT('Disaggregation Records'!$D$156:$D$517,255),0))="","",INDEX('Disaggregation Records'!$E$156:$E$517,MATCH(RIGHT(L2179,255),RIGHT('Disaggregation Records'!$D$156:$D$517,255),0))),"")</f>
        <v/>
      </c>
      <c r="N2179" s="126" t="str">
        <f t="array" aca="1" ref="N2179" ca="1">IFERROR(IF(INDEX('Disaggregation Records'!$F$156:$F$517,MATCH(RIGHT(L2179,255),RIGHT('Disaggregation Records'!$D$156:$D$517,255),0))="","",INDEX('Disaggregation Records'!$F$156:$F$517,MATCH(RIGHT(L2179,255),RIGHT('Disaggregation Records'!$D$156:$D$517,255),0))),"")</f>
        <v/>
      </c>
      <c r="O2179" s="314" t="str">
        <f t="array" aca="1" ref="O2179" ca="1">IFERROR(IF(INDEX('Disaggregation Records'!$H$156:$H$517,MATCH(RIGHT(L2179,255),RIGHT('Disaggregation Records'!$D$156:$D$517,255),0))="","",INDEX('Disaggregation Records'!$H$156:$H$517,MATCH(RIGHT(L2179,255),RIGHT('Disaggregation Records'!$D$156:$D$517,255),0))),"")</f>
        <v/>
      </c>
      <c r="P2179" s="314"/>
      <c r="Q2179" s="310">
        <f t="shared" ref="Q2179" si="2569">Q2177+1</f>
        <v>1792</v>
      </c>
      <c r="R2179" s="314" t="str" cm="1">
        <f t="array" aca="1" ref="R2179" ca="1">IFERROR(IF(INDEX('Disaggregation Records'!$G$156:$G$517,MATCH(RIGHT(L2179,255),RIGHT('Disaggregation Records'!$D$156:$D$517,255),0))="","",INDEX('Disaggregation Records'!$G$156:$G$517,MATCH(RIGHT(L2179,255),RIGHT('Disaggregation Records'!$D$156:$D$517,255),0))),"")</f>
        <v/>
      </c>
    </row>
    <row r="2180" spans="1:18" ht="20.100000000000001" customHeight="1">
      <c r="A2180" s="126"/>
      <c r="B2180" s="571"/>
      <c r="C2180" s="573"/>
      <c r="D2180" s="575"/>
      <c r="E2180" s="575"/>
      <c r="F2180" s="128"/>
      <c r="G2180" s="577"/>
      <c r="H2180" s="540"/>
      <c r="I2180" s="579"/>
      <c r="J2180" s="533"/>
      <c r="K2180" s="126"/>
      <c r="L2180" s="126"/>
      <c r="M2180" s="126"/>
      <c r="N2180" s="126"/>
      <c r="O2180" s="314"/>
      <c r="P2180" s="314"/>
      <c r="Q2180" s="310"/>
      <c r="R2180" s="314" t="str" cm="1">
        <f t="array" ref="R2180">IFERROR(IF(INDEX('Disaggregation Records'!$G$156:$G$517,MATCH(RIGHT(L2180,255),RIGHT('Disaggregation Records'!$D$156:$D$517,255),0))="","",INDEX('Disaggregation Records'!$G$156:$G$517,MATCH(RIGHT(L2180,255),RIGHT('Disaggregation Records'!$D$156:$D$517,255),0))),"")</f>
        <v/>
      </c>
    </row>
    <row r="2181" spans="1:18" ht="20.100000000000001" customHeight="1">
      <c r="A2181" s="126" t="str">
        <f t="shared" ref="A2181:A2241" ca="1" si="2570">INDIRECT("'update Helper'!C"&amp;Q2181)</f>
        <v>a16Dm000000M3t6IAC</v>
      </c>
      <c r="B2181" s="570">
        <v>40</v>
      </c>
      <c r="C2181" s="572" t="str">
        <f ca="1">IFERROR(VLOOKUP(B2181,'Coverage Indicators - Section D'!$A$9:$AO$94,41,FALSE),"")</f>
        <v>HPM Other - 1: Pourcentage des etablissements de sante disposant des medicaments ARV le jour de la visite ou du rapportage</v>
      </c>
      <c r="D2181" s="574" t="str">
        <f ca="1">M2181</f>
        <v/>
      </c>
      <c r="E2181" s="574" t="str">
        <f ca="1">N2181</f>
        <v/>
      </c>
      <c r="F2181" s="127"/>
      <c r="G2181" s="576" t="str">
        <f ca="1">IF(OR(INDIRECT("'update Helper'!E"&amp;Q2181)="",F2181&lt;&gt;0,F2182&lt;&gt;0),IF(IFERROR((F2181/F2182),"")="","",(F2181/F2182)),INDIRECT("'update Helper'!E"&amp;Q2181)/100)</f>
        <v/>
      </c>
      <c r="H2181" s="539"/>
      <c r="I2181" s="578" t="s">
        <v>2281</v>
      </c>
      <c r="J2181" s="532" t="s">
        <v>2282</v>
      </c>
      <c r="K2181" s="126">
        <f ca="1">IF(AND(EXACT(C2181,C2179),C2179&lt;&gt;0),K2179+1,0)</f>
        <v>0</v>
      </c>
      <c r="L2181" s="126" t="str">
        <f t="shared" ref="L2181" ca="1" si="2571">IF(C2181&lt;&gt;"",C2181&amp;"-"&amp;K2181,"")</f>
        <v>HPM Other - 1: Pourcentage des etablissements de sante disposant des medicaments ARV le jour de la visite ou du rapportage-0</v>
      </c>
      <c r="M2181" s="126" t="str">
        <f t="array" aca="1" ref="M2181" ca="1">IFERROR(IF(INDEX('Disaggregation Records'!$E$156:$E$517,MATCH(RIGHT(L2181,255),RIGHT('Disaggregation Records'!$D$156:$D$517,255),0))="","",INDEX('Disaggregation Records'!$E$156:$E$517,MATCH(RIGHT(L2181,255),RIGHT('Disaggregation Records'!$D$156:$D$517,255),0))),"")</f>
        <v/>
      </c>
      <c r="N2181" s="126" t="str">
        <f t="array" aca="1" ref="N2181" ca="1">IFERROR(IF(INDEX('Disaggregation Records'!$F$156:$F$517,MATCH(RIGHT(L2181,255),RIGHT('Disaggregation Records'!$D$156:$D$517,255),0))="","",INDEX('Disaggregation Records'!$F$156:$F$517,MATCH(RIGHT(L2181,255),RIGHT('Disaggregation Records'!$D$156:$D$517,255),0))),"")</f>
        <v/>
      </c>
      <c r="O2181" s="314" t="str">
        <f t="array" aca="1" ref="O2181" ca="1">IFERROR(IF(INDEX('Disaggregation Records'!$H$156:$H$517,MATCH(RIGHT(L2181,255),RIGHT('Disaggregation Records'!$D$156:$D$517,255),0))="","",INDEX('Disaggregation Records'!$H$156:$H$517,MATCH(RIGHT(L2181,255),RIGHT('Disaggregation Records'!$D$156:$D$517,255),0))),"")</f>
        <v/>
      </c>
      <c r="P2181" s="314"/>
      <c r="Q2181" s="310">
        <f t="shared" ref="Q2181" si="2572">Q2179+1</f>
        <v>1793</v>
      </c>
      <c r="R2181" s="314" t="str" cm="1">
        <f t="array" aca="1" ref="R2181" ca="1">IFERROR(IF(INDEX('Disaggregation Records'!$G$156:$G$517,MATCH(RIGHT(L2181,255),RIGHT('Disaggregation Records'!$D$156:$D$517,255),0))="","",INDEX('Disaggregation Records'!$G$156:$G$517,MATCH(RIGHT(L2181,255),RIGHT('Disaggregation Records'!$D$156:$D$517,255),0))),"")</f>
        <v/>
      </c>
    </row>
    <row r="2182" spans="1:18" ht="20.100000000000001" customHeight="1">
      <c r="B2182" s="571"/>
      <c r="C2182" s="573"/>
      <c r="D2182" s="575"/>
      <c r="E2182" s="575"/>
      <c r="F2182" s="128"/>
      <c r="G2182" s="577"/>
      <c r="H2182" s="540"/>
      <c r="I2182" s="579"/>
      <c r="J2182" s="533"/>
      <c r="K2182" s="126"/>
      <c r="L2182" s="126"/>
      <c r="M2182" s="126"/>
      <c r="N2182" s="126"/>
      <c r="O2182" s="314"/>
      <c r="P2182" s="314"/>
      <c r="Q2182" s="310"/>
      <c r="R2182" s="314" t="str" cm="1">
        <f t="array" ref="R2182">IFERROR(IF(INDEX('Disaggregation Records'!$G$156:$G$517,MATCH(RIGHT(L2182,255),RIGHT('Disaggregation Records'!$D$156:$D$517,255),0))="","",INDEX('Disaggregation Records'!$G$156:$G$517,MATCH(RIGHT(L2182,255),RIGHT('Disaggregation Records'!$D$156:$D$517,255),0))),"")</f>
        <v/>
      </c>
    </row>
    <row r="2183" spans="1:18" ht="20.100000000000001" customHeight="1">
      <c r="A2183" s="126" t="str">
        <f t="shared" ref="A2183:A2243" ca="1" si="2573">INDIRECT("'update Helper'!C"&amp;Q2183)</f>
        <v>a16Dm000000M3t7IAC</v>
      </c>
      <c r="B2183" s="570">
        <v>40</v>
      </c>
      <c r="C2183" s="572" t="str">
        <f ca="1">IFERROR(VLOOKUP(B2183,'Coverage Indicators - Section D'!$A$9:$AO$94,41,FALSE),"")</f>
        <v>HPM Other - 1: Pourcentage des etablissements de sante disposant des medicaments ARV le jour de la visite ou du rapportage</v>
      </c>
      <c r="D2183" s="574" t="str">
        <f ca="1">M2183</f>
        <v/>
      </c>
      <c r="E2183" s="574" t="str">
        <f ca="1">N2183</f>
        <v/>
      </c>
      <c r="F2183" s="127"/>
      <c r="G2183" s="576" t="str">
        <f ca="1">IF(OR(INDIRECT("'update Helper'!E"&amp;Q2183)="",F2183&lt;&gt;0,F2184&lt;&gt;0),IF(IFERROR((F2183/F2184),"")="","",(F2183/F2184)),INDIRECT("'update Helper'!E"&amp;Q2183)/100)</f>
        <v/>
      </c>
      <c r="H2183" s="539"/>
      <c r="I2183" s="578" t="s">
        <v>2281</v>
      </c>
      <c r="J2183" s="532" t="s">
        <v>2282</v>
      </c>
      <c r="K2183" s="126">
        <f ca="1">IF(AND(EXACT(C2183,C2181),C2181&lt;&gt;0),K2181+1,0)</f>
        <v>1</v>
      </c>
      <c r="L2183" s="126" t="str">
        <f t="shared" ref="L2183" ca="1" si="2574">IF(C2183&lt;&gt;"",C2183&amp;"-"&amp;K2183,"")</f>
        <v>HPM Other - 1: Pourcentage des etablissements de sante disposant des medicaments ARV le jour de la visite ou du rapportage-1</v>
      </c>
      <c r="M2183" s="126" t="str">
        <f t="array" aca="1" ref="M2183" ca="1">IFERROR(IF(INDEX('Disaggregation Records'!$E$156:$E$517,MATCH(RIGHT(L2183,255),RIGHT('Disaggregation Records'!$D$156:$D$517,255),0))="","",INDEX('Disaggregation Records'!$E$156:$E$517,MATCH(RIGHT(L2183,255),RIGHT('Disaggregation Records'!$D$156:$D$517,255),0))),"")</f>
        <v/>
      </c>
      <c r="N2183" s="126" t="str">
        <f t="array" aca="1" ref="N2183" ca="1">IFERROR(IF(INDEX('Disaggregation Records'!$F$156:$F$517,MATCH(RIGHT(L2183,255),RIGHT('Disaggregation Records'!$D$156:$D$517,255),0))="","",INDEX('Disaggregation Records'!$F$156:$F$517,MATCH(RIGHT(L2183,255),RIGHT('Disaggregation Records'!$D$156:$D$517,255),0))),"")</f>
        <v/>
      </c>
      <c r="O2183" s="314" t="str">
        <f t="array" aca="1" ref="O2183" ca="1">IFERROR(IF(INDEX('Disaggregation Records'!$H$156:$H$517,MATCH(RIGHT(L2183,255),RIGHT('Disaggregation Records'!$D$156:$D$517,255),0))="","",INDEX('Disaggregation Records'!$H$156:$H$517,MATCH(RIGHT(L2183,255),RIGHT('Disaggregation Records'!$D$156:$D$517,255),0))),"")</f>
        <v/>
      </c>
      <c r="P2183" s="310"/>
      <c r="Q2183" s="310">
        <f t="shared" ref="Q2183" si="2575">Q2181+1</f>
        <v>1794</v>
      </c>
      <c r="R2183" s="314" t="str" cm="1">
        <f t="array" aca="1" ref="R2183" ca="1">IFERROR(IF(INDEX('Disaggregation Records'!$G$156:$G$517,MATCH(RIGHT(L2183,255),RIGHT('Disaggregation Records'!$D$156:$D$517,255),0))="","",INDEX('Disaggregation Records'!$G$156:$G$517,MATCH(RIGHT(L2183,255),RIGHT('Disaggregation Records'!$D$156:$D$517,255),0))),"")</f>
        <v/>
      </c>
    </row>
    <row r="2184" spans="1:18" ht="20.100000000000001" customHeight="1">
      <c r="A2184" s="126"/>
      <c r="B2184" s="571"/>
      <c r="C2184" s="573"/>
      <c r="D2184" s="575"/>
      <c r="E2184" s="575"/>
      <c r="F2184" s="128"/>
      <c r="G2184" s="577"/>
      <c r="H2184" s="540"/>
      <c r="I2184" s="579"/>
      <c r="J2184" s="533"/>
      <c r="L2184" s="126"/>
      <c r="N2184" s="126"/>
      <c r="O2184" s="314"/>
      <c r="P2184" s="310"/>
      <c r="Q2184" s="310"/>
      <c r="R2184" s="314" t="str" cm="1">
        <f t="array" ref="R2184">IFERROR(IF(INDEX('Disaggregation Records'!$G$156:$G$517,MATCH(RIGHT(L2184,255),RIGHT('Disaggregation Records'!$D$156:$D$517,255),0))="","",INDEX('Disaggregation Records'!$G$156:$G$517,MATCH(RIGHT(L2184,255),RIGHT('Disaggregation Records'!$D$156:$D$517,255),0))),"")</f>
        <v/>
      </c>
    </row>
    <row r="2185" spans="1:18" ht="20.100000000000001" customHeight="1">
      <c r="A2185" s="126" t="str">
        <f t="shared" ref="A2185:A2245" ca="1" si="2576">INDIRECT("'update Helper'!C"&amp;Q2185)</f>
        <v>a16Dm000000M3t8IAC</v>
      </c>
      <c r="B2185" s="570">
        <v>40</v>
      </c>
      <c r="C2185" s="572" t="str">
        <f ca="1">IFERROR(VLOOKUP(B2185,'Coverage Indicators - Section D'!$A$9:$AO$94,41,FALSE),"")</f>
        <v>HPM Other - 1: Pourcentage des etablissements de sante disposant des medicaments ARV le jour de la visite ou du rapportage</v>
      </c>
      <c r="D2185" s="574" t="str">
        <f ca="1">M2185</f>
        <v/>
      </c>
      <c r="E2185" s="574" t="str">
        <f ca="1">N2185</f>
        <v/>
      </c>
      <c r="F2185" s="127"/>
      <c r="G2185" s="576" t="str">
        <f ca="1">IF(OR(INDIRECT("'update Helper'!E"&amp;Q2185)="",F2185&lt;&gt;0,F2186&lt;&gt;0),IF(IFERROR((F2185/F2186),"")="","",(F2185/F2186)),INDIRECT("'update Helper'!E"&amp;Q2185)/100)</f>
        <v/>
      </c>
      <c r="H2185" s="539"/>
      <c r="I2185" s="578" t="s">
        <v>2281</v>
      </c>
      <c r="J2185" s="532" t="s">
        <v>2282</v>
      </c>
      <c r="K2185" s="126">
        <f ca="1">IF(AND(EXACT(C2185,C2183),C2183&lt;&gt;0),K2183+1,0)</f>
        <v>2</v>
      </c>
      <c r="L2185" s="126" t="str">
        <f t="shared" ref="L2185" ca="1" si="2577">IF(C2185&lt;&gt;"",C2185&amp;"-"&amp;K2185,"")</f>
        <v>HPM Other - 1: Pourcentage des etablissements de sante disposant des medicaments ARV le jour de la visite ou du rapportage-2</v>
      </c>
      <c r="M2185" s="126" t="str">
        <f t="array" aca="1" ref="M2185" ca="1">IFERROR(IF(INDEX('Disaggregation Records'!$E$156:$E$517,MATCH(RIGHT(L2185,255),RIGHT('Disaggregation Records'!$D$156:$D$517,255),0))="","",INDEX('Disaggregation Records'!$E$156:$E$517,MATCH(RIGHT(L2185,255),RIGHT('Disaggregation Records'!$D$156:$D$517,255),0))),"")</f>
        <v/>
      </c>
      <c r="N2185" s="126" t="str">
        <f t="array" aca="1" ref="N2185" ca="1">IFERROR(IF(INDEX('Disaggregation Records'!$F$156:$F$517,MATCH(RIGHT(L2185,255),RIGHT('Disaggregation Records'!$D$156:$D$517,255),0))="","",INDEX('Disaggregation Records'!$F$156:$F$517,MATCH(RIGHT(L2185,255),RIGHT('Disaggregation Records'!$D$156:$D$517,255),0))),"")</f>
        <v/>
      </c>
      <c r="O2185" s="314" t="str">
        <f t="array" aca="1" ref="O2185" ca="1">IFERROR(IF(INDEX('Disaggregation Records'!$H$156:$H$517,MATCH(RIGHT(L2185,255),RIGHT('Disaggregation Records'!$D$156:$D$517,255),0))="","",INDEX('Disaggregation Records'!$H$156:$H$517,MATCH(RIGHT(L2185,255),RIGHT('Disaggregation Records'!$D$156:$D$517,255),0))),"")</f>
        <v/>
      </c>
      <c r="P2185" s="310"/>
      <c r="Q2185" s="310">
        <f t="shared" ref="Q2185" si="2578">Q2183+1</f>
        <v>1795</v>
      </c>
      <c r="R2185" s="314" t="str" cm="1">
        <f t="array" aca="1" ref="R2185" ca="1">IFERROR(IF(INDEX('Disaggregation Records'!$G$156:$G$517,MATCH(RIGHT(L2185,255),RIGHT('Disaggregation Records'!$D$156:$D$517,255),0))="","",INDEX('Disaggregation Records'!$G$156:$G$517,MATCH(RIGHT(L2185,255),RIGHT('Disaggregation Records'!$D$156:$D$517,255),0))),"")</f>
        <v/>
      </c>
    </row>
    <row r="2186" spans="1:18" ht="20.100000000000001" customHeight="1">
      <c r="B2186" s="571"/>
      <c r="C2186" s="573"/>
      <c r="D2186" s="575"/>
      <c r="E2186" s="575"/>
      <c r="F2186" s="128"/>
      <c r="G2186" s="577"/>
      <c r="H2186" s="540"/>
      <c r="I2186" s="579"/>
      <c r="J2186" s="533"/>
      <c r="L2186" s="126"/>
      <c r="N2186" s="126"/>
      <c r="O2186" s="314"/>
      <c r="P2186" s="310"/>
      <c r="Q2186" s="310"/>
      <c r="R2186" s="314" t="str" cm="1">
        <f t="array" ref="R2186">IFERROR(IF(INDEX('Disaggregation Records'!$G$156:$G$517,MATCH(RIGHT(L2186,255),RIGHT('Disaggregation Records'!$D$156:$D$517,255),0))="","",INDEX('Disaggregation Records'!$G$156:$G$517,MATCH(RIGHT(L2186,255),RIGHT('Disaggregation Records'!$D$156:$D$517,255),0))),"")</f>
        <v/>
      </c>
    </row>
    <row r="2187" spans="1:18" ht="20.100000000000001" customHeight="1">
      <c r="A2187" s="126" t="str">
        <f t="shared" ref="A2187:A2247" ca="1" si="2579">INDIRECT("'update Helper'!C"&amp;Q2187)</f>
        <v>a16Dm000000M3t9IAC</v>
      </c>
      <c r="B2187" s="570">
        <v>40</v>
      </c>
      <c r="C2187" s="572" t="str">
        <f ca="1">IFERROR(VLOOKUP(B2187,'Coverage Indicators - Section D'!$A$9:$AO$94,41,FALSE),"")</f>
        <v>HPM Other - 1: Pourcentage des etablissements de sante disposant des medicaments ARV le jour de la visite ou du rapportage</v>
      </c>
      <c r="D2187" s="574" t="str">
        <f ca="1">M2187</f>
        <v/>
      </c>
      <c r="E2187" s="574" t="str">
        <f ca="1">N2187</f>
        <v/>
      </c>
      <c r="F2187" s="127"/>
      <c r="G2187" s="576" t="str">
        <f ca="1">IF(OR(INDIRECT("'update Helper'!E"&amp;Q2187)="",F2187&lt;&gt;0,F2188&lt;&gt;0),IF(IFERROR((F2187/F2188),"")="","",(F2187/F2188)),INDIRECT("'update Helper'!E"&amp;Q2187)/100)</f>
        <v/>
      </c>
      <c r="H2187" s="539"/>
      <c r="I2187" s="578" t="s">
        <v>2281</v>
      </c>
      <c r="J2187" s="532" t="s">
        <v>2282</v>
      </c>
      <c r="K2187" s="126">
        <f ca="1">IF(AND(EXACT(C2187,C2185),C2185&lt;&gt;0),K2185+1,0)</f>
        <v>3</v>
      </c>
      <c r="L2187" s="126" t="str">
        <f t="shared" ref="L2187" ca="1" si="2580">IF(C2187&lt;&gt;"",C2187&amp;"-"&amp;K2187,"")</f>
        <v>HPM Other - 1: Pourcentage des etablissements de sante disposant des medicaments ARV le jour de la visite ou du rapportage-3</v>
      </c>
      <c r="M2187" s="126" t="str">
        <f t="array" aca="1" ref="M2187" ca="1">IFERROR(IF(INDEX('Disaggregation Records'!$E$156:$E$517,MATCH(RIGHT(L2187,255),RIGHT('Disaggregation Records'!$D$156:$D$517,255),0))="","",INDEX('Disaggregation Records'!$E$156:$E$517,MATCH(RIGHT(L2187,255),RIGHT('Disaggregation Records'!$D$156:$D$517,255),0))),"")</f>
        <v/>
      </c>
      <c r="N2187" s="126" t="str">
        <f t="array" aca="1" ref="N2187" ca="1">IFERROR(IF(INDEX('Disaggregation Records'!$F$156:$F$517,MATCH(RIGHT(L2187,255),RIGHT('Disaggregation Records'!$D$156:$D$517,255),0))="","",INDEX('Disaggregation Records'!$F$156:$F$517,MATCH(RIGHT(L2187,255),RIGHT('Disaggregation Records'!$D$156:$D$517,255),0))),"")</f>
        <v/>
      </c>
      <c r="O2187" s="314" t="str">
        <f t="array" aca="1" ref="O2187" ca="1">IFERROR(IF(INDEX('Disaggregation Records'!$H$156:$H$517,MATCH(RIGHT(L2187,255),RIGHT('Disaggregation Records'!$D$156:$D$517,255),0))="","",INDEX('Disaggregation Records'!$H$156:$H$517,MATCH(RIGHT(L2187,255),RIGHT('Disaggregation Records'!$D$156:$D$517,255),0))),"")</f>
        <v/>
      </c>
      <c r="P2187" s="310"/>
      <c r="Q2187" s="310">
        <f t="shared" ref="Q2187" si="2581">Q2185+1</f>
        <v>1796</v>
      </c>
      <c r="R2187" s="314" t="str" cm="1">
        <f t="array" aca="1" ref="R2187" ca="1">IFERROR(IF(INDEX('Disaggregation Records'!$G$156:$G$517,MATCH(RIGHT(L2187,255),RIGHT('Disaggregation Records'!$D$156:$D$517,255),0))="","",INDEX('Disaggregation Records'!$G$156:$G$517,MATCH(RIGHT(L2187,255),RIGHT('Disaggregation Records'!$D$156:$D$517,255),0))),"")</f>
        <v/>
      </c>
    </row>
    <row r="2188" spans="1:18" ht="20.100000000000001" customHeight="1">
      <c r="A2188" s="126"/>
      <c r="B2188" s="571"/>
      <c r="C2188" s="573"/>
      <c r="D2188" s="575"/>
      <c r="E2188" s="575"/>
      <c r="F2188" s="128"/>
      <c r="G2188" s="577"/>
      <c r="H2188" s="540"/>
      <c r="I2188" s="579"/>
      <c r="J2188" s="533"/>
      <c r="L2188" s="126"/>
      <c r="N2188" s="126"/>
      <c r="O2188" s="314"/>
      <c r="P2188" s="310"/>
      <c r="Q2188" s="310"/>
      <c r="R2188" s="314" t="str" cm="1">
        <f t="array" ref="R2188">IFERROR(IF(INDEX('Disaggregation Records'!$G$156:$G$517,MATCH(RIGHT(L2188,255),RIGHT('Disaggregation Records'!$D$156:$D$517,255),0))="","",INDEX('Disaggregation Records'!$G$156:$G$517,MATCH(RIGHT(L2188,255),RIGHT('Disaggregation Records'!$D$156:$D$517,255),0))),"")</f>
        <v/>
      </c>
    </row>
    <row r="2189" spans="1:18" ht="20.100000000000001" customHeight="1">
      <c r="A2189" s="126" t="str">
        <f t="shared" ref="A2189:A2249" ca="1" si="2582">INDIRECT("'update Helper'!C"&amp;Q2189)</f>
        <v>a16Dm000000M3tAIAS</v>
      </c>
      <c r="B2189" s="570">
        <v>40</v>
      </c>
      <c r="C2189" s="572" t="str">
        <f ca="1">IFERROR(VLOOKUP(B2189,'Coverage Indicators - Section D'!$A$9:$AO$94,41,FALSE),"")</f>
        <v>HPM Other - 1: Pourcentage des etablissements de sante disposant des medicaments ARV le jour de la visite ou du rapportage</v>
      </c>
      <c r="D2189" s="574" t="str">
        <f ca="1">M2189</f>
        <v/>
      </c>
      <c r="E2189" s="574" t="str">
        <f ca="1">N2189</f>
        <v/>
      </c>
      <c r="F2189" s="127"/>
      <c r="G2189" s="576" t="str">
        <f ca="1">IF(OR(INDIRECT("'update Helper'!E"&amp;Q2189)="",F2189&lt;&gt;0,F2190&lt;&gt;0),IF(IFERROR((F2189/F2190),"")="","",(F2189/F2190)),INDIRECT("'update Helper'!E"&amp;Q2189)/100)</f>
        <v/>
      </c>
      <c r="H2189" s="539"/>
      <c r="I2189" s="578"/>
      <c r="J2189" s="532"/>
      <c r="K2189" s="126">
        <f ca="1">IF(AND(EXACT(C2189,C2187),C2187&lt;&gt;0),K2187+1,0)</f>
        <v>4</v>
      </c>
      <c r="L2189" s="126" t="str">
        <f t="shared" ref="L2189" ca="1" si="2583">IF(C2189&lt;&gt;"",C2189&amp;"-"&amp;K2189,"")</f>
        <v>HPM Other - 1: Pourcentage des etablissements de sante disposant des medicaments ARV le jour de la visite ou du rapportage-4</v>
      </c>
      <c r="M2189" s="126" t="str">
        <f t="array" aca="1" ref="M2189" ca="1">IFERROR(IF(INDEX('Disaggregation Records'!$E$156:$E$517,MATCH(RIGHT(L2189,255),RIGHT('Disaggregation Records'!$D$156:$D$517,255),0))="","",INDEX('Disaggregation Records'!$E$156:$E$517,MATCH(RIGHT(L2189,255),RIGHT('Disaggregation Records'!$D$156:$D$517,255),0))),"")</f>
        <v/>
      </c>
      <c r="N2189" s="126" t="str">
        <f t="array" aca="1" ref="N2189" ca="1">IFERROR(IF(INDEX('Disaggregation Records'!$F$156:$F$517,MATCH(RIGHT(L2189,255),RIGHT('Disaggregation Records'!$D$156:$D$517,255),0))="","",INDEX('Disaggregation Records'!$F$156:$F$517,MATCH(RIGHT(L2189,255),RIGHT('Disaggregation Records'!$D$156:$D$517,255),0))),"")</f>
        <v/>
      </c>
      <c r="O2189" s="314" t="str">
        <f t="array" aca="1" ref="O2189" ca="1">IFERROR(IF(INDEX('Disaggregation Records'!$H$156:$H$517,MATCH(RIGHT(L2189,255),RIGHT('Disaggregation Records'!$D$156:$D$517,255),0))="","",INDEX('Disaggregation Records'!$H$156:$H$517,MATCH(RIGHT(L2189,255),RIGHT('Disaggregation Records'!$D$156:$D$517,255),0))),"")</f>
        <v/>
      </c>
      <c r="P2189" s="314"/>
      <c r="Q2189" s="310">
        <f t="shared" ref="Q2189" si="2584">Q2187+1</f>
        <v>1797</v>
      </c>
      <c r="R2189" s="314" t="str" cm="1">
        <f t="array" aca="1" ref="R2189" ca="1">IFERROR(IF(INDEX('Disaggregation Records'!$G$156:$G$517,MATCH(RIGHT(L2189,255),RIGHT('Disaggregation Records'!$D$156:$D$517,255),0))="","",INDEX('Disaggregation Records'!$G$156:$G$517,MATCH(RIGHT(L2189,255),RIGHT('Disaggregation Records'!$D$156:$D$517,255),0))),"")</f>
        <v/>
      </c>
    </row>
    <row r="2190" spans="1:18" ht="20.100000000000001" customHeight="1">
      <c r="B2190" s="571"/>
      <c r="C2190" s="573"/>
      <c r="D2190" s="575"/>
      <c r="E2190" s="575"/>
      <c r="F2190" s="128"/>
      <c r="G2190" s="577"/>
      <c r="H2190" s="540"/>
      <c r="I2190" s="579"/>
      <c r="J2190" s="533"/>
      <c r="K2190" s="126"/>
      <c r="L2190" s="126"/>
      <c r="M2190" s="126"/>
      <c r="N2190" s="126"/>
      <c r="O2190" s="314"/>
      <c r="P2190" s="314"/>
      <c r="Q2190" s="310"/>
      <c r="R2190" s="314" t="str" cm="1">
        <f t="array" ref="R2190">IFERROR(IF(INDEX('Disaggregation Records'!$G$156:$G$517,MATCH(RIGHT(L2190,255),RIGHT('Disaggregation Records'!$D$156:$D$517,255),0))="","",INDEX('Disaggregation Records'!$G$156:$G$517,MATCH(RIGHT(L2190,255),RIGHT('Disaggregation Records'!$D$156:$D$517,255),0))),"")</f>
        <v/>
      </c>
    </row>
    <row r="2191" spans="1:18" ht="20.100000000000001" customHeight="1">
      <c r="A2191" s="126" t="str">
        <f t="shared" ref="A2191:A2251" ca="1" si="2585">INDIRECT("'update Helper'!C"&amp;Q2191)</f>
        <v>a16Dm000000M3tBIAS</v>
      </c>
      <c r="B2191" s="570">
        <v>40</v>
      </c>
      <c r="C2191" s="572" t="str">
        <f ca="1">IFERROR(VLOOKUP(B2191,'Coverage Indicators - Section D'!$A$9:$AO$94,41,FALSE),"")</f>
        <v>HPM Other - 1: Pourcentage des etablissements de sante disposant des medicaments ARV le jour de la visite ou du rapportage</v>
      </c>
      <c r="D2191" s="574" t="str">
        <f ca="1">M2191</f>
        <v/>
      </c>
      <c r="E2191" s="574" t="str">
        <f ca="1">N2191</f>
        <v/>
      </c>
      <c r="F2191" s="127"/>
      <c r="G2191" s="576" t="str">
        <f ca="1">IF(OR(INDIRECT("'update Helper'!E"&amp;Q2191)="",F2191&lt;&gt;0,F2192&lt;&gt;0),IF(IFERROR((F2191/F2192),"")="","",(F2191/F2192)),INDIRECT("'update Helper'!E"&amp;Q2191)/100)</f>
        <v/>
      </c>
      <c r="H2191" s="539"/>
      <c r="I2191" s="578"/>
      <c r="J2191" s="532"/>
      <c r="K2191" s="126">
        <f ca="1">IF(AND(EXACT(C2191,C2189),C2189&lt;&gt;0),K2189+1,0)</f>
        <v>5</v>
      </c>
      <c r="L2191" s="126" t="str">
        <f t="shared" ref="L2191" ca="1" si="2586">IF(C2191&lt;&gt;"",C2191&amp;"-"&amp;K2191,"")</f>
        <v>HPM Other - 1: Pourcentage des etablissements de sante disposant des medicaments ARV le jour de la visite ou du rapportage-5</v>
      </c>
      <c r="M2191" s="126" t="str">
        <f t="array" aca="1" ref="M2191" ca="1">IFERROR(IF(INDEX('Disaggregation Records'!$E$156:$E$517,MATCH(RIGHT(L2191,255),RIGHT('Disaggregation Records'!$D$156:$D$517,255),0))="","",INDEX('Disaggregation Records'!$E$156:$E$517,MATCH(RIGHT(L2191,255),RIGHT('Disaggregation Records'!$D$156:$D$517,255),0))),"")</f>
        <v/>
      </c>
      <c r="N2191" s="126" t="str">
        <f t="array" aca="1" ref="N2191" ca="1">IFERROR(IF(INDEX('Disaggregation Records'!$F$156:$F$517,MATCH(RIGHT(L2191,255),RIGHT('Disaggregation Records'!$D$156:$D$517,255),0))="","",INDEX('Disaggregation Records'!$F$156:$F$517,MATCH(RIGHT(L2191,255),RIGHT('Disaggregation Records'!$D$156:$D$517,255),0))),"")</f>
        <v/>
      </c>
      <c r="O2191" s="314" t="str">
        <f t="array" aca="1" ref="O2191" ca="1">IFERROR(IF(INDEX('Disaggregation Records'!$H$156:$H$517,MATCH(RIGHT(L2191,255),RIGHT('Disaggregation Records'!$D$156:$D$517,255),0))="","",INDEX('Disaggregation Records'!$H$156:$H$517,MATCH(RIGHT(L2191,255),RIGHT('Disaggregation Records'!$D$156:$D$517,255),0))),"")</f>
        <v/>
      </c>
      <c r="P2191" s="314"/>
      <c r="Q2191" s="310">
        <f t="shared" ref="Q2191" si="2587">Q2189+1</f>
        <v>1798</v>
      </c>
      <c r="R2191" s="314" t="str" cm="1">
        <f t="array" aca="1" ref="R2191" ca="1">IFERROR(IF(INDEX('Disaggregation Records'!$G$156:$G$517,MATCH(RIGHT(L2191,255),RIGHT('Disaggregation Records'!$D$156:$D$517,255),0))="","",INDEX('Disaggregation Records'!$G$156:$G$517,MATCH(RIGHT(L2191,255),RIGHT('Disaggregation Records'!$D$156:$D$517,255),0))),"")</f>
        <v/>
      </c>
    </row>
    <row r="2192" spans="1:18" ht="20.100000000000001" customHeight="1">
      <c r="A2192" s="126"/>
      <c r="B2192" s="571"/>
      <c r="C2192" s="573"/>
      <c r="D2192" s="575"/>
      <c r="E2192" s="575"/>
      <c r="F2192" s="128"/>
      <c r="G2192" s="577"/>
      <c r="H2192" s="540"/>
      <c r="I2192" s="579"/>
      <c r="J2192" s="533"/>
      <c r="K2192" s="126"/>
      <c r="L2192" s="126"/>
      <c r="M2192" s="126"/>
      <c r="N2192" s="126"/>
      <c r="O2192" s="314"/>
      <c r="P2192" s="314"/>
      <c r="Q2192" s="310"/>
      <c r="R2192" s="314" t="str" cm="1">
        <f t="array" ref="R2192">IFERROR(IF(INDEX('Disaggregation Records'!$G$156:$G$517,MATCH(RIGHT(L2192,255),RIGHT('Disaggregation Records'!$D$156:$D$517,255),0))="","",INDEX('Disaggregation Records'!$G$156:$G$517,MATCH(RIGHT(L2192,255),RIGHT('Disaggregation Records'!$D$156:$D$517,255),0))),"")</f>
        <v/>
      </c>
    </row>
    <row r="2193" spans="1:18" ht="20.100000000000001" customHeight="1">
      <c r="A2193" s="126" t="str">
        <f t="shared" ref="A2193:A2253" ca="1" si="2588">INDIRECT("'update Helper'!C"&amp;Q2193)</f>
        <v>a16Dm000000M3tCIAS</v>
      </c>
      <c r="B2193" s="570">
        <v>40</v>
      </c>
      <c r="C2193" s="572" t="str">
        <f ca="1">IFERROR(VLOOKUP(B2193,'Coverage Indicators - Section D'!$A$9:$AO$94,41,FALSE),"")</f>
        <v>HPM Other - 1: Pourcentage des etablissements de sante disposant des medicaments ARV le jour de la visite ou du rapportage</v>
      </c>
      <c r="D2193" s="574" t="str">
        <f ca="1">M2193</f>
        <v/>
      </c>
      <c r="E2193" s="574" t="str">
        <f ca="1">N2193</f>
        <v/>
      </c>
      <c r="F2193" s="127"/>
      <c r="G2193" s="576" t="str">
        <f ca="1">IF(OR(INDIRECT("'update Helper'!E"&amp;Q2193)="",F2193&lt;&gt;0,F2194&lt;&gt;0),IF(IFERROR((F2193/F2194),"")="","",(F2193/F2194)),INDIRECT("'update Helper'!E"&amp;Q2193)/100)</f>
        <v/>
      </c>
      <c r="H2193" s="539"/>
      <c r="I2193" s="578"/>
      <c r="J2193" s="532"/>
      <c r="K2193" s="126">
        <f ca="1">IF(AND(EXACT(C2193,C2191),C2191&lt;&gt;0),K2191+1,0)</f>
        <v>6</v>
      </c>
      <c r="L2193" s="126" t="str">
        <f t="shared" ref="L2193" ca="1" si="2589">IF(C2193&lt;&gt;"",C2193&amp;"-"&amp;K2193,"")</f>
        <v>HPM Other - 1: Pourcentage des etablissements de sante disposant des medicaments ARV le jour de la visite ou du rapportage-6</v>
      </c>
      <c r="M2193" s="126" t="str">
        <f t="array" aca="1" ref="M2193" ca="1">IFERROR(IF(INDEX('Disaggregation Records'!$E$156:$E$517,MATCH(RIGHT(L2193,255),RIGHT('Disaggregation Records'!$D$156:$D$517,255),0))="","",INDEX('Disaggregation Records'!$E$156:$E$517,MATCH(RIGHT(L2193,255),RIGHT('Disaggregation Records'!$D$156:$D$517,255),0))),"")</f>
        <v/>
      </c>
      <c r="N2193" s="126" t="str">
        <f t="array" aca="1" ref="N2193" ca="1">IFERROR(IF(INDEX('Disaggregation Records'!$F$156:$F$517,MATCH(RIGHT(L2193,255),RIGHT('Disaggregation Records'!$D$156:$D$517,255),0))="","",INDEX('Disaggregation Records'!$F$156:$F$517,MATCH(RIGHT(L2193,255),RIGHT('Disaggregation Records'!$D$156:$D$517,255),0))),"")</f>
        <v/>
      </c>
      <c r="O2193" s="314" t="str">
        <f t="array" aca="1" ref="O2193" ca="1">IFERROR(IF(INDEX('Disaggregation Records'!$H$156:$H$517,MATCH(RIGHT(L2193,255),RIGHT('Disaggregation Records'!$D$156:$D$517,255),0))="","",INDEX('Disaggregation Records'!$H$156:$H$517,MATCH(RIGHT(L2193,255),RIGHT('Disaggregation Records'!$D$156:$D$517,255),0))),"")</f>
        <v/>
      </c>
      <c r="P2193" s="310"/>
      <c r="Q2193" s="310">
        <f t="shared" ref="Q2193" si="2590">Q2191+1</f>
        <v>1799</v>
      </c>
      <c r="R2193" s="314" t="str" cm="1">
        <f t="array" aca="1" ref="R2193" ca="1">IFERROR(IF(INDEX('Disaggregation Records'!$G$156:$G$517,MATCH(RIGHT(L2193,255),RIGHT('Disaggregation Records'!$D$156:$D$517,255),0))="","",INDEX('Disaggregation Records'!$G$156:$G$517,MATCH(RIGHT(L2193,255),RIGHT('Disaggregation Records'!$D$156:$D$517,255),0))),"")</f>
        <v/>
      </c>
    </row>
    <row r="2194" spans="1:18" ht="20.100000000000001" customHeight="1">
      <c r="B2194" s="571"/>
      <c r="C2194" s="573"/>
      <c r="D2194" s="575"/>
      <c r="E2194" s="575"/>
      <c r="F2194" s="128"/>
      <c r="G2194" s="577"/>
      <c r="H2194" s="540"/>
      <c r="I2194" s="579"/>
      <c r="J2194" s="533"/>
      <c r="L2194" s="126"/>
      <c r="N2194" s="126"/>
      <c r="O2194" s="314"/>
      <c r="P2194" s="310"/>
      <c r="Q2194" s="310"/>
      <c r="R2194" s="314" t="str" cm="1">
        <f t="array" ref="R2194">IFERROR(IF(INDEX('Disaggregation Records'!$G$156:$G$517,MATCH(RIGHT(L2194,255),RIGHT('Disaggregation Records'!$D$156:$D$517,255),0))="","",INDEX('Disaggregation Records'!$G$156:$G$517,MATCH(RIGHT(L2194,255),RIGHT('Disaggregation Records'!$D$156:$D$517,255),0))),"")</f>
        <v/>
      </c>
    </row>
    <row r="2195" spans="1:18" ht="20.100000000000001" customHeight="1">
      <c r="A2195" s="126" t="str">
        <f t="shared" ref="A2195:A2255" ca="1" si="2591">INDIRECT("'update Helper'!C"&amp;Q2195)</f>
        <v>a16Dm000000M3tDIAS</v>
      </c>
      <c r="B2195" s="570">
        <v>40</v>
      </c>
      <c r="C2195" s="572" t="str">
        <f ca="1">IFERROR(VLOOKUP(B2195,'Coverage Indicators - Section D'!$A$9:$AO$94,41,FALSE),"")</f>
        <v>HPM Other - 1: Pourcentage des etablissements de sante disposant des medicaments ARV le jour de la visite ou du rapportage</v>
      </c>
      <c r="D2195" s="574" t="str">
        <f ca="1">M2195</f>
        <v/>
      </c>
      <c r="E2195" s="574" t="str">
        <f ca="1">N2195</f>
        <v/>
      </c>
      <c r="F2195" s="127"/>
      <c r="G2195" s="576" t="str">
        <f ca="1">IF(OR(INDIRECT("'update Helper'!E"&amp;Q2195)="",F2195&lt;&gt;0,F2196&lt;&gt;0),IF(IFERROR((F2195/F2196),"")="","",(F2195/F2196)),INDIRECT("'update Helper'!E"&amp;Q2195)/100)</f>
        <v/>
      </c>
      <c r="H2195" s="539"/>
      <c r="I2195" s="578"/>
      <c r="J2195" s="532"/>
      <c r="K2195" s="126">
        <f ca="1">IF(AND(EXACT(C2195,C2193),C2193&lt;&gt;0),K2193+1,0)</f>
        <v>7</v>
      </c>
      <c r="L2195" s="126" t="str">
        <f t="shared" ref="L2195" ca="1" si="2592">IF(C2195&lt;&gt;"",C2195&amp;"-"&amp;K2195,"")</f>
        <v>HPM Other - 1: Pourcentage des etablissements de sante disposant des medicaments ARV le jour de la visite ou du rapportage-7</v>
      </c>
      <c r="M2195" s="126" t="str">
        <f t="array" aca="1" ref="M2195" ca="1">IFERROR(IF(INDEX('Disaggregation Records'!$E$156:$E$517,MATCH(RIGHT(L2195,255),RIGHT('Disaggregation Records'!$D$156:$D$517,255),0))="","",INDEX('Disaggregation Records'!$E$156:$E$517,MATCH(RIGHT(L2195,255),RIGHT('Disaggregation Records'!$D$156:$D$517,255),0))),"")</f>
        <v/>
      </c>
      <c r="N2195" s="126" t="str">
        <f t="array" aca="1" ref="N2195" ca="1">IFERROR(IF(INDEX('Disaggregation Records'!$F$156:$F$517,MATCH(RIGHT(L2195,255),RIGHT('Disaggregation Records'!$D$156:$D$517,255),0))="","",INDEX('Disaggregation Records'!$F$156:$F$517,MATCH(RIGHT(L2195,255),RIGHT('Disaggregation Records'!$D$156:$D$517,255),0))),"")</f>
        <v/>
      </c>
      <c r="O2195" s="314" t="str">
        <f t="array" aca="1" ref="O2195" ca="1">IFERROR(IF(INDEX('Disaggregation Records'!$H$156:$H$517,MATCH(RIGHT(L2195,255),RIGHT('Disaggregation Records'!$D$156:$D$517,255),0))="","",INDEX('Disaggregation Records'!$H$156:$H$517,MATCH(RIGHT(L2195,255),RIGHT('Disaggregation Records'!$D$156:$D$517,255),0))),"")</f>
        <v/>
      </c>
      <c r="P2195" s="310"/>
      <c r="Q2195" s="310">
        <f t="shared" ref="Q2195" si="2593">Q2193+1</f>
        <v>1800</v>
      </c>
      <c r="R2195" s="314" t="str" cm="1">
        <f t="array" aca="1" ref="R2195" ca="1">IFERROR(IF(INDEX('Disaggregation Records'!$G$156:$G$517,MATCH(RIGHT(L2195,255),RIGHT('Disaggregation Records'!$D$156:$D$517,255),0))="","",INDEX('Disaggregation Records'!$G$156:$G$517,MATCH(RIGHT(L2195,255),RIGHT('Disaggregation Records'!$D$156:$D$517,255),0))),"")</f>
        <v/>
      </c>
    </row>
    <row r="2196" spans="1:18" ht="20.100000000000001" customHeight="1">
      <c r="A2196" s="126"/>
      <c r="B2196" s="571"/>
      <c r="C2196" s="573"/>
      <c r="D2196" s="575"/>
      <c r="E2196" s="575"/>
      <c r="F2196" s="128"/>
      <c r="G2196" s="577"/>
      <c r="H2196" s="540"/>
      <c r="I2196" s="579"/>
      <c r="J2196" s="533"/>
      <c r="L2196" s="126"/>
      <c r="N2196" s="126"/>
      <c r="O2196" s="314"/>
      <c r="P2196" s="310"/>
      <c r="Q2196" s="310"/>
      <c r="R2196" s="314" t="str" cm="1">
        <f t="array" ref="R2196">IFERROR(IF(INDEX('Disaggregation Records'!$G$156:$G$517,MATCH(RIGHT(L2196,255),RIGHT('Disaggregation Records'!$D$156:$D$517,255),0))="","",INDEX('Disaggregation Records'!$G$156:$G$517,MATCH(RIGHT(L2196,255),RIGHT('Disaggregation Records'!$D$156:$D$517,255),0))),"")</f>
        <v/>
      </c>
    </row>
    <row r="2197" spans="1:18" ht="20.100000000000001" customHeight="1">
      <c r="A2197" s="126" t="str">
        <f t="shared" ref="A2197:A2257" ca="1" si="2594">INDIRECT("'update Helper'!C"&amp;Q2197)</f>
        <v>a16Dm000000M3tEIAS</v>
      </c>
      <c r="B2197" s="570">
        <v>40</v>
      </c>
      <c r="C2197" s="572" t="str">
        <f ca="1">IFERROR(VLOOKUP(B2197,'Coverage Indicators - Section D'!$A$9:$AO$94,41,FALSE),"")</f>
        <v>HPM Other - 1: Pourcentage des etablissements de sante disposant des medicaments ARV le jour de la visite ou du rapportage</v>
      </c>
      <c r="D2197" s="574" t="str">
        <f ca="1">M2197</f>
        <v/>
      </c>
      <c r="E2197" s="574" t="str">
        <f ca="1">N2197</f>
        <v/>
      </c>
      <c r="F2197" s="127"/>
      <c r="G2197" s="576" t="str">
        <f ca="1">IF(OR(INDIRECT("'update Helper'!E"&amp;Q2197)="",F2197&lt;&gt;0,F2198&lt;&gt;0),IF(IFERROR((F2197/F2198),"")="","",(F2197/F2198)),INDIRECT("'update Helper'!E"&amp;Q2197)/100)</f>
        <v/>
      </c>
      <c r="H2197" s="539"/>
      <c r="I2197" s="578"/>
      <c r="J2197" s="532"/>
      <c r="K2197" s="126">
        <f ca="1">IF(AND(EXACT(C2197,C2195),C2195&lt;&gt;0),K2195+1,0)</f>
        <v>8</v>
      </c>
      <c r="L2197" s="126" t="str">
        <f t="shared" ref="L2197" ca="1" si="2595">IF(C2197&lt;&gt;"",C2197&amp;"-"&amp;K2197,"")</f>
        <v>HPM Other - 1: Pourcentage des etablissements de sante disposant des medicaments ARV le jour de la visite ou du rapportage-8</v>
      </c>
      <c r="M2197" s="126" t="str">
        <f t="array" aca="1" ref="M2197" ca="1">IFERROR(IF(INDEX('Disaggregation Records'!$E$156:$E$517,MATCH(RIGHT(L2197,255),RIGHT('Disaggregation Records'!$D$156:$D$517,255),0))="","",INDEX('Disaggregation Records'!$E$156:$E$517,MATCH(RIGHT(L2197,255),RIGHT('Disaggregation Records'!$D$156:$D$517,255),0))),"")</f>
        <v/>
      </c>
      <c r="N2197" s="126" t="str">
        <f t="array" aca="1" ref="N2197" ca="1">IFERROR(IF(INDEX('Disaggregation Records'!$F$156:$F$517,MATCH(RIGHT(L2197,255),RIGHT('Disaggregation Records'!$D$156:$D$517,255),0))="","",INDEX('Disaggregation Records'!$F$156:$F$517,MATCH(RIGHT(L2197,255),RIGHT('Disaggregation Records'!$D$156:$D$517,255),0))),"")</f>
        <v/>
      </c>
      <c r="O2197" s="314" t="str">
        <f t="array" aca="1" ref="O2197" ca="1">IFERROR(IF(INDEX('Disaggregation Records'!$H$156:$H$517,MATCH(RIGHT(L2197,255),RIGHT('Disaggregation Records'!$D$156:$D$517,255),0))="","",INDEX('Disaggregation Records'!$H$156:$H$517,MATCH(RIGHT(L2197,255),RIGHT('Disaggregation Records'!$D$156:$D$517,255),0))),"")</f>
        <v/>
      </c>
      <c r="P2197" s="310"/>
      <c r="Q2197" s="310">
        <f t="shared" ref="Q2197" si="2596">Q2195+1</f>
        <v>1801</v>
      </c>
      <c r="R2197" s="314" t="str" cm="1">
        <f t="array" aca="1" ref="R2197" ca="1">IFERROR(IF(INDEX('Disaggregation Records'!$G$156:$G$517,MATCH(RIGHT(L2197,255),RIGHT('Disaggregation Records'!$D$156:$D$517,255),0))="","",INDEX('Disaggregation Records'!$G$156:$G$517,MATCH(RIGHT(L2197,255),RIGHT('Disaggregation Records'!$D$156:$D$517,255),0))),"")</f>
        <v/>
      </c>
    </row>
    <row r="2198" spans="1:18" ht="20.100000000000001" customHeight="1">
      <c r="B2198" s="571"/>
      <c r="C2198" s="573"/>
      <c r="D2198" s="575"/>
      <c r="E2198" s="575"/>
      <c r="F2198" s="128"/>
      <c r="G2198" s="577"/>
      <c r="H2198" s="540"/>
      <c r="I2198" s="579"/>
      <c r="J2198" s="533"/>
      <c r="L2198" s="126"/>
      <c r="N2198" s="126"/>
      <c r="O2198" s="314"/>
      <c r="P2198" s="310"/>
      <c r="Q2198" s="310"/>
      <c r="R2198" s="314" t="str" cm="1">
        <f t="array" ref="R2198">IFERROR(IF(INDEX('Disaggregation Records'!$G$156:$G$517,MATCH(RIGHT(L2198,255),RIGHT('Disaggregation Records'!$D$156:$D$517,255),0))="","",INDEX('Disaggregation Records'!$G$156:$G$517,MATCH(RIGHT(L2198,255),RIGHT('Disaggregation Records'!$D$156:$D$517,255),0))),"")</f>
        <v/>
      </c>
    </row>
    <row r="2199" spans="1:18" ht="20.100000000000001" customHeight="1">
      <c r="A2199" s="126" t="str">
        <f t="shared" ref="A2199:A2259" ca="1" si="2597">INDIRECT("'update Helper'!C"&amp;Q2199)</f>
        <v>a16Dm000000M3tFIAS</v>
      </c>
      <c r="B2199" s="570">
        <v>40</v>
      </c>
      <c r="C2199" s="572" t="str">
        <f ca="1">IFERROR(VLOOKUP(B2199,'Coverage Indicators - Section D'!$A$9:$AO$94,41,FALSE),"")</f>
        <v>HPM Other - 1: Pourcentage des etablissements de sante disposant des medicaments ARV le jour de la visite ou du rapportage</v>
      </c>
      <c r="D2199" s="574" t="str">
        <f ca="1">M2199</f>
        <v/>
      </c>
      <c r="E2199" s="574" t="str">
        <f ca="1">N2199</f>
        <v/>
      </c>
      <c r="F2199" s="127"/>
      <c r="G2199" s="576" t="str">
        <f ca="1">IF(OR(INDIRECT("'update Helper'!E"&amp;Q2199)="",F2199&lt;&gt;0,F2200&lt;&gt;0),IF(IFERROR((F2199/F2200),"")="","",(F2199/F2200)),INDIRECT("'update Helper'!E"&amp;Q2199)/100)</f>
        <v/>
      </c>
      <c r="H2199" s="539"/>
      <c r="I2199" s="578"/>
      <c r="J2199" s="532"/>
      <c r="K2199" s="126">
        <f ca="1">IF(AND(EXACT(C2199,C2197),C2197&lt;&gt;0),K2197+1,0)</f>
        <v>9</v>
      </c>
      <c r="L2199" s="126" t="str">
        <f t="shared" ref="L2199" ca="1" si="2598">IF(C2199&lt;&gt;"",C2199&amp;"-"&amp;K2199,"")</f>
        <v>HPM Other - 1: Pourcentage des etablissements de sante disposant des medicaments ARV le jour de la visite ou du rapportage-9</v>
      </c>
      <c r="M2199" s="126" t="str">
        <f t="array" aca="1" ref="M2199" ca="1">IFERROR(IF(INDEX('Disaggregation Records'!$E$156:$E$517,MATCH(RIGHT(L2199,255),RIGHT('Disaggregation Records'!$D$156:$D$517,255),0))="","",INDEX('Disaggregation Records'!$E$156:$E$517,MATCH(RIGHT(L2199,255),RIGHT('Disaggregation Records'!$D$156:$D$517,255),0))),"")</f>
        <v/>
      </c>
      <c r="N2199" s="126" t="str">
        <f t="array" aca="1" ref="N2199" ca="1">IFERROR(IF(INDEX('Disaggregation Records'!$F$156:$F$517,MATCH(RIGHT(L2199,255),RIGHT('Disaggregation Records'!$D$156:$D$517,255),0))="","",INDEX('Disaggregation Records'!$F$156:$F$517,MATCH(RIGHT(L2199,255),RIGHT('Disaggregation Records'!$D$156:$D$517,255),0))),"")</f>
        <v/>
      </c>
      <c r="O2199" s="314" t="str">
        <f t="array" aca="1" ref="O2199" ca="1">IFERROR(IF(INDEX('Disaggregation Records'!$H$156:$H$517,MATCH(RIGHT(L2199,255),RIGHT('Disaggregation Records'!$D$156:$D$517,255),0))="","",INDEX('Disaggregation Records'!$H$156:$H$517,MATCH(RIGHT(L2199,255),RIGHT('Disaggregation Records'!$D$156:$D$517,255),0))),"")</f>
        <v/>
      </c>
      <c r="P2199" s="314"/>
      <c r="Q2199" s="310">
        <f t="shared" ref="Q2199" si="2599">Q2197+1</f>
        <v>1802</v>
      </c>
      <c r="R2199" s="314" t="str" cm="1">
        <f t="array" aca="1" ref="R2199" ca="1">IFERROR(IF(INDEX('Disaggregation Records'!$G$156:$G$517,MATCH(RIGHT(L2199,255),RIGHT('Disaggregation Records'!$D$156:$D$517,255),0))="","",INDEX('Disaggregation Records'!$G$156:$G$517,MATCH(RIGHT(L2199,255),RIGHT('Disaggregation Records'!$D$156:$D$517,255),0))),"")</f>
        <v/>
      </c>
    </row>
    <row r="2200" spans="1:18" ht="20.100000000000001" customHeight="1">
      <c r="A2200" s="126"/>
      <c r="B2200" s="571"/>
      <c r="C2200" s="573"/>
      <c r="D2200" s="575"/>
      <c r="E2200" s="575"/>
      <c r="F2200" s="128"/>
      <c r="G2200" s="577"/>
      <c r="H2200" s="540"/>
      <c r="I2200" s="579"/>
      <c r="J2200" s="533"/>
      <c r="K2200" s="126"/>
      <c r="L2200" s="126"/>
      <c r="M2200" s="126"/>
      <c r="N2200" s="126"/>
      <c r="O2200" s="314"/>
      <c r="P2200" s="314"/>
      <c r="Q2200" s="310"/>
      <c r="R2200" s="314" t="str" cm="1">
        <f t="array" ref="R2200">IFERROR(IF(INDEX('Disaggregation Records'!$G$156:$G$517,MATCH(RIGHT(L2200,255),RIGHT('Disaggregation Records'!$D$156:$D$517,255),0))="","",INDEX('Disaggregation Records'!$G$156:$G$517,MATCH(RIGHT(L2200,255),RIGHT('Disaggregation Records'!$D$156:$D$517,255),0))),"")</f>
        <v/>
      </c>
    </row>
    <row r="2201" spans="1:18" ht="20.100000000000001" customHeight="1">
      <c r="A2201" s="126" t="str">
        <f t="shared" ref="A2201:A2261" ca="1" si="2600">INDIRECT("'update Helper'!C"&amp;Q2201)</f>
        <v>a16Dm000000M3tGIAS</v>
      </c>
      <c r="B2201" s="570">
        <v>40</v>
      </c>
      <c r="C2201" s="572" t="str">
        <f ca="1">IFERROR(VLOOKUP(B2201,'Coverage Indicators - Section D'!$A$9:$AO$94,41,FALSE),"")</f>
        <v>HPM Other - 1: Pourcentage des etablissements de sante disposant des medicaments ARV le jour de la visite ou du rapportage</v>
      </c>
      <c r="D2201" s="574" t="str">
        <f ca="1">M2201</f>
        <v/>
      </c>
      <c r="E2201" s="574" t="str">
        <f ca="1">N2201</f>
        <v/>
      </c>
      <c r="F2201" s="127"/>
      <c r="G2201" s="576" t="str">
        <f ca="1">IF(OR(INDIRECT("'update Helper'!E"&amp;Q2201)="",F2201&lt;&gt;0,F2202&lt;&gt;0),IF(IFERROR((F2201/F2202),"")="","",(F2201/F2202)),INDIRECT("'update Helper'!E"&amp;Q2201)/100)</f>
        <v/>
      </c>
      <c r="H2201" s="539"/>
      <c r="I2201" s="578"/>
      <c r="J2201" s="532"/>
      <c r="K2201" s="126">
        <f ca="1">IF(AND(EXACT(C2201,C2199),C2199&lt;&gt;0),K2199+1,0)</f>
        <v>10</v>
      </c>
      <c r="L2201" s="126" t="str">
        <f t="shared" ref="L2201" ca="1" si="2601">IF(C2201&lt;&gt;"",C2201&amp;"-"&amp;K2201,"")</f>
        <v>HPM Other - 1: Pourcentage des etablissements de sante disposant des medicaments ARV le jour de la visite ou du rapportage-10</v>
      </c>
      <c r="M2201" s="126" t="str">
        <f t="array" aca="1" ref="M2201" ca="1">IFERROR(IF(INDEX('Disaggregation Records'!$E$156:$E$517,MATCH(RIGHT(L2201,255),RIGHT('Disaggregation Records'!$D$156:$D$517,255),0))="","",INDEX('Disaggregation Records'!$E$156:$E$517,MATCH(RIGHT(L2201,255),RIGHT('Disaggregation Records'!$D$156:$D$517,255),0))),"")</f>
        <v/>
      </c>
      <c r="N2201" s="126" t="str">
        <f t="array" aca="1" ref="N2201" ca="1">IFERROR(IF(INDEX('Disaggregation Records'!$F$156:$F$517,MATCH(RIGHT(L2201,255),RIGHT('Disaggregation Records'!$D$156:$D$517,255),0))="","",INDEX('Disaggregation Records'!$F$156:$F$517,MATCH(RIGHT(L2201,255),RIGHT('Disaggregation Records'!$D$156:$D$517,255),0))),"")</f>
        <v/>
      </c>
      <c r="O2201" s="314" t="str">
        <f t="array" aca="1" ref="O2201" ca="1">IFERROR(IF(INDEX('Disaggregation Records'!$H$156:$H$517,MATCH(RIGHT(L2201,255),RIGHT('Disaggregation Records'!$D$156:$D$517,255),0))="","",INDEX('Disaggregation Records'!$H$156:$H$517,MATCH(RIGHT(L2201,255),RIGHT('Disaggregation Records'!$D$156:$D$517,255),0))),"")</f>
        <v/>
      </c>
      <c r="P2201" s="314"/>
      <c r="Q2201" s="310">
        <f t="shared" ref="Q2201" si="2602">Q2199+1</f>
        <v>1803</v>
      </c>
      <c r="R2201" s="314" t="str" cm="1">
        <f t="array" aca="1" ref="R2201" ca="1">IFERROR(IF(INDEX('Disaggregation Records'!$G$156:$G$517,MATCH(RIGHT(L2201,255),RIGHT('Disaggregation Records'!$D$156:$D$517,255),0))="","",INDEX('Disaggregation Records'!$G$156:$G$517,MATCH(RIGHT(L2201,255),RIGHT('Disaggregation Records'!$D$156:$D$517,255),0))),"")</f>
        <v/>
      </c>
    </row>
    <row r="2202" spans="1:18" ht="20.100000000000001" customHeight="1">
      <c r="B2202" s="571"/>
      <c r="C2202" s="573"/>
      <c r="D2202" s="575"/>
      <c r="E2202" s="575"/>
      <c r="F2202" s="128"/>
      <c r="G2202" s="577"/>
      <c r="H2202" s="540"/>
      <c r="I2202" s="579"/>
      <c r="J2202" s="533"/>
      <c r="K2202" s="126"/>
      <c r="L2202" s="126"/>
      <c r="M2202" s="126"/>
      <c r="N2202" s="126"/>
      <c r="O2202" s="314"/>
      <c r="P2202" s="314"/>
      <c r="Q2202" s="310"/>
      <c r="R2202" s="314" t="str" cm="1">
        <f t="array" ref="R2202">IFERROR(IF(INDEX('Disaggregation Records'!$G$156:$G$517,MATCH(RIGHT(L2202,255),RIGHT('Disaggregation Records'!$D$156:$D$517,255),0))="","",INDEX('Disaggregation Records'!$G$156:$G$517,MATCH(RIGHT(L2202,255),RIGHT('Disaggregation Records'!$D$156:$D$517,255),0))),"")</f>
        <v/>
      </c>
    </row>
    <row r="2203" spans="1:18" ht="20.100000000000001" customHeight="1">
      <c r="A2203" s="126" t="str">
        <f t="shared" ref="A2203:A2263" ca="1" si="2603">INDIRECT("'update Helper'!C"&amp;Q2203)</f>
        <v>a16Dm000000M3tHIAS</v>
      </c>
      <c r="B2203" s="570">
        <v>40</v>
      </c>
      <c r="C2203" s="572" t="str">
        <f ca="1">IFERROR(VLOOKUP(B2203,'Coverage Indicators - Section D'!$A$9:$AO$94,41,FALSE),"")</f>
        <v>HPM Other - 1: Pourcentage des etablissements de sante disposant des medicaments ARV le jour de la visite ou du rapportage</v>
      </c>
      <c r="D2203" s="574" t="str">
        <f ca="1">M2203</f>
        <v/>
      </c>
      <c r="E2203" s="574" t="str">
        <f ca="1">N2203</f>
        <v/>
      </c>
      <c r="F2203" s="127"/>
      <c r="G2203" s="576" t="str">
        <f ca="1">IF(OR(INDIRECT("'update Helper'!E"&amp;Q2203)="",F2203&lt;&gt;0,F2204&lt;&gt;0),IF(IFERROR((F2203/F2204),"")="","",(F2203/F2204)),INDIRECT("'update Helper'!E"&amp;Q2203)/100)</f>
        <v/>
      </c>
      <c r="H2203" s="539"/>
      <c r="I2203" s="578"/>
      <c r="J2203" s="532"/>
      <c r="K2203" s="126">
        <f ca="1">IF(AND(EXACT(C2203,C2201),C2201&lt;&gt;0),K2201+1,0)</f>
        <v>11</v>
      </c>
      <c r="L2203" s="126" t="str">
        <f t="shared" ref="L2203" ca="1" si="2604">IF(C2203&lt;&gt;"",C2203&amp;"-"&amp;K2203,"")</f>
        <v>HPM Other - 1: Pourcentage des etablissements de sante disposant des medicaments ARV le jour de la visite ou du rapportage-11</v>
      </c>
      <c r="M2203" s="126" t="str">
        <f t="array" aca="1" ref="M2203" ca="1">IFERROR(IF(INDEX('Disaggregation Records'!$E$156:$E$517,MATCH(RIGHT(L2203,255),RIGHT('Disaggregation Records'!$D$156:$D$517,255),0))="","",INDEX('Disaggregation Records'!$E$156:$E$517,MATCH(RIGHT(L2203,255),RIGHT('Disaggregation Records'!$D$156:$D$517,255),0))),"")</f>
        <v/>
      </c>
      <c r="N2203" s="126" t="str">
        <f t="array" aca="1" ref="N2203" ca="1">IFERROR(IF(INDEX('Disaggregation Records'!$F$156:$F$517,MATCH(RIGHT(L2203,255),RIGHT('Disaggregation Records'!$D$156:$D$517,255),0))="","",INDEX('Disaggregation Records'!$F$156:$F$517,MATCH(RIGHT(L2203,255),RIGHT('Disaggregation Records'!$D$156:$D$517,255),0))),"")</f>
        <v/>
      </c>
      <c r="O2203" s="314" t="str">
        <f t="array" aca="1" ref="O2203" ca="1">IFERROR(IF(INDEX('Disaggregation Records'!$H$156:$H$517,MATCH(RIGHT(L2203,255),RIGHT('Disaggregation Records'!$D$156:$D$517,255),0))="","",INDEX('Disaggregation Records'!$H$156:$H$517,MATCH(RIGHT(L2203,255),RIGHT('Disaggregation Records'!$D$156:$D$517,255),0))),"")</f>
        <v/>
      </c>
      <c r="P2203" s="310"/>
      <c r="Q2203" s="310">
        <f t="shared" ref="Q2203" si="2605">Q2201+1</f>
        <v>1804</v>
      </c>
      <c r="R2203" s="314" t="str" cm="1">
        <f t="array" aca="1" ref="R2203" ca="1">IFERROR(IF(INDEX('Disaggregation Records'!$G$156:$G$517,MATCH(RIGHT(L2203,255),RIGHT('Disaggregation Records'!$D$156:$D$517,255),0))="","",INDEX('Disaggregation Records'!$G$156:$G$517,MATCH(RIGHT(L2203,255),RIGHT('Disaggregation Records'!$D$156:$D$517,255),0))),"")</f>
        <v/>
      </c>
    </row>
    <row r="2204" spans="1:18" ht="20.100000000000001" customHeight="1">
      <c r="A2204" s="126"/>
      <c r="B2204" s="571"/>
      <c r="C2204" s="573"/>
      <c r="D2204" s="575"/>
      <c r="E2204" s="575"/>
      <c r="F2204" s="128"/>
      <c r="G2204" s="577"/>
      <c r="H2204" s="540"/>
      <c r="I2204" s="579"/>
      <c r="J2204" s="533"/>
      <c r="L2204" s="126"/>
      <c r="N2204" s="126"/>
      <c r="O2204" s="314"/>
      <c r="P2204" s="310"/>
      <c r="Q2204" s="310"/>
      <c r="R2204" s="314" t="str" cm="1">
        <f t="array" ref="R2204">IFERROR(IF(INDEX('Disaggregation Records'!$G$156:$G$517,MATCH(RIGHT(L2204,255),RIGHT('Disaggregation Records'!$D$156:$D$517,255),0))="","",INDEX('Disaggregation Records'!$G$156:$G$517,MATCH(RIGHT(L2204,255),RIGHT('Disaggregation Records'!$D$156:$D$517,255),0))),"")</f>
        <v/>
      </c>
    </row>
    <row r="2205" spans="1:18" ht="20.100000000000001" customHeight="1">
      <c r="A2205" s="126" t="str">
        <f t="shared" ref="A2205:A2265" ca="1" si="2606">INDIRECT("'update Helper'!C"&amp;Q2205)</f>
        <v>a16Dm000000M3tIIAS</v>
      </c>
      <c r="B2205" s="570">
        <v>40</v>
      </c>
      <c r="C2205" s="572" t="str">
        <f ca="1">IFERROR(VLOOKUP(B2205,'Coverage Indicators - Section D'!$A$9:$AO$94,41,FALSE),"")</f>
        <v>HPM Other - 1: Pourcentage des etablissements de sante disposant des medicaments ARV le jour de la visite ou du rapportage</v>
      </c>
      <c r="D2205" s="574" t="str">
        <f ca="1">M2205</f>
        <v/>
      </c>
      <c r="E2205" s="574" t="str">
        <f ca="1">N2205</f>
        <v/>
      </c>
      <c r="F2205" s="127"/>
      <c r="G2205" s="576" t="str">
        <f ca="1">IF(OR(INDIRECT("'update Helper'!E"&amp;Q2205)="",F2205&lt;&gt;0,F2206&lt;&gt;0),IF(IFERROR((F2205/F2206),"")="","",(F2205/F2206)),INDIRECT("'update Helper'!E"&amp;Q2205)/100)</f>
        <v/>
      </c>
      <c r="H2205" s="539"/>
      <c r="I2205" s="578"/>
      <c r="J2205" s="532"/>
      <c r="K2205" s="126">
        <f ca="1">IF(AND(EXACT(C2205,C2203),C2203&lt;&gt;0),K2203+1,0)</f>
        <v>12</v>
      </c>
      <c r="L2205" s="126" t="str">
        <f t="shared" ref="L2205" ca="1" si="2607">IF(C2205&lt;&gt;"",C2205&amp;"-"&amp;K2205,"")</f>
        <v>HPM Other - 1: Pourcentage des etablissements de sante disposant des medicaments ARV le jour de la visite ou du rapportage-12</v>
      </c>
      <c r="M2205" s="126" t="str">
        <f t="array" aca="1" ref="M2205" ca="1">IFERROR(IF(INDEX('Disaggregation Records'!$E$156:$E$517,MATCH(RIGHT(L2205,255),RIGHT('Disaggregation Records'!$D$156:$D$517,255),0))="","",INDEX('Disaggregation Records'!$E$156:$E$517,MATCH(RIGHT(L2205,255),RIGHT('Disaggregation Records'!$D$156:$D$517,255),0))),"")</f>
        <v/>
      </c>
      <c r="N2205" s="126" t="str">
        <f t="array" aca="1" ref="N2205" ca="1">IFERROR(IF(INDEX('Disaggregation Records'!$F$156:$F$517,MATCH(RIGHT(L2205,255),RIGHT('Disaggregation Records'!$D$156:$D$517,255),0))="","",INDEX('Disaggregation Records'!$F$156:$F$517,MATCH(RIGHT(L2205,255),RIGHT('Disaggregation Records'!$D$156:$D$517,255),0))),"")</f>
        <v/>
      </c>
      <c r="O2205" s="314" t="str">
        <f t="array" aca="1" ref="O2205" ca="1">IFERROR(IF(INDEX('Disaggregation Records'!$H$156:$H$517,MATCH(RIGHT(L2205,255),RIGHT('Disaggregation Records'!$D$156:$D$517,255),0))="","",INDEX('Disaggregation Records'!$H$156:$H$517,MATCH(RIGHT(L2205,255),RIGHT('Disaggregation Records'!$D$156:$D$517,255),0))),"")</f>
        <v/>
      </c>
      <c r="P2205" s="310"/>
      <c r="Q2205" s="310">
        <f t="shared" ref="Q2205" si="2608">Q2203+1</f>
        <v>1805</v>
      </c>
      <c r="R2205" s="314" t="str" cm="1">
        <f t="array" aca="1" ref="R2205" ca="1">IFERROR(IF(INDEX('Disaggregation Records'!$G$156:$G$517,MATCH(RIGHT(L2205,255),RIGHT('Disaggregation Records'!$D$156:$D$517,255),0))="","",INDEX('Disaggregation Records'!$G$156:$G$517,MATCH(RIGHT(L2205,255),RIGHT('Disaggregation Records'!$D$156:$D$517,255),0))),"")</f>
        <v/>
      </c>
    </row>
    <row r="2206" spans="1:18" ht="20.100000000000001" customHeight="1">
      <c r="B2206" s="571"/>
      <c r="C2206" s="573"/>
      <c r="D2206" s="575"/>
      <c r="E2206" s="575"/>
      <c r="F2206" s="128"/>
      <c r="G2206" s="577"/>
      <c r="H2206" s="540"/>
      <c r="I2206" s="579"/>
      <c r="J2206" s="533"/>
      <c r="L2206" s="126"/>
      <c r="N2206" s="126"/>
      <c r="O2206" s="314"/>
      <c r="P2206" s="310"/>
      <c r="Q2206" s="310"/>
      <c r="R2206" s="314" t="str" cm="1">
        <f t="array" ref="R2206">IFERROR(IF(INDEX('Disaggregation Records'!$G$156:$G$517,MATCH(RIGHT(L2206,255),RIGHT('Disaggregation Records'!$D$156:$D$517,255),0))="","",INDEX('Disaggregation Records'!$G$156:$G$517,MATCH(RIGHT(L2206,255),RIGHT('Disaggregation Records'!$D$156:$D$517,255),0))),"")</f>
        <v/>
      </c>
    </row>
    <row r="2207" spans="1:18" ht="20.100000000000001" customHeight="1">
      <c r="A2207" s="126" t="str">
        <f t="shared" ref="A2207:A2267" ca="1" si="2609">INDIRECT("'update Helper'!C"&amp;Q2207)</f>
        <v>a16Dm000000M3tJIAS</v>
      </c>
      <c r="B2207" s="570">
        <v>40</v>
      </c>
      <c r="C2207" s="572" t="str">
        <f ca="1">IFERROR(VLOOKUP(B2207,'Coverage Indicators - Section D'!$A$9:$AO$94,41,FALSE),"")</f>
        <v>HPM Other - 1: Pourcentage des etablissements de sante disposant des medicaments ARV le jour de la visite ou du rapportage</v>
      </c>
      <c r="D2207" s="574" t="str">
        <f ca="1">M2207</f>
        <v/>
      </c>
      <c r="E2207" s="574" t="str">
        <f ca="1">N2207</f>
        <v/>
      </c>
      <c r="F2207" s="127"/>
      <c r="G2207" s="576" t="str">
        <f ca="1">IF(OR(INDIRECT("'update Helper'!E"&amp;Q2207)="",F2207&lt;&gt;0,F2208&lt;&gt;0),IF(IFERROR((F2207/F2208),"")="","",(F2207/F2208)),INDIRECT("'update Helper'!E"&amp;Q2207)/100)</f>
        <v/>
      </c>
      <c r="H2207" s="539"/>
      <c r="I2207" s="578"/>
      <c r="J2207" s="532"/>
      <c r="K2207" s="126">
        <f ca="1">IF(AND(EXACT(C2207,C2205),C2205&lt;&gt;0),K2205+1,0)</f>
        <v>13</v>
      </c>
      <c r="L2207" s="126" t="str">
        <f t="shared" ref="L2207" ca="1" si="2610">IF(C2207&lt;&gt;"",C2207&amp;"-"&amp;K2207,"")</f>
        <v>HPM Other - 1: Pourcentage des etablissements de sante disposant des medicaments ARV le jour de la visite ou du rapportage-13</v>
      </c>
      <c r="M2207" s="126" t="str">
        <f t="array" aca="1" ref="M2207" ca="1">IFERROR(IF(INDEX('Disaggregation Records'!$E$156:$E$517,MATCH(RIGHT(L2207,255),RIGHT('Disaggregation Records'!$D$156:$D$517,255),0))="","",INDEX('Disaggregation Records'!$E$156:$E$517,MATCH(RIGHT(L2207,255),RIGHT('Disaggregation Records'!$D$156:$D$517,255),0))),"")</f>
        <v/>
      </c>
      <c r="N2207" s="126" t="str">
        <f t="array" aca="1" ref="N2207" ca="1">IFERROR(IF(INDEX('Disaggregation Records'!$F$156:$F$517,MATCH(RIGHT(L2207,255),RIGHT('Disaggregation Records'!$D$156:$D$517,255),0))="","",INDEX('Disaggregation Records'!$F$156:$F$517,MATCH(RIGHT(L2207,255),RIGHT('Disaggregation Records'!$D$156:$D$517,255),0))),"")</f>
        <v/>
      </c>
      <c r="O2207" s="314" t="str">
        <f t="array" aca="1" ref="O2207" ca="1">IFERROR(IF(INDEX('Disaggregation Records'!$H$156:$H$517,MATCH(RIGHT(L2207,255),RIGHT('Disaggregation Records'!$D$156:$D$517,255),0))="","",INDEX('Disaggregation Records'!$H$156:$H$517,MATCH(RIGHT(L2207,255),RIGHT('Disaggregation Records'!$D$156:$D$517,255),0))),"")</f>
        <v/>
      </c>
      <c r="P2207" s="310"/>
      <c r="Q2207" s="310">
        <f t="shared" ref="Q2207" si="2611">Q2205+1</f>
        <v>1806</v>
      </c>
      <c r="R2207" s="314" t="str" cm="1">
        <f t="array" aca="1" ref="R2207" ca="1">IFERROR(IF(INDEX('Disaggregation Records'!$G$156:$G$517,MATCH(RIGHT(L2207,255),RIGHT('Disaggregation Records'!$D$156:$D$517,255),0))="","",INDEX('Disaggregation Records'!$G$156:$G$517,MATCH(RIGHT(L2207,255),RIGHT('Disaggregation Records'!$D$156:$D$517,255),0))),"")</f>
        <v/>
      </c>
    </row>
    <row r="2208" spans="1:18" ht="20.100000000000001" customHeight="1">
      <c r="A2208" s="126"/>
      <c r="B2208" s="571"/>
      <c r="C2208" s="573"/>
      <c r="D2208" s="575"/>
      <c r="E2208" s="575"/>
      <c r="F2208" s="128"/>
      <c r="G2208" s="577"/>
      <c r="H2208" s="540"/>
      <c r="I2208" s="579"/>
      <c r="J2208" s="533"/>
      <c r="L2208" s="126"/>
      <c r="N2208" s="126"/>
      <c r="O2208" s="314"/>
      <c r="P2208" s="310"/>
      <c r="Q2208" s="310"/>
      <c r="R2208" s="314" t="str" cm="1">
        <f t="array" ref="R2208">IFERROR(IF(INDEX('Disaggregation Records'!$G$156:$G$517,MATCH(RIGHT(L2208,255),RIGHT('Disaggregation Records'!$D$156:$D$517,255),0))="","",INDEX('Disaggregation Records'!$G$156:$G$517,MATCH(RIGHT(L2208,255),RIGHT('Disaggregation Records'!$D$156:$D$517,255),0))),"")</f>
        <v/>
      </c>
    </row>
    <row r="2209" spans="1:18" ht="20.100000000000001" customHeight="1">
      <c r="A2209" s="126" t="str">
        <f t="shared" ref="A2209:A2269" ca="1" si="2612">INDIRECT("'update Helper'!C"&amp;Q2209)</f>
        <v>a16Dm000000M3tKIAS</v>
      </c>
      <c r="B2209" s="570">
        <v>40</v>
      </c>
      <c r="C2209" s="572" t="str">
        <f ca="1">IFERROR(VLOOKUP(B2209,'Coverage Indicators - Section D'!$A$9:$AO$94,41,FALSE),"")</f>
        <v>HPM Other - 1: Pourcentage des etablissements de sante disposant des medicaments ARV le jour de la visite ou du rapportage</v>
      </c>
      <c r="D2209" s="574" t="str">
        <f ca="1">M2209</f>
        <v/>
      </c>
      <c r="E2209" s="574" t="str">
        <f ca="1">N2209</f>
        <v/>
      </c>
      <c r="F2209" s="127"/>
      <c r="G2209" s="576" t="str">
        <f ca="1">IF(OR(INDIRECT("'update Helper'!E"&amp;Q2209)="",F2209&lt;&gt;0,F2210&lt;&gt;0),IF(IFERROR((F2209/F2210),"")="","",(F2209/F2210)),INDIRECT("'update Helper'!E"&amp;Q2209)/100)</f>
        <v/>
      </c>
      <c r="H2209" s="539"/>
      <c r="I2209" s="578"/>
      <c r="J2209" s="532"/>
      <c r="K2209" s="126">
        <f ca="1">IF(AND(EXACT(C2209,C2207),C2207&lt;&gt;0),K2207+1,0)</f>
        <v>14</v>
      </c>
      <c r="L2209" s="126" t="str">
        <f t="shared" ref="L2209" ca="1" si="2613">IF(C2209&lt;&gt;"",C2209&amp;"-"&amp;K2209,"")</f>
        <v>HPM Other - 1: Pourcentage des etablissements de sante disposant des medicaments ARV le jour de la visite ou du rapportage-14</v>
      </c>
      <c r="M2209" s="126" t="str">
        <f t="array" aca="1" ref="M2209" ca="1">IFERROR(IF(INDEX('Disaggregation Records'!$E$156:$E$517,MATCH(RIGHT(L2209,255),RIGHT('Disaggregation Records'!$D$156:$D$517,255),0))="","",INDEX('Disaggregation Records'!$E$156:$E$517,MATCH(RIGHT(L2209,255),RIGHT('Disaggregation Records'!$D$156:$D$517,255),0))),"")</f>
        <v/>
      </c>
      <c r="N2209" s="126" t="str">
        <f t="array" aca="1" ref="N2209" ca="1">IFERROR(IF(INDEX('Disaggregation Records'!$F$156:$F$517,MATCH(RIGHT(L2209,255),RIGHT('Disaggregation Records'!$D$156:$D$517,255),0))="","",INDEX('Disaggregation Records'!$F$156:$F$517,MATCH(RIGHT(L2209,255),RIGHT('Disaggregation Records'!$D$156:$D$517,255),0))),"")</f>
        <v/>
      </c>
      <c r="O2209" s="314" t="str">
        <f t="array" aca="1" ref="O2209" ca="1">IFERROR(IF(INDEX('Disaggregation Records'!$H$156:$H$517,MATCH(RIGHT(L2209,255),RIGHT('Disaggregation Records'!$D$156:$D$517,255),0))="","",INDEX('Disaggregation Records'!$H$156:$H$517,MATCH(RIGHT(L2209,255),RIGHT('Disaggregation Records'!$D$156:$D$517,255),0))),"")</f>
        <v/>
      </c>
      <c r="P2209" s="314"/>
      <c r="Q2209" s="310">
        <f t="shared" ref="Q2209" si="2614">Q2207+1</f>
        <v>1807</v>
      </c>
      <c r="R2209" s="314" t="str" cm="1">
        <f t="array" aca="1" ref="R2209" ca="1">IFERROR(IF(INDEX('Disaggregation Records'!$G$156:$G$517,MATCH(RIGHT(L2209,255),RIGHT('Disaggregation Records'!$D$156:$D$517,255),0))="","",INDEX('Disaggregation Records'!$G$156:$G$517,MATCH(RIGHT(L2209,255),RIGHT('Disaggregation Records'!$D$156:$D$517,255),0))),"")</f>
        <v/>
      </c>
    </row>
    <row r="2210" spans="1:18" ht="20.100000000000001" customHeight="1">
      <c r="B2210" s="571"/>
      <c r="C2210" s="573"/>
      <c r="D2210" s="575"/>
      <c r="E2210" s="575"/>
      <c r="F2210" s="128"/>
      <c r="G2210" s="577"/>
      <c r="H2210" s="540"/>
      <c r="I2210" s="579"/>
      <c r="J2210" s="533"/>
      <c r="K2210" s="126"/>
      <c r="L2210" s="126"/>
      <c r="M2210" s="126"/>
      <c r="N2210" s="126"/>
      <c r="O2210" s="314"/>
      <c r="P2210" s="314"/>
      <c r="Q2210" s="310"/>
      <c r="R2210" s="314" t="str" cm="1">
        <f t="array" ref="R2210">IFERROR(IF(INDEX('Disaggregation Records'!$G$156:$G$517,MATCH(RIGHT(L2210,255),RIGHT('Disaggregation Records'!$D$156:$D$517,255),0))="","",INDEX('Disaggregation Records'!$G$156:$G$517,MATCH(RIGHT(L2210,255),RIGHT('Disaggregation Records'!$D$156:$D$517,255),0))),"")</f>
        <v/>
      </c>
    </row>
    <row r="2211" spans="1:18" ht="20.100000000000001" customHeight="1">
      <c r="A2211" s="126" t="str">
        <f t="shared" ref="A2211:A2271" ca="1" si="2615">INDIRECT("'update Helper'!C"&amp;Q2211)</f>
        <v>a16Dm000000M3tLIAS</v>
      </c>
      <c r="B2211" s="570">
        <v>40</v>
      </c>
      <c r="C2211" s="572" t="str">
        <f ca="1">IFERROR(VLOOKUP(B2211,'Coverage Indicators - Section D'!$A$9:$AO$94,41,FALSE),"")</f>
        <v>HPM Other - 1: Pourcentage des etablissements de sante disposant des medicaments ARV le jour de la visite ou du rapportage</v>
      </c>
      <c r="D2211" s="574" t="str">
        <f ca="1">M2211</f>
        <v/>
      </c>
      <c r="E2211" s="574" t="str">
        <f ca="1">N2211</f>
        <v/>
      </c>
      <c r="F2211" s="127"/>
      <c r="G2211" s="576" t="str">
        <f ca="1">IF(OR(INDIRECT("'update Helper'!E"&amp;Q2211)="",F2211&lt;&gt;0,F2212&lt;&gt;0),IF(IFERROR((F2211/F2212),"")="","",(F2211/F2212)),INDIRECT("'update Helper'!E"&amp;Q2211)/100)</f>
        <v/>
      </c>
      <c r="H2211" s="539"/>
      <c r="I2211" s="578"/>
      <c r="J2211" s="532"/>
      <c r="K2211" s="126">
        <f ca="1">IF(AND(EXACT(C2211,C2209),C2209&lt;&gt;0),K2209+1,0)</f>
        <v>15</v>
      </c>
      <c r="L2211" s="126" t="str">
        <f t="shared" ref="L2211" ca="1" si="2616">IF(C2211&lt;&gt;"",C2211&amp;"-"&amp;K2211,"")</f>
        <v>HPM Other - 1: Pourcentage des etablissements de sante disposant des medicaments ARV le jour de la visite ou du rapportage-15</v>
      </c>
      <c r="M2211" s="126" t="str">
        <f t="array" aca="1" ref="M2211" ca="1">IFERROR(IF(INDEX('Disaggregation Records'!$E$156:$E$517,MATCH(RIGHT(L2211,255),RIGHT('Disaggregation Records'!$D$156:$D$517,255),0))="","",INDEX('Disaggregation Records'!$E$156:$E$517,MATCH(RIGHT(L2211,255),RIGHT('Disaggregation Records'!$D$156:$D$517,255),0))),"")</f>
        <v/>
      </c>
      <c r="N2211" s="126" t="str">
        <f t="array" aca="1" ref="N2211" ca="1">IFERROR(IF(INDEX('Disaggregation Records'!$F$156:$F$517,MATCH(RIGHT(L2211,255),RIGHT('Disaggregation Records'!$D$156:$D$517,255),0))="","",INDEX('Disaggregation Records'!$F$156:$F$517,MATCH(RIGHT(L2211,255),RIGHT('Disaggregation Records'!$D$156:$D$517,255),0))),"")</f>
        <v/>
      </c>
      <c r="O2211" s="314" t="str">
        <f t="array" aca="1" ref="O2211" ca="1">IFERROR(IF(INDEX('Disaggregation Records'!$H$156:$H$517,MATCH(RIGHT(L2211,255),RIGHT('Disaggregation Records'!$D$156:$D$517,255),0))="","",INDEX('Disaggregation Records'!$H$156:$H$517,MATCH(RIGHT(L2211,255),RIGHT('Disaggregation Records'!$D$156:$D$517,255),0))),"")</f>
        <v/>
      </c>
      <c r="P2211" s="314"/>
      <c r="Q2211" s="310">
        <f t="shared" ref="Q2211" si="2617">Q2209+1</f>
        <v>1808</v>
      </c>
      <c r="R2211" s="314" t="str" cm="1">
        <f t="array" aca="1" ref="R2211" ca="1">IFERROR(IF(INDEX('Disaggregation Records'!$G$156:$G$517,MATCH(RIGHT(L2211,255),RIGHT('Disaggregation Records'!$D$156:$D$517,255),0))="","",INDEX('Disaggregation Records'!$G$156:$G$517,MATCH(RIGHT(L2211,255),RIGHT('Disaggregation Records'!$D$156:$D$517,255),0))),"")</f>
        <v/>
      </c>
    </row>
    <row r="2212" spans="1:18" ht="20.100000000000001" customHeight="1">
      <c r="A2212" s="126"/>
      <c r="B2212" s="571"/>
      <c r="C2212" s="573"/>
      <c r="D2212" s="575"/>
      <c r="E2212" s="575"/>
      <c r="F2212" s="128"/>
      <c r="G2212" s="577"/>
      <c r="H2212" s="540"/>
      <c r="I2212" s="579"/>
      <c r="J2212" s="533"/>
      <c r="K2212" s="126"/>
      <c r="L2212" s="126"/>
      <c r="M2212" s="126"/>
      <c r="N2212" s="126"/>
      <c r="O2212" s="314"/>
      <c r="P2212" s="314"/>
      <c r="Q2212" s="310"/>
      <c r="R2212" s="314" t="str" cm="1">
        <f t="array" ref="R2212">IFERROR(IF(INDEX('Disaggregation Records'!$G$156:$G$517,MATCH(RIGHT(L2212,255),RIGHT('Disaggregation Records'!$D$156:$D$517,255),0))="","",INDEX('Disaggregation Records'!$G$156:$G$517,MATCH(RIGHT(L2212,255),RIGHT('Disaggregation Records'!$D$156:$D$517,255),0))),"")</f>
        <v/>
      </c>
    </row>
    <row r="2213" spans="1:18" ht="20.100000000000001" customHeight="1">
      <c r="A2213" s="126" t="str">
        <f t="shared" ref="A2213:A2273" ca="1" si="2618">INDIRECT("'update Helper'!C"&amp;Q2213)</f>
        <v>a16Dm000000M3tMIAS</v>
      </c>
      <c r="B2213" s="570">
        <v>40</v>
      </c>
      <c r="C2213" s="572" t="str">
        <f ca="1">IFERROR(VLOOKUP(B2213,'Coverage Indicators - Section D'!$A$9:$AO$94,41,FALSE),"")</f>
        <v>HPM Other - 1: Pourcentage des etablissements de sante disposant des medicaments ARV le jour de la visite ou du rapportage</v>
      </c>
      <c r="D2213" s="574" t="str">
        <f ca="1">M2213</f>
        <v/>
      </c>
      <c r="E2213" s="574" t="str">
        <f ca="1">N2213</f>
        <v/>
      </c>
      <c r="F2213" s="127"/>
      <c r="G2213" s="576" t="str">
        <f ca="1">IF(OR(INDIRECT("'update Helper'!E"&amp;Q2213)="",F2213&lt;&gt;0,F2214&lt;&gt;0),IF(IFERROR((F2213/F2214),"")="","",(F2213/F2214)),INDIRECT("'update Helper'!E"&amp;Q2213)/100)</f>
        <v/>
      </c>
      <c r="H2213" s="539"/>
      <c r="I2213" s="578"/>
      <c r="J2213" s="532"/>
      <c r="K2213" s="126">
        <f ca="1">IF(AND(EXACT(C2213,C2211),C2211&lt;&gt;0),K2211+1,0)</f>
        <v>16</v>
      </c>
      <c r="L2213" s="126" t="str">
        <f t="shared" ref="L2213" ca="1" si="2619">IF(C2213&lt;&gt;"",C2213&amp;"-"&amp;K2213,"")</f>
        <v>HPM Other - 1: Pourcentage des etablissements de sante disposant des medicaments ARV le jour de la visite ou du rapportage-16</v>
      </c>
      <c r="M2213" s="126" t="str">
        <f t="array" aca="1" ref="M2213" ca="1">IFERROR(IF(INDEX('Disaggregation Records'!$E$156:$E$517,MATCH(RIGHT(L2213,255),RIGHT('Disaggregation Records'!$D$156:$D$517,255),0))="","",INDEX('Disaggregation Records'!$E$156:$E$517,MATCH(RIGHT(L2213,255),RIGHT('Disaggregation Records'!$D$156:$D$517,255),0))),"")</f>
        <v/>
      </c>
      <c r="N2213" s="126" t="str">
        <f t="array" aca="1" ref="N2213" ca="1">IFERROR(IF(INDEX('Disaggregation Records'!$F$156:$F$517,MATCH(RIGHT(L2213,255),RIGHT('Disaggregation Records'!$D$156:$D$517,255),0))="","",INDEX('Disaggregation Records'!$F$156:$F$517,MATCH(RIGHT(L2213,255),RIGHT('Disaggregation Records'!$D$156:$D$517,255),0))),"")</f>
        <v/>
      </c>
      <c r="O2213" s="314" t="str">
        <f t="array" aca="1" ref="O2213" ca="1">IFERROR(IF(INDEX('Disaggregation Records'!$H$156:$H$517,MATCH(RIGHT(L2213,255),RIGHT('Disaggregation Records'!$D$156:$D$517,255),0))="","",INDEX('Disaggregation Records'!$H$156:$H$517,MATCH(RIGHT(L2213,255),RIGHT('Disaggregation Records'!$D$156:$D$517,255),0))),"")</f>
        <v/>
      </c>
      <c r="P2213" s="310"/>
      <c r="Q2213" s="310">
        <f t="shared" ref="Q2213" si="2620">Q2211+1</f>
        <v>1809</v>
      </c>
      <c r="R2213" s="314" t="str" cm="1">
        <f t="array" aca="1" ref="R2213" ca="1">IFERROR(IF(INDEX('Disaggregation Records'!$G$156:$G$517,MATCH(RIGHT(L2213,255),RIGHT('Disaggregation Records'!$D$156:$D$517,255),0))="","",INDEX('Disaggregation Records'!$G$156:$G$517,MATCH(RIGHT(L2213,255),RIGHT('Disaggregation Records'!$D$156:$D$517,255),0))),"")</f>
        <v/>
      </c>
    </row>
    <row r="2214" spans="1:18" ht="20.100000000000001" customHeight="1">
      <c r="B2214" s="571"/>
      <c r="C2214" s="573"/>
      <c r="D2214" s="575"/>
      <c r="E2214" s="575"/>
      <c r="F2214" s="128"/>
      <c r="G2214" s="577"/>
      <c r="H2214" s="540"/>
      <c r="I2214" s="579"/>
      <c r="J2214" s="533"/>
      <c r="L2214" s="126"/>
      <c r="N2214" s="126"/>
      <c r="O2214" s="314"/>
      <c r="P2214" s="310"/>
      <c r="Q2214" s="310"/>
      <c r="R2214" s="314" t="str" cm="1">
        <f t="array" ref="R2214">IFERROR(IF(INDEX('Disaggregation Records'!$G$156:$G$517,MATCH(RIGHT(L2214,255),RIGHT('Disaggregation Records'!$D$156:$D$517,255),0))="","",INDEX('Disaggregation Records'!$G$156:$G$517,MATCH(RIGHT(L2214,255),RIGHT('Disaggregation Records'!$D$156:$D$517,255),0))),"")</f>
        <v/>
      </c>
    </row>
    <row r="2215" spans="1:18" ht="20.100000000000001" customHeight="1">
      <c r="A2215" s="126" t="str">
        <f t="shared" ref="A2215:A2275" ca="1" si="2621">INDIRECT("'update Helper'!C"&amp;Q2215)</f>
        <v>a16Dm000000M3tNIAS</v>
      </c>
      <c r="B2215" s="570">
        <v>40</v>
      </c>
      <c r="C2215" s="572" t="str">
        <f ca="1">IFERROR(VLOOKUP(B2215,'Coverage Indicators - Section D'!$A$9:$AO$94,41,FALSE),"")</f>
        <v>HPM Other - 1: Pourcentage des etablissements de sante disposant des medicaments ARV le jour de la visite ou du rapportage</v>
      </c>
      <c r="D2215" s="574" t="str">
        <f ca="1">M2215</f>
        <v/>
      </c>
      <c r="E2215" s="574" t="str">
        <f ca="1">N2215</f>
        <v/>
      </c>
      <c r="F2215" s="127"/>
      <c r="G2215" s="576" t="str">
        <f ca="1">IF(OR(INDIRECT("'update Helper'!E"&amp;Q2215)="",F2215&lt;&gt;0,F2216&lt;&gt;0),IF(IFERROR((F2215/F2216),"")="","",(F2215/F2216)),INDIRECT("'update Helper'!E"&amp;Q2215)/100)</f>
        <v/>
      </c>
      <c r="H2215" s="539"/>
      <c r="I2215" s="578"/>
      <c r="J2215" s="532"/>
      <c r="K2215" s="126">
        <f ca="1">IF(AND(EXACT(C2215,C2213),C2213&lt;&gt;0),K2213+1,0)</f>
        <v>17</v>
      </c>
      <c r="L2215" s="126" t="str">
        <f t="shared" ref="L2215" ca="1" si="2622">IF(C2215&lt;&gt;"",C2215&amp;"-"&amp;K2215,"")</f>
        <v>HPM Other - 1: Pourcentage des etablissements de sante disposant des medicaments ARV le jour de la visite ou du rapportage-17</v>
      </c>
      <c r="M2215" s="126" t="str">
        <f t="array" aca="1" ref="M2215" ca="1">IFERROR(IF(INDEX('Disaggregation Records'!$E$156:$E$517,MATCH(RIGHT(L2215,255),RIGHT('Disaggregation Records'!$D$156:$D$517,255),0))="","",INDEX('Disaggregation Records'!$E$156:$E$517,MATCH(RIGHT(L2215,255),RIGHT('Disaggregation Records'!$D$156:$D$517,255),0))),"")</f>
        <v/>
      </c>
      <c r="N2215" s="126" t="str">
        <f t="array" aca="1" ref="N2215" ca="1">IFERROR(IF(INDEX('Disaggregation Records'!$F$156:$F$517,MATCH(RIGHT(L2215,255),RIGHT('Disaggregation Records'!$D$156:$D$517,255),0))="","",INDEX('Disaggregation Records'!$F$156:$F$517,MATCH(RIGHT(L2215,255),RIGHT('Disaggregation Records'!$D$156:$D$517,255),0))),"")</f>
        <v/>
      </c>
      <c r="O2215" s="314" t="str">
        <f t="array" aca="1" ref="O2215" ca="1">IFERROR(IF(INDEX('Disaggregation Records'!$H$156:$H$517,MATCH(RIGHT(L2215,255),RIGHT('Disaggregation Records'!$D$156:$D$517,255),0))="","",INDEX('Disaggregation Records'!$H$156:$H$517,MATCH(RIGHT(L2215,255),RIGHT('Disaggregation Records'!$D$156:$D$517,255),0))),"")</f>
        <v/>
      </c>
      <c r="P2215" s="310"/>
      <c r="Q2215" s="310">
        <f t="shared" ref="Q2215" si="2623">Q2213+1</f>
        <v>1810</v>
      </c>
      <c r="R2215" s="314" t="str" cm="1">
        <f t="array" aca="1" ref="R2215" ca="1">IFERROR(IF(INDEX('Disaggregation Records'!$G$156:$G$517,MATCH(RIGHT(L2215,255),RIGHT('Disaggregation Records'!$D$156:$D$517,255),0))="","",INDEX('Disaggregation Records'!$G$156:$G$517,MATCH(RIGHT(L2215,255),RIGHT('Disaggregation Records'!$D$156:$D$517,255),0))),"")</f>
        <v/>
      </c>
    </row>
    <row r="2216" spans="1:18" ht="20.100000000000001" customHeight="1">
      <c r="A2216" s="126"/>
      <c r="B2216" s="571"/>
      <c r="C2216" s="573"/>
      <c r="D2216" s="575"/>
      <c r="E2216" s="575"/>
      <c r="F2216" s="128"/>
      <c r="G2216" s="577"/>
      <c r="H2216" s="540"/>
      <c r="I2216" s="579"/>
      <c r="J2216" s="533"/>
      <c r="L2216" s="126"/>
      <c r="N2216" s="126"/>
      <c r="O2216" s="314"/>
      <c r="P2216" s="310"/>
      <c r="Q2216" s="310"/>
      <c r="R2216" s="314" t="str" cm="1">
        <f t="array" ref="R2216">IFERROR(IF(INDEX('Disaggregation Records'!$G$156:$G$517,MATCH(RIGHT(L2216,255),RIGHT('Disaggregation Records'!$D$156:$D$517,255),0))="","",INDEX('Disaggregation Records'!$G$156:$G$517,MATCH(RIGHT(L2216,255),RIGHT('Disaggregation Records'!$D$156:$D$517,255),0))),"")</f>
        <v/>
      </c>
    </row>
    <row r="2217" spans="1:18" ht="20.100000000000001" customHeight="1">
      <c r="A2217" s="126" t="str">
        <f t="shared" ref="A2217:A2277" ca="1" si="2624">INDIRECT("'update Helper'!C"&amp;Q2217)</f>
        <v>a16Dm000000M3tOIAS</v>
      </c>
      <c r="B2217" s="570">
        <v>40</v>
      </c>
      <c r="C2217" s="572" t="str">
        <f ca="1">IFERROR(VLOOKUP(B2217,'Coverage Indicators - Section D'!$A$9:$AO$94,41,FALSE),"")</f>
        <v>HPM Other - 1: Pourcentage des etablissements de sante disposant des medicaments ARV le jour de la visite ou du rapportage</v>
      </c>
      <c r="D2217" s="574" t="str">
        <f ca="1">M2217</f>
        <v/>
      </c>
      <c r="E2217" s="574" t="str">
        <f ca="1">N2217</f>
        <v/>
      </c>
      <c r="F2217" s="127"/>
      <c r="G2217" s="576" t="str">
        <f ca="1">IF(OR(INDIRECT("'update Helper'!E"&amp;Q2217)="",F2217&lt;&gt;0,F2218&lt;&gt;0),IF(IFERROR((F2217/F2218),"")="","",(F2217/F2218)),INDIRECT("'update Helper'!E"&amp;Q2217)/100)</f>
        <v/>
      </c>
      <c r="H2217" s="539"/>
      <c r="I2217" s="578"/>
      <c r="J2217" s="532"/>
      <c r="K2217" s="126">
        <f ca="1">IF(AND(EXACT(C2217,C2215),C2215&lt;&gt;0),K2215+1,0)</f>
        <v>18</v>
      </c>
      <c r="L2217" s="126" t="str">
        <f t="shared" ref="L2217" ca="1" si="2625">IF(C2217&lt;&gt;"",C2217&amp;"-"&amp;K2217,"")</f>
        <v>HPM Other - 1: Pourcentage des etablissements de sante disposant des medicaments ARV le jour de la visite ou du rapportage-18</v>
      </c>
      <c r="M2217" s="126" t="str">
        <f t="array" aca="1" ref="M2217" ca="1">IFERROR(IF(INDEX('Disaggregation Records'!$E$156:$E$517,MATCH(RIGHT(L2217,255),RIGHT('Disaggregation Records'!$D$156:$D$517,255),0))="","",INDEX('Disaggregation Records'!$E$156:$E$517,MATCH(RIGHT(L2217,255),RIGHT('Disaggregation Records'!$D$156:$D$517,255),0))),"")</f>
        <v/>
      </c>
      <c r="N2217" s="126" t="str">
        <f t="array" aca="1" ref="N2217" ca="1">IFERROR(IF(INDEX('Disaggregation Records'!$F$156:$F$517,MATCH(RIGHT(L2217,255),RIGHT('Disaggregation Records'!$D$156:$D$517,255),0))="","",INDEX('Disaggregation Records'!$F$156:$F$517,MATCH(RIGHT(L2217,255),RIGHT('Disaggregation Records'!$D$156:$D$517,255),0))),"")</f>
        <v/>
      </c>
      <c r="O2217" s="314" t="str">
        <f t="array" aca="1" ref="O2217" ca="1">IFERROR(IF(INDEX('Disaggregation Records'!$H$156:$H$517,MATCH(RIGHT(L2217,255),RIGHT('Disaggregation Records'!$D$156:$D$517,255),0))="","",INDEX('Disaggregation Records'!$H$156:$H$517,MATCH(RIGHT(L2217,255),RIGHT('Disaggregation Records'!$D$156:$D$517,255),0))),"")</f>
        <v/>
      </c>
      <c r="P2217" s="310"/>
      <c r="Q2217" s="310">
        <f t="shared" ref="Q2217" si="2626">Q2215+1</f>
        <v>1811</v>
      </c>
      <c r="R2217" s="314" t="str" cm="1">
        <f t="array" aca="1" ref="R2217" ca="1">IFERROR(IF(INDEX('Disaggregation Records'!$G$156:$G$517,MATCH(RIGHT(L2217,255),RIGHT('Disaggregation Records'!$D$156:$D$517,255),0))="","",INDEX('Disaggregation Records'!$G$156:$G$517,MATCH(RIGHT(L2217,255),RIGHT('Disaggregation Records'!$D$156:$D$517,255),0))),"")</f>
        <v/>
      </c>
    </row>
    <row r="2218" spans="1:18" ht="20.100000000000001" customHeight="1">
      <c r="B2218" s="571"/>
      <c r="C2218" s="573"/>
      <c r="D2218" s="575"/>
      <c r="E2218" s="575"/>
      <c r="F2218" s="128"/>
      <c r="G2218" s="577"/>
      <c r="H2218" s="540"/>
      <c r="I2218" s="579"/>
      <c r="J2218" s="533"/>
      <c r="L2218" s="126"/>
      <c r="N2218" s="126"/>
      <c r="O2218" s="314"/>
      <c r="P2218" s="310"/>
      <c r="Q2218" s="310"/>
      <c r="R2218" s="314" t="str" cm="1">
        <f t="array" ref="R2218">IFERROR(IF(INDEX('Disaggregation Records'!$G$156:$G$517,MATCH(RIGHT(L2218,255),RIGHT('Disaggregation Records'!$D$156:$D$517,255),0))="","",INDEX('Disaggregation Records'!$G$156:$G$517,MATCH(RIGHT(L2218,255),RIGHT('Disaggregation Records'!$D$156:$D$517,255),0))),"")</f>
        <v/>
      </c>
    </row>
    <row r="2219" spans="1:18" ht="20.100000000000001" customHeight="1">
      <c r="A2219" s="126" t="str">
        <f t="shared" ref="A2219:A2279" ca="1" si="2627">INDIRECT("'update Helper'!C"&amp;Q2219)</f>
        <v>a16Dm000000M3tPIAS</v>
      </c>
      <c r="B2219" s="570">
        <v>40</v>
      </c>
      <c r="C2219" s="572" t="str">
        <f ca="1">IFERROR(VLOOKUP(B2219,'Coverage Indicators - Section D'!$A$9:$AO$94,41,FALSE),"")</f>
        <v>HPM Other - 1: Pourcentage des etablissements de sante disposant des medicaments ARV le jour de la visite ou du rapportage</v>
      </c>
      <c r="D2219" s="574" t="str">
        <f ca="1">M2219</f>
        <v/>
      </c>
      <c r="E2219" s="574" t="str">
        <f ca="1">N2219</f>
        <v/>
      </c>
      <c r="F2219" s="127"/>
      <c r="G2219" s="576" t="str">
        <f ca="1">IF(OR(INDIRECT("'update Helper'!E"&amp;Q2219)="",F2219&lt;&gt;0,F2220&lt;&gt;0),IF(IFERROR((F2219/F2220),"")="","",(F2219/F2220)),INDIRECT("'update Helper'!E"&amp;Q2219)/100)</f>
        <v/>
      </c>
      <c r="H2219" s="539"/>
      <c r="I2219" s="578"/>
      <c r="J2219" s="532"/>
      <c r="K2219" s="126">
        <f ca="1">IF(AND(EXACT(C2219,C2217),C2217&lt;&gt;0),K2217+1,0)</f>
        <v>19</v>
      </c>
      <c r="L2219" s="126" t="str">
        <f t="shared" ref="L2219" ca="1" si="2628">IF(C2219&lt;&gt;"",C2219&amp;"-"&amp;K2219,"")</f>
        <v>HPM Other - 1: Pourcentage des etablissements de sante disposant des medicaments ARV le jour de la visite ou du rapportage-19</v>
      </c>
      <c r="M2219" s="126" t="str">
        <f t="array" aca="1" ref="M2219" ca="1">IFERROR(IF(INDEX('Disaggregation Records'!$E$156:$E$517,MATCH(RIGHT(L2219,255),RIGHT('Disaggregation Records'!$D$156:$D$517,255),0))="","",INDEX('Disaggregation Records'!$E$156:$E$517,MATCH(RIGHT(L2219,255),RIGHT('Disaggregation Records'!$D$156:$D$517,255),0))),"")</f>
        <v/>
      </c>
      <c r="N2219" s="126" t="str">
        <f t="array" aca="1" ref="N2219" ca="1">IFERROR(IF(INDEX('Disaggregation Records'!$F$156:$F$517,MATCH(RIGHT(L2219,255),RIGHT('Disaggregation Records'!$D$156:$D$517,255),0))="","",INDEX('Disaggregation Records'!$F$156:$F$517,MATCH(RIGHT(L2219,255),RIGHT('Disaggregation Records'!$D$156:$D$517,255),0))),"")</f>
        <v/>
      </c>
      <c r="O2219" s="314" t="str">
        <f t="array" aca="1" ref="O2219" ca="1">IFERROR(IF(INDEX('Disaggregation Records'!$H$156:$H$517,MATCH(RIGHT(L2219,255),RIGHT('Disaggregation Records'!$D$156:$D$517,255),0))="","",INDEX('Disaggregation Records'!$H$156:$H$517,MATCH(RIGHT(L2219,255),RIGHT('Disaggregation Records'!$D$156:$D$517,255),0))),"")</f>
        <v/>
      </c>
      <c r="P2219" s="314"/>
      <c r="Q2219" s="310">
        <f t="shared" ref="Q2219" si="2629">Q2217+1</f>
        <v>1812</v>
      </c>
      <c r="R2219" s="314" t="str" cm="1">
        <f t="array" aca="1" ref="R2219" ca="1">IFERROR(IF(INDEX('Disaggregation Records'!$G$156:$G$517,MATCH(RIGHT(L2219,255),RIGHT('Disaggregation Records'!$D$156:$D$517,255),0))="","",INDEX('Disaggregation Records'!$G$156:$G$517,MATCH(RIGHT(L2219,255),RIGHT('Disaggregation Records'!$D$156:$D$517,255),0))),"")</f>
        <v/>
      </c>
    </row>
    <row r="2220" spans="1:18" ht="20.100000000000001" customHeight="1">
      <c r="A2220" s="126"/>
      <c r="B2220" s="571"/>
      <c r="C2220" s="573"/>
      <c r="D2220" s="575"/>
      <c r="E2220" s="575"/>
      <c r="F2220" s="128"/>
      <c r="G2220" s="577"/>
      <c r="H2220" s="540"/>
      <c r="I2220" s="579"/>
      <c r="J2220" s="533"/>
      <c r="K2220" s="126"/>
      <c r="L2220" s="126"/>
      <c r="M2220" s="126"/>
      <c r="N2220" s="126"/>
      <c r="O2220" s="314"/>
      <c r="P2220" s="314"/>
      <c r="Q2220" s="310"/>
      <c r="R2220" s="314" t="str" cm="1">
        <f t="array" ref="R2220">IFERROR(IF(INDEX('Disaggregation Records'!$G$156:$G$517,MATCH(RIGHT(L2220,255),RIGHT('Disaggregation Records'!$D$156:$D$517,255),0))="","",INDEX('Disaggregation Records'!$G$156:$G$517,MATCH(RIGHT(L2220,255),RIGHT('Disaggregation Records'!$D$156:$D$517,255),0))),"")</f>
        <v/>
      </c>
    </row>
    <row r="2221" spans="1:18" ht="20.100000000000001" customHeight="1">
      <c r="A2221" s="126" t="str">
        <f t="shared" ref="A2221:A2281" ca="1" si="2630">INDIRECT("'update Helper'!C"&amp;Q2221)</f>
        <v>a16Dm000000M3tQIAS</v>
      </c>
      <c r="B2221" s="570">
        <v>41</v>
      </c>
      <c r="C2221" s="572" t="str">
        <f ca="1">IFERROR(VLOOKUP(B2221,'Coverage Indicators - Section D'!$A$9:$AO$94,41,FALSE),"")</f>
        <v>HPM Other -2: Pourcentage des etablissements de sante disposant de diagnostic VIH avec des elements traceurs le jour de la visite ou du rapportage</v>
      </c>
      <c r="D2221" s="574" t="str">
        <f ca="1">M2221</f>
        <v/>
      </c>
      <c r="E2221" s="574" t="str">
        <f ca="1">N2221</f>
        <v/>
      </c>
      <c r="F2221" s="127"/>
      <c r="G2221" s="576" t="str">
        <f ca="1">IF(OR(INDIRECT("'update Helper'!E"&amp;Q2221)="",F2221&lt;&gt;0,F2222&lt;&gt;0),IF(IFERROR((F2221/F2222),"")="","",(F2221/F2222)),INDIRECT("'update Helper'!E"&amp;Q2221)/100)</f>
        <v/>
      </c>
      <c r="H2221" s="539"/>
      <c r="I2221" s="578"/>
      <c r="J2221" s="532"/>
      <c r="K2221" s="126">
        <f ca="1">IF(AND(EXACT(C2221,C2219),C2219&lt;&gt;0),K2219+1,0)</f>
        <v>0</v>
      </c>
      <c r="L2221" s="126" t="str">
        <f t="shared" ref="L2221" ca="1" si="2631">IF(C2221&lt;&gt;"",C2221&amp;"-"&amp;K2221,"")</f>
        <v>HPM Other -2: Pourcentage des etablissements de sante disposant de diagnostic VIH avec des elements traceurs le jour de la visite ou du rapportage-0</v>
      </c>
      <c r="M2221" s="126" t="str">
        <f t="array" aca="1" ref="M2221" ca="1">IFERROR(IF(INDEX('Disaggregation Records'!$E$156:$E$517,MATCH(RIGHT(L2221,255),RIGHT('Disaggregation Records'!$D$156:$D$517,255),0))="","",INDEX('Disaggregation Records'!$E$156:$E$517,MATCH(RIGHT(L2221,255),RIGHT('Disaggregation Records'!$D$156:$D$517,255),0))),"")</f>
        <v/>
      </c>
      <c r="N2221" s="126" t="str">
        <f t="array" aca="1" ref="N2221" ca="1">IFERROR(IF(INDEX('Disaggregation Records'!$F$156:$F$517,MATCH(RIGHT(L2221,255),RIGHT('Disaggregation Records'!$D$156:$D$517,255),0))="","",INDEX('Disaggregation Records'!$F$156:$F$517,MATCH(RIGHT(L2221,255),RIGHT('Disaggregation Records'!$D$156:$D$517,255),0))),"")</f>
        <v/>
      </c>
      <c r="O2221" s="314" t="str">
        <f t="array" aca="1" ref="O2221" ca="1">IFERROR(IF(INDEX('Disaggregation Records'!$H$156:$H$517,MATCH(RIGHT(L2221,255),RIGHT('Disaggregation Records'!$D$156:$D$517,255),0))="","",INDEX('Disaggregation Records'!$H$156:$H$517,MATCH(RIGHT(L2221,255),RIGHT('Disaggregation Records'!$D$156:$D$517,255),0))),"")</f>
        <v/>
      </c>
      <c r="P2221" s="314"/>
      <c r="Q2221" s="310">
        <f t="shared" ref="Q2221" si="2632">Q2219+1</f>
        <v>1813</v>
      </c>
      <c r="R2221" s="314" t="str" cm="1">
        <f t="array" aca="1" ref="R2221" ca="1">IFERROR(IF(INDEX('Disaggregation Records'!$G$156:$G$517,MATCH(RIGHT(L2221,255),RIGHT('Disaggregation Records'!$D$156:$D$517,255),0))="","",INDEX('Disaggregation Records'!$G$156:$G$517,MATCH(RIGHT(L2221,255),RIGHT('Disaggregation Records'!$D$156:$D$517,255),0))),"")</f>
        <v/>
      </c>
    </row>
    <row r="2222" spans="1:18" ht="20.100000000000001" customHeight="1">
      <c r="B2222" s="571"/>
      <c r="C2222" s="573"/>
      <c r="D2222" s="575"/>
      <c r="E2222" s="575"/>
      <c r="F2222" s="128"/>
      <c r="G2222" s="577"/>
      <c r="H2222" s="540"/>
      <c r="I2222" s="579"/>
      <c r="J2222" s="533"/>
      <c r="K2222" s="126"/>
      <c r="L2222" s="126"/>
      <c r="M2222" s="126"/>
      <c r="N2222" s="126"/>
      <c r="O2222" s="314"/>
      <c r="P2222" s="314"/>
      <c r="Q2222" s="310"/>
      <c r="R2222" s="314" t="str" cm="1">
        <f t="array" ref="R2222">IFERROR(IF(INDEX('Disaggregation Records'!$G$156:$G$517,MATCH(RIGHT(L2222,255),RIGHT('Disaggregation Records'!$D$156:$D$517,255),0))="","",INDEX('Disaggregation Records'!$G$156:$G$517,MATCH(RIGHT(L2222,255),RIGHT('Disaggregation Records'!$D$156:$D$517,255),0))),"")</f>
        <v/>
      </c>
    </row>
    <row r="2223" spans="1:18" ht="20.100000000000001" customHeight="1">
      <c r="A2223" s="126" t="str">
        <f t="shared" ref="A2223:A2283" ca="1" si="2633">INDIRECT("'update Helper'!C"&amp;Q2223)</f>
        <v>a16Dm000000M3tRIAS</v>
      </c>
      <c r="B2223" s="570">
        <v>41</v>
      </c>
      <c r="C2223" s="572" t="str">
        <f ca="1">IFERROR(VLOOKUP(B2223,'Coverage Indicators - Section D'!$A$9:$AO$94,41,FALSE),"")</f>
        <v>HPM Other -2: Pourcentage des etablissements de sante disposant de diagnostic VIH avec des elements traceurs le jour de la visite ou du rapportage</v>
      </c>
      <c r="D2223" s="574" t="str">
        <f ca="1">M2223</f>
        <v/>
      </c>
      <c r="E2223" s="574" t="str">
        <f ca="1">N2223</f>
        <v/>
      </c>
      <c r="F2223" s="127"/>
      <c r="G2223" s="576" t="str">
        <f ca="1">IF(OR(INDIRECT("'update Helper'!E"&amp;Q2223)="",F2223&lt;&gt;0,F2224&lt;&gt;0),IF(IFERROR((F2223/F2224),"")="","",(F2223/F2224)),INDIRECT("'update Helper'!E"&amp;Q2223)/100)</f>
        <v/>
      </c>
      <c r="H2223" s="539"/>
      <c r="I2223" s="578"/>
      <c r="J2223" s="532"/>
      <c r="K2223" s="126">
        <f ca="1">IF(AND(EXACT(C2223,C2221),C2221&lt;&gt;0),K2221+1,0)</f>
        <v>1</v>
      </c>
      <c r="L2223" s="126" t="str">
        <f t="shared" ref="L2223" ca="1" si="2634">IF(C2223&lt;&gt;"",C2223&amp;"-"&amp;K2223,"")</f>
        <v>HPM Other -2: Pourcentage des etablissements de sante disposant de diagnostic VIH avec des elements traceurs le jour de la visite ou du rapportage-1</v>
      </c>
      <c r="M2223" s="126" t="str">
        <f t="array" aca="1" ref="M2223" ca="1">IFERROR(IF(INDEX('Disaggregation Records'!$E$156:$E$517,MATCH(RIGHT(L2223,255),RIGHT('Disaggregation Records'!$D$156:$D$517,255),0))="","",INDEX('Disaggregation Records'!$E$156:$E$517,MATCH(RIGHT(L2223,255),RIGHT('Disaggregation Records'!$D$156:$D$517,255),0))),"")</f>
        <v/>
      </c>
      <c r="N2223" s="126" t="str">
        <f t="array" aca="1" ref="N2223" ca="1">IFERROR(IF(INDEX('Disaggregation Records'!$F$156:$F$517,MATCH(RIGHT(L2223,255),RIGHT('Disaggregation Records'!$D$156:$D$517,255),0))="","",INDEX('Disaggregation Records'!$F$156:$F$517,MATCH(RIGHT(L2223,255),RIGHT('Disaggregation Records'!$D$156:$D$517,255),0))),"")</f>
        <v/>
      </c>
      <c r="O2223" s="314" t="str">
        <f t="array" aca="1" ref="O2223" ca="1">IFERROR(IF(INDEX('Disaggregation Records'!$H$156:$H$517,MATCH(RIGHT(L2223,255),RIGHT('Disaggregation Records'!$D$156:$D$517,255),0))="","",INDEX('Disaggregation Records'!$H$156:$H$517,MATCH(RIGHT(L2223,255),RIGHT('Disaggregation Records'!$D$156:$D$517,255),0))),"")</f>
        <v/>
      </c>
      <c r="P2223" s="310"/>
      <c r="Q2223" s="310">
        <f t="shared" ref="Q2223" si="2635">Q2221+1</f>
        <v>1814</v>
      </c>
      <c r="R2223" s="314" t="str" cm="1">
        <f t="array" aca="1" ref="R2223" ca="1">IFERROR(IF(INDEX('Disaggregation Records'!$G$156:$G$517,MATCH(RIGHT(L2223,255),RIGHT('Disaggregation Records'!$D$156:$D$517,255),0))="","",INDEX('Disaggregation Records'!$G$156:$G$517,MATCH(RIGHT(L2223,255),RIGHT('Disaggregation Records'!$D$156:$D$517,255),0))),"")</f>
        <v/>
      </c>
    </row>
    <row r="2224" spans="1:18" ht="20.100000000000001" customHeight="1">
      <c r="A2224" s="126"/>
      <c r="B2224" s="571"/>
      <c r="C2224" s="573"/>
      <c r="D2224" s="575"/>
      <c r="E2224" s="575"/>
      <c r="F2224" s="128"/>
      <c r="G2224" s="577"/>
      <c r="H2224" s="540"/>
      <c r="I2224" s="579"/>
      <c r="J2224" s="533"/>
      <c r="L2224" s="126"/>
      <c r="N2224" s="126"/>
      <c r="O2224" s="314"/>
      <c r="P2224" s="310"/>
      <c r="Q2224" s="310"/>
      <c r="R2224" s="314" t="str" cm="1">
        <f t="array" ref="R2224">IFERROR(IF(INDEX('Disaggregation Records'!$G$156:$G$517,MATCH(RIGHT(L2224,255),RIGHT('Disaggregation Records'!$D$156:$D$517,255),0))="","",INDEX('Disaggregation Records'!$G$156:$G$517,MATCH(RIGHT(L2224,255),RIGHT('Disaggregation Records'!$D$156:$D$517,255),0))),"")</f>
        <v/>
      </c>
    </row>
    <row r="2225" spans="1:18" ht="20.100000000000001" customHeight="1">
      <c r="A2225" s="126" t="str">
        <f t="shared" ref="A2225:A2285" ca="1" si="2636">INDIRECT("'update Helper'!C"&amp;Q2225)</f>
        <v>a16Dm000000M3tSIAS</v>
      </c>
      <c r="B2225" s="570">
        <v>41</v>
      </c>
      <c r="C2225" s="572" t="str">
        <f ca="1">IFERROR(VLOOKUP(B2225,'Coverage Indicators - Section D'!$A$9:$AO$94,41,FALSE),"")</f>
        <v>HPM Other -2: Pourcentage des etablissements de sante disposant de diagnostic VIH avec des elements traceurs le jour de la visite ou du rapportage</v>
      </c>
      <c r="D2225" s="574" t="str">
        <f ca="1">M2225</f>
        <v/>
      </c>
      <c r="E2225" s="574" t="str">
        <f ca="1">N2225</f>
        <v/>
      </c>
      <c r="F2225" s="127"/>
      <c r="G2225" s="576" t="str">
        <f ca="1">IF(OR(INDIRECT("'update Helper'!E"&amp;Q2225)="",F2225&lt;&gt;0,F2226&lt;&gt;0),IF(IFERROR((F2225/F2226),"")="","",(F2225/F2226)),INDIRECT("'update Helper'!E"&amp;Q2225)/100)</f>
        <v/>
      </c>
      <c r="H2225" s="539"/>
      <c r="I2225" s="578"/>
      <c r="J2225" s="532"/>
      <c r="K2225" s="126">
        <f ca="1">IF(AND(EXACT(C2225,C2223),C2223&lt;&gt;0),K2223+1,0)</f>
        <v>2</v>
      </c>
      <c r="L2225" s="126" t="str">
        <f t="shared" ref="L2225" ca="1" si="2637">IF(C2225&lt;&gt;"",C2225&amp;"-"&amp;K2225,"")</f>
        <v>HPM Other -2: Pourcentage des etablissements de sante disposant de diagnostic VIH avec des elements traceurs le jour de la visite ou du rapportage-2</v>
      </c>
      <c r="M2225" s="126" t="str">
        <f t="array" aca="1" ref="M2225" ca="1">IFERROR(IF(INDEX('Disaggregation Records'!$E$156:$E$517,MATCH(RIGHT(L2225,255),RIGHT('Disaggregation Records'!$D$156:$D$517,255),0))="","",INDEX('Disaggregation Records'!$E$156:$E$517,MATCH(RIGHT(L2225,255),RIGHT('Disaggregation Records'!$D$156:$D$517,255),0))),"")</f>
        <v/>
      </c>
      <c r="N2225" s="126" t="str">
        <f t="array" aca="1" ref="N2225" ca="1">IFERROR(IF(INDEX('Disaggregation Records'!$F$156:$F$517,MATCH(RIGHT(L2225,255),RIGHT('Disaggregation Records'!$D$156:$D$517,255),0))="","",INDEX('Disaggregation Records'!$F$156:$F$517,MATCH(RIGHT(L2225,255),RIGHT('Disaggregation Records'!$D$156:$D$517,255),0))),"")</f>
        <v/>
      </c>
      <c r="O2225" s="314" t="str">
        <f t="array" aca="1" ref="O2225" ca="1">IFERROR(IF(INDEX('Disaggregation Records'!$H$156:$H$517,MATCH(RIGHT(L2225,255),RIGHT('Disaggregation Records'!$D$156:$D$517,255),0))="","",INDEX('Disaggregation Records'!$H$156:$H$517,MATCH(RIGHT(L2225,255),RIGHT('Disaggregation Records'!$D$156:$D$517,255),0))),"")</f>
        <v/>
      </c>
      <c r="P2225" s="310"/>
      <c r="Q2225" s="310">
        <f t="shared" ref="Q2225" si="2638">Q2223+1</f>
        <v>1815</v>
      </c>
      <c r="R2225" s="314" t="str" cm="1">
        <f t="array" aca="1" ref="R2225" ca="1">IFERROR(IF(INDEX('Disaggregation Records'!$G$156:$G$517,MATCH(RIGHT(L2225,255),RIGHT('Disaggregation Records'!$D$156:$D$517,255),0))="","",INDEX('Disaggregation Records'!$G$156:$G$517,MATCH(RIGHT(L2225,255),RIGHT('Disaggregation Records'!$D$156:$D$517,255),0))),"")</f>
        <v/>
      </c>
    </row>
    <row r="2226" spans="1:18" ht="20.100000000000001" customHeight="1">
      <c r="B2226" s="571"/>
      <c r="C2226" s="573"/>
      <c r="D2226" s="575"/>
      <c r="E2226" s="575"/>
      <c r="F2226" s="128"/>
      <c r="G2226" s="577"/>
      <c r="H2226" s="540"/>
      <c r="I2226" s="579"/>
      <c r="J2226" s="533"/>
      <c r="L2226" s="126"/>
      <c r="N2226" s="126"/>
      <c r="O2226" s="314"/>
      <c r="P2226" s="310"/>
      <c r="Q2226" s="310"/>
      <c r="R2226" s="314" t="str" cm="1">
        <f t="array" ref="R2226">IFERROR(IF(INDEX('Disaggregation Records'!$G$156:$G$517,MATCH(RIGHT(L2226,255),RIGHT('Disaggregation Records'!$D$156:$D$517,255),0))="","",INDEX('Disaggregation Records'!$G$156:$G$517,MATCH(RIGHT(L2226,255),RIGHT('Disaggregation Records'!$D$156:$D$517,255),0))),"")</f>
        <v/>
      </c>
    </row>
    <row r="2227" spans="1:18" ht="20.100000000000001" customHeight="1">
      <c r="A2227" s="126" t="str">
        <f t="shared" ref="A2227:A2287" ca="1" si="2639">INDIRECT("'update Helper'!C"&amp;Q2227)</f>
        <v>a16Dm000000M3tTIAS</v>
      </c>
      <c r="B2227" s="570">
        <v>41</v>
      </c>
      <c r="C2227" s="572" t="str">
        <f ca="1">IFERROR(VLOOKUP(B2227,'Coverage Indicators - Section D'!$A$9:$AO$94,41,FALSE),"")</f>
        <v>HPM Other -2: Pourcentage des etablissements de sante disposant de diagnostic VIH avec des elements traceurs le jour de la visite ou du rapportage</v>
      </c>
      <c r="D2227" s="574" t="str">
        <f ca="1">M2227</f>
        <v/>
      </c>
      <c r="E2227" s="574" t="str">
        <f ca="1">N2227</f>
        <v/>
      </c>
      <c r="F2227" s="127"/>
      <c r="G2227" s="576" t="str">
        <f ca="1">IF(OR(INDIRECT("'update Helper'!E"&amp;Q2227)="",F2227&lt;&gt;0,F2228&lt;&gt;0),IF(IFERROR((F2227/F2228),"")="","",(F2227/F2228)),INDIRECT("'update Helper'!E"&amp;Q2227)/100)</f>
        <v/>
      </c>
      <c r="H2227" s="539"/>
      <c r="I2227" s="578"/>
      <c r="J2227" s="532"/>
      <c r="K2227" s="126">
        <f ca="1">IF(AND(EXACT(C2227,C2225),C2225&lt;&gt;0),K2225+1,0)</f>
        <v>3</v>
      </c>
      <c r="L2227" s="126" t="str">
        <f t="shared" ref="L2227" ca="1" si="2640">IF(C2227&lt;&gt;"",C2227&amp;"-"&amp;K2227,"")</f>
        <v>HPM Other -2: Pourcentage des etablissements de sante disposant de diagnostic VIH avec des elements traceurs le jour de la visite ou du rapportage-3</v>
      </c>
      <c r="M2227" s="126" t="str">
        <f t="array" aca="1" ref="M2227" ca="1">IFERROR(IF(INDEX('Disaggregation Records'!$E$156:$E$517,MATCH(RIGHT(L2227,255),RIGHT('Disaggregation Records'!$D$156:$D$517,255),0))="","",INDEX('Disaggregation Records'!$E$156:$E$517,MATCH(RIGHT(L2227,255),RIGHT('Disaggregation Records'!$D$156:$D$517,255),0))),"")</f>
        <v/>
      </c>
      <c r="N2227" s="126" t="str">
        <f t="array" aca="1" ref="N2227" ca="1">IFERROR(IF(INDEX('Disaggregation Records'!$F$156:$F$517,MATCH(RIGHT(L2227,255),RIGHT('Disaggregation Records'!$D$156:$D$517,255),0))="","",INDEX('Disaggregation Records'!$F$156:$F$517,MATCH(RIGHT(L2227,255),RIGHT('Disaggregation Records'!$D$156:$D$517,255),0))),"")</f>
        <v/>
      </c>
      <c r="O2227" s="314" t="str">
        <f t="array" aca="1" ref="O2227" ca="1">IFERROR(IF(INDEX('Disaggregation Records'!$H$156:$H$517,MATCH(RIGHT(L2227,255),RIGHT('Disaggregation Records'!$D$156:$D$517,255),0))="","",INDEX('Disaggregation Records'!$H$156:$H$517,MATCH(RIGHT(L2227,255),RIGHT('Disaggregation Records'!$D$156:$D$517,255),0))),"")</f>
        <v/>
      </c>
      <c r="P2227" s="310"/>
      <c r="Q2227" s="310">
        <f t="shared" ref="Q2227" si="2641">Q2225+1</f>
        <v>1816</v>
      </c>
      <c r="R2227" s="314" t="str" cm="1">
        <f t="array" aca="1" ref="R2227" ca="1">IFERROR(IF(INDEX('Disaggregation Records'!$G$156:$G$517,MATCH(RIGHT(L2227,255),RIGHT('Disaggregation Records'!$D$156:$D$517,255),0))="","",INDEX('Disaggregation Records'!$G$156:$G$517,MATCH(RIGHT(L2227,255),RIGHT('Disaggregation Records'!$D$156:$D$517,255),0))),"")</f>
        <v/>
      </c>
    </row>
    <row r="2228" spans="1:18" ht="20.100000000000001" customHeight="1">
      <c r="A2228" s="126"/>
      <c r="B2228" s="571"/>
      <c r="C2228" s="573"/>
      <c r="D2228" s="575"/>
      <c r="E2228" s="575"/>
      <c r="F2228" s="128"/>
      <c r="G2228" s="577"/>
      <c r="H2228" s="540"/>
      <c r="I2228" s="579"/>
      <c r="J2228" s="533"/>
      <c r="L2228" s="126"/>
      <c r="N2228" s="126"/>
      <c r="O2228" s="314"/>
      <c r="P2228" s="310"/>
      <c r="Q2228" s="310"/>
      <c r="R2228" s="314" t="str" cm="1">
        <f t="array" ref="R2228">IFERROR(IF(INDEX('Disaggregation Records'!$G$156:$G$517,MATCH(RIGHT(L2228,255),RIGHT('Disaggregation Records'!$D$156:$D$517,255),0))="","",INDEX('Disaggregation Records'!$G$156:$G$517,MATCH(RIGHT(L2228,255),RIGHT('Disaggregation Records'!$D$156:$D$517,255),0))),"")</f>
        <v/>
      </c>
    </row>
    <row r="2229" spans="1:18" ht="20.100000000000001" customHeight="1">
      <c r="A2229" s="126" t="str">
        <f t="shared" ref="A2229:A2289" ca="1" si="2642">INDIRECT("'update Helper'!C"&amp;Q2229)</f>
        <v>a16Dm000000M3tUIAS</v>
      </c>
      <c r="B2229" s="570">
        <v>41</v>
      </c>
      <c r="C2229" s="572" t="str">
        <f ca="1">IFERROR(VLOOKUP(B2229,'Coverage Indicators - Section D'!$A$9:$AO$94,41,FALSE),"")</f>
        <v>HPM Other -2: Pourcentage des etablissements de sante disposant de diagnostic VIH avec des elements traceurs le jour de la visite ou du rapportage</v>
      </c>
      <c r="D2229" s="574" t="str">
        <f ca="1">M2229</f>
        <v/>
      </c>
      <c r="E2229" s="574" t="str">
        <f ca="1">N2229</f>
        <v/>
      </c>
      <c r="F2229" s="127"/>
      <c r="G2229" s="576" t="str">
        <f ca="1">IF(OR(INDIRECT("'update Helper'!E"&amp;Q2229)="",F2229&lt;&gt;0,F2230&lt;&gt;0),IF(IFERROR((F2229/F2230),"")="","",(F2229/F2230)),INDIRECT("'update Helper'!E"&amp;Q2229)/100)</f>
        <v/>
      </c>
      <c r="H2229" s="539"/>
      <c r="I2229" s="578"/>
      <c r="J2229" s="532"/>
      <c r="K2229" s="126">
        <f ca="1">IF(AND(EXACT(C2229,C2227),C2227&lt;&gt;0),K2227+1,0)</f>
        <v>4</v>
      </c>
      <c r="L2229" s="126" t="str">
        <f t="shared" ref="L2229" ca="1" si="2643">IF(C2229&lt;&gt;"",C2229&amp;"-"&amp;K2229,"")</f>
        <v>HPM Other -2: Pourcentage des etablissements de sante disposant de diagnostic VIH avec des elements traceurs le jour de la visite ou du rapportage-4</v>
      </c>
      <c r="M2229" s="126" t="str">
        <f t="array" aca="1" ref="M2229" ca="1">IFERROR(IF(INDEX('Disaggregation Records'!$E$156:$E$517,MATCH(RIGHT(L2229,255),RIGHT('Disaggregation Records'!$D$156:$D$517,255),0))="","",INDEX('Disaggregation Records'!$E$156:$E$517,MATCH(RIGHT(L2229,255),RIGHT('Disaggregation Records'!$D$156:$D$517,255),0))),"")</f>
        <v/>
      </c>
      <c r="N2229" s="126" t="str">
        <f t="array" aca="1" ref="N2229" ca="1">IFERROR(IF(INDEX('Disaggregation Records'!$F$156:$F$517,MATCH(RIGHT(L2229,255),RIGHT('Disaggregation Records'!$D$156:$D$517,255),0))="","",INDEX('Disaggregation Records'!$F$156:$F$517,MATCH(RIGHT(L2229,255),RIGHT('Disaggregation Records'!$D$156:$D$517,255),0))),"")</f>
        <v/>
      </c>
      <c r="O2229" s="314" t="str">
        <f t="array" aca="1" ref="O2229" ca="1">IFERROR(IF(INDEX('Disaggregation Records'!$H$156:$H$517,MATCH(RIGHT(L2229,255),RIGHT('Disaggregation Records'!$D$156:$D$517,255),0))="","",INDEX('Disaggregation Records'!$H$156:$H$517,MATCH(RIGHT(L2229,255),RIGHT('Disaggregation Records'!$D$156:$D$517,255),0))),"")</f>
        <v/>
      </c>
      <c r="P2229" s="314"/>
      <c r="Q2229" s="310">
        <f t="shared" ref="Q2229" si="2644">Q2227+1</f>
        <v>1817</v>
      </c>
      <c r="R2229" s="314" t="str" cm="1">
        <f t="array" aca="1" ref="R2229" ca="1">IFERROR(IF(INDEX('Disaggregation Records'!$G$156:$G$517,MATCH(RIGHT(L2229,255),RIGHT('Disaggregation Records'!$D$156:$D$517,255),0))="","",INDEX('Disaggregation Records'!$G$156:$G$517,MATCH(RIGHT(L2229,255),RIGHT('Disaggregation Records'!$D$156:$D$517,255),0))),"")</f>
        <v/>
      </c>
    </row>
    <row r="2230" spans="1:18" ht="20.100000000000001" customHeight="1">
      <c r="B2230" s="571"/>
      <c r="C2230" s="573"/>
      <c r="D2230" s="575"/>
      <c r="E2230" s="575"/>
      <c r="F2230" s="128"/>
      <c r="G2230" s="577"/>
      <c r="H2230" s="540"/>
      <c r="I2230" s="579"/>
      <c r="J2230" s="533"/>
      <c r="K2230" s="126"/>
      <c r="L2230" s="126"/>
      <c r="M2230" s="126"/>
      <c r="N2230" s="126"/>
      <c r="O2230" s="314"/>
      <c r="P2230" s="314"/>
      <c r="Q2230" s="310"/>
      <c r="R2230" s="314" t="str" cm="1">
        <f t="array" ref="R2230">IFERROR(IF(INDEX('Disaggregation Records'!$G$156:$G$517,MATCH(RIGHT(L2230,255),RIGHT('Disaggregation Records'!$D$156:$D$517,255),0))="","",INDEX('Disaggregation Records'!$G$156:$G$517,MATCH(RIGHT(L2230,255),RIGHT('Disaggregation Records'!$D$156:$D$517,255),0))),"")</f>
        <v/>
      </c>
    </row>
    <row r="2231" spans="1:18" ht="20.100000000000001" customHeight="1">
      <c r="A2231" s="126" t="str">
        <f t="shared" ref="A2231:A2291" ca="1" si="2645">INDIRECT("'update Helper'!C"&amp;Q2231)</f>
        <v>a16Dm000000M3tVIAS</v>
      </c>
      <c r="B2231" s="570">
        <v>41</v>
      </c>
      <c r="C2231" s="572" t="str">
        <f ca="1">IFERROR(VLOOKUP(B2231,'Coverage Indicators - Section D'!$A$9:$AO$94,41,FALSE),"")</f>
        <v>HPM Other -2: Pourcentage des etablissements de sante disposant de diagnostic VIH avec des elements traceurs le jour de la visite ou du rapportage</v>
      </c>
      <c r="D2231" s="574" t="str">
        <f ca="1">M2231</f>
        <v/>
      </c>
      <c r="E2231" s="574" t="str">
        <f ca="1">N2231</f>
        <v/>
      </c>
      <c r="F2231" s="127"/>
      <c r="G2231" s="576" t="str">
        <f ca="1">IF(OR(INDIRECT("'update Helper'!E"&amp;Q2231)="",F2231&lt;&gt;0,F2232&lt;&gt;0),IF(IFERROR((F2231/F2232),"")="","",(F2231/F2232)),INDIRECT("'update Helper'!E"&amp;Q2231)/100)</f>
        <v/>
      </c>
      <c r="H2231" s="539"/>
      <c r="I2231" s="578"/>
      <c r="J2231" s="532"/>
      <c r="K2231" s="126">
        <f ca="1">IF(AND(EXACT(C2231,C2229),C2229&lt;&gt;0),K2229+1,0)</f>
        <v>5</v>
      </c>
      <c r="L2231" s="126" t="str">
        <f t="shared" ref="L2231" ca="1" si="2646">IF(C2231&lt;&gt;"",C2231&amp;"-"&amp;K2231,"")</f>
        <v>HPM Other -2: Pourcentage des etablissements de sante disposant de diagnostic VIH avec des elements traceurs le jour de la visite ou du rapportage-5</v>
      </c>
      <c r="M2231" s="126" t="str">
        <f t="array" aca="1" ref="M2231" ca="1">IFERROR(IF(INDEX('Disaggregation Records'!$E$156:$E$517,MATCH(RIGHT(L2231,255),RIGHT('Disaggregation Records'!$D$156:$D$517,255),0))="","",INDEX('Disaggregation Records'!$E$156:$E$517,MATCH(RIGHT(L2231,255),RIGHT('Disaggregation Records'!$D$156:$D$517,255),0))),"")</f>
        <v/>
      </c>
      <c r="N2231" s="126" t="str">
        <f t="array" aca="1" ref="N2231" ca="1">IFERROR(IF(INDEX('Disaggregation Records'!$F$156:$F$517,MATCH(RIGHT(L2231,255),RIGHT('Disaggregation Records'!$D$156:$D$517,255),0))="","",INDEX('Disaggregation Records'!$F$156:$F$517,MATCH(RIGHT(L2231,255),RIGHT('Disaggregation Records'!$D$156:$D$517,255),0))),"")</f>
        <v/>
      </c>
      <c r="O2231" s="314" t="str">
        <f t="array" aca="1" ref="O2231" ca="1">IFERROR(IF(INDEX('Disaggregation Records'!$H$156:$H$517,MATCH(RIGHT(L2231,255),RIGHT('Disaggregation Records'!$D$156:$D$517,255),0))="","",INDEX('Disaggregation Records'!$H$156:$H$517,MATCH(RIGHT(L2231,255),RIGHT('Disaggregation Records'!$D$156:$D$517,255),0))),"")</f>
        <v/>
      </c>
      <c r="P2231" s="314"/>
      <c r="Q2231" s="310">
        <f t="shared" ref="Q2231" si="2647">Q2229+1</f>
        <v>1818</v>
      </c>
      <c r="R2231" s="314" t="str" cm="1">
        <f t="array" aca="1" ref="R2231" ca="1">IFERROR(IF(INDEX('Disaggregation Records'!$G$156:$G$517,MATCH(RIGHT(L2231,255),RIGHT('Disaggregation Records'!$D$156:$D$517,255),0))="","",INDEX('Disaggregation Records'!$G$156:$G$517,MATCH(RIGHT(L2231,255),RIGHT('Disaggregation Records'!$D$156:$D$517,255),0))),"")</f>
        <v/>
      </c>
    </row>
    <row r="2232" spans="1:18" ht="20.100000000000001" customHeight="1">
      <c r="A2232" s="126"/>
      <c r="B2232" s="571"/>
      <c r="C2232" s="573"/>
      <c r="D2232" s="575"/>
      <c r="E2232" s="575"/>
      <c r="F2232" s="128"/>
      <c r="G2232" s="577"/>
      <c r="H2232" s="540"/>
      <c r="I2232" s="579"/>
      <c r="J2232" s="533"/>
      <c r="K2232" s="126"/>
      <c r="L2232" s="126"/>
      <c r="M2232" s="126"/>
      <c r="N2232" s="126"/>
      <c r="O2232" s="314"/>
      <c r="P2232" s="314"/>
      <c r="Q2232" s="310"/>
      <c r="R2232" s="314" t="str" cm="1">
        <f t="array" ref="R2232">IFERROR(IF(INDEX('Disaggregation Records'!$G$156:$G$517,MATCH(RIGHT(L2232,255),RIGHT('Disaggregation Records'!$D$156:$D$517,255),0))="","",INDEX('Disaggregation Records'!$G$156:$G$517,MATCH(RIGHT(L2232,255),RIGHT('Disaggregation Records'!$D$156:$D$517,255),0))),"")</f>
        <v/>
      </c>
    </row>
    <row r="2233" spans="1:18" ht="20.100000000000001" customHeight="1">
      <c r="A2233" s="126" t="str">
        <f t="shared" ref="A2233:A2293" ca="1" si="2648">INDIRECT("'update Helper'!C"&amp;Q2233)</f>
        <v>a16Dm000000M3tWIAS</v>
      </c>
      <c r="B2233" s="570">
        <v>41</v>
      </c>
      <c r="C2233" s="572" t="str">
        <f ca="1">IFERROR(VLOOKUP(B2233,'Coverage Indicators - Section D'!$A$9:$AO$94,41,FALSE),"")</f>
        <v>HPM Other -2: Pourcentage des etablissements de sante disposant de diagnostic VIH avec des elements traceurs le jour de la visite ou du rapportage</v>
      </c>
      <c r="D2233" s="574" t="str">
        <f ca="1">M2233</f>
        <v/>
      </c>
      <c r="E2233" s="574" t="str">
        <f ca="1">N2233</f>
        <v/>
      </c>
      <c r="F2233" s="127"/>
      <c r="G2233" s="576" t="str">
        <f ca="1">IF(OR(INDIRECT("'update Helper'!E"&amp;Q2233)="",F2233&lt;&gt;0,F2234&lt;&gt;0),IF(IFERROR((F2233/F2234),"")="","",(F2233/F2234)),INDIRECT("'update Helper'!E"&amp;Q2233)/100)</f>
        <v/>
      </c>
      <c r="H2233" s="539"/>
      <c r="I2233" s="578"/>
      <c r="J2233" s="532"/>
      <c r="K2233" s="126">
        <f ca="1">IF(AND(EXACT(C2233,C2231),C2231&lt;&gt;0),K2231+1,0)</f>
        <v>6</v>
      </c>
      <c r="L2233" s="126" t="str">
        <f t="shared" ref="L2233" ca="1" si="2649">IF(C2233&lt;&gt;"",C2233&amp;"-"&amp;K2233,"")</f>
        <v>HPM Other -2: Pourcentage des etablissements de sante disposant de diagnostic VIH avec des elements traceurs le jour de la visite ou du rapportage-6</v>
      </c>
      <c r="M2233" s="126" t="str">
        <f t="array" aca="1" ref="M2233" ca="1">IFERROR(IF(INDEX('Disaggregation Records'!$E$156:$E$517,MATCH(RIGHT(L2233,255),RIGHT('Disaggregation Records'!$D$156:$D$517,255),0))="","",INDEX('Disaggregation Records'!$E$156:$E$517,MATCH(RIGHT(L2233,255),RIGHT('Disaggregation Records'!$D$156:$D$517,255),0))),"")</f>
        <v/>
      </c>
      <c r="N2233" s="126" t="str">
        <f t="array" aca="1" ref="N2233" ca="1">IFERROR(IF(INDEX('Disaggregation Records'!$F$156:$F$517,MATCH(RIGHT(L2233,255),RIGHT('Disaggregation Records'!$D$156:$D$517,255),0))="","",INDEX('Disaggregation Records'!$F$156:$F$517,MATCH(RIGHT(L2233,255),RIGHT('Disaggregation Records'!$D$156:$D$517,255),0))),"")</f>
        <v/>
      </c>
      <c r="O2233" s="314" t="str">
        <f t="array" aca="1" ref="O2233" ca="1">IFERROR(IF(INDEX('Disaggregation Records'!$H$156:$H$517,MATCH(RIGHT(L2233,255),RIGHT('Disaggregation Records'!$D$156:$D$517,255),0))="","",INDEX('Disaggregation Records'!$H$156:$H$517,MATCH(RIGHT(L2233,255),RIGHT('Disaggregation Records'!$D$156:$D$517,255),0))),"")</f>
        <v/>
      </c>
      <c r="P2233" s="310"/>
      <c r="Q2233" s="310">
        <f t="shared" ref="Q2233" si="2650">Q2231+1</f>
        <v>1819</v>
      </c>
      <c r="R2233" s="314" t="str" cm="1">
        <f t="array" aca="1" ref="R2233" ca="1">IFERROR(IF(INDEX('Disaggregation Records'!$G$156:$G$517,MATCH(RIGHT(L2233,255),RIGHT('Disaggregation Records'!$D$156:$D$517,255),0))="","",INDEX('Disaggregation Records'!$G$156:$G$517,MATCH(RIGHT(L2233,255),RIGHT('Disaggregation Records'!$D$156:$D$517,255),0))),"")</f>
        <v/>
      </c>
    </row>
    <row r="2234" spans="1:18" ht="20.100000000000001" customHeight="1">
      <c r="B2234" s="571"/>
      <c r="C2234" s="573"/>
      <c r="D2234" s="575"/>
      <c r="E2234" s="575"/>
      <c r="F2234" s="128"/>
      <c r="G2234" s="577"/>
      <c r="H2234" s="540"/>
      <c r="I2234" s="579"/>
      <c r="J2234" s="533"/>
      <c r="L2234" s="126"/>
      <c r="N2234" s="126"/>
      <c r="O2234" s="314"/>
      <c r="P2234" s="310"/>
      <c r="Q2234" s="310"/>
      <c r="R2234" s="314" t="str" cm="1">
        <f t="array" ref="R2234">IFERROR(IF(INDEX('Disaggregation Records'!$G$156:$G$517,MATCH(RIGHT(L2234,255),RIGHT('Disaggregation Records'!$D$156:$D$517,255),0))="","",INDEX('Disaggregation Records'!$G$156:$G$517,MATCH(RIGHT(L2234,255),RIGHT('Disaggregation Records'!$D$156:$D$517,255),0))),"")</f>
        <v/>
      </c>
    </row>
    <row r="2235" spans="1:18" ht="20.100000000000001" customHeight="1">
      <c r="A2235" s="126" t="str">
        <f t="shared" ref="A2235:A2295" ca="1" si="2651">INDIRECT("'update Helper'!C"&amp;Q2235)</f>
        <v>a16Dm000000M3tXIAS</v>
      </c>
      <c r="B2235" s="570">
        <v>41</v>
      </c>
      <c r="C2235" s="572" t="str">
        <f ca="1">IFERROR(VLOOKUP(B2235,'Coverage Indicators - Section D'!$A$9:$AO$94,41,FALSE),"")</f>
        <v>HPM Other -2: Pourcentage des etablissements de sante disposant de diagnostic VIH avec des elements traceurs le jour de la visite ou du rapportage</v>
      </c>
      <c r="D2235" s="574" t="str">
        <f ca="1">M2235</f>
        <v/>
      </c>
      <c r="E2235" s="574" t="str">
        <f ca="1">N2235</f>
        <v/>
      </c>
      <c r="F2235" s="127"/>
      <c r="G2235" s="576" t="str">
        <f ca="1">IF(OR(INDIRECT("'update Helper'!E"&amp;Q2235)="",F2235&lt;&gt;0,F2236&lt;&gt;0),IF(IFERROR((F2235/F2236),"")="","",(F2235/F2236)),INDIRECT("'update Helper'!E"&amp;Q2235)/100)</f>
        <v/>
      </c>
      <c r="H2235" s="539"/>
      <c r="I2235" s="578"/>
      <c r="J2235" s="532"/>
      <c r="K2235" s="126">
        <f ca="1">IF(AND(EXACT(C2235,C2233),C2233&lt;&gt;0),K2233+1,0)</f>
        <v>7</v>
      </c>
      <c r="L2235" s="126" t="str">
        <f t="shared" ref="L2235" ca="1" si="2652">IF(C2235&lt;&gt;"",C2235&amp;"-"&amp;K2235,"")</f>
        <v>HPM Other -2: Pourcentage des etablissements de sante disposant de diagnostic VIH avec des elements traceurs le jour de la visite ou du rapportage-7</v>
      </c>
      <c r="M2235" s="126" t="str">
        <f t="array" aca="1" ref="M2235" ca="1">IFERROR(IF(INDEX('Disaggregation Records'!$E$156:$E$517,MATCH(RIGHT(L2235,255),RIGHT('Disaggregation Records'!$D$156:$D$517,255),0))="","",INDEX('Disaggregation Records'!$E$156:$E$517,MATCH(RIGHT(L2235,255),RIGHT('Disaggregation Records'!$D$156:$D$517,255),0))),"")</f>
        <v/>
      </c>
      <c r="N2235" s="126" t="str">
        <f t="array" aca="1" ref="N2235" ca="1">IFERROR(IF(INDEX('Disaggregation Records'!$F$156:$F$517,MATCH(RIGHT(L2235,255),RIGHT('Disaggregation Records'!$D$156:$D$517,255),0))="","",INDEX('Disaggregation Records'!$F$156:$F$517,MATCH(RIGHT(L2235,255),RIGHT('Disaggregation Records'!$D$156:$D$517,255),0))),"")</f>
        <v/>
      </c>
      <c r="O2235" s="314" t="str">
        <f t="array" aca="1" ref="O2235" ca="1">IFERROR(IF(INDEX('Disaggregation Records'!$H$156:$H$517,MATCH(RIGHT(L2235,255),RIGHT('Disaggregation Records'!$D$156:$D$517,255),0))="","",INDEX('Disaggregation Records'!$H$156:$H$517,MATCH(RIGHT(L2235,255),RIGHT('Disaggregation Records'!$D$156:$D$517,255),0))),"")</f>
        <v/>
      </c>
      <c r="P2235" s="310"/>
      <c r="Q2235" s="310">
        <f t="shared" ref="Q2235" si="2653">Q2233+1</f>
        <v>1820</v>
      </c>
      <c r="R2235" s="314" t="str" cm="1">
        <f t="array" aca="1" ref="R2235" ca="1">IFERROR(IF(INDEX('Disaggregation Records'!$G$156:$G$517,MATCH(RIGHT(L2235,255),RIGHT('Disaggregation Records'!$D$156:$D$517,255),0))="","",INDEX('Disaggregation Records'!$G$156:$G$517,MATCH(RIGHT(L2235,255),RIGHT('Disaggregation Records'!$D$156:$D$517,255),0))),"")</f>
        <v/>
      </c>
    </row>
    <row r="2236" spans="1:18" ht="20.100000000000001" customHeight="1">
      <c r="A2236" s="126"/>
      <c r="B2236" s="571"/>
      <c r="C2236" s="573"/>
      <c r="D2236" s="575"/>
      <c r="E2236" s="575"/>
      <c r="F2236" s="128"/>
      <c r="G2236" s="577"/>
      <c r="H2236" s="540"/>
      <c r="I2236" s="579"/>
      <c r="J2236" s="533"/>
      <c r="L2236" s="126"/>
      <c r="N2236" s="126"/>
      <c r="O2236" s="314"/>
      <c r="P2236" s="310"/>
      <c r="Q2236" s="310"/>
      <c r="R2236" s="314" t="str" cm="1">
        <f t="array" ref="R2236">IFERROR(IF(INDEX('Disaggregation Records'!$G$156:$G$517,MATCH(RIGHT(L2236,255),RIGHT('Disaggregation Records'!$D$156:$D$517,255),0))="","",INDEX('Disaggregation Records'!$G$156:$G$517,MATCH(RIGHT(L2236,255),RIGHT('Disaggregation Records'!$D$156:$D$517,255),0))),"")</f>
        <v/>
      </c>
    </row>
    <row r="2237" spans="1:18" ht="20.100000000000001" customHeight="1">
      <c r="A2237" s="126" t="str">
        <f t="shared" ref="A2237:A2297" ca="1" si="2654">INDIRECT("'update Helper'!C"&amp;Q2237)</f>
        <v>a16Dm000000M3tYIAS</v>
      </c>
      <c r="B2237" s="570">
        <v>41</v>
      </c>
      <c r="C2237" s="572" t="str">
        <f ca="1">IFERROR(VLOOKUP(B2237,'Coverage Indicators - Section D'!$A$9:$AO$94,41,FALSE),"")</f>
        <v>HPM Other -2: Pourcentage des etablissements de sante disposant de diagnostic VIH avec des elements traceurs le jour de la visite ou du rapportage</v>
      </c>
      <c r="D2237" s="574" t="str">
        <f ca="1">M2237</f>
        <v/>
      </c>
      <c r="E2237" s="574" t="str">
        <f ca="1">N2237</f>
        <v/>
      </c>
      <c r="F2237" s="127"/>
      <c r="G2237" s="576" t="str">
        <f ca="1">IF(OR(INDIRECT("'update Helper'!E"&amp;Q2237)="",F2237&lt;&gt;0,F2238&lt;&gt;0),IF(IFERROR((F2237/F2238),"")="","",(F2237/F2238)),INDIRECT("'update Helper'!E"&amp;Q2237)/100)</f>
        <v/>
      </c>
      <c r="H2237" s="539"/>
      <c r="I2237" s="578"/>
      <c r="J2237" s="532"/>
      <c r="K2237" s="126">
        <f ca="1">IF(AND(EXACT(C2237,C2235),C2235&lt;&gt;0),K2235+1,0)</f>
        <v>8</v>
      </c>
      <c r="L2237" s="126" t="str">
        <f t="shared" ref="L2237" ca="1" si="2655">IF(C2237&lt;&gt;"",C2237&amp;"-"&amp;K2237,"")</f>
        <v>HPM Other -2: Pourcentage des etablissements de sante disposant de diagnostic VIH avec des elements traceurs le jour de la visite ou du rapportage-8</v>
      </c>
      <c r="M2237" s="126" t="str">
        <f t="array" aca="1" ref="M2237" ca="1">IFERROR(IF(INDEX('Disaggregation Records'!$E$156:$E$517,MATCH(RIGHT(L2237,255),RIGHT('Disaggregation Records'!$D$156:$D$517,255),0))="","",INDEX('Disaggregation Records'!$E$156:$E$517,MATCH(RIGHT(L2237,255),RIGHT('Disaggregation Records'!$D$156:$D$517,255),0))),"")</f>
        <v/>
      </c>
      <c r="N2237" s="126" t="str">
        <f t="array" aca="1" ref="N2237" ca="1">IFERROR(IF(INDEX('Disaggregation Records'!$F$156:$F$517,MATCH(RIGHT(L2237,255),RIGHT('Disaggregation Records'!$D$156:$D$517,255),0))="","",INDEX('Disaggregation Records'!$F$156:$F$517,MATCH(RIGHT(L2237,255),RIGHT('Disaggregation Records'!$D$156:$D$517,255),0))),"")</f>
        <v/>
      </c>
      <c r="O2237" s="314" t="str">
        <f t="array" aca="1" ref="O2237" ca="1">IFERROR(IF(INDEX('Disaggregation Records'!$H$156:$H$517,MATCH(RIGHT(L2237,255),RIGHT('Disaggregation Records'!$D$156:$D$517,255),0))="","",INDEX('Disaggregation Records'!$H$156:$H$517,MATCH(RIGHT(L2237,255),RIGHT('Disaggregation Records'!$D$156:$D$517,255),0))),"")</f>
        <v/>
      </c>
      <c r="P2237" s="310"/>
      <c r="Q2237" s="310">
        <f t="shared" ref="Q2237" si="2656">Q2235+1</f>
        <v>1821</v>
      </c>
      <c r="R2237" s="314" t="str" cm="1">
        <f t="array" aca="1" ref="R2237" ca="1">IFERROR(IF(INDEX('Disaggregation Records'!$G$156:$G$517,MATCH(RIGHT(L2237,255),RIGHT('Disaggregation Records'!$D$156:$D$517,255),0))="","",INDEX('Disaggregation Records'!$G$156:$G$517,MATCH(RIGHT(L2237,255),RIGHT('Disaggregation Records'!$D$156:$D$517,255),0))),"")</f>
        <v/>
      </c>
    </row>
    <row r="2238" spans="1:18" ht="20.100000000000001" customHeight="1">
      <c r="B2238" s="571"/>
      <c r="C2238" s="573"/>
      <c r="D2238" s="575"/>
      <c r="E2238" s="575"/>
      <c r="F2238" s="128"/>
      <c r="G2238" s="577"/>
      <c r="H2238" s="540"/>
      <c r="I2238" s="579"/>
      <c r="J2238" s="533"/>
      <c r="L2238" s="126"/>
      <c r="N2238" s="126"/>
      <c r="O2238" s="314"/>
      <c r="P2238" s="310"/>
      <c r="Q2238" s="310"/>
      <c r="R2238" s="314" t="str" cm="1">
        <f t="array" ref="R2238">IFERROR(IF(INDEX('Disaggregation Records'!$G$156:$G$517,MATCH(RIGHT(L2238,255),RIGHT('Disaggregation Records'!$D$156:$D$517,255),0))="","",INDEX('Disaggregation Records'!$G$156:$G$517,MATCH(RIGHT(L2238,255),RIGHT('Disaggregation Records'!$D$156:$D$517,255),0))),"")</f>
        <v/>
      </c>
    </row>
    <row r="2239" spans="1:18" ht="20.100000000000001" customHeight="1">
      <c r="A2239" s="126" t="str">
        <f t="shared" ref="A2239:A2298" ca="1" si="2657">INDIRECT("'update Helper'!C"&amp;Q2239)</f>
        <v>a16Dm000000M3tZIAS</v>
      </c>
      <c r="B2239" s="570">
        <v>41</v>
      </c>
      <c r="C2239" s="572" t="str">
        <f ca="1">IFERROR(VLOOKUP(B2239,'Coverage Indicators - Section D'!$A$9:$AO$94,41,FALSE),"")</f>
        <v>HPM Other -2: Pourcentage des etablissements de sante disposant de diagnostic VIH avec des elements traceurs le jour de la visite ou du rapportage</v>
      </c>
      <c r="D2239" s="574" t="str">
        <f ca="1">M2239</f>
        <v/>
      </c>
      <c r="E2239" s="574" t="str">
        <f ca="1">N2239</f>
        <v/>
      </c>
      <c r="F2239" s="127"/>
      <c r="G2239" s="576" t="str">
        <f ca="1">IF(OR(INDIRECT("'update Helper'!E"&amp;Q2239)="",F2239&lt;&gt;0,F2240&lt;&gt;0),IF(IFERROR((F2239/F2240),"")="","",(F2239/F2240)),INDIRECT("'update Helper'!E"&amp;Q2239)/100)</f>
        <v/>
      </c>
      <c r="H2239" s="539"/>
      <c r="I2239" s="578"/>
      <c r="J2239" s="532"/>
      <c r="K2239" s="126">
        <f ca="1">IF(AND(EXACT(C2239,C2237),C2237&lt;&gt;0),K2237+1,0)</f>
        <v>9</v>
      </c>
      <c r="L2239" s="126" t="str">
        <f t="shared" ref="L2239" ca="1" si="2658">IF(C2239&lt;&gt;"",C2239&amp;"-"&amp;K2239,"")</f>
        <v>HPM Other -2: Pourcentage des etablissements de sante disposant de diagnostic VIH avec des elements traceurs le jour de la visite ou du rapportage-9</v>
      </c>
      <c r="M2239" s="126" t="str">
        <f t="array" aca="1" ref="M2239" ca="1">IFERROR(IF(INDEX('Disaggregation Records'!$E$156:$E$517,MATCH(RIGHT(L2239,255),RIGHT('Disaggregation Records'!$D$156:$D$517,255),0))="","",INDEX('Disaggregation Records'!$E$156:$E$517,MATCH(RIGHT(L2239,255),RIGHT('Disaggregation Records'!$D$156:$D$517,255),0))),"")</f>
        <v/>
      </c>
      <c r="N2239" s="126" t="str">
        <f t="array" aca="1" ref="N2239" ca="1">IFERROR(IF(INDEX('Disaggregation Records'!$F$156:$F$517,MATCH(RIGHT(L2239,255),RIGHT('Disaggregation Records'!$D$156:$D$517,255),0))="","",INDEX('Disaggregation Records'!$F$156:$F$517,MATCH(RIGHT(L2239,255),RIGHT('Disaggregation Records'!$D$156:$D$517,255),0))),"")</f>
        <v/>
      </c>
      <c r="O2239" s="314" t="str">
        <f t="array" aca="1" ref="O2239" ca="1">IFERROR(IF(INDEX('Disaggregation Records'!$H$156:$H$517,MATCH(RIGHT(L2239,255),RIGHT('Disaggregation Records'!$D$156:$D$517,255),0))="","",INDEX('Disaggregation Records'!$H$156:$H$517,MATCH(RIGHT(L2239,255),RIGHT('Disaggregation Records'!$D$156:$D$517,255),0))),"")</f>
        <v/>
      </c>
      <c r="P2239" s="314"/>
      <c r="Q2239" s="310">
        <f t="shared" ref="Q2239" si="2659">Q2237+1</f>
        <v>1822</v>
      </c>
      <c r="R2239" s="314" t="str" cm="1">
        <f t="array" aca="1" ref="R2239" ca="1">IFERROR(IF(INDEX('Disaggregation Records'!$G$156:$G$517,MATCH(RIGHT(L2239,255),RIGHT('Disaggregation Records'!$D$156:$D$517,255),0))="","",INDEX('Disaggregation Records'!$G$156:$G$517,MATCH(RIGHT(L2239,255),RIGHT('Disaggregation Records'!$D$156:$D$517,255),0))),"")</f>
        <v/>
      </c>
    </row>
    <row r="2240" spans="1:18" ht="20.100000000000001" customHeight="1">
      <c r="A2240" s="126"/>
      <c r="B2240" s="571"/>
      <c r="C2240" s="573"/>
      <c r="D2240" s="575"/>
      <c r="E2240" s="575"/>
      <c r="F2240" s="128"/>
      <c r="G2240" s="577"/>
      <c r="H2240" s="540"/>
      <c r="I2240" s="579"/>
      <c r="J2240" s="533"/>
      <c r="K2240" s="126"/>
      <c r="L2240" s="126"/>
      <c r="M2240" s="126"/>
      <c r="N2240" s="126"/>
      <c r="O2240" s="314"/>
      <c r="P2240" s="314"/>
      <c r="Q2240" s="310"/>
      <c r="R2240" s="314" t="str" cm="1">
        <f t="array" ref="R2240">IFERROR(IF(INDEX('Disaggregation Records'!$G$156:$G$517,MATCH(RIGHT(L2240,255),RIGHT('Disaggregation Records'!$D$156:$D$517,255),0))="","",INDEX('Disaggregation Records'!$G$156:$G$517,MATCH(RIGHT(L2240,255),RIGHT('Disaggregation Records'!$D$156:$D$517,255),0))),"")</f>
        <v/>
      </c>
    </row>
    <row r="2241" spans="1:18" ht="20.100000000000001" customHeight="1">
      <c r="A2241" s="126" t="str">
        <f t="shared" ref="A2241:A2298" ca="1" si="2660">INDIRECT("'update Helper'!C"&amp;Q2241)</f>
        <v>a16Dm000000M3taIAC</v>
      </c>
      <c r="B2241" s="570">
        <v>41</v>
      </c>
      <c r="C2241" s="572" t="str">
        <f ca="1">IFERROR(VLOOKUP(B2241,'Coverage Indicators - Section D'!$A$9:$AO$94,41,FALSE),"")</f>
        <v>HPM Other -2: Pourcentage des etablissements de sante disposant de diagnostic VIH avec des elements traceurs le jour de la visite ou du rapportage</v>
      </c>
      <c r="D2241" s="574" t="str">
        <f ca="1">M2241</f>
        <v/>
      </c>
      <c r="E2241" s="574" t="str">
        <f ca="1">N2241</f>
        <v/>
      </c>
      <c r="F2241" s="127"/>
      <c r="G2241" s="576" t="str">
        <f ca="1">IF(OR(INDIRECT("'update Helper'!E"&amp;Q2241)="",F2241&lt;&gt;0,F2242&lt;&gt;0),IF(IFERROR((F2241/F2242),"")="","",(F2241/F2242)),INDIRECT("'update Helper'!E"&amp;Q2241)/100)</f>
        <v/>
      </c>
      <c r="H2241" s="539"/>
      <c r="I2241" s="578"/>
      <c r="J2241" s="532"/>
      <c r="K2241" s="126">
        <f ca="1">IF(AND(EXACT(C2241,C2239),C2239&lt;&gt;0),K2239+1,0)</f>
        <v>10</v>
      </c>
      <c r="L2241" s="126" t="str">
        <f t="shared" ref="L2241" ca="1" si="2661">IF(C2241&lt;&gt;"",C2241&amp;"-"&amp;K2241,"")</f>
        <v>HPM Other -2: Pourcentage des etablissements de sante disposant de diagnostic VIH avec des elements traceurs le jour de la visite ou du rapportage-10</v>
      </c>
      <c r="M2241" s="126" t="str">
        <f t="array" aca="1" ref="M2241" ca="1">IFERROR(IF(INDEX('Disaggregation Records'!$E$156:$E$517,MATCH(RIGHT(L2241,255),RIGHT('Disaggregation Records'!$D$156:$D$517,255),0))="","",INDEX('Disaggregation Records'!$E$156:$E$517,MATCH(RIGHT(L2241,255),RIGHT('Disaggregation Records'!$D$156:$D$517,255),0))),"")</f>
        <v/>
      </c>
      <c r="N2241" s="126" t="str">
        <f t="array" aca="1" ref="N2241" ca="1">IFERROR(IF(INDEX('Disaggregation Records'!$F$156:$F$517,MATCH(RIGHT(L2241,255),RIGHT('Disaggregation Records'!$D$156:$D$517,255),0))="","",INDEX('Disaggregation Records'!$F$156:$F$517,MATCH(RIGHT(L2241,255),RIGHT('Disaggregation Records'!$D$156:$D$517,255),0))),"")</f>
        <v/>
      </c>
      <c r="O2241" s="314" t="str">
        <f t="array" aca="1" ref="O2241" ca="1">IFERROR(IF(INDEX('Disaggregation Records'!$H$156:$H$517,MATCH(RIGHT(L2241,255),RIGHT('Disaggregation Records'!$D$156:$D$517,255),0))="","",INDEX('Disaggregation Records'!$H$156:$H$517,MATCH(RIGHT(L2241,255),RIGHT('Disaggregation Records'!$D$156:$D$517,255),0))),"")</f>
        <v/>
      </c>
      <c r="P2241" s="314"/>
      <c r="Q2241" s="310">
        <f t="shared" ref="Q2241" si="2662">Q2239+1</f>
        <v>1823</v>
      </c>
      <c r="R2241" s="314" t="str" cm="1">
        <f t="array" aca="1" ref="R2241" ca="1">IFERROR(IF(INDEX('Disaggregation Records'!$G$156:$G$517,MATCH(RIGHT(L2241,255),RIGHT('Disaggregation Records'!$D$156:$D$517,255),0))="","",INDEX('Disaggregation Records'!$G$156:$G$517,MATCH(RIGHT(L2241,255),RIGHT('Disaggregation Records'!$D$156:$D$517,255),0))),"")</f>
        <v/>
      </c>
    </row>
    <row r="2242" spans="1:18" ht="20.100000000000001" customHeight="1">
      <c r="B2242" s="571"/>
      <c r="C2242" s="573"/>
      <c r="D2242" s="575"/>
      <c r="E2242" s="575"/>
      <c r="F2242" s="128"/>
      <c r="G2242" s="577"/>
      <c r="H2242" s="540"/>
      <c r="I2242" s="579"/>
      <c r="J2242" s="533"/>
      <c r="K2242" s="126"/>
      <c r="L2242" s="126"/>
      <c r="M2242" s="126"/>
      <c r="N2242" s="126"/>
      <c r="O2242" s="314"/>
      <c r="P2242" s="314"/>
      <c r="Q2242" s="310"/>
      <c r="R2242" s="314" t="str" cm="1">
        <f t="array" ref="R2242">IFERROR(IF(INDEX('Disaggregation Records'!$G$156:$G$517,MATCH(RIGHT(L2242,255),RIGHT('Disaggregation Records'!$D$156:$D$517,255),0))="","",INDEX('Disaggregation Records'!$G$156:$G$517,MATCH(RIGHT(L2242,255),RIGHT('Disaggregation Records'!$D$156:$D$517,255),0))),"")</f>
        <v/>
      </c>
    </row>
    <row r="2243" spans="1:18" ht="20.100000000000001" customHeight="1">
      <c r="A2243" s="126" t="str">
        <f t="shared" ref="A2243:A2298" ca="1" si="2663">INDIRECT("'update Helper'!C"&amp;Q2243)</f>
        <v>a16Dm000000M3tbIAC</v>
      </c>
      <c r="B2243" s="570">
        <v>41</v>
      </c>
      <c r="C2243" s="572" t="str">
        <f ca="1">IFERROR(VLOOKUP(B2243,'Coverage Indicators - Section D'!$A$9:$AO$94,41,FALSE),"")</f>
        <v>HPM Other -2: Pourcentage des etablissements de sante disposant de diagnostic VIH avec des elements traceurs le jour de la visite ou du rapportage</v>
      </c>
      <c r="D2243" s="574" t="str">
        <f ca="1">M2243</f>
        <v/>
      </c>
      <c r="E2243" s="574" t="str">
        <f ca="1">N2243</f>
        <v/>
      </c>
      <c r="F2243" s="127"/>
      <c r="G2243" s="576" t="str">
        <f ca="1">IF(OR(INDIRECT("'update Helper'!E"&amp;Q2243)="",F2243&lt;&gt;0,F2244&lt;&gt;0),IF(IFERROR((F2243/F2244),"")="","",(F2243/F2244)),INDIRECT("'update Helper'!E"&amp;Q2243)/100)</f>
        <v/>
      </c>
      <c r="H2243" s="539"/>
      <c r="I2243" s="578"/>
      <c r="J2243" s="532"/>
      <c r="K2243" s="126">
        <f ca="1">IF(AND(EXACT(C2243,C2241),C2241&lt;&gt;0),K2241+1,0)</f>
        <v>11</v>
      </c>
      <c r="L2243" s="126" t="str">
        <f t="shared" ref="L2243" ca="1" si="2664">IF(C2243&lt;&gt;"",C2243&amp;"-"&amp;K2243,"")</f>
        <v>HPM Other -2: Pourcentage des etablissements de sante disposant de diagnostic VIH avec des elements traceurs le jour de la visite ou du rapportage-11</v>
      </c>
      <c r="M2243" s="126" t="str">
        <f t="array" aca="1" ref="M2243" ca="1">IFERROR(IF(INDEX('Disaggregation Records'!$E$156:$E$517,MATCH(RIGHT(L2243,255),RIGHT('Disaggregation Records'!$D$156:$D$517,255),0))="","",INDEX('Disaggregation Records'!$E$156:$E$517,MATCH(RIGHT(L2243,255),RIGHT('Disaggregation Records'!$D$156:$D$517,255),0))),"")</f>
        <v/>
      </c>
      <c r="N2243" s="126" t="str">
        <f t="array" aca="1" ref="N2243" ca="1">IFERROR(IF(INDEX('Disaggregation Records'!$F$156:$F$517,MATCH(RIGHT(L2243,255),RIGHT('Disaggregation Records'!$D$156:$D$517,255),0))="","",INDEX('Disaggregation Records'!$F$156:$F$517,MATCH(RIGHT(L2243,255),RIGHT('Disaggregation Records'!$D$156:$D$517,255),0))),"")</f>
        <v/>
      </c>
      <c r="O2243" s="314" t="str">
        <f t="array" aca="1" ref="O2243" ca="1">IFERROR(IF(INDEX('Disaggregation Records'!$H$156:$H$517,MATCH(RIGHT(L2243,255),RIGHT('Disaggregation Records'!$D$156:$D$517,255),0))="","",INDEX('Disaggregation Records'!$H$156:$H$517,MATCH(RIGHT(L2243,255),RIGHT('Disaggregation Records'!$D$156:$D$517,255),0))),"")</f>
        <v/>
      </c>
      <c r="P2243" s="310"/>
      <c r="Q2243" s="310">
        <f t="shared" ref="Q2243" si="2665">Q2241+1</f>
        <v>1824</v>
      </c>
      <c r="R2243" s="314" t="str" cm="1">
        <f t="array" aca="1" ref="R2243" ca="1">IFERROR(IF(INDEX('Disaggregation Records'!$G$156:$G$517,MATCH(RIGHT(L2243,255),RIGHT('Disaggregation Records'!$D$156:$D$517,255),0))="","",INDEX('Disaggregation Records'!$G$156:$G$517,MATCH(RIGHT(L2243,255),RIGHT('Disaggregation Records'!$D$156:$D$517,255),0))),"")</f>
        <v/>
      </c>
    </row>
    <row r="2244" spans="1:18" ht="20.100000000000001" customHeight="1">
      <c r="A2244" s="126"/>
      <c r="B2244" s="571"/>
      <c r="C2244" s="573"/>
      <c r="D2244" s="575"/>
      <c r="E2244" s="575"/>
      <c r="F2244" s="128"/>
      <c r="G2244" s="577"/>
      <c r="H2244" s="540"/>
      <c r="I2244" s="579"/>
      <c r="J2244" s="533"/>
      <c r="L2244" s="126"/>
      <c r="N2244" s="126"/>
      <c r="O2244" s="314"/>
      <c r="P2244" s="310"/>
      <c r="Q2244" s="310"/>
      <c r="R2244" s="314" t="str" cm="1">
        <f t="array" ref="R2244">IFERROR(IF(INDEX('Disaggregation Records'!$G$156:$G$517,MATCH(RIGHT(L2244,255),RIGHT('Disaggregation Records'!$D$156:$D$517,255),0))="","",INDEX('Disaggregation Records'!$G$156:$G$517,MATCH(RIGHT(L2244,255),RIGHT('Disaggregation Records'!$D$156:$D$517,255),0))),"")</f>
        <v/>
      </c>
    </row>
    <row r="2245" spans="1:18" ht="20.100000000000001" customHeight="1">
      <c r="A2245" s="126" t="str">
        <f t="shared" ref="A2245:A2298" ca="1" si="2666">INDIRECT("'update Helper'!C"&amp;Q2245)</f>
        <v>a16Dm000000M3tcIAC</v>
      </c>
      <c r="B2245" s="570">
        <v>41</v>
      </c>
      <c r="C2245" s="572" t="str">
        <f ca="1">IFERROR(VLOOKUP(B2245,'Coverage Indicators - Section D'!$A$9:$AO$94,41,FALSE),"")</f>
        <v>HPM Other -2: Pourcentage des etablissements de sante disposant de diagnostic VIH avec des elements traceurs le jour de la visite ou du rapportage</v>
      </c>
      <c r="D2245" s="574" t="str">
        <f ca="1">M2245</f>
        <v/>
      </c>
      <c r="E2245" s="574" t="str">
        <f ca="1">N2245</f>
        <v/>
      </c>
      <c r="F2245" s="127"/>
      <c r="G2245" s="576" t="str">
        <f ca="1">IF(OR(INDIRECT("'update Helper'!E"&amp;Q2245)="",F2245&lt;&gt;0,F2246&lt;&gt;0),IF(IFERROR((F2245/F2246),"")="","",(F2245/F2246)),INDIRECT("'update Helper'!E"&amp;Q2245)/100)</f>
        <v/>
      </c>
      <c r="H2245" s="539"/>
      <c r="I2245" s="578"/>
      <c r="J2245" s="532"/>
      <c r="K2245" s="126">
        <f ca="1">IF(AND(EXACT(C2245,C2243),C2243&lt;&gt;0),K2243+1,0)</f>
        <v>12</v>
      </c>
      <c r="L2245" s="126" t="str">
        <f t="shared" ref="L2245" ca="1" si="2667">IF(C2245&lt;&gt;"",C2245&amp;"-"&amp;K2245,"")</f>
        <v>HPM Other -2: Pourcentage des etablissements de sante disposant de diagnostic VIH avec des elements traceurs le jour de la visite ou du rapportage-12</v>
      </c>
      <c r="M2245" s="126" t="str">
        <f t="array" aca="1" ref="M2245" ca="1">IFERROR(IF(INDEX('Disaggregation Records'!$E$156:$E$517,MATCH(RIGHT(L2245,255),RIGHT('Disaggregation Records'!$D$156:$D$517,255),0))="","",INDEX('Disaggregation Records'!$E$156:$E$517,MATCH(RIGHT(L2245,255),RIGHT('Disaggregation Records'!$D$156:$D$517,255),0))),"")</f>
        <v/>
      </c>
      <c r="N2245" s="126" t="str">
        <f t="array" aca="1" ref="N2245" ca="1">IFERROR(IF(INDEX('Disaggregation Records'!$F$156:$F$517,MATCH(RIGHT(L2245,255),RIGHT('Disaggregation Records'!$D$156:$D$517,255),0))="","",INDEX('Disaggregation Records'!$F$156:$F$517,MATCH(RIGHT(L2245,255),RIGHT('Disaggregation Records'!$D$156:$D$517,255),0))),"")</f>
        <v/>
      </c>
      <c r="O2245" s="314" t="str">
        <f t="array" aca="1" ref="O2245" ca="1">IFERROR(IF(INDEX('Disaggregation Records'!$H$156:$H$517,MATCH(RIGHT(L2245,255),RIGHT('Disaggregation Records'!$D$156:$D$517,255),0))="","",INDEX('Disaggregation Records'!$H$156:$H$517,MATCH(RIGHT(L2245,255),RIGHT('Disaggregation Records'!$D$156:$D$517,255),0))),"")</f>
        <v/>
      </c>
      <c r="P2245" s="310"/>
      <c r="Q2245" s="310">
        <f t="shared" ref="Q2245" si="2668">Q2243+1</f>
        <v>1825</v>
      </c>
      <c r="R2245" s="314" t="str" cm="1">
        <f t="array" aca="1" ref="R2245" ca="1">IFERROR(IF(INDEX('Disaggregation Records'!$G$156:$G$517,MATCH(RIGHT(L2245,255),RIGHT('Disaggregation Records'!$D$156:$D$517,255),0))="","",INDEX('Disaggregation Records'!$G$156:$G$517,MATCH(RIGHT(L2245,255),RIGHT('Disaggregation Records'!$D$156:$D$517,255),0))),"")</f>
        <v/>
      </c>
    </row>
    <row r="2246" spans="1:18" ht="20.100000000000001" customHeight="1">
      <c r="B2246" s="571"/>
      <c r="C2246" s="573"/>
      <c r="D2246" s="575"/>
      <c r="E2246" s="575"/>
      <c r="F2246" s="128"/>
      <c r="G2246" s="577"/>
      <c r="H2246" s="540"/>
      <c r="I2246" s="579"/>
      <c r="J2246" s="533"/>
      <c r="L2246" s="126"/>
      <c r="N2246" s="126"/>
      <c r="O2246" s="314"/>
      <c r="P2246" s="310"/>
      <c r="Q2246" s="310"/>
      <c r="R2246" s="314" t="str" cm="1">
        <f t="array" ref="R2246">IFERROR(IF(INDEX('Disaggregation Records'!$G$156:$G$517,MATCH(RIGHT(L2246,255),RIGHT('Disaggregation Records'!$D$156:$D$517,255),0))="","",INDEX('Disaggregation Records'!$G$156:$G$517,MATCH(RIGHT(L2246,255),RIGHT('Disaggregation Records'!$D$156:$D$517,255),0))),"")</f>
        <v/>
      </c>
    </row>
    <row r="2247" spans="1:18" ht="20.100000000000001" customHeight="1">
      <c r="A2247" s="126" t="str">
        <f t="shared" ref="A2247:A2298" ca="1" si="2669">INDIRECT("'update Helper'!C"&amp;Q2247)</f>
        <v>a16Dm000000M3tdIAC</v>
      </c>
      <c r="B2247" s="570">
        <v>41</v>
      </c>
      <c r="C2247" s="572" t="str">
        <f ca="1">IFERROR(VLOOKUP(B2247,'Coverage Indicators - Section D'!$A$9:$AO$94,41,FALSE),"")</f>
        <v>HPM Other -2: Pourcentage des etablissements de sante disposant de diagnostic VIH avec des elements traceurs le jour de la visite ou du rapportage</v>
      </c>
      <c r="D2247" s="574" t="str">
        <f ca="1">M2247</f>
        <v/>
      </c>
      <c r="E2247" s="574" t="str">
        <f ca="1">N2247</f>
        <v/>
      </c>
      <c r="F2247" s="127"/>
      <c r="G2247" s="576" t="str">
        <f ca="1">IF(OR(INDIRECT("'update Helper'!E"&amp;Q2247)="",F2247&lt;&gt;0,F2248&lt;&gt;0),IF(IFERROR((F2247/F2248),"")="","",(F2247/F2248)),INDIRECT("'update Helper'!E"&amp;Q2247)/100)</f>
        <v/>
      </c>
      <c r="H2247" s="539"/>
      <c r="I2247" s="578"/>
      <c r="J2247" s="532"/>
      <c r="K2247" s="126">
        <f ca="1">IF(AND(EXACT(C2247,C2245),C2245&lt;&gt;0),K2245+1,0)</f>
        <v>13</v>
      </c>
      <c r="L2247" s="126" t="str">
        <f t="shared" ref="L2247" ca="1" si="2670">IF(C2247&lt;&gt;"",C2247&amp;"-"&amp;K2247,"")</f>
        <v>HPM Other -2: Pourcentage des etablissements de sante disposant de diagnostic VIH avec des elements traceurs le jour de la visite ou du rapportage-13</v>
      </c>
      <c r="M2247" s="126" t="str">
        <f t="array" aca="1" ref="M2247" ca="1">IFERROR(IF(INDEX('Disaggregation Records'!$E$156:$E$517,MATCH(RIGHT(L2247,255),RIGHT('Disaggregation Records'!$D$156:$D$517,255),0))="","",INDEX('Disaggregation Records'!$E$156:$E$517,MATCH(RIGHT(L2247,255),RIGHT('Disaggregation Records'!$D$156:$D$517,255),0))),"")</f>
        <v/>
      </c>
      <c r="N2247" s="126" t="str">
        <f t="array" aca="1" ref="N2247" ca="1">IFERROR(IF(INDEX('Disaggregation Records'!$F$156:$F$517,MATCH(RIGHT(L2247,255),RIGHT('Disaggregation Records'!$D$156:$D$517,255),0))="","",INDEX('Disaggregation Records'!$F$156:$F$517,MATCH(RIGHT(L2247,255),RIGHT('Disaggregation Records'!$D$156:$D$517,255),0))),"")</f>
        <v/>
      </c>
      <c r="O2247" s="314" t="str">
        <f t="array" aca="1" ref="O2247" ca="1">IFERROR(IF(INDEX('Disaggregation Records'!$H$156:$H$517,MATCH(RIGHT(L2247,255),RIGHT('Disaggregation Records'!$D$156:$D$517,255),0))="","",INDEX('Disaggregation Records'!$H$156:$H$517,MATCH(RIGHT(L2247,255),RIGHT('Disaggregation Records'!$D$156:$D$517,255),0))),"")</f>
        <v/>
      </c>
      <c r="P2247" s="310"/>
      <c r="Q2247" s="310">
        <f t="shared" ref="Q2247" si="2671">Q2245+1</f>
        <v>1826</v>
      </c>
      <c r="R2247" s="314" t="str" cm="1">
        <f t="array" aca="1" ref="R2247" ca="1">IFERROR(IF(INDEX('Disaggregation Records'!$G$156:$G$517,MATCH(RIGHT(L2247,255),RIGHT('Disaggregation Records'!$D$156:$D$517,255),0))="","",INDEX('Disaggregation Records'!$G$156:$G$517,MATCH(RIGHT(L2247,255),RIGHT('Disaggregation Records'!$D$156:$D$517,255),0))),"")</f>
        <v/>
      </c>
    </row>
    <row r="2248" spans="1:18" ht="20.100000000000001" customHeight="1">
      <c r="A2248" s="126"/>
      <c r="B2248" s="571"/>
      <c r="C2248" s="573"/>
      <c r="D2248" s="575"/>
      <c r="E2248" s="575"/>
      <c r="F2248" s="128"/>
      <c r="G2248" s="577"/>
      <c r="H2248" s="540"/>
      <c r="I2248" s="579"/>
      <c r="J2248" s="533"/>
      <c r="L2248" s="126"/>
      <c r="N2248" s="126"/>
      <c r="O2248" s="314"/>
      <c r="P2248" s="310"/>
      <c r="Q2248" s="310"/>
      <c r="R2248" s="314" t="str" cm="1">
        <f t="array" ref="R2248">IFERROR(IF(INDEX('Disaggregation Records'!$G$156:$G$517,MATCH(RIGHT(L2248,255),RIGHT('Disaggregation Records'!$D$156:$D$517,255),0))="","",INDEX('Disaggregation Records'!$G$156:$G$517,MATCH(RIGHT(L2248,255),RIGHT('Disaggregation Records'!$D$156:$D$517,255),0))),"")</f>
        <v/>
      </c>
    </row>
    <row r="2249" spans="1:18" ht="20.100000000000001" customHeight="1">
      <c r="A2249" s="126" t="str">
        <f t="shared" ref="A2249:A2298" ca="1" si="2672">INDIRECT("'update Helper'!C"&amp;Q2249)</f>
        <v>a16Dm000000M3teIAC</v>
      </c>
      <c r="B2249" s="570">
        <v>41</v>
      </c>
      <c r="C2249" s="572" t="str">
        <f ca="1">IFERROR(VLOOKUP(B2249,'Coverage Indicators - Section D'!$A$9:$AO$94,41,FALSE),"")</f>
        <v>HPM Other -2: Pourcentage des etablissements de sante disposant de diagnostic VIH avec des elements traceurs le jour de la visite ou du rapportage</v>
      </c>
      <c r="D2249" s="574" t="str">
        <f ca="1">M2249</f>
        <v/>
      </c>
      <c r="E2249" s="574" t="str">
        <f ca="1">N2249</f>
        <v/>
      </c>
      <c r="F2249" s="127"/>
      <c r="G2249" s="576" t="str">
        <f ca="1">IF(OR(INDIRECT("'update Helper'!E"&amp;Q2249)="",F2249&lt;&gt;0,F2250&lt;&gt;0),IF(IFERROR((F2249/F2250),"")="","",(F2249/F2250)),INDIRECT("'update Helper'!E"&amp;Q2249)/100)</f>
        <v/>
      </c>
      <c r="H2249" s="539"/>
      <c r="I2249" s="578"/>
      <c r="J2249" s="532"/>
      <c r="K2249" s="126">
        <f ca="1">IF(AND(EXACT(C2249,C2247),C2247&lt;&gt;0),K2247+1,0)</f>
        <v>14</v>
      </c>
      <c r="L2249" s="126" t="str">
        <f t="shared" ref="L2249" ca="1" si="2673">IF(C2249&lt;&gt;"",C2249&amp;"-"&amp;K2249,"")</f>
        <v>HPM Other -2: Pourcentage des etablissements de sante disposant de diagnostic VIH avec des elements traceurs le jour de la visite ou du rapportage-14</v>
      </c>
      <c r="M2249" s="126" t="str">
        <f t="array" aca="1" ref="M2249" ca="1">IFERROR(IF(INDEX('Disaggregation Records'!$E$156:$E$517,MATCH(RIGHT(L2249,255),RIGHT('Disaggregation Records'!$D$156:$D$517,255),0))="","",INDEX('Disaggregation Records'!$E$156:$E$517,MATCH(RIGHT(L2249,255),RIGHT('Disaggregation Records'!$D$156:$D$517,255),0))),"")</f>
        <v/>
      </c>
      <c r="N2249" s="126" t="str">
        <f t="array" aca="1" ref="N2249" ca="1">IFERROR(IF(INDEX('Disaggregation Records'!$F$156:$F$517,MATCH(RIGHT(L2249,255),RIGHT('Disaggregation Records'!$D$156:$D$517,255),0))="","",INDEX('Disaggregation Records'!$F$156:$F$517,MATCH(RIGHT(L2249,255),RIGHT('Disaggregation Records'!$D$156:$D$517,255),0))),"")</f>
        <v/>
      </c>
      <c r="O2249" s="314" t="str">
        <f t="array" aca="1" ref="O2249" ca="1">IFERROR(IF(INDEX('Disaggregation Records'!$H$156:$H$517,MATCH(RIGHT(L2249,255),RIGHT('Disaggregation Records'!$D$156:$D$517,255),0))="","",INDEX('Disaggregation Records'!$H$156:$H$517,MATCH(RIGHT(L2249,255),RIGHT('Disaggregation Records'!$D$156:$D$517,255),0))),"")</f>
        <v/>
      </c>
      <c r="P2249" s="314"/>
      <c r="Q2249" s="310">
        <f t="shared" ref="Q2249" si="2674">Q2247+1</f>
        <v>1827</v>
      </c>
      <c r="R2249" s="314" t="str" cm="1">
        <f t="array" aca="1" ref="R2249" ca="1">IFERROR(IF(INDEX('Disaggregation Records'!$G$156:$G$517,MATCH(RIGHT(L2249,255),RIGHT('Disaggregation Records'!$D$156:$D$517,255),0))="","",INDEX('Disaggregation Records'!$G$156:$G$517,MATCH(RIGHT(L2249,255),RIGHT('Disaggregation Records'!$D$156:$D$517,255),0))),"")</f>
        <v/>
      </c>
    </row>
    <row r="2250" spans="1:18" ht="20.100000000000001" customHeight="1">
      <c r="B2250" s="571"/>
      <c r="C2250" s="573"/>
      <c r="D2250" s="575"/>
      <c r="E2250" s="575"/>
      <c r="F2250" s="128"/>
      <c r="G2250" s="577"/>
      <c r="H2250" s="540"/>
      <c r="I2250" s="579"/>
      <c r="J2250" s="533"/>
      <c r="K2250" s="126"/>
      <c r="L2250" s="126"/>
      <c r="M2250" s="126"/>
      <c r="N2250" s="126"/>
      <c r="O2250" s="314"/>
      <c r="P2250" s="314"/>
      <c r="Q2250" s="310"/>
      <c r="R2250" s="314" t="str" cm="1">
        <f t="array" ref="R2250">IFERROR(IF(INDEX('Disaggregation Records'!$G$156:$G$517,MATCH(RIGHT(L2250,255),RIGHT('Disaggregation Records'!$D$156:$D$517,255),0))="","",INDEX('Disaggregation Records'!$G$156:$G$517,MATCH(RIGHT(L2250,255),RIGHT('Disaggregation Records'!$D$156:$D$517,255),0))),"")</f>
        <v/>
      </c>
    </row>
    <row r="2251" spans="1:18" ht="20.100000000000001" customHeight="1">
      <c r="A2251" s="126" t="str">
        <f t="shared" ref="A2251:A2298" ca="1" si="2675">INDIRECT("'update Helper'!C"&amp;Q2251)</f>
        <v>a16Dm000000M3tfIAC</v>
      </c>
      <c r="B2251" s="570">
        <v>41</v>
      </c>
      <c r="C2251" s="572" t="str">
        <f ca="1">IFERROR(VLOOKUP(B2251,'Coverage Indicators - Section D'!$A$9:$AO$94,41,FALSE),"")</f>
        <v>HPM Other -2: Pourcentage des etablissements de sante disposant de diagnostic VIH avec des elements traceurs le jour de la visite ou du rapportage</v>
      </c>
      <c r="D2251" s="574" t="str">
        <f ca="1">M2251</f>
        <v/>
      </c>
      <c r="E2251" s="574" t="str">
        <f ca="1">N2251</f>
        <v/>
      </c>
      <c r="F2251" s="127"/>
      <c r="G2251" s="576" t="str">
        <f ca="1">IF(OR(INDIRECT("'update Helper'!E"&amp;Q2251)="",F2251&lt;&gt;0,F2252&lt;&gt;0),IF(IFERROR((F2251/F2252),"")="","",(F2251/F2252)),INDIRECT("'update Helper'!E"&amp;Q2251)/100)</f>
        <v/>
      </c>
      <c r="H2251" s="539"/>
      <c r="I2251" s="578"/>
      <c r="J2251" s="532"/>
      <c r="K2251" s="126">
        <f ca="1">IF(AND(EXACT(C2251,C2249),C2249&lt;&gt;0),K2249+1,0)</f>
        <v>15</v>
      </c>
      <c r="L2251" s="126" t="str">
        <f t="shared" ref="L2251" ca="1" si="2676">IF(C2251&lt;&gt;"",C2251&amp;"-"&amp;K2251,"")</f>
        <v>HPM Other -2: Pourcentage des etablissements de sante disposant de diagnostic VIH avec des elements traceurs le jour de la visite ou du rapportage-15</v>
      </c>
      <c r="M2251" s="126" t="str">
        <f t="array" aca="1" ref="M2251" ca="1">IFERROR(IF(INDEX('Disaggregation Records'!$E$156:$E$517,MATCH(RIGHT(L2251,255),RIGHT('Disaggregation Records'!$D$156:$D$517,255),0))="","",INDEX('Disaggregation Records'!$E$156:$E$517,MATCH(RIGHT(L2251,255),RIGHT('Disaggregation Records'!$D$156:$D$517,255),0))),"")</f>
        <v/>
      </c>
      <c r="N2251" s="126" t="str">
        <f t="array" aca="1" ref="N2251" ca="1">IFERROR(IF(INDEX('Disaggregation Records'!$F$156:$F$517,MATCH(RIGHT(L2251,255),RIGHT('Disaggregation Records'!$D$156:$D$517,255),0))="","",INDEX('Disaggregation Records'!$F$156:$F$517,MATCH(RIGHT(L2251,255),RIGHT('Disaggregation Records'!$D$156:$D$517,255),0))),"")</f>
        <v/>
      </c>
      <c r="O2251" s="314" t="str">
        <f t="array" aca="1" ref="O2251" ca="1">IFERROR(IF(INDEX('Disaggregation Records'!$H$156:$H$517,MATCH(RIGHT(L2251,255),RIGHT('Disaggregation Records'!$D$156:$D$517,255),0))="","",INDEX('Disaggregation Records'!$H$156:$H$517,MATCH(RIGHT(L2251,255),RIGHT('Disaggregation Records'!$D$156:$D$517,255),0))),"")</f>
        <v/>
      </c>
      <c r="P2251" s="314"/>
      <c r="Q2251" s="310">
        <f t="shared" ref="Q2251" si="2677">Q2249+1</f>
        <v>1828</v>
      </c>
      <c r="R2251" s="314" t="str" cm="1">
        <f t="array" aca="1" ref="R2251" ca="1">IFERROR(IF(INDEX('Disaggregation Records'!$G$156:$G$517,MATCH(RIGHT(L2251,255),RIGHT('Disaggregation Records'!$D$156:$D$517,255),0))="","",INDEX('Disaggregation Records'!$G$156:$G$517,MATCH(RIGHT(L2251,255),RIGHT('Disaggregation Records'!$D$156:$D$517,255),0))),"")</f>
        <v/>
      </c>
    </row>
    <row r="2252" spans="1:18" ht="20.100000000000001" customHeight="1">
      <c r="A2252" s="126"/>
      <c r="B2252" s="571"/>
      <c r="C2252" s="573"/>
      <c r="D2252" s="575"/>
      <c r="E2252" s="575"/>
      <c r="F2252" s="128"/>
      <c r="G2252" s="577"/>
      <c r="H2252" s="540"/>
      <c r="I2252" s="579"/>
      <c r="J2252" s="533"/>
      <c r="K2252" s="126"/>
      <c r="L2252" s="126"/>
      <c r="M2252" s="126"/>
      <c r="N2252" s="126"/>
      <c r="O2252" s="314"/>
      <c r="P2252" s="314"/>
      <c r="Q2252" s="310"/>
      <c r="R2252" s="314" t="str" cm="1">
        <f t="array" ref="R2252">IFERROR(IF(INDEX('Disaggregation Records'!$G$156:$G$517,MATCH(RIGHT(L2252,255),RIGHT('Disaggregation Records'!$D$156:$D$517,255),0))="","",INDEX('Disaggregation Records'!$G$156:$G$517,MATCH(RIGHT(L2252,255),RIGHT('Disaggregation Records'!$D$156:$D$517,255),0))),"")</f>
        <v/>
      </c>
    </row>
    <row r="2253" spans="1:18" ht="20.100000000000001" customHeight="1">
      <c r="A2253" s="126" t="str">
        <f t="shared" ref="A2253:A2298" ca="1" si="2678">INDIRECT("'update Helper'!C"&amp;Q2253)</f>
        <v>a16Dm000000M3tgIAC</v>
      </c>
      <c r="B2253" s="570">
        <v>41</v>
      </c>
      <c r="C2253" s="572" t="str">
        <f ca="1">IFERROR(VLOOKUP(B2253,'Coverage Indicators - Section D'!$A$9:$AO$94,41,FALSE),"")</f>
        <v>HPM Other -2: Pourcentage des etablissements de sante disposant de diagnostic VIH avec des elements traceurs le jour de la visite ou du rapportage</v>
      </c>
      <c r="D2253" s="574" t="str">
        <f ca="1">M2253</f>
        <v/>
      </c>
      <c r="E2253" s="574" t="str">
        <f ca="1">N2253</f>
        <v/>
      </c>
      <c r="F2253" s="127"/>
      <c r="G2253" s="576" t="str">
        <f ca="1">IF(OR(INDIRECT("'update Helper'!E"&amp;Q2253)="",F2253&lt;&gt;0,F2254&lt;&gt;0),IF(IFERROR((F2253/F2254),"")="","",(F2253/F2254)),INDIRECT("'update Helper'!E"&amp;Q2253)/100)</f>
        <v/>
      </c>
      <c r="H2253" s="539"/>
      <c r="I2253" s="578"/>
      <c r="J2253" s="532"/>
      <c r="K2253" s="126">
        <f ca="1">IF(AND(EXACT(C2253,C2251),C2251&lt;&gt;0),K2251+1,0)</f>
        <v>16</v>
      </c>
      <c r="L2253" s="126" t="str">
        <f t="shared" ref="L2253" ca="1" si="2679">IF(C2253&lt;&gt;"",C2253&amp;"-"&amp;K2253,"")</f>
        <v>HPM Other -2: Pourcentage des etablissements de sante disposant de diagnostic VIH avec des elements traceurs le jour de la visite ou du rapportage-16</v>
      </c>
      <c r="M2253" s="126" t="str">
        <f t="array" aca="1" ref="M2253" ca="1">IFERROR(IF(INDEX('Disaggregation Records'!$E$156:$E$517,MATCH(RIGHT(L2253,255),RIGHT('Disaggregation Records'!$D$156:$D$517,255),0))="","",INDEX('Disaggregation Records'!$E$156:$E$517,MATCH(RIGHT(L2253,255),RIGHT('Disaggregation Records'!$D$156:$D$517,255),0))),"")</f>
        <v/>
      </c>
      <c r="N2253" s="126" t="str">
        <f t="array" aca="1" ref="N2253" ca="1">IFERROR(IF(INDEX('Disaggregation Records'!$F$156:$F$517,MATCH(RIGHT(L2253,255),RIGHT('Disaggregation Records'!$D$156:$D$517,255),0))="","",INDEX('Disaggregation Records'!$F$156:$F$517,MATCH(RIGHT(L2253,255),RIGHT('Disaggregation Records'!$D$156:$D$517,255),0))),"")</f>
        <v/>
      </c>
      <c r="O2253" s="314" t="str">
        <f t="array" aca="1" ref="O2253" ca="1">IFERROR(IF(INDEX('Disaggregation Records'!$H$156:$H$517,MATCH(RIGHT(L2253,255),RIGHT('Disaggregation Records'!$D$156:$D$517,255),0))="","",INDEX('Disaggregation Records'!$H$156:$H$517,MATCH(RIGHT(L2253,255),RIGHT('Disaggregation Records'!$D$156:$D$517,255),0))),"")</f>
        <v/>
      </c>
      <c r="P2253" s="310"/>
      <c r="Q2253" s="310">
        <f t="shared" ref="Q2253" si="2680">Q2251+1</f>
        <v>1829</v>
      </c>
      <c r="R2253" s="314" t="str" cm="1">
        <f t="array" aca="1" ref="R2253" ca="1">IFERROR(IF(INDEX('Disaggregation Records'!$G$156:$G$517,MATCH(RIGHT(L2253,255),RIGHT('Disaggregation Records'!$D$156:$D$517,255),0))="","",INDEX('Disaggregation Records'!$G$156:$G$517,MATCH(RIGHT(L2253,255),RIGHT('Disaggregation Records'!$D$156:$D$517,255),0))),"")</f>
        <v/>
      </c>
    </row>
    <row r="2254" spans="1:18" ht="20.100000000000001" customHeight="1">
      <c r="B2254" s="571"/>
      <c r="C2254" s="573"/>
      <c r="D2254" s="575"/>
      <c r="E2254" s="575"/>
      <c r="F2254" s="128"/>
      <c r="G2254" s="577"/>
      <c r="H2254" s="540"/>
      <c r="I2254" s="579"/>
      <c r="J2254" s="533"/>
      <c r="L2254" s="126"/>
      <c r="N2254" s="126"/>
      <c r="O2254" s="314"/>
      <c r="P2254" s="310"/>
      <c r="Q2254" s="310"/>
      <c r="R2254" s="314" t="str" cm="1">
        <f t="array" ref="R2254">IFERROR(IF(INDEX('Disaggregation Records'!$G$156:$G$517,MATCH(RIGHT(L2254,255),RIGHT('Disaggregation Records'!$D$156:$D$517,255),0))="","",INDEX('Disaggregation Records'!$G$156:$G$517,MATCH(RIGHT(L2254,255),RIGHT('Disaggregation Records'!$D$156:$D$517,255),0))),"")</f>
        <v/>
      </c>
    </row>
    <row r="2255" spans="1:18" ht="20.100000000000001" customHeight="1">
      <c r="A2255" s="126" t="str">
        <f t="shared" ref="A2255:A2298" ca="1" si="2681">INDIRECT("'update Helper'!C"&amp;Q2255)</f>
        <v>a16Dm000000M3thIAC</v>
      </c>
      <c r="B2255" s="570">
        <v>41</v>
      </c>
      <c r="C2255" s="572" t="str">
        <f ca="1">IFERROR(VLOOKUP(B2255,'Coverage Indicators - Section D'!$A$9:$AO$94,41,FALSE),"")</f>
        <v>HPM Other -2: Pourcentage des etablissements de sante disposant de diagnostic VIH avec des elements traceurs le jour de la visite ou du rapportage</v>
      </c>
      <c r="D2255" s="574" t="str">
        <f ca="1">M2255</f>
        <v/>
      </c>
      <c r="E2255" s="574" t="str">
        <f ca="1">N2255</f>
        <v/>
      </c>
      <c r="F2255" s="127"/>
      <c r="G2255" s="576" t="str">
        <f ca="1">IF(OR(INDIRECT("'update Helper'!E"&amp;Q2255)="",F2255&lt;&gt;0,F2256&lt;&gt;0),IF(IFERROR((F2255/F2256),"")="","",(F2255/F2256)),INDIRECT("'update Helper'!E"&amp;Q2255)/100)</f>
        <v/>
      </c>
      <c r="H2255" s="539"/>
      <c r="I2255" s="578"/>
      <c r="J2255" s="532"/>
      <c r="K2255" s="126">
        <f ca="1">IF(AND(EXACT(C2255,C2253),C2253&lt;&gt;0),K2253+1,0)</f>
        <v>17</v>
      </c>
      <c r="L2255" s="126" t="str">
        <f t="shared" ref="L2255" ca="1" si="2682">IF(C2255&lt;&gt;"",C2255&amp;"-"&amp;K2255,"")</f>
        <v>HPM Other -2: Pourcentage des etablissements de sante disposant de diagnostic VIH avec des elements traceurs le jour de la visite ou du rapportage-17</v>
      </c>
      <c r="M2255" s="126" t="str">
        <f t="array" aca="1" ref="M2255" ca="1">IFERROR(IF(INDEX('Disaggregation Records'!$E$156:$E$517,MATCH(RIGHT(L2255,255),RIGHT('Disaggregation Records'!$D$156:$D$517,255),0))="","",INDEX('Disaggregation Records'!$E$156:$E$517,MATCH(RIGHT(L2255,255),RIGHT('Disaggregation Records'!$D$156:$D$517,255),0))),"")</f>
        <v/>
      </c>
      <c r="N2255" s="126" t="str">
        <f t="array" aca="1" ref="N2255" ca="1">IFERROR(IF(INDEX('Disaggregation Records'!$F$156:$F$517,MATCH(RIGHT(L2255,255),RIGHT('Disaggregation Records'!$D$156:$D$517,255),0))="","",INDEX('Disaggregation Records'!$F$156:$F$517,MATCH(RIGHT(L2255,255),RIGHT('Disaggregation Records'!$D$156:$D$517,255),0))),"")</f>
        <v/>
      </c>
      <c r="O2255" s="314" t="str">
        <f t="array" aca="1" ref="O2255" ca="1">IFERROR(IF(INDEX('Disaggregation Records'!$H$156:$H$517,MATCH(RIGHT(L2255,255),RIGHT('Disaggregation Records'!$D$156:$D$517,255),0))="","",INDEX('Disaggregation Records'!$H$156:$H$517,MATCH(RIGHT(L2255,255),RIGHT('Disaggregation Records'!$D$156:$D$517,255),0))),"")</f>
        <v/>
      </c>
      <c r="P2255" s="310"/>
      <c r="Q2255" s="310">
        <f t="shared" ref="Q2255" si="2683">Q2253+1</f>
        <v>1830</v>
      </c>
      <c r="R2255" s="314" t="str" cm="1">
        <f t="array" aca="1" ref="R2255" ca="1">IFERROR(IF(INDEX('Disaggregation Records'!$G$156:$G$517,MATCH(RIGHT(L2255,255),RIGHT('Disaggregation Records'!$D$156:$D$517,255),0))="","",INDEX('Disaggregation Records'!$G$156:$G$517,MATCH(RIGHT(L2255,255),RIGHT('Disaggregation Records'!$D$156:$D$517,255),0))),"")</f>
        <v/>
      </c>
    </row>
    <row r="2256" spans="1:18" ht="20.100000000000001" customHeight="1">
      <c r="A2256" s="126"/>
      <c r="B2256" s="571"/>
      <c r="C2256" s="573"/>
      <c r="D2256" s="575"/>
      <c r="E2256" s="575"/>
      <c r="F2256" s="128"/>
      <c r="G2256" s="577"/>
      <c r="H2256" s="540"/>
      <c r="I2256" s="579"/>
      <c r="J2256" s="533"/>
      <c r="L2256" s="126"/>
      <c r="N2256" s="126"/>
      <c r="O2256" s="314"/>
      <c r="P2256" s="310"/>
      <c r="Q2256" s="310"/>
      <c r="R2256" s="314" t="str" cm="1">
        <f t="array" ref="R2256">IFERROR(IF(INDEX('Disaggregation Records'!$G$156:$G$517,MATCH(RIGHT(L2256,255),RIGHT('Disaggregation Records'!$D$156:$D$517,255),0))="","",INDEX('Disaggregation Records'!$G$156:$G$517,MATCH(RIGHT(L2256,255),RIGHT('Disaggregation Records'!$D$156:$D$517,255),0))),"")</f>
        <v/>
      </c>
    </row>
    <row r="2257" spans="1:18" ht="20.100000000000001" customHeight="1">
      <c r="A2257" s="126" t="str">
        <f t="shared" ref="A2257:A2298" ca="1" si="2684">INDIRECT("'update Helper'!C"&amp;Q2257)</f>
        <v>a16Dm000000M3tiIAC</v>
      </c>
      <c r="B2257" s="570">
        <v>41</v>
      </c>
      <c r="C2257" s="572" t="str">
        <f ca="1">IFERROR(VLOOKUP(B2257,'Coverage Indicators - Section D'!$A$9:$AO$94,41,FALSE),"")</f>
        <v>HPM Other -2: Pourcentage des etablissements de sante disposant de diagnostic VIH avec des elements traceurs le jour de la visite ou du rapportage</v>
      </c>
      <c r="D2257" s="574" t="str">
        <f ca="1">M2257</f>
        <v/>
      </c>
      <c r="E2257" s="574" t="str">
        <f ca="1">N2257</f>
        <v/>
      </c>
      <c r="F2257" s="127"/>
      <c r="G2257" s="576" t="str">
        <f ca="1">IF(OR(INDIRECT("'update Helper'!E"&amp;Q2257)="",F2257&lt;&gt;0,F2258&lt;&gt;0),IF(IFERROR((F2257/F2258),"")="","",(F2257/F2258)),INDIRECT("'update Helper'!E"&amp;Q2257)/100)</f>
        <v/>
      </c>
      <c r="H2257" s="539"/>
      <c r="I2257" s="578"/>
      <c r="J2257" s="532"/>
      <c r="K2257" s="126">
        <f ca="1">IF(AND(EXACT(C2257,C2255),C2255&lt;&gt;0),K2255+1,0)</f>
        <v>18</v>
      </c>
      <c r="L2257" s="126" t="str">
        <f t="shared" ref="L2257" ca="1" si="2685">IF(C2257&lt;&gt;"",C2257&amp;"-"&amp;K2257,"")</f>
        <v>HPM Other -2: Pourcentage des etablissements de sante disposant de diagnostic VIH avec des elements traceurs le jour de la visite ou du rapportage-18</v>
      </c>
      <c r="M2257" s="126" t="str">
        <f t="array" aca="1" ref="M2257" ca="1">IFERROR(IF(INDEX('Disaggregation Records'!$E$156:$E$517,MATCH(RIGHT(L2257,255),RIGHT('Disaggregation Records'!$D$156:$D$517,255),0))="","",INDEX('Disaggregation Records'!$E$156:$E$517,MATCH(RIGHT(L2257,255),RIGHT('Disaggregation Records'!$D$156:$D$517,255),0))),"")</f>
        <v/>
      </c>
      <c r="N2257" s="126" t="str">
        <f t="array" aca="1" ref="N2257" ca="1">IFERROR(IF(INDEX('Disaggregation Records'!$F$156:$F$517,MATCH(RIGHT(L2257,255),RIGHT('Disaggregation Records'!$D$156:$D$517,255),0))="","",INDEX('Disaggregation Records'!$F$156:$F$517,MATCH(RIGHT(L2257,255),RIGHT('Disaggregation Records'!$D$156:$D$517,255),0))),"")</f>
        <v/>
      </c>
      <c r="O2257" s="314" t="str">
        <f t="array" aca="1" ref="O2257" ca="1">IFERROR(IF(INDEX('Disaggregation Records'!$H$156:$H$517,MATCH(RIGHT(L2257,255),RIGHT('Disaggregation Records'!$D$156:$D$517,255),0))="","",INDEX('Disaggregation Records'!$H$156:$H$517,MATCH(RIGHT(L2257,255),RIGHT('Disaggregation Records'!$D$156:$D$517,255),0))),"")</f>
        <v/>
      </c>
      <c r="P2257" s="310"/>
      <c r="Q2257" s="310">
        <f t="shared" ref="Q2257" si="2686">Q2255+1</f>
        <v>1831</v>
      </c>
      <c r="R2257" s="314" t="str" cm="1">
        <f t="array" aca="1" ref="R2257" ca="1">IFERROR(IF(INDEX('Disaggregation Records'!$G$156:$G$517,MATCH(RIGHT(L2257,255),RIGHT('Disaggregation Records'!$D$156:$D$517,255),0))="","",INDEX('Disaggregation Records'!$G$156:$G$517,MATCH(RIGHT(L2257,255),RIGHT('Disaggregation Records'!$D$156:$D$517,255),0))),"")</f>
        <v/>
      </c>
    </row>
    <row r="2258" spans="1:18" ht="20.100000000000001" customHeight="1">
      <c r="B2258" s="571"/>
      <c r="C2258" s="573"/>
      <c r="D2258" s="575"/>
      <c r="E2258" s="575"/>
      <c r="F2258" s="128"/>
      <c r="G2258" s="577"/>
      <c r="H2258" s="540"/>
      <c r="I2258" s="579"/>
      <c r="J2258" s="533"/>
      <c r="L2258" s="126"/>
      <c r="N2258" s="126"/>
      <c r="O2258" s="314"/>
      <c r="P2258" s="310"/>
      <c r="Q2258" s="310"/>
      <c r="R2258" s="314" t="str" cm="1">
        <f t="array" ref="R2258">IFERROR(IF(INDEX('Disaggregation Records'!$G$156:$G$517,MATCH(RIGHT(L2258,255),RIGHT('Disaggregation Records'!$D$156:$D$517,255),0))="","",INDEX('Disaggregation Records'!$G$156:$G$517,MATCH(RIGHT(L2258,255),RIGHT('Disaggregation Records'!$D$156:$D$517,255),0))),"")</f>
        <v/>
      </c>
    </row>
    <row r="2259" spans="1:18" ht="20.100000000000001" customHeight="1">
      <c r="A2259" s="126" t="str">
        <f t="shared" ref="A2259:A2298" ca="1" si="2687">INDIRECT("'update Helper'!C"&amp;Q2259)</f>
        <v>a16Dm000000M3tjIAC</v>
      </c>
      <c r="B2259" s="570">
        <v>41</v>
      </c>
      <c r="C2259" s="572" t="str">
        <f ca="1">IFERROR(VLOOKUP(B2259,'Coverage Indicators - Section D'!$A$9:$AO$94,41,FALSE),"")</f>
        <v>HPM Other -2: Pourcentage des etablissements de sante disposant de diagnostic VIH avec des elements traceurs le jour de la visite ou du rapportage</v>
      </c>
      <c r="D2259" s="574" t="str">
        <f ca="1">M2259</f>
        <v/>
      </c>
      <c r="E2259" s="574" t="str">
        <f ca="1">N2259</f>
        <v/>
      </c>
      <c r="F2259" s="127"/>
      <c r="G2259" s="576" t="str">
        <f ca="1">IF(OR(INDIRECT("'update Helper'!E"&amp;Q2259)="",F2259&lt;&gt;0,F2260&lt;&gt;0),IF(IFERROR((F2259/F2260),"")="","",(F2259/F2260)),INDIRECT("'update Helper'!E"&amp;Q2259)/100)</f>
        <v/>
      </c>
      <c r="H2259" s="539"/>
      <c r="I2259" s="578"/>
      <c r="J2259" s="532"/>
      <c r="K2259" s="126">
        <f ca="1">IF(AND(EXACT(C2259,C2257),C2257&lt;&gt;0),K2257+1,0)</f>
        <v>19</v>
      </c>
      <c r="L2259" s="126" t="str">
        <f t="shared" ref="L2259" ca="1" si="2688">IF(C2259&lt;&gt;"",C2259&amp;"-"&amp;K2259,"")</f>
        <v>HPM Other -2: Pourcentage des etablissements de sante disposant de diagnostic VIH avec des elements traceurs le jour de la visite ou du rapportage-19</v>
      </c>
      <c r="M2259" s="126" t="str">
        <f t="array" aca="1" ref="M2259" ca="1">IFERROR(IF(INDEX('Disaggregation Records'!$E$156:$E$517,MATCH(RIGHT(L2259,255),RIGHT('Disaggregation Records'!$D$156:$D$517,255),0))="","",INDEX('Disaggregation Records'!$E$156:$E$517,MATCH(RIGHT(L2259,255),RIGHT('Disaggregation Records'!$D$156:$D$517,255),0))),"")</f>
        <v/>
      </c>
      <c r="N2259" s="126" t="str">
        <f t="array" aca="1" ref="N2259" ca="1">IFERROR(IF(INDEX('Disaggregation Records'!$F$156:$F$517,MATCH(RIGHT(L2259,255),RIGHT('Disaggregation Records'!$D$156:$D$517,255),0))="","",INDEX('Disaggregation Records'!$F$156:$F$517,MATCH(RIGHT(L2259,255),RIGHT('Disaggregation Records'!$D$156:$D$517,255),0))),"")</f>
        <v/>
      </c>
      <c r="O2259" s="314" t="str">
        <f t="array" aca="1" ref="O2259" ca="1">IFERROR(IF(INDEX('Disaggregation Records'!$H$156:$H$517,MATCH(RIGHT(L2259,255),RIGHT('Disaggregation Records'!$D$156:$D$517,255),0))="","",INDEX('Disaggregation Records'!$H$156:$H$517,MATCH(RIGHT(L2259,255),RIGHT('Disaggregation Records'!$D$156:$D$517,255),0))),"")</f>
        <v/>
      </c>
      <c r="P2259" s="314"/>
      <c r="Q2259" s="310">
        <f t="shared" ref="Q2259" si="2689">Q2257+1</f>
        <v>1832</v>
      </c>
      <c r="R2259" s="314" t="str" cm="1">
        <f t="array" aca="1" ref="R2259" ca="1">IFERROR(IF(INDEX('Disaggregation Records'!$G$156:$G$517,MATCH(RIGHT(L2259,255),RIGHT('Disaggregation Records'!$D$156:$D$517,255),0))="","",INDEX('Disaggregation Records'!$G$156:$G$517,MATCH(RIGHT(L2259,255),RIGHT('Disaggregation Records'!$D$156:$D$517,255),0))),"")</f>
        <v/>
      </c>
    </row>
    <row r="2260" spans="1:18" ht="20.100000000000001" customHeight="1">
      <c r="A2260" s="126"/>
      <c r="B2260" s="571"/>
      <c r="C2260" s="573"/>
      <c r="D2260" s="575"/>
      <c r="E2260" s="575"/>
      <c r="F2260" s="128"/>
      <c r="G2260" s="577"/>
      <c r="H2260" s="540"/>
      <c r="I2260" s="579"/>
      <c r="J2260" s="533"/>
      <c r="K2260" s="126"/>
      <c r="L2260" s="126"/>
      <c r="M2260" s="126"/>
      <c r="N2260" s="126"/>
      <c r="O2260" s="314"/>
      <c r="P2260" s="314"/>
      <c r="Q2260" s="310"/>
      <c r="R2260" s="314" t="str" cm="1">
        <f t="array" ref="R2260">IFERROR(IF(INDEX('Disaggregation Records'!$G$156:$G$517,MATCH(RIGHT(L2260,255),RIGHT('Disaggregation Records'!$D$156:$D$517,255),0))="","",INDEX('Disaggregation Records'!$G$156:$G$517,MATCH(RIGHT(L2260,255),RIGHT('Disaggregation Records'!$D$156:$D$517,255),0))),"")</f>
        <v/>
      </c>
    </row>
    <row r="2261" spans="1:18" ht="20.100000000000001" customHeight="1">
      <c r="A2261" s="126" t="str">
        <f t="shared" ref="A2261:A2298" ca="1" si="2690">INDIRECT("'update Helper'!C"&amp;Q2261)</f>
        <v>a16Dm000000M3tkIAC</v>
      </c>
      <c r="B2261" s="570">
        <v>42</v>
      </c>
      <c r="C2261" s="572" t="str">
        <f ca="1">IFERROR(VLOOKUP(B2261,'Coverage Indicators - Section D'!$A$9:$AO$94,41,FALSE),"")</f>
        <v>HPM Other- 3: Pourcentage des établissements de santé disposant de médicaments traceurs pour la tuberculose le jour de la visite ou du rapportage</v>
      </c>
      <c r="D2261" s="574" t="str">
        <f ca="1">M2261</f>
        <v/>
      </c>
      <c r="E2261" s="574" t="str">
        <f ca="1">N2261</f>
        <v/>
      </c>
      <c r="F2261" s="127"/>
      <c r="G2261" s="576" t="str">
        <f ca="1">IF(OR(INDIRECT("'update Helper'!E"&amp;Q2261)="",F2261&lt;&gt;0,F2262&lt;&gt;0),IF(IFERROR((F2261/F2262),"")="","",(F2261/F2262)),INDIRECT("'update Helper'!E"&amp;Q2261)/100)</f>
        <v/>
      </c>
      <c r="H2261" s="539"/>
      <c r="I2261" s="578"/>
      <c r="J2261" s="532"/>
      <c r="K2261" s="126">
        <f ca="1">IF(AND(EXACT(C2261,C2259),C2259&lt;&gt;0),K2259+1,0)</f>
        <v>0</v>
      </c>
      <c r="L2261" s="126" t="str">
        <f t="shared" ref="L2261" ca="1" si="2691">IF(C2261&lt;&gt;"",C2261&amp;"-"&amp;K2261,"")</f>
        <v>HPM Other- 3: Pourcentage des établissements de santé disposant de médicaments traceurs pour la tuberculose le jour de la visite ou du rapportage-0</v>
      </c>
      <c r="M2261" s="126" t="str">
        <f t="array" aca="1" ref="M2261" ca="1">IFERROR(IF(INDEX('Disaggregation Records'!$E$156:$E$517,MATCH(RIGHT(L2261,255),RIGHT('Disaggregation Records'!$D$156:$D$517,255),0))="","",INDEX('Disaggregation Records'!$E$156:$E$517,MATCH(RIGHT(L2261,255),RIGHT('Disaggregation Records'!$D$156:$D$517,255),0))),"")</f>
        <v/>
      </c>
      <c r="N2261" s="126" t="str">
        <f t="array" aca="1" ref="N2261" ca="1">IFERROR(IF(INDEX('Disaggregation Records'!$F$156:$F$517,MATCH(RIGHT(L2261,255),RIGHT('Disaggregation Records'!$D$156:$D$517,255),0))="","",INDEX('Disaggregation Records'!$F$156:$F$517,MATCH(RIGHT(L2261,255),RIGHT('Disaggregation Records'!$D$156:$D$517,255),0))),"")</f>
        <v/>
      </c>
      <c r="O2261" s="314" t="str">
        <f t="array" aca="1" ref="O2261" ca="1">IFERROR(IF(INDEX('Disaggregation Records'!$H$156:$H$517,MATCH(RIGHT(L2261,255),RIGHT('Disaggregation Records'!$D$156:$D$517,255),0))="","",INDEX('Disaggregation Records'!$H$156:$H$517,MATCH(RIGHT(L2261,255),RIGHT('Disaggregation Records'!$D$156:$D$517,255),0))),"")</f>
        <v/>
      </c>
      <c r="P2261" s="314"/>
      <c r="Q2261" s="310">
        <f t="shared" ref="Q2261" si="2692">Q2259+1</f>
        <v>1833</v>
      </c>
      <c r="R2261" s="314" t="str" cm="1">
        <f t="array" aca="1" ref="R2261" ca="1">IFERROR(IF(INDEX('Disaggregation Records'!$G$156:$G$517,MATCH(RIGHT(L2261,255),RIGHT('Disaggregation Records'!$D$156:$D$517,255),0))="","",INDEX('Disaggregation Records'!$G$156:$G$517,MATCH(RIGHT(L2261,255),RIGHT('Disaggregation Records'!$D$156:$D$517,255),0))),"")</f>
        <v/>
      </c>
    </row>
    <row r="2262" spans="1:18" ht="20.100000000000001" customHeight="1">
      <c r="B2262" s="571"/>
      <c r="C2262" s="573"/>
      <c r="D2262" s="575"/>
      <c r="E2262" s="575"/>
      <c r="F2262" s="128"/>
      <c r="G2262" s="577"/>
      <c r="H2262" s="540"/>
      <c r="I2262" s="579"/>
      <c r="J2262" s="533"/>
      <c r="K2262" s="126"/>
      <c r="L2262" s="126"/>
      <c r="M2262" s="126"/>
      <c r="N2262" s="126"/>
      <c r="O2262" s="314"/>
      <c r="P2262" s="314"/>
      <c r="Q2262" s="310"/>
      <c r="R2262" s="314" t="str" cm="1">
        <f t="array" ref="R2262">IFERROR(IF(INDEX('Disaggregation Records'!$G$156:$G$517,MATCH(RIGHT(L2262,255),RIGHT('Disaggregation Records'!$D$156:$D$517,255),0))="","",INDEX('Disaggregation Records'!$G$156:$G$517,MATCH(RIGHT(L2262,255),RIGHT('Disaggregation Records'!$D$156:$D$517,255),0))),"")</f>
        <v/>
      </c>
    </row>
    <row r="2263" spans="1:18" ht="20.100000000000001" customHeight="1">
      <c r="A2263" s="126" t="str">
        <f t="shared" ref="A2263:A2298" ca="1" si="2693">INDIRECT("'update Helper'!C"&amp;Q2263)</f>
        <v>a16Dm000000M3tlIAC</v>
      </c>
      <c r="B2263" s="570">
        <v>42</v>
      </c>
      <c r="C2263" s="572" t="str">
        <f ca="1">IFERROR(VLOOKUP(B2263,'Coverage Indicators - Section D'!$A$9:$AO$94,41,FALSE),"")</f>
        <v>HPM Other- 3: Pourcentage des établissements de santé disposant de médicaments traceurs pour la tuberculose le jour de la visite ou du rapportage</v>
      </c>
      <c r="D2263" s="574" t="str">
        <f ca="1">M2263</f>
        <v/>
      </c>
      <c r="E2263" s="574" t="str">
        <f ca="1">N2263</f>
        <v/>
      </c>
      <c r="F2263" s="127"/>
      <c r="G2263" s="576" t="str">
        <f ca="1">IF(OR(INDIRECT("'update Helper'!E"&amp;Q2263)="",F2263&lt;&gt;0,F2264&lt;&gt;0),IF(IFERROR((F2263/F2264),"")="","",(F2263/F2264)),INDIRECT("'update Helper'!E"&amp;Q2263)/100)</f>
        <v/>
      </c>
      <c r="H2263" s="539"/>
      <c r="I2263" s="578"/>
      <c r="J2263" s="532"/>
      <c r="K2263" s="126">
        <f ca="1">IF(AND(EXACT(C2263,C2261),C2261&lt;&gt;0),K2261+1,0)</f>
        <v>1</v>
      </c>
      <c r="L2263" s="126" t="str">
        <f t="shared" ref="L2263" ca="1" si="2694">IF(C2263&lt;&gt;"",C2263&amp;"-"&amp;K2263,"")</f>
        <v>HPM Other- 3: Pourcentage des établissements de santé disposant de médicaments traceurs pour la tuberculose le jour de la visite ou du rapportage-1</v>
      </c>
      <c r="M2263" s="126" t="str">
        <f t="array" aca="1" ref="M2263" ca="1">IFERROR(IF(INDEX('Disaggregation Records'!$E$156:$E$517,MATCH(RIGHT(L2263,255),RIGHT('Disaggregation Records'!$D$156:$D$517,255),0))="","",INDEX('Disaggregation Records'!$E$156:$E$517,MATCH(RIGHT(L2263,255),RIGHT('Disaggregation Records'!$D$156:$D$517,255),0))),"")</f>
        <v/>
      </c>
      <c r="N2263" s="126" t="str">
        <f t="array" aca="1" ref="N2263" ca="1">IFERROR(IF(INDEX('Disaggregation Records'!$F$156:$F$517,MATCH(RIGHT(L2263,255),RIGHT('Disaggregation Records'!$D$156:$D$517,255),0))="","",INDEX('Disaggregation Records'!$F$156:$F$517,MATCH(RIGHT(L2263,255),RIGHT('Disaggregation Records'!$D$156:$D$517,255),0))),"")</f>
        <v/>
      </c>
      <c r="O2263" s="314" t="str">
        <f t="array" aca="1" ref="O2263" ca="1">IFERROR(IF(INDEX('Disaggregation Records'!$H$156:$H$517,MATCH(RIGHT(L2263,255),RIGHT('Disaggregation Records'!$D$156:$D$517,255),0))="","",INDEX('Disaggregation Records'!$H$156:$H$517,MATCH(RIGHT(L2263,255),RIGHT('Disaggregation Records'!$D$156:$D$517,255),0))),"")</f>
        <v/>
      </c>
      <c r="P2263" s="310"/>
      <c r="Q2263" s="310">
        <f t="shared" ref="Q2263" si="2695">Q2261+1</f>
        <v>1834</v>
      </c>
      <c r="R2263" s="314" t="str" cm="1">
        <f t="array" aca="1" ref="R2263" ca="1">IFERROR(IF(INDEX('Disaggregation Records'!$G$156:$G$517,MATCH(RIGHT(L2263,255),RIGHT('Disaggregation Records'!$D$156:$D$517,255),0))="","",INDEX('Disaggregation Records'!$G$156:$G$517,MATCH(RIGHT(L2263,255),RIGHT('Disaggregation Records'!$D$156:$D$517,255),0))),"")</f>
        <v/>
      </c>
    </row>
    <row r="2264" spans="1:18" ht="20.100000000000001" customHeight="1">
      <c r="A2264" s="126"/>
      <c r="B2264" s="571"/>
      <c r="C2264" s="573"/>
      <c r="D2264" s="575"/>
      <c r="E2264" s="575"/>
      <c r="F2264" s="128"/>
      <c r="G2264" s="577"/>
      <c r="H2264" s="540"/>
      <c r="I2264" s="579"/>
      <c r="J2264" s="533"/>
      <c r="L2264" s="126"/>
      <c r="N2264" s="126"/>
      <c r="O2264" s="314"/>
      <c r="P2264" s="310"/>
      <c r="Q2264" s="310"/>
      <c r="R2264" s="314" t="str" cm="1">
        <f t="array" ref="R2264">IFERROR(IF(INDEX('Disaggregation Records'!$G$156:$G$517,MATCH(RIGHT(L2264,255),RIGHT('Disaggregation Records'!$D$156:$D$517,255),0))="","",INDEX('Disaggregation Records'!$G$156:$G$517,MATCH(RIGHT(L2264,255),RIGHT('Disaggregation Records'!$D$156:$D$517,255),0))),"")</f>
        <v/>
      </c>
    </row>
    <row r="2265" spans="1:18" ht="20.100000000000001" customHeight="1">
      <c r="A2265" s="126" t="str">
        <f t="shared" ref="A2265:A2298" ca="1" si="2696">INDIRECT("'update Helper'!C"&amp;Q2265)</f>
        <v>a16Dm000000M3tmIAC</v>
      </c>
      <c r="B2265" s="570">
        <v>42</v>
      </c>
      <c r="C2265" s="572" t="str">
        <f ca="1">IFERROR(VLOOKUP(B2265,'Coverage Indicators - Section D'!$A$9:$AO$94,41,FALSE),"")</f>
        <v>HPM Other- 3: Pourcentage des établissements de santé disposant de médicaments traceurs pour la tuberculose le jour de la visite ou du rapportage</v>
      </c>
      <c r="D2265" s="574" t="str">
        <f ca="1">M2265</f>
        <v/>
      </c>
      <c r="E2265" s="574" t="str">
        <f ca="1">N2265</f>
        <v/>
      </c>
      <c r="F2265" s="127"/>
      <c r="G2265" s="576" t="str">
        <f ca="1">IF(OR(INDIRECT("'update Helper'!E"&amp;Q2265)="",F2265&lt;&gt;0,F2266&lt;&gt;0),IF(IFERROR((F2265/F2266),"")="","",(F2265/F2266)),INDIRECT("'update Helper'!E"&amp;Q2265)/100)</f>
        <v/>
      </c>
      <c r="H2265" s="539"/>
      <c r="I2265" s="578"/>
      <c r="J2265" s="532"/>
      <c r="K2265" s="126">
        <f ca="1">IF(AND(EXACT(C2265,C2263),C2263&lt;&gt;0),K2263+1,0)</f>
        <v>2</v>
      </c>
      <c r="L2265" s="126" t="str">
        <f t="shared" ref="L2265" ca="1" si="2697">IF(C2265&lt;&gt;"",C2265&amp;"-"&amp;K2265,"")</f>
        <v>HPM Other- 3: Pourcentage des établissements de santé disposant de médicaments traceurs pour la tuberculose le jour de la visite ou du rapportage-2</v>
      </c>
      <c r="M2265" s="126" t="str">
        <f t="array" aca="1" ref="M2265" ca="1">IFERROR(IF(INDEX('Disaggregation Records'!$E$156:$E$517,MATCH(RIGHT(L2265,255),RIGHT('Disaggregation Records'!$D$156:$D$517,255),0))="","",INDEX('Disaggregation Records'!$E$156:$E$517,MATCH(RIGHT(L2265,255),RIGHT('Disaggregation Records'!$D$156:$D$517,255),0))),"")</f>
        <v/>
      </c>
      <c r="N2265" s="126" t="str">
        <f t="array" aca="1" ref="N2265" ca="1">IFERROR(IF(INDEX('Disaggregation Records'!$F$156:$F$517,MATCH(RIGHT(L2265,255),RIGHT('Disaggregation Records'!$D$156:$D$517,255),0))="","",INDEX('Disaggregation Records'!$F$156:$F$517,MATCH(RIGHT(L2265,255),RIGHT('Disaggregation Records'!$D$156:$D$517,255),0))),"")</f>
        <v/>
      </c>
      <c r="O2265" s="314" t="str">
        <f t="array" aca="1" ref="O2265" ca="1">IFERROR(IF(INDEX('Disaggregation Records'!$H$156:$H$517,MATCH(RIGHT(L2265,255),RIGHT('Disaggregation Records'!$D$156:$D$517,255),0))="","",INDEX('Disaggregation Records'!$H$156:$H$517,MATCH(RIGHT(L2265,255),RIGHT('Disaggregation Records'!$D$156:$D$517,255),0))),"")</f>
        <v/>
      </c>
      <c r="P2265" s="310"/>
      <c r="Q2265" s="310">
        <f t="shared" ref="Q2265" si="2698">Q2263+1</f>
        <v>1835</v>
      </c>
      <c r="R2265" s="314" t="str" cm="1">
        <f t="array" aca="1" ref="R2265" ca="1">IFERROR(IF(INDEX('Disaggregation Records'!$G$156:$G$517,MATCH(RIGHT(L2265,255),RIGHT('Disaggregation Records'!$D$156:$D$517,255),0))="","",INDEX('Disaggregation Records'!$G$156:$G$517,MATCH(RIGHT(L2265,255),RIGHT('Disaggregation Records'!$D$156:$D$517,255),0))),"")</f>
        <v/>
      </c>
    </row>
    <row r="2266" spans="1:18" ht="20.100000000000001" customHeight="1">
      <c r="B2266" s="571"/>
      <c r="C2266" s="573"/>
      <c r="D2266" s="575"/>
      <c r="E2266" s="575"/>
      <c r="F2266" s="128"/>
      <c r="G2266" s="577"/>
      <c r="H2266" s="540"/>
      <c r="I2266" s="579"/>
      <c r="J2266" s="533"/>
      <c r="L2266" s="126"/>
      <c r="N2266" s="126"/>
      <c r="O2266" s="314"/>
      <c r="P2266" s="310"/>
      <c r="Q2266" s="310"/>
      <c r="R2266" s="314" t="str" cm="1">
        <f t="array" ref="R2266">IFERROR(IF(INDEX('Disaggregation Records'!$G$156:$G$517,MATCH(RIGHT(L2266,255),RIGHT('Disaggregation Records'!$D$156:$D$517,255),0))="","",INDEX('Disaggregation Records'!$G$156:$G$517,MATCH(RIGHT(L2266,255),RIGHT('Disaggregation Records'!$D$156:$D$517,255),0))),"")</f>
        <v/>
      </c>
    </row>
    <row r="2267" spans="1:18" ht="20.100000000000001" customHeight="1">
      <c r="A2267" s="126" t="str">
        <f t="shared" ref="A2267:A2298" ca="1" si="2699">INDIRECT("'update Helper'!C"&amp;Q2267)</f>
        <v>a16Dm000000M3tnIAC</v>
      </c>
      <c r="B2267" s="570">
        <v>42</v>
      </c>
      <c r="C2267" s="572" t="str">
        <f ca="1">IFERROR(VLOOKUP(B2267,'Coverage Indicators - Section D'!$A$9:$AO$94,41,FALSE),"")</f>
        <v>HPM Other- 3: Pourcentage des établissements de santé disposant de médicaments traceurs pour la tuberculose le jour de la visite ou du rapportage</v>
      </c>
      <c r="D2267" s="574" t="str">
        <f ca="1">M2267</f>
        <v/>
      </c>
      <c r="E2267" s="574" t="str">
        <f ca="1">N2267</f>
        <v/>
      </c>
      <c r="F2267" s="127"/>
      <c r="G2267" s="576" t="str">
        <f ca="1">IF(OR(INDIRECT("'update Helper'!E"&amp;Q2267)="",F2267&lt;&gt;0,F2268&lt;&gt;0),IF(IFERROR((F2267/F2268),"")="","",(F2267/F2268)),INDIRECT("'update Helper'!E"&amp;Q2267)/100)</f>
        <v/>
      </c>
      <c r="H2267" s="539"/>
      <c r="I2267" s="578"/>
      <c r="J2267" s="532"/>
      <c r="K2267" s="126">
        <f ca="1">IF(AND(EXACT(C2267,C2265),C2265&lt;&gt;0),K2265+1,0)</f>
        <v>3</v>
      </c>
      <c r="L2267" s="126" t="str">
        <f t="shared" ref="L2267" ca="1" si="2700">IF(C2267&lt;&gt;"",C2267&amp;"-"&amp;K2267,"")</f>
        <v>HPM Other- 3: Pourcentage des établissements de santé disposant de médicaments traceurs pour la tuberculose le jour de la visite ou du rapportage-3</v>
      </c>
      <c r="M2267" s="126" t="str">
        <f t="array" aca="1" ref="M2267" ca="1">IFERROR(IF(INDEX('Disaggregation Records'!$E$156:$E$517,MATCH(RIGHT(L2267,255),RIGHT('Disaggregation Records'!$D$156:$D$517,255),0))="","",INDEX('Disaggregation Records'!$E$156:$E$517,MATCH(RIGHT(L2267,255),RIGHT('Disaggregation Records'!$D$156:$D$517,255),0))),"")</f>
        <v/>
      </c>
      <c r="N2267" s="126" t="str">
        <f t="array" aca="1" ref="N2267" ca="1">IFERROR(IF(INDEX('Disaggregation Records'!$F$156:$F$517,MATCH(RIGHT(L2267,255),RIGHT('Disaggregation Records'!$D$156:$D$517,255),0))="","",INDEX('Disaggregation Records'!$F$156:$F$517,MATCH(RIGHT(L2267,255),RIGHT('Disaggregation Records'!$D$156:$D$517,255),0))),"")</f>
        <v/>
      </c>
      <c r="O2267" s="314" t="str">
        <f t="array" aca="1" ref="O2267" ca="1">IFERROR(IF(INDEX('Disaggregation Records'!$H$156:$H$517,MATCH(RIGHT(L2267,255),RIGHT('Disaggregation Records'!$D$156:$D$517,255),0))="","",INDEX('Disaggregation Records'!$H$156:$H$517,MATCH(RIGHT(L2267,255),RIGHT('Disaggregation Records'!$D$156:$D$517,255),0))),"")</f>
        <v/>
      </c>
      <c r="P2267" s="310"/>
      <c r="Q2267" s="310">
        <f t="shared" ref="Q2267" si="2701">Q2265+1</f>
        <v>1836</v>
      </c>
      <c r="R2267" s="314" t="str" cm="1">
        <f t="array" aca="1" ref="R2267" ca="1">IFERROR(IF(INDEX('Disaggregation Records'!$G$156:$G$517,MATCH(RIGHT(L2267,255),RIGHT('Disaggregation Records'!$D$156:$D$517,255),0))="","",INDEX('Disaggregation Records'!$G$156:$G$517,MATCH(RIGHT(L2267,255),RIGHT('Disaggregation Records'!$D$156:$D$517,255),0))),"")</f>
        <v/>
      </c>
    </row>
    <row r="2268" spans="1:18" ht="20.100000000000001" customHeight="1">
      <c r="A2268" s="126"/>
      <c r="B2268" s="571"/>
      <c r="C2268" s="573"/>
      <c r="D2268" s="575"/>
      <c r="E2268" s="575"/>
      <c r="F2268" s="128"/>
      <c r="G2268" s="577"/>
      <c r="H2268" s="540"/>
      <c r="I2268" s="579"/>
      <c r="J2268" s="533"/>
      <c r="L2268" s="126"/>
      <c r="N2268" s="126"/>
      <c r="O2268" s="314"/>
      <c r="P2268" s="310"/>
      <c r="Q2268" s="310"/>
      <c r="R2268" s="314" t="str" cm="1">
        <f t="array" ref="R2268">IFERROR(IF(INDEX('Disaggregation Records'!$G$156:$G$517,MATCH(RIGHT(L2268,255),RIGHT('Disaggregation Records'!$D$156:$D$517,255),0))="","",INDEX('Disaggregation Records'!$G$156:$G$517,MATCH(RIGHT(L2268,255),RIGHT('Disaggregation Records'!$D$156:$D$517,255),0))),"")</f>
        <v/>
      </c>
    </row>
    <row r="2269" spans="1:18" ht="20.100000000000001" customHeight="1">
      <c r="A2269" s="126" t="str">
        <f t="shared" ref="A2269:A2298" ca="1" si="2702">INDIRECT("'update Helper'!C"&amp;Q2269)</f>
        <v>a16Dm000000M3toIAC</v>
      </c>
      <c r="B2269" s="570">
        <v>42</v>
      </c>
      <c r="C2269" s="572" t="str">
        <f ca="1">IFERROR(VLOOKUP(B2269,'Coverage Indicators - Section D'!$A$9:$AO$94,41,FALSE),"")</f>
        <v>HPM Other- 3: Pourcentage des établissements de santé disposant de médicaments traceurs pour la tuberculose le jour de la visite ou du rapportage</v>
      </c>
      <c r="D2269" s="574" t="str">
        <f ca="1">M2269</f>
        <v/>
      </c>
      <c r="E2269" s="574" t="str">
        <f ca="1">N2269</f>
        <v/>
      </c>
      <c r="F2269" s="127"/>
      <c r="G2269" s="576" t="str">
        <f ca="1">IF(OR(INDIRECT("'update Helper'!E"&amp;Q2269)="",F2269&lt;&gt;0,F2270&lt;&gt;0),IF(IFERROR((F2269/F2270),"")="","",(F2269/F2270)),INDIRECT("'update Helper'!E"&amp;Q2269)/100)</f>
        <v/>
      </c>
      <c r="H2269" s="539"/>
      <c r="I2269" s="578"/>
      <c r="J2269" s="532"/>
      <c r="K2269" s="126">
        <f ca="1">IF(AND(EXACT(C2269,C2267),C2267&lt;&gt;0),K2267+1,0)</f>
        <v>4</v>
      </c>
      <c r="L2269" s="126" t="str">
        <f t="shared" ref="L2269" ca="1" si="2703">IF(C2269&lt;&gt;"",C2269&amp;"-"&amp;K2269,"")</f>
        <v>HPM Other- 3: Pourcentage des établissements de santé disposant de médicaments traceurs pour la tuberculose le jour de la visite ou du rapportage-4</v>
      </c>
      <c r="M2269" s="126" t="str">
        <f t="array" aca="1" ref="M2269" ca="1">IFERROR(IF(INDEX('Disaggregation Records'!$E$156:$E$517,MATCH(RIGHT(L2269,255),RIGHT('Disaggregation Records'!$D$156:$D$517,255),0))="","",INDEX('Disaggregation Records'!$E$156:$E$517,MATCH(RIGHT(L2269,255),RIGHT('Disaggregation Records'!$D$156:$D$517,255),0))),"")</f>
        <v/>
      </c>
      <c r="N2269" s="126" t="str">
        <f t="array" aca="1" ref="N2269" ca="1">IFERROR(IF(INDEX('Disaggregation Records'!$F$156:$F$517,MATCH(RIGHT(L2269,255),RIGHT('Disaggregation Records'!$D$156:$D$517,255),0))="","",INDEX('Disaggregation Records'!$F$156:$F$517,MATCH(RIGHT(L2269,255),RIGHT('Disaggregation Records'!$D$156:$D$517,255),0))),"")</f>
        <v/>
      </c>
      <c r="O2269" s="314" t="str">
        <f t="array" aca="1" ref="O2269" ca="1">IFERROR(IF(INDEX('Disaggregation Records'!$H$156:$H$517,MATCH(RIGHT(L2269,255),RIGHT('Disaggregation Records'!$D$156:$D$517,255),0))="","",INDEX('Disaggregation Records'!$H$156:$H$517,MATCH(RIGHT(L2269,255),RIGHT('Disaggregation Records'!$D$156:$D$517,255),0))),"")</f>
        <v/>
      </c>
      <c r="P2269" s="314"/>
      <c r="Q2269" s="310">
        <f t="shared" ref="Q2269" si="2704">Q2267+1</f>
        <v>1837</v>
      </c>
      <c r="R2269" s="314" t="str" cm="1">
        <f t="array" aca="1" ref="R2269" ca="1">IFERROR(IF(INDEX('Disaggregation Records'!$G$156:$G$517,MATCH(RIGHT(L2269,255),RIGHT('Disaggregation Records'!$D$156:$D$517,255),0))="","",INDEX('Disaggregation Records'!$G$156:$G$517,MATCH(RIGHT(L2269,255),RIGHT('Disaggregation Records'!$D$156:$D$517,255),0))),"")</f>
        <v/>
      </c>
    </row>
    <row r="2270" spans="1:18" ht="20.100000000000001" customHeight="1">
      <c r="B2270" s="571"/>
      <c r="C2270" s="573"/>
      <c r="D2270" s="575"/>
      <c r="E2270" s="575"/>
      <c r="F2270" s="128"/>
      <c r="G2270" s="577"/>
      <c r="H2270" s="540"/>
      <c r="I2270" s="579"/>
      <c r="J2270" s="533"/>
      <c r="K2270" s="126"/>
      <c r="L2270" s="126"/>
      <c r="M2270" s="126"/>
      <c r="N2270" s="126"/>
      <c r="O2270" s="314"/>
      <c r="P2270" s="314"/>
      <c r="Q2270" s="310"/>
      <c r="R2270" s="314" t="str" cm="1">
        <f t="array" ref="R2270">IFERROR(IF(INDEX('Disaggregation Records'!$G$156:$G$517,MATCH(RIGHT(L2270,255),RIGHT('Disaggregation Records'!$D$156:$D$517,255),0))="","",INDEX('Disaggregation Records'!$G$156:$G$517,MATCH(RIGHT(L2270,255),RIGHT('Disaggregation Records'!$D$156:$D$517,255),0))),"")</f>
        <v/>
      </c>
    </row>
    <row r="2271" spans="1:18" ht="20.100000000000001" customHeight="1">
      <c r="A2271" s="126" t="str">
        <f t="shared" ref="A2271:A2298" ca="1" si="2705">INDIRECT("'update Helper'!C"&amp;Q2271)</f>
        <v>a16Dm000000M3tpIAC</v>
      </c>
      <c r="B2271" s="570">
        <v>42</v>
      </c>
      <c r="C2271" s="572" t="str">
        <f ca="1">IFERROR(VLOOKUP(B2271,'Coverage Indicators - Section D'!$A$9:$AO$94,41,FALSE),"")</f>
        <v>HPM Other- 3: Pourcentage des établissements de santé disposant de médicaments traceurs pour la tuberculose le jour de la visite ou du rapportage</v>
      </c>
      <c r="D2271" s="574" t="str">
        <f ca="1">M2271</f>
        <v/>
      </c>
      <c r="E2271" s="574" t="str">
        <f ca="1">N2271</f>
        <v/>
      </c>
      <c r="F2271" s="127"/>
      <c r="G2271" s="576" t="str">
        <f ca="1">IF(OR(INDIRECT("'update Helper'!E"&amp;Q2271)="",F2271&lt;&gt;0,F2272&lt;&gt;0),IF(IFERROR((F2271/F2272),"")="","",(F2271/F2272)),INDIRECT("'update Helper'!E"&amp;Q2271)/100)</f>
        <v/>
      </c>
      <c r="H2271" s="539"/>
      <c r="I2271" s="578"/>
      <c r="J2271" s="532"/>
      <c r="K2271" s="126">
        <f ca="1">IF(AND(EXACT(C2271,C2269),C2269&lt;&gt;0),K2269+1,0)</f>
        <v>5</v>
      </c>
      <c r="L2271" s="126" t="str">
        <f t="shared" ref="L2271" ca="1" si="2706">IF(C2271&lt;&gt;"",C2271&amp;"-"&amp;K2271,"")</f>
        <v>HPM Other- 3: Pourcentage des établissements de santé disposant de médicaments traceurs pour la tuberculose le jour de la visite ou du rapportage-5</v>
      </c>
      <c r="M2271" s="126" t="str">
        <f t="array" aca="1" ref="M2271" ca="1">IFERROR(IF(INDEX('Disaggregation Records'!$E$156:$E$517,MATCH(RIGHT(L2271,255),RIGHT('Disaggregation Records'!$D$156:$D$517,255),0))="","",INDEX('Disaggregation Records'!$E$156:$E$517,MATCH(RIGHT(L2271,255),RIGHT('Disaggregation Records'!$D$156:$D$517,255),0))),"")</f>
        <v/>
      </c>
      <c r="N2271" s="126" t="str">
        <f t="array" aca="1" ref="N2271" ca="1">IFERROR(IF(INDEX('Disaggregation Records'!$F$156:$F$517,MATCH(RIGHT(L2271,255),RIGHT('Disaggregation Records'!$D$156:$D$517,255),0))="","",INDEX('Disaggregation Records'!$F$156:$F$517,MATCH(RIGHT(L2271,255),RIGHT('Disaggregation Records'!$D$156:$D$517,255),0))),"")</f>
        <v/>
      </c>
      <c r="O2271" s="314" t="str">
        <f t="array" aca="1" ref="O2271" ca="1">IFERROR(IF(INDEX('Disaggregation Records'!$H$156:$H$517,MATCH(RIGHT(L2271,255),RIGHT('Disaggregation Records'!$D$156:$D$517,255),0))="","",INDEX('Disaggregation Records'!$H$156:$H$517,MATCH(RIGHT(L2271,255),RIGHT('Disaggregation Records'!$D$156:$D$517,255),0))),"")</f>
        <v/>
      </c>
      <c r="P2271" s="314"/>
      <c r="Q2271" s="310">
        <f t="shared" ref="Q2271" si="2707">Q2269+1</f>
        <v>1838</v>
      </c>
      <c r="R2271" s="314" t="str" cm="1">
        <f t="array" aca="1" ref="R2271" ca="1">IFERROR(IF(INDEX('Disaggregation Records'!$G$156:$G$517,MATCH(RIGHT(L2271,255),RIGHT('Disaggregation Records'!$D$156:$D$517,255),0))="","",INDEX('Disaggregation Records'!$G$156:$G$517,MATCH(RIGHT(L2271,255),RIGHT('Disaggregation Records'!$D$156:$D$517,255),0))),"")</f>
        <v/>
      </c>
    </row>
    <row r="2272" spans="1:18" ht="20.100000000000001" customHeight="1">
      <c r="A2272" s="126"/>
      <c r="B2272" s="571"/>
      <c r="C2272" s="573"/>
      <c r="D2272" s="575"/>
      <c r="E2272" s="575"/>
      <c r="F2272" s="128"/>
      <c r="G2272" s="577"/>
      <c r="H2272" s="540"/>
      <c r="I2272" s="579"/>
      <c r="J2272" s="533"/>
      <c r="K2272" s="126"/>
      <c r="L2272" s="126"/>
      <c r="M2272" s="126"/>
      <c r="N2272" s="126"/>
      <c r="O2272" s="314"/>
      <c r="P2272" s="314"/>
      <c r="Q2272" s="310"/>
      <c r="R2272" s="314" t="str" cm="1">
        <f t="array" ref="R2272">IFERROR(IF(INDEX('Disaggregation Records'!$G$156:$G$517,MATCH(RIGHT(L2272,255),RIGHT('Disaggregation Records'!$D$156:$D$517,255),0))="","",INDEX('Disaggregation Records'!$G$156:$G$517,MATCH(RIGHT(L2272,255),RIGHT('Disaggregation Records'!$D$156:$D$517,255),0))),"")</f>
        <v/>
      </c>
    </row>
    <row r="2273" spans="1:18" ht="20.100000000000001" customHeight="1">
      <c r="A2273" s="126" t="str">
        <f t="shared" ref="A2273:A2298" ca="1" si="2708">INDIRECT("'update Helper'!C"&amp;Q2273)</f>
        <v>a16Dm000000M3tqIAC</v>
      </c>
      <c r="B2273" s="570">
        <v>42</v>
      </c>
      <c r="C2273" s="572" t="str">
        <f ca="1">IFERROR(VLOOKUP(B2273,'Coverage Indicators - Section D'!$A$9:$AO$94,41,FALSE),"")</f>
        <v>HPM Other- 3: Pourcentage des établissements de santé disposant de médicaments traceurs pour la tuberculose le jour de la visite ou du rapportage</v>
      </c>
      <c r="D2273" s="574" t="str">
        <f ca="1">M2273</f>
        <v/>
      </c>
      <c r="E2273" s="574" t="str">
        <f ca="1">N2273</f>
        <v/>
      </c>
      <c r="F2273" s="127"/>
      <c r="G2273" s="576" t="str">
        <f ca="1">IF(OR(INDIRECT("'update Helper'!E"&amp;Q2273)="",F2273&lt;&gt;0,F2274&lt;&gt;0),IF(IFERROR((F2273/F2274),"")="","",(F2273/F2274)),INDIRECT("'update Helper'!E"&amp;Q2273)/100)</f>
        <v/>
      </c>
      <c r="H2273" s="539"/>
      <c r="I2273" s="578"/>
      <c r="J2273" s="532"/>
      <c r="K2273" s="126">
        <f ca="1">IF(AND(EXACT(C2273,C2271),C2271&lt;&gt;0),K2271+1,0)</f>
        <v>6</v>
      </c>
      <c r="L2273" s="126" t="str">
        <f t="shared" ref="L2273" ca="1" si="2709">IF(C2273&lt;&gt;"",C2273&amp;"-"&amp;K2273,"")</f>
        <v>HPM Other- 3: Pourcentage des établissements de santé disposant de médicaments traceurs pour la tuberculose le jour de la visite ou du rapportage-6</v>
      </c>
      <c r="M2273" s="126" t="str">
        <f t="array" aca="1" ref="M2273" ca="1">IFERROR(IF(INDEX('Disaggregation Records'!$E$156:$E$517,MATCH(RIGHT(L2273,255),RIGHT('Disaggregation Records'!$D$156:$D$517,255),0))="","",INDEX('Disaggregation Records'!$E$156:$E$517,MATCH(RIGHT(L2273,255),RIGHT('Disaggregation Records'!$D$156:$D$517,255),0))),"")</f>
        <v/>
      </c>
      <c r="N2273" s="126" t="str">
        <f t="array" aca="1" ref="N2273" ca="1">IFERROR(IF(INDEX('Disaggregation Records'!$F$156:$F$517,MATCH(RIGHT(L2273,255),RIGHT('Disaggregation Records'!$D$156:$D$517,255),0))="","",INDEX('Disaggregation Records'!$F$156:$F$517,MATCH(RIGHT(L2273,255),RIGHT('Disaggregation Records'!$D$156:$D$517,255),0))),"")</f>
        <v/>
      </c>
      <c r="O2273" s="314" t="str">
        <f t="array" aca="1" ref="O2273" ca="1">IFERROR(IF(INDEX('Disaggregation Records'!$H$156:$H$517,MATCH(RIGHT(L2273,255),RIGHT('Disaggregation Records'!$D$156:$D$517,255),0))="","",INDEX('Disaggregation Records'!$H$156:$H$517,MATCH(RIGHT(L2273,255),RIGHT('Disaggregation Records'!$D$156:$D$517,255),0))),"")</f>
        <v/>
      </c>
      <c r="P2273" s="310"/>
      <c r="Q2273" s="310">
        <f t="shared" ref="Q2273" si="2710">Q2271+1</f>
        <v>1839</v>
      </c>
      <c r="R2273" s="314" t="str" cm="1">
        <f t="array" aca="1" ref="R2273" ca="1">IFERROR(IF(INDEX('Disaggregation Records'!$G$156:$G$517,MATCH(RIGHT(L2273,255),RIGHT('Disaggregation Records'!$D$156:$D$517,255),0))="","",INDEX('Disaggregation Records'!$G$156:$G$517,MATCH(RIGHT(L2273,255),RIGHT('Disaggregation Records'!$D$156:$D$517,255),0))),"")</f>
        <v/>
      </c>
    </row>
    <row r="2274" spans="1:18" ht="20.100000000000001" customHeight="1">
      <c r="B2274" s="571"/>
      <c r="C2274" s="573"/>
      <c r="D2274" s="575"/>
      <c r="E2274" s="575"/>
      <c r="F2274" s="128"/>
      <c r="G2274" s="577"/>
      <c r="H2274" s="540"/>
      <c r="I2274" s="579"/>
      <c r="J2274" s="533"/>
      <c r="L2274" s="126"/>
      <c r="N2274" s="126"/>
      <c r="O2274" s="314"/>
      <c r="P2274" s="310"/>
      <c r="Q2274" s="310"/>
      <c r="R2274" s="314" t="str" cm="1">
        <f t="array" ref="R2274">IFERROR(IF(INDEX('Disaggregation Records'!$G$156:$G$517,MATCH(RIGHT(L2274,255),RIGHT('Disaggregation Records'!$D$156:$D$517,255),0))="","",INDEX('Disaggregation Records'!$G$156:$G$517,MATCH(RIGHT(L2274,255),RIGHT('Disaggregation Records'!$D$156:$D$517,255),0))),"")</f>
        <v/>
      </c>
    </row>
    <row r="2275" spans="1:18" ht="20.100000000000001" customHeight="1">
      <c r="A2275" s="126" t="str">
        <f t="shared" ref="A2275:A2298" ca="1" si="2711">INDIRECT("'update Helper'!C"&amp;Q2275)</f>
        <v>a16Dm000000M3trIAC</v>
      </c>
      <c r="B2275" s="570">
        <v>42</v>
      </c>
      <c r="C2275" s="572" t="str">
        <f ca="1">IFERROR(VLOOKUP(B2275,'Coverage Indicators - Section D'!$A$9:$AO$94,41,FALSE),"")</f>
        <v>HPM Other- 3: Pourcentage des établissements de santé disposant de médicaments traceurs pour la tuberculose le jour de la visite ou du rapportage</v>
      </c>
      <c r="D2275" s="574" t="str">
        <f ca="1">M2275</f>
        <v/>
      </c>
      <c r="E2275" s="574" t="str">
        <f ca="1">N2275</f>
        <v/>
      </c>
      <c r="F2275" s="127"/>
      <c r="G2275" s="576" t="str">
        <f ca="1">IF(OR(INDIRECT("'update Helper'!E"&amp;Q2275)="",F2275&lt;&gt;0,F2276&lt;&gt;0),IF(IFERROR((F2275/F2276),"")="","",(F2275/F2276)),INDIRECT("'update Helper'!E"&amp;Q2275)/100)</f>
        <v/>
      </c>
      <c r="H2275" s="539"/>
      <c r="I2275" s="578"/>
      <c r="J2275" s="532"/>
      <c r="K2275" s="126">
        <f ca="1">IF(AND(EXACT(C2275,C2273),C2273&lt;&gt;0),K2273+1,0)</f>
        <v>7</v>
      </c>
      <c r="L2275" s="126" t="str">
        <f t="shared" ref="L2275" ca="1" si="2712">IF(C2275&lt;&gt;"",C2275&amp;"-"&amp;K2275,"")</f>
        <v>HPM Other- 3: Pourcentage des établissements de santé disposant de médicaments traceurs pour la tuberculose le jour de la visite ou du rapportage-7</v>
      </c>
      <c r="M2275" s="126" t="str">
        <f t="array" aca="1" ref="M2275" ca="1">IFERROR(IF(INDEX('Disaggregation Records'!$E$156:$E$517,MATCH(RIGHT(L2275,255),RIGHT('Disaggregation Records'!$D$156:$D$517,255),0))="","",INDEX('Disaggregation Records'!$E$156:$E$517,MATCH(RIGHT(L2275,255),RIGHT('Disaggregation Records'!$D$156:$D$517,255),0))),"")</f>
        <v/>
      </c>
      <c r="N2275" s="126" t="str">
        <f t="array" aca="1" ref="N2275" ca="1">IFERROR(IF(INDEX('Disaggregation Records'!$F$156:$F$517,MATCH(RIGHT(L2275,255),RIGHT('Disaggregation Records'!$D$156:$D$517,255),0))="","",INDEX('Disaggregation Records'!$F$156:$F$517,MATCH(RIGHT(L2275,255),RIGHT('Disaggregation Records'!$D$156:$D$517,255),0))),"")</f>
        <v/>
      </c>
      <c r="O2275" s="314" t="str">
        <f t="array" aca="1" ref="O2275" ca="1">IFERROR(IF(INDEX('Disaggregation Records'!$H$156:$H$517,MATCH(RIGHT(L2275,255),RIGHT('Disaggregation Records'!$D$156:$D$517,255),0))="","",INDEX('Disaggregation Records'!$H$156:$H$517,MATCH(RIGHT(L2275,255),RIGHT('Disaggregation Records'!$D$156:$D$517,255),0))),"")</f>
        <v/>
      </c>
      <c r="P2275" s="310"/>
      <c r="Q2275" s="310">
        <f t="shared" ref="Q2275" si="2713">Q2273+1</f>
        <v>1840</v>
      </c>
      <c r="R2275" s="314" t="str" cm="1">
        <f t="array" aca="1" ref="R2275" ca="1">IFERROR(IF(INDEX('Disaggregation Records'!$G$156:$G$517,MATCH(RIGHT(L2275,255),RIGHT('Disaggregation Records'!$D$156:$D$517,255),0))="","",INDEX('Disaggregation Records'!$G$156:$G$517,MATCH(RIGHT(L2275,255),RIGHT('Disaggregation Records'!$D$156:$D$517,255),0))),"")</f>
        <v/>
      </c>
    </row>
    <row r="2276" spans="1:18" ht="20.100000000000001" customHeight="1">
      <c r="A2276" s="126"/>
      <c r="B2276" s="571"/>
      <c r="C2276" s="573"/>
      <c r="D2276" s="575"/>
      <c r="E2276" s="575"/>
      <c r="F2276" s="128"/>
      <c r="G2276" s="577"/>
      <c r="H2276" s="540"/>
      <c r="I2276" s="579"/>
      <c r="J2276" s="533"/>
      <c r="L2276" s="126"/>
      <c r="N2276" s="126"/>
      <c r="O2276" s="314"/>
      <c r="P2276" s="310"/>
      <c r="Q2276" s="310"/>
      <c r="R2276" s="314" t="str" cm="1">
        <f t="array" ref="R2276">IFERROR(IF(INDEX('Disaggregation Records'!$G$156:$G$517,MATCH(RIGHT(L2276,255),RIGHT('Disaggregation Records'!$D$156:$D$517,255),0))="","",INDEX('Disaggregation Records'!$G$156:$G$517,MATCH(RIGHT(L2276,255),RIGHT('Disaggregation Records'!$D$156:$D$517,255),0))),"")</f>
        <v/>
      </c>
    </row>
    <row r="2277" spans="1:18" ht="20.100000000000001" customHeight="1">
      <c r="A2277" s="126" t="str">
        <f t="shared" ref="A2277:A2298" ca="1" si="2714">INDIRECT("'update Helper'!C"&amp;Q2277)</f>
        <v>a16Dm000000M3tsIAC</v>
      </c>
      <c r="B2277" s="570">
        <v>42</v>
      </c>
      <c r="C2277" s="572" t="str">
        <f ca="1">IFERROR(VLOOKUP(B2277,'Coverage Indicators - Section D'!$A$9:$AO$94,41,FALSE),"")</f>
        <v>HPM Other- 3: Pourcentage des établissements de santé disposant de médicaments traceurs pour la tuberculose le jour de la visite ou du rapportage</v>
      </c>
      <c r="D2277" s="574" t="str">
        <f ca="1">M2277</f>
        <v/>
      </c>
      <c r="E2277" s="574" t="str">
        <f ca="1">N2277</f>
        <v/>
      </c>
      <c r="F2277" s="127"/>
      <c r="G2277" s="576" t="str">
        <f ca="1">IF(OR(INDIRECT("'update Helper'!E"&amp;Q2277)="",F2277&lt;&gt;0,F2278&lt;&gt;0),IF(IFERROR((F2277/F2278),"")="","",(F2277/F2278)),INDIRECT("'update Helper'!E"&amp;Q2277)/100)</f>
        <v/>
      </c>
      <c r="H2277" s="539"/>
      <c r="I2277" s="578"/>
      <c r="J2277" s="532"/>
      <c r="K2277" s="126">
        <f ca="1">IF(AND(EXACT(C2277,C2275),C2275&lt;&gt;0),K2275+1,0)</f>
        <v>8</v>
      </c>
      <c r="L2277" s="126" t="str">
        <f t="shared" ref="L2277" ca="1" si="2715">IF(C2277&lt;&gt;"",C2277&amp;"-"&amp;K2277,"")</f>
        <v>HPM Other- 3: Pourcentage des établissements de santé disposant de médicaments traceurs pour la tuberculose le jour de la visite ou du rapportage-8</v>
      </c>
      <c r="M2277" s="126" t="str">
        <f t="array" aca="1" ref="M2277" ca="1">IFERROR(IF(INDEX('Disaggregation Records'!$E$156:$E$517,MATCH(RIGHT(L2277,255),RIGHT('Disaggregation Records'!$D$156:$D$517,255),0))="","",INDEX('Disaggregation Records'!$E$156:$E$517,MATCH(RIGHT(L2277,255),RIGHT('Disaggregation Records'!$D$156:$D$517,255),0))),"")</f>
        <v/>
      </c>
      <c r="N2277" s="126" t="str">
        <f t="array" aca="1" ref="N2277" ca="1">IFERROR(IF(INDEX('Disaggregation Records'!$F$156:$F$517,MATCH(RIGHT(L2277,255),RIGHT('Disaggregation Records'!$D$156:$D$517,255),0))="","",INDEX('Disaggregation Records'!$F$156:$F$517,MATCH(RIGHT(L2277,255),RIGHT('Disaggregation Records'!$D$156:$D$517,255),0))),"")</f>
        <v/>
      </c>
      <c r="O2277" s="314" t="str">
        <f t="array" aca="1" ref="O2277" ca="1">IFERROR(IF(INDEX('Disaggregation Records'!$H$156:$H$517,MATCH(RIGHT(L2277,255),RIGHT('Disaggregation Records'!$D$156:$D$517,255),0))="","",INDEX('Disaggregation Records'!$H$156:$H$517,MATCH(RIGHT(L2277,255),RIGHT('Disaggregation Records'!$D$156:$D$517,255),0))),"")</f>
        <v/>
      </c>
      <c r="P2277" s="310"/>
      <c r="Q2277" s="310">
        <f t="shared" ref="Q2277" si="2716">Q2275+1</f>
        <v>1841</v>
      </c>
      <c r="R2277" s="314" t="str" cm="1">
        <f t="array" aca="1" ref="R2277" ca="1">IFERROR(IF(INDEX('Disaggregation Records'!$G$156:$G$517,MATCH(RIGHT(L2277,255),RIGHT('Disaggregation Records'!$D$156:$D$517,255),0))="","",INDEX('Disaggregation Records'!$G$156:$G$517,MATCH(RIGHT(L2277,255),RIGHT('Disaggregation Records'!$D$156:$D$517,255),0))),"")</f>
        <v/>
      </c>
    </row>
    <row r="2278" spans="1:18" ht="20.100000000000001" customHeight="1">
      <c r="B2278" s="571"/>
      <c r="C2278" s="573"/>
      <c r="D2278" s="575"/>
      <c r="E2278" s="575"/>
      <c r="F2278" s="128"/>
      <c r="G2278" s="577"/>
      <c r="H2278" s="540"/>
      <c r="I2278" s="579"/>
      <c r="J2278" s="533"/>
      <c r="L2278" s="126"/>
      <c r="N2278" s="126"/>
      <c r="O2278" s="314"/>
      <c r="P2278" s="310"/>
      <c r="Q2278" s="310"/>
      <c r="R2278" s="314" t="str" cm="1">
        <f t="array" ref="R2278">IFERROR(IF(INDEX('Disaggregation Records'!$G$156:$G$517,MATCH(RIGHT(L2278,255),RIGHT('Disaggregation Records'!$D$156:$D$517,255),0))="","",INDEX('Disaggregation Records'!$G$156:$G$517,MATCH(RIGHT(L2278,255),RIGHT('Disaggregation Records'!$D$156:$D$517,255),0))),"")</f>
        <v/>
      </c>
    </row>
    <row r="2279" spans="1:18" ht="20.100000000000001" customHeight="1">
      <c r="A2279" s="126" t="str">
        <f t="shared" ref="A2279:A2298" ca="1" si="2717">INDIRECT("'update Helper'!C"&amp;Q2279)</f>
        <v>a16Dm000000M3ttIAC</v>
      </c>
      <c r="B2279" s="570">
        <v>42</v>
      </c>
      <c r="C2279" s="572" t="str">
        <f ca="1">IFERROR(VLOOKUP(B2279,'Coverage Indicators - Section D'!$A$9:$AO$94,41,FALSE),"")</f>
        <v>HPM Other- 3: Pourcentage des établissements de santé disposant de médicaments traceurs pour la tuberculose le jour de la visite ou du rapportage</v>
      </c>
      <c r="D2279" s="574" t="str">
        <f ca="1">M2279</f>
        <v/>
      </c>
      <c r="E2279" s="574" t="str">
        <f ca="1">N2279</f>
        <v/>
      </c>
      <c r="F2279" s="127"/>
      <c r="G2279" s="576" t="str">
        <f ca="1">IF(OR(INDIRECT("'update Helper'!E"&amp;Q2279)="",F2279&lt;&gt;0,F2280&lt;&gt;0),IF(IFERROR((F2279/F2280),"")="","",(F2279/F2280)),INDIRECT("'update Helper'!E"&amp;Q2279)/100)</f>
        <v/>
      </c>
      <c r="H2279" s="539"/>
      <c r="I2279" s="578"/>
      <c r="J2279" s="532"/>
      <c r="K2279" s="126">
        <f ca="1">IF(AND(EXACT(C2279,C2277),C2277&lt;&gt;0),K2277+1,0)</f>
        <v>9</v>
      </c>
      <c r="L2279" s="126" t="str">
        <f t="shared" ref="L2279" ca="1" si="2718">IF(C2279&lt;&gt;"",C2279&amp;"-"&amp;K2279,"")</f>
        <v>HPM Other- 3: Pourcentage des établissements de santé disposant de médicaments traceurs pour la tuberculose le jour de la visite ou du rapportage-9</v>
      </c>
      <c r="M2279" s="126" t="str">
        <f t="array" aca="1" ref="M2279" ca="1">IFERROR(IF(INDEX('Disaggregation Records'!$E$156:$E$517,MATCH(RIGHT(L2279,255),RIGHT('Disaggregation Records'!$D$156:$D$517,255),0))="","",INDEX('Disaggregation Records'!$E$156:$E$517,MATCH(RIGHT(L2279,255),RIGHT('Disaggregation Records'!$D$156:$D$517,255),0))),"")</f>
        <v/>
      </c>
      <c r="N2279" s="126" t="str">
        <f t="array" aca="1" ref="N2279" ca="1">IFERROR(IF(INDEX('Disaggregation Records'!$F$156:$F$517,MATCH(RIGHT(L2279,255),RIGHT('Disaggregation Records'!$D$156:$D$517,255),0))="","",INDEX('Disaggregation Records'!$F$156:$F$517,MATCH(RIGHT(L2279,255),RIGHT('Disaggregation Records'!$D$156:$D$517,255),0))),"")</f>
        <v/>
      </c>
      <c r="O2279" s="314" t="str">
        <f t="array" aca="1" ref="O2279" ca="1">IFERROR(IF(INDEX('Disaggregation Records'!$H$156:$H$517,MATCH(RIGHT(L2279,255),RIGHT('Disaggregation Records'!$D$156:$D$517,255),0))="","",INDEX('Disaggregation Records'!$H$156:$H$517,MATCH(RIGHT(L2279,255),RIGHT('Disaggregation Records'!$D$156:$D$517,255),0))),"")</f>
        <v/>
      </c>
      <c r="P2279" s="314"/>
      <c r="Q2279" s="310">
        <f t="shared" ref="Q2279" si="2719">Q2277+1</f>
        <v>1842</v>
      </c>
      <c r="R2279" s="314" t="str" cm="1">
        <f t="array" aca="1" ref="R2279" ca="1">IFERROR(IF(INDEX('Disaggregation Records'!$G$156:$G$517,MATCH(RIGHT(L2279,255),RIGHT('Disaggregation Records'!$D$156:$D$517,255),0))="","",INDEX('Disaggregation Records'!$G$156:$G$517,MATCH(RIGHT(L2279,255),RIGHT('Disaggregation Records'!$D$156:$D$517,255),0))),"")</f>
        <v/>
      </c>
    </row>
    <row r="2280" spans="1:18" ht="20.100000000000001" customHeight="1">
      <c r="A2280" s="126"/>
      <c r="B2280" s="571"/>
      <c r="C2280" s="573"/>
      <c r="D2280" s="575"/>
      <c r="E2280" s="575"/>
      <c r="F2280" s="128"/>
      <c r="G2280" s="577"/>
      <c r="H2280" s="540"/>
      <c r="I2280" s="579"/>
      <c r="J2280" s="533"/>
      <c r="K2280" s="126"/>
      <c r="L2280" s="126"/>
      <c r="M2280" s="126"/>
      <c r="N2280" s="126"/>
      <c r="O2280" s="314"/>
      <c r="P2280" s="314"/>
      <c r="Q2280" s="310"/>
      <c r="R2280" s="314" t="str" cm="1">
        <f t="array" ref="R2280">IFERROR(IF(INDEX('Disaggregation Records'!$G$156:$G$517,MATCH(RIGHT(L2280,255),RIGHT('Disaggregation Records'!$D$156:$D$517,255),0))="","",INDEX('Disaggregation Records'!$G$156:$G$517,MATCH(RIGHT(L2280,255),RIGHT('Disaggregation Records'!$D$156:$D$517,255),0))),"")</f>
        <v/>
      </c>
    </row>
    <row r="2281" spans="1:18" ht="20.100000000000001" customHeight="1">
      <c r="A2281" s="126" t="str">
        <f t="shared" ref="A2281:A2298" ca="1" si="2720">INDIRECT("'update Helper'!C"&amp;Q2281)</f>
        <v>a16Dm000000M3tuIAC</v>
      </c>
      <c r="B2281" s="570">
        <v>42</v>
      </c>
      <c r="C2281" s="572" t="str">
        <f ca="1">IFERROR(VLOOKUP(B2281,'Coverage Indicators - Section D'!$A$9:$AO$94,41,FALSE),"")</f>
        <v>HPM Other- 3: Pourcentage des établissements de santé disposant de médicaments traceurs pour la tuberculose le jour de la visite ou du rapportage</v>
      </c>
      <c r="D2281" s="574" t="str">
        <f ca="1">M2281</f>
        <v/>
      </c>
      <c r="E2281" s="574" t="str">
        <f ca="1">N2281</f>
        <v/>
      </c>
      <c r="F2281" s="127"/>
      <c r="G2281" s="576" t="str">
        <f ca="1">IF(OR(INDIRECT("'update Helper'!E"&amp;Q2281)="",F2281&lt;&gt;0,F2282&lt;&gt;0),IF(IFERROR((F2281/F2282),"")="","",(F2281/F2282)),INDIRECT("'update Helper'!E"&amp;Q2281)/100)</f>
        <v/>
      </c>
      <c r="H2281" s="539"/>
      <c r="I2281" s="578"/>
      <c r="J2281" s="532"/>
      <c r="K2281" s="126">
        <f ca="1">IF(AND(EXACT(C2281,C2279),C2279&lt;&gt;0),K2279+1,0)</f>
        <v>10</v>
      </c>
      <c r="L2281" s="126" t="str">
        <f t="shared" ref="L2281" ca="1" si="2721">IF(C2281&lt;&gt;"",C2281&amp;"-"&amp;K2281,"")</f>
        <v>HPM Other- 3: Pourcentage des établissements de santé disposant de médicaments traceurs pour la tuberculose le jour de la visite ou du rapportage-10</v>
      </c>
      <c r="M2281" s="126" t="str">
        <f t="array" aca="1" ref="M2281" ca="1">IFERROR(IF(INDEX('Disaggregation Records'!$E$156:$E$517,MATCH(RIGHT(L2281,255),RIGHT('Disaggregation Records'!$D$156:$D$517,255),0))="","",INDEX('Disaggregation Records'!$E$156:$E$517,MATCH(RIGHT(L2281,255),RIGHT('Disaggregation Records'!$D$156:$D$517,255),0))),"")</f>
        <v/>
      </c>
      <c r="N2281" s="126" t="str">
        <f t="array" aca="1" ref="N2281" ca="1">IFERROR(IF(INDEX('Disaggregation Records'!$F$156:$F$517,MATCH(RIGHT(L2281,255),RIGHT('Disaggregation Records'!$D$156:$D$517,255),0))="","",INDEX('Disaggregation Records'!$F$156:$F$517,MATCH(RIGHT(L2281,255),RIGHT('Disaggregation Records'!$D$156:$D$517,255),0))),"")</f>
        <v/>
      </c>
      <c r="O2281" s="314" t="str">
        <f t="array" aca="1" ref="O2281" ca="1">IFERROR(IF(INDEX('Disaggregation Records'!$H$156:$H$517,MATCH(RIGHT(L2281,255),RIGHT('Disaggregation Records'!$D$156:$D$517,255),0))="","",INDEX('Disaggregation Records'!$H$156:$H$517,MATCH(RIGHT(L2281,255),RIGHT('Disaggregation Records'!$D$156:$D$517,255),0))),"")</f>
        <v/>
      </c>
      <c r="P2281" s="314"/>
      <c r="Q2281" s="310">
        <f t="shared" ref="Q2281" si="2722">Q2279+1</f>
        <v>1843</v>
      </c>
      <c r="R2281" s="314" t="str" cm="1">
        <f t="array" aca="1" ref="R2281" ca="1">IFERROR(IF(INDEX('Disaggregation Records'!$G$156:$G$517,MATCH(RIGHT(L2281,255),RIGHT('Disaggregation Records'!$D$156:$D$517,255),0))="","",INDEX('Disaggregation Records'!$G$156:$G$517,MATCH(RIGHT(L2281,255),RIGHT('Disaggregation Records'!$D$156:$D$517,255),0))),"")</f>
        <v/>
      </c>
    </row>
    <row r="2282" spans="1:18" ht="20.100000000000001" customHeight="1">
      <c r="B2282" s="571"/>
      <c r="C2282" s="573"/>
      <c r="D2282" s="575"/>
      <c r="E2282" s="575"/>
      <c r="F2282" s="128"/>
      <c r="G2282" s="577"/>
      <c r="H2282" s="540"/>
      <c r="I2282" s="579"/>
      <c r="J2282" s="533"/>
      <c r="K2282" s="126"/>
      <c r="L2282" s="126"/>
      <c r="M2282" s="126"/>
      <c r="N2282" s="126"/>
      <c r="O2282" s="314"/>
      <c r="P2282" s="314"/>
      <c r="Q2282" s="310"/>
      <c r="R2282" s="314" t="str" cm="1">
        <f t="array" ref="R2282">IFERROR(IF(INDEX('Disaggregation Records'!$G$156:$G$517,MATCH(RIGHT(L2282,255),RIGHT('Disaggregation Records'!$D$156:$D$517,255),0))="","",INDEX('Disaggregation Records'!$G$156:$G$517,MATCH(RIGHT(L2282,255),RIGHT('Disaggregation Records'!$D$156:$D$517,255),0))),"")</f>
        <v/>
      </c>
    </row>
    <row r="2283" spans="1:18" ht="20.100000000000001" customHeight="1">
      <c r="A2283" s="126" t="str">
        <f t="shared" ref="A2283:A2298" ca="1" si="2723">INDIRECT("'update Helper'!C"&amp;Q2283)</f>
        <v>a16Dm000000M3tvIAC</v>
      </c>
      <c r="B2283" s="570">
        <v>42</v>
      </c>
      <c r="C2283" s="572" t="str">
        <f ca="1">IFERROR(VLOOKUP(B2283,'Coverage Indicators - Section D'!$A$9:$AO$94,41,FALSE),"")</f>
        <v>HPM Other- 3: Pourcentage des établissements de santé disposant de médicaments traceurs pour la tuberculose le jour de la visite ou du rapportage</v>
      </c>
      <c r="D2283" s="574" t="str">
        <f ca="1">M2283</f>
        <v/>
      </c>
      <c r="E2283" s="574" t="str">
        <f ca="1">N2283</f>
        <v/>
      </c>
      <c r="F2283" s="127"/>
      <c r="G2283" s="576" t="str">
        <f ca="1">IF(OR(INDIRECT("'update Helper'!E"&amp;Q2283)="",F2283&lt;&gt;0,F2284&lt;&gt;0),IF(IFERROR((F2283/F2284),"")="","",(F2283/F2284)),INDIRECT("'update Helper'!E"&amp;Q2283)/100)</f>
        <v/>
      </c>
      <c r="H2283" s="539"/>
      <c r="I2283" s="578"/>
      <c r="J2283" s="532"/>
      <c r="K2283" s="126">
        <f ca="1">IF(AND(EXACT(C2283,C2281),C2281&lt;&gt;0),K2281+1,0)</f>
        <v>11</v>
      </c>
      <c r="L2283" s="126" t="str">
        <f t="shared" ref="L2283" ca="1" si="2724">IF(C2283&lt;&gt;"",C2283&amp;"-"&amp;K2283,"")</f>
        <v>HPM Other- 3: Pourcentage des établissements de santé disposant de médicaments traceurs pour la tuberculose le jour de la visite ou du rapportage-11</v>
      </c>
      <c r="M2283" s="126" t="str">
        <f t="array" aca="1" ref="M2283" ca="1">IFERROR(IF(INDEX('Disaggregation Records'!$E$156:$E$517,MATCH(RIGHT(L2283,255),RIGHT('Disaggregation Records'!$D$156:$D$517,255),0))="","",INDEX('Disaggregation Records'!$E$156:$E$517,MATCH(RIGHT(L2283,255),RIGHT('Disaggregation Records'!$D$156:$D$517,255),0))),"")</f>
        <v/>
      </c>
      <c r="N2283" s="126" t="str">
        <f t="array" aca="1" ref="N2283" ca="1">IFERROR(IF(INDEX('Disaggregation Records'!$F$156:$F$517,MATCH(RIGHT(L2283,255),RIGHT('Disaggregation Records'!$D$156:$D$517,255),0))="","",INDEX('Disaggregation Records'!$F$156:$F$517,MATCH(RIGHT(L2283,255),RIGHT('Disaggregation Records'!$D$156:$D$517,255),0))),"")</f>
        <v/>
      </c>
      <c r="O2283" s="314" t="str">
        <f t="array" aca="1" ref="O2283" ca="1">IFERROR(IF(INDEX('Disaggregation Records'!$H$156:$H$517,MATCH(RIGHT(L2283,255),RIGHT('Disaggregation Records'!$D$156:$D$517,255),0))="","",INDEX('Disaggregation Records'!$H$156:$H$517,MATCH(RIGHT(L2283,255),RIGHT('Disaggregation Records'!$D$156:$D$517,255),0))),"")</f>
        <v/>
      </c>
      <c r="P2283" s="310"/>
      <c r="Q2283" s="310">
        <f t="shared" ref="Q2283" si="2725">Q2281+1</f>
        <v>1844</v>
      </c>
      <c r="R2283" s="314" t="str" cm="1">
        <f t="array" aca="1" ref="R2283" ca="1">IFERROR(IF(INDEX('Disaggregation Records'!$G$156:$G$517,MATCH(RIGHT(L2283,255),RIGHT('Disaggregation Records'!$D$156:$D$517,255),0))="","",INDEX('Disaggregation Records'!$G$156:$G$517,MATCH(RIGHT(L2283,255),RIGHT('Disaggregation Records'!$D$156:$D$517,255),0))),"")</f>
        <v/>
      </c>
    </row>
    <row r="2284" spans="1:18" ht="20.100000000000001" customHeight="1">
      <c r="A2284" s="126"/>
      <c r="B2284" s="571"/>
      <c r="C2284" s="573"/>
      <c r="D2284" s="575"/>
      <c r="E2284" s="575"/>
      <c r="F2284" s="128"/>
      <c r="G2284" s="577"/>
      <c r="H2284" s="540"/>
      <c r="I2284" s="579"/>
      <c r="J2284" s="533"/>
      <c r="L2284" s="126"/>
      <c r="N2284" s="126"/>
      <c r="O2284" s="314"/>
      <c r="P2284" s="310"/>
      <c r="Q2284" s="310"/>
      <c r="R2284" s="314" t="str" cm="1">
        <f t="array" ref="R2284">IFERROR(IF(INDEX('Disaggregation Records'!$G$156:$G$517,MATCH(RIGHT(L2284,255),RIGHT('Disaggregation Records'!$D$156:$D$517,255),0))="","",INDEX('Disaggregation Records'!$G$156:$G$517,MATCH(RIGHT(L2284,255),RIGHT('Disaggregation Records'!$D$156:$D$517,255),0))),"")</f>
        <v/>
      </c>
    </row>
    <row r="2285" spans="1:18" ht="20.100000000000001" customHeight="1">
      <c r="A2285" s="126" t="str">
        <f t="shared" ref="A2285:A2298" ca="1" si="2726">INDIRECT("'update Helper'!C"&amp;Q2285)</f>
        <v>a16Dm000000M3twIAC</v>
      </c>
      <c r="B2285" s="570">
        <v>42</v>
      </c>
      <c r="C2285" s="572" t="str">
        <f ca="1">IFERROR(VLOOKUP(B2285,'Coverage Indicators - Section D'!$A$9:$AO$94,41,FALSE),"")</f>
        <v>HPM Other- 3: Pourcentage des établissements de santé disposant de médicaments traceurs pour la tuberculose le jour de la visite ou du rapportage</v>
      </c>
      <c r="D2285" s="574" t="str">
        <f ca="1">M2285</f>
        <v/>
      </c>
      <c r="E2285" s="574" t="str">
        <f ca="1">N2285</f>
        <v/>
      </c>
      <c r="F2285" s="127"/>
      <c r="G2285" s="576" t="str">
        <f ca="1">IF(OR(INDIRECT("'update Helper'!E"&amp;Q2285)="",F2285&lt;&gt;0,F2286&lt;&gt;0),IF(IFERROR((F2285/F2286),"")="","",(F2285/F2286)),INDIRECT("'update Helper'!E"&amp;Q2285)/100)</f>
        <v/>
      </c>
      <c r="H2285" s="539"/>
      <c r="I2285" s="578"/>
      <c r="J2285" s="532"/>
      <c r="K2285" s="126">
        <f ca="1">IF(AND(EXACT(C2285,C2283),C2283&lt;&gt;0),K2283+1,0)</f>
        <v>12</v>
      </c>
      <c r="L2285" s="126" t="str">
        <f t="shared" ref="L2285" ca="1" si="2727">IF(C2285&lt;&gt;"",C2285&amp;"-"&amp;K2285,"")</f>
        <v>HPM Other- 3: Pourcentage des établissements de santé disposant de médicaments traceurs pour la tuberculose le jour de la visite ou du rapportage-12</v>
      </c>
      <c r="M2285" s="126" t="str">
        <f t="array" aca="1" ref="M2285" ca="1">IFERROR(IF(INDEX('Disaggregation Records'!$E$156:$E$517,MATCH(RIGHT(L2285,255),RIGHT('Disaggregation Records'!$D$156:$D$517,255),0))="","",INDEX('Disaggregation Records'!$E$156:$E$517,MATCH(RIGHT(L2285,255),RIGHT('Disaggregation Records'!$D$156:$D$517,255),0))),"")</f>
        <v/>
      </c>
      <c r="N2285" s="126" t="str">
        <f t="array" aca="1" ref="N2285" ca="1">IFERROR(IF(INDEX('Disaggregation Records'!$F$156:$F$517,MATCH(RIGHT(L2285,255),RIGHT('Disaggregation Records'!$D$156:$D$517,255),0))="","",INDEX('Disaggregation Records'!$F$156:$F$517,MATCH(RIGHT(L2285,255),RIGHT('Disaggregation Records'!$D$156:$D$517,255),0))),"")</f>
        <v/>
      </c>
      <c r="O2285" s="314" t="str">
        <f t="array" aca="1" ref="O2285" ca="1">IFERROR(IF(INDEX('Disaggregation Records'!$H$156:$H$517,MATCH(RIGHT(L2285,255),RIGHT('Disaggregation Records'!$D$156:$D$517,255),0))="","",INDEX('Disaggregation Records'!$H$156:$H$517,MATCH(RIGHT(L2285,255),RIGHT('Disaggregation Records'!$D$156:$D$517,255),0))),"")</f>
        <v/>
      </c>
      <c r="P2285" s="310"/>
      <c r="Q2285" s="310">
        <f t="shared" ref="Q2285" si="2728">Q2283+1</f>
        <v>1845</v>
      </c>
      <c r="R2285" s="314" t="str" cm="1">
        <f t="array" aca="1" ref="R2285" ca="1">IFERROR(IF(INDEX('Disaggregation Records'!$G$156:$G$517,MATCH(RIGHT(L2285,255),RIGHT('Disaggregation Records'!$D$156:$D$517,255),0))="","",INDEX('Disaggregation Records'!$G$156:$G$517,MATCH(RIGHT(L2285,255),RIGHT('Disaggregation Records'!$D$156:$D$517,255),0))),"")</f>
        <v/>
      </c>
    </row>
    <row r="2286" spans="1:18" ht="20.100000000000001" customHeight="1">
      <c r="B2286" s="571"/>
      <c r="C2286" s="573"/>
      <c r="D2286" s="575"/>
      <c r="E2286" s="575"/>
      <c r="F2286" s="128"/>
      <c r="G2286" s="577"/>
      <c r="H2286" s="540"/>
      <c r="I2286" s="579"/>
      <c r="J2286" s="533"/>
      <c r="L2286" s="126"/>
      <c r="N2286" s="126"/>
      <c r="O2286" s="314"/>
      <c r="P2286" s="310"/>
      <c r="Q2286" s="310"/>
      <c r="R2286" s="314" t="str" cm="1">
        <f t="array" ref="R2286">IFERROR(IF(INDEX('Disaggregation Records'!$G$156:$G$517,MATCH(RIGHT(L2286,255),RIGHT('Disaggregation Records'!$D$156:$D$517,255),0))="","",INDEX('Disaggregation Records'!$G$156:$G$517,MATCH(RIGHT(L2286,255),RIGHT('Disaggregation Records'!$D$156:$D$517,255),0))),"")</f>
        <v/>
      </c>
    </row>
    <row r="2287" spans="1:18" ht="20.100000000000001" customHeight="1">
      <c r="A2287" s="126" t="str">
        <f t="shared" ref="A2287:A2298" ca="1" si="2729">INDIRECT("'update Helper'!C"&amp;Q2287)</f>
        <v>a16Dm000000M3txIAC</v>
      </c>
      <c r="B2287" s="570">
        <v>42</v>
      </c>
      <c r="C2287" s="572" t="str">
        <f ca="1">IFERROR(VLOOKUP(B2287,'Coverage Indicators - Section D'!$A$9:$AO$94,41,FALSE),"")</f>
        <v>HPM Other- 3: Pourcentage des établissements de santé disposant de médicaments traceurs pour la tuberculose le jour de la visite ou du rapportage</v>
      </c>
      <c r="D2287" s="574" t="str">
        <f ca="1">M2287</f>
        <v/>
      </c>
      <c r="E2287" s="574" t="str">
        <f ca="1">N2287</f>
        <v/>
      </c>
      <c r="F2287" s="127"/>
      <c r="G2287" s="576" t="str">
        <f ca="1">IF(OR(INDIRECT("'update Helper'!E"&amp;Q2287)="",F2287&lt;&gt;0,F2288&lt;&gt;0),IF(IFERROR((F2287/F2288),"")="","",(F2287/F2288)),INDIRECT("'update Helper'!E"&amp;Q2287)/100)</f>
        <v/>
      </c>
      <c r="H2287" s="539"/>
      <c r="I2287" s="578"/>
      <c r="J2287" s="532"/>
      <c r="K2287" s="126">
        <f ca="1">IF(AND(EXACT(C2287,C2285),C2285&lt;&gt;0),K2285+1,0)</f>
        <v>13</v>
      </c>
      <c r="L2287" s="126" t="str">
        <f t="shared" ref="L2287" ca="1" si="2730">IF(C2287&lt;&gt;"",C2287&amp;"-"&amp;K2287,"")</f>
        <v>HPM Other- 3: Pourcentage des établissements de santé disposant de médicaments traceurs pour la tuberculose le jour de la visite ou du rapportage-13</v>
      </c>
      <c r="M2287" s="126" t="str">
        <f t="array" aca="1" ref="M2287" ca="1">IFERROR(IF(INDEX('Disaggregation Records'!$E$156:$E$517,MATCH(RIGHT(L2287,255),RIGHT('Disaggregation Records'!$D$156:$D$517,255),0))="","",INDEX('Disaggregation Records'!$E$156:$E$517,MATCH(RIGHT(L2287,255),RIGHT('Disaggregation Records'!$D$156:$D$517,255),0))),"")</f>
        <v/>
      </c>
      <c r="N2287" s="126" t="str">
        <f t="array" aca="1" ref="N2287" ca="1">IFERROR(IF(INDEX('Disaggregation Records'!$F$156:$F$517,MATCH(RIGHT(L2287,255),RIGHT('Disaggregation Records'!$D$156:$D$517,255),0))="","",INDEX('Disaggregation Records'!$F$156:$F$517,MATCH(RIGHT(L2287,255),RIGHT('Disaggregation Records'!$D$156:$D$517,255),0))),"")</f>
        <v/>
      </c>
      <c r="O2287" s="314" t="str">
        <f t="array" aca="1" ref="O2287" ca="1">IFERROR(IF(INDEX('Disaggregation Records'!$H$156:$H$517,MATCH(RIGHT(L2287,255),RIGHT('Disaggregation Records'!$D$156:$D$517,255),0))="","",INDEX('Disaggregation Records'!$H$156:$H$517,MATCH(RIGHT(L2287,255),RIGHT('Disaggregation Records'!$D$156:$D$517,255),0))),"")</f>
        <v/>
      </c>
      <c r="P2287" s="310"/>
      <c r="Q2287" s="310">
        <f t="shared" ref="Q2287" si="2731">Q2285+1</f>
        <v>1846</v>
      </c>
      <c r="R2287" s="314" t="str" cm="1">
        <f t="array" aca="1" ref="R2287" ca="1">IFERROR(IF(INDEX('Disaggregation Records'!$G$156:$G$517,MATCH(RIGHT(L2287,255),RIGHT('Disaggregation Records'!$D$156:$D$517,255),0))="","",INDEX('Disaggregation Records'!$G$156:$G$517,MATCH(RIGHT(L2287,255),RIGHT('Disaggregation Records'!$D$156:$D$517,255),0))),"")</f>
        <v/>
      </c>
    </row>
    <row r="2288" spans="1:18" ht="20.100000000000001" customHeight="1">
      <c r="A2288" s="126"/>
      <c r="B2288" s="571"/>
      <c r="C2288" s="573"/>
      <c r="D2288" s="575"/>
      <c r="E2288" s="575"/>
      <c r="F2288" s="128"/>
      <c r="G2288" s="577"/>
      <c r="H2288" s="540"/>
      <c r="I2288" s="579"/>
      <c r="J2288" s="533"/>
      <c r="L2288" s="126"/>
      <c r="N2288" s="126"/>
      <c r="O2288" s="314"/>
      <c r="P2288" s="310"/>
      <c r="Q2288" s="310"/>
      <c r="R2288" s="314" t="str" cm="1">
        <f t="array" ref="R2288">IFERROR(IF(INDEX('Disaggregation Records'!$G$156:$G$517,MATCH(RIGHT(L2288,255),RIGHT('Disaggregation Records'!$D$156:$D$517,255),0))="","",INDEX('Disaggregation Records'!$G$156:$G$517,MATCH(RIGHT(L2288,255),RIGHT('Disaggregation Records'!$D$156:$D$517,255),0))),"")</f>
        <v/>
      </c>
    </row>
    <row r="2289" spans="1:18" ht="20.100000000000001" customHeight="1">
      <c r="A2289" s="126" t="str">
        <f t="shared" ref="A2289:A2298" ca="1" si="2732">INDIRECT("'update Helper'!C"&amp;Q2289)</f>
        <v>a16Dm000000M3tyIAC</v>
      </c>
      <c r="B2289" s="570">
        <v>42</v>
      </c>
      <c r="C2289" s="572" t="str">
        <f ca="1">IFERROR(VLOOKUP(B2289,'Coverage Indicators - Section D'!$A$9:$AO$94,41,FALSE),"")</f>
        <v>HPM Other- 3: Pourcentage des établissements de santé disposant de médicaments traceurs pour la tuberculose le jour de la visite ou du rapportage</v>
      </c>
      <c r="D2289" s="574" t="str">
        <f ca="1">M2289</f>
        <v/>
      </c>
      <c r="E2289" s="574" t="str">
        <f ca="1">N2289</f>
        <v/>
      </c>
      <c r="F2289" s="127"/>
      <c r="G2289" s="576" t="str">
        <f ca="1">IF(OR(INDIRECT("'update Helper'!E"&amp;Q2289)="",F2289&lt;&gt;0,F2290&lt;&gt;0),IF(IFERROR((F2289/F2290),"")="","",(F2289/F2290)),INDIRECT("'update Helper'!E"&amp;Q2289)/100)</f>
        <v/>
      </c>
      <c r="H2289" s="539"/>
      <c r="I2289" s="578"/>
      <c r="J2289" s="532"/>
      <c r="K2289" s="126">
        <f ca="1">IF(AND(EXACT(C2289,C2287),C2287&lt;&gt;0),K2287+1,0)</f>
        <v>14</v>
      </c>
      <c r="L2289" s="126" t="str">
        <f t="shared" ref="L2289" ca="1" si="2733">IF(C2289&lt;&gt;"",C2289&amp;"-"&amp;K2289,"")</f>
        <v>HPM Other- 3: Pourcentage des établissements de santé disposant de médicaments traceurs pour la tuberculose le jour de la visite ou du rapportage-14</v>
      </c>
      <c r="M2289" s="126" t="str">
        <f t="array" aca="1" ref="M2289" ca="1">IFERROR(IF(INDEX('Disaggregation Records'!$E$156:$E$517,MATCH(RIGHT(L2289,255),RIGHT('Disaggregation Records'!$D$156:$D$517,255),0))="","",INDEX('Disaggregation Records'!$E$156:$E$517,MATCH(RIGHT(L2289,255),RIGHT('Disaggregation Records'!$D$156:$D$517,255),0))),"")</f>
        <v/>
      </c>
      <c r="N2289" s="126" t="str">
        <f t="array" aca="1" ref="N2289" ca="1">IFERROR(IF(INDEX('Disaggregation Records'!$F$156:$F$517,MATCH(RIGHT(L2289,255),RIGHT('Disaggregation Records'!$D$156:$D$517,255),0))="","",INDEX('Disaggregation Records'!$F$156:$F$517,MATCH(RIGHT(L2289,255),RIGHT('Disaggregation Records'!$D$156:$D$517,255),0))),"")</f>
        <v/>
      </c>
      <c r="O2289" s="314" t="str">
        <f t="array" aca="1" ref="O2289" ca="1">IFERROR(IF(INDEX('Disaggregation Records'!$H$156:$H$517,MATCH(RIGHT(L2289,255),RIGHT('Disaggregation Records'!$D$156:$D$517,255),0))="","",INDEX('Disaggregation Records'!$H$156:$H$517,MATCH(RIGHT(L2289,255),RIGHT('Disaggregation Records'!$D$156:$D$517,255),0))),"")</f>
        <v/>
      </c>
      <c r="P2289" s="314"/>
      <c r="Q2289" s="310">
        <f t="shared" ref="Q2289" si="2734">Q2287+1</f>
        <v>1847</v>
      </c>
      <c r="R2289" s="314" t="str" cm="1">
        <f t="array" aca="1" ref="R2289" ca="1">IFERROR(IF(INDEX('Disaggregation Records'!$G$156:$G$517,MATCH(RIGHT(L2289,255),RIGHT('Disaggregation Records'!$D$156:$D$517,255),0))="","",INDEX('Disaggregation Records'!$G$156:$G$517,MATCH(RIGHT(L2289,255),RIGHT('Disaggregation Records'!$D$156:$D$517,255),0))),"")</f>
        <v/>
      </c>
    </row>
    <row r="2290" spans="1:18" ht="20.100000000000001" customHeight="1">
      <c r="B2290" s="571"/>
      <c r="C2290" s="573"/>
      <c r="D2290" s="575"/>
      <c r="E2290" s="575"/>
      <c r="F2290" s="128"/>
      <c r="G2290" s="577"/>
      <c r="H2290" s="540"/>
      <c r="I2290" s="579"/>
      <c r="J2290" s="533"/>
      <c r="K2290" s="126"/>
      <c r="L2290" s="126"/>
      <c r="M2290" s="126"/>
      <c r="N2290" s="126"/>
      <c r="O2290" s="314"/>
      <c r="P2290" s="314"/>
      <c r="Q2290" s="310"/>
      <c r="R2290" s="314" t="str" cm="1">
        <f t="array" ref="R2290">IFERROR(IF(INDEX('Disaggregation Records'!$G$156:$G$517,MATCH(RIGHT(L2290,255),RIGHT('Disaggregation Records'!$D$156:$D$517,255),0))="","",INDEX('Disaggregation Records'!$G$156:$G$517,MATCH(RIGHT(L2290,255),RIGHT('Disaggregation Records'!$D$156:$D$517,255),0))),"")</f>
        <v/>
      </c>
    </row>
    <row r="2291" spans="1:18" ht="20.100000000000001" customHeight="1">
      <c r="A2291" s="126" t="str">
        <f t="shared" ref="A2291:A2298" ca="1" si="2735">INDIRECT("'update Helper'!C"&amp;Q2291)</f>
        <v>a16Dm000000M3tzIAC</v>
      </c>
      <c r="B2291" s="570">
        <v>42</v>
      </c>
      <c r="C2291" s="572" t="str">
        <f ca="1">IFERROR(VLOOKUP(B2291,'Coverage Indicators - Section D'!$A$9:$AO$94,41,FALSE),"")</f>
        <v>HPM Other- 3: Pourcentage des établissements de santé disposant de médicaments traceurs pour la tuberculose le jour de la visite ou du rapportage</v>
      </c>
      <c r="D2291" s="574" t="str">
        <f ca="1">M2291</f>
        <v/>
      </c>
      <c r="E2291" s="574" t="str">
        <f ca="1">N2291</f>
        <v/>
      </c>
      <c r="F2291" s="127"/>
      <c r="G2291" s="576" t="str">
        <f ca="1">IF(OR(INDIRECT("'update Helper'!E"&amp;Q2291)="",F2291&lt;&gt;0,F2292&lt;&gt;0),IF(IFERROR((F2291/F2292),"")="","",(F2291/F2292)),INDIRECT("'update Helper'!E"&amp;Q2291)/100)</f>
        <v/>
      </c>
      <c r="H2291" s="539"/>
      <c r="I2291" s="578"/>
      <c r="J2291" s="532"/>
      <c r="K2291" s="126">
        <f ca="1">IF(AND(EXACT(C2291,C2289),C2289&lt;&gt;0),K2289+1,0)</f>
        <v>15</v>
      </c>
      <c r="L2291" s="126" t="str">
        <f t="shared" ref="L2291" ca="1" si="2736">IF(C2291&lt;&gt;"",C2291&amp;"-"&amp;K2291,"")</f>
        <v>HPM Other- 3: Pourcentage des établissements de santé disposant de médicaments traceurs pour la tuberculose le jour de la visite ou du rapportage-15</v>
      </c>
      <c r="M2291" s="126" t="str">
        <f t="array" aca="1" ref="M2291" ca="1">IFERROR(IF(INDEX('Disaggregation Records'!$E$156:$E$517,MATCH(RIGHT(L2291,255),RIGHT('Disaggregation Records'!$D$156:$D$517,255),0))="","",INDEX('Disaggregation Records'!$E$156:$E$517,MATCH(RIGHT(L2291,255),RIGHT('Disaggregation Records'!$D$156:$D$517,255),0))),"")</f>
        <v/>
      </c>
      <c r="N2291" s="126" t="str">
        <f t="array" aca="1" ref="N2291" ca="1">IFERROR(IF(INDEX('Disaggregation Records'!$F$156:$F$517,MATCH(RIGHT(L2291,255),RIGHT('Disaggregation Records'!$D$156:$D$517,255),0))="","",INDEX('Disaggregation Records'!$F$156:$F$517,MATCH(RIGHT(L2291,255),RIGHT('Disaggregation Records'!$D$156:$D$517,255),0))),"")</f>
        <v/>
      </c>
      <c r="O2291" s="314" t="str">
        <f t="array" aca="1" ref="O2291" ca="1">IFERROR(IF(INDEX('Disaggregation Records'!$H$156:$H$517,MATCH(RIGHT(L2291,255),RIGHT('Disaggregation Records'!$D$156:$D$517,255),0))="","",INDEX('Disaggregation Records'!$H$156:$H$517,MATCH(RIGHT(L2291,255),RIGHT('Disaggregation Records'!$D$156:$D$517,255),0))),"")</f>
        <v/>
      </c>
      <c r="P2291" s="314"/>
      <c r="Q2291" s="310">
        <f t="shared" ref="Q2291" si="2737">Q2289+1</f>
        <v>1848</v>
      </c>
      <c r="R2291" s="314" t="str" cm="1">
        <f t="array" aca="1" ref="R2291" ca="1">IFERROR(IF(INDEX('Disaggregation Records'!$G$156:$G$517,MATCH(RIGHT(L2291,255),RIGHT('Disaggregation Records'!$D$156:$D$517,255),0))="","",INDEX('Disaggregation Records'!$G$156:$G$517,MATCH(RIGHT(L2291,255),RIGHT('Disaggregation Records'!$D$156:$D$517,255),0))),"")</f>
        <v/>
      </c>
    </row>
    <row r="2292" spans="1:18" ht="20.100000000000001" customHeight="1">
      <c r="A2292" s="126"/>
      <c r="B2292" s="571"/>
      <c r="C2292" s="573"/>
      <c r="D2292" s="575"/>
      <c r="E2292" s="575"/>
      <c r="F2292" s="128"/>
      <c r="G2292" s="577"/>
      <c r="H2292" s="540"/>
      <c r="I2292" s="579"/>
      <c r="J2292" s="533"/>
      <c r="K2292" s="126"/>
      <c r="L2292" s="126"/>
      <c r="M2292" s="126"/>
      <c r="N2292" s="126"/>
      <c r="O2292" s="314"/>
      <c r="P2292" s="314"/>
      <c r="Q2292" s="310"/>
      <c r="R2292" s="314" t="str" cm="1">
        <f t="array" ref="R2292">IFERROR(IF(INDEX('Disaggregation Records'!$G$156:$G$517,MATCH(RIGHT(L2292,255),RIGHT('Disaggregation Records'!$D$156:$D$517,255),0))="","",INDEX('Disaggregation Records'!$G$156:$G$517,MATCH(RIGHT(L2292,255),RIGHT('Disaggregation Records'!$D$156:$D$517,255),0))),"")</f>
        <v/>
      </c>
    </row>
    <row r="2293" spans="1:18" ht="20.100000000000001" customHeight="1">
      <c r="A2293" s="126" t="str">
        <f t="shared" ref="A2293:A2298" ca="1" si="2738">INDIRECT("'update Helper'!C"&amp;Q2293)</f>
        <v>a16Dm000000M3u0IAC</v>
      </c>
      <c r="B2293" s="570">
        <v>42</v>
      </c>
      <c r="C2293" s="572" t="str">
        <f ca="1">IFERROR(VLOOKUP(B2293,'Coverage Indicators - Section D'!$A$9:$AO$94,41,FALSE),"")</f>
        <v>HPM Other- 3: Pourcentage des établissements de santé disposant de médicaments traceurs pour la tuberculose le jour de la visite ou du rapportage</v>
      </c>
      <c r="D2293" s="574" t="str">
        <f ca="1">M2293</f>
        <v/>
      </c>
      <c r="E2293" s="574" t="str">
        <f ca="1">N2293</f>
        <v/>
      </c>
      <c r="F2293" s="127"/>
      <c r="G2293" s="576" t="str">
        <f ca="1">IF(OR(INDIRECT("'update Helper'!E"&amp;Q2293)="",F2293&lt;&gt;0,F2294&lt;&gt;0),IF(IFERROR((F2293/F2294),"")="","",(F2293/F2294)),INDIRECT("'update Helper'!E"&amp;Q2293)/100)</f>
        <v/>
      </c>
      <c r="H2293" s="539"/>
      <c r="I2293" s="578"/>
      <c r="J2293" s="532"/>
      <c r="K2293" s="126">
        <f ca="1">IF(AND(EXACT(C2293,C2291),C2291&lt;&gt;0),K2291+1,0)</f>
        <v>16</v>
      </c>
      <c r="L2293" s="126" t="str">
        <f t="shared" ref="L2293" ca="1" si="2739">IF(C2293&lt;&gt;"",C2293&amp;"-"&amp;K2293,"")</f>
        <v>HPM Other- 3: Pourcentage des établissements de santé disposant de médicaments traceurs pour la tuberculose le jour de la visite ou du rapportage-16</v>
      </c>
      <c r="M2293" s="126" t="str">
        <f t="array" aca="1" ref="M2293" ca="1">IFERROR(IF(INDEX('Disaggregation Records'!$E$156:$E$517,MATCH(RIGHT(L2293,255),RIGHT('Disaggregation Records'!$D$156:$D$517,255),0))="","",INDEX('Disaggregation Records'!$E$156:$E$517,MATCH(RIGHT(L2293,255),RIGHT('Disaggregation Records'!$D$156:$D$517,255),0))),"")</f>
        <v/>
      </c>
      <c r="N2293" s="126" t="str">
        <f t="array" aca="1" ref="N2293" ca="1">IFERROR(IF(INDEX('Disaggregation Records'!$F$156:$F$517,MATCH(RIGHT(L2293,255),RIGHT('Disaggregation Records'!$D$156:$D$517,255),0))="","",INDEX('Disaggregation Records'!$F$156:$F$517,MATCH(RIGHT(L2293,255),RIGHT('Disaggregation Records'!$D$156:$D$517,255),0))),"")</f>
        <v/>
      </c>
      <c r="O2293" s="314" t="str">
        <f t="array" aca="1" ref="O2293" ca="1">IFERROR(IF(INDEX('Disaggregation Records'!$H$156:$H$517,MATCH(RIGHT(L2293,255),RIGHT('Disaggregation Records'!$D$156:$D$517,255),0))="","",INDEX('Disaggregation Records'!$H$156:$H$517,MATCH(RIGHT(L2293,255),RIGHT('Disaggregation Records'!$D$156:$D$517,255),0))),"")</f>
        <v/>
      </c>
      <c r="P2293" s="310"/>
      <c r="Q2293" s="310">
        <f t="shared" ref="Q2293" si="2740">Q2291+1</f>
        <v>1849</v>
      </c>
      <c r="R2293" s="314" t="str" cm="1">
        <f t="array" aca="1" ref="R2293" ca="1">IFERROR(IF(INDEX('Disaggregation Records'!$G$156:$G$517,MATCH(RIGHT(L2293,255),RIGHT('Disaggregation Records'!$D$156:$D$517,255),0))="","",INDEX('Disaggregation Records'!$G$156:$G$517,MATCH(RIGHT(L2293,255),RIGHT('Disaggregation Records'!$D$156:$D$517,255),0))),"")</f>
        <v/>
      </c>
    </row>
    <row r="2294" spans="1:18" ht="20.100000000000001" customHeight="1">
      <c r="B2294" s="571"/>
      <c r="C2294" s="573"/>
      <c r="D2294" s="575"/>
      <c r="E2294" s="575"/>
      <c r="F2294" s="128"/>
      <c r="G2294" s="577"/>
      <c r="H2294" s="540"/>
      <c r="I2294" s="579"/>
      <c r="J2294" s="533"/>
      <c r="L2294" s="126"/>
      <c r="N2294" s="126"/>
      <c r="O2294" s="314"/>
      <c r="P2294" s="310"/>
      <c r="Q2294" s="310"/>
      <c r="R2294" s="314" t="str" cm="1">
        <f t="array" ref="R2294">IFERROR(IF(INDEX('Disaggregation Records'!$G$156:$G$517,MATCH(RIGHT(L2294,255),RIGHT('Disaggregation Records'!$D$156:$D$517,255),0))="","",INDEX('Disaggregation Records'!$G$156:$G$517,MATCH(RIGHT(L2294,255),RIGHT('Disaggregation Records'!$D$156:$D$517,255),0))),"")</f>
        <v/>
      </c>
    </row>
    <row r="2295" spans="1:18" ht="20.100000000000001" customHeight="1">
      <c r="A2295" s="126" t="str">
        <f t="shared" ref="A2295:A2298" ca="1" si="2741">INDIRECT("'update Helper'!C"&amp;Q2295)</f>
        <v>a16Dm000000M3u1IAC</v>
      </c>
      <c r="B2295" s="570">
        <v>42</v>
      </c>
      <c r="C2295" s="572" t="str">
        <f ca="1">IFERROR(VLOOKUP(B2295,'Coverage Indicators - Section D'!$A$9:$AO$94,41,FALSE),"")</f>
        <v>HPM Other- 3: Pourcentage des établissements de santé disposant de médicaments traceurs pour la tuberculose le jour de la visite ou du rapportage</v>
      </c>
      <c r="D2295" s="574" t="str">
        <f ca="1">M2295</f>
        <v/>
      </c>
      <c r="E2295" s="574" t="str">
        <f ca="1">N2295</f>
        <v/>
      </c>
      <c r="F2295" s="127"/>
      <c r="G2295" s="576" t="str">
        <f ca="1">IF(OR(INDIRECT("'update Helper'!E"&amp;Q2295)="",F2295&lt;&gt;0,F2296&lt;&gt;0),IF(IFERROR((F2295/F2296),"")="","",(F2295/F2296)),INDIRECT("'update Helper'!E"&amp;Q2295)/100)</f>
        <v/>
      </c>
      <c r="H2295" s="539"/>
      <c r="I2295" s="578"/>
      <c r="J2295" s="532"/>
      <c r="K2295" s="126">
        <f ca="1">IF(AND(EXACT(C2295,C2293),C2293&lt;&gt;0),K2293+1,0)</f>
        <v>17</v>
      </c>
      <c r="L2295" s="126" t="str">
        <f t="shared" ref="L2295" ca="1" si="2742">IF(C2295&lt;&gt;"",C2295&amp;"-"&amp;K2295,"")</f>
        <v>HPM Other- 3: Pourcentage des établissements de santé disposant de médicaments traceurs pour la tuberculose le jour de la visite ou du rapportage-17</v>
      </c>
      <c r="M2295" s="126" t="str">
        <f t="array" aca="1" ref="M2295" ca="1">IFERROR(IF(INDEX('Disaggregation Records'!$E$156:$E$517,MATCH(RIGHT(L2295,255),RIGHT('Disaggregation Records'!$D$156:$D$517,255),0))="","",INDEX('Disaggregation Records'!$E$156:$E$517,MATCH(RIGHT(L2295,255),RIGHT('Disaggregation Records'!$D$156:$D$517,255),0))),"")</f>
        <v/>
      </c>
      <c r="N2295" s="126" t="str">
        <f t="array" aca="1" ref="N2295" ca="1">IFERROR(IF(INDEX('Disaggregation Records'!$F$156:$F$517,MATCH(RIGHT(L2295,255),RIGHT('Disaggregation Records'!$D$156:$D$517,255),0))="","",INDEX('Disaggregation Records'!$F$156:$F$517,MATCH(RIGHT(L2295,255),RIGHT('Disaggregation Records'!$D$156:$D$517,255),0))),"")</f>
        <v/>
      </c>
      <c r="O2295" s="314" t="str">
        <f t="array" aca="1" ref="O2295" ca="1">IFERROR(IF(INDEX('Disaggregation Records'!$H$156:$H$517,MATCH(RIGHT(L2295,255),RIGHT('Disaggregation Records'!$D$156:$D$517,255),0))="","",INDEX('Disaggregation Records'!$H$156:$H$517,MATCH(RIGHT(L2295,255),RIGHT('Disaggregation Records'!$D$156:$D$517,255),0))),"")</f>
        <v/>
      </c>
      <c r="P2295" s="310"/>
      <c r="Q2295" s="310">
        <f t="shared" ref="Q2295" si="2743">Q2293+1</f>
        <v>1850</v>
      </c>
      <c r="R2295" s="314" t="str" cm="1">
        <f t="array" aca="1" ref="R2295" ca="1">IFERROR(IF(INDEX('Disaggregation Records'!$G$156:$G$517,MATCH(RIGHT(L2295,255),RIGHT('Disaggregation Records'!$D$156:$D$517,255),0))="","",INDEX('Disaggregation Records'!$G$156:$G$517,MATCH(RIGHT(L2295,255),RIGHT('Disaggregation Records'!$D$156:$D$517,255),0))),"")</f>
        <v/>
      </c>
    </row>
    <row r="2296" spans="1:18" ht="20.100000000000001" customHeight="1">
      <c r="A2296" s="126"/>
      <c r="B2296" s="571"/>
      <c r="C2296" s="573"/>
      <c r="D2296" s="575"/>
      <c r="E2296" s="575"/>
      <c r="F2296" s="128"/>
      <c r="G2296" s="577"/>
      <c r="H2296" s="540"/>
      <c r="I2296" s="579"/>
      <c r="J2296" s="533"/>
      <c r="L2296" s="126"/>
      <c r="N2296" s="126"/>
      <c r="O2296" s="314"/>
      <c r="P2296" s="310"/>
      <c r="Q2296" s="310"/>
      <c r="R2296" s="314" t="str" cm="1">
        <f t="array" ref="R2296">IFERROR(IF(INDEX('Disaggregation Records'!$G$156:$G$517,MATCH(RIGHT(L2296,255),RIGHT('Disaggregation Records'!$D$156:$D$517,255),0))="","",INDEX('Disaggregation Records'!$G$156:$G$517,MATCH(RIGHT(L2296,255),RIGHT('Disaggregation Records'!$D$156:$D$517,255),0))),"")</f>
        <v/>
      </c>
    </row>
    <row r="2297" spans="1:18" ht="20.100000000000001" customHeight="1">
      <c r="A2297" s="126" t="str">
        <f t="shared" ref="A2297:A2298" ca="1" si="2744">INDIRECT("'update Helper'!C"&amp;Q2297)</f>
        <v>a16Dm000000M3u2IAC</v>
      </c>
      <c r="B2297" s="570">
        <v>42</v>
      </c>
      <c r="C2297" s="572" t="str">
        <f ca="1">IFERROR(VLOOKUP(B2297,'Coverage Indicators - Section D'!$A$9:$AO$94,41,FALSE),"")</f>
        <v>HPM Other- 3: Pourcentage des établissements de santé disposant de médicaments traceurs pour la tuberculose le jour de la visite ou du rapportage</v>
      </c>
      <c r="D2297" s="574" t="str">
        <f ca="1">M2297</f>
        <v/>
      </c>
      <c r="E2297" s="574" t="str">
        <f ca="1">N2297</f>
        <v/>
      </c>
      <c r="F2297" s="127"/>
      <c r="G2297" s="576" t="str">
        <f ca="1">IF(OR(INDIRECT("'update Helper'!E"&amp;Q2297)="",F2297&lt;&gt;0,F2298&lt;&gt;0),IF(IFERROR((F2297/F2298),"")="","",(F2297/F2298)),INDIRECT("'update Helper'!E"&amp;Q2297)/100)</f>
        <v/>
      </c>
      <c r="H2297" s="539"/>
      <c r="I2297" s="578"/>
      <c r="J2297" s="532"/>
      <c r="K2297" s="126">
        <f ca="1">IF(AND(EXACT(C2297,C2295),C2295&lt;&gt;0),K2295+1,0)</f>
        <v>18</v>
      </c>
      <c r="L2297" s="126" t="str">
        <f t="shared" ref="L2297" ca="1" si="2745">IF(C2297&lt;&gt;"",C2297&amp;"-"&amp;K2297,"")</f>
        <v>HPM Other- 3: Pourcentage des établissements de santé disposant de médicaments traceurs pour la tuberculose le jour de la visite ou du rapportage-18</v>
      </c>
      <c r="M2297" s="126" t="str">
        <f t="array" aca="1" ref="M2297" ca="1">IFERROR(IF(INDEX('Disaggregation Records'!$E$156:$E$517,MATCH(RIGHT(L2297,255),RIGHT('Disaggregation Records'!$D$156:$D$517,255),0))="","",INDEX('Disaggregation Records'!$E$156:$E$517,MATCH(RIGHT(L2297,255),RIGHT('Disaggregation Records'!$D$156:$D$517,255),0))),"")</f>
        <v/>
      </c>
      <c r="N2297" s="126" t="str">
        <f t="array" aca="1" ref="N2297" ca="1">IFERROR(IF(INDEX('Disaggregation Records'!$F$156:$F$517,MATCH(RIGHT(L2297,255),RIGHT('Disaggregation Records'!$D$156:$D$517,255),0))="","",INDEX('Disaggregation Records'!$F$156:$F$517,MATCH(RIGHT(L2297,255),RIGHT('Disaggregation Records'!$D$156:$D$517,255),0))),"")</f>
        <v/>
      </c>
      <c r="O2297" s="314" t="str">
        <f t="array" aca="1" ref="O2297" ca="1">IFERROR(IF(INDEX('Disaggregation Records'!$H$156:$H$517,MATCH(RIGHT(L2297,255),RIGHT('Disaggregation Records'!$D$156:$D$517,255),0))="","",INDEX('Disaggregation Records'!$H$156:$H$517,MATCH(RIGHT(L2297,255),RIGHT('Disaggregation Records'!$D$156:$D$517,255),0))),"")</f>
        <v/>
      </c>
      <c r="P2297" s="310"/>
      <c r="Q2297" s="310">
        <f t="shared" ref="Q2297" si="2746">Q2295+1</f>
        <v>1851</v>
      </c>
      <c r="R2297" s="314" t="str" cm="1">
        <f t="array" aca="1" ref="R2297" ca="1">IFERROR(IF(INDEX('Disaggregation Records'!$G$156:$G$517,MATCH(RIGHT(L2297,255),RIGHT('Disaggregation Records'!$D$156:$D$517,255),0))="","",INDEX('Disaggregation Records'!$G$156:$G$517,MATCH(RIGHT(L2297,255),RIGHT('Disaggregation Records'!$D$156:$D$517,255),0))),"")</f>
        <v/>
      </c>
    </row>
    <row r="2298" spans="1:18" ht="20.100000000000001" customHeight="1">
      <c r="B2298" s="571"/>
      <c r="C2298" s="573"/>
      <c r="D2298" s="575"/>
      <c r="E2298" s="575"/>
      <c r="F2298" s="128"/>
      <c r="G2298" s="577"/>
      <c r="H2298" s="540"/>
      <c r="I2298" s="579"/>
      <c r="J2298" s="533"/>
      <c r="L2298" s="126"/>
      <c r="N2298" s="126"/>
      <c r="O2298" s="314"/>
      <c r="P2298" s="310"/>
      <c r="Q2298" s="310"/>
      <c r="R2298" s="314" t="str" cm="1">
        <f t="array" ref="R2298">IFERROR(IF(INDEX('Disaggregation Records'!$G$156:$G$517,MATCH(RIGHT(L2298,255),RIGHT('Disaggregation Records'!$D$156:$D$517,255),0))="","",INDEX('Disaggregation Records'!$G$156:$G$517,MATCH(RIGHT(L2298,255),RIGHT('Disaggregation Records'!$D$156:$D$517,255),0))),"")</f>
        <v/>
      </c>
    </row>
    <row r="2299" spans="1:18" ht="20.100000000000001" customHeight="1">
      <c r="A2299" s="126" t="str">
        <f t="shared" ca="1" si="1982"/>
        <v>a16Dm000000M3zqIAC</v>
      </c>
      <c r="B2299" s="570">
        <v>42</v>
      </c>
      <c r="C2299" s="572" t="str">
        <f ca="1">IFERROR(VLOOKUP(B2299,'Coverage Indicators - Section D'!$A$9:$AO$94,41,FALSE),"")</f>
        <v>HPM Other- 3: Pourcentage des établissements de santé disposant de médicaments traceurs pour la tuberculose le jour de la visite ou du rapportage</v>
      </c>
      <c r="D2299" s="574" t="str">
        <f ca="1">M2299</f>
        <v/>
      </c>
      <c r="E2299" s="574" t="str">
        <f ca="1">N2299</f>
        <v/>
      </c>
      <c r="F2299" s="127"/>
      <c r="G2299" s="576" t="str">
        <f ca="1">IF(OR(INDIRECT("'update Helper'!E"&amp;Q2299)="",F2299&lt;&gt;0,F2300&lt;&gt;0),IF(IFERROR((F2299/F2300),"")="","",(F2299/F2300)),INDIRECT("'update Helper'!E"&amp;Q2299)/100)</f>
        <v/>
      </c>
      <c r="H2299" s="539"/>
      <c r="I2299" s="578"/>
      <c r="J2299" s="532"/>
      <c r="K2299" s="126">
        <f ca="1">IF(AND(EXACT(C2299,C2297),C2297&lt;&gt;0),K2297+1,0)</f>
        <v>19</v>
      </c>
      <c r="L2299" s="126" t="str">
        <f t="shared" ref="L2299" ca="1" si="2747">IF(C2299&lt;&gt;"",C2299&amp;"-"&amp;K2299,"")</f>
        <v>HPM Other- 3: Pourcentage des établissements de santé disposant de médicaments traceurs pour la tuberculose le jour de la visite ou du rapportage-19</v>
      </c>
      <c r="M2299" s="126" t="str">
        <f t="array" aca="1" ref="M2299" ca="1">IFERROR(IF(INDEX('Disaggregation Records'!$E$156:$E$517,MATCH(RIGHT(L2299,255),RIGHT('Disaggregation Records'!$D$156:$D$517,255),0))="","",INDEX('Disaggregation Records'!$E$156:$E$517,MATCH(RIGHT(L2299,255),RIGHT('Disaggregation Records'!$D$156:$D$517,255),0))),"")</f>
        <v/>
      </c>
      <c r="N2299" s="126" t="str">
        <f t="array" aca="1" ref="N2299" ca="1">IFERROR(IF(INDEX('Disaggregation Records'!$F$156:$F$517,MATCH(RIGHT(L2299,255),RIGHT('Disaggregation Records'!$D$156:$D$517,255),0))="","",INDEX('Disaggregation Records'!$F$156:$F$517,MATCH(RIGHT(L2299,255),RIGHT('Disaggregation Records'!$D$156:$D$517,255),0))),"")</f>
        <v/>
      </c>
      <c r="O2299" s="314" t="str">
        <f t="array" aca="1" ref="O2299" ca="1">IFERROR(IF(INDEX('Disaggregation Records'!$H$156:$H$517,MATCH(RIGHT(L2299,255),RIGHT('Disaggregation Records'!$D$156:$D$517,255),0))="","",INDEX('Disaggregation Records'!$H$156:$H$517,MATCH(RIGHT(L2299,255),RIGHT('Disaggregation Records'!$D$156:$D$517,255),0))),"")</f>
        <v/>
      </c>
      <c r="P2299" s="310"/>
      <c r="Q2299" s="310">
        <f t="shared" ref="Q2299" si="2748">Q1817+1</f>
        <v>2211</v>
      </c>
      <c r="R2299" s="314" t="str" cm="1">
        <f t="array" aca="1" ref="R2299" ca="1">IFERROR(IF(INDEX('Disaggregation Records'!$G$156:$G$517,MATCH(RIGHT(L2299,255),RIGHT('Disaggregation Records'!$D$156:$D$517,255),0))="","",INDEX('Disaggregation Records'!$G$156:$G$517,MATCH(RIGHT(L2299,255),RIGHT('Disaggregation Records'!$D$156:$D$517,255),0))),"")</f>
        <v/>
      </c>
    </row>
    <row r="2300" spans="1:18" ht="20.100000000000001" customHeight="1">
      <c r="B2300" s="571"/>
      <c r="C2300" s="573"/>
      <c r="D2300" s="575"/>
      <c r="E2300" s="575"/>
      <c r="F2300" s="128"/>
      <c r="G2300" s="577"/>
      <c r="H2300" s="540"/>
      <c r="I2300" s="579"/>
      <c r="J2300" s="533"/>
      <c r="L2300" s="126"/>
      <c r="N2300" s="126"/>
      <c r="O2300" s="314"/>
      <c r="P2300" s="310"/>
      <c r="Q2300" s="310"/>
      <c r="R2300" s="314" t="str" cm="1">
        <f t="array" ref="R2300">IFERROR(IF(INDEX('Disaggregation Records'!$G$156:$G$517,MATCH(RIGHT(L2300,255),RIGHT('Disaggregation Records'!$D$156:$D$517,255),0))="","",INDEX('Disaggregation Records'!$G$156:$G$517,MATCH(RIGHT(L2300,255),RIGHT('Disaggregation Records'!$D$156:$D$517,255),0))),"")</f>
        <v/>
      </c>
    </row>
    <row r="2301" spans="1:18">
      <c r="B2301" s="132"/>
      <c r="C2301" s="132"/>
      <c r="D2301" s="132"/>
      <c r="E2301" s="132"/>
      <c r="N2301" s="126" t="str">
        <f t="array" ref="N2301">IFERROR(IF(INDEX('Disaggregation Records'!$F$156:$F$517,MATCH(RIGHT(L2301,255),RIGHT('Disaggregation Records'!$D$156:$D$517,255),0))="","",INDEX('Disaggregation Records'!$F$156:$F$517,MATCH(RIGHT(L2301,255),RIGHT('Disaggregation Records'!$D$156:$D$517,255),0))),"")</f>
        <v/>
      </c>
      <c r="O2301" s="126" t="str">
        <f t="array" ref="O2301">IFERROR(IF(INDEX('Disaggregation Records'!$H$156:$H$517,MATCH(RIGHT(L2301,255),RIGHT('Disaggregation Records'!$D$156:$D$517,255),0))="","",INDEX('Disaggregation Records'!$H$156:$H$517,MATCH(RIGHT(L2301,255),RIGHT('Disaggregation Records'!$D$156:$D$517,255),0))),"")</f>
        <v/>
      </c>
    </row>
    <row r="2302" spans="1:18">
      <c r="B2302" s="132"/>
      <c r="C2302" s="132"/>
      <c r="D2302" s="132"/>
      <c r="E2302" s="132"/>
    </row>
    <row r="2303" spans="1:18">
      <c r="B2303" s="132"/>
      <c r="C2303" s="132"/>
      <c r="D2303" s="132"/>
      <c r="E2303" s="132"/>
    </row>
    <row r="2304" spans="1:18">
      <c r="B2304" s="132"/>
      <c r="C2304" s="132"/>
      <c r="D2304" s="132"/>
      <c r="E2304" s="132"/>
    </row>
    <row r="2305" spans="2:5">
      <c r="B2305" s="132"/>
      <c r="C2305" s="132"/>
      <c r="D2305" s="132"/>
      <c r="E2305" s="132"/>
    </row>
    <row r="2306" spans="2:5">
      <c r="B2306" s="132"/>
      <c r="C2306" s="132"/>
      <c r="D2306" s="132"/>
      <c r="E2306" s="132"/>
    </row>
    <row r="2307" spans="2:5">
      <c r="B2307" s="132"/>
      <c r="C2307" s="132"/>
      <c r="D2307" s="132"/>
      <c r="E2307" s="132"/>
    </row>
    <row r="2308" spans="2:5">
      <c r="B2308" s="132"/>
      <c r="C2308" s="132"/>
      <c r="D2308" s="132"/>
      <c r="E2308" s="132"/>
    </row>
    <row r="2309" spans="2:5">
      <c r="B2309" s="132"/>
      <c r="C2309" s="132"/>
      <c r="D2309" s="132"/>
      <c r="E2309" s="132"/>
    </row>
    <row r="2310" spans="2:5">
      <c r="B2310" s="132"/>
      <c r="C2310" s="132"/>
      <c r="D2310" s="132"/>
      <c r="E2310" s="132"/>
    </row>
    <row r="2311" spans="2:5">
      <c r="B2311" s="132"/>
      <c r="C2311" s="132"/>
      <c r="D2311" s="132"/>
      <c r="E2311" s="132"/>
    </row>
    <row r="2312" spans="2:5">
      <c r="B2312" s="132"/>
      <c r="C2312" s="132"/>
      <c r="D2312" s="132"/>
      <c r="E2312" s="132"/>
    </row>
    <row r="2313" spans="2:5">
      <c r="B2313" s="132"/>
      <c r="C2313" s="132"/>
      <c r="D2313" s="132"/>
      <c r="E2313" s="132"/>
    </row>
    <row r="2314" spans="2:5">
      <c r="B2314" s="132"/>
      <c r="C2314" s="132"/>
      <c r="D2314" s="132"/>
      <c r="E2314" s="132"/>
    </row>
    <row r="2315" spans="2:5">
      <c r="B2315" s="132"/>
      <c r="C2315" s="132"/>
      <c r="D2315" s="132"/>
      <c r="E2315" s="132"/>
    </row>
    <row r="2316" spans="2:5">
      <c r="B2316" s="132"/>
      <c r="C2316" s="132"/>
      <c r="D2316" s="132"/>
      <c r="E2316" s="132"/>
    </row>
    <row r="2317" spans="2:5">
      <c r="B2317" s="132"/>
      <c r="C2317" s="132"/>
      <c r="D2317" s="132"/>
      <c r="E2317" s="132"/>
    </row>
    <row r="2318" spans="2:5">
      <c r="B2318" s="132"/>
      <c r="C2318" s="132"/>
      <c r="D2318" s="132"/>
      <c r="E2318" s="132"/>
    </row>
    <row r="2319" spans="2:5">
      <c r="B2319" s="132"/>
      <c r="C2319" s="132"/>
      <c r="D2319" s="132"/>
      <c r="E2319" s="132"/>
    </row>
    <row r="2320" spans="2:5">
      <c r="B2320" s="132"/>
      <c r="C2320" s="132"/>
      <c r="D2320" s="132"/>
      <c r="E2320" s="132"/>
    </row>
    <row r="2321" spans="2:5">
      <c r="B2321" s="132"/>
      <c r="C2321" s="132"/>
      <c r="D2321" s="132"/>
      <c r="E2321" s="132"/>
    </row>
    <row r="2322" spans="2:5">
      <c r="B2322" s="132"/>
      <c r="C2322" s="132"/>
      <c r="D2322" s="132"/>
      <c r="E2322" s="132"/>
    </row>
    <row r="2323" spans="2:5">
      <c r="B2323" s="132"/>
      <c r="C2323" s="132"/>
      <c r="D2323" s="132"/>
      <c r="E2323" s="132"/>
    </row>
    <row r="2324" spans="2:5">
      <c r="B2324" s="132"/>
      <c r="C2324" s="132"/>
      <c r="D2324" s="132"/>
      <c r="E2324" s="132"/>
    </row>
    <row r="2325" spans="2:5">
      <c r="B2325" s="132"/>
      <c r="C2325" s="132"/>
      <c r="D2325" s="132"/>
      <c r="E2325" s="132"/>
    </row>
    <row r="2326" spans="2:5">
      <c r="B2326" s="132"/>
      <c r="C2326" s="132"/>
      <c r="D2326" s="132"/>
      <c r="E2326" s="132"/>
    </row>
    <row r="2327" spans="2:5">
      <c r="B2327" s="132"/>
      <c r="C2327" s="132"/>
      <c r="D2327" s="132"/>
      <c r="E2327" s="132"/>
    </row>
    <row r="2328" spans="2:5">
      <c r="B2328" s="132"/>
      <c r="C2328" s="132"/>
      <c r="D2328" s="132"/>
      <c r="E2328" s="132"/>
    </row>
    <row r="2329" spans="2:5">
      <c r="B2329" s="132"/>
      <c r="C2329" s="132"/>
      <c r="D2329" s="132"/>
      <c r="E2329" s="132"/>
    </row>
    <row r="2330" spans="2:5">
      <c r="B2330" s="132"/>
      <c r="C2330" s="132"/>
      <c r="D2330" s="132"/>
      <c r="E2330" s="132"/>
    </row>
    <row r="2331" spans="2:5">
      <c r="B2331" s="132"/>
      <c r="C2331" s="132"/>
      <c r="D2331" s="132"/>
      <c r="E2331" s="132"/>
    </row>
    <row r="2332" spans="2:5">
      <c r="B2332" s="132"/>
      <c r="C2332" s="132"/>
      <c r="D2332" s="132"/>
      <c r="E2332" s="132"/>
    </row>
    <row r="2333" spans="2:5">
      <c r="B2333" s="132"/>
      <c r="C2333" s="132"/>
      <c r="D2333" s="132"/>
      <c r="E2333" s="132"/>
    </row>
    <row r="2334" spans="2:5">
      <c r="B2334" s="132"/>
      <c r="C2334" s="132"/>
      <c r="D2334" s="132"/>
      <c r="E2334" s="132"/>
    </row>
    <row r="2335" spans="2:5">
      <c r="B2335" s="132"/>
      <c r="C2335" s="132"/>
      <c r="D2335" s="132"/>
      <c r="E2335" s="132"/>
    </row>
    <row r="2336" spans="2:5">
      <c r="B2336" s="132"/>
      <c r="C2336" s="132"/>
      <c r="D2336" s="132"/>
      <c r="E2336" s="132"/>
    </row>
    <row r="2337" spans="2:5">
      <c r="B2337" s="132"/>
      <c r="C2337" s="132"/>
      <c r="D2337" s="132"/>
      <c r="E2337" s="132"/>
    </row>
    <row r="2338" spans="2:5">
      <c r="B2338" s="132"/>
      <c r="C2338" s="132"/>
      <c r="D2338" s="132"/>
      <c r="E2338" s="132"/>
    </row>
    <row r="2339" spans="2:5">
      <c r="B2339" s="132"/>
      <c r="C2339" s="132"/>
      <c r="D2339" s="132"/>
      <c r="E2339" s="132"/>
    </row>
    <row r="2340" spans="2:5">
      <c r="B2340" s="132"/>
      <c r="C2340" s="132"/>
      <c r="D2340" s="132"/>
      <c r="E2340" s="132"/>
    </row>
    <row r="2341" spans="2:5">
      <c r="B2341" s="132"/>
      <c r="C2341" s="132"/>
      <c r="D2341" s="132"/>
      <c r="E2341" s="132"/>
    </row>
    <row r="2342" spans="2:5">
      <c r="B2342" s="132"/>
      <c r="C2342" s="132"/>
      <c r="D2342" s="132"/>
      <c r="E2342" s="132"/>
    </row>
    <row r="2343" spans="2:5">
      <c r="B2343" s="132"/>
      <c r="C2343" s="132"/>
      <c r="D2343" s="132"/>
      <c r="E2343" s="132"/>
    </row>
    <row r="2344" spans="2:5">
      <c r="B2344" s="132"/>
      <c r="C2344" s="132"/>
      <c r="D2344" s="132"/>
      <c r="E2344" s="132"/>
    </row>
    <row r="2345" spans="2:5">
      <c r="B2345" s="132"/>
      <c r="C2345" s="132"/>
      <c r="D2345" s="132"/>
      <c r="E2345" s="132"/>
    </row>
    <row r="2346" spans="2:5">
      <c r="B2346" s="132"/>
      <c r="C2346" s="132"/>
      <c r="D2346" s="132"/>
      <c r="E2346" s="132"/>
    </row>
    <row r="2347" spans="2:5">
      <c r="B2347" s="132"/>
      <c r="C2347" s="132"/>
      <c r="D2347" s="132"/>
      <c r="E2347" s="132"/>
    </row>
    <row r="2348" spans="2:5">
      <c r="B2348" s="132"/>
      <c r="C2348" s="132"/>
      <c r="D2348" s="132"/>
      <c r="E2348" s="132"/>
    </row>
    <row r="2349" spans="2:5">
      <c r="B2349" s="132"/>
      <c r="C2349" s="132"/>
      <c r="D2349" s="132"/>
      <c r="E2349" s="132"/>
    </row>
    <row r="2350" spans="2:5">
      <c r="B2350" s="132"/>
      <c r="C2350" s="132"/>
      <c r="D2350" s="132"/>
      <c r="E2350" s="132"/>
    </row>
    <row r="2351" spans="2:5">
      <c r="B2351" s="132"/>
      <c r="C2351" s="132"/>
      <c r="D2351" s="132"/>
      <c r="E2351" s="132"/>
    </row>
    <row r="2352" spans="2:5">
      <c r="B2352" s="132"/>
      <c r="C2352" s="132"/>
      <c r="D2352" s="132"/>
      <c r="E2352" s="132"/>
    </row>
    <row r="2353" spans="2:5">
      <c r="B2353" s="132"/>
      <c r="C2353" s="132"/>
      <c r="D2353" s="132"/>
      <c r="E2353" s="132"/>
    </row>
    <row r="2354" spans="2:5">
      <c r="B2354" s="132"/>
      <c r="C2354" s="132"/>
      <c r="D2354" s="132"/>
      <c r="E2354" s="132"/>
    </row>
    <row r="2355" spans="2:5">
      <c r="B2355" s="132"/>
      <c r="C2355" s="132"/>
      <c r="D2355" s="132"/>
      <c r="E2355" s="132"/>
    </row>
    <row r="2356" spans="2:5">
      <c r="B2356" s="132"/>
      <c r="C2356" s="132"/>
      <c r="D2356" s="132"/>
      <c r="E2356" s="132"/>
    </row>
    <row r="2357" spans="2:5">
      <c r="B2357" s="132"/>
      <c r="C2357" s="132"/>
      <c r="D2357" s="132"/>
      <c r="E2357" s="132"/>
    </row>
    <row r="2358" spans="2:5">
      <c r="B2358" s="132"/>
      <c r="C2358" s="132"/>
      <c r="D2358" s="132"/>
      <c r="E2358" s="132"/>
    </row>
    <row r="2359" spans="2:5">
      <c r="B2359" s="132"/>
      <c r="C2359" s="132"/>
      <c r="D2359" s="132"/>
      <c r="E2359" s="132"/>
    </row>
    <row r="2360" spans="2:5">
      <c r="B2360" s="132"/>
      <c r="C2360" s="132"/>
      <c r="D2360" s="132"/>
      <c r="E2360" s="132"/>
    </row>
    <row r="2361" spans="2:5">
      <c r="B2361" s="132"/>
      <c r="C2361" s="132"/>
      <c r="D2361" s="132"/>
      <c r="E2361" s="132"/>
    </row>
    <row r="2362" spans="2:5">
      <c r="B2362" s="132"/>
      <c r="C2362" s="132"/>
      <c r="D2362" s="132"/>
      <c r="E2362" s="132"/>
    </row>
    <row r="2363" spans="2:5">
      <c r="B2363" s="132"/>
      <c r="C2363" s="132"/>
      <c r="D2363" s="132"/>
      <c r="E2363" s="132"/>
    </row>
    <row r="2364" spans="2:5">
      <c r="B2364" s="132"/>
      <c r="C2364" s="132"/>
      <c r="D2364" s="132"/>
      <c r="E2364" s="132"/>
    </row>
    <row r="2365" spans="2:5">
      <c r="B2365" s="132"/>
      <c r="C2365" s="132"/>
      <c r="D2365" s="132"/>
      <c r="E2365" s="132"/>
    </row>
    <row r="2366" spans="2:5">
      <c r="B2366" s="132"/>
      <c r="C2366" s="132"/>
      <c r="D2366" s="132"/>
      <c r="E2366" s="132"/>
    </row>
    <row r="2367" spans="2:5">
      <c r="B2367" s="132"/>
      <c r="C2367" s="132"/>
      <c r="D2367" s="132"/>
      <c r="E2367" s="132"/>
    </row>
    <row r="2368" spans="2:5">
      <c r="B2368" s="132"/>
      <c r="C2368" s="132"/>
      <c r="D2368" s="132"/>
      <c r="E2368" s="132"/>
    </row>
    <row r="2369" spans="2:5">
      <c r="B2369" s="132"/>
      <c r="C2369" s="132"/>
      <c r="D2369" s="132"/>
      <c r="E2369" s="132"/>
    </row>
    <row r="2370" spans="2:5">
      <c r="B2370" s="132"/>
      <c r="C2370" s="132"/>
      <c r="D2370" s="132"/>
      <c r="E2370" s="132"/>
    </row>
    <row r="2371" spans="2:5">
      <c r="B2371" s="132"/>
      <c r="C2371" s="132"/>
      <c r="D2371" s="132"/>
      <c r="E2371" s="132"/>
    </row>
    <row r="2372" spans="2:5">
      <c r="B2372" s="132"/>
      <c r="C2372" s="132"/>
      <c r="D2372" s="132"/>
      <c r="E2372" s="132"/>
    </row>
    <row r="2373" spans="2:5">
      <c r="B2373" s="132"/>
      <c r="C2373" s="132"/>
      <c r="D2373" s="132"/>
      <c r="E2373" s="132"/>
    </row>
    <row r="2374" spans="2:5">
      <c r="B2374" s="132"/>
      <c r="C2374" s="132"/>
      <c r="D2374" s="132"/>
      <c r="E2374" s="132"/>
    </row>
    <row r="2375" spans="2:5">
      <c r="B2375" s="132"/>
      <c r="C2375" s="132"/>
      <c r="D2375" s="132"/>
      <c r="E2375" s="132"/>
    </row>
    <row r="2376" spans="2:5">
      <c r="B2376" s="132"/>
      <c r="C2376" s="132"/>
      <c r="D2376" s="132"/>
      <c r="E2376" s="132"/>
    </row>
    <row r="2377" spans="2:5">
      <c r="B2377" s="132"/>
      <c r="C2377" s="132"/>
      <c r="D2377" s="132"/>
      <c r="E2377" s="132"/>
    </row>
    <row r="2378" spans="2:5">
      <c r="B2378" s="132"/>
      <c r="C2378" s="132"/>
      <c r="D2378" s="132"/>
      <c r="E2378" s="132"/>
    </row>
    <row r="2379" spans="2:5">
      <c r="B2379" s="132"/>
      <c r="C2379" s="132"/>
      <c r="D2379" s="132"/>
      <c r="E2379" s="132"/>
    </row>
    <row r="2380" spans="2:5">
      <c r="B2380" s="132"/>
      <c r="C2380" s="132"/>
      <c r="D2380" s="132"/>
      <c r="E2380" s="132"/>
    </row>
    <row r="2381" spans="2:5">
      <c r="B2381" s="132"/>
      <c r="C2381" s="132"/>
      <c r="D2381" s="132"/>
      <c r="E2381" s="132"/>
    </row>
    <row r="2382" spans="2:5">
      <c r="B2382" s="132"/>
      <c r="C2382" s="132"/>
      <c r="D2382" s="132"/>
      <c r="E2382" s="132"/>
    </row>
    <row r="2383" spans="2:5">
      <c r="B2383" s="132"/>
      <c r="C2383" s="132"/>
      <c r="D2383" s="132"/>
      <c r="E2383" s="132"/>
    </row>
    <row r="2384" spans="2:5">
      <c r="B2384" s="132"/>
      <c r="C2384" s="132"/>
      <c r="D2384" s="132"/>
      <c r="E2384" s="132"/>
    </row>
    <row r="2385" spans="2:5">
      <c r="B2385" s="132"/>
      <c r="C2385" s="132"/>
      <c r="D2385" s="132"/>
      <c r="E2385" s="132"/>
    </row>
    <row r="2386" spans="2:5">
      <c r="B2386" s="132"/>
      <c r="C2386" s="132"/>
      <c r="D2386" s="132"/>
      <c r="E2386" s="132"/>
    </row>
    <row r="2387" spans="2:5">
      <c r="B2387" s="132"/>
      <c r="C2387" s="132"/>
      <c r="D2387" s="132"/>
      <c r="E2387" s="132"/>
    </row>
    <row r="2388" spans="2:5">
      <c r="B2388" s="132"/>
      <c r="C2388" s="132"/>
      <c r="D2388" s="132"/>
      <c r="E2388" s="132"/>
    </row>
    <row r="2389" spans="2:5">
      <c r="B2389" s="132"/>
      <c r="C2389" s="132"/>
      <c r="D2389" s="132"/>
      <c r="E2389" s="132"/>
    </row>
    <row r="2390" spans="2:5">
      <c r="B2390" s="132"/>
      <c r="C2390" s="132"/>
      <c r="D2390" s="132"/>
      <c r="E2390" s="132"/>
    </row>
    <row r="2391" spans="2:5">
      <c r="B2391" s="132"/>
      <c r="C2391" s="132"/>
      <c r="D2391" s="132"/>
      <c r="E2391" s="132"/>
    </row>
    <row r="2392" spans="2:5">
      <c r="B2392" s="132"/>
      <c r="C2392" s="132"/>
      <c r="D2392" s="132"/>
      <c r="E2392" s="132"/>
    </row>
    <row r="2393" spans="2:5">
      <c r="B2393" s="132"/>
      <c r="C2393" s="132"/>
      <c r="D2393" s="132"/>
      <c r="E2393" s="132"/>
    </row>
    <row r="2394" spans="2:5">
      <c r="B2394" s="132"/>
      <c r="C2394" s="132"/>
      <c r="D2394" s="132"/>
      <c r="E2394" s="132"/>
    </row>
    <row r="2395" spans="2:5">
      <c r="B2395" s="132"/>
      <c r="C2395" s="132"/>
      <c r="D2395" s="132"/>
      <c r="E2395" s="132"/>
    </row>
    <row r="2396" spans="2:5">
      <c r="B2396" s="132"/>
      <c r="C2396" s="132"/>
      <c r="D2396" s="132"/>
      <c r="E2396" s="132"/>
    </row>
    <row r="2397" spans="2:5">
      <c r="B2397" s="132"/>
      <c r="C2397" s="132"/>
      <c r="D2397" s="132"/>
      <c r="E2397" s="132"/>
    </row>
    <row r="2398" spans="2:5">
      <c r="B2398" s="132"/>
      <c r="C2398" s="132"/>
      <c r="D2398" s="132"/>
      <c r="E2398" s="132"/>
    </row>
    <row r="2399" spans="2:5">
      <c r="B2399" s="132"/>
      <c r="C2399" s="132"/>
      <c r="D2399" s="132"/>
      <c r="E2399" s="132"/>
    </row>
    <row r="2400" spans="2:5">
      <c r="B2400" s="132"/>
      <c r="C2400" s="132"/>
      <c r="D2400" s="132"/>
      <c r="E2400" s="132"/>
    </row>
    <row r="2401" spans="2:5">
      <c r="B2401" s="132"/>
      <c r="C2401" s="132"/>
      <c r="D2401" s="132"/>
      <c r="E2401" s="132"/>
    </row>
    <row r="2402" spans="2:5">
      <c r="B2402" s="132"/>
      <c r="C2402" s="132"/>
      <c r="D2402" s="132"/>
      <c r="E2402" s="132"/>
    </row>
    <row r="2403" spans="2:5">
      <c r="B2403" s="132"/>
      <c r="C2403" s="132"/>
      <c r="D2403" s="132"/>
      <c r="E2403" s="132"/>
    </row>
    <row r="2404" spans="2:5">
      <c r="B2404" s="132"/>
      <c r="C2404" s="132"/>
      <c r="D2404" s="132"/>
      <c r="E2404" s="132"/>
    </row>
    <row r="2405" spans="2:5">
      <c r="B2405" s="132"/>
      <c r="C2405" s="132"/>
      <c r="D2405" s="132"/>
      <c r="E2405" s="132"/>
    </row>
    <row r="2406" spans="2:5">
      <c r="B2406" s="132"/>
      <c r="C2406" s="132"/>
      <c r="D2406" s="132"/>
      <c r="E2406" s="132"/>
    </row>
    <row r="2407" spans="2:5">
      <c r="B2407" s="132"/>
      <c r="C2407" s="132"/>
      <c r="D2407" s="132"/>
      <c r="E2407" s="132"/>
    </row>
    <row r="2408" spans="2:5">
      <c r="B2408" s="132"/>
      <c r="C2408" s="132"/>
      <c r="D2408" s="132"/>
      <c r="E2408" s="132"/>
    </row>
    <row r="2409" spans="2:5">
      <c r="B2409" s="132"/>
      <c r="C2409" s="132"/>
      <c r="D2409" s="132"/>
      <c r="E2409" s="132"/>
    </row>
    <row r="2410" spans="2:5">
      <c r="B2410" s="132"/>
      <c r="C2410" s="132"/>
      <c r="D2410" s="132"/>
      <c r="E2410" s="132"/>
    </row>
    <row r="2411" spans="2:5">
      <c r="B2411" s="132"/>
      <c r="C2411" s="132"/>
      <c r="D2411" s="132"/>
      <c r="E2411" s="132"/>
    </row>
    <row r="2412" spans="2:5">
      <c r="B2412" s="132"/>
      <c r="C2412" s="132"/>
      <c r="D2412" s="132"/>
      <c r="E2412" s="132"/>
    </row>
    <row r="2413" spans="2:5">
      <c r="B2413" s="132"/>
      <c r="C2413" s="132"/>
      <c r="D2413" s="132"/>
      <c r="E2413" s="132"/>
    </row>
    <row r="2414" spans="2:5">
      <c r="B2414" s="132"/>
      <c r="C2414" s="132"/>
      <c r="D2414" s="132"/>
      <c r="E2414" s="132"/>
    </row>
    <row r="2415" spans="2:5">
      <c r="B2415" s="132"/>
      <c r="C2415" s="132"/>
      <c r="D2415" s="132"/>
      <c r="E2415" s="132"/>
    </row>
    <row r="2416" spans="2:5">
      <c r="B2416" s="132"/>
      <c r="C2416" s="132"/>
      <c r="D2416" s="132"/>
      <c r="E2416" s="132"/>
    </row>
    <row r="2417" spans="2:5">
      <c r="B2417" s="132"/>
      <c r="C2417" s="132"/>
      <c r="D2417" s="132"/>
      <c r="E2417" s="132"/>
    </row>
    <row r="2418" spans="2:5">
      <c r="B2418" s="132"/>
      <c r="C2418" s="132"/>
      <c r="D2418" s="132"/>
      <c r="E2418" s="132"/>
    </row>
    <row r="2419" spans="2:5">
      <c r="B2419" s="132"/>
      <c r="C2419" s="132"/>
      <c r="D2419" s="132"/>
      <c r="E2419" s="132"/>
    </row>
    <row r="2420" spans="2:5">
      <c r="B2420" s="132"/>
      <c r="C2420" s="132"/>
      <c r="D2420" s="132"/>
      <c r="E2420" s="132"/>
    </row>
    <row r="2421" spans="2:5">
      <c r="B2421" s="132"/>
      <c r="C2421" s="132"/>
      <c r="D2421" s="132"/>
      <c r="E2421" s="132"/>
    </row>
    <row r="2422" spans="2:5">
      <c r="B2422" s="132"/>
      <c r="C2422" s="132"/>
      <c r="D2422" s="132"/>
      <c r="E2422" s="132"/>
    </row>
    <row r="2423" spans="2:5">
      <c r="B2423" s="132"/>
      <c r="C2423" s="132"/>
      <c r="D2423" s="132"/>
      <c r="E2423" s="132"/>
    </row>
    <row r="2424" spans="2:5">
      <c r="B2424" s="132"/>
      <c r="C2424" s="132"/>
      <c r="D2424" s="132"/>
      <c r="E2424" s="132"/>
    </row>
    <row r="2425" spans="2:5">
      <c r="B2425" s="132"/>
      <c r="C2425" s="132"/>
      <c r="D2425" s="132"/>
      <c r="E2425" s="132"/>
    </row>
    <row r="2426" spans="2:5">
      <c r="B2426" s="132"/>
      <c r="C2426" s="132"/>
      <c r="D2426" s="132"/>
      <c r="E2426" s="132"/>
    </row>
    <row r="2427" spans="2:5">
      <c r="B2427" s="132"/>
      <c r="C2427" s="132"/>
      <c r="D2427" s="132"/>
      <c r="E2427" s="132"/>
    </row>
    <row r="2428" spans="2:5">
      <c r="B2428" s="132"/>
      <c r="C2428" s="132"/>
      <c r="D2428" s="132"/>
      <c r="E2428" s="132"/>
    </row>
    <row r="2429" spans="2:5">
      <c r="B2429" s="132"/>
      <c r="C2429" s="132"/>
      <c r="D2429" s="132"/>
      <c r="E2429" s="132"/>
    </row>
    <row r="2430" spans="2:5">
      <c r="B2430" s="132"/>
      <c r="C2430" s="132"/>
      <c r="D2430" s="132"/>
      <c r="E2430" s="132"/>
    </row>
    <row r="2431" spans="2:5">
      <c r="B2431" s="132"/>
      <c r="C2431" s="132"/>
      <c r="D2431" s="132"/>
      <c r="E2431" s="132"/>
    </row>
    <row r="2432" spans="2:5">
      <c r="B2432" s="132"/>
      <c r="C2432" s="132"/>
      <c r="D2432" s="132"/>
      <c r="E2432" s="132"/>
    </row>
    <row r="2433" spans="2:5">
      <c r="B2433" s="132"/>
      <c r="C2433" s="132"/>
      <c r="D2433" s="132"/>
      <c r="E2433" s="132"/>
    </row>
    <row r="2434" spans="2:5">
      <c r="B2434" s="132"/>
      <c r="C2434" s="132"/>
      <c r="D2434" s="132"/>
      <c r="E2434" s="132"/>
    </row>
    <row r="2435" spans="2:5">
      <c r="B2435" s="132"/>
      <c r="C2435" s="132"/>
      <c r="D2435" s="132"/>
      <c r="E2435" s="132"/>
    </row>
    <row r="2436" spans="2:5">
      <c r="B2436" s="132"/>
      <c r="C2436" s="132"/>
      <c r="D2436" s="132"/>
      <c r="E2436" s="132"/>
    </row>
    <row r="2437" spans="2:5">
      <c r="B2437" s="132"/>
      <c r="C2437" s="132"/>
      <c r="D2437" s="132"/>
      <c r="E2437" s="132"/>
    </row>
    <row r="2438" spans="2:5">
      <c r="B2438" s="132"/>
      <c r="C2438" s="132"/>
      <c r="D2438" s="132"/>
      <c r="E2438" s="132"/>
    </row>
    <row r="2439" spans="2:5">
      <c r="B2439" s="132"/>
      <c r="C2439" s="132"/>
      <c r="D2439" s="132"/>
      <c r="E2439" s="132"/>
    </row>
    <row r="2440" spans="2:5">
      <c r="B2440" s="132"/>
      <c r="C2440" s="132"/>
      <c r="D2440" s="132"/>
      <c r="E2440" s="132"/>
    </row>
    <row r="2441" spans="2:5">
      <c r="B2441" s="132"/>
      <c r="C2441" s="132"/>
      <c r="D2441" s="132"/>
      <c r="E2441" s="132"/>
    </row>
    <row r="2442" spans="2:5">
      <c r="B2442" s="132"/>
      <c r="C2442" s="132"/>
      <c r="D2442" s="132"/>
      <c r="E2442" s="132"/>
    </row>
    <row r="2443" spans="2:5">
      <c r="B2443" s="132"/>
      <c r="C2443" s="132"/>
      <c r="D2443" s="132"/>
      <c r="E2443" s="132"/>
    </row>
    <row r="2444" spans="2:5">
      <c r="B2444" s="132"/>
      <c r="C2444" s="132"/>
      <c r="D2444" s="132"/>
      <c r="E2444" s="132"/>
    </row>
    <row r="2445" spans="2:5">
      <c r="B2445" s="132"/>
      <c r="C2445" s="132"/>
      <c r="D2445" s="132"/>
      <c r="E2445" s="132"/>
    </row>
    <row r="2446" spans="2:5">
      <c r="B2446" s="132"/>
      <c r="C2446" s="132"/>
      <c r="D2446" s="132"/>
      <c r="E2446" s="132"/>
    </row>
    <row r="2447" spans="2:5">
      <c r="B2447" s="132"/>
      <c r="C2447" s="132"/>
      <c r="D2447" s="132"/>
      <c r="E2447" s="132"/>
    </row>
    <row r="2448" spans="2:5">
      <c r="B2448" s="132"/>
      <c r="C2448" s="132"/>
      <c r="D2448" s="132"/>
      <c r="E2448" s="132"/>
    </row>
    <row r="2449" spans="2:5">
      <c r="B2449" s="132"/>
      <c r="C2449" s="132"/>
      <c r="D2449" s="132"/>
      <c r="E2449" s="132"/>
    </row>
    <row r="2450" spans="2:5">
      <c r="B2450" s="132"/>
      <c r="C2450" s="132"/>
      <c r="D2450" s="132"/>
      <c r="E2450" s="132"/>
    </row>
    <row r="2451" spans="2:5">
      <c r="B2451" s="132"/>
      <c r="C2451" s="132"/>
      <c r="D2451" s="132"/>
      <c r="E2451" s="132"/>
    </row>
    <row r="2452" spans="2:5">
      <c r="B2452" s="132"/>
      <c r="C2452" s="132"/>
      <c r="D2452" s="132"/>
      <c r="E2452" s="132"/>
    </row>
    <row r="2453" spans="2:5">
      <c r="B2453" s="132"/>
      <c r="C2453" s="132"/>
      <c r="D2453" s="132"/>
      <c r="E2453" s="132"/>
    </row>
    <row r="2454" spans="2:5">
      <c r="B2454" s="132"/>
      <c r="C2454" s="132"/>
      <c r="D2454" s="132"/>
      <c r="E2454" s="132"/>
    </row>
    <row r="2455" spans="2:5">
      <c r="B2455" s="132"/>
      <c r="C2455" s="132"/>
      <c r="D2455" s="132"/>
      <c r="E2455" s="132"/>
    </row>
    <row r="2456" spans="2:5">
      <c r="B2456" s="132"/>
      <c r="C2456" s="132"/>
      <c r="D2456" s="132"/>
      <c r="E2456" s="132"/>
    </row>
    <row r="2457" spans="2:5">
      <c r="B2457" s="132"/>
      <c r="C2457" s="132"/>
      <c r="D2457" s="132"/>
      <c r="E2457" s="132"/>
    </row>
    <row r="2458" spans="2:5">
      <c r="B2458" s="132"/>
      <c r="C2458" s="132"/>
      <c r="D2458" s="132"/>
      <c r="E2458" s="132"/>
    </row>
    <row r="2459" spans="2:5">
      <c r="B2459" s="132"/>
      <c r="C2459" s="132"/>
      <c r="D2459" s="132"/>
      <c r="E2459" s="132"/>
    </row>
    <row r="2460" spans="2:5">
      <c r="B2460" s="132"/>
      <c r="C2460" s="132"/>
      <c r="D2460" s="132"/>
      <c r="E2460" s="132"/>
    </row>
    <row r="2461" spans="2:5">
      <c r="B2461" s="132"/>
      <c r="C2461" s="132"/>
      <c r="D2461" s="132"/>
      <c r="E2461" s="132"/>
    </row>
    <row r="2462" spans="2:5">
      <c r="B2462" s="132"/>
      <c r="C2462" s="132"/>
      <c r="D2462" s="132"/>
      <c r="E2462" s="132"/>
    </row>
    <row r="2463" spans="2:5">
      <c r="B2463" s="132"/>
      <c r="C2463" s="132"/>
      <c r="D2463" s="132"/>
      <c r="E2463" s="132"/>
    </row>
    <row r="2464" spans="2:5">
      <c r="B2464" s="132"/>
      <c r="C2464" s="132"/>
      <c r="D2464" s="132"/>
      <c r="E2464" s="132"/>
    </row>
    <row r="2465" spans="2:5">
      <c r="B2465" s="132"/>
      <c r="C2465" s="132"/>
      <c r="D2465" s="132"/>
      <c r="E2465" s="132"/>
    </row>
    <row r="2466" spans="2:5">
      <c r="B2466" s="132"/>
      <c r="C2466" s="132"/>
      <c r="D2466" s="132"/>
      <c r="E2466" s="132"/>
    </row>
    <row r="2467" spans="2:5">
      <c r="B2467" s="132"/>
      <c r="C2467" s="132"/>
      <c r="D2467" s="132"/>
      <c r="E2467" s="132"/>
    </row>
    <row r="2468" spans="2:5">
      <c r="B2468" s="132"/>
      <c r="C2468" s="132"/>
      <c r="D2468" s="132"/>
      <c r="E2468" s="132"/>
    </row>
    <row r="2469" spans="2:5">
      <c r="B2469" s="132"/>
      <c r="C2469" s="132"/>
      <c r="D2469" s="132"/>
      <c r="E2469" s="132"/>
    </row>
    <row r="2470" spans="2:5">
      <c r="B2470" s="132"/>
      <c r="C2470" s="132"/>
      <c r="D2470" s="132"/>
      <c r="E2470" s="132"/>
    </row>
    <row r="2471" spans="2:5">
      <c r="B2471" s="132"/>
      <c r="C2471" s="132"/>
      <c r="D2471" s="132"/>
      <c r="E2471" s="132"/>
    </row>
    <row r="2472" spans="2:5">
      <c r="B2472" s="132"/>
      <c r="C2472" s="132"/>
      <c r="D2472" s="132"/>
      <c r="E2472" s="132"/>
    </row>
    <row r="2473" spans="2:5">
      <c r="B2473" s="132"/>
      <c r="C2473" s="132"/>
      <c r="D2473" s="132"/>
      <c r="E2473" s="132"/>
    </row>
    <row r="2474" spans="2:5">
      <c r="B2474" s="132"/>
      <c r="C2474" s="132"/>
      <c r="D2474" s="132"/>
      <c r="E2474" s="132"/>
    </row>
    <row r="2475" spans="2:5">
      <c r="B2475" s="132"/>
      <c r="C2475" s="132"/>
      <c r="D2475" s="132"/>
      <c r="E2475" s="132"/>
    </row>
    <row r="2476" spans="2:5">
      <c r="B2476" s="132"/>
      <c r="C2476" s="132"/>
      <c r="D2476" s="132"/>
      <c r="E2476" s="132"/>
    </row>
    <row r="2477" spans="2:5">
      <c r="B2477" s="132"/>
      <c r="C2477" s="132"/>
      <c r="D2477" s="132"/>
      <c r="E2477" s="132"/>
    </row>
    <row r="2478" spans="2:5">
      <c r="B2478" s="132"/>
      <c r="C2478" s="132"/>
      <c r="D2478" s="132"/>
      <c r="E2478" s="132"/>
    </row>
    <row r="2479" spans="2:5">
      <c r="B2479" s="132"/>
      <c r="C2479" s="132"/>
      <c r="D2479" s="132"/>
      <c r="E2479" s="132"/>
    </row>
    <row r="2480" spans="2:5">
      <c r="B2480" s="132"/>
      <c r="C2480" s="132"/>
      <c r="D2480" s="132"/>
      <c r="E2480" s="132"/>
    </row>
    <row r="2481" spans="2:5">
      <c r="B2481" s="132"/>
      <c r="C2481" s="132"/>
      <c r="D2481" s="132"/>
      <c r="E2481" s="132"/>
    </row>
    <row r="2482" spans="2:5">
      <c r="B2482" s="132"/>
      <c r="C2482" s="132"/>
      <c r="D2482" s="132"/>
      <c r="E2482" s="132"/>
    </row>
    <row r="2483" spans="2:5">
      <c r="B2483" s="132"/>
      <c r="C2483" s="132"/>
      <c r="D2483" s="132"/>
      <c r="E2483" s="132"/>
    </row>
    <row r="2484" spans="2:5">
      <c r="B2484" s="132"/>
      <c r="C2484" s="132"/>
      <c r="D2484" s="132"/>
      <c r="E2484" s="132"/>
    </row>
    <row r="2485" spans="2:5">
      <c r="B2485" s="132"/>
      <c r="C2485" s="132"/>
      <c r="D2485" s="132"/>
      <c r="E2485" s="132"/>
    </row>
    <row r="2486" spans="2:5">
      <c r="B2486" s="132"/>
      <c r="C2486" s="132"/>
      <c r="D2486" s="132"/>
      <c r="E2486" s="132"/>
    </row>
    <row r="2487" spans="2:5">
      <c r="B2487" s="132"/>
      <c r="C2487" s="132"/>
      <c r="D2487" s="132"/>
      <c r="E2487" s="132"/>
    </row>
    <row r="2488" spans="2:5">
      <c r="B2488" s="132"/>
      <c r="C2488" s="132"/>
      <c r="D2488" s="132"/>
      <c r="E2488" s="132"/>
    </row>
    <row r="2489" spans="2:5">
      <c r="B2489" s="132"/>
      <c r="C2489" s="132"/>
      <c r="D2489" s="132"/>
      <c r="E2489" s="132"/>
    </row>
    <row r="2490" spans="2:5">
      <c r="B2490" s="132"/>
      <c r="C2490" s="132"/>
      <c r="D2490" s="132"/>
      <c r="E2490" s="132"/>
    </row>
    <row r="2491" spans="2:5">
      <c r="B2491" s="132"/>
      <c r="C2491" s="132"/>
      <c r="D2491" s="132"/>
      <c r="E2491" s="132"/>
    </row>
    <row r="2492" spans="2:5">
      <c r="B2492" s="132"/>
      <c r="C2492" s="132"/>
      <c r="D2492" s="132"/>
      <c r="E2492" s="132"/>
    </row>
    <row r="2493" spans="2:5">
      <c r="B2493" s="132"/>
      <c r="C2493" s="132"/>
      <c r="D2493" s="132"/>
      <c r="E2493" s="132"/>
    </row>
    <row r="2494" spans="2:5">
      <c r="B2494" s="132"/>
      <c r="C2494" s="132"/>
      <c r="D2494" s="132"/>
      <c r="E2494" s="132"/>
    </row>
    <row r="2495" spans="2:5">
      <c r="B2495" s="132"/>
      <c r="C2495" s="132"/>
      <c r="D2495" s="132"/>
      <c r="E2495" s="132"/>
    </row>
    <row r="2496" spans="2:5">
      <c r="B2496" s="132"/>
      <c r="C2496" s="132"/>
      <c r="D2496" s="132"/>
      <c r="E2496" s="132"/>
    </row>
    <row r="2497" spans="2:5">
      <c r="B2497" s="132"/>
      <c r="C2497" s="132"/>
      <c r="D2497" s="132"/>
      <c r="E2497" s="132"/>
    </row>
    <row r="2498" spans="2:5">
      <c r="B2498" s="132"/>
      <c r="C2498" s="132"/>
      <c r="D2498" s="132"/>
      <c r="E2498" s="132"/>
    </row>
    <row r="2499" spans="2:5">
      <c r="B2499" s="132"/>
      <c r="C2499" s="132"/>
      <c r="D2499" s="132"/>
      <c r="E2499" s="132"/>
    </row>
    <row r="2500" spans="2:5">
      <c r="B2500" s="132"/>
      <c r="C2500" s="132"/>
      <c r="D2500" s="132"/>
      <c r="E2500" s="132"/>
    </row>
    <row r="2501" spans="2:5">
      <c r="B2501" s="132"/>
      <c r="C2501" s="132"/>
      <c r="D2501" s="132"/>
      <c r="E2501" s="132"/>
    </row>
    <row r="2502" spans="2:5">
      <c r="B2502" s="132"/>
      <c r="C2502" s="132"/>
      <c r="D2502" s="132"/>
      <c r="E2502" s="132"/>
    </row>
    <row r="2503" spans="2:5">
      <c r="B2503" s="132"/>
      <c r="C2503" s="132"/>
      <c r="D2503" s="132"/>
      <c r="E2503" s="132"/>
    </row>
    <row r="2504" spans="2:5">
      <c r="B2504" s="132"/>
      <c r="C2504" s="132"/>
      <c r="D2504" s="132"/>
      <c r="E2504" s="132"/>
    </row>
    <row r="2505" spans="2:5">
      <c r="B2505" s="132"/>
      <c r="C2505" s="132"/>
      <c r="D2505" s="132"/>
      <c r="E2505" s="132"/>
    </row>
    <row r="2506" spans="2:5">
      <c r="B2506" s="132"/>
      <c r="C2506" s="132"/>
      <c r="D2506" s="132"/>
      <c r="E2506" s="132"/>
    </row>
    <row r="2507" spans="2:5">
      <c r="B2507" s="132"/>
      <c r="C2507" s="132"/>
      <c r="D2507" s="132"/>
      <c r="E2507" s="132"/>
    </row>
    <row r="2508" spans="2:5">
      <c r="B2508" s="132"/>
      <c r="C2508" s="132"/>
      <c r="D2508" s="132"/>
      <c r="E2508" s="132"/>
    </row>
    <row r="2509" spans="2:5">
      <c r="B2509" s="132"/>
      <c r="C2509" s="132"/>
      <c r="D2509" s="132"/>
      <c r="E2509" s="132"/>
    </row>
    <row r="2510" spans="2:5">
      <c r="B2510" s="132"/>
      <c r="C2510" s="132"/>
      <c r="D2510" s="132"/>
      <c r="E2510" s="132"/>
    </row>
    <row r="2511" spans="2:5">
      <c r="B2511" s="132"/>
      <c r="C2511" s="132"/>
      <c r="D2511" s="132"/>
      <c r="E2511" s="132"/>
    </row>
    <row r="2512" spans="2:5">
      <c r="B2512" s="132"/>
      <c r="C2512" s="132"/>
      <c r="D2512" s="132"/>
      <c r="E2512" s="132"/>
    </row>
    <row r="2513" spans="2:5">
      <c r="B2513" s="132"/>
      <c r="C2513" s="132"/>
      <c r="D2513" s="132"/>
      <c r="E2513" s="132"/>
    </row>
    <row r="2514" spans="2:5">
      <c r="B2514" s="132"/>
      <c r="C2514" s="132"/>
      <c r="D2514" s="132"/>
      <c r="E2514" s="132"/>
    </row>
    <row r="2515" spans="2:5">
      <c r="B2515" s="132"/>
      <c r="C2515" s="132"/>
      <c r="D2515" s="132"/>
      <c r="E2515" s="132"/>
    </row>
    <row r="2516" spans="2:5">
      <c r="B2516" s="132"/>
      <c r="C2516" s="132"/>
      <c r="D2516" s="132"/>
      <c r="E2516" s="132"/>
    </row>
    <row r="2517" spans="2:5">
      <c r="B2517" s="132"/>
      <c r="C2517" s="132"/>
      <c r="D2517" s="132"/>
      <c r="E2517" s="132"/>
    </row>
    <row r="2518" spans="2:5">
      <c r="B2518" s="132"/>
      <c r="C2518" s="132"/>
      <c r="D2518" s="132"/>
      <c r="E2518" s="132"/>
    </row>
    <row r="2519" spans="2:5">
      <c r="B2519" s="132"/>
      <c r="C2519" s="132"/>
      <c r="D2519" s="132"/>
      <c r="E2519" s="132"/>
    </row>
    <row r="2520" spans="2:5">
      <c r="B2520" s="132"/>
      <c r="C2520" s="132"/>
      <c r="D2520" s="132"/>
      <c r="E2520" s="132"/>
    </row>
    <row r="2521" spans="2:5">
      <c r="B2521" s="132"/>
      <c r="C2521" s="132"/>
      <c r="D2521" s="132"/>
      <c r="E2521" s="132"/>
    </row>
    <row r="2522" spans="2:5">
      <c r="B2522" s="132"/>
      <c r="C2522" s="132"/>
      <c r="D2522" s="132"/>
      <c r="E2522" s="132"/>
    </row>
    <row r="2523" spans="2:5">
      <c r="B2523" s="132"/>
      <c r="C2523" s="132"/>
      <c r="D2523" s="132"/>
      <c r="E2523" s="132"/>
    </row>
    <row r="2524" spans="2:5">
      <c r="B2524" s="132"/>
      <c r="C2524" s="132"/>
      <c r="D2524" s="132"/>
      <c r="E2524" s="132"/>
    </row>
    <row r="2525" spans="2:5">
      <c r="B2525" s="132"/>
      <c r="C2525" s="132"/>
      <c r="D2525" s="132"/>
      <c r="E2525" s="132"/>
    </row>
    <row r="2526" spans="2:5">
      <c r="B2526" s="132"/>
      <c r="C2526" s="132"/>
      <c r="D2526" s="132"/>
      <c r="E2526" s="132"/>
    </row>
    <row r="2527" spans="2:5">
      <c r="B2527" s="132"/>
      <c r="C2527" s="132"/>
      <c r="D2527" s="132"/>
      <c r="E2527" s="132"/>
    </row>
    <row r="2528" spans="2:5">
      <c r="B2528" s="132"/>
      <c r="C2528" s="132"/>
      <c r="D2528" s="132"/>
      <c r="E2528" s="132"/>
    </row>
    <row r="2529" spans="2:5">
      <c r="B2529" s="132"/>
      <c r="C2529" s="132"/>
      <c r="D2529" s="132"/>
      <c r="E2529" s="132"/>
    </row>
    <row r="2530" spans="2:5">
      <c r="B2530" s="132"/>
      <c r="C2530" s="132"/>
      <c r="D2530" s="132"/>
      <c r="E2530" s="132"/>
    </row>
    <row r="2531" spans="2:5">
      <c r="B2531" s="132"/>
      <c r="C2531" s="132"/>
      <c r="D2531" s="132"/>
      <c r="E2531" s="132"/>
    </row>
    <row r="2532" spans="2:5">
      <c r="B2532" s="132"/>
      <c r="C2532" s="132"/>
      <c r="D2532" s="132"/>
      <c r="E2532" s="132"/>
    </row>
    <row r="2533" spans="2:5">
      <c r="B2533" s="132"/>
      <c r="C2533" s="132"/>
      <c r="D2533" s="132"/>
      <c r="E2533" s="132"/>
    </row>
    <row r="2534" spans="2:5">
      <c r="B2534" s="132"/>
      <c r="C2534" s="132"/>
      <c r="D2534" s="132"/>
      <c r="E2534" s="132"/>
    </row>
    <row r="2535" spans="2:5">
      <c r="B2535" s="132"/>
      <c r="C2535" s="132"/>
      <c r="D2535" s="132"/>
      <c r="E2535" s="132"/>
    </row>
    <row r="2536" spans="2:5">
      <c r="B2536" s="132"/>
      <c r="C2536" s="132"/>
      <c r="D2536" s="132"/>
      <c r="E2536" s="132"/>
    </row>
    <row r="2537" spans="2:5">
      <c r="B2537" s="132"/>
      <c r="C2537" s="132"/>
      <c r="D2537" s="132"/>
      <c r="E2537" s="132"/>
    </row>
    <row r="2538" spans="2:5">
      <c r="B2538" s="132"/>
      <c r="C2538" s="132"/>
      <c r="D2538" s="132"/>
      <c r="E2538" s="132"/>
    </row>
    <row r="2539" spans="2:5">
      <c r="B2539" s="132"/>
      <c r="C2539" s="132"/>
      <c r="D2539" s="132"/>
      <c r="E2539" s="132"/>
    </row>
    <row r="2540" spans="2:5">
      <c r="B2540" s="132"/>
      <c r="C2540" s="132"/>
      <c r="D2540" s="132"/>
      <c r="E2540" s="132"/>
    </row>
    <row r="2541" spans="2:5">
      <c r="B2541" s="132"/>
      <c r="C2541" s="132"/>
      <c r="D2541" s="132"/>
      <c r="E2541" s="132"/>
    </row>
    <row r="2542" spans="2:5">
      <c r="B2542" s="132"/>
      <c r="C2542" s="132"/>
      <c r="D2542" s="132"/>
      <c r="E2542" s="132"/>
    </row>
    <row r="2543" spans="2:5">
      <c r="B2543" s="132"/>
      <c r="C2543" s="132"/>
      <c r="D2543" s="132"/>
      <c r="E2543" s="132"/>
    </row>
    <row r="2544" spans="2:5">
      <c r="B2544" s="132"/>
      <c r="C2544" s="132"/>
      <c r="D2544" s="132"/>
      <c r="E2544" s="132"/>
    </row>
    <row r="2545" spans="2:5">
      <c r="B2545" s="132"/>
      <c r="C2545" s="132"/>
      <c r="D2545" s="132"/>
      <c r="E2545" s="132"/>
    </row>
    <row r="2546" spans="2:5">
      <c r="B2546" s="132"/>
      <c r="C2546" s="132"/>
      <c r="D2546" s="132"/>
      <c r="E2546" s="132"/>
    </row>
    <row r="2547" spans="2:5">
      <c r="B2547" s="132"/>
      <c r="C2547" s="132"/>
      <c r="D2547" s="132"/>
      <c r="E2547" s="132"/>
    </row>
    <row r="2548" spans="2:5">
      <c r="B2548" s="132"/>
      <c r="C2548" s="132"/>
      <c r="D2548" s="132"/>
      <c r="E2548" s="132"/>
    </row>
    <row r="2549" spans="2:5">
      <c r="B2549" s="132"/>
      <c r="C2549" s="132"/>
      <c r="D2549" s="132"/>
      <c r="E2549" s="132"/>
    </row>
    <row r="2550" spans="2:5">
      <c r="B2550" s="132"/>
      <c r="C2550" s="132"/>
      <c r="D2550" s="132"/>
      <c r="E2550" s="132"/>
    </row>
    <row r="2551" spans="2:5">
      <c r="B2551" s="132"/>
      <c r="C2551" s="132"/>
      <c r="D2551" s="132"/>
      <c r="E2551" s="132"/>
    </row>
    <row r="2552" spans="2:5">
      <c r="B2552" s="132"/>
      <c r="C2552" s="132"/>
      <c r="D2552" s="132"/>
      <c r="E2552" s="132"/>
    </row>
    <row r="2553" spans="2:5">
      <c r="B2553" s="132"/>
      <c r="C2553" s="132"/>
      <c r="D2553" s="132"/>
      <c r="E2553" s="132"/>
    </row>
    <row r="2554" spans="2:5">
      <c r="B2554" s="132"/>
      <c r="C2554" s="132"/>
      <c r="D2554" s="132"/>
      <c r="E2554" s="132"/>
    </row>
    <row r="2555" spans="2:5">
      <c r="B2555" s="132"/>
      <c r="C2555" s="132"/>
      <c r="D2555" s="132"/>
      <c r="E2555" s="132"/>
    </row>
    <row r="2556" spans="2:5">
      <c r="B2556" s="132"/>
      <c r="C2556" s="132"/>
      <c r="D2556" s="132"/>
      <c r="E2556" s="132"/>
    </row>
    <row r="2557" spans="2:5">
      <c r="B2557" s="132"/>
      <c r="C2557" s="132"/>
      <c r="D2557" s="132"/>
      <c r="E2557" s="132"/>
    </row>
    <row r="2558" spans="2:5">
      <c r="B2558" s="132"/>
      <c r="C2558" s="132"/>
      <c r="D2558" s="132"/>
      <c r="E2558" s="132"/>
    </row>
    <row r="2559" spans="2:5">
      <c r="B2559" s="132"/>
      <c r="C2559" s="132"/>
      <c r="D2559" s="132"/>
      <c r="E2559" s="132"/>
    </row>
    <row r="2560" spans="2:5">
      <c r="B2560" s="132"/>
      <c r="C2560" s="132"/>
      <c r="D2560" s="132"/>
      <c r="E2560" s="132"/>
    </row>
    <row r="2561" spans="2:5">
      <c r="B2561" s="132"/>
      <c r="C2561" s="132"/>
      <c r="D2561" s="132"/>
      <c r="E2561" s="132"/>
    </row>
    <row r="2562" spans="2:5">
      <c r="B2562" s="132"/>
      <c r="C2562" s="132"/>
      <c r="D2562" s="132"/>
      <c r="E2562" s="132"/>
    </row>
    <row r="2563" spans="2:5">
      <c r="B2563" s="132"/>
      <c r="C2563" s="132"/>
      <c r="D2563" s="132"/>
      <c r="E2563" s="132"/>
    </row>
    <row r="2564" spans="2:5">
      <c r="B2564" s="132"/>
      <c r="C2564" s="132"/>
      <c r="D2564" s="132"/>
      <c r="E2564" s="132"/>
    </row>
    <row r="2565" spans="2:5">
      <c r="B2565" s="132"/>
      <c r="C2565" s="132"/>
      <c r="D2565" s="132"/>
      <c r="E2565" s="132"/>
    </row>
    <row r="2566" spans="2:5">
      <c r="B2566" s="132"/>
      <c r="C2566" s="132"/>
      <c r="D2566" s="132"/>
      <c r="E2566" s="132"/>
    </row>
    <row r="2567" spans="2:5">
      <c r="B2567" s="132"/>
      <c r="C2567" s="132"/>
      <c r="D2567" s="132"/>
      <c r="E2567" s="132"/>
    </row>
    <row r="2568" spans="2:5">
      <c r="B2568" s="132"/>
      <c r="C2568" s="132"/>
      <c r="D2568" s="132"/>
      <c r="E2568" s="132"/>
    </row>
    <row r="2569" spans="2:5">
      <c r="B2569" s="132"/>
      <c r="C2569" s="132"/>
      <c r="D2569" s="132"/>
      <c r="E2569" s="132"/>
    </row>
    <row r="2570" spans="2:5">
      <c r="B2570" s="132"/>
      <c r="C2570" s="132"/>
      <c r="D2570" s="132"/>
      <c r="E2570" s="132"/>
    </row>
    <row r="2571" spans="2:5">
      <c r="B2571" s="132"/>
      <c r="C2571" s="132"/>
      <c r="D2571" s="132"/>
      <c r="E2571" s="132"/>
    </row>
    <row r="2572" spans="2:5">
      <c r="B2572" s="132"/>
      <c r="C2572" s="132"/>
      <c r="D2572" s="132"/>
      <c r="E2572" s="132"/>
    </row>
    <row r="2573" spans="2:5">
      <c r="B2573" s="132"/>
      <c r="C2573" s="132"/>
      <c r="D2573" s="132"/>
      <c r="E2573" s="132"/>
    </row>
  </sheetData>
  <sheetProtection algorithmName="SHA-512" hashValue="s1lB2q1H2LCrRVdQ7OOe8Z2TID3MvXlvOqodq4vsdkn8bEUVZDaBb+DE+1vZkmYx2QR5fUd1j7SBArEvHXDyig==" saltValue="NF9qTiUla91ohXhoX7kd3w==" spinCount="100000" sheet="1" objects="1" scenarios="1" formatCells="0" formatColumns="0" formatRows="0"/>
  <mergeCells count="9124">
    <mergeCell ref="H302:H303"/>
    <mergeCell ref="I302:I303"/>
    <mergeCell ref="J302:J303"/>
    <mergeCell ref="B304:B305"/>
    <mergeCell ref="C304:C305"/>
    <mergeCell ref="D304:D305"/>
    <mergeCell ref="E304:E305"/>
    <mergeCell ref="G304:G305"/>
    <mergeCell ref="H304:H305"/>
    <mergeCell ref="I304:I305"/>
    <mergeCell ref="J304:J305"/>
    <mergeCell ref="B302:B303"/>
    <mergeCell ref="C302:C303"/>
    <mergeCell ref="D302:D303"/>
    <mergeCell ref="E302:E303"/>
    <mergeCell ref="G302:G303"/>
    <mergeCell ref="H298:H299"/>
    <mergeCell ref="I298:I299"/>
    <mergeCell ref="J298:J299"/>
    <mergeCell ref="B300:B301"/>
    <mergeCell ref="C300:C301"/>
    <mergeCell ref="D300:D301"/>
    <mergeCell ref="E300:E301"/>
    <mergeCell ref="G300:G301"/>
    <mergeCell ref="H300:H301"/>
    <mergeCell ref="I300:I301"/>
    <mergeCell ref="J300:J301"/>
    <mergeCell ref="B298:B299"/>
    <mergeCell ref="C298:C299"/>
    <mergeCell ref="D298:D299"/>
    <mergeCell ref="E298:E299"/>
    <mergeCell ref="G298:G299"/>
    <mergeCell ref="H294:H295"/>
    <mergeCell ref="I294:I295"/>
    <mergeCell ref="J294:J295"/>
    <mergeCell ref="B296:B297"/>
    <mergeCell ref="C296:C297"/>
    <mergeCell ref="D296:D297"/>
    <mergeCell ref="E296:E297"/>
    <mergeCell ref="G296:G297"/>
    <mergeCell ref="H296:H297"/>
    <mergeCell ref="I296:I297"/>
    <mergeCell ref="J296:J297"/>
    <mergeCell ref="B294:B295"/>
    <mergeCell ref="C294:C295"/>
    <mergeCell ref="D294:D295"/>
    <mergeCell ref="E294:E295"/>
    <mergeCell ref="G294:G295"/>
    <mergeCell ref="H290:H291"/>
    <mergeCell ref="I290:I291"/>
    <mergeCell ref="J290:J291"/>
    <mergeCell ref="B292:B293"/>
    <mergeCell ref="C292:C293"/>
    <mergeCell ref="D292:D293"/>
    <mergeCell ref="E292:E293"/>
    <mergeCell ref="G292:G293"/>
    <mergeCell ref="H292:H293"/>
    <mergeCell ref="I292:I293"/>
    <mergeCell ref="J292:J293"/>
    <mergeCell ref="B290:B291"/>
    <mergeCell ref="C290:C291"/>
    <mergeCell ref="D290:D291"/>
    <mergeCell ref="E290:E291"/>
    <mergeCell ref="G290:G291"/>
    <mergeCell ref="H286:H287"/>
    <mergeCell ref="I286:I287"/>
    <mergeCell ref="J286:J287"/>
    <mergeCell ref="B288:B289"/>
    <mergeCell ref="C288:C289"/>
    <mergeCell ref="D288:D289"/>
    <mergeCell ref="E288:E289"/>
    <mergeCell ref="G288:G289"/>
    <mergeCell ref="H288:H289"/>
    <mergeCell ref="I288:I289"/>
    <mergeCell ref="J288:J289"/>
    <mergeCell ref="B286:B287"/>
    <mergeCell ref="C286:C287"/>
    <mergeCell ref="D286:D287"/>
    <mergeCell ref="E286:E287"/>
    <mergeCell ref="G286:G287"/>
    <mergeCell ref="H282:H283"/>
    <mergeCell ref="I282:I283"/>
    <mergeCell ref="J282:J283"/>
    <mergeCell ref="B284:B285"/>
    <mergeCell ref="C284:C285"/>
    <mergeCell ref="D284:D285"/>
    <mergeCell ref="E284:E285"/>
    <mergeCell ref="G284:G285"/>
    <mergeCell ref="H284:H285"/>
    <mergeCell ref="I284:I285"/>
    <mergeCell ref="J284:J285"/>
    <mergeCell ref="B282:B283"/>
    <mergeCell ref="C282:C283"/>
    <mergeCell ref="D282:D283"/>
    <mergeCell ref="E282:E283"/>
    <mergeCell ref="G282:G283"/>
    <mergeCell ref="H278:H279"/>
    <mergeCell ref="I278:I279"/>
    <mergeCell ref="J278:J279"/>
    <mergeCell ref="B280:B281"/>
    <mergeCell ref="C280:C281"/>
    <mergeCell ref="D280:D281"/>
    <mergeCell ref="E280:E281"/>
    <mergeCell ref="G280:G281"/>
    <mergeCell ref="H280:H281"/>
    <mergeCell ref="I280:I281"/>
    <mergeCell ref="J280:J281"/>
    <mergeCell ref="B278:B279"/>
    <mergeCell ref="C278:C279"/>
    <mergeCell ref="D278:D279"/>
    <mergeCell ref="E278:E279"/>
    <mergeCell ref="G278:G279"/>
    <mergeCell ref="H274:H275"/>
    <mergeCell ref="I274:I275"/>
    <mergeCell ref="J274:J275"/>
    <mergeCell ref="B276:B277"/>
    <mergeCell ref="C276:C277"/>
    <mergeCell ref="D276:D277"/>
    <mergeCell ref="E276:E277"/>
    <mergeCell ref="G276:G277"/>
    <mergeCell ref="H276:H277"/>
    <mergeCell ref="I276:I277"/>
    <mergeCell ref="J276:J277"/>
    <mergeCell ref="B274:B275"/>
    <mergeCell ref="C274:C275"/>
    <mergeCell ref="D274:D275"/>
    <mergeCell ref="E274:E275"/>
    <mergeCell ref="G274:G275"/>
    <mergeCell ref="H270:H271"/>
    <mergeCell ref="I270:I271"/>
    <mergeCell ref="J270:J271"/>
    <mergeCell ref="B272:B273"/>
    <mergeCell ref="C272:C273"/>
    <mergeCell ref="D272:D273"/>
    <mergeCell ref="E272:E273"/>
    <mergeCell ref="G272:G273"/>
    <mergeCell ref="H272:H273"/>
    <mergeCell ref="I272:I273"/>
    <mergeCell ref="J272:J273"/>
    <mergeCell ref="B270:B271"/>
    <mergeCell ref="C270:C271"/>
    <mergeCell ref="D270:D271"/>
    <mergeCell ref="E270:E271"/>
    <mergeCell ref="G270:G271"/>
    <mergeCell ref="H266:H267"/>
    <mergeCell ref="I266:I267"/>
    <mergeCell ref="J266:J267"/>
    <mergeCell ref="B268:B269"/>
    <mergeCell ref="C268:C269"/>
    <mergeCell ref="D268:D269"/>
    <mergeCell ref="E268:E269"/>
    <mergeCell ref="G268:G269"/>
    <mergeCell ref="H268:H269"/>
    <mergeCell ref="I268:I269"/>
    <mergeCell ref="J268:J269"/>
    <mergeCell ref="B266:B267"/>
    <mergeCell ref="C266:C267"/>
    <mergeCell ref="D266:D267"/>
    <mergeCell ref="E266:E267"/>
    <mergeCell ref="G266:G267"/>
    <mergeCell ref="H262:H263"/>
    <mergeCell ref="I262:I263"/>
    <mergeCell ref="J262:J263"/>
    <mergeCell ref="B264:B265"/>
    <mergeCell ref="C264:C265"/>
    <mergeCell ref="D264:D265"/>
    <mergeCell ref="E264:E265"/>
    <mergeCell ref="G264:G265"/>
    <mergeCell ref="H264:H265"/>
    <mergeCell ref="I264:I265"/>
    <mergeCell ref="J264:J265"/>
    <mergeCell ref="B262:B263"/>
    <mergeCell ref="C262:C263"/>
    <mergeCell ref="D262:D263"/>
    <mergeCell ref="E262:E263"/>
    <mergeCell ref="G262:G263"/>
    <mergeCell ref="H258:H259"/>
    <mergeCell ref="I258:I259"/>
    <mergeCell ref="J258:J259"/>
    <mergeCell ref="B260:B261"/>
    <mergeCell ref="C260:C261"/>
    <mergeCell ref="D260:D261"/>
    <mergeCell ref="E260:E261"/>
    <mergeCell ref="G260:G261"/>
    <mergeCell ref="H260:H261"/>
    <mergeCell ref="I260:I261"/>
    <mergeCell ref="J260:J261"/>
    <mergeCell ref="B258:B259"/>
    <mergeCell ref="C258:C259"/>
    <mergeCell ref="D258:D259"/>
    <mergeCell ref="E258:E259"/>
    <mergeCell ref="G258:G259"/>
    <mergeCell ref="H254:H255"/>
    <mergeCell ref="I254:I255"/>
    <mergeCell ref="J254:J255"/>
    <mergeCell ref="B256:B257"/>
    <mergeCell ref="C256:C257"/>
    <mergeCell ref="D256:D257"/>
    <mergeCell ref="E256:E257"/>
    <mergeCell ref="G256:G257"/>
    <mergeCell ref="H256:H257"/>
    <mergeCell ref="I256:I257"/>
    <mergeCell ref="J256:J257"/>
    <mergeCell ref="B254:B255"/>
    <mergeCell ref="C254:C255"/>
    <mergeCell ref="D254:D255"/>
    <mergeCell ref="E254:E255"/>
    <mergeCell ref="G254:G255"/>
    <mergeCell ref="H250:H251"/>
    <mergeCell ref="I250:I251"/>
    <mergeCell ref="J250:J251"/>
    <mergeCell ref="B252:B253"/>
    <mergeCell ref="C252:C253"/>
    <mergeCell ref="D252:D253"/>
    <mergeCell ref="E252:E253"/>
    <mergeCell ref="G252:G253"/>
    <mergeCell ref="H252:H253"/>
    <mergeCell ref="I252:I253"/>
    <mergeCell ref="J252:J253"/>
    <mergeCell ref="B250:B251"/>
    <mergeCell ref="C250:C251"/>
    <mergeCell ref="D250:D251"/>
    <mergeCell ref="E250:E251"/>
    <mergeCell ref="G250:G251"/>
    <mergeCell ref="H246:H247"/>
    <mergeCell ref="I246:I247"/>
    <mergeCell ref="J246:J247"/>
    <mergeCell ref="B248:B249"/>
    <mergeCell ref="C248:C249"/>
    <mergeCell ref="D248:D249"/>
    <mergeCell ref="E248:E249"/>
    <mergeCell ref="G248:G249"/>
    <mergeCell ref="H248:H249"/>
    <mergeCell ref="I248:I249"/>
    <mergeCell ref="J248:J249"/>
    <mergeCell ref="B246:B247"/>
    <mergeCell ref="C246:C247"/>
    <mergeCell ref="D246:D247"/>
    <mergeCell ref="E246:E247"/>
    <mergeCell ref="G246:G247"/>
    <mergeCell ref="H242:H243"/>
    <mergeCell ref="I242:I243"/>
    <mergeCell ref="J242:J243"/>
    <mergeCell ref="B244:B245"/>
    <mergeCell ref="C244:C245"/>
    <mergeCell ref="D244:D245"/>
    <mergeCell ref="E244:E245"/>
    <mergeCell ref="G244:G245"/>
    <mergeCell ref="H244:H245"/>
    <mergeCell ref="I244:I245"/>
    <mergeCell ref="J244:J245"/>
    <mergeCell ref="B242:B243"/>
    <mergeCell ref="C242:C243"/>
    <mergeCell ref="D242:D243"/>
    <mergeCell ref="E242:E243"/>
    <mergeCell ref="G242:G243"/>
    <mergeCell ref="H238:H239"/>
    <mergeCell ref="I238:I239"/>
    <mergeCell ref="J238:J239"/>
    <mergeCell ref="B240:B241"/>
    <mergeCell ref="C240:C241"/>
    <mergeCell ref="D240:D241"/>
    <mergeCell ref="E240:E241"/>
    <mergeCell ref="G240:G241"/>
    <mergeCell ref="H240:H241"/>
    <mergeCell ref="I240:I241"/>
    <mergeCell ref="J240:J241"/>
    <mergeCell ref="B238:B239"/>
    <mergeCell ref="C238:C239"/>
    <mergeCell ref="D238:D239"/>
    <mergeCell ref="E238:E239"/>
    <mergeCell ref="G238:G239"/>
    <mergeCell ref="H234:H235"/>
    <mergeCell ref="I234:I235"/>
    <mergeCell ref="J234:J235"/>
    <mergeCell ref="B236:B237"/>
    <mergeCell ref="C236:C237"/>
    <mergeCell ref="D236:D237"/>
    <mergeCell ref="E236:E237"/>
    <mergeCell ref="G236:G237"/>
    <mergeCell ref="H236:H237"/>
    <mergeCell ref="I236:I237"/>
    <mergeCell ref="J236:J237"/>
    <mergeCell ref="B234:B235"/>
    <mergeCell ref="C234:C235"/>
    <mergeCell ref="D234:D235"/>
    <mergeCell ref="E234:E235"/>
    <mergeCell ref="G234:G235"/>
    <mergeCell ref="H230:H231"/>
    <mergeCell ref="I230:I231"/>
    <mergeCell ref="J230:J231"/>
    <mergeCell ref="B232:B233"/>
    <mergeCell ref="C232:C233"/>
    <mergeCell ref="D232:D233"/>
    <mergeCell ref="E232:E233"/>
    <mergeCell ref="G232:G233"/>
    <mergeCell ref="H232:H233"/>
    <mergeCell ref="I232:I233"/>
    <mergeCell ref="J232:J233"/>
    <mergeCell ref="B230:B231"/>
    <mergeCell ref="C230:C231"/>
    <mergeCell ref="D230:D231"/>
    <mergeCell ref="E230:E231"/>
    <mergeCell ref="G230:G231"/>
    <mergeCell ref="H226:H227"/>
    <mergeCell ref="I226:I227"/>
    <mergeCell ref="J226:J227"/>
    <mergeCell ref="B228:B229"/>
    <mergeCell ref="C228:C229"/>
    <mergeCell ref="D228:D229"/>
    <mergeCell ref="E228:E229"/>
    <mergeCell ref="G228:G229"/>
    <mergeCell ref="H228:H229"/>
    <mergeCell ref="I228:I229"/>
    <mergeCell ref="J228:J229"/>
    <mergeCell ref="B226:B227"/>
    <mergeCell ref="C226:C227"/>
    <mergeCell ref="D226:D227"/>
    <mergeCell ref="E226:E227"/>
    <mergeCell ref="G226:G227"/>
    <mergeCell ref="H222:H223"/>
    <mergeCell ref="I222:I223"/>
    <mergeCell ref="J222:J223"/>
    <mergeCell ref="B224:B225"/>
    <mergeCell ref="C224:C225"/>
    <mergeCell ref="D224:D225"/>
    <mergeCell ref="E224:E225"/>
    <mergeCell ref="G224:G225"/>
    <mergeCell ref="H224:H225"/>
    <mergeCell ref="I224:I225"/>
    <mergeCell ref="J224:J225"/>
    <mergeCell ref="B222:B223"/>
    <mergeCell ref="C222:C223"/>
    <mergeCell ref="D222:D223"/>
    <mergeCell ref="E222:E223"/>
    <mergeCell ref="G222:G223"/>
    <mergeCell ref="H218:H219"/>
    <mergeCell ref="I218:I219"/>
    <mergeCell ref="J218:J219"/>
    <mergeCell ref="B220:B221"/>
    <mergeCell ref="C220:C221"/>
    <mergeCell ref="D220:D221"/>
    <mergeCell ref="E220:E221"/>
    <mergeCell ref="G220:G221"/>
    <mergeCell ref="H220:H221"/>
    <mergeCell ref="I220:I221"/>
    <mergeCell ref="J220:J221"/>
    <mergeCell ref="B218:B219"/>
    <mergeCell ref="C218:C219"/>
    <mergeCell ref="D218:D219"/>
    <mergeCell ref="E218:E219"/>
    <mergeCell ref="G218:G219"/>
    <mergeCell ref="H214:H215"/>
    <mergeCell ref="I214:I215"/>
    <mergeCell ref="J214:J215"/>
    <mergeCell ref="B216:B217"/>
    <mergeCell ref="C216:C217"/>
    <mergeCell ref="D216:D217"/>
    <mergeCell ref="E216:E217"/>
    <mergeCell ref="G216:G217"/>
    <mergeCell ref="H216:H217"/>
    <mergeCell ref="I216:I217"/>
    <mergeCell ref="J216:J217"/>
    <mergeCell ref="B214:B215"/>
    <mergeCell ref="C214:C215"/>
    <mergeCell ref="D214:D215"/>
    <mergeCell ref="E214:E215"/>
    <mergeCell ref="G214:G215"/>
    <mergeCell ref="H210:H211"/>
    <mergeCell ref="I210:I211"/>
    <mergeCell ref="J210:J211"/>
    <mergeCell ref="B212:B213"/>
    <mergeCell ref="C212:C213"/>
    <mergeCell ref="D212:D213"/>
    <mergeCell ref="E212:E213"/>
    <mergeCell ref="G212:G213"/>
    <mergeCell ref="H212:H213"/>
    <mergeCell ref="I212:I213"/>
    <mergeCell ref="J212:J213"/>
    <mergeCell ref="B210:B211"/>
    <mergeCell ref="C210:C211"/>
    <mergeCell ref="D210:D211"/>
    <mergeCell ref="E210:E211"/>
    <mergeCell ref="G210:G211"/>
    <mergeCell ref="H206:H207"/>
    <mergeCell ref="I206:I207"/>
    <mergeCell ref="J206:J207"/>
    <mergeCell ref="B208:B209"/>
    <mergeCell ref="C208:C209"/>
    <mergeCell ref="D208:D209"/>
    <mergeCell ref="E208:E209"/>
    <mergeCell ref="G208:G209"/>
    <mergeCell ref="H208:H209"/>
    <mergeCell ref="I208:I209"/>
    <mergeCell ref="J208:J209"/>
    <mergeCell ref="B206:B207"/>
    <mergeCell ref="C206:C207"/>
    <mergeCell ref="D206:D207"/>
    <mergeCell ref="E206:E207"/>
    <mergeCell ref="G206:G207"/>
    <mergeCell ref="H202:H203"/>
    <mergeCell ref="I202:I203"/>
    <mergeCell ref="J202:J203"/>
    <mergeCell ref="B204:B205"/>
    <mergeCell ref="C204:C205"/>
    <mergeCell ref="D204:D205"/>
    <mergeCell ref="E204:E205"/>
    <mergeCell ref="G204:G205"/>
    <mergeCell ref="H204:H205"/>
    <mergeCell ref="I204:I205"/>
    <mergeCell ref="J204:J205"/>
    <mergeCell ref="B202:B203"/>
    <mergeCell ref="C202:C203"/>
    <mergeCell ref="D202:D203"/>
    <mergeCell ref="E202:E203"/>
    <mergeCell ref="G202:G203"/>
    <mergeCell ref="H198:H199"/>
    <mergeCell ref="I198:I199"/>
    <mergeCell ref="J198:J199"/>
    <mergeCell ref="B200:B201"/>
    <mergeCell ref="C200:C201"/>
    <mergeCell ref="D200:D201"/>
    <mergeCell ref="E200:E201"/>
    <mergeCell ref="G200:G201"/>
    <mergeCell ref="H200:H201"/>
    <mergeCell ref="I200:I201"/>
    <mergeCell ref="J200:J201"/>
    <mergeCell ref="B198:B199"/>
    <mergeCell ref="C198:C199"/>
    <mergeCell ref="D198:D199"/>
    <mergeCell ref="E198:E199"/>
    <mergeCell ref="G198:G199"/>
    <mergeCell ref="H194:H195"/>
    <mergeCell ref="I194:I195"/>
    <mergeCell ref="J194:J195"/>
    <mergeCell ref="B196:B197"/>
    <mergeCell ref="C196:C197"/>
    <mergeCell ref="D196:D197"/>
    <mergeCell ref="E196:E197"/>
    <mergeCell ref="G196:G197"/>
    <mergeCell ref="H196:H197"/>
    <mergeCell ref="I196:I197"/>
    <mergeCell ref="J196:J197"/>
    <mergeCell ref="B194:B195"/>
    <mergeCell ref="C194:C195"/>
    <mergeCell ref="D194:D195"/>
    <mergeCell ref="E194:E195"/>
    <mergeCell ref="G194:G195"/>
    <mergeCell ref="H190:H191"/>
    <mergeCell ref="I190:I191"/>
    <mergeCell ref="J190:J191"/>
    <mergeCell ref="B192:B193"/>
    <mergeCell ref="C192:C193"/>
    <mergeCell ref="D192:D193"/>
    <mergeCell ref="E192:E193"/>
    <mergeCell ref="G192:G193"/>
    <mergeCell ref="H192:H193"/>
    <mergeCell ref="I192:I193"/>
    <mergeCell ref="J192:J193"/>
    <mergeCell ref="B190:B191"/>
    <mergeCell ref="C190:C191"/>
    <mergeCell ref="D190:D191"/>
    <mergeCell ref="E190:E191"/>
    <mergeCell ref="G190:G191"/>
    <mergeCell ref="H186:H187"/>
    <mergeCell ref="I186:I187"/>
    <mergeCell ref="J186:J187"/>
    <mergeCell ref="B188:B189"/>
    <mergeCell ref="C188:C189"/>
    <mergeCell ref="D188:D189"/>
    <mergeCell ref="E188:E189"/>
    <mergeCell ref="G188:G189"/>
    <mergeCell ref="H188:H189"/>
    <mergeCell ref="I188:I189"/>
    <mergeCell ref="J188:J189"/>
    <mergeCell ref="B186:B187"/>
    <mergeCell ref="C186:C187"/>
    <mergeCell ref="D186:D187"/>
    <mergeCell ref="E186:E187"/>
    <mergeCell ref="G186:G187"/>
    <mergeCell ref="H182:H183"/>
    <mergeCell ref="I182:I183"/>
    <mergeCell ref="J182:J183"/>
    <mergeCell ref="B184:B185"/>
    <mergeCell ref="C184:C185"/>
    <mergeCell ref="D184:D185"/>
    <mergeCell ref="E184:E185"/>
    <mergeCell ref="G184:G185"/>
    <mergeCell ref="H184:H185"/>
    <mergeCell ref="I184:I185"/>
    <mergeCell ref="J184:J185"/>
    <mergeCell ref="B182:B183"/>
    <mergeCell ref="C182:C183"/>
    <mergeCell ref="D182:D183"/>
    <mergeCell ref="E182:E183"/>
    <mergeCell ref="G182:G183"/>
    <mergeCell ref="H178:H179"/>
    <mergeCell ref="I178:I179"/>
    <mergeCell ref="J178:J179"/>
    <mergeCell ref="B180:B181"/>
    <mergeCell ref="C180:C181"/>
    <mergeCell ref="D180:D181"/>
    <mergeCell ref="E180:E181"/>
    <mergeCell ref="G180:G181"/>
    <mergeCell ref="H180:H181"/>
    <mergeCell ref="I180:I181"/>
    <mergeCell ref="J180:J181"/>
    <mergeCell ref="B178:B179"/>
    <mergeCell ref="C178:C179"/>
    <mergeCell ref="D178:D179"/>
    <mergeCell ref="E178:E179"/>
    <mergeCell ref="G178:G179"/>
    <mergeCell ref="H174:H175"/>
    <mergeCell ref="I174:I175"/>
    <mergeCell ref="J174:J175"/>
    <mergeCell ref="B176:B177"/>
    <mergeCell ref="C176:C177"/>
    <mergeCell ref="D176:D177"/>
    <mergeCell ref="E176:E177"/>
    <mergeCell ref="G176:G177"/>
    <mergeCell ref="H176:H177"/>
    <mergeCell ref="I176:I177"/>
    <mergeCell ref="J176:J177"/>
    <mergeCell ref="B174:B175"/>
    <mergeCell ref="C174:C175"/>
    <mergeCell ref="D174:D175"/>
    <mergeCell ref="E174:E175"/>
    <mergeCell ref="G174:G175"/>
    <mergeCell ref="H170:H171"/>
    <mergeCell ref="I170:I171"/>
    <mergeCell ref="J170:J171"/>
    <mergeCell ref="B172:B173"/>
    <mergeCell ref="C172:C173"/>
    <mergeCell ref="D172:D173"/>
    <mergeCell ref="E172:E173"/>
    <mergeCell ref="G172:G173"/>
    <mergeCell ref="H172:H173"/>
    <mergeCell ref="I172:I173"/>
    <mergeCell ref="J172:J173"/>
    <mergeCell ref="B170:B171"/>
    <mergeCell ref="C170:C171"/>
    <mergeCell ref="D170:D171"/>
    <mergeCell ref="E170:E171"/>
    <mergeCell ref="G170:G171"/>
    <mergeCell ref="H166:H167"/>
    <mergeCell ref="I166:I167"/>
    <mergeCell ref="J166:J167"/>
    <mergeCell ref="B168:B169"/>
    <mergeCell ref="C168:C169"/>
    <mergeCell ref="D168:D169"/>
    <mergeCell ref="E168:E169"/>
    <mergeCell ref="G168:G169"/>
    <mergeCell ref="H168:H169"/>
    <mergeCell ref="I168:I169"/>
    <mergeCell ref="J168:J169"/>
    <mergeCell ref="B166:B167"/>
    <mergeCell ref="C166:C167"/>
    <mergeCell ref="D166:D167"/>
    <mergeCell ref="E166:E167"/>
    <mergeCell ref="G166:G167"/>
    <mergeCell ref="H162:H163"/>
    <mergeCell ref="I162:I163"/>
    <mergeCell ref="J162:J163"/>
    <mergeCell ref="B164:B165"/>
    <mergeCell ref="C164:C165"/>
    <mergeCell ref="D164:D165"/>
    <mergeCell ref="E164:E165"/>
    <mergeCell ref="G164:G165"/>
    <mergeCell ref="H164:H165"/>
    <mergeCell ref="I164:I165"/>
    <mergeCell ref="J164:J165"/>
    <mergeCell ref="B162:B163"/>
    <mergeCell ref="C162:C163"/>
    <mergeCell ref="D162:D163"/>
    <mergeCell ref="E162:E163"/>
    <mergeCell ref="G162:G163"/>
    <mergeCell ref="H158:H159"/>
    <mergeCell ref="I158:I159"/>
    <mergeCell ref="J158:J159"/>
    <mergeCell ref="B160:B161"/>
    <mergeCell ref="C160:C161"/>
    <mergeCell ref="D160:D161"/>
    <mergeCell ref="E160:E161"/>
    <mergeCell ref="G160:G161"/>
    <mergeCell ref="H160:H161"/>
    <mergeCell ref="I160:I161"/>
    <mergeCell ref="J160:J161"/>
    <mergeCell ref="B158:B159"/>
    <mergeCell ref="C158:C159"/>
    <mergeCell ref="D158:D159"/>
    <mergeCell ref="E158:E159"/>
    <mergeCell ref="G158:G159"/>
    <mergeCell ref="H154:H155"/>
    <mergeCell ref="I154:I155"/>
    <mergeCell ref="J154:J155"/>
    <mergeCell ref="B156:B157"/>
    <mergeCell ref="C156:C157"/>
    <mergeCell ref="D156:D157"/>
    <mergeCell ref="E156:E157"/>
    <mergeCell ref="G156:G157"/>
    <mergeCell ref="H156:H157"/>
    <mergeCell ref="I156:I157"/>
    <mergeCell ref="J156:J157"/>
    <mergeCell ref="B154:B155"/>
    <mergeCell ref="C154:C155"/>
    <mergeCell ref="D154:D155"/>
    <mergeCell ref="E154:E155"/>
    <mergeCell ref="G154:G155"/>
    <mergeCell ref="H150:H151"/>
    <mergeCell ref="I150:I151"/>
    <mergeCell ref="J150:J151"/>
    <mergeCell ref="B152:B153"/>
    <mergeCell ref="C152:C153"/>
    <mergeCell ref="D152:D153"/>
    <mergeCell ref="E152:E153"/>
    <mergeCell ref="G152:G153"/>
    <mergeCell ref="H152:H153"/>
    <mergeCell ref="I152:I153"/>
    <mergeCell ref="J152:J153"/>
    <mergeCell ref="B150:B151"/>
    <mergeCell ref="C150:C151"/>
    <mergeCell ref="D150:D151"/>
    <mergeCell ref="E150:E151"/>
    <mergeCell ref="G150:G151"/>
    <mergeCell ref="H146:H147"/>
    <mergeCell ref="I146:I147"/>
    <mergeCell ref="J146:J147"/>
    <mergeCell ref="B148:B149"/>
    <mergeCell ref="C148:C149"/>
    <mergeCell ref="D148:D149"/>
    <mergeCell ref="E148:E149"/>
    <mergeCell ref="G148:G149"/>
    <mergeCell ref="H148:H149"/>
    <mergeCell ref="I148:I149"/>
    <mergeCell ref="J148:J149"/>
    <mergeCell ref="B146:B147"/>
    <mergeCell ref="C146:C147"/>
    <mergeCell ref="D146:D147"/>
    <mergeCell ref="E146:E147"/>
    <mergeCell ref="G146:G147"/>
    <mergeCell ref="H142:H143"/>
    <mergeCell ref="I142:I143"/>
    <mergeCell ref="J142:J143"/>
    <mergeCell ref="B144:B145"/>
    <mergeCell ref="C144:C145"/>
    <mergeCell ref="D144:D145"/>
    <mergeCell ref="E144:E145"/>
    <mergeCell ref="G144:G145"/>
    <mergeCell ref="H144:H145"/>
    <mergeCell ref="I144:I145"/>
    <mergeCell ref="J144:J145"/>
    <mergeCell ref="B142:B143"/>
    <mergeCell ref="C142:C143"/>
    <mergeCell ref="D142:D143"/>
    <mergeCell ref="E142:E143"/>
    <mergeCell ref="G142:G143"/>
    <mergeCell ref="H138:H139"/>
    <mergeCell ref="I138:I139"/>
    <mergeCell ref="J138:J139"/>
    <mergeCell ref="B140:B141"/>
    <mergeCell ref="C140:C141"/>
    <mergeCell ref="D140:D141"/>
    <mergeCell ref="E140:E141"/>
    <mergeCell ref="G140:G141"/>
    <mergeCell ref="H140:H141"/>
    <mergeCell ref="I140:I141"/>
    <mergeCell ref="J140:J141"/>
    <mergeCell ref="B138:B139"/>
    <mergeCell ref="C138:C139"/>
    <mergeCell ref="D138:D139"/>
    <mergeCell ref="E138:E139"/>
    <mergeCell ref="G138:G139"/>
    <mergeCell ref="B134:B135"/>
    <mergeCell ref="C134:C135"/>
    <mergeCell ref="H134:H135"/>
    <mergeCell ref="B136:B137"/>
    <mergeCell ref="C136:C137"/>
    <mergeCell ref="H136:H137"/>
    <mergeCell ref="B130:B131"/>
    <mergeCell ref="C130:C131"/>
    <mergeCell ref="H130:H131"/>
    <mergeCell ref="B132:B133"/>
    <mergeCell ref="C132:C133"/>
    <mergeCell ref="H132:H133"/>
    <mergeCell ref="B126:B127"/>
    <mergeCell ref="C126:C127"/>
    <mergeCell ref="H126:H127"/>
    <mergeCell ref="B128:B129"/>
    <mergeCell ref="C128:C129"/>
    <mergeCell ref="H128:H129"/>
    <mergeCell ref="D126:D127"/>
    <mergeCell ref="E126:E127"/>
    <mergeCell ref="G126:G127"/>
    <mergeCell ref="D128:D129"/>
    <mergeCell ref="E128:E129"/>
    <mergeCell ref="G128:G129"/>
    <mergeCell ref="B104:B105"/>
    <mergeCell ref="C104:C105"/>
    <mergeCell ref="H104:H105"/>
    <mergeCell ref="B122:B123"/>
    <mergeCell ref="C122:C123"/>
    <mergeCell ref="H122:H123"/>
    <mergeCell ref="B124:B125"/>
    <mergeCell ref="C124:C125"/>
    <mergeCell ref="H124:H125"/>
    <mergeCell ref="B118:B119"/>
    <mergeCell ref="C118:C119"/>
    <mergeCell ref="H118:H119"/>
    <mergeCell ref="B120:B121"/>
    <mergeCell ref="C120:C121"/>
    <mergeCell ref="H120:H121"/>
    <mergeCell ref="B114:B115"/>
    <mergeCell ref="C114:C115"/>
    <mergeCell ref="H114:H115"/>
    <mergeCell ref="B116:B117"/>
    <mergeCell ref="C116:C117"/>
    <mergeCell ref="H116:H117"/>
    <mergeCell ref="E124:E125"/>
    <mergeCell ref="G124:G125"/>
    <mergeCell ref="B78:B79"/>
    <mergeCell ref="C78:C79"/>
    <mergeCell ref="H78:H79"/>
    <mergeCell ref="B80:B81"/>
    <mergeCell ref="C80:C81"/>
    <mergeCell ref="H80:H81"/>
    <mergeCell ref="B98:B99"/>
    <mergeCell ref="C98:C99"/>
    <mergeCell ref="H98:H99"/>
    <mergeCell ref="B100:B101"/>
    <mergeCell ref="C100:C101"/>
    <mergeCell ref="H100:H101"/>
    <mergeCell ref="B94:B95"/>
    <mergeCell ref="C94:C95"/>
    <mergeCell ref="H94:H95"/>
    <mergeCell ref="B96:B97"/>
    <mergeCell ref="C96:C97"/>
    <mergeCell ref="H96:H97"/>
    <mergeCell ref="B90:B91"/>
    <mergeCell ref="C90:C91"/>
    <mergeCell ref="H90:H91"/>
    <mergeCell ref="B92:B93"/>
    <mergeCell ref="C92:C93"/>
    <mergeCell ref="H92:H93"/>
    <mergeCell ref="I128:I129"/>
    <mergeCell ref="J128:J129"/>
    <mergeCell ref="B86:B87"/>
    <mergeCell ref="C86:C87"/>
    <mergeCell ref="H86:H87"/>
    <mergeCell ref="B88:B89"/>
    <mergeCell ref="C88:C89"/>
    <mergeCell ref="H88:H89"/>
    <mergeCell ref="B82:B83"/>
    <mergeCell ref="C82:C83"/>
    <mergeCell ref="H82:H83"/>
    <mergeCell ref="B84:B85"/>
    <mergeCell ref="C84:C85"/>
    <mergeCell ref="H84:H85"/>
    <mergeCell ref="B110:B111"/>
    <mergeCell ref="C110:C111"/>
    <mergeCell ref="H110:H111"/>
    <mergeCell ref="B112:B113"/>
    <mergeCell ref="C112:C113"/>
    <mergeCell ref="H112:H113"/>
    <mergeCell ref="B106:B107"/>
    <mergeCell ref="C106:C107"/>
    <mergeCell ref="H106:H107"/>
    <mergeCell ref="B108:B109"/>
    <mergeCell ref="C108:C109"/>
    <mergeCell ref="H108:H109"/>
    <mergeCell ref="B102:B103"/>
    <mergeCell ref="C102:C103"/>
    <mergeCell ref="H102:H103"/>
    <mergeCell ref="I126:I127"/>
    <mergeCell ref="J122:J123"/>
    <mergeCell ref="D124:D125"/>
    <mergeCell ref="J134:J135"/>
    <mergeCell ref="D136:D137"/>
    <mergeCell ref="E136:E137"/>
    <mergeCell ref="G136:G137"/>
    <mergeCell ref="I136:I137"/>
    <mergeCell ref="J136:J137"/>
    <mergeCell ref="D134:D135"/>
    <mergeCell ref="E134:E135"/>
    <mergeCell ref="G134:G135"/>
    <mergeCell ref="I134:I135"/>
    <mergeCell ref="J130:J131"/>
    <mergeCell ref="D132:D133"/>
    <mergeCell ref="E132:E133"/>
    <mergeCell ref="G132:G133"/>
    <mergeCell ref="I132:I133"/>
    <mergeCell ref="J132:J133"/>
    <mergeCell ref="D130:D131"/>
    <mergeCell ref="E130:E131"/>
    <mergeCell ref="G130:G131"/>
    <mergeCell ref="I130:I131"/>
    <mergeCell ref="I124:I125"/>
    <mergeCell ref="J124:J125"/>
    <mergeCell ref="D122:D123"/>
    <mergeCell ref="E122:E123"/>
    <mergeCell ref="G122:G123"/>
    <mergeCell ref="I122:I123"/>
    <mergeCell ref="J118:J119"/>
    <mergeCell ref="D120:D121"/>
    <mergeCell ref="E120:E121"/>
    <mergeCell ref="G120:G121"/>
    <mergeCell ref="I120:I121"/>
    <mergeCell ref="J120:J121"/>
    <mergeCell ref="D118:D119"/>
    <mergeCell ref="E118:E119"/>
    <mergeCell ref="G118:G119"/>
    <mergeCell ref="I118:I119"/>
    <mergeCell ref="J126:J127"/>
    <mergeCell ref="J114:J115"/>
    <mergeCell ref="D116:D117"/>
    <mergeCell ref="E116:E117"/>
    <mergeCell ref="G116:G117"/>
    <mergeCell ref="I116:I117"/>
    <mergeCell ref="J116:J117"/>
    <mergeCell ref="D114:D115"/>
    <mergeCell ref="E114:E115"/>
    <mergeCell ref="G114:G115"/>
    <mergeCell ref="I114:I115"/>
    <mergeCell ref="J110:J111"/>
    <mergeCell ref="D112:D113"/>
    <mergeCell ref="E112:E113"/>
    <mergeCell ref="G112:G113"/>
    <mergeCell ref="I112:I113"/>
    <mergeCell ref="J112:J113"/>
    <mergeCell ref="D110:D111"/>
    <mergeCell ref="E110:E111"/>
    <mergeCell ref="G110:G111"/>
    <mergeCell ref="I110:I111"/>
    <mergeCell ref="J106:J107"/>
    <mergeCell ref="D108:D109"/>
    <mergeCell ref="E108:E109"/>
    <mergeCell ref="G108:G109"/>
    <mergeCell ref="I108:I109"/>
    <mergeCell ref="J108:J109"/>
    <mergeCell ref="D106:D107"/>
    <mergeCell ref="E106:E107"/>
    <mergeCell ref="G106:G107"/>
    <mergeCell ref="I106:I107"/>
    <mergeCell ref="J102:J103"/>
    <mergeCell ref="D104:D105"/>
    <mergeCell ref="E104:E105"/>
    <mergeCell ref="G104:G105"/>
    <mergeCell ref="I104:I105"/>
    <mergeCell ref="J104:J105"/>
    <mergeCell ref="D102:D103"/>
    <mergeCell ref="E102:E103"/>
    <mergeCell ref="G102:G103"/>
    <mergeCell ref="I102:I103"/>
    <mergeCell ref="J98:J99"/>
    <mergeCell ref="D100:D101"/>
    <mergeCell ref="E100:E101"/>
    <mergeCell ref="G100:G101"/>
    <mergeCell ref="I100:I101"/>
    <mergeCell ref="J100:J101"/>
    <mergeCell ref="D98:D99"/>
    <mergeCell ref="E98:E99"/>
    <mergeCell ref="G98:G99"/>
    <mergeCell ref="I98:I99"/>
    <mergeCell ref="J94:J95"/>
    <mergeCell ref="D96:D97"/>
    <mergeCell ref="E96:E97"/>
    <mergeCell ref="G96:G97"/>
    <mergeCell ref="I96:I97"/>
    <mergeCell ref="J96:J97"/>
    <mergeCell ref="D94:D95"/>
    <mergeCell ref="E94:E95"/>
    <mergeCell ref="G94:G95"/>
    <mergeCell ref="I94:I95"/>
    <mergeCell ref="J90:J91"/>
    <mergeCell ref="D92:D93"/>
    <mergeCell ref="E92:E93"/>
    <mergeCell ref="G92:G93"/>
    <mergeCell ref="I92:I93"/>
    <mergeCell ref="J92:J93"/>
    <mergeCell ref="D90:D91"/>
    <mergeCell ref="E90:E91"/>
    <mergeCell ref="G90:G91"/>
    <mergeCell ref="I90:I91"/>
    <mergeCell ref="J86:J87"/>
    <mergeCell ref="D88:D89"/>
    <mergeCell ref="E88:E89"/>
    <mergeCell ref="G88:G89"/>
    <mergeCell ref="I88:I89"/>
    <mergeCell ref="J88:J89"/>
    <mergeCell ref="D86:D87"/>
    <mergeCell ref="E86:E87"/>
    <mergeCell ref="G86:G87"/>
    <mergeCell ref="I86:I87"/>
    <mergeCell ref="J82:J83"/>
    <mergeCell ref="D84:D85"/>
    <mergeCell ref="E84:E85"/>
    <mergeCell ref="G84:G85"/>
    <mergeCell ref="I84:I85"/>
    <mergeCell ref="J84:J85"/>
    <mergeCell ref="D82:D83"/>
    <mergeCell ref="E82:E83"/>
    <mergeCell ref="G82:G83"/>
    <mergeCell ref="I82:I83"/>
    <mergeCell ref="J78:J79"/>
    <mergeCell ref="D80:D81"/>
    <mergeCell ref="E80:E81"/>
    <mergeCell ref="G80:G81"/>
    <mergeCell ref="I80:I81"/>
    <mergeCell ref="J80:J81"/>
    <mergeCell ref="D78:D79"/>
    <mergeCell ref="E78:E79"/>
    <mergeCell ref="G78:G79"/>
    <mergeCell ref="I78:I79"/>
    <mergeCell ref="D76:D77"/>
    <mergeCell ref="E76:E77"/>
    <mergeCell ref="G76:G77"/>
    <mergeCell ref="I76:I77"/>
    <mergeCell ref="J76:J77"/>
    <mergeCell ref="H72:H73"/>
    <mergeCell ref="I72:I73"/>
    <mergeCell ref="J72:J73"/>
    <mergeCell ref="D74:D75"/>
    <mergeCell ref="E74:E75"/>
    <mergeCell ref="G74:G75"/>
    <mergeCell ref="I74:I75"/>
    <mergeCell ref="J74:J75"/>
    <mergeCell ref="B72:B73"/>
    <mergeCell ref="C72:C73"/>
    <mergeCell ref="D72:D73"/>
    <mergeCell ref="E72:E73"/>
    <mergeCell ref="G72:G73"/>
    <mergeCell ref="B74:B75"/>
    <mergeCell ref="C74:C75"/>
    <mergeCell ref="H74:H75"/>
    <mergeCell ref="B76:B77"/>
    <mergeCell ref="C76:C77"/>
    <mergeCell ref="H76:H77"/>
    <mergeCell ref="G68:G69"/>
    <mergeCell ref="H68:H69"/>
    <mergeCell ref="I68:I69"/>
    <mergeCell ref="J68:J69"/>
    <mergeCell ref="B70:B71"/>
    <mergeCell ref="C70:C71"/>
    <mergeCell ref="D70:D71"/>
    <mergeCell ref="E70:E71"/>
    <mergeCell ref="G70:G71"/>
    <mergeCell ref="H70:H71"/>
    <mergeCell ref="I70:I71"/>
    <mergeCell ref="J70:J71"/>
    <mergeCell ref="B68:B69"/>
    <mergeCell ref="C68:C69"/>
    <mergeCell ref="D68:D69"/>
    <mergeCell ref="E68:E69"/>
    <mergeCell ref="H64:H65"/>
    <mergeCell ref="I64:I65"/>
    <mergeCell ref="J64:J65"/>
    <mergeCell ref="B66:B67"/>
    <mergeCell ref="C66:C67"/>
    <mergeCell ref="D66:D67"/>
    <mergeCell ref="E66:E67"/>
    <mergeCell ref="G66:G67"/>
    <mergeCell ref="H66:H67"/>
    <mergeCell ref="I66:I67"/>
    <mergeCell ref="J66:J67"/>
    <mergeCell ref="B64:B65"/>
    <mergeCell ref="C64:C65"/>
    <mergeCell ref="D64:D65"/>
    <mergeCell ref="E64:E65"/>
    <mergeCell ref="G64:G65"/>
    <mergeCell ref="G60:G61"/>
    <mergeCell ref="H60:H61"/>
    <mergeCell ref="I60:I61"/>
    <mergeCell ref="J60:J61"/>
    <mergeCell ref="B62:B63"/>
    <mergeCell ref="C62:C63"/>
    <mergeCell ref="D62:D63"/>
    <mergeCell ref="E62:E63"/>
    <mergeCell ref="G62:G63"/>
    <mergeCell ref="H62:H63"/>
    <mergeCell ref="I62:I63"/>
    <mergeCell ref="J62:J63"/>
    <mergeCell ref="B60:B61"/>
    <mergeCell ref="C60:C61"/>
    <mergeCell ref="D60:D61"/>
    <mergeCell ref="E60:E61"/>
    <mergeCell ref="H56:H57"/>
    <mergeCell ref="I56:I57"/>
    <mergeCell ref="J56:J57"/>
    <mergeCell ref="B58:B59"/>
    <mergeCell ref="C58:C59"/>
    <mergeCell ref="D58:D59"/>
    <mergeCell ref="E58:E59"/>
    <mergeCell ref="G58:G59"/>
    <mergeCell ref="H58:H59"/>
    <mergeCell ref="I58:I59"/>
    <mergeCell ref="J58:J59"/>
    <mergeCell ref="B56:B57"/>
    <mergeCell ref="C56:C57"/>
    <mergeCell ref="D56:D57"/>
    <mergeCell ref="E56:E57"/>
    <mergeCell ref="G56:G57"/>
    <mergeCell ref="G52:G53"/>
    <mergeCell ref="H52:H53"/>
    <mergeCell ref="I52:I53"/>
    <mergeCell ref="J52:J53"/>
    <mergeCell ref="B54:B55"/>
    <mergeCell ref="C54:C55"/>
    <mergeCell ref="D54:D55"/>
    <mergeCell ref="E54:E55"/>
    <mergeCell ref="G54:G55"/>
    <mergeCell ref="H54:H55"/>
    <mergeCell ref="I54:I55"/>
    <mergeCell ref="J54:J55"/>
    <mergeCell ref="B52:B53"/>
    <mergeCell ref="C52:C53"/>
    <mergeCell ref="D52:D53"/>
    <mergeCell ref="E52:E53"/>
    <mergeCell ref="H48:H49"/>
    <mergeCell ref="I48:I49"/>
    <mergeCell ref="J48:J49"/>
    <mergeCell ref="B50:B51"/>
    <mergeCell ref="C50:C51"/>
    <mergeCell ref="D50:D51"/>
    <mergeCell ref="E50:E51"/>
    <mergeCell ref="G50:G51"/>
    <mergeCell ref="H50:H51"/>
    <mergeCell ref="I50:I51"/>
    <mergeCell ref="J50:J51"/>
    <mergeCell ref="B48:B49"/>
    <mergeCell ref="C48:C49"/>
    <mergeCell ref="D48:D49"/>
    <mergeCell ref="E48:E49"/>
    <mergeCell ref="G48:G49"/>
    <mergeCell ref="G44:G45"/>
    <mergeCell ref="H44:H45"/>
    <mergeCell ref="I44:I45"/>
    <mergeCell ref="J44:J45"/>
    <mergeCell ref="B46:B47"/>
    <mergeCell ref="C46:C47"/>
    <mergeCell ref="D46:D47"/>
    <mergeCell ref="E46:E47"/>
    <mergeCell ref="G46:G47"/>
    <mergeCell ref="H46:H47"/>
    <mergeCell ref="I46:I47"/>
    <mergeCell ref="J46:J47"/>
    <mergeCell ref="B44:B45"/>
    <mergeCell ref="C44:C45"/>
    <mergeCell ref="D44:D45"/>
    <mergeCell ref="E44:E45"/>
    <mergeCell ref="H40:H41"/>
    <mergeCell ref="I40:I41"/>
    <mergeCell ref="J40:J41"/>
    <mergeCell ref="B42:B43"/>
    <mergeCell ref="C42:C43"/>
    <mergeCell ref="D42:D43"/>
    <mergeCell ref="E42:E43"/>
    <mergeCell ref="G42:G43"/>
    <mergeCell ref="H42:H43"/>
    <mergeCell ref="I42:I43"/>
    <mergeCell ref="J42:J43"/>
    <mergeCell ref="B40:B41"/>
    <mergeCell ref="C40:C41"/>
    <mergeCell ref="D40:D41"/>
    <mergeCell ref="E40:E41"/>
    <mergeCell ref="G40:G41"/>
    <mergeCell ref="G36:G37"/>
    <mergeCell ref="H36:H37"/>
    <mergeCell ref="I36:I37"/>
    <mergeCell ref="J36:J37"/>
    <mergeCell ref="B38:B39"/>
    <mergeCell ref="C38:C39"/>
    <mergeCell ref="D38:D39"/>
    <mergeCell ref="E38:E39"/>
    <mergeCell ref="G38:G39"/>
    <mergeCell ref="H38:H39"/>
    <mergeCell ref="I38:I39"/>
    <mergeCell ref="J38:J39"/>
    <mergeCell ref="B36:B37"/>
    <mergeCell ref="C36:C37"/>
    <mergeCell ref="D36:D37"/>
    <mergeCell ref="E36:E37"/>
    <mergeCell ref="H32:H33"/>
    <mergeCell ref="I32:I33"/>
    <mergeCell ref="J32:J33"/>
    <mergeCell ref="B34:B35"/>
    <mergeCell ref="C34:C35"/>
    <mergeCell ref="D34:D35"/>
    <mergeCell ref="E34:E35"/>
    <mergeCell ref="G34:G35"/>
    <mergeCell ref="H34:H35"/>
    <mergeCell ref="I34:I35"/>
    <mergeCell ref="J34:J35"/>
    <mergeCell ref="B32:B33"/>
    <mergeCell ref="C32:C33"/>
    <mergeCell ref="D32:D33"/>
    <mergeCell ref="E32:E33"/>
    <mergeCell ref="G32:G33"/>
    <mergeCell ref="G28:G29"/>
    <mergeCell ref="H28:H29"/>
    <mergeCell ref="I28:I29"/>
    <mergeCell ref="J28:J29"/>
    <mergeCell ref="B30:B31"/>
    <mergeCell ref="C30:C31"/>
    <mergeCell ref="D30:D31"/>
    <mergeCell ref="E30:E31"/>
    <mergeCell ref="G30:G31"/>
    <mergeCell ref="H30:H31"/>
    <mergeCell ref="I30:I31"/>
    <mergeCell ref="J30:J31"/>
    <mergeCell ref="B28:B29"/>
    <mergeCell ref="C28:C29"/>
    <mergeCell ref="D28:D29"/>
    <mergeCell ref="E28:E29"/>
    <mergeCell ref="H24:H25"/>
    <mergeCell ref="I24:I25"/>
    <mergeCell ref="J24:J25"/>
    <mergeCell ref="B26:B27"/>
    <mergeCell ref="C26:C27"/>
    <mergeCell ref="D26:D27"/>
    <mergeCell ref="E26:E27"/>
    <mergeCell ref="G26:G27"/>
    <mergeCell ref="H26:H27"/>
    <mergeCell ref="I26:I27"/>
    <mergeCell ref="J26:J27"/>
    <mergeCell ref="B24:B25"/>
    <mergeCell ref="C24:C25"/>
    <mergeCell ref="D24:D25"/>
    <mergeCell ref="E24:E25"/>
    <mergeCell ref="G24:G25"/>
    <mergeCell ref="J20:J21"/>
    <mergeCell ref="B22:B23"/>
    <mergeCell ref="C22:C23"/>
    <mergeCell ref="D22:D23"/>
    <mergeCell ref="E22:E23"/>
    <mergeCell ref="G22:G23"/>
    <mergeCell ref="H22:H23"/>
    <mergeCell ref="I22:I23"/>
    <mergeCell ref="J22:J23"/>
    <mergeCell ref="B20:B21"/>
    <mergeCell ref="C20:C21"/>
    <mergeCell ref="D20:D21"/>
    <mergeCell ref="E20:E21"/>
    <mergeCell ref="H16:H17"/>
    <mergeCell ref="I16:I17"/>
    <mergeCell ref="J16:J17"/>
    <mergeCell ref="B18:B19"/>
    <mergeCell ref="C18:C19"/>
    <mergeCell ref="D18:D19"/>
    <mergeCell ref="E18:E19"/>
    <mergeCell ref="G18:G19"/>
    <mergeCell ref="H18:H19"/>
    <mergeCell ref="I18:I19"/>
    <mergeCell ref="J18:J19"/>
    <mergeCell ref="B16:B17"/>
    <mergeCell ref="C16:C17"/>
    <mergeCell ref="D16:D17"/>
    <mergeCell ref="E16:E17"/>
    <mergeCell ref="G16:G17"/>
    <mergeCell ref="C14:C15"/>
    <mergeCell ref="I14:I15"/>
    <mergeCell ref="H12:H13"/>
    <mergeCell ref="I12:I13"/>
    <mergeCell ref="J12:J13"/>
    <mergeCell ref="D14:D15"/>
    <mergeCell ref="E14:E15"/>
    <mergeCell ref="G14:G15"/>
    <mergeCell ref="H14:H15"/>
    <mergeCell ref="J14:J15"/>
    <mergeCell ref="B8:J8"/>
    <mergeCell ref="B314:J314"/>
    <mergeCell ref="B316:B317"/>
    <mergeCell ref="C316:C317"/>
    <mergeCell ref="D316:D317"/>
    <mergeCell ref="E316:E317"/>
    <mergeCell ref="G316:G317"/>
    <mergeCell ref="H316:H317"/>
    <mergeCell ref="I316:I317"/>
    <mergeCell ref="J316:J317"/>
    <mergeCell ref="B10:B11"/>
    <mergeCell ref="B306:B307"/>
    <mergeCell ref="C306:C307"/>
    <mergeCell ref="D306:D307"/>
    <mergeCell ref="E306:E307"/>
    <mergeCell ref="G306:G307"/>
    <mergeCell ref="H306:H307"/>
    <mergeCell ref="I306:I307"/>
    <mergeCell ref="J306:J307"/>
    <mergeCell ref="G20:G21"/>
    <mergeCell ref="H20:H21"/>
    <mergeCell ref="I20:I21"/>
    <mergeCell ref="E10:E11"/>
    <mergeCell ref="G10:G11"/>
    <mergeCell ref="B619:J619"/>
    <mergeCell ref="C10:C11"/>
    <mergeCell ref="B1:G2"/>
    <mergeCell ref="H10:H11"/>
    <mergeCell ref="I10:I11"/>
    <mergeCell ref="J10:J11"/>
    <mergeCell ref="D10:D11"/>
    <mergeCell ref="B12:B13"/>
    <mergeCell ref="C12:C13"/>
    <mergeCell ref="D12:D13"/>
    <mergeCell ref="E12:E13"/>
    <mergeCell ref="G12:G13"/>
    <mergeCell ref="C621:C622"/>
    <mergeCell ref="D621:D622"/>
    <mergeCell ref="E621:E622"/>
    <mergeCell ref="H621:H622"/>
    <mergeCell ref="I621:I622"/>
    <mergeCell ref="J621:J622"/>
    <mergeCell ref="G621:G622"/>
    <mergeCell ref="B318:B319"/>
    <mergeCell ref="C318:C319"/>
    <mergeCell ref="D318:D319"/>
    <mergeCell ref="E318:E319"/>
    <mergeCell ref="G318:G319"/>
    <mergeCell ref="H318:H319"/>
    <mergeCell ref="I318:I319"/>
    <mergeCell ref="J318:J319"/>
    <mergeCell ref="B320:B321"/>
    <mergeCell ref="C320:C321"/>
    <mergeCell ref="B14:B15"/>
    <mergeCell ref="D320:D321"/>
    <mergeCell ref="E320:E321"/>
    <mergeCell ref="G320:G321"/>
    <mergeCell ref="H320:H321"/>
    <mergeCell ref="I320:I321"/>
    <mergeCell ref="J320:J321"/>
    <mergeCell ref="B322:B323"/>
    <mergeCell ref="C322:C323"/>
    <mergeCell ref="D322:D323"/>
    <mergeCell ref="E322:E323"/>
    <mergeCell ref="G322:G323"/>
    <mergeCell ref="H322:H323"/>
    <mergeCell ref="I322:I323"/>
    <mergeCell ref="J322:J323"/>
    <mergeCell ref="B324:B325"/>
    <mergeCell ref="C324:C325"/>
    <mergeCell ref="D324:D325"/>
    <mergeCell ref="E324:E325"/>
    <mergeCell ref="G324:G325"/>
    <mergeCell ref="H324:H325"/>
    <mergeCell ref="I324:I325"/>
    <mergeCell ref="J324:J325"/>
    <mergeCell ref="B326:B327"/>
    <mergeCell ref="C326:C327"/>
    <mergeCell ref="D326:D327"/>
    <mergeCell ref="E326:E327"/>
    <mergeCell ref="G326:G327"/>
    <mergeCell ref="H326:H327"/>
    <mergeCell ref="I326:I327"/>
    <mergeCell ref="J326:J327"/>
    <mergeCell ref="B328:B329"/>
    <mergeCell ref="C328:C329"/>
    <mergeCell ref="D328:D329"/>
    <mergeCell ref="E328:E329"/>
    <mergeCell ref="G328:G329"/>
    <mergeCell ref="H328:H329"/>
    <mergeCell ref="I328:I329"/>
    <mergeCell ref="J328:J329"/>
    <mergeCell ref="B330:B331"/>
    <mergeCell ref="C330:C331"/>
    <mergeCell ref="D330:D331"/>
    <mergeCell ref="E330:E331"/>
    <mergeCell ref="G330:G331"/>
    <mergeCell ref="H330:H331"/>
    <mergeCell ref="I330:I331"/>
    <mergeCell ref="J330:J331"/>
    <mergeCell ref="B332:B333"/>
    <mergeCell ref="C332:C333"/>
    <mergeCell ref="D332:D333"/>
    <mergeCell ref="E332:E333"/>
    <mergeCell ref="G332:G333"/>
    <mergeCell ref="H332:H333"/>
    <mergeCell ref="I332:I333"/>
    <mergeCell ref="J332:J333"/>
    <mergeCell ref="B334:B335"/>
    <mergeCell ref="C334:C335"/>
    <mergeCell ref="D334:D335"/>
    <mergeCell ref="E334:E335"/>
    <mergeCell ref="G334:G335"/>
    <mergeCell ref="H334:H335"/>
    <mergeCell ref="I334:I335"/>
    <mergeCell ref="J334:J335"/>
    <mergeCell ref="B336:B337"/>
    <mergeCell ref="C336:C337"/>
    <mergeCell ref="D336:D337"/>
    <mergeCell ref="E336:E337"/>
    <mergeCell ref="G336:G337"/>
    <mergeCell ref="H336:H337"/>
    <mergeCell ref="I336:I337"/>
    <mergeCell ref="J336:J337"/>
    <mergeCell ref="B338:B339"/>
    <mergeCell ref="C338:C339"/>
    <mergeCell ref="D338:D339"/>
    <mergeCell ref="E338:E339"/>
    <mergeCell ref="G338:G339"/>
    <mergeCell ref="H338:H339"/>
    <mergeCell ref="I338:I339"/>
    <mergeCell ref="J338:J339"/>
    <mergeCell ref="B340:B341"/>
    <mergeCell ref="C340:C341"/>
    <mergeCell ref="D340:D341"/>
    <mergeCell ref="E340:E341"/>
    <mergeCell ref="G340:G341"/>
    <mergeCell ref="H340:H341"/>
    <mergeCell ref="I340:I341"/>
    <mergeCell ref="J340:J341"/>
    <mergeCell ref="B342:B343"/>
    <mergeCell ref="C342:C343"/>
    <mergeCell ref="D342:D343"/>
    <mergeCell ref="E342:E343"/>
    <mergeCell ref="G342:G343"/>
    <mergeCell ref="H342:H343"/>
    <mergeCell ref="I342:I343"/>
    <mergeCell ref="J342:J343"/>
    <mergeCell ref="B344:B345"/>
    <mergeCell ref="C344:C345"/>
    <mergeCell ref="D344:D345"/>
    <mergeCell ref="E344:E345"/>
    <mergeCell ref="G344:G345"/>
    <mergeCell ref="H344:H345"/>
    <mergeCell ref="I344:I345"/>
    <mergeCell ref="J344:J345"/>
    <mergeCell ref="B346:B347"/>
    <mergeCell ref="C346:C347"/>
    <mergeCell ref="D346:D347"/>
    <mergeCell ref="E346:E347"/>
    <mergeCell ref="G346:G347"/>
    <mergeCell ref="H346:H347"/>
    <mergeCell ref="I346:I347"/>
    <mergeCell ref="J346:J347"/>
    <mergeCell ref="B348:B349"/>
    <mergeCell ref="C348:C349"/>
    <mergeCell ref="D348:D349"/>
    <mergeCell ref="E348:E349"/>
    <mergeCell ref="G348:G349"/>
    <mergeCell ref="H348:H349"/>
    <mergeCell ref="I348:I349"/>
    <mergeCell ref="J348:J349"/>
    <mergeCell ref="B350:B351"/>
    <mergeCell ref="C350:C351"/>
    <mergeCell ref="D350:D351"/>
    <mergeCell ref="E350:E351"/>
    <mergeCell ref="G350:G351"/>
    <mergeCell ref="H350:H351"/>
    <mergeCell ref="I350:I351"/>
    <mergeCell ref="J350:J351"/>
    <mergeCell ref="B352:B353"/>
    <mergeCell ref="C352:C353"/>
    <mergeCell ref="D352:D353"/>
    <mergeCell ref="E352:E353"/>
    <mergeCell ref="G352:G353"/>
    <mergeCell ref="H352:H353"/>
    <mergeCell ref="I352:I353"/>
    <mergeCell ref="J352:J353"/>
    <mergeCell ref="B354:B355"/>
    <mergeCell ref="C354:C355"/>
    <mergeCell ref="D354:D355"/>
    <mergeCell ref="E354:E355"/>
    <mergeCell ref="G354:G355"/>
    <mergeCell ref="H354:H355"/>
    <mergeCell ref="I354:I355"/>
    <mergeCell ref="J354:J355"/>
    <mergeCell ref="B356:B357"/>
    <mergeCell ref="C356:C357"/>
    <mergeCell ref="D356:D357"/>
    <mergeCell ref="E356:E357"/>
    <mergeCell ref="G356:G357"/>
    <mergeCell ref="H356:H357"/>
    <mergeCell ref="I356:I357"/>
    <mergeCell ref="J356:J357"/>
    <mergeCell ref="B358:B359"/>
    <mergeCell ref="C358:C359"/>
    <mergeCell ref="D358:D359"/>
    <mergeCell ref="E358:E359"/>
    <mergeCell ref="G358:G359"/>
    <mergeCell ref="H358:H359"/>
    <mergeCell ref="I358:I359"/>
    <mergeCell ref="J358:J359"/>
    <mergeCell ref="B360:B361"/>
    <mergeCell ref="C360:C361"/>
    <mergeCell ref="D360:D361"/>
    <mergeCell ref="E360:E361"/>
    <mergeCell ref="G360:G361"/>
    <mergeCell ref="H360:H361"/>
    <mergeCell ref="I360:I361"/>
    <mergeCell ref="J360:J361"/>
    <mergeCell ref="B362:B363"/>
    <mergeCell ref="C362:C363"/>
    <mergeCell ref="D362:D363"/>
    <mergeCell ref="E362:E363"/>
    <mergeCell ref="G362:G363"/>
    <mergeCell ref="H362:H363"/>
    <mergeCell ref="I362:I363"/>
    <mergeCell ref="J362:J363"/>
    <mergeCell ref="B364:B365"/>
    <mergeCell ref="C364:C365"/>
    <mergeCell ref="D364:D365"/>
    <mergeCell ref="E364:E365"/>
    <mergeCell ref="G364:G365"/>
    <mergeCell ref="H364:H365"/>
    <mergeCell ref="I364:I365"/>
    <mergeCell ref="J364:J365"/>
    <mergeCell ref="B366:B367"/>
    <mergeCell ref="C366:C367"/>
    <mergeCell ref="D366:D367"/>
    <mergeCell ref="E366:E367"/>
    <mergeCell ref="G366:G367"/>
    <mergeCell ref="H366:H367"/>
    <mergeCell ref="I366:I367"/>
    <mergeCell ref="J366:J367"/>
    <mergeCell ref="B368:B369"/>
    <mergeCell ref="C368:C369"/>
    <mergeCell ref="D368:D369"/>
    <mergeCell ref="E368:E369"/>
    <mergeCell ref="G368:G369"/>
    <mergeCell ref="H368:H369"/>
    <mergeCell ref="I368:I369"/>
    <mergeCell ref="J368:J369"/>
    <mergeCell ref="B370:B371"/>
    <mergeCell ref="C370:C371"/>
    <mergeCell ref="D370:D371"/>
    <mergeCell ref="E370:E371"/>
    <mergeCell ref="G370:G371"/>
    <mergeCell ref="H370:H371"/>
    <mergeCell ref="I370:I371"/>
    <mergeCell ref="J370:J371"/>
    <mergeCell ref="B372:B373"/>
    <mergeCell ref="C372:C373"/>
    <mergeCell ref="D372:D373"/>
    <mergeCell ref="E372:E373"/>
    <mergeCell ref="G372:G373"/>
    <mergeCell ref="H372:H373"/>
    <mergeCell ref="I372:I373"/>
    <mergeCell ref="J372:J373"/>
    <mergeCell ref="B374:B375"/>
    <mergeCell ref="C374:C375"/>
    <mergeCell ref="D374:D375"/>
    <mergeCell ref="E374:E375"/>
    <mergeCell ref="G374:G375"/>
    <mergeCell ref="H374:H375"/>
    <mergeCell ref="I374:I375"/>
    <mergeCell ref="J374:J375"/>
    <mergeCell ref="B376:B377"/>
    <mergeCell ref="C376:C377"/>
    <mergeCell ref="D376:D377"/>
    <mergeCell ref="E376:E377"/>
    <mergeCell ref="G376:G377"/>
    <mergeCell ref="H376:H377"/>
    <mergeCell ref="I376:I377"/>
    <mergeCell ref="J376:J377"/>
    <mergeCell ref="B378:B379"/>
    <mergeCell ref="C378:C379"/>
    <mergeCell ref="D378:D379"/>
    <mergeCell ref="E378:E379"/>
    <mergeCell ref="G378:G379"/>
    <mergeCell ref="H378:H379"/>
    <mergeCell ref="I378:I379"/>
    <mergeCell ref="J378:J379"/>
    <mergeCell ref="B380:B381"/>
    <mergeCell ref="C380:C381"/>
    <mergeCell ref="D380:D381"/>
    <mergeCell ref="E380:E381"/>
    <mergeCell ref="G380:G381"/>
    <mergeCell ref="H380:H381"/>
    <mergeCell ref="I380:I381"/>
    <mergeCell ref="J380:J381"/>
    <mergeCell ref="B382:B383"/>
    <mergeCell ref="C382:C383"/>
    <mergeCell ref="D382:D383"/>
    <mergeCell ref="E382:E383"/>
    <mergeCell ref="G382:G383"/>
    <mergeCell ref="H382:H383"/>
    <mergeCell ref="I382:I383"/>
    <mergeCell ref="J382:J383"/>
    <mergeCell ref="B384:B385"/>
    <mergeCell ref="C384:C385"/>
    <mergeCell ref="D384:D385"/>
    <mergeCell ref="E384:E385"/>
    <mergeCell ref="G384:G385"/>
    <mergeCell ref="H384:H385"/>
    <mergeCell ref="I384:I385"/>
    <mergeCell ref="J384:J385"/>
    <mergeCell ref="B386:B387"/>
    <mergeCell ref="C386:C387"/>
    <mergeCell ref="D386:D387"/>
    <mergeCell ref="E386:E387"/>
    <mergeCell ref="G386:G387"/>
    <mergeCell ref="H386:H387"/>
    <mergeCell ref="I386:I387"/>
    <mergeCell ref="J386:J387"/>
    <mergeCell ref="B388:B389"/>
    <mergeCell ref="C388:C389"/>
    <mergeCell ref="D388:D389"/>
    <mergeCell ref="E388:E389"/>
    <mergeCell ref="G388:G389"/>
    <mergeCell ref="H388:H389"/>
    <mergeCell ref="I388:I389"/>
    <mergeCell ref="J388:J389"/>
    <mergeCell ref="B390:B391"/>
    <mergeCell ref="C390:C391"/>
    <mergeCell ref="D390:D391"/>
    <mergeCell ref="E390:E391"/>
    <mergeCell ref="G390:G391"/>
    <mergeCell ref="H390:H391"/>
    <mergeCell ref="I390:I391"/>
    <mergeCell ref="J390:J391"/>
    <mergeCell ref="B392:B393"/>
    <mergeCell ref="C392:C393"/>
    <mergeCell ref="D392:D393"/>
    <mergeCell ref="E392:E393"/>
    <mergeCell ref="G392:G393"/>
    <mergeCell ref="H392:H393"/>
    <mergeCell ref="I392:I393"/>
    <mergeCell ref="J392:J393"/>
    <mergeCell ref="B394:B395"/>
    <mergeCell ref="C394:C395"/>
    <mergeCell ref="D394:D395"/>
    <mergeCell ref="E394:E395"/>
    <mergeCell ref="G394:G395"/>
    <mergeCell ref="H394:H395"/>
    <mergeCell ref="I394:I395"/>
    <mergeCell ref="J394:J395"/>
    <mergeCell ref="B396:B397"/>
    <mergeCell ref="C396:C397"/>
    <mergeCell ref="D396:D397"/>
    <mergeCell ref="E396:E397"/>
    <mergeCell ref="G396:G397"/>
    <mergeCell ref="H396:H397"/>
    <mergeCell ref="I396:I397"/>
    <mergeCell ref="J396:J397"/>
    <mergeCell ref="B398:B399"/>
    <mergeCell ref="C398:C399"/>
    <mergeCell ref="D398:D399"/>
    <mergeCell ref="E398:E399"/>
    <mergeCell ref="G398:G399"/>
    <mergeCell ref="H398:H399"/>
    <mergeCell ref="I398:I399"/>
    <mergeCell ref="J398:J399"/>
    <mergeCell ref="B400:B401"/>
    <mergeCell ref="C400:C401"/>
    <mergeCell ref="D400:D401"/>
    <mergeCell ref="E400:E401"/>
    <mergeCell ref="G400:G401"/>
    <mergeCell ref="H400:H401"/>
    <mergeCell ref="I400:I401"/>
    <mergeCell ref="J400:J401"/>
    <mergeCell ref="B402:B403"/>
    <mergeCell ref="C402:C403"/>
    <mergeCell ref="D402:D403"/>
    <mergeCell ref="E402:E403"/>
    <mergeCell ref="G402:G403"/>
    <mergeCell ref="H402:H403"/>
    <mergeCell ref="I402:I403"/>
    <mergeCell ref="J402:J403"/>
    <mergeCell ref="B404:B405"/>
    <mergeCell ref="C404:C405"/>
    <mergeCell ref="D404:D405"/>
    <mergeCell ref="E404:E405"/>
    <mergeCell ref="G404:G405"/>
    <mergeCell ref="H404:H405"/>
    <mergeCell ref="I404:I405"/>
    <mergeCell ref="J404:J405"/>
    <mergeCell ref="B406:B407"/>
    <mergeCell ref="C406:C407"/>
    <mergeCell ref="D406:D407"/>
    <mergeCell ref="E406:E407"/>
    <mergeCell ref="G406:G407"/>
    <mergeCell ref="H406:H407"/>
    <mergeCell ref="I406:I407"/>
    <mergeCell ref="J406:J407"/>
    <mergeCell ref="B408:B409"/>
    <mergeCell ref="C408:C409"/>
    <mergeCell ref="D408:D409"/>
    <mergeCell ref="E408:E409"/>
    <mergeCell ref="G408:G409"/>
    <mergeCell ref="H408:H409"/>
    <mergeCell ref="I408:I409"/>
    <mergeCell ref="J408:J409"/>
    <mergeCell ref="B410:B411"/>
    <mergeCell ref="C410:C411"/>
    <mergeCell ref="D410:D411"/>
    <mergeCell ref="E410:E411"/>
    <mergeCell ref="G410:G411"/>
    <mergeCell ref="H410:H411"/>
    <mergeCell ref="I410:I411"/>
    <mergeCell ref="J410:J411"/>
    <mergeCell ref="B412:B413"/>
    <mergeCell ref="C412:C413"/>
    <mergeCell ref="D412:D413"/>
    <mergeCell ref="E412:E413"/>
    <mergeCell ref="G412:G413"/>
    <mergeCell ref="H412:H413"/>
    <mergeCell ref="I412:I413"/>
    <mergeCell ref="J412:J413"/>
    <mergeCell ref="B414:B415"/>
    <mergeCell ref="C414:C415"/>
    <mergeCell ref="D414:D415"/>
    <mergeCell ref="E414:E415"/>
    <mergeCell ref="G414:G415"/>
    <mergeCell ref="H414:H415"/>
    <mergeCell ref="I414:I415"/>
    <mergeCell ref="J414:J415"/>
    <mergeCell ref="B416:B417"/>
    <mergeCell ref="C416:C417"/>
    <mergeCell ref="D416:D417"/>
    <mergeCell ref="E416:E417"/>
    <mergeCell ref="G416:G417"/>
    <mergeCell ref="H416:H417"/>
    <mergeCell ref="I416:I417"/>
    <mergeCell ref="J416:J417"/>
    <mergeCell ref="B418:B419"/>
    <mergeCell ref="C418:C419"/>
    <mergeCell ref="D418:D419"/>
    <mergeCell ref="E418:E419"/>
    <mergeCell ref="G418:G419"/>
    <mergeCell ref="H418:H419"/>
    <mergeCell ref="I418:I419"/>
    <mergeCell ref="J418:J419"/>
    <mergeCell ref="B420:B421"/>
    <mergeCell ref="C420:C421"/>
    <mergeCell ref="D420:D421"/>
    <mergeCell ref="E420:E421"/>
    <mergeCell ref="G420:G421"/>
    <mergeCell ref="H420:H421"/>
    <mergeCell ref="I420:I421"/>
    <mergeCell ref="J420:J421"/>
    <mergeCell ref="B422:B423"/>
    <mergeCell ref="C422:C423"/>
    <mergeCell ref="D422:D423"/>
    <mergeCell ref="E422:E423"/>
    <mergeCell ref="G422:G423"/>
    <mergeCell ref="H422:H423"/>
    <mergeCell ref="I422:I423"/>
    <mergeCell ref="J422:J423"/>
    <mergeCell ref="B424:B425"/>
    <mergeCell ref="C424:C425"/>
    <mergeCell ref="D424:D425"/>
    <mergeCell ref="E424:E425"/>
    <mergeCell ref="G424:G425"/>
    <mergeCell ref="H424:H425"/>
    <mergeCell ref="I424:I425"/>
    <mergeCell ref="J424:J425"/>
    <mergeCell ref="B426:B427"/>
    <mergeCell ref="C426:C427"/>
    <mergeCell ref="D426:D427"/>
    <mergeCell ref="E426:E427"/>
    <mergeCell ref="G426:G427"/>
    <mergeCell ref="H426:H427"/>
    <mergeCell ref="I426:I427"/>
    <mergeCell ref="J426:J427"/>
    <mergeCell ref="B428:B429"/>
    <mergeCell ref="C428:C429"/>
    <mergeCell ref="D428:D429"/>
    <mergeCell ref="E428:E429"/>
    <mergeCell ref="G428:G429"/>
    <mergeCell ref="H428:H429"/>
    <mergeCell ref="I428:I429"/>
    <mergeCell ref="J428:J429"/>
    <mergeCell ref="B430:B431"/>
    <mergeCell ref="C430:C431"/>
    <mergeCell ref="D430:D431"/>
    <mergeCell ref="E430:E431"/>
    <mergeCell ref="G430:G431"/>
    <mergeCell ref="H430:H431"/>
    <mergeCell ref="I430:I431"/>
    <mergeCell ref="J430:J431"/>
    <mergeCell ref="B432:B433"/>
    <mergeCell ref="C432:C433"/>
    <mergeCell ref="D432:D433"/>
    <mergeCell ref="E432:E433"/>
    <mergeCell ref="G432:G433"/>
    <mergeCell ref="H432:H433"/>
    <mergeCell ref="I432:I433"/>
    <mergeCell ref="J432:J433"/>
    <mergeCell ref="B434:B435"/>
    <mergeCell ref="C434:C435"/>
    <mergeCell ref="D434:D435"/>
    <mergeCell ref="E434:E435"/>
    <mergeCell ref="G434:G435"/>
    <mergeCell ref="H434:H435"/>
    <mergeCell ref="I434:I435"/>
    <mergeCell ref="J434:J435"/>
    <mergeCell ref="B436:B437"/>
    <mergeCell ref="C436:C437"/>
    <mergeCell ref="D436:D437"/>
    <mergeCell ref="E436:E437"/>
    <mergeCell ref="G436:G437"/>
    <mergeCell ref="H436:H437"/>
    <mergeCell ref="I436:I437"/>
    <mergeCell ref="J436:J437"/>
    <mergeCell ref="B438:B439"/>
    <mergeCell ref="C438:C439"/>
    <mergeCell ref="D438:D439"/>
    <mergeCell ref="E438:E439"/>
    <mergeCell ref="G438:G439"/>
    <mergeCell ref="H438:H439"/>
    <mergeCell ref="I438:I439"/>
    <mergeCell ref="J438:J439"/>
    <mergeCell ref="B440:B441"/>
    <mergeCell ref="C440:C441"/>
    <mergeCell ref="D440:D441"/>
    <mergeCell ref="E440:E441"/>
    <mergeCell ref="G440:G441"/>
    <mergeCell ref="H440:H441"/>
    <mergeCell ref="I440:I441"/>
    <mergeCell ref="J440:J441"/>
    <mergeCell ref="B442:B443"/>
    <mergeCell ref="C442:C443"/>
    <mergeCell ref="D442:D443"/>
    <mergeCell ref="E442:E443"/>
    <mergeCell ref="G442:G443"/>
    <mergeCell ref="H442:H443"/>
    <mergeCell ref="I442:I443"/>
    <mergeCell ref="J442:J443"/>
    <mergeCell ref="B444:B445"/>
    <mergeCell ref="C444:C445"/>
    <mergeCell ref="D444:D445"/>
    <mergeCell ref="E444:E445"/>
    <mergeCell ref="G444:G445"/>
    <mergeCell ref="H444:H445"/>
    <mergeCell ref="I444:I445"/>
    <mergeCell ref="J444:J445"/>
    <mergeCell ref="B446:B447"/>
    <mergeCell ref="C446:C447"/>
    <mergeCell ref="D446:D447"/>
    <mergeCell ref="E446:E447"/>
    <mergeCell ref="G446:G447"/>
    <mergeCell ref="H446:H447"/>
    <mergeCell ref="I446:I447"/>
    <mergeCell ref="J446:J447"/>
    <mergeCell ref="B448:B449"/>
    <mergeCell ref="C448:C449"/>
    <mergeCell ref="D448:D449"/>
    <mergeCell ref="E448:E449"/>
    <mergeCell ref="G448:G449"/>
    <mergeCell ref="H448:H449"/>
    <mergeCell ref="I448:I449"/>
    <mergeCell ref="J448:J449"/>
    <mergeCell ref="B450:B451"/>
    <mergeCell ref="C450:C451"/>
    <mergeCell ref="D450:D451"/>
    <mergeCell ref="E450:E451"/>
    <mergeCell ref="G450:G451"/>
    <mergeCell ref="H450:H451"/>
    <mergeCell ref="I450:I451"/>
    <mergeCell ref="J450:J451"/>
    <mergeCell ref="B452:B453"/>
    <mergeCell ref="C452:C453"/>
    <mergeCell ref="D452:D453"/>
    <mergeCell ref="E452:E453"/>
    <mergeCell ref="G452:G453"/>
    <mergeCell ref="H452:H453"/>
    <mergeCell ref="I452:I453"/>
    <mergeCell ref="J452:J453"/>
    <mergeCell ref="B454:B455"/>
    <mergeCell ref="C454:C455"/>
    <mergeCell ref="D454:D455"/>
    <mergeCell ref="E454:E455"/>
    <mergeCell ref="G454:G455"/>
    <mergeCell ref="H454:H455"/>
    <mergeCell ref="I454:I455"/>
    <mergeCell ref="J454:J455"/>
    <mergeCell ref="B456:B457"/>
    <mergeCell ref="C456:C457"/>
    <mergeCell ref="D456:D457"/>
    <mergeCell ref="E456:E457"/>
    <mergeCell ref="G456:G457"/>
    <mergeCell ref="H456:H457"/>
    <mergeCell ref="I456:I457"/>
    <mergeCell ref="J456:J457"/>
    <mergeCell ref="B458:B459"/>
    <mergeCell ref="C458:C459"/>
    <mergeCell ref="D458:D459"/>
    <mergeCell ref="E458:E459"/>
    <mergeCell ref="G458:G459"/>
    <mergeCell ref="H458:H459"/>
    <mergeCell ref="I458:I459"/>
    <mergeCell ref="J458:J459"/>
    <mergeCell ref="B460:B461"/>
    <mergeCell ref="C460:C461"/>
    <mergeCell ref="D460:D461"/>
    <mergeCell ref="E460:E461"/>
    <mergeCell ref="G460:G461"/>
    <mergeCell ref="H460:H461"/>
    <mergeCell ref="I460:I461"/>
    <mergeCell ref="J460:J461"/>
    <mergeCell ref="B462:B463"/>
    <mergeCell ref="C462:C463"/>
    <mergeCell ref="D462:D463"/>
    <mergeCell ref="E462:E463"/>
    <mergeCell ref="G462:G463"/>
    <mergeCell ref="H462:H463"/>
    <mergeCell ref="I462:I463"/>
    <mergeCell ref="J462:J463"/>
    <mergeCell ref="B464:B465"/>
    <mergeCell ref="C464:C465"/>
    <mergeCell ref="D464:D465"/>
    <mergeCell ref="E464:E465"/>
    <mergeCell ref="G464:G465"/>
    <mergeCell ref="H464:H465"/>
    <mergeCell ref="I464:I465"/>
    <mergeCell ref="J464:J465"/>
    <mergeCell ref="B466:B467"/>
    <mergeCell ref="C466:C467"/>
    <mergeCell ref="D466:D467"/>
    <mergeCell ref="E466:E467"/>
    <mergeCell ref="G466:G467"/>
    <mergeCell ref="H466:H467"/>
    <mergeCell ref="I466:I467"/>
    <mergeCell ref="J466:J467"/>
    <mergeCell ref="B468:B469"/>
    <mergeCell ref="C468:C469"/>
    <mergeCell ref="D468:D469"/>
    <mergeCell ref="E468:E469"/>
    <mergeCell ref="G468:G469"/>
    <mergeCell ref="H468:H469"/>
    <mergeCell ref="I468:I469"/>
    <mergeCell ref="J468:J469"/>
    <mergeCell ref="B470:B471"/>
    <mergeCell ref="C470:C471"/>
    <mergeCell ref="D470:D471"/>
    <mergeCell ref="E470:E471"/>
    <mergeCell ref="G470:G471"/>
    <mergeCell ref="H470:H471"/>
    <mergeCell ref="I470:I471"/>
    <mergeCell ref="J470:J471"/>
    <mergeCell ref="B472:B473"/>
    <mergeCell ref="C472:C473"/>
    <mergeCell ref="D472:D473"/>
    <mergeCell ref="E472:E473"/>
    <mergeCell ref="G472:G473"/>
    <mergeCell ref="H472:H473"/>
    <mergeCell ref="I472:I473"/>
    <mergeCell ref="J472:J473"/>
    <mergeCell ref="B474:B475"/>
    <mergeCell ref="C474:C475"/>
    <mergeCell ref="D474:D475"/>
    <mergeCell ref="E474:E475"/>
    <mergeCell ref="G474:G475"/>
    <mergeCell ref="H474:H475"/>
    <mergeCell ref="I474:I475"/>
    <mergeCell ref="J474:J475"/>
    <mergeCell ref="B476:B477"/>
    <mergeCell ref="C476:C477"/>
    <mergeCell ref="D476:D477"/>
    <mergeCell ref="E476:E477"/>
    <mergeCell ref="G476:G477"/>
    <mergeCell ref="H476:H477"/>
    <mergeCell ref="I476:I477"/>
    <mergeCell ref="J476:J477"/>
    <mergeCell ref="B478:B479"/>
    <mergeCell ref="C478:C479"/>
    <mergeCell ref="D478:D479"/>
    <mergeCell ref="E478:E479"/>
    <mergeCell ref="G478:G479"/>
    <mergeCell ref="H478:H479"/>
    <mergeCell ref="I478:I479"/>
    <mergeCell ref="J478:J479"/>
    <mergeCell ref="B480:B481"/>
    <mergeCell ref="C480:C481"/>
    <mergeCell ref="D480:D481"/>
    <mergeCell ref="E480:E481"/>
    <mergeCell ref="G480:G481"/>
    <mergeCell ref="H480:H481"/>
    <mergeCell ref="I480:I481"/>
    <mergeCell ref="J480:J481"/>
    <mergeCell ref="B482:B483"/>
    <mergeCell ref="C482:C483"/>
    <mergeCell ref="D482:D483"/>
    <mergeCell ref="E482:E483"/>
    <mergeCell ref="G482:G483"/>
    <mergeCell ref="H482:H483"/>
    <mergeCell ref="I482:I483"/>
    <mergeCell ref="J482:J483"/>
    <mergeCell ref="B484:B485"/>
    <mergeCell ref="C484:C485"/>
    <mergeCell ref="D484:D485"/>
    <mergeCell ref="E484:E485"/>
    <mergeCell ref="G484:G485"/>
    <mergeCell ref="H484:H485"/>
    <mergeCell ref="I484:I485"/>
    <mergeCell ref="J484:J485"/>
    <mergeCell ref="B486:B487"/>
    <mergeCell ref="C486:C487"/>
    <mergeCell ref="D486:D487"/>
    <mergeCell ref="E486:E487"/>
    <mergeCell ref="G486:G487"/>
    <mergeCell ref="H486:H487"/>
    <mergeCell ref="I486:I487"/>
    <mergeCell ref="J486:J487"/>
    <mergeCell ref="B488:B489"/>
    <mergeCell ref="C488:C489"/>
    <mergeCell ref="D488:D489"/>
    <mergeCell ref="E488:E489"/>
    <mergeCell ref="G488:G489"/>
    <mergeCell ref="H488:H489"/>
    <mergeCell ref="I488:I489"/>
    <mergeCell ref="J488:J489"/>
    <mergeCell ref="B490:B491"/>
    <mergeCell ref="C490:C491"/>
    <mergeCell ref="D490:D491"/>
    <mergeCell ref="E490:E491"/>
    <mergeCell ref="G490:G491"/>
    <mergeCell ref="H490:H491"/>
    <mergeCell ref="I490:I491"/>
    <mergeCell ref="J490:J491"/>
    <mergeCell ref="B492:B493"/>
    <mergeCell ref="C492:C493"/>
    <mergeCell ref="D492:D493"/>
    <mergeCell ref="E492:E493"/>
    <mergeCell ref="G492:G493"/>
    <mergeCell ref="H492:H493"/>
    <mergeCell ref="I492:I493"/>
    <mergeCell ref="J492:J493"/>
    <mergeCell ref="B494:B495"/>
    <mergeCell ref="C494:C495"/>
    <mergeCell ref="D494:D495"/>
    <mergeCell ref="E494:E495"/>
    <mergeCell ref="G494:G495"/>
    <mergeCell ref="H494:H495"/>
    <mergeCell ref="I494:I495"/>
    <mergeCell ref="J494:J495"/>
    <mergeCell ref="B496:B497"/>
    <mergeCell ref="C496:C497"/>
    <mergeCell ref="D496:D497"/>
    <mergeCell ref="E496:E497"/>
    <mergeCell ref="G496:G497"/>
    <mergeCell ref="H496:H497"/>
    <mergeCell ref="I496:I497"/>
    <mergeCell ref="J496:J497"/>
    <mergeCell ref="B498:B499"/>
    <mergeCell ref="C498:C499"/>
    <mergeCell ref="D498:D499"/>
    <mergeCell ref="E498:E499"/>
    <mergeCell ref="G498:G499"/>
    <mergeCell ref="H498:H499"/>
    <mergeCell ref="I498:I499"/>
    <mergeCell ref="J498:J499"/>
    <mergeCell ref="B500:B501"/>
    <mergeCell ref="C500:C501"/>
    <mergeCell ref="D500:D501"/>
    <mergeCell ref="E500:E501"/>
    <mergeCell ref="G500:G501"/>
    <mergeCell ref="H500:H501"/>
    <mergeCell ref="I500:I501"/>
    <mergeCell ref="J500:J501"/>
    <mergeCell ref="B502:B503"/>
    <mergeCell ref="C502:C503"/>
    <mergeCell ref="D502:D503"/>
    <mergeCell ref="E502:E503"/>
    <mergeCell ref="G502:G503"/>
    <mergeCell ref="H502:H503"/>
    <mergeCell ref="I502:I503"/>
    <mergeCell ref="J502:J503"/>
    <mergeCell ref="B504:B505"/>
    <mergeCell ref="C504:C505"/>
    <mergeCell ref="D504:D505"/>
    <mergeCell ref="E504:E505"/>
    <mergeCell ref="G504:G505"/>
    <mergeCell ref="H504:H505"/>
    <mergeCell ref="I504:I505"/>
    <mergeCell ref="J504:J505"/>
    <mergeCell ref="B506:B507"/>
    <mergeCell ref="C506:C507"/>
    <mergeCell ref="D506:D507"/>
    <mergeCell ref="E506:E507"/>
    <mergeCell ref="G506:G507"/>
    <mergeCell ref="H506:H507"/>
    <mergeCell ref="I506:I507"/>
    <mergeCell ref="J506:J507"/>
    <mergeCell ref="B508:B509"/>
    <mergeCell ref="C508:C509"/>
    <mergeCell ref="D508:D509"/>
    <mergeCell ref="E508:E509"/>
    <mergeCell ref="G508:G509"/>
    <mergeCell ref="H508:H509"/>
    <mergeCell ref="I508:I509"/>
    <mergeCell ref="J508:J509"/>
    <mergeCell ref="B510:B511"/>
    <mergeCell ref="C510:C511"/>
    <mergeCell ref="D510:D511"/>
    <mergeCell ref="E510:E511"/>
    <mergeCell ref="G510:G511"/>
    <mergeCell ref="H510:H511"/>
    <mergeCell ref="I510:I511"/>
    <mergeCell ref="J510:J511"/>
    <mergeCell ref="B512:B513"/>
    <mergeCell ref="C512:C513"/>
    <mergeCell ref="D512:D513"/>
    <mergeCell ref="E512:E513"/>
    <mergeCell ref="G512:G513"/>
    <mergeCell ref="H512:H513"/>
    <mergeCell ref="I512:I513"/>
    <mergeCell ref="J512:J513"/>
    <mergeCell ref="B514:B515"/>
    <mergeCell ref="C514:C515"/>
    <mergeCell ref="D514:D515"/>
    <mergeCell ref="E514:E515"/>
    <mergeCell ref="G514:G515"/>
    <mergeCell ref="H514:H515"/>
    <mergeCell ref="I514:I515"/>
    <mergeCell ref="J514:J515"/>
    <mergeCell ref="B516:B517"/>
    <mergeCell ref="C516:C517"/>
    <mergeCell ref="D516:D517"/>
    <mergeCell ref="E516:E517"/>
    <mergeCell ref="G516:G517"/>
    <mergeCell ref="H516:H517"/>
    <mergeCell ref="I516:I517"/>
    <mergeCell ref="J516:J517"/>
    <mergeCell ref="B518:B519"/>
    <mergeCell ref="C518:C519"/>
    <mergeCell ref="D518:D519"/>
    <mergeCell ref="E518:E519"/>
    <mergeCell ref="G518:G519"/>
    <mergeCell ref="H518:H519"/>
    <mergeCell ref="I518:I519"/>
    <mergeCell ref="J518:J519"/>
    <mergeCell ref="B520:B521"/>
    <mergeCell ref="C520:C521"/>
    <mergeCell ref="D520:D521"/>
    <mergeCell ref="E520:E521"/>
    <mergeCell ref="G520:G521"/>
    <mergeCell ref="H520:H521"/>
    <mergeCell ref="I520:I521"/>
    <mergeCell ref="J520:J521"/>
    <mergeCell ref="B522:B523"/>
    <mergeCell ref="C522:C523"/>
    <mergeCell ref="D522:D523"/>
    <mergeCell ref="E522:E523"/>
    <mergeCell ref="G522:G523"/>
    <mergeCell ref="H522:H523"/>
    <mergeCell ref="I522:I523"/>
    <mergeCell ref="J522:J523"/>
    <mergeCell ref="B524:B525"/>
    <mergeCell ref="C524:C525"/>
    <mergeCell ref="D524:D525"/>
    <mergeCell ref="E524:E525"/>
    <mergeCell ref="G524:G525"/>
    <mergeCell ref="H524:H525"/>
    <mergeCell ref="I524:I525"/>
    <mergeCell ref="J524:J525"/>
    <mergeCell ref="B526:B527"/>
    <mergeCell ref="C526:C527"/>
    <mergeCell ref="D526:D527"/>
    <mergeCell ref="E526:E527"/>
    <mergeCell ref="G526:G527"/>
    <mergeCell ref="H526:H527"/>
    <mergeCell ref="I526:I527"/>
    <mergeCell ref="J526:J527"/>
    <mergeCell ref="B528:B529"/>
    <mergeCell ref="C528:C529"/>
    <mergeCell ref="D528:D529"/>
    <mergeCell ref="E528:E529"/>
    <mergeCell ref="G528:G529"/>
    <mergeCell ref="H528:H529"/>
    <mergeCell ref="I528:I529"/>
    <mergeCell ref="J528:J529"/>
    <mergeCell ref="B530:B531"/>
    <mergeCell ref="C530:C531"/>
    <mergeCell ref="D530:D531"/>
    <mergeCell ref="E530:E531"/>
    <mergeCell ref="G530:G531"/>
    <mergeCell ref="H530:H531"/>
    <mergeCell ref="I530:I531"/>
    <mergeCell ref="J530:J531"/>
    <mergeCell ref="B532:B533"/>
    <mergeCell ref="C532:C533"/>
    <mergeCell ref="D532:D533"/>
    <mergeCell ref="E532:E533"/>
    <mergeCell ref="G532:G533"/>
    <mergeCell ref="H532:H533"/>
    <mergeCell ref="I532:I533"/>
    <mergeCell ref="J532:J533"/>
    <mergeCell ref="B534:B535"/>
    <mergeCell ref="C534:C535"/>
    <mergeCell ref="D534:D535"/>
    <mergeCell ref="E534:E535"/>
    <mergeCell ref="G534:G535"/>
    <mergeCell ref="H534:H535"/>
    <mergeCell ref="I534:I535"/>
    <mergeCell ref="J534:J535"/>
    <mergeCell ref="B536:B537"/>
    <mergeCell ref="C536:C537"/>
    <mergeCell ref="D536:D537"/>
    <mergeCell ref="E536:E537"/>
    <mergeCell ref="G536:G537"/>
    <mergeCell ref="H536:H537"/>
    <mergeCell ref="I536:I537"/>
    <mergeCell ref="J536:J537"/>
    <mergeCell ref="B538:B539"/>
    <mergeCell ref="C538:C539"/>
    <mergeCell ref="D538:D539"/>
    <mergeCell ref="E538:E539"/>
    <mergeCell ref="G538:G539"/>
    <mergeCell ref="H538:H539"/>
    <mergeCell ref="I538:I539"/>
    <mergeCell ref="J538:J539"/>
    <mergeCell ref="B540:B541"/>
    <mergeCell ref="C540:C541"/>
    <mergeCell ref="D540:D541"/>
    <mergeCell ref="E540:E541"/>
    <mergeCell ref="G540:G541"/>
    <mergeCell ref="H540:H541"/>
    <mergeCell ref="I540:I541"/>
    <mergeCell ref="J540:J541"/>
    <mergeCell ref="B542:B543"/>
    <mergeCell ref="C542:C543"/>
    <mergeCell ref="D542:D543"/>
    <mergeCell ref="E542:E543"/>
    <mergeCell ref="G542:G543"/>
    <mergeCell ref="H542:H543"/>
    <mergeCell ref="I542:I543"/>
    <mergeCell ref="J542:J543"/>
    <mergeCell ref="B544:B545"/>
    <mergeCell ref="C544:C545"/>
    <mergeCell ref="D544:D545"/>
    <mergeCell ref="E544:E545"/>
    <mergeCell ref="G544:G545"/>
    <mergeCell ref="H544:H545"/>
    <mergeCell ref="I544:I545"/>
    <mergeCell ref="J544:J545"/>
    <mergeCell ref="B546:B547"/>
    <mergeCell ref="C546:C547"/>
    <mergeCell ref="D546:D547"/>
    <mergeCell ref="E546:E547"/>
    <mergeCell ref="G546:G547"/>
    <mergeCell ref="H546:H547"/>
    <mergeCell ref="I546:I547"/>
    <mergeCell ref="J546:J547"/>
    <mergeCell ref="B548:B549"/>
    <mergeCell ref="C548:C549"/>
    <mergeCell ref="D548:D549"/>
    <mergeCell ref="E548:E549"/>
    <mergeCell ref="G548:G549"/>
    <mergeCell ref="H548:H549"/>
    <mergeCell ref="I548:I549"/>
    <mergeCell ref="J548:J549"/>
    <mergeCell ref="B550:B551"/>
    <mergeCell ref="C550:C551"/>
    <mergeCell ref="D550:D551"/>
    <mergeCell ref="E550:E551"/>
    <mergeCell ref="G550:G551"/>
    <mergeCell ref="H550:H551"/>
    <mergeCell ref="I550:I551"/>
    <mergeCell ref="J550:J551"/>
    <mergeCell ref="B552:B553"/>
    <mergeCell ref="C552:C553"/>
    <mergeCell ref="D552:D553"/>
    <mergeCell ref="E552:E553"/>
    <mergeCell ref="G552:G553"/>
    <mergeCell ref="H552:H553"/>
    <mergeCell ref="I552:I553"/>
    <mergeCell ref="J552:J553"/>
    <mergeCell ref="B554:B555"/>
    <mergeCell ref="C554:C555"/>
    <mergeCell ref="D554:D555"/>
    <mergeCell ref="E554:E555"/>
    <mergeCell ref="G554:G555"/>
    <mergeCell ref="H554:H555"/>
    <mergeCell ref="I554:I555"/>
    <mergeCell ref="J554:J555"/>
    <mergeCell ref="B556:B557"/>
    <mergeCell ref="C556:C557"/>
    <mergeCell ref="D556:D557"/>
    <mergeCell ref="E556:E557"/>
    <mergeCell ref="G556:G557"/>
    <mergeCell ref="H556:H557"/>
    <mergeCell ref="I556:I557"/>
    <mergeCell ref="J556:J557"/>
    <mergeCell ref="B558:B559"/>
    <mergeCell ref="C558:C559"/>
    <mergeCell ref="D558:D559"/>
    <mergeCell ref="E558:E559"/>
    <mergeCell ref="G558:G559"/>
    <mergeCell ref="H558:H559"/>
    <mergeCell ref="I558:I559"/>
    <mergeCell ref="J558:J559"/>
    <mergeCell ref="B560:B561"/>
    <mergeCell ref="C560:C561"/>
    <mergeCell ref="D560:D561"/>
    <mergeCell ref="E560:E561"/>
    <mergeCell ref="G560:G561"/>
    <mergeCell ref="H560:H561"/>
    <mergeCell ref="I560:I561"/>
    <mergeCell ref="J560:J561"/>
    <mergeCell ref="B562:B563"/>
    <mergeCell ref="C562:C563"/>
    <mergeCell ref="D562:D563"/>
    <mergeCell ref="E562:E563"/>
    <mergeCell ref="G562:G563"/>
    <mergeCell ref="H562:H563"/>
    <mergeCell ref="I562:I563"/>
    <mergeCell ref="J562:J563"/>
    <mergeCell ref="B564:B565"/>
    <mergeCell ref="C564:C565"/>
    <mergeCell ref="D564:D565"/>
    <mergeCell ref="E564:E565"/>
    <mergeCell ref="G564:G565"/>
    <mergeCell ref="H564:H565"/>
    <mergeCell ref="I564:I565"/>
    <mergeCell ref="J564:J565"/>
    <mergeCell ref="B566:B567"/>
    <mergeCell ref="C566:C567"/>
    <mergeCell ref="D566:D567"/>
    <mergeCell ref="E566:E567"/>
    <mergeCell ref="G566:G567"/>
    <mergeCell ref="H566:H567"/>
    <mergeCell ref="I566:I567"/>
    <mergeCell ref="J566:J567"/>
    <mergeCell ref="B568:B569"/>
    <mergeCell ref="C568:C569"/>
    <mergeCell ref="D568:D569"/>
    <mergeCell ref="E568:E569"/>
    <mergeCell ref="G568:G569"/>
    <mergeCell ref="H568:H569"/>
    <mergeCell ref="I568:I569"/>
    <mergeCell ref="J568:J569"/>
    <mergeCell ref="B570:B571"/>
    <mergeCell ref="C570:C571"/>
    <mergeCell ref="D570:D571"/>
    <mergeCell ref="E570:E571"/>
    <mergeCell ref="G570:G571"/>
    <mergeCell ref="H570:H571"/>
    <mergeCell ref="I570:I571"/>
    <mergeCell ref="J570:J571"/>
    <mergeCell ref="B572:B573"/>
    <mergeCell ref="C572:C573"/>
    <mergeCell ref="D572:D573"/>
    <mergeCell ref="E572:E573"/>
    <mergeCell ref="G572:G573"/>
    <mergeCell ref="H572:H573"/>
    <mergeCell ref="I572:I573"/>
    <mergeCell ref="J572:J573"/>
    <mergeCell ref="B574:B575"/>
    <mergeCell ref="C574:C575"/>
    <mergeCell ref="D574:D575"/>
    <mergeCell ref="E574:E575"/>
    <mergeCell ref="G574:G575"/>
    <mergeCell ref="H574:H575"/>
    <mergeCell ref="I574:I575"/>
    <mergeCell ref="J574:J575"/>
    <mergeCell ref="B576:B577"/>
    <mergeCell ref="C576:C577"/>
    <mergeCell ref="D576:D577"/>
    <mergeCell ref="E576:E577"/>
    <mergeCell ref="G576:G577"/>
    <mergeCell ref="H576:H577"/>
    <mergeCell ref="I576:I577"/>
    <mergeCell ref="J576:J577"/>
    <mergeCell ref="B578:B579"/>
    <mergeCell ref="C578:C579"/>
    <mergeCell ref="D578:D579"/>
    <mergeCell ref="E578:E579"/>
    <mergeCell ref="G578:G579"/>
    <mergeCell ref="H578:H579"/>
    <mergeCell ref="I578:I579"/>
    <mergeCell ref="J578:J579"/>
    <mergeCell ref="B580:B581"/>
    <mergeCell ref="C580:C581"/>
    <mergeCell ref="D580:D581"/>
    <mergeCell ref="E580:E581"/>
    <mergeCell ref="G580:G581"/>
    <mergeCell ref="H580:H581"/>
    <mergeCell ref="I580:I581"/>
    <mergeCell ref="J580:J581"/>
    <mergeCell ref="B582:B583"/>
    <mergeCell ref="C582:C583"/>
    <mergeCell ref="D582:D583"/>
    <mergeCell ref="E582:E583"/>
    <mergeCell ref="G582:G583"/>
    <mergeCell ref="H582:H583"/>
    <mergeCell ref="I582:I583"/>
    <mergeCell ref="J582:J583"/>
    <mergeCell ref="B584:B585"/>
    <mergeCell ref="C584:C585"/>
    <mergeCell ref="D584:D585"/>
    <mergeCell ref="E584:E585"/>
    <mergeCell ref="G584:G585"/>
    <mergeCell ref="H584:H585"/>
    <mergeCell ref="I584:I585"/>
    <mergeCell ref="J584:J585"/>
    <mergeCell ref="B586:B587"/>
    <mergeCell ref="C586:C587"/>
    <mergeCell ref="D586:D587"/>
    <mergeCell ref="E586:E587"/>
    <mergeCell ref="G586:G587"/>
    <mergeCell ref="H586:H587"/>
    <mergeCell ref="I586:I587"/>
    <mergeCell ref="J586:J587"/>
    <mergeCell ref="B588:B589"/>
    <mergeCell ref="C588:C589"/>
    <mergeCell ref="D588:D589"/>
    <mergeCell ref="E588:E589"/>
    <mergeCell ref="G588:G589"/>
    <mergeCell ref="H588:H589"/>
    <mergeCell ref="I588:I589"/>
    <mergeCell ref="J588:J589"/>
    <mergeCell ref="B590:B591"/>
    <mergeCell ref="C590:C591"/>
    <mergeCell ref="D590:D591"/>
    <mergeCell ref="E590:E591"/>
    <mergeCell ref="G590:G591"/>
    <mergeCell ref="H590:H591"/>
    <mergeCell ref="I590:I591"/>
    <mergeCell ref="J590:J591"/>
    <mergeCell ref="B592:B593"/>
    <mergeCell ref="C592:C593"/>
    <mergeCell ref="D592:D593"/>
    <mergeCell ref="E592:E593"/>
    <mergeCell ref="G592:G593"/>
    <mergeCell ref="H592:H593"/>
    <mergeCell ref="I592:I593"/>
    <mergeCell ref="J592:J593"/>
    <mergeCell ref="B594:B595"/>
    <mergeCell ref="C594:C595"/>
    <mergeCell ref="D594:D595"/>
    <mergeCell ref="E594:E595"/>
    <mergeCell ref="G594:G595"/>
    <mergeCell ref="H594:H595"/>
    <mergeCell ref="I594:I595"/>
    <mergeCell ref="J594:J595"/>
    <mergeCell ref="J606:J607"/>
    <mergeCell ref="B596:B597"/>
    <mergeCell ref="C596:C597"/>
    <mergeCell ref="D596:D597"/>
    <mergeCell ref="E596:E597"/>
    <mergeCell ref="G596:G597"/>
    <mergeCell ref="H596:H597"/>
    <mergeCell ref="I596:I597"/>
    <mergeCell ref="J596:J597"/>
    <mergeCell ref="B598:B599"/>
    <mergeCell ref="C598:C599"/>
    <mergeCell ref="D598:D599"/>
    <mergeCell ref="E598:E599"/>
    <mergeCell ref="G598:G599"/>
    <mergeCell ref="H598:H599"/>
    <mergeCell ref="I598:I599"/>
    <mergeCell ref="J598:J599"/>
    <mergeCell ref="B600:B601"/>
    <mergeCell ref="C600:C601"/>
    <mergeCell ref="D600:D601"/>
    <mergeCell ref="E600:E601"/>
    <mergeCell ref="G600:G601"/>
    <mergeCell ref="H600:H601"/>
    <mergeCell ref="I600:I601"/>
    <mergeCell ref="J600:J601"/>
    <mergeCell ref="I610:I611"/>
    <mergeCell ref="J610:J611"/>
    <mergeCell ref="C612:C613"/>
    <mergeCell ref="D612:D613"/>
    <mergeCell ref="E612:E613"/>
    <mergeCell ref="G612:G613"/>
    <mergeCell ref="H612:H613"/>
    <mergeCell ref="I612:I613"/>
    <mergeCell ref="J612:J613"/>
    <mergeCell ref="B602:B603"/>
    <mergeCell ref="C602:C603"/>
    <mergeCell ref="D602:D603"/>
    <mergeCell ref="E602:E603"/>
    <mergeCell ref="G602:G603"/>
    <mergeCell ref="H602:H603"/>
    <mergeCell ref="I602:I603"/>
    <mergeCell ref="J602:J603"/>
    <mergeCell ref="B604:B605"/>
    <mergeCell ref="C604:C605"/>
    <mergeCell ref="D604:D605"/>
    <mergeCell ref="E604:E605"/>
    <mergeCell ref="G604:G605"/>
    <mergeCell ref="H604:H605"/>
    <mergeCell ref="I604:I605"/>
    <mergeCell ref="J604:J605"/>
    <mergeCell ref="B606:B607"/>
    <mergeCell ref="C606:C607"/>
    <mergeCell ref="D606:D607"/>
    <mergeCell ref="E606:E607"/>
    <mergeCell ref="G606:G607"/>
    <mergeCell ref="H606:H607"/>
    <mergeCell ref="I606:I607"/>
    <mergeCell ref="C629:C630"/>
    <mergeCell ref="D629:D630"/>
    <mergeCell ref="E629:E630"/>
    <mergeCell ref="G629:G630"/>
    <mergeCell ref="H629:H630"/>
    <mergeCell ref="I629:I630"/>
    <mergeCell ref="J629:J630"/>
    <mergeCell ref="C631:C632"/>
    <mergeCell ref="D627:D628"/>
    <mergeCell ref="E627:E628"/>
    <mergeCell ref="G627:G628"/>
    <mergeCell ref="H627:H628"/>
    <mergeCell ref="I627:I628"/>
    <mergeCell ref="J627:J628"/>
    <mergeCell ref="B625:B626"/>
    <mergeCell ref="B627:B628"/>
    <mergeCell ref="C614:C615"/>
    <mergeCell ref="D614:D615"/>
    <mergeCell ref="E614:E615"/>
    <mergeCell ref="G614:G615"/>
    <mergeCell ref="H614:H615"/>
    <mergeCell ref="I614:I615"/>
    <mergeCell ref="J614:J615"/>
    <mergeCell ref="B621:B622"/>
    <mergeCell ref="J625:J626"/>
    <mergeCell ref="C627:C628"/>
    <mergeCell ref="B629:B630"/>
    <mergeCell ref="B631:B632"/>
    <mergeCell ref="D631:D632"/>
    <mergeCell ref="E631:E632"/>
    <mergeCell ref="G631:G632"/>
    <mergeCell ref="H631:H632"/>
    <mergeCell ref="B649:B650"/>
    <mergeCell ref="C649:C650"/>
    <mergeCell ref="D649:D650"/>
    <mergeCell ref="E649:E650"/>
    <mergeCell ref="G649:G650"/>
    <mergeCell ref="H649:H650"/>
    <mergeCell ref="I649:I650"/>
    <mergeCell ref="J649:J650"/>
    <mergeCell ref="B641:B642"/>
    <mergeCell ref="C641:C642"/>
    <mergeCell ref="D641:D642"/>
    <mergeCell ref="E641:E642"/>
    <mergeCell ref="G641:G642"/>
    <mergeCell ref="H641:H642"/>
    <mergeCell ref="I641:I642"/>
    <mergeCell ref="J641:J642"/>
    <mergeCell ref="B647:B648"/>
    <mergeCell ref="C647:C648"/>
    <mergeCell ref="D647:D648"/>
    <mergeCell ref="E647:E648"/>
    <mergeCell ref="G647:G648"/>
    <mergeCell ref="H647:H648"/>
    <mergeCell ref="I647:I648"/>
    <mergeCell ref="J647:J648"/>
    <mergeCell ref="B659:B660"/>
    <mergeCell ref="C659:C660"/>
    <mergeCell ref="D659:D660"/>
    <mergeCell ref="E659:E660"/>
    <mergeCell ref="G659:G660"/>
    <mergeCell ref="H659:H660"/>
    <mergeCell ref="I659:I660"/>
    <mergeCell ref="J659:J660"/>
    <mergeCell ref="B661:B662"/>
    <mergeCell ref="C661:C662"/>
    <mergeCell ref="D661:D662"/>
    <mergeCell ref="E661:E662"/>
    <mergeCell ref="G661:G662"/>
    <mergeCell ref="H661:H662"/>
    <mergeCell ref="I661:I662"/>
    <mergeCell ref="J661:J662"/>
    <mergeCell ref="B657:B658"/>
    <mergeCell ref="C657:C658"/>
    <mergeCell ref="D657:D658"/>
    <mergeCell ref="E657:E658"/>
    <mergeCell ref="G657:G658"/>
    <mergeCell ref="H657:H658"/>
    <mergeCell ref="I657:I658"/>
    <mergeCell ref="J657:J658"/>
    <mergeCell ref="B681:B682"/>
    <mergeCell ref="C681:C682"/>
    <mergeCell ref="D681:D682"/>
    <mergeCell ref="E681:E682"/>
    <mergeCell ref="G681:G682"/>
    <mergeCell ref="H681:H682"/>
    <mergeCell ref="I681:I682"/>
    <mergeCell ref="J681:J682"/>
    <mergeCell ref="B675:B676"/>
    <mergeCell ref="C675:C676"/>
    <mergeCell ref="D675:D676"/>
    <mergeCell ref="E675:E676"/>
    <mergeCell ref="G675:G676"/>
    <mergeCell ref="H675:H676"/>
    <mergeCell ref="I675:I676"/>
    <mergeCell ref="J675:J676"/>
    <mergeCell ref="B667:B668"/>
    <mergeCell ref="C667:C668"/>
    <mergeCell ref="D667:D668"/>
    <mergeCell ref="E667:E668"/>
    <mergeCell ref="G667:G668"/>
    <mergeCell ref="H667:H668"/>
    <mergeCell ref="I667:I668"/>
    <mergeCell ref="J667:J668"/>
    <mergeCell ref="B671:B672"/>
    <mergeCell ref="C671:C672"/>
    <mergeCell ref="D671:D672"/>
    <mergeCell ref="E671:E672"/>
    <mergeCell ref="G671:G672"/>
    <mergeCell ref="H671:H672"/>
    <mergeCell ref="I671:I672"/>
    <mergeCell ref="J671:J672"/>
    <mergeCell ref="B703:B704"/>
    <mergeCell ref="C703:C704"/>
    <mergeCell ref="D703:D704"/>
    <mergeCell ref="E703:E704"/>
    <mergeCell ref="G703:G704"/>
    <mergeCell ref="H703:H704"/>
    <mergeCell ref="I703:I704"/>
    <mergeCell ref="J703:J704"/>
    <mergeCell ref="B695:B696"/>
    <mergeCell ref="C695:C696"/>
    <mergeCell ref="D695:D696"/>
    <mergeCell ref="E695:E696"/>
    <mergeCell ref="G695:G696"/>
    <mergeCell ref="H695:H696"/>
    <mergeCell ref="I695:I696"/>
    <mergeCell ref="J695:J696"/>
    <mergeCell ref="B701:B702"/>
    <mergeCell ref="C701:C702"/>
    <mergeCell ref="D701:D702"/>
    <mergeCell ref="E701:E702"/>
    <mergeCell ref="G701:G702"/>
    <mergeCell ref="H701:H702"/>
    <mergeCell ref="I701:I702"/>
    <mergeCell ref="J701:J702"/>
    <mergeCell ref="B713:B714"/>
    <mergeCell ref="C713:C714"/>
    <mergeCell ref="D713:D714"/>
    <mergeCell ref="E713:E714"/>
    <mergeCell ref="G713:G714"/>
    <mergeCell ref="H713:H714"/>
    <mergeCell ref="I713:I714"/>
    <mergeCell ref="J713:J714"/>
    <mergeCell ref="B715:B716"/>
    <mergeCell ref="C715:C716"/>
    <mergeCell ref="D715:D716"/>
    <mergeCell ref="E715:E716"/>
    <mergeCell ref="G715:G716"/>
    <mergeCell ref="H715:H716"/>
    <mergeCell ref="I715:I716"/>
    <mergeCell ref="J715:J716"/>
    <mergeCell ref="B711:B712"/>
    <mergeCell ref="C711:C712"/>
    <mergeCell ref="D711:D712"/>
    <mergeCell ref="E711:E712"/>
    <mergeCell ref="G711:G712"/>
    <mergeCell ref="H711:H712"/>
    <mergeCell ref="I711:I712"/>
    <mergeCell ref="J711:J712"/>
    <mergeCell ref="B735:B736"/>
    <mergeCell ref="C735:C736"/>
    <mergeCell ref="D735:D736"/>
    <mergeCell ref="E735:E736"/>
    <mergeCell ref="G735:G736"/>
    <mergeCell ref="H735:H736"/>
    <mergeCell ref="I735:I736"/>
    <mergeCell ref="J735:J736"/>
    <mergeCell ref="B729:B730"/>
    <mergeCell ref="C729:C730"/>
    <mergeCell ref="D729:D730"/>
    <mergeCell ref="E729:E730"/>
    <mergeCell ref="G729:G730"/>
    <mergeCell ref="H729:H730"/>
    <mergeCell ref="I729:I730"/>
    <mergeCell ref="J729:J730"/>
    <mergeCell ref="B721:B722"/>
    <mergeCell ref="C721:C722"/>
    <mergeCell ref="D721:D722"/>
    <mergeCell ref="E721:E722"/>
    <mergeCell ref="G721:G722"/>
    <mergeCell ref="H721:H722"/>
    <mergeCell ref="I721:I722"/>
    <mergeCell ref="J721:J722"/>
    <mergeCell ref="B725:B726"/>
    <mergeCell ref="C725:C726"/>
    <mergeCell ref="D725:D726"/>
    <mergeCell ref="E725:E726"/>
    <mergeCell ref="G725:G726"/>
    <mergeCell ref="H725:H726"/>
    <mergeCell ref="I725:I726"/>
    <mergeCell ref="J725:J726"/>
    <mergeCell ref="B765:B766"/>
    <mergeCell ref="C765:C766"/>
    <mergeCell ref="D765:D766"/>
    <mergeCell ref="E765:E766"/>
    <mergeCell ref="G765:G766"/>
    <mergeCell ref="H765:H766"/>
    <mergeCell ref="I765:I766"/>
    <mergeCell ref="J765:J766"/>
    <mergeCell ref="B757:B758"/>
    <mergeCell ref="C757:C758"/>
    <mergeCell ref="D757:D758"/>
    <mergeCell ref="E757:E758"/>
    <mergeCell ref="G757:G758"/>
    <mergeCell ref="H757:H758"/>
    <mergeCell ref="I757:I758"/>
    <mergeCell ref="J757:J758"/>
    <mergeCell ref="B749:B750"/>
    <mergeCell ref="C749:C750"/>
    <mergeCell ref="D749:D750"/>
    <mergeCell ref="E749:E750"/>
    <mergeCell ref="G749:G750"/>
    <mergeCell ref="H749:H750"/>
    <mergeCell ref="I749:I750"/>
    <mergeCell ref="J749:J750"/>
    <mergeCell ref="B755:B756"/>
    <mergeCell ref="C755:C756"/>
    <mergeCell ref="D755:D756"/>
    <mergeCell ref="E755:E756"/>
    <mergeCell ref="G755:G756"/>
    <mergeCell ref="H755:H756"/>
    <mergeCell ref="I755:I756"/>
    <mergeCell ref="J755:J756"/>
    <mergeCell ref="B779:B780"/>
    <mergeCell ref="C779:C780"/>
    <mergeCell ref="D779:D780"/>
    <mergeCell ref="E779:E780"/>
    <mergeCell ref="G779:G780"/>
    <mergeCell ref="H779:H780"/>
    <mergeCell ref="I779:I780"/>
    <mergeCell ref="J779:J780"/>
    <mergeCell ref="B781:B782"/>
    <mergeCell ref="C781:C782"/>
    <mergeCell ref="B767:B768"/>
    <mergeCell ref="C767:C768"/>
    <mergeCell ref="D767:D768"/>
    <mergeCell ref="E767:E768"/>
    <mergeCell ref="G767:G768"/>
    <mergeCell ref="H767:H768"/>
    <mergeCell ref="I767:I768"/>
    <mergeCell ref="J767:J768"/>
    <mergeCell ref="B769:B770"/>
    <mergeCell ref="C769:C770"/>
    <mergeCell ref="D769:D770"/>
    <mergeCell ref="E769:E770"/>
    <mergeCell ref="G769:G770"/>
    <mergeCell ref="H769:H770"/>
    <mergeCell ref="I769:I770"/>
    <mergeCell ref="J769:J770"/>
    <mergeCell ref="B771:B772"/>
    <mergeCell ref="C771:C772"/>
    <mergeCell ref="D771:D772"/>
    <mergeCell ref="E771:E772"/>
    <mergeCell ref="G771:G772"/>
    <mergeCell ref="H771:H772"/>
    <mergeCell ref="I801:I802"/>
    <mergeCell ref="J801:J802"/>
    <mergeCell ref="B793:B794"/>
    <mergeCell ref="C793:C794"/>
    <mergeCell ref="D793:D794"/>
    <mergeCell ref="E793:E794"/>
    <mergeCell ref="G793:G794"/>
    <mergeCell ref="H793:H794"/>
    <mergeCell ref="I793:I794"/>
    <mergeCell ref="J793:J794"/>
    <mergeCell ref="B785:B786"/>
    <mergeCell ref="C785:C786"/>
    <mergeCell ref="D785:D786"/>
    <mergeCell ref="E785:E786"/>
    <mergeCell ref="G785:G786"/>
    <mergeCell ref="H785:H786"/>
    <mergeCell ref="I785:I786"/>
    <mergeCell ref="J785:J786"/>
    <mergeCell ref="B801:B802"/>
    <mergeCell ref="C801:C802"/>
    <mergeCell ref="D801:D802"/>
    <mergeCell ref="E801:E802"/>
    <mergeCell ref="G801:G802"/>
    <mergeCell ref="H801:H802"/>
    <mergeCell ref="B789:B790"/>
    <mergeCell ref="C789:C790"/>
    <mergeCell ref="D789:D790"/>
    <mergeCell ref="E789:E790"/>
    <mergeCell ref="G789:G790"/>
    <mergeCell ref="H789:H790"/>
    <mergeCell ref="I789:I790"/>
    <mergeCell ref="J789:J790"/>
    <mergeCell ref="C625:C626"/>
    <mergeCell ref="D625:D626"/>
    <mergeCell ref="E625:E626"/>
    <mergeCell ref="G625:G626"/>
    <mergeCell ref="H625:H626"/>
    <mergeCell ref="I625:I626"/>
    <mergeCell ref="B819:B820"/>
    <mergeCell ref="C819:C820"/>
    <mergeCell ref="D819:D820"/>
    <mergeCell ref="E819:E820"/>
    <mergeCell ref="G819:G820"/>
    <mergeCell ref="H819:H820"/>
    <mergeCell ref="I819:I820"/>
    <mergeCell ref="J819:J820"/>
    <mergeCell ref="B811:B812"/>
    <mergeCell ref="C811:C812"/>
    <mergeCell ref="D811:D812"/>
    <mergeCell ref="E811:E812"/>
    <mergeCell ref="G811:G812"/>
    <mergeCell ref="H811:H812"/>
    <mergeCell ref="I811:I812"/>
    <mergeCell ref="J811:J812"/>
    <mergeCell ref="B803:B804"/>
    <mergeCell ref="C803:C804"/>
    <mergeCell ref="D803:D804"/>
    <mergeCell ref="E803:E804"/>
    <mergeCell ref="G803:G804"/>
    <mergeCell ref="H803:H804"/>
    <mergeCell ref="I803:I804"/>
    <mergeCell ref="J803:J804"/>
    <mergeCell ref="B809:B810"/>
    <mergeCell ref="C809:C810"/>
    <mergeCell ref="B308:B309"/>
    <mergeCell ref="C308:C309"/>
    <mergeCell ref="D308:D309"/>
    <mergeCell ref="E308:E309"/>
    <mergeCell ref="G308:G309"/>
    <mergeCell ref="H308:H309"/>
    <mergeCell ref="I308:I309"/>
    <mergeCell ref="J308:J309"/>
    <mergeCell ref="C623:C624"/>
    <mergeCell ref="D623:D624"/>
    <mergeCell ref="E623:E624"/>
    <mergeCell ref="G623:G624"/>
    <mergeCell ref="H623:H624"/>
    <mergeCell ref="I623:I624"/>
    <mergeCell ref="J623:J624"/>
    <mergeCell ref="B623:B624"/>
    <mergeCell ref="B614:B615"/>
    <mergeCell ref="B612:B613"/>
    <mergeCell ref="B608:B609"/>
    <mergeCell ref="C608:C609"/>
    <mergeCell ref="D608:D609"/>
    <mergeCell ref="E608:E609"/>
    <mergeCell ref="G608:G609"/>
    <mergeCell ref="H608:H609"/>
    <mergeCell ref="I608:I609"/>
    <mergeCell ref="J608:J609"/>
    <mergeCell ref="B610:B611"/>
    <mergeCell ref="C610:C611"/>
    <mergeCell ref="D610:D611"/>
    <mergeCell ref="E610:E611"/>
    <mergeCell ref="G610:G611"/>
    <mergeCell ref="H610:H611"/>
    <mergeCell ref="I637:I638"/>
    <mergeCell ref="J637:J638"/>
    <mergeCell ref="B639:B640"/>
    <mergeCell ref="C639:C640"/>
    <mergeCell ref="D639:D640"/>
    <mergeCell ref="E639:E640"/>
    <mergeCell ref="G639:G640"/>
    <mergeCell ref="H639:H640"/>
    <mergeCell ref="I639:I640"/>
    <mergeCell ref="J639:J640"/>
    <mergeCell ref="J633:J634"/>
    <mergeCell ref="C635:C636"/>
    <mergeCell ref="D635:D636"/>
    <mergeCell ref="E635:E636"/>
    <mergeCell ref="G635:G636"/>
    <mergeCell ref="H635:H636"/>
    <mergeCell ref="I635:I636"/>
    <mergeCell ref="J635:J636"/>
    <mergeCell ref="I631:I632"/>
    <mergeCell ref="J631:J632"/>
    <mergeCell ref="C633:C634"/>
    <mergeCell ref="D633:D634"/>
    <mergeCell ref="E633:E634"/>
    <mergeCell ref="G633:G634"/>
    <mergeCell ref="H633:H634"/>
    <mergeCell ref="I633:I634"/>
    <mergeCell ref="B643:B644"/>
    <mergeCell ref="C643:C644"/>
    <mergeCell ref="D643:D644"/>
    <mergeCell ref="E643:E644"/>
    <mergeCell ref="G643:G644"/>
    <mergeCell ref="H643:H644"/>
    <mergeCell ref="I643:I644"/>
    <mergeCell ref="J643:J644"/>
    <mergeCell ref="B645:B646"/>
    <mergeCell ref="C645:C646"/>
    <mergeCell ref="D645:D646"/>
    <mergeCell ref="E645:E646"/>
    <mergeCell ref="G645:G646"/>
    <mergeCell ref="H645:H646"/>
    <mergeCell ref="I645:I646"/>
    <mergeCell ref="J645:J646"/>
    <mergeCell ref="B633:B634"/>
    <mergeCell ref="B635:B636"/>
    <mergeCell ref="B637:B638"/>
    <mergeCell ref="C637:C638"/>
    <mergeCell ref="D637:D638"/>
    <mergeCell ref="E637:E638"/>
    <mergeCell ref="G637:G638"/>
    <mergeCell ref="H637:H638"/>
    <mergeCell ref="B651:B652"/>
    <mergeCell ref="C651:C652"/>
    <mergeCell ref="D651:D652"/>
    <mergeCell ref="E651:E652"/>
    <mergeCell ref="G651:G652"/>
    <mergeCell ref="H651:H652"/>
    <mergeCell ref="I651:I652"/>
    <mergeCell ref="J651:J652"/>
    <mergeCell ref="B653:B654"/>
    <mergeCell ref="C653:C654"/>
    <mergeCell ref="D653:D654"/>
    <mergeCell ref="E653:E654"/>
    <mergeCell ref="G653:G654"/>
    <mergeCell ref="H653:H654"/>
    <mergeCell ref="I653:I654"/>
    <mergeCell ref="J653:J654"/>
    <mergeCell ref="B655:B656"/>
    <mergeCell ref="C655:C656"/>
    <mergeCell ref="D655:D656"/>
    <mergeCell ref="E655:E656"/>
    <mergeCell ref="G655:G656"/>
    <mergeCell ref="H655:H656"/>
    <mergeCell ref="I655:I656"/>
    <mergeCell ref="J655:J656"/>
    <mergeCell ref="B663:B664"/>
    <mergeCell ref="C663:C664"/>
    <mergeCell ref="D663:D664"/>
    <mergeCell ref="E663:E664"/>
    <mergeCell ref="G663:G664"/>
    <mergeCell ref="H663:H664"/>
    <mergeCell ref="I663:I664"/>
    <mergeCell ref="J663:J664"/>
    <mergeCell ref="B665:B666"/>
    <mergeCell ref="C665:C666"/>
    <mergeCell ref="D665:D666"/>
    <mergeCell ref="E665:E666"/>
    <mergeCell ref="G665:G666"/>
    <mergeCell ref="H665:H666"/>
    <mergeCell ref="I665:I666"/>
    <mergeCell ref="J665:J666"/>
    <mergeCell ref="B669:B670"/>
    <mergeCell ref="C669:C670"/>
    <mergeCell ref="D669:D670"/>
    <mergeCell ref="E669:E670"/>
    <mergeCell ref="G669:G670"/>
    <mergeCell ref="H669:H670"/>
    <mergeCell ref="I669:I670"/>
    <mergeCell ref="J669:J670"/>
    <mergeCell ref="B673:B674"/>
    <mergeCell ref="C673:C674"/>
    <mergeCell ref="D673:D674"/>
    <mergeCell ref="E673:E674"/>
    <mergeCell ref="G673:G674"/>
    <mergeCell ref="H673:H674"/>
    <mergeCell ref="I673:I674"/>
    <mergeCell ref="J673:J674"/>
    <mergeCell ref="B679:B680"/>
    <mergeCell ref="C679:C680"/>
    <mergeCell ref="D679:D680"/>
    <mergeCell ref="E679:E680"/>
    <mergeCell ref="G679:G680"/>
    <mergeCell ref="H679:H680"/>
    <mergeCell ref="I679:I680"/>
    <mergeCell ref="J679:J680"/>
    <mergeCell ref="B677:B678"/>
    <mergeCell ref="C677:C678"/>
    <mergeCell ref="D677:D678"/>
    <mergeCell ref="E677:E678"/>
    <mergeCell ref="G677:G678"/>
    <mergeCell ref="H677:H678"/>
    <mergeCell ref="I677:I678"/>
    <mergeCell ref="J677:J678"/>
    <mergeCell ref="B683:B684"/>
    <mergeCell ref="C683:C684"/>
    <mergeCell ref="D683:D684"/>
    <mergeCell ref="E683:E684"/>
    <mergeCell ref="G683:G684"/>
    <mergeCell ref="H683:H684"/>
    <mergeCell ref="I683:I684"/>
    <mergeCell ref="J683:J684"/>
    <mergeCell ref="B687:B688"/>
    <mergeCell ref="C687:C688"/>
    <mergeCell ref="D687:D688"/>
    <mergeCell ref="E687:E688"/>
    <mergeCell ref="G687:G688"/>
    <mergeCell ref="H687:H688"/>
    <mergeCell ref="I687:I688"/>
    <mergeCell ref="J687:J688"/>
    <mergeCell ref="B689:B690"/>
    <mergeCell ref="C689:C690"/>
    <mergeCell ref="D689:D690"/>
    <mergeCell ref="E689:E690"/>
    <mergeCell ref="G689:G690"/>
    <mergeCell ref="H689:H690"/>
    <mergeCell ref="I689:I690"/>
    <mergeCell ref="J689:J690"/>
    <mergeCell ref="B685:B686"/>
    <mergeCell ref="C685:C686"/>
    <mergeCell ref="D685:D686"/>
    <mergeCell ref="E685:E686"/>
    <mergeCell ref="G685:G686"/>
    <mergeCell ref="H685:H686"/>
    <mergeCell ref="I685:I686"/>
    <mergeCell ref="J685:J686"/>
    <mergeCell ref="B691:B692"/>
    <mergeCell ref="C691:C692"/>
    <mergeCell ref="D691:D692"/>
    <mergeCell ref="E691:E692"/>
    <mergeCell ref="G691:G692"/>
    <mergeCell ref="H691:H692"/>
    <mergeCell ref="I691:I692"/>
    <mergeCell ref="J691:J692"/>
    <mergeCell ref="B697:B698"/>
    <mergeCell ref="C697:C698"/>
    <mergeCell ref="D697:D698"/>
    <mergeCell ref="E697:E698"/>
    <mergeCell ref="G697:G698"/>
    <mergeCell ref="H697:H698"/>
    <mergeCell ref="I697:I698"/>
    <mergeCell ref="J697:J698"/>
    <mergeCell ref="B699:B700"/>
    <mergeCell ref="C699:C700"/>
    <mergeCell ref="D699:D700"/>
    <mergeCell ref="E699:E700"/>
    <mergeCell ref="G699:G700"/>
    <mergeCell ref="H699:H700"/>
    <mergeCell ref="I699:I700"/>
    <mergeCell ref="J699:J700"/>
    <mergeCell ref="B693:B694"/>
    <mergeCell ref="C693:C694"/>
    <mergeCell ref="D693:D694"/>
    <mergeCell ref="E693:E694"/>
    <mergeCell ref="G693:G694"/>
    <mergeCell ref="H693:H694"/>
    <mergeCell ref="I693:I694"/>
    <mergeCell ref="J693:J694"/>
    <mergeCell ref="B705:B706"/>
    <mergeCell ref="C705:C706"/>
    <mergeCell ref="D705:D706"/>
    <mergeCell ref="E705:E706"/>
    <mergeCell ref="G705:G706"/>
    <mergeCell ref="H705:H706"/>
    <mergeCell ref="I705:I706"/>
    <mergeCell ref="J705:J706"/>
    <mergeCell ref="B707:B708"/>
    <mergeCell ref="C707:C708"/>
    <mergeCell ref="D707:D708"/>
    <mergeCell ref="E707:E708"/>
    <mergeCell ref="G707:G708"/>
    <mergeCell ref="H707:H708"/>
    <mergeCell ref="I707:I708"/>
    <mergeCell ref="J707:J708"/>
    <mergeCell ref="B709:B710"/>
    <mergeCell ref="C709:C710"/>
    <mergeCell ref="D709:D710"/>
    <mergeCell ref="E709:E710"/>
    <mergeCell ref="G709:G710"/>
    <mergeCell ref="H709:H710"/>
    <mergeCell ref="I709:I710"/>
    <mergeCell ref="J709:J710"/>
    <mergeCell ref="B717:B718"/>
    <mergeCell ref="C717:C718"/>
    <mergeCell ref="D717:D718"/>
    <mergeCell ref="E717:E718"/>
    <mergeCell ref="G717:G718"/>
    <mergeCell ref="H717:H718"/>
    <mergeCell ref="I717:I718"/>
    <mergeCell ref="J717:J718"/>
    <mergeCell ref="B719:B720"/>
    <mergeCell ref="C719:C720"/>
    <mergeCell ref="D719:D720"/>
    <mergeCell ref="E719:E720"/>
    <mergeCell ref="G719:G720"/>
    <mergeCell ref="H719:H720"/>
    <mergeCell ref="I719:I720"/>
    <mergeCell ref="J719:J720"/>
    <mergeCell ref="B723:B724"/>
    <mergeCell ref="C723:C724"/>
    <mergeCell ref="D723:D724"/>
    <mergeCell ref="E723:E724"/>
    <mergeCell ref="G723:G724"/>
    <mergeCell ref="H723:H724"/>
    <mergeCell ref="I723:I724"/>
    <mergeCell ref="J723:J724"/>
    <mergeCell ref="B727:B728"/>
    <mergeCell ref="C727:C728"/>
    <mergeCell ref="D727:D728"/>
    <mergeCell ref="E727:E728"/>
    <mergeCell ref="G727:G728"/>
    <mergeCell ref="H727:H728"/>
    <mergeCell ref="I727:I728"/>
    <mergeCell ref="J727:J728"/>
    <mergeCell ref="B733:B734"/>
    <mergeCell ref="C733:C734"/>
    <mergeCell ref="D733:D734"/>
    <mergeCell ref="E733:E734"/>
    <mergeCell ref="G733:G734"/>
    <mergeCell ref="H733:H734"/>
    <mergeCell ref="I733:I734"/>
    <mergeCell ref="J733:J734"/>
    <mergeCell ref="B731:B732"/>
    <mergeCell ref="C731:C732"/>
    <mergeCell ref="D731:D732"/>
    <mergeCell ref="E731:E732"/>
    <mergeCell ref="G731:G732"/>
    <mergeCell ref="H731:H732"/>
    <mergeCell ref="I731:I732"/>
    <mergeCell ref="J731:J732"/>
    <mergeCell ref="B737:B738"/>
    <mergeCell ref="C737:C738"/>
    <mergeCell ref="D737:D738"/>
    <mergeCell ref="E737:E738"/>
    <mergeCell ref="G737:G738"/>
    <mergeCell ref="H737:H738"/>
    <mergeCell ref="I737:I738"/>
    <mergeCell ref="J737:J738"/>
    <mergeCell ref="B741:B742"/>
    <mergeCell ref="C741:C742"/>
    <mergeCell ref="D741:D742"/>
    <mergeCell ref="E741:E742"/>
    <mergeCell ref="G741:G742"/>
    <mergeCell ref="H741:H742"/>
    <mergeCell ref="I741:I742"/>
    <mergeCell ref="J741:J742"/>
    <mergeCell ref="B743:B744"/>
    <mergeCell ref="C743:C744"/>
    <mergeCell ref="D743:D744"/>
    <mergeCell ref="E743:E744"/>
    <mergeCell ref="G743:G744"/>
    <mergeCell ref="H743:H744"/>
    <mergeCell ref="I743:I744"/>
    <mergeCell ref="J743:J744"/>
    <mergeCell ref="B739:B740"/>
    <mergeCell ref="C739:C740"/>
    <mergeCell ref="D739:D740"/>
    <mergeCell ref="E739:E740"/>
    <mergeCell ref="G739:G740"/>
    <mergeCell ref="H739:H740"/>
    <mergeCell ref="I739:I740"/>
    <mergeCell ref="J739:J740"/>
    <mergeCell ref="B745:B746"/>
    <mergeCell ref="C745:C746"/>
    <mergeCell ref="D745:D746"/>
    <mergeCell ref="E745:E746"/>
    <mergeCell ref="G745:G746"/>
    <mergeCell ref="H745:H746"/>
    <mergeCell ref="I745:I746"/>
    <mergeCell ref="J745:J746"/>
    <mergeCell ref="B751:B752"/>
    <mergeCell ref="C751:C752"/>
    <mergeCell ref="D751:D752"/>
    <mergeCell ref="E751:E752"/>
    <mergeCell ref="G751:G752"/>
    <mergeCell ref="H751:H752"/>
    <mergeCell ref="I751:I752"/>
    <mergeCell ref="J751:J752"/>
    <mergeCell ref="B753:B754"/>
    <mergeCell ref="C753:C754"/>
    <mergeCell ref="D753:D754"/>
    <mergeCell ref="E753:E754"/>
    <mergeCell ref="G753:G754"/>
    <mergeCell ref="H753:H754"/>
    <mergeCell ref="I753:I754"/>
    <mergeCell ref="J753:J754"/>
    <mergeCell ref="B747:B748"/>
    <mergeCell ref="C747:C748"/>
    <mergeCell ref="D747:D748"/>
    <mergeCell ref="E747:E748"/>
    <mergeCell ref="G747:G748"/>
    <mergeCell ref="H747:H748"/>
    <mergeCell ref="I747:I748"/>
    <mergeCell ref="J747:J748"/>
    <mergeCell ref="B759:B760"/>
    <mergeCell ref="C759:C760"/>
    <mergeCell ref="D759:D760"/>
    <mergeCell ref="E759:E760"/>
    <mergeCell ref="G759:G760"/>
    <mergeCell ref="H759:H760"/>
    <mergeCell ref="I759:I760"/>
    <mergeCell ref="J759:J760"/>
    <mergeCell ref="B761:B762"/>
    <mergeCell ref="C761:C762"/>
    <mergeCell ref="D761:D762"/>
    <mergeCell ref="E761:E762"/>
    <mergeCell ref="G761:G762"/>
    <mergeCell ref="H761:H762"/>
    <mergeCell ref="I761:I762"/>
    <mergeCell ref="J761:J762"/>
    <mergeCell ref="B763:B764"/>
    <mergeCell ref="C763:C764"/>
    <mergeCell ref="D763:D764"/>
    <mergeCell ref="E763:E764"/>
    <mergeCell ref="G763:G764"/>
    <mergeCell ref="H763:H764"/>
    <mergeCell ref="I763:I764"/>
    <mergeCell ref="J763:J764"/>
    <mergeCell ref="I771:I772"/>
    <mergeCell ref="J771:J772"/>
    <mergeCell ref="B773:B774"/>
    <mergeCell ref="C773:C774"/>
    <mergeCell ref="D773:D774"/>
    <mergeCell ref="E773:E774"/>
    <mergeCell ref="G773:G774"/>
    <mergeCell ref="H773:H774"/>
    <mergeCell ref="I773:I774"/>
    <mergeCell ref="J773:J774"/>
    <mergeCell ref="B777:B778"/>
    <mergeCell ref="C777:C778"/>
    <mergeCell ref="D777:D778"/>
    <mergeCell ref="E777:E778"/>
    <mergeCell ref="G777:G778"/>
    <mergeCell ref="H777:H778"/>
    <mergeCell ref="I777:I778"/>
    <mergeCell ref="J777:J778"/>
    <mergeCell ref="B775:B776"/>
    <mergeCell ref="C775:C776"/>
    <mergeCell ref="D775:D776"/>
    <mergeCell ref="E775:E776"/>
    <mergeCell ref="G775:G776"/>
    <mergeCell ref="H775:H776"/>
    <mergeCell ref="I775:I776"/>
    <mergeCell ref="J775:J776"/>
    <mergeCell ref="D781:D782"/>
    <mergeCell ref="E781:E782"/>
    <mergeCell ref="G781:G782"/>
    <mergeCell ref="H781:H782"/>
    <mergeCell ref="I781:I782"/>
    <mergeCell ref="J781:J782"/>
    <mergeCell ref="B787:B788"/>
    <mergeCell ref="C787:C788"/>
    <mergeCell ref="D787:D788"/>
    <mergeCell ref="E787:E788"/>
    <mergeCell ref="G787:G788"/>
    <mergeCell ref="H787:H788"/>
    <mergeCell ref="I787:I788"/>
    <mergeCell ref="J787:J788"/>
    <mergeCell ref="B791:B792"/>
    <mergeCell ref="C791:C792"/>
    <mergeCell ref="D791:D792"/>
    <mergeCell ref="E791:E792"/>
    <mergeCell ref="G791:G792"/>
    <mergeCell ref="H791:H792"/>
    <mergeCell ref="I791:I792"/>
    <mergeCell ref="J791:J792"/>
    <mergeCell ref="B783:B784"/>
    <mergeCell ref="C783:C784"/>
    <mergeCell ref="D783:D784"/>
    <mergeCell ref="E783:E784"/>
    <mergeCell ref="G783:G784"/>
    <mergeCell ref="H783:H784"/>
    <mergeCell ref="I783:I784"/>
    <mergeCell ref="J783:J784"/>
    <mergeCell ref="B795:B796"/>
    <mergeCell ref="C795:C796"/>
    <mergeCell ref="D795:D796"/>
    <mergeCell ref="E795:E796"/>
    <mergeCell ref="G795:G796"/>
    <mergeCell ref="H795:H796"/>
    <mergeCell ref="I795:I796"/>
    <mergeCell ref="J795:J796"/>
    <mergeCell ref="B797:B798"/>
    <mergeCell ref="C797:C798"/>
    <mergeCell ref="D797:D798"/>
    <mergeCell ref="E797:E798"/>
    <mergeCell ref="G797:G798"/>
    <mergeCell ref="H797:H798"/>
    <mergeCell ref="I797:I798"/>
    <mergeCell ref="J797:J798"/>
    <mergeCell ref="B799:B800"/>
    <mergeCell ref="C799:C800"/>
    <mergeCell ref="D799:D800"/>
    <mergeCell ref="E799:E800"/>
    <mergeCell ref="G799:G800"/>
    <mergeCell ref="H799:H800"/>
    <mergeCell ref="I799:I800"/>
    <mergeCell ref="J799:J800"/>
    <mergeCell ref="B805:B806"/>
    <mergeCell ref="C805:C806"/>
    <mergeCell ref="D805:D806"/>
    <mergeCell ref="E805:E806"/>
    <mergeCell ref="G805:G806"/>
    <mergeCell ref="H805:H806"/>
    <mergeCell ref="I805:I806"/>
    <mergeCell ref="J805:J806"/>
    <mergeCell ref="B807:B808"/>
    <mergeCell ref="C807:C808"/>
    <mergeCell ref="D807:D808"/>
    <mergeCell ref="E807:E808"/>
    <mergeCell ref="G807:G808"/>
    <mergeCell ref="H807:H808"/>
    <mergeCell ref="I807:I808"/>
    <mergeCell ref="J807:J808"/>
    <mergeCell ref="B813:B814"/>
    <mergeCell ref="C813:C814"/>
    <mergeCell ref="D813:D814"/>
    <mergeCell ref="E813:E814"/>
    <mergeCell ref="G813:G814"/>
    <mergeCell ref="H813:H814"/>
    <mergeCell ref="I813:I814"/>
    <mergeCell ref="J813:J814"/>
    <mergeCell ref="D809:D810"/>
    <mergeCell ref="E809:E810"/>
    <mergeCell ref="G809:G810"/>
    <mergeCell ref="H809:H810"/>
    <mergeCell ref="I809:I810"/>
    <mergeCell ref="J809:J810"/>
    <mergeCell ref="B815:B816"/>
    <mergeCell ref="C815:C816"/>
    <mergeCell ref="D815:D816"/>
    <mergeCell ref="E815:E816"/>
    <mergeCell ref="G815:G816"/>
    <mergeCell ref="H815:H816"/>
    <mergeCell ref="I815:I816"/>
    <mergeCell ref="J815:J816"/>
    <mergeCell ref="B817:B818"/>
    <mergeCell ref="C817:C818"/>
    <mergeCell ref="D817:D818"/>
    <mergeCell ref="E817:E818"/>
    <mergeCell ref="G817:G818"/>
    <mergeCell ref="H817:H818"/>
    <mergeCell ref="I817:I818"/>
    <mergeCell ref="J817:J818"/>
    <mergeCell ref="B821:B822"/>
    <mergeCell ref="C821:C822"/>
    <mergeCell ref="D821:D822"/>
    <mergeCell ref="E821:E822"/>
    <mergeCell ref="G821:G822"/>
    <mergeCell ref="H821:H822"/>
    <mergeCell ref="I821:I822"/>
    <mergeCell ref="J821:J822"/>
    <mergeCell ref="B823:B824"/>
    <mergeCell ref="C823:C824"/>
    <mergeCell ref="D823:D824"/>
    <mergeCell ref="E823:E824"/>
    <mergeCell ref="G823:G824"/>
    <mergeCell ref="H823:H824"/>
    <mergeCell ref="I823:I824"/>
    <mergeCell ref="J823:J824"/>
    <mergeCell ref="B825:B826"/>
    <mergeCell ref="C825:C826"/>
    <mergeCell ref="D825:D826"/>
    <mergeCell ref="E825:E826"/>
    <mergeCell ref="G825:G826"/>
    <mergeCell ref="H825:H826"/>
    <mergeCell ref="I825:I826"/>
    <mergeCell ref="J825:J826"/>
    <mergeCell ref="B827:B828"/>
    <mergeCell ref="C827:C828"/>
    <mergeCell ref="D827:D828"/>
    <mergeCell ref="E827:E828"/>
    <mergeCell ref="G827:G828"/>
    <mergeCell ref="H827:H828"/>
    <mergeCell ref="I827:I828"/>
    <mergeCell ref="J827:J828"/>
    <mergeCell ref="B829:B830"/>
    <mergeCell ref="C829:C830"/>
    <mergeCell ref="D829:D830"/>
    <mergeCell ref="E829:E830"/>
    <mergeCell ref="G829:G830"/>
    <mergeCell ref="H829:H830"/>
    <mergeCell ref="I829:I830"/>
    <mergeCell ref="J829:J830"/>
    <mergeCell ref="B831:B832"/>
    <mergeCell ref="C831:C832"/>
    <mergeCell ref="D831:D832"/>
    <mergeCell ref="E831:E832"/>
    <mergeCell ref="G831:G832"/>
    <mergeCell ref="H831:H832"/>
    <mergeCell ref="I831:I832"/>
    <mergeCell ref="J831:J832"/>
    <mergeCell ref="B833:B834"/>
    <mergeCell ref="C833:C834"/>
    <mergeCell ref="D833:D834"/>
    <mergeCell ref="E833:E834"/>
    <mergeCell ref="G833:G834"/>
    <mergeCell ref="H833:H834"/>
    <mergeCell ref="I833:I834"/>
    <mergeCell ref="J833:J834"/>
    <mergeCell ref="B835:B836"/>
    <mergeCell ref="C835:C836"/>
    <mergeCell ref="D835:D836"/>
    <mergeCell ref="E835:E836"/>
    <mergeCell ref="G835:G836"/>
    <mergeCell ref="H835:H836"/>
    <mergeCell ref="I835:I836"/>
    <mergeCell ref="J835:J836"/>
    <mergeCell ref="B837:B838"/>
    <mergeCell ref="C837:C838"/>
    <mergeCell ref="D837:D838"/>
    <mergeCell ref="E837:E838"/>
    <mergeCell ref="G837:G838"/>
    <mergeCell ref="H837:H838"/>
    <mergeCell ref="I837:I838"/>
    <mergeCell ref="J837:J838"/>
    <mergeCell ref="B839:B840"/>
    <mergeCell ref="C839:C840"/>
    <mergeCell ref="D839:D840"/>
    <mergeCell ref="E839:E840"/>
    <mergeCell ref="G839:G840"/>
    <mergeCell ref="H839:H840"/>
    <mergeCell ref="I839:I840"/>
    <mergeCell ref="J839:J840"/>
    <mergeCell ref="B841:B842"/>
    <mergeCell ref="C841:C842"/>
    <mergeCell ref="D841:D842"/>
    <mergeCell ref="E841:E842"/>
    <mergeCell ref="G841:G842"/>
    <mergeCell ref="H841:H842"/>
    <mergeCell ref="I841:I842"/>
    <mergeCell ref="J841:J842"/>
    <mergeCell ref="B843:B844"/>
    <mergeCell ref="C843:C844"/>
    <mergeCell ref="D843:D844"/>
    <mergeCell ref="E843:E844"/>
    <mergeCell ref="G843:G844"/>
    <mergeCell ref="H843:H844"/>
    <mergeCell ref="I843:I844"/>
    <mergeCell ref="J843:J844"/>
    <mergeCell ref="B845:B846"/>
    <mergeCell ref="C845:C846"/>
    <mergeCell ref="D845:D846"/>
    <mergeCell ref="E845:E846"/>
    <mergeCell ref="G845:G846"/>
    <mergeCell ref="H845:H846"/>
    <mergeCell ref="I845:I846"/>
    <mergeCell ref="J845:J846"/>
    <mergeCell ref="B847:B848"/>
    <mergeCell ref="C847:C848"/>
    <mergeCell ref="D847:D848"/>
    <mergeCell ref="E847:E848"/>
    <mergeCell ref="G847:G848"/>
    <mergeCell ref="H847:H848"/>
    <mergeCell ref="I847:I848"/>
    <mergeCell ref="J847:J848"/>
    <mergeCell ref="B849:B850"/>
    <mergeCell ref="C849:C850"/>
    <mergeCell ref="D849:D850"/>
    <mergeCell ref="E849:E850"/>
    <mergeCell ref="G849:G850"/>
    <mergeCell ref="H849:H850"/>
    <mergeCell ref="I849:I850"/>
    <mergeCell ref="J849:J850"/>
    <mergeCell ref="B851:B852"/>
    <mergeCell ref="C851:C852"/>
    <mergeCell ref="D851:D852"/>
    <mergeCell ref="E851:E852"/>
    <mergeCell ref="G851:G852"/>
    <mergeCell ref="H851:H852"/>
    <mergeCell ref="I851:I852"/>
    <mergeCell ref="J851:J852"/>
    <mergeCell ref="B853:B854"/>
    <mergeCell ref="C853:C854"/>
    <mergeCell ref="D853:D854"/>
    <mergeCell ref="E853:E854"/>
    <mergeCell ref="G853:G854"/>
    <mergeCell ref="H853:H854"/>
    <mergeCell ref="I853:I854"/>
    <mergeCell ref="J853:J854"/>
    <mergeCell ref="B855:B856"/>
    <mergeCell ref="C855:C856"/>
    <mergeCell ref="D855:D856"/>
    <mergeCell ref="E855:E856"/>
    <mergeCell ref="G855:G856"/>
    <mergeCell ref="H855:H856"/>
    <mergeCell ref="I855:I856"/>
    <mergeCell ref="J855:J856"/>
    <mergeCell ref="B857:B858"/>
    <mergeCell ref="C857:C858"/>
    <mergeCell ref="D857:D858"/>
    <mergeCell ref="E857:E858"/>
    <mergeCell ref="G857:G858"/>
    <mergeCell ref="H857:H858"/>
    <mergeCell ref="I857:I858"/>
    <mergeCell ref="J857:J858"/>
    <mergeCell ref="B859:B860"/>
    <mergeCell ref="C859:C860"/>
    <mergeCell ref="D859:D860"/>
    <mergeCell ref="E859:E860"/>
    <mergeCell ref="G859:G860"/>
    <mergeCell ref="H859:H860"/>
    <mergeCell ref="I859:I860"/>
    <mergeCell ref="J859:J860"/>
    <mergeCell ref="B861:B862"/>
    <mergeCell ref="C861:C862"/>
    <mergeCell ref="D861:D862"/>
    <mergeCell ref="E861:E862"/>
    <mergeCell ref="G861:G862"/>
    <mergeCell ref="H861:H862"/>
    <mergeCell ref="I861:I862"/>
    <mergeCell ref="J861:J862"/>
    <mergeCell ref="B863:B864"/>
    <mergeCell ref="C863:C864"/>
    <mergeCell ref="D863:D864"/>
    <mergeCell ref="E863:E864"/>
    <mergeCell ref="G863:G864"/>
    <mergeCell ref="H863:H864"/>
    <mergeCell ref="I863:I864"/>
    <mergeCell ref="J863:J864"/>
    <mergeCell ref="B865:B866"/>
    <mergeCell ref="C865:C866"/>
    <mergeCell ref="D865:D866"/>
    <mergeCell ref="E865:E866"/>
    <mergeCell ref="G865:G866"/>
    <mergeCell ref="H865:H866"/>
    <mergeCell ref="I865:I866"/>
    <mergeCell ref="J865:J866"/>
    <mergeCell ref="B867:B868"/>
    <mergeCell ref="C867:C868"/>
    <mergeCell ref="D867:D868"/>
    <mergeCell ref="E867:E868"/>
    <mergeCell ref="G867:G868"/>
    <mergeCell ref="H867:H868"/>
    <mergeCell ref="I867:I868"/>
    <mergeCell ref="J867:J868"/>
    <mergeCell ref="B869:B870"/>
    <mergeCell ref="C869:C870"/>
    <mergeCell ref="D869:D870"/>
    <mergeCell ref="E869:E870"/>
    <mergeCell ref="G869:G870"/>
    <mergeCell ref="H869:H870"/>
    <mergeCell ref="I869:I870"/>
    <mergeCell ref="J869:J870"/>
    <mergeCell ref="B871:B872"/>
    <mergeCell ref="C871:C872"/>
    <mergeCell ref="D871:D872"/>
    <mergeCell ref="E871:E872"/>
    <mergeCell ref="G871:G872"/>
    <mergeCell ref="H871:H872"/>
    <mergeCell ref="I871:I872"/>
    <mergeCell ref="J871:J872"/>
    <mergeCell ref="B873:B874"/>
    <mergeCell ref="C873:C874"/>
    <mergeCell ref="D873:D874"/>
    <mergeCell ref="E873:E874"/>
    <mergeCell ref="G873:G874"/>
    <mergeCell ref="H873:H874"/>
    <mergeCell ref="I873:I874"/>
    <mergeCell ref="J873:J874"/>
    <mergeCell ref="B875:B876"/>
    <mergeCell ref="C875:C876"/>
    <mergeCell ref="D875:D876"/>
    <mergeCell ref="E875:E876"/>
    <mergeCell ref="G875:G876"/>
    <mergeCell ref="H875:H876"/>
    <mergeCell ref="I875:I876"/>
    <mergeCell ref="J875:J876"/>
    <mergeCell ref="B877:B878"/>
    <mergeCell ref="C877:C878"/>
    <mergeCell ref="D877:D878"/>
    <mergeCell ref="E877:E878"/>
    <mergeCell ref="G877:G878"/>
    <mergeCell ref="H877:H878"/>
    <mergeCell ref="I877:I878"/>
    <mergeCell ref="J877:J878"/>
    <mergeCell ref="B879:B880"/>
    <mergeCell ref="C879:C880"/>
    <mergeCell ref="D879:D880"/>
    <mergeCell ref="E879:E880"/>
    <mergeCell ref="G879:G880"/>
    <mergeCell ref="H879:H880"/>
    <mergeCell ref="I879:I880"/>
    <mergeCell ref="J879:J880"/>
    <mergeCell ref="B881:B882"/>
    <mergeCell ref="C881:C882"/>
    <mergeCell ref="D881:D882"/>
    <mergeCell ref="E881:E882"/>
    <mergeCell ref="G881:G882"/>
    <mergeCell ref="H881:H882"/>
    <mergeCell ref="I881:I882"/>
    <mergeCell ref="J881:J882"/>
    <mergeCell ref="B883:B884"/>
    <mergeCell ref="C883:C884"/>
    <mergeCell ref="D883:D884"/>
    <mergeCell ref="E883:E884"/>
    <mergeCell ref="G883:G884"/>
    <mergeCell ref="H883:H884"/>
    <mergeCell ref="I883:I884"/>
    <mergeCell ref="J883:J884"/>
    <mergeCell ref="B885:B886"/>
    <mergeCell ref="C885:C886"/>
    <mergeCell ref="D885:D886"/>
    <mergeCell ref="E885:E886"/>
    <mergeCell ref="G885:G886"/>
    <mergeCell ref="H885:H886"/>
    <mergeCell ref="I885:I886"/>
    <mergeCell ref="J885:J886"/>
    <mergeCell ref="B887:B888"/>
    <mergeCell ref="C887:C888"/>
    <mergeCell ref="D887:D888"/>
    <mergeCell ref="E887:E888"/>
    <mergeCell ref="G887:G888"/>
    <mergeCell ref="H887:H888"/>
    <mergeCell ref="I887:I888"/>
    <mergeCell ref="J887:J888"/>
    <mergeCell ref="B889:B890"/>
    <mergeCell ref="C889:C890"/>
    <mergeCell ref="D889:D890"/>
    <mergeCell ref="E889:E890"/>
    <mergeCell ref="G889:G890"/>
    <mergeCell ref="H889:H890"/>
    <mergeCell ref="I889:I890"/>
    <mergeCell ref="J889:J890"/>
    <mergeCell ref="B891:B892"/>
    <mergeCell ref="C891:C892"/>
    <mergeCell ref="D891:D892"/>
    <mergeCell ref="E891:E892"/>
    <mergeCell ref="G891:G892"/>
    <mergeCell ref="H891:H892"/>
    <mergeCell ref="I891:I892"/>
    <mergeCell ref="J891:J892"/>
    <mergeCell ref="B893:B894"/>
    <mergeCell ref="C893:C894"/>
    <mergeCell ref="D893:D894"/>
    <mergeCell ref="E893:E894"/>
    <mergeCell ref="G893:G894"/>
    <mergeCell ref="H893:H894"/>
    <mergeCell ref="I893:I894"/>
    <mergeCell ref="J893:J894"/>
    <mergeCell ref="B895:B896"/>
    <mergeCell ref="C895:C896"/>
    <mergeCell ref="D895:D896"/>
    <mergeCell ref="E895:E896"/>
    <mergeCell ref="G895:G896"/>
    <mergeCell ref="H895:H896"/>
    <mergeCell ref="I895:I896"/>
    <mergeCell ref="J895:J896"/>
    <mergeCell ref="B897:B898"/>
    <mergeCell ref="C897:C898"/>
    <mergeCell ref="D897:D898"/>
    <mergeCell ref="E897:E898"/>
    <mergeCell ref="G897:G898"/>
    <mergeCell ref="H897:H898"/>
    <mergeCell ref="I897:I898"/>
    <mergeCell ref="J897:J898"/>
    <mergeCell ref="B899:B900"/>
    <mergeCell ref="C899:C900"/>
    <mergeCell ref="D899:D900"/>
    <mergeCell ref="E899:E900"/>
    <mergeCell ref="G899:G900"/>
    <mergeCell ref="H899:H900"/>
    <mergeCell ref="I899:I900"/>
    <mergeCell ref="J899:J900"/>
    <mergeCell ref="B901:B902"/>
    <mergeCell ref="C901:C902"/>
    <mergeCell ref="D901:D902"/>
    <mergeCell ref="E901:E902"/>
    <mergeCell ref="G901:G902"/>
    <mergeCell ref="H901:H902"/>
    <mergeCell ref="I901:I902"/>
    <mergeCell ref="J901:J902"/>
    <mergeCell ref="B903:B904"/>
    <mergeCell ref="C903:C904"/>
    <mergeCell ref="D903:D904"/>
    <mergeCell ref="E903:E904"/>
    <mergeCell ref="G903:G904"/>
    <mergeCell ref="H903:H904"/>
    <mergeCell ref="I903:I904"/>
    <mergeCell ref="J903:J904"/>
    <mergeCell ref="B905:B906"/>
    <mergeCell ref="C905:C906"/>
    <mergeCell ref="D905:D906"/>
    <mergeCell ref="E905:E906"/>
    <mergeCell ref="G905:G906"/>
    <mergeCell ref="H905:H906"/>
    <mergeCell ref="I905:I906"/>
    <mergeCell ref="J905:J906"/>
    <mergeCell ref="B907:B908"/>
    <mergeCell ref="C907:C908"/>
    <mergeCell ref="D907:D908"/>
    <mergeCell ref="E907:E908"/>
    <mergeCell ref="G907:G908"/>
    <mergeCell ref="H907:H908"/>
    <mergeCell ref="I907:I908"/>
    <mergeCell ref="J907:J908"/>
    <mergeCell ref="B909:B910"/>
    <mergeCell ref="C909:C910"/>
    <mergeCell ref="D909:D910"/>
    <mergeCell ref="E909:E910"/>
    <mergeCell ref="G909:G910"/>
    <mergeCell ref="H909:H910"/>
    <mergeCell ref="I909:I910"/>
    <mergeCell ref="J909:J910"/>
    <mergeCell ref="B911:B912"/>
    <mergeCell ref="C911:C912"/>
    <mergeCell ref="D911:D912"/>
    <mergeCell ref="E911:E912"/>
    <mergeCell ref="G911:G912"/>
    <mergeCell ref="H911:H912"/>
    <mergeCell ref="I911:I912"/>
    <mergeCell ref="J911:J912"/>
    <mergeCell ref="B913:B914"/>
    <mergeCell ref="C913:C914"/>
    <mergeCell ref="D913:D914"/>
    <mergeCell ref="E913:E914"/>
    <mergeCell ref="G913:G914"/>
    <mergeCell ref="H913:H914"/>
    <mergeCell ref="I913:I914"/>
    <mergeCell ref="J913:J914"/>
    <mergeCell ref="B915:B916"/>
    <mergeCell ref="C915:C916"/>
    <mergeCell ref="D915:D916"/>
    <mergeCell ref="E915:E916"/>
    <mergeCell ref="G915:G916"/>
    <mergeCell ref="H915:H916"/>
    <mergeCell ref="I915:I916"/>
    <mergeCell ref="J915:J916"/>
    <mergeCell ref="B917:B918"/>
    <mergeCell ref="C917:C918"/>
    <mergeCell ref="D917:D918"/>
    <mergeCell ref="E917:E918"/>
    <mergeCell ref="G917:G918"/>
    <mergeCell ref="H917:H918"/>
    <mergeCell ref="I917:I918"/>
    <mergeCell ref="J917:J918"/>
    <mergeCell ref="B919:B920"/>
    <mergeCell ref="C919:C920"/>
    <mergeCell ref="D919:D920"/>
    <mergeCell ref="E919:E920"/>
    <mergeCell ref="G919:G920"/>
    <mergeCell ref="H919:H920"/>
    <mergeCell ref="I919:I920"/>
    <mergeCell ref="J919:J920"/>
    <mergeCell ref="B921:B922"/>
    <mergeCell ref="C921:C922"/>
    <mergeCell ref="D921:D922"/>
    <mergeCell ref="E921:E922"/>
    <mergeCell ref="G921:G922"/>
    <mergeCell ref="H921:H922"/>
    <mergeCell ref="I921:I922"/>
    <mergeCell ref="J921:J922"/>
    <mergeCell ref="B923:B924"/>
    <mergeCell ref="C923:C924"/>
    <mergeCell ref="D923:D924"/>
    <mergeCell ref="E923:E924"/>
    <mergeCell ref="G923:G924"/>
    <mergeCell ref="H923:H924"/>
    <mergeCell ref="I923:I924"/>
    <mergeCell ref="J923:J924"/>
    <mergeCell ref="B925:B926"/>
    <mergeCell ref="C925:C926"/>
    <mergeCell ref="D925:D926"/>
    <mergeCell ref="E925:E926"/>
    <mergeCell ref="G925:G926"/>
    <mergeCell ref="H925:H926"/>
    <mergeCell ref="I925:I926"/>
    <mergeCell ref="J925:J926"/>
    <mergeCell ref="B927:B928"/>
    <mergeCell ref="C927:C928"/>
    <mergeCell ref="D927:D928"/>
    <mergeCell ref="E927:E928"/>
    <mergeCell ref="G927:G928"/>
    <mergeCell ref="H927:H928"/>
    <mergeCell ref="I927:I928"/>
    <mergeCell ref="J927:J928"/>
    <mergeCell ref="B929:B930"/>
    <mergeCell ref="C929:C930"/>
    <mergeCell ref="D929:D930"/>
    <mergeCell ref="E929:E930"/>
    <mergeCell ref="G929:G930"/>
    <mergeCell ref="H929:H930"/>
    <mergeCell ref="I929:I930"/>
    <mergeCell ref="J929:J930"/>
    <mergeCell ref="B931:B932"/>
    <mergeCell ref="C931:C932"/>
    <mergeCell ref="D931:D932"/>
    <mergeCell ref="E931:E932"/>
    <mergeCell ref="G931:G932"/>
    <mergeCell ref="H931:H932"/>
    <mergeCell ref="I931:I932"/>
    <mergeCell ref="J931:J932"/>
    <mergeCell ref="B933:B934"/>
    <mergeCell ref="C933:C934"/>
    <mergeCell ref="D933:D934"/>
    <mergeCell ref="E933:E934"/>
    <mergeCell ref="G933:G934"/>
    <mergeCell ref="H933:H934"/>
    <mergeCell ref="I933:I934"/>
    <mergeCell ref="J933:J934"/>
    <mergeCell ref="B935:B936"/>
    <mergeCell ref="C935:C936"/>
    <mergeCell ref="D935:D936"/>
    <mergeCell ref="E935:E936"/>
    <mergeCell ref="G935:G936"/>
    <mergeCell ref="H935:H936"/>
    <mergeCell ref="I935:I936"/>
    <mergeCell ref="J935:J936"/>
    <mergeCell ref="B937:B938"/>
    <mergeCell ref="C937:C938"/>
    <mergeCell ref="D937:D938"/>
    <mergeCell ref="E937:E938"/>
    <mergeCell ref="G937:G938"/>
    <mergeCell ref="H937:H938"/>
    <mergeCell ref="I937:I938"/>
    <mergeCell ref="J937:J938"/>
    <mergeCell ref="B939:B940"/>
    <mergeCell ref="C939:C940"/>
    <mergeCell ref="D939:D940"/>
    <mergeCell ref="E939:E940"/>
    <mergeCell ref="G939:G940"/>
    <mergeCell ref="H939:H940"/>
    <mergeCell ref="I939:I940"/>
    <mergeCell ref="J939:J940"/>
    <mergeCell ref="B941:B942"/>
    <mergeCell ref="C941:C942"/>
    <mergeCell ref="D941:D942"/>
    <mergeCell ref="E941:E942"/>
    <mergeCell ref="G941:G942"/>
    <mergeCell ref="H941:H942"/>
    <mergeCell ref="I941:I942"/>
    <mergeCell ref="J941:J942"/>
    <mergeCell ref="B943:B944"/>
    <mergeCell ref="C943:C944"/>
    <mergeCell ref="D943:D944"/>
    <mergeCell ref="E943:E944"/>
    <mergeCell ref="G943:G944"/>
    <mergeCell ref="H943:H944"/>
    <mergeCell ref="I943:I944"/>
    <mergeCell ref="J943:J944"/>
    <mergeCell ref="B945:B946"/>
    <mergeCell ref="C945:C946"/>
    <mergeCell ref="D945:D946"/>
    <mergeCell ref="E945:E946"/>
    <mergeCell ref="G945:G946"/>
    <mergeCell ref="H945:H946"/>
    <mergeCell ref="I945:I946"/>
    <mergeCell ref="J945:J946"/>
    <mergeCell ref="B947:B948"/>
    <mergeCell ref="C947:C948"/>
    <mergeCell ref="D947:D948"/>
    <mergeCell ref="E947:E948"/>
    <mergeCell ref="G947:G948"/>
    <mergeCell ref="H947:H948"/>
    <mergeCell ref="I947:I948"/>
    <mergeCell ref="J947:J948"/>
    <mergeCell ref="B949:B950"/>
    <mergeCell ref="C949:C950"/>
    <mergeCell ref="D949:D950"/>
    <mergeCell ref="E949:E950"/>
    <mergeCell ref="G949:G950"/>
    <mergeCell ref="H949:H950"/>
    <mergeCell ref="I949:I950"/>
    <mergeCell ref="J949:J950"/>
    <mergeCell ref="B951:B952"/>
    <mergeCell ref="C951:C952"/>
    <mergeCell ref="D951:D952"/>
    <mergeCell ref="E951:E952"/>
    <mergeCell ref="G951:G952"/>
    <mergeCell ref="H951:H952"/>
    <mergeCell ref="I951:I952"/>
    <mergeCell ref="J951:J952"/>
    <mergeCell ref="B953:B954"/>
    <mergeCell ref="C953:C954"/>
    <mergeCell ref="D953:D954"/>
    <mergeCell ref="E953:E954"/>
    <mergeCell ref="G953:G954"/>
    <mergeCell ref="H953:H954"/>
    <mergeCell ref="I953:I954"/>
    <mergeCell ref="J953:J954"/>
    <mergeCell ref="B955:B956"/>
    <mergeCell ref="C955:C956"/>
    <mergeCell ref="D955:D956"/>
    <mergeCell ref="E955:E956"/>
    <mergeCell ref="G955:G956"/>
    <mergeCell ref="H955:H956"/>
    <mergeCell ref="I955:I956"/>
    <mergeCell ref="J955:J956"/>
    <mergeCell ref="B957:B958"/>
    <mergeCell ref="C957:C958"/>
    <mergeCell ref="D957:D958"/>
    <mergeCell ref="E957:E958"/>
    <mergeCell ref="G957:G958"/>
    <mergeCell ref="H957:H958"/>
    <mergeCell ref="I957:I958"/>
    <mergeCell ref="J957:J958"/>
    <mergeCell ref="B959:B960"/>
    <mergeCell ref="C959:C960"/>
    <mergeCell ref="D959:D960"/>
    <mergeCell ref="E959:E960"/>
    <mergeCell ref="G959:G960"/>
    <mergeCell ref="H959:H960"/>
    <mergeCell ref="I959:I960"/>
    <mergeCell ref="J959:J960"/>
    <mergeCell ref="B961:B962"/>
    <mergeCell ref="C961:C962"/>
    <mergeCell ref="D961:D962"/>
    <mergeCell ref="E961:E962"/>
    <mergeCell ref="G961:G962"/>
    <mergeCell ref="H961:H962"/>
    <mergeCell ref="I961:I962"/>
    <mergeCell ref="J961:J962"/>
    <mergeCell ref="B963:B964"/>
    <mergeCell ref="C963:C964"/>
    <mergeCell ref="D963:D964"/>
    <mergeCell ref="E963:E964"/>
    <mergeCell ref="G963:G964"/>
    <mergeCell ref="H963:H964"/>
    <mergeCell ref="I963:I964"/>
    <mergeCell ref="J963:J964"/>
    <mergeCell ref="B965:B966"/>
    <mergeCell ref="C965:C966"/>
    <mergeCell ref="D965:D966"/>
    <mergeCell ref="E965:E966"/>
    <mergeCell ref="G965:G966"/>
    <mergeCell ref="H965:H966"/>
    <mergeCell ref="I965:I966"/>
    <mergeCell ref="J965:J966"/>
    <mergeCell ref="B967:B968"/>
    <mergeCell ref="C967:C968"/>
    <mergeCell ref="D967:D968"/>
    <mergeCell ref="E967:E968"/>
    <mergeCell ref="G967:G968"/>
    <mergeCell ref="H967:H968"/>
    <mergeCell ref="I967:I968"/>
    <mergeCell ref="J967:J968"/>
    <mergeCell ref="B969:B970"/>
    <mergeCell ref="C969:C970"/>
    <mergeCell ref="D969:D970"/>
    <mergeCell ref="E969:E970"/>
    <mergeCell ref="G969:G970"/>
    <mergeCell ref="H969:H970"/>
    <mergeCell ref="I969:I970"/>
    <mergeCell ref="J969:J970"/>
    <mergeCell ref="B971:B972"/>
    <mergeCell ref="C971:C972"/>
    <mergeCell ref="D971:D972"/>
    <mergeCell ref="E971:E972"/>
    <mergeCell ref="G971:G972"/>
    <mergeCell ref="H971:H972"/>
    <mergeCell ref="I971:I972"/>
    <mergeCell ref="J971:J972"/>
    <mergeCell ref="B973:B974"/>
    <mergeCell ref="C973:C974"/>
    <mergeCell ref="D973:D974"/>
    <mergeCell ref="E973:E974"/>
    <mergeCell ref="G973:G974"/>
    <mergeCell ref="H973:H974"/>
    <mergeCell ref="I973:I974"/>
    <mergeCell ref="J973:J974"/>
    <mergeCell ref="B975:B976"/>
    <mergeCell ref="C975:C976"/>
    <mergeCell ref="D975:D976"/>
    <mergeCell ref="E975:E976"/>
    <mergeCell ref="G975:G976"/>
    <mergeCell ref="H975:H976"/>
    <mergeCell ref="I975:I976"/>
    <mergeCell ref="J975:J976"/>
    <mergeCell ref="B977:B978"/>
    <mergeCell ref="C977:C978"/>
    <mergeCell ref="D977:D978"/>
    <mergeCell ref="E977:E978"/>
    <mergeCell ref="G977:G978"/>
    <mergeCell ref="H977:H978"/>
    <mergeCell ref="I977:I978"/>
    <mergeCell ref="J977:J978"/>
    <mergeCell ref="B979:B980"/>
    <mergeCell ref="C979:C980"/>
    <mergeCell ref="D979:D980"/>
    <mergeCell ref="E979:E980"/>
    <mergeCell ref="G979:G980"/>
    <mergeCell ref="H979:H980"/>
    <mergeCell ref="I979:I980"/>
    <mergeCell ref="J979:J980"/>
    <mergeCell ref="B981:B982"/>
    <mergeCell ref="C981:C982"/>
    <mergeCell ref="D981:D982"/>
    <mergeCell ref="E981:E982"/>
    <mergeCell ref="G981:G982"/>
    <mergeCell ref="H981:H982"/>
    <mergeCell ref="I981:I982"/>
    <mergeCell ref="J981:J982"/>
    <mergeCell ref="B983:B984"/>
    <mergeCell ref="C983:C984"/>
    <mergeCell ref="D983:D984"/>
    <mergeCell ref="E983:E984"/>
    <mergeCell ref="G983:G984"/>
    <mergeCell ref="H983:H984"/>
    <mergeCell ref="I983:I984"/>
    <mergeCell ref="J983:J984"/>
    <mergeCell ref="B985:B986"/>
    <mergeCell ref="C985:C986"/>
    <mergeCell ref="D985:D986"/>
    <mergeCell ref="E985:E986"/>
    <mergeCell ref="G985:G986"/>
    <mergeCell ref="H985:H986"/>
    <mergeCell ref="I985:I986"/>
    <mergeCell ref="J985:J986"/>
    <mergeCell ref="B987:B988"/>
    <mergeCell ref="C987:C988"/>
    <mergeCell ref="D987:D988"/>
    <mergeCell ref="E987:E988"/>
    <mergeCell ref="G987:G988"/>
    <mergeCell ref="H987:H988"/>
    <mergeCell ref="I987:I988"/>
    <mergeCell ref="J987:J988"/>
    <mergeCell ref="B989:B990"/>
    <mergeCell ref="C989:C990"/>
    <mergeCell ref="D989:D990"/>
    <mergeCell ref="E989:E990"/>
    <mergeCell ref="G989:G990"/>
    <mergeCell ref="H989:H990"/>
    <mergeCell ref="I989:I990"/>
    <mergeCell ref="J989:J990"/>
    <mergeCell ref="B991:B992"/>
    <mergeCell ref="C991:C992"/>
    <mergeCell ref="D991:D992"/>
    <mergeCell ref="E991:E992"/>
    <mergeCell ref="G991:G992"/>
    <mergeCell ref="H991:H992"/>
    <mergeCell ref="I991:I992"/>
    <mergeCell ref="J991:J992"/>
    <mergeCell ref="B993:B994"/>
    <mergeCell ref="C993:C994"/>
    <mergeCell ref="D993:D994"/>
    <mergeCell ref="E993:E994"/>
    <mergeCell ref="G993:G994"/>
    <mergeCell ref="H993:H994"/>
    <mergeCell ref="I993:I994"/>
    <mergeCell ref="J993:J994"/>
    <mergeCell ref="B995:B996"/>
    <mergeCell ref="C995:C996"/>
    <mergeCell ref="D995:D996"/>
    <mergeCell ref="E995:E996"/>
    <mergeCell ref="G995:G996"/>
    <mergeCell ref="H995:H996"/>
    <mergeCell ref="I995:I996"/>
    <mergeCell ref="J995:J996"/>
    <mergeCell ref="B997:B998"/>
    <mergeCell ref="C997:C998"/>
    <mergeCell ref="D997:D998"/>
    <mergeCell ref="E997:E998"/>
    <mergeCell ref="G997:G998"/>
    <mergeCell ref="H997:H998"/>
    <mergeCell ref="I997:I998"/>
    <mergeCell ref="J997:J998"/>
    <mergeCell ref="B999:B1000"/>
    <mergeCell ref="C999:C1000"/>
    <mergeCell ref="D999:D1000"/>
    <mergeCell ref="E999:E1000"/>
    <mergeCell ref="G999:G1000"/>
    <mergeCell ref="H999:H1000"/>
    <mergeCell ref="I999:I1000"/>
    <mergeCell ref="J999:J1000"/>
    <mergeCell ref="B1001:B1002"/>
    <mergeCell ref="C1001:C1002"/>
    <mergeCell ref="D1001:D1002"/>
    <mergeCell ref="E1001:E1002"/>
    <mergeCell ref="G1001:G1002"/>
    <mergeCell ref="H1001:H1002"/>
    <mergeCell ref="I1001:I1002"/>
    <mergeCell ref="J1001:J1002"/>
    <mergeCell ref="B1003:B1004"/>
    <mergeCell ref="C1003:C1004"/>
    <mergeCell ref="D1003:D1004"/>
    <mergeCell ref="E1003:E1004"/>
    <mergeCell ref="G1003:G1004"/>
    <mergeCell ref="H1003:H1004"/>
    <mergeCell ref="I1003:I1004"/>
    <mergeCell ref="J1003:J1004"/>
    <mergeCell ref="B1005:B1006"/>
    <mergeCell ref="C1005:C1006"/>
    <mergeCell ref="D1005:D1006"/>
    <mergeCell ref="E1005:E1006"/>
    <mergeCell ref="G1005:G1006"/>
    <mergeCell ref="H1005:H1006"/>
    <mergeCell ref="I1005:I1006"/>
    <mergeCell ref="J1005:J1006"/>
    <mergeCell ref="B1007:B1008"/>
    <mergeCell ref="C1007:C1008"/>
    <mergeCell ref="D1007:D1008"/>
    <mergeCell ref="E1007:E1008"/>
    <mergeCell ref="G1007:G1008"/>
    <mergeCell ref="H1007:H1008"/>
    <mergeCell ref="I1007:I1008"/>
    <mergeCell ref="J1007:J1008"/>
    <mergeCell ref="B1009:B1010"/>
    <mergeCell ref="C1009:C1010"/>
    <mergeCell ref="D1009:D1010"/>
    <mergeCell ref="E1009:E1010"/>
    <mergeCell ref="G1009:G1010"/>
    <mergeCell ref="H1009:H1010"/>
    <mergeCell ref="I1009:I1010"/>
    <mergeCell ref="J1009:J1010"/>
    <mergeCell ref="B1011:B1012"/>
    <mergeCell ref="C1011:C1012"/>
    <mergeCell ref="D1011:D1012"/>
    <mergeCell ref="E1011:E1012"/>
    <mergeCell ref="G1011:G1012"/>
    <mergeCell ref="H1011:H1012"/>
    <mergeCell ref="I1011:I1012"/>
    <mergeCell ref="J1011:J1012"/>
    <mergeCell ref="B1013:B1014"/>
    <mergeCell ref="C1013:C1014"/>
    <mergeCell ref="D1013:D1014"/>
    <mergeCell ref="E1013:E1014"/>
    <mergeCell ref="G1013:G1014"/>
    <mergeCell ref="H1013:H1014"/>
    <mergeCell ref="I1013:I1014"/>
    <mergeCell ref="J1013:J1014"/>
    <mergeCell ref="B1015:B1016"/>
    <mergeCell ref="C1015:C1016"/>
    <mergeCell ref="D1015:D1016"/>
    <mergeCell ref="E1015:E1016"/>
    <mergeCell ref="G1015:G1016"/>
    <mergeCell ref="H1015:H1016"/>
    <mergeCell ref="I1015:I1016"/>
    <mergeCell ref="J1015:J1016"/>
    <mergeCell ref="B1017:B1018"/>
    <mergeCell ref="C1017:C1018"/>
    <mergeCell ref="D1017:D1018"/>
    <mergeCell ref="E1017:E1018"/>
    <mergeCell ref="G1017:G1018"/>
    <mergeCell ref="H1017:H1018"/>
    <mergeCell ref="I1017:I1018"/>
    <mergeCell ref="J1017:J1018"/>
    <mergeCell ref="B1019:B1020"/>
    <mergeCell ref="C1019:C1020"/>
    <mergeCell ref="D1019:D1020"/>
    <mergeCell ref="E1019:E1020"/>
    <mergeCell ref="G1019:G1020"/>
    <mergeCell ref="H1019:H1020"/>
    <mergeCell ref="I1019:I1020"/>
    <mergeCell ref="J1019:J1020"/>
    <mergeCell ref="B1021:B1022"/>
    <mergeCell ref="C1021:C1022"/>
    <mergeCell ref="D1021:D1022"/>
    <mergeCell ref="E1021:E1022"/>
    <mergeCell ref="G1021:G1022"/>
    <mergeCell ref="H1021:H1022"/>
    <mergeCell ref="I1021:I1022"/>
    <mergeCell ref="J1021:J1022"/>
    <mergeCell ref="B1023:B1024"/>
    <mergeCell ref="C1023:C1024"/>
    <mergeCell ref="D1023:D1024"/>
    <mergeCell ref="E1023:E1024"/>
    <mergeCell ref="G1023:G1024"/>
    <mergeCell ref="H1023:H1024"/>
    <mergeCell ref="I1023:I1024"/>
    <mergeCell ref="J1023:J1024"/>
    <mergeCell ref="B1025:B1026"/>
    <mergeCell ref="C1025:C1026"/>
    <mergeCell ref="D1025:D1026"/>
    <mergeCell ref="E1025:E1026"/>
    <mergeCell ref="G1025:G1026"/>
    <mergeCell ref="H1025:H1026"/>
    <mergeCell ref="I1025:I1026"/>
    <mergeCell ref="J1025:J1026"/>
    <mergeCell ref="B1027:B1028"/>
    <mergeCell ref="C1027:C1028"/>
    <mergeCell ref="D1027:D1028"/>
    <mergeCell ref="E1027:E1028"/>
    <mergeCell ref="G1027:G1028"/>
    <mergeCell ref="H1027:H1028"/>
    <mergeCell ref="I1027:I1028"/>
    <mergeCell ref="J1027:J1028"/>
    <mergeCell ref="B1029:B1030"/>
    <mergeCell ref="C1029:C1030"/>
    <mergeCell ref="D1029:D1030"/>
    <mergeCell ref="E1029:E1030"/>
    <mergeCell ref="G1029:G1030"/>
    <mergeCell ref="H1029:H1030"/>
    <mergeCell ref="I1029:I1030"/>
    <mergeCell ref="J1029:J1030"/>
    <mergeCell ref="B1031:B1032"/>
    <mergeCell ref="C1031:C1032"/>
    <mergeCell ref="D1031:D1032"/>
    <mergeCell ref="E1031:E1032"/>
    <mergeCell ref="G1031:G1032"/>
    <mergeCell ref="H1031:H1032"/>
    <mergeCell ref="I1031:I1032"/>
    <mergeCell ref="J1031:J1032"/>
    <mergeCell ref="B1033:B1034"/>
    <mergeCell ref="C1033:C1034"/>
    <mergeCell ref="D1033:D1034"/>
    <mergeCell ref="E1033:E1034"/>
    <mergeCell ref="G1033:G1034"/>
    <mergeCell ref="H1033:H1034"/>
    <mergeCell ref="I1033:I1034"/>
    <mergeCell ref="J1033:J1034"/>
    <mergeCell ref="B1035:B1036"/>
    <mergeCell ref="C1035:C1036"/>
    <mergeCell ref="D1035:D1036"/>
    <mergeCell ref="E1035:E1036"/>
    <mergeCell ref="G1035:G1036"/>
    <mergeCell ref="H1035:H1036"/>
    <mergeCell ref="I1035:I1036"/>
    <mergeCell ref="J1035:J1036"/>
    <mergeCell ref="B1037:B1038"/>
    <mergeCell ref="C1037:C1038"/>
    <mergeCell ref="D1037:D1038"/>
    <mergeCell ref="E1037:E1038"/>
    <mergeCell ref="G1037:G1038"/>
    <mergeCell ref="H1037:H1038"/>
    <mergeCell ref="I1037:I1038"/>
    <mergeCell ref="J1037:J1038"/>
    <mergeCell ref="B1039:B1040"/>
    <mergeCell ref="C1039:C1040"/>
    <mergeCell ref="D1039:D1040"/>
    <mergeCell ref="E1039:E1040"/>
    <mergeCell ref="G1039:G1040"/>
    <mergeCell ref="H1039:H1040"/>
    <mergeCell ref="I1039:I1040"/>
    <mergeCell ref="J1039:J1040"/>
    <mergeCell ref="B1041:B1042"/>
    <mergeCell ref="C1041:C1042"/>
    <mergeCell ref="D1041:D1042"/>
    <mergeCell ref="E1041:E1042"/>
    <mergeCell ref="G1041:G1042"/>
    <mergeCell ref="H1041:H1042"/>
    <mergeCell ref="I1041:I1042"/>
    <mergeCell ref="J1041:J1042"/>
    <mergeCell ref="B1043:B1044"/>
    <mergeCell ref="C1043:C1044"/>
    <mergeCell ref="D1043:D1044"/>
    <mergeCell ref="E1043:E1044"/>
    <mergeCell ref="G1043:G1044"/>
    <mergeCell ref="H1043:H1044"/>
    <mergeCell ref="I1043:I1044"/>
    <mergeCell ref="J1043:J1044"/>
    <mergeCell ref="B1045:B1046"/>
    <mergeCell ref="C1045:C1046"/>
    <mergeCell ref="D1045:D1046"/>
    <mergeCell ref="E1045:E1046"/>
    <mergeCell ref="G1045:G1046"/>
    <mergeCell ref="H1045:H1046"/>
    <mergeCell ref="I1045:I1046"/>
    <mergeCell ref="J1045:J1046"/>
    <mergeCell ref="B1047:B1048"/>
    <mergeCell ref="C1047:C1048"/>
    <mergeCell ref="D1047:D1048"/>
    <mergeCell ref="E1047:E1048"/>
    <mergeCell ref="G1047:G1048"/>
    <mergeCell ref="H1047:H1048"/>
    <mergeCell ref="I1047:I1048"/>
    <mergeCell ref="J1047:J1048"/>
    <mergeCell ref="B1049:B1050"/>
    <mergeCell ref="C1049:C1050"/>
    <mergeCell ref="D1049:D1050"/>
    <mergeCell ref="E1049:E1050"/>
    <mergeCell ref="G1049:G1050"/>
    <mergeCell ref="H1049:H1050"/>
    <mergeCell ref="I1049:I1050"/>
    <mergeCell ref="J1049:J1050"/>
    <mergeCell ref="B1051:B1052"/>
    <mergeCell ref="C1051:C1052"/>
    <mergeCell ref="D1051:D1052"/>
    <mergeCell ref="E1051:E1052"/>
    <mergeCell ref="G1051:G1052"/>
    <mergeCell ref="H1051:H1052"/>
    <mergeCell ref="I1051:I1052"/>
    <mergeCell ref="J1051:J1052"/>
    <mergeCell ref="B1053:B1054"/>
    <mergeCell ref="C1053:C1054"/>
    <mergeCell ref="D1053:D1054"/>
    <mergeCell ref="E1053:E1054"/>
    <mergeCell ref="G1053:G1054"/>
    <mergeCell ref="H1053:H1054"/>
    <mergeCell ref="I1053:I1054"/>
    <mergeCell ref="J1053:J1054"/>
    <mergeCell ref="B1055:B1056"/>
    <mergeCell ref="C1055:C1056"/>
    <mergeCell ref="D1055:D1056"/>
    <mergeCell ref="E1055:E1056"/>
    <mergeCell ref="G1055:G1056"/>
    <mergeCell ref="H1055:H1056"/>
    <mergeCell ref="I1055:I1056"/>
    <mergeCell ref="J1055:J1056"/>
    <mergeCell ref="B1057:B1058"/>
    <mergeCell ref="C1057:C1058"/>
    <mergeCell ref="D1057:D1058"/>
    <mergeCell ref="E1057:E1058"/>
    <mergeCell ref="G1057:G1058"/>
    <mergeCell ref="H1057:H1058"/>
    <mergeCell ref="I1057:I1058"/>
    <mergeCell ref="J1057:J1058"/>
    <mergeCell ref="B1059:B1060"/>
    <mergeCell ref="C1059:C1060"/>
    <mergeCell ref="D1059:D1060"/>
    <mergeCell ref="E1059:E1060"/>
    <mergeCell ref="G1059:G1060"/>
    <mergeCell ref="H1059:H1060"/>
    <mergeCell ref="I1059:I1060"/>
    <mergeCell ref="J1059:J1060"/>
    <mergeCell ref="B1061:B1062"/>
    <mergeCell ref="C1061:C1062"/>
    <mergeCell ref="D1061:D1062"/>
    <mergeCell ref="E1061:E1062"/>
    <mergeCell ref="G1061:G1062"/>
    <mergeCell ref="H1061:H1062"/>
    <mergeCell ref="I1061:I1062"/>
    <mergeCell ref="J1061:J1062"/>
    <mergeCell ref="B1063:B1064"/>
    <mergeCell ref="C1063:C1064"/>
    <mergeCell ref="D1063:D1064"/>
    <mergeCell ref="E1063:E1064"/>
    <mergeCell ref="G1063:G1064"/>
    <mergeCell ref="H1063:H1064"/>
    <mergeCell ref="I1063:I1064"/>
    <mergeCell ref="J1063:J1064"/>
    <mergeCell ref="B1065:B1066"/>
    <mergeCell ref="C1065:C1066"/>
    <mergeCell ref="D1065:D1066"/>
    <mergeCell ref="E1065:E1066"/>
    <mergeCell ref="G1065:G1066"/>
    <mergeCell ref="H1065:H1066"/>
    <mergeCell ref="I1065:I1066"/>
    <mergeCell ref="J1065:J1066"/>
    <mergeCell ref="B1067:B1068"/>
    <mergeCell ref="C1067:C1068"/>
    <mergeCell ref="D1067:D1068"/>
    <mergeCell ref="E1067:E1068"/>
    <mergeCell ref="G1067:G1068"/>
    <mergeCell ref="H1067:H1068"/>
    <mergeCell ref="I1067:I1068"/>
    <mergeCell ref="J1067:J1068"/>
    <mergeCell ref="B1069:B1070"/>
    <mergeCell ref="C1069:C1070"/>
    <mergeCell ref="D1069:D1070"/>
    <mergeCell ref="E1069:E1070"/>
    <mergeCell ref="G1069:G1070"/>
    <mergeCell ref="H1069:H1070"/>
    <mergeCell ref="I1069:I1070"/>
    <mergeCell ref="J1069:J1070"/>
    <mergeCell ref="B1071:B1072"/>
    <mergeCell ref="C1071:C1072"/>
    <mergeCell ref="D1071:D1072"/>
    <mergeCell ref="E1071:E1072"/>
    <mergeCell ref="G1071:G1072"/>
    <mergeCell ref="H1071:H1072"/>
    <mergeCell ref="I1071:I1072"/>
    <mergeCell ref="J1071:J1072"/>
    <mergeCell ref="B1073:B1074"/>
    <mergeCell ref="C1073:C1074"/>
    <mergeCell ref="D1073:D1074"/>
    <mergeCell ref="E1073:E1074"/>
    <mergeCell ref="G1073:G1074"/>
    <mergeCell ref="H1073:H1074"/>
    <mergeCell ref="I1073:I1074"/>
    <mergeCell ref="J1073:J1074"/>
    <mergeCell ref="B1075:B1076"/>
    <mergeCell ref="C1075:C1076"/>
    <mergeCell ref="D1075:D1076"/>
    <mergeCell ref="E1075:E1076"/>
    <mergeCell ref="G1075:G1076"/>
    <mergeCell ref="H1075:H1076"/>
    <mergeCell ref="I1075:I1076"/>
    <mergeCell ref="J1075:J1076"/>
    <mergeCell ref="B1077:B1078"/>
    <mergeCell ref="C1077:C1078"/>
    <mergeCell ref="D1077:D1078"/>
    <mergeCell ref="E1077:E1078"/>
    <mergeCell ref="G1077:G1078"/>
    <mergeCell ref="H1077:H1078"/>
    <mergeCell ref="I1077:I1078"/>
    <mergeCell ref="J1077:J1078"/>
    <mergeCell ref="B1079:B1080"/>
    <mergeCell ref="C1079:C1080"/>
    <mergeCell ref="D1079:D1080"/>
    <mergeCell ref="E1079:E1080"/>
    <mergeCell ref="G1079:G1080"/>
    <mergeCell ref="H1079:H1080"/>
    <mergeCell ref="I1079:I1080"/>
    <mergeCell ref="J1079:J1080"/>
    <mergeCell ref="B1081:B1082"/>
    <mergeCell ref="C1081:C1082"/>
    <mergeCell ref="D1081:D1082"/>
    <mergeCell ref="E1081:E1082"/>
    <mergeCell ref="G1081:G1082"/>
    <mergeCell ref="H1081:H1082"/>
    <mergeCell ref="I1081:I1082"/>
    <mergeCell ref="J1081:J1082"/>
    <mergeCell ref="B1083:B1084"/>
    <mergeCell ref="C1083:C1084"/>
    <mergeCell ref="D1083:D1084"/>
    <mergeCell ref="E1083:E1084"/>
    <mergeCell ref="G1083:G1084"/>
    <mergeCell ref="H1083:H1084"/>
    <mergeCell ref="I1083:I1084"/>
    <mergeCell ref="J1083:J1084"/>
    <mergeCell ref="B1085:B1086"/>
    <mergeCell ref="C1085:C1086"/>
    <mergeCell ref="D1085:D1086"/>
    <mergeCell ref="E1085:E1086"/>
    <mergeCell ref="G1085:G1086"/>
    <mergeCell ref="H1085:H1086"/>
    <mergeCell ref="I1085:I1086"/>
    <mergeCell ref="J1085:J1086"/>
    <mergeCell ref="B1087:B1088"/>
    <mergeCell ref="C1087:C1088"/>
    <mergeCell ref="D1087:D1088"/>
    <mergeCell ref="E1087:E1088"/>
    <mergeCell ref="G1087:G1088"/>
    <mergeCell ref="H1087:H1088"/>
    <mergeCell ref="I1087:I1088"/>
    <mergeCell ref="J1087:J1088"/>
    <mergeCell ref="B1089:B1090"/>
    <mergeCell ref="C1089:C1090"/>
    <mergeCell ref="D1089:D1090"/>
    <mergeCell ref="E1089:E1090"/>
    <mergeCell ref="G1089:G1090"/>
    <mergeCell ref="H1089:H1090"/>
    <mergeCell ref="I1089:I1090"/>
    <mergeCell ref="J1089:J1090"/>
    <mergeCell ref="B1091:B1092"/>
    <mergeCell ref="C1091:C1092"/>
    <mergeCell ref="D1091:D1092"/>
    <mergeCell ref="E1091:E1092"/>
    <mergeCell ref="G1091:G1092"/>
    <mergeCell ref="H1091:H1092"/>
    <mergeCell ref="I1091:I1092"/>
    <mergeCell ref="J1091:J1092"/>
    <mergeCell ref="B1093:B1094"/>
    <mergeCell ref="C1093:C1094"/>
    <mergeCell ref="D1093:D1094"/>
    <mergeCell ref="E1093:E1094"/>
    <mergeCell ref="G1093:G1094"/>
    <mergeCell ref="H1093:H1094"/>
    <mergeCell ref="I1093:I1094"/>
    <mergeCell ref="J1093:J1094"/>
    <mergeCell ref="B1095:B1096"/>
    <mergeCell ref="C1095:C1096"/>
    <mergeCell ref="D1095:D1096"/>
    <mergeCell ref="E1095:E1096"/>
    <mergeCell ref="G1095:G1096"/>
    <mergeCell ref="H1095:H1096"/>
    <mergeCell ref="I1095:I1096"/>
    <mergeCell ref="J1095:J1096"/>
    <mergeCell ref="B1097:B1098"/>
    <mergeCell ref="C1097:C1098"/>
    <mergeCell ref="D1097:D1098"/>
    <mergeCell ref="E1097:E1098"/>
    <mergeCell ref="G1097:G1098"/>
    <mergeCell ref="H1097:H1098"/>
    <mergeCell ref="I1097:I1098"/>
    <mergeCell ref="J1097:J1098"/>
    <mergeCell ref="B1099:B1100"/>
    <mergeCell ref="C1099:C1100"/>
    <mergeCell ref="D1099:D1100"/>
    <mergeCell ref="E1099:E1100"/>
    <mergeCell ref="G1099:G1100"/>
    <mergeCell ref="H1099:H1100"/>
    <mergeCell ref="I1099:I1100"/>
    <mergeCell ref="J1099:J1100"/>
    <mergeCell ref="B1101:B1102"/>
    <mergeCell ref="C1101:C1102"/>
    <mergeCell ref="D1101:D1102"/>
    <mergeCell ref="E1101:E1102"/>
    <mergeCell ref="G1101:G1102"/>
    <mergeCell ref="H1101:H1102"/>
    <mergeCell ref="I1101:I1102"/>
    <mergeCell ref="J1101:J1102"/>
    <mergeCell ref="B1103:B1104"/>
    <mergeCell ref="C1103:C1104"/>
    <mergeCell ref="D1103:D1104"/>
    <mergeCell ref="E1103:E1104"/>
    <mergeCell ref="G1103:G1104"/>
    <mergeCell ref="H1103:H1104"/>
    <mergeCell ref="I1103:I1104"/>
    <mergeCell ref="J1103:J1104"/>
    <mergeCell ref="B1105:B1106"/>
    <mergeCell ref="C1105:C1106"/>
    <mergeCell ref="D1105:D1106"/>
    <mergeCell ref="E1105:E1106"/>
    <mergeCell ref="G1105:G1106"/>
    <mergeCell ref="H1105:H1106"/>
    <mergeCell ref="I1105:I1106"/>
    <mergeCell ref="J1105:J1106"/>
    <mergeCell ref="B1107:B1108"/>
    <mergeCell ref="C1107:C1108"/>
    <mergeCell ref="D1107:D1108"/>
    <mergeCell ref="E1107:E1108"/>
    <mergeCell ref="G1107:G1108"/>
    <mergeCell ref="H1107:H1108"/>
    <mergeCell ref="I1107:I1108"/>
    <mergeCell ref="J1107:J1108"/>
    <mergeCell ref="B1109:B1110"/>
    <mergeCell ref="C1109:C1110"/>
    <mergeCell ref="D1109:D1110"/>
    <mergeCell ref="E1109:E1110"/>
    <mergeCell ref="G1109:G1110"/>
    <mergeCell ref="H1109:H1110"/>
    <mergeCell ref="I1109:I1110"/>
    <mergeCell ref="J1109:J1110"/>
    <mergeCell ref="B1111:B1112"/>
    <mergeCell ref="C1111:C1112"/>
    <mergeCell ref="D1111:D1112"/>
    <mergeCell ref="E1111:E1112"/>
    <mergeCell ref="G1111:G1112"/>
    <mergeCell ref="H1111:H1112"/>
    <mergeCell ref="I1111:I1112"/>
    <mergeCell ref="J1111:J1112"/>
    <mergeCell ref="B1113:B1114"/>
    <mergeCell ref="C1113:C1114"/>
    <mergeCell ref="D1113:D1114"/>
    <mergeCell ref="E1113:E1114"/>
    <mergeCell ref="G1113:G1114"/>
    <mergeCell ref="H1113:H1114"/>
    <mergeCell ref="I1113:I1114"/>
    <mergeCell ref="J1113:J1114"/>
    <mergeCell ref="B1115:B1116"/>
    <mergeCell ref="C1115:C1116"/>
    <mergeCell ref="D1115:D1116"/>
    <mergeCell ref="E1115:E1116"/>
    <mergeCell ref="G1115:G1116"/>
    <mergeCell ref="H1115:H1116"/>
    <mergeCell ref="I1115:I1116"/>
    <mergeCell ref="J1115:J1116"/>
    <mergeCell ref="B1117:B1118"/>
    <mergeCell ref="C1117:C1118"/>
    <mergeCell ref="D1117:D1118"/>
    <mergeCell ref="E1117:E1118"/>
    <mergeCell ref="G1117:G1118"/>
    <mergeCell ref="H1117:H1118"/>
    <mergeCell ref="I1117:I1118"/>
    <mergeCell ref="J1117:J1118"/>
    <mergeCell ref="B1119:B1120"/>
    <mergeCell ref="C1119:C1120"/>
    <mergeCell ref="D1119:D1120"/>
    <mergeCell ref="E1119:E1120"/>
    <mergeCell ref="G1119:G1120"/>
    <mergeCell ref="H1119:H1120"/>
    <mergeCell ref="I1119:I1120"/>
    <mergeCell ref="J1119:J1120"/>
    <mergeCell ref="B1121:B1122"/>
    <mergeCell ref="C1121:C1122"/>
    <mergeCell ref="D1121:D1122"/>
    <mergeCell ref="E1121:E1122"/>
    <mergeCell ref="G1121:G1122"/>
    <mergeCell ref="H1121:H1122"/>
    <mergeCell ref="I1121:I1122"/>
    <mergeCell ref="J1121:J1122"/>
    <mergeCell ref="B1123:B1124"/>
    <mergeCell ref="C1123:C1124"/>
    <mergeCell ref="D1123:D1124"/>
    <mergeCell ref="E1123:E1124"/>
    <mergeCell ref="G1123:G1124"/>
    <mergeCell ref="H1123:H1124"/>
    <mergeCell ref="I1123:I1124"/>
    <mergeCell ref="J1123:J1124"/>
    <mergeCell ref="B1125:B1126"/>
    <mergeCell ref="C1125:C1126"/>
    <mergeCell ref="D1125:D1126"/>
    <mergeCell ref="E1125:E1126"/>
    <mergeCell ref="G1125:G1126"/>
    <mergeCell ref="H1125:H1126"/>
    <mergeCell ref="I1125:I1126"/>
    <mergeCell ref="J1125:J1126"/>
    <mergeCell ref="B1127:B1128"/>
    <mergeCell ref="C1127:C1128"/>
    <mergeCell ref="D1127:D1128"/>
    <mergeCell ref="E1127:E1128"/>
    <mergeCell ref="G1127:G1128"/>
    <mergeCell ref="H1127:H1128"/>
    <mergeCell ref="I1127:I1128"/>
    <mergeCell ref="J1127:J1128"/>
    <mergeCell ref="B1129:B1130"/>
    <mergeCell ref="C1129:C1130"/>
    <mergeCell ref="D1129:D1130"/>
    <mergeCell ref="E1129:E1130"/>
    <mergeCell ref="G1129:G1130"/>
    <mergeCell ref="H1129:H1130"/>
    <mergeCell ref="I1129:I1130"/>
    <mergeCell ref="J1129:J1130"/>
    <mergeCell ref="B1131:B1132"/>
    <mergeCell ref="C1131:C1132"/>
    <mergeCell ref="D1131:D1132"/>
    <mergeCell ref="E1131:E1132"/>
    <mergeCell ref="G1131:G1132"/>
    <mergeCell ref="H1131:H1132"/>
    <mergeCell ref="I1131:I1132"/>
    <mergeCell ref="J1131:J1132"/>
    <mergeCell ref="B1133:B1134"/>
    <mergeCell ref="C1133:C1134"/>
    <mergeCell ref="D1133:D1134"/>
    <mergeCell ref="E1133:E1134"/>
    <mergeCell ref="G1133:G1134"/>
    <mergeCell ref="H1133:H1134"/>
    <mergeCell ref="I1133:I1134"/>
    <mergeCell ref="J1133:J1134"/>
    <mergeCell ref="B1135:B1136"/>
    <mergeCell ref="C1135:C1136"/>
    <mergeCell ref="D1135:D1136"/>
    <mergeCell ref="E1135:E1136"/>
    <mergeCell ref="G1135:G1136"/>
    <mergeCell ref="H1135:H1136"/>
    <mergeCell ref="I1135:I1136"/>
    <mergeCell ref="J1135:J1136"/>
    <mergeCell ref="B1137:B1138"/>
    <mergeCell ref="C1137:C1138"/>
    <mergeCell ref="D1137:D1138"/>
    <mergeCell ref="E1137:E1138"/>
    <mergeCell ref="G1137:G1138"/>
    <mergeCell ref="H1137:H1138"/>
    <mergeCell ref="I1137:I1138"/>
    <mergeCell ref="J1137:J1138"/>
    <mergeCell ref="B1139:B1140"/>
    <mergeCell ref="C1139:C1140"/>
    <mergeCell ref="D1139:D1140"/>
    <mergeCell ref="E1139:E1140"/>
    <mergeCell ref="G1139:G1140"/>
    <mergeCell ref="H1139:H1140"/>
    <mergeCell ref="I1139:I1140"/>
    <mergeCell ref="J1139:J1140"/>
    <mergeCell ref="B1141:B1142"/>
    <mergeCell ref="C1141:C1142"/>
    <mergeCell ref="D1141:D1142"/>
    <mergeCell ref="E1141:E1142"/>
    <mergeCell ref="G1141:G1142"/>
    <mergeCell ref="H1141:H1142"/>
    <mergeCell ref="I1141:I1142"/>
    <mergeCell ref="J1141:J1142"/>
    <mergeCell ref="B1143:B1144"/>
    <mergeCell ref="C1143:C1144"/>
    <mergeCell ref="D1143:D1144"/>
    <mergeCell ref="E1143:E1144"/>
    <mergeCell ref="G1143:G1144"/>
    <mergeCell ref="H1143:H1144"/>
    <mergeCell ref="I1143:I1144"/>
    <mergeCell ref="J1143:J1144"/>
    <mergeCell ref="B1145:B1146"/>
    <mergeCell ref="C1145:C1146"/>
    <mergeCell ref="D1145:D1146"/>
    <mergeCell ref="E1145:E1146"/>
    <mergeCell ref="G1145:G1146"/>
    <mergeCell ref="H1145:H1146"/>
    <mergeCell ref="I1145:I1146"/>
    <mergeCell ref="J1145:J1146"/>
    <mergeCell ref="B1147:B1148"/>
    <mergeCell ref="C1147:C1148"/>
    <mergeCell ref="D1147:D1148"/>
    <mergeCell ref="E1147:E1148"/>
    <mergeCell ref="G1147:G1148"/>
    <mergeCell ref="H1147:H1148"/>
    <mergeCell ref="I1147:I1148"/>
    <mergeCell ref="J1147:J1148"/>
    <mergeCell ref="B1149:B1150"/>
    <mergeCell ref="C1149:C1150"/>
    <mergeCell ref="D1149:D1150"/>
    <mergeCell ref="E1149:E1150"/>
    <mergeCell ref="G1149:G1150"/>
    <mergeCell ref="H1149:H1150"/>
    <mergeCell ref="I1149:I1150"/>
    <mergeCell ref="J1149:J1150"/>
    <mergeCell ref="B1151:B1152"/>
    <mergeCell ref="C1151:C1152"/>
    <mergeCell ref="D1151:D1152"/>
    <mergeCell ref="E1151:E1152"/>
    <mergeCell ref="G1151:G1152"/>
    <mergeCell ref="H1151:H1152"/>
    <mergeCell ref="I1151:I1152"/>
    <mergeCell ref="J1151:J1152"/>
    <mergeCell ref="B1153:B1154"/>
    <mergeCell ref="C1153:C1154"/>
    <mergeCell ref="D1153:D1154"/>
    <mergeCell ref="E1153:E1154"/>
    <mergeCell ref="G1153:G1154"/>
    <mergeCell ref="H1153:H1154"/>
    <mergeCell ref="I1153:I1154"/>
    <mergeCell ref="J1153:J1154"/>
    <mergeCell ref="B1155:B1156"/>
    <mergeCell ref="C1155:C1156"/>
    <mergeCell ref="D1155:D1156"/>
    <mergeCell ref="E1155:E1156"/>
    <mergeCell ref="G1155:G1156"/>
    <mergeCell ref="H1155:H1156"/>
    <mergeCell ref="I1155:I1156"/>
    <mergeCell ref="J1155:J1156"/>
    <mergeCell ref="B1157:B1158"/>
    <mergeCell ref="C1157:C1158"/>
    <mergeCell ref="D1157:D1158"/>
    <mergeCell ref="E1157:E1158"/>
    <mergeCell ref="G1157:G1158"/>
    <mergeCell ref="H1157:H1158"/>
    <mergeCell ref="I1157:I1158"/>
    <mergeCell ref="J1157:J1158"/>
    <mergeCell ref="B1159:B1160"/>
    <mergeCell ref="C1159:C1160"/>
    <mergeCell ref="D1159:D1160"/>
    <mergeCell ref="E1159:E1160"/>
    <mergeCell ref="G1159:G1160"/>
    <mergeCell ref="H1159:H1160"/>
    <mergeCell ref="I1159:I1160"/>
    <mergeCell ref="J1159:J1160"/>
    <mergeCell ref="B1161:B1162"/>
    <mergeCell ref="C1161:C1162"/>
    <mergeCell ref="D1161:D1162"/>
    <mergeCell ref="E1161:E1162"/>
    <mergeCell ref="G1161:G1162"/>
    <mergeCell ref="H1161:H1162"/>
    <mergeCell ref="I1161:I1162"/>
    <mergeCell ref="J1161:J1162"/>
    <mergeCell ref="B1163:B1164"/>
    <mergeCell ref="C1163:C1164"/>
    <mergeCell ref="D1163:D1164"/>
    <mergeCell ref="E1163:E1164"/>
    <mergeCell ref="G1163:G1164"/>
    <mergeCell ref="H1163:H1164"/>
    <mergeCell ref="I1163:I1164"/>
    <mergeCell ref="J1163:J1164"/>
    <mergeCell ref="B1165:B1166"/>
    <mergeCell ref="C1165:C1166"/>
    <mergeCell ref="D1165:D1166"/>
    <mergeCell ref="E1165:E1166"/>
    <mergeCell ref="G1165:G1166"/>
    <mergeCell ref="H1165:H1166"/>
    <mergeCell ref="I1165:I1166"/>
    <mergeCell ref="J1165:J1166"/>
    <mergeCell ref="B1167:B1168"/>
    <mergeCell ref="C1167:C1168"/>
    <mergeCell ref="D1167:D1168"/>
    <mergeCell ref="E1167:E1168"/>
    <mergeCell ref="G1167:G1168"/>
    <mergeCell ref="H1167:H1168"/>
    <mergeCell ref="I1167:I1168"/>
    <mergeCell ref="J1167:J1168"/>
    <mergeCell ref="B1169:B1170"/>
    <mergeCell ref="C1169:C1170"/>
    <mergeCell ref="D1169:D1170"/>
    <mergeCell ref="E1169:E1170"/>
    <mergeCell ref="G1169:G1170"/>
    <mergeCell ref="H1169:H1170"/>
    <mergeCell ref="I1169:I1170"/>
    <mergeCell ref="J1169:J1170"/>
    <mergeCell ref="B1171:B1172"/>
    <mergeCell ref="C1171:C1172"/>
    <mergeCell ref="D1171:D1172"/>
    <mergeCell ref="E1171:E1172"/>
    <mergeCell ref="G1171:G1172"/>
    <mergeCell ref="H1171:H1172"/>
    <mergeCell ref="I1171:I1172"/>
    <mergeCell ref="J1171:J1172"/>
    <mergeCell ref="B1173:B1174"/>
    <mergeCell ref="C1173:C1174"/>
    <mergeCell ref="D1173:D1174"/>
    <mergeCell ref="E1173:E1174"/>
    <mergeCell ref="G1173:G1174"/>
    <mergeCell ref="H1173:H1174"/>
    <mergeCell ref="I1173:I1174"/>
    <mergeCell ref="J1173:J1174"/>
    <mergeCell ref="B1175:B1176"/>
    <mergeCell ref="C1175:C1176"/>
    <mergeCell ref="D1175:D1176"/>
    <mergeCell ref="E1175:E1176"/>
    <mergeCell ref="G1175:G1176"/>
    <mergeCell ref="H1175:H1176"/>
    <mergeCell ref="I1175:I1176"/>
    <mergeCell ref="J1175:J1176"/>
    <mergeCell ref="B1177:B1178"/>
    <mergeCell ref="C1177:C1178"/>
    <mergeCell ref="D1177:D1178"/>
    <mergeCell ref="E1177:E1178"/>
    <mergeCell ref="G1177:G1178"/>
    <mergeCell ref="H1177:H1178"/>
    <mergeCell ref="I1177:I1178"/>
    <mergeCell ref="J1177:J1178"/>
    <mergeCell ref="B1179:B1180"/>
    <mergeCell ref="C1179:C1180"/>
    <mergeCell ref="D1179:D1180"/>
    <mergeCell ref="E1179:E1180"/>
    <mergeCell ref="G1179:G1180"/>
    <mergeCell ref="H1179:H1180"/>
    <mergeCell ref="I1179:I1180"/>
    <mergeCell ref="J1179:J1180"/>
    <mergeCell ref="B1181:B1182"/>
    <mergeCell ref="C1181:C1182"/>
    <mergeCell ref="D1181:D1182"/>
    <mergeCell ref="E1181:E1182"/>
    <mergeCell ref="G1181:G1182"/>
    <mergeCell ref="H1181:H1182"/>
    <mergeCell ref="I1181:I1182"/>
    <mergeCell ref="J1181:J1182"/>
    <mergeCell ref="B1183:B1184"/>
    <mergeCell ref="C1183:C1184"/>
    <mergeCell ref="D1183:D1184"/>
    <mergeCell ref="E1183:E1184"/>
    <mergeCell ref="G1183:G1184"/>
    <mergeCell ref="H1183:H1184"/>
    <mergeCell ref="I1183:I1184"/>
    <mergeCell ref="J1183:J1184"/>
    <mergeCell ref="B1185:B1186"/>
    <mergeCell ref="C1185:C1186"/>
    <mergeCell ref="D1185:D1186"/>
    <mergeCell ref="E1185:E1186"/>
    <mergeCell ref="G1185:G1186"/>
    <mergeCell ref="H1185:H1186"/>
    <mergeCell ref="I1185:I1186"/>
    <mergeCell ref="J1185:J1186"/>
    <mergeCell ref="B1187:B1188"/>
    <mergeCell ref="C1187:C1188"/>
    <mergeCell ref="D1187:D1188"/>
    <mergeCell ref="E1187:E1188"/>
    <mergeCell ref="G1187:G1188"/>
    <mergeCell ref="H1187:H1188"/>
    <mergeCell ref="I1187:I1188"/>
    <mergeCell ref="J1187:J1188"/>
    <mergeCell ref="B1189:B1190"/>
    <mergeCell ref="C1189:C1190"/>
    <mergeCell ref="D1189:D1190"/>
    <mergeCell ref="E1189:E1190"/>
    <mergeCell ref="G1189:G1190"/>
    <mergeCell ref="H1189:H1190"/>
    <mergeCell ref="I1189:I1190"/>
    <mergeCell ref="J1189:J1190"/>
    <mergeCell ref="B1191:B1192"/>
    <mergeCell ref="C1191:C1192"/>
    <mergeCell ref="D1191:D1192"/>
    <mergeCell ref="E1191:E1192"/>
    <mergeCell ref="G1191:G1192"/>
    <mergeCell ref="H1191:H1192"/>
    <mergeCell ref="I1191:I1192"/>
    <mergeCell ref="J1191:J1192"/>
    <mergeCell ref="B1193:B1194"/>
    <mergeCell ref="C1193:C1194"/>
    <mergeCell ref="D1193:D1194"/>
    <mergeCell ref="E1193:E1194"/>
    <mergeCell ref="G1193:G1194"/>
    <mergeCell ref="H1193:H1194"/>
    <mergeCell ref="I1193:I1194"/>
    <mergeCell ref="J1193:J1194"/>
    <mergeCell ref="B1195:B1196"/>
    <mergeCell ref="C1195:C1196"/>
    <mergeCell ref="D1195:D1196"/>
    <mergeCell ref="E1195:E1196"/>
    <mergeCell ref="G1195:G1196"/>
    <mergeCell ref="H1195:H1196"/>
    <mergeCell ref="I1195:I1196"/>
    <mergeCell ref="J1195:J1196"/>
    <mergeCell ref="B1197:B1198"/>
    <mergeCell ref="C1197:C1198"/>
    <mergeCell ref="D1197:D1198"/>
    <mergeCell ref="E1197:E1198"/>
    <mergeCell ref="G1197:G1198"/>
    <mergeCell ref="H1197:H1198"/>
    <mergeCell ref="I1197:I1198"/>
    <mergeCell ref="J1197:J1198"/>
    <mergeCell ref="B1199:B1200"/>
    <mergeCell ref="C1199:C1200"/>
    <mergeCell ref="D1199:D1200"/>
    <mergeCell ref="E1199:E1200"/>
    <mergeCell ref="G1199:G1200"/>
    <mergeCell ref="H1199:H1200"/>
    <mergeCell ref="I1199:I1200"/>
    <mergeCell ref="J1199:J1200"/>
    <mergeCell ref="B1201:B1202"/>
    <mergeCell ref="C1201:C1202"/>
    <mergeCell ref="D1201:D1202"/>
    <mergeCell ref="E1201:E1202"/>
    <mergeCell ref="G1201:G1202"/>
    <mergeCell ref="H1201:H1202"/>
    <mergeCell ref="I1201:I1202"/>
    <mergeCell ref="J1201:J1202"/>
    <mergeCell ref="B1203:B1204"/>
    <mergeCell ref="C1203:C1204"/>
    <mergeCell ref="D1203:D1204"/>
    <mergeCell ref="E1203:E1204"/>
    <mergeCell ref="G1203:G1204"/>
    <mergeCell ref="H1203:H1204"/>
    <mergeCell ref="I1203:I1204"/>
    <mergeCell ref="J1203:J1204"/>
    <mergeCell ref="B1205:B1206"/>
    <mergeCell ref="C1205:C1206"/>
    <mergeCell ref="D1205:D1206"/>
    <mergeCell ref="E1205:E1206"/>
    <mergeCell ref="G1205:G1206"/>
    <mergeCell ref="H1205:H1206"/>
    <mergeCell ref="I1205:I1206"/>
    <mergeCell ref="J1205:J1206"/>
    <mergeCell ref="B1207:B1208"/>
    <mergeCell ref="C1207:C1208"/>
    <mergeCell ref="D1207:D1208"/>
    <mergeCell ref="E1207:E1208"/>
    <mergeCell ref="G1207:G1208"/>
    <mergeCell ref="H1207:H1208"/>
    <mergeCell ref="I1207:I1208"/>
    <mergeCell ref="J1207:J1208"/>
    <mergeCell ref="B1209:B1210"/>
    <mergeCell ref="C1209:C1210"/>
    <mergeCell ref="D1209:D1210"/>
    <mergeCell ref="E1209:E1210"/>
    <mergeCell ref="G1209:G1210"/>
    <mergeCell ref="H1209:H1210"/>
    <mergeCell ref="I1209:I1210"/>
    <mergeCell ref="J1209:J1210"/>
    <mergeCell ref="B1211:B1212"/>
    <mergeCell ref="C1211:C1212"/>
    <mergeCell ref="D1211:D1212"/>
    <mergeCell ref="E1211:E1212"/>
    <mergeCell ref="G1211:G1212"/>
    <mergeCell ref="H1211:H1212"/>
    <mergeCell ref="I1211:I1212"/>
    <mergeCell ref="J1211:J1212"/>
    <mergeCell ref="B1213:B1214"/>
    <mergeCell ref="C1213:C1214"/>
    <mergeCell ref="D1213:D1214"/>
    <mergeCell ref="E1213:E1214"/>
    <mergeCell ref="G1213:G1214"/>
    <mergeCell ref="H1213:H1214"/>
    <mergeCell ref="I1213:I1214"/>
    <mergeCell ref="J1213:J1214"/>
    <mergeCell ref="B1215:B1216"/>
    <mergeCell ref="C1215:C1216"/>
    <mergeCell ref="D1215:D1216"/>
    <mergeCell ref="E1215:E1216"/>
    <mergeCell ref="G1215:G1216"/>
    <mergeCell ref="H1215:H1216"/>
    <mergeCell ref="I1215:I1216"/>
    <mergeCell ref="J1215:J1216"/>
    <mergeCell ref="B1217:B1218"/>
    <mergeCell ref="C1217:C1218"/>
    <mergeCell ref="D1217:D1218"/>
    <mergeCell ref="E1217:E1218"/>
    <mergeCell ref="G1217:G1218"/>
    <mergeCell ref="H1217:H1218"/>
    <mergeCell ref="I1217:I1218"/>
    <mergeCell ref="J1217:J1218"/>
    <mergeCell ref="B1219:B1220"/>
    <mergeCell ref="C1219:C1220"/>
    <mergeCell ref="D1219:D1220"/>
    <mergeCell ref="E1219:E1220"/>
    <mergeCell ref="G1219:G1220"/>
    <mergeCell ref="H1219:H1220"/>
    <mergeCell ref="I1219:I1220"/>
    <mergeCell ref="J1219:J1220"/>
    <mergeCell ref="B1221:B1222"/>
    <mergeCell ref="C1221:C1222"/>
    <mergeCell ref="D1221:D1222"/>
    <mergeCell ref="E1221:E1222"/>
    <mergeCell ref="G1221:G1222"/>
    <mergeCell ref="H1221:H1222"/>
    <mergeCell ref="I1221:I1222"/>
    <mergeCell ref="J1221:J1222"/>
    <mergeCell ref="B1223:B1224"/>
    <mergeCell ref="C1223:C1224"/>
    <mergeCell ref="D1223:D1224"/>
    <mergeCell ref="E1223:E1224"/>
    <mergeCell ref="G1223:G1224"/>
    <mergeCell ref="H1223:H1224"/>
    <mergeCell ref="I1223:I1224"/>
    <mergeCell ref="J1223:J1224"/>
    <mergeCell ref="B1225:B1226"/>
    <mergeCell ref="C1225:C1226"/>
    <mergeCell ref="D1225:D1226"/>
    <mergeCell ref="E1225:E1226"/>
    <mergeCell ref="G1225:G1226"/>
    <mergeCell ref="H1225:H1226"/>
    <mergeCell ref="I1225:I1226"/>
    <mergeCell ref="J1225:J1226"/>
    <mergeCell ref="B1227:B1228"/>
    <mergeCell ref="C1227:C1228"/>
    <mergeCell ref="D1227:D1228"/>
    <mergeCell ref="E1227:E1228"/>
    <mergeCell ref="G1227:G1228"/>
    <mergeCell ref="H1227:H1228"/>
    <mergeCell ref="I1227:I1228"/>
    <mergeCell ref="J1227:J1228"/>
    <mergeCell ref="B1229:B1230"/>
    <mergeCell ref="C1229:C1230"/>
    <mergeCell ref="D1229:D1230"/>
    <mergeCell ref="E1229:E1230"/>
    <mergeCell ref="G1229:G1230"/>
    <mergeCell ref="H1229:H1230"/>
    <mergeCell ref="I1229:I1230"/>
    <mergeCell ref="J1229:J1230"/>
    <mergeCell ref="B1231:B1232"/>
    <mergeCell ref="C1231:C1232"/>
    <mergeCell ref="D1231:D1232"/>
    <mergeCell ref="E1231:E1232"/>
    <mergeCell ref="G1231:G1232"/>
    <mergeCell ref="H1231:H1232"/>
    <mergeCell ref="I1231:I1232"/>
    <mergeCell ref="J1231:J1232"/>
    <mergeCell ref="B1233:B1234"/>
    <mergeCell ref="C1233:C1234"/>
    <mergeCell ref="D1233:D1234"/>
    <mergeCell ref="E1233:E1234"/>
    <mergeCell ref="G1233:G1234"/>
    <mergeCell ref="H1233:H1234"/>
    <mergeCell ref="I1233:I1234"/>
    <mergeCell ref="J1233:J1234"/>
    <mergeCell ref="B1235:B1236"/>
    <mergeCell ref="C1235:C1236"/>
    <mergeCell ref="D1235:D1236"/>
    <mergeCell ref="E1235:E1236"/>
    <mergeCell ref="G1235:G1236"/>
    <mergeCell ref="H1235:H1236"/>
    <mergeCell ref="I1235:I1236"/>
    <mergeCell ref="J1235:J1236"/>
    <mergeCell ref="B1237:B1238"/>
    <mergeCell ref="C1237:C1238"/>
    <mergeCell ref="D1237:D1238"/>
    <mergeCell ref="E1237:E1238"/>
    <mergeCell ref="G1237:G1238"/>
    <mergeCell ref="H1237:H1238"/>
    <mergeCell ref="I1237:I1238"/>
    <mergeCell ref="J1237:J1238"/>
    <mergeCell ref="B1239:B1240"/>
    <mergeCell ref="C1239:C1240"/>
    <mergeCell ref="D1239:D1240"/>
    <mergeCell ref="E1239:E1240"/>
    <mergeCell ref="G1239:G1240"/>
    <mergeCell ref="H1239:H1240"/>
    <mergeCell ref="I1239:I1240"/>
    <mergeCell ref="J1239:J1240"/>
    <mergeCell ref="B1241:B1242"/>
    <mergeCell ref="C1241:C1242"/>
    <mergeCell ref="D1241:D1242"/>
    <mergeCell ref="E1241:E1242"/>
    <mergeCell ref="G1241:G1242"/>
    <mergeCell ref="H1241:H1242"/>
    <mergeCell ref="I1241:I1242"/>
    <mergeCell ref="J1241:J1242"/>
    <mergeCell ref="B1243:B1244"/>
    <mergeCell ref="C1243:C1244"/>
    <mergeCell ref="D1243:D1244"/>
    <mergeCell ref="E1243:E1244"/>
    <mergeCell ref="G1243:G1244"/>
    <mergeCell ref="H1243:H1244"/>
    <mergeCell ref="I1243:I1244"/>
    <mergeCell ref="J1243:J1244"/>
    <mergeCell ref="B1245:B1246"/>
    <mergeCell ref="C1245:C1246"/>
    <mergeCell ref="D1245:D1246"/>
    <mergeCell ref="E1245:E1246"/>
    <mergeCell ref="G1245:G1246"/>
    <mergeCell ref="H1245:H1246"/>
    <mergeCell ref="I1245:I1246"/>
    <mergeCell ref="J1245:J1246"/>
    <mergeCell ref="B1247:B1248"/>
    <mergeCell ref="C1247:C1248"/>
    <mergeCell ref="D1247:D1248"/>
    <mergeCell ref="E1247:E1248"/>
    <mergeCell ref="G1247:G1248"/>
    <mergeCell ref="H1247:H1248"/>
    <mergeCell ref="I1247:I1248"/>
    <mergeCell ref="J1247:J1248"/>
    <mergeCell ref="B1249:B1250"/>
    <mergeCell ref="C1249:C1250"/>
    <mergeCell ref="D1249:D1250"/>
    <mergeCell ref="E1249:E1250"/>
    <mergeCell ref="G1249:G1250"/>
    <mergeCell ref="H1249:H1250"/>
    <mergeCell ref="I1249:I1250"/>
    <mergeCell ref="J1249:J1250"/>
    <mergeCell ref="B1251:B1252"/>
    <mergeCell ref="C1251:C1252"/>
    <mergeCell ref="D1251:D1252"/>
    <mergeCell ref="E1251:E1252"/>
    <mergeCell ref="G1251:G1252"/>
    <mergeCell ref="H1251:H1252"/>
    <mergeCell ref="I1251:I1252"/>
    <mergeCell ref="J1251:J1252"/>
    <mergeCell ref="B1253:B1254"/>
    <mergeCell ref="C1253:C1254"/>
    <mergeCell ref="D1253:D1254"/>
    <mergeCell ref="E1253:E1254"/>
    <mergeCell ref="G1253:G1254"/>
    <mergeCell ref="H1253:H1254"/>
    <mergeCell ref="I1253:I1254"/>
    <mergeCell ref="J1253:J1254"/>
    <mergeCell ref="B1255:B1256"/>
    <mergeCell ref="C1255:C1256"/>
    <mergeCell ref="D1255:D1256"/>
    <mergeCell ref="E1255:E1256"/>
    <mergeCell ref="G1255:G1256"/>
    <mergeCell ref="H1255:H1256"/>
    <mergeCell ref="I1255:I1256"/>
    <mergeCell ref="J1255:J1256"/>
    <mergeCell ref="B1257:B1258"/>
    <mergeCell ref="C1257:C1258"/>
    <mergeCell ref="D1257:D1258"/>
    <mergeCell ref="E1257:E1258"/>
    <mergeCell ref="G1257:G1258"/>
    <mergeCell ref="H1257:H1258"/>
    <mergeCell ref="I1257:I1258"/>
    <mergeCell ref="J1257:J1258"/>
    <mergeCell ref="B1259:B1260"/>
    <mergeCell ref="C1259:C1260"/>
    <mergeCell ref="D1259:D1260"/>
    <mergeCell ref="E1259:E1260"/>
    <mergeCell ref="G1259:G1260"/>
    <mergeCell ref="H1259:H1260"/>
    <mergeCell ref="I1259:I1260"/>
    <mergeCell ref="J1259:J1260"/>
    <mergeCell ref="B1261:B1262"/>
    <mergeCell ref="C1261:C1262"/>
    <mergeCell ref="D1261:D1262"/>
    <mergeCell ref="E1261:E1262"/>
    <mergeCell ref="G1261:G1262"/>
    <mergeCell ref="H1261:H1262"/>
    <mergeCell ref="I1261:I1262"/>
    <mergeCell ref="J1261:J1262"/>
    <mergeCell ref="B1263:B1264"/>
    <mergeCell ref="C1263:C1264"/>
    <mergeCell ref="D1263:D1264"/>
    <mergeCell ref="E1263:E1264"/>
    <mergeCell ref="G1263:G1264"/>
    <mergeCell ref="H1263:H1264"/>
    <mergeCell ref="I1263:I1264"/>
    <mergeCell ref="J1263:J1264"/>
    <mergeCell ref="B1265:B1266"/>
    <mergeCell ref="C1265:C1266"/>
    <mergeCell ref="D1265:D1266"/>
    <mergeCell ref="E1265:E1266"/>
    <mergeCell ref="G1265:G1266"/>
    <mergeCell ref="H1265:H1266"/>
    <mergeCell ref="I1265:I1266"/>
    <mergeCell ref="J1265:J1266"/>
    <mergeCell ref="B1267:B1268"/>
    <mergeCell ref="C1267:C1268"/>
    <mergeCell ref="D1267:D1268"/>
    <mergeCell ref="E1267:E1268"/>
    <mergeCell ref="G1267:G1268"/>
    <mergeCell ref="H1267:H1268"/>
    <mergeCell ref="I1267:I1268"/>
    <mergeCell ref="J1267:J1268"/>
    <mergeCell ref="B1269:B1270"/>
    <mergeCell ref="C1269:C1270"/>
    <mergeCell ref="D1269:D1270"/>
    <mergeCell ref="E1269:E1270"/>
    <mergeCell ref="G1269:G1270"/>
    <mergeCell ref="H1269:H1270"/>
    <mergeCell ref="I1269:I1270"/>
    <mergeCell ref="J1269:J1270"/>
    <mergeCell ref="B1271:B1272"/>
    <mergeCell ref="C1271:C1272"/>
    <mergeCell ref="D1271:D1272"/>
    <mergeCell ref="E1271:E1272"/>
    <mergeCell ref="G1271:G1272"/>
    <mergeCell ref="H1271:H1272"/>
    <mergeCell ref="I1271:I1272"/>
    <mergeCell ref="J1271:J1272"/>
    <mergeCell ref="B1273:B1274"/>
    <mergeCell ref="C1273:C1274"/>
    <mergeCell ref="D1273:D1274"/>
    <mergeCell ref="E1273:E1274"/>
    <mergeCell ref="G1273:G1274"/>
    <mergeCell ref="H1273:H1274"/>
    <mergeCell ref="I1273:I1274"/>
    <mergeCell ref="J1273:J1274"/>
    <mergeCell ref="B1275:B1276"/>
    <mergeCell ref="C1275:C1276"/>
    <mergeCell ref="D1275:D1276"/>
    <mergeCell ref="E1275:E1276"/>
    <mergeCell ref="G1275:G1276"/>
    <mergeCell ref="H1275:H1276"/>
    <mergeCell ref="I1275:I1276"/>
    <mergeCell ref="J1275:J1276"/>
    <mergeCell ref="B1277:B1278"/>
    <mergeCell ref="C1277:C1278"/>
    <mergeCell ref="D1277:D1278"/>
    <mergeCell ref="E1277:E1278"/>
    <mergeCell ref="G1277:G1278"/>
    <mergeCell ref="H1277:H1278"/>
    <mergeCell ref="I1277:I1278"/>
    <mergeCell ref="J1277:J1278"/>
    <mergeCell ref="B1279:B1280"/>
    <mergeCell ref="C1279:C1280"/>
    <mergeCell ref="D1279:D1280"/>
    <mergeCell ref="E1279:E1280"/>
    <mergeCell ref="G1279:G1280"/>
    <mergeCell ref="H1279:H1280"/>
    <mergeCell ref="I1279:I1280"/>
    <mergeCell ref="J1279:J1280"/>
    <mergeCell ref="B1281:B1282"/>
    <mergeCell ref="C1281:C1282"/>
    <mergeCell ref="D1281:D1282"/>
    <mergeCell ref="E1281:E1282"/>
    <mergeCell ref="G1281:G1282"/>
    <mergeCell ref="H1281:H1282"/>
    <mergeCell ref="I1281:I1282"/>
    <mergeCell ref="J1281:J1282"/>
    <mergeCell ref="B1283:B1284"/>
    <mergeCell ref="C1283:C1284"/>
    <mergeCell ref="D1283:D1284"/>
    <mergeCell ref="E1283:E1284"/>
    <mergeCell ref="G1283:G1284"/>
    <mergeCell ref="H1283:H1284"/>
    <mergeCell ref="I1283:I1284"/>
    <mergeCell ref="J1283:J1284"/>
    <mergeCell ref="B1285:B1286"/>
    <mergeCell ref="C1285:C1286"/>
    <mergeCell ref="D1285:D1286"/>
    <mergeCell ref="E1285:E1286"/>
    <mergeCell ref="G1285:G1286"/>
    <mergeCell ref="H1285:H1286"/>
    <mergeCell ref="I1285:I1286"/>
    <mergeCell ref="J1285:J1286"/>
    <mergeCell ref="B1287:B1288"/>
    <mergeCell ref="C1287:C1288"/>
    <mergeCell ref="D1287:D1288"/>
    <mergeCell ref="E1287:E1288"/>
    <mergeCell ref="G1287:G1288"/>
    <mergeCell ref="H1287:H1288"/>
    <mergeCell ref="I1287:I1288"/>
    <mergeCell ref="J1287:J1288"/>
    <mergeCell ref="B1289:B1290"/>
    <mergeCell ref="C1289:C1290"/>
    <mergeCell ref="D1289:D1290"/>
    <mergeCell ref="E1289:E1290"/>
    <mergeCell ref="G1289:G1290"/>
    <mergeCell ref="H1289:H1290"/>
    <mergeCell ref="I1289:I1290"/>
    <mergeCell ref="J1289:J1290"/>
    <mergeCell ref="B1291:B1292"/>
    <mergeCell ref="C1291:C1292"/>
    <mergeCell ref="D1291:D1292"/>
    <mergeCell ref="E1291:E1292"/>
    <mergeCell ref="G1291:G1292"/>
    <mergeCell ref="H1291:H1292"/>
    <mergeCell ref="I1291:I1292"/>
    <mergeCell ref="J1291:J1292"/>
    <mergeCell ref="B1293:B1294"/>
    <mergeCell ref="C1293:C1294"/>
    <mergeCell ref="D1293:D1294"/>
    <mergeCell ref="E1293:E1294"/>
    <mergeCell ref="G1293:G1294"/>
    <mergeCell ref="H1293:H1294"/>
    <mergeCell ref="I1293:I1294"/>
    <mergeCell ref="J1293:J1294"/>
    <mergeCell ref="B1295:B1296"/>
    <mergeCell ref="C1295:C1296"/>
    <mergeCell ref="D1295:D1296"/>
    <mergeCell ref="E1295:E1296"/>
    <mergeCell ref="G1295:G1296"/>
    <mergeCell ref="H1295:H1296"/>
    <mergeCell ref="I1295:I1296"/>
    <mergeCell ref="J1295:J1296"/>
    <mergeCell ref="B1297:B1298"/>
    <mergeCell ref="C1297:C1298"/>
    <mergeCell ref="D1297:D1298"/>
    <mergeCell ref="E1297:E1298"/>
    <mergeCell ref="G1297:G1298"/>
    <mergeCell ref="H1297:H1298"/>
    <mergeCell ref="I1297:I1298"/>
    <mergeCell ref="J1297:J1298"/>
    <mergeCell ref="B1299:B1300"/>
    <mergeCell ref="C1299:C1300"/>
    <mergeCell ref="D1299:D1300"/>
    <mergeCell ref="E1299:E1300"/>
    <mergeCell ref="G1299:G1300"/>
    <mergeCell ref="H1299:H1300"/>
    <mergeCell ref="I1299:I1300"/>
    <mergeCell ref="J1299:J1300"/>
    <mergeCell ref="B1301:B1302"/>
    <mergeCell ref="C1301:C1302"/>
    <mergeCell ref="D1301:D1302"/>
    <mergeCell ref="E1301:E1302"/>
    <mergeCell ref="G1301:G1302"/>
    <mergeCell ref="H1301:H1302"/>
    <mergeCell ref="I1301:I1302"/>
    <mergeCell ref="J1301:J1302"/>
    <mergeCell ref="B1303:B1304"/>
    <mergeCell ref="C1303:C1304"/>
    <mergeCell ref="D1303:D1304"/>
    <mergeCell ref="E1303:E1304"/>
    <mergeCell ref="G1303:G1304"/>
    <mergeCell ref="H1303:H1304"/>
    <mergeCell ref="I1303:I1304"/>
    <mergeCell ref="J1303:J1304"/>
    <mergeCell ref="B1305:B1306"/>
    <mergeCell ref="C1305:C1306"/>
    <mergeCell ref="D1305:D1306"/>
    <mergeCell ref="E1305:E1306"/>
    <mergeCell ref="G1305:G1306"/>
    <mergeCell ref="H1305:H1306"/>
    <mergeCell ref="I1305:I1306"/>
    <mergeCell ref="J1305:J1306"/>
    <mergeCell ref="B1307:B1308"/>
    <mergeCell ref="C1307:C1308"/>
    <mergeCell ref="D1307:D1308"/>
    <mergeCell ref="E1307:E1308"/>
    <mergeCell ref="G1307:G1308"/>
    <mergeCell ref="H1307:H1308"/>
    <mergeCell ref="I1307:I1308"/>
    <mergeCell ref="J1307:J1308"/>
    <mergeCell ref="B1309:B1310"/>
    <mergeCell ref="C1309:C1310"/>
    <mergeCell ref="D1309:D1310"/>
    <mergeCell ref="E1309:E1310"/>
    <mergeCell ref="G1309:G1310"/>
    <mergeCell ref="H1309:H1310"/>
    <mergeCell ref="I1309:I1310"/>
    <mergeCell ref="J1309:J1310"/>
    <mergeCell ref="B1311:B1312"/>
    <mergeCell ref="C1311:C1312"/>
    <mergeCell ref="D1311:D1312"/>
    <mergeCell ref="E1311:E1312"/>
    <mergeCell ref="G1311:G1312"/>
    <mergeCell ref="H1311:H1312"/>
    <mergeCell ref="I1311:I1312"/>
    <mergeCell ref="J1311:J1312"/>
    <mergeCell ref="B1313:B1314"/>
    <mergeCell ref="C1313:C1314"/>
    <mergeCell ref="D1313:D1314"/>
    <mergeCell ref="E1313:E1314"/>
    <mergeCell ref="G1313:G1314"/>
    <mergeCell ref="H1313:H1314"/>
    <mergeCell ref="I1313:I1314"/>
    <mergeCell ref="J1313:J1314"/>
    <mergeCell ref="B1315:B1316"/>
    <mergeCell ref="C1315:C1316"/>
    <mergeCell ref="D1315:D1316"/>
    <mergeCell ref="E1315:E1316"/>
    <mergeCell ref="G1315:G1316"/>
    <mergeCell ref="H1315:H1316"/>
    <mergeCell ref="I1315:I1316"/>
    <mergeCell ref="J1315:J1316"/>
    <mergeCell ref="B1317:B1318"/>
    <mergeCell ref="C1317:C1318"/>
    <mergeCell ref="D1317:D1318"/>
    <mergeCell ref="E1317:E1318"/>
    <mergeCell ref="G1317:G1318"/>
    <mergeCell ref="H1317:H1318"/>
    <mergeCell ref="I1317:I1318"/>
    <mergeCell ref="J1317:J1318"/>
    <mergeCell ref="B1319:B1320"/>
    <mergeCell ref="C1319:C1320"/>
    <mergeCell ref="D1319:D1320"/>
    <mergeCell ref="E1319:E1320"/>
    <mergeCell ref="G1319:G1320"/>
    <mergeCell ref="H1319:H1320"/>
    <mergeCell ref="I1319:I1320"/>
    <mergeCell ref="J1319:J1320"/>
    <mergeCell ref="B1321:B1322"/>
    <mergeCell ref="C1321:C1322"/>
    <mergeCell ref="D1321:D1322"/>
    <mergeCell ref="E1321:E1322"/>
    <mergeCell ref="G1321:G1322"/>
    <mergeCell ref="H1321:H1322"/>
    <mergeCell ref="I1321:I1322"/>
    <mergeCell ref="J1321:J1322"/>
    <mergeCell ref="B1323:B1324"/>
    <mergeCell ref="C1323:C1324"/>
    <mergeCell ref="D1323:D1324"/>
    <mergeCell ref="E1323:E1324"/>
    <mergeCell ref="G1323:G1324"/>
    <mergeCell ref="H1323:H1324"/>
    <mergeCell ref="I1323:I1324"/>
    <mergeCell ref="J1323:J1324"/>
    <mergeCell ref="B1325:B1326"/>
    <mergeCell ref="C1325:C1326"/>
    <mergeCell ref="D1325:D1326"/>
    <mergeCell ref="E1325:E1326"/>
    <mergeCell ref="G1325:G1326"/>
    <mergeCell ref="H1325:H1326"/>
    <mergeCell ref="I1325:I1326"/>
    <mergeCell ref="J1325:J1326"/>
    <mergeCell ref="B1327:B1328"/>
    <mergeCell ref="C1327:C1328"/>
    <mergeCell ref="D1327:D1328"/>
    <mergeCell ref="E1327:E1328"/>
    <mergeCell ref="G1327:G1328"/>
    <mergeCell ref="H1327:H1328"/>
    <mergeCell ref="I1327:I1328"/>
    <mergeCell ref="J1327:J1328"/>
    <mergeCell ref="B1329:B1330"/>
    <mergeCell ref="C1329:C1330"/>
    <mergeCell ref="D1329:D1330"/>
    <mergeCell ref="E1329:E1330"/>
    <mergeCell ref="G1329:G1330"/>
    <mergeCell ref="H1329:H1330"/>
    <mergeCell ref="I1329:I1330"/>
    <mergeCell ref="J1329:J1330"/>
    <mergeCell ref="B1331:B1332"/>
    <mergeCell ref="C1331:C1332"/>
    <mergeCell ref="D1331:D1332"/>
    <mergeCell ref="E1331:E1332"/>
    <mergeCell ref="G1331:G1332"/>
    <mergeCell ref="H1331:H1332"/>
    <mergeCell ref="I1331:I1332"/>
    <mergeCell ref="J1331:J1332"/>
    <mergeCell ref="B1333:B1334"/>
    <mergeCell ref="C1333:C1334"/>
    <mergeCell ref="D1333:D1334"/>
    <mergeCell ref="E1333:E1334"/>
    <mergeCell ref="G1333:G1334"/>
    <mergeCell ref="H1333:H1334"/>
    <mergeCell ref="I1333:I1334"/>
    <mergeCell ref="J1333:J1334"/>
    <mergeCell ref="B1335:B1336"/>
    <mergeCell ref="C1335:C1336"/>
    <mergeCell ref="D1335:D1336"/>
    <mergeCell ref="E1335:E1336"/>
    <mergeCell ref="G1335:G1336"/>
    <mergeCell ref="H1335:H1336"/>
    <mergeCell ref="I1335:I1336"/>
    <mergeCell ref="J1335:J1336"/>
    <mergeCell ref="B1337:B1338"/>
    <mergeCell ref="C1337:C1338"/>
    <mergeCell ref="D1337:D1338"/>
    <mergeCell ref="E1337:E1338"/>
    <mergeCell ref="G1337:G1338"/>
    <mergeCell ref="H1337:H1338"/>
    <mergeCell ref="I1337:I1338"/>
    <mergeCell ref="J1337:J1338"/>
    <mergeCell ref="B1339:B1340"/>
    <mergeCell ref="C1339:C1340"/>
    <mergeCell ref="D1339:D1340"/>
    <mergeCell ref="E1339:E1340"/>
    <mergeCell ref="G1339:G1340"/>
    <mergeCell ref="H1339:H1340"/>
    <mergeCell ref="I1339:I1340"/>
    <mergeCell ref="J1339:J1340"/>
    <mergeCell ref="B1341:B1342"/>
    <mergeCell ref="C1341:C1342"/>
    <mergeCell ref="D1341:D1342"/>
    <mergeCell ref="E1341:E1342"/>
    <mergeCell ref="G1341:G1342"/>
    <mergeCell ref="H1341:H1342"/>
    <mergeCell ref="I1341:I1342"/>
    <mergeCell ref="J1341:J1342"/>
    <mergeCell ref="B1343:B1344"/>
    <mergeCell ref="C1343:C1344"/>
    <mergeCell ref="D1343:D1344"/>
    <mergeCell ref="E1343:E1344"/>
    <mergeCell ref="G1343:G1344"/>
    <mergeCell ref="H1343:H1344"/>
    <mergeCell ref="I1343:I1344"/>
    <mergeCell ref="J1343:J1344"/>
    <mergeCell ref="B1345:B1346"/>
    <mergeCell ref="C1345:C1346"/>
    <mergeCell ref="D1345:D1346"/>
    <mergeCell ref="E1345:E1346"/>
    <mergeCell ref="G1345:G1346"/>
    <mergeCell ref="H1345:H1346"/>
    <mergeCell ref="I1345:I1346"/>
    <mergeCell ref="J1345:J1346"/>
    <mergeCell ref="B1347:B1348"/>
    <mergeCell ref="C1347:C1348"/>
    <mergeCell ref="D1347:D1348"/>
    <mergeCell ref="E1347:E1348"/>
    <mergeCell ref="G1347:G1348"/>
    <mergeCell ref="H1347:H1348"/>
    <mergeCell ref="I1347:I1348"/>
    <mergeCell ref="J1347:J1348"/>
    <mergeCell ref="B1349:B1350"/>
    <mergeCell ref="C1349:C1350"/>
    <mergeCell ref="D1349:D1350"/>
    <mergeCell ref="E1349:E1350"/>
    <mergeCell ref="G1349:G1350"/>
    <mergeCell ref="H1349:H1350"/>
    <mergeCell ref="I1349:I1350"/>
    <mergeCell ref="J1349:J1350"/>
    <mergeCell ref="B1351:B1352"/>
    <mergeCell ref="C1351:C1352"/>
    <mergeCell ref="D1351:D1352"/>
    <mergeCell ref="E1351:E1352"/>
    <mergeCell ref="G1351:G1352"/>
    <mergeCell ref="H1351:H1352"/>
    <mergeCell ref="I1351:I1352"/>
    <mergeCell ref="J1351:J1352"/>
    <mergeCell ref="B1353:B1354"/>
    <mergeCell ref="C1353:C1354"/>
    <mergeCell ref="D1353:D1354"/>
    <mergeCell ref="E1353:E1354"/>
    <mergeCell ref="G1353:G1354"/>
    <mergeCell ref="H1353:H1354"/>
    <mergeCell ref="I1353:I1354"/>
    <mergeCell ref="J1353:J1354"/>
    <mergeCell ref="B1355:B1356"/>
    <mergeCell ref="C1355:C1356"/>
    <mergeCell ref="D1355:D1356"/>
    <mergeCell ref="E1355:E1356"/>
    <mergeCell ref="G1355:G1356"/>
    <mergeCell ref="H1355:H1356"/>
    <mergeCell ref="I1355:I1356"/>
    <mergeCell ref="J1355:J1356"/>
    <mergeCell ref="B1357:B1358"/>
    <mergeCell ref="C1357:C1358"/>
    <mergeCell ref="D1357:D1358"/>
    <mergeCell ref="E1357:E1358"/>
    <mergeCell ref="G1357:G1358"/>
    <mergeCell ref="H1357:H1358"/>
    <mergeCell ref="I1357:I1358"/>
    <mergeCell ref="J1357:J1358"/>
    <mergeCell ref="B1359:B1360"/>
    <mergeCell ref="C1359:C1360"/>
    <mergeCell ref="D1359:D1360"/>
    <mergeCell ref="E1359:E1360"/>
    <mergeCell ref="G1359:G1360"/>
    <mergeCell ref="H1359:H1360"/>
    <mergeCell ref="I1359:I1360"/>
    <mergeCell ref="J1359:J1360"/>
    <mergeCell ref="B1361:B1362"/>
    <mergeCell ref="C1361:C1362"/>
    <mergeCell ref="D1361:D1362"/>
    <mergeCell ref="E1361:E1362"/>
    <mergeCell ref="G1361:G1362"/>
    <mergeCell ref="H1361:H1362"/>
    <mergeCell ref="I1361:I1362"/>
    <mergeCell ref="J1361:J1362"/>
    <mergeCell ref="B1363:B1364"/>
    <mergeCell ref="C1363:C1364"/>
    <mergeCell ref="D1363:D1364"/>
    <mergeCell ref="E1363:E1364"/>
    <mergeCell ref="G1363:G1364"/>
    <mergeCell ref="H1363:H1364"/>
    <mergeCell ref="I1363:I1364"/>
    <mergeCell ref="J1363:J1364"/>
    <mergeCell ref="B1365:B1366"/>
    <mergeCell ref="C1365:C1366"/>
    <mergeCell ref="D1365:D1366"/>
    <mergeCell ref="E1365:E1366"/>
    <mergeCell ref="G1365:G1366"/>
    <mergeCell ref="H1365:H1366"/>
    <mergeCell ref="I1365:I1366"/>
    <mergeCell ref="J1365:J1366"/>
    <mergeCell ref="B1367:B1368"/>
    <mergeCell ref="C1367:C1368"/>
    <mergeCell ref="D1367:D1368"/>
    <mergeCell ref="E1367:E1368"/>
    <mergeCell ref="G1367:G1368"/>
    <mergeCell ref="H1367:H1368"/>
    <mergeCell ref="I1367:I1368"/>
    <mergeCell ref="J1367:J1368"/>
    <mergeCell ref="B1369:B1370"/>
    <mergeCell ref="C1369:C1370"/>
    <mergeCell ref="D1369:D1370"/>
    <mergeCell ref="E1369:E1370"/>
    <mergeCell ref="G1369:G1370"/>
    <mergeCell ref="H1369:H1370"/>
    <mergeCell ref="I1369:I1370"/>
    <mergeCell ref="J1369:J1370"/>
    <mergeCell ref="B1371:B1372"/>
    <mergeCell ref="C1371:C1372"/>
    <mergeCell ref="D1371:D1372"/>
    <mergeCell ref="E1371:E1372"/>
    <mergeCell ref="G1371:G1372"/>
    <mergeCell ref="H1371:H1372"/>
    <mergeCell ref="I1371:I1372"/>
    <mergeCell ref="J1371:J1372"/>
    <mergeCell ref="B1373:B1374"/>
    <mergeCell ref="C1373:C1374"/>
    <mergeCell ref="D1373:D1374"/>
    <mergeCell ref="E1373:E1374"/>
    <mergeCell ref="G1373:G1374"/>
    <mergeCell ref="H1373:H1374"/>
    <mergeCell ref="I1373:I1374"/>
    <mergeCell ref="J1373:J1374"/>
    <mergeCell ref="B1375:B1376"/>
    <mergeCell ref="C1375:C1376"/>
    <mergeCell ref="D1375:D1376"/>
    <mergeCell ref="E1375:E1376"/>
    <mergeCell ref="G1375:G1376"/>
    <mergeCell ref="H1375:H1376"/>
    <mergeCell ref="I1375:I1376"/>
    <mergeCell ref="J1375:J1376"/>
    <mergeCell ref="B1377:B1378"/>
    <mergeCell ref="C1377:C1378"/>
    <mergeCell ref="D1377:D1378"/>
    <mergeCell ref="E1377:E1378"/>
    <mergeCell ref="G1377:G1378"/>
    <mergeCell ref="H1377:H1378"/>
    <mergeCell ref="I1377:I1378"/>
    <mergeCell ref="J1377:J1378"/>
    <mergeCell ref="B1379:B1380"/>
    <mergeCell ref="C1379:C1380"/>
    <mergeCell ref="D1379:D1380"/>
    <mergeCell ref="E1379:E1380"/>
    <mergeCell ref="G1379:G1380"/>
    <mergeCell ref="H1379:H1380"/>
    <mergeCell ref="I1379:I1380"/>
    <mergeCell ref="J1379:J1380"/>
    <mergeCell ref="B1381:B1382"/>
    <mergeCell ref="C1381:C1382"/>
    <mergeCell ref="D1381:D1382"/>
    <mergeCell ref="E1381:E1382"/>
    <mergeCell ref="G1381:G1382"/>
    <mergeCell ref="H1381:H1382"/>
    <mergeCell ref="I1381:I1382"/>
    <mergeCell ref="J1381:J1382"/>
    <mergeCell ref="B1383:B1384"/>
    <mergeCell ref="C1383:C1384"/>
    <mergeCell ref="D1383:D1384"/>
    <mergeCell ref="E1383:E1384"/>
    <mergeCell ref="G1383:G1384"/>
    <mergeCell ref="H1383:H1384"/>
    <mergeCell ref="I1383:I1384"/>
    <mergeCell ref="J1383:J1384"/>
    <mergeCell ref="B1385:B1386"/>
    <mergeCell ref="C1385:C1386"/>
    <mergeCell ref="D1385:D1386"/>
    <mergeCell ref="E1385:E1386"/>
    <mergeCell ref="G1385:G1386"/>
    <mergeCell ref="H1385:H1386"/>
    <mergeCell ref="I1385:I1386"/>
    <mergeCell ref="J1385:J1386"/>
    <mergeCell ref="B1387:B1388"/>
    <mergeCell ref="C1387:C1388"/>
    <mergeCell ref="D1387:D1388"/>
    <mergeCell ref="E1387:E1388"/>
    <mergeCell ref="G1387:G1388"/>
    <mergeCell ref="H1387:H1388"/>
    <mergeCell ref="I1387:I1388"/>
    <mergeCell ref="J1387:J1388"/>
    <mergeCell ref="B1389:B1390"/>
    <mergeCell ref="C1389:C1390"/>
    <mergeCell ref="D1389:D1390"/>
    <mergeCell ref="E1389:E1390"/>
    <mergeCell ref="G1389:G1390"/>
    <mergeCell ref="H1389:H1390"/>
    <mergeCell ref="I1389:I1390"/>
    <mergeCell ref="J1389:J1390"/>
    <mergeCell ref="B1391:B1392"/>
    <mergeCell ref="C1391:C1392"/>
    <mergeCell ref="D1391:D1392"/>
    <mergeCell ref="E1391:E1392"/>
    <mergeCell ref="G1391:G1392"/>
    <mergeCell ref="H1391:H1392"/>
    <mergeCell ref="I1391:I1392"/>
    <mergeCell ref="J1391:J1392"/>
    <mergeCell ref="B1393:B1394"/>
    <mergeCell ref="C1393:C1394"/>
    <mergeCell ref="D1393:D1394"/>
    <mergeCell ref="E1393:E1394"/>
    <mergeCell ref="G1393:G1394"/>
    <mergeCell ref="H1393:H1394"/>
    <mergeCell ref="I1393:I1394"/>
    <mergeCell ref="J1393:J1394"/>
    <mergeCell ref="B1395:B1396"/>
    <mergeCell ref="C1395:C1396"/>
    <mergeCell ref="D1395:D1396"/>
    <mergeCell ref="E1395:E1396"/>
    <mergeCell ref="G1395:G1396"/>
    <mergeCell ref="H1395:H1396"/>
    <mergeCell ref="I1395:I1396"/>
    <mergeCell ref="J1395:J1396"/>
    <mergeCell ref="B1397:B1398"/>
    <mergeCell ref="C1397:C1398"/>
    <mergeCell ref="D1397:D1398"/>
    <mergeCell ref="E1397:E1398"/>
    <mergeCell ref="G1397:G1398"/>
    <mergeCell ref="H1397:H1398"/>
    <mergeCell ref="I1397:I1398"/>
    <mergeCell ref="J1397:J1398"/>
    <mergeCell ref="B1399:B1400"/>
    <mergeCell ref="C1399:C1400"/>
    <mergeCell ref="D1399:D1400"/>
    <mergeCell ref="E1399:E1400"/>
    <mergeCell ref="G1399:G1400"/>
    <mergeCell ref="H1399:H1400"/>
    <mergeCell ref="I1399:I1400"/>
    <mergeCell ref="J1399:J1400"/>
    <mergeCell ref="B1401:B1402"/>
    <mergeCell ref="C1401:C1402"/>
    <mergeCell ref="D1401:D1402"/>
    <mergeCell ref="E1401:E1402"/>
    <mergeCell ref="G1401:G1402"/>
    <mergeCell ref="H1401:H1402"/>
    <mergeCell ref="I1401:I1402"/>
    <mergeCell ref="J1401:J1402"/>
    <mergeCell ref="B1403:B1404"/>
    <mergeCell ref="C1403:C1404"/>
    <mergeCell ref="D1403:D1404"/>
    <mergeCell ref="E1403:E1404"/>
    <mergeCell ref="G1403:G1404"/>
    <mergeCell ref="H1403:H1404"/>
    <mergeCell ref="I1403:I1404"/>
    <mergeCell ref="J1403:J1404"/>
    <mergeCell ref="B1405:B1406"/>
    <mergeCell ref="C1405:C1406"/>
    <mergeCell ref="D1405:D1406"/>
    <mergeCell ref="E1405:E1406"/>
    <mergeCell ref="G1405:G1406"/>
    <mergeCell ref="H1405:H1406"/>
    <mergeCell ref="I1405:I1406"/>
    <mergeCell ref="J1405:J1406"/>
    <mergeCell ref="B1407:B1408"/>
    <mergeCell ref="C1407:C1408"/>
    <mergeCell ref="D1407:D1408"/>
    <mergeCell ref="E1407:E1408"/>
    <mergeCell ref="G1407:G1408"/>
    <mergeCell ref="H1407:H1408"/>
    <mergeCell ref="I1407:I1408"/>
    <mergeCell ref="J1407:J1408"/>
    <mergeCell ref="B1409:B1410"/>
    <mergeCell ref="C1409:C1410"/>
    <mergeCell ref="D1409:D1410"/>
    <mergeCell ref="E1409:E1410"/>
    <mergeCell ref="G1409:G1410"/>
    <mergeCell ref="H1409:H1410"/>
    <mergeCell ref="I1409:I1410"/>
    <mergeCell ref="J1409:J1410"/>
    <mergeCell ref="B1411:B1412"/>
    <mergeCell ref="C1411:C1412"/>
    <mergeCell ref="D1411:D1412"/>
    <mergeCell ref="E1411:E1412"/>
    <mergeCell ref="G1411:G1412"/>
    <mergeCell ref="H1411:H1412"/>
    <mergeCell ref="I1411:I1412"/>
    <mergeCell ref="J1411:J1412"/>
    <mergeCell ref="B1413:B1414"/>
    <mergeCell ref="C1413:C1414"/>
    <mergeCell ref="D1413:D1414"/>
    <mergeCell ref="E1413:E1414"/>
    <mergeCell ref="G1413:G1414"/>
    <mergeCell ref="H1413:H1414"/>
    <mergeCell ref="I1413:I1414"/>
    <mergeCell ref="J1413:J1414"/>
    <mergeCell ref="B1415:B1416"/>
    <mergeCell ref="C1415:C1416"/>
    <mergeCell ref="D1415:D1416"/>
    <mergeCell ref="E1415:E1416"/>
    <mergeCell ref="G1415:G1416"/>
    <mergeCell ref="H1415:H1416"/>
    <mergeCell ref="I1415:I1416"/>
    <mergeCell ref="J1415:J1416"/>
    <mergeCell ref="B1417:B1418"/>
    <mergeCell ref="C1417:C1418"/>
    <mergeCell ref="D1417:D1418"/>
    <mergeCell ref="E1417:E1418"/>
    <mergeCell ref="G1417:G1418"/>
    <mergeCell ref="H1417:H1418"/>
    <mergeCell ref="I1417:I1418"/>
    <mergeCell ref="J1417:J1418"/>
    <mergeCell ref="B1419:B1420"/>
    <mergeCell ref="C1419:C1420"/>
    <mergeCell ref="D1419:D1420"/>
    <mergeCell ref="E1419:E1420"/>
    <mergeCell ref="G1419:G1420"/>
    <mergeCell ref="H1419:H1420"/>
    <mergeCell ref="I1419:I1420"/>
    <mergeCell ref="J1419:J1420"/>
    <mergeCell ref="B1421:B1422"/>
    <mergeCell ref="C1421:C1422"/>
    <mergeCell ref="D1421:D1422"/>
    <mergeCell ref="E1421:E1422"/>
    <mergeCell ref="G1421:G1422"/>
    <mergeCell ref="H1421:H1422"/>
    <mergeCell ref="I1421:I1422"/>
    <mergeCell ref="J1421:J1422"/>
    <mergeCell ref="B1423:B1424"/>
    <mergeCell ref="C1423:C1424"/>
    <mergeCell ref="D1423:D1424"/>
    <mergeCell ref="E1423:E1424"/>
    <mergeCell ref="G1423:G1424"/>
    <mergeCell ref="H1423:H1424"/>
    <mergeCell ref="I1423:I1424"/>
    <mergeCell ref="J1423:J1424"/>
    <mergeCell ref="B1425:B1426"/>
    <mergeCell ref="C1425:C1426"/>
    <mergeCell ref="D1425:D1426"/>
    <mergeCell ref="E1425:E1426"/>
    <mergeCell ref="G1425:G1426"/>
    <mergeCell ref="H1425:H1426"/>
    <mergeCell ref="I1425:I1426"/>
    <mergeCell ref="J1425:J1426"/>
    <mergeCell ref="B1427:B1428"/>
    <mergeCell ref="C1427:C1428"/>
    <mergeCell ref="D1427:D1428"/>
    <mergeCell ref="E1427:E1428"/>
    <mergeCell ref="G1427:G1428"/>
    <mergeCell ref="H1427:H1428"/>
    <mergeCell ref="I1427:I1428"/>
    <mergeCell ref="J1427:J1428"/>
    <mergeCell ref="B1429:B1430"/>
    <mergeCell ref="C1429:C1430"/>
    <mergeCell ref="D1429:D1430"/>
    <mergeCell ref="E1429:E1430"/>
    <mergeCell ref="G1429:G1430"/>
    <mergeCell ref="H1429:H1430"/>
    <mergeCell ref="I1429:I1430"/>
    <mergeCell ref="J1429:J1430"/>
    <mergeCell ref="B1431:B1432"/>
    <mergeCell ref="C1431:C1432"/>
    <mergeCell ref="D1431:D1432"/>
    <mergeCell ref="E1431:E1432"/>
    <mergeCell ref="G1431:G1432"/>
    <mergeCell ref="H1431:H1432"/>
    <mergeCell ref="I1431:I1432"/>
    <mergeCell ref="J1431:J1432"/>
    <mergeCell ref="B1433:B1434"/>
    <mergeCell ref="C1433:C1434"/>
    <mergeCell ref="D1433:D1434"/>
    <mergeCell ref="E1433:E1434"/>
    <mergeCell ref="G1433:G1434"/>
    <mergeCell ref="H1433:H1434"/>
    <mergeCell ref="I1433:I1434"/>
    <mergeCell ref="J1433:J1434"/>
    <mergeCell ref="B1435:B1436"/>
    <mergeCell ref="C1435:C1436"/>
    <mergeCell ref="D1435:D1436"/>
    <mergeCell ref="E1435:E1436"/>
    <mergeCell ref="G1435:G1436"/>
    <mergeCell ref="H1435:H1436"/>
    <mergeCell ref="I1435:I1436"/>
    <mergeCell ref="J1435:J1436"/>
    <mergeCell ref="B1437:B1438"/>
    <mergeCell ref="C1437:C1438"/>
    <mergeCell ref="D1437:D1438"/>
    <mergeCell ref="E1437:E1438"/>
    <mergeCell ref="G1437:G1438"/>
    <mergeCell ref="H1437:H1438"/>
    <mergeCell ref="I1437:I1438"/>
    <mergeCell ref="J1437:J1438"/>
    <mergeCell ref="B1439:B1440"/>
    <mergeCell ref="C1439:C1440"/>
    <mergeCell ref="D1439:D1440"/>
    <mergeCell ref="E1439:E1440"/>
    <mergeCell ref="G1439:G1440"/>
    <mergeCell ref="H1439:H1440"/>
    <mergeCell ref="I1439:I1440"/>
    <mergeCell ref="J1439:J1440"/>
    <mergeCell ref="B1441:B1442"/>
    <mergeCell ref="C1441:C1442"/>
    <mergeCell ref="D1441:D1442"/>
    <mergeCell ref="E1441:E1442"/>
    <mergeCell ref="G1441:G1442"/>
    <mergeCell ref="H1441:H1442"/>
    <mergeCell ref="I1441:I1442"/>
    <mergeCell ref="J1441:J1442"/>
    <mergeCell ref="B1443:B1444"/>
    <mergeCell ref="C1443:C1444"/>
    <mergeCell ref="D1443:D1444"/>
    <mergeCell ref="E1443:E1444"/>
    <mergeCell ref="G1443:G1444"/>
    <mergeCell ref="H1443:H1444"/>
    <mergeCell ref="I1443:I1444"/>
    <mergeCell ref="J1443:J1444"/>
    <mergeCell ref="B1445:B1446"/>
    <mergeCell ref="C1445:C1446"/>
    <mergeCell ref="D1445:D1446"/>
    <mergeCell ref="E1445:E1446"/>
    <mergeCell ref="G1445:G1446"/>
    <mergeCell ref="H1445:H1446"/>
    <mergeCell ref="I1445:I1446"/>
    <mergeCell ref="J1445:J1446"/>
    <mergeCell ref="B1447:B1448"/>
    <mergeCell ref="C1447:C1448"/>
    <mergeCell ref="D1447:D1448"/>
    <mergeCell ref="E1447:E1448"/>
    <mergeCell ref="G1447:G1448"/>
    <mergeCell ref="H1447:H1448"/>
    <mergeCell ref="I1447:I1448"/>
    <mergeCell ref="J1447:J1448"/>
    <mergeCell ref="B1449:B1450"/>
    <mergeCell ref="C1449:C1450"/>
    <mergeCell ref="D1449:D1450"/>
    <mergeCell ref="E1449:E1450"/>
    <mergeCell ref="G1449:G1450"/>
    <mergeCell ref="H1449:H1450"/>
    <mergeCell ref="I1449:I1450"/>
    <mergeCell ref="J1449:J1450"/>
    <mergeCell ref="B1451:B1452"/>
    <mergeCell ref="C1451:C1452"/>
    <mergeCell ref="D1451:D1452"/>
    <mergeCell ref="E1451:E1452"/>
    <mergeCell ref="G1451:G1452"/>
    <mergeCell ref="H1451:H1452"/>
    <mergeCell ref="I1451:I1452"/>
    <mergeCell ref="J1451:J1452"/>
    <mergeCell ref="B1453:B1454"/>
    <mergeCell ref="C1453:C1454"/>
    <mergeCell ref="D1453:D1454"/>
    <mergeCell ref="E1453:E1454"/>
    <mergeCell ref="G1453:G1454"/>
    <mergeCell ref="H1453:H1454"/>
    <mergeCell ref="I1453:I1454"/>
    <mergeCell ref="J1453:J1454"/>
    <mergeCell ref="B1455:B1456"/>
    <mergeCell ref="C1455:C1456"/>
    <mergeCell ref="D1455:D1456"/>
    <mergeCell ref="E1455:E1456"/>
    <mergeCell ref="G1455:G1456"/>
    <mergeCell ref="H1455:H1456"/>
    <mergeCell ref="I1455:I1456"/>
    <mergeCell ref="J1455:J1456"/>
    <mergeCell ref="B1457:B1458"/>
    <mergeCell ref="C1457:C1458"/>
    <mergeCell ref="D1457:D1458"/>
    <mergeCell ref="E1457:E1458"/>
    <mergeCell ref="G1457:G1458"/>
    <mergeCell ref="H1457:H1458"/>
    <mergeCell ref="I1457:I1458"/>
    <mergeCell ref="J1457:J1458"/>
    <mergeCell ref="B1459:B1460"/>
    <mergeCell ref="C1459:C1460"/>
    <mergeCell ref="D1459:D1460"/>
    <mergeCell ref="E1459:E1460"/>
    <mergeCell ref="G1459:G1460"/>
    <mergeCell ref="H1459:H1460"/>
    <mergeCell ref="I1459:I1460"/>
    <mergeCell ref="J1459:J1460"/>
    <mergeCell ref="B1461:B1462"/>
    <mergeCell ref="C1461:C1462"/>
    <mergeCell ref="D1461:D1462"/>
    <mergeCell ref="E1461:E1462"/>
    <mergeCell ref="G1461:G1462"/>
    <mergeCell ref="H1461:H1462"/>
    <mergeCell ref="I1461:I1462"/>
    <mergeCell ref="J1461:J1462"/>
    <mergeCell ref="B1463:B1464"/>
    <mergeCell ref="C1463:C1464"/>
    <mergeCell ref="D1463:D1464"/>
    <mergeCell ref="E1463:E1464"/>
    <mergeCell ref="G1463:G1464"/>
    <mergeCell ref="H1463:H1464"/>
    <mergeCell ref="I1463:I1464"/>
    <mergeCell ref="J1463:J1464"/>
    <mergeCell ref="B1465:B1466"/>
    <mergeCell ref="C1465:C1466"/>
    <mergeCell ref="D1465:D1466"/>
    <mergeCell ref="E1465:E1466"/>
    <mergeCell ref="G1465:G1466"/>
    <mergeCell ref="H1465:H1466"/>
    <mergeCell ref="I1465:I1466"/>
    <mergeCell ref="J1465:J1466"/>
    <mergeCell ref="B1467:B1468"/>
    <mergeCell ref="C1467:C1468"/>
    <mergeCell ref="D1467:D1468"/>
    <mergeCell ref="E1467:E1468"/>
    <mergeCell ref="G1467:G1468"/>
    <mergeCell ref="H1467:H1468"/>
    <mergeCell ref="I1467:I1468"/>
    <mergeCell ref="J1467:J1468"/>
    <mergeCell ref="B1469:B1470"/>
    <mergeCell ref="C1469:C1470"/>
    <mergeCell ref="D1469:D1470"/>
    <mergeCell ref="E1469:E1470"/>
    <mergeCell ref="G1469:G1470"/>
    <mergeCell ref="H1469:H1470"/>
    <mergeCell ref="I1469:I1470"/>
    <mergeCell ref="J1469:J1470"/>
    <mergeCell ref="B1471:B1472"/>
    <mergeCell ref="C1471:C1472"/>
    <mergeCell ref="D1471:D1472"/>
    <mergeCell ref="E1471:E1472"/>
    <mergeCell ref="G1471:G1472"/>
    <mergeCell ref="H1471:H1472"/>
    <mergeCell ref="I1471:I1472"/>
    <mergeCell ref="J1471:J1472"/>
    <mergeCell ref="B1473:B1474"/>
    <mergeCell ref="C1473:C1474"/>
    <mergeCell ref="D1473:D1474"/>
    <mergeCell ref="E1473:E1474"/>
    <mergeCell ref="G1473:G1474"/>
    <mergeCell ref="H1473:H1474"/>
    <mergeCell ref="I1473:I1474"/>
    <mergeCell ref="J1473:J1474"/>
    <mergeCell ref="B1475:B1476"/>
    <mergeCell ref="C1475:C1476"/>
    <mergeCell ref="D1475:D1476"/>
    <mergeCell ref="E1475:E1476"/>
    <mergeCell ref="G1475:G1476"/>
    <mergeCell ref="H1475:H1476"/>
    <mergeCell ref="I1475:I1476"/>
    <mergeCell ref="J1475:J1476"/>
    <mergeCell ref="B1477:B1478"/>
    <mergeCell ref="C1477:C1478"/>
    <mergeCell ref="D1477:D1478"/>
    <mergeCell ref="E1477:E1478"/>
    <mergeCell ref="G1477:G1478"/>
    <mergeCell ref="H1477:H1478"/>
    <mergeCell ref="I1477:I1478"/>
    <mergeCell ref="J1477:J1478"/>
    <mergeCell ref="B1479:B1480"/>
    <mergeCell ref="C1479:C1480"/>
    <mergeCell ref="D1479:D1480"/>
    <mergeCell ref="E1479:E1480"/>
    <mergeCell ref="G1479:G1480"/>
    <mergeCell ref="H1479:H1480"/>
    <mergeCell ref="I1479:I1480"/>
    <mergeCell ref="J1479:J1480"/>
    <mergeCell ref="B1481:B1482"/>
    <mergeCell ref="C1481:C1482"/>
    <mergeCell ref="D1481:D1482"/>
    <mergeCell ref="E1481:E1482"/>
    <mergeCell ref="G1481:G1482"/>
    <mergeCell ref="H1481:H1482"/>
    <mergeCell ref="I1481:I1482"/>
    <mergeCell ref="J1481:J1482"/>
    <mergeCell ref="B1483:B1484"/>
    <mergeCell ref="C1483:C1484"/>
    <mergeCell ref="D1483:D1484"/>
    <mergeCell ref="E1483:E1484"/>
    <mergeCell ref="G1483:G1484"/>
    <mergeCell ref="H1483:H1484"/>
    <mergeCell ref="I1483:I1484"/>
    <mergeCell ref="J1483:J1484"/>
    <mergeCell ref="B1485:B1486"/>
    <mergeCell ref="C1485:C1486"/>
    <mergeCell ref="D1485:D1486"/>
    <mergeCell ref="E1485:E1486"/>
    <mergeCell ref="G1485:G1486"/>
    <mergeCell ref="H1485:H1486"/>
    <mergeCell ref="I1485:I1486"/>
    <mergeCell ref="J1485:J1486"/>
    <mergeCell ref="B1487:B1488"/>
    <mergeCell ref="C1487:C1488"/>
    <mergeCell ref="D1487:D1488"/>
    <mergeCell ref="E1487:E1488"/>
    <mergeCell ref="G1487:G1488"/>
    <mergeCell ref="H1487:H1488"/>
    <mergeCell ref="I1487:I1488"/>
    <mergeCell ref="J1487:J1488"/>
    <mergeCell ref="B1489:B1490"/>
    <mergeCell ref="C1489:C1490"/>
    <mergeCell ref="D1489:D1490"/>
    <mergeCell ref="E1489:E1490"/>
    <mergeCell ref="G1489:G1490"/>
    <mergeCell ref="H1489:H1490"/>
    <mergeCell ref="I1489:I1490"/>
    <mergeCell ref="J1489:J1490"/>
    <mergeCell ref="B1491:B1492"/>
    <mergeCell ref="C1491:C1492"/>
    <mergeCell ref="D1491:D1492"/>
    <mergeCell ref="E1491:E1492"/>
    <mergeCell ref="G1491:G1492"/>
    <mergeCell ref="H1491:H1492"/>
    <mergeCell ref="I1491:I1492"/>
    <mergeCell ref="J1491:J1492"/>
    <mergeCell ref="B1493:B1494"/>
    <mergeCell ref="C1493:C1494"/>
    <mergeCell ref="D1493:D1494"/>
    <mergeCell ref="E1493:E1494"/>
    <mergeCell ref="G1493:G1494"/>
    <mergeCell ref="H1493:H1494"/>
    <mergeCell ref="I1493:I1494"/>
    <mergeCell ref="J1493:J1494"/>
    <mergeCell ref="B1495:B1496"/>
    <mergeCell ref="C1495:C1496"/>
    <mergeCell ref="D1495:D1496"/>
    <mergeCell ref="E1495:E1496"/>
    <mergeCell ref="G1495:G1496"/>
    <mergeCell ref="H1495:H1496"/>
    <mergeCell ref="I1495:I1496"/>
    <mergeCell ref="J1495:J1496"/>
    <mergeCell ref="B1497:B1498"/>
    <mergeCell ref="C1497:C1498"/>
    <mergeCell ref="D1497:D1498"/>
    <mergeCell ref="E1497:E1498"/>
    <mergeCell ref="G1497:G1498"/>
    <mergeCell ref="H1497:H1498"/>
    <mergeCell ref="I1497:I1498"/>
    <mergeCell ref="J1497:J1498"/>
    <mergeCell ref="B1499:B1500"/>
    <mergeCell ref="C1499:C1500"/>
    <mergeCell ref="D1499:D1500"/>
    <mergeCell ref="E1499:E1500"/>
    <mergeCell ref="G1499:G1500"/>
    <mergeCell ref="H1499:H1500"/>
    <mergeCell ref="I1499:I1500"/>
    <mergeCell ref="J1499:J1500"/>
    <mergeCell ref="B1501:B1502"/>
    <mergeCell ref="C1501:C1502"/>
    <mergeCell ref="D1501:D1502"/>
    <mergeCell ref="E1501:E1502"/>
    <mergeCell ref="G1501:G1502"/>
    <mergeCell ref="H1501:H1502"/>
    <mergeCell ref="I1501:I1502"/>
    <mergeCell ref="J1501:J1502"/>
    <mergeCell ref="B1503:B1504"/>
    <mergeCell ref="C1503:C1504"/>
    <mergeCell ref="D1503:D1504"/>
    <mergeCell ref="E1503:E1504"/>
    <mergeCell ref="G1503:G1504"/>
    <mergeCell ref="H1503:H1504"/>
    <mergeCell ref="I1503:I1504"/>
    <mergeCell ref="J1503:J1504"/>
    <mergeCell ref="B1505:B1506"/>
    <mergeCell ref="C1505:C1506"/>
    <mergeCell ref="D1505:D1506"/>
    <mergeCell ref="E1505:E1506"/>
    <mergeCell ref="G1505:G1506"/>
    <mergeCell ref="H1505:H1506"/>
    <mergeCell ref="I1505:I1506"/>
    <mergeCell ref="J1505:J1506"/>
    <mergeCell ref="B1507:B1508"/>
    <mergeCell ref="C1507:C1508"/>
    <mergeCell ref="D1507:D1508"/>
    <mergeCell ref="E1507:E1508"/>
    <mergeCell ref="G1507:G1508"/>
    <mergeCell ref="H1507:H1508"/>
    <mergeCell ref="I1507:I1508"/>
    <mergeCell ref="J1507:J1508"/>
    <mergeCell ref="B1509:B1510"/>
    <mergeCell ref="C1509:C1510"/>
    <mergeCell ref="D1509:D1510"/>
    <mergeCell ref="E1509:E1510"/>
    <mergeCell ref="G1509:G1510"/>
    <mergeCell ref="H1509:H1510"/>
    <mergeCell ref="I1509:I1510"/>
    <mergeCell ref="J1509:J1510"/>
    <mergeCell ref="B1511:B1512"/>
    <mergeCell ref="C1511:C1512"/>
    <mergeCell ref="D1511:D1512"/>
    <mergeCell ref="E1511:E1512"/>
    <mergeCell ref="G1511:G1512"/>
    <mergeCell ref="H1511:H1512"/>
    <mergeCell ref="I1511:I1512"/>
    <mergeCell ref="J1511:J1512"/>
    <mergeCell ref="B1513:B1514"/>
    <mergeCell ref="C1513:C1514"/>
    <mergeCell ref="D1513:D1514"/>
    <mergeCell ref="E1513:E1514"/>
    <mergeCell ref="G1513:G1514"/>
    <mergeCell ref="H1513:H1514"/>
    <mergeCell ref="I1513:I1514"/>
    <mergeCell ref="J1513:J1514"/>
    <mergeCell ref="B1515:B1516"/>
    <mergeCell ref="C1515:C1516"/>
    <mergeCell ref="D1515:D1516"/>
    <mergeCell ref="E1515:E1516"/>
    <mergeCell ref="G1515:G1516"/>
    <mergeCell ref="H1515:H1516"/>
    <mergeCell ref="I1515:I1516"/>
    <mergeCell ref="J1515:J1516"/>
    <mergeCell ref="B1517:B1518"/>
    <mergeCell ref="C1517:C1518"/>
    <mergeCell ref="D1517:D1518"/>
    <mergeCell ref="E1517:E1518"/>
    <mergeCell ref="G1517:G1518"/>
    <mergeCell ref="H1517:H1518"/>
    <mergeCell ref="I1517:I1518"/>
    <mergeCell ref="J1517:J1518"/>
    <mergeCell ref="B1519:B1520"/>
    <mergeCell ref="C1519:C1520"/>
    <mergeCell ref="D1519:D1520"/>
    <mergeCell ref="E1519:E1520"/>
    <mergeCell ref="G1519:G1520"/>
    <mergeCell ref="H1519:H1520"/>
    <mergeCell ref="I1519:I1520"/>
    <mergeCell ref="J1519:J1520"/>
    <mergeCell ref="B1521:B1522"/>
    <mergeCell ref="C1521:C1522"/>
    <mergeCell ref="D1521:D1522"/>
    <mergeCell ref="E1521:E1522"/>
    <mergeCell ref="G1521:G1522"/>
    <mergeCell ref="H1521:H1522"/>
    <mergeCell ref="I1521:I1522"/>
    <mergeCell ref="J1521:J1522"/>
    <mergeCell ref="B1523:B1524"/>
    <mergeCell ref="C1523:C1524"/>
    <mergeCell ref="D1523:D1524"/>
    <mergeCell ref="E1523:E1524"/>
    <mergeCell ref="G1523:G1524"/>
    <mergeCell ref="H1523:H1524"/>
    <mergeCell ref="I1523:I1524"/>
    <mergeCell ref="J1523:J1524"/>
    <mergeCell ref="B1525:B1526"/>
    <mergeCell ref="C1525:C1526"/>
    <mergeCell ref="D1525:D1526"/>
    <mergeCell ref="E1525:E1526"/>
    <mergeCell ref="G1525:G1526"/>
    <mergeCell ref="H1525:H1526"/>
    <mergeCell ref="I1525:I1526"/>
    <mergeCell ref="J1525:J1526"/>
    <mergeCell ref="B1527:B1528"/>
    <mergeCell ref="C1527:C1528"/>
    <mergeCell ref="D1527:D1528"/>
    <mergeCell ref="E1527:E1528"/>
    <mergeCell ref="G1527:G1528"/>
    <mergeCell ref="H1527:H1528"/>
    <mergeCell ref="I1527:I1528"/>
    <mergeCell ref="J1527:J1528"/>
    <mergeCell ref="B1529:B1530"/>
    <mergeCell ref="C1529:C1530"/>
    <mergeCell ref="D1529:D1530"/>
    <mergeCell ref="E1529:E1530"/>
    <mergeCell ref="G1529:G1530"/>
    <mergeCell ref="H1529:H1530"/>
    <mergeCell ref="I1529:I1530"/>
    <mergeCell ref="J1529:J1530"/>
    <mergeCell ref="B1531:B1532"/>
    <mergeCell ref="C1531:C1532"/>
    <mergeCell ref="D1531:D1532"/>
    <mergeCell ref="E1531:E1532"/>
    <mergeCell ref="G1531:G1532"/>
    <mergeCell ref="H1531:H1532"/>
    <mergeCell ref="I1531:I1532"/>
    <mergeCell ref="J1531:J1532"/>
    <mergeCell ref="B1533:B1534"/>
    <mergeCell ref="C1533:C1534"/>
    <mergeCell ref="D1533:D1534"/>
    <mergeCell ref="E1533:E1534"/>
    <mergeCell ref="G1533:G1534"/>
    <mergeCell ref="H1533:H1534"/>
    <mergeCell ref="I1533:I1534"/>
    <mergeCell ref="J1533:J1534"/>
    <mergeCell ref="B1535:B1536"/>
    <mergeCell ref="C1535:C1536"/>
    <mergeCell ref="D1535:D1536"/>
    <mergeCell ref="E1535:E1536"/>
    <mergeCell ref="G1535:G1536"/>
    <mergeCell ref="H1535:H1536"/>
    <mergeCell ref="I1535:I1536"/>
    <mergeCell ref="J1535:J1536"/>
    <mergeCell ref="B1537:B1538"/>
    <mergeCell ref="C1537:C1538"/>
    <mergeCell ref="D1537:D1538"/>
    <mergeCell ref="E1537:E1538"/>
    <mergeCell ref="G1537:G1538"/>
    <mergeCell ref="H1537:H1538"/>
    <mergeCell ref="I1537:I1538"/>
    <mergeCell ref="J1537:J1538"/>
    <mergeCell ref="B1539:B1540"/>
    <mergeCell ref="C1539:C1540"/>
    <mergeCell ref="D1539:D1540"/>
    <mergeCell ref="E1539:E1540"/>
    <mergeCell ref="G1539:G1540"/>
    <mergeCell ref="H1539:H1540"/>
    <mergeCell ref="I1539:I1540"/>
    <mergeCell ref="J1539:J1540"/>
    <mergeCell ref="B1541:B1542"/>
    <mergeCell ref="C1541:C1542"/>
    <mergeCell ref="D1541:D1542"/>
    <mergeCell ref="E1541:E1542"/>
    <mergeCell ref="G1541:G1542"/>
    <mergeCell ref="H1541:H1542"/>
    <mergeCell ref="I1541:I1542"/>
    <mergeCell ref="J1541:J1542"/>
    <mergeCell ref="B1543:B1544"/>
    <mergeCell ref="C1543:C1544"/>
    <mergeCell ref="D1543:D1544"/>
    <mergeCell ref="E1543:E1544"/>
    <mergeCell ref="G1543:G1544"/>
    <mergeCell ref="H1543:H1544"/>
    <mergeCell ref="I1543:I1544"/>
    <mergeCell ref="J1543:J1544"/>
    <mergeCell ref="B1545:B1546"/>
    <mergeCell ref="C1545:C1546"/>
    <mergeCell ref="D1545:D1546"/>
    <mergeCell ref="E1545:E1546"/>
    <mergeCell ref="G1545:G1546"/>
    <mergeCell ref="H1545:H1546"/>
    <mergeCell ref="I1545:I1546"/>
    <mergeCell ref="J1545:J1546"/>
    <mergeCell ref="B1547:B1548"/>
    <mergeCell ref="C1547:C1548"/>
    <mergeCell ref="D1547:D1548"/>
    <mergeCell ref="E1547:E1548"/>
    <mergeCell ref="G1547:G1548"/>
    <mergeCell ref="H1547:H1548"/>
    <mergeCell ref="I1547:I1548"/>
    <mergeCell ref="J1547:J1548"/>
    <mergeCell ref="B1549:B1550"/>
    <mergeCell ref="C1549:C1550"/>
    <mergeCell ref="D1549:D1550"/>
    <mergeCell ref="E1549:E1550"/>
    <mergeCell ref="G1549:G1550"/>
    <mergeCell ref="H1549:H1550"/>
    <mergeCell ref="I1549:I1550"/>
    <mergeCell ref="J1549:J1550"/>
    <mergeCell ref="B1551:B1552"/>
    <mergeCell ref="C1551:C1552"/>
    <mergeCell ref="D1551:D1552"/>
    <mergeCell ref="E1551:E1552"/>
    <mergeCell ref="G1551:G1552"/>
    <mergeCell ref="H1551:H1552"/>
    <mergeCell ref="I1551:I1552"/>
    <mergeCell ref="J1551:J1552"/>
    <mergeCell ref="B1553:B1554"/>
    <mergeCell ref="C1553:C1554"/>
    <mergeCell ref="D1553:D1554"/>
    <mergeCell ref="E1553:E1554"/>
    <mergeCell ref="G1553:G1554"/>
    <mergeCell ref="H1553:H1554"/>
    <mergeCell ref="I1553:I1554"/>
    <mergeCell ref="J1553:J1554"/>
    <mergeCell ref="B1555:B1556"/>
    <mergeCell ref="C1555:C1556"/>
    <mergeCell ref="D1555:D1556"/>
    <mergeCell ref="E1555:E1556"/>
    <mergeCell ref="G1555:G1556"/>
    <mergeCell ref="H1555:H1556"/>
    <mergeCell ref="I1555:I1556"/>
    <mergeCell ref="J1555:J1556"/>
    <mergeCell ref="B1557:B1558"/>
    <mergeCell ref="C1557:C1558"/>
    <mergeCell ref="D1557:D1558"/>
    <mergeCell ref="E1557:E1558"/>
    <mergeCell ref="G1557:G1558"/>
    <mergeCell ref="H1557:H1558"/>
    <mergeCell ref="I1557:I1558"/>
    <mergeCell ref="J1557:J1558"/>
    <mergeCell ref="B1559:B1560"/>
    <mergeCell ref="C1559:C1560"/>
    <mergeCell ref="D1559:D1560"/>
    <mergeCell ref="E1559:E1560"/>
    <mergeCell ref="G1559:G1560"/>
    <mergeCell ref="H1559:H1560"/>
    <mergeCell ref="I1559:I1560"/>
    <mergeCell ref="J1559:J1560"/>
    <mergeCell ref="B1561:B1562"/>
    <mergeCell ref="C1561:C1562"/>
    <mergeCell ref="D1561:D1562"/>
    <mergeCell ref="E1561:E1562"/>
    <mergeCell ref="G1561:G1562"/>
    <mergeCell ref="H1561:H1562"/>
    <mergeCell ref="I1561:I1562"/>
    <mergeCell ref="J1561:J1562"/>
    <mergeCell ref="B1563:B1564"/>
    <mergeCell ref="C1563:C1564"/>
    <mergeCell ref="D1563:D1564"/>
    <mergeCell ref="E1563:E1564"/>
    <mergeCell ref="G1563:G1564"/>
    <mergeCell ref="H1563:H1564"/>
    <mergeCell ref="I1563:I1564"/>
    <mergeCell ref="J1563:J1564"/>
    <mergeCell ref="B1575:B1576"/>
    <mergeCell ref="C1575:C1576"/>
    <mergeCell ref="D1575:D1576"/>
    <mergeCell ref="E1575:E1576"/>
    <mergeCell ref="G1575:G1576"/>
    <mergeCell ref="H1575:H1576"/>
    <mergeCell ref="I1575:I1576"/>
    <mergeCell ref="J1575:J1576"/>
    <mergeCell ref="B1565:B1566"/>
    <mergeCell ref="C1565:C1566"/>
    <mergeCell ref="D1565:D1566"/>
    <mergeCell ref="E1565:E1566"/>
    <mergeCell ref="G1565:G1566"/>
    <mergeCell ref="H1565:H1566"/>
    <mergeCell ref="I1565:I1566"/>
    <mergeCell ref="J1565:J1566"/>
    <mergeCell ref="B1567:B1568"/>
    <mergeCell ref="C1567:C1568"/>
    <mergeCell ref="D1567:D1568"/>
    <mergeCell ref="E1567:E1568"/>
    <mergeCell ref="G1567:G1568"/>
    <mergeCell ref="H1567:H1568"/>
    <mergeCell ref="I1567:I1568"/>
    <mergeCell ref="J1567:J1568"/>
    <mergeCell ref="B1569:B1570"/>
    <mergeCell ref="C1569:C1570"/>
    <mergeCell ref="D1569:D1570"/>
    <mergeCell ref="E1569:E1570"/>
    <mergeCell ref="G1569:G1570"/>
    <mergeCell ref="H1569:H1570"/>
    <mergeCell ref="I1569:I1570"/>
    <mergeCell ref="J1569:J1570"/>
    <mergeCell ref="B1577:B1578"/>
    <mergeCell ref="C1577:C1578"/>
    <mergeCell ref="D1577:D1578"/>
    <mergeCell ref="E1577:E1578"/>
    <mergeCell ref="G1577:G1578"/>
    <mergeCell ref="H1577:H1578"/>
    <mergeCell ref="I1577:I1578"/>
    <mergeCell ref="J1577:J1578"/>
    <mergeCell ref="B1579:B1580"/>
    <mergeCell ref="C1579:C1580"/>
    <mergeCell ref="D1579:D1580"/>
    <mergeCell ref="E1579:E1580"/>
    <mergeCell ref="G1579:G1580"/>
    <mergeCell ref="H1579:H1580"/>
    <mergeCell ref="I1579:I1580"/>
    <mergeCell ref="J1579:J1580"/>
    <mergeCell ref="B1571:B1572"/>
    <mergeCell ref="C1571:C1572"/>
    <mergeCell ref="D1571:D1572"/>
    <mergeCell ref="E1571:E1572"/>
    <mergeCell ref="G1571:G1572"/>
    <mergeCell ref="H1571:H1572"/>
    <mergeCell ref="I1571:I1572"/>
    <mergeCell ref="J1571:J1572"/>
    <mergeCell ref="B1573:B1574"/>
    <mergeCell ref="C1573:C1574"/>
    <mergeCell ref="D1573:D1574"/>
    <mergeCell ref="E1573:E1574"/>
    <mergeCell ref="G1573:G1574"/>
    <mergeCell ref="H1573:H1574"/>
    <mergeCell ref="I1573:I1574"/>
    <mergeCell ref="J1573:J1574"/>
    <mergeCell ref="B1589:B1590"/>
    <mergeCell ref="C1589:C1590"/>
    <mergeCell ref="D1589:D1590"/>
    <mergeCell ref="E1589:E1590"/>
    <mergeCell ref="G1589:G1590"/>
    <mergeCell ref="H1589:H1590"/>
    <mergeCell ref="I1589:I1590"/>
    <mergeCell ref="J1589:J1590"/>
    <mergeCell ref="B1587:B1588"/>
    <mergeCell ref="C1587:C1588"/>
    <mergeCell ref="D1587:D1588"/>
    <mergeCell ref="E1587:E1588"/>
    <mergeCell ref="G1587:G1588"/>
    <mergeCell ref="H1587:H1588"/>
    <mergeCell ref="I1587:I1588"/>
    <mergeCell ref="J1587:J1588"/>
    <mergeCell ref="B1591:B1592"/>
    <mergeCell ref="C1591:C1592"/>
    <mergeCell ref="D1591:D1592"/>
    <mergeCell ref="E1591:E1592"/>
    <mergeCell ref="G1591:G1592"/>
    <mergeCell ref="H1591:H1592"/>
    <mergeCell ref="I1591:I1592"/>
    <mergeCell ref="J1591:J1592"/>
    <mergeCell ref="B1611:B1612"/>
    <mergeCell ref="C1611:C1612"/>
    <mergeCell ref="D1611:D1612"/>
    <mergeCell ref="E1611:E1612"/>
    <mergeCell ref="G1611:G1612"/>
    <mergeCell ref="H1611:H1612"/>
    <mergeCell ref="I1611:I1612"/>
    <mergeCell ref="J1611:J1612"/>
    <mergeCell ref="B1597:B1598"/>
    <mergeCell ref="C1597:C1598"/>
    <mergeCell ref="D1597:D1598"/>
    <mergeCell ref="E1597:E1598"/>
    <mergeCell ref="G1597:G1598"/>
    <mergeCell ref="H1597:H1598"/>
    <mergeCell ref="I1597:I1598"/>
    <mergeCell ref="J1597:J1598"/>
    <mergeCell ref="B1601:B1602"/>
    <mergeCell ref="C1601:C1602"/>
    <mergeCell ref="D1601:D1602"/>
    <mergeCell ref="E1601:E1602"/>
    <mergeCell ref="G1601:G1602"/>
    <mergeCell ref="H1601:H1602"/>
    <mergeCell ref="I1601:I1602"/>
    <mergeCell ref="J1601:J1602"/>
    <mergeCell ref="B1603:B1604"/>
    <mergeCell ref="C1603:C1604"/>
    <mergeCell ref="D1603:D1604"/>
    <mergeCell ref="E1603:E1604"/>
    <mergeCell ref="G1603:G1604"/>
    <mergeCell ref="H1603:H1604"/>
    <mergeCell ref="I1603:I1604"/>
    <mergeCell ref="J1603:J1604"/>
    <mergeCell ref="B1581:B1582"/>
    <mergeCell ref="C1581:C1582"/>
    <mergeCell ref="D1581:D1582"/>
    <mergeCell ref="E1581:E1582"/>
    <mergeCell ref="G1581:G1582"/>
    <mergeCell ref="H1581:H1582"/>
    <mergeCell ref="I1581:I1582"/>
    <mergeCell ref="J1581:J1582"/>
    <mergeCell ref="B1583:B1584"/>
    <mergeCell ref="C1583:C1584"/>
    <mergeCell ref="D1583:D1584"/>
    <mergeCell ref="E1583:E1584"/>
    <mergeCell ref="G1583:G1584"/>
    <mergeCell ref="H1583:H1584"/>
    <mergeCell ref="I1583:I1584"/>
    <mergeCell ref="J1583:J1584"/>
    <mergeCell ref="B1585:B1586"/>
    <mergeCell ref="C1585:C1586"/>
    <mergeCell ref="D1585:D1586"/>
    <mergeCell ref="E1585:E1586"/>
    <mergeCell ref="G1585:G1586"/>
    <mergeCell ref="H1585:H1586"/>
    <mergeCell ref="I1585:I1586"/>
    <mergeCell ref="J1585:J1586"/>
    <mergeCell ref="B1593:B1594"/>
    <mergeCell ref="C1593:C1594"/>
    <mergeCell ref="D1593:D1594"/>
    <mergeCell ref="E1593:E1594"/>
    <mergeCell ref="G1593:G1594"/>
    <mergeCell ref="H1593:H1594"/>
    <mergeCell ref="I1593:I1594"/>
    <mergeCell ref="J1593:J1594"/>
    <mergeCell ref="B1595:B1596"/>
    <mergeCell ref="C1595:C1596"/>
    <mergeCell ref="D1595:D1596"/>
    <mergeCell ref="E1595:E1596"/>
    <mergeCell ref="G1595:G1596"/>
    <mergeCell ref="H1595:H1596"/>
    <mergeCell ref="I1595:I1596"/>
    <mergeCell ref="J1595:J1596"/>
    <mergeCell ref="B1599:B1600"/>
    <mergeCell ref="C1599:C1600"/>
    <mergeCell ref="D1599:D1600"/>
    <mergeCell ref="E1599:E1600"/>
    <mergeCell ref="G1599:G1600"/>
    <mergeCell ref="H1599:H1600"/>
    <mergeCell ref="I1599:I1600"/>
    <mergeCell ref="J1599:J1600"/>
    <mergeCell ref="B1609:B1610"/>
    <mergeCell ref="C1609:C1610"/>
    <mergeCell ref="D1609:D1610"/>
    <mergeCell ref="E1609:E1610"/>
    <mergeCell ref="G1609:G1610"/>
    <mergeCell ref="H1609:H1610"/>
    <mergeCell ref="I1609:I1610"/>
    <mergeCell ref="J1609:J1610"/>
    <mergeCell ref="B1607:B1608"/>
    <mergeCell ref="C1607:C1608"/>
    <mergeCell ref="D1607:D1608"/>
    <mergeCell ref="E1607:E1608"/>
    <mergeCell ref="G1607:G1608"/>
    <mergeCell ref="H1607:H1608"/>
    <mergeCell ref="I1607:I1608"/>
    <mergeCell ref="J1607:J1608"/>
    <mergeCell ref="B1605:B1606"/>
    <mergeCell ref="C1605:C1606"/>
    <mergeCell ref="D1605:D1606"/>
    <mergeCell ref="E1605:E1606"/>
    <mergeCell ref="G1605:G1606"/>
    <mergeCell ref="H1605:H1606"/>
    <mergeCell ref="I1605:I1606"/>
    <mergeCell ref="J1605:J1606"/>
    <mergeCell ref="B1613:B1614"/>
    <mergeCell ref="C1613:C1614"/>
    <mergeCell ref="D1613:D1614"/>
    <mergeCell ref="E1613:E1614"/>
    <mergeCell ref="G1613:G1614"/>
    <mergeCell ref="H1613:H1614"/>
    <mergeCell ref="I1613:I1614"/>
    <mergeCell ref="J1613:J1614"/>
    <mergeCell ref="B1617:B1618"/>
    <mergeCell ref="C1617:C1618"/>
    <mergeCell ref="D1617:D1618"/>
    <mergeCell ref="E1617:E1618"/>
    <mergeCell ref="G1617:G1618"/>
    <mergeCell ref="H1617:H1618"/>
    <mergeCell ref="I1617:I1618"/>
    <mergeCell ref="J1617:J1618"/>
    <mergeCell ref="B1619:B1620"/>
    <mergeCell ref="C1619:C1620"/>
    <mergeCell ref="D1619:D1620"/>
    <mergeCell ref="E1619:E1620"/>
    <mergeCell ref="G1619:G1620"/>
    <mergeCell ref="H1619:H1620"/>
    <mergeCell ref="I1619:I1620"/>
    <mergeCell ref="J1619:J1620"/>
    <mergeCell ref="B1615:B1616"/>
    <mergeCell ref="C1615:C1616"/>
    <mergeCell ref="D1615:D1616"/>
    <mergeCell ref="E1615:E1616"/>
    <mergeCell ref="G1615:G1616"/>
    <mergeCell ref="H1615:H1616"/>
    <mergeCell ref="I1615:I1616"/>
    <mergeCell ref="J1615:J1616"/>
    <mergeCell ref="B1621:B1622"/>
    <mergeCell ref="C1621:C1622"/>
    <mergeCell ref="D1621:D1622"/>
    <mergeCell ref="E1621:E1622"/>
    <mergeCell ref="G1621:G1622"/>
    <mergeCell ref="H1621:H1622"/>
    <mergeCell ref="I1621:I1622"/>
    <mergeCell ref="J1621:J1622"/>
    <mergeCell ref="B1623:B1624"/>
    <mergeCell ref="C1623:C1624"/>
    <mergeCell ref="D1623:D1624"/>
    <mergeCell ref="E1623:E1624"/>
    <mergeCell ref="G1623:G1624"/>
    <mergeCell ref="H1623:H1624"/>
    <mergeCell ref="I1623:I1624"/>
    <mergeCell ref="J1623:J1624"/>
    <mergeCell ref="B1625:B1626"/>
    <mergeCell ref="C1625:C1626"/>
    <mergeCell ref="D1625:D1626"/>
    <mergeCell ref="E1625:E1626"/>
    <mergeCell ref="G1625:G1626"/>
    <mergeCell ref="H1625:H1626"/>
    <mergeCell ref="I1625:I1626"/>
    <mergeCell ref="J1625:J1626"/>
    <mergeCell ref="B1627:B1628"/>
    <mergeCell ref="C1627:C1628"/>
    <mergeCell ref="D1627:D1628"/>
    <mergeCell ref="E1627:E1628"/>
    <mergeCell ref="G1627:G1628"/>
    <mergeCell ref="H1627:H1628"/>
    <mergeCell ref="I1627:I1628"/>
    <mergeCell ref="J1627:J1628"/>
    <mergeCell ref="B1629:B1630"/>
    <mergeCell ref="C1629:C1630"/>
    <mergeCell ref="D1629:D1630"/>
    <mergeCell ref="E1629:E1630"/>
    <mergeCell ref="G1629:G1630"/>
    <mergeCell ref="H1629:H1630"/>
    <mergeCell ref="I1629:I1630"/>
    <mergeCell ref="J1629:J1630"/>
    <mergeCell ref="B1631:B1632"/>
    <mergeCell ref="C1631:C1632"/>
    <mergeCell ref="D1631:D1632"/>
    <mergeCell ref="E1631:E1632"/>
    <mergeCell ref="G1631:G1632"/>
    <mergeCell ref="H1631:H1632"/>
    <mergeCell ref="I1631:I1632"/>
    <mergeCell ref="J1631:J1632"/>
    <mergeCell ref="B1633:B1634"/>
    <mergeCell ref="C1633:C1634"/>
    <mergeCell ref="D1633:D1634"/>
    <mergeCell ref="E1633:E1634"/>
    <mergeCell ref="G1633:G1634"/>
    <mergeCell ref="H1633:H1634"/>
    <mergeCell ref="I1633:I1634"/>
    <mergeCell ref="J1633:J1634"/>
    <mergeCell ref="B1635:B1636"/>
    <mergeCell ref="C1635:C1636"/>
    <mergeCell ref="D1635:D1636"/>
    <mergeCell ref="E1635:E1636"/>
    <mergeCell ref="G1635:G1636"/>
    <mergeCell ref="H1635:H1636"/>
    <mergeCell ref="I1635:I1636"/>
    <mergeCell ref="J1635:J1636"/>
    <mergeCell ref="B1637:B1638"/>
    <mergeCell ref="C1637:C1638"/>
    <mergeCell ref="D1637:D1638"/>
    <mergeCell ref="E1637:E1638"/>
    <mergeCell ref="G1637:G1638"/>
    <mergeCell ref="H1637:H1638"/>
    <mergeCell ref="I1637:I1638"/>
    <mergeCell ref="J1637:J1638"/>
    <mergeCell ref="B1639:B1640"/>
    <mergeCell ref="C1639:C1640"/>
    <mergeCell ref="D1639:D1640"/>
    <mergeCell ref="E1639:E1640"/>
    <mergeCell ref="G1639:G1640"/>
    <mergeCell ref="H1639:H1640"/>
    <mergeCell ref="I1639:I1640"/>
    <mergeCell ref="J1639:J1640"/>
    <mergeCell ref="B1641:B1642"/>
    <mergeCell ref="C1641:C1642"/>
    <mergeCell ref="D1641:D1642"/>
    <mergeCell ref="E1641:E1642"/>
    <mergeCell ref="G1641:G1642"/>
    <mergeCell ref="H1641:H1642"/>
    <mergeCell ref="I1641:I1642"/>
    <mergeCell ref="J1641:J1642"/>
    <mergeCell ref="B1643:B1644"/>
    <mergeCell ref="C1643:C1644"/>
    <mergeCell ref="D1643:D1644"/>
    <mergeCell ref="E1643:E1644"/>
    <mergeCell ref="G1643:G1644"/>
    <mergeCell ref="H1643:H1644"/>
    <mergeCell ref="I1643:I1644"/>
    <mergeCell ref="J1643:J1644"/>
    <mergeCell ref="B1645:B1646"/>
    <mergeCell ref="C1645:C1646"/>
    <mergeCell ref="D1645:D1646"/>
    <mergeCell ref="E1645:E1646"/>
    <mergeCell ref="G1645:G1646"/>
    <mergeCell ref="H1645:H1646"/>
    <mergeCell ref="I1645:I1646"/>
    <mergeCell ref="J1645:J1646"/>
    <mergeCell ref="B1647:B1648"/>
    <mergeCell ref="C1647:C1648"/>
    <mergeCell ref="D1647:D1648"/>
    <mergeCell ref="E1647:E1648"/>
    <mergeCell ref="G1647:G1648"/>
    <mergeCell ref="H1647:H1648"/>
    <mergeCell ref="I1647:I1648"/>
    <mergeCell ref="J1647:J1648"/>
    <mergeCell ref="B1649:B1650"/>
    <mergeCell ref="C1649:C1650"/>
    <mergeCell ref="D1649:D1650"/>
    <mergeCell ref="E1649:E1650"/>
    <mergeCell ref="G1649:G1650"/>
    <mergeCell ref="H1649:H1650"/>
    <mergeCell ref="I1649:I1650"/>
    <mergeCell ref="J1649:J1650"/>
    <mergeCell ref="B1651:B1652"/>
    <mergeCell ref="C1651:C1652"/>
    <mergeCell ref="D1651:D1652"/>
    <mergeCell ref="E1651:E1652"/>
    <mergeCell ref="G1651:G1652"/>
    <mergeCell ref="H1651:H1652"/>
    <mergeCell ref="I1651:I1652"/>
    <mergeCell ref="J1651:J1652"/>
    <mergeCell ref="B1653:B1654"/>
    <mergeCell ref="C1653:C1654"/>
    <mergeCell ref="D1653:D1654"/>
    <mergeCell ref="E1653:E1654"/>
    <mergeCell ref="G1653:G1654"/>
    <mergeCell ref="H1653:H1654"/>
    <mergeCell ref="I1653:I1654"/>
    <mergeCell ref="J1653:J1654"/>
    <mergeCell ref="B1655:B1656"/>
    <mergeCell ref="C1655:C1656"/>
    <mergeCell ref="D1655:D1656"/>
    <mergeCell ref="E1655:E1656"/>
    <mergeCell ref="G1655:G1656"/>
    <mergeCell ref="H1655:H1656"/>
    <mergeCell ref="I1655:I1656"/>
    <mergeCell ref="J1655:J1656"/>
    <mergeCell ref="B1657:B1658"/>
    <mergeCell ref="C1657:C1658"/>
    <mergeCell ref="D1657:D1658"/>
    <mergeCell ref="E1657:E1658"/>
    <mergeCell ref="G1657:G1658"/>
    <mergeCell ref="H1657:H1658"/>
    <mergeCell ref="I1657:I1658"/>
    <mergeCell ref="J1657:J1658"/>
    <mergeCell ref="B1659:B1660"/>
    <mergeCell ref="C1659:C1660"/>
    <mergeCell ref="D1659:D1660"/>
    <mergeCell ref="E1659:E1660"/>
    <mergeCell ref="G1659:G1660"/>
    <mergeCell ref="H1659:H1660"/>
    <mergeCell ref="I1659:I1660"/>
    <mergeCell ref="J1659:J1660"/>
    <mergeCell ref="B1661:B1662"/>
    <mergeCell ref="C1661:C1662"/>
    <mergeCell ref="D1661:D1662"/>
    <mergeCell ref="E1661:E1662"/>
    <mergeCell ref="G1661:G1662"/>
    <mergeCell ref="H1661:H1662"/>
    <mergeCell ref="I1661:I1662"/>
    <mergeCell ref="J1661:J1662"/>
    <mergeCell ref="B1663:B1664"/>
    <mergeCell ref="C1663:C1664"/>
    <mergeCell ref="D1663:D1664"/>
    <mergeCell ref="E1663:E1664"/>
    <mergeCell ref="G1663:G1664"/>
    <mergeCell ref="H1663:H1664"/>
    <mergeCell ref="I1663:I1664"/>
    <mergeCell ref="J1663:J1664"/>
    <mergeCell ref="B1665:B1666"/>
    <mergeCell ref="C1665:C1666"/>
    <mergeCell ref="D1665:D1666"/>
    <mergeCell ref="E1665:E1666"/>
    <mergeCell ref="G1665:G1666"/>
    <mergeCell ref="H1665:H1666"/>
    <mergeCell ref="I1665:I1666"/>
    <mergeCell ref="J1665:J1666"/>
    <mergeCell ref="B1667:B1668"/>
    <mergeCell ref="C1667:C1668"/>
    <mergeCell ref="D1667:D1668"/>
    <mergeCell ref="E1667:E1668"/>
    <mergeCell ref="G1667:G1668"/>
    <mergeCell ref="H1667:H1668"/>
    <mergeCell ref="I1667:I1668"/>
    <mergeCell ref="J1667:J1668"/>
    <mergeCell ref="B1669:B1670"/>
    <mergeCell ref="C1669:C1670"/>
    <mergeCell ref="D1669:D1670"/>
    <mergeCell ref="E1669:E1670"/>
    <mergeCell ref="G1669:G1670"/>
    <mergeCell ref="H1669:H1670"/>
    <mergeCell ref="I1669:I1670"/>
    <mergeCell ref="J1669:J1670"/>
    <mergeCell ref="B1671:B1672"/>
    <mergeCell ref="C1671:C1672"/>
    <mergeCell ref="D1671:D1672"/>
    <mergeCell ref="E1671:E1672"/>
    <mergeCell ref="G1671:G1672"/>
    <mergeCell ref="H1671:H1672"/>
    <mergeCell ref="I1671:I1672"/>
    <mergeCell ref="J1671:J1672"/>
    <mergeCell ref="B1673:B1674"/>
    <mergeCell ref="C1673:C1674"/>
    <mergeCell ref="D1673:D1674"/>
    <mergeCell ref="E1673:E1674"/>
    <mergeCell ref="G1673:G1674"/>
    <mergeCell ref="H1673:H1674"/>
    <mergeCell ref="I1673:I1674"/>
    <mergeCell ref="J1673:J1674"/>
    <mergeCell ref="B1675:B1676"/>
    <mergeCell ref="C1675:C1676"/>
    <mergeCell ref="D1675:D1676"/>
    <mergeCell ref="E1675:E1676"/>
    <mergeCell ref="G1675:G1676"/>
    <mergeCell ref="H1675:H1676"/>
    <mergeCell ref="I1675:I1676"/>
    <mergeCell ref="J1675:J1676"/>
    <mergeCell ref="B1677:B1678"/>
    <mergeCell ref="C1677:C1678"/>
    <mergeCell ref="D1677:D1678"/>
    <mergeCell ref="E1677:E1678"/>
    <mergeCell ref="G1677:G1678"/>
    <mergeCell ref="H1677:H1678"/>
    <mergeCell ref="I1677:I1678"/>
    <mergeCell ref="J1677:J1678"/>
    <mergeCell ref="B1679:B1680"/>
    <mergeCell ref="C1679:C1680"/>
    <mergeCell ref="D1679:D1680"/>
    <mergeCell ref="E1679:E1680"/>
    <mergeCell ref="G1679:G1680"/>
    <mergeCell ref="H1679:H1680"/>
    <mergeCell ref="I1679:I1680"/>
    <mergeCell ref="J1679:J1680"/>
    <mergeCell ref="B1681:B1682"/>
    <mergeCell ref="C1681:C1682"/>
    <mergeCell ref="D1681:D1682"/>
    <mergeCell ref="E1681:E1682"/>
    <mergeCell ref="G1681:G1682"/>
    <mergeCell ref="H1681:H1682"/>
    <mergeCell ref="I1681:I1682"/>
    <mergeCell ref="J1681:J1682"/>
    <mergeCell ref="B1683:B1684"/>
    <mergeCell ref="C1683:C1684"/>
    <mergeCell ref="D1683:D1684"/>
    <mergeCell ref="E1683:E1684"/>
    <mergeCell ref="G1683:G1684"/>
    <mergeCell ref="H1683:H1684"/>
    <mergeCell ref="I1683:I1684"/>
    <mergeCell ref="J1683:J1684"/>
    <mergeCell ref="B1685:B1686"/>
    <mergeCell ref="C1685:C1686"/>
    <mergeCell ref="D1685:D1686"/>
    <mergeCell ref="E1685:E1686"/>
    <mergeCell ref="G1685:G1686"/>
    <mergeCell ref="H1685:H1686"/>
    <mergeCell ref="I1685:I1686"/>
    <mergeCell ref="J1685:J1686"/>
    <mergeCell ref="B1687:B1688"/>
    <mergeCell ref="C1687:C1688"/>
    <mergeCell ref="D1687:D1688"/>
    <mergeCell ref="E1687:E1688"/>
    <mergeCell ref="G1687:G1688"/>
    <mergeCell ref="H1687:H1688"/>
    <mergeCell ref="I1687:I1688"/>
    <mergeCell ref="J1687:J1688"/>
    <mergeCell ref="B1689:B1690"/>
    <mergeCell ref="C1689:C1690"/>
    <mergeCell ref="D1689:D1690"/>
    <mergeCell ref="E1689:E1690"/>
    <mergeCell ref="G1689:G1690"/>
    <mergeCell ref="H1689:H1690"/>
    <mergeCell ref="I1689:I1690"/>
    <mergeCell ref="J1689:J1690"/>
    <mergeCell ref="B1691:B1692"/>
    <mergeCell ref="C1691:C1692"/>
    <mergeCell ref="D1691:D1692"/>
    <mergeCell ref="E1691:E1692"/>
    <mergeCell ref="G1691:G1692"/>
    <mergeCell ref="H1691:H1692"/>
    <mergeCell ref="I1691:I1692"/>
    <mergeCell ref="J1691:J1692"/>
    <mergeCell ref="B1693:B1694"/>
    <mergeCell ref="C1693:C1694"/>
    <mergeCell ref="D1693:D1694"/>
    <mergeCell ref="E1693:E1694"/>
    <mergeCell ref="G1693:G1694"/>
    <mergeCell ref="H1693:H1694"/>
    <mergeCell ref="I1693:I1694"/>
    <mergeCell ref="J1693:J1694"/>
    <mergeCell ref="B1695:B1696"/>
    <mergeCell ref="C1695:C1696"/>
    <mergeCell ref="D1695:D1696"/>
    <mergeCell ref="E1695:E1696"/>
    <mergeCell ref="G1695:G1696"/>
    <mergeCell ref="H1695:H1696"/>
    <mergeCell ref="I1695:I1696"/>
    <mergeCell ref="J1695:J1696"/>
    <mergeCell ref="B1697:B1698"/>
    <mergeCell ref="C1697:C1698"/>
    <mergeCell ref="D1697:D1698"/>
    <mergeCell ref="E1697:E1698"/>
    <mergeCell ref="G1697:G1698"/>
    <mergeCell ref="H1697:H1698"/>
    <mergeCell ref="I1697:I1698"/>
    <mergeCell ref="J1697:J1698"/>
    <mergeCell ref="B1699:B1700"/>
    <mergeCell ref="C1699:C1700"/>
    <mergeCell ref="D1699:D1700"/>
    <mergeCell ref="E1699:E1700"/>
    <mergeCell ref="G1699:G1700"/>
    <mergeCell ref="H1699:H1700"/>
    <mergeCell ref="I1699:I1700"/>
    <mergeCell ref="J1699:J1700"/>
    <mergeCell ref="B1701:B1702"/>
    <mergeCell ref="C1701:C1702"/>
    <mergeCell ref="D1701:D1702"/>
    <mergeCell ref="E1701:E1702"/>
    <mergeCell ref="G1701:G1702"/>
    <mergeCell ref="H1701:H1702"/>
    <mergeCell ref="I1701:I1702"/>
    <mergeCell ref="J1701:J1702"/>
    <mergeCell ref="B1703:B1704"/>
    <mergeCell ref="C1703:C1704"/>
    <mergeCell ref="D1703:D1704"/>
    <mergeCell ref="E1703:E1704"/>
    <mergeCell ref="G1703:G1704"/>
    <mergeCell ref="H1703:H1704"/>
    <mergeCell ref="I1703:I1704"/>
    <mergeCell ref="J1703:J1704"/>
    <mergeCell ref="B1705:B1706"/>
    <mergeCell ref="C1705:C1706"/>
    <mergeCell ref="D1705:D1706"/>
    <mergeCell ref="E1705:E1706"/>
    <mergeCell ref="G1705:G1706"/>
    <mergeCell ref="H1705:H1706"/>
    <mergeCell ref="I1705:I1706"/>
    <mergeCell ref="J1705:J1706"/>
    <mergeCell ref="B1707:B1708"/>
    <mergeCell ref="C1707:C1708"/>
    <mergeCell ref="D1707:D1708"/>
    <mergeCell ref="E1707:E1708"/>
    <mergeCell ref="G1707:G1708"/>
    <mergeCell ref="H1707:H1708"/>
    <mergeCell ref="I1707:I1708"/>
    <mergeCell ref="J1707:J1708"/>
    <mergeCell ref="B1709:B1710"/>
    <mergeCell ref="C1709:C1710"/>
    <mergeCell ref="D1709:D1710"/>
    <mergeCell ref="E1709:E1710"/>
    <mergeCell ref="G1709:G1710"/>
    <mergeCell ref="H1709:H1710"/>
    <mergeCell ref="I1709:I1710"/>
    <mergeCell ref="J1709:J1710"/>
    <mergeCell ref="B1711:B1712"/>
    <mergeCell ref="C1711:C1712"/>
    <mergeCell ref="D1711:D1712"/>
    <mergeCell ref="E1711:E1712"/>
    <mergeCell ref="G1711:G1712"/>
    <mergeCell ref="H1711:H1712"/>
    <mergeCell ref="I1711:I1712"/>
    <mergeCell ref="J1711:J1712"/>
    <mergeCell ref="B1713:B1714"/>
    <mergeCell ref="C1713:C1714"/>
    <mergeCell ref="D1713:D1714"/>
    <mergeCell ref="E1713:E1714"/>
    <mergeCell ref="G1713:G1714"/>
    <mergeCell ref="H1713:H1714"/>
    <mergeCell ref="I1713:I1714"/>
    <mergeCell ref="J1713:J1714"/>
    <mergeCell ref="B1715:B1716"/>
    <mergeCell ref="C1715:C1716"/>
    <mergeCell ref="D1715:D1716"/>
    <mergeCell ref="E1715:E1716"/>
    <mergeCell ref="G1715:G1716"/>
    <mergeCell ref="H1715:H1716"/>
    <mergeCell ref="I1715:I1716"/>
    <mergeCell ref="J1715:J1716"/>
    <mergeCell ref="B1717:B1718"/>
    <mergeCell ref="C1717:C1718"/>
    <mergeCell ref="D1717:D1718"/>
    <mergeCell ref="E1717:E1718"/>
    <mergeCell ref="G1717:G1718"/>
    <mergeCell ref="H1717:H1718"/>
    <mergeCell ref="I1717:I1718"/>
    <mergeCell ref="J1717:J1718"/>
    <mergeCell ref="B1719:B1720"/>
    <mergeCell ref="C1719:C1720"/>
    <mergeCell ref="D1719:D1720"/>
    <mergeCell ref="E1719:E1720"/>
    <mergeCell ref="G1719:G1720"/>
    <mergeCell ref="H1719:H1720"/>
    <mergeCell ref="I1719:I1720"/>
    <mergeCell ref="J1719:J1720"/>
    <mergeCell ref="B1721:B1722"/>
    <mergeCell ref="C1721:C1722"/>
    <mergeCell ref="D1721:D1722"/>
    <mergeCell ref="E1721:E1722"/>
    <mergeCell ref="G1721:G1722"/>
    <mergeCell ref="H1721:H1722"/>
    <mergeCell ref="I1721:I1722"/>
    <mergeCell ref="J1721:J1722"/>
    <mergeCell ref="B1723:B1724"/>
    <mergeCell ref="C1723:C1724"/>
    <mergeCell ref="D1723:D1724"/>
    <mergeCell ref="E1723:E1724"/>
    <mergeCell ref="G1723:G1724"/>
    <mergeCell ref="H1723:H1724"/>
    <mergeCell ref="I1723:I1724"/>
    <mergeCell ref="J1723:J1724"/>
    <mergeCell ref="B1725:B1726"/>
    <mergeCell ref="C1725:C1726"/>
    <mergeCell ref="D1725:D1726"/>
    <mergeCell ref="E1725:E1726"/>
    <mergeCell ref="G1725:G1726"/>
    <mergeCell ref="H1725:H1726"/>
    <mergeCell ref="I1725:I1726"/>
    <mergeCell ref="J1725:J1726"/>
    <mergeCell ref="B1727:B1728"/>
    <mergeCell ref="C1727:C1728"/>
    <mergeCell ref="D1727:D1728"/>
    <mergeCell ref="E1727:E1728"/>
    <mergeCell ref="G1727:G1728"/>
    <mergeCell ref="H1727:H1728"/>
    <mergeCell ref="I1727:I1728"/>
    <mergeCell ref="J1727:J1728"/>
    <mergeCell ref="B1729:B1730"/>
    <mergeCell ref="C1729:C1730"/>
    <mergeCell ref="D1729:D1730"/>
    <mergeCell ref="E1729:E1730"/>
    <mergeCell ref="G1729:G1730"/>
    <mergeCell ref="H1729:H1730"/>
    <mergeCell ref="I1729:I1730"/>
    <mergeCell ref="J1729:J1730"/>
    <mergeCell ref="B1731:B1732"/>
    <mergeCell ref="C1731:C1732"/>
    <mergeCell ref="D1731:D1732"/>
    <mergeCell ref="E1731:E1732"/>
    <mergeCell ref="G1731:G1732"/>
    <mergeCell ref="H1731:H1732"/>
    <mergeCell ref="I1731:I1732"/>
    <mergeCell ref="J1731:J1732"/>
    <mergeCell ref="B1733:B1734"/>
    <mergeCell ref="C1733:C1734"/>
    <mergeCell ref="D1733:D1734"/>
    <mergeCell ref="E1733:E1734"/>
    <mergeCell ref="G1733:G1734"/>
    <mergeCell ref="H1733:H1734"/>
    <mergeCell ref="I1733:I1734"/>
    <mergeCell ref="J1733:J1734"/>
    <mergeCell ref="B1735:B1736"/>
    <mergeCell ref="C1735:C1736"/>
    <mergeCell ref="D1735:D1736"/>
    <mergeCell ref="E1735:E1736"/>
    <mergeCell ref="G1735:G1736"/>
    <mergeCell ref="H1735:H1736"/>
    <mergeCell ref="I1735:I1736"/>
    <mergeCell ref="J1735:J1736"/>
    <mergeCell ref="B1737:B1738"/>
    <mergeCell ref="C1737:C1738"/>
    <mergeCell ref="D1737:D1738"/>
    <mergeCell ref="E1737:E1738"/>
    <mergeCell ref="G1737:G1738"/>
    <mergeCell ref="H1737:H1738"/>
    <mergeCell ref="I1737:I1738"/>
    <mergeCell ref="J1737:J1738"/>
    <mergeCell ref="B1739:B1740"/>
    <mergeCell ref="C1739:C1740"/>
    <mergeCell ref="D1739:D1740"/>
    <mergeCell ref="E1739:E1740"/>
    <mergeCell ref="G1739:G1740"/>
    <mergeCell ref="H1739:H1740"/>
    <mergeCell ref="I1739:I1740"/>
    <mergeCell ref="J1739:J1740"/>
    <mergeCell ref="B1741:B1742"/>
    <mergeCell ref="C1741:C1742"/>
    <mergeCell ref="D1741:D1742"/>
    <mergeCell ref="E1741:E1742"/>
    <mergeCell ref="G1741:G1742"/>
    <mergeCell ref="H1741:H1742"/>
    <mergeCell ref="I1741:I1742"/>
    <mergeCell ref="J1741:J1742"/>
    <mergeCell ref="B1743:B1744"/>
    <mergeCell ref="C1743:C1744"/>
    <mergeCell ref="D1743:D1744"/>
    <mergeCell ref="E1743:E1744"/>
    <mergeCell ref="G1743:G1744"/>
    <mergeCell ref="H1743:H1744"/>
    <mergeCell ref="I1743:I1744"/>
    <mergeCell ref="J1743:J1744"/>
    <mergeCell ref="B1745:B1746"/>
    <mergeCell ref="C1745:C1746"/>
    <mergeCell ref="D1745:D1746"/>
    <mergeCell ref="E1745:E1746"/>
    <mergeCell ref="G1745:G1746"/>
    <mergeCell ref="H1745:H1746"/>
    <mergeCell ref="I1745:I1746"/>
    <mergeCell ref="J1745:J1746"/>
    <mergeCell ref="B1747:B1748"/>
    <mergeCell ref="C1747:C1748"/>
    <mergeCell ref="D1747:D1748"/>
    <mergeCell ref="E1747:E1748"/>
    <mergeCell ref="G1747:G1748"/>
    <mergeCell ref="H1747:H1748"/>
    <mergeCell ref="I1747:I1748"/>
    <mergeCell ref="J1747:J1748"/>
    <mergeCell ref="B1749:B1750"/>
    <mergeCell ref="C1749:C1750"/>
    <mergeCell ref="D1749:D1750"/>
    <mergeCell ref="E1749:E1750"/>
    <mergeCell ref="G1749:G1750"/>
    <mergeCell ref="H1749:H1750"/>
    <mergeCell ref="I1749:I1750"/>
    <mergeCell ref="J1749:J1750"/>
    <mergeCell ref="B1751:B1752"/>
    <mergeCell ref="C1751:C1752"/>
    <mergeCell ref="D1751:D1752"/>
    <mergeCell ref="E1751:E1752"/>
    <mergeCell ref="G1751:G1752"/>
    <mergeCell ref="H1751:H1752"/>
    <mergeCell ref="I1751:I1752"/>
    <mergeCell ref="J1751:J1752"/>
    <mergeCell ref="B1753:B1754"/>
    <mergeCell ref="C1753:C1754"/>
    <mergeCell ref="D1753:D1754"/>
    <mergeCell ref="E1753:E1754"/>
    <mergeCell ref="G1753:G1754"/>
    <mergeCell ref="H1753:H1754"/>
    <mergeCell ref="I1753:I1754"/>
    <mergeCell ref="J1753:J1754"/>
    <mergeCell ref="B1755:B1756"/>
    <mergeCell ref="C1755:C1756"/>
    <mergeCell ref="D1755:D1756"/>
    <mergeCell ref="E1755:E1756"/>
    <mergeCell ref="G1755:G1756"/>
    <mergeCell ref="H1755:H1756"/>
    <mergeCell ref="I1755:I1756"/>
    <mergeCell ref="J1755:J1756"/>
    <mergeCell ref="B1757:B1758"/>
    <mergeCell ref="C1757:C1758"/>
    <mergeCell ref="D1757:D1758"/>
    <mergeCell ref="E1757:E1758"/>
    <mergeCell ref="G1757:G1758"/>
    <mergeCell ref="H1757:H1758"/>
    <mergeCell ref="I1757:I1758"/>
    <mergeCell ref="J1757:J1758"/>
    <mergeCell ref="B1759:B1760"/>
    <mergeCell ref="C1759:C1760"/>
    <mergeCell ref="D1759:D1760"/>
    <mergeCell ref="E1759:E1760"/>
    <mergeCell ref="G1759:G1760"/>
    <mergeCell ref="H1759:H1760"/>
    <mergeCell ref="I1759:I1760"/>
    <mergeCell ref="J1759:J1760"/>
    <mergeCell ref="B1761:B1762"/>
    <mergeCell ref="C1761:C1762"/>
    <mergeCell ref="D1761:D1762"/>
    <mergeCell ref="E1761:E1762"/>
    <mergeCell ref="G1761:G1762"/>
    <mergeCell ref="H1761:H1762"/>
    <mergeCell ref="I1761:I1762"/>
    <mergeCell ref="J1761:J1762"/>
    <mergeCell ref="B1763:B1764"/>
    <mergeCell ref="C1763:C1764"/>
    <mergeCell ref="D1763:D1764"/>
    <mergeCell ref="E1763:E1764"/>
    <mergeCell ref="G1763:G1764"/>
    <mergeCell ref="H1763:H1764"/>
    <mergeCell ref="I1763:I1764"/>
    <mergeCell ref="J1763:J1764"/>
    <mergeCell ref="B1765:B1766"/>
    <mergeCell ref="C1765:C1766"/>
    <mergeCell ref="D1765:D1766"/>
    <mergeCell ref="E1765:E1766"/>
    <mergeCell ref="G1765:G1766"/>
    <mergeCell ref="H1765:H1766"/>
    <mergeCell ref="I1765:I1766"/>
    <mergeCell ref="J1765:J1766"/>
    <mergeCell ref="B1767:B1768"/>
    <mergeCell ref="C1767:C1768"/>
    <mergeCell ref="D1767:D1768"/>
    <mergeCell ref="E1767:E1768"/>
    <mergeCell ref="G1767:G1768"/>
    <mergeCell ref="H1767:H1768"/>
    <mergeCell ref="I1767:I1768"/>
    <mergeCell ref="J1767:J1768"/>
    <mergeCell ref="B1769:B1770"/>
    <mergeCell ref="C1769:C1770"/>
    <mergeCell ref="D1769:D1770"/>
    <mergeCell ref="E1769:E1770"/>
    <mergeCell ref="G1769:G1770"/>
    <mergeCell ref="H1769:H1770"/>
    <mergeCell ref="I1769:I1770"/>
    <mergeCell ref="J1769:J1770"/>
    <mergeCell ref="B1771:B1772"/>
    <mergeCell ref="C1771:C1772"/>
    <mergeCell ref="D1771:D1772"/>
    <mergeCell ref="E1771:E1772"/>
    <mergeCell ref="G1771:G1772"/>
    <mergeCell ref="H1771:H1772"/>
    <mergeCell ref="I1771:I1772"/>
    <mergeCell ref="J1771:J1772"/>
    <mergeCell ref="B1773:B1774"/>
    <mergeCell ref="C1773:C1774"/>
    <mergeCell ref="D1773:D1774"/>
    <mergeCell ref="E1773:E1774"/>
    <mergeCell ref="G1773:G1774"/>
    <mergeCell ref="H1773:H1774"/>
    <mergeCell ref="I1773:I1774"/>
    <mergeCell ref="J1773:J1774"/>
    <mergeCell ref="B1775:B1776"/>
    <mergeCell ref="C1775:C1776"/>
    <mergeCell ref="D1775:D1776"/>
    <mergeCell ref="E1775:E1776"/>
    <mergeCell ref="G1775:G1776"/>
    <mergeCell ref="H1775:H1776"/>
    <mergeCell ref="I1775:I1776"/>
    <mergeCell ref="J1775:J1776"/>
    <mergeCell ref="B1777:B1778"/>
    <mergeCell ref="C1777:C1778"/>
    <mergeCell ref="D1777:D1778"/>
    <mergeCell ref="E1777:E1778"/>
    <mergeCell ref="G1777:G1778"/>
    <mergeCell ref="H1777:H1778"/>
    <mergeCell ref="I1777:I1778"/>
    <mergeCell ref="J1777:J1778"/>
    <mergeCell ref="B1779:B1780"/>
    <mergeCell ref="C1779:C1780"/>
    <mergeCell ref="D1779:D1780"/>
    <mergeCell ref="E1779:E1780"/>
    <mergeCell ref="G1779:G1780"/>
    <mergeCell ref="H1779:H1780"/>
    <mergeCell ref="I1779:I1780"/>
    <mergeCell ref="J1779:J1780"/>
    <mergeCell ref="B1781:B1782"/>
    <mergeCell ref="C1781:C1782"/>
    <mergeCell ref="D1781:D1782"/>
    <mergeCell ref="E1781:E1782"/>
    <mergeCell ref="G1781:G1782"/>
    <mergeCell ref="H1781:H1782"/>
    <mergeCell ref="I1781:I1782"/>
    <mergeCell ref="J1781:J1782"/>
    <mergeCell ref="B1783:B1784"/>
    <mergeCell ref="C1783:C1784"/>
    <mergeCell ref="D1783:D1784"/>
    <mergeCell ref="E1783:E1784"/>
    <mergeCell ref="G1783:G1784"/>
    <mergeCell ref="H1783:H1784"/>
    <mergeCell ref="I1783:I1784"/>
    <mergeCell ref="J1783:J1784"/>
    <mergeCell ref="B1785:B1786"/>
    <mergeCell ref="C1785:C1786"/>
    <mergeCell ref="D1785:D1786"/>
    <mergeCell ref="E1785:E1786"/>
    <mergeCell ref="G1785:G1786"/>
    <mergeCell ref="H1785:H1786"/>
    <mergeCell ref="I1785:I1786"/>
    <mergeCell ref="J1785:J1786"/>
    <mergeCell ref="B1787:B1788"/>
    <mergeCell ref="C1787:C1788"/>
    <mergeCell ref="D1787:D1788"/>
    <mergeCell ref="E1787:E1788"/>
    <mergeCell ref="G1787:G1788"/>
    <mergeCell ref="H1787:H1788"/>
    <mergeCell ref="I1787:I1788"/>
    <mergeCell ref="J1787:J1788"/>
    <mergeCell ref="B1789:B1790"/>
    <mergeCell ref="C1789:C1790"/>
    <mergeCell ref="D1789:D1790"/>
    <mergeCell ref="E1789:E1790"/>
    <mergeCell ref="G1789:G1790"/>
    <mergeCell ref="H1789:H1790"/>
    <mergeCell ref="I1789:I1790"/>
    <mergeCell ref="J1789:J1790"/>
    <mergeCell ref="B1791:B1792"/>
    <mergeCell ref="C1791:C1792"/>
    <mergeCell ref="D1791:D1792"/>
    <mergeCell ref="E1791:E1792"/>
    <mergeCell ref="G1791:G1792"/>
    <mergeCell ref="H1791:H1792"/>
    <mergeCell ref="I1791:I1792"/>
    <mergeCell ref="J1791:J1792"/>
    <mergeCell ref="B1793:B1794"/>
    <mergeCell ref="C1793:C1794"/>
    <mergeCell ref="D1793:D1794"/>
    <mergeCell ref="E1793:E1794"/>
    <mergeCell ref="G1793:G1794"/>
    <mergeCell ref="H1793:H1794"/>
    <mergeCell ref="I1793:I1794"/>
    <mergeCell ref="J1793:J1794"/>
    <mergeCell ref="B1795:B1796"/>
    <mergeCell ref="C1795:C1796"/>
    <mergeCell ref="D1795:D1796"/>
    <mergeCell ref="E1795:E1796"/>
    <mergeCell ref="G1795:G1796"/>
    <mergeCell ref="H1795:H1796"/>
    <mergeCell ref="I1795:I1796"/>
    <mergeCell ref="J1795:J1796"/>
    <mergeCell ref="B1797:B1798"/>
    <mergeCell ref="C1797:C1798"/>
    <mergeCell ref="D1797:D1798"/>
    <mergeCell ref="E1797:E1798"/>
    <mergeCell ref="G1797:G1798"/>
    <mergeCell ref="H1797:H1798"/>
    <mergeCell ref="I1797:I1798"/>
    <mergeCell ref="J1797:J1798"/>
    <mergeCell ref="B1799:B1800"/>
    <mergeCell ref="C1799:C1800"/>
    <mergeCell ref="D1799:D1800"/>
    <mergeCell ref="E1799:E1800"/>
    <mergeCell ref="G1799:G1800"/>
    <mergeCell ref="H1799:H1800"/>
    <mergeCell ref="I1799:I1800"/>
    <mergeCell ref="J1799:J1800"/>
    <mergeCell ref="B1801:B1802"/>
    <mergeCell ref="C1801:C1802"/>
    <mergeCell ref="D1801:D1802"/>
    <mergeCell ref="E1801:E1802"/>
    <mergeCell ref="G1801:G1802"/>
    <mergeCell ref="H1801:H1802"/>
    <mergeCell ref="I1801:I1802"/>
    <mergeCell ref="J1801:J1802"/>
    <mergeCell ref="B1803:B1804"/>
    <mergeCell ref="C1803:C1804"/>
    <mergeCell ref="D1803:D1804"/>
    <mergeCell ref="E1803:E1804"/>
    <mergeCell ref="G1803:G1804"/>
    <mergeCell ref="H1803:H1804"/>
    <mergeCell ref="I1803:I1804"/>
    <mergeCell ref="J1803:J1804"/>
    <mergeCell ref="B1805:B1806"/>
    <mergeCell ref="C1805:C1806"/>
    <mergeCell ref="D1805:D1806"/>
    <mergeCell ref="E1805:E1806"/>
    <mergeCell ref="G1805:G1806"/>
    <mergeCell ref="H1805:H1806"/>
    <mergeCell ref="I1805:I1806"/>
    <mergeCell ref="J1805:J1806"/>
    <mergeCell ref="B1807:B1808"/>
    <mergeCell ref="C1807:C1808"/>
    <mergeCell ref="D1807:D1808"/>
    <mergeCell ref="E1807:E1808"/>
    <mergeCell ref="G1807:G1808"/>
    <mergeCell ref="H1807:H1808"/>
    <mergeCell ref="I1807:I1808"/>
    <mergeCell ref="J1807:J1808"/>
    <mergeCell ref="B1809:B1810"/>
    <mergeCell ref="C1809:C1810"/>
    <mergeCell ref="D1809:D1810"/>
    <mergeCell ref="E1809:E1810"/>
    <mergeCell ref="G1809:G1810"/>
    <mergeCell ref="H1809:H1810"/>
    <mergeCell ref="I1809:I1810"/>
    <mergeCell ref="J1809:J1810"/>
    <mergeCell ref="B1811:B1812"/>
    <mergeCell ref="C1811:C1812"/>
    <mergeCell ref="D1811:D1812"/>
    <mergeCell ref="E1811:E1812"/>
    <mergeCell ref="G1811:G1812"/>
    <mergeCell ref="H1811:H1812"/>
    <mergeCell ref="I1811:I1812"/>
    <mergeCell ref="J1811:J1812"/>
    <mergeCell ref="B2299:B2300"/>
    <mergeCell ref="C2299:C2300"/>
    <mergeCell ref="D2299:D2300"/>
    <mergeCell ref="E2299:E2300"/>
    <mergeCell ref="G2299:G2300"/>
    <mergeCell ref="H2299:H2300"/>
    <mergeCell ref="I2299:I2300"/>
    <mergeCell ref="J2299:J2300"/>
    <mergeCell ref="B1813:B1814"/>
    <mergeCell ref="C1813:C1814"/>
    <mergeCell ref="D1813:D1814"/>
    <mergeCell ref="E1813:E1814"/>
    <mergeCell ref="G1813:G1814"/>
    <mergeCell ref="H1813:H1814"/>
    <mergeCell ref="I1813:I1814"/>
    <mergeCell ref="J1813:J1814"/>
    <mergeCell ref="B1815:B1816"/>
    <mergeCell ref="C1815:C1816"/>
    <mergeCell ref="D1815:D1816"/>
    <mergeCell ref="E1815:E1816"/>
    <mergeCell ref="G1815:G1816"/>
    <mergeCell ref="H1815:H1816"/>
    <mergeCell ref="I1815:I1816"/>
    <mergeCell ref="J1815:J1816"/>
    <mergeCell ref="B1817:B1818"/>
    <mergeCell ref="C1817:C1818"/>
    <mergeCell ref="D1817:D1818"/>
    <mergeCell ref="E1817:E1818"/>
    <mergeCell ref="G1817:G1818"/>
    <mergeCell ref="H1817:H1818"/>
    <mergeCell ref="I1817:I1818"/>
    <mergeCell ref="J1817:J1818"/>
    <mergeCell ref="B1819:B1820"/>
    <mergeCell ref="C1819:C1820"/>
    <mergeCell ref="D1819:D1820"/>
    <mergeCell ref="E1819:E1820"/>
    <mergeCell ref="G1819:G1820"/>
    <mergeCell ref="H1819:H1820"/>
    <mergeCell ref="I1819:I1820"/>
    <mergeCell ref="J1819:J1820"/>
    <mergeCell ref="B1821:B1822"/>
    <mergeCell ref="C1821:C1822"/>
    <mergeCell ref="D1821:D1822"/>
    <mergeCell ref="E1821:E1822"/>
    <mergeCell ref="G1821:G1822"/>
    <mergeCell ref="H1821:H1822"/>
    <mergeCell ref="I1821:I1822"/>
    <mergeCell ref="J1821:J1822"/>
    <mergeCell ref="B1823:B1824"/>
    <mergeCell ref="C1823:C1824"/>
    <mergeCell ref="D1823:D1824"/>
    <mergeCell ref="E1823:E1824"/>
    <mergeCell ref="G1823:G1824"/>
    <mergeCell ref="H1823:H1824"/>
    <mergeCell ref="I1823:I1824"/>
    <mergeCell ref="J1823:J1824"/>
    <mergeCell ref="B1825:B1826"/>
    <mergeCell ref="C1825:C1826"/>
    <mergeCell ref="D1825:D1826"/>
    <mergeCell ref="E1825:E1826"/>
    <mergeCell ref="G1825:G1826"/>
    <mergeCell ref="H1825:H1826"/>
    <mergeCell ref="I1825:I1826"/>
    <mergeCell ref="J1825:J1826"/>
    <mergeCell ref="B1827:B1828"/>
    <mergeCell ref="C1827:C1828"/>
    <mergeCell ref="D1827:D1828"/>
    <mergeCell ref="E1827:E1828"/>
    <mergeCell ref="G1827:G1828"/>
    <mergeCell ref="H1827:H1828"/>
    <mergeCell ref="I1827:I1828"/>
    <mergeCell ref="J1827:J1828"/>
    <mergeCell ref="B1829:B1830"/>
    <mergeCell ref="C1829:C1830"/>
    <mergeCell ref="D1829:D1830"/>
    <mergeCell ref="E1829:E1830"/>
    <mergeCell ref="G1829:G1830"/>
    <mergeCell ref="H1829:H1830"/>
    <mergeCell ref="I1829:I1830"/>
    <mergeCell ref="J1829:J1830"/>
    <mergeCell ref="B1831:B1832"/>
    <mergeCell ref="C1831:C1832"/>
    <mergeCell ref="D1831:D1832"/>
    <mergeCell ref="E1831:E1832"/>
    <mergeCell ref="G1831:G1832"/>
    <mergeCell ref="H1831:H1832"/>
    <mergeCell ref="I1831:I1832"/>
    <mergeCell ref="J1831:J1832"/>
    <mergeCell ref="B1833:B1834"/>
    <mergeCell ref="C1833:C1834"/>
    <mergeCell ref="D1833:D1834"/>
    <mergeCell ref="E1833:E1834"/>
    <mergeCell ref="G1833:G1834"/>
    <mergeCell ref="H1833:H1834"/>
    <mergeCell ref="I1833:I1834"/>
    <mergeCell ref="J1833:J1834"/>
    <mergeCell ref="B1835:B1836"/>
    <mergeCell ref="C1835:C1836"/>
    <mergeCell ref="D1835:D1836"/>
    <mergeCell ref="E1835:E1836"/>
    <mergeCell ref="G1835:G1836"/>
    <mergeCell ref="H1835:H1836"/>
    <mergeCell ref="I1835:I1836"/>
    <mergeCell ref="J1835:J1836"/>
    <mergeCell ref="B1837:B1838"/>
    <mergeCell ref="C1837:C1838"/>
    <mergeCell ref="D1837:D1838"/>
    <mergeCell ref="E1837:E1838"/>
    <mergeCell ref="G1837:G1838"/>
    <mergeCell ref="H1837:H1838"/>
    <mergeCell ref="I1837:I1838"/>
    <mergeCell ref="J1837:J1838"/>
    <mergeCell ref="B1839:B1840"/>
    <mergeCell ref="C1839:C1840"/>
    <mergeCell ref="D1839:D1840"/>
    <mergeCell ref="E1839:E1840"/>
    <mergeCell ref="G1839:G1840"/>
    <mergeCell ref="H1839:H1840"/>
    <mergeCell ref="I1839:I1840"/>
    <mergeCell ref="J1839:J1840"/>
    <mergeCell ref="B1841:B1842"/>
    <mergeCell ref="C1841:C1842"/>
    <mergeCell ref="D1841:D1842"/>
    <mergeCell ref="E1841:E1842"/>
    <mergeCell ref="G1841:G1842"/>
    <mergeCell ref="H1841:H1842"/>
    <mergeCell ref="I1841:I1842"/>
    <mergeCell ref="J1841:J1842"/>
    <mergeCell ref="B1843:B1844"/>
    <mergeCell ref="C1843:C1844"/>
    <mergeCell ref="D1843:D1844"/>
    <mergeCell ref="E1843:E1844"/>
    <mergeCell ref="G1843:G1844"/>
    <mergeCell ref="H1843:H1844"/>
    <mergeCell ref="I1843:I1844"/>
    <mergeCell ref="J1843:J1844"/>
    <mergeCell ref="B1845:B1846"/>
    <mergeCell ref="C1845:C1846"/>
    <mergeCell ref="D1845:D1846"/>
    <mergeCell ref="E1845:E1846"/>
    <mergeCell ref="G1845:G1846"/>
    <mergeCell ref="H1845:H1846"/>
    <mergeCell ref="I1845:I1846"/>
    <mergeCell ref="J1845:J1846"/>
    <mergeCell ref="B1847:B1848"/>
    <mergeCell ref="C1847:C1848"/>
    <mergeCell ref="D1847:D1848"/>
    <mergeCell ref="E1847:E1848"/>
    <mergeCell ref="G1847:G1848"/>
    <mergeCell ref="H1847:H1848"/>
    <mergeCell ref="I1847:I1848"/>
    <mergeCell ref="J1847:J1848"/>
    <mergeCell ref="B1849:B1850"/>
    <mergeCell ref="C1849:C1850"/>
    <mergeCell ref="D1849:D1850"/>
    <mergeCell ref="E1849:E1850"/>
    <mergeCell ref="G1849:G1850"/>
    <mergeCell ref="H1849:H1850"/>
    <mergeCell ref="I1849:I1850"/>
    <mergeCell ref="J1849:J1850"/>
    <mergeCell ref="B1851:B1852"/>
    <mergeCell ref="C1851:C1852"/>
    <mergeCell ref="D1851:D1852"/>
    <mergeCell ref="E1851:E1852"/>
    <mergeCell ref="G1851:G1852"/>
    <mergeCell ref="H1851:H1852"/>
    <mergeCell ref="I1851:I1852"/>
    <mergeCell ref="J1851:J1852"/>
    <mergeCell ref="B1853:B1854"/>
    <mergeCell ref="C1853:C1854"/>
    <mergeCell ref="D1853:D1854"/>
    <mergeCell ref="E1853:E1854"/>
    <mergeCell ref="G1853:G1854"/>
    <mergeCell ref="H1853:H1854"/>
    <mergeCell ref="I1853:I1854"/>
    <mergeCell ref="J1853:J1854"/>
    <mergeCell ref="B1855:B1856"/>
    <mergeCell ref="C1855:C1856"/>
    <mergeCell ref="D1855:D1856"/>
    <mergeCell ref="E1855:E1856"/>
    <mergeCell ref="G1855:G1856"/>
    <mergeCell ref="H1855:H1856"/>
    <mergeCell ref="I1855:I1856"/>
    <mergeCell ref="J1855:J1856"/>
    <mergeCell ref="B1857:B1858"/>
    <mergeCell ref="C1857:C1858"/>
    <mergeCell ref="D1857:D1858"/>
    <mergeCell ref="E1857:E1858"/>
    <mergeCell ref="G1857:G1858"/>
    <mergeCell ref="H1857:H1858"/>
    <mergeCell ref="I1857:I1858"/>
    <mergeCell ref="J1857:J1858"/>
    <mergeCell ref="B1859:B1860"/>
    <mergeCell ref="C1859:C1860"/>
    <mergeCell ref="D1859:D1860"/>
    <mergeCell ref="E1859:E1860"/>
    <mergeCell ref="G1859:G1860"/>
    <mergeCell ref="H1859:H1860"/>
    <mergeCell ref="I1859:I1860"/>
    <mergeCell ref="J1859:J1860"/>
    <mergeCell ref="B1861:B1862"/>
    <mergeCell ref="C1861:C1862"/>
    <mergeCell ref="D1861:D1862"/>
    <mergeCell ref="E1861:E1862"/>
    <mergeCell ref="G1861:G1862"/>
    <mergeCell ref="H1861:H1862"/>
    <mergeCell ref="I1861:I1862"/>
    <mergeCell ref="J1861:J1862"/>
    <mergeCell ref="B1863:B1864"/>
    <mergeCell ref="C1863:C1864"/>
    <mergeCell ref="D1863:D1864"/>
    <mergeCell ref="E1863:E1864"/>
    <mergeCell ref="G1863:G1864"/>
    <mergeCell ref="H1863:H1864"/>
    <mergeCell ref="I1863:I1864"/>
    <mergeCell ref="J1863:J1864"/>
    <mergeCell ref="B1865:B1866"/>
    <mergeCell ref="C1865:C1866"/>
    <mergeCell ref="D1865:D1866"/>
    <mergeCell ref="E1865:E1866"/>
    <mergeCell ref="G1865:G1866"/>
    <mergeCell ref="H1865:H1866"/>
    <mergeCell ref="I1865:I1866"/>
    <mergeCell ref="J1865:J1866"/>
    <mergeCell ref="B1867:B1868"/>
    <mergeCell ref="C1867:C1868"/>
    <mergeCell ref="D1867:D1868"/>
    <mergeCell ref="E1867:E1868"/>
    <mergeCell ref="G1867:G1868"/>
    <mergeCell ref="H1867:H1868"/>
    <mergeCell ref="I1867:I1868"/>
    <mergeCell ref="J1867:J1868"/>
    <mergeCell ref="B1869:B1870"/>
    <mergeCell ref="C1869:C1870"/>
    <mergeCell ref="D1869:D1870"/>
    <mergeCell ref="E1869:E1870"/>
    <mergeCell ref="G1869:G1870"/>
    <mergeCell ref="H1869:H1870"/>
    <mergeCell ref="I1869:I1870"/>
    <mergeCell ref="J1869:J1870"/>
    <mergeCell ref="B1871:B1872"/>
    <mergeCell ref="C1871:C1872"/>
    <mergeCell ref="D1871:D1872"/>
    <mergeCell ref="E1871:E1872"/>
    <mergeCell ref="G1871:G1872"/>
    <mergeCell ref="H1871:H1872"/>
    <mergeCell ref="I1871:I1872"/>
    <mergeCell ref="J1871:J1872"/>
    <mergeCell ref="B1873:B1874"/>
    <mergeCell ref="C1873:C1874"/>
    <mergeCell ref="D1873:D1874"/>
    <mergeCell ref="E1873:E1874"/>
    <mergeCell ref="G1873:G1874"/>
    <mergeCell ref="H1873:H1874"/>
    <mergeCell ref="I1873:I1874"/>
    <mergeCell ref="J1873:J1874"/>
    <mergeCell ref="B1875:B1876"/>
    <mergeCell ref="C1875:C1876"/>
    <mergeCell ref="D1875:D1876"/>
    <mergeCell ref="E1875:E1876"/>
    <mergeCell ref="G1875:G1876"/>
    <mergeCell ref="H1875:H1876"/>
    <mergeCell ref="I1875:I1876"/>
    <mergeCell ref="J1875:J1876"/>
    <mergeCell ref="B1877:B1878"/>
    <mergeCell ref="C1877:C1878"/>
    <mergeCell ref="D1877:D1878"/>
    <mergeCell ref="E1877:E1878"/>
    <mergeCell ref="G1877:G1878"/>
    <mergeCell ref="H1877:H1878"/>
    <mergeCell ref="I1877:I1878"/>
    <mergeCell ref="J1877:J1878"/>
    <mergeCell ref="B1879:B1880"/>
    <mergeCell ref="C1879:C1880"/>
    <mergeCell ref="D1879:D1880"/>
    <mergeCell ref="E1879:E1880"/>
    <mergeCell ref="G1879:G1880"/>
    <mergeCell ref="H1879:H1880"/>
    <mergeCell ref="I1879:I1880"/>
    <mergeCell ref="J1879:J1880"/>
    <mergeCell ref="B1881:B1882"/>
    <mergeCell ref="C1881:C1882"/>
    <mergeCell ref="D1881:D1882"/>
    <mergeCell ref="E1881:E1882"/>
    <mergeCell ref="G1881:G1882"/>
    <mergeCell ref="H1881:H1882"/>
    <mergeCell ref="I1881:I1882"/>
    <mergeCell ref="J1881:J1882"/>
    <mergeCell ref="B1883:B1884"/>
    <mergeCell ref="C1883:C1884"/>
    <mergeCell ref="D1883:D1884"/>
    <mergeCell ref="E1883:E1884"/>
    <mergeCell ref="G1883:G1884"/>
    <mergeCell ref="H1883:H1884"/>
    <mergeCell ref="I1883:I1884"/>
    <mergeCell ref="J1883:J1884"/>
    <mergeCell ref="B1885:B1886"/>
    <mergeCell ref="C1885:C1886"/>
    <mergeCell ref="D1885:D1886"/>
    <mergeCell ref="E1885:E1886"/>
    <mergeCell ref="G1885:G1886"/>
    <mergeCell ref="H1885:H1886"/>
    <mergeCell ref="I1885:I1886"/>
    <mergeCell ref="J1885:J1886"/>
    <mergeCell ref="B1887:B1888"/>
    <mergeCell ref="C1887:C1888"/>
    <mergeCell ref="D1887:D1888"/>
    <mergeCell ref="E1887:E1888"/>
    <mergeCell ref="G1887:G1888"/>
    <mergeCell ref="H1887:H1888"/>
    <mergeCell ref="I1887:I1888"/>
    <mergeCell ref="J1887:J1888"/>
    <mergeCell ref="B1889:B1890"/>
    <mergeCell ref="C1889:C1890"/>
    <mergeCell ref="D1889:D1890"/>
    <mergeCell ref="E1889:E1890"/>
    <mergeCell ref="G1889:G1890"/>
    <mergeCell ref="H1889:H1890"/>
    <mergeCell ref="I1889:I1890"/>
    <mergeCell ref="J1889:J1890"/>
    <mergeCell ref="B1891:B1892"/>
    <mergeCell ref="C1891:C1892"/>
    <mergeCell ref="D1891:D1892"/>
    <mergeCell ref="E1891:E1892"/>
    <mergeCell ref="G1891:G1892"/>
    <mergeCell ref="H1891:H1892"/>
    <mergeCell ref="I1891:I1892"/>
    <mergeCell ref="J1891:J1892"/>
    <mergeCell ref="B1893:B1894"/>
    <mergeCell ref="C1893:C1894"/>
    <mergeCell ref="D1893:D1894"/>
    <mergeCell ref="E1893:E1894"/>
    <mergeCell ref="G1893:G1894"/>
    <mergeCell ref="H1893:H1894"/>
    <mergeCell ref="I1893:I1894"/>
    <mergeCell ref="J1893:J1894"/>
    <mergeCell ref="B1895:B1896"/>
    <mergeCell ref="C1895:C1896"/>
    <mergeCell ref="D1895:D1896"/>
    <mergeCell ref="E1895:E1896"/>
    <mergeCell ref="G1895:G1896"/>
    <mergeCell ref="H1895:H1896"/>
    <mergeCell ref="I1895:I1896"/>
    <mergeCell ref="J1895:J1896"/>
    <mergeCell ref="B1897:B1898"/>
    <mergeCell ref="C1897:C1898"/>
    <mergeCell ref="D1897:D1898"/>
    <mergeCell ref="E1897:E1898"/>
    <mergeCell ref="G1897:G1898"/>
    <mergeCell ref="H1897:H1898"/>
    <mergeCell ref="I1897:I1898"/>
    <mergeCell ref="J1897:J1898"/>
    <mergeCell ref="B1899:B1900"/>
    <mergeCell ref="C1899:C1900"/>
    <mergeCell ref="D1899:D1900"/>
    <mergeCell ref="E1899:E1900"/>
    <mergeCell ref="G1899:G1900"/>
    <mergeCell ref="H1899:H1900"/>
    <mergeCell ref="I1899:I1900"/>
    <mergeCell ref="J1899:J1900"/>
    <mergeCell ref="B1901:B1902"/>
    <mergeCell ref="C1901:C1902"/>
    <mergeCell ref="D1901:D1902"/>
    <mergeCell ref="E1901:E1902"/>
    <mergeCell ref="G1901:G1902"/>
    <mergeCell ref="H1901:H1902"/>
    <mergeCell ref="I1901:I1902"/>
    <mergeCell ref="J1901:J1902"/>
    <mergeCell ref="B1903:B1904"/>
    <mergeCell ref="C1903:C1904"/>
    <mergeCell ref="D1903:D1904"/>
    <mergeCell ref="E1903:E1904"/>
    <mergeCell ref="G1903:G1904"/>
    <mergeCell ref="H1903:H1904"/>
    <mergeCell ref="I1903:I1904"/>
    <mergeCell ref="J1903:J1904"/>
    <mergeCell ref="B1905:B1906"/>
    <mergeCell ref="C1905:C1906"/>
    <mergeCell ref="D1905:D1906"/>
    <mergeCell ref="E1905:E1906"/>
    <mergeCell ref="G1905:G1906"/>
    <mergeCell ref="H1905:H1906"/>
    <mergeCell ref="I1905:I1906"/>
    <mergeCell ref="J1905:J1906"/>
    <mergeCell ref="B1907:B1908"/>
    <mergeCell ref="C1907:C1908"/>
    <mergeCell ref="D1907:D1908"/>
    <mergeCell ref="E1907:E1908"/>
    <mergeCell ref="G1907:G1908"/>
    <mergeCell ref="H1907:H1908"/>
    <mergeCell ref="I1907:I1908"/>
    <mergeCell ref="J1907:J1908"/>
    <mergeCell ref="B1909:B1910"/>
    <mergeCell ref="C1909:C1910"/>
    <mergeCell ref="D1909:D1910"/>
    <mergeCell ref="E1909:E1910"/>
    <mergeCell ref="G1909:G1910"/>
    <mergeCell ref="H1909:H1910"/>
    <mergeCell ref="I1909:I1910"/>
    <mergeCell ref="J1909:J1910"/>
    <mergeCell ref="B1911:B1912"/>
    <mergeCell ref="C1911:C1912"/>
    <mergeCell ref="D1911:D1912"/>
    <mergeCell ref="E1911:E1912"/>
    <mergeCell ref="G1911:G1912"/>
    <mergeCell ref="H1911:H1912"/>
    <mergeCell ref="I1911:I1912"/>
    <mergeCell ref="J1911:J1912"/>
    <mergeCell ref="B1913:B1914"/>
    <mergeCell ref="C1913:C1914"/>
    <mergeCell ref="D1913:D1914"/>
    <mergeCell ref="E1913:E1914"/>
    <mergeCell ref="G1913:G1914"/>
    <mergeCell ref="H1913:H1914"/>
    <mergeCell ref="I1913:I1914"/>
    <mergeCell ref="J1913:J1914"/>
    <mergeCell ref="B1915:B1916"/>
    <mergeCell ref="C1915:C1916"/>
    <mergeCell ref="D1915:D1916"/>
    <mergeCell ref="E1915:E1916"/>
    <mergeCell ref="G1915:G1916"/>
    <mergeCell ref="H1915:H1916"/>
    <mergeCell ref="I1915:I1916"/>
    <mergeCell ref="J1915:J1916"/>
    <mergeCell ref="B1917:B1918"/>
    <mergeCell ref="C1917:C1918"/>
    <mergeCell ref="D1917:D1918"/>
    <mergeCell ref="E1917:E1918"/>
    <mergeCell ref="G1917:G1918"/>
    <mergeCell ref="H1917:H1918"/>
    <mergeCell ref="I1917:I1918"/>
    <mergeCell ref="J1917:J1918"/>
    <mergeCell ref="B1919:B1920"/>
    <mergeCell ref="C1919:C1920"/>
    <mergeCell ref="D1919:D1920"/>
    <mergeCell ref="E1919:E1920"/>
    <mergeCell ref="G1919:G1920"/>
    <mergeCell ref="H1919:H1920"/>
    <mergeCell ref="I1919:I1920"/>
    <mergeCell ref="J1919:J1920"/>
    <mergeCell ref="B1921:B1922"/>
    <mergeCell ref="C1921:C1922"/>
    <mergeCell ref="D1921:D1922"/>
    <mergeCell ref="E1921:E1922"/>
    <mergeCell ref="G1921:G1922"/>
    <mergeCell ref="H1921:H1922"/>
    <mergeCell ref="I1921:I1922"/>
    <mergeCell ref="J1921:J1922"/>
    <mergeCell ref="B1923:B1924"/>
    <mergeCell ref="C1923:C1924"/>
    <mergeCell ref="D1923:D1924"/>
    <mergeCell ref="E1923:E1924"/>
    <mergeCell ref="G1923:G1924"/>
    <mergeCell ref="H1923:H1924"/>
    <mergeCell ref="I1923:I1924"/>
    <mergeCell ref="J1923:J1924"/>
    <mergeCell ref="B1925:B1926"/>
    <mergeCell ref="C1925:C1926"/>
    <mergeCell ref="D1925:D1926"/>
    <mergeCell ref="E1925:E1926"/>
    <mergeCell ref="G1925:G1926"/>
    <mergeCell ref="H1925:H1926"/>
    <mergeCell ref="I1925:I1926"/>
    <mergeCell ref="J1925:J1926"/>
    <mergeCell ref="B1927:B1928"/>
    <mergeCell ref="C1927:C1928"/>
    <mergeCell ref="D1927:D1928"/>
    <mergeCell ref="E1927:E1928"/>
    <mergeCell ref="G1927:G1928"/>
    <mergeCell ref="H1927:H1928"/>
    <mergeCell ref="I1927:I1928"/>
    <mergeCell ref="J1927:J1928"/>
    <mergeCell ref="B1929:B1930"/>
    <mergeCell ref="C1929:C1930"/>
    <mergeCell ref="D1929:D1930"/>
    <mergeCell ref="E1929:E1930"/>
    <mergeCell ref="G1929:G1930"/>
    <mergeCell ref="H1929:H1930"/>
    <mergeCell ref="I1929:I1930"/>
    <mergeCell ref="J1929:J1930"/>
    <mergeCell ref="B1931:B1932"/>
    <mergeCell ref="C1931:C1932"/>
    <mergeCell ref="D1931:D1932"/>
    <mergeCell ref="E1931:E1932"/>
    <mergeCell ref="G1931:G1932"/>
    <mergeCell ref="H1931:H1932"/>
    <mergeCell ref="I1931:I1932"/>
    <mergeCell ref="J1931:J1932"/>
    <mergeCell ref="B1933:B1934"/>
    <mergeCell ref="C1933:C1934"/>
    <mergeCell ref="D1933:D1934"/>
    <mergeCell ref="E1933:E1934"/>
    <mergeCell ref="G1933:G1934"/>
    <mergeCell ref="H1933:H1934"/>
    <mergeCell ref="I1933:I1934"/>
    <mergeCell ref="J1933:J1934"/>
    <mergeCell ref="B1935:B1936"/>
    <mergeCell ref="C1935:C1936"/>
    <mergeCell ref="D1935:D1936"/>
    <mergeCell ref="E1935:E1936"/>
    <mergeCell ref="G1935:G1936"/>
    <mergeCell ref="H1935:H1936"/>
    <mergeCell ref="I1935:I1936"/>
    <mergeCell ref="J1935:J1936"/>
    <mergeCell ref="B1937:B1938"/>
    <mergeCell ref="C1937:C1938"/>
    <mergeCell ref="D1937:D1938"/>
    <mergeCell ref="E1937:E1938"/>
    <mergeCell ref="G1937:G1938"/>
    <mergeCell ref="H1937:H1938"/>
    <mergeCell ref="I1937:I1938"/>
    <mergeCell ref="J1937:J1938"/>
    <mergeCell ref="B1939:B1940"/>
    <mergeCell ref="C1939:C1940"/>
    <mergeCell ref="D1939:D1940"/>
    <mergeCell ref="E1939:E1940"/>
    <mergeCell ref="G1939:G1940"/>
    <mergeCell ref="H1939:H1940"/>
    <mergeCell ref="I1939:I1940"/>
    <mergeCell ref="J1939:J1940"/>
    <mergeCell ref="B1941:B1942"/>
    <mergeCell ref="C1941:C1942"/>
    <mergeCell ref="D1941:D1942"/>
    <mergeCell ref="E1941:E1942"/>
    <mergeCell ref="G1941:G1942"/>
    <mergeCell ref="H1941:H1942"/>
    <mergeCell ref="I1941:I1942"/>
    <mergeCell ref="J1941:J1942"/>
    <mergeCell ref="B1943:B1944"/>
    <mergeCell ref="C1943:C1944"/>
    <mergeCell ref="D1943:D1944"/>
    <mergeCell ref="E1943:E1944"/>
    <mergeCell ref="G1943:G1944"/>
    <mergeCell ref="H1943:H1944"/>
    <mergeCell ref="I1943:I1944"/>
    <mergeCell ref="J1943:J1944"/>
    <mergeCell ref="B1945:B1946"/>
    <mergeCell ref="C1945:C1946"/>
    <mergeCell ref="D1945:D1946"/>
    <mergeCell ref="E1945:E1946"/>
    <mergeCell ref="G1945:G1946"/>
    <mergeCell ref="H1945:H1946"/>
    <mergeCell ref="I1945:I1946"/>
    <mergeCell ref="J1945:J1946"/>
    <mergeCell ref="B1947:B1948"/>
    <mergeCell ref="C1947:C1948"/>
    <mergeCell ref="D1947:D1948"/>
    <mergeCell ref="E1947:E1948"/>
    <mergeCell ref="G1947:G1948"/>
    <mergeCell ref="H1947:H1948"/>
    <mergeCell ref="I1947:I1948"/>
    <mergeCell ref="J1947:J1948"/>
    <mergeCell ref="B1949:B1950"/>
    <mergeCell ref="C1949:C1950"/>
    <mergeCell ref="D1949:D1950"/>
    <mergeCell ref="E1949:E1950"/>
    <mergeCell ref="G1949:G1950"/>
    <mergeCell ref="H1949:H1950"/>
    <mergeCell ref="I1949:I1950"/>
    <mergeCell ref="J1949:J1950"/>
    <mergeCell ref="B1951:B1952"/>
    <mergeCell ref="C1951:C1952"/>
    <mergeCell ref="D1951:D1952"/>
    <mergeCell ref="E1951:E1952"/>
    <mergeCell ref="G1951:G1952"/>
    <mergeCell ref="H1951:H1952"/>
    <mergeCell ref="I1951:I1952"/>
    <mergeCell ref="J1951:J1952"/>
    <mergeCell ref="B1953:B1954"/>
    <mergeCell ref="C1953:C1954"/>
    <mergeCell ref="D1953:D1954"/>
    <mergeCell ref="E1953:E1954"/>
    <mergeCell ref="G1953:G1954"/>
    <mergeCell ref="H1953:H1954"/>
    <mergeCell ref="I1953:I1954"/>
    <mergeCell ref="J1953:J1954"/>
    <mergeCell ref="B1955:B1956"/>
    <mergeCell ref="C1955:C1956"/>
    <mergeCell ref="D1955:D1956"/>
    <mergeCell ref="E1955:E1956"/>
    <mergeCell ref="G1955:G1956"/>
    <mergeCell ref="H1955:H1956"/>
    <mergeCell ref="I1955:I1956"/>
    <mergeCell ref="J1955:J1956"/>
    <mergeCell ref="B1957:B1958"/>
    <mergeCell ref="C1957:C1958"/>
    <mergeCell ref="D1957:D1958"/>
    <mergeCell ref="E1957:E1958"/>
    <mergeCell ref="G1957:G1958"/>
    <mergeCell ref="H1957:H1958"/>
    <mergeCell ref="I1957:I1958"/>
    <mergeCell ref="J1957:J1958"/>
    <mergeCell ref="B1959:B1960"/>
    <mergeCell ref="C1959:C1960"/>
    <mergeCell ref="D1959:D1960"/>
    <mergeCell ref="E1959:E1960"/>
    <mergeCell ref="G1959:G1960"/>
    <mergeCell ref="H1959:H1960"/>
    <mergeCell ref="I1959:I1960"/>
    <mergeCell ref="J1959:J1960"/>
    <mergeCell ref="B1961:B1962"/>
    <mergeCell ref="C1961:C1962"/>
    <mergeCell ref="D1961:D1962"/>
    <mergeCell ref="E1961:E1962"/>
    <mergeCell ref="G1961:G1962"/>
    <mergeCell ref="H1961:H1962"/>
    <mergeCell ref="I1961:I1962"/>
    <mergeCell ref="J1961:J1962"/>
    <mergeCell ref="B1963:B1964"/>
    <mergeCell ref="C1963:C1964"/>
    <mergeCell ref="D1963:D1964"/>
    <mergeCell ref="E1963:E1964"/>
    <mergeCell ref="G1963:G1964"/>
    <mergeCell ref="H1963:H1964"/>
    <mergeCell ref="I1963:I1964"/>
    <mergeCell ref="J1963:J1964"/>
    <mergeCell ref="B1965:B1966"/>
    <mergeCell ref="C1965:C1966"/>
    <mergeCell ref="D1965:D1966"/>
    <mergeCell ref="E1965:E1966"/>
    <mergeCell ref="G1965:G1966"/>
    <mergeCell ref="H1965:H1966"/>
    <mergeCell ref="I1965:I1966"/>
    <mergeCell ref="J1965:J1966"/>
    <mergeCell ref="B1967:B1968"/>
    <mergeCell ref="C1967:C1968"/>
    <mergeCell ref="D1967:D1968"/>
    <mergeCell ref="E1967:E1968"/>
    <mergeCell ref="G1967:G1968"/>
    <mergeCell ref="H1967:H1968"/>
    <mergeCell ref="I1967:I1968"/>
    <mergeCell ref="J1967:J1968"/>
    <mergeCell ref="B1969:B1970"/>
    <mergeCell ref="C1969:C1970"/>
    <mergeCell ref="D1969:D1970"/>
    <mergeCell ref="E1969:E1970"/>
    <mergeCell ref="G1969:G1970"/>
    <mergeCell ref="H1969:H1970"/>
    <mergeCell ref="I1969:I1970"/>
    <mergeCell ref="J1969:J1970"/>
    <mergeCell ref="B1971:B1972"/>
    <mergeCell ref="C1971:C1972"/>
    <mergeCell ref="D1971:D1972"/>
    <mergeCell ref="E1971:E1972"/>
    <mergeCell ref="G1971:G1972"/>
    <mergeCell ref="H1971:H1972"/>
    <mergeCell ref="I1971:I1972"/>
    <mergeCell ref="J1971:J1972"/>
    <mergeCell ref="B1973:B1974"/>
    <mergeCell ref="C1973:C1974"/>
    <mergeCell ref="D1973:D1974"/>
    <mergeCell ref="E1973:E1974"/>
    <mergeCell ref="G1973:G1974"/>
    <mergeCell ref="H1973:H1974"/>
    <mergeCell ref="I1973:I1974"/>
    <mergeCell ref="J1973:J1974"/>
    <mergeCell ref="B1975:B1976"/>
    <mergeCell ref="C1975:C1976"/>
    <mergeCell ref="D1975:D1976"/>
    <mergeCell ref="E1975:E1976"/>
    <mergeCell ref="G1975:G1976"/>
    <mergeCell ref="H1975:H1976"/>
    <mergeCell ref="I1975:I1976"/>
    <mergeCell ref="J1975:J1976"/>
    <mergeCell ref="B1977:B1978"/>
    <mergeCell ref="C1977:C1978"/>
    <mergeCell ref="D1977:D1978"/>
    <mergeCell ref="E1977:E1978"/>
    <mergeCell ref="G1977:G1978"/>
    <mergeCell ref="H1977:H1978"/>
    <mergeCell ref="I1977:I1978"/>
    <mergeCell ref="J1977:J1978"/>
    <mergeCell ref="B1979:B1980"/>
    <mergeCell ref="C1979:C1980"/>
    <mergeCell ref="D1979:D1980"/>
    <mergeCell ref="E1979:E1980"/>
    <mergeCell ref="G1979:G1980"/>
    <mergeCell ref="H1979:H1980"/>
    <mergeCell ref="I1979:I1980"/>
    <mergeCell ref="J1979:J1980"/>
    <mergeCell ref="B1981:B1982"/>
    <mergeCell ref="C1981:C1982"/>
    <mergeCell ref="D1981:D1982"/>
    <mergeCell ref="E1981:E1982"/>
    <mergeCell ref="G1981:G1982"/>
    <mergeCell ref="H1981:H1982"/>
    <mergeCell ref="I1981:I1982"/>
    <mergeCell ref="J1981:J1982"/>
    <mergeCell ref="B1983:B1984"/>
    <mergeCell ref="C1983:C1984"/>
    <mergeCell ref="D1983:D1984"/>
    <mergeCell ref="E1983:E1984"/>
    <mergeCell ref="G1983:G1984"/>
    <mergeCell ref="H1983:H1984"/>
    <mergeCell ref="I1983:I1984"/>
    <mergeCell ref="J1983:J1984"/>
    <mergeCell ref="B1985:B1986"/>
    <mergeCell ref="C1985:C1986"/>
    <mergeCell ref="D1985:D1986"/>
    <mergeCell ref="E1985:E1986"/>
    <mergeCell ref="G1985:G1986"/>
    <mergeCell ref="H1985:H1986"/>
    <mergeCell ref="I1985:I1986"/>
    <mergeCell ref="J1985:J1986"/>
    <mergeCell ref="B1987:B1988"/>
    <mergeCell ref="C1987:C1988"/>
    <mergeCell ref="D1987:D1988"/>
    <mergeCell ref="E1987:E1988"/>
    <mergeCell ref="G1987:G1988"/>
    <mergeCell ref="H1987:H1988"/>
    <mergeCell ref="I1987:I1988"/>
    <mergeCell ref="J1987:J1988"/>
    <mergeCell ref="B1989:B1990"/>
    <mergeCell ref="C1989:C1990"/>
    <mergeCell ref="D1989:D1990"/>
    <mergeCell ref="E1989:E1990"/>
    <mergeCell ref="G1989:G1990"/>
    <mergeCell ref="H1989:H1990"/>
    <mergeCell ref="I1989:I1990"/>
    <mergeCell ref="J1989:J1990"/>
    <mergeCell ref="B1991:B1992"/>
    <mergeCell ref="C1991:C1992"/>
    <mergeCell ref="D1991:D1992"/>
    <mergeCell ref="E1991:E1992"/>
    <mergeCell ref="G1991:G1992"/>
    <mergeCell ref="H1991:H1992"/>
    <mergeCell ref="I1991:I1992"/>
    <mergeCell ref="J1991:J1992"/>
    <mergeCell ref="B1993:B1994"/>
    <mergeCell ref="C1993:C1994"/>
    <mergeCell ref="D1993:D1994"/>
    <mergeCell ref="E1993:E1994"/>
    <mergeCell ref="G1993:G1994"/>
    <mergeCell ref="H1993:H1994"/>
    <mergeCell ref="I1993:I1994"/>
    <mergeCell ref="J1993:J1994"/>
    <mergeCell ref="B1995:B1996"/>
    <mergeCell ref="C1995:C1996"/>
    <mergeCell ref="D1995:D1996"/>
    <mergeCell ref="E1995:E1996"/>
    <mergeCell ref="G1995:G1996"/>
    <mergeCell ref="H1995:H1996"/>
    <mergeCell ref="I1995:I1996"/>
    <mergeCell ref="J1995:J1996"/>
    <mergeCell ref="B1997:B1998"/>
    <mergeCell ref="C1997:C1998"/>
    <mergeCell ref="D1997:D1998"/>
    <mergeCell ref="E1997:E1998"/>
    <mergeCell ref="G1997:G1998"/>
    <mergeCell ref="H1997:H1998"/>
    <mergeCell ref="I1997:I1998"/>
    <mergeCell ref="J1997:J1998"/>
    <mergeCell ref="B1999:B2000"/>
    <mergeCell ref="C1999:C2000"/>
    <mergeCell ref="D1999:D2000"/>
    <mergeCell ref="E1999:E2000"/>
    <mergeCell ref="G1999:G2000"/>
    <mergeCell ref="H1999:H2000"/>
    <mergeCell ref="I1999:I2000"/>
    <mergeCell ref="J1999:J2000"/>
    <mergeCell ref="B2001:B2002"/>
    <mergeCell ref="C2001:C2002"/>
    <mergeCell ref="D2001:D2002"/>
    <mergeCell ref="E2001:E2002"/>
    <mergeCell ref="G2001:G2002"/>
    <mergeCell ref="H2001:H2002"/>
    <mergeCell ref="I2001:I2002"/>
    <mergeCell ref="J2001:J2002"/>
    <mergeCell ref="B2003:B2004"/>
    <mergeCell ref="C2003:C2004"/>
    <mergeCell ref="D2003:D2004"/>
    <mergeCell ref="E2003:E2004"/>
    <mergeCell ref="G2003:G2004"/>
    <mergeCell ref="H2003:H2004"/>
    <mergeCell ref="I2003:I2004"/>
    <mergeCell ref="J2003:J2004"/>
    <mergeCell ref="B2005:B2006"/>
    <mergeCell ref="C2005:C2006"/>
    <mergeCell ref="D2005:D2006"/>
    <mergeCell ref="E2005:E2006"/>
    <mergeCell ref="G2005:G2006"/>
    <mergeCell ref="H2005:H2006"/>
    <mergeCell ref="I2005:I2006"/>
    <mergeCell ref="J2005:J2006"/>
    <mergeCell ref="B2007:B2008"/>
    <mergeCell ref="C2007:C2008"/>
    <mergeCell ref="D2007:D2008"/>
    <mergeCell ref="E2007:E2008"/>
    <mergeCell ref="G2007:G2008"/>
    <mergeCell ref="H2007:H2008"/>
    <mergeCell ref="I2007:I2008"/>
    <mergeCell ref="J2007:J2008"/>
    <mergeCell ref="B2009:B2010"/>
    <mergeCell ref="C2009:C2010"/>
    <mergeCell ref="D2009:D2010"/>
    <mergeCell ref="E2009:E2010"/>
    <mergeCell ref="G2009:G2010"/>
    <mergeCell ref="H2009:H2010"/>
    <mergeCell ref="I2009:I2010"/>
    <mergeCell ref="J2009:J2010"/>
    <mergeCell ref="B2011:B2012"/>
    <mergeCell ref="C2011:C2012"/>
    <mergeCell ref="D2011:D2012"/>
    <mergeCell ref="E2011:E2012"/>
    <mergeCell ref="G2011:G2012"/>
    <mergeCell ref="H2011:H2012"/>
    <mergeCell ref="I2011:I2012"/>
    <mergeCell ref="J2011:J2012"/>
    <mergeCell ref="B2013:B2014"/>
    <mergeCell ref="C2013:C2014"/>
    <mergeCell ref="D2013:D2014"/>
    <mergeCell ref="E2013:E2014"/>
    <mergeCell ref="G2013:G2014"/>
    <mergeCell ref="H2013:H2014"/>
    <mergeCell ref="I2013:I2014"/>
    <mergeCell ref="J2013:J2014"/>
    <mergeCell ref="B2015:B2016"/>
    <mergeCell ref="C2015:C2016"/>
    <mergeCell ref="D2015:D2016"/>
    <mergeCell ref="E2015:E2016"/>
    <mergeCell ref="G2015:G2016"/>
    <mergeCell ref="H2015:H2016"/>
    <mergeCell ref="I2015:I2016"/>
    <mergeCell ref="J2015:J2016"/>
    <mergeCell ref="B2017:B2018"/>
    <mergeCell ref="C2017:C2018"/>
    <mergeCell ref="D2017:D2018"/>
    <mergeCell ref="E2017:E2018"/>
    <mergeCell ref="G2017:G2018"/>
    <mergeCell ref="H2017:H2018"/>
    <mergeCell ref="I2017:I2018"/>
    <mergeCell ref="J2017:J2018"/>
    <mergeCell ref="B2019:B2020"/>
    <mergeCell ref="C2019:C2020"/>
    <mergeCell ref="D2019:D2020"/>
    <mergeCell ref="E2019:E2020"/>
    <mergeCell ref="G2019:G2020"/>
    <mergeCell ref="H2019:H2020"/>
    <mergeCell ref="I2019:I2020"/>
    <mergeCell ref="J2019:J2020"/>
    <mergeCell ref="B2021:B2022"/>
    <mergeCell ref="C2021:C2022"/>
    <mergeCell ref="D2021:D2022"/>
    <mergeCell ref="E2021:E2022"/>
    <mergeCell ref="G2021:G2022"/>
    <mergeCell ref="H2021:H2022"/>
    <mergeCell ref="I2021:I2022"/>
    <mergeCell ref="J2021:J2022"/>
    <mergeCell ref="B2023:B2024"/>
    <mergeCell ref="C2023:C2024"/>
    <mergeCell ref="D2023:D2024"/>
    <mergeCell ref="E2023:E2024"/>
    <mergeCell ref="G2023:G2024"/>
    <mergeCell ref="H2023:H2024"/>
    <mergeCell ref="I2023:I2024"/>
    <mergeCell ref="J2023:J2024"/>
    <mergeCell ref="B2025:B2026"/>
    <mergeCell ref="C2025:C2026"/>
    <mergeCell ref="D2025:D2026"/>
    <mergeCell ref="E2025:E2026"/>
    <mergeCell ref="G2025:G2026"/>
    <mergeCell ref="H2025:H2026"/>
    <mergeCell ref="I2025:I2026"/>
    <mergeCell ref="J2025:J2026"/>
    <mergeCell ref="B2027:B2028"/>
    <mergeCell ref="C2027:C2028"/>
    <mergeCell ref="D2027:D2028"/>
    <mergeCell ref="E2027:E2028"/>
    <mergeCell ref="G2027:G2028"/>
    <mergeCell ref="H2027:H2028"/>
    <mergeCell ref="I2027:I2028"/>
    <mergeCell ref="J2027:J2028"/>
    <mergeCell ref="B2029:B2030"/>
    <mergeCell ref="C2029:C2030"/>
    <mergeCell ref="D2029:D2030"/>
    <mergeCell ref="E2029:E2030"/>
    <mergeCell ref="G2029:G2030"/>
    <mergeCell ref="H2029:H2030"/>
    <mergeCell ref="I2029:I2030"/>
    <mergeCell ref="J2029:J2030"/>
    <mergeCell ref="B2031:B2032"/>
    <mergeCell ref="C2031:C2032"/>
    <mergeCell ref="D2031:D2032"/>
    <mergeCell ref="E2031:E2032"/>
    <mergeCell ref="G2031:G2032"/>
    <mergeCell ref="H2031:H2032"/>
    <mergeCell ref="I2031:I2032"/>
    <mergeCell ref="J2031:J2032"/>
    <mergeCell ref="B2033:B2034"/>
    <mergeCell ref="C2033:C2034"/>
    <mergeCell ref="D2033:D2034"/>
    <mergeCell ref="E2033:E2034"/>
    <mergeCell ref="G2033:G2034"/>
    <mergeCell ref="H2033:H2034"/>
    <mergeCell ref="I2033:I2034"/>
    <mergeCell ref="J2033:J2034"/>
    <mergeCell ref="B2035:B2036"/>
    <mergeCell ref="C2035:C2036"/>
    <mergeCell ref="D2035:D2036"/>
    <mergeCell ref="E2035:E2036"/>
    <mergeCell ref="G2035:G2036"/>
    <mergeCell ref="H2035:H2036"/>
    <mergeCell ref="I2035:I2036"/>
    <mergeCell ref="J2035:J2036"/>
    <mergeCell ref="B2037:B2038"/>
    <mergeCell ref="C2037:C2038"/>
    <mergeCell ref="D2037:D2038"/>
    <mergeCell ref="E2037:E2038"/>
    <mergeCell ref="G2037:G2038"/>
    <mergeCell ref="H2037:H2038"/>
    <mergeCell ref="I2037:I2038"/>
    <mergeCell ref="J2037:J2038"/>
    <mergeCell ref="B2039:B2040"/>
    <mergeCell ref="C2039:C2040"/>
    <mergeCell ref="D2039:D2040"/>
    <mergeCell ref="E2039:E2040"/>
    <mergeCell ref="G2039:G2040"/>
    <mergeCell ref="H2039:H2040"/>
    <mergeCell ref="I2039:I2040"/>
    <mergeCell ref="J2039:J2040"/>
    <mergeCell ref="B2041:B2042"/>
    <mergeCell ref="C2041:C2042"/>
    <mergeCell ref="D2041:D2042"/>
    <mergeCell ref="E2041:E2042"/>
    <mergeCell ref="G2041:G2042"/>
    <mergeCell ref="H2041:H2042"/>
    <mergeCell ref="I2041:I2042"/>
    <mergeCell ref="J2041:J2042"/>
    <mergeCell ref="B2043:B2044"/>
    <mergeCell ref="C2043:C2044"/>
    <mergeCell ref="D2043:D2044"/>
    <mergeCell ref="E2043:E2044"/>
    <mergeCell ref="G2043:G2044"/>
    <mergeCell ref="H2043:H2044"/>
    <mergeCell ref="I2043:I2044"/>
    <mergeCell ref="J2043:J2044"/>
    <mergeCell ref="B2045:B2046"/>
    <mergeCell ref="C2045:C2046"/>
    <mergeCell ref="D2045:D2046"/>
    <mergeCell ref="E2045:E2046"/>
    <mergeCell ref="G2045:G2046"/>
    <mergeCell ref="H2045:H2046"/>
    <mergeCell ref="I2045:I2046"/>
    <mergeCell ref="J2045:J2046"/>
    <mergeCell ref="B2047:B2048"/>
    <mergeCell ref="C2047:C2048"/>
    <mergeCell ref="D2047:D2048"/>
    <mergeCell ref="E2047:E2048"/>
    <mergeCell ref="G2047:G2048"/>
    <mergeCell ref="H2047:H2048"/>
    <mergeCell ref="I2047:I2048"/>
    <mergeCell ref="J2047:J2048"/>
    <mergeCell ref="B2049:B2050"/>
    <mergeCell ref="C2049:C2050"/>
    <mergeCell ref="D2049:D2050"/>
    <mergeCell ref="E2049:E2050"/>
    <mergeCell ref="G2049:G2050"/>
    <mergeCell ref="H2049:H2050"/>
    <mergeCell ref="I2049:I2050"/>
    <mergeCell ref="J2049:J2050"/>
    <mergeCell ref="B2051:B2052"/>
    <mergeCell ref="C2051:C2052"/>
    <mergeCell ref="D2051:D2052"/>
    <mergeCell ref="E2051:E2052"/>
    <mergeCell ref="G2051:G2052"/>
    <mergeCell ref="H2051:H2052"/>
    <mergeCell ref="I2051:I2052"/>
    <mergeCell ref="J2051:J2052"/>
    <mergeCell ref="B2053:B2054"/>
    <mergeCell ref="C2053:C2054"/>
    <mergeCell ref="D2053:D2054"/>
    <mergeCell ref="E2053:E2054"/>
    <mergeCell ref="G2053:G2054"/>
    <mergeCell ref="H2053:H2054"/>
    <mergeCell ref="I2053:I2054"/>
    <mergeCell ref="J2053:J2054"/>
    <mergeCell ref="B2055:B2056"/>
    <mergeCell ref="C2055:C2056"/>
    <mergeCell ref="D2055:D2056"/>
    <mergeCell ref="E2055:E2056"/>
    <mergeCell ref="G2055:G2056"/>
    <mergeCell ref="H2055:H2056"/>
    <mergeCell ref="I2055:I2056"/>
    <mergeCell ref="J2055:J2056"/>
    <mergeCell ref="B2057:B2058"/>
    <mergeCell ref="C2057:C2058"/>
    <mergeCell ref="D2057:D2058"/>
    <mergeCell ref="E2057:E2058"/>
    <mergeCell ref="G2057:G2058"/>
    <mergeCell ref="H2057:H2058"/>
    <mergeCell ref="I2057:I2058"/>
    <mergeCell ref="J2057:J2058"/>
    <mergeCell ref="B2059:B2060"/>
    <mergeCell ref="C2059:C2060"/>
    <mergeCell ref="D2059:D2060"/>
    <mergeCell ref="E2059:E2060"/>
    <mergeCell ref="G2059:G2060"/>
    <mergeCell ref="H2059:H2060"/>
    <mergeCell ref="I2059:I2060"/>
    <mergeCell ref="J2059:J2060"/>
    <mergeCell ref="B2061:B2062"/>
    <mergeCell ref="C2061:C2062"/>
    <mergeCell ref="D2061:D2062"/>
    <mergeCell ref="E2061:E2062"/>
    <mergeCell ref="G2061:G2062"/>
    <mergeCell ref="H2061:H2062"/>
    <mergeCell ref="I2061:I2062"/>
    <mergeCell ref="J2061:J2062"/>
    <mergeCell ref="B2063:B2064"/>
    <mergeCell ref="C2063:C2064"/>
    <mergeCell ref="D2063:D2064"/>
    <mergeCell ref="E2063:E2064"/>
    <mergeCell ref="G2063:G2064"/>
    <mergeCell ref="H2063:H2064"/>
    <mergeCell ref="I2063:I2064"/>
    <mergeCell ref="J2063:J2064"/>
    <mergeCell ref="B2065:B2066"/>
    <mergeCell ref="C2065:C2066"/>
    <mergeCell ref="D2065:D2066"/>
    <mergeCell ref="E2065:E2066"/>
    <mergeCell ref="G2065:G2066"/>
    <mergeCell ref="H2065:H2066"/>
    <mergeCell ref="I2065:I2066"/>
    <mergeCell ref="J2065:J2066"/>
    <mergeCell ref="B2067:B2068"/>
    <mergeCell ref="C2067:C2068"/>
    <mergeCell ref="D2067:D2068"/>
    <mergeCell ref="E2067:E2068"/>
    <mergeCell ref="G2067:G2068"/>
    <mergeCell ref="H2067:H2068"/>
    <mergeCell ref="I2067:I2068"/>
    <mergeCell ref="J2067:J2068"/>
    <mergeCell ref="B2069:B2070"/>
    <mergeCell ref="C2069:C2070"/>
    <mergeCell ref="D2069:D2070"/>
    <mergeCell ref="E2069:E2070"/>
    <mergeCell ref="G2069:G2070"/>
    <mergeCell ref="H2069:H2070"/>
    <mergeCell ref="I2069:I2070"/>
    <mergeCell ref="J2069:J2070"/>
    <mergeCell ref="B2071:B2072"/>
    <mergeCell ref="C2071:C2072"/>
    <mergeCell ref="D2071:D2072"/>
    <mergeCell ref="E2071:E2072"/>
    <mergeCell ref="G2071:G2072"/>
    <mergeCell ref="H2071:H2072"/>
    <mergeCell ref="I2071:I2072"/>
    <mergeCell ref="J2071:J2072"/>
    <mergeCell ref="B2073:B2074"/>
    <mergeCell ref="C2073:C2074"/>
    <mergeCell ref="D2073:D2074"/>
    <mergeCell ref="E2073:E2074"/>
    <mergeCell ref="G2073:G2074"/>
    <mergeCell ref="H2073:H2074"/>
    <mergeCell ref="I2073:I2074"/>
    <mergeCell ref="J2073:J2074"/>
    <mergeCell ref="B2075:B2076"/>
    <mergeCell ref="C2075:C2076"/>
    <mergeCell ref="D2075:D2076"/>
    <mergeCell ref="E2075:E2076"/>
    <mergeCell ref="G2075:G2076"/>
    <mergeCell ref="H2075:H2076"/>
    <mergeCell ref="I2075:I2076"/>
    <mergeCell ref="J2075:J2076"/>
    <mergeCell ref="B2077:B2078"/>
    <mergeCell ref="C2077:C2078"/>
    <mergeCell ref="D2077:D2078"/>
    <mergeCell ref="E2077:E2078"/>
    <mergeCell ref="G2077:G2078"/>
    <mergeCell ref="H2077:H2078"/>
    <mergeCell ref="I2077:I2078"/>
    <mergeCell ref="J2077:J2078"/>
    <mergeCell ref="B2079:B2080"/>
    <mergeCell ref="C2079:C2080"/>
    <mergeCell ref="D2079:D2080"/>
    <mergeCell ref="E2079:E2080"/>
    <mergeCell ref="G2079:G2080"/>
    <mergeCell ref="H2079:H2080"/>
    <mergeCell ref="I2079:I2080"/>
    <mergeCell ref="J2079:J2080"/>
    <mergeCell ref="B2081:B2082"/>
    <mergeCell ref="C2081:C2082"/>
    <mergeCell ref="D2081:D2082"/>
    <mergeCell ref="E2081:E2082"/>
    <mergeCell ref="G2081:G2082"/>
    <mergeCell ref="H2081:H2082"/>
    <mergeCell ref="I2081:I2082"/>
    <mergeCell ref="J2081:J2082"/>
    <mergeCell ref="B2083:B2084"/>
    <mergeCell ref="C2083:C2084"/>
    <mergeCell ref="D2083:D2084"/>
    <mergeCell ref="E2083:E2084"/>
    <mergeCell ref="G2083:G2084"/>
    <mergeCell ref="H2083:H2084"/>
    <mergeCell ref="I2083:I2084"/>
    <mergeCell ref="J2083:J2084"/>
    <mergeCell ref="B2085:B2086"/>
    <mergeCell ref="C2085:C2086"/>
    <mergeCell ref="D2085:D2086"/>
    <mergeCell ref="E2085:E2086"/>
    <mergeCell ref="G2085:G2086"/>
    <mergeCell ref="H2085:H2086"/>
    <mergeCell ref="I2085:I2086"/>
    <mergeCell ref="J2085:J2086"/>
    <mergeCell ref="B2087:B2088"/>
    <mergeCell ref="C2087:C2088"/>
    <mergeCell ref="D2087:D2088"/>
    <mergeCell ref="E2087:E2088"/>
    <mergeCell ref="G2087:G2088"/>
    <mergeCell ref="H2087:H2088"/>
    <mergeCell ref="I2087:I2088"/>
    <mergeCell ref="J2087:J2088"/>
    <mergeCell ref="B2089:B2090"/>
    <mergeCell ref="C2089:C2090"/>
    <mergeCell ref="D2089:D2090"/>
    <mergeCell ref="E2089:E2090"/>
    <mergeCell ref="G2089:G2090"/>
    <mergeCell ref="H2089:H2090"/>
    <mergeCell ref="I2089:I2090"/>
    <mergeCell ref="J2089:J2090"/>
    <mergeCell ref="B2091:B2092"/>
    <mergeCell ref="C2091:C2092"/>
    <mergeCell ref="D2091:D2092"/>
    <mergeCell ref="E2091:E2092"/>
    <mergeCell ref="G2091:G2092"/>
    <mergeCell ref="H2091:H2092"/>
    <mergeCell ref="I2091:I2092"/>
    <mergeCell ref="J2091:J2092"/>
    <mergeCell ref="B2093:B2094"/>
    <mergeCell ref="C2093:C2094"/>
    <mergeCell ref="D2093:D2094"/>
    <mergeCell ref="E2093:E2094"/>
    <mergeCell ref="G2093:G2094"/>
    <mergeCell ref="H2093:H2094"/>
    <mergeCell ref="I2093:I2094"/>
    <mergeCell ref="J2093:J2094"/>
    <mergeCell ref="B2095:B2096"/>
    <mergeCell ref="C2095:C2096"/>
    <mergeCell ref="D2095:D2096"/>
    <mergeCell ref="E2095:E2096"/>
    <mergeCell ref="G2095:G2096"/>
    <mergeCell ref="H2095:H2096"/>
    <mergeCell ref="I2095:I2096"/>
    <mergeCell ref="J2095:J2096"/>
    <mergeCell ref="B2097:B2098"/>
    <mergeCell ref="C2097:C2098"/>
    <mergeCell ref="D2097:D2098"/>
    <mergeCell ref="E2097:E2098"/>
    <mergeCell ref="G2097:G2098"/>
    <mergeCell ref="H2097:H2098"/>
    <mergeCell ref="I2097:I2098"/>
    <mergeCell ref="J2097:J2098"/>
    <mergeCell ref="B2099:B2100"/>
    <mergeCell ref="C2099:C2100"/>
    <mergeCell ref="D2099:D2100"/>
    <mergeCell ref="E2099:E2100"/>
    <mergeCell ref="G2099:G2100"/>
    <mergeCell ref="H2099:H2100"/>
    <mergeCell ref="I2099:I2100"/>
    <mergeCell ref="J2099:J2100"/>
    <mergeCell ref="B2101:B2102"/>
    <mergeCell ref="C2101:C2102"/>
    <mergeCell ref="D2101:D2102"/>
    <mergeCell ref="E2101:E2102"/>
    <mergeCell ref="G2101:G2102"/>
    <mergeCell ref="H2101:H2102"/>
    <mergeCell ref="I2101:I2102"/>
    <mergeCell ref="J2101:J2102"/>
    <mergeCell ref="B2103:B2104"/>
    <mergeCell ref="C2103:C2104"/>
    <mergeCell ref="D2103:D2104"/>
    <mergeCell ref="E2103:E2104"/>
    <mergeCell ref="G2103:G2104"/>
    <mergeCell ref="H2103:H2104"/>
    <mergeCell ref="I2103:I2104"/>
    <mergeCell ref="J2103:J2104"/>
    <mergeCell ref="B2105:B2106"/>
    <mergeCell ref="C2105:C2106"/>
    <mergeCell ref="D2105:D2106"/>
    <mergeCell ref="E2105:E2106"/>
    <mergeCell ref="G2105:G2106"/>
    <mergeCell ref="H2105:H2106"/>
    <mergeCell ref="I2105:I2106"/>
    <mergeCell ref="J2105:J2106"/>
    <mergeCell ref="B2107:B2108"/>
    <mergeCell ref="C2107:C2108"/>
    <mergeCell ref="D2107:D2108"/>
    <mergeCell ref="E2107:E2108"/>
    <mergeCell ref="G2107:G2108"/>
    <mergeCell ref="H2107:H2108"/>
    <mergeCell ref="I2107:I2108"/>
    <mergeCell ref="J2107:J2108"/>
    <mergeCell ref="B2109:B2110"/>
    <mergeCell ref="C2109:C2110"/>
    <mergeCell ref="D2109:D2110"/>
    <mergeCell ref="E2109:E2110"/>
    <mergeCell ref="G2109:G2110"/>
    <mergeCell ref="H2109:H2110"/>
    <mergeCell ref="I2109:I2110"/>
    <mergeCell ref="J2109:J2110"/>
    <mergeCell ref="B2111:B2112"/>
    <mergeCell ref="C2111:C2112"/>
    <mergeCell ref="D2111:D2112"/>
    <mergeCell ref="E2111:E2112"/>
    <mergeCell ref="G2111:G2112"/>
    <mergeCell ref="H2111:H2112"/>
    <mergeCell ref="I2111:I2112"/>
    <mergeCell ref="J2111:J2112"/>
    <mergeCell ref="B2113:B2114"/>
    <mergeCell ref="C2113:C2114"/>
    <mergeCell ref="D2113:D2114"/>
    <mergeCell ref="E2113:E2114"/>
    <mergeCell ref="G2113:G2114"/>
    <mergeCell ref="H2113:H2114"/>
    <mergeCell ref="I2113:I2114"/>
    <mergeCell ref="J2113:J2114"/>
    <mergeCell ref="B2115:B2116"/>
    <mergeCell ref="C2115:C2116"/>
    <mergeCell ref="D2115:D2116"/>
    <mergeCell ref="E2115:E2116"/>
    <mergeCell ref="G2115:G2116"/>
    <mergeCell ref="H2115:H2116"/>
    <mergeCell ref="I2115:I2116"/>
    <mergeCell ref="J2115:J2116"/>
    <mergeCell ref="B2117:B2118"/>
    <mergeCell ref="C2117:C2118"/>
    <mergeCell ref="D2117:D2118"/>
    <mergeCell ref="E2117:E2118"/>
    <mergeCell ref="G2117:G2118"/>
    <mergeCell ref="H2117:H2118"/>
    <mergeCell ref="I2117:I2118"/>
    <mergeCell ref="J2117:J2118"/>
    <mergeCell ref="B2119:B2120"/>
    <mergeCell ref="C2119:C2120"/>
    <mergeCell ref="D2119:D2120"/>
    <mergeCell ref="E2119:E2120"/>
    <mergeCell ref="G2119:G2120"/>
    <mergeCell ref="H2119:H2120"/>
    <mergeCell ref="I2119:I2120"/>
    <mergeCell ref="J2119:J2120"/>
    <mergeCell ref="B2121:B2122"/>
    <mergeCell ref="C2121:C2122"/>
    <mergeCell ref="D2121:D2122"/>
    <mergeCell ref="E2121:E2122"/>
    <mergeCell ref="G2121:G2122"/>
    <mergeCell ref="H2121:H2122"/>
    <mergeCell ref="I2121:I2122"/>
    <mergeCell ref="J2121:J2122"/>
    <mergeCell ref="B2123:B2124"/>
    <mergeCell ref="C2123:C2124"/>
    <mergeCell ref="D2123:D2124"/>
    <mergeCell ref="E2123:E2124"/>
    <mergeCell ref="G2123:G2124"/>
    <mergeCell ref="H2123:H2124"/>
    <mergeCell ref="I2123:I2124"/>
    <mergeCell ref="J2123:J2124"/>
    <mergeCell ref="B2125:B2126"/>
    <mergeCell ref="C2125:C2126"/>
    <mergeCell ref="D2125:D2126"/>
    <mergeCell ref="E2125:E2126"/>
    <mergeCell ref="G2125:G2126"/>
    <mergeCell ref="H2125:H2126"/>
    <mergeCell ref="I2125:I2126"/>
    <mergeCell ref="J2125:J2126"/>
    <mergeCell ref="B2127:B2128"/>
    <mergeCell ref="C2127:C2128"/>
    <mergeCell ref="D2127:D2128"/>
    <mergeCell ref="E2127:E2128"/>
    <mergeCell ref="G2127:G2128"/>
    <mergeCell ref="H2127:H2128"/>
    <mergeCell ref="I2127:I2128"/>
    <mergeCell ref="J2127:J2128"/>
    <mergeCell ref="B2129:B2130"/>
    <mergeCell ref="C2129:C2130"/>
    <mergeCell ref="D2129:D2130"/>
    <mergeCell ref="E2129:E2130"/>
    <mergeCell ref="G2129:G2130"/>
    <mergeCell ref="H2129:H2130"/>
    <mergeCell ref="I2129:I2130"/>
    <mergeCell ref="J2129:J2130"/>
    <mergeCell ref="B2131:B2132"/>
    <mergeCell ref="C2131:C2132"/>
    <mergeCell ref="D2131:D2132"/>
    <mergeCell ref="E2131:E2132"/>
    <mergeCell ref="G2131:G2132"/>
    <mergeCell ref="H2131:H2132"/>
    <mergeCell ref="I2131:I2132"/>
    <mergeCell ref="J2131:J2132"/>
    <mergeCell ref="B2133:B2134"/>
    <mergeCell ref="C2133:C2134"/>
    <mergeCell ref="D2133:D2134"/>
    <mergeCell ref="E2133:E2134"/>
    <mergeCell ref="G2133:G2134"/>
    <mergeCell ref="H2133:H2134"/>
    <mergeCell ref="I2133:I2134"/>
    <mergeCell ref="J2133:J2134"/>
    <mergeCell ref="B2135:B2136"/>
    <mergeCell ref="C2135:C2136"/>
    <mergeCell ref="D2135:D2136"/>
    <mergeCell ref="E2135:E2136"/>
    <mergeCell ref="G2135:G2136"/>
    <mergeCell ref="H2135:H2136"/>
    <mergeCell ref="I2135:I2136"/>
    <mergeCell ref="J2135:J2136"/>
    <mergeCell ref="B2137:B2138"/>
    <mergeCell ref="C2137:C2138"/>
    <mergeCell ref="D2137:D2138"/>
    <mergeCell ref="E2137:E2138"/>
    <mergeCell ref="G2137:G2138"/>
    <mergeCell ref="H2137:H2138"/>
    <mergeCell ref="I2137:I2138"/>
    <mergeCell ref="J2137:J2138"/>
    <mergeCell ref="B2139:B2140"/>
    <mergeCell ref="C2139:C2140"/>
    <mergeCell ref="D2139:D2140"/>
    <mergeCell ref="E2139:E2140"/>
    <mergeCell ref="G2139:G2140"/>
    <mergeCell ref="H2139:H2140"/>
    <mergeCell ref="I2139:I2140"/>
    <mergeCell ref="J2139:J2140"/>
    <mergeCell ref="B2141:B2142"/>
    <mergeCell ref="C2141:C2142"/>
    <mergeCell ref="D2141:D2142"/>
    <mergeCell ref="E2141:E2142"/>
    <mergeCell ref="G2141:G2142"/>
    <mergeCell ref="H2141:H2142"/>
    <mergeCell ref="I2141:I2142"/>
    <mergeCell ref="J2141:J2142"/>
    <mergeCell ref="B2143:B2144"/>
    <mergeCell ref="C2143:C2144"/>
    <mergeCell ref="D2143:D2144"/>
    <mergeCell ref="E2143:E2144"/>
    <mergeCell ref="G2143:G2144"/>
    <mergeCell ref="H2143:H2144"/>
    <mergeCell ref="I2143:I2144"/>
    <mergeCell ref="J2143:J2144"/>
    <mergeCell ref="B2145:B2146"/>
    <mergeCell ref="C2145:C2146"/>
    <mergeCell ref="D2145:D2146"/>
    <mergeCell ref="E2145:E2146"/>
    <mergeCell ref="G2145:G2146"/>
    <mergeCell ref="H2145:H2146"/>
    <mergeCell ref="I2145:I2146"/>
    <mergeCell ref="J2145:J2146"/>
    <mergeCell ref="B2147:B2148"/>
    <mergeCell ref="C2147:C2148"/>
    <mergeCell ref="D2147:D2148"/>
    <mergeCell ref="E2147:E2148"/>
    <mergeCell ref="G2147:G2148"/>
    <mergeCell ref="H2147:H2148"/>
    <mergeCell ref="I2147:I2148"/>
    <mergeCell ref="J2147:J2148"/>
    <mergeCell ref="B2149:B2150"/>
    <mergeCell ref="C2149:C2150"/>
    <mergeCell ref="D2149:D2150"/>
    <mergeCell ref="E2149:E2150"/>
    <mergeCell ref="G2149:G2150"/>
    <mergeCell ref="H2149:H2150"/>
    <mergeCell ref="I2149:I2150"/>
    <mergeCell ref="J2149:J2150"/>
    <mergeCell ref="B2151:B2152"/>
    <mergeCell ref="C2151:C2152"/>
    <mergeCell ref="D2151:D2152"/>
    <mergeCell ref="E2151:E2152"/>
    <mergeCell ref="G2151:G2152"/>
    <mergeCell ref="H2151:H2152"/>
    <mergeCell ref="I2151:I2152"/>
    <mergeCell ref="J2151:J2152"/>
    <mergeCell ref="B2153:B2154"/>
    <mergeCell ref="C2153:C2154"/>
    <mergeCell ref="D2153:D2154"/>
    <mergeCell ref="E2153:E2154"/>
    <mergeCell ref="G2153:G2154"/>
    <mergeCell ref="H2153:H2154"/>
    <mergeCell ref="I2153:I2154"/>
    <mergeCell ref="J2153:J2154"/>
    <mergeCell ref="B2155:B2156"/>
    <mergeCell ref="C2155:C2156"/>
    <mergeCell ref="D2155:D2156"/>
    <mergeCell ref="E2155:E2156"/>
    <mergeCell ref="G2155:G2156"/>
    <mergeCell ref="H2155:H2156"/>
    <mergeCell ref="I2155:I2156"/>
    <mergeCell ref="J2155:J2156"/>
    <mergeCell ref="B2157:B2158"/>
    <mergeCell ref="C2157:C2158"/>
    <mergeCell ref="D2157:D2158"/>
    <mergeCell ref="E2157:E2158"/>
    <mergeCell ref="G2157:G2158"/>
    <mergeCell ref="H2157:H2158"/>
    <mergeCell ref="I2157:I2158"/>
    <mergeCell ref="J2157:J2158"/>
    <mergeCell ref="B2159:B2160"/>
    <mergeCell ref="C2159:C2160"/>
    <mergeCell ref="D2159:D2160"/>
    <mergeCell ref="E2159:E2160"/>
    <mergeCell ref="G2159:G2160"/>
    <mergeCell ref="H2159:H2160"/>
    <mergeCell ref="I2159:I2160"/>
    <mergeCell ref="J2159:J2160"/>
    <mergeCell ref="B2161:B2162"/>
    <mergeCell ref="C2161:C2162"/>
    <mergeCell ref="D2161:D2162"/>
    <mergeCell ref="E2161:E2162"/>
    <mergeCell ref="G2161:G2162"/>
    <mergeCell ref="H2161:H2162"/>
    <mergeCell ref="I2161:I2162"/>
    <mergeCell ref="J2161:J2162"/>
    <mergeCell ref="B2163:B2164"/>
    <mergeCell ref="C2163:C2164"/>
    <mergeCell ref="D2163:D2164"/>
    <mergeCell ref="E2163:E2164"/>
    <mergeCell ref="G2163:G2164"/>
    <mergeCell ref="H2163:H2164"/>
    <mergeCell ref="I2163:I2164"/>
    <mergeCell ref="J2163:J2164"/>
    <mergeCell ref="B2165:B2166"/>
    <mergeCell ref="C2165:C2166"/>
    <mergeCell ref="D2165:D2166"/>
    <mergeCell ref="E2165:E2166"/>
    <mergeCell ref="G2165:G2166"/>
    <mergeCell ref="H2165:H2166"/>
    <mergeCell ref="I2165:I2166"/>
    <mergeCell ref="J2165:J2166"/>
    <mergeCell ref="B2167:B2168"/>
    <mergeCell ref="C2167:C2168"/>
    <mergeCell ref="D2167:D2168"/>
    <mergeCell ref="E2167:E2168"/>
    <mergeCell ref="G2167:G2168"/>
    <mergeCell ref="H2167:H2168"/>
    <mergeCell ref="I2167:I2168"/>
    <mergeCell ref="J2167:J2168"/>
    <mergeCell ref="B2169:B2170"/>
    <mergeCell ref="C2169:C2170"/>
    <mergeCell ref="D2169:D2170"/>
    <mergeCell ref="E2169:E2170"/>
    <mergeCell ref="G2169:G2170"/>
    <mergeCell ref="H2169:H2170"/>
    <mergeCell ref="I2169:I2170"/>
    <mergeCell ref="J2169:J2170"/>
    <mergeCell ref="B2171:B2172"/>
    <mergeCell ref="C2171:C2172"/>
    <mergeCell ref="D2171:D2172"/>
    <mergeCell ref="E2171:E2172"/>
    <mergeCell ref="G2171:G2172"/>
    <mergeCell ref="H2171:H2172"/>
    <mergeCell ref="I2171:I2172"/>
    <mergeCell ref="J2171:J2172"/>
    <mergeCell ref="B2173:B2174"/>
    <mergeCell ref="C2173:C2174"/>
    <mergeCell ref="D2173:D2174"/>
    <mergeCell ref="E2173:E2174"/>
    <mergeCell ref="G2173:G2174"/>
    <mergeCell ref="H2173:H2174"/>
    <mergeCell ref="I2173:I2174"/>
    <mergeCell ref="J2173:J2174"/>
    <mergeCell ref="B2175:B2176"/>
    <mergeCell ref="C2175:C2176"/>
    <mergeCell ref="D2175:D2176"/>
    <mergeCell ref="E2175:E2176"/>
    <mergeCell ref="G2175:G2176"/>
    <mergeCell ref="H2175:H2176"/>
    <mergeCell ref="I2175:I2176"/>
    <mergeCell ref="J2175:J2176"/>
    <mergeCell ref="B2177:B2178"/>
    <mergeCell ref="C2177:C2178"/>
    <mergeCell ref="D2177:D2178"/>
    <mergeCell ref="E2177:E2178"/>
    <mergeCell ref="G2177:G2178"/>
    <mergeCell ref="H2177:H2178"/>
    <mergeCell ref="I2177:I2178"/>
    <mergeCell ref="J2177:J2178"/>
    <mergeCell ref="B2179:B2180"/>
    <mergeCell ref="C2179:C2180"/>
    <mergeCell ref="D2179:D2180"/>
    <mergeCell ref="E2179:E2180"/>
    <mergeCell ref="G2179:G2180"/>
    <mergeCell ref="H2179:H2180"/>
    <mergeCell ref="I2179:I2180"/>
    <mergeCell ref="J2179:J2180"/>
    <mergeCell ref="B2181:B2182"/>
    <mergeCell ref="C2181:C2182"/>
    <mergeCell ref="D2181:D2182"/>
    <mergeCell ref="E2181:E2182"/>
    <mergeCell ref="G2181:G2182"/>
    <mergeCell ref="H2181:H2182"/>
    <mergeCell ref="I2181:I2182"/>
    <mergeCell ref="J2181:J2182"/>
    <mergeCell ref="B2183:B2184"/>
    <mergeCell ref="C2183:C2184"/>
    <mergeCell ref="D2183:D2184"/>
    <mergeCell ref="E2183:E2184"/>
    <mergeCell ref="G2183:G2184"/>
    <mergeCell ref="H2183:H2184"/>
    <mergeCell ref="I2183:I2184"/>
    <mergeCell ref="J2183:J2184"/>
    <mergeCell ref="B2185:B2186"/>
    <mergeCell ref="C2185:C2186"/>
    <mergeCell ref="D2185:D2186"/>
    <mergeCell ref="E2185:E2186"/>
    <mergeCell ref="G2185:G2186"/>
    <mergeCell ref="H2185:H2186"/>
    <mergeCell ref="I2185:I2186"/>
    <mergeCell ref="J2185:J2186"/>
    <mergeCell ref="B2187:B2188"/>
    <mergeCell ref="C2187:C2188"/>
    <mergeCell ref="D2187:D2188"/>
    <mergeCell ref="E2187:E2188"/>
    <mergeCell ref="G2187:G2188"/>
    <mergeCell ref="H2187:H2188"/>
    <mergeCell ref="I2187:I2188"/>
    <mergeCell ref="J2187:J2188"/>
    <mergeCell ref="B2189:B2190"/>
    <mergeCell ref="C2189:C2190"/>
    <mergeCell ref="D2189:D2190"/>
    <mergeCell ref="E2189:E2190"/>
    <mergeCell ref="G2189:G2190"/>
    <mergeCell ref="H2189:H2190"/>
    <mergeCell ref="I2189:I2190"/>
    <mergeCell ref="J2189:J2190"/>
    <mergeCell ref="B2191:B2192"/>
    <mergeCell ref="C2191:C2192"/>
    <mergeCell ref="D2191:D2192"/>
    <mergeCell ref="E2191:E2192"/>
    <mergeCell ref="G2191:G2192"/>
    <mergeCell ref="H2191:H2192"/>
    <mergeCell ref="I2191:I2192"/>
    <mergeCell ref="J2191:J2192"/>
    <mergeCell ref="B2193:B2194"/>
    <mergeCell ref="C2193:C2194"/>
    <mergeCell ref="D2193:D2194"/>
    <mergeCell ref="E2193:E2194"/>
    <mergeCell ref="G2193:G2194"/>
    <mergeCell ref="H2193:H2194"/>
    <mergeCell ref="I2193:I2194"/>
    <mergeCell ref="J2193:J2194"/>
    <mergeCell ref="B2195:B2196"/>
    <mergeCell ref="C2195:C2196"/>
    <mergeCell ref="D2195:D2196"/>
    <mergeCell ref="E2195:E2196"/>
    <mergeCell ref="G2195:G2196"/>
    <mergeCell ref="H2195:H2196"/>
    <mergeCell ref="I2195:I2196"/>
    <mergeCell ref="J2195:J2196"/>
    <mergeCell ref="B2197:B2198"/>
    <mergeCell ref="C2197:C2198"/>
    <mergeCell ref="D2197:D2198"/>
    <mergeCell ref="E2197:E2198"/>
    <mergeCell ref="G2197:G2198"/>
    <mergeCell ref="H2197:H2198"/>
    <mergeCell ref="I2197:I2198"/>
    <mergeCell ref="J2197:J2198"/>
    <mergeCell ref="B2199:B2200"/>
    <mergeCell ref="C2199:C2200"/>
    <mergeCell ref="D2199:D2200"/>
    <mergeCell ref="E2199:E2200"/>
    <mergeCell ref="G2199:G2200"/>
    <mergeCell ref="H2199:H2200"/>
    <mergeCell ref="I2199:I2200"/>
    <mergeCell ref="J2199:J2200"/>
    <mergeCell ref="B2201:B2202"/>
    <mergeCell ref="C2201:C2202"/>
    <mergeCell ref="D2201:D2202"/>
    <mergeCell ref="E2201:E2202"/>
    <mergeCell ref="G2201:G2202"/>
    <mergeCell ref="H2201:H2202"/>
    <mergeCell ref="I2201:I2202"/>
    <mergeCell ref="J2201:J2202"/>
    <mergeCell ref="B2203:B2204"/>
    <mergeCell ref="C2203:C2204"/>
    <mergeCell ref="D2203:D2204"/>
    <mergeCell ref="E2203:E2204"/>
    <mergeCell ref="G2203:G2204"/>
    <mergeCell ref="H2203:H2204"/>
    <mergeCell ref="I2203:I2204"/>
    <mergeCell ref="J2203:J2204"/>
    <mergeCell ref="B2205:B2206"/>
    <mergeCell ref="C2205:C2206"/>
    <mergeCell ref="D2205:D2206"/>
    <mergeCell ref="E2205:E2206"/>
    <mergeCell ref="G2205:G2206"/>
    <mergeCell ref="H2205:H2206"/>
    <mergeCell ref="I2205:I2206"/>
    <mergeCell ref="J2205:J2206"/>
    <mergeCell ref="B2207:B2208"/>
    <mergeCell ref="C2207:C2208"/>
    <mergeCell ref="D2207:D2208"/>
    <mergeCell ref="E2207:E2208"/>
    <mergeCell ref="G2207:G2208"/>
    <mergeCell ref="H2207:H2208"/>
    <mergeCell ref="I2207:I2208"/>
    <mergeCell ref="J2207:J2208"/>
    <mergeCell ref="B2209:B2210"/>
    <mergeCell ref="C2209:C2210"/>
    <mergeCell ref="D2209:D2210"/>
    <mergeCell ref="E2209:E2210"/>
    <mergeCell ref="G2209:G2210"/>
    <mergeCell ref="H2209:H2210"/>
    <mergeCell ref="I2209:I2210"/>
    <mergeCell ref="J2209:J2210"/>
    <mergeCell ref="B2211:B2212"/>
    <mergeCell ref="C2211:C2212"/>
    <mergeCell ref="D2211:D2212"/>
    <mergeCell ref="E2211:E2212"/>
    <mergeCell ref="G2211:G2212"/>
    <mergeCell ref="H2211:H2212"/>
    <mergeCell ref="I2211:I2212"/>
    <mergeCell ref="J2211:J2212"/>
    <mergeCell ref="B2213:B2214"/>
    <mergeCell ref="C2213:C2214"/>
    <mergeCell ref="D2213:D2214"/>
    <mergeCell ref="E2213:E2214"/>
    <mergeCell ref="G2213:G2214"/>
    <mergeCell ref="H2213:H2214"/>
    <mergeCell ref="I2213:I2214"/>
    <mergeCell ref="J2213:J2214"/>
    <mergeCell ref="B2215:B2216"/>
    <mergeCell ref="C2215:C2216"/>
    <mergeCell ref="D2215:D2216"/>
    <mergeCell ref="E2215:E2216"/>
    <mergeCell ref="G2215:G2216"/>
    <mergeCell ref="H2215:H2216"/>
    <mergeCell ref="I2215:I2216"/>
    <mergeCell ref="J2215:J2216"/>
    <mergeCell ref="B2217:B2218"/>
    <mergeCell ref="C2217:C2218"/>
    <mergeCell ref="D2217:D2218"/>
    <mergeCell ref="E2217:E2218"/>
    <mergeCell ref="G2217:G2218"/>
    <mergeCell ref="H2217:H2218"/>
    <mergeCell ref="I2217:I2218"/>
    <mergeCell ref="J2217:J2218"/>
    <mergeCell ref="B2219:B2220"/>
    <mergeCell ref="C2219:C2220"/>
    <mergeCell ref="D2219:D2220"/>
    <mergeCell ref="E2219:E2220"/>
    <mergeCell ref="G2219:G2220"/>
    <mergeCell ref="H2219:H2220"/>
    <mergeCell ref="I2219:I2220"/>
    <mergeCell ref="J2219:J2220"/>
    <mergeCell ref="B2221:B2222"/>
    <mergeCell ref="C2221:C2222"/>
    <mergeCell ref="D2221:D2222"/>
    <mergeCell ref="E2221:E2222"/>
    <mergeCell ref="G2221:G2222"/>
    <mergeCell ref="H2221:H2222"/>
    <mergeCell ref="I2221:I2222"/>
    <mergeCell ref="J2221:J2222"/>
    <mergeCell ref="B2223:B2224"/>
    <mergeCell ref="C2223:C2224"/>
    <mergeCell ref="D2223:D2224"/>
    <mergeCell ref="E2223:E2224"/>
    <mergeCell ref="G2223:G2224"/>
    <mergeCell ref="H2223:H2224"/>
    <mergeCell ref="I2223:I2224"/>
    <mergeCell ref="J2223:J2224"/>
    <mergeCell ref="B2225:B2226"/>
    <mergeCell ref="C2225:C2226"/>
    <mergeCell ref="D2225:D2226"/>
    <mergeCell ref="E2225:E2226"/>
    <mergeCell ref="G2225:G2226"/>
    <mergeCell ref="H2225:H2226"/>
    <mergeCell ref="I2225:I2226"/>
    <mergeCell ref="J2225:J2226"/>
    <mergeCell ref="B2227:B2228"/>
    <mergeCell ref="C2227:C2228"/>
    <mergeCell ref="D2227:D2228"/>
    <mergeCell ref="E2227:E2228"/>
    <mergeCell ref="G2227:G2228"/>
    <mergeCell ref="H2227:H2228"/>
    <mergeCell ref="I2227:I2228"/>
    <mergeCell ref="J2227:J2228"/>
    <mergeCell ref="B2229:B2230"/>
    <mergeCell ref="C2229:C2230"/>
    <mergeCell ref="D2229:D2230"/>
    <mergeCell ref="E2229:E2230"/>
    <mergeCell ref="G2229:G2230"/>
    <mergeCell ref="H2229:H2230"/>
    <mergeCell ref="I2229:I2230"/>
    <mergeCell ref="J2229:J2230"/>
    <mergeCell ref="B2231:B2232"/>
    <mergeCell ref="C2231:C2232"/>
    <mergeCell ref="D2231:D2232"/>
    <mergeCell ref="E2231:E2232"/>
    <mergeCell ref="G2231:G2232"/>
    <mergeCell ref="H2231:H2232"/>
    <mergeCell ref="I2231:I2232"/>
    <mergeCell ref="J2231:J2232"/>
    <mergeCell ref="B2233:B2234"/>
    <mergeCell ref="C2233:C2234"/>
    <mergeCell ref="D2233:D2234"/>
    <mergeCell ref="E2233:E2234"/>
    <mergeCell ref="G2233:G2234"/>
    <mergeCell ref="H2233:H2234"/>
    <mergeCell ref="I2233:I2234"/>
    <mergeCell ref="J2233:J2234"/>
    <mergeCell ref="B2235:B2236"/>
    <mergeCell ref="C2235:C2236"/>
    <mergeCell ref="D2235:D2236"/>
    <mergeCell ref="E2235:E2236"/>
    <mergeCell ref="G2235:G2236"/>
    <mergeCell ref="H2235:H2236"/>
    <mergeCell ref="I2235:I2236"/>
    <mergeCell ref="J2235:J2236"/>
    <mergeCell ref="B2237:B2238"/>
    <mergeCell ref="C2237:C2238"/>
    <mergeCell ref="D2237:D2238"/>
    <mergeCell ref="E2237:E2238"/>
    <mergeCell ref="G2237:G2238"/>
    <mergeCell ref="H2237:H2238"/>
    <mergeCell ref="I2237:I2238"/>
    <mergeCell ref="J2237:J2238"/>
    <mergeCell ref="B2239:B2240"/>
    <mergeCell ref="C2239:C2240"/>
    <mergeCell ref="D2239:D2240"/>
    <mergeCell ref="E2239:E2240"/>
    <mergeCell ref="G2239:G2240"/>
    <mergeCell ref="H2239:H2240"/>
    <mergeCell ref="I2239:I2240"/>
    <mergeCell ref="J2239:J2240"/>
    <mergeCell ref="B2241:B2242"/>
    <mergeCell ref="C2241:C2242"/>
    <mergeCell ref="D2241:D2242"/>
    <mergeCell ref="E2241:E2242"/>
    <mergeCell ref="G2241:G2242"/>
    <mergeCell ref="H2241:H2242"/>
    <mergeCell ref="I2241:I2242"/>
    <mergeCell ref="J2241:J2242"/>
    <mergeCell ref="B2243:B2244"/>
    <mergeCell ref="C2243:C2244"/>
    <mergeCell ref="D2243:D2244"/>
    <mergeCell ref="E2243:E2244"/>
    <mergeCell ref="G2243:G2244"/>
    <mergeCell ref="H2243:H2244"/>
    <mergeCell ref="I2243:I2244"/>
    <mergeCell ref="J2243:J2244"/>
    <mergeCell ref="B2245:B2246"/>
    <mergeCell ref="C2245:C2246"/>
    <mergeCell ref="D2245:D2246"/>
    <mergeCell ref="E2245:E2246"/>
    <mergeCell ref="G2245:G2246"/>
    <mergeCell ref="H2245:H2246"/>
    <mergeCell ref="I2245:I2246"/>
    <mergeCell ref="J2245:J2246"/>
    <mergeCell ref="B2247:B2248"/>
    <mergeCell ref="C2247:C2248"/>
    <mergeCell ref="D2247:D2248"/>
    <mergeCell ref="E2247:E2248"/>
    <mergeCell ref="G2247:G2248"/>
    <mergeCell ref="H2247:H2248"/>
    <mergeCell ref="I2247:I2248"/>
    <mergeCell ref="J2247:J2248"/>
    <mergeCell ref="B2249:B2250"/>
    <mergeCell ref="C2249:C2250"/>
    <mergeCell ref="D2249:D2250"/>
    <mergeCell ref="E2249:E2250"/>
    <mergeCell ref="G2249:G2250"/>
    <mergeCell ref="H2249:H2250"/>
    <mergeCell ref="I2249:I2250"/>
    <mergeCell ref="J2249:J2250"/>
    <mergeCell ref="B2251:B2252"/>
    <mergeCell ref="C2251:C2252"/>
    <mergeCell ref="D2251:D2252"/>
    <mergeCell ref="E2251:E2252"/>
    <mergeCell ref="G2251:G2252"/>
    <mergeCell ref="H2251:H2252"/>
    <mergeCell ref="I2251:I2252"/>
    <mergeCell ref="J2251:J2252"/>
    <mergeCell ref="B2253:B2254"/>
    <mergeCell ref="C2253:C2254"/>
    <mergeCell ref="D2253:D2254"/>
    <mergeCell ref="E2253:E2254"/>
    <mergeCell ref="G2253:G2254"/>
    <mergeCell ref="H2253:H2254"/>
    <mergeCell ref="I2253:I2254"/>
    <mergeCell ref="J2253:J2254"/>
    <mergeCell ref="B2255:B2256"/>
    <mergeCell ref="C2255:C2256"/>
    <mergeCell ref="D2255:D2256"/>
    <mergeCell ref="E2255:E2256"/>
    <mergeCell ref="G2255:G2256"/>
    <mergeCell ref="H2255:H2256"/>
    <mergeCell ref="I2255:I2256"/>
    <mergeCell ref="J2255:J2256"/>
    <mergeCell ref="B2257:B2258"/>
    <mergeCell ref="C2257:C2258"/>
    <mergeCell ref="D2257:D2258"/>
    <mergeCell ref="E2257:E2258"/>
    <mergeCell ref="G2257:G2258"/>
    <mergeCell ref="H2257:H2258"/>
    <mergeCell ref="I2257:I2258"/>
    <mergeCell ref="J2257:J2258"/>
    <mergeCell ref="B2259:B2260"/>
    <mergeCell ref="C2259:C2260"/>
    <mergeCell ref="D2259:D2260"/>
    <mergeCell ref="E2259:E2260"/>
    <mergeCell ref="G2259:G2260"/>
    <mergeCell ref="H2259:H2260"/>
    <mergeCell ref="I2259:I2260"/>
    <mergeCell ref="J2259:J2260"/>
    <mergeCell ref="B2261:B2262"/>
    <mergeCell ref="C2261:C2262"/>
    <mergeCell ref="D2261:D2262"/>
    <mergeCell ref="E2261:E2262"/>
    <mergeCell ref="G2261:G2262"/>
    <mergeCell ref="H2261:H2262"/>
    <mergeCell ref="I2261:I2262"/>
    <mergeCell ref="J2261:J2262"/>
    <mergeCell ref="B2263:B2264"/>
    <mergeCell ref="C2263:C2264"/>
    <mergeCell ref="D2263:D2264"/>
    <mergeCell ref="E2263:E2264"/>
    <mergeCell ref="G2263:G2264"/>
    <mergeCell ref="H2263:H2264"/>
    <mergeCell ref="I2263:I2264"/>
    <mergeCell ref="J2263:J2264"/>
    <mergeCell ref="B2265:B2266"/>
    <mergeCell ref="C2265:C2266"/>
    <mergeCell ref="D2265:D2266"/>
    <mergeCell ref="E2265:E2266"/>
    <mergeCell ref="G2265:G2266"/>
    <mergeCell ref="H2265:H2266"/>
    <mergeCell ref="I2265:I2266"/>
    <mergeCell ref="J2265:J2266"/>
    <mergeCell ref="B2267:B2268"/>
    <mergeCell ref="C2267:C2268"/>
    <mergeCell ref="D2267:D2268"/>
    <mergeCell ref="E2267:E2268"/>
    <mergeCell ref="G2267:G2268"/>
    <mergeCell ref="H2267:H2268"/>
    <mergeCell ref="I2267:I2268"/>
    <mergeCell ref="J2267:J2268"/>
    <mergeCell ref="B2269:B2270"/>
    <mergeCell ref="C2269:C2270"/>
    <mergeCell ref="D2269:D2270"/>
    <mergeCell ref="E2269:E2270"/>
    <mergeCell ref="G2269:G2270"/>
    <mergeCell ref="H2269:H2270"/>
    <mergeCell ref="I2269:I2270"/>
    <mergeCell ref="J2269:J2270"/>
    <mergeCell ref="B2271:B2272"/>
    <mergeCell ref="C2271:C2272"/>
    <mergeCell ref="D2271:D2272"/>
    <mergeCell ref="E2271:E2272"/>
    <mergeCell ref="G2271:G2272"/>
    <mergeCell ref="H2271:H2272"/>
    <mergeCell ref="I2271:I2272"/>
    <mergeCell ref="J2271:J2272"/>
    <mergeCell ref="B2273:B2274"/>
    <mergeCell ref="C2273:C2274"/>
    <mergeCell ref="D2273:D2274"/>
    <mergeCell ref="E2273:E2274"/>
    <mergeCell ref="G2273:G2274"/>
    <mergeCell ref="H2273:H2274"/>
    <mergeCell ref="I2273:I2274"/>
    <mergeCell ref="J2273:J2274"/>
    <mergeCell ref="B2275:B2276"/>
    <mergeCell ref="C2275:C2276"/>
    <mergeCell ref="D2275:D2276"/>
    <mergeCell ref="E2275:E2276"/>
    <mergeCell ref="G2275:G2276"/>
    <mergeCell ref="H2275:H2276"/>
    <mergeCell ref="I2275:I2276"/>
    <mergeCell ref="J2275:J2276"/>
    <mergeCell ref="B2277:B2278"/>
    <mergeCell ref="C2277:C2278"/>
    <mergeCell ref="D2277:D2278"/>
    <mergeCell ref="E2277:E2278"/>
    <mergeCell ref="G2277:G2278"/>
    <mergeCell ref="H2277:H2278"/>
    <mergeCell ref="I2277:I2278"/>
    <mergeCell ref="J2277:J2278"/>
    <mergeCell ref="B2279:B2280"/>
    <mergeCell ref="C2279:C2280"/>
    <mergeCell ref="D2279:D2280"/>
    <mergeCell ref="E2279:E2280"/>
    <mergeCell ref="G2279:G2280"/>
    <mergeCell ref="H2279:H2280"/>
    <mergeCell ref="I2279:I2280"/>
    <mergeCell ref="J2279:J2280"/>
    <mergeCell ref="B2281:B2282"/>
    <mergeCell ref="C2281:C2282"/>
    <mergeCell ref="D2281:D2282"/>
    <mergeCell ref="E2281:E2282"/>
    <mergeCell ref="G2281:G2282"/>
    <mergeCell ref="H2281:H2282"/>
    <mergeCell ref="I2281:I2282"/>
    <mergeCell ref="J2281:J2282"/>
    <mergeCell ref="B2283:B2284"/>
    <mergeCell ref="C2283:C2284"/>
    <mergeCell ref="D2283:D2284"/>
    <mergeCell ref="E2283:E2284"/>
    <mergeCell ref="G2283:G2284"/>
    <mergeCell ref="H2283:H2284"/>
    <mergeCell ref="I2283:I2284"/>
    <mergeCell ref="J2283:J2284"/>
    <mergeCell ref="B2285:B2286"/>
    <mergeCell ref="C2285:C2286"/>
    <mergeCell ref="D2285:D2286"/>
    <mergeCell ref="E2285:E2286"/>
    <mergeCell ref="G2285:G2286"/>
    <mergeCell ref="H2285:H2286"/>
    <mergeCell ref="I2285:I2286"/>
    <mergeCell ref="J2285:J2286"/>
    <mergeCell ref="B2287:B2288"/>
    <mergeCell ref="C2287:C2288"/>
    <mergeCell ref="D2287:D2288"/>
    <mergeCell ref="E2287:E2288"/>
    <mergeCell ref="G2287:G2288"/>
    <mergeCell ref="H2287:H2288"/>
    <mergeCell ref="I2287:I2288"/>
    <mergeCell ref="J2287:J2288"/>
    <mergeCell ref="B2289:B2290"/>
    <mergeCell ref="C2289:C2290"/>
    <mergeCell ref="D2289:D2290"/>
    <mergeCell ref="E2289:E2290"/>
    <mergeCell ref="G2289:G2290"/>
    <mergeCell ref="H2289:H2290"/>
    <mergeCell ref="I2289:I2290"/>
    <mergeCell ref="J2289:J2290"/>
    <mergeCell ref="B2291:B2292"/>
    <mergeCell ref="C2291:C2292"/>
    <mergeCell ref="D2291:D2292"/>
    <mergeCell ref="E2291:E2292"/>
    <mergeCell ref="G2291:G2292"/>
    <mergeCell ref="H2291:H2292"/>
    <mergeCell ref="I2291:I2292"/>
    <mergeCell ref="J2291:J2292"/>
    <mergeCell ref="B2293:B2294"/>
    <mergeCell ref="C2293:C2294"/>
    <mergeCell ref="D2293:D2294"/>
    <mergeCell ref="E2293:E2294"/>
    <mergeCell ref="G2293:G2294"/>
    <mergeCell ref="H2293:H2294"/>
    <mergeCell ref="I2293:I2294"/>
    <mergeCell ref="J2293:J2294"/>
    <mergeCell ref="B2295:B2296"/>
    <mergeCell ref="C2295:C2296"/>
    <mergeCell ref="D2295:D2296"/>
    <mergeCell ref="E2295:E2296"/>
    <mergeCell ref="G2295:G2296"/>
    <mergeCell ref="H2295:H2296"/>
    <mergeCell ref="I2295:I2296"/>
    <mergeCell ref="J2295:J2296"/>
    <mergeCell ref="B2297:B2298"/>
    <mergeCell ref="C2297:C2298"/>
    <mergeCell ref="D2297:D2298"/>
    <mergeCell ref="E2297:E2298"/>
    <mergeCell ref="G2297:G2298"/>
    <mergeCell ref="H2297:H2298"/>
    <mergeCell ref="I2297:I2298"/>
    <mergeCell ref="J2297:J2298"/>
  </mergeCells>
  <phoneticPr fontId="20" type="noConversion"/>
  <conditionalFormatting sqref="B10:G10 G12 G14 G16 G18 G20 G22 G24 G26 G28 G30 G32 G34 G36 G38 G40 G42 G44 G46 G48 G50 G52 G54 G56 G58 G60 G62 G64 G66 G68 G70 G72 G74 G76 G78 G80 G82 G84 G86 G88 G90 G92 G94 G96 G98 G100 G102 G104 G106 G108 G110 G112 G114 G116 G118 G120 G122 G124 G126 G128 G130 G132 G134 G136 G138 G140 G142 G144 G146 G148 G150 G152 G154 G156 G158 G160 G162 G164 G166 G168 G170 G172 G174 G176 G178 G180 G182 G184 G186 G188 G190 G192 G194 G196 G198 G200 G202 G204 G206 G208 G210 G212 G214 G216 G218 G220 G222 G224 G226 G228 G230 G232 G234 G236 G238 G240 G242 G244 G246 G248 G250 G252 G254 G256 G258 G260 G262 G264 G266 G268 G270 G272 G274 G276 G278 G280 G282 G284 G286 G288 G290 G292 G294 G296 G298 G300 G302 G304 G306 G308 J12 J14 J16 J18 J20 J22 J24 J26 J28 J30 J32 J34 J36 J38 J40 J42 J44 J46 J48 J50 J52 J54 J56 J58 J60 J62 J64 J66 J68 J70 J72 J74 J76 J78 J80 J82 J84 J86 J88 J90 J92 J94 J96 J98 J100 J102 J104 J106 J108 J110 J112 J114 J116 J118 J120 J122 J124 J126 J128 J130 J132 J134 J136 J138 J140 J142 J144 J146 J148 J150 J152 J154 J156 J158 J160 J162 J164 J166 J168 J170 J172 J174 J176 J178 J180 J182 J184 J186 J188 J190 J192 J194 J196 J198 J200 J202 J204 J206 J208 J210 J212 J214 J216 J218 J220 J222 J224 J226 J228 J230 J232 J234 J236 J238 J240 J242 J244 J246 J248 J250 J252 J254 J256 J258 J260 J262 J264 J266 J268 J270 J272 J274 J276 J278 J280 J282 J284 J286 J288 J290 J292 J294 J296 J298 J300 J302 J304 J306 J308 I10:J10">
    <cfRule type="expression" dxfId="2296" priority="2854">
      <formula>$D10=""</formula>
    </cfRule>
  </conditionalFormatting>
  <conditionalFormatting sqref="F11">
    <cfRule type="expression" dxfId="2295" priority="2462">
      <formula>$D10=""</formula>
    </cfRule>
  </conditionalFormatting>
  <conditionalFormatting sqref="B12:F12 H12:I12">
    <cfRule type="expression" dxfId="2294" priority="2283">
      <formula>$D12=""</formula>
    </cfRule>
  </conditionalFormatting>
  <conditionalFormatting sqref="F13">
    <cfRule type="expression" dxfId="2293" priority="2282">
      <formula>$D12=""</formula>
    </cfRule>
  </conditionalFormatting>
  <conditionalFormatting sqref="B14:F14 H14:I14">
    <cfRule type="expression" dxfId="2292" priority="2281">
      <formula>$D14=""</formula>
    </cfRule>
  </conditionalFormatting>
  <conditionalFormatting sqref="F15">
    <cfRule type="expression" dxfId="2291" priority="2280">
      <formula>$D14=""</formula>
    </cfRule>
  </conditionalFormatting>
  <conditionalFormatting sqref="B16:F16 H16:I16">
    <cfRule type="expression" dxfId="2290" priority="2279">
      <formula>$D16=""</formula>
    </cfRule>
  </conditionalFormatting>
  <conditionalFormatting sqref="F17">
    <cfRule type="expression" dxfId="2289" priority="2278">
      <formula>$D16=""</formula>
    </cfRule>
  </conditionalFormatting>
  <conditionalFormatting sqref="B18:F18 H18:I18">
    <cfRule type="expression" dxfId="2288" priority="2277">
      <formula>$D18=""</formula>
    </cfRule>
  </conditionalFormatting>
  <conditionalFormatting sqref="F19">
    <cfRule type="expression" dxfId="2287" priority="2276">
      <formula>$D18=""</formula>
    </cfRule>
  </conditionalFormatting>
  <conditionalFormatting sqref="B20:F20 H20:I20">
    <cfRule type="expression" dxfId="2286" priority="2275">
      <formula>$D20=""</formula>
    </cfRule>
  </conditionalFormatting>
  <conditionalFormatting sqref="F21">
    <cfRule type="expression" dxfId="2285" priority="2274">
      <formula>$D20=""</formula>
    </cfRule>
  </conditionalFormatting>
  <conditionalFormatting sqref="B22:F22 H22:I22">
    <cfRule type="expression" dxfId="2284" priority="2273">
      <formula>$D22=""</formula>
    </cfRule>
  </conditionalFormatting>
  <conditionalFormatting sqref="F23">
    <cfRule type="expression" dxfId="2283" priority="2272">
      <formula>$D22=""</formula>
    </cfRule>
  </conditionalFormatting>
  <conditionalFormatting sqref="B24:F24 H24:I24">
    <cfRule type="expression" dxfId="2282" priority="2271">
      <formula>$D24=""</formula>
    </cfRule>
  </conditionalFormatting>
  <conditionalFormatting sqref="F25">
    <cfRule type="expression" dxfId="2281" priority="2270">
      <formula>$D24=""</formula>
    </cfRule>
  </conditionalFormatting>
  <conditionalFormatting sqref="B26:F26 H26:I26">
    <cfRule type="expression" dxfId="2280" priority="2269">
      <formula>$D26=""</formula>
    </cfRule>
  </conditionalFormatting>
  <conditionalFormatting sqref="F27">
    <cfRule type="expression" dxfId="2279" priority="2268">
      <formula>$D26=""</formula>
    </cfRule>
  </conditionalFormatting>
  <conditionalFormatting sqref="B28:F28 H28:I28">
    <cfRule type="expression" dxfId="2278" priority="2267">
      <formula>$D28=""</formula>
    </cfRule>
  </conditionalFormatting>
  <conditionalFormatting sqref="F29">
    <cfRule type="expression" dxfId="2277" priority="2266">
      <formula>$D28=""</formula>
    </cfRule>
  </conditionalFormatting>
  <conditionalFormatting sqref="B30:F30 H30:I30">
    <cfRule type="expression" dxfId="2276" priority="2265">
      <formula>$D30=""</formula>
    </cfRule>
  </conditionalFormatting>
  <conditionalFormatting sqref="F31">
    <cfRule type="expression" dxfId="2275" priority="2264">
      <formula>$D30=""</formula>
    </cfRule>
  </conditionalFormatting>
  <conditionalFormatting sqref="B32:F32 H32:I32">
    <cfRule type="expression" dxfId="2274" priority="2263">
      <formula>$D32=""</formula>
    </cfRule>
  </conditionalFormatting>
  <conditionalFormatting sqref="F33">
    <cfRule type="expression" dxfId="2273" priority="2262">
      <formula>$D32=""</formula>
    </cfRule>
  </conditionalFormatting>
  <conditionalFormatting sqref="B34:F34 H34:I34">
    <cfRule type="expression" dxfId="2272" priority="2261">
      <formula>$D34=""</formula>
    </cfRule>
  </conditionalFormatting>
  <conditionalFormatting sqref="F35">
    <cfRule type="expression" dxfId="2271" priority="2260">
      <formula>$D34=""</formula>
    </cfRule>
  </conditionalFormatting>
  <conditionalFormatting sqref="B36:F36 H36:I36">
    <cfRule type="expression" dxfId="2270" priority="2259">
      <formula>$D36=""</formula>
    </cfRule>
  </conditionalFormatting>
  <conditionalFormatting sqref="F37">
    <cfRule type="expression" dxfId="2269" priority="2258">
      <formula>$D36=""</formula>
    </cfRule>
  </conditionalFormatting>
  <conditionalFormatting sqref="B38:F38 H38:I38">
    <cfRule type="expression" dxfId="2268" priority="2257">
      <formula>$D38=""</formula>
    </cfRule>
  </conditionalFormatting>
  <conditionalFormatting sqref="F39">
    <cfRule type="expression" dxfId="2267" priority="2256">
      <formula>$D38=""</formula>
    </cfRule>
  </conditionalFormatting>
  <conditionalFormatting sqref="B40:F40 H40:I40">
    <cfRule type="expression" dxfId="2266" priority="2255">
      <formula>$D40=""</formula>
    </cfRule>
  </conditionalFormatting>
  <conditionalFormatting sqref="F41">
    <cfRule type="expression" dxfId="2265" priority="2254">
      <formula>$D40=""</formula>
    </cfRule>
  </conditionalFormatting>
  <conditionalFormatting sqref="B42:F42 H42:I42">
    <cfRule type="expression" dxfId="2264" priority="2253">
      <formula>$D42=""</formula>
    </cfRule>
  </conditionalFormatting>
  <conditionalFormatting sqref="F43">
    <cfRule type="expression" dxfId="2263" priority="2252">
      <formula>$D42=""</formula>
    </cfRule>
  </conditionalFormatting>
  <conditionalFormatting sqref="B44:F44 H44:I44">
    <cfRule type="expression" dxfId="2262" priority="2251">
      <formula>$D44=""</formula>
    </cfRule>
  </conditionalFormatting>
  <conditionalFormatting sqref="F45">
    <cfRule type="expression" dxfId="2261" priority="2250">
      <formula>$D44=""</formula>
    </cfRule>
  </conditionalFormatting>
  <conditionalFormatting sqref="B46:F46 H46:I46">
    <cfRule type="expression" dxfId="2260" priority="2249">
      <formula>$D46=""</formula>
    </cfRule>
  </conditionalFormatting>
  <conditionalFormatting sqref="F47">
    <cfRule type="expression" dxfId="2259" priority="2248">
      <formula>$D46=""</formula>
    </cfRule>
  </conditionalFormatting>
  <conditionalFormatting sqref="B48:F48 H48:I48">
    <cfRule type="expression" dxfId="2258" priority="2247">
      <formula>$D48=""</formula>
    </cfRule>
  </conditionalFormatting>
  <conditionalFormatting sqref="F49">
    <cfRule type="expression" dxfId="2257" priority="2246">
      <formula>$D48=""</formula>
    </cfRule>
  </conditionalFormatting>
  <conditionalFormatting sqref="B50:F50 H50:I50">
    <cfRule type="expression" dxfId="2256" priority="2245">
      <formula>$D50=""</formula>
    </cfRule>
  </conditionalFormatting>
  <conditionalFormatting sqref="F51">
    <cfRule type="expression" dxfId="2255" priority="2244">
      <formula>$D50=""</formula>
    </cfRule>
  </conditionalFormatting>
  <conditionalFormatting sqref="B52:F52 H52:I52">
    <cfRule type="expression" dxfId="2254" priority="2243">
      <formula>$D52=""</formula>
    </cfRule>
  </conditionalFormatting>
  <conditionalFormatting sqref="F53">
    <cfRule type="expression" dxfId="2253" priority="2242">
      <formula>$D52=""</formula>
    </cfRule>
  </conditionalFormatting>
  <conditionalFormatting sqref="B54:F54 H54:I54">
    <cfRule type="expression" dxfId="2252" priority="2241">
      <formula>$D54=""</formula>
    </cfRule>
  </conditionalFormatting>
  <conditionalFormatting sqref="F55">
    <cfRule type="expression" dxfId="2251" priority="2240">
      <formula>$D54=""</formula>
    </cfRule>
  </conditionalFormatting>
  <conditionalFormatting sqref="B56:F56 H56:I56">
    <cfRule type="expression" dxfId="2250" priority="2239">
      <formula>$D56=""</formula>
    </cfRule>
  </conditionalFormatting>
  <conditionalFormatting sqref="F57">
    <cfRule type="expression" dxfId="2249" priority="2238">
      <formula>$D56=""</formula>
    </cfRule>
  </conditionalFormatting>
  <conditionalFormatting sqref="B58:F58 H58:I58">
    <cfRule type="expression" dxfId="2248" priority="2237">
      <formula>$D58=""</formula>
    </cfRule>
  </conditionalFormatting>
  <conditionalFormatting sqref="F59">
    <cfRule type="expression" dxfId="2247" priority="2236">
      <formula>$D58=""</formula>
    </cfRule>
  </conditionalFormatting>
  <conditionalFormatting sqref="B60:F60 H60:I60">
    <cfRule type="expression" dxfId="2246" priority="2235">
      <formula>$D60=""</formula>
    </cfRule>
  </conditionalFormatting>
  <conditionalFormatting sqref="F61">
    <cfRule type="expression" dxfId="2245" priority="2234">
      <formula>$D60=""</formula>
    </cfRule>
  </conditionalFormatting>
  <conditionalFormatting sqref="B62:F62 H62:I62">
    <cfRule type="expression" dxfId="2244" priority="2233">
      <formula>$D62=""</formula>
    </cfRule>
  </conditionalFormatting>
  <conditionalFormatting sqref="F63">
    <cfRule type="expression" dxfId="2243" priority="2232">
      <formula>$D62=""</formula>
    </cfRule>
  </conditionalFormatting>
  <conditionalFormatting sqref="B64:F64 H64:I64">
    <cfRule type="expression" dxfId="2242" priority="2231">
      <formula>$D64=""</formula>
    </cfRule>
  </conditionalFormatting>
  <conditionalFormatting sqref="F65">
    <cfRule type="expression" dxfId="2241" priority="2230">
      <formula>$D64=""</formula>
    </cfRule>
  </conditionalFormatting>
  <conditionalFormatting sqref="B66:F66 H66:I66">
    <cfRule type="expression" dxfId="2240" priority="2229">
      <formula>$D66=""</formula>
    </cfRule>
  </conditionalFormatting>
  <conditionalFormatting sqref="F67">
    <cfRule type="expression" dxfId="2239" priority="2228">
      <formula>$D66=""</formula>
    </cfRule>
  </conditionalFormatting>
  <conditionalFormatting sqref="B68:F68 H68:I68">
    <cfRule type="expression" dxfId="2238" priority="2227">
      <formula>$D68=""</formula>
    </cfRule>
  </conditionalFormatting>
  <conditionalFormatting sqref="F69">
    <cfRule type="expression" dxfId="2237" priority="2226">
      <formula>$D68=""</formula>
    </cfRule>
  </conditionalFormatting>
  <conditionalFormatting sqref="B70:F70 H70:I70">
    <cfRule type="expression" dxfId="2236" priority="2225">
      <formula>$D70=""</formula>
    </cfRule>
  </conditionalFormatting>
  <conditionalFormatting sqref="F71">
    <cfRule type="expression" dxfId="2235" priority="2224">
      <formula>$D70=""</formula>
    </cfRule>
  </conditionalFormatting>
  <conditionalFormatting sqref="B72:F72 H72:I72">
    <cfRule type="expression" dxfId="2234" priority="2223">
      <formula>$D72=""</formula>
    </cfRule>
  </conditionalFormatting>
  <conditionalFormatting sqref="F73">
    <cfRule type="expression" dxfId="2233" priority="2222">
      <formula>$D72=""</formula>
    </cfRule>
  </conditionalFormatting>
  <conditionalFormatting sqref="B74:F74 H74:I74">
    <cfRule type="expression" dxfId="2232" priority="2221">
      <formula>$D74=""</formula>
    </cfRule>
  </conditionalFormatting>
  <conditionalFormatting sqref="F75">
    <cfRule type="expression" dxfId="2231" priority="2220">
      <formula>$D74=""</formula>
    </cfRule>
  </conditionalFormatting>
  <conditionalFormatting sqref="B76:F76 H76:I76">
    <cfRule type="expression" dxfId="2230" priority="2219">
      <formula>$D76=""</formula>
    </cfRule>
  </conditionalFormatting>
  <conditionalFormatting sqref="F77">
    <cfRule type="expression" dxfId="2229" priority="2218">
      <formula>$D76=""</formula>
    </cfRule>
  </conditionalFormatting>
  <conditionalFormatting sqref="B78:F78 H78:I78">
    <cfRule type="expression" dxfId="2228" priority="2217">
      <formula>$D78=""</formula>
    </cfRule>
  </conditionalFormatting>
  <conditionalFormatting sqref="F79">
    <cfRule type="expression" dxfId="2227" priority="2216">
      <formula>$D78=""</formula>
    </cfRule>
  </conditionalFormatting>
  <conditionalFormatting sqref="B80:F80 H80:I80">
    <cfRule type="expression" dxfId="2226" priority="2215">
      <formula>$D80=""</formula>
    </cfRule>
  </conditionalFormatting>
  <conditionalFormatting sqref="F81">
    <cfRule type="expression" dxfId="2225" priority="2214">
      <formula>$D80=""</formula>
    </cfRule>
  </conditionalFormatting>
  <conditionalFormatting sqref="B82:F82 H82:I82">
    <cfRule type="expression" dxfId="2224" priority="2213">
      <formula>$D82=""</formula>
    </cfRule>
  </conditionalFormatting>
  <conditionalFormatting sqref="F83">
    <cfRule type="expression" dxfId="2223" priority="2212">
      <formula>$D82=""</formula>
    </cfRule>
  </conditionalFormatting>
  <conditionalFormatting sqref="B84:F84 H84:I84">
    <cfRule type="expression" dxfId="2222" priority="2211">
      <formula>$D84=""</formula>
    </cfRule>
  </conditionalFormatting>
  <conditionalFormatting sqref="F85">
    <cfRule type="expression" dxfId="2221" priority="2210">
      <formula>$D84=""</formula>
    </cfRule>
  </conditionalFormatting>
  <conditionalFormatting sqref="B86:F86 H86:I86">
    <cfRule type="expression" dxfId="2220" priority="2209">
      <formula>$D86=""</formula>
    </cfRule>
  </conditionalFormatting>
  <conditionalFormatting sqref="F87">
    <cfRule type="expression" dxfId="2219" priority="2208">
      <formula>$D86=""</formula>
    </cfRule>
  </conditionalFormatting>
  <conditionalFormatting sqref="B88:F88 H88:I88">
    <cfRule type="expression" dxfId="2218" priority="2207">
      <formula>$D88=""</formula>
    </cfRule>
  </conditionalFormatting>
  <conditionalFormatting sqref="F89">
    <cfRule type="expression" dxfId="2217" priority="2206">
      <formula>$D88=""</formula>
    </cfRule>
  </conditionalFormatting>
  <conditionalFormatting sqref="B90:F90 H90:I90">
    <cfRule type="expression" dxfId="2216" priority="2205">
      <formula>$D90=""</formula>
    </cfRule>
  </conditionalFormatting>
  <conditionalFormatting sqref="F91">
    <cfRule type="expression" dxfId="2215" priority="2204">
      <formula>$D90=""</formula>
    </cfRule>
  </conditionalFormatting>
  <conditionalFormatting sqref="B92:F92 H92:I92">
    <cfRule type="expression" dxfId="2214" priority="2203">
      <formula>$D92=""</formula>
    </cfRule>
  </conditionalFormatting>
  <conditionalFormatting sqref="F93">
    <cfRule type="expression" dxfId="2213" priority="2202">
      <formula>$D92=""</formula>
    </cfRule>
  </conditionalFormatting>
  <conditionalFormatting sqref="B94:F94 H94:I94">
    <cfRule type="expression" dxfId="2212" priority="2201">
      <formula>$D94=""</formula>
    </cfRule>
  </conditionalFormatting>
  <conditionalFormatting sqref="F95">
    <cfRule type="expression" dxfId="2211" priority="2200">
      <formula>$D94=""</formula>
    </cfRule>
  </conditionalFormatting>
  <conditionalFormatting sqref="B96:F96 H96:I96">
    <cfRule type="expression" dxfId="2210" priority="2199">
      <formula>$D96=""</formula>
    </cfRule>
  </conditionalFormatting>
  <conditionalFormatting sqref="F97">
    <cfRule type="expression" dxfId="2209" priority="2198">
      <formula>$D96=""</formula>
    </cfRule>
  </conditionalFormatting>
  <conditionalFormatting sqref="B98:F98 H98:I98">
    <cfRule type="expression" dxfId="2208" priority="2197">
      <formula>$D98=""</formula>
    </cfRule>
  </conditionalFormatting>
  <conditionalFormatting sqref="F99">
    <cfRule type="expression" dxfId="2207" priority="2196">
      <formula>$D98=""</formula>
    </cfRule>
  </conditionalFormatting>
  <conditionalFormatting sqref="B100:F100 H100:I100">
    <cfRule type="expression" dxfId="2206" priority="2195">
      <formula>$D100=""</formula>
    </cfRule>
  </conditionalFormatting>
  <conditionalFormatting sqref="F101">
    <cfRule type="expression" dxfId="2205" priority="2194">
      <formula>$D100=""</formula>
    </cfRule>
  </conditionalFormatting>
  <conditionalFormatting sqref="B102:F102 H102:I102">
    <cfRule type="expression" dxfId="2204" priority="2193">
      <formula>$D102=""</formula>
    </cfRule>
  </conditionalFormatting>
  <conditionalFormatting sqref="F103">
    <cfRule type="expression" dxfId="2203" priority="2192">
      <formula>$D102=""</formula>
    </cfRule>
  </conditionalFormatting>
  <conditionalFormatting sqref="B104:F104 H104:I104">
    <cfRule type="expression" dxfId="2202" priority="2191">
      <formula>$D104=""</formula>
    </cfRule>
  </conditionalFormatting>
  <conditionalFormatting sqref="F105">
    <cfRule type="expression" dxfId="2201" priority="2190">
      <formula>$D104=""</formula>
    </cfRule>
  </conditionalFormatting>
  <conditionalFormatting sqref="B106:F106 H106:I106">
    <cfRule type="expression" dxfId="2200" priority="2189">
      <formula>$D106=""</formula>
    </cfRule>
  </conditionalFormatting>
  <conditionalFormatting sqref="F107">
    <cfRule type="expression" dxfId="2199" priority="2188">
      <formula>$D106=""</formula>
    </cfRule>
  </conditionalFormatting>
  <conditionalFormatting sqref="B108:F108 H108:I108">
    <cfRule type="expression" dxfId="2198" priority="2187">
      <formula>$D108=""</formula>
    </cfRule>
  </conditionalFormatting>
  <conditionalFormatting sqref="F109">
    <cfRule type="expression" dxfId="2197" priority="2186">
      <formula>$D108=""</formula>
    </cfRule>
  </conditionalFormatting>
  <conditionalFormatting sqref="B110:F110 H110:I110">
    <cfRule type="expression" dxfId="2196" priority="2185">
      <formula>$D110=""</formula>
    </cfRule>
  </conditionalFormatting>
  <conditionalFormatting sqref="F111">
    <cfRule type="expression" dxfId="2195" priority="2184">
      <formula>$D110=""</formula>
    </cfRule>
  </conditionalFormatting>
  <conditionalFormatting sqref="B112:F112 H112:I112">
    <cfRule type="expression" dxfId="2194" priority="2183">
      <formula>$D112=""</formula>
    </cfRule>
  </conditionalFormatting>
  <conditionalFormatting sqref="F113">
    <cfRule type="expression" dxfId="2193" priority="2182">
      <formula>$D112=""</formula>
    </cfRule>
  </conditionalFormatting>
  <conditionalFormatting sqref="B114:F114 H114:I114">
    <cfRule type="expression" dxfId="2192" priority="2181">
      <formula>$D114=""</formula>
    </cfRule>
  </conditionalFormatting>
  <conditionalFormatting sqref="F115">
    <cfRule type="expression" dxfId="2191" priority="2180">
      <formula>$D114=""</formula>
    </cfRule>
  </conditionalFormatting>
  <conditionalFormatting sqref="B116:F116 H116:I116">
    <cfRule type="expression" dxfId="2190" priority="2179">
      <formula>$D116=""</formula>
    </cfRule>
  </conditionalFormatting>
  <conditionalFormatting sqref="F117">
    <cfRule type="expression" dxfId="2189" priority="2178">
      <formula>$D116=""</formula>
    </cfRule>
  </conditionalFormatting>
  <conditionalFormatting sqref="B118:F118 H118:I118">
    <cfRule type="expression" dxfId="2188" priority="2177">
      <formula>$D118=""</formula>
    </cfRule>
  </conditionalFormatting>
  <conditionalFormatting sqref="F119">
    <cfRule type="expression" dxfId="2187" priority="2176">
      <formula>$D118=""</formula>
    </cfRule>
  </conditionalFormatting>
  <conditionalFormatting sqref="B120:F120 H120:I120">
    <cfRule type="expression" dxfId="2186" priority="2175">
      <formula>$D120=""</formula>
    </cfRule>
  </conditionalFormatting>
  <conditionalFormatting sqref="F121">
    <cfRule type="expression" dxfId="2185" priority="2174">
      <formula>$D120=""</formula>
    </cfRule>
  </conditionalFormatting>
  <conditionalFormatting sqref="B122:F122 H122:I122">
    <cfRule type="expression" dxfId="2184" priority="2173">
      <formula>$D122=""</formula>
    </cfRule>
  </conditionalFormatting>
  <conditionalFormatting sqref="F123">
    <cfRule type="expression" dxfId="2183" priority="2172">
      <formula>$D122=""</formula>
    </cfRule>
  </conditionalFormatting>
  <conditionalFormatting sqref="B124:F124 H124:I124">
    <cfRule type="expression" dxfId="2182" priority="2171">
      <formula>$D124=""</formula>
    </cfRule>
  </conditionalFormatting>
  <conditionalFormatting sqref="F125">
    <cfRule type="expression" dxfId="2181" priority="2170">
      <formula>$D124=""</formula>
    </cfRule>
  </conditionalFormatting>
  <conditionalFormatting sqref="B126:F126 H126:I126">
    <cfRule type="expression" dxfId="2180" priority="2169">
      <formula>$D126=""</formula>
    </cfRule>
  </conditionalFormatting>
  <conditionalFormatting sqref="F127">
    <cfRule type="expression" dxfId="2179" priority="2168">
      <formula>$D126=""</formula>
    </cfRule>
  </conditionalFormatting>
  <conditionalFormatting sqref="B128:F128 H128:I128">
    <cfRule type="expression" dxfId="2178" priority="2167">
      <formula>$D128=""</formula>
    </cfRule>
  </conditionalFormatting>
  <conditionalFormatting sqref="F129">
    <cfRule type="expression" dxfId="2177" priority="2166">
      <formula>$D128=""</formula>
    </cfRule>
  </conditionalFormatting>
  <conditionalFormatting sqref="B130:F130 H130:I130">
    <cfRule type="expression" dxfId="2176" priority="2165">
      <formula>$D130=""</formula>
    </cfRule>
  </conditionalFormatting>
  <conditionalFormatting sqref="F131">
    <cfRule type="expression" dxfId="2175" priority="2164">
      <formula>$D130=""</formula>
    </cfRule>
  </conditionalFormatting>
  <conditionalFormatting sqref="B132:F132 H132:I132">
    <cfRule type="expression" dxfId="2174" priority="2163">
      <formula>$D132=""</formula>
    </cfRule>
  </conditionalFormatting>
  <conditionalFormatting sqref="F133">
    <cfRule type="expression" dxfId="2173" priority="2162">
      <formula>$D132=""</formula>
    </cfRule>
  </conditionalFormatting>
  <conditionalFormatting sqref="B134:F134 H134:I134">
    <cfRule type="expression" dxfId="2172" priority="2161">
      <formula>$D134=""</formula>
    </cfRule>
  </conditionalFormatting>
  <conditionalFormatting sqref="F135">
    <cfRule type="expression" dxfId="2171" priority="2160">
      <formula>$D134=""</formula>
    </cfRule>
  </conditionalFormatting>
  <conditionalFormatting sqref="B136:F136 H136:I136">
    <cfRule type="expression" dxfId="2170" priority="2159">
      <formula>$D136=""</formula>
    </cfRule>
  </conditionalFormatting>
  <conditionalFormatting sqref="F137">
    <cfRule type="expression" dxfId="2169" priority="2158">
      <formula>$D136=""</formula>
    </cfRule>
  </conditionalFormatting>
  <conditionalFormatting sqref="B138:F138 H138:I138">
    <cfRule type="expression" dxfId="2168" priority="2157">
      <formula>$D138=""</formula>
    </cfRule>
  </conditionalFormatting>
  <conditionalFormatting sqref="F139">
    <cfRule type="expression" dxfId="2167" priority="2156">
      <formula>$D138=""</formula>
    </cfRule>
  </conditionalFormatting>
  <conditionalFormatting sqref="B140:F140 H140:I140">
    <cfRule type="expression" dxfId="2166" priority="2155">
      <formula>$D140=""</formula>
    </cfRule>
  </conditionalFormatting>
  <conditionalFormatting sqref="F141">
    <cfRule type="expression" dxfId="2165" priority="2154">
      <formula>$D140=""</formula>
    </cfRule>
  </conditionalFormatting>
  <conditionalFormatting sqref="B142:F142 H142:I142">
    <cfRule type="expression" dxfId="2164" priority="2153">
      <formula>$D142=""</formula>
    </cfRule>
  </conditionalFormatting>
  <conditionalFormatting sqref="F143">
    <cfRule type="expression" dxfId="2163" priority="2152">
      <formula>$D142=""</formula>
    </cfRule>
  </conditionalFormatting>
  <conditionalFormatting sqref="B144:F144 H144:I144">
    <cfRule type="expression" dxfId="2162" priority="2151">
      <formula>$D144=""</formula>
    </cfRule>
  </conditionalFormatting>
  <conditionalFormatting sqref="F145">
    <cfRule type="expression" dxfId="2161" priority="2150">
      <formula>$D144=""</formula>
    </cfRule>
  </conditionalFormatting>
  <conditionalFormatting sqref="B146:F146 H146:I146">
    <cfRule type="expression" dxfId="2160" priority="2149">
      <formula>$D146=""</formula>
    </cfRule>
  </conditionalFormatting>
  <conditionalFormatting sqref="F147">
    <cfRule type="expression" dxfId="2159" priority="2148">
      <formula>$D146=""</formula>
    </cfRule>
  </conditionalFormatting>
  <conditionalFormatting sqref="B148:F148 H148:I148">
    <cfRule type="expression" dxfId="2158" priority="2147">
      <formula>$D148=""</formula>
    </cfRule>
  </conditionalFormatting>
  <conditionalFormatting sqref="F149">
    <cfRule type="expression" dxfId="2157" priority="2146">
      <formula>$D148=""</formula>
    </cfRule>
  </conditionalFormatting>
  <conditionalFormatting sqref="B150:F150 H150:I150">
    <cfRule type="expression" dxfId="2156" priority="2145">
      <formula>$D150=""</formula>
    </cfRule>
  </conditionalFormatting>
  <conditionalFormatting sqref="F151">
    <cfRule type="expression" dxfId="2155" priority="2144">
      <formula>$D150=""</formula>
    </cfRule>
  </conditionalFormatting>
  <conditionalFormatting sqref="B152:F152 H152:I152">
    <cfRule type="expression" dxfId="2154" priority="2143">
      <formula>$D152=""</formula>
    </cfRule>
  </conditionalFormatting>
  <conditionalFormatting sqref="F153">
    <cfRule type="expression" dxfId="2153" priority="2142">
      <formula>$D152=""</formula>
    </cfRule>
  </conditionalFormatting>
  <conditionalFormatting sqref="B154:F154 H154:I154">
    <cfRule type="expression" dxfId="2152" priority="2141">
      <formula>$D154=""</formula>
    </cfRule>
  </conditionalFormatting>
  <conditionalFormatting sqref="F155">
    <cfRule type="expression" dxfId="2151" priority="2140">
      <formula>$D154=""</formula>
    </cfRule>
  </conditionalFormatting>
  <conditionalFormatting sqref="B156:F156 H156:I156">
    <cfRule type="expression" dxfId="2150" priority="2139">
      <formula>$D156=""</formula>
    </cfRule>
  </conditionalFormatting>
  <conditionalFormatting sqref="F157">
    <cfRule type="expression" dxfId="2149" priority="2138">
      <formula>$D156=""</formula>
    </cfRule>
  </conditionalFormatting>
  <conditionalFormatting sqref="B158:F158 H158:I158">
    <cfRule type="expression" dxfId="2148" priority="2137">
      <formula>$D158=""</formula>
    </cfRule>
  </conditionalFormatting>
  <conditionalFormatting sqref="F159">
    <cfRule type="expression" dxfId="2147" priority="2136">
      <formula>$D158=""</formula>
    </cfRule>
  </conditionalFormatting>
  <conditionalFormatting sqref="B160:F160 H160:I160">
    <cfRule type="expression" dxfId="2146" priority="2135">
      <formula>$D160=""</formula>
    </cfRule>
  </conditionalFormatting>
  <conditionalFormatting sqref="F161">
    <cfRule type="expression" dxfId="2145" priority="2134">
      <formula>$D160=""</formula>
    </cfRule>
  </conditionalFormatting>
  <conditionalFormatting sqref="B162:F162 H162:I162">
    <cfRule type="expression" dxfId="2144" priority="2133">
      <formula>$D162=""</formula>
    </cfRule>
  </conditionalFormatting>
  <conditionalFormatting sqref="F163">
    <cfRule type="expression" dxfId="2143" priority="2132">
      <formula>$D162=""</formula>
    </cfRule>
  </conditionalFormatting>
  <conditionalFormatting sqref="B164:F164 H164:I164">
    <cfRule type="expression" dxfId="2142" priority="2131">
      <formula>$D164=""</formula>
    </cfRule>
  </conditionalFormatting>
  <conditionalFormatting sqref="F165">
    <cfRule type="expression" dxfId="2141" priority="2130">
      <formula>$D164=""</formula>
    </cfRule>
  </conditionalFormatting>
  <conditionalFormatting sqref="B166:F166 H166:I166">
    <cfRule type="expression" dxfId="2140" priority="2129">
      <formula>$D166=""</formula>
    </cfRule>
  </conditionalFormatting>
  <conditionalFormatting sqref="F167">
    <cfRule type="expression" dxfId="2139" priority="2128">
      <formula>$D166=""</formula>
    </cfRule>
  </conditionalFormatting>
  <conditionalFormatting sqref="B168:F168 H168:I168">
    <cfRule type="expression" dxfId="2138" priority="2127">
      <formula>$D168=""</formula>
    </cfRule>
  </conditionalFormatting>
  <conditionalFormatting sqref="F169">
    <cfRule type="expression" dxfId="2137" priority="2126">
      <formula>$D168=""</formula>
    </cfRule>
  </conditionalFormatting>
  <conditionalFormatting sqref="B170:F170 H170:I170 I172">
    <cfRule type="expression" dxfId="2136" priority="2125">
      <formula>$D170=""</formula>
    </cfRule>
  </conditionalFormatting>
  <conditionalFormatting sqref="F171">
    <cfRule type="expression" dxfId="2135" priority="2124">
      <formula>$D170=""</formula>
    </cfRule>
  </conditionalFormatting>
  <conditionalFormatting sqref="B172:F172 H172">
    <cfRule type="expression" dxfId="2134" priority="2123">
      <formula>$D172=""</formula>
    </cfRule>
  </conditionalFormatting>
  <conditionalFormatting sqref="F173">
    <cfRule type="expression" dxfId="2133" priority="2122">
      <formula>$D172=""</formula>
    </cfRule>
  </conditionalFormatting>
  <conditionalFormatting sqref="B174:F174 H174:I174">
    <cfRule type="expression" dxfId="2132" priority="2121">
      <formula>$D174=""</formula>
    </cfRule>
  </conditionalFormatting>
  <conditionalFormatting sqref="F175">
    <cfRule type="expression" dxfId="2131" priority="2120">
      <formula>$D174=""</formula>
    </cfRule>
  </conditionalFormatting>
  <conditionalFormatting sqref="B176:F176 H176:I176">
    <cfRule type="expression" dxfId="2130" priority="2119">
      <formula>$D176=""</formula>
    </cfRule>
  </conditionalFormatting>
  <conditionalFormatting sqref="F177">
    <cfRule type="expression" dxfId="2129" priority="2118">
      <formula>$D176=""</formula>
    </cfRule>
  </conditionalFormatting>
  <conditionalFormatting sqref="B178:F178 H178:I178">
    <cfRule type="expression" dxfId="2128" priority="2117">
      <formula>$D178=""</formula>
    </cfRule>
  </conditionalFormatting>
  <conditionalFormatting sqref="F179">
    <cfRule type="expression" dxfId="2127" priority="2116">
      <formula>$D178=""</formula>
    </cfRule>
  </conditionalFormatting>
  <conditionalFormatting sqref="B180:F180 H180:I180">
    <cfRule type="expression" dxfId="2126" priority="2115">
      <formula>$D180=""</formula>
    </cfRule>
  </conditionalFormatting>
  <conditionalFormatting sqref="F181">
    <cfRule type="expression" dxfId="2125" priority="2114">
      <formula>$D180=""</formula>
    </cfRule>
  </conditionalFormatting>
  <conditionalFormatting sqref="B182:F182 H182:I182">
    <cfRule type="expression" dxfId="2124" priority="2113">
      <formula>$D182=""</formula>
    </cfRule>
  </conditionalFormatting>
  <conditionalFormatting sqref="F183">
    <cfRule type="expression" dxfId="2123" priority="2112">
      <formula>$D182=""</formula>
    </cfRule>
  </conditionalFormatting>
  <conditionalFormatting sqref="B184:F184 H184">
    <cfRule type="expression" dxfId="2122" priority="2111">
      <formula>$D184=""</formula>
    </cfRule>
  </conditionalFormatting>
  <conditionalFormatting sqref="F185">
    <cfRule type="expression" dxfId="2121" priority="2110">
      <formula>$D184=""</formula>
    </cfRule>
  </conditionalFormatting>
  <conditionalFormatting sqref="B186:F186 H186:I186">
    <cfRule type="expression" dxfId="2120" priority="2109">
      <formula>$D186=""</formula>
    </cfRule>
  </conditionalFormatting>
  <conditionalFormatting sqref="F187">
    <cfRule type="expression" dxfId="2119" priority="2108">
      <formula>$D186=""</formula>
    </cfRule>
  </conditionalFormatting>
  <conditionalFormatting sqref="B188:F188 H188:I188">
    <cfRule type="expression" dxfId="2118" priority="2107">
      <formula>$D188=""</formula>
    </cfRule>
  </conditionalFormatting>
  <conditionalFormatting sqref="F189">
    <cfRule type="expression" dxfId="2117" priority="2106">
      <formula>$D188=""</formula>
    </cfRule>
  </conditionalFormatting>
  <conditionalFormatting sqref="B190:F190 H190:I190">
    <cfRule type="expression" dxfId="2116" priority="2105">
      <formula>$D190=""</formula>
    </cfRule>
  </conditionalFormatting>
  <conditionalFormatting sqref="F191">
    <cfRule type="expression" dxfId="2115" priority="2104">
      <formula>$D190=""</formula>
    </cfRule>
  </conditionalFormatting>
  <conditionalFormatting sqref="B192:F192 H192:I192">
    <cfRule type="expression" dxfId="2114" priority="2103">
      <formula>$D192=""</formula>
    </cfRule>
  </conditionalFormatting>
  <conditionalFormatting sqref="F193">
    <cfRule type="expression" dxfId="2113" priority="2102">
      <formula>$D192=""</formula>
    </cfRule>
  </conditionalFormatting>
  <conditionalFormatting sqref="B194:F194 H194:I194">
    <cfRule type="expression" dxfId="2112" priority="2099">
      <formula>$D194=""</formula>
    </cfRule>
  </conditionalFormatting>
  <conditionalFormatting sqref="F195">
    <cfRule type="expression" dxfId="2111" priority="2098">
      <formula>$D194=""</formula>
    </cfRule>
  </conditionalFormatting>
  <conditionalFormatting sqref="B196:F196 H196:I196">
    <cfRule type="expression" dxfId="2110" priority="2097">
      <formula>$D196=""</formula>
    </cfRule>
  </conditionalFormatting>
  <conditionalFormatting sqref="F197">
    <cfRule type="expression" dxfId="2109" priority="2096">
      <formula>$D196=""</formula>
    </cfRule>
  </conditionalFormatting>
  <conditionalFormatting sqref="B198:F198 H198:I198">
    <cfRule type="expression" dxfId="2108" priority="2095">
      <formula>$D198=""</formula>
    </cfRule>
  </conditionalFormatting>
  <conditionalFormatting sqref="F199">
    <cfRule type="expression" dxfId="2107" priority="2094">
      <formula>$D198=""</formula>
    </cfRule>
  </conditionalFormatting>
  <conditionalFormatting sqref="B200:F200 H200:I200">
    <cfRule type="expression" dxfId="2106" priority="2093">
      <formula>$D200=""</formula>
    </cfRule>
  </conditionalFormatting>
  <conditionalFormatting sqref="F201">
    <cfRule type="expression" dxfId="2105" priority="2092">
      <formula>$D200=""</formula>
    </cfRule>
  </conditionalFormatting>
  <conditionalFormatting sqref="B202:F202 H202:I202">
    <cfRule type="expression" dxfId="2104" priority="2091">
      <formula>$D202=""</formula>
    </cfRule>
  </conditionalFormatting>
  <conditionalFormatting sqref="F203">
    <cfRule type="expression" dxfId="2103" priority="2090">
      <formula>$D202=""</formula>
    </cfRule>
  </conditionalFormatting>
  <conditionalFormatting sqref="B204:F204 H204:I204">
    <cfRule type="expression" dxfId="2102" priority="2089">
      <formula>$D204=""</formula>
    </cfRule>
  </conditionalFormatting>
  <conditionalFormatting sqref="F205">
    <cfRule type="expression" dxfId="2101" priority="2088">
      <formula>$D204=""</formula>
    </cfRule>
  </conditionalFormatting>
  <conditionalFormatting sqref="B206:F206 H206:I206">
    <cfRule type="expression" dxfId="2100" priority="2087">
      <formula>$D206=""</formula>
    </cfRule>
  </conditionalFormatting>
  <conditionalFormatting sqref="F207">
    <cfRule type="expression" dxfId="2099" priority="2086">
      <formula>$D206=""</formula>
    </cfRule>
  </conditionalFormatting>
  <conditionalFormatting sqref="B208:F208 H208:I208">
    <cfRule type="expression" dxfId="2098" priority="2085">
      <formula>$D208=""</formula>
    </cfRule>
  </conditionalFormatting>
  <conditionalFormatting sqref="F209">
    <cfRule type="expression" dxfId="2097" priority="2084">
      <formula>$D208=""</formula>
    </cfRule>
  </conditionalFormatting>
  <conditionalFormatting sqref="B210:F210 H210:I210">
    <cfRule type="expression" dxfId="2096" priority="2083">
      <formula>$D210=""</formula>
    </cfRule>
  </conditionalFormatting>
  <conditionalFormatting sqref="F211">
    <cfRule type="expression" dxfId="2095" priority="2082">
      <formula>$D210=""</formula>
    </cfRule>
  </conditionalFormatting>
  <conditionalFormatting sqref="B212:F212 H212:I212">
    <cfRule type="expression" dxfId="2094" priority="2081">
      <formula>$D212=""</formula>
    </cfRule>
  </conditionalFormatting>
  <conditionalFormatting sqref="F213">
    <cfRule type="expression" dxfId="2093" priority="2080">
      <formula>$D212=""</formula>
    </cfRule>
  </conditionalFormatting>
  <conditionalFormatting sqref="B214:F214 H214:I214">
    <cfRule type="expression" dxfId="2092" priority="2079">
      <formula>$D214=""</formula>
    </cfRule>
  </conditionalFormatting>
  <conditionalFormatting sqref="F215">
    <cfRule type="expression" dxfId="2091" priority="2078">
      <formula>$D214=""</formula>
    </cfRule>
  </conditionalFormatting>
  <conditionalFormatting sqref="B216:F216 H216:I216">
    <cfRule type="expression" dxfId="2090" priority="2077">
      <formula>$D216=""</formula>
    </cfRule>
  </conditionalFormatting>
  <conditionalFormatting sqref="F217">
    <cfRule type="expression" dxfId="2089" priority="2076">
      <formula>$D216=""</formula>
    </cfRule>
  </conditionalFormatting>
  <conditionalFormatting sqref="B218:F218 H218:I218">
    <cfRule type="expression" dxfId="2088" priority="2075">
      <formula>$D218=""</formula>
    </cfRule>
  </conditionalFormatting>
  <conditionalFormatting sqref="F219">
    <cfRule type="expression" dxfId="2087" priority="2074">
      <formula>$D218=""</formula>
    </cfRule>
  </conditionalFormatting>
  <conditionalFormatting sqref="B220:F220 H220:I220">
    <cfRule type="expression" dxfId="2086" priority="2073">
      <formula>$D220=""</formula>
    </cfRule>
  </conditionalFormatting>
  <conditionalFormatting sqref="F221">
    <cfRule type="expression" dxfId="2085" priority="2072">
      <formula>$D220=""</formula>
    </cfRule>
  </conditionalFormatting>
  <conditionalFormatting sqref="B222:F222 H222:I222">
    <cfRule type="expression" dxfId="2084" priority="2071">
      <formula>$D222=""</formula>
    </cfRule>
  </conditionalFormatting>
  <conditionalFormatting sqref="F223">
    <cfRule type="expression" dxfId="2083" priority="2070">
      <formula>$D222=""</formula>
    </cfRule>
  </conditionalFormatting>
  <conditionalFormatting sqref="B224:F224 H224:I224">
    <cfRule type="expression" dxfId="2082" priority="2069">
      <formula>$D224=""</formula>
    </cfRule>
  </conditionalFormatting>
  <conditionalFormatting sqref="F225">
    <cfRule type="expression" dxfId="2081" priority="2068">
      <formula>$D224=""</formula>
    </cfRule>
  </conditionalFormatting>
  <conditionalFormatting sqref="B226:F226 H226:I226">
    <cfRule type="expression" dxfId="2080" priority="2067">
      <formula>$D226=""</formula>
    </cfRule>
  </conditionalFormatting>
  <conditionalFormatting sqref="F227">
    <cfRule type="expression" dxfId="2079" priority="2066">
      <formula>$D226=""</formula>
    </cfRule>
  </conditionalFormatting>
  <conditionalFormatting sqref="B228:F228 H228:I228">
    <cfRule type="expression" dxfId="2078" priority="2065">
      <formula>$D228=""</formula>
    </cfRule>
  </conditionalFormatting>
  <conditionalFormatting sqref="F229">
    <cfRule type="expression" dxfId="2077" priority="2064">
      <formula>$D228=""</formula>
    </cfRule>
  </conditionalFormatting>
  <conditionalFormatting sqref="B230:F230 H230:I230">
    <cfRule type="expression" dxfId="2076" priority="2063">
      <formula>$D230=""</formula>
    </cfRule>
  </conditionalFormatting>
  <conditionalFormatting sqref="F231">
    <cfRule type="expression" dxfId="2075" priority="2062">
      <formula>$D230=""</formula>
    </cfRule>
  </conditionalFormatting>
  <conditionalFormatting sqref="B232:F232 H232:I232">
    <cfRule type="expression" dxfId="2074" priority="2061">
      <formula>$D232=""</formula>
    </cfRule>
  </conditionalFormatting>
  <conditionalFormatting sqref="F233">
    <cfRule type="expression" dxfId="2073" priority="2060">
      <formula>$D232=""</formula>
    </cfRule>
  </conditionalFormatting>
  <conditionalFormatting sqref="B234:F234 H234:I234">
    <cfRule type="expression" dxfId="2072" priority="2059">
      <formula>$D234=""</formula>
    </cfRule>
  </conditionalFormatting>
  <conditionalFormatting sqref="F235">
    <cfRule type="expression" dxfId="2071" priority="2058">
      <formula>$D234=""</formula>
    </cfRule>
  </conditionalFormatting>
  <conditionalFormatting sqref="B236:F236 H236:I236">
    <cfRule type="expression" dxfId="2070" priority="2057">
      <formula>$D236=""</formula>
    </cfRule>
  </conditionalFormatting>
  <conditionalFormatting sqref="F237">
    <cfRule type="expression" dxfId="2069" priority="2056">
      <formula>$D236=""</formula>
    </cfRule>
  </conditionalFormatting>
  <conditionalFormatting sqref="B238:F238 H238:I238">
    <cfRule type="expression" dxfId="2068" priority="2055">
      <formula>$D238=""</formula>
    </cfRule>
  </conditionalFormatting>
  <conditionalFormatting sqref="F239">
    <cfRule type="expression" dxfId="2067" priority="2054">
      <formula>$D238=""</formula>
    </cfRule>
  </conditionalFormatting>
  <conditionalFormatting sqref="B240:F240 H240:I240">
    <cfRule type="expression" dxfId="2066" priority="2053">
      <formula>$D240=""</formula>
    </cfRule>
  </conditionalFormatting>
  <conditionalFormatting sqref="F241">
    <cfRule type="expression" dxfId="2065" priority="2052">
      <formula>$D240=""</formula>
    </cfRule>
  </conditionalFormatting>
  <conditionalFormatting sqref="B242:F242 H242:I242">
    <cfRule type="expression" dxfId="2064" priority="2051">
      <formula>$D242=""</formula>
    </cfRule>
  </conditionalFormatting>
  <conditionalFormatting sqref="F243">
    <cfRule type="expression" dxfId="2063" priority="2050">
      <formula>$D242=""</formula>
    </cfRule>
  </conditionalFormatting>
  <conditionalFormatting sqref="B244:F244 H244:I244">
    <cfRule type="expression" dxfId="2062" priority="2049">
      <formula>$D244=""</formula>
    </cfRule>
  </conditionalFormatting>
  <conditionalFormatting sqref="F245">
    <cfRule type="expression" dxfId="2061" priority="2048">
      <formula>$D244=""</formula>
    </cfRule>
  </conditionalFormatting>
  <conditionalFormatting sqref="B246:F246 H246:I246">
    <cfRule type="expression" dxfId="2060" priority="2047">
      <formula>$D246=""</formula>
    </cfRule>
  </conditionalFormatting>
  <conditionalFormatting sqref="F247">
    <cfRule type="expression" dxfId="2059" priority="2046">
      <formula>$D246=""</formula>
    </cfRule>
  </conditionalFormatting>
  <conditionalFormatting sqref="B248:F248 H248:I248">
    <cfRule type="expression" dxfId="2058" priority="2045">
      <formula>$D248=""</formula>
    </cfRule>
  </conditionalFormatting>
  <conditionalFormatting sqref="F249">
    <cfRule type="expression" dxfId="2057" priority="2044">
      <formula>$D248=""</formula>
    </cfRule>
  </conditionalFormatting>
  <conditionalFormatting sqref="B250:F250 H250:I250">
    <cfRule type="expression" dxfId="2056" priority="2043">
      <formula>$D250=""</formula>
    </cfRule>
  </conditionalFormatting>
  <conditionalFormatting sqref="F251">
    <cfRule type="expression" dxfId="2055" priority="2042">
      <formula>$D250=""</formula>
    </cfRule>
  </conditionalFormatting>
  <conditionalFormatting sqref="B252:F252 H252:I252">
    <cfRule type="expression" dxfId="2054" priority="2041">
      <formula>$D252=""</formula>
    </cfRule>
  </conditionalFormatting>
  <conditionalFormatting sqref="F253">
    <cfRule type="expression" dxfId="2053" priority="2040">
      <formula>$D252=""</formula>
    </cfRule>
  </conditionalFormatting>
  <conditionalFormatting sqref="B254:F254 H254:I254">
    <cfRule type="expression" dxfId="2052" priority="2039">
      <formula>$D254=""</formula>
    </cfRule>
  </conditionalFormatting>
  <conditionalFormatting sqref="F255">
    <cfRule type="expression" dxfId="2051" priority="2038">
      <formula>$D254=""</formula>
    </cfRule>
  </conditionalFormatting>
  <conditionalFormatting sqref="B256:F256 H256:I256">
    <cfRule type="expression" dxfId="2050" priority="2037">
      <formula>$D256=""</formula>
    </cfRule>
  </conditionalFormatting>
  <conditionalFormatting sqref="F257">
    <cfRule type="expression" dxfId="2049" priority="2036">
      <formula>$D256=""</formula>
    </cfRule>
  </conditionalFormatting>
  <conditionalFormatting sqref="B258:F258 H258:I258">
    <cfRule type="expression" dxfId="2048" priority="2035">
      <formula>$D258=""</formula>
    </cfRule>
  </conditionalFormatting>
  <conditionalFormatting sqref="F259">
    <cfRule type="expression" dxfId="2047" priority="2034">
      <formula>$D258=""</formula>
    </cfRule>
  </conditionalFormatting>
  <conditionalFormatting sqref="B260:F260 H260:I260">
    <cfRule type="expression" dxfId="2046" priority="2033">
      <formula>$D260=""</formula>
    </cfRule>
  </conditionalFormatting>
  <conditionalFormatting sqref="F261">
    <cfRule type="expression" dxfId="2045" priority="2032">
      <formula>$D260=""</formula>
    </cfRule>
  </conditionalFormatting>
  <conditionalFormatting sqref="B262:F262 H262:I262">
    <cfRule type="expression" dxfId="2044" priority="2031">
      <formula>$D262=""</formula>
    </cfRule>
  </conditionalFormatting>
  <conditionalFormatting sqref="F263">
    <cfRule type="expression" dxfId="2043" priority="2030">
      <formula>$D262=""</formula>
    </cfRule>
  </conditionalFormatting>
  <conditionalFormatting sqref="B264:F264 H264:I264">
    <cfRule type="expression" dxfId="2042" priority="2029">
      <formula>$D264=""</formula>
    </cfRule>
  </conditionalFormatting>
  <conditionalFormatting sqref="F265">
    <cfRule type="expression" dxfId="2041" priority="2028">
      <formula>$D264=""</formula>
    </cfRule>
  </conditionalFormatting>
  <conditionalFormatting sqref="B266:F266 H266:I266">
    <cfRule type="expression" dxfId="2040" priority="2027">
      <formula>$D266=""</formula>
    </cfRule>
  </conditionalFormatting>
  <conditionalFormatting sqref="F267">
    <cfRule type="expression" dxfId="2039" priority="2026">
      <formula>$D266=""</formula>
    </cfRule>
  </conditionalFormatting>
  <conditionalFormatting sqref="B268:F268 H268:I268">
    <cfRule type="expression" dxfId="2038" priority="2025">
      <formula>$D268=""</formula>
    </cfRule>
  </conditionalFormatting>
  <conditionalFormatting sqref="F269">
    <cfRule type="expression" dxfId="2037" priority="2024">
      <formula>$D268=""</formula>
    </cfRule>
  </conditionalFormatting>
  <conditionalFormatting sqref="B270:F270 H270:I270">
    <cfRule type="expression" dxfId="2036" priority="2023">
      <formula>$D270=""</formula>
    </cfRule>
  </conditionalFormatting>
  <conditionalFormatting sqref="F271">
    <cfRule type="expression" dxfId="2035" priority="2022">
      <formula>$D270=""</formula>
    </cfRule>
  </conditionalFormatting>
  <conditionalFormatting sqref="B272:F272 H272:I272">
    <cfRule type="expression" dxfId="2034" priority="2021">
      <formula>$D272=""</formula>
    </cfRule>
  </conditionalFormatting>
  <conditionalFormatting sqref="F273">
    <cfRule type="expression" dxfId="2033" priority="2020">
      <formula>$D272=""</formula>
    </cfRule>
  </conditionalFormatting>
  <conditionalFormatting sqref="B274:F274 H274:I274">
    <cfRule type="expression" dxfId="2032" priority="2019">
      <formula>$D274=""</formula>
    </cfRule>
  </conditionalFormatting>
  <conditionalFormatting sqref="F275">
    <cfRule type="expression" dxfId="2031" priority="2018">
      <formula>$D274=""</formula>
    </cfRule>
  </conditionalFormatting>
  <conditionalFormatting sqref="B276:F276 H276:I276">
    <cfRule type="expression" dxfId="2030" priority="2017">
      <formula>$D276=""</formula>
    </cfRule>
  </conditionalFormatting>
  <conditionalFormatting sqref="F277">
    <cfRule type="expression" dxfId="2029" priority="2016">
      <formula>$D276=""</formula>
    </cfRule>
  </conditionalFormatting>
  <conditionalFormatting sqref="B278:F278 H278:I278">
    <cfRule type="expression" dxfId="2028" priority="2015">
      <formula>$D278=""</formula>
    </cfRule>
  </conditionalFormatting>
  <conditionalFormatting sqref="F279">
    <cfRule type="expression" dxfId="2027" priority="2014">
      <formula>$D278=""</formula>
    </cfRule>
  </conditionalFormatting>
  <conditionalFormatting sqref="B280:F280 H280:I280">
    <cfRule type="expression" dxfId="2026" priority="2013">
      <formula>$D280=""</formula>
    </cfRule>
  </conditionalFormatting>
  <conditionalFormatting sqref="F281">
    <cfRule type="expression" dxfId="2025" priority="2012">
      <formula>$D280=""</formula>
    </cfRule>
  </conditionalFormatting>
  <conditionalFormatting sqref="B282:F282 H282:I282">
    <cfRule type="expression" dxfId="2024" priority="2011">
      <formula>$D282=""</formula>
    </cfRule>
  </conditionalFormatting>
  <conditionalFormatting sqref="F283">
    <cfRule type="expression" dxfId="2023" priority="2010">
      <formula>$D282=""</formula>
    </cfRule>
  </conditionalFormatting>
  <conditionalFormatting sqref="B284:F284 H284:I284">
    <cfRule type="expression" dxfId="2022" priority="2009">
      <formula>$D284=""</formula>
    </cfRule>
  </conditionalFormatting>
  <conditionalFormatting sqref="F285">
    <cfRule type="expression" dxfId="2021" priority="2008">
      <formula>$D284=""</formula>
    </cfRule>
  </conditionalFormatting>
  <conditionalFormatting sqref="B286:F286 H286:I286">
    <cfRule type="expression" dxfId="2020" priority="2007">
      <formula>$D286=""</formula>
    </cfRule>
  </conditionalFormatting>
  <conditionalFormatting sqref="F287">
    <cfRule type="expression" dxfId="2019" priority="2006">
      <formula>$D286=""</formula>
    </cfRule>
  </conditionalFormatting>
  <conditionalFormatting sqref="B288:F288 H288:I288">
    <cfRule type="expression" dxfId="2018" priority="2005">
      <formula>$D288=""</formula>
    </cfRule>
  </conditionalFormatting>
  <conditionalFormatting sqref="F289">
    <cfRule type="expression" dxfId="2017" priority="2004">
      <formula>$D288=""</formula>
    </cfRule>
  </conditionalFormatting>
  <conditionalFormatting sqref="B290:F290 H290:I290">
    <cfRule type="expression" dxfId="2016" priority="2003">
      <formula>$D290=""</formula>
    </cfRule>
  </conditionalFormatting>
  <conditionalFormatting sqref="F291">
    <cfRule type="expression" dxfId="2015" priority="2002">
      <formula>$D290=""</formula>
    </cfRule>
  </conditionalFormatting>
  <conditionalFormatting sqref="B292:F292 H292:I292">
    <cfRule type="expression" dxfId="2014" priority="2001">
      <formula>$D292=""</formula>
    </cfRule>
  </conditionalFormatting>
  <conditionalFormatting sqref="F293">
    <cfRule type="expression" dxfId="2013" priority="2000">
      <formula>$D292=""</formula>
    </cfRule>
  </conditionalFormatting>
  <conditionalFormatting sqref="B294:F294 H294:I294">
    <cfRule type="expression" dxfId="2012" priority="1999">
      <formula>$D294=""</formula>
    </cfRule>
  </conditionalFormatting>
  <conditionalFormatting sqref="F295">
    <cfRule type="expression" dxfId="2011" priority="1998">
      <formula>$D294=""</formula>
    </cfRule>
  </conditionalFormatting>
  <conditionalFormatting sqref="B296:F296 H296:I296">
    <cfRule type="expression" dxfId="2010" priority="1997">
      <formula>$D296=""</formula>
    </cfRule>
  </conditionalFormatting>
  <conditionalFormatting sqref="F297">
    <cfRule type="expression" dxfId="2009" priority="1996">
      <formula>$D296=""</formula>
    </cfRule>
  </conditionalFormatting>
  <conditionalFormatting sqref="B298:F298 H298:I298">
    <cfRule type="expression" dxfId="2008" priority="1995">
      <formula>$D298=""</formula>
    </cfRule>
  </conditionalFormatting>
  <conditionalFormatting sqref="F299">
    <cfRule type="expression" dxfId="2007" priority="1994">
      <formula>$D298=""</formula>
    </cfRule>
  </conditionalFormatting>
  <conditionalFormatting sqref="B300:F300 H300:I300">
    <cfRule type="expression" dxfId="2006" priority="1993">
      <formula>$D300=""</formula>
    </cfRule>
  </conditionalFormatting>
  <conditionalFormatting sqref="F301">
    <cfRule type="expression" dxfId="2005" priority="1992">
      <formula>$D300=""</formula>
    </cfRule>
  </conditionalFormatting>
  <conditionalFormatting sqref="B302:F302 H302:I302">
    <cfRule type="expression" dxfId="2004" priority="1991">
      <formula>$D302=""</formula>
    </cfRule>
  </conditionalFormatting>
  <conditionalFormatting sqref="F303">
    <cfRule type="expression" dxfId="2003" priority="1990">
      <formula>$D302=""</formula>
    </cfRule>
  </conditionalFormatting>
  <conditionalFormatting sqref="B304:F304 H304:I304">
    <cfRule type="expression" dxfId="2002" priority="1989">
      <formula>$D304=""</formula>
    </cfRule>
  </conditionalFormatting>
  <conditionalFormatting sqref="F305">
    <cfRule type="expression" dxfId="2001" priority="1988">
      <formula>$D304=""</formula>
    </cfRule>
  </conditionalFormatting>
  <conditionalFormatting sqref="B306:F306 H306:I306">
    <cfRule type="expression" dxfId="2000" priority="1987">
      <formula>$D306=""</formula>
    </cfRule>
  </conditionalFormatting>
  <conditionalFormatting sqref="F307">
    <cfRule type="expression" dxfId="1999" priority="1986">
      <formula>$D306=""</formula>
    </cfRule>
  </conditionalFormatting>
  <conditionalFormatting sqref="B308:F308 H308:I308">
    <cfRule type="expression" dxfId="1998" priority="1985">
      <formula>$D308=""</formula>
    </cfRule>
  </conditionalFormatting>
  <conditionalFormatting sqref="F309">
    <cfRule type="expression" dxfId="1997" priority="1984">
      <formula>$D308=""</formula>
    </cfRule>
  </conditionalFormatting>
  <conditionalFormatting sqref="B316:J316 G318 G320 G322 G324 G326 G328 G330 G332 G334 G336 G338 G340 G342 G344 G346 G348 G350 G352 G354 G356 G358 G360 G362 G364 G366 G368 G370 G372 G374 G376 G378 G380 G382 G384 G386 G388 G390 G392 G394 G396 G398 G400 G402 G404 G406 G408 G410 G412 G414 G416 G418 G420 G422 G424 G426 G428 G430 G432 G434 G436 G438 G440 G442 G444 G446 G448 G450 G452 G454 G456 G458 G460 G462 G464 G466 G468 G470 G472 G474 G476 G478 G480 G482 G484 G486 G488 G490 G492 G494 G496 G498 G500 G502 G504 G506 G508 G510 G512 G514 G516 G518 G520 G522 G524 G526 G528 G530 G532 G534 G536 G538 G540 G542 G544 G546 G548 G550 G552 G554 G556 G558 G560 G562 G564 G566 G568 G570 G572 G574 G576 G578 G580 G582 G584 G586 G588 G590 G592 G594 G596 G598 G600 G602 G604 G606 G608 G610 G612 G614">
    <cfRule type="expression" dxfId="1996" priority="1983">
      <formula>$D316=""</formula>
    </cfRule>
  </conditionalFormatting>
  <conditionalFormatting sqref="F317">
    <cfRule type="expression" dxfId="1995" priority="1982">
      <formula>$D316=""</formula>
    </cfRule>
  </conditionalFormatting>
  <conditionalFormatting sqref="B318:F318 H318:J318">
    <cfRule type="expression" dxfId="1994" priority="1980">
      <formula>$D318=""</formula>
    </cfRule>
  </conditionalFormatting>
  <conditionalFormatting sqref="F319">
    <cfRule type="expression" dxfId="1993" priority="1979">
      <formula>$D318=""</formula>
    </cfRule>
  </conditionalFormatting>
  <conditionalFormatting sqref="B320:F320 H320:J320">
    <cfRule type="expression" dxfId="1992" priority="1978">
      <formula>$D320=""</formula>
    </cfRule>
  </conditionalFormatting>
  <conditionalFormatting sqref="F321">
    <cfRule type="expression" dxfId="1991" priority="1977">
      <formula>$D320=""</formula>
    </cfRule>
  </conditionalFormatting>
  <conditionalFormatting sqref="B322:F322 H322:J322">
    <cfRule type="expression" dxfId="1990" priority="1976">
      <formula>$D322=""</formula>
    </cfRule>
  </conditionalFormatting>
  <conditionalFormatting sqref="F323">
    <cfRule type="expression" dxfId="1989" priority="1975">
      <formula>$D322=""</formula>
    </cfRule>
  </conditionalFormatting>
  <conditionalFormatting sqref="B324:F324 H324:J324">
    <cfRule type="expression" dxfId="1988" priority="1974">
      <formula>$D324=""</formula>
    </cfRule>
  </conditionalFormatting>
  <conditionalFormatting sqref="F325">
    <cfRule type="expression" dxfId="1987" priority="1973">
      <formula>$D324=""</formula>
    </cfRule>
  </conditionalFormatting>
  <conditionalFormatting sqref="B326:F326 H326:J326">
    <cfRule type="expression" dxfId="1986" priority="1972">
      <formula>$D326=""</formula>
    </cfRule>
  </conditionalFormatting>
  <conditionalFormatting sqref="F327">
    <cfRule type="expression" dxfId="1985" priority="1971">
      <formula>$D326=""</formula>
    </cfRule>
  </conditionalFormatting>
  <conditionalFormatting sqref="B328:F328 H328:J328">
    <cfRule type="expression" dxfId="1984" priority="1970">
      <formula>$D328=""</formula>
    </cfRule>
  </conditionalFormatting>
  <conditionalFormatting sqref="F329">
    <cfRule type="expression" dxfId="1983" priority="1969">
      <formula>$D328=""</formula>
    </cfRule>
  </conditionalFormatting>
  <conditionalFormatting sqref="B330:F330 H330:J330">
    <cfRule type="expression" dxfId="1982" priority="1968">
      <formula>$D330=""</formula>
    </cfRule>
  </conditionalFormatting>
  <conditionalFormatting sqref="F331">
    <cfRule type="expression" dxfId="1981" priority="1967">
      <formula>$D330=""</formula>
    </cfRule>
  </conditionalFormatting>
  <conditionalFormatting sqref="B332:F332 H332:J332">
    <cfRule type="expression" dxfId="1980" priority="1966">
      <formula>$D332=""</formula>
    </cfRule>
  </conditionalFormatting>
  <conditionalFormatting sqref="F333">
    <cfRule type="expression" dxfId="1979" priority="1965">
      <formula>$D332=""</formula>
    </cfRule>
  </conditionalFormatting>
  <conditionalFormatting sqref="B334:F334 H334:J334">
    <cfRule type="expression" dxfId="1978" priority="1964">
      <formula>$D334=""</formula>
    </cfRule>
  </conditionalFormatting>
  <conditionalFormatting sqref="F335">
    <cfRule type="expression" dxfId="1977" priority="1963">
      <formula>$D334=""</formula>
    </cfRule>
  </conditionalFormatting>
  <conditionalFormatting sqref="B336:F336 H336:J336">
    <cfRule type="expression" dxfId="1976" priority="1962">
      <formula>$D336=""</formula>
    </cfRule>
  </conditionalFormatting>
  <conditionalFormatting sqref="F337">
    <cfRule type="expression" dxfId="1975" priority="1961">
      <formula>$D336=""</formula>
    </cfRule>
  </conditionalFormatting>
  <conditionalFormatting sqref="B338:F338 H338:J338">
    <cfRule type="expression" dxfId="1974" priority="1960">
      <formula>$D338=""</formula>
    </cfRule>
  </conditionalFormatting>
  <conditionalFormatting sqref="F339">
    <cfRule type="expression" dxfId="1973" priority="1959">
      <formula>$D338=""</formula>
    </cfRule>
  </conditionalFormatting>
  <conditionalFormatting sqref="B340:F340 H340:J340">
    <cfRule type="expression" dxfId="1972" priority="1958">
      <formula>$D340=""</formula>
    </cfRule>
  </conditionalFormatting>
  <conditionalFormatting sqref="F341">
    <cfRule type="expression" dxfId="1971" priority="1957">
      <formula>$D340=""</formula>
    </cfRule>
  </conditionalFormatting>
  <conditionalFormatting sqref="B342:F342 H342:J342">
    <cfRule type="expression" dxfId="1970" priority="1956">
      <formula>$D342=""</formula>
    </cfRule>
  </conditionalFormatting>
  <conditionalFormatting sqref="F343">
    <cfRule type="expression" dxfId="1969" priority="1955">
      <formula>$D342=""</formula>
    </cfRule>
  </conditionalFormatting>
  <conditionalFormatting sqref="B344:F344 H344:J344">
    <cfRule type="expression" dxfId="1968" priority="1954">
      <formula>$D344=""</formula>
    </cfRule>
  </conditionalFormatting>
  <conditionalFormatting sqref="F345">
    <cfRule type="expression" dxfId="1967" priority="1953">
      <formula>$D344=""</formula>
    </cfRule>
  </conditionalFormatting>
  <conditionalFormatting sqref="B346:F346 H346:J346">
    <cfRule type="expression" dxfId="1966" priority="1952">
      <formula>$D346=""</formula>
    </cfRule>
  </conditionalFormatting>
  <conditionalFormatting sqref="F347">
    <cfRule type="expression" dxfId="1965" priority="1951">
      <formula>$D346=""</formula>
    </cfRule>
  </conditionalFormatting>
  <conditionalFormatting sqref="B348:F348 H348:J348">
    <cfRule type="expression" dxfId="1964" priority="1950">
      <formula>$D348=""</formula>
    </cfRule>
  </conditionalFormatting>
  <conditionalFormatting sqref="F349">
    <cfRule type="expression" dxfId="1963" priority="1949">
      <formula>$D348=""</formula>
    </cfRule>
  </conditionalFormatting>
  <conditionalFormatting sqref="B350:F350 H350:J350">
    <cfRule type="expression" dxfId="1962" priority="1948">
      <formula>$D350=""</formula>
    </cfRule>
  </conditionalFormatting>
  <conditionalFormatting sqref="F351">
    <cfRule type="expression" dxfId="1961" priority="1947">
      <formula>$D350=""</formula>
    </cfRule>
  </conditionalFormatting>
  <conditionalFormatting sqref="B352:F352 H352:J352">
    <cfRule type="expression" dxfId="1960" priority="1946">
      <formula>$D352=""</formula>
    </cfRule>
  </conditionalFormatting>
  <conditionalFormatting sqref="F353">
    <cfRule type="expression" dxfId="1959" priority="1945">
      <formula>$D352=""</formula>
    </cfRule>
  </conditionalFormatting>
  <conditionalFormatting sqref="B354:F354 H354:J354">
    <cfRule type="expression" dxfId="1958" priority="1944">
      <formula>$D354=""</formula>
    </cfRule>
  </conditionalFormatting>
  <conditionalFormatting sqref="F355">
    <cfRule type="expression" dxfId="1957" priority="1943">
      <formula>$D354=""</formula>
    </cfRule>
  </conditionalFormatting>
  <conditionalFormatting sqref="B356:F356 H356:J356">
    <cfRule type="expression" dxfId="1956" priority="1942">
      <formula>$D356=""</formula>
    </cfRule>
  </conditionalFormatting>
  <conditionalFormatting sqref="F357">
    <cfRule type="expression" dxfId="1955" priority="1941">
      <formula>$D356=""</formula>
    </cfRule>
  </conditionalFormatting>
  <conditionalFormatting sqref="B358:F358 H358:J358">
    <cfRule type="expression" dxfId="1954" priority="1940">
      <formula>$D358=""</formula>
    </cfRule>
  </conditionalFormatting>
  <conditionalFormatting sqref="F359">
    <cfRule type="expression" dxfId="1953" priority="1939">
      <formula>$D358=""</formula>
    </cfRule>
  </conditionalFormatting>
  <conditionalFormatting sqref="B360:F360 H360:J360">
    <cfRule type="expression" dxfId="1952" priority="1938">
      <formula>$D360=""</formula>
    </cfRule>
  </conditionalFormatting>
  <conditionalFormatting sqref="F361">
    <cfRule type="expression" dxfId="1951" priority="1937">
      <formula>$D360=""</formula>
    </cfRule>
  </conditionalFormatting>
  <conditionalFormatting sqref="B362:F362 H362:J362">
    <cfRule type="expression" dxfId="1950" priority="1936">
      <formula>$D362=""</formula>
    </cfRule>
  </conditionalFormatting>
  <conditionalFormatting sqref="F363">
    <cfRule type="expression" dxfId="1949" priority="1935">
      <formula>$D362=""</formula>
    </cfRule>
  </conditionalFormatting>
  <conditionalFormatting sqref="B364:F364 H364:J364">
    <cfRule type="expression" dxfId="1948" priority="1934">
      <formula>$D364=""</formula>
    </cfRule>
  </conditionalFormatting>
  <conditionalFormatting sqref="F365">
    <cfRule type="expression" dxfId="1947" priority="1933">
      <formula>$D364=""</formula>
    </cfRule>
  </conditionalFormatting>
  <conditionalFormatting sqref="B366:F366 H366:J366">
    <cfRule type="expression" dxfId="1946" priority="1932">
      <formula>$D366=""</formula>
    </cfRule>
  </conditionalFormatting>
  <conditionalFormatting sqref="F367">
    <cfRule type="expression" dxfId="1945" priority="1931">
      <formula>$D366=""</formula>
    </cfRule>
  </conditionalFormatting>
  <conditionalFormatting sqref="B368:F368 H368:J368">
    <cfRule type="expression" dxfId="1944" priority="1930">
      <formula>$D368=""</formula>
    </cfRule>
  </conditionalFormatting>
  <conditionalFormatting sqref="F369">
    <cfRule type="expression" dxfId="1943" priority="1929">
      <formula>$D368=""</formula>
    </cfRule>
  </conditionalFormatting>
  <conditionalFormatting sqref="B370:F370 H370:J370">
    <cfRule type="expression" dxfId="1942" priority="1928">
      <formula>$D370=""</formula>
    </cfRule>
  </conditionalFormatting>
  <conditionalFormatting sqref="F371">
    <cfRule type="expression" dxfId="1941" priority="1927">
      <formula>$D370=""</formula>
    </cfRule>
  </conditionalFormatting>
  <conditionalFormatting sqref="B372:F372 H372:J372">
    <cfRule type="expression" dxfId="1940" priority="1926">
      <formula>$D372=""</formula>
    </cfRule>
  </conditionalFormatting>
  <conditionalFormatting sqref="F373">
    <cfRule type="expression" dxfId="1939" priority="1925">
      <formula>$D372=""</formula>
    </cfRule>
  </conditionalFormatting>
  <conditionalFormatting sqref="B374:F374 H374:J374">
    <cfRule type="expression" dxfId="1938" priority="1924">
      <formula>$D374=""</formula>
    </cfRule>
  </conditionalFormatting>
  <conditionalFormatting sqref="F375">
    <cfRule type="expression" dxfId="1937" priority="1923">
      <formula>$D374=""</formula>
    </cfRule>
  </conditionalFormatting>
  <conditionalFormatting sqref="B376:F376 H376:J376">
    <cfRule type="expression" dxfId="1936" priority="1922">
      <formula>$D376=""</formula>
    </cfRule>
  </conditionalFormatting>
  <conditionalFormatting sqref="F377">
    <cfRule type="expression" dxfId="1935" priority="1921">
      <formula>$D376=""</formula>
    </cfRule>
  </conditionalFormatting>
  <conditionalFormatting sqref="B378:F378 H378:J378">
    <cfRule type="expression" dxfId="1934" priority="1920">
      <formula>$D378=""</formula>
    </cfRule>
  </conditionalFormatting>
  <conditionalFormatting sqref="F379">
    <cfRule type="expression" dxfId="1933" priority="1919">
      <formula>$D378=""</formula>
    </cfRule>
  </conditionalFormatting>
  <conditionalFormatting sqref="B380:F380 H380:J380">
    <cfRule type="expression" dxfId="1932" priority="1918">
      <formula>$D380=""</formula>
    </cfRule>
  </conditionalFormatting>
  <conditionalFormatting sqref="F381">
    <cfRule type="expression" dxfId="1931" priority="1917">
      <formula>$D380=""</formula>
    </cfRule>
  </conditionalFormatting>
  <conditionalFormatting sqref="B382:F382 H382:J382">
    <cfRule type="expression" dxfId="1930" priority="1916">
      <formula>$D382=""</formula>
    </cfRule>
  </conditionalFormatting>
  <conditionalFormatting sqref="F383">
    <cfRule type="expression" dxfId="1929" priority="1915">
      <formula>$D382=""</formula>
    </cfRule>
  </conditionalFormatting>
  <conditionalFormatting sqref="B384:F384 H384:J384">
    <cfRule type="expression" dxfId="1928" priority="1914">
      <formula>$D384=""</formula>
    </cfRule>
  </conditionalFormatting>
  <conditionalFormatting sqref="F385">
    <cfRule type="expression" dxfId="1927" priority="1913">
      <formula>$D384=""</formula>
    </cfRule>
  </conditionalFormatting>
  <conditionalFormatting sqref="B386:F386 H386:J386">
    <cfRule type="expression" dxfId="1926" priority="1912">
      <formula>$D386=""</formula>
    </cfRule>
  </conditionalFormatting>
  <conditionalFormatting sqref="F387">
    <cfRule type="expression" dxfId="1925" priority="1911">
      <formula>$D386=""</formula>
    </cfRule>
  </conditionalFormatting>
  <conditionalFormatting sqref="B388:F388 H388:J388">
    <cfRule type="expression" dxfId="1924" priority="1910">
      <formula>$D388=""</formula>
    </cfRule>
  </conditionalFormatting>
  <conditionalFormatting sqref="F389">
    <cfRule type="expression" dxfId="1923" priority="1909">
      <formula>$D388=""</formula>
    </cfRule>
  </conditionalFormatting>
  <conditionalFormatting sqref="B390:F390 H390:J390">
    <cfRule type="expression" dxfId="1922" priority="1908">
      <formula>$D390=""</formula>
    </cfRule>
  </conditionalFormatting>
  <conditionalFormatting sqref="F391">
    <cfRule type="expression" dxfId="1921" priority="1907">
      <formula>$D390=""</formula>
    </cfRule>
  </conditionalFormatting>
  <conditionalFormatting sqref="B392:F392 H392:J392">
    <cfRule type="expression" dxfId="1920" priority="1906">
      <formula>$D392=""</formula>
    </cfRule>
  </conditionalFormatting>
  <conditionalFormatting sqref="F393">
    <cfRule type="expression" dxfId="1919" priority="1905">
      <formula>$D392=""</formula>
    </cfRule>
  </conditionalFormatting>
  <conditionalFormatting sqref="B394:F394 H394:J394">
    <cfRule type="expression" dxfId="1918" priority="1904">
      <formula>$D394=""</formula>
    </cfRule>
  </conditionalFormatting>
  <conditionalFormatting sqref="F395">
    <cfRule type="expression" dxfId="1917" priority="1903">
      <formula>$D394=""</formula>
    </cfRule>
  </conditionalFormatting>
  <conditionalFormatting sqref="B396:F396 H396:J396">
    <cfRule type="expression" dxfId="1916" priority="1902">
      <formula>$D396=""</formula>
    </cfRule>
  </conditionalFormatting>
  <conditionalFormatting sqref="F397">
    <cfRule type="expression" dxfId="1915" priority="1901">
      <formula>$D396=""</formula>
    </cfRule>
  </conditionalFormatting>
  <conditionalFormatting sqref="B398:F398 H398:J398">
    <cfRule type="expression" dxfId="1914" priority="1900">
      <formula>$D398=""</formula>
    </cfRule>
  </conditionalFormatting>
  <conditionalFormatting sqref="F399">
    <cfRule type="expression" dxfId="1913" priority="1899">
      <formula>$D398=""</formula>
    </cfRule>
  </conditionalFormatting>
  <conditionalFormatting sqref="B400:F400 H400:J400">
    <cfRule type="expression" dxfId="1912" priority="1898">
      <formula>$D400=""</formula>
    </cfRule>
  </conditionalFormatting>
  <conditionalFormatting sqref="F401">
    <cfRule type="expression" dxfId="1911" priority="1897">
      <formula>$D400=""</formula>
    </cfRule>
  </conditionalFormatting>
  <conditionalFormatting sqref="B402:F402 H402:J402">
    <cfRule type="expression" dxfId="1910" priority="1896">
      <formula>$D402=""</formula>
    </cfRule>
  </conditionalFormatting>
  <conditionalFormatting sqref="F403">
    <cfRule type="expression" dxfId="1909" priority="1895">
      <formula>$D402=""</formula>
    </cfRule>
  </conditionalFormatting>
  <conditionalFormatting sqref="B404:F404 H404:J404">
    <cfRule type="expression" dxfId="1908" priority="1894">
      <formula>$D404=""</formula>
    </cfRule>
  </conditionalFormatting>
  <conditionalFormatting sqref="F405">
    <cfRule type="expression" dxfId="1907" priority="1893">
      <formula>$D404=""</formula>
    </cfRule>
  </conditionalFormatting>
  <conditionalFormatting sqref="B406:F406 H406:J406">
    <cfRule type="expression" dxfId="1906" priority="1892">
      <formula>$D406=""</formula>
    </cfRule>
  </conditionalFormatting>
  <conditionalFormatting sqref="F407">
    <cfRule type="expression" dxfId="1905" priority="1891">
      <formula>$D406=""</formula>
    </cfRule>
  </conditionalFormatting>
  <conditionalFormatting sqref="B408:F408 H408:J408">
    <cfRule type="expression" dxfId="1904" priority="1890">
      <formula>$D408=""</formula>
    </cfRule>
  </conditionalFormatting>
  <conditionalFormatting sqref="F409">
    <cfRule type="expression" dxfId="1903" priority="1889">
      <formula>$D408=""</formula>
    </cfRule>
  </conditionalFormatting>
  <conditionalFormatting sqref="B410:F410 H410:J410">
    <cfRule type="expression" dxfId="1902" priority="1888">
      <formula>$D410=""</formula>
    </cfRule>
  </conditionalFormatting>
  <conditionalFormatting sqref="F411">
    <cfRule type="expression" dxfId="1901" priority="1887">
      <formula>$D410=""</formula>
    </cfRule>
  </conditionalFormatting>
  <conditionalFormatting sqref="B412:F412 H412:J412">
    <cfRule type="expression" dxfId="1900" priority="1886">
      <formula>$D412=""</formula>
    </cfRule>
  </conditionalFormatting>
  <conditionalFormatting sqref="F413">
    <cfRule type="expression" dxfId="1899" priority="1885">
      <formula>$D412=""</formula>
    </cfRule>
  </conditionalFormatting>
  <conditionalFormatting sqref="B414:F414 H414:J414">
    <cfRule type="expression" dxfId="1898" priority="1884">
      <formula>$D414=""</formula>
    </cfRule>
  </conditionalFormatting>
  <conditionalFormatting sqref="F415">
    <cfRule type="expression" dxfId="1897" priority="1883">
      <formula>$D414=""</formula>
    </cfRule>
  </conditionalFormatting>
  <conditionalFormatting sqref="B416:F416 H416:J416">
    <cfRule type="expression" dxfId="1896" priority="1882">
      <formula>$D416=""</formula>
    </cfRule>
  </conditionalFormatting>
  <conditionalFormatting sqref="F417">
    <cfRule type="expression" dxfId="1895" priority="1881">
      <formula>$D416=""</formula>
    </cfRule>
  </conditionalFormatting>
  <conditionalFormatting sqref="B418:F418 H418:J418">
    <cfRule type="expression" dxfId="1894" priority="1880">
      <formula>$D418=""</formula>
    </cfRule>
  </conditionalFormatting>
  <conditionalFormatting sqref="F419">
    <cfRule type="expression" dxfId="1893" priority="1879">
      <formula>$D418=""</formula>
    </cfRule>
  </conditionalFormatting>
  <conditionalFormatting sqref="B420:F420 H420:J420">
    <cfRule type="expression" dxfId="1892" priority="1878">
      <formula>$D420=""</formula>
    </cfRule>
  </conditionalFormatting>
  <conditionalFormatting sqref="F421">
    <cfRule type="expression" dxfId="1891" priority="1877">
      <formula>$D420=""</formula>
    </cfRule>
  </conditionalFormatting>
  <conditionalFormatting sqref="B422:F422 H422:J422">
    <cfRule type="expression" dxfId="1890" priority="1876">
      <formula>$D422=""</formula>
    </cfRule>
  </conditionalFormatting>
  <conditionalFormatting sqref="F423">
    <cfRule type="expression" dxfId="1889" priority="1875">
      <formula>$D422=""</formula>
    </cfRule>
  </conditionalFormatting>
  <conditionalFormatting sqref="B424:F424 H424:J424">
    <cfRule type="expression" dxfId="1888" priority="1874">
      <formula>$D424=""</formula>
    </cfRule>
  </conditionalFormatting>
  <conditionalFormatting sqref="F425">
    <cfRule type="expression" dxfId="1887" priority="1873">
      <formula>$D424=""</formula>
    </cfRule>
  </conditionalFormatting>
  <conditionalFormatting sqref="B426:F426 H426:J426">
    <cfRule type="expression" dxfId="1886" priority="1872">
      <formula>$D426=""</formula>
    </cfRule>
  </conditionalFormatting>
  <conditionalFormatting sqref="F427">
    <cfRule type="expression" dxfId="1885" priority="1871">
      <formula>$D426=""</formula>
    </cfRule>
  </conditionalFormatting>
  <conditionalFormatting sqref="B428:F428 H428:J428">
    <cfRule type="expression" dxfId="1884" priority="1870">
      <formula>$D428=""</formula>
    </cfRule>
  </conditionalFormatting>
  <conditionalFormatting sqref="F429">
    <cfRule type="expression" dxfId="1883" priority="1869">
      <formula>$D428=""</formula>
    </cfRule>
  </conditionalFormatting>
  <conditionalFormatting sqref="B430:F430 H430:J430">
    <cfRule type="expression" dxfId="1882" priority="1868">
      <formula>$D430=""</formula>
    </cfRule>
  </conditionalFormatting>
  <conditionalFormatting sqref="F431">
    <cfRule type="expression" dxfId="1881" priority="1867">
      <formula>$D430=""</formula>
    </cfRule>
  </conditionalFormatting>
  <conditionalFormatting sqref="B432:F432 H432:J432">
    <cfRule type="expression" dxfId="1880" priority="1866">
      <formula>$D432=""</formula>
    </cfRule>
  </conditionalFormatting>
  <conditionalFormatting sqref="F433">
    <cfRule type="expression" dxfId="1879" priority="1865">
      <formula>$D432=""</formula>
    </cfRule>
  </conditionalFormatting>
  <conditionalFormatting sqref="B434:F434 H434:J434">
    <cfRule type="expression" dxfId="1878" priority="1864">
      <formula>$D434=""</formula>
    </cfRule>
  </conditionalFormatting>
  <conditionalFormatting sqref="F435">
    <cfRule type="expression" dxfId="1877" priority="1863">
      <formula>$D434=""</formula>
    </cfRule>
  </conditionalFormatting>
  <conditionalFormatting sqref="B436:F436 H436:J436">
    <cfRule type="expression" dxfId="1876" priority="1862">
      <formula>$D436=""</formula>
    </cfRule>
  </conditionalFormatting>
  <conditionalFormatting sqref="F437">
    <cfRule type="expression" dxfId="1875" priority="1861">
      <formula>$D436=""</formula>
    </cfRule>
  </conditionalFormatting>
  <conditionalFormatting sqref="B438:F438 H438:J438">
    <cfRule type="expression" dxfId="1874" priority="1860">
      <formula>$D438=""</formula>
    </cfRule>
  </conditionalFormatting>
  <conditionalFormatting sqref="F439">
    <cfRule type="expression" dxfId="1873" priority="1859">
      <formula>$D438=""</formula>
    </cfRule>
  </conditionalFormatting>
  <conditionalFormatting sqref="B440:F440 H440:J440">
    <cfRule type="expression" dxfId="1872" priority="1858">
      <formula>$D440=""</formula>
    </cfRule>
  </conditionalFormatting>
  <conditionalFormatting sqref="F441">
    <cfRule type="expression" dxfId="1871" priority="1857">
      <formula>$D440=""</formula>
    </cfRule>
  </conditionalFormatting>
  <conditionalFormatting sqref="B442:F442 H442:J442">
    <cfRule type="expression" dxfId="1870" priority="1856">
      <formula>$D442=""</formula>
    </cfRule>
  </conditionalFormatting>
  <conditionalFormatting sqref="F443">
    <cfRule type="expression" dxfId="1869" priority="1855">
      <formula>$D442=""</formula>
    </cfRule>
  </conditionalFormatting>
  <conditionalFormatting sqref="B444:F444 H444:J444">
    <cfRule type="expression" dxfId="1868" priority="1854">
      <formula>$D444=""</formula>
    </cfRule>
  </conditionalFormatting>
  <conditionalFormatting sqref="F445">
    <cfRule type="expression" dxfId="1867" priority="1853">
      <formula>$D444=""</formula>
    </cfRule>
  </conditionalFormatting>
  <conditionalFormatting sqref="B446:F446 H446:J446">
    <cfRule type="expression" dxfId="1866" priority="1852">
      <formula>$D446=""</formula>
    </cfRule>
  </conditionalFormatting>
  <conditionalFormatting sqref="F447">
    <cfRule type="expression" dxfId="1865" priority="1851">
      <formula>$D446=""</formula>
    </cfRule>
  </conditionalFormatting>
  <conditionalFormatting sqref="B448:F448 H448:J448">
    <cfRule type="expression" dxfId="1864" priority="1850">
      <formula>$D448=""</formula>
    </cfRule>
  </conditionalFormatting>
  <conditionalFormatting sqref="F449">
    <cfRule type="expression" dxfId="1863" priority="1849">
      <formula>$D448=""</formula>
    </cfRule>
  </conditionalFormatting>
  <conditionalFormatting sqref="B450:F450 H450:J450">
    <cfRule type="expression" dxfId="1862" priority="1848">
      <formula>$D450=""</formula>
    </cfRule>
  </conditionalFormatting>
  <conditionalFormatting sqref="F451">
    <cfRule type="expression" dxfId="1861" priority="1847">
      <formula>$D450=""</formula>
    </cfRule>
  </conditionalFormatting>
  <conditionalFormatting sqref="B452:F452 H452:J452">
    <cfRule type="expression" dxfId="1860" priority="1846">
      <formula>$D452=""</formula>
    </cfRule>
  </conditionalFormatting>
  <conditionalFormatting sqref="F453">
    <cfRule type="expression" dxfId="1859" priority="1845">
      <formula>$D452=""</formula>
    </cfRule>
  </conditionalFormatting>
  <conditionalFormatting sqref="B454:F454 H454:J454">
    <cfRule type="expression" dxfId="1858" priority="1844">
      <formula>$D454=""</formula>
    </cfRule>
  </conditionalFormatting>
  <conditionalFormatting sqref="F455">
    <cfRule type="expression" dxfId="1857" priority="1843">
      <formula>$D454=""</formula>
    </cfRule>
  </conditionalFormatting>
  <conditionalFormatting sqref="B456:F456 H456:J456">
    <cfRule type="expression" dxfId="1856" priority="1842">
      <formula>$D456=""</formula>
    </cfRule>
  </conditionalFormatting>
  <conditionalFormatting sqref="F457">
    <cfRule type="expression" dxfId="1855" priority="1841">
      <formula>$D456=""</formula>
    </cfRule>
  </conditionalFormatting>
  <conditionalFormatting sqref="B458:F458 H458:J458">
    <cfRule type="expression" dxfId="1854" priority="1840">
      <formula>$D458=""</formula>
    </cfRule>
  </conditionalFormatting>
  <conditionalFormatting sqref="F459">
    <cfRule type="expression" dxfId="1853" priority="1839">
      <formula>$D458=""</formula>
    </cfRule>
  </conditionalFormatting>
  <conditionalFormatting sqref="B460:F460 H460:J460">
    <cfRule type="expression" dxfId="1852" priority="1838">
      <formula>$D460=""</formula>
    </cfRule>
  </conditionalFormatting>
  <conditionalFormatting sqref="F461">
    <cfRule type="expression" dxfId="1851" priority="1837">
      <formula>$D460=""</formula>
    </cfRule>
  </conditionalFormatting>
  <conditionalFormatting sqref="B462:F462 H462:J462">
    <cfRule type="expression" dxfId="1850" priority="1836">
      <formula>$D462=""</formula>
    </cfRule>
  </conditionalFormatting>
  <conditionalFormatting sqref="F463">
    <cfRule type="expression" dxfId="1849" priority="1835">
      <formula>$D462=""</formula>
    </cfRule>
  </conditionalFormatting>
  <conditionalFormatting sqref="B464:F464 H464:J464">
    <cfRule type="expression" dxfId="1848" priority="1834">
      <formula>$D464=""</formula>
    </cfRule>
  </conditionalFormatting>
  <conditionalFormatting sqref="F465">
    <cfRule type="expression" dxfId="1847" priority="1833">
      <formula>$D464=""</formula>
    </cfRule>
  </conditionalFormatting>
  <conditionalFormatting sqref="B466:F466 H466:J466">
    <cfRule type="expression" dxfId="1846" priority="1832">
      <formula>$D466=""</formula>
    </cfRule>
  </conditionalFormatting>
  <conditionalFormatting sqref="F467">
    <cfRule type="expression" dxfId="1845" priority="1831">
      <formula>$D466=""</formula>
    </cfRule>
  </conditionalFormatting>
  <conditionalFormatting sqref="B468:F468 H468:J468">
    <cfRule type="expression" dxfId="1844" priority="1830">
      <formula>$D468=""</formula>
    </cfRule>
  </conditionalFormatting>
  <conditionalFormatting sqref="F469">
    <cfRule type="expression" dxfId="1843" priority="1829">
      <formula>$D468=""</formula>
    </cfRule>
  </conditionalFormatting>
  <conditionalFormatting sqref="B470:F470 H470:J470">
    <cfRule type="expression" dxfId="1842" priority="1828">
      <formula>$D470=""</formula>
    </cfRule>
  </conditionalFormatting>
  <conditionalFormatting sqref="F471">
    <cfRule type="expression" dxfId="1841" priority="1827">
      <formula>$D470=""</formula>
    </cfRule>
  </conditionalFormatting>
  <conditionalFormatting sqref="B472:F472 H472:J472">
    <cfRule type="expression" dxfId="1840" priority="1826">
      <formula>$D472=""</formula>
    </cfRule>
  </conditionalFormatting>
  <conditionalFormatting sqref="F473">
    <cfRule type="expression" dxfId="1839" priority="1825">
      <formula>$D472=""</formula>
    </cfRule>
  </conditionalFormatting>
  <conditionalFormatting sqref="B474:F474 H474:J474">
    <cfRule type="expression" dxfId="1838" priority="1824">
      <formula>$D474=""</formula>
    </cfRule>
  </conditionalFormatting>
  <conditionalFormatting sqref="F475">
    <cfRule type="expression" dxfId="1837" priority="1823">
      <formula>$D474=""</formula>
    </cfRule>
  </conditionalFormatting>
  <conditionalFormatting sqref="B476:F476 H476:J476">
    <cfRule type="expression" dxfId="1836" priority="1822">
      <formula>$D476=""</formula>
    </cfRule>
  </conditionalFormatting>
  <conditionalFormatting sqref="F477">
    <cfRule type="expression" dxfId="1835" priority="1821">
      <formula>$D476=""</formula>
    </cfRule>
  </conditionalFormatting>
  <conditionalFormatting sqref="B478:F478 H478:J478">
    <cfRule type="expression" dxfId="1834" priority="1820">
      <formula>$D478=""</formula>
    </cfRule>
  </conditionalFormatting>
  <conditionalFormatting sqref="F479">
    <cfRule type="expression" dxfId="1833" priority="1819">
      <formula>$D478=""</formula>
    </cfRule>
  </conditionalFormatting>
  <conditionalFormatting sqref="B480:F480 H480:J480">
    <cfRule type="expression" dxfId="1832" priority="1818">
      <formula>$D480=""</formula>
    </cfRule>
  </conditionalFormatting>
  <conditionalFormatting sqref="F481">
    <cfRule type="expression" dxfId="1831" priority="1817">
      <formula>$D480=""</formula>
    </cfRule>
  </conditionalFormatting>
  <conditionalFormatting sqref="B482:F482 H482:J482">
    <cfRule type="expression" dxfId="1830" priority="1816">
      <formula>$D482=""</formula>
    </cfRule>
  </conditionalFormatting>
  <conditionalFormatting sqref="F483">
    <cfRule type="expression" dxfId="1829" priority="1815">
      <formula>$D482=""</formula>
    </cfRule>
  </conditionalFormatting>
  <conditionalFormatting sqref="B484:F484 H484:J484">
    <cfRule type="expression" dxfId="1828" priority="1814">
      <formula>$D484=""</formula>
    </cfRule>
  </conditionalFormatting>
  <conditionalFormatting sqref="F485">
    <cfRule type="expression" dxfId="1827" priority="1813">
      <formula>$D484=""</formula>
    </cfRule>
  </conditionalFormatting>
  <conditionalFormatting sqref="B486:F486 H486:J486">
    <cfRule type="expression" dxfId="1826" priority="1812">
      <formula>$D486=""</formula>
    </cfRule>
  </conditionalFormatting>
  <conditionalFormatting sqref="F487">
    <cfRule type="expression" dxfId="1825" priority="1811">
      <formula>$D486=""</formula>
    </cfRule>
  </conditionalFormatting>
  <conditionalFormatting sqref="B488:F488 H488:J488">
    <cfRule type="expression" dxfId="1824" priority="1810">
      <formula>$D488=""</formula>
    </cfRule>
  </conditionalFormatting>
  <conditionalFormatting sqref="F489">
    <cfRule type="expression" dxfId="1823" priority="1809">
      <formula>$D488=""</formula>
    </cfRule>
  </conditionalFormatting>
  <conditionalFormatting sqref="B490:F490 H490:J490">
    <cfRule type="expression" dxfId="1822" priority="1808">
      <formula>$D490=""</formula>
    </cfRule>
  </conditionalFormatting>
  <conditionalFormatting sqref="F491">
    <cfRule type="expression" dxfId="1821" priority="1807">
      <formula>$D490=""</formula>
    </cfRule>
  </conditionalFormatting>
  <conditionalFormatting sqref="B492:F492 H492:J492">
    <cfRule type="expression" dxfId="1820" priority="1806">
      <formula>$D492=""</formula>
    </cfRule>
  </conditionalFormatting>
  <conditionalFormatting sqref="F493">
    <cfRule type="expression" dxfId="1819" priority="1805">
      <formula>$D492=""</formula>
    </cfRule>
  </conditionalFormatting>
  <conditionalFormatting sqref="B494:F494 H494:J494">
    <cfRule type="expression" dxfId="1818" priority="1804">
      <formula>$D494=""</formula>
    </cfRule>
  </conditionalFormatting>
  <conditionalFormatting sqref="F495">
    <cfRule type="expression" dxfId="1817" priority="1803">
      <formula>$D494=""</formula>
    </cfRule>
  </conditionalFormatting>
  <conditionalFormatting sqref="B496:F496 H496:J496">
    <cfRule type="expression" dxfId="1816" priority="1802">
      <formula>$D496=""</formula>
    </cfRule>
  </conditionalFormatting>
  <conditionalFormatting sqref="F497">
    <cfRule type="expression" dxfId="1815" priority="1801">
      <formula>$D496=""</formula>
    </cfRule>
  </conditionalFormatting>
  <conditionalFormatting sqref="B498:F498 H498:J498">
    <cfRule type="expression" dxfId="1814" priority="1800">
      <formula>$D498=""</formula>
    </cfRule>
  </conditionalFormatting>
  <conditionalFormatting sqref="F499">
    <cfRule type="expression" dxfId="1813" priority="1799">
      <formula>$D498=""</formula>
    </cfRule>
  </conditionalFormatting>
  <conditionalFormatting sqref="B500:F500 H500:J500">
    <cfRule type="expression" dxfId="1812" priority="1798">
      <formula>$D500=""</formula>
    </cfRule>
  </conditionalFormatting>
  <conditionalFormatting sqref="F501">
    <cfRule type="expression" dxfId="1811" priority="1797">
      <formula>$D500=""</formula>
    </cfRule>
  </conditionalFormatting>
  <conditionalFormatting sqref="B502:F502 H502:J502">
    <cfRule type="expression" dxfId="1810" priority="1796">
      <formula>$D502=""</formula>
    </cfRule>
  </conditionalFormatting>
  <conditionalFormatting sqref="F503">
    <cfRule type="expression" dxfId="1809" priority="1795">
      <formula>$D502=""</formula>
    </cfRule>
  </conditionalFormatting>
  <conditionalFormatting sqref="B504:F504 H504:J504">
    <cfRule type="expression" dxfId="1808" priority="1794">
      <formula>$D504=""</formula>
    </cfRule>
  </conditionalFormatting>
  <conditionalFormatting sqref="F505">
    <cfRule type="expression" dxfId="1807" priority="1793">
      <formula>$D504=""</formula>
    </cfRule>
  </conditionalFormatting>
  <conditionalFormatting sqref="B506:F506 H506:J506">
    <cfRule type="expression" dxfId="1806" priority="1792">
      <formula>$D506=""</formula>
    </cfRule>
  </conditionalFormatting>
  <conditionalFormatting sqref="F507">
    <cfRule type="expression" dxfId="1805" priority="1791">
      <formula>$D506=""</formula>
    </cfRule>
  </conditionalFormatting>
  <conditionalFormatting sqref="B508:F508 H508:J508">
    <cfRule type="expression" dxfId="1804" priority="1790">
      <formula>$D508=""</formula>
    </cfRule>
  </conditionalFormatting>
  <conditionalFormatting sqref="F509">
    <cfRule type="expression" dxfId="1803" priority="1789">
      <formula>$D508=""</formula>
    </cfRule>
  </conditionalFormatting>
  <conditionalFormatting sqref="B510:F510 H510:J510">
    <cfRule type="expression" dxfId="1802" priority="1788">
      <formula>$D510=""</formula>
    </cfRule>
  </conditionalFormatting>
  <conditionalFormatting sqref="F511">
    <cfRule type="expression" dxfId="1801" priority="1787">
      <formula>$D510=""</formula>
    </cfRule>
  </conditionalFormatting>
  <conditionalFormatting sqref="B512:F512 H512:J512">
    <cfRule type="expression" dxfId="1800" priority="1786">
      <formula>$D512=""</formula>
    </cfRule>
  </conditionalFormatting>
  <conditionalFormatting sqref="F513">
    <cfRule type="expression" dxfId="1799" priority="1785">
      <formula>$D512=""</formula>
    </cfRule>
  </conditionalFormatting>
  <conditionalFormatting sqref="B514:F514 H514:J514">
    <cfRule type="expression" dxfId="1798" priority="1784">
      <formula>$D514=""</formula>
    </cfRule>
  </conditionalFormatting>
  <conditionalFormatting sqref="F515">
    <cfRule type="expression" dxfId="1797" priority="1783">
      <formula>$D514=""</formula>
    </cfRule>
  </conditionalFormatting>
  <conditionalFormatting sqref="B516:F516 H516:J516">
    <cfRule type="expression" dxfId="1796" priority="1782">
      <formula>$D516=""</formula>
    </cfRule>
  </conditionalFormatting>
  <conditionalFormatting sqref="F517">
    <cfRule type="expression" dxfId="1795" priority="1781">
      <formula>$D516=""</formula>
    </cfRule>
  </conditionalFormatting>
  <conditionalFormatting sqref="B518:F518 H518:J518">
    <cfRule type="expression" dxfId="1794" priority="1780">
      <formula>$D518=""</formula>
    </cfRule>
  </conditionalFormatting>
  <conditionalFormatting sqref="F519">
    <cfRule type="expression" dxfId="1793" priority="1779">
      <formula>$D518=""</formula>
    </cfRule>
  </conditionalFormatting>
  <conditionalFormatting sqref="B520:F520 H520:J520">
    <cfRule type="expression" dxfId="1792" priority="1778">
      <formula>$D520=""</formula>
    </cfRule>
  </conditionalFormatting>
  <conditionalFormatting sqref="F521">
    <cfRule type="expression" dxfId="1791" priority="1777">
      <formula>$D520=""</formula>
    </cfRule>
  </conditionalFormatting>
  <conditionalFormatting sqref="B522:F522 H522:J522">
    <cfRule type="expression" dxfId="1790" priority="1776">
      <formula>$D522=""</formula>
    </cfRule>
  </conditionalFormatting>
  <conditionalFormatting sqref="F523">
    <cfRule type="expression" dxfId="1789" priority="1775">
      <formula>$D522=""</formula>
    </cfRule>
  </conditionalFormatting>
  <conditionalFormatting sqref="B524:F524 H524:J524">
    <cfRule type="expression" dxfId="1788" priority="1774">
      <formula>$D524=""</formula>
    </cfRule>
  </conditionalFormatting>
  <conditionalFormatting sqref="F525">
    <cfRule type="expression" dxfId="1787" priority="1773">
      <formula>$D524=""</formula>
    </cfRule>
  </conditionalFormatting>
  <conditionalFormatting sqref="B526:F526 H526:J526">
    <cfRule type="expression" dxfId="1786" priority="1772">
      <formula>$D526=""</formula>
    </cfRule>
  </conditionalFormatting>
  <conditionalFormatting sqref="F527">
    <cfRule type="expression" dxfId="1785" priority="1771">
      <formula>$D526=""</formula>
    </cfRule>
  </conditionalFormatting>
  <conditionalFormatting sqref="B528:F528 H528:J528">
    <cfRule type="expression" dxfId="1784" priority="1770">
      <formula>$D528=""</formula>
    </cfRule>
  </conditionalFormatting>
  <conditionalFormatting sqref="F529">
    <cfRule type="expression" dxfId="1783" priority="1769">
      <formula>$D528=""</formula>
    </cfRule>
  </conditionalFormatting>
  <conditionalFormatting sqref="B530:F530 H530:J530">
    <cfRule type="expression" dxfId="1782" priority="1768">
      <formula>$D530=""</formula>
    </cfRule>
  </conditionalFormatting>
  <conditionalFormatting sqref="F531">
    <cfRule type="expression" dxfId="1781" priority="1767">
      <formula>$D530=""</formula>
    </cfRule>
  </conditionalFormatting>
  <conditionalFormatting sqref="B532:F532 H532:J532">
    <cfRule type="expression" dxfId="1780" priority="1766">
      <formula>$D532=""</formula>
    </cfRule>
  </conditionalFormatting>
  <conditionalFormatting sqref="F533">
    <cfRule type="expression" dxfId="1779" priority="1765">
      <formula>$D532=""</formula>
    </cfRule>
  </conditionalFormatting>
  <conditionalFormatting sqref="B534:F534 H534:J534">
    <cfRule type="expression" dxfId="1778" priority="1764">
      <formula>$D534=""</formula>
    </cfRule>
  </conditionalFormatting>
  <conditionalFormatting sqref="F535">
    <cfRule type="expression" dxfId="1777" priority="1763">
      <formula>$D534=""</formula>
    </cfRule>
  </conditionalFormatting>
  <conditionalFormatting sqref="B536:F536 H536:J536">
    <cfRule type="expression" dxfId="1776" priority="1762">
      <formula>$D536=""</formula>
    </cfRule>
  </conditionalFormatting>
  <conditionalFormatting sqref="F537">
    <cfRule type="expression" dxfId="1775" priority="1761">
      <formula>$D536=""</formula>
    </cfRule>
  </conditionalFormatting>
  <conditionalFormatting sqref="B538:F538 H538:J538">
    <cfRule type="expression" dxfId="1774" priority="1760">
      <formula>$D538=""</formula>
    </cfRule>
  </conditionalFormatting>
  <conditionalFormatting sqref="F539">
    <cfRule type="expression" dxfId="1773" priority="1759">
      <formula>$D538=""</formula>
    </cfRule>
  </conditionalFormatting>
  <conditionalFormatting sqref="B540:F540 H540:J540">
    <cfRule type="expression" dxfId="1772" priority="1758">
      <formula>$D540=""</formula>
    </cfRule>
  </conditionalFormatting>
  <conditionalFormatting sqref="F541">
    <cfRule type="expression" dxfId="1771" priority="1757">
      <formula>$D540=""</formula>
    </cfRule>
  </conditionalFormatting>
  <conditionalFormatting sqref="B542:F542 H542:J542">
    <cfRule type="expression" dxfId="1770" priority="1756">
      <formula>$D542=""</formula>
    </cfRule>
  </conditionalFormatting>
  <conditionalFormatting sqref="F543">
    <cfRule type="expression" dxfId="1769" priority="1755">
      <formula>$D542=""</formula>
    </cfRule>
  </conditionalFormatting>
  <conditionalFormatting sqref="B544:F544 H544:J544">
    <cfRule type="expression" dxfId="1768" priority="1754">
      <formula>$D544=""</formula>
    </cfRule>
  </conditionalFormatting>
  <conditionalFormatting sqref="F545">
    <cfRule type="expression" dxfId="1767" priority="1753">
      <formula>$D544=""</formula>
    </cfRule>
  </conditionalFormatting>
  <conditionalFormatting sqref="B546:F546 H546:J546">
    <cfRule type="expression" dxfId="1766" priority="1752">
      <formula>$D546=""</formula>
    </cfRule>
  </conditionalFormatting>
  <conditionalFormatting sqref="F547">
    <cfRule type="expression" dxfId="1765" priority="1751">
      <formula>$D546=""</formula>
    </cfRule>
  </conditionalFormatting>
  <conditionalFormatting sqref="B548:F548 H548:J548">
    <cfRule type="expression" dxfId="1764" priority="1750">
      <formula>$D548=""</formula>
    </cfRule>
  </conditionalFormatting>
  <conditionalFormatting sqref="F549">
    <cfRule type="expression" dxfId="1763" priority="1749">
      <formula>$D548=""</formula>
    </cfRule>
  </conditionalFormatting>
  <conditionalFormatting sqref="B550:F550 H550:J550">
    <cfRule type="expression" dxfId="1762" priority="1748">
      <formula>$D550=""</formula>
    </cfRule>
  </conditionalFormatting>
  <conditionalFormatting sqref="F551">
    <cfRule type="expression" dxfId="1761" priority="1747">
      <formula>$D550=""</formula>
    </cfRule>
  </conditionalFormatting>
  <conditionalFormatting sqref="B552:F552 H552:J552">
    <cfRule type="expression" dxfId="1760" priority="1746">
      <formula>$D552=""</formula>
    </cfRule>
  </conditionalFormatting>
  <conditionalFormatting sqref="F553">
    <cfRule type="expression" dxfId="1759" priority="1745">
      <formula>$D552=""</formula>
    </cfRule>
  </conditionalFormatting>
  <conditionalFormatting sqref="B554:F554 H554:J554">
    <cfRule type="expression" dxfId="1758" priority="1744">
      <formula>$D554=""</formula>
    </cfRule>
  </conditionalFormatting>
  <conditionalFormatting sqref="F555">
    <cfRule type="expression" dxfId="1757" priority="1743">
      <formula>$D554=""</formula>
    </cfRule>
  </conditionalFormatting>
  <conditionalFormatting sqref="B556:F556 H556:J556">
    <cfRule type="expression" dxfId="1756" priority="1742">
      <formula>$D556=""</formula>
    </cfRule>
  </conditionalFormatting>
  <conditionalFormatting sqref="F557">
    <cfRule type="expression" dxfId="1755" priority="1741">
      <formula>$D556=""</formula>
    </cfRule>
  </conditionalFormatting>
  <conditionalFormatting sqref="B558:F558 H558:J558">
    <cfRule type="expression" dxfId="1754" priority="1740">
      <formula>$D558=""</formula>
    </cfRule>
  </conditionalFormatting>
  <conditionalFormatting sqref="F559">
    <cfRule type="expression" dxfId="1753" priority="1739">
      <formula>$D558=""</formula>
    </cfRule>
  </conditionalFormatting>
  <conditionalFormatting sqref="B560:F560 H560:J560">
    <cfRule type="expression" dxfId="1752" priority="1738">
      <formula>$D560=""</formula>
    </cfRule>
  </conditionalFormatting>
  <conditionalFormatting sqref="F561">
    <cfRule type="expression" dxfId="1751" priority="1737">
      <formula>$D560=""</formula>
    </cfRule>
  </conditionalFormatting>
  <conditionalFormatting sqref="B562:F562 H562:J562">
    <cfRule type="expression" dxfId="1750" priority="1736">
      <formula>$D562=""</formula>
    </cfRule>
  </conditionalFormatting>
  <conditionalFormatting sqref="F563">
    <cfRule type="expression" dxfId="1749" priority="1735">
      <formula>$D562=""</formula>
    </cfRule>
  </conditionalFormatting>
  <conditionalFormatting sqref="B564:F564 H564:J564">
    <cfRule type="expression" dxfId="1748" priority="1734">
      <formula>$D564=""</formula>
    </cfRule>
  </conditionalFormatting>
  <conditionalFormatting sqref="F565">
    <cfRule type="expression" dxfId="1747" priority="1733">
      <formula>$D564=""</formula>
    </cfRule>
  </conditionalFormatting>
  <conditionalFormatting sqref="B566:F566 H566:J566">
    <cfRule type="expression" dxfId="1746" priority="1732">
      <formula>$D566=""</formula>
    </cfRule>
  </conditionalFormatting>
  <conditionalFormatting sqref="F567">
    <cfRule type="expression" dxfId="1745" priority="1731">
      <formula>$D566=""</formula>
    </cfRule>
  </conditionalFormatting>
  <conditionalFormatting sqref="B568:F568 H568:J568">
    <cfRule type="expression" dxfId="1744" priority="1730">
      <formula>$D568=""</formula>
    </cfRule>
  </conditionalFormatting>
  <conditionalFormatting sqref="F569">
    <cfRule type="expression" dxfId="1743" priority="1729">
      <formula>$D568=""</formula>
    </cfRule>
  </conditionalFormatting>
  <conditionalFormatting sqref="B570:F570 H570:J570">
    <cfRule type="expression" dxfId="1742" priority="1728">
      <formula>$D570=""</formula>
    </cfRule>
  </conditionalFormatting>
  <conditionalFormatting sqref="F571">
    <cfRule type="expression" dxfId="1741" priority="1727">
      <formula>$D570=""</formula>
    </cfRule>
  </conditionalFormatting>
  <conditionalFormatting sqref="B572:F572 H572:J572">
    <cfRule type="expression" dxfId="1740" priority="1726">
      <formula>$D572=""</formula>
    </cfRule>
  </conditionalFormatting>
  <conditionalFormatting sqref="F573">
    <cfRule type="expression" dxfId="1739" priority="1725">
      <formula>$D572=""</formula>
    </cfRule>
  </conditionalFormatting>
  <conditionalFormatting sqref="B574:F574 H574:J574">
    <cfRule type="expression" dxfId="1738" priority="1724">
      <formula>$D574=""</formula>
    </cfRule>
  </conditionalFormatting>
  <conditionalFormatting sqref="F575">
    <cfRule type="expression" dxfId="1737" priority="1723">
      <formula>$D574=""</formula>
    </cfRule>
  </conditionalFormatting>
  <conditionalFormatting sqref="B576:F576 H576:J576">
    <cfRule type="expression" dxfId="1736" priority="1722">
      <formula>$D576=""</formula>
    </cfRule>
  </conditionalFormatting>
  <conditionalFormatting sqref="F577">
    <cfRule type="expression" dxfId="1735" priority="1721">
      <formula>$D576=""</formula>
    </cfRule>
  </conditionalFormatting>
  <conditionalFormatting sqref="B578:F578 H578:J578">
    <cfRule type="expression" dxfId="1734" priority="1720">
      <formula>$D578=""</formula>
    </cfRule>
  </conditionalFormatting>
  <conditionalFormatting sqref="F579">
    <cfRule type="expression" dxfId="1733" priority="1719">
      <formula>$D578=""</formula>
    </cfRule>
  </conditionalFormatting>
  <conditionalFormatting sqref="B580:F580 H580:J580">
    <cfRule type="expression" dxfId="1732" priority="1718">
      <formula>$D580=""</formula>
    </cfRule>
  </conditionalFormatting>
  <conditionalFormatting sqref="F581">
    <cfRule type="expression" dxfId="1731" priority="1717">
      <formula>$D580=""</formula>
    </cfRule>
  </conditionalFormatting>
  <conditionalFormatting sqref="B582:F582 H582:J582">
    <cfRule type="expression" dxfId="1730" priority="1716">
      <formula>$D582=""</formula>
    </cfRule>
  </conditionalFormatting>
  <conditionalFormatting sqref="F583">
    <cfRule type="expression" dxfId="1729" priority="1715">
      <formula>$D582=""</formula>
    </cfRule>
  </conditionalFormatting>
  <conditionalFormatting sqref="B584:F584 H584:J584">
    <cfRule type="expression" dxfId="1728" priority="1714">
      <formula>$D584=""</formula>
    </cfRule>
  </conditionalFormatting>
  <conditionalFormatting sqref="F585">
    <cfRule type="expression" dxfId="1727" priority="1713">
      <formula>$D584=""</formula>
    </cfRule>
  </conditionalFormatting>
  <conditionalFormatting sqref="B586:F586 H586:J586">
    <cfRule type="expression" dxfId="1726" priority="1712">
      <formula>$D586=""</formula>
    </cfRule>
  </conditionalFormatting>
  <conditionalFormatting sqref="F587">
    <cfRule type="expression" dxfId="1725" priority="1711">
      <formula>$D586=""</formula>
    </cfRule>
  </conditionalFormatting>
  <conditionalFormatting sqref="B588:F588 H588:J588">
    <cfRule type="expression" dxfId="1724" priority="1710">
      <formula>$D588=""</formula>
    </cfRule>
  </conditionalFormatting>
  <conditionalFormatting sqref="F589">
    <cfRule type="expression" dxfId="1723" priority="1709">
      <formula>$D588=""</formula>
    </cfRule>
  </conditionalFormatting>
  <conditionalFormatting sqref="B590:F590 H590:J590">
    <cfRule type="expression" dxfId="1722" priority="1708">
      <formula>$D590=""</formula>
    </cfRule>
  </conditionalFormatting>
  <conditionalFormatting sqref="F591">
    <cfRule type="expression" dxfId="1721" priority="1707">
      <formula>$D590=""</formula>
    </cfRule>
  </conditionalFormatting>
  <conditionalFormatting sqref="B592:F592 H592:J592">
    <cfRule type="expression" dxfId="1720" priority="1706">
      <formula>$D592=""</formula>
    </cfRule>
  </conditionalFormatting>
  <conditionalFormatting sqref="F593">
    <cfRule type="expression" dxfId="1719" priority="1705">
      <formula>$D592=""</formula>
    </cfRule>
  </conditionalFormatting>
  <conditionalFormatting sqref="B594:F594 H594:J594">
    <cfRule type="expression" dxfId="1718" priority="1704">
      <formula>$D594=""</formula>
    </cfRule>
  </conditionalFormatting>
  <conditionalFormatting sqref="F595">
    <cfRule type="expression" dxfId="1717" priority="1703">
      <formula>$D594=""</formula>
    </cfRule>
  </conditionalFormatting>
  <conditionalFormatting sqref="B596:F596 H596:J596">
    <cfRule type="expression" dxfId="1716" priority="1702">
      <formula>$D596=""</formula>
    </cfRule>
  </conditionalFormatting>
  <conditionalFormatting sqref="F597">
    <cfRule type="expression" dxfId="1715" priority="1701">
      <formula>$D596=""</formula>
    </cfRule>
  </conditionalFormatting>
  <conditionalFormatting sqref="B598:F598 H598:J598">
    <cfRule type="expression" dxfId="1714" priority="1700">
      <formula>$D598=""</formula>
    </cfRule>
  </conditionalFormatting>
  <conditionalFormatting sqref="F599">
    <cfRule type="expression" dxfId="1713" priority="1699">
      <formula>$D598=""</formula>
    </cfRule>
  </conditionalFormatting>
  <conditionalFormatting sqref="B600:F600 H600:J600">
    <cfRule type="expression" dxfId="1712" priority="1698">
      <formula>$D600=""</formula>
    </cfRule>
  </conditionalFormatting>
  <conditionalFormatting sqref="F601">
    <cfRule type="expression" dxfId="1711" priority="1697">
      <formula>$D600=""</formula>
    </cfRule>
  </conditionalFormatting>
  <conditionalFormatting sqref="B602:F602 H602:J602">
    <cfRule type="expression" dxfId="1710" priority="1696">
      <formula>$D602=""</formula>
    </cfRule>
  </conditionalFormatting>
  <conditionalFormatting sqref="F603">
    <cfRule type="expression" dxfId="1709" priority="1695">
      <formula>$D602=""</formula>
    </cfRule>
  </conditionalFormatting>
  <conditionalFormatting sqref="B604:F604 H604:J604">
    <cfRule type="expression" dxfId="1708" priority="1694">
      <formula>$D604=""</formula>
    </cfRule>
  </conditionalFormatting>
  <conditionalFormatting sqref="F605">
    <cfRule type="expression" dxfId="1707" priority="1693">
      <formula>$D604=""</formula>
    </cfRule>
  </conditionalFormatting>
  <conditionalFormatting sqref="B606:F606 H606:J606">
    <cfRule type="expression" dxfId="1706" priority="1692">
      <formula>$D606=""</formula>
    </cfRule>
  </conditionalFormatting>
  <conditionalFormatting sqref="F607">
    <cfRule type="expression" dxfId="1705" priority="1691">
      <formula>$D606=""</formula>
    </cfRule>
  </conditionalFormatting>
  <conditionalFormatting sqref="B608:F608 H608:J608">
    <cfRule type="expression" dxfId="1704" priority="1690">
      <formula>$D608=""</formula>
    </cfRule>
  </conditionalFormatting>
  <conditionalFormatting sqref="F609">
    <cfRule type="expression" dxfId="1703" priority="1689">
      <formula>$D608=""</formula>
    </cfRule>
  </conditionalFormatting>
  <conditionalFormatting sqref="B610:F610 H610:J610">
    <cfRule type="expression" dxfId="1702" priority="1688">
      <formula>$D610=""</formula>
    </cfRule>
  </conditionalFormatting>
  <conditionalFormatting sqref="F611">
    <cfRule type="expression" dxfId="1701" priority="1687">
      <formula>$D610=""</formula>
    </cfRule>
  </conditionalFormatting>
  <conditionalFormatting sqref="B612:F612 H612:J612">
    <cfRule type="expression" dxfId="1700" priority="1686">
      <formula>$D612=""</formula>
    </cfRule>
  </conditionalFormatting>
  <conditionalFormatting sqref="F613">
    <cfRule type="expression" dxfId="1699" priority="1685">
      <formula>$D612=""</formula>
    </cfRule>
  </conditionalFormatting>
  <conditionalFormatting sqref="B614:F614 H614:J614">
    <cfRule type="expression" dxfId="1698" priority="1684">
      <formula>$D614=""</formula>
    </cfRule>
  </conditionalFormatting>
  <conditionalFormatting sqref="F615">
    <cfRule type="expression" dxfId="1697" priority="1683">
      <formula>$D614=""</formula>
    </cfRule>
  </conditionalFormatting>
  <conditionalFormatting sqref="B621:J621 G623 G625 G627 G629 G631 G633 G635 G637 G639 G641 G643 G645 G647 G649 G651 G653 G655 G657 G659 G661 G663 G665 G667 G669 G671 G673 G675 G677 G679 G681 G683 G685 G687 G689 G691 G693 G695 G697 G699 G701 G703 G705 G707 G709 G711 G713 G715 G717 G719 G721 G723 G725 G727 G729 G731 G733 G735 G737 G739 G741 G743 G745 G747 G749 G751 G753 G755 G757 G759 G761 G763 G765 G767 G769 G771 G773 G775 G777 G779 G781 G783 G785 G787 G789 G791 G793 G795 G797 G799 G801 G803 G805 G807 G809 G811 G813 G815 G817 G819 G821 G823 G825 G827 G829 G831 G833 G835 G837 G839 G841 G843 G845 G847 G849 G851 G853 G855 G857 G859 G861 G863 G865 G867 G869 G871 G873 G875 G877 G879 G881 G883 G885 G887 G889 G891 G893 G895 G897 G899 G901 G903 G905 G907 G909 G911 G913 G915 G917 G919 G921 G923 G925 G927 G929 G931 G933 G935 G937 G939 G941 G943 G945 G947 G949 G951 G953 G955 G957 G959 G961 G963 G965 G967 G969 G971 G973 G975 G977 G979 G981 G983 G985 G987 G989 G991 G993 G995 G997 G999 G1001 G1003 G1005 G1007 G1009 G1011 G1013 G1015 G1017 G1019 G1021 G1023 G1025 G1027 G1029 G1031 G1033 G1035 G1037 G1039 G1041 G1043 G1045 G1047 G1049 G1051 G1053 G1055 G1057 G1059 G1061 G1063 G1065 G1067 G1069 G1071 G1073 G1075 G1077 G1079 G1081 G1083 G1085 G1087 G1089 G1091 G1093 G1095 G1097 G1099 G1101 G1103 G1105 G1107 G1109 G1111 G1113 G1115 G1117 G1119 G1121 G1123 G1125 G1127 G1129 G1131 G1133 G1135 G1137 G1139 G1141 G1143 G1145 G1147 G1149 G1151 G1153 G1155 G1157 G1159 G1161 G1163 G1165 G1167 G1169 G1171 G1173 G1175 G1177 G1179 G1181 G1183 G1185 G1187 G1189 G1191 G1193 G1195 G1197 G1199 G1201 G1203 G1205 G1207 G1209 G1211 G1213 G1215 G1217 G1219 G1221 G1223 G1225 G1227 G1229 G1231 G1233 G1235 G1237 G1239 G1241 G1243 G1245 G1247 G1249 G1251 G1253 G1255 G1257 G1259 G1261 G1263 G1265 G1267 G1269 G1271 G1273 G1275 G1277 G1279 G1281 G1283 G1285 G1287 G1289 G1291 G1293 G1295 G1297 G1299 G1301 G1303 G1305 G1307 G1309 G1311 G1313 G1315 G1317 G1319 G1321 G1323 G1325 G1327 G1329 G1331 G1333 G1335 G1337 G1339 G1341 G1343 G1345 G1347 G1349 G1351 G1353 G1355 G1357 G1359 G1361 G1363 G1365 G1367 G1369 G1371 G1373 G1375 G1377 G1379 G1381 G1383 G1385 G1387 G1389 G1391 G1393 G1395 G1397 G1399 G1401 G1403 G1405 G1407 G1409 G1411 G1413 G1415 G1417 G1419 G1421 G1423 G1425 G1427 G1429 G1431 G1433 G1435 G1437 G1439 G1441 G1443 G1445 G1447 G1449 G1451 G1453 G1455 G1457 G1459 G1461 G1463 G1465 G1467 G1469 G1471 G1473 G1475 G1477 G1479 G1481 G1483 G1485 G1487 G1489 G1491 G1493 G1495 G1497 G1499 G1501 G1503 G1505 G1507 G1509 G1511 G1513 G1515 G1517 G1519 G1521 G1523 G1525 G1527 G1529 G1531 G1533 G1535 G1537 G1539 G1541 G1543 G1545 G1547 G1549 G1551 G1553 G1555 G1557 G1559 G1561 G1563 G1565 G1567 G1569 G1571 G1573 G1575 G1577 G1579 G1581 G1583 G1585 G1587 G1589 G1591 G1593 G1595 G1597 G1599 G1601 G1603 G1605 G1607 G1609 G1611 G1613 G1615 G1617 G1619 G1621 G1623 G1625 G1627 G1629 G1631 G1633 G1635 G1637 G1639 G1641 G1643 G1645 G1647 G1649 G1651 G1653 G1655 G1657 G1659 G1661 G1663 G1665 G1667 G1669 G1671 G1673 G1675 G1677 G1679 G1681 G1683 G1685 G1687 G1689 G1691 G1693 G1695 G1697 G1699 G1701 G1703 G1705 G1707 G1709 G1711 G1713 G1715 G1717 G1719 G1721 G1723 G1725 G1727 G1729 G1731 G1733 G1735 G1737 G1739 G1741 G1743 G1745 G1747 G1749 G1751 G1753 G1755 G1757 G1759 G1761 G1763 G1765 G1767 G1769 G1771 G1773 G1775 G1777 G1779 G1781 G1783 G1785 G1787 G1789 G1791 G1793 G1795 G1797 G1799 G1801 G1803 G1805 G1807 G1809 G1811 G1813 G1815 G1817 G2299 J623 J625 J627 J629 J631 J633 J635 J637 J639 J641 J643 J645 J647 J649 J651 J653 J655 J657 J659 J661 J663 J665 J667 J669 J671 J673 J675 J677 J679 J681 J683 J685 J687 J689 J691 J693 J695 J697 J699 J701 J703 J705 J707 J709 J711 J713 J715 J717 J719 J721 J723 J725 J727 J729 J731 J733 J735 J737 J739 J741 J743 J745 J747 J749 J751 J753 J755 J757 J759 J761 J763 J765 J767 J769 J771 J773 J775 J777 J779 J781 J783 J785 J787 J789 J791 J793 J795 J797 J799 J801 J803 J805 J807 J809 J811 J813 J815 J817 J819 J821 J823 J825 J827 J829 J831 J833 J835 J837 J839 J841 J843 J845 J847 J849 J851 J853 J855 J857 J859 J861 J863 J865 J867 J869 J871 J873 J875 J877 J879 J881 J883 J885 J887 J889 J891 J893 J895 J897 J899 J901 J903 J905 J907 J909 J911 J913 J915 J917 J919 J921 J923 J925 J927 J929 J931 J933 J935 J937 J939 J941 J943 J945 J947 J949 J951 J953 J955 J957 J959 J961 J963 J965 J967 J969 J971 J973 J975 J977 J979 J981 J983 J985 J987 J989 J991 J993 J995 J997 J999 J1001 J1003 J1005 J1007 J1009 J1011 J1013 J1015 J1017 J1019 J1021 J1023 J1025 J1027 J1029 J1031 J1033 J1035 J1037 J1039 J1041 J1043 J1045 J1047 J1049 J1051 J1053 J1055 J1057 J1059 J1061 J1063 J1065 J1067 J1069 J1071 J1073 J1075 J1077 J1079 J1081 J1083 J1085 J1087 J1089 J1091 J1093 J1095 J1097 J1099 J1101 J1103 J1105 J1107 J1109 J1111 J1113 J1115 J1117 J1119 J1121 J1123 J1125 J1127 J1129 J1131 J1133 J1135 J1137 J1139 J1141 J1143 J1145 J1147 J1149 J1151 J1153 J1155 J1157 J1159 J1161 J1163 J1165 J1167 J1169 J1171 J1173 J1175 J1177 J1179 J1181 J1183 J1185 J1187 J1189 J1191 J1193 J1195 J1197 J1199 J1201 J1203 J1205 J1207 J1209 J1211 J1213 J1215 J1217 J1219 J1221 J1223 J1225 J1227 J1229 J1231 J1233 J1235 J1237 J1239 J1241 J1243 J1245 J1247 J1249 J1251 J1253 J1255 J1257 J1259 J1261 J1263 J1265 J1267 J1269 J1271 J1273 J1275 J1277 J1279 J1281 J1283 J1285 J1287 J1289 J1291 J1293 J1295 J1297 J1299 J1301 J1303 J1305 J1307 J1309 J1311 J1313 J1315 J1317 J1319 J1321 J1323 J1325 J1327 J1329 J1331 J1333 J1335 J1337 J1339 J1341 J1343 J1345 J1347 J1349 J1351 J1353 J1355 J1357 J1359 J1361 J1363 J1365 J1367 J1369 J1371 J1373 J1375 J1377 J1379 J1381 J1383 J1385 J1387 J1389 J1391 J1393 J1395 J1397 J1399 J1401 J1403 J1405 J1407 J1409 J1411 J1413 J1415 J1417 J1419 J1421 J1423 J1425 J1427 J1429 J1431 J1433 J1435 J1437 J1439 J1441 J1443 J1445 J1447 J1449 J1451 J1453 J1455 J1457 J1459 J1461 J1463 J1465 J1467 J1469 J1471 J1473 J1475 J1477 J1479 J1481 J1483 J1485 J1487 J1489 J1491 J1493 J1495 J1497 J1499 J1501 J1503 J1505 J1507 J1509 J1511 J1513 J1515 J1517 J1519 J1521 J1523 J1525 J1527 J1529 J1531 J1533 J1535 J1537 J1539 J1541 J1543 J1545 J1547 J1549 J1551 J1553 J1555 J1557 J1559 J1561 J1563 J1565 J1567 J1569 J1571 J1573 J1575 J1577 J1579 J1581 J1583 J1585 J1587 J1589 J1591 J1593 J1595 J1597 J1599 J1601 J1603 J1605 J1607 J1609 J1611 J1613 J1615 J1617 J1619 J1621 J1623 J1625 J1627 J1629 J1631 J1633 J1635 J1637 J1639 J1641 J1643 J1645 J1647 J1649 J1651 J1653 J1655 J1657 J1659 J1661 J1663 J1665 J1667 J1669 J1671 J1673 J1675 J1677 J1679 J1681 J1683 J1685 J1687 J1689 J1691 J1693 J1695 J1697 J1699 J1701 J1703 J1705 J1707 J1709 J1711 J1713 J1715 J1717 J1719 J1721 J1723 J1725 J1727 J1729 J1731 J1733 J1735 J1737 J1739 J1741 J1743 J1745 J1747 J1749 J1751 J1753 J1755 J1757 J1759 J1761 J1763 J1765 J1767 J1769 J1771 J1773 J1775 J1777 J1779 J1781 J1783 J1785 J1787 J1789 J1791 J1793 J1795 J1797 J1799 J1801 J1803 J1805 J1807 J1809 J1811 J1813 J1815 J1817 J2299">
    <cfRule type="expression" dxfId="1696" priority="1682">
      <formula>$D621=""</formula>
    </cfRule>
  </conditionalFormatting>
  <conditionalFormatting sqref="F622">
    <cfRule type="expression" dxfId="1695" priority="1681">
      <formula>$D621=""</formula>
    </cfRule>
  </conditionalFormatting>
  <conditionalFormatting sqref="B623:F623 H623:I623">
    <cfRule type="expression" dxfId="1694" priority="1680">
      <formula>$D623=""</formula>
    </cfRule>
  </conditionalFormatting>
  <conditionalFormatting sqref="F624">
    <cfRule type="expression" dxfId="1693" priority="1679">
      <formula>$D623=""</formula>
    </cfRule>
  </conditionalFormatting>
  <conditionalFormatting sqref="B625:F625 H625:I625">
    <cfRule type="expression" dxfId="1692" priority="1678">
      <formula>$D625=""</formula>
    </cfRule>
  </conditionalFormatting>
  <conditionalFormatting sqref="F626">
    <cfRule type="expression" dxfId="1691" priority="1677">
      <formula>$D625=""</formula>
    </cfRule>
  </conditionalFormatting>
  <conditionalFormatting sqref="B627:F627 H627:I627">
    <cfRule type="expression" dxfId="1690" priority="1676">
      <formula>$D627=""</formula>
    </cfRule>
  </conditionalFormatting>
  <conditionalFormatting sqref="F628">
    <cfRule type="expression" dxfId="1689" priority="1675">
      <formula>$D627=""</formula>
    </cfRule>
  </conditionalFormatting>
  <conditionalFormatting sqref="B629:F629 H629:I629">
    <cfRule type="expression" dxfId="1688" priority="1674">
      <formula>$D629=""</formula>
    </cfRule>
  </conditionalFormatting>
  <conditionalFormatting sqref="F630">
    <cfRule type="expression" dxfId="1687" priority="1673">
      <formula>$D629=""</formula>
    </cfRule>
  </conditionalFormatting>
  <conditionalFormatting sqref="B631:F631 H631:I631">
    <cfRule type="expression" dxfId="1686" priority="1672">
      <formula>$D631=""</formula>
    </cfRule>
  </conditionalFormatting>
  <conditionalFormatting sqref="F632">
    <cfRule type="expression" dxfId="1685" priority="1671">
      <formula>$D631=""</formula>
    </cfRule>
  </conditionalFormatting>
  <conditionalFormatting sqref="B633:F633 H633:I633">
    <cfRule type="expression" dxfId="1684" priority="1670">
      <formula>$D633=""</formula>
    </cfRule>
  </conditionalFormatting>
  <conditionalFormatting sqref="F634">
    <cfRule type="expression" dxfId="1683" priority="1669">
      <formula>$D633=""</formula>
    </cfRule>
  </conditionalFormatting>
  <conditionalFormatting sqref="B635:F635 H635:I635">
    <cfRule type="expression" dxfId="1682" priority="1668">
      <formula>$D635=""</formula>
    </cfRule>
  </conditionalFormatting>
  <conditionalFormatting sqref="F636">
    <cfRule type="expression" dxfId="1681" priority="1667">
      <formula>$D635=""</formula>
    </cfRule>
  </conditionalFormatting>
  <conditionalFormatting sqref="B637:F637 H637:I637">
    <cfRule type="expression" dxfId="1680" priority="1666">
      <formula>$D637=""</formula>
    </cfRule>
  </conditionalFormatting>
  <conditionalFormatting sqref="F638">
    <cfRule type="expression" dxfId="1679" priority="1665">
      <formula>$D637=""</formula>
    </cfRule>
  </conditionalFormatting>
  <conditionalFormatting sqref="B639:F639 H639:I639">
    <cfRule type="expression" dxfId="1678" priority="1664">
      <formula>$D639=""</formula>
    </cfRule>
  </conditionalFormatting>
  <conditionalFormatting sqref="F640">
    <cfRule type="expression" dxfId="1677" priority="1663">
      <formula>$D639=""</formula>
    </cfRule>
  </conditionalFormatting>
  <conditionalFormatting sqref="B641:F641 H641:I641">
    <cfRule type="expression" dxfId="1676" priority="1662">
      <formula>$D641=""</formula>
    </cfRule>
  </conditionalFormatting>
  <conditionalFormatting sqref="F642">
    <cfRule type="expression" dxfId="1675" priority="1661">
      <formula>$D641=""</formula>
    </cfRule>
  </conditionalFormatting>
  <conditionalFormatting sqref="B643:F643 H643:I643">
    <cfRule type="expression" dxfId="1674" priority="1660">
      <formula>$D643=""</formula>
    </cfRule>
  </conditionalFormatting>
  <conditionalFormatting sqref="F644">
    <cfRule type="expression" dxfId="1673" priority="1659">
      <formula>$D643=""</formula>
    </cfRule>
  </conditionalFormatting>
  <conditionalFormatting sqref="B645:F645 H645:I645">
    <cfRule type="expression" dxfId="1672" priority="1658">
      <formula>$D645=""</formula>
    </cfRule>
  </conditionalFormatting>
  <conditionalFormatting sqref="F646">
    <cfRule type="expression" dxfId="1671" priority="1657">
      <formula>$D645=""</formula>
    </cfRule>
  </conditionalFormatting>
  <conditionalFormatting sqref="B647:F647 H647:I647">
    <cfRule type="expression" dxfId="1670" priority="1656">
      <formula>$D647=""</formula>
    </cfRule>
  </conditionalFormatting>
  <conditionalFormatting sqref="F648">
    <cfRule type="expression" dxfId="1669" priority="1655">
      <formula>$D647=""</formula>
    </cfRule>
  </conditionalFormatting>
  <conditionalFormatting sqref="B649:F649 H649:I649">
    <cfRule type="expression" dxfId="1668" priority="1654">
      <formula>$D649=""</formula>
    </cfRule>
  </conditionalFormatting>
  <conditionalFormatting sqref="F650">
    <cfRule type="expression" dxfId="1667" priority="1653">
      <formula>$D649=""</formula>
    </cfRule>
  </conditionalFormatting>
  <conditionalFormatting sqref="B651:F651 H651:I651">
    <cfRule type="expression" dxfId="1666" priority="1652">
      <formula>$D651=""</formula>
    </cfRule>
  </conditionalFormatting>
  <conditionalFormatting sqref="F652">
    <cfRule type="expression" dxfId="1665" priority="1651">
      <formula>$D651=""</formula>
    </cfRule>
  </conditionalFormatting>
  <conditionalFormatting sqref="B653:F653 H653:I653">
    <cfRule type="expression" dxfId="1664" priority="1650">
      <formula>$D653=""</formula>
    </cfRule>
  </conditionalFormatting>
  <conditionalFormatting sqref="F654">
    <cfRule type="expression" dxfId="1663" priority="1649">
      <formula>$D653=""</formula>
    </cfRule>
  </conditionalFormatting>
  <conditionalFormatting sqref="B655:F655 H655:I655">
    <cfRule type="expression" dxfId="1662" priority="1648">
      <formula>$D655=""</formula>
    </cfRule>
  </conditionalFormatting>
  <conditionalFormatting sqref="F656">
    <cfRule type="expression" dxfId="1661" priority="1647">
      <formula>$D655=""</formula>
    </cfRule>
  </conditionalFormatting>
  <conditionalFormatting sqref="B657:F657 H657:I657">
    <cfRule type="expression" dxfId="1660" priority="1646">
      <formula>$D657=""</formula>
    </cfRule>
  </conditionalFormatting>
  <conditionalFormatting sqref="F658">
    <cfRule type="expression" dxfId="1659" priority="1645">
      <formula>$D657=""</formula>
    </cfRule>
  </conditionalFormatting>
  <conditionalFormatting sqref="B659:F659 H659:I659">
    <cfRule type="expression" dxfId="1658" priority="1644">
      <formula>$D659=""</formula>
    </cfRule>
  </conditionalFormatting>
  <conditionalFormatting sqref="F660">
    <cfRule type="expression" dxfId="1657" priority="1643">
      <formula>$D659=""</formula>
    </cfRule>
  </conditionalFormatting>
  <conditionalFormatting sqref="B661:F661 H661:I661">
    <cfRule type="expression" dxfId="1656" priority="1642">
      <formula>$D661=""</formula>
    </cfRule>
  </conditionalFormatting>
  <conditionalFormatting sqref="F662">
    <cfRule type="expression" dxfId="1655" priority="1641">
      <formula>$D661=""</formula>
    </cfRule>
  </conditionalFormatting>
  <conditionalFormatting sqref="B663:F663 H663:I663">
    <cfRule type="expression" dxfId="1654" priority="1640">
      <formula>$D663=""</formula>
    </cfRule>
  </conditionalFormatting>
  <conditionalFormatting sqref="F664">
    <cfRule type="expression" dxfId="1653" priority="1639">
      <formula>$D663=""</formula>
    </cfRule>
  </conditionalFormatting>
  <conditionalFormatting sqref="B665:F665 H665:I665">
    <cfRule type="expression" dxfId="1652" priority="1638">
      <formula>$D665=""</formula>
    </cfRule>
  </conditionalFormatting>
  <conditionalFormatting sqref="F666">
    <cfRule type="expression" dxfId="1651" priority="1637">
      <formula>$D665=""</formula>
    </cfRule>
  </conditionalFormatting>
  <conditionalFormatting sqref="B667:F667 H667:I667">
    <cfRule type="expression" dxfId="1650" priority="1636">
      <formula>$D667=""</formula>
    </cfRule>
  </conditionalFormatting>
  <conditionalFormatting sqref="F668">
    <cfRule type="expression" dxfId="1649" priority="1635">
      <formula>$D667=""</formula>
    </cfRule>
  </conditionalFormatting>
  <conditionalFormatting sqref="B669:F669 H669:I669">
    <cfRule type="expression" dxfId="1648" priority="1634">
      <formula>$D669=""</formula>
    </cfRule>
  </conditionalFormatting>
  <conditionalFormatting sqref="F670">
    <cfRule type="expression" dxfId="1647" priority="1633">
      <formula>$D669=""</formula>
    </cfRule>
  </conditionalFormatting>
  <conditionalFormatting sqref="B671:F671 H671:I671">
    <cfRule type="expression" dxfId="1646" priority="1632">
      <formula>$D671=""</formula>
    </cfRule>
  </conditionalFormatting>
  <conditionalFormatting sqref="F672">
    <cfRule type="expression" dxfId="1645" priority="1631">
      <formula>$D671=""</formula>
    </cfRule>
  </conditionalFormatting>
  <conditionalFormatting sqref="B673:F673 H673:I673">
    <cfRule type="expression" dxfId="1644" priority="1630">
      <formula>$D673=""</formula>
    </cfRule>
  </conditionalFormatting>
  <conditionalFormatting sqref="F674">
    <cfRule type="expression" dxfId="1643" priority="1629">
      <formula>$D673=""</formula>
    </cfRule>
  </conditionalFormatting>
  <conditionalFormatting sqref="B675:F675 H675:I675">
    <cfRule type="expression" dxfId="1642" priority="1628">
      <formula>$D675=""</formula>
    </cfRule>
  </conditionalFormatting>
  <conditionalFormatting sqref="F676">
    <cfRule type="expression" dxfId="1641" priority="1627">
      <formula>$D675=""</formula>
    </cfRule>
  </conditionalFormatting>
  <conditionalFormatting sqref="B677:F677 H677:I677">
    <cfRule type="expression" dxfId="1640" priority="1626">
      <formula>$D677=""</formula>
    </cfRule>
  </conditionalFormatting>
  <conditionalFormatting sqref="F678">
    <cfRule type="expression" dxfId="1639" priority="1625">
      <formula>$D677=""</formula>
    </cfRule>
  </conditionalFormatting>
  <conditionalFormatting sqref="B679:F679 H679:I679">
    <cfRule type="expression" dxfId="1638" priority="1624">
      <formula>$D679=""</formula>
    </cfRule>
  </conditionalFormatting>
  <conditionalFormatting sqref="F680">
    <cfRule type="expression" dxfId="1637" priority="1623">
      <formula>$D679=""</formula>
    </cfRule>
  </conditionalFormatting>
  <conditionalFormatting sqref="B681:F681 H681:I681">
    <cfRule type="expression" dxfId="1636" priority="1622">
      <formula>$D681=""</formula>
    </cfRule>
  </conditionalFormatting>
  <conditionalFormatting sqref="F682">
    <cfRule type="expression" dxfId="1635" priority="1621">
      <formula>$D681=""</formula>
    </cfRule>
  </conditionalFormatting>
  <conditionalFormatting sqref="B683:F683 H683:I683">
    <cfRule type="expression" dxfId="1634" priority="1620">
      <formula>$D683=""</formula>
    </cfRule>
  </conditionalFormatting>
  <conditionalFormatting sqref="F684">
    <cfRule type="expression" dxfId="1633" priority="1619">
      <formula>$D683=""</formula>
    </cfRule>
  </conditionalFormatting>
  <conditionalFormatting sqref="B685:F685 H685:I685">
    <cfRule type="expression" dxfId="1632" priority="1618">
      <formula>$D685=""</formula>
    </cfRule>
  </conditionalFormatting>
  <conditionalFormatting sqref="F686">
    <cfRule type="expression" dxfId="1631" priority="1617">
      <formula>$D685=""</formula>
    </cfRule>
  </conditionalFormatting>
  <conditionalFormatting sqref="B687:F687 H687:I687">
    <cfRule type="expression" dxfId="1630" priority="1616">
      <formula>$D687=""</formula>
    </cfRule>
  </conditionalFormatting>
  <conditionalFormatting sqref="F688">
    <cfRule type="expression" dxfId="1629" priority="1615">
      <formula>$D687=""</formula>
    </cfRule>
  </conditionalFormatting>
  <conditionalFormatting sqref="B689:F689 H689:I689">
    <cfRule type="expression" dxfId="1628" priority="1614">
      <formula>$D689=""</formula>
    </cfRule>
  </conditionalFormatting>
  <conditionalFormatting sqref="F690">
    <cfRule type="expression" dxfId="1627" priority="1613">
      <formula>$D689=""</formula>
    </cfRule>
  </conditionalFormatting>
  <conditionalFormatting sqref="B691:F691 H691:I691">
    <cfRule type="expression" dxfId="1626" priority="1612">
      <formula>$D691=""</formula>
    </cfRule>
  </conditionalFormatting>
  <conditionalFormatting sqref="F692">
    <cfRule type="expression" dxfId="1625" priority="1611">
      <formula>$D691=""</formula>
    </cfRule>
  </conditionalFormatting>
  <conditionalFormatting sqref="B693:F693 H693:I693">
    <cfRule type="expression" dxfId="1624" priority="1610">
      <formula>$D693=""</formula>
    </cfRule>
  </conditionalFormatting>
  <conditionalFormatting sqref="F694">
    <cfRule type="expression" dxfId="1623" priority="1609">
      <formula>$D693=""</formula>
    </cfRule>
  </conditionalFormatting>
  <conditionalFormatting sqref="B695:F695 H695:I695">
    <cfRule type="expression" dxfId="1622" priority="1608">
      <formula>$D695=""</formula>
    </cfRule>
  </conditionalFormatting>
  <conditionalFormatting sqref="F696">
    <cfRule type="expression" dxfId="1621" priority="1607">
      <formula>$D695=""</formula>
    </cfRule>
  </conditionalFormatting>
  <conditionalFormatting sqref="B697:F697 H697:I697">
    <cfRule type="expression" dxfId="1620" priority="1606">
      <formula>$D697=""</formula>
    </cfRule>
  </conditionalFormatting>
  <conditionalFormatting sqref="F698">
    <cfRule type="expression" dxfId="1619" priority="1605">
      <formula>$D697=""</formula>
    </cfRule>
  </conditionalFormatting>
  <conditionalFormatting sqref="B699:F699 H699:I699">
    <cfRule type="expression" dxfId="1618" priority="1604">
      <formula>$D699=""</formula>
    </cfRule>
  </conditionalFormatting>
  <conditionalFormatting sqref="F700">
    <cfRule type="expression" dxfId="1617" priority="1603">
      <formula>$D699=""</formula>
    </cfRule>
  </conditionalFormatting>
  <conditionalFormatting sqref="B701:F701 H701:I701">
    <cfRule type="expression" dxfId="1616" priority="1602">
      <formula>$D701=""</formula>
    </cfRule>
  </conditionalFormatting>
  <conditionalFormatting sqref="F702">
    <cfRule type="expression" dxfId="1615" priority="1601">
      <formula>$D701=""</formula>
    </cfRule>
  </conditionalFormatting>
  <conditionalFormatting sqref="B703:F703 H703:I703">
    <cfRule type="expression" dxfId="1614" priority="1600">
      <formula>$D703=""</formula>
    </cfRule>
  </conditionalFormatting>
  <conditionalFormatting sqref="F704">
    <cfRule type="expression" dxfId="1613" priority="1599">
      <formula>$D703=""</formula>
    </cfRule>
  </conditionalFormatting>
  <conditionalFormatting sqref="B705:F705 H705:I705">
    <cfRule type="expression" dxfId="1612" priority="1598">
      <formula>$D705=""</formula>
    </cfRule>
  </conditionalFormatting>
  <conditionalFormatting sqref="F706">
    <cfRule type="expression" dxfId="1611" priority="1597">
      <formula>$D705=""</formula>
    </cfRule>
  </conditionalFormatting>
  <conditionalFormatting sqref="B707:F707 H707:I707">
    <cfRule type="expression" dxfId="1610" priority="1596">
      <formula>$D707=""</formula>
    </cfRule>
  </conditionalFormatting>
  <conditionalFormatting sqref="F708">
    <cfRule type="expression" dxfId="1609" priority="1595">
      <formula>$D707=""</formula>
    </cfRule>
  </conditionalFormatting>
  <conditionalFormatting sqref="B709:F709 H709:I709">
    <cfRule type="expression" dxfId="1608" priority="1594">
      <formula>$D709=""</formula>
    </cfRule>
  </conditionalFormatting>
  <conditionalFormatting sqref="F710">
    <cfRule type="expression" dxfId="1607" priority="1593">
      <formula>$D709=""</formula>
    </cfRule>
  </conditionalFormatting>
  <conditionalFormatting sqref="B711:F711 H711:I711">
    <cfRule type="expression" dxfId="1606" priority="1592">
      <formula>$D711=""</formula>
    </cfRule>
  </conditionalFormatting>
  <conditionalFormatting sqref="F712">
    <cfRule type="expression" dxfId="1605" priority="1591">
      <formula>$D711=""</formula>
    </cfRule>
  </conditionalFormatting>
  <conditionalFormatting sqref="B713:F713 H713:I713">
    <cfRule type="expression" dxfId="1604" priority="1590">
      <formula>$D713=""</formula>
    </cfRule>
  </conditionalFormatting>
  <conditionalFormatting sqref="F714">
    <cfRule type="expression" dxfId="1603" priority="1589">
      <formula>$D713=""</formula>
    </cfRule>
  </conditionalFormatting>
  <conditionalFormatting sqref="B715:F715 H715:I715">
    <cfRule type="expression" dxfId="1602" priority="1588">
      <formula>$D715=""</formula>
    </cfRule>
  </conditionalFormatting>
  <conditionalFormatting sqref="F716">
    <cfRule type="expression" dxfId="1601" priority="1587">
      <formula>$D715=""</formula>
    </cfRule>
  </conditionalFormatting>
  <conditionalFormatting sqref="B717:F717 H717:I717">
    <cfRule type="expression" dxfId="1600" priority="1586">
      <formula>$D717=""</formula>
    </cfRule>
  </conditionalFormatting>
  <conditionalFormatting sqref="F718">
    <cfRule type="expression" dxfId="1599" priority="1585">
      <formula>$D717=""</formula>
    </cfRule>
  </conditionalFormatting>
  <conditionalFormatting sqref="B719:F719 H719:I719">
    <cfRule type="expression" dxfId="1598" priority="1584">
      <formula>$D719=""</formula>
    </cfRule>
  </conditionalFormatting>
  <conditionalFormatting sqref="F720">
    <cfRule type="expression" dxfId="1597" priority="1583">
      <formula>$D719=""</formula>
    </cfRule>
  </conditionalFormatting>
  <conditionalFormatting sqref="B721:F721 H721:I721">
    <cfRule type="expression" dxfId="1596" priority="1582">
      <formula>$D721=""</formula>
    </cfRule>
  </conditionalFormatting>
  <conditionalFormatting sqref="F722">
    <cfRule type="expression" dxfId="1595" priority="1581">
      <formula>$D721=""</formula>
    </cfRule>
  </conditionalFormatting>
  <conditionalFormatting sqref="B723:F723 H723:I723">
    <cfRule type="expression" dxfId="1594" priority="1580">
      <formula>$D723=""</formula>
    </cfRule>
  </conditionalFormatting>
  <conditionalFormatting sqref="F724">
    <cfRule type="expression" dxfId="1593" priority="1579">
      <formula>$D723=""</formula>
    </cfRule>
  </conditionalFormatting>
  <conditionalFormatting sqref="B725:F725 H725:I725">
    <cfRule type="expression" dxfId="1592" priority="1578">
      <formula>$D725=""</formula>
    </cfRule>
  </conditionalFormatting>
  <conditionalFormatting sqref="F726">
    <cfRule type="expression" dxfId="1591" priority="1577">
      <formula>$D725=""</formula>
    </cfRule>
  </conditionalFormatting>
  <conditionalFormatting sqref="B727:F727 H727:I727">
    <cfRule type="expression" dxfId="1590" priority="1576">
      <formula>$D727=""</formula>
    </cfRule>
  </conditionalFormatting>
  <conditionalFormatting sqref="F728">
    <cfRule type="expression" dxfId="1589" priority="1575">
      <formula>$D727=""</formula>
    </cfRule>
  </conditionalFormatting>
  <conditionalFormatting sqref="B729:F729 H729:I729">
    <cfRule type="expression" dxfId="1588" priority="1574">
      <formula>$D729=""</formula>
    </cfRule>
  </conditionalFormatting>
  <conditionalFormatting sqref="F730">
    <cfRule type="expression" dxfId="1587" priority="1573">
      <formula>$D729=""</formula>
    </cfRule>
  </conditionalFormatting>
  <conditionalFormatting sqref="B731:F731 H731:I731">
    <cfRule type="expression" dxfId="1586" priority="1572">
      <formula>$D731=""</formula>
    </cfRule>
  </conditionalFormatting>
  <conditionalFormatting sqref="F732">
    <cfRule type="expression" dxfId="1585" priority="1571">
      <formula>$D731=""</formula>
    </cfRule>
  </conditionalFormatting>
  <conditionalFormatting sqref="B733:F733 H733:I733">
    <cfRule type="expression" dxfId="1584" priority="1570">
      <formula>$D733=""</formula>
    </cfRule>
  </conditionalFormatting>
  <conditionalFormatting sqref="F734">
    <cfRule type="expression" dxfId="1583" priority="1569">
      <formula>$D733=""</formula>
    </cfRule>
  </conditionalFormatting>
  <conditionalFormatting sqref="B735:F735 H735:I735">
    <cfRule type="expression" dxfId="1582" priority="1568">
      <formula>$D735=""</formula>
    </cfRule>
  </conditionalFormatting>
  <conditionalFormatting sqref="F736">
    <cfRule type="expression" dxfId="1581" priority="1567">
      <formula>$D735=""</formula>
    </cfRule>
  </conditionalFormatting>
  <conditionalFormatting sqref="B737:F737 H737:I737">
    <cfRule type="expression" dxfId="1580" priority="1566">
      <formula>$D737=""</formula>
    </cfRule>
  </conditionalFormatting>
  <conditionalFormatting sqref="F738">
    <cfRule type="expression" dxfId="1579" priority="1565">
      <formula>$D737=""</formula>
    </cfRule>
  </conditionalFormatting>
  <conditionalFormatting sqref="B739:F739 H739:I739">
    <cfRule type="expression" dxfId="1578" priority="1564">
      <formula>$D739=""</formula>
    </cfRule>
  </conditionalFormatting>
  <conditionalFormatting sqref="F740">
    <cfRule type="expression" dxfId="1577" priority="1563">
      <formula>$D739=""</formula>
    </cfRule>
  </conditionalFormatting>
  <conditionalFormatting sqref="B741:F741 H741:I741">
    <cfRule type="expression" dxfId="1576" priority="1562">
      <formula>$D741=""</formula>
    </cfRule>
  </conditionalFormatting>
  <conditionalFormatting sqref="F742">
    <cfRule type="expression" dxfId="1575" priority="1561">
      <formula>$D741=""</formula>
    </cfRule>
  </conditionalFormatting>
  <conditionalFormatting sqref="B743:F743 H743:I743">
    <cfRule type="expression" dxfId="1574" priority="1560">
      <formula>$D743=""</formula>
    </cfRule>
  </conditionalFormatting>
  <conditionalFormatting sqref="F744">
    <cfRule type="expression" dxfId="1573" priority="1559">
      <formula>$D743=""</formula>
    </cfRule>
  </conditionalFormatting>
  <conditionalFormatting sqref="B745:F745 H745:I745">
    <cfRule type="expression" dxfId="1572" priority="1558">
      <formula>$D745=""</formula>
    </cfRule>
  </conditionalFormatting>
  <conditionalFormatting sqref="F746">
    <cfRule type="expression" dxfId="1571" priority="1557">
      <formula>$D745=""</formula>
    </cfRule>
  </conditionalFormatting>
  <conditionalFormatting sqref="B747:F747 H747:I747">
    <cfRule type="expression" dxfId="1570" priority="1556">
      <formula>$D747=""</formula>
    </cfRule>
  </conditionalFormatting>
  <conditionalFormatting sqref="F748">
    <cfRule type="expression" dxfId="1569" priority="1555">
      <formula>$D747=""</formula>
    </cfRule>
  </conditionalFormatting>
  <conditionalFormatting sqref="B749:F749 H749:I749">
    <cfRule type="expression" dxfId="1568" priority="1554">
      <formula>$D749=""</formula>
    </cfRule>
  </conditionalFormatting>
  <conditionalFormatting sqref="F750">
    <cfRule type="expression" dxfId="1567" priority="1553">
      <formula>$D749=""</formula>
    </cfRule>
  </conditionalFormatting>
  <conditionalFormatting sqref="B751:F751 H751:I751">
    <cfRule type="expression" dxfId="1566" priority="1552">
      <formula>$D751=""</formula>
    </cfRule>
  </conditionalFormatting>
  <conditionalFormatting sqref="F752">
    <cfRule type="expression" dxfId="1565" priority="1551">
      <formula>$D751=""</formula>
    </cfRule>
  </conditionalFormatting>
  <conditionalFormatting sqref="B753:F753 H753:I753">
    <cfRule type="expression" dxfId="1564" priority="1550">
      <formula>$D753=""</formula>
    </cfRule>
  </conditionalFormatting>
  <conditionalFormatting sqref="F754">
    <cfRule type="expression" dxfId="1563" priority="1549">
      <formula>$D753=""</formula>
    </cfRule>
  </conditionalFormatting>
  <conditionalFormatting sqref="B755:F755 H755:I755">
    <cfRule type="expression" dxfId="1562" priority="1548">
      <formula>$D755=""</formula>
    </cfRule>
  </conditionalFormatting>
  <conditionalFormatting sqref="F756">
    <cfRule type="expression" dxfId="1561" priority="1547">
      <formula>$D755=""</formula>
    </cfRule>
  </conditionalFormatting>
  <conditionalFormatting sqref="B757:F757 H757:I757">
    <cfRule type="expression" dxfId="1560" priority="1546">
      <formula>$D757=""</formula>
    </cfRule>
  </conditionalFormatting>
  <conditionalFormatting sqref="F758">
    <cfRule type="expression" dxfId="1559" priority="1545">
      <formula>$D757=""</formula>
    </cfRule>
  </conditionalFormatting>
  <conditionalFormatting sqref="B759:F759 H759:I759">
    <cfRule type="expression" dxfId="1558" priority="1544">
      <formula>$D759=""</formula>
    </cfRule>
  </conditionalFormatting>
  <conditionalFormatting sqref="F760">
    <cfRule type="expression" dxfId="1557" priority="1543">
      <formula>$D759=""</formula>
    </cfRule>
  </conditionalFormatting>
  <conditionalFormatting sqref="B761:F761 H761:I761">
    <cfRule type="expression" dxfId="1556" priority="1542">
      <formula>$D761=""</formula>
    </cfRule>
  </conditionalFormatting>
  <conditionalFormatting sqref="F762">
    <cfRule type="expression" dxfId="1555" priority="1541">
      <formula>$D761=""</formula>
    </cfRule>
  </conditionalFormatting>
  <conditionalFormatting sqref="B763:F763 H763:I763">
    <cfRule type="expression" dxfId="1554" priority="1540">
      <formula>$D763=""</formula>
    </cfRule>
  </conditionalFormatting>
  <conditionalFormatting sqref="F764">
    <cfRule type="expression" dxfId="1553" priority="1539">
      <formula>$D763=""</formula>
    </cfRule>
  </conditionalFormatting>
  <conditionalFormatting sqref="B765:F765 H765:I765">
    <cfRule type="expression" dxfId="1552" priority="1538">
      <formula>$D765=""</formula>
    </cfRule>
  </conditionalFormatting>
  <conditionalFormatting sqref="F766">
    <cfRule type="expression" dxfId="1551" priority="1537">
      <formula>$D765=""</formula>
    </cfRule>
  </conditionalFormatting>
  <conditionalFormatting sqref="B767:F767 H767:I767">
    <cfRule type="expression" dxfId="1550" priority="1536">
      <formula>$D767=""</formula>
    </cfRule>
  </conditionalFormatting>
  <conditionalFormatting sqref="F768">
    <cfRule type="expression" dxfId="1549" priority="1535">
      <formula>$D767=""</formula>
    </cfRule>
  </conditionalFormatting>
  <conditionalFormatting sqref="B769:F769 H769:I769">
    <cfRule type="expression" dxfId="1548" priority="1534">
      <formula>$D769=""</formula>
    </cfRule>
  </conditionalFormatting>
  <conditionalFormatting sqref="F770">
    <cfRule type="expression" dxfId="1547" priority="1533">
      <formula>$D769=""</formula>
    </cfRule>
  </conditionalFormatting>
  <conditionalFormatting sqref="B771:F771 H771:I771">
    <cfRule type="expression" dxfId="1546" priority="1532">
      <formula>$D771=""</formula>
    </cfRule>
  </conditionalFormatting>
  <conditionalFormatting sqref="F772">
    <cfRule type="expression" dxfId="1545" priority="1531">
      <formula>$D771=""</formula>
    </cfRule>
  </conditionalFormatting>
  <conditionalFormatting sqref="B773:F773 H773:I773">
    <cfRule type="expression" dxfId="1544" priority="1530">
      <formula>$D773=""</formula>
    </cfRule>
  </conditionalFormatting>
  <conditionalFormatting sqref="F774">
    <cfRule type="expression" dxfId="1543" priority="1529">
      <formula>$D773=""</formula>
    </cfRule>
  </conditionalFormatting>
  <conditionalFormatting sqref="B775:F775 H775:I775">
    <cfRule type="expression" dxfId="1542" priority="1528">
      <formula>$D775=""</formula>
    </cfRule>
  </conditionalFormatting>
  <conditionalFormatting sqref="F776">
    <cfRule type="expression" dxfId="1541" priority="1527">
      <formula>$D775=""</formula>
    </cfRule>
  </conditionalFormatting>
  <conditionalFormatting sqref="B777:F777 H777:I777">
    <cfRule type="expression" dxfId="1540" priority="1526">
      <formula>$D777=""</formula>
    </cfRule>
  </conditionalFormatting>
  <conditionalFormatting sqref="F778">
    <cfRule type="expression" dxfId="1539" priority="1525">
      <formula>$D777=""</formula>
    </cfRule>
  </conditionalFormatting>
  <conditionalFormatting sqref="B779:F779 H779:I779">
    <cfRule type="expression" dxfId="1538" priority="1524">
      <formula>$D779=""</formula>
    </cfRule>
  </conditionalFormatting>
  <conditionalFormatting sqref="F780">
    <cfRule type="expression" dxfId="1537" priority="1523">
      <formula>$D779=""</formula>
    </cfRule>
  </conditionalFormatting>
  <conditionalFormatting sqref="B781:F781 H781:I781">
    <cfRule type="expression" dxfId="1536" priority="1522">
      <formula>$D781=""</formula>
    </cfRule>
  </conditionalFormatting>
  <conditionalFormatting sqref="F782">
    <cfRule type="expression" dxfId="1535" priority="1521">
      <formula>$D781=""</formula>
    </cfRule>
  </conditionalFormatting>
  <conditionalFormatting sqref="B783:F783 H783:I783">
    <cfRule type="expression" dxfId="1534" priority="1520">
      <formula>$D783=""</formula>
    </cfRule>
  </conditionalFormatting>
  <conditionalFormatting sqref="F784">
    <cfRule type="expression" dxfId="1533" priority="1519">
      <formula>$D783=""</formula>
    </cfRule>
  </conditionalFormatting>
  <conditionalFormatting sqref="B785:F785 H785:I785">
    <cfRule type="expression" dxfId="1532" priority="1518">
      <formula>$D785=""</formula>
    </cfRule>
  </conditionalFormatting>
  <conditionalFormatting sqref="F786">
    <cfRule type="expression" dxfId="1531" priority="1517">
      <formula>$D785=""</formula>
    </cfRule>
  </conditionalFormatting>
  <conditionalFormatting sqref="B787:F787 H787:I787">
    <cfRule type="expression" dxfId="1530" priority="1516">
      <formula>$D787=""</formula>
    </cfRule>
  </conditionalFormatting>
  <conditionalFormatting sqref="F788">
    <cfRule type="expression" dxfId="1529" priority="1515">
      <formula>$D787=""</formula>
    </cfRule>
  </conditionalFormatting>
  <conditionalFormatting sqref="B789:F789 H789:I789">
    <cfRule type="expression" dxfId="1528" priority="1514">
      <formula>$D789=""</formula>
    </cfRule>
  </conditionalFormatting>
  <conditionalFormatting sqref="F790">
    <cfRule type="expression" dxfId="1527" priority="1513">
      <formula>$D789=""</formula>
    </cfRule>
  </conditionalFormatting>
  <conditionalFormatting sqref="B791:F791 H791:I791">
    <cfRule type="expression" dxfId="1526" priority="1512">
      <formula>$D791=""</formula>
    </cfRule>
  </conditionalFormatting>
  <conditionalFormatting sqref="F792">
    <cfRule type="expression" dxfId="1525" priority="1511">
      <formula>$D791=""</formula>
    </cfRule>
  </conditionalFormatting>
  <conditionalFormatting sqref="B793:F793 H793:I793">
    <cfRule type="expression" dxfId="1524" priority="1510">
      <formula>$D793=""</formula>
    </cfRule>
  </conditionalFormatting>
  <conditionalFormatting sqref="F794">
    <cfRule type="expression" dxfId="1523" priority="1509">
      <formula>$D793=""</formula>
    </cfRule>
  </conditionalFormatting>
  <conditionalFormatting sqref="B795:F795 H795:I795">
    <cfRule type="expression" dxfId="1522" priority="1508">
      <formula>$D795=""</formula>
    </cfRule>
  </conditionalFormatting>
  <conditionalFormatting sqref="F796">
    <cfRule type="expression" dxfId="1521" priority="1507">
      <formula>$D795=""</formula>
    </cfRule>
  </conditionalFormatting>
  <conditionalFormatting sqref="B797:F797 H797:I797">
    <cfRule type="expression" dxfId="1520" priority="1506">
      <formula>$D797=""</formula>
    </cfRule>
  </conditionalFormatting>
  <conditionalFormatting sqref="F798">
    <cfRule type="expression" dxfId="1519" priority="1505">
      <formula>$D797=""</formula>
    </cfRule>
  </conditionalFormatting>
  <conditionalFormatting sqref="B799:F799 H799:I799">
    <cfRule type="expression" dxfId="1518" priority="1504">
      <formula>$D799=""</formula>
    </cfRule>
  </conditionalFormatting>
  <conditionalFormatting sqref="F800">
    <cfRule type="expression" dxfId="1517" priority="1503">
      <formula>$D799=""</formula>
    </cfRule>
  </conditionalFormatting>
  <conditionalFormatting sqref="B801:F801 H801:I801">
    <cfRule type="expression" dxfId="1516" priority="1502">
      <formula>$D801=""</formula>
    </cfRule>
  </conditionalFormatting>
  <conditionalFormatting sqref="F802">
    <cfRule type="expression" dxfId="1515" priority="1501">
      <formula>$D801=""</formula>
    </cfRule>
  </conditionalFormatting>
  <conditionalFormatting sqref="B803:F803 H803:I803">
    <cfRule type="expression" dxfId="1514" priority="1500">
      <formula>$D803=""</formula>
    </cfRule>
  </conditionalFormatting>
  <conditionalFormatting sqref="F804">
    <cfRule type="expression" dxfId="1513" priority="1499">
      <formula>$D803=""</formula>
    </cfRule>
  </conditionalFormatting>
  <conditionalFormatting sqref="B805:F805 H805:I805">
    <cfRule type="expression" dxfId="1512" priority="1498">
      <formula>$D805=""</formula>
    </cfRule>
  </conditionalFormatting>
  <conditionalFormatting sqref="F806">
    <cfRule type="expression" dxfId="1511" priority="1497">
      <formula>$D805=""</formula>
    </cfRule>
  </conditionalFormatting>
  <conditionalFormatting sqref="B807:F807 H807:I807">
    <cfRule type="expression" dxfId="1510" priority="1496">
      <formula>$D807=""</formula>
    </cfRule>
  </conditionalFormatting>
  <conditionalFormatting sqref="F808">
    <cfRule type="expression" dxfId="1509" priority="1495">
      <formula>$D807=""</formula>
    </cfRule>
  </conditionalFormatting>
  <conditionalFormatting sqref="B809:F809 H809:I809">
    <cfRule type="expression" dxfId="1508" priority="1494">
      <formula>$D809=""</formula>
    </cfRule>
  </conditionalFormatting>
  <conditionalFormatting sqref="F810">
    <cfRule type="expression" dxfId="1507" priority="1493">
      <formula>$D809=""</formula>
    </cfRule>
  </conditionalFormatting>
  <conditionalFormatting sqref="B811:F811 H811:I811">
    <cfRule type="expression" dxfId="1506" priority="1492">
      <formula>$D811=""</formula>
    </cfRule>
  </conditionalFormatting>
  <conditionalFormatting sqref="F812">
    <cfRule type="expression" dxfId="1505" priority="1491">
      <formula>$D811=""</formula>
    </cfRule>
  </conditionalFormatting>
  <conditionalFormatting sqref="B813:F813 H813:I813">
    <cfRule type="expression" dxfId="1504" priority="1490">
      <formula>$D813=""</formula>
    </cfRule>
  </conditionalFormatting>
  <conditionalFormatting sqref="F814">
    <cfRule type="expression" dxfId="1503" priority="1489">
      <formula>$D813=""</formula>
    </cfRule>
  </conditionalFormatting>
  <conditionalFormatting sqref="B815:F815 H815:I815">
    <cfRule type="expression" dxfId="1502" priority="1488">
      <formula>$D815=""</formula>
    </cfRule>
  </conditionalFormatting>
  <conditionalFormatting sqref="F816">
    <cfRule type="expression" dxfId="1501" priority="1487">
      <formula>$D815=""</formula>
    </cfRule>
  </conditionalFormatting>
  <conditionalFormatting sqref="B817:F817 H817:I817">
    <cfRule type="expression" dxfId="1500" priority="1486">
      <formula>$D817=""</formula>
    </cfRule>
  </conditionalFormatting>
  <conditionalFormatting sqref="F818">
    <cfRule type="expression" dxfId="1499" priority="1485">
      <formula>$D817=""</formula>
    </cfRule>
  </conditionalFormatting>
  <conditionalFormatting sqref="B819:F819 H819:I819">
    <cfRule type="expression" dxfId="1498" priority="1484">
      <formula>$D819=""</formula>
    </cfRule>
  </conditionalFormatting>
  <conditionalFormatting sqref="F820">
    <cfRule type="expression" dxfId="1497" priority="1483">
      <formula>$D819=""</formula>
    </cfRule>
  </conditionalFormatting>
  <conditionalFormatting sqref="B821:F821 H821:I821">
    <cfRule type="expression" dxfId="1496" priority="1482">
      <formula>$D821=""</formula>
    </cfRule>
  </conditionalFormatting>
  <conditionalFormatting sqref="F822">
    <cfRule type="expression" dxfId="1495" priority="1481">
      <formula>$D821=""</formula>
    </cfRule>
  </conditionalFormatting>
  <conditionalFormatting sqref="B823:F823 H823:I823">
    <cfRule type="expression" dxfId="1494" priority="1480">
      <formula>$D823=""</formula>
    </cfRule>
  </conditionalFormatting>
  <conditionalFormatting sqref="F824">
    <cfRule type="expression" dxfId="1493" priority="1479">
      <formula>$D823=""</formula>
    </cfRule>
  </conditionalFormatting>
  <conditionalFormatting sqref="B825:F825 H825:I825">
    <cfRule type="expression" dxfId="1492" priority="1478">
      <formula>$D825=""</formula>
    </cfRule>
  </conditionalFormatting>
  <conditionalFormatting sqref="F826">
    <cfRule type="expression" dxfId="1491" priority="1477">
      <formula>$D825=""</formula>
    </cfRule>
  </conditionalFormatting>
  <conditionalFormatting sqref="B827:F827 H827:I827">
    <cfRule type="expression" dxfId="1490" priority="1476">
      <formula>$D827=""</formula>
    </cfRule>
  </conditionalFormatting>
  <conditionalFormatting sqref="F828">
    <cfRule type="expression" dxfId="1489" priority="1475">
      <formula>$D827=""</formula>
    </cfRule>
  </conditionalFormatting>
  <conditionalFormatting sqref="B829:F829 H829:I829">
    <cfRule type="expression" dxfId="1488" priority="1474">
      <formula>$D829=""</formula>
    </cfRule>
  </conditionalFormatting>
  <conditionalFormatting sqref="F830">
    <cfRule type="expression" dxfId="1487" priority="1473">
      <formula>$D829=""</formula>
    </cfRule>
  </conditionalFormatting>
  <conditionalFormatting sqref="B831:F831 H831:I831">
    <cfRule type="expression" dxfId="1486" priority="1472">
      <formula>$D831=""</formula>
    </cfRule>
  </conditionalFormatting>
  <conditionalFormatting sqref="F832">
    <cfRule type="expression" dxfId="1485" priority="1471">
      <formula>$D831=""</formula>
    </cfRule>
  </conditionalFormatting>
  <conditionalFormatting sqref="B833:F833 H833:I833">
    <cfRule type="expression" dxfId="1484" priority="1470">
      <formula>$D833=""</formula>
    </cfRule>
  </conditionalFormatting>
  <conditionalFormatting sqref="F834">
    <cfRule type="expression" dxfId="1483" priority="1469">
      <formula>$D833=""</formula>
    </cfRule>
  </conditionalFormatting>
  <conditionalFormatting sqref="B835:F835 H835:I835">
    <cfRule type="expression" dxfId="1482" priority="1468">
      <formula>$D835=""</formula>
    </cfRule>
  </conditionalFormatting>
  <conditionalFormatting sqref="F836">
    <cfRule type="expression" dxfId="1481" priority="1467">
      <formula>$D835=""</formula>
    </cfRule>
  </conditionalFormatting>
  <conditionalFormatting sqref="B837:F837 H837:I837">
    <cfRule type="expression" dxfId="1480" priority="1466">
      <formula>$D837=""</formula>
    </cfRule>
  </conditionalFormatting>
  <conditionalFormatting sqref="F838">
    <cfRule type="expression" dxfId="1479" priority="1465">
      <formula>$D837=""</formula>
    </cfRule>
  </conditionalFormatting>
  <conditionalFormatting sqref="B839:F839 H839:I839">
    <cfRule type="expression" dxfId="1478" priority="1464">
      <formula>$D839=""</formula>
    </cfRule>
  </conditionalFormatting>
  <conditionalFormatting sqref="F840">
    <cfRule type="expression" dxfId="1477" priority="1463">
      <formula>$D839=""</formula>
    </cfRule>
  </conditionalFormatting>
  <conditionalFormatting sqref="B841:F841 H841:I841">
    <cfRule type="expression" dxfId="1476" priority="1462">
      <formula>$D841=""</formula>
    </cfRule>
  </conditionalFormatting>
  <conditionalFormatting sqref="F842">
    <cfRule type="expression" dxfId="1475" priority="1461">
      <formula>$D841=""</formula>
    </cfRule>
  </conditionalFormatting>
  <conditionalFormatting sqref="B843:F843 H843:I843">
    <cfRule type="expression" dxfId="1474" priority="1460">
      <formula>$D843=""</formula>
    </cfRule>
  </conditionalFormatting>
  <conditionalFormatting sqref="F844">
    <cfRule type="expression" dxfId="1473" priority="1459">
      <formula>$D843=""</formula>
    </cfRule>
  </conditionalFormatting>
  <conditionalFormatting sqref="B845:F845 H845:I845">
    <cfRule type="expression" dxfId="1472" priority="1458">
      <formula>$D845=""</formula>
    </cfRule>
  </conditionalFormatting>
  <conditionalFormatting sqref="F846">
    <cfRule type="expression" dxfId="1471" priority="1457">
      <formula>$D845=""</formula>
    </cfRule>
  </conditionalFormatting>
  <conditionalFormatting sqref="B847:F847 H847:I847">
    <cfRule type="expression" dxfId="1470" priority="1456">
      <formula>$D847=""</formula>
    </cfRule>
  </conditionalFormatting>
  <conditionalFormatting sqref="F848">
    <cfRule type="expression" dxfId="1469" priority="1455">
      <formula>$D847=""</formula>
    </cfRule>
  </conditionalFormatting>
  <conditionalFormatting sqref="B849:F849 H849:I849">
    <cfRule type="expression" dxfId="1468" priority="1454">
      <formula>$D849=""</formula>
    </cfRule>
  </conditionalFormatting>
  <conditionalFormatting sqref="F850">
    <cfRule type="expression" dxfId="1467" priority="1453">
      <formula>$D849=""</formula>
    </cfRule>
  </conditionalFormatting>
  <conditionalFormatting sqref="B851:F851 H851:I851">
    <cfRule type="expression" dxfId="1466" priority="1452">
      <formula>$D851=""</formula>
    </cfRule>
  </conditionalFormatting>
  <conditionalFormatting sqref="F852">
    <cfRule type="expression" dxfId="1465" priority="1451">
      <formula>$D851=""</formula>
    </cfRule>
  </conditionalFormatting>
  <conditionalFormatting sqref="B853:F853 H853:I853">
    <cfRule type="expression" dxfId="1464" priority="1450">
      <formula>$D853=""</formula>
    </cfRule>
  </conditionalFormatting>
  <conditionalFormatting sqref="F854">
    <cfRule type="expression" dxfId="1463" priority="1449">
      <formula>$D853=""</formula>
    </cfRule>
  </conditionalFormatting>
  <conditionalFormatting sqref="B855:F855 H855:I855">
    <cfRule type="expression" dxfId="1462" priority="1448">
      <formula>$D855=""</formula>
    </cfRule>
  </conditionalFormatting>
  <conditionalFormatting sqref="F856">
    <cfRule type="expression" dxfId="1461" priority="1447">
      <formula>$D855=""</formula>
    </cfRule>
  </conditionalFormatting>
  <conditionalFormatting sqref="B857:F857 H857:I857">
    <cfRule type="expression" dxfId="1460" priority="1446">
      <formula>$D857=""</formula>
    </cfRule>
  </conditionalFormatting>
  <conditionalFormatting sqref="F858">
    <cfRule type="expression" dxfId="1459" priority="1445">
      <formula>$D857=""</formula>
    </cfRule>
  </conditionalFormatting>
  <conditionalFormatting sqref="B859:F859 H859:I859">
    <cfRule type="expression" dxfId="1458" priority="1444">
      <formula>$D859=""</formula>
    </cfRule>
  </conditionalFormatting>
  <conditionalFormatting sqref="F860">
    <cfRule type="expression" dxfId="1457" priority="1443">
      <formula>$D859=""</formula>
    </cfRule>
  </conditionalFormatting>
  <conditionalFormatting sqref="B861:F861 H861:I861">
    <cfRule type="expression" dxfId="1456" priority="1442">
      <formula>$D861=""</formula>
    </cfRule>
  </conditionalFormatting>
  <conditionalFormatting sqref="F862">
    <cfRule type="expression" dxfId="1455" priority="1441">
      <formula>$D861=""</formula>
    </cfRule>
  </conditionalFormatting>
  <conditionalFormatting sqref="B863:F863 H863:I863">
    <cfRule type="expression" dxfId="1454" priority="1440">
      <formula>$D863=""</formula>
    </cfRule>
  </conditionalFormatting>
  <conditionalFormatting sqref="F864">
    <cfRule type="expression" dxfId="1453" priority="1439">
      <formula>$D863=""</formula>
    </cfRule>
  </conditionalFormatting>
  <conditionalFormatting sqref="B865:F865 H865:I865">
    <cfRule type="expression" dxfId="1452" priority="1438">
      <formula>$D865=""</formula>
    </cfRule>
  </conditionalFormatting>
  <conditionalFormatting sqref="F866">
    <cfRule type="expression" dxfId="1451" priority="1437">
      <formula>$D865=""</formula>
    </cfRule>
  </conditionalFormatting>
  <conditionalFormatting sqref="B867:F867 H867:I867">
    <cfRule type="expression" dxfId="1450" priority="1436">
      <formula>$D867=""</formula>
    </cfRule>
  </conditionalFormatting>
  <conditionalFormatting sqref="F868">
    <cfRule type="expression" dxfId="1449" priority="1435">
      <formula>$D867=""</formula>
    </cfRule>
  </conditionalFormatting>
  <conditionalFormatting sqref="B869:F869 H869:I869">
    <cfRule type="expression" dxfId="1448" priority="1434">
      <formula>$D869=""</formula>
    </cfRule>
  </conditionalFormatting>
  <conditionalFormatting sqref="F870">
    <cfRule type="expression" dxfId="1447" priority="1433">
      <formula>$D869=""</formula>
    </cfRule>
  </conditionalFormatting>
  <conditionalFormatting sqref="B871:F871 H871:I871">
    <cfRule type="expression" dxfId="1446" priority="1432">
      <formula>$D871=""</formula>
    </cfRule>
  </conditionalFormatting>
  <conditionalFormatting sqref="F872">
    <cfRule type="expression" dxfId="1445" priority="1431">
      <formula>$D871=""</formula>
    </cfRule>
  </conditionalFormatting>
  <conditionalFormatting sqref="B873:F873 H873:I873">
    <cfRule type="expression" dxfId="1444" priority="1430">
      <formula>$D873=""</formula>
    </cfRule>
  </conditionalFormatting>
  <conditionalFormatting sqref="F874">
    <cfRule type="expression" dxfId="1443" priority="1429">
      <formula>$D873=""</formula>
    </cfRule>
  </conditionalFormatting>
  <conditionalFormatting sqref="B875:F875 H875:I875">
    <cfRule type="expression" dxfId="1442" priority="1428">
      <formula>$D875=""</formula>
    </cfRule>
  </conditionalFormatting>
  <conditionalFormatting sqref="F876">
    <cfRule type="expression" dxfId="1441" priority="1427">
      <formula>$D875=""</formula>
    </cfRule>
  </conditionalFormatting>
  <conditionalFormatting sqref="B877:F877 H877:I877">
    <cfRule type="expression" dxfId="1440" priority="1426">
      <formula>$D877=""</formula>
    </cfRule>
  </conditionalFormatting>
  <conditionalFormatting sqref="F878">
    <cfRule type="expression" dxfId="1439" priority="1425">
      <formula>$D877=""</formula>
    </cfRule>
  </conditionalFormatting>
  <conditionalFormatting sqref="B879:F879 H879:I879">
    <cfRule type="expression" dxfId="1438" priority="1424">
      <formula>$D879=""</formula>
    </cfRule>
  </conditionalFormatting>
  <conditionalFormatting sqref="F880">
    <cfRule type="expression" dxfId="1437" priority="1423">
      <formula>$D879=""</formula>
    </cfRule>
  </conditionalFormatting>
  <conditionalFormatting sqref="B881:F881 H881:I881">
    <cfRule type="expression" dxfId="1436" priority="1422">
      <formula>$D881=""</formula>
    </cfRule>
  </conditionalFormatting>
  <conditionalFormatting sqref="F882">
    <cfRule type="expression" dxfId="1435" priority="1421">
      <formula>$D881=""</formula>
    </cfRule>
  </conditionalFormatting>
  <conditionalFormatting sqref="B883:F883 H883:I883">
    <cfRule type="expression" dxfId="1434" priority="1420">
      <formula>$D883=""</formula>
    </cfRule>
  </conditionalFormatting>
  <conditionalFormatting sqref="F884">
    <cfRule type="expression" dxfId="1433" priority="1419">
      <formula>$D883=""</formula>
    </cfRule>
  </conditionalFormatting>
  <conditionalFormatting sqref="B885:F885 H885:I885">
    <cfRule type="expression" dxfId="1432" priority="1418">
      <formula>$D885=""</formula>
    </cfRule>
  </conditionalFormatting>
  <conditionalFormatting sqref="F886">
    <cfRule type="expression" dxfId="1431" priority="1417">
      <formula>$D885=""</formula>
    </cfRule>
  </conditionalFormatting>
  <conditionalFormatting sqref="B887:F887 H887:I887">
    <cfRule type="expression" dxfId="1430" priority="1416">
      <formula>$D887=""</formula>
    </cfRule>
  </conditionalFormatting>
  <conditionalFormatting sqref="F888">
    <cfRule type="expression" dxfId="1429" priority="1415">
      <formula>$D887=""</formula>
    </cfRule>
  </conditionalFormatting>
  <conditionalFormatting sqref="B889:F889 H889:I889">
    <cfRule type="expression" dxfId="1428" priority="1414">
      <formula>$D889=""</formula>
    </cfRule>
  </conditionalFormatting>
  <conditionalFormatting sqref="F890">
    <cfRule type="expression" dxfId="1427" priority="1413">
      <formula>$D889=""</formula>
    </cfRule>
  </conditionalFormatting>
  <conditionalFormatting sqref="B891:F891 H891:I891">
    <cfRule type="expression" dxfId="1426" priority="1412">
      <formula>$D891=""</formula>
    </cfRule>
  </conditionalFormatting>
  <conditionalFormatting sqref="F892">
    <cfRule type="expression" dxfId="1425" priority="1411">
      <formula>$D891=""</formula>
    </cfRule>
  </conditionalFormatting>
  <conditionalFormatting sqref="B893:F893 H893:I893">
    <cfRule type="expression" dxfId="1424" priority="1410">
      <formula>$D893=""</formula>
    </cfRule>
  </conditionalFormatting>
  <conditionalFormatting sqref="F894">
    <cfRule type="expression" dxfId="1423" priority="1409">
      <formula>$D893=""</formula>
    </cfRule>
  </conditionalFormatting>
  <conditionalFormatting sqref="B895:F895 H895:I895">
    <cfRule type="expression" dxfId="1422" priority="1408">
      <formula>$D895=""</formula>
    </cfRule>
  </conditionalFormatting>
  <conditionalFormatting sqref="F896">
    <cfRule type="expression" dxfId="1421" priority="1407">
      <formula>$D895=""</formula>
    </cfRule>
  </conditionalFormatting>
  <conditionalFormatting sqref="B897:F897 H897:I897">
    <cfRule type="expression" dxfId="1420" priority="1406">
      <formula>$D897=""</formula>
    </cfRule>
  </conditionalFormatting>
  <conditionalFormatting sqref="F898">
    <cfRule type="expression" dxfId="1419" priority="1405">
      <formula>$D897=""</formula>
    </cfRule>
  </conditionalFormatting>
  <conditionalFormatting sqref="B899:F899 H899:I899">
    <cfRule type="expression" dxfId="1418" priority="1404">
      <formula>$D899=""</formula>
    </cfRule>
  </conditionalFormatting>
  <conditionalFormatting sqref="F900">
    <cfRule type="expression" dxfId="1417" priority="1403">
      <formula>$D899=""</formula>
    </cfRule>
  </conditionalFormatting>
  <conditionalFormatting sqref="B901:F901 H901:I901">
    <cfRule type="expression" dxfId="1416" priority="1402">
      <formula>$D901=""</formula>
    </cfRule>
  </conditionalFormatting>
  <conditionalFormatting sqref="F902">
    <cfRule type="expression" dxfId="1415" priority="1401">
      <formula>$D901=""</formula>
    </cfRule>
  </conditionalFormatting>
  <conditionalFormatting sqref="B903:F903 H903:I903">
    <cfRule type="expression" dxfId="1414" priority="1400">
      <formula>$D903=""</formula>
    </cfRule>
  </conditionalFormatting>
  <conditionalFormatting sqref="F904">
    <cfRule type="expression" dxfId="1413" priority="1399">
      <formula>$D903=""</formula>
    </cfRule>
  </conditionalFormatting>
  <conditionalFormatting sqref="B905:F905 H905:I905">
    <cfRule type="expression" dxfId="1412" priority="1398">
      <formula>$D905=""</formula>
    </cfRule>
  </conditionalFormatting>
  <conditionalFormatting sqref="F906">
    <cfRule type="expression" dxfId="1411" priority="1397">
      <formula>$D905=""</formula>
    </cfRule>
  </conditionalFormatting>
  <conditionalFormatting sqref="B907:F907 H907:I907">
    <cfRule type="expression" dxfId="1410" priority="1396">
      <formula>$D907=""</formula>
    </cfRule>
  </conditionalFormatting>
  <conditionalFormatting sqref="F908">
    <cfRule type="expression" dxfId="1409" priority="1395">
      <formula>$D907=""</formula>
    </cfRule>
  </conditionalFormatting>
  <conditionalFormatting sqref="B909:F909 H909:I909">
    <cfRule type="expression" dxfId="1408" priority="1394">
      <formula>$D909=""</formula>
    </cfRule>
  </conditionalFormatting>
  <conditionalFormatting sqref="F910">
    <cfRule type="expression" dxfId="1407" priority="1393">
      <formula>$D909=""</formula>
    </cfRule>
  </conditionalFormatting>
  <conditionalFormatting sqref="B911:F911 H911:I911">
    <cfRule type="expression" dxfId="1406" priority="1392">
      <formula>$D911=""</formula>
    </cfRule>
  </conditionalFormatting>
  <conditionalFormatting sqref="F912">
    <cfRule type="expression" dxfId="1405" priority="1391">
      <formula>$D911=""</formula>
    </cfRule>
  </conditionalFormatting>
  <conditionalFormatting sqref="B913:F913 H913:I913">
    <cfRule type="expression" dxfId="1404" priority="1390">
      <formula>$D913=""</formula>
    </cfRule>
  </conditionalFormatting>
  <conditionalFormatting sqref="F914">
    <cfRule type="expression" dxfId="1403" priority="1389">
      <formula>$D913=""</formula>
    </cfRule>
  </conditionalFormatting>
  <conditionalFormatting sqref="B915:F915 H915:I915">
    <cfRule type="expression" dxfId="1402" priority="1388">
      <formula>$D915=""</formula>
    </cfRule>
  </conditionalFormatting>
  <conditionalFormatting sqref="F916">
    <cfRule type="expression" dxfId="1401" priority="1387">
      <formula>$D915=""</formula>
    </cfRule>
  </conditionalFormatting>
  <conditionalFormatting sqref="B917:F917 H917:I917">
    <cfRule type="expression" dxfId="1400" priority="1386">
      <formula>$D917=""</formula>
    </cfRule>
  </conditionalFormatting>
  <conditionalFormatting sqref="F918">
    <cfRule type="expression" dxfId="1399" priority="1385">
      <formula>$D917=""</formula>
    </cfRule>
  </conditionalFormatting>
  <conditionalFormatting sqref="B919:F919 H919:I919">
    <cfRule type="expression" dxfId="1398" priority="1384">
      <formula>$D919=""</formula>
    </cfRule>
  </conditionalFormatting>
  <conditionalFormatting sqref="F920">
    <cfRule type="expression" dxfId="1397" priority="1383">
      <formula>$D919=""</formula>
    </cfRule>
  </conditionalFormatting>
  <conditionalFormatting sqref="B921:F921 H921:I921">
    <cfRule type="expression" dxfId="1396" priority="1382">
      <formula>$D921=""</formula>
    </cfRule>
  </conditionalFormatting>
  <conditionalFormatting sqref="F922">
    <cfRule type="expression" dxfId="1395" priority="1381">
      <formula>$D921=""</formula>
    </cfRule>
  </conditionalFormatting>
  <conditionalFormatting sqref="B923:F923 H923:I923">
    <cfRule type="expression" dxfId="1394" priority="1380">
      <formula>$D923=""</formula>
    </cfRule>
  </conditionalFormatting>
  <conditionalFormatting sqref="F924">
    <cfRule type="expression" dxfId="1393" priority="1379">
      <formula>$D923=""</formula>
    </cfRule>
  </conditionalFormatting>
  <conditionalFormatting sqref="B925:F925 H925:I925">
    <cfRule type="expression" dxfId="1392" priority="1378">
      <formula>$D925=""</formula>
    </cfRule>
  </conditionalFormatting>
  <conditionalFormatting sqref="F926">
    <cfRule type="expression" dxfId="1391" priority="1377">
      <formula>$D925=""</formula>
    </cfRule>
  </conditionalFormatting>
  <conditionalFormatting sqref="B927:F927 H927:I927">
    <cfRule type="expression" dxfId="1390" priority="1376">
      <formula>$D927=""</formula>
    </cfRule>
  </conditionalFormatting>
  <conditionalFormatting sqref="F928">
    <cfRule type="expression" dxfId="1389" priority="1375">
      <formula>$D927=""</formula>
    </cfRule>
  </conditionalFormatting>
  <conditionalFormatting sqref="B929:F929 H929:I929">
    <cfRule type="expression" dxfId="1388" priority="1374">
      <formula>$D929=""</formula>
    </cfRule>
  </conditionalFormatting>
  <conditionalFormatting sqref="F930">
    <cfRule type="expression" dxfId="1387" priority="1373">
      <formula>$D929=""</formula>
    </cfRule>
  </conditionalFormatting>
  <conditionalFormatting sqref="B931:F931 H931:I931">
    <cfRule type="expression" dxfId="1386" priority="1372">
      <formula>$D931=""</formula>
    </cfRule>
  </conditionalFormatting>
  <conditionalFormatting sqref="F932">
    <cfRule type="expression" dxfId="1385" priority="1371">
      <formula>$D931=""</formula>
    </cfRule>
  </conditionalFormatting>
  <conditionalFormatting sqref="B933:F933 H933:I933">
    <cfRule type="expression" dxfId="1384" priority="1370">
      <formula>$D933=""</formula>
    </cfRule>
  </conditionalFormatting>
  <conditionalFormatting sqref="F934">
    <cfRule type="expression" dxfId="1383" priority="1369">
      <formula>$D933=""</formula>
    </cfRule>
  </conditionalFormatting>
  <conditionalFormatting sqref="B935:F935 H935:I935">
    <cfRule type="expression" dxfId="1382" priority="1368">
      <formula>$D935=""</formula>
    </cfRule>
  </conditionalFormatting>
  <conditionalFormatting sqref="F936">
    <cfRule type="expression" dxfId="1381" priority="1367">
      <formula>$D935=""</formula>
    </cfRule>
  </conditionalFormatting>
  <conditionalFormatting sqref="B937:F937 H937:I937">
    <cfRule type="expression" dxfId="1380" priority="1366">
      <formula>$D937=""</formula>
    </cfRule>
  </conditionalFormatting>
  <conditionalFormatting sqref="F938">
    <cfRule type="expression" dxfId="1379" priority="1365">
      <formula>$D937=""</formula>
    </cfRule>
  </conditionalFormatting>
  <conditionalFormatting sqref="B939:F939 H939:I939">
    <cfRule type="expression" dxfId="1378" priority="1364">
      <formula>$D939=""</formula>
    </cfRule>
  </conditionalFormatting>
  <conditionalFormatting sqref="F940">
    <cfRule type="expression" dxfId="1377" priority="1363">
      <formula>$D939=""</formula>
    </cfRule>
  </conditionalFormatting>
  <conditionalFormatting sqref="B941:F941 H941:I941">
    <cfRule type="expression" dxfId="1376" priority="1362">
      <formula>$D941=""</formula>
    </cfRule>
  </conditionalFormatting>
  <conditionalFormatting sqref="F942">
    <cfRule type="expression" dxfId="1375" priority="1361">
      <formula>$D941=""</formula>
    </cfRule>
  </conditionalFormatting>
  <conditionalFormatting sqref="B943:F943 H943:I943">
    <cfRule type="expression" dxfId="1374" priority="1360">
      <formula>$D943=""</formula>
    </cfRule>
  </conditionalFormatting>
  <conditionalFormatting sqref="F944">
    <cfRule type="expression" dxfId="1373" priority="1359">
      <formula>$D943=""</formula>
    </cfRule>
  </conditionalFormatting>
  <conditionalFormatting sqref="B945:F945 H945:I945">
    <cfRule type="expression" dxfId="1372" priority="1358">
      <formula>$D945=""</formula>
    </cfRule>
  </conditionalFormatting>
  <conditionalFormatting sqref="F946">
    <cfRule type="expression" dxfId="1371" priority="1357">
      <formula>$D945=""</formula>
    </cfRule>
  </conditionalFormatting>
  <conditionalFormatting sqref="B947:F947 H947:I947">
    <cfRule type="expression" dxfId="1370" priority="1356">
      <formula>$D947=""</formula>
    </cfRule>
  </conditionalFormatting>
  <conditionalFormatting sqref="F948">
    <cfRule type="expression" dxfId="1369" priority="1355">
      <formula>$D947=""</formula>
    </cfRule>
  </conditionalFormatting>
  <conditionalFormatting sqref="B949:F949 H949:I949">
    <cfRule type="expression" dxfId="1368" priority="1354">
      <formula>$D949=""</formula>
    </cfRule>
  </conditionalFormatting>
  <conditionalFormatting sqref="F950">
    <cfRule type="expression" dxfId="1367" priority="1353">
      <formula>$D949=""</formula>
    </cfRule>
  </conditionalFormatting>
  <conditionalFormatting sqref="B951:F951 H951:I951">
    <cfRule type="expression" dxfId="1366" priority="1352">
      <formula>$D951=""</formula>
    </cfRule>
  </conditionalFormatting>
  <conditionalFormatting sqref="F952">
    <cfRule type="expression" dxfId="1365" priority="1351">
      <formula>$D951=""</formula>
    </cfRule>
  </conditionalFormatting>
  <conditionalFormatting sqref="B953:F953 H953:I953">
    <cfRule type="expression" dxfId="1364" priority="1350">
      <formula>$D953=""</formula>
    </cfRule>
  </conditionalFormatting>
  <conditionalFormatting sqref="F954">
    <cfRule type="expression" dxfId="1363" priority="1349">
      <formula>$D953=""</formula>
    </cfRule>
  </conditionalFormatting>
  <conditionalFormatting sqref="B955:F955 H955:I955">
    <cfRule type="expression" dxfId="1362" priority="1348">
      <formula>$D955=""</formula>
    </cfRule>
  </conditionalFormatting>
  <conditionalFormatting sqref="F956">
    <cfRule type="expression" dxfId="1361" priority="1347">
      <formula>$D955=""</formula>
    </cfRule>
  </conditionalFormatting>
  <conditionalFormatting sqref="B957:F957 H957:I957">
    <cfRule type="expression" dxfId="1360" priority="1346">
      <formula>$D957=""</formula>
    </cfRule>
  </conditionalFormatting>
  <conditionalFormatting sqref="F958">
    <cfRule type="expression" dxfId="1359" priority="1345">
      <formula>$D957=""</formula>
    </cfRule>
  </conditionalFormatting>
  <conditionalFormatting sqref="B959:F959 H959:I959">
    <cfRule type="expression" dxfId="1358" priority="1344">
      <formula>$D959=""</formula>
    </cfRule>
  </conditionalFormatting>
  <conditionalFormatting sqref="F960">
    <cfRule type="expression" dxfId="1357" priority="1343">
      <formula>$D959=""</formula>
    </cfRule>
  </conditionalFormatting>
  <conditionalFormatting sqref="B961:F961 H961:I961">
    <cfRule type="expression" dxfId="1356" priority="1342">
      <formula>$D961=""</formula>
    </cfRule>
  </conditionalFormatting>
  <conditionalFormatting sqref="F962">
    <cfRule type="expression" dxfId="1355" priority="1341">
      <formula>$D961=""</formula>
    </cfRule>
  </conditionalFormatting>
  <conditionalFormatting sqref="B963:F963 H963:I963">
    <cfRule type="expression" dxfId="1354" priority="1340">
      <formula>$D963=""</formula>
    </cfRule>
  </conditionalFormatting>
  <conditionalFormatting sqref="F964">
    <cfRule type="expression" dxfId="1353" priority="1339">
      <formula>$D963=""</formula>
    </cfRule>
  </conditionalFormatting>
  <conditionalFormatting sqref="B965:F965 H965:I965">
    <cfRule type="expression" dxfId="1352" priority="1338">
      <formula>$D965=""</formula>
    </cfRule>
  </conditionalFormatting>
  <conditionalFormatting sqref="F966">
    <cfRule type="expression" dxfId="1351" priority="1337">
      <formula>$D965=""</formula>
    </cfRule>
  </conditionalFormatting>
  <conditionalFormatting sqref="B967:F967 H967:I967">
    <cfRule type="expression" dxfId="1350" priority="1336">
      <formula>$D967=""</formula>
    </cfRule>
  </conditionalFormatting>
  <conditionalFormatting sqref="F968">
    <cfRule type="expression" dxfId="1349" priority="1335">
      <formula>$D967=""</formula>
    </cfRule>
  </conditionalFormatting>
  <conditionalFormatting sqref="B969:F969 H969:I969">
    <cfRule type="expression" dxfId="1348" priority="1334">
      <formula>$D969=""</formula>
    </cfRule>
  </conditionalFormatting>
  <conditionalFormatting sqref="F970">
    <cfRule type="expression" dxfId="1347" priority="1333">
      <formula>$D969=""</formula>
    </cfRule>
  </conditionalFormatting>
  <conditionalFormatting sqref="B971:F971 H971:I971">
    <cfRule type="expression" dxfId="1346" priority="1332">
      <formula>$D971=""</formula>
    </cfRule>
  </conditionalFormatting>
  <conditionalFormatting sqref="F972">
    <cfRule type="expression" dxfId="1345" priority="1331">
      <formula>$D971=""</formula>
    </cfRule>
  </conditionalFormatting>
  <conditionalFormatting sqref="B973:F973 H973:I973">
    <cfRule type="expression" dxfId="1344" priority="1330">
      <formula>$D973=""</formula>
    </cfRule>
  </conditionalFormatting>
  <conditionalFormatting sqref="F974">
    <cfRule type="expression" dxfId="1343" priority="1329">
      <formula>$D973=""</formula>
    </cfRule>
  </conditionalFormatting>
  <conditionalFormatting sqref="B975:F975 H975:I975">
    <cfRule type="expression" dxfId="1342" priority="1328">
      <formula>$D975=""</formula>
    </cfRule>
  </conditionalFormatting>
  <conditionalFormatting sqref="F976">
    <cfRule type="expression" dxfId="1341" priority="1327">
      <formula>$D975=""</formula>
    </cfRule>
  </conditionalFormatting>
  <conditionalFormatting sqref="B977:F977 H977:I977">
    <cfRule type="expression" dxfId="1340" priority="1326">
      <formula>$D977=""</formula>
    </cfRule>
  </conditionalFormatting>
  <conditionalFormatting sqref="F978">
    <cfRule type="expression" dxfId="1339" priority="1325">
      <formula>$D977=""</formula>
    </cfRule>
  </conditionalFormatting>
  <conditionalFormatting sqref="B979:F979 H979:I979">
    <cfRule type="expression" dxfId="1338" priority="1324">
      <formula>$D979=""</formula>
    </cfRule>
  </conditionalFormatting>
  <conditionalFormatting sqref="F980">
    <cfRule type="expression" dxfId="1337" priority="1323">
      <formula>$D979=""</formula>
    </cfRule>
  </conditionalFormatting>
  <conditionalFormatting sqref="B981:F981 H981:I981">
    <cfRule type="expression" dxfId="1336" priority="1322">
      <formula>$D981=""</formula>
    </cfRule>
  </conditionalFormatting>
  <conditionalFormatting sqref="F982">
    <cfRule type="expression" dxfId="1335" priority="1321">
      <formula>$D981=""</formula>
    </cfRule>
  </conditionalFormatting>
  <conditionalFormatting sqref="B983:F983 H983:I983">
    <cfRule type="expression" dxfId="1334" priority="1320">
      <formula>$D983=""</formula>
    </cfRule>
  </conditionalFormatting>
  <conditionalFormatting sqref="F984">
    <cfRule type="expression" dxfId="1333" priority="1319">
      <formula>$D983=""</formula>
    </cfRule>
  </conditionalFormatting>
  <conditionalFormatting sqref="B985:F985 H985:I985">
    <cfRule type="expression" dxfId="1332" priority="1318">
      <formula>$D985=""</formula>
    </cfRule>
  </conditionalFormatting>
  <conditionalFormatting sqref="F986">
    <cfRule type="expression" dxfId="1331" priority="1317">
      <formula>$D985=""</formula>
    </cfRule>
  </conditionalFormatting>
  <conditionalFormatting sqref="B987:F987 H987:I987">
    <cfRule type="expression" dxfId="1330" priority="1316">
      <formula>$D987=""</formula>
    </cfRule>
  </conditionalFormatting>
  <conditionalFormatting sqref="F988">
    <cfRule type="expression" dxfId="1329" priority="1315">
      <formula>$D987=""</formula>
    </cfRule>
  </conditionalFormatting>
  <conditionalFormatting sqref="B989:F989 H989:I989">
    <cfRule type="expression" dxfId="1328" priority="1314">
      <formula>$D989=""</formula>
    </cfRule>
  </conditionalFormatting>
  <conditionalFormatting sqref="F990">
    <cfRule type="expression" dxfId="1327" priority="1313">
      <formula>$D989=""</formula>
    </cfRule>
  </conditionalFormatting>
  <conditionalFormatting sqref="B991:F991 H991:I991">
    <cfRule type="expression" dxfId="1326" priority="1312">
      <formula>$D991=""</formula>
    </cfRule>
  </conditionalFormatting>
  <conditionalFormatting sqref="F992">
    <cfRule type="expression" dxfId="1325" priority="1311">
      <formula>$D991=""</formula>
    </cfRule>
  </conditionalFormatting>
  <conditionalFormatting sqref="B993:F993 H993:I993">
    <cfRule type="expression" dxfId="1324" priority="1310">
      <formula>$D993=""</formula>
    </cfRule>
  </conditionalFormatting>
  <conditionalFormatting sqref="F994">
    <cfRule type="expression" dxfId="1323" priority="1309">
      <formula>$D993=""</formula>
    </cfRule>
  </conditionalFormatting>
  <conditionalFormatting sqref="B995:F995 H995:I995">
    <cfRule type="expression" dxfId="1322" priority="1308">
      <formula>$D995=""</formula>
    </cfRule>
  </conditionalFormatting>
  <conditionalFormatting sqref="F996">
    <cfRule type="expression" dxfId="1321" priority="1307">
      <formula>$D995=""</formula>
    </cfRule>
  </conditionalFormatting>
  <conditionalFormatting sqref="B997:F997 H997:I997">
    <cfRule type="expression" dxfId="1320" priority="1306">
      <formula>$D997=""</formula>
    </cfRule>
  </conditionalFormatting>
  <conditionalFormatting sqref="F998">
    <cfRule type="expression" dxfId="1319" priority="1305">
      <formula>$D997=""</formula>
    </cfRule>
  </conditionalFormatting>
  <conditionalFormatting sqref="B999:F999 H999:I999">
    <cfRule type="expression" dxfId="1318" priority="1304">
      <formula>$D999=""</formula>
    </cfRule>
  </conditionalFormatting>
  <conditionalFormatting sqref="F1000">
    <cfRule type="expression" dxfId="1317" priority="1303">
      <formula>$D999=""</formula>
    </cfRule>
  </conditionalFormatting>
  <conditionalFormatting sqref="B1001:F1001 H1001:I1001">
    <cfRule type="expression" dxfId="1316" priority="1302">
      <formula>$D1001=""</formula>
    </cfRule>
  </conditionalFormatting>
  <conditionalFormatting sqref="F1002">
    <cfRule type="expression" dxfId="1315" priority="1301">
      <formula>$D1001=""</formula>
    </cfRule>
  </conditionalFormatting>
  <conditionalFormatting sqref="B1003:F1003 H1003:I1003">
    <cfRule type="expression" dxfId="1314" priority="1300">
      <formula>$D1003=""</formula>
    </cfRule>
  </conditionalFormatting>
  <conditionalFormatting sqref="F1004">
    <cfRule type="expression" dxfId="1313" priority="1299">
      <formula>$D1003=""</formula>
    </cfRule>
  </conditionalFormatting>
  <conditionalFormatting sqref="B1005:F1005 H1005:I1005">
    <cfRule type="expression" dxfId="1312" priority="1298">
      <formula>$D1005=""</formula>
    </cfRule>
  </conditionalFormatting>
  <conditionalFormatting sqref="F1006">
    <cfRule type="expression" dxfId="1311" priority="1297">
      <formula>$D1005=""</formula>
    </cfRule>
  </conditionalFormatting>
  <conditionalFormatting sqref="B1007:F1007 H1007:I1007">
    <cfRule type="expression" dxfId="1310" priority="1296">
      <formula>$D1007=""</formula>
    </cfRule>
  </conditionalFormatting>
  <conditionalFormatting sqref="F1008">
    <cfRule type="expression" dxfId="1309" priority="1295">
      <formula>$D1007=""</formula>
    </cfRule>
  </conditionalFormatting>
  <conditionalFormatting sqref="B1009:F1009 H1009:I1009">
    <cfRule type="expression" dxfId="1308" priority="1294">
      <formula>$D1009=""</formula>
    </cfRule>
  </conditionalFormatting>
  <conditionalFormatting sqref="F1010">
    <cfRule type="expression" dxfId="1307" priority="1293">
      <formula>$D1009=""</formula>
    </cfRule>
  </conditionalFormatting>
  <conditionalFormatting sqref="B1011:F1011 H1011:I1011">
    <cfRule type="expression" dxfId="1306" priority="1292">
      <formula>$D1011=""</formula>
    </cfRule>
  </conditionalFormatting>
  <conditionalFormatting sqref="F1012">
    <cfRule type="expression" dxfId="1305" priority="1291">
      <formula>$D1011=""</formula>
    </cfRule>
  </conditionalFormatting>
  <conditionalFormatting sqref="B1013:F1013 H1013:I1013">
    <cfRule type="expression" dxfId="1304" priority="1290">
      <formula>$D1013=""</formula>
    </cfRule>
  </conditionalFormatting>
  <conditionalFormatting sqref="F1014">
    <cfRule type="expression" dxfId="1303" priority="1289">
      <formula>$D1013=""</formula>
    </cfRule>
  </conditionalFormatting>
  <conditionalFormatting sqref="B1015:F1015 H1015:I1015">
    <cfRule type="expression" dxfId="1302" priority="1288">
      <formula>$D1015=""</formula>
    </cfRule>
  </conditionalFormatting>
  <conditionalFormatting sqref="F1016">
    <cfRule type="expression" dxfId="1301" priority="1287">
      <formula>$D1015=""</formula>
    </cfRule>
  </conditionalFormatting>
  <conditionalFormatting sqref="B1017:F1017 H1017:I1017">
    <cfRule type="expression" dxfId="1300" priority="1286">
      <formula>$D1017=""</formula>
    </cfRule>
  </conditionalFormatting>
  <conditionalFormatting sqref="F1018">
    <cfRule type="expression" dxfId="1299" priority="1285">
      <formula>$D1017=""</formula>
    </cfRule>
  </conditionalFormatting>
  <conditionalFormatting sqref="B1019:F1019 H1019:I1019">
    <cfRule type="expression" dxfId="1298" priority="1284">
      <formula>$D1019=""</formula>
    </cfRule>
  </conditionalFormatting>
  <conditionalFormatting sqref="F1020">
    <cfRule type="expression" dxfId="1297" priority="1283">
      <formula>$D1019=""</formula>
    </cfRule>
  </conditionalFormatting>
  <conditionalFormatting sqref="B1021:F1021 H1021:I1021">
    <cfRule type="expression" dxfId="1296" priority="1282">
      <formula>$D1021=""</formula>
    </cfRule>
  </conditionalFormatting>
  <conditionalFormatting sqref="F1022">
    <cfRule type="expression" dxfId="1295" priority="1281">
      <formula>$D1021=""</formula>
    </cfRule>
  </conditionalFormatting>
  <conditionalFormatting sqref="B1023:F1023 H1023:I1023">
    <cfRule type="expression" dxfId="1294" priority="1280">
      <formula>$D1023=""</formula>
    </cfRule>
  </conditionalFormatting>
  <conditionalFormatting sqref="F1024">
    <cfRule type="expression" dxfId="1293" priority="1279">
      <formula>$D1023=""</formula>
    </cfRule>
  </conditionalFormatting>
  <conditionalFormatting sqref="B1025:F1025 H1025:I1025">
    <cfRule type="expression" dxfId="1292" priority="1278">
      <formula>$D1025=""</formula>
    </cfRule>
  </conditionalFormatting>
  <conditionalFormatting sqref="F1026">
    <cfRule type="expression" dxfId="1291" priority="1277">
      <formula>$D1025=""</formula>
    </cfRule>
  </conditionalFormatting>
  <conditionalFormatting sqref="B1027:F1027 H1027:I1027">
    <cfRule type="expression" dxfId="1290" priority="1276">
      <formula>$D1027=""</formula>
    </cfRule>
  </conditionalFormatting>
  <conditionalFormatting sqref="F1028">
    <cfRule type="expression" dxfId="1289" priority="1275">
      <formula>$D1027=""</formula>
    </cfRule>
  </conditionalFormatting>
  <conditionalFormatting sqref="B1029:F1029 H1029:I1029">
    <cfRule type="expression" dxfId="1288" priority="1274">
      <formula>$D1029=""</formula>
    </cfRule>
  </conditionalFormatting>
  <conditionalFormatting sqref="F1030">
    <cfRule type="expression" dxfId="1287" priority="1273">
      <formula>$D1029=""</formula>
    </cfRule>
  </conditionalFormatting>
  <conditionalFormatting sqref="B1031:F1031 H1031:I1031">
    <cfRule type="expression" dxfId="1286" priority="1272">
      <formula>$D1031=""</formula>
    </cfRule>
  </conditionalFormatting>
  <conditionalFormatting sqref="F1032">
    <cfRule type="expression" dxfId="1285" priority="1271">
      <formula>$D1031=""</formula>
    </cfRule>
  </conditionalFormatting>
  <conditionalFormatting sqref="B1033:F1033 H1033:I1033">
    <cfRule type="expression" dxfId="1284" priority="1270">
      <formula>$D1033=""</formula>
    </cfRule>
  </conditionalFormatting>
  <conditionalFormatting sqref="F1034">
    <cfRule type="expression" dxfId="1283" priority="1269">
      <formula>$D1033=""</formula>
    </cfRule>
  </conditionalFormatting>
  <conditionalFormatting sqref="B1035:F1035 H1035:I1035">
    <cfRule type="expression" dxfId="1282" priority="1268">
      <formula>$D1035=""</formula>
    </cfRule>
  </conditionalFormatting>
  <conditionalFormatting sqref="F1036">
    <cfRule type="expression" dxfId="1281" priority="1267">
      <formula>$D1035=""</formula>
    </cfRule>
  </conditionalFormatting>
  <conditionalFormatting sqref="B1037:F1037 H1037:I1037">
    <cfRule type="expression" dxfId="1280" priority="1266">
      <formula>$D1037=""</formula>
    </cfRule>
  </conditionalFormatting>
  <conditionalFormatting sqref="F1038">
    <cfRule type="expression" dxfId="1279" priority="1265">
      <formula>$D1037=""</formula>
    </cfRule>
  </conditionalFormatting>
  <conditionalFormatting sqref="B1039:F1039 H1039:I1039">
    <cfRule type="expression" dxfId="1278" priority="1264">
      <formula>$D1039=""</formula>
    </cfRule>
  </conditionalFormatting>
  <conditionalFormatting sqref="F1040">
    <cfRule type="expression" dxfId="1277" priority="1263">
      <formula>$D1039=""</formula>
    </cfRule>
  </conditionalFormatting>
  <conditionalFormatting sqref="B1041:F1041 H1041:I1041">
    <cfRule type="expression" dxfId="1276" priority="1262">
      <formula>$D1041=""</formula>
    </cfRule>
  </conditionalFormatting>
  <conditionalFormatting sqref="F1042">
    <cfRule type="expression" dxfId="1275" priority="1261">
      <formula>$D1041=""</formula>
    </cfRule>
  </conditionalFormatting>
  <conditionalFormatting sqref="B1043:F1043 H1043:I1043">
    <cfRule type="expression" dxfId="1274" priority="1260">
      <formula>$D1043=""</formula>
    </cfRule>
  </conditionalFormatting>
  <conditionalFormatting sqref="F1044">
    <cfRule type="expression" dxfId="1273" priority="1259">
      <formula>$D1043=""</formula>
    </cfRule>
  </conditionalFormatting>
  <conditionalFormatting sqref="B1045:F1045 H1045:I1045">
    <cfRule type="expression" dxfId="1272" priority="1258">
      <formula>$D1045=""</formula>
    </cfRule>
  </conditionalFormatting>
  <conditionalFormatting sqref="F1046">
    <cfRule type="expression" dxfId="1271" priority="1257">
      <formula>$D1045=""</formula>
    </cfRule>
  </conditionalFormatting>
  <conditionalFormatting sqref="B1047:F1047 H1047:I1047">
    <cfRule type="expression" dxfId="1270" priority="1256">
      <formula>$D1047=""</formula>
    </cfRule>
  </conditionalFormatting>
  <conditionalFormatting sqref="F1048">
    <cfRule type="expression" dxfId="1269" priority="1255">
      <formula>$D1047=""</formula>
    </cfRule>
  </conditionalFormatting>
  <conditionalFormatting sqref="B1049:F1049 H1049:I1049">
    <cfRule type="expression" dxfId="1268" priority="1254">
      <formula>$D1049=""</formula>
    </cfRule>
  </conditionalFormatting>
  <conditionalFormatting sqref="F1050">
    <cfRule type="expression" dxfId="1267" priority="1253">
      <formula>$D1049=""</formula>
    </cfRule>
  </conditionalFormatting>
  <conditionalFormatting sqref="B1051:F1051 H1051:I1051">
    <cfRule type="expression" dxfId="1266" priority="1252">
      <formula>$D1051=""</formula>
    </cfRule>
  </conditionalFormatting>
  <conditionalFormatting sqref="F1052">
    <cfRule type="expression" dxfId="1265" priority="1251">
      <formula>$D1051=""</formula>
    </cfRule>
  </conditionalFormatting>
  <conditionalFormatting sqref="B1053:F1053 H1053:I1053">
    <cfRule type="expression" dxfId="1264" priority="1250">
      <formula>$D1053=""</formula>
    </cfRule>
  </conditionalFormatting>
  <conditionalFormatting sqref="F1054">
    <cfRule type="expression" dxfId="1263" priority="1249">
      <formula>$D1053=""</formula>
    </cfRule>
  </conditionalFormatting>
  <conditionalFormatting sqref="B1055:F1055 H1055:I1055">
    <cfRule type="expression" dxfId="1262" priority="1248">
      <formula>$D1055=""</formula>
    </cfRule>
  </conditionalFormatting>
  <conditionalFormatting sqref="F1056">
    <cfRule type="expression" dxfId="1261" priority="1247">
      <formula>$D1055=""</formula>
    </cfRule>
  </conditionalFormatting>
  <conditionalFormatting sqref="B1057:F1057 H1057:I1057">
    <cfRule type="expression" dxfId="1260" priority="1246">
      <formula>$D1057=""</formula>
    </cfRule>
  </conditionalFormatting>
  <conditionalFormatting sqref="F1058">
    <cfRule type="expression" dxfId="1259" priority="1245">
      <formula>$D1057=""</formula>
    </cfRule>
  </conditionalFormatting>
  <conditionalFormatting sqref="B1059:F1059 H1059:I1059">
    <cfRule type="expression" dxfId="1258" priority="1244">
      <formula>$D1059=""</formula>
    </cfRule>
  </conditionalFormatting>
  <conditionalFormatting sqref="F1060">
    <cfRule type="expression" dxfId="1257" priority="1243">
      <formula>$D1059=""</formula>
    </cfRule>
  </conditionalFormatting>
  <conditionalFormatting sqref="B1061:F1061 H1061:I1061">
    <cfRule type="expression" dxfId="1256" priority="1242">
      <formula>$D1061=""</formula>
    </cfRule>
  </conditionalFormatting>
  <conditionalFormatting sqref="F1062">
    <cfRule type="expression" dxfId="1255" priority="1241">
      <formula>$D1061=""</formula>
    </cfRule>
  </conditionalFormatting>
  <conditionalFormatting sqref="B1063:F1063 H1063:I1063">
    <cfRule type="expression" dxfId="1254" priority="1240">
      <formula>$D1063=""</formula>
    </cfRule>
  </conditionalFormatting>
  <conditionalFormatting sqref="F1064">
    <cfRule type="expression" dxfId="1253" priority="1239">
      <formula>$D1063=""</formula>
    </cfRule>
  </conditionalFormatting>
  <conditionalFormatting sqref="B1065:F1065 H1065:I1065">
    <cfRule type="expression" dxfId="1252" priority="1238">
      <formula>$D1065=""</formula>
    </cfRule>
  </conditionalFormatting>
  <conditionalFormatting sqref="F1066">
    <cfRule type="expression" dxfId="1251" priority="1237">
      <formula>$D1065=""</formula>
    </cfRule>
  </conditionalFormatting>
  <conditionalFormatting sqref="B1067:F1067 H1067:I1067">
    <cfRule type="expression" dxfId="1250" priority="1236">
      <formula>$D1067=""</formula>
    </cfRule>
  </conditionalFormatting>
  <conditionalFormatting sqref="F1068">
    <cfRule type="expression" dxfId="1249" priority="1235">
      <formula>$D1067=""</formula>
    </cfRule>
  </conditionalFormatting>
  <conditionalFormatting sqref="B1069:F1069 H1069:I1069">
    <cfRule type="expression" dxfId="1248" priority="1234">
      <formula>$D1069=""</formula>
    </cfRule>
  </conditionalFormatting>
  <conditionalFormatting sqref="F1070">
    <cfRule type="expression" dxfId="1247" priority="1233">
      <formula>$D1069=""</formula>
    </cfRule>
  </conditionalFormatting>
  <conditionalFormatting sqref="B1071:F1071 H1071:I1071">
    <cfRule type="expression" dxfId="1246" priority="1232">
      <formula>$D1071=""</formula>
    </cfRule>
  </conditionalFormatting>
  <conditionalFormatting sqref="F1072">
    <cfRule type="expression" dxfId="1245" priority="1231">
      <formula>$D1071=""</formula>
    </cfRule>
  </conditionalFormatting>
  <conditionalFormatting sqref="B1073:F1073 H1073:I1073">
    <cfRule type="expression" dxfId="1244" priority="1230">
      <formula>$D1073=""</formula>
    </cfRule>
  </conditionalFormatting>
  <conditionalFormatting sqref="F1074">
    <cfRule type="expression" dxfId="1243" priority="1229">
      <formula>$D1073=""</formula>
    </cfRule>
  </conditionalFormatting>
  <conditionalFormatting sqref="B1075:F1075 H1075:I1075">
    <cfRule type="expression" dxfId="1242" priority="1228">
      <formula>$D1075=""</formula>
    </cfRule>
  </conditionalFormatting>
  <conditionalFormatting sqref="F1076">
    <cfRule type="expression" dxfId="1241" priority="1227">
      <formula>$D1075=""</formula>
    </cfRule>
  </conditionalFormatting>
  <conditionalFormatting sqref="B1077:F1077 H1077:I1077">
    <cfRule type="expression" dxfId="1240" priority="1226">
      <formula>$D1077=""</formula>
    </cfRule>
  </conditionalFormatting>
  <conditionalFormatting sqref="F1078">
    <cfRule type="expression" dxfId="1239" priority="1225">
      <formula>$D1077=""</formula>
    </cfRule>
  </conditionalFormatting>
  <conditionalFormatting sqref="B1079:F1079 H1079:I1079">
    <cfRule type="expression" dxfId="1238" priority="1224">
      <formula>$D1079=""</formula>
    </cfRule>
  </conditionalFormatting>
  <conditionalFormatting sqref="F1080">
    <cfRule type="expression" dxfId="1237" priority="1223">
      <formula>$D1079=""</formula>
    </cfRule>
  </conditionalFormatting>
  <conditionalFormatting sqref="B1081:F1081 H1081:I1081">
    <cfRule type="expression" dxfId="1236" priority="1222">
      <formula>$D1081=""</formula>
    </cfRule>
  </conditionalFormatting>
  <conditionalFormatting sqref="F1082">
    <cfRule type="expression" dxfId="1235" priority="1221">
      <formula>$D1081=""</formula>
    </cfRule>
  </conditionalFormatting>
  <conditionalFormatting sqref="B1083:F1083 H1083:I1083">
    <cfRule type="expression" dxfId="1234" priority="1220">
      <formula>$D1083=""</formula>
    </cfRule>
  </conditionalFormatting>
  <conditionalFormatting sqref="F1084">
    <cfRule type="expression" dxfId="1233" priority="1219">
      <formula>$D1083=""</formula>
    </cfRule>
  </conditionalFormatting>
  <conditionalFormatting sqref="B1085:F1085 H1085:I1085">
    <cfRule type="expression" dxfId="1232" priority="1218">
      <formula>$D1085=""</formula>
    </cfRule>
  </conditionalFormatting>
  <conditionalFormatting sqref="F1086">
    <cfRule type="expression" dxfId="1231" priority="1217">
      <formula>$D1085=""</formula>
    </cfRule>
  </conditionalFormatting>
  <conditionalFormatting sqref="B1087:F1087 H1087:I1087">
    <cfRule type="expression" dxfId="1230" priority="1216">
      <formula>$D1087=""</formula>
    </cfRule>
  </conditionalFormatting>
  <conditionalFormatting sqref="F1088">
    <cfRule type="expression" dxfId="1229" priority="1215">
      <formula>$D1087=""</formula>
    </cfRule>
  </conditionalFormatting>
  <conditionalFormatting sqref="B1089:F1089 H1089:I1089">
    <cfRule type="expression" dxfId="1228" priority="1214">
      <formula>$D1089=""</formula>
    </cfRule>
  </conditionalFormatting>
  <conditionalFormatting sqref="F1090">
    <cfRule type="expression" dxfId="1227" priority="1213">
      <formula>$D1089=""</formula>
    </cfRule>
  </conditionalFormatting>
  <conditionalFormatting sqref="B1091:F1091 H1091:I1091">
    <cfRule type="expression" dxfId="1226" priority="1212">
      <formula>$D1091=""</formula>
    </cfRule>
  </conditionalFormatting>
  <conditionalFormatting sqref="F1092">
    <cfRule type="expression" dxfId="1225" priority="1211">
      <formula>$D1091=""</formula>
    </cfRule>
  </conditionalFormatting>
  <conditionalFormatting sqref="B1093:F1093 H1093:I1093">
    <cfRule type="expression" dxfId="1224" priority="1210">
      <formula>$D1093=""</formula>
    </cfRule>
  </conditionalFormatting>
  <conditionalFormatting sqref="F1094">
    <cfRule type="expression" dxfId="1223" priority="1209">
      <formula>$D1093=""</formula>
    </cfRule>
  </conditionalFormatting>
  <conditionalFormatting sqref="B1095:F1095 H1095:I1095">
    <cfRule type="expression" dxfId="1222" priority="1208">
      <formula>$D1095=""</formula>
    </cfRule>
  </conditionalFormatting>
  <conditionalFormatting sqref="F1096">
    <cfRule type="expression" dxfId="1221" priority="1207">
      <formula>$D1095=""</formula>
    </cfRule>
  </conditionalFormatting>
  <conditionalFormatting sqref="B1097:F1097 H1097:I1097">
    <cfRule type="expression" dxfId="1220" priority="1206">
      <formula>$D1097=""</formula>
    </cfRule>
  </conditionalFormatting>
  <conditionalFormatting sqref="F1098">
    <cfRule type="expression" dxfId="1219" priority="1205">
      <formula>$D1097=""</formula>
    </cfRule>
  </conditionalFormatting>
  <conditionalFormatting sqref="B1099:F1099 H1099:I1099">
    <cfRule type="expression" dxfId="1218" priority="1204">
      <formula>$D1099=""</formula>
    </cfRule>
  </conditionalFormatting>
  <conditionalFormatting sqref="F1100">
    <cfRule type="expression" dxfId="1217" priority="1203">
      <formula>$D1099=""</formula>
    </cfRule>
  </conditionalFormatting>
  <conditionalFormatting sqref="B1101:F1101 H1101:I1101">
    <cfRule type="expression" dxfId="1216" priority="1202">
      <formula>$D1101=""</formula>
    </cfRule>
  </conditionalFormatting>
  <conditionalFormatting sqref="F1102">
    <cfRule type="expression" dxfId="1215" priority="1201">
      <formula>$D1101=""</formula>
    </cfRule>
  </conditionalFormatting>
  <conditionalFormatting sqref="B1103:F1103 H1103:I1103">
    <cfRule type="expression" dxfId="1214" priority="1200">
      <formula>$D1103=""</formula>
    </cfRule>
  </conditionalFormatting>
  <conditionalFormatting sqref="F1104">
    <cfRule type="expression" dxfId="1213" priority="1199">
      <formula>$D1103=""</formula>
    </cfRule>
  </conditionalFormatting>
  <conditionalFormatting sqref="B1105:F1105 H1105:I1105">
    <cfRule type="expression" dxfId="1212" priority="1198">
      <formula>$D1105=""</formula>
    </cfRule>
  </conditionalFormatting>
  <conditionalFormatting sqref="F1106">
    <cfRule type="expression" dxfId="1211" priority="1197">
      <formula>$D1105=""</formula>
    </cfRule>
  </conditionalFormatting>
  <conditionalFormatting sqref="B1107:F1107 H1107:I1107">
    <cfRule type="expression" dxfId="1210" priority="1196">
      <formula>$D1107=""</formula>
    </cfRule>
  </conditionalFormatting>
  <conditionalFormatting sqref="F1108">
    <cfRule type="expression" dxfId="1209" priority="1195">
      <formula>$D1107=""</formula>
    </cfRule>
  </conditionalFormatting>
  <conditionalFormatting sqref="B1109:F1109 H1109:I1109">
    <cfRule type="expression" dxfId="1208" priority="1194">
      <formula>$D1109=""</formula>
    </cfRule>
  </conditionalFormatting>
  <conditionalFormatting sqref="F1110">
    <cfRule type="expression" dxfId="1207" priority="1193">
      <formula>$D1109=""</formula>
    </cfRule>
  </conditionalFormatting>
  <conditionalFormatting sqref="B1111:F1111 H1111:I1111">
    <cfRule type="expression" dxfId="1206" priority="1192">
      <formula>$D1111=""</formula>
    </cfRule>
  </conditionalFormatting>
  <conditionalFormatting sqref="F1112">
    <cfRule type="expression" dxfId="1205" priority="1191">
      <formula>$D1111=""</formula>
    </cfRule>
  </conditionalFormatting>
  <conditionalFormatting sqref="B1113:F1113 H1113:I1113">
    <cfRule type="expression" dxfId="1204" priority="1190">
      <formula>$D1113=""</formula>
    </cfRule>
  </conditionalFormatting>
  <conditionalFormatting sqref="F1114">
    <cfRule type="expression" dxfId="1203" priority="1189">
      <formula>$D1113=""</formula>
    </cfRule>
  </conditionalFormatting>
  <conditionalFormatting sqref="B1115:F1115 H1115:I1115">
    <cfRule type="expression" dxfId="1202" priority="1188">
      <formula>$D1115=""</formula>
    </cfRule>
  </conditionalFormatting>
  <conditionalFormatting sqref="F1116">
    <cfRule type="expression" dxfId="1201" priority="1187">
      <formula>$D1115=""</formula>
    </cfRule>
  </conditionalFormatting>
  <conditionalFormatting sqref="B1117:F1117 H1117:I1117">
    <cfRule type="expression" dxfId="1200" priority="1186">
      <formula>$D1117=""</formula>
    </cfRule>
  </conditionalFormatting>
  <conditionalFormatting sqref="F1118">
    <cfRule type="expression" dxfId="1199" priority="1185">
      <formula>$D1117=""</formula>
    </cfRule>
  </conditionalFormatting>
  <conditionalFormatting sqref="B1119:F1119 H1119:I1119">
    <cfRule type="expression" dxfId="1198" priority="1184">
      <formula>$D1119=""</formula>
    </cfRule>
  </conditionalFormatting>
  <conditionalFormatting sqref="F1120">
    <cfRule type="expression" dxfId="1197" priority="1183">
      <formula>$D1119=""</formula>
    </cfRule>
  </conditionalFormatting>
  <conditionalFormatting sqref="B1121:F1121 H1121:I1121">
    <cfRule type="expression" dxfId="1196" priority="1182">
      <formula>$D1121=""</formula>
    </cfRule>
  </conditionalFormatting>
  <conditionalFormatting sqref="F1122">
    <cfRule type="expression" dxfId="1195" priority="1181">
      <formula>$D1121=""</formula>
    </cfRule>
  </conditionalFormatting>
  <conditionalFormatting sqref="B1123:F1123 H1123:I1123">
    <cfRule type="expression" dxfId="1194" priority="1180">
      <formula>$D1123=""</formula>
    </cfRule>
  </conditionalFormatting>
  <conditionalFormatting sqref="F1124">
    <cfRule type="expression" dxfId="1193" priority="1179">
      <formula>$D1123=""</formula>
    </cfRule>
  </conditionalFormatting>
  <conditionalFormatting sqref="B1125:F1125 H1125:I1125">
    <cfRule type="expression" dxfId="1192" priority="1178">
      <formula>$D1125=""</formula>
    </cfRule>
  </conditionalFormatting>
  <conditionalFormatting sqref="F1126">
    <cfRule type="expression" dxfId="1191" priority="1177">
      <formula>$D1125=""</formula>
    </cfRule>
  </conditionalFormatting>
  <conditionalFormatting sqref="B1127:F1127 H1127:I1127">
    <cfRule type="expression" dxfId="1190" priority="1176">
      <formula>$D1127=""</formula>
    </cfRule>
  </conditionalFormatting>
  <conditionalFormatting sqref="F1128">
    <cfRule type="expression" dxfId="1189" priority="1175">
      <formula>$D1127=""</formula>
    </cfRule>
  </conditionalFormatting>
  <conditionalFormatting sqref="B1129:F1129 H1129:I1129">
    <cfRule type="expression" dxfId="1188" priority="1174">
      <formula>$D1129=""</formula>
    </cfRule>
  </conditionalFormatting>
  <conditionalFormatting sqref="F1130">
    <cfRule type="expression" dxfId="1187" priority="1173">
      <formula>$D1129=""</formula>
    </cfRule>
  </conditionalFormatting>
  <conditionalFormatting sqref="B1131:F1131 H1131:I1131">
    <cfRule type="expression" dxfId="1186" priority="1172">
      <formula>$D1131=""</formula>
    </cfRule>
  </conditionalFormatting>
  <conditionalFormatting sqref="F1132">
    <cfRule type="expression" dxfId="1185" priority="1171">
      <formula>$D1131=""</formula>
    </cfRule>
  </conditionalFormatting>
  <conditionalFormatting sqref="B1133:F1133 H1133:I1133">
    <cfRule type="expression" dxfId="1184" priority="1170">
      <formula>$D1133=""</formula>
    </cfRule>
  </conditionalFormatting>
  <conditionalFormatting sqref="F1134">
    <cfRule type="expression" dxfId="1183" priority="1169">
      <formula>$D1133=""</formula>
    </cfRule>
  </conditionalFormatting>
  <conditionalFormatting sqref="B1135:F1135 H1135:I1135">
    <cfRule type="expression" dxfId="1182" priority="1168">
      <formula>$D1135=""</formula>
    </cfRule>
  </conditionalFormatting>
  <conditionalFormatting sqref="F1136">
    <cfRule type="expression" dxfId="1181" priority="1167">
      <formula>$D1135=""</formula>
    </cfRule>
  </conditionalFormatting>
  <conditionalFormatting sqref="B1137:F1137 H1137:I1137">
    <cfRule type="expression" dxfId="1180" priority="1166">
      <formula>$D1137=""</formula>
    </cfRule>
  </conditionalFormatting>
  <conditionalFormatting sqref="F1138">
    <cfRule type="expression" dxfId="1179" priority="1165">
      <formula>$D1137=""</formula>
    </cfRule>
  </conditionalFormatting>
  <conditionalFormatting sqref="B1139:F1139 H1139:I1139">
    <cfRule type="expression" dxfId="1178" priority="1164">
      <formula>$D1139=""</formula>
    </cfRule>
  </conditionalFormatting>
  <conditionalFormatting sqref="F1140">
    <cfRule type="expression" dxfId="1177" priority="1163">
      <formula>$D1139=""</formula>
    </cfRule>
  </conditionalFormatting>
  <conditionalFormatting sqref="B1141:F1141 H1141:I1141">
    <cfRule type="expression" dxfId="1176" priority="1162">
      <formula>$D1141=""</formula>
    </cfRule>
  </conditionalFormatting>
  <conditionalFormatting sqref="F1142">
    <cfRule type="expression" dxfId="1175" priority="1161">
      <formula>$D1141=""</formula>
    </cfRule>
  </conditionalFormatting>
  <conditionalFormatting sqref="B1143:F1143 H1143:I1143">
    <cfRule type="expression" dxfId="1174" priority="1160">
      <formula>$D1143=""</formula>
    </cfRule>
  </conditionalFormatting>
  <conditionalFormatting sqref="F1144">
    <cfRule type="expression" dxfId="1173" priority="1159">
      <formula>$D1143=""</formula>
    </cfRule>
  </conditionalFormatting>
  <conditionalFormatting sqref="B1145:F1145 H1145:I1145">
    <cfRule type="expression" dxfId="1172" priority="1158">
      <formula>$D1145=""</formula>
    </cfRule>
  </conditionalFormatting>
  <conditionalFormatting sqref="F1146">
    <cfRule type="expression" dxfId="1171" priority="1157">
      <formula>$D1145=""</formula>
    </cfRule>
  </conditionalFormatting>
  <conditionalFormatting sqref="B1147:F1147 H1147:I1147">
    <cfRule type="expression" dxfId="1170" priority="1156">
      <formula>$D1147=""</formula>
    </cfRule>
  </conditionalFormatting>
  <conditionalFormatting sqref="F1148">
    <cfRule type="expression" dxfId="1169" priority="1155">
      <formula>$D1147=""</formula>
    </cfRule>
  </conditionalFormatting>
  <conditionalFormatting sqref="B1149:F1149 H1149:I1149">
    <cfRule type="expression" dxfId="1168" priority="1154">
      <formula>$D1149=""</formula>
    </cfRule>
  </conditionalFormatting>
  <conditionalFormatting sqref="F1150">
    <cfRule type="expression" dxfId="1167" priority="1153">
      <formula>$D1149=""</formula>
    </cfRule>
  </conditionalFormatting>
  <conditionalFormatting sqref="B1151:F1151 H1151:I1151">
    <cfRule type="expression" dxfId="1166" priority="1152">
      <formula>$D1151=""</formula>
    </cfRule>
  </conditionalFormatting>
  <conditionalFormatting sqref="F1152">
    <cfRule type="expression" dxfId="1165" priority="1151">
      <formula>$D1151=""</formula>
    </cfRule>
  </conditionalFormatting>
  <conditionalFormatting sqref="B1153:F1153 H1153:I1153">
    <cfRule type="expression" dxfId="1164" priority="1150">
      <formula>$D1153=""</formula>
    </cfRule>
  </conditionalFormatting>
  <conditionalFormatting sqref="F1154">
    <cfRule type="expression" dxfId="1163" priority="1149">
      <formula>$D1153=""</formula>
    </cfRule>
  </conditionalFormatting>
  <conditionalFormatting sqref="B1155:F1155 H1155:I1155">
    <cfRule type="expression" dxfId="1162" priority="1148">
      <formula>$D1155=""</formula>
    </cfRule>
  </conditionalFormatting>
  <conditionalFormatting sqref="F1156">
    <cfRule type="expression" dxfId="1161" priority="1147">
      <formula>$D1155=""</formula>
    </cfRule>
  </conditionalFormatting>
  <conditionalFormatting sqref="B1157:F1157 H1157:I1157">
    <cfRule type="expression" dxfId="1160" priority="1146">
      <formula>$D1157=""</formula>
    </cfRule>
  </conditionalFormatting>
  <conditionalFormatting sqref="F1158">
    <cfRule type="expression" dxfId="1159" priority="1145">
      <formula>$D1157=""</formula>
    </cfRule>
  </conditionalFormatting>
  <conditionalFormatting sqref="B1159:F1159 H1159:I1159">
    <cfRule type="expression" dxfId="1158" priority="1144">
      <formula>$D1159=""</formula>
    </cfRule>
  </conditionalFormatting>
  <conditionalFormatting sqref="F1160">
    <cfRule type="expression" dxfId="1157" priority="1143">
      <formula>$D1159=""</formula>
    </cfRule>
  </conditionalFormatting>
  <conditionalFormatting sqref="B1161:F1161 H1161:I1161">
    <cfRule type="expression" dxfId="1156" priority="1142">
      <formula>$D1161=""</formula>
    </cfRule>
  </conditionalFormatting>
  <conditionalFormatting sqref="F1162">
    <cfRule type="expression" dxfId="1155" priority="1141">
      <formula>$D1161=""</formula>
    </cfRule>
  </conditionalFormatting>
  <conditionalFormatting sqref="B1163:F1163 H1163:I1163">
    <cfRule type="expression" dxfId="1154" priority="1140">
      <formula>$D1163=""</formula>
    </cfRule>
  </conditionalFormatting>
  <conditionalFormatting sqref="F1164">
    <cfRule type="expression" dxfId="1153" priority="1139">
      <formula>$D1163=""</formula>
    </cfRule>
  </conditionalFormatting>
  <conditionalFormatting sqref="B1165:F1165 H1165:I1165">
    <cfRule type="expression" dxfId="1152" priority="1138">
      <formula>$D1165=""</formula>
    </cfRule>
  </conditionalFormatting>
  <conditionalFormatting sqref="F1166">
    <cfRule type="expression" dxfId="1151" priority="1137">
      <formula>$D1165=""</formula>
    </cfRule>
  </conditionalFormatting>
  <conditionalFormatting sqref="B1167:F1167 H1167:I1167">
    <cfRule type="expression" dxfId="1150" priority="1136">
      <formula>$D1167=""</formula>
    </cfRule>
  </conditionalFormatting>
  <conditionalFormatting sqref="F1168">
    <cfRule type="expression" dxfId="1149" priority="1135">
      <formula>$D1167=""</formula>
    </cfRule>
  </conditionalFormatting>
  <conditionalFormatting sqref="B1169:F1169 H1169:I1169">
    <cfRule type="expression" dxfId="1148" priority="1134">
      <formula>$D1169=""</formula>
    </cfRule>
  </conditionalFormatting>
  <conditionalFormatting sqref="F1170">
    <cfRule type="expression" dxfId="1147" priority="1133">
      <formula>$D1169=""</formula>
    </cfRule>
  </conditionalFormatting>
  <conditionalFormatting sqref="B1171:F1171 H1171:I1171">
    <cfRule type="expression" dxfId="1146" priority="1132">
      <formula>$D1171=""</formula>
    </cfRule>
  </conditionalFormatting>
  <conditionalFormatting sqref="F1172">
    <cfRule type="expression" dxfId="1145" priority="1131">
      <formula>$D1171=""</formula>
    </cfRule>
  </conditionalFormatting>
  <conditionalFormatting sqref="B1173:F1173 H1173:I1173">
    <cfRule type="expression" dxfId="1144" priority="1130">
      <formula>$D1173=""</formula>
    </cfRule>
  </conditionalFormatting>
  <conditionalFormatting sqref="F1174">
    <cfRule type="expression" dxfId="1143" priority="1129">
      <formula>$D1173=""</formula>
    </cfRule>
  </conditionalFormatting>
  <conditionalFormatting sqref="B1175:F1175 H1175:I1175">
    <cfRule type="expression" dxfId="1142" priority="1128">
      <formula>$D1175=""</formula>
    </cfRule>
  </conditionalFormatting>
  <conditionalFormatting sqref="F1176">
    <cfRule type="expression" dxfId="1141" priority="1127">
      <formula>$D1175=""</formula>
    </cfRule>
  </conditionalFormatting>
  <conditionalFormatting sqref="B1177:F1177 H1177:I1177">
    <cfRule type="expression" dxfId="1140" priority="1126">
      <formula>$D1177=""</formula>
    </cfRule>
  </conditionalFormatting>
  <conditionalFormatting sqref="F1178">
    <cfRule type="expression" dxfId="1139" priority="1125">
      <formula>$D1177=""</formula>
    </cfRule>
  </conditionalFormatting>
  <conditionalFormatting sqref="B1179:F1179 H1179:I1179">
    <cfRule type="expression" dxfId="1138" priority="1124">
      <formula>$D1179=""</formula>
    </cfRule>
  </conditionalFormatting>
  <conditionalFormatting sqref="F1180">
    <cfRule type="expression" dxfId="1137" priority="1123">
      <formula>$D1179=""</formula>
    </cfRule>
  </conditionalFormatting>
  <conditionalFormatting sqref="B1181:F1181 H1181:I1181">
    <cfRule type="expression" dxfId="1136" priority="1122">
      <formula>$D1181=""</formula>
    </cfRule>
  </conditionalFormatting>
  <conditionalFormatting sqref="F1182">
    <cfRule type="expression" dxfId="1135" priority="1121">
      <formula>$D1181=""</formula>
    </cfRule>
  </conditionalFormatting>
  <conditionalFormatting sqref="B1183:F1183 H1183:I1183">
    <cfRule type="expression" dxfId="1134" priority="1120">
      <formula>$D1183=""</formula>
    </cfRule>
  </conditionalFormatting>
  <conditionalFormatting sqref="F1184">
    <cfRule type="expression" dxfId="1133" priority="1119">
      <formula>$D1183=""</formula>
    </cfRule>
  </conditionalFormatting>
  <conditionalFormatting sqref="B1185:F1185 H1185:I1185">
    <cfRule type="expression" dxfId="1132" priority="1118">
      <formula>$D1185=""</formula>
    </cfRule>
  </conditionalFormatting>
  <conditionalFormatting sqref="F1186">
    <cfRule type="expression" dxfId="1131" priority="1117">
      <formula>$D1185=""</formula>
    </cfRule>
  </conditionalFormatting>
  <conditionalFormatting sqref="B1187:F1187 H1187:I1187">
    <cfRule type="expression" dxfId="1130" priority="1116">
      <formula>$D1187=""</formula>
    </cfRule>
  </conditionalFormatting>
  <conditionalFormatting sqref="F1188">
    <cfRule type="expression" dxfId="1129" priority="1115">
      <formula>$D1187=""</formula>
    </cfRule>
  </conditionalFormatting>
  <conditionalFormatting sqref="B1189:F1189 H1189:I1189">
    <cfRule type="expression" dxfId="1128" priority="1114">
      <formula>$D1189=""</formula>
    </cfRule>
  </conditionalFormatting>
  <conditionalFormatting sqref="F1190">
    <cfRule type="expression" dxfId="1127" priority="1113">
      <formula>$D1189=""</formula>
    </cfRule>
  </conditionalFormatting>
  <conditionalFormatting sqref="B1191:F1191 H1191:I1191">
    <cfRule type="expression" dxfId="1126" priority="1112">
      <formula>$D1191=""</formula>
    </cfRule>
  </conditionalFormatting>
  <conditionalFormatting sqref="F1192">
    <cfRule type="expression" dxfId="1125" priority="1111">
      <formula>$D1191=""</formula>
    </cfRule>
  </conditionalFormatting>
  <conditionalFormatting sqref="B1193:F1193 H1193:I1193">
    <cfRule type="expression" dxfId="1124" priority="1110">
      <formula>$D1193=""</formula>
    </cfRule>
  </conditionalFormatting>
  <conditionalFormatting sqref="F1194">
    <cfRule type="expression" dxfId="1123" priority="1109">
      <formula>$D1193=""</formula>
    </cfRule>
  </conditionalFormatting>
  <conditionalFormatting sqref="B1195:F1195 H1195:I1195">
    <cfRule type="expression" dxfId="1122" priority="1108">
      <formula>$D1195=""</formula>
    </cfRule>
  </conditionalFormatting>
  <conditionalFormatting sqref="F1196">
    <cfRule type="expression" dxfId="1121" priority="1107">
      <formula>$D1195=""</formula>
    </cfRule>
  </conditionalFormatting>
  <conditionalFormatting sqref="B1197:F1197 H1197:I1197">
    <cfRule type="expression" dxfId="1120" priority="1106">
      <formula>$D1197=""</formula>
    </cfRule>
  </conditionalFormatting>
  <conditionalFormatting sqref="F1198">
    <cfRule type="expression" dxfId="1119" priority="1105">
      <formula>$D1197=""</formula>
    </cfRule>
  </conditionalFormatting>
  <conditionalFormatting sqref="B1199:F1199 H1199:I1199">
    <cfRule type="expression" dxfId="1118" priority="1104">
      <formula>$D1199=""</formula>
    </cfRule>
  </conditionalFormatting>
  <conditionalFormatting sqref="F1200">
    <cfRule type="expression" dxfId="1117" priority="1103">
      <formula>$D1199=""</formula>
    </cfRule>
  </conditionalFormatting>
  <conditionalFormatting sqref="B1201:F1201 H1201:I1201">
    <cfRule type="expression" dxfId="1116" priority="1102">
      <formula>$D1201=""</formula>
    </cfRule>
  </conditionalFormatting>
  <conditionalFormatting sqref="F1202">
    <cfRule type="expression" dxfId="1115" priority="1101">
      <formula>$D1201=""</formula>
    </cfRule>
  </conditionalFormatting>
  <conditionalFormatting sqref="B1203:F1203 H1203:I1203">
    <cfRule type="expression" dxfId="1114" priority="1100">
      <formula>$D1203=""</formula>
    </cfRule>
  </conditionalFormatting>
  <conditionalFormatting sqref="F1204">
    <cfRule type="expression" dxfId="1113" priority="1099">
      <formula>$D1203=""</formula>
    </cfRule>
  </conditionalFormatting>
  <conditionalFormatting sqref="B1205:F1205 H1205:I1205">
    <cfRule type="expression" dxfId="1112" priority="1098">
      <formula>$D1205=""</formula>
    </cfRule>
  </conditionalFormatting>
  <conditionalFormatting sqref="F1206">
    <cfRule type="expression" dxfId="1111" priority="1097">
      <formula>$D1205=""</formula>
    </cfRule>
  </conditionalFormatting>
  <conditionalFormatting sqref="B1207:F1207 H1207:I1207">
    <cfRule type="expression" dxfId="1110" priority="1096">
      <formula>$D1207=""</formula>
    </cfRule>
  </conditionalFormatting>
  <conditionalFormatting sqref="F1208">
    <cfRule type="expression" dxfId="1109" priority="1095">
      <formula>$D1207=""</formula>
    </cfRule>
  </conditionalFormatting>
  <conditionalFormatting sqref="B1209:F1209 H1209:I1209">
    <cfRule type="expression" dxfId="1108" priority="1094">
      <formula>$D1209=""</formula>
    </cfRule>
  </conditionalFormatting>
  <conditionalFormatting sqref="F1210">
    <cfRule type="expression" dxfId="1107" priority="1093">
      <formula>$D1209=""</formula>
    </cfRule>
  </conditionalFormatting>
  <conditionalFormatting sqref="B1211:F1211 H1211:I1211">
    <cfRule type="expression" dxfId="1106" priority="1092">
      <formula>$D1211=""</formula>
    </cfRule>
  </conditionalFormatting>
  <conditionalFormatting sqref="F1212">
    <cfRule type="expression" dxfId="1105" priority="1091">
      <formula>$D1211=""</formula>
    </cfRule>
  </conditionalFormatting>
  <conditionalFormatting sqref="B1213:F1213 H1213:I1213">
    <cfRule type="expression" dxfId="1104" priority="1090">
      <formula>$D1213=""</formula>
    </cfRule>
  </conditionalFormatting>
  <conditionalFormatting sqref="F1214">
    <cfRule type="expression" dxfId="1103" priority="1089">
      <formula>$D1213=""</formula>
    </cfRule>
  </conditionalFormatting>
  <conditionalFormatting sqref="B1215:F1215 H1215:I1215">
    <cfRule type="expression" dxfId="1102" priority="1088">
      <formula>$D1215=""</formula>
    </cfRule>
  </conditionalFormatting>
  <conditionalFormatting sqref="F1216">
    <cfRule type="expression" dxfId="1101" priority="1087">
      <formula>$D1215=""</formula>
    </cfRule>
  </conditionalFormatting>
  <conditionalFormatting sqref="B1217:F1217 H1217:I1217">
    <cfRule type="expression" dxfId="1100" priority="1086">
      <formula>$D1217=""</formula>
    </cfRule>
  </conditionalFormatting>
  <conditionalFormatting sqref="F1218">
    <cfRule type="expression" dxfId="1099" priority="1085">
      <formula>$D1217=""</formula>
    </cfRule>
  </conditionalFormatting>
  <conditionalFormatting sqref="B1219:F1219 H1219:I1219">
    <cfRule type="expression" dxfId="1098" priority="1084">
      <formula>$D1219=""</formula>
    </cfRule>
  </conditionalFormatting>
  <conditionalFormatting sqref="F1220">
    <cfRule type="expression" dxfId="1097" priority="1083">
      <formula>$D1219=""</formula>
    </cfRule>
  </conditionalFormatting>
  <conditionalFormatting sqref="B1221:F1221 H1221:I1221">
    <cfRule type="expression" dxfId="1096" priority="1082">
      <formula>$D1221=""</formula>
    </cfRule>
  </conditionalFormatting>
  <conditionalFormatting sqref="F1222">
    <cfRule type="expression" dxfId="1095" priority="1081">
      <formula>$D1221=""</formula>
    </cfRule>
  </conditionalFormatting>
  <conditionalFormatting sqref="B1223:F1223 H1223:I1223">
    <cfRule type="expression" dxfId="1094" priority="1080">
      <formula>$D1223=""</formula>
    </cfRule>
  </conditionalFormatting>
  <conditionalFormatting sqref="F1224">
    <cfRule type="expression" dxfId="1093" priority="1079">
      <formula>$D1223=""</formula>
    </cfRule>
  </conditionalFormatting>
  <conditionalFormatting sqref="B1225:F1225 H1225:I1225">
    <cfRule type="expression" dxfId="1092" priority="1078">
      <formula>$D1225=""</formula>
    </cfRule>
  </conditionalFormatting>
  <conditionalFormatting sqref="F1226">
    <cfRule type="expression" dxfId="1091" priority="1077">
      <formula>$D1225=""</formula>
    </cfRule>
  </conditionalFormatting>
  <conditionalFormatting sqref="B1227:F1227 H1227:I1227">
    <cfRule type="expression" dxfId="1090" priority="1076">
      <formula>$D1227=""</formula>
    </cfRule>
  </conditionalFormatting>
  <conditionalFormatting sqref="F1228">
    <cfRule type="expression" dxfId="1089" priority="1075">
      <formula>$D1227=""</formula>
    </cfRule>
  </conditionalFormatting>
  <conditionalFormatting sqref="B1229:F1229 H1229:I1229">
    <cfRule type="expression" dxfId="1088" priority="1074">
      <formula>$D1229=""</formula>
    </cfRule>
  </conditionalFormatting>
  <conditionalFormatting sqref="F1230">
    <cfRule type="expression" dxfId="1087" priority="1073">
      <formula>$D1229=""</formula>
    </cfRule>
  </conditionalFormatting>
  <conditionalFormatting sqref="B1231:F1231 H1231:I1231">
    <cfRule type="expression" dxfId="1086" priority="1072">
      <formula>$D1231=""</formula>
    </cfRule>
  </conditionalFormatting>
  <conditionalFormatting sqref="F1232">
    <cfRule type="expression" dxfId="1085" priority="1071">
      <formula>$D1231=""</formula>
    </cfRule>
  </conditionalFormatting>
  <conditionalFormatting sqref="B1233:F1233 H1233:I1233">
    <cfRule type="expression" dxfId="1084" priority="1070">
      <formula>$D1233=""</formula>
    </cfRule>
  </conditionalFormatting>
  <conditionalFormatting sqref="F1234">
    <cfRule type="expression" dxfId="1083" priority="1069">
      <formula>$D1233=""</formula>
    </cfRule>
  </conditionalFormatting>
  <conditionalFormatting sqref="B1235:F1235 H1235:I1235">
    <cfRule type="expression" dxfId="1082" priority="1068">
      <formula>$D1235=""</formula>
    </cfRule>
  </conditionalFormatting>
  <conditionalFormatting sqref="F1236">
    <cfRule type="expression" dxfId="1081" priority="1067">
      <formula>$D1235=""</formula>
    </cfRule>
  </conditionalFormatting>
  <conditionalFormatting sqref="B1237:F1237 H1237:I1237">
    <cfRule type="expression" dxfId="1080" priority="1066">
      <formula>$D1237=""</formula>
    </cfRule>
  </conditionalFormatting>
  <conditionalFormatting sqref="F1238">
    <cfRule type="expression" dxfId="1079" priority="1065">
      <formula>$D1237=""</formula>
    </cfRule>
  </conditionalFormatting>
  <conditionalFormatting sqref="B1239:F1239 H1239:I1239">
    <cfRule type="expression" dxfId="1078" priority="1064">
      <formula>$D1239=""</formula>
    </cfRule>
  </conditionalFormatting>
  <conditionalFormatting sqref="F1240">
    <cfRule type="expression" dxfId="1077" priority="1063">
      <formula>$D1239=""</formula>
    </cfRule>
  </conditionalFormatting>
  <conditionalFormatting sqref="B1241:F1241 H1241:I1241">
    <cfRule type="expression" dxfId="1076" priority="1062">
      <formula>$D1241=""</formula>
    </cfRule>
  </conditionalFormatting>
  <conditionalFormatting sqref="F1242">
    <cfRule type="expression" dxfId="1075" priority="1061">
      <formula>$D1241=""</formula>
    </cfRule>
  </conditionalFormatting>
  <conditionalFormatting sqref="B1243:F1243 H1243:I1243">
    <cfRule type="expression" dxfId="1074" priority="1060">
      <formula>$D1243=""</formula>
    </cfRule>
  </conditionalFormatting>
  <conditionalFormatting sqref="F1244">
    <cfRule type="expression" dxfId="1073" priority="1059">
      <formula>$D1243=""</formula>
    </cfRule>
  </conditionalFormatting>
  <conditionalFormatting sqref="B1245:F1245 H1245:I1245">
    <cfRule type="expression" dxfId="1072" priority="1058">
      <formula>$D1245=""</formula>
    </cfRule>
  </conditionalFormatting>
  <conditionalFormatting sqref="F1246">
    <cfRule type="expression" dxfId="1071" priority="1057">
      <formula>$D1245=""</formula>
    </cfRule>
  </conditionalFormatting>
  <conditionalFormatting sqref="B1247:F1247 H1247:I1247">
    <cfRule type="expression" dxfId="1070" priority="1056">
      <formula>$D1247=""</formula>
    </cfRule>
  </conditionalFormatting>
  <conditionalFormatting sqref="F1248">
    <cfRule type="expression" dxfId="1069" priority="1055">
      <formula>$D1247=""</formula>
    </cfRule>
  </conditionalFormatting>
  <conditionalFormatting sqref="B1249:F1249 H1249:I1249">
    <cfRule type="expression" dxfId="1068" priority="1054">
      <formula>$D1249=""</formula>
    </cfRule>
  </conditionalFormatting>
  <conditionalFormatting sqref="F1250">
    <cfRule type="expression" dxfId="1067" priority="1053">
      <formula>$D1249=""</formula>
    </cfRule>
  </conditionalFormatting>
  <conditionalFormatting sqref="B1251:F1251 H1251:I1251">
    <cfRule type="expression" dxfId="1066" priority="1052">
      <formula>$D1251=""</formula>
    </cfRule>
  </conditionalFormatting>
  <conditionalFormatting sqref="F1252">
    <cfRule type="expression" dxfId="1065" priority="1051">
      <formula>$D1251=""</formula>
    </cfRule>
  </conditionalFormatting>
  <conditionalFormatting sqref="B1253:F1253 H1253:I1253">
    <cfRule type="expression" dxfId="1064" priority="1050">
      <formula>$D1253=""</formula>
    </cfRule>
  </conditionalFormatting>
  <conditionalFormatting sqref="F1254">
    <cfRule type="expression" dxfId="1063" priority="1049">
      <formula>$D1253=""</formula>
    </cfRule>
  </conditionalFormatting>
  <conditionalFormatting sqref="B1255:F1255 H1255:I1255">
    <cfRule type="expression" dxfId="1062" priority="1048">
      <formula>$D1255=""</formula>
    </cfRule>
  </conditionalFormatting>
  <conditionalFormatting sqref="F1256">
    <cfRule type="expression" dxfId="1061" priority="1047">
      <formula>$D1255=""</formula>
    </cfRule>
  </conditionalFormatting>
  <conditionalFormatting sqref="B1257:F1257 H1257:I1257">
    <cfRule type="expression" dxfId="1060" priority="1046">
      <formula>$D1257=""</formula>
    </cfRule>
  </conditionalFormatting>
  <conditionalFormatting sqref="F1258">
    <cfRule type="expression" dxfId="1059" priority="1045">
      <formula>$D1257=""</formula>
    </cfRule>
  </conditionalFormatting>
  <conditionalFormatting sqref="B1259:F1259 H1259:I1259">
    <cfRule type="expression" dxfId="1058" priority="1044">
      <formula>$D1259=""</formula>
    </cfRule>
  </conditionalFormatting>
  <conditionalFormatting sqref="F1260">
    <cfRule type="expression" dxfId="1057" priority="1043">
      <formula>$D1259=""</formula>
    </cfRule>
  </conditionalFormatting>
  <conditionalFormatting sqref="B1261:F1261 H1261:I1261">
    <cfRule type="expression" dxfId="1056" priority="1042">
      <formula>$D1261=""</formula>
    </cfRule>
  </conditionalFormatting>
  <conditionalFormatting sqref="F1262">
    <cfRule type="expression" dxfId="1055" priority="1041">
      <formula>$D1261=""</formula>
    </cfRule>
  </conditionalFormatting>
  <conditionalFormatting sqref="B1263:F1263 H1263:I1263">
    <cfRule type="expression" dxfId="1054" priority="1040">
      <formula>$D1263=""</formula>
    </cfRule>
  </conditionalFormatting>
  <conditionalFormatting sqref="F1264">
    <cfRule type="expression" dxfId="1053" priority="1039">
      <formula>$D1263=""</formula>
    </cfRule>
  </conditionalFormatting>
  <conditionalFormatting sqref="B1265:F1265 H1265:I1265">
    <cfRule type="expression" dxfId="1052" priority="1038">
      <formula>$D1265=""</formula>
    </cfRule>
  </conditionalFormatting>
  <conditionalFormatting sqref="F1266">
    <cfRule type="expression" dxfId="1051" priority="1037">
      <formula>$D1265=""</formula>
    </cfRule>
  </conditionalFormatting>
  <conditionalFormatting sqref="B1267:F1267 H1267:I1267">
    <cfRule type="expression" dxfId="1050" priority="1036">
      <formula>$D1267=""</formula>
    </cfRule>
  </conditionalFormatting>
  <conditionalFormatting sqref="F1268">
    <cfRule type="expression" dxfId="1049" priority="1035">
      <formula>$D1267=""</formula>
    </cfRule>
  </conditionalFormatting>
  <conditionalFormatting sqref="B1269:F1269 H1269:I1269">
    <cfRule type="expression" dxfId="1048" priority="1034">
      <formula>$D1269=""</formula>
    </cfRule>
  </conditionalFormatting>
  <conditionalFormatting sqref="F1270">
    <cfRule type="expression" dxfId="1047" priority="1033">
      <formula>$D1269=""</formula>
    </cfRule>
  </conditionalFormatting>
  <conditionalFormatting sqref="B1271:F1271 H1271:I1271">
    <cfRule type="expression" dxfId="1046" priority="1032">
      <formula>$D1271=""</formula>
    </cfRule>
  </conditionalFormatting>
  <conditionalFormatting sqref="F1272">
    <cfRule type="expression" dxfId="1045" priority="1031">
      <formula>$D1271=""</formula>
    </cfRule>
  </conditionalFormatting>
  <conditionalFormatting sqref="B1273:F1273 H1273:I1273">
    <cfRule type="expression" dxfId="1044" priority="1030">
      <formula>$D1273=""</formula>
    </cfRule>
  </conditionalFormatting>
  <conditionalFormatting sqref="F1274">
    <cfRule type="expression" dxfId="1043" priority="1029">
      <formula>$D1273=""</formula>
    </cfRule>
  </conditionalFormatting>
  <conditionalFormatting sqref="B1275:F1275 H1275:I1275">
    <cfRule type="expression" dxfId="1042" priority="1028">
      <formula>$D1275=""</formula>
    </cfRule>
  </conditionalFormatting>
  <conditionalFormatting sqref="F1276">
    <cfRule type="expression" dxfId="1041" priority="1027">
      <formula>$D1275=""</formula>
    </cfRule>
  </conditionalFormatting>
  <conditionalFormatting sqref="B1277:F1277 H1277:I1277">
    <cfRule type="expression" dxfId="1040" priority="1026">
      <formula>$D1277=""</formula>
    </cfRule>
  </conditionalFormatting>
  <conditionalFormatting sqref="F1278">
    <cfRule type="expression" dxfId="1039" priority="1025">
      <formula>$D1277=""</formula>
    </cfRule>
  </conditionalFormatting>
  <conditionalFormatting sqref="B1279:F1279 H1279:I1279">
    <cfRule type="expression" dxfId="1038" priority="1024">
      <formula>$D1279=""</formula>
    </cfRule>
  </conditionalFormatting>
  <conditionalFormatting sqref="F1280">
    <cfRule type="expression" dxfId="1037" priority="1023">
      <formula>$D1279=""</formula>
    </cfRule>
  </conditionalFormatting>
  <conditionalFormatting sqref="B1281:F1281 H1281:I1281">
    <cfRule type="expression" dxfId="1036" priority="1022">
      <formula>$D1281=""</formula>
    </cfRule>
  </conditionalFormatting>
  <conditionalFormatting sqref="F1282">
    <cfRule type="expression" dxfId="1035" priority="1021">
      <formula>$D1281=""</formula>
    </cfRule>
  </conditionalFormatting>
  <conditionalFormatting sqref="B1283:F1283 H1283:I1283">
    <cfRule type="expression" dxfId="1034" priority="1020">
      <formula>$D1283=""</formula>
    </cfRule>
  </conditionalFormatting>
  <conditionalFormatting sqref="F1284">
    <cfRule type="expression" dxfId="1033" priority="1019">
      <formula>$D1283=""</formula>
    </cfRule>
  </conditionalFormatting>
  <conditionalFormatting sqref="B1285:F1285 H1285:I1285">
    <cfRule type="expression" dxfId="1032" priority="1018">
      <formula>$D1285=""</formula>
    </cfRule>
  </conditionalFormatting>
  <conditionalFormatting sqref="F1286">
    <cfRule type="expression" dxfId="1031" priority="1017">
      <formula>$D1285=""</formula>
    </cfRule>
  </conditionalFormatting>
  <conditionalFormatting sqref="B1287:F1287 H1287:I1287">
    <cfRule type="expression" dxfId="1030" priority="1016">
      <formula>$D1287=""</formula>
    </cfRule>
  </conditionalFormatting>
  <conditionalFormatting sqref="F1288">
    <cfRule type="expression" dxfId="1029" priority="1015">
      <formula>$D1287=""</formula>
    </cfRule>
  </conditionalFormatting>
  <conditionalFormatting sqref="B1289:F1289 H1289:I1289">
    <cfRule type="expression" dxfId="1028" priority="1014">
      <formula>$D1289=""</formula>
    </cfRule>
  </conditionalFormatting>
  <conditionalFormatting sqref="F1290">
    <cfRule type="expression" dxfId="1027" priority="1013">
      <formula>$D1289=""</formula>
    </cfRule>
  </conditionalFormatting>
  <conditionalFormatting sqref="B1291:F1291 H1291:I1291">
    <cfRule type="expression" dxfId="1026" priority="1012">
      <formula>$D1291=""</formula>
    </cfRule>
  </conditionalFormatting>
  <conditionalFormatting sqref="F1292">
    <cfRule type="expression" dxfId="1025" priority="1011">
      <formula>$D1291=""</formula>
    </cfRule>
  </conditionalFormatting>
  <conditionalFormatting sqref="B1293:F1293 H1293:I1293">
    <cfRule type="expression" dxfId="1024" priority="1010">
      <formula>$D1293=""</formula>
    </cfRule>
  </conditionalFormatting>
  <conditionalFormatting sqref="F1294">
    <cfRule type="expression" dxfId="1023" priority="1009">
      <formula>$D1293=""</formula>
    </cfRule>
  </conditionalFormatting>
  <conditionalFormatting sqref="B1295:F1295 H1295:I1295">
    <cfRule type="expression" dxfId="1022" priority="1008">
      <formula>$D1295=""</formula>
    </cfRule>
  </conditionalFormatting>
  <conditionalFormatting sqref="F1296">
    <cfRule type="expression" dxfId="1021" priority="1007">
      <formula>$D1295=""</formula>
    </cfRule>
  </conditionalFormatting>
  <conditionalFormatting sqref="B1297:F1297 H1297:I1297">
    <cfRule type="expression" dxfId="1020" priority="1006">
      <formula>$D1297=""</formula>
    </cfRule>
  </conditionalFormatting>
  <conditionalFormatting sqref="F1298">
    <cfRule type="expression" dxfId="1019" priority="1005">
      <formula>$D1297=""</formula>
    </cfRule>
  </conditionalFormatting>
  <conditionalFormatting sqref="B1299:F1299 H1299:I1299">
    <cfRule type="expression" dxfId="1018" priority="1004">
      <formula>$D1299=""</formula>
    </cfRule>
  </conditionalFormatting>
  <conditionalFormatting sqref="F1300">
    <cfRule type="expression" dxfId="1017" priority="1003">
      <formula>$D1299=""</formula>
    </cfRule>
  </conditionalFormatting>
  <conditionalFormatting sqref="B1301:F1301 H1301:I1301">
    <cfRule type="expression" dxfId="1016" priority="1002">
      <formula>$D1301=""</formula>
    </cfRule>
  </conditionalFormatting>
  <conditionalFormatting sqref="F1302">
    <cfRule type="expression" dxfId="1015" priority="1001">
      <formula>$D1301=""</formula>
    </cfRule>
  </conditionalFormatting>
  <conditionalFormatting sqref="B1303:F1303 H1303:I1303">
    <cfRule type="expression" dxfId="1014" priority="1000">
      <formula>$D1303=""</formula>
    </cfRule>
  </conditionalFormatting>
  <conditionalFormatting sqref="F1304">
    <cfRule type="expression" dxfId="1013" priority="999">
      <formula>$D1303=""</formula>
    </cfRule>
  </conditionalFormatting>
  <conditionalFormatting sqref="B1305:F1305 H1305:I1305">
    <cfRule type="expression" dxfId="1012" priority="998">
      <formula>$D1305=""</formula>
    </cfRule>
  </conditionalFormatting>
  <conditionalFormatting sqref="F1306">
    <cfRule type="expression" dxfId="1011" priority="997">
      <formula>$D1305=""</formula>
    </cfRule>
  </conditionalFormatting>
  <conditionalFormatting sqref="B1307:F1307 H1307:I1307">
    <cfRule type="expression" dxfId="1010" priority="996">
      <formula>$D1307=""</formula>
    </cfRule>
  </conditionalFormatting>
  <conditionalFormatting sqref="F1308">
    <cfRule type="expression" dxfId="1009" priority="995">
      <formula>$D1307=""</formula>
    </cfRule>
  </conditionalFormatting>
  <conditionalFormatting sqref="B1309:F1309 H1309:I1309">
    <cfRule type="expression" dxfId="1008" priority="994">
      <formula>$D1309=""</formula>
    </cfRule>
  </conditionalFormatting>
  <conditionalFormatting sqref="F1310">
    <cfRule type="expression" dxfId="1007" priority="993">
      <formula>$D1309=""</formula>
    </cfRule>
  </conditionalFormatting>
  <conditionalFormatting sqref="B1311:F1311 H1311:I1311">
    <cfRule type="expression" dxfId="1006" priority="992">
      <formula>$D1311=""</formula>
    </cfRule>
  </conditionalFormatting>
  <conditionalFormatting sqref="F1312">
    <cfRule type="expression" dxfId="1005" priority="991">
      <formula>$D1311=""</formula>
    </cfRule>
  </conditionalFormatting>
  <conditionalFormatting sqref="B1313:F1313 H1313:I1313">
    <cfRule type="expression" dxfId="1004" priority="990">
      <formula>$D1313=""</formula>
    </cfRule>
  </conditionalFormatting>
  <conditionalFormatting sqref="F1314">
    <cfRule type="expression" dxfId="1003" priority="989">
      <formula>$D1313=""</formula>
    </cfRule>
  </conditionalFormatting>
  <conditionalFormatting sqref="B1315:F1315 H1315:I1315">
    <cfRule type="expression" dxfId="1002" priority="988">
      <formula>$D1315=""</formula>
    </cfRule>
  </conditionalFormatting>
  <conditionalFormatting sqref="F1316">
    <cfRule type="expression" dxfId="1001" priority="987">
      <formula>$D1315=""</formula>
    </cfRule>
  </conditionalFormatting>
  <conditionalFormatting sqref="B1317:F1317 H1317:I1317">
    <cfRule type="expression" dxfId="1000" priority="986">
      <formula>$D1317=""</formula>
    </cfRule>
  </conditionalFormatting>
  <conditionalFormatting sqref="F1318">
    <cfRule type="expression" dxfId="999" priority="985">
      <formula>$D1317=""</formula>
    </cfRule>
  </conditionalFormatting>
  <conditionalFormatting sqref="B1319:F1319 H1319:I1319">
    <cfRule type="expression" dxfId="998" priority="984">
      <formula>$D1319=""</formula>
    </cfRule>
  </conditionalFormatting>
  <conditionalFormatting sqref="F1320">
    <cfRule type="expression" dxfId="997" priority="983">
      <formula>$D1319=""</formula>
    </cfRule>
  </conditionalFormatting>
  <conditionalFormatting sqref="B1321:F1321 H1321:I1321">
    <cfRule type="expression" dxfId="996" priority="982">
      <formula>$D1321=""</formula>
    </cfRule>
  </conditionalFormatting>
  <conditionalFormatting sqref="F1322">
    <cfRule type="expression" dxfId="995" priority="981">
      <formula>$D1321=""</formula>
    </cfRule>
  </conditionalFormatting>
  <conditionalFormatting sqref="B1323:F1323 H1323:I1323">
    <cfRule type="expression" dxfId="994" priority="980">
      <formula>$D1323=""</formula>
    </cfRule>
  </conditionalFormatting>
  <conditionalFormatting sqref="F1324">
    <cfRule type="expression" dxfId="993" priority="979">
      <formula>$D1323=""</formula>
    </cfRule>
  </conditionalFormatting>
  <conditionalFormatting sqref="B1325:F1325 H1325:I1325">
    <cfRule type="expression" dxfId="992" priority="978">
      <formula>$D1325=""</formula>
    </cfRule>
  </conditionalFormatting>
  <conditionalFormatting sqref="F1326">
    <cfRule type="expression" dxfId="991" priority="977">
      <formula>$D1325=""</formula>
    </cfRule>
  </conditionalFormatting>
  <conditionalFormatting sqref="B1327:F1327 H1327:I1327">
    <cfRule type="expression" dxfId="990" priority="976">
      <formula>$D1327=""</formula>
    </cfRule>
  </conditionalFormatting>
  <conditionalFormatting sqref="F1328">
    <cfRule type="expression" dxfId="989" priority="975">
      <formula>$D1327=""</formula>
    </cfRule>
  </conditionalFormatting>
  <conditionalFormatting sqref="B1329:F1329 H1329:I1329">
    <cfRule type="expression" dxfId="988" priority="974">
      <formula>$D1329=""</formula>
    </cfRule>
  </conditionalFormatting>
  <conditionalFormatting sqref="F1330">
    <cfRule type="expression" dxfId="987" priority="973">
      <formula>$D1329=""</formula>
    </cfRule>
  </conditionalFormatting>
  <conditionalFormatting sqref="B1331:F1331 H1331:I1331">
    <cfRule type="expression" dxfId="986" priority="972">
      <formula>$D1331=""</formula>
    </cfRule>
  </conditionalFormatting>
  <conditionalFormatting sqref="F1332">
    <cfRule type="expression" dxfId="985" priority="971">
      <formula>$D1331=""</formula>
    </cfRule>
  </conditionalFormatting>
  <conditionalFormatting sqref="B1333:F1333 H1333:I1333">
    <cfRule type="expression" dxfId="984" priority="970">
      <formula>$D1333=""</formula>
    </cfRule>
  </conditionalFormatting>
  <conditionalFormatting sqref="F1334">
    <cfRule type="expression" dxfId="983" priority="969">
      <formula>$D1333=""</formula>
    </cfRule>
  </conditionalFormatting>
  <conditionalFormatting sqref="B1335:F1335 H1335:I1335">
    <cfRule type="expression" dxfId="982" priority="968">
      <formula>$D1335=""</formula>
    </cfRule>
  </conditionalFormatting>
  <conditionalFormatting sqref="F1336">
    <cfRule type="expression" dxfId="981" priority="967">
      <formula>$D1335=""</formula>
    </cfRule>
  </conditionalFormatting>
  <conditionalFormatting sqref="B1337:F1337 H1337:I1337">
    <cfRule type="expression" dxfId="980" priority="966">
      <formula>$D1337=""</formula>
    </cfRule>
  </conditionalFormatting>
  <conditionalFormatting sqref="F1338">
    <cfRule type="expression" dxfId="979" priority="965">
      <formula>$D1337=""</formula>
    </cfRule>
  </conditionalFormatting>
  <conditionalFormatting sqref="B1339:F1339 H1339:I1339">
    <cfRule type="expression" dxfId="978" priority="964">
      <formula>$D1339=""</formula>
    </cfRule>
  </conditionalFormatting>
  <conditionalFormatting sqref="F1340">
    <cfRule type="expression" dxfId="977" priority="963">
      <formula>$D1339=""</formula>
    </cfRule>
  </conditionalFormatting>
  <conditionalFormatting sqref="B1341:F1341 H1341:I1341">
    <cfRule type="expression" dxfId="976" priority="962">
      <formula>$D1341=""</formula>
    </cfRule>
  </conditionalFormatting>
  <conditionalFormatting sqref="F1342">
    <cfRule type="expression" dxfId="975" priority="961">
      <formula>$D1341=""</formula>
    </cfRule>
  </conditionalFormatting>
  <conditionalFormatting sqref="B1343:F1343 H1343:I1343">
    <cfRule type="expression" dxfId="974" priority="960">
      <formula>$D1343=""</formula>
    </cfRule>
  </conditionalFormatting>
  <conditionalFormatting sqref="F1344">
    <cfRule type="expression" dxfId="973" priority="959">
      <formula>$D1343=""</formula>
    </cfRule>
  </conditionalFormatting>
  <conditionalFormatting sqref="B1345:F1345 H1345:I1345">
    <cfRule type="expression" dxfId="972" priority="958">
      <formula>$D1345=""</formula>
    </cfRule>
  </conditionalFormatting>
  <conditionalFormatting sqref="F1346">
    <cfRule type="expression" dxfId="971" priority="957">
      <formula>$D1345=""</formula>
    </cfRule>
  </conditionalFormatting>
  <conditionalFormatting sqref="B1347:F1347 H1347:I1347">
    <cfRule type="expression" dxfId="970" priority="956">
      <formula>$D1347=""</formula>
    </cfRule>
  </conditionalFormatting>
  <conditionalFormatting sqref="F1348">
    <cfRule type="expression" dxfId="969" priority="955">
      <formula>$D1347=""</formula>
    </cfRule>
  </conditionalFormatting>
  <conditionalFormatting sqref="B1349:F1349 H1349:I1349">
    <cfRule type="expression" dxfId="968" priority="954">
      <formula>$D1349=""</formula>
    </cfRule>
  </conditionalFormatting>
  <conditionalFormatting sqref="F1350">
    <cfRule type="expression" dxfId="967" priority="953">
      <formula>$D1349=""</formula>
    </cfRule>
  </conditionalFormatting>
  <conditionalFormatting sqref="B1351:F1351 H1351:I1351">
    <cfRule type="expression" dxfId="966" priority="952">
      <formula>$D1351=""</formula>
    </cfRule>
  </conditionalFormatting>
  <conditionalFormatting sqref="F1352">
    <cfRule type="expression" dxfId="965" priority="951">
      <formula>$D1351=""</formula>
    </cfRule>
  </conditionalFormatting>
  <conditionalFormatting sqref="B1353:F1353 H1353:I1353">
    <cfRule type="expression" dxfId="964" priority="950">
      <formula>$D1353=""</formula>
    </cfRule>
  </conditionalFormatting>
  <conditionalFormatting sqref="F1354">
    <cfRule type="expression" dxfId="963" priority="949">
      <formula>$D1353=""</formula>
    </cfRule>
  </conditionalFormatting>
  <conditionalFormatting sqref="B1355:F1355 H1355:I1355">
    <cfRule type="expression" dxfId="962" priority="948">
      <formula>$D1355=""</formula>
    </cfRule>
  </conditionalFormatting>
  <conditionalFormatting sqref="F1356">
    <cfRule type="expression" dxfId="961" priority="947">
      <formula>$D1355=""</formula>
    </cfRule>
  </conditionalFormatting>
  <conditionalFormatting sqref="B1357:F1357 H1357:I1357">
    <cfRule type="expression" dxfId="960" priority="946">
      <formula>$D1357=""</formula>
    </cfRule>
  </conditionalFormatting>
  <conditionalFormatting sqref="F1358">
    <cfRule type="expression" dxfId="959" priority="945">
      <formula>$D1357=""</formula>
    </cfRule>
  </conditionalFormatting>
  <conditionalFormatting sqref="B1359:F1359 H1359:I1359">
    <cfRule type="expression" dxfId="958" priority="944">
      <formula>$D1359=""</formula>
    </cfRule>
  </conditionalFormatting>
  <conditionalFormatting sqref="F1360">
    <cfRule type="expression" dxfId="957" priority="943">
      <formula>$D1359=""</formula>
    </cfRule>
  </conditionalFormatting>
  <conditionalFormatting sqref="B1361:F1361 H1361:I1361">
    <cfRule type="expression" dxfId="956" priority="942">
      <formula>$D1361=""</formula>
    </cfRule>
  </conditionalFormatting>
  <conditionalFormatting sqref="F1362">
    <cfRule type="expression" dxfId="955" priority="941">
      <formula>$D1361=""</formula>
    </cfRule>
  </conditionalFormatting>
  <conditionalFormatting sqref="B1363:F1363 H1363:I1363">
    <cfRule type="expression" dxfId="954" priority="940">
      <formula>$D1363=""</formula>
    </cfRule>
  </conditionalFormatting>
  <conditionalFormatting sqref="F1364">
    <cfRule type="expression" dxfId="953" priority="939">
      <formula>$D1363=""</formula>
    </cfRule>
  </conditionalFormatting>
  <conditionalFormatting sqref="B1365:F1365 H1365:I1365">
    <cfRule type="expression" dxfId="952" priority="938">
      <formula>$D1365=""</formula>
    </cfRule>
  </conditionalFormatting>
  <conditionalFormatting sqref="F1366">
    <cfRule type="expression" dxfId="951" priority="937">
      <formula>$D1365=""</formula>
    </cfRule>
  </conditionalFormatting>
  <conditionalFormatting sqref="B1367:F1367 H1367:I1367">
    <cfRule type="expression" dxfId="950" priority="936">
      <formula>$D1367=""</formula>
    </cfRule>
  </conditionalFormatting>
  <conditionalFormatting sqref="F1368">
    <cfRule type="expression" dxfId="949" priority="935">
      <formula>$D1367=""</formula>
    </cfRule>
  </conditionalFormatting>
  <conditionalFormatting sqref="B1369:F1369 H1369:I1369">
    <cfRule type="expression" dxfId="948" priority="934">
      <formula>$D1369=""</formula>
    </cfRule>
  </conditionalFormatting>
  <conditionalFormatting sqref="F1370">
    <cfRule type="expression" dxfId="947" priority="933">
      <formula>$D1369=""</formula>
    </cfRule>
  </conditionalFormatting>
  <conditionalFormatting sqref="B1371:F1371 H1371:I1371">
    <cfRule type="expression" dxfId="946" priority="932">
      <formula>$D1371=""</formula>
    </cfRule>
  </conditionalFormatting>
  <conditionalFormatting sqref="F1372">
    <cfRule type="expression" dxfId="945" priority="931">
      <formula>$D1371=""</formula>
    </cfRule>
  </conditionalFormatting>
  <conditionalFormatting sqref="B1373:F1373 H1373:I1373">
    <cfRule type="expression" dxfId="944" priority="930">
      <formula>$D1373=""</formula>
    </cfRule>
  </conditionalFormatting>
  <conditionalFormatting sqref="F1374">
    <cfRule type="expression" dxfId="943" priority="929">
      <formula>$D1373=""</formula>
    </cfRule>
  </conditionalFormatting>
  <conditionalFormatting sqref="B1375:F1375 H1375:I1375">
    <cfRule type="expression" dxfId="942" priority="928">
      <formula>$D1375=""</formula>
    </cfRule>
  </conditionalFormatting>
  <conditionalFormatting sqref="F1376">
    <cfRule type="expression" dxfId="941" priority="927">
      <formula>$D1375=""</formula>
    </cfRule>
  </conditionalFormatting>
  <conditionalFormatting sqref="B1377:F1377 H1377:I1377">
    <cfRule type="expression" dxfId="940" priority="926">
      <formula>$D1377=""</formula>
    </cfRule>
  </conditionalFormatting>
  <conditionalFormatting sqref="F1378">
    <cfRule type="expression" dxfId="939" priority="925">
      <formula>$D1377=""</formula>
    </cfRule>
  </conditionalFormatting>
  <conditionalFormatting sqref="B1379:F1379 H1379:I1379">
    <cfRule type="expression" dxfId="938" priority="924">
      <formula>$D1379=""</formula>
    </cfRule>
  </conditionalFormatting>
  <conditionalFormatting sqref="F1380">
    <cfRule type="expression" dxfId="937" priority="923">
      <formula>$D1379=""</formula>
    </cfRule>
  </conditionalFormatting>
  <conditionalFormatting sqref="B1381:F1381 H1381:I1381">
    <cfRule type="expression" dxfId="936" priority="922">
      <formula>$D1381=""</formula>
    </cfRule>
  </conditionalFormatting>
  <conditionalFormatting sqref="F1382">
    <cfRule type="expression" dxfId="935" priority="921">
      <formula>$D1381=""</formula>
    </cfRule>
  </conditionalFormatting>
  <conditionalFormatting sqref="B1383:F1383 H1383:I1383">
    <cfRule type="expression" dxfId="934" priority="920">
      <formula>$D1383=""</formula>
    </cfRule>
  </conditionalFormatting>
  <conditionalFormatting sqref="F1384">
    <cfRule type="expression" dxfId="933" priority="919">
      <formula>$D1383=""</formula>
    </cfRule>
  </conditionalFormatting>
  <conditionalFormatting sqref="B1385:F1385 H1385:I1385">
    <cfRule type="expression" dxfId="932" priority="918">
      <formula>$D1385=""</formula>
    </cfRule>
  </conditionalFormatting>
  <conditionalFormatting sqref="F1386">
    <cfRule type="expression" dxfId="931" priority="917">
      <formula>$D1385=""</formula>
    </cfRule>
  </conditionalFormatting>
  <conditionalFormatting sqref="B1387:F1387 H1387:I1387">
    <cfRule type="expression" dxfId="930" priority="916">
      <formula>$D1387=""</formula>
    </cfRule>
  </conditionalFormatting>
  <conditionalFormatting sqref="F1388">
    <cfRule type="expression" dxfId="929" priority="915">
      <formula>$D1387=""</formula>
    </cfRule>
  </conditionalFormatting>
  <conditionalFormatting sqref="B1389:F1389 H1389:I1389">
    <cfRule type="expression" dxfId="928" priority="914">
      <formula>$D1389=""</formula>
    </cfRule>
  </conditionalFormatting>
  <conditionalFormatting sqref="F1390">
    <cfRule type="expression" dxfId="927" priority="913">
      <formula>$D1389=""</formula>
    </cfRule>
  </conditionalFormatting>
  <conditionalFormatting sqref="B1391:F1391 H1391:I1391">
    <cfRule type="expression" dxfId="926" priority="912">
      <formula>$D1391=""</formula>
    </cfRule>
  </conditionalFormatting>
  <conditionalFormatting sqref="F1392">
    <cfRule type="expression" dxfId="925" priority="911">
      <formula>$D1391=""</formula>
    </cfRule>
  </conditionalFormatting>
  <conditionalFormatting sqref="B1393:F1393 H1393:I1393">
    <cfRule type="expression" dxfId="924" priority="910">
      <formula>$D1393=""</formula>
    </cfRule>
  </conditionalFormatting>
  <conditionalFormatting sqref="F1394">
    <cfRule type="expression" dxfId="923" priority="909">
      <formula>$D1393=""</formula>
    </cfRule>
  </conditionalFormatting>
  <conditionalFormatting sqref="B1395:F1395 H1395:I1395">
    <cfRule type="expression" dxfId="922" priority="908">
      <formula>$D1395=""</formula>
    </cfRule>
  </conditionalFormatting>
  <conditionalFormatting sqref="F1396">
    <cfRule type="expression" dxfId="921" priority="907">
      <formula>$D1395=""</formula>
    </cfRule>
  </conditionalFormatting>
  <conditionalFormatting sqref="B1397:F1397 H1397:I1397">
    <cfRule type="expression" dxfId="920" priority="906">
      <formula>$D1397=""</formula>
    </cfRule>
  </conditionalFormatting>
  <conditionalFormatting sqref="F1398">
    <cfRule type="expression" dxfId="919" priority="905">
      <formula>$D1397=""</formula>
    </cfRule>
  </conditionalFormatting>
  <conditionalFormatting sqref="B1399:F1399 H1399:I1399">
    <cfRule type="expression" dxfId="918" priority="904">
      <formula>$D1399=""</formula>
    </cfRule>
  </conditionalFormatting>
  <conditionalFormatting sqref="F1400">
    <cfRule type="expression" dxfId="917" priority="903">
      <formula>$D1399=""</formula>
    </cfRule>
  </conditionalFormatting>
  <conditionalFormatting sqref="B1401:F1401 H1401:I1401">
    <cfRule type="expression" dxfId="916" priority="902">
      <formula>$D1401=""</formula>
    </cfRule>
  </conditionalFormatting>
  <conditionalFormatting sqref="F1402">
    <cfRule type="expression" dxfId="915" priority="901">
      <formula>$D1401=""</formula>
    </cfRule>
  </conditionalFormatting>
  <conditionalFormatting sqref="B1403:F1403 H1403:I1403">
    <cfRule type="expression" dxfId="914" priority="900">
      <formula>$D1403=""</formula>
    </cfRule>
  </conditionalFormatting>
  <conditionalFormatting sqref="F1404">
    <cfRule type="expression" dxfId="913" priority="899">
      <formula>$D1403=""</formula>
    </cfRule>
  </conditionalFormatting>
  <conditionalFormatting sqref="B1405:F1405 H1405:I1405">
    <cfRule type="expression" dxfId="912" priority="898">
      <formula>$D1405=""</formula>
    </cfRule>
  </conditionalFormatting>
  <conditionalFormatting sqref="F1406">
    <cfRule type="expression" dxfId="911" priority="897">
      <formula>$D1405=""</formula>
    </cfRule>
  </conditionalFormatting>
  <conditionalFormatting sqref="B1407:F1407 H1407:I1407">
    <cfRule type="expression" dxfId="910" priority="896">
      <formula>$D1407=""</formula>
    </cfRule>
  </conditionalFormatting>
  <conditionalFormatting sqref="F1408">
    <cfRule type="expression" dxfId="909" priority="895">
      <formula>$D1407=""</formula>
    </cfRule>
  </conditionalFormatting>
  <conditionalFormatting sqref="B1409:F1409 H1409:I1409">
    <cfRule type="expression" dxfId="908" priority="894">
      <formula>$D1409=""</formula>
    </cfRule>
  </conditionalFormatting>
  <conditionalFormatting sqref="F1410">
    <cfRule type="expression" dxfId="907" priority="893">
      <formula>$D1409=""</formula>
    </cfRule>
  </conditionalFormatting>
  <conditionalFormatting sqref="B1411:F1411 H1411:I1411">
    <cfRule type="expression" dxfId="906" priority="892">
      <formula>$D1411=""</formula>
    </cfRule>
  </conditionalFormatting>
  <conditionalFormatting sqref="F1412">
    <cfRule type="expression" dxfId="905" priority="891">
      <formula>$D1411=""</formula>
    </cfRule>
  </conditionalFormatting>
  <conditionalFormatting sqref="B1413:F1413 H1413:I1413">
    <cfRule type="expression" dxfId="904" priority="890">
      <formula>$D1413=""</formula>
    </cfRule>
  </conditionalFormatting>
  <conditionalFormatting sqref="F1414">
    <cfRule type="expression" dxfId="903" priority="889">
      <formula>$D1413=""</formula>
    </cfRule>
  </conditionalFormatting>
  <conditionalFormatting sqref="B1415:F1415 H1415:I1415">
    <cfRule type="expression" dxfId="902" priority="888">
      <formula>$D1415=""</formula>
    </cfRule>
  </conditionalFormatting>
  <conditionalFormatting sqref="F1416">
    <cfRule type="expression" dxfId="901" priority="887">
      <formula>$D1415=""</formula>
    </cfRule>
  </conditionalFormatting>
  <conditionalFormatting sqref="B1417:F1417 H1417:I1417">
    <cfRule type="expression" dxfId="900" priority="886">
      <formula>$D1417=""</formula>
    </cfRule>
  </conditionalFormatting>
  <conditionalFormatting sqref="F1418">
    <cfRule type="expression" dxfId="899" priority="885">
      <formula>$D1417=""</formula>
    </cfRule>
  </conditionalFormatting>
  <conditionalFormatting sqref="B1419:F1419 H1419:I1419">
    <cfRule type="expression" dxfId="898" priority="884">
      <formula>$D1419=""</formula>
    </cfRule>
  </conditionalFormatting>
  <conditionalFormatting sqref="F1420">
    <cfRule type="expression" dxfId="897" priority="883">
      <formula>$D1419=""</formula>
    </cfRule>
  </conditionalFormatting>
  <conditionalFormatting sqref="B1421:F1421 H1421:I1421">
    <cfRule type="expression" dxfId="896" priority="882">
      <formula>$D1421=""</formula>
    </cfRule>
  </conditionalFormatting>
  <conditionalFormatting sqref="F1422">
    <cfRule type="expression" dxfId="895" priority="881">
      <formula>$D1421=""</formula>
    </cfRule>
  </conditionalFormatting>
  <conditionalFormatting sqref="B1423:F1423 H1423:I1423">
    <cfRule type="expression" dxfId="894" priority="880">
      <formula>$D1423=""</formula>
    </cfRule>
  </conditionalFormatting>
  <conditionalFormatting sqref="F1424">
    <cfRule type="expression" dxfId="893" priority="879">
      <formula>$D1423=""</formula>
    </cfRule>
  </conditionalFormatting>
  <conditionalFormatting sqref="B1425:F1425 H1425:I1425">
    <cfRule type="expression" dxfId="892" priority="878">
      <formula>$D1425=""</formula>
    </cfRule>
  </conditionalFormatting>
  <conditionalFormatting sqref="F1426">
    <cfRule type="expression" dxfId="891" priority="877">
      <formula>$D1425=""</formula>
    </cfRule>
  </conditionalFormatting>
  <conditionalFormatting sqref="B1427:F1427 H1427:I1427">
    <cfRule type="expression" dxfId="890" priority="876">
      <formula>$D1427=""</formula>
    </cfRule>
  </conditionalFormatting>
  <conditionalFormatting sqref="F1428">
    <cfRule type="expression" dxfId="889" priority="875">
      <formula>$D1427=""</formula>
    </cfRule>
  </conditionalFormatting>
  <conditionalFormatting sqref="B1429:F1429 H1429:I1429">
    <cfRule type="expression" dxfId="888" priority="874">
      <formula>$D1429=""</formula>
    </cfRule>
  </conditionalFormatting>
  <conditionalFormatting sqref="F1430">
    <cfRule type="expression" dxfId="887" priority="873">
      <formula>$D1429=""</formula>
    </cfRule>
  </conditionalFormatting>
  <conditionalFormatting sqref="B1431:F1431 H1431:I1431">
    <cfRule type="expression" dxfId="886" priority="872">
      <formula>$D1431=""</formula>
    </cfRule>
  </conditionalFormatting>
  <conditionalFormatting sqref="F1432">
    <cfRule type="expression" dxfId="885" priority="871">
      <formula>$D1431=""</formula>
    </cfRule>
  </conditionalFormatting>
  <conditionalFormatting sqref="B1433:F1433 H1433:I1433">
    <cfRule type="expression" dxfId="884" priority="870">
      <formula>$D1433=""</formula>
    </cfRule>
  </conditionalFormatting>
  <conditionalFormatting sqref="F1434">
    <cfRule type="expression" dxfId="883" priority="869">
      <formula>$D1433=""</formula>
    </cfRule>
  </conditionalFormatting>
  <conditionalFormatting sqref="B1435:F1435 H1435:I1435">
    <cfRule type="expression" dxfId="882" priority="868">
      <formula>$D1435=""</formula>
    </cfRule>
  </conditionalFormatting>
  <conditionalFormatting sqref="F1436">
    <cfRule type="expression" dxfId="881" priority="867">
      <formula>$D1435=""</formula>
    </cfRule>
  </conditionalFormatting>
  <conditionalFormatting sqref="B1437:F1437 H1437:I1437">
    <cfRule type="expression" dxfId="880" priority="866">
      <formula>$D1437=""</formula>
    </cfRule>
  </conditionalFormatting>
  <conditionalFormatting sqref="F1438">
    <cfRule type="expression" dxfId="879" priority="865">
      <formula>$D1437=""</formula>
    </cfRule>
  </conditionalFormatting>
  <conditionalFormatting sqref="B1439:F1439 H1439:I1439">
    <cfRule type="expression" dxfId="878" priority="864">
      <formula>$D1439=""</formula>
    </cfRule>
  </conditionalFormatting>
  <conditionalFormatting sqref="F1440">
    <cfRule type="expression" dxfId="877" priority="863">
      <formula>$D1439=""</formula>
    </cfRule>
  </conditionalFormatting>
  <conditionalFormatting sqref="B1441:F1441 H1441:I1441">
    <cfRule type="expression" dxfId="876" priority="862">
      <formula>$D1441=""</formula>
    </cfRule>
  </conditionalFormatting>
  <conditionalFormatting sqref="F1442">
    <cfRule type="expression" dxfId="875" priority="861">
      <formula>$D1441=""</formula>
    </cfRule>
  </conditionalFormatting>
  <conditionalFormatting sqref="B1443:F1443 H1443:I1443">
    <cfRule type="expression" dxfId="874" priority="860">
      <formula>$D1443=""</formula>
    </cfRule>
  </conditionalFormatting>
  <conditionalFormatting sqref="F1444">
    <cfRule type="expression" dxfId="873" priority="859">
      <formula>$D1443=""</formula>
    </cfRule>
  </conditionalFormatting>
  <conditionalFormatting sqref="B1445:F1445 H1445:I1445">
    <cfRule type="expression" dxfId="872" priority="858">
      <formula>$D1445=""</formula>
    </cfRule>
  </conditionalFormatting>
  <conditionalFormatting sqref="F1446">
    <cfRule type="expression" dxfId="871" priority="857">
      <formula>$D1445=""</formula>
    </cfRule>
  </conditionalFormatting>
  <conditionalFormatting sqref="B1447:F1447 H1447:I1447">
    <cfRule type="expression" dxfId="870" priority="856">
      <formula>$D1447=""</formula>
    </cfRule>
  </conditionalFormatting>
  <conditionalFormatting sqref="F1448">
    <cfRule type="expression" dxfId="869" priority="855">
      <formula>$D1447=""</formula>
    </cfRule>
  </conditionalFormatting>
  <conditionalFormatting sqref="B1449:F1449 H1449:I1449">
    <cfRule type="expression" dxfId="868" priority="854">
      <formula>$D1449=""</formula>
    </cfRule>
  </conditionalFormatting>
  <conditionalFormatting sqref="F1450">
    <cfRule type="expression" dxfId="867" priority="853">
      <formula>$D1449=""</formula>
    </cfRule>
  </conditionalFormatting>
  <conditionalFormatting sqref="B1451:F1451 H1451:I1451">
    <cfRule type="expression" dxfId="866" priority="852">
      <formula>$D1451=""</formula>
    </cfRule>
  </conditionalFormatting>
  <conditionalFormatting sqref="F1452">
    <cfRule type="expression" dxfId="865" priority="851">
      <formula>$D1451=""</formula>
    </cfRule>
  </conditionalFormatting>
  <conditionalFormatting sqref="B1453:F1453 H1453:I1453">
    <cfRule type="expression" dxfId="864" priority="850">
      <formula>$D1453=""</formula>
    </cfRule>
  </conditionalFormatting>
  <conditionalFormatting sqref="F1454">
    <cfRule type="expression" dxfId="863" priority="849">
      <formula>$D1453=""</formula>
    </cfRule>
  </conditionalFormatting>
  <conditionalFormatting sqref="B1455:F1455 H1455:I1455">
    <cfRule type="expression" dxfId="862" priority="848">
      <formula>$D1455=""</formula>
    </cfRule>
  </conditionalFormatting>
  <conditionalFormatting sqref="F1456">
    <cfRule type="expression" dxfId="861" priority="847">
      <formula>$D1455=""</formula>
    </cfRule>
  </conditionalFormatting>
  <conditionalFormatting sqref="B1457:F1457 H1457:I1457">
    <cfRule type="expression" dxfId="860" priority="846">
      <formula>$D1457=""</formula>
    </cfRule>
  </conditionalFormatting>
  <conditionalFormatting sqref="F1458">
    <cfRule type="expression" dxfId="859" priority="845">
      <formula>$D1457=""</formula>
    </cfRule>
  </conditionalFormatting>
  <conditionalFormatting sqref="B1459:F1459 H1459:I1459">
    <cfRule type="expression" dxfId="858" priority="844">
      <formula>$D1459=""</formula>
    </cfRule>
  </conditionalFormatting>
  <conditionalFormatting sqref="F1460">
    <cfRule type="expression" dxfId="857" priority="843">
      <formula>$D1459=""</formula>
    </cfRule>
  </conditionalFormatting>
  <conditionalFormatting sqref="B1461:F1461 H1461:I1461">
    <cfRule type="expression" dxfId="856" priority="842">
      <formula>$D1461=""</formula>
    </cfRule>
  </conditionalFormatting>
  <conditionalFormatting sqref="F1462">
    <cfRule type="expression" dxfId="855" priority="841">
      <formula>$D1461=""</formula>
    </cfRule>
  </conditionalFormatting>
  <conditionalFormatting sqref="B1463:F1463 H1463:I1463">
    <cfRule type="expression" dxfId="854" priority="840">
      <formula>$D1463=""</formula>
    </cfRule>
  </conditionalFormatting>
  <conditionalFormatting sqref="F1464">
    <cfRule type="expression" dxfId="853" priority="839">
      <formula>$D1463=""</formula>
    </cfRule>
  </conditionalFormatting>
  <conditionalFormatting sqref="B1465:F1465 H1465:I1465">
    <cfRule type="expression" dxfId="852" priority="838">
      <formula>$D1465=""</formula>
    </cfRule>
  </conditionalFormatting>
  <conditionalFormatting sqref="F1466">
    <cfRule type="expression" dxfId="851" priority="837">
      <formula>$D1465=""</formula>
    </cfRule>
  </conditionalFormatting>
  <conditionalFormatting sqref="B1467:F1467 H1467:I1467">
    <cfRule type="expression" dxfId="850" priority="836">
      <formula>$D1467=""</formula>
    </cfRule>
  </conditionalFormatting>
  <conditionalFormatting sqref="F1468">
    <cfRule type="expression" dxfId="849" priority="835">
      <formula>$D1467=""</formula>
    </cfRule>
  </conditionalFormatting>
  <conditionalFormatting sqref="B1469:F1469 H1469:I1469">
    <cfRule type="expression" dxfId="848" priority="834">
      <formula>$D1469=""</formula>
    </cfRule>
  </conditionalFormatting>
  <conditionalFormatting sqref="F1470">
    <cfRule type="expression" dxfId="847" priority="833">
      <formula>$D1469=""</formula>
    </cfRule>
  </conditionalFormatting>
  <conditionalFormatting sqref="B1471:F1471 H1471:I1471">
    <cfRule type="expression" dxfId="846" priority="832">
      <formula>$D1471=""</formula>
    </cfRule>
  </conditionalFormatting>
  <conditionalFormatting sqref="F1472">
    <cfRule type="expression" dxfId="845" priority="831">
      <formula>$D1471=""</formula>
    </cfRule>
  </conditionalFormatting>
  <conditionalFormatting sqref="B1473:F1473 H1473:I1473">
    <cfRule type="expression" dxfId="844" priority="830">
      <formula>$D1473=""</formula>
    </cfRule>
  </conditionalFormatting>
  <conditionalFormatting sqref="F1474">
    <cfRule type="expression" dxfId="843" priority="829">
      <formula>$D1473=""</formula>
    </cfRule>
  </conditionalFormatting>
  <conditionalFormatting sqref="B1475:F1475 H1475:I1475">
    <cfRule type="expression" dxfId="842" priority="828">
      <formula>$D1475=""</formula>
    </cfRule>
  </conditionalFormatting>
  <conditionalFormatting sqref="F1476">
    <cfRule type="expression" dxfId="841" priority="827">
      <formula>$D1475=""</formula>
    </cfRule>
  </conditionalFormatting>
  <conditionalFormatting sqref="B1477:F1477 H1477:I1477">
    <cfRule type="expression" dxfId="840" priority="826">
      <formula>$D1477=""</formula>
    </cfRule>
  </conditionalFormatting>
  <conditionalFormatting sqref="F1478">
    <cfRule type="expression" dxfId="839" priority="825">
      <formula>$D1477=""</formula>
    </cfRule>
  </conditionalFormatting>
  <conditionalFormatting sqref="B1479:F1479 H1479:I1479">
    <cfRule type="expression" dxfId="838" priority="824">
      <formula>$D1479=""</formula>
    </cfRule>
  </conditionalFormatting>
  <conditionalFormatting sqref="F1480">
    <cfRule type="expression" dxfId="837" priority="823">
      <formula>$D1479=""</formula>
    </cfRule>
  </conditionalFormatting>
  <conditionalFormatting sqref="B1481:F1481 H1481:I1481">
    <cfRule type="expression" dxfId="836" priority="822">
      <formula>$D1481=""</formula>
    </cfRule>
  </conditionalFormatting>
  <conditionalFormatting sqref="F1482">
    <cfRule type="expression" dxfId="835" priority="821">
      <formula>$D1481=""</formula>
    </cfRule>
  </conditionalFormatting>
  <conditionalFormatting sqref="B1483:F1483 H1483:I1483">
    <cfRule type="expression" dxfId="834" priority="820">
      <formula>$D1483=""</formula>
    </cfRule>
  </conditionalFormatting>
  <conditionalFormatting sqref="F1484">
    <cfRule type="expression" dxfId="833" priority="819">
      <formula>$D1483=""</formula>
    </cfRule>
  </conditionalFormatting>
  <conditionalFormatting sqref="B1485:F1485 H1485:I1485">
    <cfRule type="expression" dxfId="832" priority="818">
      <formula>$D1485=""</formula>
    </cfRule>
  </conditionalFormatting>
  <conditionalFormatting sqref="F1486">
    <cfRule type="expression" dxfId="831" priority="817">
      <formula>$D1485=""</formula>
    </cfRule>
  </conditionalFormatting>
  <conditionalFormatting sqref="B1487:F1487 H1487:I1487">
    <cfRule type="expression" dxfId="830" priority="816">
      <formula>$D1487=""</formula>
    </cfRule>
  </conditionalFormatting>
  <conditionalFormatting sqref="F1488">
    <cfRule type="expression" dxfId="829" priority="815">
      <formula>$D1487=""</formula>
    </cfRule>
  </conditionalFormatting>
  <conditionalFormatting sqref="B1489:F1489 H1489:I1489">
    <cfRule type="expression" dxfId="828" priority="814">
      <formula>$D1489=""</formula>
    </cfRule>
  </conditionalFormatting>
  <conditionalFormatting sqref="F1490">
    <cfRule type="expression" dxfId="827" priority="813">
      <formula>$D1489=""</formula>
    </cfRule>
  </conditionalFormatting>
  <conditionalFormatting sqref="B1491:F1491 H1491:I1491">
    <cfRule type="expression" dxfId="826" priority="812">
      <formula>$D1491=""</formula>
    </cfRule>
  </conditionalFormatting>
  <conditionalFormatting sqref="F1492">
    <cfRule type="expression" dxfId="825" priority="811">
      <formula>$D1491=""</formula>
    </cfRule>
  </conditionalFormatting>
  <conditionalFormatting sqref="B1493:F1493 H1493:I1493">
    <cfRule type="expression" dxfId="824" priority="810">
      <formula>$D1493=""</formula>
    </cfRule>
  </conditionalFormatting>
  <conditionalFormatting sqref="F1494">
    <cfRule type="expression" dxfId="823" priority="809">
      <formula>$D1493=""</formula>
    </cfRule>
  </conditionalFormatting>
  <conditionalFormatting sqref="B1495:F1495 H1495:I1495">
    <cfRule type="expression" dxfId="822" priority="808">
      <formula>$D1495=""</formula>
    </cfRule>
  </conditionalFormatting>
  <conditionalFormatting sqref="F1496">
    <cfRule type="expression" dxfId="821" priority="807">
      <formula>$D1495=""</formula>
    </cfRule>
  </conditionalFormatting>
  <conditionalFormatting sqref="B1497:F1497 H1497:I1497">
    <cfRule type="expression" dxfId="820" priority="806">
      <formula>$D1497=""</formula>
    </cfRule>
  </conditionalFormatting>
  <conditionalFormatting sqref="F1498">
    <cfRule type="expression" dxfId="819" priority="805">
      <formula>$D1497=""</formula>
    </cfRule>
  </conditionalFormatting>
  <conditionalFormatting sqref="B1499:F1499 H1499:I1499">
    <cfRule type="expression" dxfId="818" priority="804">
      <formula>$D1499=""</formula>
    </cfRule>
  </conditionalFormatting>
  <conditionalFormatting sqref="F1500">
    <cfRule type="expression" dxfId="817" priority="803">
      <formula>$D1499=""</formula>
    </cfRule>
  </conditionalFormatting>
  <conditionalFormatting sqref="B1501:F1501 H1501:I1501">
    <cfRule type="expression" dxfId="816" priority="802">
      <formula>$D1501=""</formula>
    </cfRule>
  </conditionalFormatting>
  <conditionalFormatting sqref="F1502">
    <cfRule type="expression" dxfId="815" priority="801">
      <formula>$D1501=""</formula>
    </cfRule>
  </conditionalFormatting>
  <conditionalFormatting sqref="B1503:F1503 H1503:I1503">
    <cfRule type="expression" dxfId="814" priority="800">
      <formula>$D1503=""</formula>
    </cfRule>
  </conditionalFormatting>
  <conditionalFormatting sqref="F1504">
    <cfRule type="expression" dxfId="813" priority="799">
      <formula>$D1503=""</formula>
    </cfRule>
  </conditionalFormatting>
  <conditionalFormatting sqref="B1505:F1505 H1505:I1505">
    <cfRule type="expression" dxfId="812" priority="798">
      <formula>$D1505=""</formula>
    </cfRule>
  </conditionalFormatting>
  <conditionalFormatting sqref="F1506">
    <cfRule type="expression" dxfId="811" priority="797">
      <formula>$D1505=""</formula>
    </cfRule>
  </conditionalFormatting>
  <conditionalFormatting sqref="B1507:F1507 H1507:I1507">
    <cfRule type="expression" dxfId="810" priority="796">
      <formula>$D1507=""</formula>
    </cfRule>
  </conditionalFormatting>
  <conditionalFormatting sqref="F1508">
    <cfRule type="expression" dxfId="809" priority="795">
      <formula>$D1507=""</formula>
    </cfRule>
  </conditionalFormatting>
  <conditionalFormatting sqref="B1509:F1509 H1509:I1509">
    <cfRule type="expression" dxfId="808" priority="794">
      <formula>$D1509=""</formula>
    </cfRule>
  </conditionalFormatting>
  <conditionalFormatting sqref="F1510">
    <cfRule type="expression" dxfId="807" priority="793">
      <formula>$D1509=""</formula>
    </cfRule>
  </conditionalFormatting>
  <conditionalFormatting sqref="B1511:F1511 H1511:I1511">
    <cfRule type="expression" dxfId="806" priority="792">
      <formula>$D1511=""</formula>
    </cfRule>
  </conditionalFormatting>
  <conditionalFormatting sqref="F1512">
    <cfRule type="expression" dxfId="805" priority="791">
      <formula>$D1511=""</formula>
    </cfRule>
  </conditionalFormatting>
  <conditionalFormatting sqref="B1513:F1513 H1513:I1513">
    <cfRule type="expression" dxfId="804" priority="790">
      <formula>$D1513=""</formula>
    </cfRule>
  </conditionalFormatting>
  <conditionalFormatting sqref="F1514">
    <cfRule type="expression" dxfId="803" priority="789">
      <formula>$D1513=""</formula>
    </cfRule>
  </conditionalFormatting>
  <conditionalFormatting sqref="B1515:F1515 H1515:I1515">
    <cfRule type="expression" dxfId="802" priority="788">
      <formula>$D1515=""</formula>
    </cfRule>
  </conditionalFormatting>
  <conditionalFormatting sqref="F1516">
    <cfRule type="expression" dxfId="801" priority="787">
      <formula>$D1515=""</formula>
    </cfRule>
  </conditionalFormatting>
  <conditionalFormatting sqref="B1517:F1517 H1517:I1517">
    <cfRule type="expression" dxfId="800" priority="786">
      <formula>$D1517=""</formula>
    </cfRule>
  </conditionalFormatting>
  <conditionalFormatting sqref="F1518">
    <cfRule type="expression" dxfId="799" priority="785">
      <formula>$D1517=""</formula>
    </cfRule>
  </conditionalFormatting>
  <conditionalFormatting sqref="B1519:F1519 H1519:I1519">
    <cfRule type="expression" dxfId="798" priority="784">
      <formula>$D1519=""</formula>
    </cfRule>
  </conditionalFormatting>
  <conditionalFormatting sqref="F1520">
    <cfRule type="expression" dxfId="797" priority="783">
      <formula>$D1519=""</formula>
    </cfRule>
  </conditionalFormatting>
  <conditionalFormatting sqref="B1521:F1521 H1521:I1521">
    <cfRule type="expression" dxfId="796" priority="782">
      <formula>$D1521=""</formula>
    </cfRule>
  </conditionalFormatting>
  <conditionalFormatting sqref="F1522">
    <cfRule type="expression" dxfId="795" priority="781">
      <formula>$D1521=""</formula>
    </cfRule>
  </conditionalFormatting>
  <conditionalFormatting sqref="B1523:F1523 H1523:I1523">
    <cfRule type="expression" dxfId="794" priority="780">
      <formula>$D1523=""</formula>
    </cfRule>
  </conditionalFormatting>
  <conditionalFormatting sqref="F1524">
    <cfRule type="expression" dxfId="793" priority="779">
      <formula>$D1523=""</formula>
    </cfRule>
  </conditionalFormatting>
  <conditionalFormatting sqref="B1525:F1525 H1525:I1525">
    <cfRule type="expression" dxfId="792" priority="778">
      <formula>$D1525=""</formula>
    </cfRule>
  </conditionalFormatting>
  <conditionalFormatting sqref="F1526">
    <cfRule type="expression" dxfId="791" priority="777">
      <formula>$D1525=""</formula>
    </cfRule>
  </conditionalFormatting>
  <conditionalFormatting sqref="B1527:F1527 H1527:I1527">
    <cfRule type="expression" dxfId="790" priority="776">
      <formula>$D1527=""</formula>
    </cfRule>
  </conditionalFormatting>
  <conditionalFormatting sqref="F1528">
    <cfRule type="expression" dxfId="789" priority="775">
      <formula>$D1527=""</formula>
    </cfRule>
  </conditionalFormatting>
  <conditionalFormatting sqref="B1529:F1529 H1529:I1529">
    <cfRule type="expression" dxfId="788" priority="774">
      <formula>$D1529=""</formula>
    </cfRule>
  </conditionalFormatting>
  <conditionalFormatting sqref="F1530">
    <cfRule type="expression" dxfId="787" priority="773">
      <formula>$D1529=""</formula>
    </cfRule>
  </conditionalFormatting>
  <conditionalFormatting sqref="B1531:F1531 H1531:I1531">
    <cfRule type="expression" dxfId="786" priority="772">
      <formula>$D1531=""</formula>
    </cfRule>
  </conditionalFormatting>
  <conditionalFormatting sqref="F1532">
    <cfRule type="expression" dxfId="785" priority="771">
      <formula>$D1531=""</formula>
    </cfRule>
  </conditionalFormatting>
  <conditionalFormatting sqref="B1533:F1533 H1533:I1533">
    <cfRule type="expression" dxfId="784" priority="770">
      <formula>$D1533=""</formula>
    </cfRule>
  </conditionalFormatting>
  <conditionalFormatting sqref="F1534">
    <cfRule type="expression" dxfId="783" priority="769">
      <formula>$D1533=""</formula>
    </cfRule>
  </conditionalFormatting>
  <conditionalFormatting sqref="B1535:F1535 H1535:I1535">
    <cfRule type="expression" dxfId="782" priority="768">
      <formula>$D1535=""</formula>
    </cfRule>
  </conditionalFormatting>
  <conditionalFormatting sqref="F1536">
    <cfRule type="expression" dxfId="781" priority="767">
      <formula>$D1535=""</formula>
    </cfRule>
  </conditionalFormatting>
  <conditionalFormatting sqref="B1537:F1537 H1537:I1537">
    <cfRule type="expression" dxfId="780" priority="766">
      <formula>$D1537=""</formula>
    </cfRule>
  </conditionalFormatting>
  <conditionalFormatting sqref="F1538">
    <cfRule type="expression" dxfId="779" priority="765">
      <formula>$D1537=""</formula>
    </cfRule>
  </conditionalFormatting>
  <conditionalFormatting sqref="B1539:F1539 H1539:I1539">
    <cfRule type="expression" dxfId="778" priority="764">
      <formula>$D1539=""</formula>
    </cfRule>
  </conditionalFormatting>
  <conditionalFormatting sqref="F1540">
    <cfRule type="expression" dxfId="777" priority="763">
      <formula>$D1539=""</formula>
    </cfRule>
  </conditionalFormatting>
  <conditionalFormatting sqref="B1541:F1541 H1541:I1541">
    <cfRule type="expression" dxfId="776" priority="762">
      <formula>$D1541=""</formula>
    </cfRule>
  </conditionalFormatting>
  <conditionalFormatting sqref="F1542">
    <cfRule type="expression" dxfId="775" priority="761">
      <formula>$D1541=""</formula>
    </cfRule>
  </conditionalFormatting>
  <conditionalFormatting sqref="B1543:F1543 H1543:I1543">
    <cfRule type="expression" dxfId="774" priority="760">
      <formula>$D1543=""</formula>
    </cfRule>
  </conditionalFormatting>
  <conditionalFormatting sqref="F1544">
    <cfRule type="expression" dxfId="773" priority="759">
      <formula>$D1543=""</formula>
    </cfRule>
  </conditionalFormatting>
  <conditionalFormatting sqref="B1545:F1545 H1545:I1545">
    <cfRule type="expression" dxfId="772" priority="758">
      <formula>$D1545=""</formula>
    </cfRule>
  </conditionalFormatting>
  <conditionalFormatting sqref="F1546">
    <cfRule type="expression" dxfId="771" priority="757">
      <formula>$D1545=""</formula>
    </cfRule>
  </conditionalFormatting>
  <conditionalFormatting sqref="B1547:F1547 H1547:I1547">
    <cfRule type="expression" dxfId="770" priority="756">
      <formula>$D1547=""</formula>
    </cfRule>
  </conditionalFormatting>
  <conditionalFormatting sqref="F1548">
    <cfRule type="expression" dxfId="769" priority="755">
      <formula>$D1547=""</formula>
    </cfRule>
  </conditionalFormatting>
  <conditionalFormatting sqref="B1549:F1549 H1549:I1549">
    <cfRule type="expression" dxfId="768" priority="754">
      <formula>$D1549=""</formula>
    </cfRule>
  </conditionalFormatting>
  <conditionalFormatting sqref="F1550">
    <cfRule type="expression" dxfId="767" priority="753">
      <formula>$D1549=""</formula>
    </cfRule>
  </conditionalFormatting>
  <conditionalFormatting sqref="B1551:F1551 H1551:I1551">
    <cfRule type="expression" dxfId="766" priority="752">
      <formula>$D1551=""</formula>
    </cfRule>
  </conditionalFormatting>
  <conditionalFormatting sqref="F1552">
    <cfRule type="expression" dxfId="765" priority="751">
      <formula>$D1551=""</formula>
    </cfRule>
  </conditionalFormatting>
  <conditionalFormatting sqref="B1553:F1553 H1553:I1553">
    <cfRule type="expression" dxfId="764" priority="750">
      <formula>$D1553=""</formula>
    </cfRule>
  </conditionalFormatting>
  <conditionalFormatting sqref="F1554">
    <cfRule type="expression" dxfId="763" priority="749">
      <formula>$D1553=""</formula>
    </cfRule>
  </conditionalFormatting>
  <conditionalFormatting sqref="B1555:F1555 H1555:I1555">
    <cfRule type="expression" dxfId="762" priority="748">
      <formula>$D1555=""</formula>
    </cfRule>
  </conditionalFormatting>
  <conditionalFormatting sqref="F1556">
    <cfRule type="expression" dxfId="761" priority="747">
      <formula>$D1555=""</formula>
    </cfRule>
  </conditionalFormatting>
  <conditionalFormatting sqref="B1557:F1557 H1557:I1557">
    <cfRule type="expression" dxfId="760" priority="746">
      <formula>$D1557=""</formula>
    </cfRule>
  </conditionalFormatting>
  <conditionalFormatting sqref="F1558">
    <cfRule type="expression" dxfId="759" priority="745">
      <formula>$D1557=""</formula>
    </cfRule>
  </conditionalFormatting>
  <conditionalFormatting sqref="B1559:F1559 H1559:I1559">
    <cfRule type="expression" dxfId="758" priority="744">
      <formula>$D1559=""</formula>
    </cfRule>
  </conditionalFormatting>
  <conditionalFormatting sqref="F1560">
    <cfRule type="expression" dxfId="757" priority="743">
      <formula>$D1559=""</formula>
    </cfRule>
  </conditionalFormatting>
  <conditionalFormatting sqref="B1561:F1561 H1561:I1561">
    <cfRule type="expression" dxfId="756" priority="742">
      <formula>$D1561=""</formula>
    </cfRule>
  </conditionalFormatting>
  <conditionalFormatting sqref="F1562">
    <cfRule type="expression" dxfId="755" priority="741">
      <formula>$D1561=""</formula>
    </cfRule>
  </conditionalFormatting>
  <conditionalFormatting sqref="B1563:F1563 H1563:I1563">
    <cfRule type="expression" dxfId="754" priority="740">
      <formula>$D1563=""</formula>
    </cfRule>
  </conditionalFormatting>
  <conditionalFormatting sqref="F1564">
    <cfRule type="expression" dxfId="753" priority="739">
      <formula>$D1563=""</formula>
    </cfRule>
  </conditionalFormatting>
  <conditionalFormatting sqref="B1565:F1565 H1565:I1565">
    <cfRule type="expression" dxfId="752" priority="738">
      <formula>$D1565=""</formula>
    </cfRule>
  </conditionalFormatting>
  <conditionalFormatting sqref="F1566">
    <cfRule type="expression" dxfId="751" priority="737">
      <formula>$D1565=""</formula>
    </cfRule>
  </conditionalFormatting>
  <conditionalFormatting sqref="B1567:F1567 H1567:I1567">
    <cfRule type="expression" dxfId="750" priority="736">
      <formula>$D1567=""</formula>
    </cfRule>
  </conditionalFormatting>
  <conditionalFormatting sqref="F1568">
    <cfRule type="expression" dxfId="749" priority="735">
      <formula>$D1567=""</formula>
    </cfRule>
  </conditionalFormatting>
  <conditionalFormatting sqref="B1569:F1569 H1569:I1569">
    <cfRule type="expression" dxfId="748" priority="734">
      <formula>$D1569=""</formula>
    </cfRule>
  </conditionalFormatting>
  <conditionalFormatting sqref="F1570">
    <cfRule type="expression" dxfId="747" priority="733">
      <formula>$D1569=""</formula>
    </cfRule>
  </conditionalFormatting>
  <conditionalFormatting sqref="B1571:F1571 H1571:I1571">
    <cfRule type="expression" dxfId="746" priority="732">
      <formula>$D1571=""</formula>
    </cfRule>
  </conditionalFormatting>
  <conditionalFormatting sqref="F1572">
    <cfRule type="expression" dxfId="745" priority="731">
      <formula>$D1571=""</formula>
    </cfRule>
  </conditionalFormatting>
  <conditionalFormatting sqref="B1573:F1573 H1573:I1573">
    <cfRule type="expression" dxfId="744" priority="730">
      <formula>$D1573=""</formula>
    </cfRule>
  </conditionalFormatting>
  <conditionalFormatting sqref="F1574">
    <cfRule type="expression" dxfId="743" priority="729">
      <formula>$D1573=""</formula>
    </cfRule>
  </conditionalFormatting>
  <conditionalFormatting sqref="B1575:F1575 H1575:I1575">
    <cfRule type="expression" dxfId="742" priority="728">
      <formula>$D1575=""</formula>
    </cfRule>
  </conditionalFormatting>
  <conditionalFormatting sqref="F1576">
    <cfRule type="expression" dxfId="741" priority="727">
      <formula>$D1575=""</formula>
    </cfRule>
  </conditionalFormatting>
  <conditionalFormatting sqref="B1577:F1577 H1577:I1577">
    <cfRule type="expression" dxfId="740" priority="726">
      <formula>$D1577=""</formula>
    </cfRule>
  </conditionalFormatting>
  <conditionalFormatting sqref="F1578">
    <cfRule type="expression" dxfId="739" priority="725">
      <formula>$D1577=""</formula>
    </cfRule>
  </conditionalFormatting>
  <conditionalFormatting sqref="B1579:F1579 H1579:I1579">
    <cfRule type="expression" dxfId="738" priority="724">
      <formula>$D1579=""</formula>
    </cfRule>
  </conditionalFormatting>
  <conditionalFormatting sqref="F1580">
    <cfRule type="expression" dxfId="737" priority="723">
      <formula>$D1579=""</formula>
    </cfRule>
  </conditionalFormatting>
  <conditionalFormatting sqref="B1581:F1581 H1581:I1581">
    <cfRule type="expression" dxfId="736" priority="722">
      <formula>$D1581=""</formula>
    </cfRule>
  </conditionalFormatting>
  <conditionalFormatting sqref="F1582">
    <cfRule type="expression" dxfId="735" priority="721">
      <formula>$D1581=""</formula>
    </cfRule>
  </conditionalFormatting>
  <conditionalFormatting sqref="B1583:F1583 H1583:I1583">
    <cfRule type="expression" dxfId="734" priority="720">
      <formula>$D1583=""</formula>
    </cfRule>
  </conditionalFormatting>
  <conditionalFormatting sqref="F1584">
    <cfRule type="expression" dxfId="733" priority="719">
      <formula>$D1583=""</formula>
    </cfRule>
  </conditionalFormatting>
  <conditionalFormatting sqref="B1585:F1585 H1585:I1585">
    <cfRule type="expression" dxfId="732" priority="718">
      <formula>$D1585=""</formula>
    </cfRule>
  </conditionalFormatting>
  <conditionalFormatting sqref="F1586">
    <cfRule type="expression" dxfId="731" priority="717">
      <formula>$D1585=""</formula>
    </cfRule>
  </conditionalFormatting>
  <conditionalFormatting sqref="B1587:F1587 H1587:I1587">
    <cfRule type="expression" dxfId="730" priority="716">
      <formula>$D1587=""</formula>
    </cfRule>
  </conditionalFormatting>
  <conditionalFormatting sqref="F1588">
    <cfRule type="expression" dxfId="729" priority="715">
      <formula>$D1587=""</formula>
    </cfRule>
  </conditionalFormatting>
  <conditionalFormatting sqref="B1589:F1589 H1589:I1589">
    <cfRule type="expression" dxfId="728" priority="714">
      <formula>$D1589=""</formula>
    </cfRule>
  </conditionalFormatting>
  <conditionalFormatting sqref="F1590">
    <cfRule type="expression" dxfId="727" priority="713">
      <formula>$D1589=""</formula>
    </cfRule>
  </conditionalFormatting>
  <conditionalFormatting sqref="B1591:F1591 H1591:I1591">
    <cfRule type="expression" dxfId="726" priority="712">
      <formula>$D1591=""</formula>
    </cfRule>
  </conditionalFormatting>
  <conditionalFormatting sqref="F1592">
    <cfRule type="expression" dxfId="725" priority="711">
      <formula>$D1591=""</formula>
    </cfRule>
  </conditionalFormatting>
  <conditionalFormatting sqref="B1593:F1593 H1593:I1593">
    <cfRule type="expression" dxfId="724" priority="710">
      <formula>$D1593=""</formula>
    </cfRule>
  </conditionalFormatting>
  <conditionalFormatting sqref="F1594">
    <cfRule type="expression" dxfId="723" priority="709">
      <formula>$D1593=""</formula>
    </cfRule>
  </conditionalFormatting>
  <conditionalFormatting sqref="B1595:F1595 H1595:I1595">
    <cfRule type="expression" dxfId="722" priority="708">
      <formula>$D1595=""</formula>
    </cfRule>
  </conditionalFormatting>
  <conditionalFormatting sqref="F1596">
    <cfRule type="expression" dxfId="721" priority="707">
      <formula>$D1595=""</formula>
    </cfRule>
  </conditionalFormatting>
  <conditionalFormatting sqref="B1597:F1597 H1597:I1597">
    <cfRule type="expression" dxfId="720" priority="706">
      <formula>$D1597=""</formula>
    </cfRule>
  </conditionalFormatting>
  <conditionalFormatting sqref="F1598">
    <cfRule type="expression" dxfId="719" priority="705">
      <formula>$D1597=""</formula>
    </cfRule>
  </conditionalFormatting>
  <conditionalFormatting sqref="B1599:F1599 H1599:I1599">
    <cfRule type="expression" dxfId="718" priority="704">
      <formula>$D1599=""</formula>
    </cfRule>
  </conditionalFormatting>
  <conditionalFormatting sqref="F1600">
    <cfRule type="expression" dxfId="717" priority="703">
      <formula>$D1599=""</formula>
    </cfRule>
  </conditionalFormatting>
  <conditionalFormatting sqref="B1601:F1601 H1601:I1601">
    <cfRule type="expression" dxfId="716" priority="702">
      <formula>$D1601=""</formula>
    </cfRule>
  </conditionalFormatting>
  <conditionalFormatting sqref="F1602">
    <cfRule type="expression" dxfId="715" priority="701">
      <formula>$D1601=""</formula>
    </cfRule>
  </conditionalFormatting>
  <conditionalFormatting sqref="B1603:F1603 H1603:I1603">
    <cfRule type="expression" dxfId="714" priority="700">
      <formula>$D1603=""</formula>
    </cfRule>
  </conditionalFormatting>
  <conditionalFormatting sqref="F1604">
    <cfRule type="expression" dxfId="713" priority="699">
      <formula>$D1603=""</formula>
    </cfRule>
  </conditionalFormatting>
  <conditionalFormatting sqref="B1605:F1605 H1605:I1605">
    <cfRule type="expression" dxfId="712" priority="698">
      <formula>$D1605=""</formula>
    </cfRule>
  </conditionalFormatting>
  <conditionalFormatting sqref="F1606">
    <cfRule type="expression" dxfId="711" priority="697">
      <formula>$D1605=""</formula>
    </cfRule>
  </conditionalFormatting>
  <conditionalFormatting sqref="B1607:F1607 H1607:I1607">
    <cfRule type="expression" dxfId="710" priority="696">
      <formula>$D1607=""</formula>
    </cfRule>
  </conditionalFormatting>
  <conditionalFormatting sqref="F1608">
    <cfRule type="expression" dxfId="709" priority="695">
      <formula>$D1607=""</formula>
    </cfRule>
  </conditionalFormatting>
  <conditionalFormatting sqref="B1609:F1609 H1609:I1609">
    <cfRule type="expression" dxfId="708" priority="694">
      <formula>$D1609=""</formula>
    </cfRule>
  </conditionalFormatting>
  <conditionalFormatting sqref="F1610">
    <cfRule type="expression" dxfId="707" priority="693">
      <formula>$D1609=""</formula>
    </cfRule>
  </conditionalFormatting>
  <conditionalFormatting sqref="B1611:F1611 H1611:I1611">
    <cfRule type="expression" dxfId="706" priority="692">
      <formula>$D1611=""</formula>
    </cfRule>
  </conditionalFormatting>
  <conditionalFormatting sqref="F1612">
    <cfRule type="expression" dxfId="705" priority="691">
      <formula>$D1611=""</formula>
    </cfRule>
  </conditionalFormatting>
  <conditionalFormatting sqref="B1613:F1613 H1613:I1613">
    <cfRule type="expression" dxfId="704" priority="690">
      <formula>$D1613=""</formula>
    </cfRule>
  </conditionalFormatting>
  <conditionalFormatting sqref="F1614">
    <cfRule type="expression" dxfId="703" priority="689">
      <formula>$D1613=""</formula>
    </cfRule>
  </conditionalFormatting>
  <conditionalFormatting sqref="B1615:F1615 H1615:I1615">
    <cfRule type="expression" dxfId="702" priority="688">
      <formula>$D1615=""</formula>
    </cfRule>
  </conditionalFormatting>
  <conditionalFormatting sqref="F1616">
    <cfRule type="expression" dxfId="701" priority="687">
      <formula>$D1615=""</formula>
    </cfRule>
  </conditionalFormatting>
  <conditionalFormatting sqref="B1617:F1617 H1617:I1617">
    <cfRule type="expression" dxfId="700" priority="686">
      <formula>$D1617=""</formula>
    </cfRule>
  </conditionalFormatting>
  <conditionalFormatting sqref="F1618">
    <cfRule type="expression" dxfId="699" priority="685">
      <formula>$D1617=""</formula>
    </cfRule>
  </conditionalFormatting>
  <conditionalFormatting sqref="B1619:F1619 H1619:I1619">
    <cfRule type="expression" dxfId="698" priority="684">
      <formula>$D1619=""</formula>
    </cfRule>
  </conditionalFormatting>
  <conditionalFormatting sqref="F1620">
    <cfRule type="expression" dxfId="697" priority="683">
      <formula>$D1619=""</formula>
    </cfRule>
  </conditionalFormatting>
  <conditionalFormatting sqref="B1621:F1621 H1621:I1621">
    <cfRule type="expression" dxfId="696" priority="682">
      <formula>$D1621=""</formula>
    </cfRule>
  </conditionalFormatting>
  <conditionalFormatting sqref="F1622">
    <cfRule type="expression" dxfId="695" priority="681">
      <formula>$D1621=""</formula>
    </cfRule>
  </conditionalFormatting>
  <conditionalFormatting sqref="B1623:F1623 H1623:I1623">
    <cfRule type="expression" dxfId="694" priority="680">
      <formula>$D1623=""</formula>
    </cfRule>
  </conditionalFormatting>
  <conditionalFormatting sqref="F1624">
    <cfRule type="expression" dxfId="693" priority="679">
      <formula>$D1623=""</formula>
    </cfRule>
  </conditionalFormatting>
  <conditionalFormatting sqref="B1625:F1625 H1625:I1625">
    <cfRule type="expression" dxfId="692" priority="678">
      <formula>$D1625=""</formula>
    </cfRule>
  </conditionalFormatting>
  <conditionalFormatting sqref="F1626">
    <cfRule type="expression" dxfId="691" priority="677">
      <formula>$D1625=""</formula>
    </cfRule>
  </conditionalFormatting>
  <conditionalFormatting sqref="B1627:F1627 H1627:I1627">
    <cfRule type="expression" dxfId="690" priority="676">
      <formula>$D1627=""</formula>
    </cfRule>
  </conditionalFormatting>
  <conditionalFormatting sqref="F1628">
    <cfRule type="expression" dxfId="689" priority="675">
      <formula>$D1627=""</formula>
    </cfRule>
  </conditionalFormatting>
  <conditionalFormatting sqref="B1629:F1629 H1629:I1629">
    <cfRule type="expression" dxfId="688" priority="674">
      <formula>$D1629=""</formula>
    </cfRule>
  </conditionalFormatting>
  <conditionalFormatting sqref="F1630">
    <cfRule type="expression" dxfId="687" priority="673">
      <formula>$D1629=""</formula>
    </cfRule>
  </conditionalFormatting>
  <conditionalFormatting sqref="B1631:F1631 H1631:I1631">
    <cfRule type="expression" dxfId="686" priority="672">
      <formula>$D1631=""</formula>
    </cfRule>
  </conditionalFormatting>
  <conditionalFormatting sqref="F1632">
    <cfRule type="expression" dxfId="685" priority="671">
      <formula>$D1631=""</formula>
    </cfRule>
  </conditionalFormatting>
  <conditionalFormatting sqref="B1633:F1633 H1633:I1633">
    <cfRule type="expression" dxfId="684" priority="670">
      <formula>$D1633=""</formula>
    </cfRule>
  </conditionalFormatting>
  <conditionalFormatting sqref="F1634">
    <cfRule type="expression" dxfId="683" priority="669">
      <formula>$D1633=""</formula>
    </cfRule>
  </conditionalFormatting>
  <conditionalFormatting sqref="B1635:F1635 H1635:I1635">
    <cfRule type="expression" dxfId="682" priority="668">
      <formula>$D1635=""</formula>
    </cfRule>
  </conditionalFormatting>
  <conditionalFormatting sqref="F1636">
    <cfRule type="expression" dxfId="681" priority="667">
      <formula>$D1635=""</formula>
    </cfRule>
  </conditionalFormatting>
  <conditionalFormatting sqref="B1637:F1637 H1637:I1637">
    <cfRule type="expression" dxfId="680" priority="666">
      <formula>$D1637=""</formula>
    </cfRule>
  </conditionalFormatting>
  <conditionalFormatting sqref="F1638">
    <cfRule type="expression" dxfId="679" priority="665">
      <formula>$D1637=""</formula>
    </cfRule>
  </conditionalFormatting>
  <conditionalFormatting sqref="B1639:F1639 H1639:I1639">
    <cfRule type="expression" dxfId="678" priority="664">
      <formula>$D1639=""</formula>
    </cfRule>
  </conditionalFormatting>
  <conditionalFormatting sqref="F1640">
    <cfRule type="expression" dxfId="677" priority="663">
      <formula>$D1639=""</formula>
    </cfRule>
  </conditionalFormatting>
  <conditionalFormatting sqref="B1641:F1641 H1641:I1641">
    <cfRule type="expression" dxfId="676" priority="662">
      <formula>$D1641=""</formula>
    </cfRule>
  </conditionalFormatting>
  <conditionalFormatting sqref="F1642">
    <cfRule type="expression" dxfId="675" priority="661">
      <formula>$D1641=""</formula>
    </cfRule>
  </conditionalFormatting>
  <conditionalFormatting sqref="B1643:F1643 H1643:I1643">
    <cfRule type="expression" dxfId="674" priority="660">
      <formula>$D1643=""</formula>
    </cfRule>
  </conditionalFormatting>
  <conditionalFormatting sqref="F1644">
    <cfRule type="expression" dxfId="673" priority="659">
      <formula>$D1643=""</formula>
    </cfRule>
  </conditionalFormatting>
  <conditionalFormatting sqref="B1645:F1645 H1645:I1645">
    <cfRule type="expression" dxfId="672" priority="658">
      <formula>$D1645=""</formula>
    </cfRule>
  </conditionalFormatting>
  <conditionalFormatting sqref="F1646">
    <cfRule type="expression" dxfId="671" priority="657">
      <formula>$D1645=""</formula>
    </cfRule>
  </conditionalFormatting>
  <conditionalFormatting sqref="B1647:F1647 H1647:I1647">
    <cfRule type="expression" dxfId="670" priority="656">
      <formula>$D1647=""</formula>
    </cfRule>
  </conditionalFormatting>
  <conditionalFormatting sqref="F1648">
    <cfRule type="expression" dxfId="669" priority="655">
      <formula>$D1647=""</formula>
    </cfRule>
  </conditionalFormatting>
  <conditionalFormatting sqref="B1649:F1649 H1649:I1649">
    <cfRule type="expression" dxfId="668" priority="654">
      <formula>$D1649=""</formula>
    </cfRule>
  </conditionalFormatting>
  <conditionalFormatting sqref="F1650">
    <cfRule type="expression" dxfId="667" priority="653">
      <formula>$D1649=""</formula>
    </cfRule>
  </conditionalFormatting>
  <conditionalFormatting sqref="B1651:F1651 H1651:I1651">
    <cfRule type="expression" dxfId="666" priority="652">
      <formula>$D1651=""</formula>
    </cfRule>
  </conditionalFormatting>
  <conditionalFormatting sqref="F1652">
    <cfRule type="expression" dxfId="665" priority="651">
      <formula>$D1651=""</formula>
    </cfRule>
  </conditionalFormatting>
  <conditionalFormatting sqref="B1653:F1653 H1653:I1653">
    <cfRule type="expression" dxfId="664" priority="650">
      <formula>$D1653=""</formula>
    </cfRule>
  </conditionalFormatting>
  <conditionalFormatting sqref="F1654">
    <cfRule type="expression" dxfId="663" priority="649">
      <formula>$D1653=""</formula>
    </cfRule>
  </conditionalFormatting>
  <conditionalFormatting sqref="B1655:F1655 H1655:I1655">
    <cfRule type="expression" dxfId="662" priority="648">
      <formula>$D1655=""</formula>
    </cfRule>
  </conditionalFormatting>
  <conditionalFormatting sqref="F1656">
    <cfRule type="expression" dxfId="661" priority="647">
      <formula>$D1655=""</formula>
    </cfRule>
  </conditionalFormatting>
  <conditionalFormatting sqref="B1657:F1657 H1657:I1657">
    <cfRule type="expression" dxfId="660" priority="646">
      <formula>$D1657=""</formula>
    </cfRule>
  </conditionalFormatting>
  <conditionalFormatting sqref="F1658">
    <cfRule type="expression" dxfId="659" priority="645">
      <formula>$D1657=""</formula>
    </cfRule>
  </conditionalFormatting>
  <conditionalFormatting sqref="B1659:F1659 H1659:I1659">
    <cfRule type="expression" dxfId="658" priority="644">
      <formula>$D1659=""</formula>
    </cfRule>
  </conditionalFormatting>
  <conditionalFormatting sqref="F1660">
    <cfRule type="expression" dxfId="657" priority="643">
      <formula>$D1659=""</formula>
    </cfRule>
  </conditionalFormatting>
  <conditionalFormatting sqref="B1661:F1661 H1661:I1661">
    <cfRule type="expression" dxfId="656" priority="642">
      <formula>$D1661=""</formula>
    </cfRule>
  </conditionalFormatting>
  <conditionalFormatting sqref="F1662">
    <cfRule type="expression" dxfId="655" priority="641">
      <formula>$D1661=""</formula>
    </cfRule>
  </conditionalFormatting>
  <conditionalFormatting sqref="B1663:F1663 H1663:I1663">
    <cfRule type="expression" dxfId="654" priority="640">
      <formula>$D1663=""</formula>
    </cfRule>
  </conditionalFormatting>
  <conditionalFormatting sqref="F1664">
    <cfRule type="expression" dxfId="653" priority="639">
      <formula>$D1663=""</formula>
    </cfRule>
  </conditionalFormatting>
  <conditionalFormatting sqref="B1665:F1665 H1665:I1665">
    <cfRule type="expression" dxfId="652" priority="638">
      <formula>$D1665=""</formula>
    </cfRule>
  </conditionalFormatting>
  <conditionalFormatting sqref="F1666">
    <cfRule type="expression" dxfId="651" priority="637">
      <formula>$D1665=""</formula>
    </cfRule>
  </conditionalFormatting>
  <conditionalFormatting sqref="B1667:F1667 H1667:I1667">
    <cfRule type="expression" dxfId="650" priority="636">
      <formula>$D1667=""</formula>
    </cfRule>
  </conditionalFormatting>
  <conditionalFormatting sqref="F1668">
    <cfRule type="expression" dxfId="649" priority="635">
      <formula>$D1667=""</formula>
    </cfRule>
  </conditionalFormatting>
  <conditionalFormatting sqref="B1669:F1669 H1669:I1669">
    <cfRule type="expression" dxfId="648" priority="634">
      <formula>$D1669=""</formula>
    </cfRule>
  </conditionalFormatting>
  <conditionalFormatting sqref="F1670">
    <cfRule type="expression" dxfId="647" priority="633">
      <formula>$D1669=""</formula>
    </cfRule>
  </conditionalFormatting>
  <conditionalFormatting sqref="B1671:F1671 H1671:I1671">
    <cfRule type="expression" dxfId="646" priority="632">
      <formula>$D1671=""</formula>
    </cfRule>
  </conditionalFormatting>
  <conditionalFormatting sqref="F1672">
    <cfRule type="expression" dxfId="645" priority="631">
      <formula>$D1671=""</formula>
    </cfRule>
  </conditionalFormatting>
  <conditionalFormatting sqref="B1673:F1673 H1673:I1673">
    <cfRule type="expression" dxfId="644" priority="630">
      <formula>$D1673=""</formula>
    </cfRule>
  </conditionalFormatting>
  <conditionalFormatting sqref="F1674">
    <cfRule type="expression" dxfId="643" priority="629">
      <formula>$D1673=""</formula>
    </cfRule>
  </conditionalFormatting>
  <conditionalFormatting sqref="B1675:F1675 H1675:I1675">
    <cfRule type="expression" dxfId="642" priority="628">
      <formula>$D1675=""</formula>
    </cfRule>
  </conditionalFormatting>
  <conditionalFormatting sqref="F1676">
    <cfRule type="expression" dxfId="641" priority="627">
      <formula>$D1675=""</formula>
    </cfRule>
  </conditionalFormatting>
  <conditionalFormatting sqref="B1677:F1677 H1677:I1677">
    <cfRule type="expression" dxfId="640" priority="626">
      <formula>$D1677=""</formula>
    </cfRule>
  </conditionalFormatting>
  <conditionalFormatting sqref="F1678">
    <cfRule type="expression" dxfId="639" priority="625">
      <formula>$D1677=""</formula>
    </cfRule>
  </conditionalFormatting>
  <conditionalFormatting sqref="B1679:F1679 H1679:I1679">
    <cfRule type="expression" dxfId="638" priority="624">
      <formula>$D1679=""</formula>
    </cfRule>
  </conditionalFormatting>
  <conditionalFormatting sqref="F1680">
    <cfRule type="expression" dxfId="637" priority="623">
      <formula>$D1679=""</formula>
    </cfRule>
  </conditionalFormatting>
  <conditionalFormatting sqref="B1681:F1681 H1681:I1681">
    <cfRule type="expression" dxfId="636" priority="622">
      <formula>$D1681=""</formula>
    </cfRule>
  </conditionalFormatting>
  <conditionalFormatting sqref="F1682">
    <cfRule type="expression" dxfId="635" priority="621">
      <formula>$D1681=""</formula>
    </cfRule>
  </conditionalFormatting>
  <conditionalFormatting sqref="B1683:F1683 H1683:I1683">
    <cfRule type="expression" dxfId="634" priority="620">
      <formula>$D1683=""</formula>
    </cfRule>
  </conditionalFormatting>
  <conditionalFormatting sqref="F1684">
    <cfRule type="expression" dxfId="633" priority="619">
      <formula>$D1683=""</formula>
    </cfRule>
  </conditionalFormatting>
  <conditionalFormatting sqref="B1685:F1685 H1685:I1685">
    <cfRule type="expression" dxfId="632" priority="618">
      <formula>$D1685=""</formula>
    </cfRule>
  </conditionalFormatting>
  <conditionalFormatting sqref="F1686">
    <cfRule type="expression" dxfId="631" priority="617">
      <formula>$D1685=""</formula>
    </cfRule>
  </conditionalFormatting>
  <conditionalFormatting sqref="B1687:F1687 H1687:I1687">
    <cfRule type="expression" dxfId="630" priority="616">
      <formula>$D1687=""</formula>
    </cfRule>
  </conditionalFormatting>
  <conditionalFormatting sqref="F1688">
    <cfRule type="expression" dxfId="629" priority="615">
      <formula>$D1687=""</formula>
    </cfRule>
  </conditionalFormatting>
  <conditionalFormatting sqref="B1689:F1689 H1689:I1689">
    <cfRule type="expression" dxfId="628" priority="614">
      <formula>$D1689=""</formula>
    </cfRule>
  </conditionalFormatting>
  <conditionalFormatting sqref="F1690">
    <cfRule type="expression" dxfId="627" priority="613">
      <formula>$D1689=""</formula>
    </cfRule>
  </conditionalFormatting>
  <conditionalFormatting sqref="B1691:F1691 H1691:I1691">
    <cfRule type="expression" dxfId="626" priority="612">
      <formula>$D1691=""</formula>
    </cfRule>
  </conditionalFormatting>
  <conditionalFormatting sqref="F1692">
    <cfRule type="expression" dxfId="625" priority="611">
      <formula>$D1691=""</formula>
    </cfRule>
  </conditionalFormatting>
  <conditionalFormatting sqref="B1693:F1693 H1693:I1693">
    <cfRule type="expression" dxfId="624" priority="610">
      <formula>$D1693=""</formula>
    </cfRule>
  </conditionalFormatting>
  <conditionalFormatting sqref="F1694">
    <cfRule type="expression" dxfId="623" priority="609">
      <formula>$D1693=""</formula>
    </cfRule>
  </conditionalFormatting>
  <conditionalFormatting sqref="B1695:F1695 H1695:I1695">
    <cfRule type="expression" dxfId="622" priority="608">
      <formula>$D1695=""</formula>
    </cfRule>
  </conditionalFormatting>
  <conditionalFormatting sqref="F1696">
    <cfRule type="expression" dxfId="621" priority="607">
      <formula>$D1695=""</formula>
    </cfRule>
  </conditionalFormatting>
  <conditionalFormatting sqref="B1697:F1697 H1697:I1697">
    <cfRule type="expression" dxfId="620" priority="606">
      <formula>$D1697=""</formula>
    </cfRule>
  </conditionalFormatting>
  <conditionalFormatting sqref="F1698">
    <cfRule type="expression" dxfId="619" priority="605">
      <formula>$D1697=""</formula>
    </cfRule>
  </conditionalFormatting>
  <conditionalFormatting sqref="B1699:F1699 H1699:I1699">
    <cfRule type="expression" dxfId="618" priority="604">
      <formula>$D1699=""</formula>
    </cfRule>
  </conditionalFormatting>
  <conditionalFormatting sqref="F1700">
    <cfRule type="expression" dxfId="617" priority="603">
      <formula>$D1699=""</formula>
    </cfRule>
  </conditionalFormatting>
  <conditionalFormatting sqref="B1701:F1701 H1701:I1701">
    <cfRule type="expression" dxfId="616" priority="602">
      <formula>$D1701=""</formula>
    </cfRule>
  </conditionalFormatting>
  <conditionalFormatting sqref="F1702">
    <cfRule type="expression" dxfId="615" priority="601">
      <formula>$D1701=""</formula>
    </cfRule>
  </conditionalFormatting>
  <conditionalFormatting sqref="B1703:F1703 H1703:I1703">
    <cfRule type="expression" dxfId="614" priority="600">
      <formula>$D1703=""</formula>
    </cfRule>
  </conditionalFormatting>
  <conditionalFormatting sqref="F1704">
    <cfRule type="expression" dxfId="613" priority="599">
      <formula>$D1703=""</formula>
    </cfRule>
  </conditionalFormatting>
  <conditionalFormatting sqref="B1705:F1705 H1705:I1705">
    <cfRule type="expression" dxfId="612" priority="598">
      <formula>$D1705=""</formula>
    </cfRule>
  </conditionalFormatting>
  <conditionalFormatting sqref="F1706">
    <cfRule type="expression" dxfId="611" priority="597">
      <formula>$D1705=""</formula>
    </cfRule>
  </conditionalFormatting>
  <conditionalFormatting sqref="B1707:F1707 H1707:I1707">
    <cfRule type="expression" dxfId="610" priority="596">
      <formula>$D1707=""</formula>
    </cfRule>
  </conditionalFormatting>
  <conditionalFormatting sqref="F1708">
    <cfRule type="expression" dxfId="609" priority="595">
      <formula>$D1707=""</formula>
    </cfRule>
  </conditionalFormatting>
  <conditionalFormatting sqref="B1709:F1709 H1709:I1709">
    <cfRule type="expression" dxfId="608" priority="594">
      <formula>$D1709=""</formula>
    </cfRule>
  </conditionalFormatting>
  <conditionalFormatting sqref="F1710">
    <cfRule type="expression" dxfId="607" priority="593">
      <formula>$D1709=""</formula>
    </cfRule>
  </conditionalFormatting>
  <conditionalFormatting sqref="B1711:F1711 H1711:I1711">
    <cfRule type="expression" dxfId="606" priority="592">
      <formula>$D1711=""</formula>
    </cfRule>
  </conditionalFormatting>
  <conditionalFormatting sqref="F1712">
    <cfRule type="expression" dxfId="605" priority="591">
      <formula>$D1711=""</formula>
    </cfRule>
  </conditionalFormatting>
  <conditionalFormatting sqref="B1713:F1713 H1713:I1713">
    <cfRule type="expression" dxfId="604" priority="590">
      <formula>$D1713=""</formula>
    </cfRule>
  </conditionalFormatting>
  <conditionalFormatting sqref="F1714">
    <cfRule type="expression" dxfId="603" priority="589">
      <formula>$D1713=""</formula>
    </cfRule>
  </conditionalFormatting>
  <conditionalFormatting sqref="B1715:F1715 H1715:I1715">
    <cfRule type="expression" dxfId="602" priority="588">
      <formula>$D1715=""</formula>
    </cfRule>
  </conditionalFormatting>
  <conditionalFormatting sqref="F1716">
    <cfRule type="expression" dxfId="601" priority="587">
      <formula>$D1715=""</formula>
    </cfRule>
  </conditionalFormatting>
  <conditionalFormatting sqref="B1717:F1717 H1717:I1717">
    <cfRule type="expression" dxfId="600" priority="586">
      <formula>$D1717=""</formula>
    </cfRule>
  </conditionalFormatting>
  <conditionalFormatting sqref="F1718">
    <cfRule type="expression" dxfId="599" priority="585">
      <formula>$D1717=""</formula>
    </cfRule>
  </conditionalFormatting>
  <conditionalFormatting sqref="B1719:F1719 H1719:I1719">
    <cfRule type="expression" dxfId="598" priority="584">
      <formula>$D1719=""</formula>
    </cfRule>
  </conditionalFormatting>
  <conditionalFormatting sqref="F1720">
    <cfRule type="expression" dxfId="597" priority="583">
      <formula>$D1719=""</formula>
    </cfRule>
  </conditionalFormatting>
  <conditionalFormatting sqref="B1721:F1721 H1721:I1721">
    <cfRule type="expression" dxfId="596" priority="582">
      <formula>$D1721=""</formula>
    </cfRule>
  </conditionalFormatting>
  <conditionalFormatting sqref="F1722">
    <cfRule type="expression" dxfId="595" priority="581">
      <formula>$D1721=""</formula>
    </cfRule>
  </conditionalFormatting>
  <conditionalFormatting sqref="B1723:F1723 H1723:I1723">
    <cfRule type="expression" dxfId="594" priority="580">
      <formula>$D1723=""</formula>
    </cfRule>
  </conditionalFormatting>
  <conditionalFormatting sqref="F1724">
    <cfRule type="expression" dxfId="593" priority="579">
      <formula>$D1723=""</formula>
    </cfRule>
  </conditionalFormatting>
  <conditionalFormatting sqref="B1725:F1725 H1725:I1725">
    <cfRule type="expression" dxfId="592" priority="578">
      <formula>$D1725=""</formula>
    </cfRule>
  </conditionalFormatting>
  <conditionalFormatting sqref="F1726">
    <cfRule type="expression" dxfId="591" priority="577">
      <formula>$D1725=""</formula>
    </cfRule>
  </conditionalFormatting>
  <conditionalFormatting sqref="B1727:F1727 H1727:I1727">
    <cfRule type="expression" dxfId="590" priority="576">
      <formula>$D1727=""</formula>
    </cfRule>
  </conditionalFormatting>
  <conditionalFormatting sqref="F1728">
    <cfRule type="expression" dxfId="589" priority="575">
      <formula>$D1727=""</formula>
    </cfRule>
  </conditionalFormatting>
  <conditionalFormatting sqref="B1729:F1729 H1729:I1729">
    <cfRule type="expression" dxfId="588" priority="574">
      <formula>$D1729=""</formula>
    </cfRule>
  </conditionalFormatting>
  <conditionalFormatting sqref="F1730">
    <cfRule type="expression" dxfId="587" priority="573">
      <formula>$D1729=""</formula>
    </cfRule>
  </conditionalFormatting>
  <conditionalFormatting sqref="B1731:F1731 H1731:I1731">
    <cfRule type="expression" dxfId="586" priority="572">
      <formula>$D1731=""</formula>
    </cfRule>
  </conditionalFormatting>
  <conditionalFormatting sqref="F1732">
    <cfRule type="expression" dxfId="585" priority="571">
      <formula>$D1731=""</formula>
    </cfRule>
  </conditionalFormatting>
  <conditionalFormatting sqref="B1733:F1733 H1733:I1733">
    <cfRule type="expression" dxfId="584" priority="570">
      <formula>$D1733=""</formula>
    </cfRule>
  </conditionalFormatting>
  <conditionalFormatting sqref="F1734">
    <cfRule type="expression" dxfId="583" priority="569">
      <formula>$D1733=""</formula>
    </cfRule>
  </conditionalFormatting>
  <conditionalFormatting sqref="B1735:F1735 H1735:I1735">
    <cfRule type="expression" dxfId="582" priority="568">
      <formula>$D1735=""</formula>
    </cfRule>
  </conditionalFormatting>
  <conditionalFormatting sqref="F1736">
    <cfRule type="expression" dxfId="581" priority="567">
      <formula>$D1735=""</formula>
    </cfRule>
  </conditionalFormatting>
  <conditionalFormatting sqref="B1737:F1737 H1737:I1737">
    <cfRule type="expression" dxfId="580" priority="566">
      <formula>$D1737=""</formula>
    </cfRule>
  </conditionalFormatting>
  <conditionalFormatting sqref="F1738">
    <cfRule type="expression" dxfId="579" priority="565">
      <formula>$D1737=""</formula>
    </cfRule>
  </conditionalFormatting>
  <conditionalFormatting sqref="B1739:F1739 H1739:I1739">
    <cfRule type="expression" dxfId="578" priority="564">
      <formula>$D1739=""</formula>
    </cfRule>
  </conditionalFormatting>
  <conditionalFormatting sqref="F1740">
    <cfRule type="expression" dxfId="577" priority="563">
      <formula>$D1739=""</formula>
    </cfRule>
  </conditionalFormatting>
  <conditionalFormatting sqref="B1741:F1741 H1741:I1741">
    <cfRule type="expression" dxfId="576" priority="562">
      <formula>$D1741=""</formula>
    </cfRule>
  </conditionalFormatting>
  <conditionalFormatting sqref="F1742">
    <cfRule type="expression" dxfId="575" priority="561">
      <formula>$D1741=""</formula>
    </cfRule>
  </conditionalFormatting>
  <conditionalFormatting sqref="B1743:F1743 H1743:I1743">
    <cfRule type="expression" dxfId="574" priority="560">
      <formula>$D1743=""</formula>
    </cfRule>
  </conditionalFormatting>
  <conditionalFormatting sqref="F1744">
    <cfRule type="expression" dxfId="573" priority="559">
      <formula>$D1743=""</formula>
    </cfRule>
  </conditionalFormatting>
  <conditionalFormatting sqref="B1745:F1745 H1745:I1745">
    <cfRule type="expression" dxfId="572" priority="558">
      <formula>$D1745=""</formula>
    </cfRule>
  </conditionalFormatting>
  <conditionalFormatting sqref="F1746">
    <cfRule type="expression" dxfId="571" priority="557">
      <formula>$D1745=""</formula>
    </cfRule>
  </conditionalFormatting>
  <conditionalFormatting sqref="B1747:F1747 H1747:I1747">
    <cfRule type="expression" dxfId="570" priority="556">
      <formula>$D1747=""</formula>
    </cfRule>
  </conditionalFormatting>
  <conditionalFormatting sqref="F1748">
    <cfRule type="expression" dxfId="569" priority="555">
      <formula>$D1747=""</formula>
    </cfRule>
  </conditionalFormatting>
  <conditionalFormatting sqref="B1749:F1749 H1749:I1749">
    <cfRule type="expression" dxfId="568" priority="554">
      <formula>$D1749=""</formula>
    </cfRule>
  </conditionalFormatting>
  <conditionalFormatting sqref="F1750">
    <cfRule type="expression" dxfId="567" priority="553">
      <formula>$D1749=""</formula>
    </cfRule>
  </conditionalFormatting>
  <conditionalFormatting sqref="B1751:F1751 H1751:I1751">
    <cfRule type="expression" dxfId="566" priority="552">
      <formula>$D1751=""</formula>
    </cfRule>
  </conditionalFormatting>
  <conditionalFormatting sqref="F1752">
    <cfRule type="expression" dxfId="565" priority="551">
      <formula>$D1751=""</formula>
    </cfRule>
  </conditionalFormatting>
  <conditionalFormatting sqref="B1753:F1753 H1753:I1753">
    <cfRule type="expression" dxfId="564" priority="550">
      <formula>$D1753=""</formula>
    </cfRule>
  </conditionalFormatting>
  <conditionalFormatting sqref="F1754">
    <cfRule type="expression" dxfId="563" priority="549">
      <formula>$D1753=""</formula>
    </cfRule>
  </conditionalFormatting>
  <conditionalFormatting sqref="B1755:F1755 H1755:I1755">
    <cfRule type="expression" dxfId="562" priority="548">
      <formula>$D1755=""</formula>
    </cfRule>
  </conditionalFormatting>
  <conditionalFormatting sqref="F1756">
    <cfRule type="expression" dxfId="561" priority="547">
      <formula>$D1755=""</formula>
    </cfRule>
  </conditionalFormatting>
  <conditionalFormatting sqref="B1757:F1757 H1757:I1757">
    <cfRule type="expression" dxfId="560" priority="546">
      <formula>$D1757=""</formula>
    </cfRule>
  </conditionalFormatting>
  <conditionalFormatting sqref="F1758">
    <cfRule type="expression" dxfId="559" priority="545">
      <formula>$D1757=""</formula>
    </cfRule>
  </conditionalFormatting>
  <conditionalFormatting sqref="B1759:F1759 H1759:I1759">
    <cfRule type="expression" dxfId="558" priority="544">
      <formula>$D1759=""</formula>
    </cfRule>
  </conditionalFormatting>
  <conditionalFormatting sqref="F1760">
    <cfRule type="expression" dxfId="557" priority="543">
      <formula>$D1759=""</formula>
    </cfRule>
  </conditionalFormatting>
  <conditionalFormatting sqref="B1761:F1761 H1761:I1761">
    <cfRule type="expression" dxfId="556" priority="542">
      <formula>$D1761=""</formula>
    </cfRule>
  </conditionalFormatting>
  <conditionalFormatting sqref="F1762">
    <cfRule type="expression" dxfId="555" priority="541">
      <formula>$D1761=""</formula>
    </cfRule>
  </conditionalFormatting>
  <conditionalFormatting sqref="B1763:F1763 H1763:I1763">
    <cfRule type="expression" dxfId="554" priority="540">
      <formula>$D1763=""</formula>
    </cfRule>
  </conditionalFormatting>
  <conditionalFormatting sqref="F1764">
    <cfRule type="expression" dxfId="553" priority="539">
      <formula>$D1763=""</formula>
    </cfRule>
  </conditionalFormatting>
  <conditionalFormatting sqref="B1765:F1765 H1765:I1765">
    <cfRule type="expression" dxfId="552" priority="538">
      <formula>$D1765=""</formula>
    </cfRule>
  </conditionalFormatting>
  <conditionalFormatting sqref="F1766">
    <cfRule type="expression" dxfId="551" priority="537">
      <formula>$D1765=""</formula>
    </cfRule>
  </conditionalFormatting>
  <conditionalFormatting sqref="B1767:F1767 H1767:I1767">
    <cfRule type="expression" dxfId="550" priority="536">
      <formula>$D1767=""</formula>
    </cfRule>
  </conditionalFormatting>
  <conditionalFormatting sqref="F1768">
    <cfRule type="expression" dxfId="549" priority="535">
      <formula>$D1767=""</formula>
    </cfRule>
  </conditionalFormatting>
  <conditionalFormatting sqref="B1769:F1769 H1769:I1769">
    <cfRule type="expression" dxfId="548" priority="534">
      <formula>$D1769=""</formula>
    </cfRule>
  </conditionalFormatting>
  <conditionalFormatting sqref="F1770">
    <cfRule type="expression" dxfId="547" priority="533">
      <formula>$D1769=""</formula>
    </cfRule>
  </conditionalFormatting>
  <conditionalFormatting sqref="B1771:F1771 H1771:I1771">
    <cfRule type="expression" dxfId="546" priority="532">
      <formula>$D1771=""</formula>
    </cfRule>
  </conditionalFormatting>
  <conditionalFormatting sqref="F1772">
    <cfRule type="expression" dxfId="545" priority="531">
      <formula>$D1771=""</formula>
    </cfRule>
  </conditionalFormatting>
  <conditionalFormatting sqref="B1773:F1773 H1773:I1773">
    <cfRule type="expression" dxfId="544" priority="530">
      <formula>$D1773=""</formula>
    </cfRule>
  </conditionalFormatting>
  <conditionalFormatting sqref="F1774">
    <cfRule type="expression" dxfId="543" priority="529">
      <formula>$D1773=""</formula>
    </cfRule>
  </conditionalFormatting>
  <conditionalFormatting sqref="B1775:F1775 H1775:I1775">
    <cfRule type="expression" dxfId="542" priority="528">
      <formula>$D1775=""</formula>
    </cfRule>
  </conditionalFormatting>
  <conditionalFormatting sqref="F1776">
    <cfRule type="expression" dxfId="541" priority="527">
      <formula>$D1775=""</formula>
    </cfRule>
  </conditionalFormatting>
  <conditionalFormatting sqref="B1777:F1777 H1777:I1777">
    <cfRule type="expression" dxfId="540" priority="526">
      <formula>$D1777=""</formula>
    </cfRule>
  </conditionalFormatting>
  <conditionalFormatting sqref="F1778">
    <cfRule type="expression" dxfId="539" priority="525">
      <formula>$D1777=""</formula>
    </cfRule>
  </conditionalFormatting>
  <conditionalFormatting sqref="B1779:F1779 H1779:I1779">
    <cfRule type="expression" dxfId="538" priority="524">
      <formula>$D1779=""</formula>
    </cfRule>
  </conditionalFormatting>
  <conditionalFormatting sqref="F1780">
    <cfRule type="expression" dxfId="537" priority="523">
      <formula>$D1779=""</formula>
    </cfRule>
  </conditionalFormatting>
  <conditionalFormatting sqref="B1781:F1781 H1781:I1781">
    <cfRule type="expression" dxfId="536" priority="522">
      <formula>$D1781=""</formula>
    </cfRule>
  </conditionalFormatting>
  <conditionalFormatting sqref="F1782">
    <cfRule type="expression" dxfId="535" priority="521">
      <formula>$D1781=""</formula>
    </cfRule>
  </conditionalFormatting>
  <conditionalFormatting sqref="B1783:F1783 H1783:I1783">
    <cfRule type="expression" dxfId="534" priority="520">
      <formula>$D1783=""</formula>
    </cfRule>
  </conditionalFormatting>
  <conditionalFormatting sqref="F1784">
    <cfRule type="expression" dxfId="533" priority="519">
      <formula>$D1783=""</formula>
    </cfRule>
  </conditionalFormatting>
  <conditionalFormatting sqref="B1785:F1785 H1785:I1785">
    <cfRule type="expression" dxfId="532" priority="518">
      <formula>$D1785=""</formula>
    </cfRule>
  </conditionalFormatting>
  <conditionalFormatting sqref="F1786">
    <cfRule type="expression" dxfId="531" priority="517">
      <formula>$D1785=""</formula>
    </cfRule>
  </conditionalFormatting>
  <conditionalFormatting sqref="B1787:F1787 H1787:I1787">
    <cfRule type="expression" dxfId="530" priority="516">
      <formula>$D1787=""</formula>
    </cfRule>
  </conditionalFormatting>
  <conditionalFormatting sqref="F1788">
    <cfRule type="expression" dxfId="529" priority="515">
      <formula>$D1787=""</formula>
    </cfRule>
  </conditionalFormatting>
  <conditionalFormatting sqref="B1789:F1789 H1789:I1789">
    <cfRule type="expression" dxfId="528" priority="514">
      <formula>$D1789=""</formula>
    </cfRule>
  </conditionalFormatting>
  <conditionalFormatting sqref="F1790">
    <cfRule type="expression" dxfId="527" priority="513">
      <formula>$D1789=""</formula>
    </cfRule>
  </conditionalFormatting>
  <conditionalFormatting sqref="B1791:F1791 H1791:I1791">
    <cfRule type="expression" dxfId="526" priority="512">
      <formula>$D1791=""</formula>
    </cfRule>
  </conditionalFormatting>
  <conditionalFormatting sqref="F1792">
    <cfRule type="expression" dxfId="525" priority="511">
      <formula>$D1791=""</formula>
    </cfRule>
  </conditionalFormatting>
  <conditionalFormatting sqref="B1793:F1793 H1793:I1793">
    <cfRule type="expression" dxfId="524" priority="510">
      <formula>$D1793=""</formula>
    </cfRule>
  </conditionalFormatting>
  <conditionalFormatting sqref="F1794">
    <cfRule type="expression" dxfId="523" priority="509">
      <formula>$D1793=""</formula>
    </cfRule>
  </conditionalFormatting>
  <conditionalFormatting sqref="B1795:F1795 H1795:I1795">
    <cfRule type="expression" dxfId="522" priority="508">
      <formula>$D1795=""</formula>
    </cfRule>
  </conditionalFormatting>
  <conditionalFormatting sqref="F1796">
    <cfRule type="expression" dxfId="521" priority="507">
      <formula>$D1795=""</formula>
    </cfRule>
  </conditionalFormatting>
  <conditionalFormatting sqref="B1797:F1797 H1797:I1797">
    <cfRule type="expression" dxfId="520" priority="506">
      <formula>$D1797=""</formula>
    </cfRule>
  </conditionalFormatting>
  <conditionalFormatting sqref="F1798">
    <cfRule type="expression" dxfId="519" priority="505">
      <formula>$D1797=""</formula>
    </cfRule>
  </conditionalFormatting>
  <conditionalFormatting sqref="B1799:F1799 H1799:I1799">
    <cfRule type="expression" dxfId="518" priority="504">
      <formula>$D1799=""</formula>
    </cfRule>
  </conditionalFormatting>
  <conditionalFormatting sqref="F1800">
    <cfRule type="expression" dxfId="517" priority="503">
      <formula>$D1799=""</formula>
    </cfRule>
  </conditionalFormatting>
  <conditionalFormatting sqref="B1801:F1801 H1801:I1801">
    <cfRule type="expression" dxfId="516" priority="502">
      <formula>$D1801=""</formula>
    </cfRule>
  </conditionalFormatting>
  <conditionalFormatting sqref="F1802">
    <cfRule type="expression" dxfId="515" priority="501">
      <formula>$D1801=""</formula>
    </cfRule>
  </conditionalFormatting>
  <conditionalFormatting sqref="B1803:F1803 H1803:I1803">
    <cfRule type="expression" dxfId="514" priority="500">
      <formula>$D1803=""</formula>
    </cfRule>
  </conditionalFormatting>
  <conditionalFormatting sqref="F1804">
    <cfRule type="expression" dxfId="513" priority="499">
      <formula>$D1803=""</formula>
    </cfRule>
  </conditionalFormatting>
  <conditionalFormatting sqref="B1805:F1805 H1805:I1805">
    <cfRule type="expression" dxfId="512" priority="498">
      <formula>$D1805=""</formula>
    </cfRule>
  </conditionalFormatting>
  <conditionalFormatting sqref="F1806">
    <cfRule type="expression" dxfId="511" priority="497">
      <formula>$D1805=""</formula>
    </cfRule>
  </conditionalFormatting>
  <conditionalFormatting sqref="B1807:F1807 H1807:I1807">
    <cfRule type="expression" dxfId="510" priority="496">
      <formula>$D1807=""</formula>
    </cfRule>
  </conditionalFormatting>
  <conditionalFormatting sqref="F1808">
    <cfRule type="expression" dxfId="509" priority="495">
      <formula>$D1807=""</formula>
    </cfRule>
  </conditionalFormatting>
  <conditionalFormatting sqref="B1809:F1809 H1809:I1809">
    <cfRule type="expression" dxfId="508" priority="494">
      <formula>$D1809=""</formula>
    </cfRule>
  </conditionalFormatting>
  <conditionalFormatting sqref="F1810">
    <cfRule type="expression" dxfId="507" priority="493">
      <formula>$D1809=""</formula>
    </cfRule>
  </conditionalFormatting>
  <conditionalFormatting sqref="B1811:F1811 H1811:I1811">
    <cfRule type="expression" dxfId="506" priority="492">
      <formula>$D1811=""</formula>
    </cfRule>
  </conditionalFormatting>
  <conditionalFormatting sqref="F1812">
    <cfRule type="expression" dxfId="505" priority="491">
      <formula>$D1811=""</formula>
    </cfRule>
  </conditionalFormatting>
  <conditionalFormatting sqref="B1813:F1813 H1813:I1813">
    <cfRule type="expression" dxfId="504" priority="490">
      <formula>$D1813=""</formula>
    </cfRule>
  </conditionalFormatting>
  <conditionalFormatting sqref="F1814">
    <cfRule type="expression" dxfId="503" priority="489">
      <formula>$D1813=""</formula>
    </cfRule>
  </conditionalFormatting>
  <conditionalFormatting sqref="B1815:F1815 H1815:I1815">
    <cfRule type="expression" dxfId="502" priority="488">
      <formula>$D1815=""</formula>
    </cfRule>
  </conditionalFormatting>
  <conditionalFormatting sqref="F1816">
    <cfRule type="expression" dxfId="501" priority="487">
      <formula>$D1815=""</formula>
    </cfRule>
  </conditionalFormatting>
  <conditionalFormatting sqref="B1817:F1817 H1817:I1817">
    <cfRule type="expression" dxfId="500" priority="486">
      <formula>$D1817=""</formula>
    </cfRule>
  </conditionalFormatting>
  <conditionalFormatting sqref="F1818">
    <cfRule type="expression" dxfId="499" priority="485">
      <formula>$D1817=""</formula>
    </cfRule>
  </conditionalFormatting>
  <conditionalFormatting sqref="C2299:F2299 H2299:I2299">
    <cfRule type="expression" dxfId="498" priority="484">
      <formula>$D2299=""</formula>
    </cfRule>
  </conditionalFormatting>
  <conditionalFormatting sqref="F2300">
    <cfRule type="expression" dxfId="497" priority="483">
      <formula>$D2299=""</formula>
    </cfRule>
  </conditionalFormatting>
  <conditionalFormatting sqref="H10">
    <cfRule type="expression" dxfId="496" priority="482">
      <formula>$D10=""</formula>
    </cfRule>
  </conditionalFormatting>
  <conditionalFormatting sqref="I184">
    <cfRule type="expression" dxfId="495" priority="481">
      <formula>$D184=""</formula>
    </cfRule>
  </conditionalFormatting>
  <conditionalFormatting sqref="B1819:J1819 G1821 G1823 G1825 G1827 G1829 G1831 G1833 G1835 G1837 G1839 G1841 G1843 G1845 G1847 G1849 G1851 G1853 G1855 G1857 G1859 G1861 G1863 G1865 G1867 G1869 G1871 G1873 G1875 G1877 G1879 G1881 G1883 G1885 G1887 G1889 G1891 G1893 G1895 G1897 G1899 G1901 G1903 G1905 G1907 G1909 G1911 G1913 G1915 G1917 G1919 G1921 G1923 G1925 G1927 G1929 G1931 G1933 G1935 G1937 G1939 G1941 G1943 G1945 G1947 G1949 G1951 G1953 G1955 G1957 G1959 G1961 G1963 G1965 G1967 G1969 G1971 G1973 G1975 G1977 G1979 G1981 G1983 G1985 G1987 G1989 G1991 G1993 G1995 G1997 G1999 G2001 G2003 G2005 G2007 G2009 G2011 G2013 G2015 G2017 G2019 G2021 G2023 G2025 G2027 G2029 G2031 G2033 G2035 G2037 G2039 G2041 G2043 G2045 G2047 G2049 G2051 G2053 G2055 G2057 G2059 G2061 G2063 G2065 G2067 G2069 G2071 G2073 G2075 G2077 G2079 G2081 G2083 G2085 G2087 G2089 G2091 G2093 G2095 G2097 G2099 G2101 G2103 G2105 G2107 G2109 G2111 G2113 G2115 G2117 G2119 G2121 G2123 G2125 G2127 G2129 G2131 G2133 G2135 G2137 G2139 G2141 G2143 G2155 G2157 G2159 G2161 G2163 G2165 G2167 G2169 G2171 G2173 G2175 G2177 G2179 G2181 G2183 G2185 G2187 G2189 G2191 G2193 G2195 G2197 G2199 G2201 G2203 G2205 G2207 G2209 G2211 G2213 G2215 G2217 G2219 G2221 G2223 G2225 G2227 G2229 G2231 G2233 G2235 G2237 G2239 G2241 G2243 G2245 G2247 G2249 G2251 G2253 G2255 G2257 G2259 G2261 G2263 G2265 G2267 G2269 G2271 G2273 G2275 G2277 G2279 G2281 G2283 G2285 G2287 G2289 G2291 G2293 G2295 G2297 J1821 J1823 J1825 J1827 J1829 J1831 J1833 J1835 J1837 J1839 J1841 J1843 J1845 J1847 J1849 J1851 J1853 J1855 J1857 J1859 J1861 J1863 J1865 J1867 J1869 J1871 J1873 J1875 J1877 J1879 J1881 J1883 J1885 J1887 J1889 J1891 J1893 J1895 J1897 J1899 J1901 J1903 J1905 J1907 J1909 J1911 J1913 J1915 J1917 J1919 J1921 J1923 J1925 J1927 J1929 J1931 J1933 J1935 J1937 J1939 J1941 J1943 J1945 J1947 J1949 J1951 J1953 J1955 J1957 J1959 J1961 J1963 J1965 J1967 J1969 J1971 J1973 J1975 J1977 J1979 J1981 J1983 J1985 J1987 J1989 J1991 J1993 J1995 J1997 J1999 J2001 J2003 J2005 J2007 J2009 J2011 J2013 J2015 J2017 J2019 J2021 J2023 J2025 J2027 J2029 J2031 J2033 J2035 J2037 J2039 J2041 J2043 J2045 J2047 J2049 J2051 J2053 J2055 J2057 J2059 J2061 J2063 J2065 J2067 J2069 J2071 J2073 J2075 J2077 J2079 J2081 J2083 J2085 J2087 J2089 J2091 J2093 J2095 J2097 J2099 J2101 J2103 J2105 J2107 J2109 J2111 J2113 J2115 J2117 J2119 J2121 J2123 J2125 J2127 J2129 J2131 J2133 J2135 J2137 J2139 J2141 J2143 J2145 J2147 J2149 J2151 J2153 J2155 J2157 J2159 J2161 J2163 J2165 J2167 J2169 J2171 J2173 J2175 J2177 J2179 J2181 J2183 J2185 J2187 J2189 J2191 J2193 J2195 J2197 J2199 J2201 J2203 J2205 J2207 J2209 J2211 J2213 J2215 J2217 J2219 J2221 J2223 J2225 J2227 J2229 J2231 J2233 J2235 J2237 J2239 J2241 J2243 J2245 J2247 J2249 J2251 J2253 J2255 J2257 J2259 J2261 J2263 J2265 J2267 J2269 J2271 J2273 J2275 J2277 J2279 J2281 J2283 J2285 J2287 J2289 J2291 J2293 J2295 J2297 G2145 G2147 G2149 G2151 G2153">
    <cfRule type="expression" dxfId="494" priority="480">
      <formula>$D1819=""</formula>
    </cfRule>
  </conditionalFormatting>
  <conditionalFormatting sqref="F1820">
    <cfRule type="expression" dxfId="493" priority="479">
      <formula>$D1819=""</formula>
    </cfRule>
  </conditionalFormatting>
  <conditionalFormatting sqref="B1821:F1821 H1821:I1821 B1823 B1825 B1827 B1829 B1831 B1833 B1835 B1837 B1839 B1841 B1843 B1845 B1847 B1849 B1851 B1853 B1855 B1857 B1859">
    <cfRule type="expression" dxfId="492" priority="478">
      <formula>$D1821=""</formula>
    </cfRule>
  </conditionalFormatting>
  <conditionalFormatting sqref="F1822">
    <cfRule type="expression" dxfId="491" priority="477">
      <formula>$D1821=""</formula>
    </cfRule>
  </conditionalFormatting>
  <conditionalFormatting sqref="C1823:F1823 H1823:I1823">
    <cfRule type="expression" dxfId="490" priority="476">
      <formula>$D1823=""</formula>
    </cfRule>
  </conditionalFormatting>
  <conditionalFormatting sqref="F1824">
    <cfRule type="expression" dxfId="489" priority="475">
      <formula>$D1823=""</formula>
    </cfRule>
  </conditionalFormatting>
  <conditionalFormatting sqref="C1825:F1825 H1825:I1825">
    <cfRule type="expression" dxfId="488" priority="474">
      <formula>$D1825=""</formula>
    </cfRule>
  </conditionalFormatting>
  <conditionalFormatting sqref="F1826">
    <cfRule type="expression" dxfId="487" priority="473">
      <formula>$D1825=""</formula>
    </cfRule>
  </conditionalFormatting>
  <conditionalFormatting sqref="C1827:F1827 H1827:I1827">
    <cfRule type="expression" dxfId="486" priority="472">
      <formula>$D1827=""</formula>
    </cfRule>
  </conditionalFormatting>
  <conditionalFormatting sqref="F1828">
    <cfRule type="expression" dxfId="485" priority="471">
      <formula>$D1827=""</formula>
    </cfRule>
  </conditionalFormatting>
  <conditionalFormatting sqref="C1829:F1829 H1829:I1829">
    <cfRule type="expression" dxfId="484" priority="470">
      <formula>$D1829=""</formula>
    </cfRule>
  </conditionalFormatting>
  <conditionalFormatting sqref="F1830">
    <cfRule type="expression" dxfId="483" priority="469">
      <formula>$D1829=""</formula>
    </cfRule>
  </conditionalFormatting>
  <conditionalFormatting sqref="C1831:F1831 H1831:I1831">
    <cfRule type="expression" dxfId="482" priority="468">
      <formula>$D1831=""</formula>
    </cfRule>
  </conditionalFormatting>
  <conditionalFormatting sqref="F1832">
    <cfRule type="expression" dxfId="481" priority="467">
      <formula>$D1831=""</formula>
    </cfRule>
  </conditionalFormatting>
  <conditionalFormatting sqref="C1833:F1833 H1833:I1833">
    <cfRule type="expression" dxfId="480" priority="466">
      <formula>$D1833=""</formula>
    </cfRule>
  </conditionalFormatting>
  <conditionalFormatting sqref="F1834">
    <cfRule type="expression" dxfId="479" priority="465">
      <formula>$D1833=""</formula>
    </cfRule>
  </conditionalFormatting>
  <conditionalFormatting sqref="C1835:F1835 H1835:I1835">
    <cfRule type="expression" dxfId="478" priority="464">
      <formula>$D1835=""</formula>
    </cfRule>
  </conditionalFormatting>
  <conditionalFormatting sqref="F1836">
    <cfRule type="expression" dxfId="477" priority="463">
      <formula>$D1835=""</formula>
    </cfRule>
  </conditionalFormatting>
  <conditionalFormatting sqref="C1837:F1837 H1837:I1837">
    <cfRule type="expression" dxfId="476" priority="462">
      <formula>$D1837=""</formula>
    </cfRule>
  </conditionalFormatting>
  <conditionalFormatting sqref="F1838">
    <cfRule type="expression" dxfId="475" priority="461">
      <formula>$D1837=""</formula>
    </cfRule>
  </conditionalFormatting>
  <conditionalFormatting sqref="C1839:F1839 H1839:I1839">
    <cfRule type="expression" dxfId="474" priority="460">
      <formula>$D1839=""</formula>
    </cfRule>
  </conditionalFormatting>
  <conditionalFormatting sqref="F1840">
    <cfRule type="expression" dxfId="473" priority="459">
      <formula>$D1839=""</formula>
    </cfRule>
  </conditionalFormatting>
  <conditionalFormatting sqref="C1841:F1841 H1841:I1841">
    <cfRule type="expression" dxfId="472" priority="458">
      <formula>$D1841=""</formula>
    </cfRule>
  </conditionalFormatting>
  <conditionalFormatting sqref="F1842">
    <cfRule type="expression" dxfId="471" priority="457">
      <formula>$D1841=""</formula>
    </cfRule>
  </conditionalFormatting>
  <conditionalFormatting sqref="C1843:F1843 H1843:I1843">
    <cfRule type="expression" dxfId="470" priority="456">
      <formula>$D1843=""</formula>
    </cfRule>
  </conditionalFormatting>
  <conditionalFormatting sqref="F1844">
    <cfRule type="expression" dxfId="469" priority="455">
      <formula>$D1843=""</formula>
    </cfRule>
  </conditionalFormatting>
  <conditionalFormatting sqref="C1845:F1845 H1845:I1845">
    <cfRule type="expression" dxfId="468" priority="454">
      <formula>$D1845=""</formula>
    </cfRule>
  </conditionalFormatting>
  <conditionalFormatting sqref="F1846">
    <cfRule type="expression" dxfId="467" priority="453">
      <formula>$D1845=""</formula>
    </cfRule>
  </conditionalFormatting>
  <conditionalFormatting sqref="C1847:F1847 H1847:I1847">
    <cfRule type="expression" dxfId="466" priority="452">
      <formula>$D1847=""</formula>
    </cfRule>
  </conditionalFormatting>
  <conditionalFormatting sqref="F1848">
    <cfRule type="expression" dxfId="465" priority="451">
      <formula>$D1847=""</formula>
    </cfRule>
  </conditionalFormatting>
  <conditionalFormatting sqref="C1849:F1849 H1849:I1849">
    <cfRule type="expression" dxfId="464" priority="450">
      <formula>$D1849=""</formula>
    </cfRule>
  </conditionalFormatting>
  <conditionalFormatting sqref="F1850">
    <cfRule type="expression" dxfId="463" priority="449">
      <formula>$D1849=""</formula>
    </cfRule>
  </conditionalFormatting>
  <conditionalFormatting sqref="C1851:F1851 H1851:I1851">
    <cfRule type="expression" dxfId="462" priority="448">
      <formula>$D1851=""</formula>
    </cfRule>
  </conditionalFormatting>
  <conditionalFormatting sqref="F1852">
    <cfRule type="expression" dxfId="461" priority="447">
      <formula>$D1851=""</formula>
    </cfRule>
  </conditionalFormatting>
  <conditionalFormatting sqref="C1853:F1853 H1853:I1853">
    <cfRule type="expression" dxfId="460" priority="446">
      <formula>$D1853=""</formula>
    </cfRule>
  </conditionalFormatting>
  <conditionalFormatting sqref="F1854">
    <cfRule type="expression" dxfId="459" priority="445">
      <formula>$D1853=""</formula>
    </cfRule>
  </conditionalFormatting>
  <conditionalFormatting sqref="C1855:F1855 H1855:I1855">
    <cfRule type="expression" dxfId="458" priority="444">
      <formula>$D1855=""</formula>
    </cfRule>
  </conditionalFormatting>
  <conditionalFormatting sqref="F1856">
    <cfRule type="expression" dxfId="457" priority="443">
      <formula>$D1855=""</formula>
    </cfRule>
  </conditionalFormatting>
  <conditionalFormatting sqref="C1857:F1857 H1857:I1857">
    <cfRule type="expression" dxfId="456" priority="442">
      <formula>$D1857=""</formula>
    </cfRule>
  </conditionalFormatting>
  <conditionalFormatting sqref="F1858">
    <cfRule type="expression" dxfId="455" priority="441">
      <formula>$D1857=""</formula>
    </cfRule>
  </conditionalFormatting>
  <conditionalFormatting sqref="C1859:F1859 H1859:I1859">
    <cfRule type="expression" dxfId="454" priority="440">
      <formula>$D1859=""</formula>
    </cfRule>
  </conditionalFormatting>
  <conditionalFormatting sqref="F1860">
    <cfRule type="expression" dxfId="453" priority="439">
      <formula>$D1859=""</formula>
    </cfRule>
  </conditionalFormatting>
  <conditionalFormatting sqref="B1861:F1861 H1861:I1861 B1863 B1865 B1867 B1869 B1871 B1873 B1875 B1877 B1879 B1881 B1883 B1885 B1887 B1889 B1891 B1893 B1895 B1897 B1899">
    <cfRule type="expression" dxfId="452" priority="438">
      <formula>$D1861=""</formula>
    </cfRule>
  </conditionalFormatting>
  <conditionalFormatting sqref="F1862">
    <cfRule type="expression" dxfId="451" priority="437">
      <formula>$D1861=""</formula>
    </cfRule>
  </conditionalFormatting>
  <conditionalFormatting sqref="C1863:F1863 H1863:I1863">
    <cfRule type="expression" dxfId="450" priority="436">
      <formula>$D1863=""</formula>
    </cfRule>
  </conditionalFormatting>
  <conditionalFormatting sqref="F1864">
    <cfRule type="expression" dxfId="449" priority="435">
      <formula>$D1863=""</formula>
    </cfRule>
  </conditionalFormatting>
  <conditionalFormatting sqref="C1865:F1865 H1865:I1865">
    <cfRule type="expression" dxfId="448" priority="434">
      <formula>$D1865=""</formula>
    </cfRule>
  </conditionalFormatting>
  <conditionalFormatting sqref="F1866">
    <cfRule type="expression" dxfId="447" priority="433">
      <formula>$D1865=""</formula>
    </cfRule>
  </conditionalFormatting>
  <conditionalFormatting sqref="C1867:F1867 H1867:I1867">
    <cfRule type="expression" dxfId="446" priority="432">
      <formula>$D1867=""</formula>
    </cfRule>
  </conditionalFormatting>
  <conditionalFormatting sqref="F1868">
    <cfRule type="expression" dxfId="445" priority="431">
      <formula>$D1867=""</formula>
    </cfRule>
  </conditionalFormatting>
  <conditionalFormatting sqref="C1869:F1869 H1869:I1869">
    <cfRule type="expression" dxfId="444" priority="430">
      <formula>$D1869=""</formula>
    </cfRule>
  </conditionalFormatting>
  <conditionalFormatting sqref="F1870">
    <cfRule type="expression" dxfId="443" priority="429">
      <formula>$D1869=""</formula>
    </cfRule>
  </conditionalFormatting>
  <conditionalFormatting sqref="C1871:F1871 H1871:I1871">
    <cfRule type="expression" dxfId="442" priority="428">
      <formula>$D1871=""</formula>
    </cfRule>
  </conditionalFormatting>
  <conditionalFormatting sqref="F1872">
    <cfRule type="expression" dxfId="441" priority="427">
      <formula>$D1871=""</formula>
    </cfRule>
  </conditionalFormatting>
  <conditionalFormatting sqref="C1873:F1873 H1873:I1873">
    <cfRule type="expression" dxfId="440" priority="426">
      <formula>$D1873=""</formula>
    </cfRule>
  </conditionalFormatting>
  <conditionalFormatting sqref="F1874">
    <cfRule type="expression" dxfId="439" priority="425">
      <formula>$D1873=""</formula>
    </cfRule>
  </conditionalFormatting>
  <conditionalFormatting sqref="C1875:F1875 H1875:I1875">
    <cfRule type="expression" dxfId="438" priority="424">
      <formula>$D1875=""</formula>
    </cfRule>
  </conditionalFormatting>
  <conditionalFormatting sqref="F1876">
    <cfRule type="expression" dxfId="437" priority="423">
      <formula>$D1875=""</formula>
    </cfRule>
  </conditionalFormatting>
  <conditionalFormatting sqref="C1877:F1877 H1877:I1877">
    <cfRule type="expression" dxfId="436" priority="422">
      <formula>$D1877=""</formula>
    </cfRule>
  </conditionalFormatting>
  <conditionalFormatting sqref="F1878">
    <cfRule type="expression" dxfId="435" priority="421">
      <formula>$D1877=""</formula>
    </cfRule>
  </conditionalFormatting>
  <conditionalFormatting sqref="C1879:F1879 H1879:I1879">
    <cfRule type="expression" dxfId="434" priority="420">
      <formula>$D1879=""</formula>
    </cfRule>
  </conditionalFormatting>
  <conditionalFormatting sqref="F1880">
    <cfRule type="expression" dxfId="433" priority="419">
      <formula>$D1879=""</formula>
    </cfRule>
  </conditionalFormatting>
  <conditionalFormatting sqref="C1881:F1881 H1881:I1881">
    <cfRule type="expression" dxfId="432" priority="418">
      <formula>$D1881=""</formula>
    </cfRule>
  </conditionalFormatting>
  <conditionalFormatting sqref="F1882">
    <cfRule type="expression" dxfId="431" priority="417">
      <formula>$D1881=""</formula>
    </cfRule>
  </conditionalFormatting>
  <conditionalFormatting sqref="C1883:F1883 H1883:I1883">
    <cfRule type="expression" dxfId="430" priority="416">
      <formula>$D1883=""</formula>
    </cfRule>
  </conditionalFormatting>
  <conditionalFormatting sqref="F1884">
    <cfRule type="expression" dxfId="429" priority="415">
      <formula>$D1883=""</formula>
    </cfRule>
  </conditionalFormatting>
  <conditionalFormatting sqref="C1885:F1885 H1885:I1885">
    <cfRule type="expression" dxfId="428" priority="414">
      <formula>$D1885=""</formula>
    </cfRule>
  </conditionalFormatting>
  <conditionalFormatting sqref="F1886">
    <cfRule type="expression" dxfId="427" priority="413">
      <formula>$D1885=""</formula>
    </cfRule>
  </conditionalFormatting>
  <conditionalFormatting sqref="C1887:F1887 H1887:I1887">
    <cfRule type="expression" dxfId="426" priority="412">
      <formula>$D1887=""</formula>
    </cfRule>
  </conditionalFormatting>
  <conditionalFormatting sqref="F1888">
    <cfRule type="expression" dxfId="425" priority="411">
      <formula>$D1887=""</formula>
    </cfRule>
  </conditionalFormatting>
  <conditionalFormatting sqref="C1889:F1889 H1889:I1889">
    <cfRule type="expression" dxfId="424" priority="410">
      <formula>$D1889=""</formula>
    </cfRule>
  </conditionalFormatting>
  <conditionalFormatting sqref="F1890">
    <cfRule type="expression" dxfId="423" priority="409">
      <formula>$D1889=""</formula>
    </cfRule>
  </conditionalFormatting>
  <conditionalFormatting sqref="C1891:F1891 H1891:I1891">
    <cfRule type="expression" dxfId="422" priority="408">
      <formula>$D1891=""</formula>
    </cfRule>
  </conditionalFormatting>
  <conditionalFormatting sqref="F1892">
    <cfRule type="expression" dxfId="421" priority="407">
      <formula>$D1891=""</formula>
    </cfRule>
  </conditionalFormatting>
  <conditionalFormatting sqref="C1893:F1893 H1893:I1893">
    <cfRule type="expression" dxfId="420" priority="406">
      <formula>$D1893=""</formula>
    </cfRule>
  </conditionalFormatting>
  <conditionalFormatting sqref="F1894">
    <cfRule type="expression" dxfId="419" priority="405">
      <formula>$D1893=""</formula>
    </cfRule>
  </conditionalFormatting>
  <conditionalFormatting sqref="C1895:F1895 H1895:I1895">
    <cfRule type="expression" dxfId="418" priority="404">
      <formula>$D1895=""</formula>
    </cfRule>
  </conditionalFormatting>
  <conditionalFormatting sqref="F1896">
    <cfRule type="expression" dxfId="417" priority="403">
      <formula>$D1895=""</formula>
    </cfRule>
  </conditionalFormatting>
  <conditionalFormatting sqref="C1897:F1897 H1897:I1897">
    <cfRule type="expression" dxfId="416" priority="402">
      <formula>$D1897=""</formula>
    </cfRule>
  </conditionalFormatting>
  <conditionalFormatting sqref="F1898">
    <cfRule type="expression" dxfId="415" priority="401">
      <formula>$D1897=""</formula>
    </cfRule>
  </conditionalFormatting>
  <conditionalFormatting sqref="C1899:F1899 H1899:I1899">
    <cfRule type="expression" dxfId="414" priority="400">
      <formula>$D1899=""</formula>
    </cfRule>
  </conditionalFormatting>
  <conditionalFormatting sqref="F1900">
    <cfRule type="expression" dxfId="413" priority="399">
      <formula>$D1899=""</formula>
    </cfRule>
  </conditionalFormatting>
  <conditionalFormatting sqref="B1901:F1901 H1901:I1901 B1903 B1905 B1907 B1909 B1911 B1913 B1915 B1917 B1919 B1921 B1923 B1925 B1927 B1929 B1931 B1933 B1935 B1937 B1939">
    <cfRule type="expression" dxfId="412" priority="398">
      <formula>$D1901=""</formula>
    </cfRule>
  </conditionalFormatting>
  <conditionalFormatting sqref="F1902">
    <cfRule type="expression" dxfId="411" priority="397">
      <formula>$D1901=""</formula>
    </cfRule>
  </conditionalFormatting>
  <conditionalFormatting sqref="C1903:F1903 H1903:I1903">
    <cfRule type="expression" dxfId="410" priority="396">
      <formula>$D1903=""</formula>
    </cfRule>
  </conditionalFormatting>
  <conditionalFormatting sqref="F1904">
    <cfRule type="expression" dxfId="409" priority="395">
      <formula>$D1903=""</formula>
    </cfRule>
  </conditionalFormatting>
  <conditionalFormatting sqref="C1905:F1905 H1905:I1905">
    <cfRule type="expression" dxfId="408" priority="394">
      <formula>$D1905=""</formula>
    </cfRule>
  </conditionalFormatting>
  <conditionalFormatting sqref="F1906">
    <cfRule type="expression" dxfId="407" priority="393">
      <formula>$D1905=""</formula>
    </cfRule>
  </conditionalFormatting>
  <conditionalFormatting sqref="C1907:F1907 H1907:I1907">
    <cfRule type="expression" dxfId="406" priority="392">
      <formula>$D1907=""</formula>
    </cfRule>
  </conditionalFormatting>
  <conditionalFormatting sqref="F1908">
    <cfRule type="expression" dxfId="405" priority="391">
      <formula>$D1907=""</formula>
    </cfRule>
  </conditionalFormatting>
  <conditionalFormatting sqref="C1909:F1909 H1909:I1909">
    <cfRule type="expression" dxfId="404" priority="390">
      <formula>$D1909=""</formula>
    </cfRule>
  </conditionalFormatting>
  <conditionalFormatting sqref="F1910">
    <cfRule type="expression" dxfId="403" priority="389">
      <formula>$D1909=""</formula>
    </cfRule>
  </conditionalFormatting>
  <conditionalFormatting sqref="C1911:F1911 H1911:I1911">
    <cfRule type="expression" dxfId="402" priority="388">
      <formula>$D1911=""</formula>
    </cfRule>
  </conditionalFormatting>
  <conditionalFormatting sqref="F1912">
    <cfRule type="expression" dxfId="401" priority="387">
      <formula>$D1911=""</formula>
    </cfRule>
  </conditionalFormatting>
  <conditionalFormatting sqref="C1913:F1913 H1913:I1913">
    <cfRule type="expression" dxfId="400" priority="386">
      <formula>$D1913=""</formula>
    </cfRule>
  </conditionalFormatting>
  <conditionalFormatting sqref="F1914">
    <cfRule type="expression" dxfId="399" priority="385">
      <formula>$D1913=""</formula>
    </cfRule>
  </conditionalFormatting>
  <conditionalFormatting sqref="C1915:F1915 H1915:I1915">
    <cfRule type="expression" dxfId="398" priority="384">
      <formula>$D1915=""</formula>
    </cfRule>
  </conditionalFormatting>
  <conditionalFormatting sqref="F1916">
    <cfRule type="expression" dxfId="397" priority="383">
      <formula>$D1915=""</formula>
    </cfRule>
  </conditionalFormatting>
  <conditionalFormatting sqref="C1917:F1917 H1917:I1917">
    <cfRule type="expression" dxfId="396" priority="382">
      <formula>$D1917=""</formula>
    </cfRule>
  </conditionalFormatting>
  <conditionalFormatting sqref="F1918">
    <cfRule type="expression" dxfId="395" priority="381">
      <formula>$D1917=""</formula>
    </cfRule>
  </conditionalFormatting>
  <conditionalFormatting sqref="C1919:F1919 H1919:I1919">
    <cfRule type="expression" dxfId="394" priority="380">
      <formula>$D1919=""</formula>
    </cfRule>
  </conditionalFormatting>
  <conditionalFormatting sqref="F1920">
    <cfRule type="expression" dxfId="393" priority="379">
      <formula>$D1919=""</formula>
    </cfRule>
  </conditionalFormatting>
  <conditionalFormatting sqref="C1921:F1921 H1921:I1921">
    <cfRule type="expression" dxfId="392" priority="378">
      <formula>$D1921=""</formula>
    </cfRule>
  </conditionalFormatting>
  <conditionalFormatting sqref="F1922">
    <cfRule type="expression" dxfId="391" priority="377">
      <formula>$D1921=""</formula>
    </cfRule>
  </conditionalFormatting>
  <conditionalFormatting sqref="C1923:F1923 H1923:I1923">
    <cfRule type="expression" dxfId="390" priority="376">
      <formula>$D1923=""</formula>
    </cfRule>
  </conditionalFormatting>
  <conditionalFormatting sqref="F1924">
    <cfRule type="expression" dxfId="389" priority="375">
      <formula>$D1923=""</formula>
    </cfRule>
  </conditionalFormatting>
  <conditionalFormatting sqref="C1925:F1925 H1925:I1925">
    <cfRule type="expression" dxfId="388" priority="374">
      <formula>$D1925=""</formula>
    </cfRule>
  </conditionalFormatting>
  <conditionalFormatting sqref="F1926">
    <cfRule type="expression" dxfId="387" priority="373">
      <formula>$D1925=""</formula>
    </cfRule>
  </conditionalFormatting>
  <conditionalFormatting sqref="C1927:F1927 H1927:I1927">
    <cfRule type="expression" dxfId="386" priority="372">
      <formula>$D1927=""</formula>
    </cfRule>
  </conditionalFormatting>
  <conditionalFormatting sqref="F1928">
    <cfRule type="expression" dxfId="385" priority="371">
      <formula>$D1927=""</formula>
    </cfRule>
  </conditionalFormatting>
  <conditionalFormatting sqref="C1929:F1929 H1929:I1929">
    <cfRule type="expression" dxfId="384" priority="370">
      <formula>$D1929=""</formula>
    </cfRule>
  </conditionalFormatting>
  <conditionalFormatting sqref="F1930">
    <cfRule type="expression" dxfId="383" priority="369">
      <formula>$D1929=""</formula>
    </cfRule>
  </conditionalFormatting>
  <conditionalFormatting sqref="C1931:F1931 H1931:I1931">
    <cfRule type="expression" dxfId="382" priority="368">
      <formula>$D1931=""</formula>
    </cfRule>
  </conditionalFormatting>
  <conditionalFormatting sqref="F1932">
    <cfRule type="expression" dxfId="381" priority="367">
      <formula>$D1931=""</formula>
    </cfRule>
  </conditionalFormatting>
  <conditionalFormatting sqref="C1933:F1933 H1933:I1933">
    <cfRule type="expression" dxfId="380" priority="366">
      <formula>$D1933=""</formula>
    </cfRule>
  </conditionalFormatting>
  <conditionalFormatting sqref="F1934">
    <cfRule type="expression" dxfId="379" priority="365">
      <formula>$D1933=""</formula>
    </cfRule>
  </conditionalFormatting>
  <conditionalFormatting sqref="C1935:F1935 H1935:I1935">
    <cfRule type="expression" dxfId="378" priority="364">
      <formula>$D1935=""</formula>
    </cfRule>
  </conditionalFormatting>
  <conditionalFormatting sqref="F1936">
    <cfRule type="expression" dxfId="377" priority="363">
      <formula>$D1935=""</formula>
    </cfRule>
  </conditionalFormatting>
  <conditionalFormatting sqref="C1937:F1937 H1937:I1937">
    <cfRule type="expression" dxfId="376" priority="362">
      <formula>$D1937=""</formula>
    </cfRule>
  </conditionalFormatting>
  <conditionalFormatting sqref="F1938">
    <cfRule type="expression" dxfId="375" priority="361">
      <formula>$D1937=""</formula>
    </cfRule>
  </conditionalFormatting>
  <conditionalFormatting sqref="C1939:F1939 H1939:I1939">
    <cfRule type="expression" dxfId="374" priority="360">
      <formula>$D1939=""</formula>
    </cfRule>
  </conditionalFormatting>
  <conditionalFormatting sqref="F1940">
    <cfRule type="expression" dxfId="373" priority="359">
      <formula>$D1939=""</formula>
    </cfRule>
  </conditionalFormatting>
  <conditionalFormatting sqref="B1941:F1941 H1941:I1941 B1943 B1945 B1947 B1949 B1951 B1953 B1955 B1957 B1959 B1961 B1963 B1965 B1967 B1969 B1971 B1973 B1975 B1977 B1979">
    <cfRule type="expression" dxfId="372" priority="358">
      <formula>$D1941=""</formula>
    </cfRule>
  </conditionalFormatting>
  <conditionalFormatting sqref="F1942">
    <cfRule type="expression" dxfId="371" priority="357">
      <formula>$D1941=""</formula>
    </cfRule>
  </conditionalFormatting>
  <conditionalFormatting sqref="C1943:F1943 H1943:I1943">
    <cfRule type="expression" dxfId="370" priority="356">
      <formula>$D1943=""</formula>
    </cfRule>
  </conditionalFormatting>
  <conditionalFormatting sqref="F1944">
    <cfRule type="expression" dxfId="369" priority="355">
      <formula>$D1943=""</formula>
    </cfRule>
  </conditionalFormatting>
  <conditionalFormatting sqref="C1945:F1945 H1945:I1945">
    <cfRule type="expression" dxfId="368" priority="354">
      <formula>$D1945=""</formula>
    </cfRule>
  </conditionalFormatting>
  <conditionalFormatting sqref="F1946">
    <cfRule type="expression" dxfId="367" priority="353">
      <formula>$D1945=""</formula>
    </cfRule>
  </conditionalFormatting>
  <conditionalFormatting sqref="C1947:F1947 H1947:I1947">
    <cfRule type="expression" dxfId="366" priority="352">
      <formula>$D1947=""</formula>
    </cfRule>
  </conditionalFormatting>
  <conditionalFormatting sqref="F1948">
    <cfRule type="expression" dxfId="365" priority="351">
      <formula>$D1947=""</formula>
    </cfRule>
  </conditionalFormatting>
  <conditionalFormatting sqref="C1949:F1949 H1949:I1949">
    <cfRule type="expression" dxfId="364" priority="350">
      <formula>$D1949=""</formula>
    </cfRule>
  </conditionalFormatting>
  <conditionalFormatting sqref="F1950">
    <cfRule type="expression" dxfId="363" priority="349">
      <formula>$D1949=""</formula>
    </cfRule>
  </conditionalFormatting>
  <conditionalFormatting sqref="C1951:F1951 H1951:I1951">
    <cfRule type="expression" dxfId="362" priority="348">
      <formula>$D1951=""</formula>
    </cfRule>
  </conditionalFormatting>
  <conditionalFormatting sqref="F1952">
    <cfRule type="expression" dxfId="361" priority="347">
      <formula>$D1951=""</formula>
    </cfRule>
  </conditionalFormatting>
  <conditionalFormatting sqref="C1953:F1953 H1953:I1953">
    <cfRule type="expression" dxfId="360" priority="346">
      <formula>$D1953=""</formula>
    </cfRule>
  </conditionalFormatting>
  <conditionalFormatting sqref="F1954">
    <cfRule type="expression" dxfId="359" priority="345">
      <formula>$D1953=""</formula>
    </cfRule>
  </conditionalFormatting>
  <conditionalFormatting sqref="C1955:F1955 H1955:I1955">
    <cfRule type="expression" dxfId="358" priority="344">
      <formula>$D1955=""</formula>
    </cfRule>
  </conditionalFormatting>
  <conditionalFormatting sqref="F1956">
    <cfRule type="expression" dxfId="357" priority="343">
      <formula>$D1955=""</formula>
    </cfRule>
  </conditionalFormatting>
  <conditionalFormatting sqref="C1957:F1957 H1957:I1957">
    <cfRule type="expression" dxfId="356" priority="342">
      <formula>$D1957=""</formula>
    </cfRule>
  </conditionalFormatting>
  <conditionalFormatting sqref="F1958">
    <cfRule type="expression" dxfId="355" priority="341">
      <formula>$D1957=""</formula>
    </cfRule>
  </conditionalFormatting>
  <conditionalFormatting sqref="C1959:F1959 H1959:I1959">
    <cfRule type="expression" dxfId="354" priority="340">
      <formula>$D1959=""</formula>
    </cfRule>
  </conditionalFormatting>
  <conditionalFormatting sqref="F1960">
    <cfRule type="expression" dxfId="353" priority="339">
      <formula>$D1959=""</formula>
    </cfRule>
  </conditionalFormatting>
  <conditionalFormatting sqref="C1961:F1961 H1961:I1961">
    <cfRule type="expression" dxfId="352" priority="338">
      <formula>$D1961=""</formula>
    </cfRule>
  </conditionalFormatting>
  <conditionalFormatting sqref="F1962">
    <cfRule type="expression" dxfId="351" priority="337">
      <formula>$D1961=""</formula>
    </cfRule>
  </conditionalFormatting>
  <conditionalFormatting sqref="C1963:F1963 H1963:I1963">
    <cfRule type="expression" dxfId="350" priority="336">
      <formula>$D1963=""</formula>
    </cfRule>
  </conditionalFormatting>
  <conditionalFormatting sqref="F1964">
    <cfRule type="expression" dxfId="349" priority="335">
      <formula>$D1963=""</formula>
    </cfRule>
  </conditionalFormatting>
  <conditionalFormatting sqref="C1965:F1965 H1965:I1965">
    <cfRule type="expression" dxfId="348" priority="334">
      <formula>$D1965=""</formula>
    </cfRule>
  </conditionalFormatting>
  <conditionalFormatting sqref="F1966">
    <cfRule type="expression" dxfId="347" priority="333">
      <formula>$D1965=""</formula>
    </cfRule>
  </conditionalFormatting>
  <conditionalFormatting sqref="C1967:F1967 H1967:I1967">
    <cfRule type="expression" dxfId="346" priority="332">
      <formula>$D1967=""</formula>
    </cfRule>
  </conditionalFormatting>
  <conditionalFormatting sqref="F1968">
    <cfRule type="expression" dxfId="345" priority="331">
      <formula>$D1967=""</formula>
    </cfRule>
  </conditionalFormatting>
  <conditionalFormatting sqref="C1969:F1969 H1969:I1969">
    <cfRule type="expression" dxfId="344" priority="330">
      <formula>$D1969=""</formula>
    </cfRule>
  </conditionalFormatting>
  <conditionalFormatting sqref="F1970">
    <cfRule type="expression" dxfId="343" priority="329">
      <formula>$D1969=""</formula>
    </cfRule>
  </conditionalFormatting>
  <conditionalFormatting sqref="C1971:F1971 H1971:I1971">
    <cfRule type="expression" dxfId="342" priority="328">
      <formula>$D1971=""</formula>
    </cfRule>
  </conditionalFormatting>
  <conditionalFormatting sqref="F1972">
    <cfRule type="expression" dxfId="341" priority="327">
      <formula>$D1971=""</formula>
    </cfRule>
  </conditionalFormatting>
  <conditionalFormatting sqref="C1973:F1973 H1973:I1973">
    <cfRule type="expression" dxfId="340" priority="326">
      <formula>$D1973=""</formula>
    </cfRule>
  </conditionalFormatting>
  <conditionalFormatting sqref="F1974">
    <cfRule type="expression" dxfId="339" priority="325">
      <formula>$D1973=""</formula>
    </cfRule>
  </conditionalFormatting>
  <conditionalFormatting sqref="C1975:F1975 H1975:I1975">
    <cfRule type="expression" dxfId="338" priority="324">
      <formula>$D1975=""</formula>
    </cfRule>
  </conditionalFormatting>
  <conditionalFormatting sqref="F1976">
    <cfRule type="expression" dxfId="337" priority="323">
      <formula>$D1975=""</formula>
    </cfRule>
  </conditionalFormatting>
  <conditionalFormatting sqref="C1977:F1977 H1977:I1977">
    <cfRule type="expression" dxfId="336" priority="322">
      <formula>$D1977=""</formula>
    </cfRule>
  </conditionalFormatting>
  <conditionalFormatting sqref="F1978">
    <cfRule type="expression" dxfId="335" priority="321">
      <formula>$D1977=""</formula>
    </cfRule>
  </conditionalFormatting>
  <conditionalFormatting sqref="C1979:F1979 H1979:I1979">
    <cfRule type="expression" dxfId="334" priority="320">
      <formula>$D1979=""</formula>
    </cfRule>
  </conditionalFormatting>
  <conditionalFormatting sqref="F1980">
    <cfRule type="expression" dxfId="333" priority="319">
      <formula>$D1979=""</formula>
    </cfRule>
  </conditionalFormatting>
  <conditionalFormatting sqref="B1981:F1981 H1981:I1981 B1983 B1985 B1987 B1989 B1991 B1993 B1995 B1997 B1999 B2001 B2003 B2005 B2007 B2009 B2011 B2013 B2015 B2017 B2019">
    <cfRule type="expression" dxfId="332" priority="318">
      <formula>$D1981=""</formula>
    </cfRule>
  </conditionalFormatting>
  <conditionalFormatting sqref="F1982">
    <cfRule type="expression" dxfId="331" priority="317">
      <formula>$D1981=""</formula>
    </cfRule>
  </conditionalFormatting>
  <conditionalFormatting sqref="C1983:F1983 H1983:I1983">
    <cfRule type="expression" dxfId="330" priority="316">
      <formula>$D1983=""</formula>
    </cfRule>
  </conditionalFormatting>
  <conditionalFormatting sqref="F1984">
    <cfRule type="expression" dxfId="329" priority="315">
      <formula>$D1983=""</formula>
    </cfRule>
  </conditionalFormatting>
  <conditionalFormatting sqref="C1985:F1985 H1985:I1985">
    <cfRule type="expression" dxfId="328" priority="314">
      <formula>$D1985=""</formula>
    </cfRule>
  </conditionalFormatting>
  <conditionalFormatting sqref="F1986">
    <cfRule type="expression" dxfId="327" priority="313">
      <formula>$D1985=""</formula>
    </cfRule>
  </conditionalFormatting>
  <conditionalFormatting sqref="C1987:F1987 H1987:I1987">
    <cfRule type="expression" dxfId="326" priority="312">
      <formula>$D1987=""</formula>
    </cfRule>
  </conditionalFormatting>
  <conditionalFormatting sqref="F1988">
    <cfRule type="expression" dxfId="325" priority="311">
      <formula>$D1987=""</formula>
    </cfRule>
  </conditionalFormatting>
  <conditionalFormatting sqref="C1989:F1989 H1989:I1989">
    <cfRule type="expression" dxfId="324" priority="310">
      <formula>$D1989=""</formula>
    </cfRule>
  </conditionalFormatting>
  <conditionalFormatting sqref="F1990">
    <cfRule type="expression" dxfId="323" priority="309">
      <formula>$D1989=""</formula>
    </cfRule>
  </conditionalFormatting>
  <conditionalFormatting sqref="C1991:F1991 H1991:I1991">
    <cfRule type="expression" dxfId="322" priority="308">
      <formula>$D1991=""</formula>
    </cfRule>
  </conditionalFormatting>
  <conditionalFormatting sqref="F1992">
    <cfRule type="expression" dxfId="321" priority="307">
      <formula>$D1991=""</formula>
    </cfRule>
  </conditionalFormatting>
  <conditionalFormatting sqref="C1993:F1993 H1993:I1993">
    <cfRule type="expression" dxfId="320" priority="306">
      <formula>$D1993=""</formula>
    </cfRule>
  </conditionalFormatting>
  <conditionalFormatting sqref="F1994">
    <cfRule type="expression" dxfId="319" priority="305">
      <formula>$D1993=""</formula>
    </cfRule>
  </conditionalFormatting>
  <conditionalFormatting sqref="C1995:F1995 H1995:I1995">
    <cfRule type="expression" dxfId="318" priority="304">
      <formula>$D1995=""</formula>
    </cfRule>
  </conditionalFormatting>
  <conditionalFormatting sqref="F1996">
    <cfRule type="expression" dxfId="317" priority="303">
      <formula>$D1995=""</formula>
    </cfRule>
  </conditionalFormatting>
  <conditionalFormatting sqref="C1997:F1997 H1997:I1997">
    <cfRule type="expression" dxfId="316" priority="302">
      <formula>$D1997=""</formula>
    </cfRule>
  </conditionalFormatting>
  <conditionalFormatting sqref="F1998">
    <cfRule type="expression" dxfId="315" priority="301">
      <formula>$D1997=""</formula>
    </cfRule>
  </conditionalFormatting>
  <conditionalFormatting sqref="C1999:F1999 H1999:I1999">
    <cfRule type="expression" dxfId="314" priority="300">
      <formula>$D1999=""</formula>
    </cfRule>
  </conditionalFormatting>
  <conditionalFormatting sqref="F2000">
    <cfRule type="expression" dxfId="313" priority="299">
      <formula>$D1999=""</formula>
    </cfRule>
  </conditionalFormatting>
  <conditionalFormatting sqref="C2001:F2001 H2001:I2001">
    <cfRule type="expression" dxfId="312" priority="298">
      <formula>$D2001=""</formula>
    </cfRule>
  </conditionalFormatting>
  <conditionalFormatting sqref="F2002">
    <cfRule type="expression" dxfId="311" priority="297">
      <formula>$D2001=""</formula>
    </cfRule>
  </conditionalFormatting>
  <conditionalFormatting sqref="C2003:F2003 H2003:I2003">
    <cfRule type="expression" dxfId="310" priority="296">
      <formula>$D2003=""</formula>
    </cfRule>
  </conditionalFormatting>
  <conditionalFormatting sqref="F2004">
    <cfRule type="expression" dxfId="309" priority="295">
      <formula>$D2003=""</formula>
    </cfRule>
  </conditionalFormatting>
  <conditionalFormatting sqref="C2005:F2005 H2005:I2005">
    <cfRule type="expression" dxfId="308" priority="294">
      <formula>$D2005=""</formula>
    </cfRule>
  </conditionalFormatting>
  <conditionalFormatting sqref="F2006">
    <cfRule type="expression" dxfId="307" priority="293">
      <formula>$D2005=""</formula>
    </cfRule>
  </conditionalFormatting>
  <conditionalFormatting sqref="C2007:F2007 H2007:I2007">
    <cfRule type="expression" dxfId="306" priority="292">
      <formula>$D2007=""</formula>
    </cfRule>
  </conditionalFormatting>
  <conditionalFormatting sqref="F2008">
    <cfRule type="expression" dxfId="305" priority="291">
      <formula>$D2007=""</formula>
    </cfRule>
  </conditionalFormatting>
  <conditionalFormatting sqref="C2009:F2009 H2009:I2009">
    <cfRule type="expression" dxfId="304" priority="290">
      <formula>$D2009=""</formula>
    </cfRule>
  </conditionalFormatting>
  <conditionalFormatting sqref="F2010">
    <cfRule type="expression" dxfId="303" priority="289">
      <formula>$D2009=""</formula>
    </cfRule>
  </conditionalFormatting>
  <conditionalFormatting sqref="C2011:F2011 H2011:I2011">
    <cfRule type="expression" dxfId="302" priority="288">
      <formula>$D2011=""</formula>
    </cfRule>
  </conditionalFormatting>
  <conditionalFormatting sqref="F2012">
    <cfRule type="expression" dxfId="301" priority="287">
      <formula>$D2011=""</formula>
    </cfRule>
  </conditionalFormatting>
  <conditionalFormatting sqref="C2013:F2013 H2013:I2013">
    <cfRule type="expression" dxfId="300" priority="286">
      <formula>$D2013=""</formula>
    </cfRule>
  </conditionalFormatting>
  <conditionalFormatting sqref="F2014">
    <cfRule type="expression" dxfId="299" priority="285">
      <formula>$D2013=""</formula>
    </cfRule>
  </conditionalFormatting>
  <conditionalFormatting sqref="C2015:F2015 H2015:I2015">
    <cfRule type="expression" dxfId="298" priority="284">
      <formula>$D2015=""</formula>
    </cfRule>
  </conditionalFormatting>
  <conditionalFormatting sqref="F2016">
    <cfRule type="expression" dxfId="297" priority="283">
      <formula>$D2015=""</formula>
    </cfRule>
  </conditionalFormatting>
  <conditionalFormatting sqref="C2017:F2017 H2017:I2017">
    <cfRule type="expression" dxfId="296" priority="282">
      <formula>$D2017=""</formula>
    </cfRule>
  </conditionalFormatting>
  <conditionalFormatting sqref="F2018">
    <cfRule type="expression" dxfId="295" priority="281">
      <formula>$D2017=""</formula>
    </cfRule>
  </conditionalFormatting>
  <conditionalFormatting sqref="C2019:F2019 H2019:I2019">
    <cfRule type="expression" dxfId="294" priority="280">
      <formula>$D2019=""</formula>
    </cfRule>
  </conditionalFormatting>
  <conditionalFormatting sqref="F2020">
    <cfRule type="expression" dxfId="293" priority="279">
      <formula>$D2019=""</formula>
    </cfRule>
  </conditionalFormatting>
  <conditionalFormatting sqref="B2021:F2021 H2021:I2021 B2023 B2025 B2027 B2029 B2031 B2033 B2035 B2037 B2039 B2041 B2043 B2045 B2047 B2049 B2051 B2053 B2055 B2057 B2059">
    <cfRule type="expression" dxfId="292" priority="278">
      <formula>$D2021=""</formula>
    </cfRule>
  </conditionalFormatting>
  <conditionalFormatting sqref="F2022">
    <cfRule type="expression" dxfId="291" priority="277">
      <formula>$D2021=""</formula>
    </cfRule>
  </conditionalFormatting>
  <conditionalFormatting sqref="C2023:F2023 H2023:I2023">
    <cfRule type="expression" dxfId="290" priority="276">
      <formula>$D2023=""</formula>
    </cfRule>
  </conditionalFormatting>
  <conditionalFormatting sqref="F2024">
    <cfRule type="expression" dxfId="289" priority="275">
      <formula>$D2023=""</formula>
    </cfRule>
  </conditionalFormatting>
  <conditionalFormatting sqref="C2025:F2025 H2025:I2025">
    <cfRule type="expression" dxfId="288" priority="274">
      <formula>$D2025=""</formula>
    </cfRule>
  </conditionalFormatting>
  <conditionalFormatting sqref="F2026">
    <cfRule type="expression" dxfId="287" priority="273">
      <formula>$D2025=""</formula>
    </cfRule>
  </conditionalFormatting>
  <conditionalFormatting sqref="C2027:F2027 H2027:I2027">
    <cfRule type="expression" dxfId="286" priority="272">
      <formula>$D2027=""</formula>
    </cfRule>
  </conditionalFormatting>
  <conditionalFormatting sqref="F2028">
    <cfRule type="expression" dxfId="285" priority="271">
      <formula>$D2027=""</formula>
    </cfRule>
  </conditionalFormatting>
  <conditionalFormatting sqref="C2029:F2029 H2029:I2029">
    <cfRule type="expression" dxfId="284" priority="270">
      <formula>$D2029=""</formula>
    </cfRule>
  </conditionalFormatting>
  <conditionalFormatting sqref="F2030">
    <cfRule type="expression" dxfId="283" priority="269">
      <formula>$D2029=""</formula>
    </cfRule>
  </conditionalFormatting>
  <conditionalFormatting sqref="C2031:F2031 H2031:I2031">
    <cfRule type="expression" dxfId="282" priority="268">
      <formula>$D2031=""</formula>
    </cfRule>
  </conditionalFormatting>
  <conditionalFormatting sqref="F2032">
    <cfRule type="expression" dxfId="281" priority="267">
      <formula>$D2031=""</formula>
    </cfRule>
  </conditionalFormatting>
  <conditionalFormatting sqref="C2033:F2033 H2033:I2033">
    <cfRule type="expression" dxfId="280" priority="266">
      <formula>$D2033=""</formula>
    </cfRule>
  </conditionalFormatting>
  <conditionalFormatting sqref="F2034">
    <cfRule type="expression" dxfId="279" priority="265">
      <formula>$D2033=""</formula>
    </cfRule>
  </conditionalFormatting>
  <conditionalFormatting sqref="C2035:F2035 H2035:I2035">
    <cfRule type="expression" dxfId="278" priority="264">
      <formula>$D2035=""</formula>
    </cfRule>
  </conditionalFormatting>
  <conditionalFormatting sqref="F2036">
    <cfRule type="expression" dxfId="277" priority="263">
      <formula>$D2035=""</formula>
    </cfRule>
  </conditionalFormatting>
  <conditionalFormatting sqref="C2037:F2037 H2037:I2037">
    <cfRule type="expression" dxfId="276" priority="262">
      <formula>$D2037=""</formula>
    </cfRule>
  </conditionalFormatting>
  <conditionalFormatting sqref="F2038">
    <cfRule type="expression" dxfId="275" priority="261">
      <formula>$D2037=""</formula>
    </cfRule>
  </conditionalFormatting>
  <conditionalFormatting sqref="C2039:F2039 H2039:I2039">
    <cfRule type="expression" dxfId="274" priority="260">
      <formula>$D2039=""</formula>
    </cfRule>
  </conditionalFormatting>
  <conditionalFormatting sqref="F2040">
    <cfRule type="expression" dxfId="273" priority="259">
      <formula>$D2039=""</formula>
    </cfRule>
  </conditionalFormatting>
  <conditionalFormatting sqref="C2041:F2041 H2041:I2041">
    <cfRule type="expression" dxfId="272" priority="258">
      <formula>$D2041=""</formula>
    </cfRule>
  </conditionalFormatting>
  <conditionalFormatting sqref="F2042">
    <cfRule type="expression" dxfId="271" priority="257">
      <formula>$D2041=""</formula>
    </cfRule>
  </conditionalFormatting>
  <conditionalFormatting sqref="C2043:F2043 H2043:I2043">
    <cfRule type="expression" dxfId="270" priority="256">
      <formula>$D2043=""</formula>
    </cfRule>
  </conditionalFormatting>
  <conditionalFormatting sqref="F2044">
    <cfRule type="expression" dxfId="269" priority="255">
      <formula>$D2043=""</formula>
    </cfRule>
  </conditionalFormatting>
  <conditionalFormatting sqref="C2045:F2045 H2045:I2045">
    <cfRule type="expression" dxfId="268" priority="254">
      <formula>$D2045=""</formula>
    </cfRule>
  </conditionalFormatting>
  <conditionalFormatting sqref="F2046">
    <cfRule type="expression" dxfId="267" priority="253">
      <formula>$D2045=""</formula>
    </cfRule>
  </conditionalFormatting>
  <conditionalFormatting sqref="C2047:F2047 H2047:I2047">
    <cfRule type="expression" dxfId="266" priority="252">
      <formula>$D2047=""</formula>
    </cfRule>
  </conditionalFormatting>
  <conditionalFormatting sqref="F2048">
    <cfRule type="expression" dxfId="265" priority="251">
      <formula>$D2047=""</formula>
    </cfRule>
  </conditionalFormatting>
  <conditionalFormatting sqref="C2049:F2049 H2049:I2049">
    <cfRule type="expression" dxfId="264" priority="250">
      <formula>$D2049=""</formula>
    </cfRule>
  </conditionalFormatting>
  <conditionalFormatting sqref="F2050">
    <cfRule type="expression" dxfId="263" priority="249">
      <formula>$D2049=""</formula>
    </cfRule>
  </conditionalFormatting>
  <conditionalFormatting sqref="C2051:F2051 H2051:I2051">
    <cfRule type="expression" dxfId="262" priority="248">
      <formula>$D2051=""</formula>
    </cfRule>
  </conditionalFormatting>
  <conditionalFormatting sqref="F2052">
    <cfRule type="expression" dxfId="261" priority="247">
      <formula>$D2051=""</formula>
    </cfRule>
  </conditionalFormatting>
  <conditionalFormatting sqref="C2053:F2053 H2053:I2053">
    <cfRule type="expression" dxfId="260" priority="246">
      <formula>$D2053=""</formula>
    </cfRule>
  </conditionalFormatting>
  <conditionalFormatting sqref="F2054">
    <cfRule type="expression" dxfId="259" priority="245">
      <formula>$D2053=""</formula>
    </cfRule>
  </conditionalFormatting>
  <conditionalFormatting sqref="C2055:F2055 H2055:I2055">
    <cfRule type="expression" dxfId="258" priority="244">
      <formula>$D2055=""</formula>
    </cfRule>
  </conditionalFormatting>
  <conditionalFormatting sqref="F2056">
    <cfRule type="expression" dxfId="257" priority="243">
      <formula>$D2055=""</formula>
    </cfRule>
  </conditionalFormatting>
  <conditionalFormatting sqref="C2057:F2057 H2057:I2057">
    <cfRule type="expression" dxfId="256" priority="242">
      <formula>$D2057=""</formula>
    </cfRule>
  </conditionalFormatting>
  <conditionalFormatting sqref="F2058">
    <cfRule type="expression" dxfId="255" priority="241">
      <formula>$D2057=""</formula>
    </cfRule>
  </conditionalFormatting>
  <conditionalFormatting sqref="C2059:F2059 H2059:I2059">
    <cfRule type="expression" dxfId="254" priority="240">
      <formula>$D2059=""</formula>
    </cfRule>
  </conditionalFormatting>
  <conditionalFormatting sqref="F2060">
    <cfRule type="expression" dxfId="253" priority="239">
      <formula>$D2059=""</formula>
    </cfRule>
  </conditionalFormatting>
  <conditionalFormatting sqref="B2061:F2061 H2061:I2061 B2063 B2065 B2067 B2069 B2071 B2073 B2075 B2077 B2079 B2081 B2083 B2085 B2087 B2089 B2091 B2093 B2095 B2097 B2099">
    <cfRule type="expression" dxfId="252" priority="238">
      <formula>$D2061=""</formula>
    </cfRule>
  </conditionalFormatting>
  <conditionalFormatting sqref="F2062">
    <cfRule type="expression" dxfId="251" priority="237">
      <formula>$D2061=""</formula>
    </cfRule>
  </conditionalFormatting>
  <conditionalFormatting sqref="C2063:F2063 H2063:I2063">
    <cfRule type="expression" dxfId="250" priority="236">
      <formula>$D2063=""</formula>
    </cfRule>
  </conditionalFormatting>
  <conditionalFormatting sqref="F2064">
    <cfRule type="expression" dxfId="249" priority="235">
      <formula>$D2063=""</formula>
    </cfRule>
  </conditionalFormatting>
  <conditionalFormatting sqref="C2065:F2065 H2065:I2065">
    <cfRule type="expression" dxfId="248" priority="234">
      <formula>$D2065=""</formula>
    </cfRule>
  </conditionalFormatting>
  <conditionalFormatting sqref="F2066">
    <cfRule type="expression" dxfId="247" priority="233">
      <formula>$D2065=""</formula>
    </cfRule>
  </conditionalFormatting>
  <conditionalFormatting sqref="C2067:F2067 H2067:I2067">
    <cfRule type="expression" dxfId="246" priority="232">
      <formula>$D2067=""</formula>
    </cfRule>
  </conditionalFormatting>
  <conditionalFormatting sqref="F2068">
    <cfRule type="expression" dxfId="245" priority="231">
      <formula>$D2067=""</formula>
    </cfRule>
  </conditionalFormatting>
  <conditionalFormatting sqref="C2069:F2069 H2069:I2069">
    <cfRule type="expression" dxfId="244" priority="230">
      <formula>$D2069=""</formula>
    </cfRule>
  </conditionalFormatting>
  <conditionalFormatting sqref="F2070">
    <cfRule type="expression" dxfId="243" priority="229">
      <formula>$D2069=""</formula>
    </cfRule>
  </conditionalFormatting>
  <conditionalFormatting sqref="C2071:F2071 H2071:I2071">
    <cfRule type="expression" dxfId="242" priority="228">
      <formula>$D2071=""</formula>
    </cfRule>
  </conditionalFormatting>
  <conditionalFormatting sqref="F2072">
    <cfRule type="expression" dxfId="241" priority="227">
      <formula>$D2071=""</formula>
    </cfRule>
  </conditionalFormatting>
  <conditionalFormatting sqref="C2073:F2073 H2073:I2073">
    <cfRule type="expression" dxfId="240" priority="226">
      <formula>$D2073=""</formula>
    </cfRule>
  </conditionalFormatting>
  <conditionalFormatting sqref="F2074">
    <cfRule type="expression" dxfId="239" priority="225">
      <formula>$D2073=""</formula>
    </cfRule>
  </conditionalFormatting>
  <conditionalFormatting sqref="C2075:F2075 H2075:I2075">
    <cfRule type="expression" dxfId="238" priority="224">
      <formula>$D2075=""</formula>
    </cfRule>
  </conditionalFormatting>
  <conditionalFormatting sqref="F2076">
    <cfRule type="expression" dxfId="237" priority="223">
      <formula>$D2075=""</formula>
    </cfRule>
  </conditionalFormatting>
  <conditionalFormatting sqref="C2077:F2077 H2077:I2077">
    <cfRule type="expression" dxfId="236" priority="222">
      <formula>$D2077=""</formula>
    </cfRule>
  </conditionalFormatting>
  <conditionalFormatting sqref="F2078">
    <cfRule type="expression" dxfId="235" priority="221">
      <formula>$D2077=""</formula>
    </cfRule>
  </conditionalFormatting>
  <conditionalFormatting sqref="C2079:F2079 H2079:I2079">
    <cfRule type="expression" dxfId="234" priority="220">
      <formula>$D2079=""</formula>
    </cfRule>
  </conditionalFormatting>
  <conditionalFormatting sqref="F2080">
    <cfRule type="expression" dxfId="233" priority="219">
      <formula>$D2079=""</formula>
    </cfRule>
  </conditionalFormatting>
  <conditionalFormatting sqref="C2081:F2081 H2081:I2081">
    <cfRule type="expression" dxfId="232" priority="218">
      <formula>$D2081=""</formula>
    </cfRule>
  </conditionalFormatting>
  <conditionalFormatting sqref="F2082">
    <cfRule type="expression" dxfId="231" priority="217">
      <formula>$D2081=""</formula>
    </cfRule>
  </conditionalFormatting>
  <conditionalFormatting sqref="C2083:F2083 H2083:I2083">
    <cfRule type="expression" dxfId="230" priority="216">
      <formula>$D2083=""</formula>
    </cfRule>
  </conditionalFormatting>
  <conditionalFormatting sqref="F2084">
    <cfRule type="expression" dxfId="229" priority="215">
      <formula>$D2083=""</formula>
    </cfRule>
  </conditionalFormatting>
  <conditionalFormatting sqref="C2085:F2085 H2085:I2085">
    <cfRule type="expression" dxfId="228" priority="214">
      <formula>$D2085=""</formula>
    </cfRule>
  </conditionalFormatting>
  <conditionalFormatting sqref="F2086">
    <cfRule type="expression" dxfId="227" priority="213">
      <formula>$D2085=""</formula>
    </cfRule>
  </conditionalFormatting>
  <conditionalFormatting sqref="C2087:F2087 H2087:I2087">
    <cfRule type="expression" dxfId="226" priority="212">
      <formula>$D2087=""</formula>
    </cfRule>
  </conditionalFormatting>
  <conditionalFormatting sqref="F2088">
    <cfRule type="expression" dxfId="225" priority="211">
      <formula>$D2087=""</formula>
    </cfRule>
  </conditionalFormatting>
  <conditionalFormatting sqref="C2089:F2089 H2089:I2089">
    <cfRule type="expression" dxfId="224" priority="210">
      <formula>$D2089=""</formula>
    </cfRule>
  </conditionalFormatting>
  <conditionalFormatting sqref="F2090">
    <cfRule type="expression" dxfId="223" priority="209">
      <formula>$D2089=""</formula>
    </cfRule>
  </conditionalFormatting>
  <conditionalFormatting sqref="C2091:F2091 H2091:I2091">
    <cfRule type="expression" dxfId="222" priority="208">
      <formula>$D2091=""</formula>
    </cfRule>
  </conditionalFormatting>
  <conditionalFormatting sqref="F2092">
    <cfRule type="expression" dxfId="221" priority="207">
      <formula>$D2091=""</formula>
    </cfRule>
  </conditionalFormatting>
  <conditionalFormatting sqref="C2093:F2093 H2093:I2093">
    <cfRule type="expression" dxfId="220" priority="206">
      <formula>$D2093=""</formula>
    </cfRule>
  </conditionalFormatting>
  <conditionalFormatting sqref="F2094">
    <cfRule type="expression" dxfId="219" priority="205">
      <formula>$D2093=""</formula>
    </cfRule>
  </conditionalFormatting>
  <conditionalFormatting sqref="C2095:F2095 H2095:I2095">
    <cfRule type="expression" dxfId="218" priority="204">
      <formula>$D2095=""</formula>
    </cfRule>
  </conditionalFormatting>
  <conditionalFormatting sqref="F2096">
    <cfRule type="expression" dxfId="217" priority="203">
      <formula>$D2095=""</formula>
    </cfRule>
  </conditionalFormatting>
  <conditionalFormatting sqref="C2097:F2097 H2097:I2097">
    <cfRule type="expression" dxfId="216" priority="202">
      <formula>$D2097=""</formula>
    </cfRule>
  </conditionalFormatting>
  <conditionalFormatting sqref="F2098">
    <cfRule type="expression" dxfId="215" priority="201">
      <formula>$D2097=""</formula>
    </cfRule>
  </conditionalFormatting>
  <conditionalFormatting sqref="C2099:F2099 H2099:I2099">
    <cfRule type="expression" dxfId="214" priority="200">
      <formula>$D2099=""</formula>
    </cfRule>
  </conditionalFormatting>
  <conditionalFormatting sqref="F2100">
    <cfRule type="expression" dxfId="213" priority="199">
      <formula>$D2099=""</formula>
    </cfRule>
  </conditionalFormatting>
  <conditionalFormatting sqref="B2101:F2101 H2101:I2101 B2103 B2105 B2107 B2109 B2111 B2113 B2115 B2117 B2119 B2121 B2123 B2125 B2127 B2129 B2131 B2133 B2135 B2137 B2139">
    <cfRule type="expression" dxfId="212" priority="198">
      <formula>$D2101=""</formula>
    </cfRule>
  </conditionalFormatting>
  <conditionalFormatting sqref="F2102">
    <cfRule type="expression" dxfId="211" priority="197">
      <formula>$D2101=""</formula>
    </cfRule>
  </conditionalFormatting>
  <conditionalFormatting sqref="C2103:F2103 H2103:I2103">
    <cfRule type="expression" dxfId="210" priority="196">
      <formula>$D2103=""</formula>
    </cfRule>
  </conditionalFormatting>
  <conditionalFormatting sqref="F2104">
    <cfRule type="expression" dxfId="209" priority="195">
      <formula>$D2103=""</formula>
    </cfRule>
  </conditionalFormatting>
  <conditionalFormatting sqref="C2105:F2105 H2105:I2105">
    <cfRule type="expression" dxfId="208" priority="194">
      <formula>$D2105=""</formula>
    </cfRule>
  </conditionalFormatting>
  <conditionalFormatting sqref="F2106">
    <cfRule type="expression" dxfId="207" priority="193">
      <formula>$D2105=""</formula>
    </cfRule>
  </conditionalFormatting>
  <conditionalFormatting sqref="C2107:F2107 H2107:I2107">
    <cfRule type="expression" dxfId="206" priority="192">
      <formula>$D2107=""</formula>
    </cfRule>
  </conditionalFormatting>
  <conditionalFormatting sqref="F2108">
    <cfRule type="expression" dxfId="205" priority="191">
      <formula>$D2107=""</formula>
    </cfRule>
  </conditionalFormatting>
  <conditionalFormatting sqref="C2109:F2109 H2109:I2109">
    <cfRule type="expression" dxfId="204" priority="190">
      <formula>$D2109=""</formula>
    </cfRule>
  </conditionalFormatting>
  <conditionalFormatting sqref="F2110">
    <cfRule type="expression" dxfId="203" priority="189">
      <formula>$D2109=""</formula>
    </cfRule>
  </conditionalFormatting>
  <conditionalFormatting sqref="C2111:F2111 H2111:I2111">
    <cfRule type="expression" dxfId="202" priority="188">
      <formula>$D2111=""</formula>
    </cfRule>
  </conditionalFormatting>
  <conditionalFormatting sqref="F2112">
    <cfRule type="expression" dxfId="201" priority="187">
      <formula>$D2111=""</formula>
    </cfRule>
  </conditionalFormatting>
  <conditionalFormatting sqref="C2113:F2113 H2113:I2113">
    <cfRule type="expression" dxfId="200" priority="186">
      <formula>$D2113=""</formula>
    </cfRule>
  </conditionalFormatting>
  <conditionalFormatting sqref="F2114">
    <cfRule type="expression" dxfId="199" priority="185">
      <formula>$D2113=""</formula>
    </cfRule>
  </conditionalFormatting>
  <conditionalFormatting sqref="C2115:F2115 H2115:I2115">
    <cfRule type="expression" dxfId="198" priority="184">
      <formula>$D2115=""</formula>
    </cfRule>
  </conditionalFormatting>
  <conditionalFormatting sqref="F2116">
    <cfRule type="expression" dxfId="197" priority="183">
      <formula>$D2115=""</formula>
    </cfRule>
  </conditionalFormatting>
  <conditionalFormatting sqref="C2117:F2117 H2117:I2117">
    <cfRule type="expression" dxfId="196" priority="182">
      <formula>$D2117=""</formula>
    </cfRule>
  </conditionalFormatting>
  <conditionalFormatting sqref="F2118">
    <cfRule type="expression" dxfId="195" priority="181">
      <formula>$D2117=""</formula>
    </cfRule>
  </conditionalFormatting>
  <conditionalFormatting sqref="C2119:F2119 H2119:I2119">
    <cfRule type="expression" dxfId="194" priority="180">
      <formula>$D2119=""</formula>
    </cfRule>
  </conditionalFormatting>
  <conditionalFormatting sqref="F2120">
    <cfRule type="expression" dxfId="193" priority="179">
      <formula>$D2119=""</formula>
    </cfRule>
  </conditionalFormatting>
  <conditionalFormatting sqref="C2121:F2121 H2121:I2121">
    <cfRule type="expression" dxfId="192" priority="178">
      <formula>$D2121=""</formula>
    </cfRule>
  </conditionalFormatting>
  <conditionalFormatting sqref="F2122">
    <cfRule type="expression" dxfId="191" priority="177">
      <formula>$D2121=""</formula>
    </cfRule>
  </conditionalFormatting>
  <conditionalFormatting sqref="C2123:F2123 H2123:I2123">
    <cfRule type="expression" dxfId="190" priority="176">
      <formula>$D2123=""</formula>
    </cfRule>
  </conditionalFormatting>
  <conditionalFormatting sqref="F2124">
    <cfRule type="expression" dxfId="189" priority="175">
      <formula>$D2123=""</formula>
    </cfRule>
  </conditionalFormatting>
  <conditionalFormatting sqref="C2125:F2125 H2125:I2125">
    <cfRule type="expression" dxfId="188" priority="174">
      <formula>$D2125=""</formula>
    </cfRule>
  </conditionalFormatting>
  <conditionalFormatting sqref="F2126">
    <cfRule type="expression" dxfId="187" priority="173">
      <formula>$D2125=""</formula>
    </cfRule>
  </conditionalFormatting>
  <conditionalFormatting sqref="C2127:F2127 H2127:I2127">
    <cfRule type="expression" dxfId="186" priority="172">
      <formula>$D2127=""</formula>
    </cfRule>
  </conditionalFormatting>
  <conditionalFormatting sqref="F2128">
    <cfRule type="expression" dxfId="185" priority="171">
      <formula>$D2127=""</formula>
    </cfRule>
  </conditionalFormatting>
  <conditionalFormatting sqref="C2129:F2129 H2129:I2129">
    <cfRule type="expression" dxfId="184" priority="170">
      <formula>$D2129=""</formula>
    </cfRule>
  </conditionalFormatting>
  <conditionalFormatting sqref="F2130">
    <cfRule type="expression" dxfId="183" priority="169">
      <formula>$D2129=""</formula>
    </cfRule>
  </conditionalFormatting>
  <conditionalFormatting sqref="C2131:F2131 H2131:I2131">
    <cfRule type="expression" dxfId="182" priority="168">
      <formula>$D2131=""</formula>
    </cfRule>
  </conditionalFormatting>
  <conditionalFormatting sqref="F2132">
    <cfRule type="expression" dxfId="181" priority="167">
      <formula>$D2131=""</formula>
    </cfRule>
  </conditionalFormatting>
  <conditionalFormatting sqref="C2133:F2133 H2133:I2133">
    <cfRule type="expression" dxfId="180" priority="166">
      <formula>$D2133=""</formula>
    </cfRule>
  </conditionalFormatting>
  <conditionalFormatting sqref="F2134">
    <cfRule type="expression" dxfId="179" priority="165">
      <formula>$D2133=""</formula>
    </cfRule>
  </conditionalFormatting>
  <conditionalFormatting sqref="C2135:F2135 H2135:I2135">
    <cfRule type="expression" dxfId="178" priority="164">
      <formula>$D2135=""</formula>
    </cfRule>
  </conditionalFormatting>
  <conditionalFormatting sqref="F2136">
    <cfRule type="expression" dxfId="177" priority="163">
      <formula>$D2135=""</formula>
    </cfRule>
  </conditionalFormatting>
  <conditionalFormatting sqref="C2137:F2137 H2137:I2137">
    <cfRule type="expression" dxfId="176" priority="162">
      <formula>$D2137=""</formula>
    </cfRule>
  </conditionalFormatting>
  <conditionalFormatting sqref="F2138">
    <cfRule type="expression" dxfId="175" priority="161">
      <formula>$D2137=""</formula>
    </cfRule>
  </conditionalFormatting>
  <conditionalFormatting sqref="C2139:F2139 H2139:I2139">
    <cfRule type="expression" dxfId="174" priority="160">
      <formula>$D2139=""</formula>
    </cfRule>
  </conditionalFormatting>
  <conditionalFormatting sqref="F2140">
    <cfRule type="expression" dxfId="173" priority="159">
      <formula>$D2139=""</formula>
    </cfRule>
  </conditionalFormatting>
  <conditionalFormatting sqref="B2141:F2141 H2141:I2141 B2143 B2145 B2147 B2149 B2151 B2153 B2155 B2157 B2159 B2161 B2163 B2165 B2167 B2169 B2171 B2173 B2175 B2177 B2179">
    <cfRule type="expression" dxfId="172" priority="158">
      <formula>$D2141=""</formula>
    </cfRule>
  </conditionalFormatting>
  <conditionalFormatting sqref="F2142">
    <cfRule type="expression" dxfId="171" priority="157">
      <formula>$D2141=""</formula>
    </cfRule>
  </conditionalFormatting>
  <conditionalFormatting sqref="C2143:F2143 H2143:I2143">
    <cfRule type="expression" dxfId="170" priority="156">
      <formula>$D2143=""</formula>
    </cfRule>
  </conditionalFormatting>
  <conditionalFormatting sqref="F2144">
    <cfRule type="expression" dxfId="169" priority="155">
      <formula>$D2143=""</formula>
    </cfRule>
  </conditionalFormatting>
  <conditionalFormatting sqref="C2145:F2145 H2145:I2145">
    <cfRule type="expression" dxfId="168" priority="154">
      <formula>$D2145=""</formula>
    </cfRule>
  </conditionalFormatting>
  <conditionalFormatting sqref="F2146">
    <cfRule type="expression" dxfId="167" priority="153">
      <formula>$D2145=""</formula>
    </cfRule>
  </conditionalFormatting>
  <conditionalFormatting sqref="C2147:F2147 H2147:I2147">
    <cfRule type="expression" dxfId="166" priority="152">
      <formula>$D2147=""</formula>
    </cfRule>
  </conditionalFormatting>
  <conditionalFormatting sqref="F2148">
    <cfRule type="expression" dxfId="165" priority="151">
      <formula>$D2147=""</formula>
    </cfRule>
  </conditionalFormatting>
  <conditionalFormatting sqref="C2149:F2149 H2149:I2149">
    <cfRule type="expression" dxfId="164" priority="150">
      <formula>$D2149=""</formula>
    </cfRule>
  </conditionalFormatting>
  <conditionalFormatting sqref="F2150">
    <cfRule type="expression" dxfId="163" priority="149">
      <formula>$D2149=""</formula>
    </cfRule>
  </conditionalFormatting>
  <conditionalFormatting sqref="C2151:F2151 H2151:I2151">
    <cfRule type="expression" dxfId="162" priority="148">
      <formula>$D2151=""</formula>
    </cfRule>
  </conditionalFormatting>
  <conditionalFormatting sqref="F2152">
    <cfRule type="expression" dxfId="161" priority="147">
      <formula>$D2151=""</formula>
    </cfRule>
  </conditionalFormatting>
  <conditionalFormatting sqref="C2153:F2153 H2153:I2153">
    <cfRule type="expression" dxfId="160" priority="146">
      <formula>$D2153=""</formula>
    </cfRule>
  </conditionalFormatting>
  <conditionalFormatting sqref="F2154">
    <cfRule type="expression" dxfId="159" priority="145">
      <formula>$D2153=""</formula>
    </cfRule>
  </conditionalFormatting>
  <conditionalFormatting sqref="C2155:F2155 H2155:I2155">
    <cfRule type="expression" dxfId="158" priority="144">
      <formula>$D2155=""</formula>
    </cfRule>
  </conditionalFormatting>
  <conditionalFormatting sqref="F2156">
    <cfRule type="expression" dxfId="157" priority="143">
      <formula>$D2155=""</formula>
    </cfRule>
  </conditionalFormatting>
  <conditionalFormatting sqref="C2157:F2157 H2157:I2157">
    <cfRule type="expression" dxfId="156" priority="142">
      <formula>$D2157=""</formula>
    </cfRule>
  </conditionalFormatting>
  <conditionalFormatting sqref="F2158">
    <cfRule type="expression" dxfId="155" priority="141">
      <formula>$D2157=""</formula>
    </cfRule>
  </conditionalFormatting>
  <conditionalFormatting sqref="C2159:F2159 H2159:I2159">
    <cfRule type="expression" dxfId="154" priority="140">
      <formula>$D2159=""</formula>
    </cfRule>
  </conditionalFormatting>
  <conditionalFormatting sqref="F2160">
    <cfRule type="expression" dxfId="153" priority="139">
      <formula>$D2159=""</formula>
    </cfRule>
  </conditionalFormatting>
  <conditionalFormatting sqref="C2161:F2161 H2161:I2161">
    <cfRule type="expression" dxfId="152" priority="138">
      <formula>$D2161=""</formula>
    </cfRule>
  </conditionalFormatting>
  <conditionalFormatting sqref="F2162">
    <cfRule type="expression" dxfId="151" priority="137">
      <formula>$D2161=""</formula>
    </cfRule>
  </conditionalFormatting>
  <conditionalFormatting sqref="C2163:F2163 H2163:I2163">
    <cfRule type="expression" dxfId="150" priority="136">
      <formula>$D2163=""</formula>
    </cfRule>
  </conditionalFormatting>
  <conditionalFormatting sqref="F2164">
    <cfRule type="expression" dxfId="149" priority="135">
      <formula>$D2163=""</formula>
    </cfRule>
  </conditionalFormatting>
  <conditionalFormatting sqref="C2165:F2165 H2165:I2165">
    <cfRule type="expression" dxfId="148" priority="134">
      <formula>$D2165=""</formula>
    </cfRule>
  </conditionalFormatting>
  <conditionalFormatting sqref="F2166">
    <cfRule type="expression" dxfId="147" priority="133">
      <formula>$D2165=""</formula>
    </cfRule>
  </conditionalFormatting>
  <conditionalFormatting sqref="C2167:F2167 H2167:I2167">
    <cfRule type="expression" dxfId="146" priority="132">
      <formula>$D2167=""</formula>
    </cfRule>
  </conditionalFormatting>
  <conditionalFormatting sqref="F2168">
    <cfRule type="expression" dxfId="145" priority="131">
      <formula>$D2167=""</formula>
    </cfRule>
  </conditionalFormatting>
  <conditionalFormatting sqref="C2169:F2169 H2169:I2169">
    <cfRule type="expression" dxfId="144" priority="130">
      <formula>$D2169=""</formula>
    </cfRule>
  </conditionalFormatting>
  <conditionalFormatting sqref="F2170">
    <cfRule type="expression" dxfId="143" priority="129">
      <formula>$D2169=""</formula>
    </cfRule>
  </conditionalFormatting>
  <conditionalFormatting sqref="C2171:F2171 H2171:I2171">
    <cfRule type="expression" dxfId="142" priority="128">
      <formula>$D2171=""</formula>
    </cfRule>
  </conditionalFormatting>
  <conditionalFormatting sqref="F2172">
    <cfRule type="expression" dxfId="141" priority="127">
      <formula>$D2171=""</formula>
    </cfRule>
  </conditionalFormatting>
  <conditionalFormatting sqref="C2173:F2173 H2173:I2173">
    <cfRule type="expression" dxfId="140" priority="126">
      <formula>$D2173=""</formula>
    </cfRule>
  </conditionalFormatting>
  <conditionalFormatting sqref="F2174">
    <cfRule type="expression" dxfId="139" priority="125">
      <formula>$D2173=""</formula>
    </cfRule>
  </conditionalFormatting>
  <conditionalFormatting sqref="C2175:F2175 H2175:I2175">
    <cfRule type="expression" dxfId="138" priority="124">
      <formula>$D2175=""</formula>
    </cfRule>
  </conditionalFormatting>
  <conditionalFormatting sqref="F2176">
    <cfRule type="expression" dxfId="137" priority="123">
      <formula>$D2175=""</formula>
    </cfRule>
  </conditionalFormatting>
  <conditionalFormatting sqref="C2177:F2177 H2177:I2177">
    <cfRule type="expression" dxfId="136" priority="122">
      <formula>$D2177=""</formula>
    </cfRule>
  </conditionalFormatting>
  <conditionalFormatting sqref="F2178">
    <cfRule type="expression" dxfId="135" priority="121">
      <formula>$D2177=""</formula>
    </cfRule>
  </conditionalFormatting>
  <conditionalFormatting sqref="C2179:F2179 H2179:I2179">
    <cfRule type="expression" dxfId="134" priority="120">
      <formula>$D2179=""</formula>
    </cfRule>
  </conditionalFormatting>
  <conditionalFormatting sqref="F2180">
    <cfRule type="expression" dxfId="133" priority="119">
      <formula>$D2179=""</formula>
    </cfRule>
  </conditionalFormatting>
  <conditionalFormatting sqref="B2181:F2181 H2181:I2181 B2183 B2185 B2187 B2189 B2191 B2193 B2195 B2197 B2199 B2201 B2203 B2205 B2207 B2209 B2211 B2213 B2215 B2217 B2219">
    <cfRule type="expression" dxfId="132" priority="118">
      <formula>$D2181=""</formula>
    </cfRule>
  </conditionalFormatting>
  <conditionalFormatting sqref="F2182">
    <cfRule type="expression" dxfId="131" priority="117">
      <formula>$D2181=""</formula>
    </cfRule>
  </conditionalFormatting>
  <conditionalFormatting sqref="C2183:F2183 H2183:I2183">
    <cfRule type="expression" dxfId="130" priority="116">
      <formula>$D2183=""</formula>
    </cfRule>
  </conditionalFormatting>
  <conditionalFormatting sqref="F2184">
    <cfRule type="expression" dxfId="129" priority="115">
      <formula>$D2183=""</formula>
    </cfRule>
  </conditionalFormatting>
  <conditionalFormatting sqref="C2185:F2185 H2185:I2185">
    <cfRule type="expression" dxfId="128" priority="114">
      <formula>$D2185=""</formula>
    </cfRule>
  </conditionalFormatting>
  <conditionalFormatting sqref="F2186">
    <cfRule type="expression" dxfId="127" priority="113">
      <formula>$D2185=""</formula>
    </cfRule>
  </conditionalFormatting>
  <conditionalFormatting sqref="C2187:F2187 H2187:I2187">
    <cfRule type="expression" dxfId="126" priority="112">
      <formula>$D2187=""</formula>
    </cfRule>
  </conditionalFormatting>
  <conditionalFormatting sqref="F2188">
    <cfRule type="expression" dxfId="125" priority="111">
      <formula>$D2187=""</formula>
    </cfRule>
  </conditionalFormatting>
  <conditionalFormatting sqref="C2189:F2189 H2189:I2189">
    <cfRule type="expression" dxfId="124" priority="110">
      <formula>$D2189=""</formula>
    </cfRule>
  </conditionalFormatting>
  <conditionalFormatting sqref="F2190">
    <cfRule type="expression" dxfId="123" priority="109">
      <formula>$D2189=""</formula>
    </cfRule>
  </conditionalFormatting>
  <conditionalFormatting sqref="C2191:F2191 H2191:I2191">
    <cfRule type="expression" dxfId="122" priority="108">
      <formula>$D2191=""</formula>
    </cfRule>
  </conditionalFormatting>
  <conditionalFormatting sqref="F2192">
    <cfRule type="expression" dxfId="121" priority="107">
      <formula>$D2191=""</formula>
    </cfRule>
  </conditionalFormatting>
  <conditionalFormatting sqref="C2193:F2193 H2193:I2193">
    <cfRule type="expression" dxfId="120" priority="106">
      <formula>$D2193=""</formula>
    </cfRule>
  </conditionalFormatting>
  <conditionalFormatting sqref="F2194">
    <cfRule type="expression" dxfId="119" priority="105">
      <formula>$D2193=""</formula>
    </cfRule>
  </conditionalFormatting>
  <conditionalFormatting sqref="C2195:F2195 H2195:I2195">
    <cfRule type="expression" dxfId="118" priority="104">
      <formula>$D2195=""</formula>
    </cfRule>
  </conditionalFormatting>
  <conditionalFormatting sqref="F2196">
    <cfRule type="expression" dxfId="117" priority="103">
      <formula>$D2195=""</formula>
    </cfRule>
  </conditionalFormatting>
  <conditionalFormatting sqref="C2197:F2197 H2197:I2197">
    <cfRule type="expression" dxfId="116" priority="102">
      <formula>$D2197=""</formula>
    </cfRule>
  </conditionalFormatting>
  <conditionalFormatting sqref="F2198">
    <cfRule type="expression" dxfId="115" priority="101">
      <formula>$D2197=""</formula>
    </cfRule>
  </conditionalFormatting>
  <conditionalFormatting sqref="C2199:F2199 H2199:I2199">
    <cfRule type="expression" dxfId="114" priority="100">
      <formula>$D2199=""</formula>
    </cfRule>
  </conditionalFormatting>
  <conditionalFormatting sqref="F2200">
    <cfRule type="expression" dxfId="113" priority="99">
      <formula>$D2199=""</formula>
    </cfRule>
  </conditionalFormatting>
  <conditionalFormatting sqref="C2201:F2201 H2201:I2201">
    <cfRule type="expression" dxfId="112" priority="98">
      <formula>$D2201=""</formula>
    </cfRule>
  </conditionalFormatting>
  <conditionalFormatting sqref="F2202">
    <cfRule type="expression" dxfId="111" priority="97">
      <formula>$D2201=""</formula>
    </cfRule>
  </conditionalFormatting>
  <conditionalFormatting sqref="C2203:F2203 H2203:I2203">
    <cfRule type="expression" dxfId="110" priority="96">
      <formula>$D2203=""</formula>
    </cfRule>
  </conditionalFormatting>
  <conditionalFormatting sqref="F2204">
    <cfRule type="expression" dxfId="109" priority="95">
      <formula>$D2203=""</formula>
    </cfRule>
  </conditionalFormatting>
  <conditionalFormatting sqref="C2205:F2205 H2205:I2205">
    <cfRule type="expression" dxfId="108" priority="94">
      <formula>$D2205=""</formula>
    </cfRule>
  </conditionalFormatting>
  <conditionalFormatting sqref="F2206">
    <cfRule type="expression" dxfId="107" priority="93">
      <formula>$D2205=""</formula>
    </cfRule>
  </conditionalFormatting>
  <conditionalFormatting sqref="C2207:F2207 H2207:I2207">
    <cfRule type="expression" dxfId="106" priority="92">
      <formula>$D2207=""</formula>
    </cfRule>
  </conditionalFormatting>
  <conditionalFormatting sqref="F2208">
    <cfRule type="expression" dxfId="105" priority="91">
      <formula>$D2207=""</formula>
    </cfRule>
  </conditionalFormatting>
  <conditionalFormatting sqref="C2209:F2209 H2209:I2209">
    <cfRule type="expression" dxfId="104" priority="90">
      <formula>$D2209=""</formula>
    </cfRule>
  </conditionalFormatting>
  <conditionalFormatting sqref="F2210">
    <cfRule type="expression" dxfId="103" priority="89">
      <formula>$D2209=""</formula>
    </cfRule>
  </conditionalFormatting>
  <conditionalFormatting sqref="C2211:F2211 H2211:I2211">
    <cfRule type="expression" dxfId="102" priority="88">
      <formula>$D2211=""</formula>
    </cfRule>
  </conditionalFormatting>
  <conditionalFormatting sqref="F2212">
    <cfRule type="expression" dxfId="101" priority="87">
      <formula>$D2211=""</formula>
    </cfRule>
  </conditionalFormatting>
  <conditionalFormatting sqref="C2213:F2213 H2213:I2213">
    <cfRule type="expression" dxfId="100" priority="86">
      <formula>$D2213=""</formula>
    </cfRule>
  </conditionalFormatting>
  <conditionalFormatting sqref="F2214">
    <cfRule type="expression" dxfId="99" priority="85">
      <formula>$D2213=""</formula>
    </cfRule>
  </conditionalFormatting>
  <conditionalFormatting sqref="C2215:F2215 H2215:I2215">
    <cfRule type="expression" dxfId="98" priority="84">
      <formula>$D2215=""</formula>
    </cfRule>
  </conditionalFormatting>
  <conditionalFormatting sqref="F2216">
    <cfRule type="expression" dxfId="97" priority="83">
      <formula>$D2215=""</formula>
    </cfRule>
  </conditionalFormatting>
  <conditionalFormatting sqref="C2217:F2217 H2217:I2217">
    <cfRule type="expression" dxfId="96" priority="82">
      <formula>$D2217=""</formula>
    </cfRule>
  </conditionalFormatting>
  <conditionalFormatting sqref="F2218">
    <cfRule type="expression" dxfId="95" priority="81">
      <formula>$D2217=""</formula>
    </cfRule>
  </conditionalFormatting>
  <conditionalFormatting sqref="C2219:F2219 H2219:I2219">
    <cfRule type="expression" dxfId="94" priority="80">
      <formula>$D2219=""</formula>
    </cfRule>
  </conditionalFormatting>
  <conditionalFormatting sqref="F2220">
    <cfRule type="expression" dxfId="93" priority="79">
      <formula>$D2219=""</formula>
    </cfRule>
  </conditionalFormatting>
  <conditionalFormatting sqref="B2221:F2221 H2221:I2221 B2223 B2225 B2227 B2229 B2231 B2233 B2235 B2237 B2239 B2241 B2243 B2245 B2247 B2249 B2251 B2253 B2255 B2257 B2259">
    <cfRule type="expression" dxfId="92" priority="78">
      <formula>$D2221=""</formula>
    </cfRule>
  </conditionalFormatting>
  <conditionalFormatting sqref="F2222">
    <cfRule type="expression" dxfId="91" priority="77">
      <formula>$D2221=""</formula>
    </cfRule>
  </conditionalFormatting>
  <conditionalFormatting sqref="C2223:F2223 H2223:I2223">
    <cfRule type="expression" dxfId="90" priority="76">
      <formula>$D2223=""</formula>
    </cfRule>
  </conditionalFormatting>
  <conditionalFormatting sqref="F2224">
    <cfRule type="expression" dxfId="89" priority="75">
      <formula>$D2223=""</formula>
    </cfRule>
  </conditionalFormatting>
  <conditionalFormatting sqref="C2225:F2225 H2225:I2225">
    <cfRule type="expression" dxfId="88" priority="74">
      <formula>$D2225=""</formula>
    </cfRule>
  </conditionalFormatting>
  <conditionalFormatting sqref="F2226">
    <cfRule type="expression" dxfId="87" priority="73">
      <formula>$D2225=""</formula>
    </cfRule>
  </conditionalFormatting>
  <conditionalFormatting sqref="C2227:F2227 H2227:I2227">
    <cfRule type="expression" dxfId="86" priority="72">
      <formula>$D2227=""</formula>
    </cfRule>
  </conditionalFormatting>
  <conditionalFormatting sqref="F2228">
    <cfRule type="expression" dxfId="85" priority="71">
      <formula>$D2227=""</formula>
    </cfRule>
  </conditionalFormatting>
  <conditionalFormatting sqref="C2229:F2229 H2229:I2229">
    <cfRule type="expression" dxfId="84" priority="70">
      <formula>$D2229=""</formula>
    </cfRule>
  </conditionalFormatting>
  <conditionalFormatting sqref="F2230">
    <cfRule type="expression" dxfId="83" priority="69">
      <formula>$D2229=""</formula>
    </cfRule>
  </conditionalFormatting>
  <conditionalFormatting sqref="C2231:F2231 H2231:I2231">
    <cfRule type="expression" dxfId="82" priority="68">
      <formula>$D2231=""</formula>
    </cfRule>
  </conditionalFormatting>
  <conditionalFormatting sqref="F2232">
    <cfRule type="expression" dxfId="81" priority="67">
      <formula>$D2231=""</formula>
    </cfRule>
  </conditionalFormatting>
  <conditionalFormatting sqref="C2233:F2233 H2233:I2233">
    <cfRule type="expression" dxfId="80" priority="66">
      <formula>$D2233=""</formula>
    </cfRule>
  </conditionalFormatting>
  <conditionalFormatting sqref="F2234">
    <cfRule type="expression" dxfId="79" priority="65">
      <formula>$D2233=""</formula>
    </cfRule>
  </conditionalFormatting>
  <conditionalFormatting sqref="C2235:F2235 H2235:I2235">
    <cfRule type="expression" dxfId="78" priority="64">
      <formula>$D2235=""</formula>
    </cfRule>
  </conditionalFormatting>
  <conditionalFormatting sqref="F2236">
    <cfRule type="expression" dxfId="77" priority="63">
      <formula>$D2235=""</formula>
    </cfRule>
  </conditionalFormatting>
  <conditionalFormatting sqref="C2237:F2237 H2237:I2237">
    <cfRule type="expression" dxfId="76" priority="62">
      <formula>$D2237=""</formula>
    </cfRule>
  </conditionalFormatting>
  <conditionalFormatting sqref="F2238">
    <cfRule type="expression" dxfId="75" priority="61">
      <formula>$D2237=""</formula>
    </cfRule>
  </conditionalFormatting>
  <conditionalFormatting sqref="C2239:F2239 H2239:I2239">
    <cfRule type="expression" dxfId="74" priority="60">
      <formula>$D2239=""</formula>
    </cfRule>
  </conditionalFormatting>
  <conditionalFormatting sqref="F2240">
    <cfRule type="expression" dxfId="73" priority="59">
      <formula>$D2239=""</formula>
    </cfRule>
  </conditionalFormatting>
  <conditionalFormatting sqref="C2241:F2241 H2241:I2241">
    <cfRule type="expression" dxfId="72" priority="58">
      <formula>$D2241=""</formula>
    </cfRule>
  </conditionalFormatting>
  <conditionalFormatting sqref="F2242">
    <cfRule type="expression" dxfId="71" priority="57">
      <formula>$D2241=""</formula>
    </cfRule>
  </conditionalFormatting>
  <conditionalFormatting sqref="C2243:F2243 H2243:I2243">
    <cfRule type="expression" dxfId="70" priority="56">
      <formula>$D2243=""</formula>
    </cfRule>
  </conditionalFormatting>
  <conditionalFormatting sqref="F2244">
    <cfRule type="expression" dxfId="69" priority="55">
      <formula>$D2243=""</formula>
    </cfRule>
  </conditionalFormatting>
  <conditionalFormatting sqref="C2245:F2245 H2245:I2245">
    <cfRule type="expression" dxfId="68" priority="54">
      <formula>$D2245=""</formula>
    </cfRule>
  </conditionalFormatting>
  <conditionalFormatting sqref="F2246">
    <cfRule type="expression" dxfId="67" priority="53">
      <formula>$D2245=""</formula>
    </cfRule>
  </conditionalFormatting>
  <conditionalFormatting sqref="C2247:F2247 H2247:I2247">
    <cfRule type="expression" dxfId="66" priority="52">
      <formula>$D2247=""</formula>
    </cfRule>
  </conditionalFormatting>
  <conditionalFormatting sqref="F2248">
    <cfRule type="expression" dxfId="65" priority="51">
      <formula>$D2247=""</formula>
    </cfRule>
  </conditionalFormatting>
  <conditionalFormatting sqref="C2249:F2249 H2249:I2249">
    <cfRule type="expression" dxfId="64" priority="50">
      <formula>$D2249=""</formula>
    </cfRule>
  </conditionalFormatting>
  <conditionalFormatting sqref="F2250">
    <cfRule type="expression" dxfId="63" priority="49">
      <formula>$D2249=""</formula>
    </cfRule>
  </conditionalFormatting>
  <conditionalFormatting sqref="C2251:F2251 H2251:I2251">
    <cfRule type="expression" dxfId="62" priority="48">
      <formula>$D2251=""</formula>
    </cfRule>
  </conditionalFormatting>
  <conditionalFormatting sqref="F2252">
    <cfRule type="expression" dxfId="61" priority="47">
      <formula>$D2251=""</formula>
    </cfRule>
  </conditionalFormatting>
  <conditionalFormatting sqref="C2253:F2253 H2253:I2253">
    <cfRule type="expression" dxfId="60" priority="46">
      <formula>$D2253=""</formula>
    </cfRule>
  </conditionalFormatting>
  <conditionalFormatting sqref="F2254">
    <cfRule type="expression" dxfId="59" priority="45">
      <formula>$D2253=""</formula>
    </cfRule>
  </conditionalFormatting>
  <conditionalFormatting sqref="C2255:F2255 H2255:I2255">
    <cfRule type="expression" dxfId="58" priority="44">
      <formula>$D2255=""</formula>
    </cfRule>
  </conditionalFormatting>
  <conditionalFormatting sqref="F2256">
    <cfRule type="expression" dxfId="57" priority="43">
      <formula>$D2255=""</formula>
    </cfRule>
  </conditionalFormatting>
  <conditionalFormatting sqref="C2257:F2257 H2257:I2257">
    <cfRule type="expression" dxfId="56" priority="42">
      <formula>$D2257=""</formula>
    </cfRule>
  </conditionalFormatting>
  <conditionalFormatting sqref="F2258">
    <cfRule type="expression" dxfId="55" priority="41">
      <formula>$D2257=""</formula>
    </cfRule>
  </conditionalFormatting>
  <conditionalFormatting sqref="C2259:F2259 H2259:I2259">
    <cfRule type="expression" dxfId="54" priority="40">
      <formula>$D2259=""</formula>
    </cfRule>
  </conditionalFormatting>
  <conditionalFormatting sqref="F2260">
    <cfRule type="expression" dxfId="53" priority="39">
      <formula>$D2259=""</formula>
    </cfRule>
  </conditionalFormatting>
  <conditionalFormatting sqref="B2261:F2261 H2261:I2261 B2263 B2265 B2267 B2269 B2271 B2273 B2275 B2277 B2279 B2281 B2283 B2285 B2287 B2289 B2291 B2293 B2295 B2297 B2299">
    <cfRule type="expression" dxfId="52" priority="38">
      <formula>$D2261=""</formula>
    </cfRule>
  </conditionalFormatting>
  <conditionalFormatting sqref="F2262">
    <cfRule type="expression" dxfId="51" priority="37">
      <formula>$D2261=""</formula>
    </cfRule>
  </conditionalFormatting>
  <conditionalFormatting sqref="C2263:F2263 H2263:I2263">
    <cfRule type="expression" dxfId="50" priority="36">
      <formula>$D2263=""</formula>
    </cfRule>
  </conditionalFormatting>
  <conditionalFormatting sqref="F2264">
    <cfRule type="expression" dxfId="49" priority="35">
      <formula>$D2263=""</formula>
    </cfRule>
  </conditionalFormatting>
  <conditionalFormatting sqref="C2265:F2265 H2265:I2265">
    <cfRule type="expression" dxfId="48" priority="34">
      <formula>$D2265=""</formula>
    </cfRule>
  </conditionalFormatting>
  <conditionalFormatting sqref="F2266">
    <cfRule type="expression" dxfId="47" priority="33">
      <formula>$D2265=""</formula>
    </cfRule>
  </conditionalFormatting>
  <conditionalFormatting sqref="C2267:F2267 H2267:I2267">
    <cfRule type="expression" dxfId="46" priority="32">
      <formula>$D2267=""</formula>
    </cfRule>
  </conditionalFormatting>
  <conditionalFormatting sqref="F2268">
    <cfRule type="expression" dxfId="45" priority="31">
      <formula>$D2267=""</formula>
    </cfRule>
  </conditionalFormatting>
  <conditionalFormatting sqref="C2269:F2269 H2269:I2269">
    <cfRule type="expression" dxfId="44" priority="30">
      <formula>$D2269=""</formula>
    </cfRule>
  </conditionalFormatting>
  <conditionalFormatting sqref="F2270">
    <cfRule type="expression" dxfId="43" priority="29">
      <formula>$D2269=""</formula>
    </cfRule>
  </conditionalFormatting>
  <conditionalFormatting sqref="C2271:F2271 H2271:I2271">
    <cfRule type="expression" dxfId="42" priority="28">
      <formula>$D2271=""</formula>
    </cfRule>
  </conditionalFormatting>
  <conditionalFormatting sqref="F2272">
    <cfRule type="expression" dxfId="41" priority="27">
      <formula>$D2271=""</formula>
    </cfRule>
  </conditionalFormatting>
  <conditionalFormatting sqref="C2273:F2273 H2273:I2273">
    <cfRule type="expression" dxfId="40" priority="26">
      <formula>$D2273=""</formula>
    </cfRule>
  </conditionalFormatting>
  <conditionalFormatting sqref="F2274">
    <cfRule type="expression" dxfId="39" priority="25">
      <formula>$D2273=""</formula>
    </cfRule>
  </conditionalFormatting>
  <conditionalFormatting sqref="C2275:F2275 H2275:I2275">
    <cfRule type="expression" dxfId="38" priority="24">
      <formula>$D2275=""</formula>
    </cfRule>
  </conditionalFormatting>
  <conditionalFormatting sqref="F2276">
    <cfRule type="expression" dxfId="37" priority="23">
      <formula>$D2275=""</formula>
    </cfRule>
  </conditionalFormatting>
  <conditionalFormatting sqref="C2277:F2277 H2277:I2277">
    <cfRule type="expression" dxfId="36" priority="22">
      <formula>$D2277=""</formula>
    </cfRule>
  </conditionalFormatting>
  <conditionalFormatting sqref="F2278">
    <cfRule type="expression" dxfId="35" priority="21">
      <formula>$D2277=""</formula>
    </cfRule>
  </conditionalFormatting>
  <conditionalFormatting sqref="C2279:F2279 H2279:I2279">
    <cfRule type="expression" dxfId="34" priority="20">
      <formula>$D2279=""</formula>
    </cfRule>
  </conditionalFormatting>
  <conditionalFormatting sqref="F2280">
    <cfRule type="expression" dxfId="33" priority="19">
      <formula>$D2279=""</formula>
    </cfRule>
  </conditionalFormatting>
  <conditionalFormatting sqref="C2281:F2281 H2281:I2281">
    <cfRule type="expression" dxfId="32" priority="18">
      <formula>$D2281=""</formula>
    </cfRule>
  </conditionalFormatting>
  <conditionalFormatting sqref="F2282">
    <cfRule type="expression" dxfId="31" priority="17">
      <formula>$D2281=""</formula>
    </cfRule>
  </conditionalFormatting>
  <conditionalFormatting sqref="C2283:F2283 H2283:I2283">
    <cfRule type="expression" dxfId="30" priority="16">
      <formula>$D2283=""</formula>
    </cfRule>
  </conditionalFormatting>
  <conditionalFormatting sqref="F2284">
    <cfRule type="expression" dxfId="29" priority="15">
      <formula>$D2283=""</formula>
    </cfRule>
  </conditionalFormatting>
  <conditionalFormatting sqref="C2285:F2285 H2285:I2285">
    <cfRule type="expression" dxfId="28" priority="14">
      <formula>$D2285=""</formula>
    </cfRule>
  </conditionalFormatting>
  <conditionalFormatting sqref="F2286">
    <cfRule type="expression" dxfId="27" priority="13">
      <formula>$D2285=""</formula>
    </cfRule>
  </conditionalFormatting>
  <conditionalFormatting sqref="C2287:F2287 H2287:I2287">
    <cfRule type="expression" dxfId="26" priority="12">
      <formula>$D2287=""</formula>
    </cfRule>
  </conditionalFormatting>
  <conditionalFormatting sqref="F2288">
    <cfRule type="expression" dxfId="25" priority="11">
      <formula>$D2287=""</formula>
    </cfRule>
  </conditionalFormatting>
  <conditionalFormatting sqref="C2289:F2289 H2289:I2289">
    <cfRule type="expression" dxfId="24" priority="10">
      <formula>$D2289=""</formula>
    </cfRule>
  </conditionalFormatting>
  <conditionalFormatting sqref="F2290">
    <cfRule type="expression" dxfId="23" priority="9">
      <formula>$D2289=""</formula>
    </cfRule>
  </conditionalFormatting>
  <conditionalFormatting sqref="C2291:F2291 H2291:I2291">
    <cfRule type="expression" dxfId="22" priority="8">
      <formula>$D2291=""</formula>
    </cfRule>
  </conditionalFormatting>
  <conditionalFormatting sqref="F2292">
    <cfRule type="expression" dxfId="21" priority="7">
      <formula>$D2291=""</formula>
    </cfRule>
  </conditionalFormatting>
  <conditionalFormatting sqref="C2293:F2293 H2293:I2293">
    <cfRule type="expression" dxfId="20" priority="6">
      <formula>$D2293=""</formula>
    </cfRule>
  </conditionalFormatting>
  <conditionalFormatting sqref="F2294">
    <cfRule type="expression" dxfId="19" priority="5">
      <formula>$D2293=""</formula>
    </cfRule>
  </conditionalFormatting>
  <conditionalFormatting sqref="C2295:F2295 H2295:I2295">
    <cfRule type="expression" dxfId="18" priority="4">
      <formula>$D2295=""</formula>
    </cfRule>
  </conditionalFormatting>
  <conditionalFormatting sqref="F2296">
    <cfRule type="expression" dxfId="17" priority="3">
      <formula>$D2295=""</formula>
    </cfRule>
  </conditionalFormatting>
  <conditionalFormatting sqref="C2297:F2297 H2297:I2297">
    <cfRule type="expression" dxfId="16" priority="2">
      <formula>$D2297=""</formula>
    </cfRule>
  </conditionalFormatting>
  <conditionalFormatting sqref="F2298">
    <cfRule type="expression" dxfId="15" priority="1">
      <formula>$D2297=""</formula>
    </cfRule>
  </conditionalFormatting>
  <dataValidations count="4">
    <dataValidation type="decimal" operator="greaterThanOrEqual" allowBlank="1" showInputMessage="1" showErrorMessage="1" error="Enter valid number only." sqref="F316:G615 G616 F10:G309 F621:G2300" xr:uid="{00000000-0002-0000-0A00-000000000000}">
      <formula1>0</formula1>
    </dataValidation>
    <dataValidation type="list" allowBlank="1" showInputMessage="1" showErrorMessage="1" error="Invalid entry. Select from dropdown list." sqref="H316:H615 H10:H309 H621:H2300" xr:uid="{00000000-0002-0000-0A00-000001000000}">
      <formula1>baseline_validation</formula1>
    </dataValidation>
    <dataValidation allowBlank="1" showInputMessage="1" error="You cannot enter more than 255 characters in this Comments for Impact Disaggregation." sqref="J10:J309" xr:uid="{00000000-0002-0000-0A00-000002000000}"/>
    <dataValidation allowBlank="1" showInputMessage="1" sqref="J316:J615 J621:J2300" xr:uid="{F809DE0D-554A-4C7C-A2E0-255A3444C65A}"/>
  </dataValidations>
  <hyperlinks>
    <hyperlink ref="C5" location="Impact_Indicator_Disaggregation_new" display="Impact" xr:uid="{00000000-0004-0000-0A00-000000000000}"/>
    <hyperlink ref="D5" location="Outcome_Indicator_Disaggregation_new" display="Outcome Indicator" xr:uid="{00000000-0004-0000-0A00-000001000000}"/>
    <hyperlink ref="E5" location="Coverage_Indicator_Disaggregation_new" display="Coverage" xr:uid="{00000000-0004-0000-0A00-000002000000}"/>
    <hyperlink ref="F5" location="Instructions!InstructionE" display="Instructions" xr:uid="{00000000-0004-0000-0A00-000003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6"/>
  <dimension ref="A1:AI4612"/>
  <sheetViews>
    <sheetView zoomScaleNormal="100" workbookViewId="0">
      <selection activeCell="A3542" sqref="A3542"/>
    </sheetView>
  </sheetViews>
  <sheetFormatPr defaultColWidth="8.625" defaultRowHeight="15.75"/>
  <cols>
    <col min="1" max="1" width="33.375" style="386" customWidth="1"/>
    <col min="2" max="2" width="14.5" style="386" customWidth="1"/>
    <col min="3" max="3" width="27" style="386" customWidth="1"/>
    <col min="4" max="4" width="42" style="386" customWidth="1"/>
    <col min="5" max="5" width="27.875" style="386" customWidth="1"/>
    <col min="6" max="6" width="23.625" style="386" customWidth="1"/>
    <col min="7" max="7" width="27.625" style="386" customWidth="1"/>
    <col min="8" max="8" width="24.5" style="386" customWidth="1"/>
    <col min="9" max="9" width="26.5" style="386" customWidth="1"/>
    <col min="10" max="10" width="46.625" style="386" customWidth="1"/>
    <col min="11" max="11" width="31.125" style="386" customWidth="1"/>
    <col min="12" max="12" width="26.625" style="386" customWidth="1"/>
    <col min="13" max="13" width="67.5" style="386" customWidth="1"/>
    <col min="14" max="14" width="35" style="386" customWidth="1"/>
    <col min="15" max="15" width="26.75" style="386" customWidth="1"/>
    <col min="16" max="16" width="31.875" style="386" customWidth="1"/>
    <col min="17" max="17" width="20.875" style="386" customWidth="1"/>
    <col min="18" max="18" width="29.125" style="386" customWidth="1"/>
    <col min="19" max="19" width="31.875" style="386" customWidth="1"/>
    <col min="20" max="20" width="34.125" style="386" customWidth="1"/>
    <col min="21" max="21" width="28.125" style="386" customWidth="1"/>
    <col min="22" max="22" width="28.875" style="386" customWidth="1"/>
    <col min="23" max="23" width="25.375" style="386" customWidth="1"/>
    <col min="24" max="24" width="29.875" style="386" customWidth="1"/>
    <col min="25" max="25" width="35.75" style="386" customWidth="1"/>
    <col min="26" max="26" width="29.375" style="386" customWidth="1"/>
    <col min="27" max="27" width="29.625" style="386" customWidth="1"/>
    <col min="28" max="28" width="28.875" style="386" customWidth="1"/>
    <col min="29" max="29" width="8.625" style="386"/>
    <col min="30" max="30" width="23.625" style="386" customWidth="1"/>
    <col min="31" max="31" width="24.5" style="386" customWidth="1"/>
    <col min="32" max="16384" width="8.625" style="386"/>
  </cols>
  <sheetData>
    <row r="1" spans="1:35">
      <c r="A1" s="385" t="s">
        <v>2302</v>
      </c>
      <c r="B1" s="386" t="s">
        <v>2303</v>
      </c>
      <c r="I1" s="386" t="s">
        <v>2304</v>
      </c>
      <c r="R1" s="386" t="s">
        <v>2305</v>
      </c>
      <c r="S1" s="386" t="s">
        <v>2306</v>
      </c>
      <c r="T1" s="386" t="s">
        <v>2307</v>
      </c>
      <c r="U1" s="386" t="s">
        <v>2308</v>
      </c>
      <c r="V1" s="386" t="s">
        <v>2309</v>
      </c>
      <c r="W1" s="386" t="s">
        <v>2310</v>
      </c>
      <c r="X1" s="386" t="s">
        <v>2311</v>
      </c>
      <c r="Y1" s="386" t="s">
        <v>2312</v>
      </c>
      <c r="Z1" s="386" t="s">
        <v>2313</v>
      </c>
      <c r="AA1" s="386" t="s">
        <v>2314</v>
      </c>
      <c r="AB1" s="386" t="s">
        <v>2315</v>
      </c>
      <c r="AH1" s="386">
        <v>1</v>
      </c>
      <c r="AI1" s="386">
        <v>9</v>
      </c>
    </row>
    <row r="2" spans="1:35">
      <c r="A2" s="387"/>
      <c r="B2" s="387">
        <v>5</v>
      </c>
      <c r="C2" s="387" t="s">
        <v>318</v>
      </c>
      <c r="D2" s="387" t="s">
        <v>105</v>
      </c>
      <c r="E2" s="387" t="s">
        <v>2316</v>
      </c>
      <c r="F2" s="387" t="s">
        <v>2317</v>
      </c>
      <c r="G2" s="387" t="s">
        <v>199</v>
      </c>
      <c r="H2" s="387" t="s">
        <v>768</v>
      </c>
      <c r="I2" s="387">
        <v>1</v>
      </c>
      <c r="J2" s="388" t="s">
        <v>2318</v>
      </c>
      <c r="K2" s="387" t="s">
        <v>127</v>
      </c>
      <c r="L2" s="387" t="s">
        <v>766</v>
      </c>
      <c r="M2" s="387" t="s">
        <v>2319</v>
      </c>
      <c r="N2" s="387" t="s">
        <v>120</v>
      </c>
      <c r="O2" s="387" t="s">
        <v>2320</v>
      </c>
      <c r="P2" s="387" t="s">
        <v>2321</v>
      </c>
      <c r="Q2" s="387" t="s">
        <v>764</v>
      </c>
      <c r="R2" s="387">
        <f>MAX('Overview - Section A'!B$47:B55)-1</f>
        <v>6</v>
      </c>
      <c r="S2" s="387">
        <f>MAX('Overview - Section A'!B$47:B55)-1</f>
        <v>6</v>
      </c>
      <c r="T2" s="387">
        <f ca="1">IFERROR((MAX(O$527:O997))/V2,0)</f>
        <v>6.7826086956521738</v>
      </c>
      <c r="U2" s="387">
        <f ca="1">MAX(E$3061:E3062)</f>
        <v>9</v>
      </c>
      <c r="V2" s="387">
        <f ca="1">(COUNTA(C452:C523)-2)/2</f>
        <v>34.5</v>
      </c>
      <c r="W2" s="387">
        <f ca="1">IFERROR((MAX(O$527:O997))/V2,0)</f>
        <v>6.7826086956521738</v>
      </c>
      <c r="X2" s="387">
        <f ca="1">MAX(O$527:O997)</f>
        <v>234</v>
      </c>
      <c r="Y2" s="387"/>
      <c r="Z2" s="387">
        <f>COUNTA(O$1610:O2892)-1</f>
        <v>640</v>
      </c>
      <c r="AA2" s="387">
        <f>COUNTA(O$1306:O1608)-1</f>
        <v>150</v>
      </c>
      <c r="AB2" s="387">
        <f>COUNTA(O$1002:O1304)-1</f>
        <v>150</v>
      </c>
      <c r="AC2" s="387"/>
      <c r="AD2" s="387" t="s">
        <v>2322</v>
      </c>
      <c r="AE2" s="387" t="s">
        <v>2323</v>
      </c>
      <c r="AH2" s="386">
        <v>2</v>
      </c>
      <c r="AI2" s="386">
        <f>AI1+2</f>
        <v>11</v>
      </c>
    </row>
    <row r="3" spans="1:35" hidden="1">
      <c r="A3" s="387" t="b">
        <f ca="1">IF(OR(L3&lt;&gt;"",M3&lt;&gt;""),TRUE,FALSE)</f>
        <v>0</v>
      </c>
      <c r="B3" s="387">
        <f ca="1">IF(_xlfn.ISFORMULA(J3),B2+2,B2)</f>
        <v>7</v>
      </c>
      <c r="C3" s="387" t="str">
        <f ca="1">IFERROR(IF(AND(I3=2,B3=7),"blank",INDEX(C$2:C3,I3,1)),"")</f>
        <v>blank</v>
      </c>
      <c r="D3" s="389" t="str">
        <f ca="1">IFERROR(IF(INDIRECT("'Impact Indicators - Section B '!E"&amp;$B3)="","",INDIRECT("'Impact Indicators - Section B '!E"&amp;$B3)*100),"")</f>
        <v/>
      </c>
      <c r="E3" s="390" t="str">
        <f ca="1">IFERROR(IF(INDIRECT("'Impact Indicators - Section B '!D"&amp;$B3+1)="","",INDIRECT("'Impact Indicators - Section B '!D"&amp;$B3+1)),"")</f>
        <v>Baseline #N Baseline #D</v>
      </c>
      <c r="F3" s="390" t="str">
        <f ca="1">IFERROR(IF(INDIRECT("'Impact Indicators - Section B '!D"&amp;$B3)="","",INDIRECT("'Impact Indicators - Section B '!D"&amp;$B3)),"")</f>
        <v/>
      </c>
      <c r="G3" s="391" t="str">
        <f ca="1">IFERROR(IF(INDIRECT("'Impact Indicators - Section B '!G"&amp;$B3)="","",INDIRECT("'Impact Indicators - Section B '!G"&amp;$B3)),"")</f>
        <v/>
      </c>
      <c r="H3" s="391" t="str">
        <f ca="1">IFERROR(IF(INDIRECT("'Impact Indicators - Section B '!F"&amp;$B3)=0,"",INDIRECT("'Impact Indicators - Section B '!F"&amp;$B3)),"")</f>
        <v/>
      </c>
      <c r="I3" s="387">
        <f ca="1">IF(_xlfn.ISFORMULA(J3),I2+1,I2)</f>
        <v>2</v>
      </c>
      <c r="J3" s="391" t="str">
        <f ca="1">IFERROR(IF(INDIRECT("'Impact Indicators - Section B '!AA"&amp;$B3)="","",INDIRECT("'Impact Indicators - Section B '!AA"&amp;$B3)),"")</f>
        <v/>
      </c>
      <c r="K3" s="387" t="str">
        <f ca="1">IFERROR(IF(INDIRECT("'Impact Indicators - Section B '!J"&amp;$B3)=0,"",INDIRECT("'Impact Indicators - Section B '!J"&amp;$B3)),"")</f>
        <v/>
      </c>
      <c r="L3" s="391" t="str">
        <f ca="1">IFERROR(IF(INDIRECT("'Impact Indicators - Section B '!C"&amp;$B3)=0,"",INDIRECT("'Impact Indicators - Section B '!C"&amp;$B3)),"")</f>
        <v/>
      </c>
      <c r="M3" s="387" t="str">
        <f t="array" aca="1" ref="M3" ca="1">IFERROR(VLOOKUP(LEFT(INDIRECT("'Impact Indicators - Section B '!AE"&amp;$B3),255),LEFT('Reference Records'!$G$4:$H$22,255),2,0),"")</f>
        <v/>
      </c>
      <c r="N3" s="387" t="str">
        <f ca="1">IFERROR(VLOOKUP(INDIRECT("'Impact Indicators - Section B '!I"&amp;$B3),'Overview - Section A'!M$31:P41,4,0),IFERROR(VLOOKUP(INDIRECT("'Impact Indicators - Section B '!I"&amp;$B3),'Overview - Section A'!E$27:I30,5,0),""))</f>
        <v/>
      </c>
      <c r="O3" s="387" t="s">
        <v>2324</v>
      </c>
      <c r="P3" s="391" t="s">
        <v>2325</v>
      </c>
      <c r="Q3" s="392" t="s">
        <v>2326</v>
      </c>
      <c r="R3" s="388"/>
      <c r="S3" s="387"/>
      <c r="T3" s="387"/>
      <c r="U3" s="387"/>
      <c r="V3" s="387"/>
      <c r="W3" s="387"/>
      <c r="X3" s="387"/>
      <c r="Y3" s="387"/>
      <c r="Z3" s="387"/>
      <c r="AA3" s="387"/>
      <c r="AB3" s="387"/>
      <c r="AC3" s="387"/>
      <c r="AD3" s="387" t="str">
        <f ca="1">IFERROR(IF(INDIRECT("'Impact Indicators - Section B '!BL"&amp;$B3)=0,"",INDIRECT("'Impact Indicators - Section B '!BL"&amp;$B3)),"")</f>
        <v/>
      </c>
      <c r="AE3" s="387" t="str">
        <f ca="1">IFERROR(IF(INDIRECT("'Impact Indicators - Section B '!BM"&amp;$B3)=0,"",INDIRECT("'Impact Indicators - Section B '!BM"&amp;$B3)),"")</f>
        <v/>
      </c>
      <c r="AH3" s="386">
        <v>3</v>
      </c>
      <c r="AI3" s="386">
        <f t="shared" ref="AI3:AI225" si="0">AI2+2</f>
        <v>13</v>
      </c>
    </row>
    <row r="4" spans="1:35">
      <c r="A4" s="387" t="b">
        <v>1</v>
      </c>
      <c r="B4" s="387">
        <f t="shared" ref="B4:B33" ca="1" si="1">IF(_xlfn.ISFORMULA(J4),B3+2,B3)</f>
        <v>7</v>
      </c>
      <c r="C4" s="387" t="s">
        <v>2327</v>
      </c>
      <c r="D4" s="389"/>
      <c r="E4" s="390"/>
      <c r="F4" s="390">
        <v>44</v>
      </c>
      <c r="G4" s="391" t="s">
        <v>780</v>
      </c>
      <c r="H4" s="391" t="s">
        <v>2328</v>
      </c>
      <c r="I4" s="387">
        <f t="shared" ref="I4:I33" ca="1" si="2">IF(_xlfn.ISFORMULA(J4),I3+1,I3)</f>
        <v>2</v>
      </c>
      <c r="J4" s="391" t="s">
        <v>782</v>
      </c>
      <c r="K4" s="387" t="s">
        <v>781</v>
      </c>
      <c r="L4" s="391"/>
      <c r="M4" s="387" t="s">
        <v>881</v>
      </c>
      <c r="N4" s="387" t="s">
        <v>324</v>
      </c>
      <c r="O4" s="387" t="s">
        <v>325</v>
      </c>
      <c r="P4" s="391" t="s">
        <v>779</v>
      </c>
      <c r="Q4" s="392">
        <v>1</v>
      </c>
      <c r="R4" s="388"/>
      <c r="S4" s="387"/>
      <c r="T4" s="387"/>
      <c r="U4" s="387"/>
      <c r="V4" s="387"/>
      <c r="W4" s="387"/>
      <c r="X4" s="387"/>
      <c r="Y4" s="387"/>
      <c r="Z4" s="387"/>
      <c r="AA4" s="387"/>
      <c r="AB4" s="387"/>
      <c r="AC4" s="387"/>
      <c r="AD4" s="387" t="s">
        <v>2105</v>
      </c>
      <c r="AE4" s="387" t="s">
        <v>882</v>
      </c>
    </row>
    <row r="5" spans="1:35">
      <c r="A5" s="387" t="b">
        <v>1</v>
      </c>
      <c r="B5" s="387">
        <f t="shared" ca="1" si="1"/>
        <v>7</v>
      </c>
      <c r="C5" s="387" t="s">
        <v>2329</v>
      </c>
      <c r="D5" s="389"/>
      <c r="E5" s="390"/>
      <c r="F5" s="390">
        <v>318</v>
      </c>
      <c r="G5" s="391" t="s">
        <v>780</v>
      </c>
      <c r="H5" s="391" t="s">
        <v>2328</v>
      </c>
      <c r="I5" s="387">
        <f t="shared" ca="1" si="2"/>
        <v>2</v>
      </c>
      <c r="J5" s="391" t="s">
        <v>784</v>
      </c>
      <c r="K5" s="387" t="s">
        <v>781</v>
      </c>
      <c r="L5" s="391"/>
      <c r="M5" s="387" t="s">
        <v>878</v>
      </c>
      <c r="N5" s="387" t="s">
        <v>324</v>
      </c>
      <c r="O5" s="387" t="s">
        <v>325</v>
      </c>
      <c r="P5" s="391" t="s">
        <v>783</v>
      </c>
      <c r="Q5" s="392">
        <v>2</v>
      </c>
      <c r="R5" s="388"/>
      <c r="S5" s="387"/>
      <c r="T5" s="387"/>
      <c r="U5" s="387"/>
      <c r="V5" s="387"/>
      <c r="W5" s="387"/>
      <c r="X5" s="387"/>
      <c r="Y5" s="387"/>
      <c r="Z5" s="387"/>
      <c r="AA5" s="387"/>
      <c r="AB5" s="387"/>
      <c r="AC5" s="387"/>
      <c r="AD5" s="387" t="s">
        <v>2105</v>
      </c>
      <c r="AE5" s="387" t="s">
        <v>879</v>
      </c>
    </row>
    <row r="6" spans="1:35">
      <c r="A6" s="387" t="b">
        <v>1</v>
      </c>
      <c r="B6" s="387">
        <f t="shared" ca="1" si="1"/>
        <v>7</v>
      </c>
      <c r="C6" s="387" t="s">
        <v>2330</v>
      </c>
      <c r="D6" s="389"/>
      <c r="E6" s="390"/>
      <c r="F6" s="390">
        <v>1.6</v>
      </c>
      <c r="G6" s="391" t="s">
        <v>780</v>
      </c>
      <c r="H6" s="391" t="s">
        <v>2328</v>
      </c>
      <c r="I6" s="387">
        <f t="shared" ca="1" si="2"/>
        <v>2</v>
      </c>
      <c r="J6" s="391" t="s">
        <v>786</v>
      </c>
      <c r="K6" s="387" t="s">
        <v>781</v>
      </c>
      <c r="L6" s="391"/>
      <c r="M6" s="387" t="s">
        <v>884</v>
      </c>
      <c r="N6" s="387" t="s">
        <v>324</v>
      </c>
      <c r="O6" s="387" t="s">
        <v>325</v>
      </c>
      <c r="P6" s="391" t="s">
        <v>785</v>
      </c>
      <c r="Q6" s="392">
        <v>3</v>
      </c>
      <c r="R6" s="388"/>
      <c r="S6" s="387"/>
      <c r="T6" s="387"/>
      <c r="U6" s="387"/>
      <c r="V6" s="387"/>
      <c r="W6" s="387"/>
      <c r="X6" s="387"/>
      <c r="Y6" s="387"/>
      <c r="Z6" s="387"/>
      <c r="AA6" s="387"/>
      <c r="AB6" s="387"/>
      <c r="AC6" s="387"/>
      <c r="AD6" s="387" t="s">
        <v>2105</v>
      </c>
      <c r="AE6" s="387" t="s">
        <v>885</v>
      </c>
    </row>
    <row r="7" spans="1:35">
      <c r="A7" s="387" t="b">
        <v>1</v>
      </c>
      <c r="B7" s="387">
        <f t="shared" ca="1" si="1"/>
        <v>7</v>
      </c>
      <c r="C7" s="387" t="s">
        <v>2331</v>
      </c>
      <c r="D7" s="389">
        <v>7.1</v>
      </c>
      <c r="E7" s="390"/>
      <c r="F7" s="390"/>
      <c r="G7" s="391" t="s">
        <v>788</v>
      </c>
      <c r="H7" s="391" t="s">
        <v>2332</v>
      </c>
      <c r="I7" s="387">
        <f t="shared" ca="1" si="2"/>
        <v>2</v>
      </c>
      <c r="J7" s="391" t="s">
        <v>789</v>
      </c>
      <c r="K7" s="387" t="s">
        <v>781</v>
      </c>
      <c r="L7" s="391"/>
      <c r="M7" s="387" t="s">
        <v>848</v>
      </c>
      <c r="N7" s="387" t="s">
        <v>324</v>
      </c>
      <c r="O7" s="387" t="s">
        <v>325</v>
      </c>
      <c r="P7" s="391" t="s">
        <v>787</v>
      </c>
      <c r="Q7" s="392">
        <v>4</v>
      </c>
      <c r="R7" s="388"/>
      <c r="S7" s="387"/>
      <c r="T7" s="387"/>
      <c r="U7" s="387"/>
      <c r="V7" s="387"/>
      <c r="W7" s="387"/>
      <c r="X7" s="387"/>
      <c r="Y7" s="387"/>
      <c r="Z7" s="387"/>
      <c r="AA7" s="387"/>
      <c r="AB7" s="387"/>
      <c r="AC7" s="387"/>
      <c r="AD7" s="387" t="s">
        <v>2105</v>
      </c>
      <c r="AE7" s="387" t="s">
        <v>850</v>
      </c>
    </row>
    <row r="8" spans="1:35">
      <c r="A8" s="387" t="b">
        <v>1</v>
      </c>
      <c r="B8" s="387">
        <f t="shared" ca="1" si="1"/>
        <v>7</v>
      </c>
      <c r="C8" s="387" t="s">
        <v>2333</v>
      </c>
      <c r="D8" s="389">
        <v>7.7</v>
      </c>
      <c r="E8" s="390"/>
      <c r="F8" s="390"/>
      <c r="G8" s="391" t="s">
        <v>788</v>
      </c>
      <c r="H8" s="391" t="s">
        <v>2332</v>
      </c>
      <c r="I8" s="387">
        <f t="shared" ca="1" si="2"/>
        <v>2</v>
      </c>
      <c r="J8" s="391" t="s">
        <v>789</v>
      </c>
      <c r="K8" s="387" t="s">
        <v>781</v>
      </c>
      <c r="L8" s="391"/>
      <c r="M8" s="387" t="s">
        <v>855</v>
      </c>
      <c r="N8" s="387" t="s">
        <v>324</v>
      </c>
      <c r="O8" s="387" t="s">
        <v>325</v>
      </c>
      <c r="P8" s="391" t="s">
        <v>790</v>
      </c>
      <c r="Q8" s="392">
        <v>5</v>
      </c>
      <c r="R8" s="388"/>
      <c r="S8" s="387"/>
      <c r="T8" s="387"/>
      <c r="U8" s="387"/>
      <c r="V8" s="387"/>
      <c r="W8" s="387"/>
      <c r="X8" s="387"/>
      <c r="Y8" s="387"/>
      <c r="Z8" s="387"/>
      <c r="AA8" s="387"/>
      <c r="AB8" s="387"/>
      <c r="AC8" s="387"/>
      <c r="AD8" s="387" t="s">
        <v>2105</v>
      </c>
      <c r="AE8" s="387" t="s">
        <v>857</v>
      </c>
    </row>
    <row r="9" spans="1:35">
      <c r="A9" s="387" t="b">
        <v>1</v>
      </c>
      <c r="B9" s="387">
        <f t="shared" ca="1" si="1"/>
        <v>7</v>
      </c>
      <c r="C9" s="387" t="s">
        <v>2334</v>
      </c>
      <c r="D9" s="389"/>
      <c r="E9" s="390"/>
      <c r="F9" s="390"/>
      <c r="G9" s="391" t="s">
        <v>792</v>
      </c>
      <c r="H9" s="391"/>
      <c r="I9" s="387">
        <f t="shared" ca="1" si="2"/>
        <v>2</v>
      </c>
      <c r="J9" s="391" t="s">
        <v>789</v>
      </c>
      <c r="K9" s="387" t="s">
        <v>781</v>
      </c>
      <c r="L9" s="391"/>
      <c r="M9" s="387" t="s">
        <v>852</v>
      </c>
      <c r="N9" s="387" t="s">
        <v>324</v>
      </c>
      <c r="O9" s="387" t="s">
        <v>325</v>
      </c>
      <c r="P9" s="391" t="s">
        <v>791</v>
      </c>
      <c r="Q9" s="392">
        <v>6</v>
      </c>
      <c r="R9" s="388"/>
      <c r="S9" s="387"/>
      <c r="T9" s="387"/>
      <c r="U9" s="387"/>
      <c r="V9" s="387"/>
      <c r="W9" s="387"/>
      <c r="X9" s="387"/>
      <c r="Y9" s="387"/>
      <c r="Z9" s="387"/>
      <c r="AA9" s="387"/>
      <c r="AB9" s="387"/>
      <c r="AC9" s="387"/>
      <c r="AD9" s="387" t="s">
        <v>2105</v>
      </c>
      <c r="AE9" s="387" t="s">
        <v>853</v>
      </c>
    </row>
    <row r="10" spans="1:35">
      <c r="A10" s="387" t="b">
        <v>1</v>
      </c>
      <c r="B10" s="387">
        <f t="shared" ca="1" si="1"/>
        <v>7</v>
      </c>
      <c r="C10" s="387" t="s">
        <v>2335</v>
      </c>
      <c r="D10" s="389">
        <v>3.9</v>
      </c>
      <c r="E10" s="390"/>
      <c r="F10" s="390"/>
      <c r="G10" s="391" t="s">
        <v>788</v>
      </c>
      <c r="H10" s="391" t="s">
        <v>2332</v>
      </c>
      <c r="I10" s="387">
        <f t="shared" ca="1" si="2"/>
        <v>2</v>
      </c>
      <c r="J10" s="391" t="s">
        <v>789</v>
      </c>
      <c r="K10" s="387" t="s">
        <v>781</v>
      </c>
      <c r="L10" s="391"/>
      <c r="M10" s="387" t="s">
        <v>859</v>
      </c>
      <c r="N10" s="387" t="s">
        <v>324</v>
      </c>
      <c r="O10" s="387" t="s">
        <v>325</v>
      </c>
      <c r="P10" s="391" t="s">
        <v>793</v>
      </c>
      <c r="Q10" s="392">
        <v>7</v>
      </c>
      <c r="R10" s="388"/>
      <c r="S10" s="387"/>
      <c r="T10" s="387"/>
      <c r="U10" s="387"/>
      <c r="V10" s="387"/>
      <c r="W10" s="387"/>
      <c r="X10" s="387"/>
      <c r="Y10" s="387"/>
      <c r="Z10" s="387"/>
      <c r="AA10" s="387"/>
      <c r="AB10" s="387"/>
      <c r="AC10" s="387"/>
      <c r="AD10" s="387" t="s">
        <v>2105</v>
      </c>
      <c r="AE10" s="387" t="s">
        <v>860</v>
      </c>
    </row>
    <row r="11" spans="1:35">
      <c r="A11" s="387" t="b">
        <v>1</v>
      </c>
      <c r="B11" s="387">
        <f t="shared" ca="1" si="1"/>
        <v>7</v>
      </c>
      <c r="C11" s="387" t="s">
        <v>2336</v>
      </c>
      <c r="D11" s="389">
        <v>0.8</v>
      </c>
      <c r="E11" s="390"/>
      <c r="F11" s="390"/>
      <c r="G11" s="391" t="s">
        <v>795</v>
      </c>
      <c r="H11" s="391" t="s">
        <v>2337</v>
      </c>
      <c r="I11" s="387">
        <f t="shared" ca="1" si="2"/>
        <v>2</v>
      </c>
      <c r="J11" s="391" t="s">
        <v>796</v>
      </c>
      <c r="K11" s="387" t="s">
        <v>781</v>
      </c>
      <c r="L11" s="391"/>
      <c r="M11" s="387" t="s">
        <v>833</v>
      </c>
      <c r="N11" s="387" t="s">
        <v>324</v>
      </c>
      <c r="O11" s="387" t="s">
        <v>325</v>
      </c>
      <c r="P11" s="391" t="s">
        <v>794</v>
      </c>
      <c r="Q11" s="392">
        <v>8</v>
      </c>
      <c r="R11" s="388"/>
      <c r="S11" s="387"/>
      <c r="T11" s="387"/>
      <c r="U11" s="387"/>
      <c r="V11" s="387"/>
      <c r="W11" s="387"/>
      <c r="X11" s="387"/>
      <c r="Y11" s="387"/>
      <c r="Z11" s="387"/>
      <c r="AA11" s="387"/>
      <c r="AB11" s="387"/>
      <c r="AC11" s="387"/>
      <c r="AD11" s="387" t="s">
        <v>2105</v>
      </c>
      <c r="AE11" s="387" t="s">
        <v>835</v>
      </c>
    </row>
    <row r="12" spans="1:35">
      <c r="A12" s="387" t="b">
        <v>1</v>
      </c>
      <c r="B12" s="387">
        <f t="shared" ca="1" si="1"/>
        <v>7</v>
      </c>
      <c r="C12" s="387" t="s">
        <v>2338</v>
      </c>
      <c r="D12" s="389"/>
      <c r="E12" s="390"/>
      <c r="F12" s="390">
        <v>21036</v>
      </c>
      <c r="G12" s="391" t="s">
        <v>798</v>
      </c>
      <c r="H12" s="391" t="s">
        <v>2337</v>
      </c>
      <c r="I12" s="387">
        <f t="shared" ca="1" si="2"/>
        <v>2</v>
      </c>
      <c r="J12" s="391" t="s">
        <v>796</v>
      </c>
      <c r="K12" s="387" t="s">
        <v>781</v>
      </c>
      <c r="L12" s="391"/>
      <c r="M12" s="387" t="s">
        <v>838</v>
      </c>
      <c r="N12" s="387" t="s">
        <v>324</v>
      </c>
      <c r="O12" s="387" t="s">
        <v>325</v>
      </c>
      <c r="P12" s="391" t="s">
        <v>797</v>
      </c>
      <c r="Q12" s="392">
        <v>9</v>
      </c>
      <c r="R12" s="388"/>
      <c r="S12" s="387"/>
      <c r="T12" s="387"/>
      <c r="U12" s="387"/>
      <c r="V12" s="387"/>
      <c r="W12" s="387"/>
      <c r="X12" s="387"/>
      <c r="Y12" s="387"/>
      <c r="Z12" s="387"/>
      <c r="AA12" s="387"/>
      <c r="AB12" s="387"/>
      <c r="AC12" s="387"/>
      <c r="AD12" s="387" t="s">
        <v>2105</v>
      </c>
      <c r="AE12" s="387" t="s">
        <v>839</v>
      </c>
    </row>
    <row r="13" spans="1:35">
      <c r="A13" s="387" t="b">
        <v>1</v>
      </c>
      <c r="B13" s="387">
        <f t="shared" ca="1" si="1"/>
        <v>7</v>
      </c>
      <c r="C13" s="387" t="s">
        <v>2339</v>
      </c>
      <c r="D13" s="389"/>
      <c r="E13" s="390"/>
      <c r="F13" s="390">
        <v>15248</v>
      </c>
      <c r="G13" s="391" t="s">
        <v>798</v>
      </c>
      <c r="H13" s="391" t="s">
        <v>2337</v>
      </c>
      <c r="I13" s="387">
        <f t="shared" ca="1" si="2"/>
        <v>2</v>
      </c>
      <c r="J13" s="391" t="s">
        <v>796</v>
      </c>
      <c r="K13" s="387" t="s">
        <v>781</v>
      </c>
      <c r="L13" s="391"/>
      <c r="M13" s="387" t="s">
        <v>841</v>
      </c>
      <c r="N13" s="387" t="s">
        <v>324</v>
      </c>
      <c r="O13" s="387" t="s">
        <v>325</v>
      </c>
      <c r="P13" s="391" t="s">
        <v>799</v>
      </c>
      <c r="Q13" s="392">
        <v>10</v>
      </c>
      <c r="R13" s="388"/>
      <c r="S13" s="387"/>
      <c r="T13" s="387"/>
      <c r="U13" s="387"/>
      <c r="V13" s="387"/>
      <c r="W13" s="387"/>
      <c r="X13" s="387"/>
      <c r="Y13" s="387"/>
      <c r="Z13" s="387"/>
      <c r="AA13" s="387"/>
      <c r="AB13" s="387"/>
      <c r="AC13" s="387"/>
      <c r="AD13" s="387" t="s">
        <v>2105</v>
      </c>
      <c r="AE13" s="387" t="s">
        <v>843</v>
      </c>
    </row>
    <row r="14" spans="1:35">
      <c r="A14" s="387" t="b">
        <v>1</v>
      </c>
      <c r="B14" s="387">
        <f t="shared" ca="1" si="1"/>
        <v>7</v>
      </c>
      <c r="C14" s="387" t="s">
        <v>2340</v>
      </c>
      <c r="D14" s="389">
        <v>30.720110030454901</v>
      </c>
      <c r="E14" s="390">
        <v>40716</v>
      </c>
      <c r="F14" s="390">
        <v>12508</v>
      </c>
      <c r="G14" s="391" t="s">
        <v>798</v>
      </c>
      <c r="H14" s="391" t="s">
        <v>2337</v>
      </c>
      <c r="I14" s="387">
        <f t="shared" ca="1" si="2"/>
        <v>2</v>
      </c>
      <c r="J14" s="391" t="s">
        <v>796</v>
      </c>
      <c r="K14" s="387" t="s">
        <v>781</v>
      </c>
      <c r="L14" s="391"/>
      <c r="M14" s="387" t="s">
        <v>845</v>
      </c>
      <c r="N14" s="387" t="s">
        <v>324</v>
      </c>
      <c r="O14" s="387" t="s">
        <v>325</v>
      </c>
      <c r="P14" s="391" t="s">
        <v>800</v>
      </c>
      <c r="Q14" s="392">
        <v>11</v>
      </c>
      <c r="R14" s="388"/>
      <c r="S14" s="387"/>
      <c r="T14" s="387"/>
      <c r="U14" s="387"/>
      <c r="V14" s="387"/>
      <c r="W14" s="387"/>
      <c r="X14" s="387"/>
      <c r="Y14" s="387"/>
      <c r="Z14" s="387"/>
      <c r="AA14" s="387"/>
      <c r="AB14" s="387"/>
      <c r="AC14" s="387"/>
      <c r="AD14" s="387" t="s">
        <v>2105</v>
      </c>
      <c r="AE14" s="387" t="s">
        <v>846</v>
      </c>
    </row>
    <row r="15" spans="1:35">
      <c r="A15" s="387" t="b">
        <v>0</v>
      </c>
      <c r="B15" s="387">
        <f t="shared" ca="1" si="1"/>
        <v>7</v>
      </c>
      <c r="C15" s="387" t="s">
        <v>2341</v>
      </c>
      <c r="D15" s="389"/>
      <c r="E15" s="390"/>
      <c r="F15" s="390"/>
      <c r="G15" s="391"/>
      <c r="H15" s="391"/>
      <c r="I15" s="387">
        <f t="shared" ca="1" si="2"/>
        <v>2</v>
      </c>
      <c r="J15" s="391"/>
      <c r="K15" s="387"/>
      <c r="L15" s="391"/>
      <c r="M15" s="387"/>
      <c r="N15" s="387"/>
      <c r="O15" s="387"/>
      <c r="P15" s="391"/>
      <c r="Q15" s="392">
        <v>12</v>
      </c>
      <c r="R15" s="388"/>
      <c r="S15" s="387"/>
      <c r="T15" s="387"/>
      <c r="U15" s="387"/>
      <c r="V15" s="387"/>
      <c r="W15" s="387"/>
      <c r="X15" s="387"/>
      <c r="Y15" s="387"/>
      <c r="Z15" s="387"/>
      <c r="AA15" s="387"/>
      <c r="AB15" s="387"/>
      <c r="AC15" s="387"/>
      <c r="AD15" s="387"/>
      <c r="AE15" s="387"/>
    </row>
    <row r="16" spans="1:35">
      <c r="A16" s="387" t="b">
        <v>0</v>
      </c>
      <c r="B16" s="387">
        <f t="shared" ca="1" si="1"/>
        <v>7</v>
      </c>
      <c r="C16" s="387" t="s">
        <v>2342</v>
      </c>
      <c r="D16" s="389"/>
      <c r="E16" s="390"/>
      <c r="F16" s="390"/>
      <c r="G16" s="391"/>
      <c r="H16" s="391"/>
      <c r="I16" s="387">
        <f t="shared" ca="1" si="2"/>
        <v>2</v>
      </c>
      <c r="J16" s="391"/>
      <c r="K16" s="387"/>
      <c r="L16" s="391"/>
      <c r="M16" s="387"/>
      <c r="N16" s="387"/>
      <c r="O16" s="387"/>
      <c r="P16" s="391"/>
      <c r="Q16" s="392">
        <v>13</v>
      </c>
      <c r="R16" s="388"/>
      <c r="S16" s="387"/>
      <c r="T16" s="387"/>
      <c r="U16" s="387"/>
      <c r="V16" s="387"/>
      <c r="W16" s="387"/>
      <c r="X16" s="387"/>
      <c r="Y16" s="387"/>
      <c r="Z16" s="387"/>
      <c r="AA16" s="387"/>
      <c r="AB16" s="387"/>
      <c r="AC16" s="387"/>
      <c r="AD16" s="387"/>
      <c r="AE16" s="387"/>
    </row>
    <row r="17" spans="1:31">
      <c r="A17" s="387" t="b">
        <v>0</v>
      </c>
      <c r="B17" s="387">
        <f t="shared" ca="1" si="1"/>
        <v>7</v>
      </c>
      <c r="C17" s="387" t="s">
        <v>2343</v>
      </c>
      <c r="D17" s="389"/>
      <c r="E17" s="390"/>
      <c r="F17" s="390"/>
      <c r="G17" s="391"/>
      <c r="H17" s="391"/>
      <c r="I17" s="387">
        <f t="shared" ca="1" si="2"/>
        <v>2</v>
      </c>
      <c r="J17" s="391"/>
      <c r="K17" s="387"/>
      <c r="L17" s="391"/>
      <c r="M17" s="387"/>
      <c r="N17" s="387"/>
      <c r="O17" s="387"/>
      <c r="P17" s="391"/>
      <c r="Q17" s="392">
        <v>14</v>
      </c>
      <c r="R17" s="388"/>
      <c r="S17" s="387"/>
      <c r="T17" s="387"/>
      <c r="U17" s="387"/>
      <c r="V17" s="387"/>
      <c r="W17" s="387"/>
      <c r="X17" s="387"/>
      <c r="Y17" s="387"/>
      <c r="Z17" s="387"/>
      <c r="AA17" s="387"/>
      <c r="AB17" s="387"/>
      <c r="AC17" s="387"/>
      <c r="AD17" s="387"/>
      <c r="AE17" s="387"/>
    </row>
    <row r="18" spans="1:31">
      <c r="A18" s="387" t="b">
        <v>0</v>
      </c>
      <c r="B18" s="387">
        <f t="shared" ca="1" si="1"/>
        <v>7</v>
      </c>
      <c r="C18" s="387" t="s">
        <v>2344</v>
      </c>
      <c r="D18" s="389"/>
      <c r="E18" s="390"/>
      <c r="F18" s="390"/>
      <c r="G18" s="391"/>
      <c r="H18" s="391"/>
      <c r="I18" s="387">
        <f t="shared" ca="1" si="2"/>
        <v>2</v>
      </c>
      <c r="J18" s="391"/>
      <c r="K18" s="387"/>
      <c r="L18" s="391"/>
      <c r="M18" s="387"/>
      <c r="N18" s="387"/>
      <c r="O18" s="387"/>
      <c r="P18" s="391"/>
      <c r="Q18" s="392">
        <v>15</v>
      </c>
      <c r="R18" s="388"/>
      <c r="S18" s="387"/>
      <c r="T18" s="387"/>
      <c r="U18" s="387"/>
      <c r="V18" s="387"/>
      <c r="W18" s="387"/>
      <c r="X18" s="387"/>
      <c r="Y18" s="387"/>
      <c r="Z18" s="387"/>
      <c r="AA18" s="387"/>
      <c r="AB18" s="387"/>
      <c r="AC18" s="387"/>
      <c r="AD18" s="387"/>
      <c r="AE18" s="387"/>
    </row>
    <row r="19" spans="1:31">
      <c r="A19" s="387" t="b">
        <f t="shared" ref="A19:A33" ca="1" si="3">IF(OR(L19&lt;&gt;"",M19&lt;&gt;""),TRUE,FALSE)</f>
        <v>1</v>
      </c>
      <c r="B19" s="387">
        <f t="shared" ca="1" si="1"/>
        <v>9</v>
      </c>
      <c r="C19" s="396" t="str">
        <f ca="1">IFERROR(IF(AND(I19=2,B19=7),"blank",INDEX(C$2:C19,I19,1)),"")</f>
        <v>a1IDm0000004lwoMAA</v>
      </c>
      <c r="D19" s="389" t="str">
        <f t="shared" ref="D19:D33" ca="1" si="4">IFERROR(IF(INDIRECT("'Impact Indicators - Section B '!E"&amp;$B19)="","",INDIRECT("'Impact Indicators - Section B '!E"&amp;$B19)*100),"")</f>
        <v/>
      </c>
      <c r="E19" s="390" t="str">
        <f t="shared" ref="E19:E33" ca="1" si="5">IFERROR(IF(INDIRECT("'Impact Indicators - Section B '!D"&amp;$B19+1)="","",INDIRECT("'Impact Indicators - Section B '!D"&amp;$B19+1)),"")</f>
        <v/>
      </c>
      <c r="F19" s="390">
        <f t="shared" ref="F19:F33" ca="1" si="6">IFERROR(IF(INDIRECT("'Impact Indicators - Section B '!D"&amp;$B19)="","",INDIRECT("'Impact Indicators - Section B '!D"&amp;$B19)),"")</f>
        <v>44</v>
      </c>
      <c r="G19" s="391" t="str">
        <f t="shared" ref="G19:G33" ca="1" si="7">IFERROR(IF(INDIRECT("'Impact Indicators - Section B '!G"&amp;$B19)="","",INDIRECT("'Impact Indicators - Section B '!G"&amp;$B19)),"")</f>
        <v>WHO TB Global Report 2022</v>
      </c>
      <c r="H19" s="391">
        <f t="shared" ref="H19:H33" ca="1" si="8">IFERROR(IF(INDIRECT("'Impact Indicators - Section B '!F"&amp;$B19)=0,"",INDIRECT("'Impact Indicators - Section B '!F"&amp;$B19)),"")</f>
        <v>2021</v>
      </c>
      <c r="I19" s="387">
        <f t="shared" ca="1" si="2"/>
        <v>3</v>
      </c>
      <c r="J19" s="391" t="str">
        <f t="shared" ref="J19:J33" ca="1" si="9">IFERROR(IF(INDIRECT("'Impact Indicators - Section B '!AA"&amp;$B19)="","",INDIRECT("'Impact Indicators - Section B '!AA"&amp;$B19)),"")</f>
        <v>TB mortality has seen an average reduction of 4.6% between 2018 and 2020, from 64 per 100,000 to 51.5 per 100,000. In this grant, efforts will gradually decrease mortality between 2024 and 2026, so the reduction will be 4.6% in 2024, 5% in 2025 and 2026. These targets are aligned with the performance framework of the new NSP.</v>
      </c>
      <c r="K19" s="387" t="str">
        <f t="shared" ref="K19:K33" ca="1" si="10">IFERROR(IF(INDIRECT("'Impact Indicators - Section B '!J"&amp;$B19)=0,"",INDIRECT("'Impact Indicators - Section B '!J"&amp;$B19)),"")</f>
        <v>Congo (Democratic Republic)</v>
      </c>
      <c r="L19" s="391" t="str">
        <f t="shared" ref="L19:L33" ca="1" si="11">IFERROR(IF(INDIRECT("'Impact Indicators - Section B '!C"&amp;$B19)=0,"",INDIRECT("'Impact Indicators - Section B '!C"&amp;$B19)),"")</f>
        <v/>
      </c>
      <c r="M19" s="387" t="str">
        <f t="array" aca="1" ref="M19" ca="1">IFERROR(VLOOKUP(LEFT(INDIRECT("'Impact Indicators - Section B '!AE"&amp;$B19),255),LEFT('Reference Records'!$G$4:$H$22,255),2,0),"")</f>
        <v>IOR-00155</v>
      </c>
      <c r="N19" s="387" t="str">
        <f ca="1">IFERROR(VLOOKUP(INDIRECT("'Impact Indicators - Section B '!I"&amp;$B19),'Overview - Section A'!M$31:P57,4,0),IFERROR(VLOOKUP(INDIRECT("'Impact Indicators - Section B '!I"&amp;$B19),'Overview - Section A'!E$27:I46,5,0),""))</f>
        <v>a12Dm000000cC1cIAE</v>
      </c>
      <c r="O19" s="387"/>
      <c r="P19" s="391"/>
      <c r="Q19" s="392"/>
      <c r="R19" s="388"/>
      <c r="S19" s="387"/>
      <c r="T19" s="387"/>
      <c r="U19" s="387"/>
      <c r="V19" s="387"/>
      <c r="W19" s="387"/>
      <c r="X19" s="387"/>
      <c r="Y19" s="387"/>
      <c r="Z19" s="387"/>
      <c r="AA19" s="387"/>
      <c r="AB19" s="387"/>
      <c r="AC19" s="387"/>
      <c r="AD19" s="387" t="str">
        <f t="shared" ref="AD19:AD33" ca="1" si="12">IFERROR(IF(INDIRECT("'Impact Indicators - Section B '!BL"&amp;$B19)=0,"",INDIRECT("'Impact Indicators - Section B '!BL"&amp;$B19)),"")</f>
        <v>a1A360000013M2uEAE</v>
      </c>
      <c r="AE19" s="387" t="str">
        <f t="shared" ref="AE19:AE33" ca="1" si="13">IFERROR(IF(INDIRECT("'Impact Indicators - Section B '!BM"&amp;$B19)=0,"",INDIRECT("'Impact Indicators - Section B '!BM"&amp;$B19)),"")</f>
        <v>a1JDm000000k9boMAA</v>
      </c>
    </row>
    <row r="20" spans="1:31">
      <c r="A20" s="387" t="b">
        <f t="shared" ca="1" si="3"/>
        <v>1</v>
      </c>
      <c r="B20" s="387">
        <f t="shared" ca="1" si="1"/>
        <v>11</v>
      </c>
      <c r="C20" s="396" t="str">
        <f ca="1">IFERROR(IF(AND(I20=2,B20=7),"blank",INDEX(C$2:C20,I20,1)),"")</f>
        <v>a1IDm0000004lwpMAA</v>
      </c>
      <c r="D20" s="389" t="str">
        <f t="shared" ca="1" si="4"/>
        <v/>
      </c>
      <c r="E20" s="390" t="str">
        <f t="shared" ca="1" si="5"/>
        <v/>
      </c>
      <c r="F20" s="390">
        <f t="shared" ca="1" si="6"/>
        <v>318</v>
      </c>
      <c r="G20" s="391" t="str">
        <f t="shared" ca="1" si="7"/>
        <v>WHO TB Global Report 2022</v>
      </c>
      <c r="H20" s="391">
        <f t="shared" ca="1" si="8"/>
        <v>2021</v>
      </c>
      <c r="I20" s="387">
        <f t="shared" ca="1" si="2"/>
        <v>4</v>
      </c>
      <c r="J20" s="391" t="str">
        <f t="shared" ca="1" si="9"/>
        <v>In 2021, the WHO estimated incidence is 318 cases/100,000 population. The DRC has a history of reducing TB incidence by 1 point since 2015. The new NSP TB 2024-2028 foresees the intensification of NFM3 interventions boosted by activities financed by catalytic funds, a reduction in incidence of 2 points from 2024 and 2025. These targets are aligned with those of the performance framework of the new NSP.</v>
      </c>
      <c r="K20" s="387" t="str">
        <f t="shared" ca="1" si="10"/>
        <v>Congo (Democratic Republic)</v>
      </c>
      <c r="L20" s="391" t="str">
        <f t="shared" ca="1" si="11"/>
        <v/>
      </c>
      <c r="M20" s="387" t="str">
        <f t="array" aca="1" ref="M20" ca="1">IFERROR(VLOOKUP(LEFT(INDIRECT("'Impact Indicators - Section B '!AE"&amp;$B20),255),LEFT('Reference Records'!$G$4:$H$22,255),2,0),"")</f>
        <v>IOR-00154</v>
      </c>
      <c r="N20" s="387" t="str">
        <f ca="1">IFERROR(VLOOKUP(INDIRECT("'Impact Indicators - Section B '!I"&amp;$B20),'Overview - Section A'!M$31:P58,4,0),IFERROR(VLOOKUP(INDIRECT("'Impact Indicators - Section B '!I"&amp;$B20),'Overview - Section A'!E$27:I47,5,0),""))</f>
        <v>a12Dm000000cC1cIAE</v>
      </c>
      <c r="O20" s="387"/>
      <c r="P20" s="391"/>
      <c r="Q20" s="392"/>
      <c r="R20" s="388"/>
      <c r="S20" s="387"/>
      <c r="T20" s="387"/>
      <c r="U20" s="387"/>
      <c r="V20" s="387"/>
      <c r="W20" s="387"/>
      <c r="X20" s="387"/>
      <c r="Y20" s="387"/>
      <c r="Z20" s="387"/>
      <c r="AA20" s="387"/>
      <c r="AB20" s="387"/>
      <c r="AC20" s="387"/>
      <c r="AD20" s="387" t="str">
        <f t="shared" ca="1" si="12"/>
        <v>a1A360000013M2uEAE</v>
      </c>
      <c r="AE20" s="387" t="str">
        <f t="shared" ca="1" si="13"/>
        <v>a1JDm000000k9bnMAA</v>
      </c>
    </row>
    <row r="21" spans="1:31">
      <c r="A21" s="387" t="b">
        <f t="shared" ca="1" si="3"/>
        <v>1</v>
      </c>
      <c r="B21" s="387">
        <f t="shared" ca="1" si="1"/>
        <v>13</v>
      </c>
      <c r="C21" s="396" t="str">
        <f ca="1">IFERROR(IF(AND(I21=2,B21=7),"blank",INDEX(C$2:C21,I21,1)),"")</f>
        <v>a1IDm0000004lwqMAA</v>
      </c>
      <c r="D21" s="389" t="str">
        <f t="shared" ca="1" si="4"/>
        <v/>
      </c>
      <c r="E21" s="390" t="str">
        <f t="shared" ca="1" si="5"/>
        <v/>
      </c>
      <c r="F21" s="390">
        <f t="shared" ca="1" si="6"/>
        <v>1.6</v>
      </c>
      <c r="G21" s="391" t="str">
        <f t="shared" ca="1" si="7"/>
        <v>WHO TB Global Report 2022</v>
      </c>
      <c r="H21" s="391">
        <f t="shared" ca="1" si="8"/>
        <v>2021</v>
      </c>
      <c r="I21" s="387">
        <f t="shared" ca="1" si="2"/>
        <v>5</v>
      </c>
      <c r="J21" s="391" t="str">
        <f t="shared" ca="1" si="9"/>
        <v>The result of the prevalence survey conducted in 2018 attributed a prevalence of MDR-TB of 1.6% among new cases. Efforts in early detection of MDR-TB in new cases and reprocessing, as well as improved results for susceptible TB and MDR-TB coupled with prevention efforts will lead to a stabilization of MDR-TB in new cases and then its reduction from the year of application of the new DRS result which will be conducted in 2023. The NMCP, while waiting for the results of the DRS, has chosen to keep the same prevalence for the three years.</v>
      </c>
      <c r="K21" s="387" t="str">
        <f t="shared" ca="1" si="10"/>
        <v>Congo (Democratic Republic)</v>
      </c>
      <c r="L21" s="391" t="str">
        <f t="shared" ca="1" si="11"/>
        <v/>
      </c>
      <c r="M21" s="387" t="str">
        <f t="array" aca="1" ref="M21" ca="1">IFERROR(VLOOKUP(LEFT(INDIRECT("'Impact Indicators - Section B '!AE"&amp;$B21),255),LEFT('Reference Records'!$G$4:$H$22,255),2,0),"")</f>
        <v>IOR-00156</v>
      </c>
      <c r="N21" s="387" t="str">
        <f ca="1">IFERROR(VLOOKUP(INDIRECT("'Impact Indicators - Section B '!I"&amp;$B21),'Overview - Section A'!M$31:P59,4,0),IFERROR(VLOOKUP(INDIRECT("'Impact Indicators - Section B '!I"&amp;$B21),'Overview - Section A'!E$27:I48,5,0),""))</f>
        <v>a12Dm000000cC1cIAE</v>
      </c>
      <c r="O21" s="387"/>
      <c r="P21" s="391"/>
      <c r="Q21" s="392"/>
      <c r="R21" s="388"/>
      <c r="S21" s="387"/>
      <c r="T21" s="387"/>
      <c r="U21" s="387"/>
      <c r="V21" s="387"/>
      <c r="W21" s="387"/>
      <c r="X21" s="387"/>
      <c r="Y21" s="387"/>
      <c r="Z21" s="387"/>
      <c r="AA21" s="387"/>
      <c r="AB21" s="387"/>
      <c r="AC21" s="387"/>
      <c r="AD21" s="387" t="str">
        <f t="shared" ca="1" si="12"/>
        <v>a1A360000013M2uEAE</v>
      </c>
      <c r="AE21" s="387" t="str">
        <f t="shared" ca="1" si="13"/>
        <v>a1JDm000000k9bpMAA</v>
      </c>
    </row>
    <row r="22" spans="1:31">
      <c r="A22" s="387" t="b">
        <f t="shared" ca="1" si="3"/>
        <v>1</v>
      </c>
      <c r="B22" s="387">
        <f t="shared" ca="1" si="1"/>
        <v>15</v>
      </c>
      <c r="C22" s="396" t="str">
        <f ca="1">IFERROR(IF(AND(I22=2,B22=7),"blank",INDEX(C$2:C22,I22,1)),"")</f>
        <v>a1IDm0000004lwrMAA</v>
      </c>
      <c r="D22" s="389">
        <f t="shared" ca="1" si="4"/>
        <v>7.1</v>
      </c>
      <c r="E22" s="390" t="str">
        <f t="shared" ca="1" si="5"/>
        <v/>
      </c>
      <c r="F22" s="390" t="str">
        <f t="shared" ca="1" si="6"/>
        <v/>
      </c>
      <c r="G22" s="391" t="str">
        <f t="shared" ca="1" si="7"/>
        <v>IBBS report 2018-2019</v>
      </c>
      <c r="H22" s="391">
        <f t="shared" ca="1" si="8"/>
        <v>2019</v>
      </c>
      <c r="I22" s="387">
        <f t="shared" ca="1" si="2"/>
        <v>6</v>
      </c>
      <c r="J22" s="391" t="str">
        <f t="shared" ca="1" si="9"/>
        <v>The IBBS survey will be conducted in 2024 and the results will be published in 2025. The report of the survey will be submitted in February 2025</v>
      </c>
      <c r="K22" s="387" t="str">
        <f t="shared" ca="1" si="10"/>
        <v>Congo (Democratic Republic)</v>
      </c>
      <c r="L22" s="391" t="str">
        <f t="shared" ca="1" si="11"/>
        <v/>
      </c>
      <c r="M22" s="387" t="str">
        <f t="array" aca="1" ref="M22" ca="1">IFERROR(VLOOKUP(LEFT(INDIRECT("'Impact Indicators - Section B '!AE"&amp;$B22),255),LEFT('Reference Records'!$G$4:$H$22,255),2,0),"")</f>
        <v>IOR-00147</v>
      </c>
      <c r="N22" s="387" t="str">
        <f ca="1">IFERROR(VLOOKUP(INDIRECT("'Impact Indicators - Section B '!I"&amp;$B22),'Overview - Section A'!M$31:P60,4,0),IFERROR(VLOOKUP(INDIRECT("'Impact Indicators - Section B '!I"&amp;$B22),'Overview - Section A'!E$27:I49,5,0),""))</f>
        <v>a12Dm000000cC1cIAE</v>
      </c>
      <c r="O22" s="387"/>
      <c r="P22" s="391"/>
      <c r="Q22" s="392"/>
      <c r="R22" s="388"/>
      <c r="S22" s="387"/>
      <c r="T22" s="387"/>
      <c r="U22" s="387"/>
      <c r="V22" s="387"/>
      <c r="W22" s="387"/>
      <c r="X22" s="387"/>
      <c r="Y22" s="387"/>
      <c r="Z22" s="387"/>
      <c r="AA22" s="387"/>
      <c r="AB22" s="387"/>
      <c r="AC22" s="387"/>
      <c r="AD22" s="387" t="str">
        <f t="shared" ca="1" si="12"/>
        <v>a1A360000013M2uEAE</v>
      </c>
      <c r="AE22" s="387" t="str">
        <f t="shared" ca="1" si="13"/>
        <v>a1JDm000000k9bgMAA</v>
      </c>
    </row>
    <row r="23" spans="1:31">
      <c r="A23" s="387" t="b">
        <f t="shared" ca="1" si="3"/>
        <v>1</v>
      </c>
      <c r="B23" s="387">
        <f t="shared" ca="1" si="1"/>
        <v>17</v>
      </c>
      <c r="C23" s="396" t="str">
        <f ca="1">IFERROR(IF(AND(I23=2,B23=7),"blank",INDEX(C$2:C23,I23,1)),"")</f>
        <v>a1IDm0000004lwsMAA</v>
      </c>
      <c r="D23" s="389">
        <f t="shared" ca="1" si="4"/>
        <v>7.7</v>
      </c>
      <c r="E23" s="390" t="str">
        <f t="shared" ca="1" si="5"/>
        <v/>
      </c>
      <c r="F23" s="390" t="str">
        <f t="shared" ca="1" si="6"/>
        <v/>
      </c>
      <c r="G23" s="391" t="str">
        <f t="shared" ca="1" si="7"/>
        <v>IBBS report 2018-2019</v>
      </c>
      <c r="H23" s="391">
        <f t="shared" ca="1" si="8"/>
        <v>2019</v>
      </c>
      <c r="I23" s="387">
        <f t="shared" ca="1" si="2"/>
        <v>7</v>
      </c>
      <c r="J23" s="391" t="str">
        <f t="shared" ca="1" si="9"/>
        <v>The IBBS survey will be conducted in 2024 and the results will be published in 2025. The report of the survey will be submitted in February 2025</v>
      </c>
      <c r="K23" s="387" t="str">
        <f t="shared" ca="1" si="10"/>
        <v>Congo (Democratic Republic)</v>
      </c>
      <c r="L23" s="391" t="str">
        <f t="shared" ca="1" si="11"/>
        <v/>
      </c>
      <c r="M23" s="387" t="str">
        <f t="array" aca="1" ref="M23" ca="1">IFERROR(VLOOKUP(LEFT(INDIRECT("'Impact Indicators - Section B '!AE"&amp;$B23),255),LEFT('Reference Records'!$G$4:$H$22,255),2,0),"")</f>
        <v>IOR-00149</v>
      </c>
      <c r="N23" s="387" t="str">
        <f ca="1">IFERROR(VLOOKUP(INDIRECT("'Impact Indicators - Section B '!I"&amp;$B23),'Overview - Section A'!M$31:P61,4,0),IFERROR(VLOOKUP(INDIRECT("'Impact Indicators - Section B '!I"&amp;$B23),'Overview - Section A'!E$27:I50,5,0),""))</f>
        <v>a12Dm000000cC1cIAE</v>
      </c>
      <c r="O23" s="387"/>
      <c r="P23" s="391"/>
      <c r="Q23" s="392"/>
      <c r="R23" s="388"/>
      <c r="S23" s="387"/>
      <c r="T23" s="387"/>
      <c r="U23" s="387"/>
      <c r="V23" s="387"/>
      <c r="W23" s="387"/>
      <c r="X23" s="387"/>
      <c r="Y23" s="387"/>
      <c r="Z23" s="387"/>
      <c r="AA23" s="387"/>
      <c r="AB23" s="387"/>
      <c r="AC23" s="387"/>
      <c r="AD23" s="387" t="str">
        <f t="shared" ca="1" si="12"/>
        <v>a1A360000013M2uEAE</v>
      </c>
      <c r="AE23" s="387" t="str">
        <f t="shared" ca="1" si="13"/>
        <v>a1JDm000000k9biMAA</v>
      </c>
    </row>
    <row r="24" spans="1:31">
      <c r="A24" s="387" t="b">
        <f t="shared" ca="1" si="3"/>
        <v>1</v>
      </c>
      <c r="B24" s="387">
        <f t="shared" ca="1" si="1"/>
        <v>19</v>
      </c>
      <c r="C24" s="396" t="str">
        <f ca="1">IFERROR(IF(AND(I24=2,B24=7),"blank",INDEX(C$2:C24,I24,1)),"")</f>
        <v>a1IDm0000004lwtMAA</v>
      </c>
      <c r="D24" s="389" t="str">
        <f t="shared" ca="1" si="4"/>
        <v/>
      </c>
      <c r="E24" s="390" t="str">
        <f t="shared" ca="1" si="5"/>
        <v/>
      </c>
      <c r="F24" s="390" t="str">
        <f t="shared" ca="1" si="6"/>
        <v/>
      </c>
      <c r="G24" s="391" t="str">
        <f t="shared" ca="1" si="7"/>
        <v>No baseline data available</v>
      </c>
      <c r="H24" s="391" t="str">
        <f t="shared" ca="1" si="8"/>
        <v/>
      </c>
      <c r="I24" s="387">
        <f t="shared" ca="1" si="2"/>
        <v>8</v>
      </c>
      <c r="J24" s="391" t="str">
        <f t="shared" ca="1" si="9"/>
        <v>The IBBS survey will be conducted in 2024 and the results will be published in 2025. The report of the survey will be submitted in February 2025</v>
      </c>
      <c r="K24" s="387" t="str">
        <f t="shared" ca="1" si="10"/>
        <v>Congo (Democratic Republic)</v>
      </c>
      <c r="L24" s="391" t="str">
        <f t="shared" ca="1" si="11"/>
        <v/>
      </c>
      <c r="M24" s="387" t="str">
        <f t="array" aca="1" ref="M24" ca="1">IFERROR(VLOOKUP(LEFT(INDIRECT("'Impact Indicators - Section B '!AE"&amp;$B24),255),LEFT('Reference Records'!$G$4:$H$22,255),2,0),"")</f>
        <v>IOR-00148</v>
      </c>
      <c r="N24" s="387" t="str">
        <f ca="1">IFERROR(VLOOKUP(INDIRECT("'Impact Indicators - Section B '!I"&amp;$B24),'Overview - Section A'!M$31:P62,4,0),IFERROR(VLOOKUP(INDIRECT("'Impact Indicators - Section B '!I"&amp;$B24),'Overview - Section A'!E$27:I51,5,0),""))</f>
        <v>a12Dm000000cC1cIAE</v>
      </c>
      <c r="O24" s="387"/>
      <c r="P24" s="391"/>
      <c r="Q24" s="392"/>
      <c r="R24" s="388"/>
      <c r="S24" s="387"/>
      <c r="T24" s="387"/>
      <c r="U24" s="387"/>
      <c r="V24" s="387"/>
      <c r="W24" s="387"/>
      <c r="X24" s="387"/>
      <c r="Y24" s="387"/>
      <c r="Z24" s="387"/>
      <c r="AA24" s="387"/>
      <c r="AB24" s="387"/>
      <c r="AC24" s="387"/>
      <c r="AD24" s="387" t="str">
        <f t="shared" ca="1" si="12"/>
        <v>a1A360000013M2uEAE</v>
      </c>
      <c r="AE24" s="387" t="str">
        <f t="shared" ca="1" si="13"/>
        <v>a1JDm000000k9bhMAA</v>
      </c>
    </row>
    <row r="25" spans="1:31">
      <c r="A25" s="387" t="b">
        <f t="shared" ca="1" si="3"/>
        <v>1</v>
      </c>
      <c r="B25" s="387">
        <f t="shared" ca="1" si="1"/>
        <v>21</v>
      </c>
      <c r="C25" s="396" t="str">
        <f ca="1">IFERROR(IF(AND(I25=2,B25=7),"blank",INDEX(C$2:C25,I25,1)),"")</f>
        <v>a1IDm0000004lwuMAA</v>
      </c>
      <c r="D25" s="389">
        <f t="shared" ca="1" si="4"/>
        <v>3.9</v>
      </c>
      <c r="E25" s="390" t="str">
        <f t="shared" ca="1" si="5"/>
        <v/>
      </c>
      <c r="F25" s="390" t="str">
        <f t="shared" ca="1" si="6"/>
        <v/>
      </c>
      <c r="G25" s="391" t="str">
        <f t="shared" ca="1" si="7"/>
        <v>IBBS report 2018-2019</v>
      </c>
      <c r="H25" s="391">
        <f t="shared" ca="1" si="8"/>
        <v>2019</v>
      </c>
      <c r="I25" s="387">
        <f t="shared" ca="1" si="2"/>
        <v>9</v>
      </c>
      <c r="J25" s="391" t="str">
        <f t="shared" ca="1" si="9"/>
        <v>The IBBS survey will be conducted in 2024 and the results will be published in 2025. The report of the survey will be submitted in February 2025</v>
      </c>
      <c r="K25" s="387" t="str">
        <f t="shared" ca="1" si="10"/>
        <v>Congo (Democratic Republic)</v>
      </c>
      <c r="L25" s="391" t="str">
        <f t="shared" ca="1" si="11"/>
        <v/>
      </c>
      <c r="M25" s="387" t="str">
        <f t="array" aca="1" ref="M25" ca="1">IFERROR(VLOOKUP(LEFT(INDIRECT("'Impact Indicators - Section B '!AE"&amp;$B25),255),LEFT('Reference Records'!$G$4:$H$22,255),2,0),"")</f>
        <v>IOR-00150</v>
      </c>
      <c r="N25" s="387" t="str">
        <f ca="1">IFERROR(VLOOKUP(INDIRECT("'Impact Indicators - Section B '!I"&amp;$B25),'Overview - Section A'!M$31:P63,4,0),IFERROR(VLOOKUP(INDIRECT("'Impact Indicators - Section B '!I"&amp;$B25),'Overview - Section A'!E$27:I52,5,0),""))</f>
        <v>a12Dm000000cC1cIAE</v>
      </c>
      <c r="O25" s="387"/>
      <c r="P25" s="391"/>
      <c r="Q25" s="392"/>
      <c r="R25" s="388"/>
      <c r="S25" s="387"/>
      <c r="T25" s="387"/>
      <c r="U25" s="387"/>
      <c r="V25" s="387"/>
      <c r="W25" s="387"/>
      <c r="X25" s="387"/>
      <c r="Y25" s="387"/>
      <c r="Z25" s="387"/>
      <c r="AA25" s="387"/>
      <c r="AB25" s="387"/>
      <c r="AC25" s="387"/>
      <c r="AD25" s="387" t="str">
        <f t="shared" ca="1" si="12"/>
        <v>a1A360000013M2uEAE</v>
      </c>
      <c r="AE25" s="387" t="str">
        <f t="shared" ca="1" si="13"/>
        <v>a1JDm000000k9bjMAA</v>
      </c>
    </row>
    <row r="26" spans="1:31">
      <c r="A26" s="387" t="b">
        <f t="shared" ca="1" si="3"/>
        <v>1</v>
      </c>
      <c r="B26" s="387">
        <f t="shared" ca="1" si="1"/>
        <v>23</v>
      </c>
      <c r="C26" s="396" t="str">
        <f ca="1">IFERROR(IF(AND(I26=2,B26=7),"blank",INDEX(C$2:C26,I26,1)),"")</f>
        <v>a1IDm0000004lwvMAA</v>
      </c>
      <c r="D26" s="389">
        <f t="shared" ca="1" si="4"/>
        <v>0.8</v>
      </c>
      <c r="E26" s="390" t="str">
        <f t="shared" ca="1" si="5"/>
        <v/>
      </c>
      <c r="F26" s="390" t="str">
        <f t="shared" ca="1" si="6"/>
        <v/>
      </c>
      <c r="G26" s="391" t="str">
        <f t="shared" ca="1" si="7"/>
        <v>Spectrrum v6.26</v>
      </c>
      <c r="H26" s="391">
        <f t="shared" ca="1" si="8"/>
        <v>2022</v>
      </c>
      <c r="I26" s="387">
        <f t="shared" ca="1" si="2"/>
        <v>10</v>
      </c>
      <c r="J26" s="391" t="str">
        <f t="shared" ca="1" si="9"/>
        <v>Data from Spectrum v6.26</v>
      </c>
      <c r="K26" s="387" t="str">
        <f t="shared" ca="1" si="10"/>
        <v>Congo (Democratic Republic)</v>
      </c>
      <c r="L26" s="391" t="str">
        <f t="shared" ca="1" si="11"/>
        <v/>
      </c>
      <c r="M26" s="387" t="str">
        <f t="array" aca="1" ref="M26" ca="1">IFERROR(VLOOKUP(LEFT(INDIRECT("'Impact Indicators - Section B '!AE"&amp;$B26),255),LEFT('Reference Records'!$G$4:$H$22,255),2,0),"")</f>
        <v>IOR-00143</v>
      </c>
      <c r="N26" s="387" t="str">
        <f ca="1">IFERROR(VLOOKUP(INDIRECT("'Impact Indicators - Section B '!I"&amp;$B26),'Overview - Section A'!M$31:P64,4,0),IFERROR(VLOOKUP(INDIRECT("'Impact Indicators - Section B '!I"&amp;$B26),'Overview - Section A'!E$27:I53,5,0),""))</f>
        <v>a12Dm000000cC1cIAE</v>
      </c>
      <c r="O26" s="387"/>
      <c r="P26" s="391"/>
      <c r="Q26" s="392"/>
      <c r="R26" s="388"/>
      <c r="S26" s="387"/>
      <c r="T26" s="387"/>
      <c r="U26" s="387"/>
      <c r="V26" s="387"/>
      <c r="W26" s="387"/>
      <c r="X26" s="387"/>
      <c r="Y26" s="387"/>
      <c r="Z26" s="387"/>
      <c r="AA26" s="387"/>
      <c r="AB26" s="387"/>
      <c r="AC26" s="387"/>
      <c r="AD26" s="387" t="str">
        <f t="shared" ca="1" si="12"/>
        <v>a1A360000013M2uEAE</v>
      </c>
      <c r="AE26" s="387" t="str">
        <f t="shared" ca="1" si="13"/>
        <v>a1JDm000000k9bcMAA</v>
      </c>
    </row>
    <row r="27" spans="1:31">
      <c r="A27" s="387" t="b">
        <f t="shared" ca="1" si="3"/>
        <v>1</v>
      </c>
      <c r="B27" s="387">
        <f t="shared" ca="1" si="1"/>
        <v>25</v>
      </c>
      <c r="C27" s="396" t="str">
        <f ca="1">IFERROR(IF(AND(I27=2,B27=7),"blank",INDEX(C$2:C27,I27,1)),"")</f>
        <v>a1IDm0000004lwwMAA</v>
      </c>
      <c r="D27" s="389" t="str">
        <f t="shared" ca="1" si="4"/>
        <v/>
      </c>
      <c r="E27" s="390" t="str">
        <f t="shared" ca="1" si="5"/>
        <v/>
      </c>
      <c r="F27" s="390">
        <f t="shared" ca="1" si="6"/>
        <v>21036</v>
      </c>
      <c r="G27" s="391" t="str">
        <f t="shared" ca="1" si="7"/>
        <v>Spectrum v6.26</v>
      </c>
      <c r="H27" s="391">
        <f t="shared" ca="1" si="8"/>
        <v>2022</v>
      </c>
      <c r="I27" s="387">
        <f t="shared" ca="1" si="2"/>
        <v>11</v>
      </c>
      <c r="J27" s="391" t="str">
        <f t="shared" ca="1" si="9"/>
        <v>Data from Spectrum v6.26</v>
      </c>
      <c r="K27" s="387" t="str">
        <f t="shared" ca="1" si="10"/>
        <v>Congo (Democratic Republic)</v>
      </c>
      <c r="L27" s="391" t="str">
        <f t="shared" ca="1" si="11"/>
        <v/>
      </c>
      <c r="M27" s="387" t="str">
        <f t="array" aca="1" ref="M27" ca="1">IFERROR(VLOOKUP(LEFT(INDIRECT("'Impact Indicators - Section B '!AE"&amp;$B27),255),LEFT('Reference Records'!$G$4:$H$22,255),2,0),"")</f>
        <v>IOR-00144</v>
      </c>
      <c r="N27" s="387" t="str">
        <f ca="1">IFERROR(VLOOKUP(INDIRECT("'Impact Indicators - Section B '!I"&amp;$B27),'Overview - Section A'!M$31:P65,4,0),IFERROR(VLOOKUP(INDIRECT("'Impact Indicators - Section B '!I"&amp;$B27),'Overview - Section A'!E$27:I54,5,0),""))</f>
        <v>a12Dm000000cC1cIAE</v>
      </c>
      <c r="O27" s="387"/>
      <c r="P27" s="391"/>
      <c r="Q27" s="392"/>
      <c r="R27" s="388"/>
      <c r="S27" s="387"/>
      <c r="T27" s="387"/>
      <c r="U27" s="387"/>
      <c r="V27" s="387"/>
      <c r="W27" s="387"/>
      <c r="X27" s="387"/>
      <c r="Y27" s="387"/>
      <c r="Z27" s="387"/>
      <c r="AA27" s="387"/>
      <c r="AB27" s="387"/>
      <c r="AC27" s="387"/>
      <c r="AD27" s="387" t="str">
        <f t="shared" ca="1" si="12"/>
        <v>a1A360000013M2uEAE</v>
      </c>
      <c r="AE27" s="387" t="str">
        <f t="shared" ca="1" si="13"/>
        <v>a1JDm000000k9bdMAA</v>
      </c>
    </row>
    <row r="28" spans="1:31">
      <c r="A28" s="387" t="b">
        <f t="shared" ca="1" si="3"/>
        <v>1</v>
      </c>
      <c r="B28" s="387">
        <f t="shared" ca="1" si="1"/>
        <v>27</v>
      </c>
      <c r="C28" s="396" t="str">
        <f ca="1">IFERROR(IF(AND(I28=2,B28=7),"blank",INDEX(C$2:C28,I28,1)),"")</f>
        <v>a1IDm0000004lwxMAA</v>
      </c>
      <c r="D28" s="389" t="str">
        <f t="shared" ca="1" si="4"/>
        <v/>
      </c>
      <c r="E28" s="390" t="str">
        <f t="shared" ca="1" si="5"/>
        <v/>
      </c>
      <c r="F28" s="390">
        <f t="shared" ca="1" si="6"/>
        <v>15248</v>
      </c>
      <c r="G28" s="391" t="str">
        <f t="shared" ca="1" si="7"/>
        <v>Spectrum v6.26</v>
      </c>
      <c r="H28" s="391">
        <f t="shared" ca="1" si="8"/>
        <v>2022</v>
      </c>
      <c r="I28" s="387">
        <f t="shared" ca="1" si="2"/>
        <v>12</v>
      </c>
      <c r="J28" s="391" t="str">
        <f t="shared" ca="1" si="9"/>
        <v>Data from Spectrum v6.26</v>
      </c>
      <c r="K28" s="387" t="str">
        <f t="shared" ca="1" si="10"/>
        <v>Congo (Democratic Republic)</v>
      </c>
      <c r="L28" s="391" t="str">
        <f t="shared" ca="1" si="11"/>
        <v/>
      </c>
      <c r="M28" s="387" t="str">
        <f t="array" aca="1" ref="M28" ca="1">IFERROR(VLOOKUP(LEFT(INDIRECT("'Impact Indicators - Section B '!AE"&amp;$B28),255),LEFT('Reference Records'!$G$4:$H$22,255),2,0),"")</f>
        <v>IOR-00145</v>
      </c>
      <c r="N28" s="387" t="str">
        <f ca="1">IFERROR(VLOOKUP(INDIRECT("'Impact Indicators - Section B '!I"&amp;$B28),'Overview - Section A'!M$31:P66,4,0),IFERROR(VLOOKUP(INDIRECT("'Impact Indicators - Section B '!I"&amp;$B28),'Overview - Section A'!E$27:I55,5,0),""))</f>
        <v>a12Dm000000cC1cIAE</v>
      </c>
      <c r="O28" s="387"/>
      <c r="P28" s="391"/>
      <c r="Q28" s="392"/>
      <c r="R28" s="388"/>
      <c r="S28" s="387"/>
      <c r="T28" s="387"/>
      <c r="U28" s="387"/>
      <c r="V28" s="387"/>
      <c r="W28" s="387"/>
      <c r="X28" s="387"/>
      <c r="Y28" s="387"/>
      <c r="Z28" s="387"/>
      <c r="AA28" s="387"/>
      <c r="AB28" s="387"/>
      <c r="AC28" s="387"/>
      <c r="AD28" s="387" t="str">
        <f t="shared" ca="1" si="12"/>
        <v>a1A360000013M2uEAE</v>
      </c>
      <c r="AE28" s="387" t="str">
        <f t="shared" ca="1" si="13"/>
        <v>a1JDm000000k9beMAA</v>
      </c>
    </row>
    <row r="29" spans="1:31">
      <c r="A29" s="387" t="b">
        <f t="shared" ca="1" si="3"/>
        <v>1</v>
      </c>
      <c r="B29" s="387">
        <f t="shared" ca="1" si="1"/>
        <v>29</v>
      </c>
      <c r="C29" s="396" t="str">
        <f ca="1">IFERROR(IF(AND(I29=2,B29=7),"blank",INDEX(C$2:C29,I29,1)),"")</f>
        <v>a1IDm0000004lwyMAA</v>
      </c>
      <c r="D29" s="389">
        <f t="shared" ca="1" si="4"/>
        <v>30.720110030454855</v>
      </c>
      <c r="E29" s="390">
        <f t="shared" ca="1" si="5"/>
        <v>40716</v>
      </c>
      <c r="F29" s="390">
        <f t="shared" ca="1" si="6"/>
        <v>12508</v>
      </c>
      <c r="G29" s="391" t="str">
        <f t="shared" ca="1" si="7"/>
        <v>Spectrum v6.26</v>
      </c>
      <c r="H29" s="391">
        <f t="shared" ca="1" si="8"/>
        <v>2022</v>
      </c>
      <c r="I29" s="387">
        <f t="shared" ca="1" si="2"/>
        <v>13</v>
      </c>
      <c r="J29" s="391" t="str">
        <f t="shared" ca="1" si="9"/>
        <v>Data from Spectrum v6.26</v>
      </c>
      <c r="K29" s="387" t="str">
        <f t="shared" ca="1" si="10"/>
        <v>Congo (Democratic Republic)</v>
      </c>
      <c r="L29" s="391" t="str">
        <f t="shared" ca="1" si="11"/>
        <v/>
      </c>
      <c r="M29" s="387" t="str">
        <f t="array" aca="1" ref="M29" ca="1">IFERROR(VLOOKUP(LEFT(INDIRECT("'Impact Indicators - Section B '!AE"&amp;$B29),255),LEFT('Reference Records'!$G$4:$H$22,255),2,0),"")</f>
        <v>IOR-00146</v>
      </c>
      <c r="N29" s="387" t="str">
        <f ca="1">IFERROR(VLOOKUP(INDIRECT("'Impact Indicators - Section B '!I"&amp;$B29),'Overview - Section A'!M$31:P67,4,0),IFERROR(VLOOKUP(INDIRECT("'Impact Indicators - Section B '!I"&amp;$B29),'Overview - Section A'!E$27:I56,5,0),""))</f>
        <v>a12Dm000000cC1cIAE</v>
      </c>
      <c r="O29" s="387"/>
      <c r="P29" s="391"/>
      <c r="Q29" s="392"/>
      <c r="R29" s="388"/>
      <c r="S29" s="387"/>
      <c r="T29" s="387"/>
      <c r="U29" s="387"/>
      <c r="V29" s="387"/>
      <c r="W29" s="387"/>
      <c r="X29" s="387"/>
      <c r="Y29" s="387"/>
      <c r="Z29" s="387"/>
      <c r="AA29" s="387"/>
      <c r="AB29" s="387"/>
      <c r="AC29" s="387"/>
      <c r="AD29" s="387" t="str">
        <f t="shared" ca="1" si="12"/>
        <v>a1A360000013M2uEAE</v>
      </c>
      <c r="AE29" s="387" t="str">
        <f t="shared" ca="1" si="13"/>
        <v>a1JDm000000k9bfMAA</v>
      </c>
    </row>
    <row r="30" spans="1:31">
      <c r="A30" s="387" t="b">
        <f t="shared" ca="1" si="3"/>
        <v>0</v>
      </c>
      <c r="B30" s="387">
        <f t="shared" ca="1" si="1"/>
        <v>31</v>
      </c>
      <c r="C30" s="396" t="str">
        <f ca="1">IFERROR(IF(AND(I30=2,B30=7),"blank",INDEX(C$2:C30,I30,1)),"")</f>
        <v>a1IDm0000004lwzMAA</v>
      </c>
      <c r="D30" s="389" t="str">
        <f t="shared" ca="1" si="4"/>
        <v/>
      </c>
      <c r="E30" s="390" t="str">
        <f t="shared" ca="1" si="5"/>
        <v/>
      </c>
      <c r="F30" s="390" t="str">
        <f t="shared" ca="1" si="6"/>
        <v/>
      </c>
      <c r="G30" s="391" t="str">
        <f t="shared" ca="1" si="7"/>
        <v/>
      </c>
      <c r="H30" s="391" t="str">
        <f t="shared" ca="1" si="8"/>
        <v/>
      </c>
      <c r="I30" s="387">
        <f t="shared" ca="1" si="2"/>
        <v>14</v>
      </c>
      <c r="J30" s="391" t="str">
        <f t="shared" ca="1" si="9"/>
        <v/>
      </c>
      <c r="K30" s="387" t="str">
        <f t="shared" ca="1" si="10"/>
        <v/>
      </c>
      <c r="L30" s="391" t="str">
        <f t="shared" ca="1" si="11"/>
        <v/>
      </c>
      <c r="M30" s="387" t="str">
        <f t="array" aca="1" ref="M30" ca="1">IFERROR(VLOOKUP(LEFT(INDIRECT("'Impact Indicators - Section B '!AE"&amp;$B30),255),LEFT('Reference Records'!$G$4:$H$22,255),2,0),"")</f>
        <v/>
      </c>
      <c r="N30" s="387" t="str">
        <f ca="1">IFERROR(VLOOKUP(INDIRECT("'Impact Indicators - Section B '!I"&amp;$B30),'Overview - Section A'!M$31:P68,4,0),IFERROR(VLOOKUP(INDIRECT("'Impact Indicators - Section B '!I"&amp;$B30),'Overview - Section A'!E$27:I57,5,0),""))</f>
        <v/>
      </c>
      <c r="O30" s="387"/>
      <c r="P30" s="391"/>
      <c r="Q30" s="392"/>
      <c r="R30" s="388"/>
      <c r="S30" s="387"/>
      <c r="T30" s="387"/>
      <c r="U30" s="387"/>
      <c r="V30" s="387"/>
      <c r="W30" s="387"/>
      <c r="X30" s="387"/>
      <c r="Y30" s="387"/>
      <c r="Z30" s="387"/>
      <c r="AA30" s="387"/>
      <c r="AB30" s="387"/>
      <c r="AC30" s="387"/>
      <c r="AD30" s="387" t="str">
        <f t="shared" ca="1" si="12"/>
        <v/>
      </c>
      <c r="AE30" s="387" t="str">
        <f t="shared" ca="1" si="13"/>
        <v/>
      </c>
    </row>
    <row r="31" spans="1:31">
      <c r="A31" s="387" t="b">
        <f t="shared" ca="1" si="3"/>
        <v>0</v>
      </c>
      <c r="B31" s="387">
        <f t="shared" ca="1" si="1"/>
        <v>33</v>
      </c>
      <c r="C31" s="396" t="str">
        <f ca="1">IFERROR(IF(AND(I31=2,B31=7),"blank",INDEX(C$2:C31,I31,1)),"")</f>
        <v>a1IDm0000004lx0MAA</v>
      </c>
      <c r="D31" s="389" t="str">
        <f t="shared" ca="1" si="4"/>
        <v/>
      </c>
      <c r="E31" s="390" t="str">
        <f t="shared" ca="1" si="5"/>
        <v/>
      </c>
      <c r="F31" s="390" t="str">
        <f t="shared" ca="1" si="6"/>
        <v/>
      </c>
      <c r="G31" s="391" t="str">
        <f t="shared" ca="1" si="7"/>
        <v/>
      </c>
      <c r="H31" s="391" t="str">
        <f t="shared" ca="1" si="8"/>
        <v/>
      </c>
      <c r="I31" s="387">
        <f t="shared" ca="1" si="2"/>
        <v>15</v>
      </c>
      <c r="J31" s="391" t="str">
        <f t="shared" ca="1" si="9"/>
        <v/>
      </c>
      <c r="K31" s="387" t="str">
        <f t="shared" ca="1" si="10"/>
        <v/>
      </c>
      <c r="L31" s="391" t="str">
        <f t="shared" ca="1" si="11"/>
        <v/>
      </c>
      <c r="M31" s="387" t="str">
        <f t="array" aca="1" ref="M31" ca="1">IFERROR(VLOOKUP(LEFT(INDIRECT("'Impact Indicators - Section B '!AE"&amp;$B31),255),LEFT('Reference Records'!$G$4:$H$22,255),2,0),"")</f>
        <v/>
      </c>
      <c r="N31" s="387" t="str">
        <f ca="1">IFERROR(VLOOKUP(INDIRECT("'Impact Indicators - Section B '!I"&amp;$B31),'Overview - Section A'!M$31:P69,4,0),IFERROR(VLOOKUP(INDIRECT("'Impact Indicators - Section B '!I"&amp;$B31),'Overview - Section A'!E$27:I58,5,0),""))</f>
        <v/>
      </c>
      <c r="O31" s="387"/>
      <c r="P31" s="391"/>
      <c r="Q31" s="392"/>
      <c r="R31" s="388"/>
      <c r="S31" s="387"/>
      <c r="T31" s="387"/>
      <c r="U31" s="387"/>
      <c r="V31" s="387"/>
      <c r="W31" s="387"/>
      <c r="X31" s="387"/>
      <c r="Y31" s="387"/>
      <c r="Z31" s="387"/>
      <c r="AA31" s="387"/>
      <c r="AB31" s="387"/>
      <c r="AC31" s="387"/>
      <c r="AD31" s="387" t="str">
        <f t="shared" ca="1" si="12"/>
        <v/>
      </c>
      <c r="AE31" s="387" t="str">
        <f t="shared" ca="1" si="13"/>
        <v/>
      </c>
    </row>
    <row r="32" spans="1:31">
      <c r="A32" s="387" t="b">
        <f t="shared" ca="1" si="3"/>
        <v>0</v>
      </c>
      <c r="B32" s="387">
        <f t="shared" ca="1" si="1"/>
        <v>35</v>
      </c>
      <c r="C32" s="396" t="str">
        <f ca="1">IFERROR(IF(AND(I32=2,B32=7),"blank",INDEX(C$2:C32,I32,1)),"")</f>
        <v>a1IDm0000004lx1MAA</v>
      </c>
      <c r="D32" s="389" t="str">
        <f t="shared" ca="1" si="4"/>
        <v/>
      </c>
      <c r="E32" s="390" t="str">
        <f t="shared" ca="1" si="5"/>
        <v/>
      </c>
      <c r="F32" s="390" t="str">
        <f t="shared" ca="1" si="6"/>
        <v/>
      </c>
      <c r="G32" s="391" t="str">
        <f t="shared" ca="1" si="7"/>
        <v/>
      </c>
      <c r="H32" s="391" t="str">
        <f t="shared" ca="1" si="8"/>
        <v/>
      </c>
      <c r="I32" s="387">
        <f t="shared" ca="1" si="2"/>
        <v>16</v>
      </c>
      <c r="J32" s="391" t="str">
        <f t="shared" ca="1" si="9"/>
        <v/>
      </c>
      <c r="K32" s="387" t="str">
        <f t="shared" ca="1" si="10"/>
        <v/>
      </c>
      <c r="L32" s="391" t="str">
        <f t="shared" ca="1" si="11"/>
        <v/>
      </c>
      <c r="M32" s="387" t="str">
        <f t="array" aca="1" ref="M32" ca="1">IFERROR(VLOOKUP(LEFT(INDIRECT("'Impact Indicators - Section B '!AE"&amp;$B32),255),LEFT('Reference Records'!$G$4:$H$22,255),2,0),"")</f>
        <v/>
      </c>
      <c r="N32" s="387" t="str">
        <f ca="1">IFERROR(VLOOKUP(INDIRECT("'Impact Indicators - Section B '!I"&amp;$B32),'Overview - Section A'!M$31:P70,4,0),IFERROR(VLOOKUP(INDIRECT("'Impact Indicators - Section B '!I"&amp;$B32),'Overview - Section A'!E$27:I59,5,0),""))</f>
        <v/>
      </c>
      <c r="O32" s="387"/>
      <c r="P32" s="391"/>
      <c r="Q32" s="392"/>
      <c r="R32" s="388"/>
      <c r="S32" s="387"/>
      <c r="T32" s="387"/>
      <c r="U32" s="387"/>
      <c r="V32" s="387"/>
      <c r="W32" s="387"/>
      <c r="X32" s="387"/>
      <c r="Y32" s="387"/>
      <c r="Z32" s="387"/>
      <c r="AA32" s="387"/>
      <c r="AB32" s="387"/>
      <c r="AC32" s="387"/>
      <c r="AD32" s="387" t="str">
        <f t="shared" ca="1" si="12"/>
        <v/>
      </c>
      <c r="AE32" s="387" t="str">
        <f t="shared" ca="1" si="13"/>
        <v/>
      </c>
    </row>
    <row r="33" spans="1:35">
      <c r="A33" s="387" t="b">
        <f t="shared" ca="1" si="3"/>
        <v>0</v>
      </c>
      <c r="B33" s="387">
        <f t="shared" ca="1" si="1"/>
        <v>37</v>
      </c>
      <c r="C33" s="396" t="str">
        <f ca="1">IFERROR(IF(AND(I33=2,B33=7),"blank",INDEX(C$2:C33,I33,1)),"")</f>
        <v>a1IDm0000004lx2MAA</v>
      </c>
      <c r="D33" s="389" t="str">
        <f t="shared" ca="1" si="4"/>
        <v/>
      </c>
      <c r="E33" s="390" t="str">
        <f t="shared" ca="1" si="5"/>
        <v/>
      </c>
      <c r="F33" s="390" t="str">
        <f t="shared" ca="1" si="6"/>
        <v/>
      </c>
      <c r="G33" s="391" t="str">
        <f t="shared" ca="1" si="7"/>
        <v/>
      </c>
      <c r="H33" s="391" t="str">
        <f t="shared" ca="1" si="8"/>
        <v/>
      </c>
      <c r="I33" s="387">
        <f t="shared" ca="1" si="2"/>
        <v>17</v>
      </c>
      <c r="J33" s="391" t="str">
        <f t="shared" ca="1" si="9"/>
        <v/>
      </c>
      <c r="K33" s="387" t="str">
        <f t="shared" ca="1" si="10"/>
        <v/>
      </c>
      <c r="L33" s="391" t="str">
        <f t="shared" ca="1" si="11"/>
        <v/>
      </c>
      <c r="M33" s="387" t="str">
        <f t="array" aca="1" ref="M33" ca="1">IFERROR(VLOOKUP(LEFT(INDIRECT("'Impact Indicators - Section B '!AE"&amp;$B33),255),LEFT('Reference Records'!$G$4:$H$22,255),2,0),"")</f>
        <v/>
      </c>
      <c r="N33" s="387" t="str">
        <f ca="1">IFERROR(VLOOKUP(INDIRECT("'Impact Indicators - Section B '!I"&amp;$B33),'Overview - Section A'!M$31:P71,4,0),IFERROR(VLOOKUP(INDIRECT("'Impact Indicators - Section B '!I"&amp;$B33),'Overview - Section A'!E$27:I60,5,0),""))</f>
        <v/>
      </c>
      <c r="O33" s="387"/>
      <c r="P33" s="391"/>
      <c r="Q33" s="392"/>
      <c r="R33" s="388"/>
      <c r="S33" s="387"/>
      <c r="T33" s="387"/>
      <c r="U33" s="387"/>
      <c r="V33" s="387"/>
      <c r="W33" s="387"/>
      <c r="X33" s="387"/>
      <c r="Y33" s="387"/>
      <c r="Z33" s="387"/>
      <c r="AA33" s="387"/>
      <c r="AB33" s="387"/>
      <c r="AC33" s="387"/>
      <c r="AD33" s="387" t="str">
        <f t="shared" ca="1" si="12"/>
        <v/>
      </c>
      <c r="AE33" s="387" t="str">
        <f t="shared" ca="1" si="13"/>
        <v/>
      </c>
    </row>
    <row r="34" spans="1:35">
      <c r="B34" s="393"/>
      <c r="C34" s="394"/>
      <c r="D34" s="394"/>
      <c r="E34" s="394"/>
      <c r="AH34" s="386">
        <v>4</v>
      </c>
      <c r="AI34" s="386">
        <f>AI3+2</f>
        <v>15</v>
      </c>
    </row>
    <row r="35" spans="1:35">
      <c r="AH35" s="386">
        <v>5</v>
      </c>
      <c r="AI35" s="386">
        <f t="shared" si="0"/>
        <v>17</v>
      </c>
    </row>
    <row r="36" spans="1:35">
      <c r="AH36" s="386">
        <v>6</v>
      </c>
      <c r="AI36" s="386">
        <f t="shared" si="0"/>
        <v>19</v>
      </c>
    </row>
    <row r="37" spans="1:35">
      <c r="AH37" s="386">
        <v>7</v>
      </c>
      <c r="AI37" s="386">
        <f t="shared" si="0"/>
        <v>21</v>
      </c>
    </row>
    <row r="38" spans="1:35">
      <c r="AH38" s="386">
        <v>8</v>
      </c>
      <c r="AI38" s="386">
        <f t="shared" si="0"/>
        <v>23</v>
      </c>
    </row>
    <row r="39" spans="1:35">
      <c r="AH39" s="386">
        <v>9</v>
      </c>
      <c r="AI39" s="386">
        <f t="shared" si="0"/>
        <v>25</v>
      </c>
    </row>
    <row r="40" spans="1:35">
      <c r="AH40" s="386">
        <v>10</v>
      </c>
      <c r="AI40" s="386">
        <f t="shared" si="0"/>
        <v>27</v>
      </c>
    </row>
    <row r="41" spans="1:35">
      <c r="A41" s="385" t="s">
        <v>2345</v>
      </c>
      <c r="D41" s="395"/>
      <c r="J41" s="386" t="str">
        <f ca="1">IF(ROW()&gt;'Impact Indicator Target Update'!A4,"",INDIRECT("'Impact Indicators - Section B'!A"&amp;'Impact Indicator Target Update'!#REF!))</f>
        <v/>
      </c>
      <c r="AH41" s="386">
        <v>11</v>
      </c>
      <c r="AI41" s="386">
        <f t="shared" si="0"/>
        <v>29</v>
      </c>
    </row>
    <row r="42" spans="1:35">
      <c r="A42" s="387" t="s">
        <v>328</v>
      </c>
      <c r="B42" s="397"/>
      <c r="C42" s="387" t="s">
        <v>318</v>
      </c>
      <c r="D42" s="387" t="s">
        <v>2346</v>
      </c>
      <c r="E42" s="387" t="s">
        <v>2347</v>
      </c>
      <c r="F42" s="387" t="s">
        <v>764</v>
      </c>
      <c r="G42" s="387"/>
      <c r="H42" s="387" t="s">
        <v>805</v>
      </c>
      <c r="I42" s="387" t="s">
        <v>807</v>
      </c>
      <c r="J42" s="387" t="s">
        <v>802</v>
      </c>
      <c r="K42" s="387" t="s">
        <v>225</v>
      </c>
      <c r="L42" s="387" t="s">
        <v>811</v>
      </c>
      <c r="M42" s="387" t="s">
        <v>771</v>
      </c>
      <c r="N42" s="387" t="s">
        <v>808</v>
      </c>
      <c r="O42" s="387" t="s">
        <v>2348</v>
      </c>
      <c r="P42" s="387">
        <v>-1</v>
      </c>
      <c r="Q42" s="387"/>
      <c r="R42" s="387"/>
      <c r="S42" s="387"/>
      <c r="T42" s="387" t="s">
        <v>483</v>
      </c>
      <c r="AH42" s="386">
        <v>12</v>
      </c>
      <c r="AI42" s="386">
        <f t="shared" si="0"/>
        <v>31</v>
      </c>
    </row>
    <row r="43" spans="1:35" hidden="1">
      <c r="A43" s="387" t="b">
        <f ca="1">IF(OR(I43&lt;&gt;"",J43&lt;&gt;"",K43&lt;&gt;"",M43&lt;&gt;"",N43&lt;&gt;""),TRUE,FALSE)</f>
        <v>0</v>
      </c>
      <c r="B43" s="397"/>
      <c r="C43" s="387" t="str">
        <f ca="1">O43</f>
        <v/>
      </c>
      <c r="D43" s="387"/>
      <c r="E43" s="387">
        <f ca="1">COUNTIF(F34:F43,F43)</f>
        <v>9</v>
      </c>
      <c r="F43" s="392" t="str">
        <f ca="1">IFERROR(IF(COUNTA($D$41:$D43)=1,"",OFFSET($F41,-COUNTA($D$41:$D43)+3,0)),"")</f>
        <v/>
      </c>
      <c r="G43" s="387" t="str">
        <f ca="1">CONCATENATE(F43,L43)</f>
        <v/>
      </c>
      <c r="H43" s="387" t="e">
        <f t="shared" ref="H43:H74" ca="1" si="14">VLOOKUP(F43,$AH$1:$AI$225,2,FALSE)</f>
        <v>#N/A</v>
      </c>
      <c r="I43" s="398" t="str">
        <f ca="1">IFERROR(CHOOSE(E43,IFERROR(IF(INDIRECT("'Impact Indicators - Section B '!K"&amp;H43+1)="","",INDIRECT("'Impact Indicators - Section B '!K"&amp;H43+1)),""),IFERROR(IF(INDIRECT("'Impact Indicators - Section B '!O"&amp;H43+1)="","",INDIRECT("'Impact Indicators - Section B '!O"&amp;H43+1)),""),IFERROR(IF(INDIRECT("'Impact Indicators - Section B '!S"&amp;H43+1)="","",INDIRECT("'Impact Indicators - Section B '!S"&amp;H43+1)),""),IFERROR(IF(INDIRECT("'Impact Indicators - Section B '!W"&amp;H43+1)="","",INDIRECT("'Impact Indicators - Section B '!W"&amp;H43+1)),"")),"")</f>
        <v/>
      </c>
      <c r="J43" s="398" t="str">
        <f ca="1">IFERROR(CHOOSE(E43,IFERROR(IF(INDIRECT("'Impact Indicators - Section B '!K"&amp;H43)="","",INDIRECT("'Impact Indicators - Section B '!K"&amp;H43)),""),IFERROR(IF(INDIRECT("'Impact Indicators - Section B '!O"&amp;H43)="","",INDIRECT("'Impact Indicators - Section B '!O"&amp;H43)),""),IFERROR(IF(INDIRECT("'Impact Indicators - Section B '!S"&amp;H43)="","",INDIRECT("'Impact Indicators - Section B '!S"&amp;H43)),""),IFERROR(IF(INDIRECT("'Impact Indicators - Section B '!W"&amp;H43)="","",INDIRECT("'Impact Indicators - Section B '!W"&amp;H43)),"")),"")</f>
        <v/>
      </c>
      <c r="K43" s="389" t="str">
        <f ca="1">IFERROR(CHOOSE(E43,IFERROR(IF(INDIRECT("'Impact Indicators - Section B '!L"&amp;H43)="","",INDIRECT("'Impact Indicators - Section B '!L"&amp;H43)*100),""),IFERROR(IF(INDIRECT("'Impact Indicators - Section B '!P"&amp;H43)="","",INDIRECT("'Impact Indicators - Section B '!P"&amp;H43)*100),""),IFERROR(IF(INDIRECT("'Impact Indicators - Section B '!T"&amp;H43)="","",INDIRECT("'Impact Indicators - Section B '!T"&amp;H43)*100),""),IFERROR(IF(INDIRECT("'Impact Indicators - Section B '!X"&amp;H43)="","",INDIRECT("'Impact Indicators - Section B '!X"&amp;H43)*100),"")),"")</f>
        <v/>
      </c>
      <c r="L43" s="391" t="str">
        <f ca="1">IFERROR(CHOOSE(E43,'Impact Indicators - Section B '!$K$7,'Impact Indicators - Section B '!$O$7,'Impact Indicators - Section B '!$S$7,'Impact Indicators - Section B '!$W$7,'Impact Indicators - Section B '!#REF!),"")</f>
        <v/>
      </c>
      <c r="M43" s="399" t="str">
        <f ca="1">IFERROR(CHOOSE(E43,IFERROR(IF(INDIRECT("'Impact Indicators - Section B '!M"&amp;H43)="","",INDIRECT("'Impact Indicators - Section B '!M"&amp;H43)),""),IFERROR(IF(INDIRECT("'Impact Indicators - Section B '!Q"&amp;H43)=0,"",INDIRECT("'Impact Indicators - Section B '!Q"&amp;H43)),""),IFERROR(IF(INDIRECT("'Impact Indicators - Section B '!U"&amp;H43)=0,"",INDIRECT("'Impact Indicators - Section B '!U"&amp;H43)),""),IFERROR(IF(INDIRECT("'Impact Indicators - Section B '!Y"&amp;H43)=0,"",INDIRECT("'Impact Indicators - Section B '!Y"&amp;H43)),"")),"")</f>
        <v/>
      </c>
      <c r="N43" s="391" t="str">
        <f ca="1">IFERROR(CHOOSE(E43,IFERROR(IF(INDIRECT("'Impact Indicators - Section B '!N"&amp;H43)=0,"",INDIRECT("'Impact Indicators - Section B '!N"&amp;H43)),""),IFERROR(IF(INDIRECT("'Impact Indicators - Section B '!R"&amp;H43)=0,"",INDIRECT("'Impact Indicators - Section B '!R"&amp;H43)),""),IFERROR(IF(INDIRECT("'Impact Indicators - Section B '!V"&amp;H43)=0,"",INDIRECT("'Impact Indicators - Section B '!V"&amp;H43)),""),IFERROR(IF(INDIRECT("'Impact Indicators - Section B '!Z"&amp;H43)=0,"",INDIRECT("'Impact Indicators - Section B '!Z"&amp;H43)),"")),"")</f>
        <v/>
      </c>
      <c r="O43" s="387" t="str">
        <f ca="1">IFERROR(IF(COUNTA($D$41:$D43)=1,"",OFFSET($C41,-COUNTA($D$41:$D43)+3,0)),"")</f>
        <v/>
      </c>
      <c r="P43" s="387">
        <f ca="1">IF(NOT(_xlfn.ISFORMULA(I43)),P42+1,0)</f>
        <v>0</v>
      </c>
      <c r="Q43" s="387"/>
      <c r="R43" s="387"/>
      <c r="S43" s="387"/>
      <c r="T43" s="387" t="b">
        <f ca="1">IF(A43=TRUE,TRUE,FALSE)</f>
        <v>0</v>
      </c>
      <c r="AH43" s="386">
        <v>13</v>
      </c>
      <c r="AI43" s="386">
        <f t="shared" si="0"/>
        <v>33</v>
      </c>
    </row>
    <row r="44" spans="1:35">
      <c r="A44" s="387" t="b">
        <v>1</v>
      </c>
      <c r="B44" s="397"/>
      <c r="C44" s="387" t="s">
        <v>2349</v>
      </c>
      <c r="D44" s="387" t="s">
        <v>2350</v>
      </c>
      <c r="E44" s="387">
        <f t="shared" ref="E44:E107" ca="1" si="15">COUNTIF(F35:F44,F44)</f>
        <v>1</v>
      </c>
      <c r="F44" s="392">
        <v>1</v>
      </c>
      <c r="G44" s="387" t="str">
        <f t="shared" ref="G44:G107" si="16">CONCATENATE(F44,L44)</f>
        <v>12024</v>
      </c>
      <c r="H44" s="387">
        <f t="shared" si="14"/>
        <v>9</v>
      </c>
      <c r="I44" s="398"/>
      <c r="J44" s="398">
        <v>38</v>
      </c>
      <c r="K44" s="389"/>
      <c r="L44" s="391" t="s">
        <v>2351</v>
      </c>
      <c r="M44" s="399"/>
      <c r="N44" s="391"/>
      <c r="O44" s="387" t="str">
        <f ca="1">IFERROR(IF(COUNTA($D$41:$D44)=1,"",OFFSET($C42,-COUNTA($D$41:$D44)+3,0)),"")</f>
        <v/>
      </c>
      <c r="P44" s="387">
        <f t="shared" ref="P44:P107" ca="1" si="17">IF(NOT(_xlfn.ISFORMULA(I44)),P43+1,0)</f>
        <v>1</v>
      </c>
      <c r="Q44" s="387"/>
      <c r="R44" s="387"/>
      <c r="S44" s="387"/>
      <c r="T44" s="387"/>
    </row>
    <row r="45" spans="1:35">
      <c r="A45" s="387" t="b">
        <v>1</v>
      </c>
      <c r="B45" s="397"/>
      <c r="C45" s="387" t="s">
        <v>2352</v>
      </c>
      <c r="D45" s="387" t="s">
        <v>2350</v>
      </c>
      <c r="E45" s="387">
        <f t="shared" ca="1" si="15"/>
        <v>2</v>
      </c>
      <c r="F45" s="392">
        <v>1</v>
      </c>
      <c r="G45" s="387" t="str">
        <f t="shared" si="16"/>
        <v>12025</v>
      </c>
      <c r="H45" s="387">
        <f t="shared" si="14"/>
        <v>9</v>
      </c>
      <c r="I45" s="398"/>
      <c r="J45" s="398">
        <v>33</v>
      </c>
      <c r="K45" s="389"/>
      <c r="L45" s="391" t="s">
        <v>2353</v>
      </c>
      <c r="M45" s="399"/>
      <c r="N45" s="391"/>
      <c r="O45" s="387" t="str">
        <f ca="1">IFERROR(IF(COUNTA($D$41:$D45)=1,"",OFFSET($C43,-COUNTA($D$41:$D45)+3,0)),"")</f>
        <v/>
      </c>
      <c r="P45" s="387">
        <f t="shared" ca="1" si="17"/>
        <v>2</v>
      </c>
      <c r="Q45" s="387"/>
      <c r="R45" s="387"/>
      <c r="S45" s="387"/>
      <c r="T45" s="387"/>
    </row>
    <row r="46" spans="1:35">
      <c r="A46" s="387" t="b">
        <v>1</v>
      </c>
      <c r="B46" s="397"/>
      <c r="C46" s="387" t="s">
        <v>2354</v>
      </c>
      <c r="D46" s="387" t="s">
        <v>2350</v>
      </c>
      <c r="E46" s="387">
        <f t="shared" ca="1" si="15"/>
        <v>3</v>
      </c>
      <c r="F46" s="392">
        <v>1</v>
      </c>
      <c r="G46" s="387" t="str">
        <f t="shared" si="16"/>
        <v>12026</v>
      </c>
      <c r="H46" s="387">
        <f t="shared" si="14"/>
        <v>9</v>
      </c>
      <c r="I46" s="398"/>
      <c r="J46" s="398">
        <v>28</v>
      </c>
      <c r="K46" s="389"/>
      <c r="L46" s="391" t="s">
        <v>2355</v>
      </c>
      <c r="M46" s="399"/>
      <c r="N46" s="391"/>
      <c r="O46" s="387" t="str">
        <f ca="1">IFERROR(IF(COUNTA($D$41:$D46)=1,"",OFFSET($C44,-COUNTA($D$41:$D46)+3,0)),"")</f>
        <v/>
      </c>
      <c r="P46" s="387">
        <f t="shared" ca="1" si="17"/>
        <v>3</v>
      </c>
      <c r="Q46" s="387"/>
      <c r="R46" s="387"/>
      <c r="S46" s="387"/>
      <c r="T46" s="387"/>
    </row>
    <row r="47" spans="1:35">
      <c r="A47" s="387" t="b">
        <v>0</v>
      </c>
      <c r="B47" s="397"/>
      <c r="C47" s="387" t="s">
        <v>2356</v>
      </c>
      <c r="D47" s="387" t="s">
        <v>2350</v>
      </c>
      <c r="E47" s="387">
        <f t="shared" ca="1" si="15"/>
        <v>4</v>
      </c>
      <c r="F47" s="392">
        <v>1</v>
      </c>
      <c r="G47" s="387" t="str">
        <f t="shared" si="16"/>
        <v>1</v>
      </c>
      <c r="H47" s="387">
        <f t="shared" si="14"/>
        <v>9</v>
      </c>
      <c r="I47" s="398"/>
      <c r="J47" s="398"/>
      <c r="K47" s="389"/>
      <c r="L47" s="391"/>
      <c r="M47" s="399"/>
      <c r="N47" s="391"/>
      <c r="O47" s="387" t="str">
        <f ca="1">IFERROR(IF(COUNTA($D$41:$D47)=1,"",OFFSET($C45,-COUNTA($D$41:$D47)+3,0)),"")</f>
        <v/>
      </c>
      <c r="P47" s="387">
        <f t="shared" ca="1" si="17"/>
        <v>4</v>
      </c>
      <c r="Q47" s="387"/>
      <c r="R47" s="387"/>
      <c r="S47" s="387"/>
      <c r="T47" s="387"/>
    </row>
    <row r="48" spans="1:35">
      <c r="A48" s="387" t="b">
        <v>0</v>
      </c>
      <c r="B48" s="397"/>
      <c r="C48" s="387" t="s">
        <v>2357</v>
      </c>
      <c r="D48" s="387" t="s">
        <v>2350</v>
      </c>
      <c r="E48" s="387">
        <f t="shared" ca="1" si="15"/>
        <v>5</v>
      </c>
      <c r="F48" s="392">
        <v>1</v>
      </c>
      <c r="G48" s="387" t="str">
        <f t="shared" si="16"/>
        <v>1</v>
      </c>
      <c r="H48" s="387">
        <f t="shared" si="14"/>
        <v>9</v>
      </c>
      <c r="I48" s="398"/>
      <c r="J48" s="398"/>
      <c r="K48" s="389"/>
      <c r="L48" s="391"/>
      <c r="M48" s="399"/>
      <c r="N48" s="391"/>
      <c r="O48" s="387" t="str">
        <f ca="1">IFERROR(IF(COUNTA($D$41:$D48)=1,"",OFFSET($C46,-COUNTA($D$41:$D48)+3,0)),"")</f>
        <v/>
      </c>
      <c r="P48" s="387">
        <f t="shared" ca="1" si="17"/>
        <v>5</v>
      </c>
      <c r="Q48" s="387"/>
      <c r="R48" s="387"/>
      <c r="S48" s="387"/>
      <c r="T48" s="387"/>
    </row>
    <row r="49" spans="1:20">
      <c r="A49" s="387" t="b">
        <v>0</v>
      </c>
      <c r="B49" s="397"/>
      <c r="C49" s="387" t="s">
        <v>2358</v>
      </c>
      <c r="D49" s="387" t="s">
        <v>2350</v>
      </c>
      <c r="E49" s="387">
        <f t="shared" ca="1" si="15"/>
        <v>6</v>
      </c>
      <c r="F49" s="392">
        <v>1</v>
      </c>
      <c r="G49" s="387" t="str">
        <f t="shared" si="16"/>
        <v>1</v>
      </c>
      <c r="H49" s="387">
        <f t="shared" si="14"/>
        <v>9</v>
      </c>
      <c r="I49" s="398"/>
      <c r="J49" s="398"/>
      <c r="K49" s="389"/>
      <c r="L49" s="391"/>
      <c r="M49" s="399"/>
      <c r="N49" s="391"/>
      <c r="O49" s="387" t="str">
        <f ca="1">IFERROR(IF(COUNTA($D$41:$D49)=1,"",OFFSET($C47,-COUNTA($D$41:$D49)+3,0)),"")</f>
        <v/>
      </c>
      <c r="P49" s="387">
        <f t="shared" ca="1" si="17"/>
        <v>6</v>
      </c>
      <c r="Q49" s="387"/>
      <c r="R49" s="387"/>
      <c r="S49" s="387"/>
      <c r="T49" s="387"/>
    </row>
    <row r="50" spans="1:20">
      <c r="A50" s="387" t="b">
        <v>1</v>
      </c>
      <c r="B50" s="397"/>
      <c r="C50" s="387" t="s">
        <v>2359</v>
      </c>
      <c r="D50" s="387" t="s">
        <v>2360</v>
      </c>
      <c r="E50" s="387">
        <f t="shared" ca="1" si="15"/>
        <v>1</v>
      </c>
      <c r="F50" s="392">
        <v>2</v>
      </c>
      <c r="G50" s="387" t="str">
        <f t="shared" si="16"/>
        <v>22024</v>
      </c>
      <c r="H50" s="387">
        <f t="shared" si="14"/>
        <v>11</v>
      </c>
      <c r="I50" s="398"/>
      <c r="J50" s="398">
        <v>315</v>
      </c>
      <c r="K50" s="389"/>
      <c r="L50" s="391" t="s">
        <v>2351</v>
      </c>
      <c r="M50" s="399"/>
      <c r="N50" s="391"/>
      <c r="O50" s="387" t="str">
        <f ca="1">IFERROR(IF(COUNTA($D$41:$D50)=1,"",OFFSET($C48,-COUNTA($D$41:$D50)+3,0)),"")</f>
        <v/>
      </c>
      <c r="P50" s="387">
        <f t="shared" ca="1" si="17"/>
        <v>7</v>
      </c>
      <c r="Q50" s="387"/>
      <c r="R50" s="387"/>
      <c r="S50" s="387"/>
      <c r="T50" s="387"/>
    </row>
    <row r="51" spans="1:20">
      <c r="A51" s="387" t="b">
        <v>1</v>
      </c>
      <c r="B51" s="397"/>
      <c r="C51" s="387" t="s">
        <v>2361</v>
      </c>
      <c r="D51" s="387" t="s">
        <v>2360</v>
      </c>
      <c r="E51" s="387">
        <f t="shared" ca="1" si="15"/>
        <v>2</v>
      </c>
      <c r="F51" s="392">
        <v>2</v>
      </c>
      <c r="G51" s="387" t="str">
        <f t="shared" si="16"/>
        <v>22025</v>
      </c>
      <c r="H51" s="387">
        <f t="shared" si="14"/>
        <v>11</v>
      </c>
      <c r="I51" s="398"/>
      <c r="J51" s="398">
        <v>313</v>
      </c>
      <c r="K51" s="389"/>
      <c r="L51" s="391" t="s">
        <v>2353</v>
      </c>
      <c r="M51" s="399"/>
      <c r="N51" s="391"/>
      <c r="O51" s="387" t="str">
        <f ca="1">IFERROR(IF(COUNTA($D$41:$D51)=1,"",OFFSET($C49,-COUNTA($D$41:$D51)+3,0)),"")</f>
        <v/>
      </c>
      <c r="P51" s="387">
        <f t="shared" ca="1" si="17"/>
        <v>8</v>
      </c>
      <c r="Q51" s="387"/>
      <c r="R51" s="387"/>
      <c r="S51" s="387"/>
      <c r="T51" s="387"/>
    </row>
    <row r="52" spans="1:20">
      <c r="A52" s="387" t="b">
        <v>1</v>
      </c>
      <c r="B52" s="397"/>
      <c r="C52" s="387" t="s">
        <v>2362</v>
      </c>
      <c r="D52" s="387" t="s">
        <v>2360</v>
      </c>
      <c r="E52" s="387">
        <f t="shared" ca="1" si="15"/>
        <v>3</v>
      </c>
      <c r="F52" s="392">
        <v>2</v>
      </c>
      <c r="G52" s="387" t="str">
        <f t="shared" si="16"/>
        <v>22026</v>
      </c>
      <c r="H52" s="387">
        <f t="shared" si="14"/>
        <v>11</v>
      </c>
      <c r="I52" s="398"/>
      <c r="J52" s="398">
        <v>311</v>
      </c>
      <c r="K52" s="389"/>
      <c r="L52" s="391" t="s">
        <v>2355</v>
      </c>
      <c r="M52" s="399"/>
      <c r="N52" s="391"/>
      <c r="O52" s="387" t="str">
        <f ca="1">IFERROR(IF(COUNTA($D$41:$D52)=1,"",OFFSET($C50,-COUNTA($D$41:$D52)+3,0)),"")</f>
        <v/>
      </c>
      <c r="P52" s="387">
        <f t="shared" ca="1" si="17"/>
        <v>9</v>
      </c>
      <c r="Q52" s="387"/>
      <c r="R52" s="387"/>
      <c r="S52" s="387"/>
      <c r="T52" s="387"/>
    </row>
    <row r="53" spans="1:20">
      <c r="A53" s="387" t="b">
        <v>0</v>
      </c>
      <c r="B53" s="397"/>
      <c r="C53" s="387" t="s">
        <v>2363</v>
      </c>
      <c r="D53" s="387" t="s">
        <v>2360</v>
      </c>
      <c r="E53" s="387">
        <f t="shared" si="15"/>
        <v>4</v>
      </c>
      <c r="F53" s="392">
        <v>2</v>
      </c>
      <c r="G53" s="387" t="str">
        <f t="shared" si="16"/>
        <v>2</v>
      </c>
      <c r="H53" s="387">
        <f t="shared" si="14"/>
        <v>11</v>
      </c>
      <c r="I53" s="398"/>
      <c r="J53" s="398"/>
      <c r="K53" s="389"/>
      <c r="L53" s="391"/>
      <c r="M53" s="399"/>
      <c r="N53" s="391"/>
      <c r="O53" s="387" t="str">
        <f ca="1">IFERROR(IF(COUNTA($D$41:$D53)=1,"",OFFSET($C51,-COUNTA($D$41:$D53)+3,0)),"")</f>
        <v/>
      </c>
      <c r="P53" s="387">
        <f t="shared" ca="1" si="17"/>
        <v>10</v>
      </c>
      <c r="Q53" s="387"/>
      <c r="R53" s="387"/>
      <c r="S53" s="387"/>
      <c r="T53" s="387"/>
    </row>
    <row r="54" spans="1:20">
      <c r="A54" s="387" t="b">
        <v>0</v>
      </c>
      <c r="B54" s="397"/>
      <c r="C54" s="387" t="s">
        <v>2364</v>
      </c>
      <c r="D54" s="387" t="s">
        <v>2360</v>
      </c>
      <c r="E54" s="387">
        <f t="shared" si="15"/>
        <v>5</v>
      </c>
      <c r="F54" s="392">
        <v>2</v>
      </c>
      <c r="G54" s="387" t="str">
        <f t="shared" si="16"/>
        <v>2</v>
      </c>
      <c r="H54" s="387">
        <f t="shared" si="14"/>
        <v>11</v>
      </c>
      <c r="I54" s="398"/>
      <c r="J54" s="398"/>
      <c r="K54" s="389"/>
      <c r="L54" s="391"/>
      <c r="M54" s="399"/>
      <c r="N54" s="391"/>
      <c r="O54" s="387" t="str">
        <f ca="1">IFERROR(IF(COUNTA($D$41:$D54)=1,"",OFFSET($C52,-COUNTA($D$41:$D54)+3,0)),"")</f>
        <v/>
      </c>
      <c r="P54" s="387">
        <f t="shared" ca="1" si="17"/>
        <v>11</v>
      </c>
      <c r="Q54" s="387"/>
      <c r="R54" s="387"/>
      <c r="S54" s="387"/>
      <c r="T54" s="387"/>
    </row>
    <row r="55" spans="1:20">
      <c r="A55" s="387" t="b">
        <v>0</v>
      </c>
      <c r="B55" s="397"/>
      <c r="C55" s="387" t="s">
        <v>2365</v>
      </c>
      <c r="D55" s="387" t="s">
        <v>2360</v>
      </c>
      <c r="E55" s="387">
        <f t="shared" si="15"/>
        <v>6</v>
      </c>
      <c r="F55" s="392">
        <v>2</v>
      </c>
      <c r="G55" s="387" t="str">
        <f t="shared" si="16"/>
        <v>2</v>
      </c>
      <c r="H55" s="387">
        <f t="shared" si="14"/>
        <v>11</v>
      </c>
      <c r="I55" s="398"/>
      <c r="J55" s="398"/>
      <c r="K55" s="389"/>
      <c r="L55" s="391"/>
      <c r="M55" s="399"/>
      <c r="N55" s="391"/>
      <c r="O55" s="387" t="str">
        <f ca="1">IFERROR(IF(COUNTA($D$41:$D55)=1,"",OFFSET($C53,-COUNTA($D$41:$D55)+3,0)),"")</f>
        <v/>
      </c>
      <c r="P55" s="387">
        <f t="shared" ca="1" si="17"/>
        <v>12</v>
      </c>
      <c r="Q55" s="387"/>
      <c r="R55" s="387"/>
      <c r="S55" s="387"/>
      <c r="T55" s="387"/>
    </row>
    <row r="56" spans="1:20">
      <c r="A56" s="387" t="b">
        <v>1</v>
      </c>
      <c r="B56" s="397"/>
      <c r="C56" s="387" t="s">
        <v>2366</v>
      </c>
      <c r="D56" s="387" t="s">
        <v>2367</v>
      </c>
      <c r="E56" s="387">
        <f t="shared" si="15"/>
        <v>1</v>
      </c>
      <c r="F56" s="392">
        <v>3</v>
      </c>
      <c r="G56" s="387" t="str">
        <f t="shared" si="16"/>
        <v>32024</v>
      </c>
      <c r="H56" s="387">
        <f t="shared" si="14"/>
        <v>13</v>
      </c>
      <c r="I56" s="398"/>
      <c r="J56" s="398">
        <v>1.6</v>
      </c>
      <c r="K56" s="389"/>
      <c r="L56" s="391" t="s">
        <v>2351</v>
      </c>
      <c r="M56" s="399"/>
      <c r="N56" s="391"/>
      <c r="O56" s="387" t="str">
        <f ca="1">IFERROR(IF(COUNTA($D$41:$D56)=1,"",OFFSET($C54,-COUNTA($D$41:$D56)+3,0)),"")</f>
        <v/>
      </c>
      <c r="P56" s="387">
        <f t="shared" ca="1" si="17"/>
        <v>13</v>
      </c>
      <c r="Q56" s="387"/>
      <c r="R56" s="387"/>
      <c r="S56" s="387"/>
      <c r="T56" s="387"/>
    </row>
    <row r="57" spans="1:20">
      <c r="A57" s="387" t="b">
        <v>1</v>
      </c>
      <c r="B57" s="397"/>
      <c r="C57" s="387" t="s">
        <v>2368</v>
      </c>
      <c r="D57" s="387" t="s">
        <v>2367</v>
      </c>
      <c r="E57" s="387">
        <f t="shared" si="15"/>
        <v>2</v>
      </c>
      <c r="F57" s="392">
        <v>3</v>
      </c>
      <c r="G57" s="387" t="str">
        <f t="shared" si="16"/>
        <v>32025</v>
      </c>
      <c r="H57" s="387">
        <f t="shared" si="14"/>
        <v>13</v>
      </c>
      <c r="I57" s="398"/>
      <c r="J57" s="398">
        <v>1.6</v>
      </c>
      <c r="K57" s="389"/>
      <c r="L57" s="391" t="s">
        <v>2353</v>
      </c>
      <c r="M57" s="399"/>
      <c r="N57" s="391"/>
      <c r="O57" s="387" t="str">
        <f ca="1">IFERROR(IF(COUNTA($D$41:$D57)=1,"",OFFSET($C55,-COUNTA($D$41:$D57)+3,0)),"")</f>
        <v/>
      </c>
      <c r="P57" s="387">
        <f t="shared" ca="1" si="17"/>
        <v>14</v>
      </c>
      <c r="Q57" s="387"/>
      <c r="R57" s="387"/>
      <c r="S57" s="387"/>
      <c r="T57" s="387"/>
    </row>
    <row r="58" spans="1:20">
      <c r="A58" s="387" t="b">
        <v>1</v>
      </c>
      <c r="B58" s="397"/>
      <c r="C58" s="387" t="s">
        <v>2369</v>
      </c>
      <c r="D58" s="387" t="s">
        <v>2367</v>
      </c>
      <c r="E58" s="387">
        <f t="shared" si="15"/>
        <v>3</v>
      </c>
      <c r="F58" s="392">
        <v>3</v>
      </c>
      <c r="G58" s="387" t="str">
        <f t="shared" si="16"/>
        <v>32026</v>
      </c>
      <c r="H58" s="387">
        <f t="shared" si="14"/>
        <v>13</v>
      </c>
      <c r="I58" s="398"/>
      <c r="J58" s="398">
        <v>1.6</v>
      </c>
      <c r="K58" s="389"/>
      <c r="L58" s="391" t="s">
        <v>2355</v>
      </c>
      <c r="M58" s="399"/>
      <c r="N58" s="391"/>
      <c r="O58" s="387" t="str">
        <f ca="1">IFERROR(IF(COUNTA($D$41:$D58)=1,"",OFFSET($C56,-COUNTA($D$41:$D58)+3,0)),"")</f>
        <v/>
      </c>
      <c r="P58" s="387">
        <f t="shared" ca="1" si="17"/>
        <v>15</v>
      </c>
      <c r="Q58" s="387"/>
      <c r="R58" s="387"/>
      <c r="S58" s="387"/>
      <c r="T58" s="387"/>
    </row>
    <row r="59" spans="1:20">
      <c r="A59" s="387" t="b">
        <v>0</v>
      </c>
      <c r="B59" s="397"/>
      <c r="C59" s="387" t="s">
        <v>2370</v>
      </c>
      <c r="D59" s="387" t="s">
        <v>2367</v>
      </c>
      <c r="E59" s="387">
        <f t="shared" si="15"/>
        <v>4</v>
      </c>
      <c r="F59" s="392">
        <v>3</v>
      </c>
      <c r="G59" s="387" t="str">
        <f t="shared" si="16"/>
        <v>3</v>
      </c>
      <c r="H59" s="387">
        <f t="shared" si="14"/>
        <v>13</v>
      </c>
      <c r="I59" s="398"/>
      <c r="J59" s="398"/>
      <c r="K59" s="389"/>
      <c r="L59" s="391"/>
      <c r="M59" s="399"/>
      <c r="N59" s="391"/>
      <c r="O59" s="387" t="str">
        <f ca="1">IFERROR(IF(COUNTA($D$41:$D59)=1,"",OFFSET($C57,-COUNTA($D$41:$D59)+3,0)),"")</f>
        <v/>
      </c>
      <c r="P59" s="387">
        <f t="shared" ca="1" si="17"/>
        <v>16</v>
      </c>
      <c r="Q59" s="387"/>
      <c r="R59" s="387"/>
      <c r="S59" s="387"/>
      <c r="T59" s="387"/>
    </row>
    <row r="60" spans="1:20">
      <c r="A60" s="387" t="b">
        <v>0</v>
      </c>
      <c r="B60" s="397"/>
      <c r="C60" s="387" t="s">
        <v>2371</v>
      </c>
      <c r="D60" s="387" t="s">
        <v>2367</v>
      </c>
      <c r="E60" s="387">
        <f t="shared" si="15"/>
        <v>5</v>
      </c>
      <c r="F60" s="392">
        <v>3</v>
      </c>
      <c r="G60" s="387" t="str">
        <f t="shared" si="16"/>
        <v>3</v>
      </c>
      <c r="H60" s="387">
        <f t="shared" si="14"/>
        <v>13</v>
      </c>
      <c r="I60" s="398"/>
      <c r="J60" s="398"/>
      <c r="K60" s="389"/>
      <c r="L60" s="391"/>
      <c r="M60" s="399"/>
      <c r="N60" s="391"/>
      <c r="O60" s="387" t="str">
        <f ca="1">IFERROR(IF(COUNTA($D$41:$D60)=1,"",OFFSET($C58,-COUNTA($D$41:$D60)+3,0)),"")</f>
        <v/>
      </c>
      <c r="P60" s="387">
        <f t="shared" ca="1" si="17"/>
        <v>17</v>
      </c>
      <c r="Q60" s="387"/>
      <c r="R60" s="387"/>
      <c r="S60" s="387"/>
      <c r="T60" s="387"/>
    </row>
    <row r="61" spans="1:20">
      <c r="A61" s="387" t="b">
        <v>0</v>
      </c>
      <c r="B61" s="397"/>
      <c r="C61" s="387" t="s">
        <v>2372</v>
      </c>
      <c r="D61" s="387" t="s">
        <v>2367</v>
      </c>
      <c r="E61" s="387">
        <f t="shared" si="15"/>
        <v>6</v>
      </c>
      <c r="F61" s="392">
        <v>3</v>
      </c>
      <c r="G61" s="387" t="str">
        <f t="shared" si="16"/>
        <v>3</v>
      </c>
      <c r="H61" s="387">
        <f t="shared" si="14"/>
        <v>13</v>
      </c>
      <c r="I61" s="398"/>
      <c r="J61" s="398"/>
      <c r="K61" s="389"/>
      <c r="L61" s="391"/>
      <c r="M61" s="399"/>
      <c r="N61" s="391"/>
      <c r="O61" s="387" t="str">
        <f ca="1">IFERROR(IF(COUNTA($D$41:$D61)=1,"",OFFSET($C59,-COUNTA($D$41:$D61)+3,0)),"")</f>
        <v/>
      </c>
      <c r="P61" s="387">
        <f t="shared" ca="1" si="17"/>
        <v>18</v>
      </c>
      <c r="Q61" s="387"/>
      <c r="R61" s="387"/>
      <c r="S61" s="387"/>
      <c r="T61" s="387"/>
    </row>
    <row r="62" spans="1:20">
      <c r="A62" s="387" t="b">
        <v>0</v>
      </c>
      <c r="B62" s="397"/>
      <c r="C62" s="387" t="s">
        <v>2373</v>
      </c>
      <c r="D62" s="387" t="s">
        <v>2374</v>
      </c>
      <c r="E62" s="387">
        <f t="shared" si="15"/>
        <v>1</v>
      </c>
      <c r="F62" s="392">
        <v>4</v>
      </c>
      <c r="G62" s="387" t="str">
        <f t="shared" si="16"/>
        <v>42024</v>
      </c>
      <c r="H62" s="387">
        <f t="shared" si="14"/>
        <v>15</v>
      </c>
      <c r="I62" s="398"/>
      <c r="J62" s="398"/>
      <c r="K62" s="389"/>
      <c r="L62" s="391" t="s">
        <v>2351</v>
      </c>
      <c r="M62" s="399"/>
      <c r="N62" s="391"/>
      <c r="O62" s="387" t="str">
        <f ca="1">IFERROR(IF(COUNTA($D$41:$D62)=1,"",OFFSET($C60,-COUNTA($D$41:$D62)+3,0)),"")</f>
        <v/>
      </c>
      <c r="P62" s="387">
        <f t="shared" ca="1" si="17"/>
        <v>19</v>
      </c>
      <c r="Q62" s="387"/>
      <c r="R62" s="387"/>
      <c r="S62" s="387"/>
      <c r="T62" s="387"/>
    </row>
    <row r="63" spans="1:20">
      <c r="A63" s="387" t="b">
        <v>1</v>
      </c>
      <c r="B63" s="397"/>
      <c r="C63" s="387" t="s">
        <v>2375</v>
      </c>
      <c r="D63" s="387" t="s">
        <v>2374</v>
      </c>
      <c r="E63" s="387">
        <f t="shared" si="15"/>
        <v>2</v>
      </c>
      <c r="F63" s="392">
        <v>4</v>
      </c>
      <c r="G63" s="387" t="str">
        <f t="shared" si="16"/>
        <v>42025</v>
      </c>
      <c r="H63" s="387">
        <f t="shared" si="14"/>
        <v>15</v>
      </c>
      <c r="I63" s="398"/>
      <c r="J63" s="398"/>
      <c r="K63" s="389"/>
      <c r="L63" s="391" t="s">
        <v>2353</v>
      </c>
      <c r="M63" s="399"/>
      <c r="N63" s="391" t="s">
        <v>665</v>
      </c>
      <c r="O63" s="387" t="str">
        <f ca="1">IFERROR(IF(COUNTA($D$41:$D63)=1,"",OFFSET($C61,-COUNTA($D$41:$D63)+3,0)),"")</f>
        <v/>
      </c>
      <c r="P63" s="387">
        <f t="shared" ca="1" si="17"/>
        <v>20</v>
      </c>
      <c r="Q63" s="387"/>
      <c r="R63" s="387"/>
      <c r="S63" s="387"/>
      <c r="T63" s="387"/>
    </row>
    <row r="64" spans="1:20">
      <c r="A64" s="387" t="b">
        <v>0</v>
      </c>
      <c r="B64" s="397"/>
      <c r="C64" s="387" t="s">
        <v>2376</v>
      </c>
      <c r="D64" s="387" t="s">
        <v>2374</v>
      </c>
      <c r="E64" s="387">
        <f t="shared" si="15"/>
        <v>3</v>
      </c>
      <c r="F64" s="392">
        <v>4</v>
      </c>
      <c r="G64" s="387" t="str">
        <f t="shared" si="16"/>
        <v>42026</v>
      </c>
      <c r="H64" s="387">
        <f t="shared" si="14"/>
        <v>15</v>
      </c>
      <c r="I64" s="398"/>
      <c r="J64" s="398"/>
      <c r="K64" s="389"/>
      <c r="L64" s="391" t="s">
        <v>2355</v>
      </c>
      <c r="M64" s="399"/>
      <c r="N64" s="391"/>
      <c r="O64" s="387" t="str">
        <f ca="1">IFERROR(IF(COUNTA($D$41:$D64)=1,"",OFFSET($C62,-COUNTA($D$41:$D64)+3,0)),"")</f>
        <v/>
      </c>
      <c r="P64" s="387">
        <f t="shared" ca="1" si="17"/>
        <v>21</v>
      </c>
      <c r="Q64" s="387"/>
      <c r="R64" s="387"/>
      <c r="S64" s="387"/>
      <c r="T64" s="387"/>
    </row>
    <row r="65" spans="1:20">
      <c r="A65" s="387" t="b">
        <v>0</v>
      </c>
      <c r="B65" s="397"/>
      <c r="C65" s="387" t="s">
        <v>2377</v>
      </c>
      <c r="D65" s="387" t="s">
        <v>2374</v>
      </c>
      <c r="E65" s="387">
        <f t="shared" si="15"/>
        <v>4</v>
      </c>
      <c r="F65" s="392">
        <v>4</v>
      </c>
      <c r="G65" s="387" t="str">
        <f t="shared" si="16"/>
        <v>4</v>
      </c>
      <c r="H65" s="387">
        <f t="shared" si="14"/>
        <v>15</v>
      </c>
      <c r="I65" s="398"/>
      <c r="J65" s="398"/>
      <c r="K65" s="389"/>
      <c r="L65" s="391"/>
      <c r="M65" s="399"/>
      <c r="N65" s="391"/>
      <c r="O65" s="387" t="str">
        <f ca="1">IFERROR(IF(COUNTA($D$41:$D65)=1,"",OFFSET($C63,-COUNTA($D$41:$D65)+3,0)),"")</f>
        <v/>
      </c>
      <c r="P65" s="387">
        <f t="shared" ca="1" si="17"/>
        <v>22</v>
      </c>
      <c r="Q65" s="387"/>
      <c r="R65" s="387"/>
      <c r="S65" s="387"/>
      <c r="T65" s="387"/>
    </row>
    <row r="66" spans="1:20">
      <c r="A66" s="387" t="b">
        <v>0</v>
      </c>
      <c r="B66" s="397"/>
      <c r="C66" s="387" t="s">
        <v>2378</v>
      </c>
      <c r="D66" s="387" t="s">
        <v>2374</v>
      </c>
      <c r="E66" s="387">
        <f t="shared" si="15"/>
        <v>5</v>
      </c>
      <c r="F66" s="392">
        <v>4</v>
      </c>
      <c r="G66" s="387" t="str">
        <f t="shared" si="16"/>
        <v>4</v>
      </c>
      <c r="H66" s="387">
        <f t="shared" si="14"/>
        <v>15</v>
      </c>
      <c r="I66" s="398"/>
      <c r="J66" s="398"/>
      <c r="K66" s="389"/>
      <c r="L66" s="391"/>
      <c r="M66" s="399"/>
      <c r="N66" s="391"/>
      <c r="O66" s="387" t="str">
        <f ca="1">IFERROR(IF(COUNTA($D$41:$D66)=1,"",OFFSET($C64,-COUNTA($D$41:$D66)+3,0)),"")</f>
        <v/>
      </c>
      <c r="P66" s="387">
        <f t="shared" ca="1" si="17"/>
        <v>23</v>
      </c>
      <c r="Q66" s="387"/>
      <c r="R66" s="387"/>
      <c r="S66" s="387"/>
      <c r="T66" s="387"/>
    </row>
    <row r="67" spans="1:20">
      <c r="A67" s="387" t="b">
        <v>0</v>
      </c>
      <c r="B67" s="397"/>
      <c r="C67" s="387" t="s">
        <v>2379</v>
      </c>
      <c r="D67" s="387" t="s">
        <v>2374</v>
      </c>
      <c r="E67" s="387">
        <f t="shared" si="15"/>
        <v>6</v>
      </c>
      <c r="F67" s="392">
        <v>4</v>
      </c>
      <c r="G67" s="387" t="str">
        <f t="shared" si="16"/>
        <v>4</v>
      </c>
      <c r="H67" s="387">
        <f t="shared" si="14"/>
        <v>15</v>
      </c>
      <c r="I67" s="398"/>
      <c r="J67" s="398"/>
      <c r="K67" s="389"/>
      <c r="L67" s="391"/>
      <c r="M67" s="399"/>
      <c r="N67" s="391"/>
      <c r="O67" s="387" t="str">
        <f ca="1">IFERROR(IF(COUNTA($D$41:$D67)=1,"",OFFSET($C65,-COUNTA($D$41:$D67)+3,0)),"")</f>
        <v/>
      </c>
      <c r="P67" s="387">
        <f t="shared" ca="1" si="17"/>
        <v>24</v>
      </c>
      <c r="Q67" s="387"/>
      <c r="R67" s="387"/>
      <c r="S67" s="387"/>
      <c r="T67" s="387"/>
    </row>
    <row r="68" spans="1:20">
      <c r="A68" s="387" t="b">
        <v>0</v>
      </c>
      <c r="B68" s="397"/>
      <c r="C68" s="387" t="s">
        <v>2380</v>
      </c>
      <c r="D68" s="387" t="s">
        <v>2381</v>
      </c>
      <c r="E68" s="387">
        <f t="shared" si="15"/>
        <v>1</v>
      </c>
      <c r="F68" s="392">
        <v>5</v>
      </c>
      <c r="G68" s="387" t="str">
        <f t="shared" si="16"/>
        <v>52024</v>
      </c>
      <c r="H68" s="387">
        <f t="shared" si="14"/>
        <v>17</v>
      </c>
      <c r="I68" s="398"/>
      <c r="J68" s="398"/>
      <c r="K68" s="389"/>
      <c r="L68" s="391" t="s">
        <v>2351</v>
      </c>
      <c r="M68" s="399"/>
      <c r="N68" s="391"/>
      <c r="O68" s="387" t="str">
        <f ca="1">IFERROR(IF(COUNTA($D$41:$D68)=1,"",OFFSET($C66,-COUNTA($D$41:$D68)+3,0)),"")</f>
        <v/>
      </c>
      <c r="P68" s="387">
        <f t="shared" ca="1" si="17"/>
        <v>25</v>
      </c>
      <c r="Q68" s="387"/>
      <c r="R68" s="387"/>
      <c r="S68" s="387"/>
      <c r="T68" s="387"/>
    </row>
    <row r="69" spans="1:20">
      <c r="A69" s="387" t="b">
        <v>1</v>
      </c>
      <c r="B69" s="397"/>
      <c r="C69" s="387" t="s">
        <v>2382</v>
      </c>
      <c r="D69" s="387" t="s">
        <v>2381</v>
      </c>
      <c r="E69" s="387">
        <f t="shared" si="15"/>
        <v>2</v>
      </c>
      <c r="F69" s="392">
        <v>5</v>
      </c>
      <c r="G69" s="387" t="str">
        <f t="shared" si="16"/>
        <v>52025</v>
      </c>
      <c r="H69" s="387">
        <f t="shared" si="14"/>
        <v>17</v>
      </c>
      <c r="I69" s="398"/>
      <c r="J69" s="398"/>
      <c r="K69" s="389"/>
      <c r="L69" s="391" t="s">
        <v>2353</v>
      </c>
      <c r="M69" s="399"/>
      <c r="N69" s="391" t="s">
        <v>665</v>
      </c>
      <c r="O69" s="387" t="str">
        <f ca="1">IFERROR(IF(COUNTA($D$41:$D69)=1,"",OFFSET($C67,-COUNTA($D$41:$D69)+3,0)),"")</f>
        <v/>
      </c>
      <c r="P69" s="387">
        <f t="shared" ca="1" si="17"/>
        <v>26</v>
      </c>
      <c r="Q69" s="387"/>
      <c r="R69" s="387"/>
      <c r="S69" s="387"/>
      <c r="T69" s="387"/>
    </row>
    <row r="70" spans="1:20">
      <c r="A70" s="387" t="b">
        <v>0</v>
      </c>
      <c r="B70" s="397"/>
      <c r="C70" s="387" t="s">
        <v>2383</v>
      </c>
      <c r="D70" s="387" t="s">
        <v>2381</v>
      </c>
      <c r="E70" s="387">
        <f t="shared" si="15"/>
        <v>3</v>
      </c>
      <c r="F70" s="392">
        <v>5</v>
      </c>
      <c r="G70" s="387" t="str">
        <f t="shared" si="16"/>
        <v>52026</v>
      </c>
      <c r="H70" s="387">
        <f t="shared" si="14"/>
        <v>17</v>
      </c>
      <c r="I70" s="398"/>
      <c r="J70" s="398"/>
      <c r="K70" s="389"/>
      <c r="L70" s="391" t="s">
        <v>2355</v>
      </c>
      <c r="M70" s="399"/>
      <c r="N70" s="391"/>
      <c r="O70" s="387" t="str">
        <f ca="1">IFERROR(IF(COUNTA($D$41:$D70)=1,"",OFFSET($C68,-COUNTA($D$41:$D70)+3,0)),"")</f>
        <v/>
      </c>
      <c r="P70" s="387">
        <f t="shared" ca="1" si="17"/>
        <v>27</v>
      </c>
      <c r="Q70" s="387"/>
      <c r="R70" s="387"/>
      <c r="S70" s="387"/>
      <c r="T70" s="387"/>
    </row>
    <row r="71" spans="1:20">
      <c r="A71" s="387" t="b">
        <v>0</v>
      </c>
      <c r="B71" s="397"/>
      <c r="C71" s="387" t="s">
        <v>2384</v>
      </c>
      <c r="D71" s="387" t="s">
        <v>2381</v>
      </c>
      <c r="E71" s="387">
        <f t="shared" si="15"/>
        <v>4</v>
      </c>
      <c r="F71" s="392">
        <v>5</v>
      </c>
      <c r="G71" s="387" t="str">
        <f t="shared" si="16"/>
        <v>5</v>
      </c>
      <c r="H71" s="387">
        <f t="shared" si="14"/>
        <v>17</v>
      </c>
      <c r="I71" s="398"/>
      <c r="J71" s="398"/>
      <c r="K71" s="389"/>
      <c r="L71" s="391"/>
      <c r="M71" s="399"/>
      <c r="N71" s="391"/>
      <c r="O71" s="387" t="str">
        <f ca="1">IFERROR(IF(COUNTA($D$41:$D71)=1,"",OFFSET($C69,-COUNTA($D$41:$D71)+3,0)),"")</f>
        <v/>
      </c>
      <c r="P71" s="387">
        <f t="shared" ca="1" si="17"/>
        <v>28</v>
      </c>
      <c r="Q71" s="387"/>
      <c r="R71" s="387"/>
      <c r="S71" s="387"/>
      <c r="T71" s="387"/>
    </row>
    <row r="72" spans="1:20">
      <c r="A72" s="387" t="b">
        <v>0</v>
      </c>
      <c r="B72" s="397"/>
      <c r="C72" s="387" t="s">
        <v>2385</v>
      </c>
      <c r="D72" s="387" t="s">
        <v>2381</v>
      </c>
      <c r="E72" s="387">
        <f t="shared" si="15"/>
        <v>5</v>
      </c>
      <c r="F72" s="392">
        <v>5</v>
      </c>
      <c r="G72" s="387" t="str">
        <f t="shared" si="16"/>
        <v>5</v>
      </c>
      <c r="H72" s="387">
        <f t="shared" si="14"/>
        <v>17</v>
      </c>
      <c r="I72" s="398"/>
      <c r="J72" s="398"/>
      <c r="K72" s="389"/>
      <c r="L72" s="391"/>
      <c r="M72" s="399"/>
      <c r="N72" s="391"/>
      <c r="O72" s="387" t="str">
        <f ca="1">IFERROR(IF(COUNTA($D$41:$D72)=1,"",OFFSET($C70,-COUNTA($D$41:$D72)+3,0)),"")</f>
        <v/>
      </c>
      <c r="P72" s="387">
        <f t="shared" ca="1" si="17"/>
        <v>29</v>
      </c>
      <c r="Q72" s="387"/>
      <c r="R72" s="387"/>
      <c r="S72" s="387"/>
      <c r="T72" s="387"/>
    </row>
    <row r="73" spans="1:20">
      <c r="A73" s="387" t="b">
        <v>0</v>
      </c>
      <c r="B73" s="397"/>
      <c r="C73" s="387" t="s">
        <v>2386</v>
      </c>
      <c r="D73" s="387" t="s">
        <v>2381</v>
      </c>
      <c r="E73" s="387">
        <f t="shared" si="15"/>
        <v>6</v>
      </c>
      <c r="F73" s="392">
        <v>5</v>
      </c>
      <c r="G73" s="387" t="str">
        <f t="shared" si="16"/>
        <v>5</v>
      </c>
      <c r="H73" s="387">
        <f t="shared" si="14"/>
        <v>17</v>
      </c>
      <c r="I73" s="398"/>
      <c r="J73" s="398"/>
      <c r="K73" s="389"/>
      <c r="L73" s="391"/>
      <c r="M73" s="399"/>
      <c r="N73" s="391"/>
      <c r="O73" s="387" t="str">
        <f ca="1">IFERROR(IF(COUNTA($D$41:$D73)=1,"",OFFSET($C71,-COUNTA($D$41:$D73)+3,0)),"")</f>
        <v/>
      </c>
      <c r="P73" s="387">
        <f t="shared" ca="1" si="17"/>
        <v>30</v>
      </c>
      <c r="Q73" s="387"/>
      <c r="R73" s="387"/>
      <c r="S73" s="387"/>
      <c r="T73" s="387"/>
    </row>
    <row r="74" spans="1:20">
      <c r="A74" s="387" t="b">
        <v>0</v>
      </c>
      <c r="B74" s="397"/>
      <c r="C74" s="387" t="s">
        <v>2387</v>
      </c>
      <c r="D74" s="387" t="s">
        <v>2388</v>
      </c>
      <c r="E74" s="387">
        <f t="shared" si="15"/>
        <v>1</v>
      </c>
      <c r="F74" s="392">
        <v>6</v>
      </c>
      <c r="G74" s="387" t="str">
        <f t="shared" si="16"/>
        <v>62024</v>
      </c>
      <c r="H74" s="387">
        <f t="shared" si="14"/>
        <v>19</v>
      </c>
      <c r="I74" s="398"/>
      <c r="J74" s="398"/>
      <c r="K74" s="389"/>
      <c r="L74" s="391" t="s">
        <v>2351</v>
      </c>
      <c r="M74" s="399"/>
      <c r="N74" s="391"/>
      <c r="O74" s="387" t="str">
        <f ca="1">IFERROR(IF(COUNTA($D$41:$D74)=1,"",OFFSET($C72,-COUNTA($D$41:$D74)+3,0)),"")</f>
        <v/>
      </c>
      <c r="P74" s="387">
        <f t="shared" ca="1" si="17"/>
        <v>31</v>
      </c>
      <c r="Q74" s="387"/>
      <c r="R74" s="387"/>
      <c r="S74" s="387"/>
      <c r="T74" s="387"/>
    </row>
    <row r="75" spans="1:20">
      <c r="A75" s="387" t="b">
        <v>1</v>
      </c>
      <c r="B75" s="397"/>
      <c r="C75" s="387" t="s">
        <v>2389</v>
      </c>
      <c r="D75" s="387" t="s">
        <v>2388</v>
      </c>
      <c r="E75" s="387">
        <f t="shared" si="15"/>
        <v>2</v>
      </c>
      <c r="F75" s="392">
        <v>6</v>
      </c>
      <c r="G75" s="387" t="str">
        <f t="shared" si="16"/>
        <v>62025</v>
      </c>
      <c r="H75" s="387">
        <f t="shared" ref="H75:H106" si="18">VLOOKUP(F75,$AH$1:$AI$225,2,FALSE)</f>
        <v>19</v>
      </c>
      <c r="I75" s="398"/>
      <c r="J75" s="398"/>
      <c r="K75" s="389"/>
      <c r="L75" s="391" t="s">
        <v>2353</v>
      </c>
      <c r="M75" s="399"/>
      <c r="N75" s="391" t="s">
        <v>665</v>
      </c>
      <c r="O75" s="387" t="str">
        <f ca="1">IFERROR(IF(COUNTA($D$41:$D75)=1,"",OFFSET($C73,-COUNTA($D$41:$D75)+3,0)),"")</f>
        <v/>
      </c>
      <c r="P75" s="387">
        <f t="shared" ca="1" si="17"/>
        <v>32</v>
      </c>
      <c r="Q75" s="387"/>
      <c r="R75" s="387"/>
      <c r="S75" s="387"/>
      <c r="T75" s="387"/>
    </row>
    <row r="76" spans="1:20">
      <c r="A76" s="387" t="b">
        <v>0</v>
      </c>
      <c r="B76" s="397"/>
      <c r="C76" s="387" t="s">
        <v>2390</v>
      </c>
      <c r="D76" s="387" t="s">
        <v>2388</v>
      </c>
      <c r="E76" s="387">
        <f t="shared" si="15"/>
        <v>3</v>
      </c>
      <c r="F76" s="392">
        <v>6</v>
      </c>
      <c r="G76" s="387" t="str">
        <f t="shared" si="16"/>
        <v>62026</v>
      </c>
      <c r="H76" s="387">
        <f t="shared" si="18"/>
        <v>19</v>
      </c>
      <c r="I76" s="398"/>
      <c r="J76" s="398"/>
      <c r="K76" s="389"/>
      <c r="L76" s="391" t="s">
        <v>2355</v>
      </c>
      <c r="M76" s="399"/>
      <c r="N76" s="391"/>
      <c r="O76" s="387" t="str">
        <f ca="1">IFERROR(IF(COUNTA($D$41:$D76)=1,"",OFFSET($C74,-COUNTA($D$41:$D76)+3,0)),"")</f>
        <v/>
      </c>
      <c r="P76" s="387">
        <f t="shared" ca="1" si="17"/>
        <v>33</v>
      </c>
      <c r="Q76" s="387"/>
      <c r="R76" s="387"/>
      <c r="S76" s="387"/>
      <c r="T76" s="387"/>
    </row>
    <row r="77" spans="1:20">
      <c r="A77" s="387" t="b">
        <v>0</v>
      </c>
      <c r="B77" s="397"/>
      <c r="C77" s="387" t="s">
        <v>2391</v>
      </c>
      <c r="D77" s="387" t="s">
        <v>2388</v>
      </c>
      <c r="E77" s="387">
        <f t="shared" si="15"/>
        <v>4</v>
      </c>
      <c r="F77" s="392">
        <v>6</v>
      </c>
      <c r="G77" s="387" t="str">
        <f t="shared" si="16"/>
        <v>6</v>
      </c>
      <c r="H77" s="387">
        <f t="shared" si="18"/>
        <v>19</v>
      </c>
      <c r="I77" s="398"/>
      <c r="J77" s="398"/>
      <c r="K77" s="389"/>
      <c r="L77" s="391"/>
      <c r="M77" s="399"/>
      <c r="N77" s="391"/>
      <c r="O77" s="387" t="str">
        <f ca="1">IFERROR(IF(COUNTA($D$41:$D77)=1,"",OFFSET($C75,-COUNTA($D$41:$D77)+3,0)),"")</f>
        <v/>
      </c>
      <c r="P77" s="387">
        <f t="shared" ca="1" si="17"/>
        <v>34</v>
      </c>
      <c r="Q77" s="387"/>
      <c r="R77" s="387"/>
      <c r="S77" s="387"/>
      <c r="T77" s="387"/>
    </row>
    <row r="78" spans="1:20">
      <c r="A78" s="387" t="b">
        <v>0</v>
      </c>
      <c r="B78" s="397"/>
      <c r="C78" s="387" t="s">
        <v>2392</v>
      </c>
      <c r="D78" s="387" t="s">
        <v>2388</v>
      </c>
      <c r="E78" s="387">
        <f t="shared" si="15"/>
        <v>5</v>
      </c>
      <c r="F78" s="392">
        <v>6</v>
      </c>
      <c r="G78" s="387" t="str">
        <f t="shared" si="16"/>
        <v>6</v>
      </c>
      <c r="H78" s="387">
        <f t="shared" si="18"/>
        <v>19</v>
      </c>
      <c r="I78" s="398"/>
      <c r="J78" s="398"/>
      <c r="K78" s="389"/>
      <c r="L78" s="391"/>
      <c r="M78" s="399"/>
      <c r="N78" s="391"/>
      <c r="O78" s="387" t="str">
        <f ca="1">IFERROR(IF(COUNTA($D$41:$D78)=1,"",OFFSET($C76,-COUNTA($D$41:$D78)+3,0)),"")</f>
        <v/>
      </c>
      <c r="P78" s="387">
        <f t="shared" ca="1" si="17"/>
        <v>35</v>
      </c>
      <c r="Q78" s="387"/>
      <c r="R78" s="387"/>
      <c r="S78" s="387"/>
      <c r="T78" s="387"/>
    </row>
    <row r="79" spans="1:20">
      <c r="A79" s="387" t="b">
        <v>0</v>
      </c>
      <c r="B79" s="397"/>
      <c r="C79" s="387" t="s">
        <v>2393</v>
      </c>
      <c r="D79" s="387" t="s">
        <v>2388</v>
      </c>
      <c r="E79" s="387">
        <f t="shared" si="15"/>
        <v>6</v>
      </c>
      <c r="F79" s="392">
        <v>6</v>
      </c>
      <c r="G79" s="387" t="str">
        <f t="shared" si="16"/>
        <v>6</v>
      </c>
      <c r="H79" s="387">
        <f t="shared" si="18"/>
        <v>19</v>
      </c>
      <c r="I79" s="398"/>
      <c r="J79" s="398"/>
      <c r="K79" s="389"/>
      <c r="L79" s="391"/>
      <c r="M79" s="399"/>
      <c r="N79" s="391"/>
      <c r="O79" s="387" t="str">
        <f ca="1">IFERROR(IF(COUNTA($D$41:$D79)=1,"",OFFSET($C77,-COUNTA($D$41:$D79)+3,0)),"")</f>
        <v/>
      </c>
      <c r="P79" s="387">
        <f t="shared" ca="1" si="17"/>
        <v>36</v>
      </c>
      <c r="Q79" s="387"/>
      <c r="R79" s="387"/>
      <c r="S79" s="387"/>
      <c r="T79" s="387"/>
    </row>
    <row r="80" spans="1:20">
      <c r="A80" s="387" t="b">
        <v>0</v>
      </c>
      <c r="B80" s="397"/>
      <c r="C80" s="387" t="s">
        <v>2394</v>
      </c>
      <c r="D80" s="387" t="s">
        <v>2395</v>
      </c>
      <c r="E80" s="387">
        <f t="shared" si="15"/>
        <v>1</v>
      </c>
      <c r="F80" s="392">
        <v>7</v>
      </c>
      <c r="G80" s="387" t="str">
        <f t="shared" si="16"/>
        <v>72024</v>
      </c>
      <c r="H80" s="387">
        <f t="shared" si="18"/>
        <v>21</v>
      </c>
      <c r="I80" s="398"/>
      <c r="J80" s="398"/>
      <c r="K80" s="389"/>
      <c r="L80" s="391" t="s">
        <v>2351</v>
      </c>
      <c r="M80" s="399"/>
      <c r="N80" s="391"/>
      <c r="O80" s="387" t="str">
        <f ca="1">IFERROR(IF(COUNTA($D$41:$D80)=1,"",OFFSET($C78,-COUNTA($D$41:$D80)+3,0)),"")</f>
        <v/>
      </c>
      <c r="P80" s="387">
        <f t="shared" ca="1" si="17"/>
        <v>37</v>
      </c>
      <c r="Q80" s="387"/>
      <c r="R80" s="387"/>
      <c r="S80" s="387"/>
      <c r="T80" s="387"/>
    </row>
    <row r="81" spans="1:20">
      <c r="A81" s="387" t="b">
        <v>1</v>
      </c>
      <c r="B81" s="397"/>
      <c r="C81" s="387" t="s">
        <v>2396</v>
      </c>
      <c r="D81" s="387" t="s">
        <v>2395</v>
      </c>
      <c r="E81" s="387">
        <f t="shared" si="15"/>
        <v>2</v>
      </c>
      <c r="F81" s="392">
        <v>7</v>
      </c>
      <c r="G81" s="387" t="str">
        <f t="shared" si="16"/>
        <v>72025</v>
      </c>
      <c r="H81" s="387">
        <f t="shared" si="18"/>
        <v>21</v>
      </c>
      <c r="I81" s="398"/>
      <c r="J81" s="398"/>
      <c r="K81" s="389"/>
      <c r="L81" s="391" t="s">
        <v>2353</v>
      </c>
      <c r="M81" s="399"/>
      <c r="N81" s="391" t="s">
        <v>665</v>
      </c>
      <c r="O81" s="387" t="str">
        <f ca="1">IFERROR(IF(COUNTA($D$41:$D81)=1,"",OFFSET($C79,-COUNTA($D$41:$D81)+3,0)),"")</f>
        <v/>
      </c>
      <c r="P81" s="387">
        <f t="shared" ca="1" si="17"/>
        <v>38</v>
      </c>
      <c r="Q81" s="387"/>
      <c r="R81" s="387"/>
      <c r="S81" s="387"/>
      <c r="T81" s="387"/>
    </row>
    <row r="82" spans="1:20">
      <c r="A82" s="387" t="b">
        <v>0</v>
      </c>
      <c r="B82" s="397"/>
      <c r="C82" s="387" t="s">
        <v>2397</v>
      </c>
      <c r="D82" s="387" t="s">
        <v>2395</v>
      </c>
      <c r="E82" s="387">
        <f t="shared" si="15"/>
        <v>3</v>
      </c>
      <c r="F82" s="392">
        <v>7</v>
      </c>
      <c r="G82" s="387" t="str">
        <f t="shared" si="16"/>
        <v>72026</v>
      </c>
      <c r="H82" s="387">
        <f t="shared" si="18"/>
        <v>21</v>
      </c>
      <c r="I82" s="398"/>
      <c r="J82" s="398"/>
      <c r="K82" s="389"/>
      <c r="L82" s="391" t="s">
        <v>2355</v>
      </c>
      <c r="M82" s="399"/>
      <c r="N82" s="391"/>
      <c r="O82" s="387" t="str">
        <f ca="1">IFERROR(IF(COUNTA($D$41:$D82)=1,"",OFFSET($C80,-COUNTA($D$41:$D82)+3,0)),"")</f>
        <v/>
      </c>
      <c r="P82" s="387">
        <f t="shared" ca="1" si="17"/>
        <v>39</v>
      </c>
      <c r="Q82" s="387"/>
      <c r="R82" s="387"/>
      <c r="S82" s="387"/>
      <c r="T82" s="387"/>
    </row>
    <row r="83" spans="1:20">
      <c r="A83" s="387" t="b">
        <v>0</v>
      </c>
      <c r="B83" s="397"/>
      <c r="C83" s="387" t="s">
        <v>2398</v>
      </c>
      <c r="D83" s="387" t="s">
        <v>2395</v>
      </c>
      <c r="E83" s="387">
        <f t="shared" si="15"/>
        <v>4</v>
      </c>
      <c r="F83" s="392">
        <v>7</v>
      </c>
      <c r="G83" s="387" t="str">
        <f t="shared" si="16"/>
        <v>7</v>
      </c>
      <c r="H83" s="387">
        <f t="shared" si="18"/>
        <v>21</v>
      </c>
      <c r="I83" s="398"/>
      <c r="J83" s="398"/>
      <c r="K83" s="389"/>
      <c r="L83" s="391"/>
      <c r="M83" s="399"/>
      <c r="N83" s="391"/>
      <c r="O83" s="387" t="str">
        <f ca="1">IFERROR(IF(COUNTA($D$41:$D83)=1,"",OFFSET($C81,-COUNTA($D$41:$D83)+3,0)),"")</f>
        <v/>
      </c>
      <c r="P83" s="387">
        <f t="shared" ca="1" si="17"/>
        <v>40</v>
      </c>
      <c r="Q83" s="387"/>
      <c r="R83" s="387"/>
      <c r="S83" s="387"/>
      <c r="T83" s="387"/>
    </row>
    <row r="84" spans="1:20">
      <c r="A84" s="387" t="b">
        <v>0</v>
      </c>
      <c r="B84" s="397"/>
      <c r="C84" s="387" t="s">
        <v>2399</v>
      </c>
      <c r="D84" s="387" t="s">
        <v>2395</v>
      </c>
      <c r="E84" s="387">
        <f t="shared" si="15"/>
        <v>5</v>
      </c>
      <c r="F84" s="392">
        <v>7</v>
      </c>
      <c r="G84" s="387" t="str">
        <f t="shared" si="16"/>
        <v>7</v>
      </c>
      <c r="H84" s="387">
        <f t="shared" si="18"/>
        <v>21</v>
      </c>
      <c r="I84" s="398"/>
      <c r="J84" s="398"/>
      <c r="K84" s="389"/>
      <c r="L84" s="391"/>
      <c r="M84" s="399"/>
      <c r="N84" s="391"/>
      <c r="O84" s="387" t="str">
        <f ca="1">IFERROR(IF(COUNTA($D$41:$D84)=1,"",OFFSET($C82,-COUNTA($D$41:$D84)+3,0)),"")</f>
        <v/>
      </c>
      <c r="P84" s="387">
        <f t="shared" ca="1" si="17"/>
        <v>41</v>
      </c>
      <c r="Q84" s="387"/>
      <c r="R84" s="387"/>
      <c r="S84" s="387"/>
      <c r="T84" s="387"/>
    </row>
    <row r="85" spans="1:20">
      <c r="A85" s="387" t="b">
        <v>0</v>
      </c>
      <c r="B85" s="397"/>
      <c r="C85" s="387" t="s">
        <v>2400</v>
      </c>
      <c r="D85" s="387" t="s">
        <v>2395</v>
      </c>
      <c r="E85" s="387">
        <f t="shared" si="15"/>
        <v>6</v>
      </c>
      <c r="F85" s="392">
        <v>7</v>
      </c>
      <c r="G85" s="387" t="str">
        <f t="shared" si="16"/>
        <v>7</v>
      </c>
      <c r="H85" s="387">
        <f t="shared" si="18"/>
        <v>21</v>
      </c>
      <c r="I85" s="398"/>
      <c r="J85" s="398"/>
      <c r="K85" s="389"/>
      <c r="L85" s="391"/>
      <c r="M85" s="399"/>
      <c r="N85" s="391"/>
      <c r="O85" s="387" t="str">
        <f ca="1">IFERROR(IF(COUNTA($D$41:$D85)=1,"",OFFSET($C83,-COUNTA($D$41:$D85)+3,0)),"")</f>
        <v/>
      </c>
      <c r="P85" s="387">
        <f t="shared" ca="1" si="17"/>
        <v>42</v>
      </c>
      <c r="Q85" s="387"/>
      <c r="R85" s="387"/>
      <c r="S85" s="387"/>
      <c r="T85" s="387"/>
    </row>
    <row r="86" spans="1:20">
      <c r="A86" s="387" t="b">
        <v>0</v>
      </c>
      <c r="B86" s="397"/>
      <c r="C86" s="387" t="s">
        <v>2401</v>
      </c>
      <c r="D86" s="387" t="s">
        <v>2402</v>
      </c>
      <c r="E86" s="387">
        <f t="shared" si="15"/>
        <v>1</v>
      </c>
      <c r="F86" s="392">
        <v>8</v>
      </c>
      <c r="G86" s="387" t="str">
        <f t="shared" si="16"/>
        <v>82024</v>
      </c>
      <c r="H86" s="387">
        <f t="shared" si="18"/>
        <v>23</v>
      </c>
      <c r="I86" s="398"/>
      <c r="J86" s="398"/>
      <c r="K86" s="389"/>
      <c r="L86" s="391" t="s">
        <v>2351</v>
      </c>
      <c r="M86" s="399"/>
      <c r="N86" s="391"/>
      <c r="O86" s="387" t="str">
        <f ca="1">IFERROR(IF(COUNTA($D$41:$D86)=1,"",OFFSET($C84,-COUNTA($D$41:$D86)+3,0)),"")</f>
        <v/>
      </c>
      <c r="P86" s="387">
        <f t="shared" ca="1" si="17"/>
        <v>43</v>
      </c>
      <c r="Q86" s="387"/>
      <c r="R86" s="387"/>
      <c r="S86" s="387"/>
      <c r="T86" s="387"/>
    </row>
    <row r="87" spans="1:20">
      <c r="A87" s="387" t="b">
        <v>1</v>
      </c>
      <c r="B87" s="397"/>
      <c r="C87" s="387" t="s">
        <v>2403</v>
      </c>
      <c r="D87" s="387" t="s">
        <v>2402</v>
      </c>
      <c r="E87" s="387">
        <f t="shared" si="15"/>
        <v>2</v>
      </c>
      <c r="F87" s="392">
        <v>8</v>
      </c>
      <c r="G87" s="387" t="str">
        <f t="shared" si="16"/>
        <v>82025</v>
      </c>
      <c r="H87" s="387">
        <f t="shared" si="18"/>
        <v>23</v>
      </c>
      <c r="I87" s="398"/>
      <c r="J87" s="398"/>
      <c r="K87" s="389"/>
      <c r="L87" s="391" t="s">
        <v>2353</v>
      </c>
      <c r="M87" s="399"/>
      <c r="N87" s="391" t="s">
        <v>665</v>
      </c>
      <c r="O87" s="387" t="str">
        <f ca="1">IFERROR(IF(COUNTA($D$41:$D87)=1,"",OFFSET($C85,-COUNTA($D$41:$D87)+3,0)),"")</f>
        <v/>
      </c>
      <c r="P87" s="387">
        <f t="shared" ca="1" si="17"/>
        <v>44</v>
      </c>
      <c r="Q87" s="387"/>
      <c r="R87" s="387"/>
      <c r="S87" s="387"/>
      <c r="T87" s="387"/>
    </row>
    <row r="88" spans="1:20">
      <c r="A88" s="387" t="b">
        <v>0</v>
      </c>
      <c r="B88" s="397"/>
      <c r="C88" s="387" t="s">
        <v>2404</v>
      </c>
      <c r="D88" s="387" t="s">
        <v>2402</v>
      </c>
      <c r="E88" s="387">
        <f t="shared" si="15"/>
        <v>3</v>
      </c>
      <c r="F88" s="392">
        <v>8</v>
      </c>
      <c r="G88" s="387" t="str">
        <f t="shared" si="16"/>
        <v>82026</v>
      </c>
      <c r="H88" s="387">
        <f t="shared" si="18"/>
        <v>23</v>
      </c>
      <c r="I88" s="398"/>
      <c r="J88" s="398"/>
      <c r="K88" s="389"/>
      <c r="L88" s="391" t="s">
        <v>2355</v>
      </c>
      <c r="M88" s="399"/>
      <c r="N88" s="391"/>
      <c r="O88" s="387" t="str">
        <f ca="1">IFERROR(IF(COUNTA($D$41:$D88)=1,"",OFFSET($C86,-COUNTA($D$41:$D88)+3,0)),"")</f>
        <v/>
      </c>
      <c r="P88" s="387">
        <f t="shared" ca="1" si="17"/>
        <v>45</v>
      </c>
      <c r="Q88" s="387"/>
      <c r="R88" s="387"/>
      <c r="S88" s="387"/>
      <c r="T88" s="387"/>
    </row>
    <row r="89" spans="1:20">
      <c r="A89" s="387" t="b">
        <v>0</v>
      </c>
      <c r="B89" s="397"/>
      <c r="C89" s="387" t="s">
        <v>2405</v>
      </c>
      <c r="D89" s="387" t="s">
        <v>2402</v>
      </c>
      <c r="E89" s="387">
        <f t="shared" si="15"/>
        <v>4</v>
      </c>
      <c r="F89" s="392">
        <v>8</v>
      </c>
      <c r="G89" s="387" t="str">
        <f t="shared" si="16"/>
        <v>8</v>
      </c>
      <c r="H89" s="387">
        <f t="shared" si="18"/>
        <v>23</v>
      </c>
      <c r="I89" s="398"/>
      <c r="J89" s="398"/>
      <c r="K89" s="389"/>
      <c r="L89" s="391"/>
      <c r="M89" s="399"/>
      <c r="N89" s="391"/>
      <c r="O89" s="387" t="str">
        <f ca="1">IFERROR(IF(COUNTA($D$41:$D89)=1,"",OFFSET($C87,-COUNTA($D$41:$D89)+3,0)),"")</f>
        <v/>
      </c>
      <c r="P89" s="387">
        <f t="shared" ca="1" si="17"/>
        <v>46</v>
      </c>
      <c r="Q89" s="387"/>
      <c r="R89" s="387"/>
      <c r="S89" s="387"/>
      <c r="T89" s="387"/>
    </row>
    <row r="90" spans="1:20">
      <c r="A90" s="387" t="b">
        <v>0</v>
      </c>
      <c r="B90" s="397"/>
      <c r="C90" s="387" t="s">
        <v>2406</v>
      </c>
      <c r="D90" s="387" t="s">
        <v>2402</v>
      </c>
      <c r="E90" s="387">
        <f t="shared" si="15"/>
        <v>5</v>
      </c>
      <c r="F90" s="392">
        <v>8</v>
      </c>
      <c r="G90" s="387" t="str">
        <f t="shared" si="16"/>
        <v>8</v>
      </c>
      <c r="H90" s="387">
        <f t="shared" si="18"/>
        <v>23</v>
      </c>
      <c r="I90" s="398"/>
      <c r="J90" s="398"/>
      <c r="K90" s="389"/>
      <c r="L90" s="391"/>
      <c r="M90" s="399"/>
      <c r="N90" s="391"/>
      <c r="O90" s="387" t="str">
        <f ca="1">IFERROR(IF(COUNTA($D$41:$D90)=1,"",OFFSET($C88,-COUNTA($D$41:$D90)+3,0)),"")</f>
        <v/>
      </c>
      <c r="P90" s="387">
        <f t="shared" ca="1" si="17"/>
        <v>47</v>
      </c>
      <c r="Q90" s="387"/>
      <c r="R90" s="387"/>
      <c r="S90" s="387"/>
      <c r="T90" s="387"/>
    </row>
    <row r="91" spans="1:20">
      <c r="A91" s="387" t="b">
        <v>0</v>
      </c>
      <c r="B91" s="397"/>
      <c r="C91" s="387" t="s">
        <v>2407</v>
      </c>
      <c r="D91" s="387" t="s">
        <v>2402</v>
      </c>
      <c r="E91" s="387">
        <f t="shared" si="15"/>
        <v>6</v>
      </c>
      <c r="F91" s="392">
        <v>8</v>
      </c>
      <c r="G91" s="387" t="str">
        <f t="shared" si="16"/>
        <v>8</v>
      </c>
      <c r="H91" s="387">
        <f t="shared" si="18"/>
        <v>23</v>
      </c>
      <c r="I91" s="398"/>
      <c r="J91" s="398"/>
      <c r="K91" s="389"/>
      <c r="L91" s="391"/>
      <c r="M91" s="399"/>
      <c r="N91" s="391"/>
      <c r="O91" s="387" t="str">
        <f ca="1">IFERROR(IF(COUNTA($D$41:$D91)=1,"",OFFSET($C89,-COUNTA($D$41:$D91)+3,0)),"")</f>
        <v/>
      </c>
      <c r="P91" s="387">
        <f t="shared" ca="1" si="17"/>
        <v>48</v>
      </c>
      <c r="Q91" s="387"/>
      <c r="R91" s="387"/>
      <c r="S91" s="387"/>
      <c r="T91" s="387"/>
    </row>
    <row r="92" spans="1:20">
      <c r="A92" s="387" t="b">
        <v>1</v>
      </c>
      <c r="B92" s="397"/>
      <c r="C92" s="387" t="s">
        <v>2408</v>
      </c>
      <c r="D92" s="387" t="s">
        <v>2409</v>
      </c>
      <c r="E92" s="387">
        <f t="shared" si="15"/>
        <v>1</v>
      </c>
      <c r="F92" s="392">
        <v>9</v>
      </c>
      <c r="G92" s="387" t="str">
        <f t="shared" si="16"/>
        <v>92024</v>
      </c>
      <c r="H92" s="387">
        <f t="shared" si="18"/>
        <v>25</v>
      </c>
      <c r="I92" s="398"/>
      <c r="J92" s="398">
        <v>17607</v>
      </c>
      <c r="K92" s="389"/>
      <c r="L92" s="391" t="s">
        <v>2351</v>
      </c>
      <c r="M92" s="399"/>
      <c r="N92" s="391"/>
      <c r="O92" s="387" t="str">
        <f ca="1">IFERROR(IF(COUNTA($D$41:$D92)=1,"",OFFSET($C90,-COUNTA($D$41:$D92)+3,0)),"")</f>
        <v/>
      </c>
      <c r="P92" s="387">
        <f t="shared" ca="1" si="17"/>
        <v>49</v>
      </c>
      <c r="Q92" s="387"/>
      <c r="R92" s="387"/>
      <c r="S92" s="387"/>
      <c r="T92" s="387"/>
    </row>
    <row r="93" spans="1:20">
      <c r="A93" s="387" t="b">
        <v>1</v>
      </c>
      <c r="B93" s="397"/>
      <c r="C93" s="387" t="s">
        <v>2410</v>
      </c>
      <c r="D93" s="387" t="s">
        <v>2409</v>
      </c>
      <c r="E93" s="387">
        <f t="shared" si="15"/>
        <v>2</v>
      </c>
      <c r="F93" s="392">
        <v>9</v>
      </c>
      <c r="G93" s="387" t="str">
        <f t="shared" si="16"/>
        <v>92025</v>
      </c>
      <c r="H93" s="387">
        <f t="shared" si="18"/>
        <v>25</v>
      </c>
      <c r="I93" s="398"/>
      <c r="J93" s="398">
        <v>16072</v>
      </c>
      <c r="K93" s="389"/>
      <c r="L93" s="391" t="s">
        <v>2353</v>
      </c>
      <c r="M93" s="399"/>
      <c r="N93" s="391"/>
      <c r="O93" s="387" t="str">
        <f ca="1">IFERROR(IF(COUNTA($D$41:$D93)=1,"",OFFSET($C91,-COUNTA($D$41:$D93)+3,0)),"")</f>
        <v/>
      </c>
      <c r="P93" s="387">
        <f t="shared" ca="1" si="17"/>
        <v>50</v>
      </c>
      <c r="Q93" s="387"/>
      <c r="R93" s="387"/>
      <c r="S93" s="387"/>
      <c r="T93" s="387"/>
    </row>
    <row r="94" spans="1:20">
      <c r="A94" s="387" t="b">
        <v>1</v>
      </c>
      <c r="B94" s="397"/>
      <c r="C94" s="387" t="s">
        <v>2411</v>
      </c>
      <c r="D94" s="387" t="s">
        <v>2409</v>
      </c>
      <c r="E94" s="387">
        <f t="shared" si="15"/>
        <v>3</v>
      </c>
      <c r="F94" s="392">
        <v>9</v>
      </c>
      <c r="G94" s="387" t="str">
        <f t="shared" si="16"/>
        <v>92026</v>
      </c>
      <c r="H94" s="387">
        <f t="shared" si="18"/>
        <v>25</v>
      </c>
      <c r="I94" s="398"/>
      <c r="J94" s="398">
        <v>14276</v>
      </c>
      <c r="K94" s="389"/>
      <c r="L94" s="391" t="s">
        <v>2355</v>
      </c>
      <c r="M94" s="399"/>
      <c r="N94" s="391"/>
      <c r="O94" s="387" t="str">
        <f ca="1">IFERROR(IF(COUNTA($D$41:$D94)=1,"",OFFSET($C92,-COUNTA($D$41:$D94)+3,0)),"")</f>
        <v/>
      </c>
      <c r="P94" s="387">
        <f t="shared" ca="1" si="17"/>
        <v>51</v>
      </c>
      <c r="Q94" s="387"/>
      <c r="R94" s="387"/>
      <c r="S94" s="387"/>
      <c r="T94" s="387"/>
    </row>
    <row r="95" spans="1:20">
      <c r="A95" s="387" t="b">
        <v>0</v>
      </c>
      <c r="B95" s="397"/>
      <c r="C95" s="387" t="s">
        <v>2412</v>
      </c>
      <c r="D95" s="387" t="s">
        <v>2409</v>
      </c>
      <c r="E95" s="387">
        <f t="shared" si="15"/>
        <v>4</v>
      </c>
      <c r="F95" s="392">
        <v>9</v>
      </c>
      <c r="G95" s="387" t="str">
        <f t="shared" si="16"/>
        <v>9</v>
      </c>
      <c r="H95" s="387">
        <f t="shared" si="18"/>
        <v>25</v>
      </c>
      <c r="I95" s="398"/>
      <c r="J95" s="398"/>
      <c r="K95" s="389"/>
      <c r="L95" s="391"/>
      <c r="M95" s="399"/>
      <c r="N95" s="391"/>
      <c r="O95" s="387" t="str">
        <f ca="1">IFERROR(IF(COUNTA($D$41:$D95)=1,"",OFFSET($C93,-COUNTA($D$41:$D95)+3,0)),"")</f>
        <v/>
      </c>
      <c r="P95" s="387">
        <f t="shared" ca="1" si="17"/>
        <v>52</v>
      </c>
      <c r="Q95" s="387"/>
      <c r="R95" s="387"/>
      <c r="S95" s="387"/>
      <c r="T95" s="387"/>
    </row>
    <row r="96" spans="1:20">
      <c r="A96" s="387" t="b">
        <v>0</v>
      </c>
      <c r="B96" s="397"/>
      <c r="C96" s="387" t="s">
        <v>2413</v>
      </c>
      <c r="D96" s="387" t="s">
        <v>2409</v>
      </c>
      <c r="E96" s="387">
        <f t="shared" si="15"/>
        <v>5</v>
      </c>
      <c r="F96" s="392">
        <v>9</v>
      </c>
      <c r="G96" s="387" t="str">
        <f t="shared" si="16"/>
        <v>9</v>
      </c>
      <c r="H96" s="387">
        <f t="shared" si="18"/>
        <v>25</v>
      </c>
      <c r="I96" s="398"/>
      <c r="J96" s="398"/>
      <c r="K96" s="389"/>
      <c r="L96" s="391"/>
      <c r="M96" s="399"/>
      <c r="N96" s="391"/>
      <c r="O96" s="387" t="str">
        <f ca="1">IFERROR(IF(COUNTA($D$41:$D96)=1,"",OFFSET($C94,-COUNTA($D$41:$D96)+3,0)),"")</f>
        <v/>
      </c>
      <c r="P96" s="387">
        <f t="shared" ca="1" si="17"/>
        <v>53</v>
      </c>
      <c r="Q96" s="387"/>
      <c r="R96" s="387"/>
      <c r="S96" s="387"/>
      <c r="T96" s="387"/>
    </row>
    <row r="97" spans="1:20">
      <c r="A97" s="387" t="b">
        <v>0</v>
      </c>
      <c r="B97" s="397"/>
      <c r="C97" s="387" t="s">
        <v>2414</v>
      </c>
      <c r="D97" s="387" t="s">
        <v>2409</v>
      </c>
      <c r="E97" s="387">
        <f t="shared" si="15"/>
        <v>6</v>
      </c>
      <c r="F97" s="392">
        <v>9</v>
      </c>
      <c r="G97" s="387" t="str">
        <f t="shared" si="16"/>
        <v>9</v>
      </c>
      <c r="H97" s="387">
        <f t="shared" si="18"/>
        <v>25</v>
      </c>
      <c r="I97" s="398"/>
      <c r="J97" s="398"/>
      <c r="K97" s="389"/>
      <c r="L97" s="391"/>
      <c r="M97" s="399"/>
      <c r="N97" s="391"/>
      <c r="O97" s="387" t="str">
        <f ca="1">IFERROR(IF(COUNTA($D$41:$D97)=1,"",OFFSET($C95,-COUNTA($D$41:$D97)+3,0)),"")</f>
        <v/>
      </c>
      <c r="P97" s="387">
        <f t="shared" ca="1" si="17"/>
        <v>54</v>
      </c>
      <c r="Q97" s="387"/>
      <c r="R97" s="387"/>
      <c r="S97" s="387"/>
      <c r="T97" s="387"/>
    </row>
    <row r="98" spans="1:20">
      <c r="A98" s="387" t="b">
        <v>1</v>
      </c>
      <c r="B98" s="397"/>
      <c r="C98" s="387" t="s">
        <v>2415</v>
      </c>
      <c r="D98" s="387" t="s">
        <v>2416</v>
      </c>
      <c r="E98" s="387">
        <f t="shared" si="15"/>
        <v>1</v>
      </c>
      <c r="F98" s="392">
        <v>10</v>
      </c>
      <c r="G98" s="387" t="str">
        <f t="shared" si="16"/>
        <v>102024</v>
      </c>
      <c r="H98" s="387">
        <f t="shared" si="18"/>
        <v>27</v>
      </c>
      <c r="I98" s="398"/>
      <c r="J98" s="398">
        <v>12157</v>
      </c>
      <c r="K98" s="389"/>
      <c r="L98" s="391" t="s">
        <v>2351</v>
      </c>
      <c r="M98" s="399"/>
      <c r="N98" s="391"/>
      <c r="O98" s="387" t="str">
        <f ca="1">IFERROR(IF(COUNTA($D$41:$D98)=1,"",OFFSET($C96,-COUNTA($D$41:$D98)+3,0)),"")</f>
        <v/>
      </c>
      <c r="P98" s="387">
        <f t="shared" ca="1" si="17"/>
        <v>55</v>
      </c>
      <c r="Q98" s="387"/>
      <c r="R98" s="387"/>
      <c r="S98" s="387"/>
      <c r="T98" s="387"/>
    </row>
    <row r="99" spans="1:20">
      <c r="A99" s="387" t="b">
        <v>1</v>
      </c>
      <c r="B99" s="397"/>
      <c r="C99" s="387" t="s">
        <v>2417</v>
      </c>
      <c r="D99" s="387" t="s">
        <v>2416</v>
      </c>
      <c r="E99" s="387">
        <f t="shared" si="15"/>
        <v>2</v>
      </c>
      <c r="F99" s="392">
        <v>10</v>
      </c>
      <c r="G99" s="387" t="str">
        <f t="shared" si="16"/>
        <v>102025</v>
      </c>
      <c r="H99" s="387">
        <f t="shared" si="18"/>
        <v>27</v>
      </c>
      <c r="I99" s="398"/>
      <c r="J99" s="398">
        <v>12188</v>
      </c>
      <c r="K99" s="389"/>
      <c r="L99" s="391" t="s">
        <v>2353</v>
      </c>
      <c r="M99" s="399"/>
      <c r="N99" s="391"/>
      <c r="O99" s="387" t="str">
        <f ca="1">IFERROR(IF(COUNTA($D$41:$D99)=1,"",OFFSET($C97,-COUNTA($D$41:$D99)+3,0)),"")</f>
        <v/>
      </c>
      <c r="P99" s="387">
        <f t="shared" ca="1" si="17"/>
        <v>56</v>
      </c>
      <c r="Q99" s="387"/>
      <c r="R99" s="387"/>
      <c r="S99" s="387"/>
      <c r="T99" s="387"/>
    </row>
    <row r="100" spans="1:20">
      <c r="A100" s="387" t="b">
        <v>1</v>
      </c>
      <c r="B100" s="397"/>
      <c r="C100" s="387" t="s">
        <v>2418</v>
      </c>
      <c r="D100" s="387" t="s">
        <v>2416</v>
      </c>
      <c r="E100" s="387">
        <f t="shared" si="15"/>
        <v>3</v>
      </c>
      <c r="F100" s="392">
        <v>10</v>
      </c>
      <c r="G100" s="387" t="str">
        <f t="shared" si="16"/>
        <v>102026</v>
      </c>
      <c r="H100" s="387">
        <f t="shared" si="18"/>
        <v>27</v>
      </c>
      <c r="I100" s="398"/>
      <c r="J100" s="398">
        <v>11980</v>
      </c>
      <c r="K100" s="389"/>
      <c r="L100" s="391" t="s">
        <v>2355</v>
      </c>
      <c r="M100" s="399"/>
      <c r="N100" s="391"/>
      <c r="O100" s="387" t="str">
        <f ca="1">IFERROR(IF(COUNTA($D$41:$D100)=1,"",OFFSET($C98,-COUNTA($D$41:$D100)+3,0)),"")</f>
        <v/>
      </c>
      <c r="P100" s="387">
        <f t="shared" ca="1" si="17"/>
        <v>57</v>
      </c>
      <c r="Q100" s="387"/>
      <c r="R100" s="387"/>
      <c r="S100" s="387"/>
      <c r="T100" s="387"/>
    </row>
    <row r="101" spans="1:20">
      <c r="A101" s="387" t="b">
        <v>0</v>
      </c>
      <c r="B101" s="397"/>
      <c r="C101" s="387" t="s">
        <v>2419</v>
      </c>
      <c r="D101" s="387" t="s">
        <v>2416</v>
      </c>
      <c r="E101" s="387">
        <f t="shared" si="15"/>
        <v>4</v>
      </c>
      <c r="F101" s="392">
        <v>10</v>
      </c>
      <c r="G101" s="387" t="str">
        <f t="shared" si="16"/>
        <v>10</v>
      </c>
      <c r="H101" s="387">
        <f t="shared" si="18"/>
        <v>27</v>
      </c>
      <c r="I101" s="398"/>
      <c r="J101" s="398"/>
      <c r="K101" s="389"/>
      <c r="L101" s="391"/>
      <c r="M101" s="399"/>
      <c r="N101" s="391"/>
      <c r="O101" s="387" t="str">
        <f ca="1">IFERROR(IF(COUNTA($D$41:$D101)=1,"",OFFSET($C99,-COUNTA($D$41:$D101)+3,0)),"")</f>
        <v/>
      </c>
      <c r="P101" s="387">
        <f t="shared" ca="1" si="17"/>
        <v>58</v>
      </c>
      <c r="Q101" s="387"/>
      <c r="R101" s="387"/>
      <c r="S101" s="387"/>
      <c r="T101" s="387"/>
    </row>
    <row r="102" spans="1:20">
      <c r="A102" s="387" t="b">
        <v>0</v>
      </c>
      <c r="B102" s="397"/>
      <c r="C102" s="387" t="s">
        <v>2420</v>
      </c>
      <c r="D102" s="387" t="s">
        <v>2416</v>
      </c>
      <c r="E102" s="387">
        <f t="shared" si="15"/>
        <v>5</v>
      </c>
      <c r="F102" s="392">
        <v>10</v>
      </c>
      <c r="G102" s="387" t="str">
        <f t="shared" si="16"/>
        <v>10</v>
      </c>
      <c r="H102" s="387">
        <f t="shared" si="18"/>
        <v>27</v>
      </c>
      <c r="I102" s="398"/>
      <c r="J102" s="398"/>
      <c r="K102" s="389"/>
      <c r="L102" s="391"/>
      <c r="M102" s="399"/>
      <c r="N102" s="391"/>
      <c r="O102" s="387" t="str">
        <f ca="1">IFERROR(IF(COUNTA($D$41:$D102)=1,"",OFFSET($C100,-COUNTA($D$41:$D102)+3,0)),"")</f>
        <v/>
      </c>
      <c r="P102" s="387">
        <f t="shared" ca="1" si="17"/>
        <v>59</v>
      </c>
      <c r="Q102" s="387"/>
      <c r="R102" s="387"/>
      <c r="S102" s="387"/>
      <c r="T102" s="387"/>
    </row>
    <row r="103" spans="1:20">
      <c r="A103" s="387" t="b">
        <v>0</v>
      </c>
      <c r="B103" s="397"/>
      <c r="C103" s="387" t="s">
        <v>2421</v>
      </c>
      <c r="D103" s="387" t="s">
        <v>2416</v>
      </c>
      <c r="E103" s="387">
        <f t="shared" si="15"/>
        <v>6</v>
      </c>
      <c r="F103" s="392">
        <v>10</v>
      </c>
      <c r="G103" s="387" t="str">
        <f t="shared" si="16"/>
        <v>10</v>
      </c>
      <c r="H103" s="387">
        <f t="shared" si="18"/>
        <v>27</v>
      </c>
      <c r="I103" s="398"/>
      <c r="J103" s="398"/>
      <c r="K103" s="389"/>
      <c r="L103" s="391"/>
      <c r="M103" s="399"/>
      <c r="N103" s="391"/>
      <c r="O103" s="387" t="str">
        <f ca="1">IFERROR(IF(COUNTA($D$41:$D103)=1,"",OFFSET($C101,-COUNTA($D$41:$D103)+3,0)),"")</f>
        <v/>
      </c>
      <c r="P103" s="387">
        <f t="shared" ca="1" si="17"/>
        <v>60</v>
      </c>
      <c r="Q103" s="387"/>
      <c r="R103" s="387"/>
      <c r="S103" s="387"/>
      <c r="T103" s="387"/>
    </row>
    <row r="104" spans="1:20">
      <c r="A104" s="387" t="b">
        <v>1</v>
      </c>
      <c r="B104" s="397"/>
      <c r="C104" s="387" t="s">
        <v>2422</v>
      </c>
      <c r="D104" s="387" t="s">
        <v>2423</v>
      </c>
      <c r="E104" s="387">
        <f t="shared" si="15"/>
        <v>1</v>
      </c>
      <c r="F104" s="392">
        <v>11</v>
      </c>
      <c r="G104" s="387" t="str">
        <f t="shared" si="16"/>
        <v>112024</v>
      </c>
      <c r="H104" s="387">
        <f t="shared" si="18"/>
        <v>29</v>
      </c>
      <c r="I104" s="398">
        <v>38506</v>
      </c>
      <c r="J104" s="398">
        <v>9208</v>
      </c>
      <c r="K104" s="389">
        <v>23.9131563912118</v>
      </c>
      <c r="L104" s="391" t="s">
        <v>2351</v>
      </c>
      <c r="M104" s="399"/>
      <c r="N104" s="391"/>
      <c r="O104" s="387" t="str">
        <f ca="1">IFERROR(IF(COUNTA($D$41:$D104)=1,"",OFFSET($C102,-COUNTA($D$41:$D104)+3,0)),"")</f>
        <v/>
      </c>
      <c r="P104" s="387">
        <f t="shared" ca="1" si="17"/>
        <v>61</v>
      </c>
      <c r="Q104" s="387"/>
      <c r="R104" s="387"/>
      <c r="S104" s="387"/>
      <c r="T104" s="387"/>
    </row>
    <row r="105" spans="1:20">
      <c r="A105" s="387" t="b">
        <v>1</v>
      </c>
      <c r="B105" s="397"/>
      <c r="C105" s="387" t="s">
        <v>2424</v>
      </c>
      <c r="D105" s="387" t="s">
        <v>2423</v>
      </c>
      <c r="E105" s="387">
        <f t="shared" si="15"/>
        <v>2</v>
      </c>
      <c r="F105" s="392">
        <v>11</v>
      </c>
      <c r="G105" s="387" t="str">
        <f t="shared" si="16"/>
        <v>112025</v>
      </c>
      <c r="H105" s="387">
        <f t="shared" si="18"/>
        <v>29</v>
      </c>
      <c r="I105" s="398">
        <v>37061</v>
      </c>
      <c r="J105" s="398">
        <v>8062</v>
      </c>
      <c r="K105" s="389">
        <v>21.753325598337899</v>
      </c>
      <c r="L105" s="391" t="s">
        <v>2353</v>
      </c>
      <c r="M105" s="399"/>
      <c r="N105" s="391"/>
      <c r="O105" s="387" t="str">
        <f ca="1">IFERROR(IF(COUNTA($D$41:$D105)=1,"",OFFSET($C103,-COUNTA($D$41:$D105)+3,0)),"")</f>
        <v/>
      </c>
      <c r="P105" s="387">
        <f t="shared" ca="1" si="17"/>
        <v>62</v>
      </c>
      <c r="Q105" s="387"/>
      <c r="R105" s="387"/>
      <c r="S105" s="387"/>
      <c r="T105" s="387"/>
    </row>
    <row r="106" spans="1:20">
      <c r="A106" s="387" t="b">
        <v>1</v>
      </c>
      <c r="B106" s="397"/>
      <c r="C106" s="387" t="s">
        <v>2425</v>
      </c>
      <c r="D106" s="387" t="s">
        <v>2423</v>
      </c>
      <c r="E106" s="387">
        <f t="shared" si="15"/>
        <v>3</v>
      </c>
      <c r="F106" s="392">
        <v>11</v>
      </c>
      <c r="G106" s="387" t="str">
        <f t="shared" si="16"/>
        <v>112026</v>
      </c>
      <c r="H106" s="387">
        <f t="shared" si="18"/>
        <v>29</v>
      </c>
      <c r="I106" s="398">
        <v>35939</v>
      </c>
      <c r="J106" s="398">
        <v>6909</v>
      </c>
      <c r="K106" s="389">
        <v>19.224241075155099</v>
      </c>
      <c r="L106" s="391" t="s">
        <v>2355</v>
      </c>
      <c r="M106" s="399"/>
      <c r="N106" s="391"/>
      <c r="O106" s="387" t="str">
        <f ca="1">IFERROR(IF(COUNTA($D$41:$D106)=1,"",OFFSET($C104,-COUNTA($D$41:$D106)+3,0)),"")</f>
        <v/>
      </c>
      <c r="P106" s="387">
        <f t="shared" ca="1" si="17"/>
        <v>63</v>
      </c>
      <c r="Q106" s="387"/>
      <c r="R106" s="387"/>
      <c r="S106" s="387"/>
      <c r="T106" s="387"/>
    </row>
    <row r="107" spans="1:20">
      <c r="A107" s="387" t="b">
        <v>0</v>
      </c>
      <c r="B107" s="397"/>
      <c r="C107" s="387" t="s">
        <v>2426</v>
      </c>
      <c r="D107" s="387" t="s">
        <v>2423</v>
      </c>
      <c r="E107" s="387">
        <f t="shared" si="15"/>
        <v>4</v>
      </c>
      <c r="F107" s="392">
        <v>11</v>
      </c>
      <c r="G107" s="387" t="str">
        <f t="shared" si="16"/>
        <v>11</v>
      </c>
      <c r="H107" s="387">
        <f t="shared" ref="H107:H133" si="19">VLOOKUP(F107,$AH$1:$AI$225,2,FALSE)</f>
        <v>29</v>
      </c>
      <c r="I107" s="398"/>
      <c r="J107" s="398"/>
      <c r="K107" s="389"/>
      <c r="L107" s="391"/>
      <c r="M107" s="399"/>
      <c r="N107" s="391"/>
      <c r="O107" s="387" t="str">
        <f ca="1">IFERROR(IF(COUNTA($D$41:$D107)=1,"",OFFSET($C105,-COUNTA($D$41:$D107)+3,0)),"")</f>
        <v/>
      </c>
      <c r="P107" s="387">
        <f t="shared" ca="1" si="17"/>
        <v>64</v>
      </c>
      <c r="Q107" s="387"/>
      <c r="R107" s="387"/>
      <c r="S107" s="387"/>
      <c r="T107" s="387"/>
    </row>
    <row r="108" spans="1:20">
      <c r="A108" s="387" t="b">
        <v>0</v>
      </c>
      <c r="B108" s="397"/>
      <c r="C108" s="387" t="s">
        <v>2427</v>
      </c>
      <c r="D108" s="387" t="s">
        <v>2423</v>
      </c>
      <c r="E108" s="387">
        <f t="shared" ref="E108:E171" si="20">COUNTIF(F99:F108,F108)</f>
        <v>5</v>
      </c>
      <c r="F108" s="392">
        <v>11</v>
      </c>
      <c r="G108" s="387" t="str">
        <f t="shared" ref="G108:G171" si="21">CONCATENATE(F108,L108)</f>
        <v>11</v>
      </c>
      <c r="H108" s="387">
        <f t="shared" si="19"/>
        <v>29</v>
      </c>
      <c r="I108" s="398"/>
      <c r="J108" s="398"/>
      <c r="K108" s="389"/>
      <c r="L108" s="391"/>
      <c r="M108" s="399"/>
      <c r="N108" s="391"/>
      <c r="O108" s="387" t="str">
        <f ca="1">IFERROR(IF(COUNTA($D$41:$D108)=1,"",OFFSET($C106,-COUNTA($D$41:$D108)+3,0)),"")</f>
        <v/>
      </c>
      <c r="P108" s="387">
        <f t="shared" ref="P108:P171" ca="1" si="22">IF(NOT(_xlfn.ISFORMULA(I108)),P107+1,0)</f>
        <v>65</v>
      </c>
      <c r="Q108" s="387"/>
      <c r="R108" s="387"/>
      <c r="S108" s="387"/>
      <c r="T108" s="387"/>
    </row>
    <row r="109" spans="1:20">
      <c r="A109" s="387" t="b">
        <v>0</v>
      </c>
      <c r="B109" s="397"/>
      <c r="C109" s="387" t="s">
        <v>2428</v>
      </c>
      <c r="D109" s="387" t="s">
        <v>2423</v>
      </c>
      <c r="E109" s="387">
        <f t="shared" si="20"/>
        <v>6</v>
      </c>
      <c r="F109" s="392">
        <v>11</v>
      </c>
      <c r="G109" s="387" t="str">
        <f t="shared" si="21"/>
        <v>11</v>
      </c>
      <c r="H109" s="387">
        <f t="shared" si="19"/>
        <v>29</v>
      </c>
      <c r="I109" s="398"/>
      <c r="J109" s="398"/>
      <c r="K109" s="389"/>
      <c r="L109" s="391"/>
      <c r="M109" s="399"/>
      <c r="N109" s="391"/>
      <c r="O109" s="387" t="str">
        <f ca="1">IFERROR(IF(COUNTA($D$41:$D109)=1,"",OFFSET($C107,-COUNTA($D$41:$D109)+3,0)),"")</f>
        <v/>
      </c>
      <c r="P109" s="387">
        <f t="shared" ca="1" si="22"/>
        <v>66</v>
      </c>
      <c r="Q109" s="387"/>
      <c r="R109" s="387"/>
      <c r="S109" s="387"/>
      <c r="T109" s="387"/>
    </row>
    <row r="110" spans="1:20">
      <c r="A110" s="387" t="b">
        <v>0</v>
      </c>
      <c r="B110" s="397"/>
      <c r="C110" s="387" t="s">
        <v>2429</v>
      </c>
      <c r="D110" s="387" t="s">
        <v>2430</v>
      </c>
      <c r="E110" s="387">
        <f t="shared" si="20"/>
        <v>1</v>
      </c>
      <c r="F110" s="392">
        <v>12</v>
      </c>
      <c r="G110" s="387" t="str">
        <f t="shared" si="21"/>
        <v>122024</v>
      </c>
      <c r="H110" s="387">
        <f t="shared" si="19"/>
        <v>31</v>
      </c>
      <c r="I110" s="398"/>
      <c r="J110" s="398"/>
      <c r="K110" s="389"/>
      <c r="L110" s="391" t="s">
        <v>2351</v>
      </c>
      <c r="M110" s="399"/>
      <c r="N110" s="391"/>
      <c r="O110" s="387" t="str">
        <f ca="1">IFERROR(IF(COUNTA($D$41:$D110)=1,"",OFFSET($C108,-COUNTA($D$41:$D110)+3,0)),"")</f>
        <v/>
      </c>
      <c r="P110" s="387">
        <f t="shared" ca="1" si="22"/>
        <v>67</v>
      </c>
      <c r="Q110" s="387"/>
      <c r="R110" s="387"/>
      <c r="S110" s="387"/>
      <c r="T110" s="387"/>
    </row>
    <row r="111" spans="1:20">
      <c r="A111" s="387" t="b">
        <v>0</v>
      </c>
      <c r="B111" s="397"/>
      <c r="C111" s="387" t="s">
        <v>2431</v>
      </c>
      <c r="D111" s="387" t="s">
        <v>2430</v>
      </c>
      <c r="E111" s="387">
        <f t="shared" si="20"/>
        <v>2</v>
      </c>
      <c r="F111" s="392">
        <v>12</v>
      </c>
      <c r="G111" s="387" t="str">
        <f t="shared" si="21"/>
        <v>122025</v>
      </c>
      <c r="H111" s="387">
        <f t="shared" si="19"/>
        <v>31</v>
      </c>
      <c r="I111" s="398"/>
      <c r="J111" s="398"/>
      <c r="K111" s="389"/>
      <c r="L111" s="391" t="s">
        <v>2353</v>
      </c>
      <c r="M111" s="399"/>
      <c r="N111" s="391"/>
      <c r="O111" s="387" t="str">
        <f ca="1">IFERROR(IF(COUNTA($D$41:$D111)=1,"",OFFSET($C109,-COUNTA($D$41:$D111)+3,0)),"")</f>
        <v/>
      </c>
      <c r="P111" s="387">
        <f t="shared" ca="1" si="22"/>
        <v>68</v>
      </c>
      <c r="Q111" s="387"/>
      <c r="R111" s="387"/>
      <c r="S111" s="387"/>
      <c r="T111" s="387"/>
    </row>
    <row r="112" spans="1:20">
      <c r="A112" s="387" t="b">
        <v>0</v>
      </c>
      <c r="B112" s="397"/>
      <c r="C112" s="387" t="s">
        <v>2432</v>
      </c>
      <c r="D112" s="387" t="s">
        <v>2430</v>
      </c>
      <c r="E112" s="387">
        <f t="shared" si="20"/>
        <v>3</v>
      </c>
      <c r="F112" s="392">
        <v>12</v>
      </c>
      <c r="G112" s="387" t="str">
        <f t="shared" si="21"/>
        <v>122026</v>
      </c>
      <c r="H112" s="387">
        <f t="shared" si="19"/>
        <v>31</v>
      </c>
      <c r="I112" s="398"/>
      <c r="J112" s="398"/>
      <c r="K112" s="389"/>
      <c r="L112" s="391" t="s">
        <v>2355</v>
      </c>
      <c r="M112" s="399"/>
      <c r="N112" s="391"/>
      <c r="O112" s="387" t="str">
        <f ca="1">IFERROR(IF(COUNTA($D$41:$D112)=1,"",OFFSET($C110,-COUNTA($D$41:$D112)+3,0)),"")</f>
        <v/>
      </c>
      <c r="P112" s="387">
        <f t="shared" ca="1" si="22"/>
        <v>69</v>
      </c>
      <c r="Q112" s="387"/>
      <c r="R112" s="387"/>
      <c r="S112" s="387"/>
      <c r="T112" s="387"/>
    </row>
    <row r="113" spans="1:20">
      <c r="A113" s="387" t="b">
        <v>0</v>
      </c>
      <c r="B113" s="397"/>
      <c r="C113" s="387" t="s">
        <v>2433</v>
      </c>
      <c r="D113" s="387" t="s">
        <v>2430</v>
      </c>
      <c r="E113" s="387">
        <f t="shared" si="20"/>
        <v>4</v>
      </c>
      <c r="F113" s="392">
        <v>12</v>
      </c>
      <c r="G113" s="387" t="str">
        <f t="shared" si="21"/>
        <v>12</v>
      </c>
      <c r="H113" s="387">
        <f t="shared" si="19"/>
        <v>31</v>
      </c>
      <c r="I113" s="398"/>
      <c r="J113" s="398"/>
      <c r="K113" s="389"/>
      <c r="L113" s="391"/>
      <c r="M113" s="399"/>
      <c r="N113" s="391"/>
      <c r="O113" s="387" t="str">
        <f ca="1">IFERROR(IF(COUNTA($D$41:$D113)=1,"",OFFSET($C111,-COUNTA($D$41:$D113)+3,0)),"")</f>
        <v/>
      </c>
      <c r="P113" s="387">
        <f t="shared" ca="1" si="22"/>
        <v>70</v>
      </c>
      <c r="Q113" s="387"/>
      <c r="R113" s="387"/>
      <c r="S113" s="387"/>
      <c r="T113" s="387"/>
    </row>
    <row r="114" spans="1:20">
      <c r="A114" s="387" t="b">
        <v>0</v>
      </c>
      <c r="B114" s="397"/>
      <c r="C114" s="387" t="s">
        <v>2434</v>
      </c>
      <c r="D114" s="387" t="s">
        <v>2430</v>
      </c>
      <c r="E114" s="387">
        <f t="shared" si="20"/>
        <v>5</v>
      </c>
      <c r="F114" s="392">
        <v>12</v>
      </c>
      <c r="G114" s="387" t="str">
        <f t="shared" si="21"/>
        <v>12</v>
      </c>
      <c r="H114" s="387">
        <f t="shared" si="19"/>
        <v>31</v>
      </c>
      <c r="I114" s="398"/>
      <c r="J114" s="398"/>
      <c r="K114" s="389"/>
      <c r="L114" s="391"/>
      <c r="M114" s="399"/>
      <c r="N114" s="391"/>
      <c r="O114" s="387" t="str">
        <f ca="1">IFERROR(IF(COUNTA($D$41:$D114)=1,"",OFFSET($C112,-COUNTA($D$41:$D114)+3,0)),"")</f>
        <v/>
      </c>
      <c r="P114" s="387">
        <f t="shared" ca="1" si="22"/>
        <v>71</v>
      </c>
      <c r="Q114" s="387"/>
      <c r="R114" s="387"/>
      <c r="S114" s="387"/>
      <c r="T114" s="387"/>
    </row>
    <row r="115" spans="1:20">
      <c r="A115" s="387" t="b">
        <v>0</v>
      </c>
      <c r="B115" s="397"/>
      <c r="C115" s="387" t="s">
        <v>2435</v>
      </c>
      <c r="D115" s="387" t="s">
        <v>2430</v>
      </c>
      <c r="E115" s="387">
        <f t="shared" si="20"/>
        <v>6</v>
      </c>
      <c r="F115" s="392">
        <v>12</v>
      </c>
      <c r="G115" s="387" t="str">
        <f t="shared" si="21"/>
        <v>12</v>
      </c>
      <c r="H115" s="387">
        <f t="shared" si="19"/>
        <v>31</v>
      </c>
      <c r="I115" s="398"/>
      <c r="J115" s="398"/>
      <c r="K115" s="389"/>
      <c r="L115" s="391"/>
      <c r="M115" s="399"/>
      <c r="N115" s="391"/>
      <c r="O115" s="387" t="str">
        <f ca="1">IFERROR(IF(COUNTA($D$41:$D115)=1,"",OFFSET($C113,-COUNTA($D$41:$D115)+3,0)),"")</f>
        <v/>
      </c>
      <c r="P115" s="387">
        <f t="shared" ca="1" si="22"/>
        <v>72</v>
      </c>
      <c r="Q115" s="387"/>
      <c r="R115" s="387"/>
      <c r="S115" s="387"/>
      <c r="T115" s="387"/>
    </row>
    <row r="116" spans="1:20">
      <c r="A116" s="387" t="b">
        <v>0</v>
      </c>
      <c r="B116" s="397"/>
      <c r="C116" s="387" t="s">
        <v>2436</v>
      </c>
      <c r="D116" s="387" t="s">
        <v>2437</v>
      </c>
      <c r="E116" s="387">
        <f t="shared" si="20"/>
        <v>1</v>
      </c>
      <c r="F116" s="392">
        <v>13</v>
      </c>
      <c r="G116" s="387" t="str">
        <f t="shared" si="21"/>
        <v>132024</v>
      </c>
      <c r="H116" s="387">
        <f t="shared" si="19"/>
        <v>33</v>
      </c>
      <c r="I116" s="398"/>
      <c r="J116" s="398"/>
      <c r="K116" s="389"/>
      <c r="L116" s="391" t="s">
        <v>2351</v>
      </c>
      <c r="M116" s="399"/>
      <c r="N116" s="391"/>
      <c r="O116" s="387" t="str">
        <f ca="1">IFERROR(IF(COUNTA($D$41:$D116)=1,"",OFFSET($C114,-COUNTA($D$41:$D116)+3,0)),"")</f>
        <v/>
      </c>
      <c r="P116" s="387">
        <f t="shared" ca="1" si="22"/>
        <v>73</v>
      </c>
      <c r="Q116" s="387"/>
      <c r="R116" s="387"/>
      <c r="S116" s="387"/>
      <c r="T116" s="387"/>
    </row>
    <row r="117" spans="1:20">
      <c r="A117" s="387" t="b">
        <v>0</v>
      </c>
      <c r="B117" s="397"/>
      <c r="C117" s="387" t="s">
        <v>2438</v>
      </c>
      <c r="D117" s="387" t="s">
        <v>2437</v>
      </c>
      <c r="E117" s="387">
        <f t="shared" si="20"/>
        <v>2</v>
      </c>
      <c r="F117" s="392">
        <v>13</v>
      </c>
      <c r="G117" s="387" t="str">
        <f t="shared" si="21"/>
        <v>132025</v>
      </c>
      <c r="H117" s="387">
        <f t="shared" si="19"/>
        <v>33</v>
      </c>
      <c r="I117" s="398"/>
      <c r="J117" s="398"/>
      <c r="K117" s="389"/>
      <c r="L117" s="391" t="s">
        <v>2353</v>
      </c>
      <c r="M117" s="399"/>
      <c r="N117" s="391"/>
      <c r="O117" s="387" t="str">
        <f ca="1">IFERROR(IF(COUNTA($D$41:$D117)=1,"",OFFSET($C115,-COUNTA($D$41:$D117)+3,0)),"")</f>
        <v/>
      </c>
      <c r="P117" s="387">
        <f t="shared" ca="1" si="22"/>
        <v>74</v>
      </c>
      <c r="Q117" s="387"/>
      <c r="R117" s="387"/>
      <c r="S117" s="387"/>
      <c r="T117" s="387"/>
    </row>
    <row r="118" spans="1:20">
      <c r="A118" s="387" t="b">
        <v>0</v>
      </c>
      <c r="B118" s="397"/>
      <c r="C118" s="387" t="s">
        <v>2439</v>
      </c>
      <c r="D118" s="387" t="s">
        <v>2437</v>
      </c>
      <c r="E118" s="387">
        <f t="shared" si="20"/>
        <v>3</v>
      </c>
      <c r="F118" s="392">
        <v>13</v>
      </c>
      <c r="G118" s="387" t="str">
        <f t="shared" si="21"/>
        <v>132026</v>
      </c>
      <c r="H118" s="387">
        <f t="shared" si="19"/>
        <v>33</v>
      </c>
      <c r="I118" s="398"/>
      <c r="J118" s="398"/>
      <c r="K118" s="389"/>
      <c r="L118" s="391" t="s">
        <v>2355</v>
      </c>
      <c r="M118" s="399"/>
      <c r="N118" s="391"/>
      <c r="O118" s="387" t="str">
        <f ca="1">IFERROR(IF(COUNTA($D$41:$D118)=1,"",OFFSET($C116,-COUNTA($D$41:$D118)+3,0)),"")</f>
        <v/>
      </c>
      <c r="P118" s="387">
        <f t="shared" ca="1" si="22"/>
        <v>75</v>
      </c>
      <c r="Q118" s="387"/>
      <c r="R118" s="387"/>
      <c r="S118" s="387"/>
      <c r="T118" s="387"/>
    </row>
    <row r="119" spans="1:20">
      <c r="A119" s="387" t="b">
        <v>0</v>
      </c>
      <c r="B119" s="397"/>
      <c r="C119" s="387" t="s">
        <v>2440</v>
      </c>
      <c r="D119" s="387" t="s">
        <v>2437</v>
      </c>
      <c r="E119" s="387">
        <f t="shared" si="20"/>
        <v>4</v>
      </c>
      <c r="F119" s="392">
        <v>13</v>
      </c>
      <c r="G119" s="387" t="str">
        <f t="shared" si="21"/>
        <v>13</v>
      </c>
      <c r="H119" s="387">
        <f t="shared" si="19"/>
        <v>33</v>
      </c>
      <c r="I119" s="398"/>
      <c r="J119" s="398"/>
      <c r="K119" s="389"/>
      <c r="L119" s="391"/>
      <c r="M119" s="399"/>
      <c r="N119" s="391"/>
      <c r="O119" s="387" t="str">
        <f ca="1">IFERROR(IF(COUNTA($D$41:$D119)=1,"",OFFSET($C117,-COUNTA($D$41:$D119)+3,0)),"")</f>
        <v/>
      </c>
      <c r="P119" s="387">
        <f t="shared" ca="1" si="22"/>
        <v>76</v>
      </c>
      <c r="Q119" s="387"/>
      <c r="R119" s="387"/>
      <c r="S119" s="387"/>
      <c r="T119" s="387"/>
    </row>
    <row r="120" spans="1:20">
      <c r="A120" s="387" t="b">
        <v>0</v>
      </c>
      <c r="B120" s="397"/>
      <c r="C120" s="387" t="s">
        <v>2441</v>
      </c>
      <c r="D120" s="387" t="s">
        <v>2437</v>
      </c>
      <c r="E120" s="387">
        <f t="shared" si="20"/>
        <v>5</v>
      </c>
      <c r="F120" s="392">
        <v>13</v>
      </c>
      <c r="G120" s="387" t="str">
        <f t="shared" si="21"/>
        <v>13</v>
      </c>
      <c r="H120" s="387">
        <f t="shared" si="19"/>
        <v>33</v>
      </c>
      <c r="I120" s="398"/>
      <c r="J120" s="398"/>
      <c r="K120" s="389"/>
      <c r="L120" s="391"/>
      <c r="M120" s="399"/>
      <c r="N120" s="391"/>
      <c r="O120" s="387" t="str">
        <f ca="1">IFERROR(IF(COUNTA($D$41:$D120)=1,"",OFFSET($C118,-COUNTA($D$41:$D120)+3,0)),"")</f>
        <v/>
      </c>
      <c r="P120" s="387">
        <f t="shared" ca="1" si="22"/>
        <v>77</v>
      </c>
      <c r="Q120" s="387"/>
      <c r="R120" s="387"/>
      <c r="S120" s="387"/>
      <c r="T120" s="387"/>
    </row>
    <row r="121" spans="1:20">
      <c r="A121" s="387" t="b">
        <v>0</v>
      </c>
      <c r="B121" s="397"/>
      <c r="C121" s="387" t="s">
        <v>2442</v>
      </c>
      <c r="D121" s="387" t="s">
        <v>2437</v>
      </c>
      <c r="E121" s="387">
        <f t="shared" si="20"/>
        <v>6</v>
      </c>
      <c r="F121" s="392">
        <v>13</v>
      </c>
      <c r="G121" s="387" t="str">
        <f t="shared" si="21"/>
        <v>13</v>
      </c>
      <c r="H121" s="387">
        <f t="shared" si="19"/>
        <v>33</v>
      </c>
      <c r="I121" s="398"/>
      <c r="J121" s="398"/>
      <c r="K121" s="389"/>
      <c r="L121" s="391"/>
      <c r="M121" s="399"/>
      <c r="N121" s="391"/>
      <c r="O121" s="387" t="str">
        <f ca="1">IFERROR(IF(COUNTA($D$41:$D121)=1,"",OFFSET($C119,-COUNTA($D$41:$D121)+3,0)),"")</f>
        <v/>
      </c>
      <c r="P121" s="387">
        <f t="shared" ca="1" si="22"/>
        <v>78</v>
      </c>
      <c r="Q121" s="387"/>
      <c r="R121" s="387"/>
      <c r="S121" s="387"/>
      <c r="T121" s="387"/>
    </row>
    <row r="122" spans="1:20">
      <c r="A122" s="387" t="b">
        <v>0</v>
      </c>
      <c r="B122" s="397"/>
      <c r="C122" s="387" t="s">
        <v>2443</v>
      </c>
      <c r="D122" s="387" t="s">
        <v>2444</v>
      </c>
      <c r="E122" s="387">
        <f t="shared" si="20"/>
        <v>1</v>
      </c>
      <c r="F122" s="392">
        <v>14</v>
      </c>
      <c r="G122" s="387" t="str">
        <f t="shared" si="21"/>
        <v>142024</v>
      </c>
      <c r="H122" s="387">
        <f t="shared" si="19"/>
        <v>35</v>
      </c>
      <c r="I122" s="398"/>
      <c r="J122" s="398"/>
      <c r="K122" s="389"/>
      <c r="L122" s="391" t="s">
        <v>2351</v>
      </c>
      <c r="M122" s="399"/>
      <c r="N122" s="391"/>
      <c r="O122" s="387" t="str">
        <f ca="1">IFERROR(IF(COUNTA($D$41:$D122)=1,"",OFFSET($C120,-COUNTA($D$41:$D122)+3,0)),"")</f>
        <v/>
      </c>
      <c r="P122" s="387">
        <f t="shared" ca="1" si="22"/>
        <v>79</v>
      </c>
      <c r="Q122" s="387"/>
      <c r="R122" s="387"/>
      <c r="S122" s="387"/>
      <c r="T122" s="387"/>
    </row>
    <row r="123" spans="1:20">
      <c r="A123" s="387" t="b">
        <v>0</v>
      </c>
      <c r="B123" s="397"/>
      <c r="C123" s="387" t="s">
        <v>2445</v>
      </c>
      <c r="D123" s="387" t="s">
        <v>2444</v>
      </c>
      <c r="E123" s="387">
        <f t="shared" si="20"/>
        <v>2</v>
      </c>
      <c r="F123" s="392">
        <v>14</v>
      </c>
      <c r="G123" s="387" t="str">
        <f t="shared" si="21"/>
        <v>142025</v>
      </c>
      <c r="H123" s="387">
        <f t="shared" si="19"/>
        <v>35</v>
      </c>
      <c r="I123" s="398"/>
      <c r="J123" s="398"/>
      <c r="K123" s="389"/>
      <c r="L123" s="391" t="s">
        <v>2353</v>
      </c>
      <c r="M123" s="399"/>
      <c r="N123" s="391"/>
      <c r="O123" s="387" t="str">
        <f ca="1">IFERROR(IF(COUNTA($D$41:$D123)=1,"",OFFSET($C121,-COUNTA($D$41:$D123)+3,0)),"")</f>
        <v/>
      </c>
      <c r="P123" s="387">
        <f t="shared" ca="1" si="22"/>
        <v>80</v>
      </c>
      <c r="Q123" s="387"/>
      <c r="R123" s="387"/>
      <c r="S123" s="387"/>
      <c r="T123" s="387"/>
    </row>
    <row r="124" spans="1:20">
      <c r="A124" s="387" t="b">
        <v>0</v>
      </c>
      <c r="B124" s="397"/>
      <c r="C124" s="387" t="s">
        <v>2446</v>
      </c>
      <c r="D124" s="387" t="s">
        <v>2444</v>
      </c>
      <c r="E124" s="387">
        <f t="shared" si="20"/>
        <v>3</v>
      </c>
      <c r="F124" s="392">
        <v>14</v>
      </c>
      <c r="G124" s="387" t="str">
        <f t="shared" si="21"/>
        <v>142026</v>
      </c>
      <c r="H124" s="387">
        <f t="shared" si="19"/>
        <v>35</v>
      </c>
      <c r="I124" s="398"/>
      <c r="J124" s="398"/>
      <c r="K124" s="389"/>
      <c r="L124" s="391" t="s">
        <v>2355</v>
      </c>
      <c r="M124" s="399"/>
      <c r="N124" s="391"/>
      <c r="O124" s="387" t="str">
        <f ca="1">IFERROR(IF(COUNTA($D$41:$D124)=1,"",OFFSET($C122,-COUNTA($D$41:$D124)+3,0)),"")</f>
        <v/>
      </c>
      <c r="P124" s="387">
        <f t="shared" ca="1" si="22"/>
        <v>81</v>
      </c>
      <c r="Q124" s="387"/>
      <c r="R124" s="387"/>
      <c r="S124" s="387"/>
      <c r="T124" s="387"/>
    </row>
    <row r="125" spans="1:20">
      <c r="A125" s="387" t="b">
        <v>0</v>
      </c>
      <c r="B125" s="397"/>
      <c r="C125" s="387" t="s">
        <v>2447</v>
      </c>
      <c r="D125" s="387" t="s">
        <v>2444</v>
      </c>
      <c r="E125" s="387">
        <f t="shared" si="20"/>
        <v>4</v>
      </c>
      <c r="F125" s="392">
        <v>14</v>
      </c>
      <c r="G125" s="387" t="str">
        <f t="shared" si="21"/>
        <v>14</v>
      </c>
      <c r="H125" s="387">
        <f t="shared" si="19"/>
        <v>35</v>
      </c>
      <c r="I125" s="398"/>
      <c r="J125" s="398"/>
      <c r="K125" s="389"/>
      <c r="L125" s="391"/>
      <c r="M125" s="399"/>
      <c r="N125" s="391"/>
      <c r="O125" s="387" t="str">
        <f ca="1">IFERROR(IF(COUNTA($D$41:$D125)=1,"",OFFSET($C123,-COUNTA($D$41:$D125)+3,0)),"")</f>
        <v/>
      </c>
      <c r="P125" s="387">
        <f t="shared" ca="1" si="22"/>
        <v>82</v>
      </c>
      <c r="Q125" s="387"/>
      <c r="R125" s="387"/>
      <c r="S125" s="387"/>
      <c r="T125" s="387"/>
    </row>
    <row r="126" spans="1:20">
      <c r="A126" s="387" t="b">
        <v>0</v>
      </c>
      <c r="B126" s="397"/>
      <c r="C126" s="387" t="s">
        <v>2448</v>
      </c>
      <c r="D126" s="387" t="s">
        <v>2444</v>
      </c>
      <c r="E126" s="387">
        <f t="shared" si="20"/>
        <v>5</v>
      </c>
      <c r="F126" s="392">
        <v>14</v>
      </c>
      <c r="G126" s="387" t="str">
        <f t="shared" si="21"/>
        <v>14</v>
      </c>
      <c r="H126" s="387">
        <f t="shared" si="19"/>
        <v>35</v>
      </c>
      <c r="I126" s="398"/>
      <c r="J126" s="398"/>
      <c r="K126" s="389"/>
      <c r="L126" s="391"/>
      <c r="M126" s="399"/>
      <c r="N126" s="391"/>
      <c r="O126" s="387" t="str">
        <f ca="1">IFERROR(IF(COUNTA($D$41:$D126)=1,"",OFFSET($C124,-COUNTA($D$41:$D126)+3,0)),"")</f>
        <v/>
      </c>
      <c r="P126" s="387">
        <f t="shared" ca="1" si="22"/>
        <v>83</v>
      </c>
      <c r="Q126" s="387"/>
      <c r="R126" s="387"/>
      <c r="S126" s="387"/>
      <c r="T126" s="387"/>
    </row>
    <row r="127" spans="1:20">
      <c r="A127" s="387" t="b">
        <v>0</v>
      </c>
      <c r="B127" s="397"/>
      <c r="C127" s="387" t="s">
        <v>2449</v>
      </c>
      <c r="D127" s="387" t="s">
        <v>2444</v>
      </c>
      <c r="E127" s="387">
        <f t="shared" si="20"/>
        <v>6</v>
      </c>
      <c r="F127" s="392">
        <v>14</v>
      </c>
      <c r="G127" s="387" t="str">
        <f t="shared" si="21"/>
        <v>14</v>
      </c>
      <c r="H127" s="387">
        <f t="shared" si="19"/>
        <v>35</v>
      </c>
      <c r="I127" s="398"/>
      <c r="J127" s="398"/>
      <c r="K127" s="389"/>
      <c r="L127" s="391"/>
      <c r="M127" s="399"/>
      <c r="N127" s="391"/>
      <c r="O127" s="387" t="str">
        <f ca="1">IFERROR(IF(COUNTA($D$41:$D127)=1,"",OFFSET($C125,-COUNTA($D$41:$D127)+3,0)),"")</f>
        <v/>
      </c>
      <c r="P127" s="387">
        <f t="shared" ca="1" si="22"/>
        <v>84</v>
      </c>
      <c r="Q127" s="387"/>
      <c r="R127" s="387"/>
      <c r="S127" s="387"/>
      <c r="T127" s="387"/>
    </row>
    <row r="128" spans="1:20">
      <c r="A128" s="387" t="b">
        <v>0</v>
      </c>
      <c r="B128" s="397"/>
      <c r="C128" s="387" t="s">
        <v>2450</v>
      </c>
      <c r="D128" s="387" t="s">
        <v>2451</v>
      </c>
      <c r="E128" s="387">
        <f t="shared" si="20"/>
        <v>1</v>
      </c>
      <c r="F128" s="392">
        <v>15</v>
      </c>
      <c r="G128" s="387" t="str">
        <f t="shared" si="21"/>
        <v>152024</v>
      </c>
      <c r="H128" s="387">
        <f t="shared" si="19"/>
        <v>37</v>
      </c>
      <c r="I128" s="398"/>
      <c r="J128" s="398"/>
      <c r="K128" s="389"/>
      <c r="L128" s="391" t="s">
        <v>2351</v>
      </c>
      <c r="M128" s="399"/>
      <c r="N128" s="391"/>
      <c r="O128" s="387" t="str">
        <f ca="1">IFERROR(IF(COUNTA($D$41:$D128)=1,"",OFFSET($C126,-COUNTA($D$41:$D128)+3,0)),"")</f>
        <v/>
      </c>
      <c r="P128" s="387">
        <f t="shared" ca="1" si="22"/>
        <v>85</v>
      </c>
      <c r="Q128" s="387"/>
      <c r="R128" s="387"/>
      <c r="S128" s="387"/>
      <c r="T128" s="387"/>
    </row>
    <row r="129" spans="1:20">
      <c r="A129" s="387" t="b">
        <v>0</v>
      </c>
      <c r="B129" s="397"/>
      <c r="C129" s="387" t="s">
        <v>2452</v>
      </c>
      <c r="D129" s="387" t="s">
        <v>2451</v>
      </c>
      <c r="E129" s="387">
        <f t="shared" si="20"/>
        <v>2</v>
      </c>
      <c r="F129" s="392">
        <v>15</v>
      </c>
      <c r="G129" s="387" t="str">
        <f t="shared" si="21"/>
        <v>152025</v>
      </c>
      <c r="H129" s="387">
        <f t="shared" si="19"/>
        <v>37</v>
      </c>
      <c r="I129" s="398"/>
      <c r="J129" s="398"/>
      <c r="K129" s="389"/>
      <c r="L129" s="391" t="s">
        <v>2353</v>
      </c>
      <c r="M129" s="399"/>
      <c r="N129" s="391"/>
      <c r="O129" s="387" t="str">
        <f ca="1">IFERROR(IF(COUNTA($D$41:$D129)=1,"",OFFSET($C127,-COUNTA($D$41:$D129)+3,0)),"")</f>
        <v/>
      </c>
      <c r="P129" s="387">
        <f t="shared" ca="1" si="22"/>
        <v>86</v>
      </c>
      <c r="Q129" s="387"/>
      <c r="R129" s="387"/>
      <c r="S129" s="387"/>
      <c r="T129" s="387"/>
    </row>
    <row r="130" spans="1:20">
      <c r="A130" s="387" t="b">
        <v>0</v>
      </c>
      <c r="B130" s="397"/>
      <c r="C130" s="387" t="s">
        <v>2453</v>
      </c>
      <c r="D130" s="387" t="s">
        <v>2451</v>
      </c>
      <c r="E130" s="387">
        <f t="shared" si="20"/>
        <v>3</v>
      </c>
      <c r="F130" s="392">
        <v>15</v>
      </c>
      <c r="G130" s="387" t="str">
        <f t="shared" si="21"/>
        <v>152026</v>
      </c>
      <c r="H130" s="387">
        <f t="shared" si="19"/>
        <v>37</v>
      </c>
      <c r="I130" s="398"/>
      <c r="J130" s="398"/>
      <c r="K130" s="389"/>
      <c r="L130" s="391" t="s">
        <v>2355</v>
      </c>
      <c r="M130" s="399"/>
      <c r="N130" s="391"/>
      <c r="O130" s="387" t="str">
        <f ca="1">IFERROR(IF(COUNTA($D$41:$D130)=1,"",OFFSET($C128,-COUNTA($D$41:$D130)+3,0)),"")</f>
        <v/>
      </c>
      <c r="P130" s="387">
        <f t="shared" ca="1" si="22"/>
        <v>87</v>
      </c>
      <c r="Q130" s="387"/>
      <c r="R130" s="387"/>
      <c r="S130" s="387"/>
      <c r="T130" s="387"/>
    </row>
    <row r="131" spans="1:20">
      <c r="A131" s="387" t="b">
        <v>0</v>
      </c>
      <c r="B131" s="397"/>
      <c r="C131" s="387" t="s">
        <v>2454</v>
      </c>
      <c r="D131" s="387" t="s">
        <v>2451</v>
      </c>
      <c r="E131" s="387">
        <f t="shared" si="20"/>
        <v>4</v>
      </c>
      <c r="F131" s="392">
        <v>15</v>
      </c>
      <c r="G131" s="387" t="str">
        <f t="shared" si="21"/>
        <v>15</v>
      </c>
      <c r="H131" s="387">
        <f t="shared" si="19"/>
        <v>37</v>
      </c>
      <c r="I131" s="398"/>
      <c r="J131" s="398"/>
      <c r="K131" s="389"/>
      <c r="L131" s="391"/>
      <c r="M131" s="399"/>
      <c r="N131" s="391"/>
      <c r="O131" s="387" t="str">
        <f ca="1">IFERROR(IF(COUNTA($D$41:$D131)=1,"",OFFSET($C129,-COUNTA($D$41:$D131)+3,0)),"")</f>
        <v/>
      </c>
      <c r="P131" s="387">
        <f t="shared" ca="1" si="22"/>
        <v>88</v>
      </c>
      <c r="Q131" s="387"/>
      <c r="R131" s="387"/>
      <c r="S131" s="387"/>
      <c r="T131" s="387"/>
    </row>
    <row r="132" spans="1:20">
      <c r="A132" s="387" t="b">
        <v>0</v>
      </c>
      <c r="B132" s="397"/>
      <c r="C132" s="387" t="s">
        <v>2455</v>
      </c>
      <c r="D132" s="387" t="s">
        <v>2451</v>
      </c>
      <c r="E132" s="387">
        <f t="shared" si="20"/>
        <v>5</v>
      </c>
      <c r="F132" s="392">
        <v>15</v>
      </c>
      <c r="G132" s="387" t="str">
        <f t="shared" si="21"/>
        <v>15</v>
      </c>
      <c r="H132" s="387">
        <f t="shared" si="19"/>
        <v>37</v>
      </c>
      <c r="I132" s="398"/>
      <c r="J132" s="398"/>
      <c r="K132" s="389"/>
      <c r="L132" s="391"/>
      <c r="M132" s="399"/>
      <c r="N132" s="391"/>
      <c r="O132" s="387" t="str">
        <f ca="1">IFERROR(IF(COUNTA($D$41:$D132)=1,"",OFFSET($C130,-COUNTA($D$41:$D132)+3,0)),"")</f>
        <v/>
      </c>
      <c r="P132" s="387">
        <f t="shared" ca="1" si="22"/>
        <v>89</v>
      </c>
      <c r="Q132" s="387"/>
      <c r="R132" s="387"/>
      <c r="S132" s="387"/>
      <c r="T132" s="387"/>
    </row>
    <row r="133" spans="1:20">
      <c r="A133" s="387" t="b">
        <v>0</v>
      </c>
      <c r="B133" s="397"/>
      <c r="C133" s="387" t="s">
        <v>2456</v>
      </c>
      <c r="D133" s="387" t="s">
        <v>2451</v>
      </c>
      <c r="E133" s="387">
        <f t="shared" si="20"/>
        <v>6</v>
      </c>
      <c r="F133" s="392">
        <v>15</v>
      </c>
      <c r="G133" s="387" t="str">
        <f t="shared" si="21"/>
        <v>15</v>
      </c>
      <c r="H133" s="387">
        <f t="shared" si="19"/>
        <v>37</v>
      </c>
      <c r="I133" s="398"/>
      <c r="J133" s="398"/>
      <c r="K133" s="389"/>
      <c r="L133" s="391"/>
      <c r="M133" s="399"/>
      <c r="N133" s="391"/>
      <c r="O133" s="387" t="str">
        <f ca="1">IFERROR(IF(COUNTA($D$41:$D133)=1,"",OFFSET($C131,-COUNTA($D$41:$D133)+3,0)),"")</f>
        <v/>
      </c>
      <c r="P133" s="387">
        <f t="shared" ca="1" si="22"/>
        <v>90</v>
      </c>
      <c r="Q133" s="387"/>
      <c r="R133" s="387"/>
      <c r="S133" s="387"/>
      <c r="T133" s="387"/>
    </row>
    <row r="134" spans="1:20">
      <c r="A134" s="387" t="b">
        <f t="shared" ref="A134:A197" ca="1" si="23">IF(OR(I134&lt;&gt;"",J134&lt;&gt;"",K134&lt;&gt;"",M134&lt;&gt;"",N134&lt;&gt;""),TRUE,FALSE)</f>
        <v>1</v>
      </c>
      <c r="B134" s="397"/>
      <c r="C134" s="396" t="str">
        <f t="shared" ref="C134:C197" ca="1" si="24">O134</f>
        <v>a1HDm000000c2ydMAA</v>
      </c>
      <c r="D134" s="387"/>
      <c r="E134" s="387">
        <f t="shared" ca="1" si="20"/>
        <v>1</v>
      </c>
      <c r="F134" s="392">
        <f ca="1">IFERROR(IF(COUNTA($D$41:$D134)=1,"",OFFSET($F132,-COUNTA($D$41:$D134)+3,0)),"")</f>
        <v>1</v>
      </c>
      <c r="G134" s="387" t="str">
        <f t="shared" ca="1" si="21"/>
        <v>12024</v>
      </c>
      <c r="H134" s="387">
        <f t="shared" ref="H134:H197" ca="1" si="25">VLOOKUP(F134,$AH$1:$AI$225,2,FALSE)</f>
        <v>9</v>
      </c>
      <c r="I134" s="398" t="str">
        <f t="shared" ref="I134:I197" ca="1" si="26">IFERROR(CHOOSE(E134,IFERROR(IF(INDIRECT("'Impact Indicators - Section B '!K"&amp;H134+1)="","",INDIRECT("'Impact Indicators - Section B '!K"&amp;H134+1)),""),IFERROR(IF(INDIRECT("'Impact Indicators - Section B '!O"&amp;H134+1)="","",INDIRECT("'Impact Indicators - Section B '!O"&amp;H134+1)),""),IFERROR(IF(INDIRECT("'Impact Indicators - Section B '!S"&amp;H134+1)="","",INDIRECT("'Impact Indicators - Section B '!S"&amp;H134+1)),""),IFERROR(IF(INDIRECT("'Impact Indicators - Section B '!W"&amp;H134+1)="","",INDIRECT("'Impact Indicators - Section B '!W"&amp;H134+1)),"")),"")</f>
        <v/>
      </c>
      <c r="J134" s="398">
        <f t="shared" ref="J134:J197" ca="1" si="27">IFERROR(CHOOSE(E134,IFERROR(IF(INDIRECT("'Impact Indicators - Section B '!K"&amp;H134)="","",INDIRECT("'Impact Indicators - Section B '!K"&amp;H134)),""),IFERROR(IF(INDIRECT("'Impact Indicators - Section B '!O"&amp;H134)="","",INDIRECT("'Impact Indicators - Section B '!O"&amp;H134)),""),IFERROR(IF(INDIRECT("'Impact Indicators - Section B '!S"&amp;H134)="","",INDIRECT("'Impact Indicators - Section B '!S"&amp;H134)),""),IFERROR(IF(INDIRECT("'Impact Indicators - Section B '!W"&amp;H134)="","",INDIRECT("'Impact Indicators - Section B '!W"&amp;H134)),"")),"")</f>
        <v>38</v>
      </c>
      <c r="K134" s="389" t="str">
        <f t="shared" ref="K134:K197" ca="1" si="28">IFERROR(CHOOSE(E134,IFERROR(IF(INDIRECT("'Impact Indicators - Section B '!L"&amp;H134)="","",INDIRECT("'Impact Indicators - Section B '!L"&amp;H134)*100),""),IFERROR(IF(INDIRECT("'Impact Indicators - Section B '!P"&amp;H134)="","",INDIRECT("'Impact Indicators - Section B '!P"&amp;H134)*100),""),IFERROR(IF(INDIRECT("'Impact Indicators - Section B '!T"&amp;H134)="","",INDIRECT("'Impact Indicators - Section B '!T"&amp;H134)*100),""),IFERROR(IF(INDIRECT("'Impact Indicators - Section B '!X"&amp;H134)="","",INDIRECT("'Impact Indicators - Section B '!X"&amp;H134)*100),"")),"")</f>
        <v/>
      </c>
      <c r="L134" s="391">
        <f ca="1">IFERROR(CHOOSE(E134,'Impact Indicators - Section B '!$K$7,'Impact Indicators - Section B '!$O$7,'Impact Indicators - Section B '!$S$7,'Impact Indicators - Section B '!$W$7,'Impact Indicators - Section B '!#REF!),"")</f>
        <v>2024</v>
      </c>
      <c r="M134" s="399" t="str">
        <f t="shared" ref="M134:M197" ca="1" si="29">IFERROR(CHOOSE(E134,IFERROR(IF(INDIRECT("'Impact Indicators - Section B '!M"&amp;H134)="","",INDIRECT("'Impact Indicators - Section B '!M"&amp;H134)),""),IFERROR(IF(INDIRECT("'Impact Indicators - Section B '!Q"&amp;H134)=0,"",INDIRECT("'Impact Indicators - Section B '!Q"&amp;H134)),""),IFERROR(IF(INDIRECT("'Impact Indicators - Section B '!U"&amp;H134)=0,"",INDIRECT("'Impact Indicators - Section B '!U"&amp;H134)),""),IFERROR(IF(INDIRECT("'Impact Indicators - Section B '!Y"&amp;H134)=0,"",INDIRECT("'Impact Indicators - Section B '!Y"&amp;H134)),"")),"")</f>
        <v/>
      </c>
      <c r="N134" s="391" t="str">
        <f t="shared" ref="N134:N197" ca="1" si="30">IFERROR(CHOOSE(E134,IFERROR(IF(INDIRECT("'Impact Indicators - Section B '!N"&amp;H134)=0,"",INDIRECT("'Impact Indicators - Section B '!N"&amp;H134)),""),IFERROR(IF(INDIRECT("'Impact Indicators - Section B '!R"&amp;H134)=0,"",INDIRECT("'Impact Indicators - Section B '!R"&amp;H134)),""),IFERROR(IF(INDIRECT("'Impact Indicators - Section B '!V"&amp;H134)=0,"",INDIRECT("'Impact Indicators - Section B '!V"&amp;H134)),""),IFERROR(IF(INDIRECT("'Impact Indicators - Section B '!Z"&amp;H134)=0,"",INDIRECT("'Impact Indicators - Section B '!Z"&amp;H134)),"")),"")</f>
        <v/>
      </c>
      <c r="O134" s="387" t="str">
        <f ca="1">IFERROR(IF(COUNTA($D$41:$D134)=1,"",OFFSET($C132,-COUNTA($D$41:$D134)+3,0)),"")</f>
        <v>a1HDm000000c2ydMAA</v>
      </c>
      <c r="P134" s="387">
        <f t="shared" ca="1" si="22"/>
        <v>0</v>
      </c>
      <c r="Q134" s="387"/>
      <c r="R134" s="387"/>
      <c r="S134" s="387"/>
      <c r="T134" s="387" t="b">
        <f t="shared" ref="T134:T197" ca="1" si="31">IF(A134=TRUE,TRUE,FALSE)</f>
        <v>1</v>
      </c>
    </row>
    <row r="135" spans="1:20">
      <c r="A135" s="387" t="b">
        <f t="shared" ca="1" si="23"/>
        <v>1</v>
      </c>
      <c r="B135" s="397"/>
      <c r="C135" s="396" t="str">
        <f t="shared" ca="1" si="24"/>
        <v>a1HDm000000c2ysMAA</v>
      </c>
      <c r="D135" s="387"/>
      <c r="E135" s="387">
        <f t="shared" ca="1" si="20"/>
        <v>2</v>
      </c>
      <c r="F135" s="392">
        <f ca="1">IFERROR(IF(COUNTA($D$41:$D135)=1,"",OFFSET($F133,-COUNTA($D$41:$D135)+3,0)),"")</f>
        <v>1</v>
      </c>
      <c r="G135" s="387" t="str">
        <f t="shared" ca="1" si="21"/>
        <v>12025</v>
      </c>
      <c r="H135" s="387">
        <f t="shared" ca="1" si="25"/>
        <v>9</v>
      </c>
      <c r="I135" s="398" t="str">
        <f t="shared" ca="1" si="26"/>
        <v/>
      </c>
      <c r="J135" s="398">
        <f t="shared" ca="1" si="27"/>
        <v>33</v>
      </c>
      <c r="K135" s="389" t="str">
        <f t="shared" ca="1" si="28"/>
        <v/>
      </c>
      <c r="L135" s="391">
        <f ca="1">IFERROR(CHOOSE(E135,'Impact Indicators - Section B '!$K$7,'Impact Indicators - Section B '!$O$7,'Impact Indicators - Section B '!$S$7,'Impact Indicators - Section B '!$W$7,'Impact Indicators - Section B '!#REF!),"")</f>
        <v>2025</v>
      </c>
      <c r="M135" s="399" t="str">
        <f t="shared" ca="1" si="29"/>
        <v/>
      </c>
      <c r="N135" s="391" t="str">
        <f t="shared" ca="1" si="30"/>
        <v/>
      </c>
      <c r="O135" s="387" t="str">
        <f ca="1">IFERROR(IF(COUNTA($D$41:$D135)=1,"",OFFSET($C133,-COUNTA($D$41:$D135)+3,0)),"")</f>
        <v>a1HDm000000c2ysMAA</v>
      </c>
      <c r="P135" s="387">
        <f t="shared" ca="1" si="22"/>
        <v>0</v>
      </c>
      <c r="Q135" s="387"/>
      <c r="R135" s="387"/>
      <c r="S135" s="387"/>
      <c r="T135" s="387" t="b">
        <f t="shared" ca="1" si="31"/>
        <v>1</v>
      </c>
    </row>
    <row r="136" spans="1:20">
      <c r="A136" s="387" t="b">
        <f t="shared" ca="1" si="23"/>
        <v>1</v>
      </c>
      <c r="B136" s="397"/>
      <c r="C136" s="396" t="str">
        <f t="shared" ca="1" si="24"/>
        <v>a1HDm000000c2z7MAA</v>
      </c>
      <c r="D136" s="387"/>
      <c r="E136" s="387">
        <f t="shared" ca="1" si="20"/>
        <v>3</v>
      </c>
      <c r="F136" s="392">
        <f ca="1">IFERROR(IF(COUNTA($D$41:$D136)=1,"",OFFSET($F134,-COUNTA($D$41:$D136)+3,0)),"")</f>
        <v>1</v>
      </c>
      <c r="G136" s="387" t="str">
        <f t="shared" ca="1" si="21"/>
        <v>12026</v>
      </c>
      <c r="H136" s="387">
        <f t="shared" ca="1" si="25"/>
        <v>9</v>
      </c>
      <c r="I136" s="398" t="str">
        <f t="shared" ca="1" si="26"/>
        <v/>
      </c>
      <c r="J136" s="398">
        <f t="shared" ca="1" si="27"/>
        <v>28</v>
      </c>
      <c r="K136" s="389" t="str">
        <f t="shared" ca="1" si="28"/>
        <v/>
      </c>
      <c r="L136" s="391">
        <f ca="1">IFERROR(CHOOSE(E136,'Impact Indicators - Section B '!$K$7,'Impact Indicators - Section B '!$O$7,'Impact Indicators - Section B '!$S$7,'Impact Indicators - Section B '!$W$7,'Impact Indicators - Section B '!#REF!),"")</f>
        <v>2026</v>
      </c>
      <c r="M136" s="399" t="str">
        <f t="shared" ca="1" si="29"/>
        <v/>
      </c>
      <c r="N136" s="391" t="str">
        <f t="shared" ca="1" si="30"/>
        <v/>
      </c>
      <c r="O136" s="387" t="str">
        <f ca="1">IFERROR(IF(COUNTA($D$41:$D136)=1,"",OFFSET($C134,-COUNTA($D$41:$D136)+3,0)),"")</f>
        <v>a1HDm000000c2z7MAA</v>
      </c>
      <c r="P136" s="387">
        <f t="shared" ca="1" si="22"/>
        <v>0</v>
      </c>
      <c r="Q136" s="387"/>
      <c r="R136" s="387"/>
      <c r="S136" s="387"/>
      <c r="T136" s="387" t="b">
        <f t="shared" ca="1" si="31"/>
        <v>1</v>
      </c>
    </row>
    <row r="137" spans="1:20">
      <c r="A137" s="387" t="b">
        <f t="shared" ca="1" si="23"/>
        <v>0</v>
      </c>
      <c r="B137" s="397"/>
      <c r="C137" s="396" t="str">
        <f t="shared" ca="1" si="24"/>
        <v>a1HDm000000c2zMMAQ</v>
      </c>
      <c r="D137" s="387"/>
      <c r="E137" s="387">
        <f t="shared" ca="1" si="20"/>
        <v>4</v>
      </c>
      <c r="F137" s="392">
        <f ca="1">IFERROR(IF(COUNTA($D$41:$D137)=1,"",OFFSET($F135,-COUNTA($D$41:$D137)+3,0)),"")</f>
        <v>1</v>
      </c>
      <c r="G137" s="387" t="str">
        <f t="shared" ca="1" si="21"/>
        <v>1</v>
      </c>
      <c r="H137" s="387">
        <f t="shared" ca="1" si="25"/>
        <v>9</v>
      </c>
      <c r="I137" s="398" t="str">
        <f t="shared" ca="1" si="26"/>
        <v/>
      </c>
      <c r="J137" s="398" t="str">
        <f t="shared" ca="1" si="27"/>
        <v/>
      </c>
      <c r="K137" s="389" t="str">
        <f t="shared" ca="1" si="28"/>
        <v/>
      </c>
      <c r="L137" s="391" t="str">
        <f ca="1">IFERROR(CHOOSE(E137,'Impact Indicators - Section B '!$K$7,'Impact Indicators - Section B '!$O$7,'Impact Indicators - Section B '!$S$7,'Impact Indicators - Section B '!$W$7,'Impact Indicators - Section B '!#REF!),"")</f>
        <v/>
      </c>
      <c r="M137" s="399" t="str">
        <f t="shared" ca="1" si="29"/>
        <v/>
      </c>
      <c r="N137" s="391" t="str">
        <f t="shared" ca="1" si="30"/>
        <v/>
      </c>
      <c r="O137" s="387" t="str">
        <f ca="1">IFERROR(IF(COUNTA($D$41:$D137)=1,"",OFFSET($C135,-COUNTA($D$41:$D137)+3,0)),"")</f>
        <v>a1HDm000000c2zMMAQ</v>
      </c>
      <c r="P137" s="387">
        <f t="shared" ca="1" si="22"/>
        <v>0</v>
      </c>
      <c r="Q137" s="387"/>
      <c r="R137" s="387"/>
      <c r="S137" s="387"/>
      <c r="T137" s="387" t="b">
        <f t="shared" ca="1" si="31"/>
        <v>0</v>
      </c>
    </row>
    <row r="138" spans="1:20">
      <c r="A138" s="387" t="b">
        <f t="shared" ca="1" si="23"/>
        <v>0</v>
      </c>
      <c r="B138" s="397"/>
      <c r="C138" s="396" t="str">
        <f t="shared" ca="1" si="24"/>
        <v>a1HDm000000c2zbMAA</v>
      </c>
      <c r="D138" s="387"/>
      <c r="E138" s="387">
        <f t="shared" ca="1" si="20"/>
        <v>5</v>
      </c>
      <c r="F138" s="392">
        <f ca="1">IFERROR(IF(COUNTA($D$41:$D138)=1,"",OFFSET($F136,-COUNTA($D$41:$D138)+3,0)),"")</f>
        <v>1</v>
      </c>
      <c r="G138" s="387" t="str">
        <f t="shared" ca="1" si="21"/>
        <v>1</v>
      </c>
      <c r="H138" s="387">
        <f t="shared" ca="1" si="25"/>
        <v>9</v>
      </c>
      <c r="I138" s="398" t="str">
        <f t="shared" ca="1" si="26"/>
        <v/>
      </c>
      <c r="J138" s="398" t="str">
        <f t="shared" ca="1" si="27"/>
        <v/>
      </c>
      <c r="K138" s="389" t="str">
        <f t="shared" ca="1" si="28"/>
        <v/>
      </c>
      <c r="L138" s="391" t="str">
        <f ca="1">IFERROR(CHOOSE(E138,'Impact Indicators - Section B '!$K$7,'Impact Indicators - Section B '!$O$7,'Impact Indicators - Section B '!$S$7,'Impact Indicators - Section B '!$W$7,'Impact Indicators - Section B '!#REF!),"")</f>
        <v/>
      </c>
      <c r="M138" s="399" t="str">
        <f t="shared" ca="1" si="29"/>
        <v/>
      </c>
      <c r="N138" s="391" t="str">
        <f t="shared" ca="1" si="30"/>
        <v/>
      </c>
      <c r="O138" s="387" t="str">
        <f ca="1">IFERROR(IF(COUNTA($D$41:$D138)=1,"",OFFSET($C136,-COUNTA($D$41:$D138)+3,0)),"")</f>
        <v>a1HDm000000c2zbMAA</v>
      </c>
      <c r="P138" s="387">
        <f t="shared" ca="1" si="22"/>
        <v>0</v>
      </c>
      <c r="Q138" s="387"/>
      <c r="R138" s="387"/>
      <c r="S138" s="387"/>
      <c r="T138" s="387" t="b">
        <f t="shared" ca="1" si="31"/>
        <v>0</v>
      </c>
    </row>
    <row r="139" spans="1:20">
      <c r="A139" s="387" t="b">
        <f t="shared" ca="1" si="23"/>
        <v>0</v>
      </c>
      <c r="B139" s="397"/>
      <c r="C139" s="396" t="str">
        <f t="shared" ca="1" si="24"/>
        <v>a1HDm000000c2zqMAA</v>
      </c>
      <c r="D139" s="387"/>
      <c r="E139" s="387">
        <f t="shared" ca="1" si="20"/>
        <v>6</v>
      </c>
      <c r="F139" s="392">
        <f ca="1">IFERROR(IF(COUNTA($D$41:$D139)=1,"",OFFSET($F137,-COUNTA($D$41:$D139)+3,0)),"")</f>
        <v>1</v>
      </c>
      <c r="G139" s="387" t="str">
        <f t="shared" ca="1" si="21"/>
        <v>1</v>
      </c>
      <c r="H139" s="387">
        <f t="shared" ca="1" si="25"/>
        <v>9</v>
      </c>
      <c r="I139" s="398" t="str">
        <f t="shared" ca="1" si="26"/>
        <v/>
      </c>
      <c r="J139" s="398" t="str">
        <f t="shared" ca="1" si="27"/>
        <v/>
      </c>
      <c r="K139" s="389" t="str">
        <f t="shared" ca="1" si="28"/>
        <v/>
      </c>
      <c r="L139" s="391" t="str">
        <f ca="1">IFERROR(CHOOSE(E139,'Impact Indicators - Section B '!$K$7,'Impact Indicators - Section B '!$O$7,'Impact Indicators - Section B '!$S$7,'Impact Indicators - Section B '!$W$7,'Impact Indicators - Section B '!#REF!),"")</f>
        <v/>
      </c>
      <c r="M139" s="399" t="str">
        <f t="shared" ca="1" si="29"/>
        <v/>
      </c>
      <c r="N139" s="391" t="str">
        <f t="shared" ca="1" si="30"/>
        <v/>
      </c>
      <c r="O139" s="387" t="str">
        <f ca="1">IFERROR(IF(COUNTA($D$41:$D139)=1,"",OFFSET($C137,-COUNTA($D$41:$D139)+3,0)),"")</f>
        <v>a1HDm000000c2zqMAA</v>
      </c>
      <c r="P139" s="387">
        <f t="shared" ca="1" si="22"/>
        <v>0</v>
      </c>
      <c r="Q139" s="387"/>
      <c r="R139" s="387"/>
      <c r="S139" s="387"/>
      <c r="T139" s="387" t="b">
        <f t="shared" ca="1" si="31"/>
        <v>0</v>
      </c>
    </row>
    <row r="140" spans="1:20">
      <c r="A140" s="387" t="b">
        <f t="shared" ca="1" si="23"/>
        <v>1</v>
      </c>
      <c r="B140" s="397"/>
      <c r="C140" s="396" t="str">
        <f t="shared" ca="1" si="24"/>
        <v>a1HDm000000c2yeMAA</v>
      </c>
      <c r="D140" s="387"/>
      <c r="E140" s="387">
        <f t="shared" ca="1" si="20"/>
        <v>1</v>
      </c>
      <c r="F140" s="392">
        <f ca="1">IFERROR(IF(COUNTA($D$41:$D140)=1,"",OFFSET($F138,-COUNTA($D$41:$D140)+3,0)),"")</f>
        <v>2</v>
      </c>
      <c r="G140" s="387" t="str">
        <f t="shared" ca="1" si="21"/>
        <v>22024</v>
      </c>
      <c r="H140" s="387">
        <f t="shared" ca="1" si="25"/>
        <v>11</v>
      </c>
      <c r="I140" s="398" t="str">
        <f t="shared" ca="1" si="26"/>
        <v/>
      </c>
      <c r="J140" s="398">
        <f t="shared" ca="1" si="27"/>
        <v>315</v>
      </c>
      <c r="K140" s="389" t="str">
        <f t="shared" ca="1" si="28"/>
        <v/>
      </c>
      <c r="L140" s="391">
        <f ca="1">IFERROR(CHOOSE(E140,'Impact Indicators - Section B '!$K$7,'Impact Indicators - Section B '!$O$7,'Impact Indicators - Section B '!$S$7,'Impact Indicators - Section B '!$W$7,'Impact Indicators - Section B '!#REF!),"")</f>
        <v>2024</v>
      </c>
      <c r="M140" s="399" t="str">
        <f t="shared" ca="1" si="29"/>
        <v/>
      </c>
      <c r="N140" s="391" t="str">
        <f t="shared" ca="1" si="30"/>
        <v/>
      </c>
      <c r="O140" s="387" t="str">
        <f ca="1">IFERROR(IF(COUNTA($D$41:$D140)=1,"",OFFSET($C138,-COUNTA($D$41:$D140)+3,0)),"")</f>
        <v>a1HDm000000c2yeMAA</v>
      </c>
      <c r="P140" s="387">
        <f t="shared" ca="1" si="22"/>
        <v>0</v>
      </c>
      <c r="Q140" s="387"/>
      <c r="R140" s="387"/>
      <c r="S140" s="387"/>
      <c r="T140" s="387" t="b">
        <f t="shared" ca="1" si="31"/>
        <v>1</v>
      </c>
    </row>
    <row r="141" spans="1:20">
      <c r="A141" s="387" t="b">
        <f t="shared" ca="1" si="23"/>
        <v>1</v>
      </c>
      <c r="B141" s="397"/>
      <c r="C141" s="396" t="str">
        <f t="shared" ca="1" si="24"/>
        <v>a1HDm000000c2ytMAA</v>
      </c>
      <c r="D141" s="387"/>
      <c r="E141" s="387">
        <f t="shared" ca="1" si="20"/>
        <v>2</v>
      </c>
      <c r="F141" s="392">
        <f ca="1">IFERROR(IF(COUNTA($D$41:$D141)=1,"",OFFSET($F139,-COUNTA($D$41:$D141)+3,0)),"")</f>
        <v>2</v>
      </c>
      <c r="G141" s="387" t="str">
        <f t="shared" ca="1" si="21"/>
        <v>22025</v>
      </c>
      <c r="H141" s="387">
        <f t="shared" ca="1" si="25"/>
        <v>11</v>
      </c>
      <c r="I141" s="398" t="str">
        <f t="shared" ca="1" si="26"/>
        <v/>
      </c>
      <c r="J141" s="398">
        <f t="shared" ca="1" si="27"/>
        <v>313</v>
      </c>
      <c r="K141" s="389" t="str">
        <f t="shared" ca="1" si="28"/>
        <v/>
      </c>
      <c r="L141" s="391">
        <f ca="1">IFERROR(CHOOSE(E141,'Impact Indicators - Section B '!$K$7,'Impact Indicators - Section B '!$O$7,'Impact Indicators - Section B '!$S$7,'Impact Indicators - Section B '!$W$7,'Impact Indicators - Section B '!#REF!),"")</f>
        <v>2025</v>
      </c>
      <c r="M141" s="399" t="str">
        <f t="shared" ca="1" si="29"/>
        <v/>
      </c>
      <c r="N141" s="391" t="str">
        <f t="shared" ca="1" si="30"/>
        <v/>
      </c>
      <c r="O141" s="387" t="str">
        <f ca="1">IFERROR(IF(COUNTA($D$41:$D141)=1,"",OFFSET($C139,-COUNTA($D$41:$D141)+3,0)),"")</f>
        <v>a1HDm000000c2ytMAA</v>
      </c>
      <c r="P141" s="387">
        <f t="shared" ca="1" si="22"/>
        <v>0</v>
      </c>
      <c r="Q141" s="387"/>
      <c r="R141" s="387"/>
      <c r="S141" s="387"/>
      <c r="T141" s="387" t="b">
        <f t="shared" ca="1" si="31"/>
        <v>1</v>
      </c>
    </row>
    <row r="142" spans="1:20">
      <c r="A142" s="387" t="b">
        <f t="shared" ca="1" si="23"/>
        <v>1</v>
      </c>
      <c r="B142" s="397"/>
      <c r="C142" s="396" t="str">
        <f t="shared" ca="1" si="24"/>
        <v>a1HDm000000c2z8MAA</v>
      </c>
      <c r="D142" s="387"/>
      <c r="E142" s="387">
        <f t="shared" ca="1" si="20"/>
        <v>3</v>
      </c>
      <c r="F142" s="392">
        <f ca="1">IFERROR(IF(COUNTA($D$41:$D142)=1,"",OFFSET($F140,-COUNTA($D$41:$D142)+3,0)),"")</f>
        <v>2</v>
      </c>
      <c r="G142" s="387" t="str">
        <f t="shared" ca="1" si="21"/>
        <v>22026</v>
      </c>
      <c r="H142" s="387">
        <f t="shared" ca="1" si="25"/>
        <v>11</v>
      </c>
      <c r="I142" s="398" t="str">
        <f t="shared" ca="1" si="26"/>
        <v/>
      </c>
      <c r="J142" s="398">
        <f t="shared" ca="1" si="27"/>
        <v>311</v>
      </c>
      <c r="K142" s="389" t="str">
        <f t="shared" ca="1" si="28"/>
        <v/>
      </c>
      <c r="L142" s="391">
        <f ca="1">IFERROR(CHOOSE(E142,'Impact Indicators - Section B '!$K$7,'Impact Indicators - Section B '!$O$7,'Impact Indicators - Section B '!$S$7,'Impact Indicators - Section B '!$W$7,'Impact Indicators - Section B '!#REF!),"")</f>
        <v>2026</v>
      </c>
      <c r="M142" s="399" t="str">
        <f t="shared" ca="1" si="29"/>
        <v/>
      </c>
      <c r="N142" s="391" t="str">
        <f t="shared" ca="1" si="30"/>
        <v/>
      </c>
      <c r="O142" s="387" t="str">
        <f ca="1">IFERROR(IF(COUNTA($D$41:$D142)=1,"",OFFSET($C140,-COUNTA($D$41:$D142)+3,0)),"")</f>
        <v>a1HDm000000c2z8MAA</v>
      </c>
      <c r="P142" s="387">
        <f t="shared" ca="1" si="22"/>
        <v>0</v>
      </c>
      <c r="Q142" s="387"/>
      <c r="R142" s="387"/>
      <c r="S142" s="387"/>
      <c r="T142" s="387" t="b">
        <f t="shared" ca="1" si="31"/>
        <v>1</v>
      </c>
    </row>
    <row r="143" spans="1:20">
      <c r="A143" s="387" t="b">
        <f t="shared" ca="1" si="23"/>
        <v>0</v>
      </c>
      <c r="B143" s="397"/>
      <c r="C143" s="396" t="str">
        <f t="shared" ca="1" si="24"/>
        <v>a1HDm000000c2zNMAQ</v>
      </c>
      <c r="D143" s="387"/>
      <c r="E143" s="387">
        <f t="shared" ca="1" si="20"/>
        <v>4</v>
      </c>
      <c r="F143" s="392">
        <f ca="1">IFERROR(IF(COUNTA($D$41:$D143)=1,"",OFFSET($F141,-COUNTA($D$41:$D143)+3,0)),"")</f>
        <v>2</v>
      </c>
      <c r="G143" s="387" t="str">
        <f t="shared" ca="1" si="21"/>
        <v>2</v>
      </c>
      <c r="H143" s="387">
        <f t="shared" ca="1" si="25"/>
        <v>11</v>
      </c>
      <c r="I143" s="398" t="str">
        <f t="shared" ca="1" si="26"/>
        <v/>
      </c>
      <c r="J143" s="398" t="str">
        <f t="shared" ca="1" si="27"/>
        <v/>
      </c>
      <c r="K143" s="389" t="str">
        <f t="shared" ca="1" si="28"/>
        <v/>
      </c>
      <c r="L143" s="391" t="str">
        <f ca="1">IFERROR(CHOOSE(E143,'Impact Indicators - Section B '!$K$7,'Impact Indicators - Section B '!$O$7,'Impact Indicators - Section B '!$S$7,'Impact Indicators - Section B '!$W$7,'Impact Indicators - Section B '!#REF!),"")</f>
        <v/>
      </c>
      <c r="M143" s="399" t="str">
        <f t="shared" ca="1" si="29"/>
        <v/>
      </c>
      <c r="N143" s="391" t="str">
        <f t="shared" ca="1" si="30"/>
        <v/>
      </c>
      <c r="O143" s="387" t="str">
        <f ca="1">IFERROR(IF(COUNTA($D$41:$D143)=1,"",OFFSET($C141,-COUNTA($D$41:$D143)+3,0)),"")</f>
        <v>a1HDm000000c2zNMAQ</v>
      </c>
      <c r="P143" s="387">
        <f t="shared" ca="1" si="22"/>
        <v>0</v>
      </c>
      <c r="Q143" s="387"/>
      <c r="R143" s="387"/>
      <c r="S143" s="387"/>
      <c r="T143" s="387" t="b">
        <f t="shared" ca="1" si="31"/>
        <v>0</v>
      </c>
    </row>
    <row r="144" spans="1:20">
      <c r="A144" s="387" t="b">
        <f t="shared" ca="1" si="23"/>
        <v>0</v>
      </c>
      <c r="B144" s="397"/>
      <c r="C144" s="396" t="str">
        <f t="shared" ca="1" si="24"/>
        <v>a1HDm000000c2zcMAA</v>
      </c>
      <c r="D144" s="387"/>
      <c r="E144" s="387">
        <f t="shared" ca="1" si="20"/>
        <v>5</v>
      </c>
      <c r="F144" s="392">
        <f ca="1">IFERROR(IF(COUNTA($D$41:$D144)=1,"",OFFSET($F142,-COUNTA($D$41:$D144)+3,0)),"")</f>
        <v>2</v>
      </c>
      <c r="G144" s="387" t="str">
        <f t="shared" ca="1" si="21"/>
        <v>2</v>
      </c>
      <c r="H144" s="387">
        <f t="shared" ca="1" si="25"/>
        <v>11</v>
      </c>
      <c r="I144" s="398" t="str">
        <f t="shared" ca="1" si="26"/>
        <v/>
      </c>
      <c r="J144" s="398" t="str">
        <f t="shared" ca="1" si="27"/>
        <v/>
      </c>
      <c r="K144" s="389" t="str">
        <f t="shared" ca="1" si="28"/>
        <v/>
      </c>
      <c r="L144" s="391" t="str">
        <f ca="1">IFERROR(CHOOSE(E144,'Impact Indicators - Section B '!$K$7,'Impact Indicators - Section B '!$O$7,'Impact Indicators - Section B '!$S$7,'Impact Indicators - Section B '!$W$7,'Impact Indicators - Section B '!#REF!),"")</f>
        <v/>
      </c>
      <c r="M144" s="399" t="str">
        <f t="shared" ca="1" si="29"/>
        <v/>
      </c>
      <c r="N144" s="391" t="str">
        <f t="shared" ca="1" si="30"/>
        <v/>
      </c>
      <c r="O144" s="387" t="str">
        <f ca="1">IFERROR(IF(COUNTA($D$41:$D144)=1,"",OFFSET($C142,-COUNTA($D$41:$D144)+3,0)),"")</f>
        <v>a1HDm000000c2zcMAA</v>
      </c>
      <c r="P144" s="387">
        <f t="shared" ca="1" si="22"/>
        <v>0</v>
      </c>
      <c r="Q144" s="387"/>
      <c r="R144" s="387"/>
      <c r="S144" s="387"/>
      <c r="T144" s="387" t="b">
        <f t="shared" ca="1" si="31"/>
        <v>0</v>
      </c>
    </row>
    <row r="145" spans="1:20">
      <c r="A145" s="387" t="b">
        <f t="shared" ca="1" si="23"/>
        <v>0</v>
      </c>
      <c r="B145" s="397"/>
      <c r="C145" s="396" t="str">
        <f t="shared" ca="1" si="24"/>
        <v>a1HDm000000c2zrMAA</v>
      </c>
      <c r="D145" s="387"/>
      <c r="E145" s="387">
        <f t="shared" ca="1" si="20"/>
        <v>6</v>
      </c>
      <c r="F145" s="392">
        <f ca="1">IFERROR(IF(COUNTA($D$41:$D145)=1,"",OFFSET($F143,-COUNTA($D$41:$D145)+3,0)),"")</f>
        <v>2</v>
      </c>
      <c r="G145" s="387" t="str">
        <f t="shared" ca="1" si="21"/>
        <v>2</v>
      </c>
      <c r="H145" s="387">
        <f t="shared" ca="1" si="25"/>
        <v>11</v>
      </c>
      <c r="I145" s="398" t="str">
        <f t="shared" ca="1" si="26"/>
        <v/>
      </c>
      <c r="J145" s="398" t="str">
        <f t="shared" ca="1" si="27"/>
        <v/>
      </c>
      <c r="K145" s="389" t="str">
        <f t="shared" ca="1" si="28"/>
        <v/>
      </c>
      <c r="L145" s="391" t="str">
        <f ca="1">IFERROR(CHOOSE(E145,'Impact Indicators - Section B '!$K$7,'Impact Indicators - Section B '!$O$7,'Impact Indicators - Section B '!$S$7,'Impact Indicators - Section B '!$W$7,'Impact Indicators - Section B '!#REF!),"")</f>
        <v/>
      </c>
      <c r="M145" s="399" t="str">
        <f t="shared" ca="1" si="29"/>
        <v/>
      </c>
      <c r="N145" s="391" t="str">
        <f t="shared" ca="1" si="30"/>
        <v/>
      </c>
      <c r="O145" s="387" t="str">
        <f ca="1">IFERROR(IF(COUNTA($D$41:$D145)=1,"",OFFSET($C143,-COUNTA($D$41:$D145)+3,0)),"")</f>
        <v>a1HDm000000c2zrMAA</v>
      </c>
      <c r="P145" s="387">
        <f t="shared" ca="1" si="22"/>
        <v>0</v>
      </c>
      <c r="Q145" s="387"/>
      <c r="R145" s="387"/>
      <c r="S145" s="387"/>
      <c r="T145" s="387" t="b">
        <f t="shared" ca="1" si="31"/>
        <v>0</v>
      </c>
    </row>
    <row r="146" spans="1:20">
      <c r="A146" s="387" t="b">
        <f t="shared" ca="1" si="23"/>
        <v>1</v>
      </c>
      <c r="B146" s="397"/>
      <c r="C146" s="396" t="str">
        <f t="shared" ca="1" si="24"/>
        <v>a1HDm000000c2yfMAA</v>
      </c>
      <c r="D146" s="387"/>
      <c r="E146" s="387">
        <f t="shared" ca="1" si="20"/>
        <v>1</v>
      </c>
      <c r="F146" s="392">
        <f ca="1">IFERROR(IF(COUNTA($D$41:$D146)=1,"",OFFSET($F144,-COUNTA($D$41:$D146)+3,0)),"")</f>
        <v>3</v>
      </c>
      <c r="G146" s="387" t="str">
        <f t="shared" ca="1" si="21"/>
        <v>32024</v>
      </c>
      <c r="H146" s="387">
        <f t="shared" ca="1" si="25"/>
        <v>13</v>
      </c>
      <c r="I146" s="398" t="str">
        <f t="shared" ca="1" si="26"/>
        <v/>
      </c>
      <c r="J146" s="398">
        <f t="shared" ca="1" si="27"/>
        <v>1.6</v>
      </c>
      <c r="K146" s="389" t="str">
        <f t="shared" ca="1" si="28"/>
        <v/>
      </c>
      <c r="L146" s="391">
        <f ca="1">IFERROR(CHOOSE(E146,'Impact Indicators - Section B '!$K$7,'Impact Indicators - Section B '!$O$7,'Impact Indicators - Section B '!$S$7,'Impact Indicators - Section B '!$W$7,'Impact Indicators - Section B '!#REF!),"")</f>
        <v>2024</v>
      </c>
      <c r="M146" s="399" t="str">
        <f t="shared" ca="1" si="29"/>
        <v/>
      </c>
      <c r="N146" s="391" t="str">
        <f t="shared" ca="1" si="30"/>
        <v/>
      </c>
      <c r="O146" s="387" t="str">
        <f ca="1">IFERROR(IF(COUNTA($D$41:$D146)=1,"",OFFSET($C144,-COUNTA($D$41:$D146)+3,0)),"")</f>
        <v>a1HDm000000c2yfMAA</v>
      </c>
      <c r="P146" s="387">
        <f t="shared" ca="1" si="22"/>
        <v>0</v>
      </c>
      <c r="Q146" s="387"/>
      <c r="R146" s="387"/>
      <c r="S146" s="387"/>
      <c r="T146" s="387" t="b">
        <f t="shared" ca="1" si="31"/>
        <v>1</v>
      </c>
    </row>
    <row r="147" spans="1:20">
      <c r="A147" s="387" t="b">
        <f t="shared" ca="1" si="23"/>
        <v>1</v>
      </c>
      <c r="B147" s="397"/>
      <c r="C147" s="396" t="str">
        <f t="shared" ca="1" si="24"/>
        <v>a1HDm000000c2yuMAA</v>
      </c>
      <c r="D147" s="387"/>
      <c r="E147" s="387">
        <f t="shared" ca="1" si="20"/>
        <v>2</v>
      </c>
      <c r="F147" s="392">
        <f ca="1">IFERROR(IF(COUNTA($D$41:$D147)=1,"",OFFSET($F145,-COUNTA($D$41:$D147)+3,0)),"")</f>
        <v>3</v>
      </c>
      <c r="G147" s="387" t="str">
        <f t="shared" ca="1" si="21"/>
        <v>32025</v>
      </c>
      <c r="H147" s="387">
        <f t="shared" ca="1" si="25"/>
        <v>13</v>
      </c>
      <c r="I147" s="398" t="str">
        <f t="shared" ca="1" si="26"/>
        <v/>
      </c>
      <c r="J147" s="398">
        <f t="shared" ca="1" si="27"/>
        <v>1.6</v>
      </c>
      <c r="K147" s="389" t="str">
        <f t="shared" ca="1" si="28"/>
        <v/>
      </c>
      <c r="L147" s="391">
        <f ca="1">IFERROR(CHOOSE(E147,'Impact Indicators - Section B '!$K$7,'Impact Indicators - Section B '!$O$7,'Impact Indicators - Section B '!$S$7,'Impact Indicators - Section B '!$W$7,'Impact Indicators - Section B '!#REF!),"")</f>
        <v>2025</v>
      </c>
      <c r="M147" s="399" t="str">
        <f t="shared" ca="1" si="29"/>
        <v/>
      </c>
      <c r="N147" s="391" t="str">
        <f t="shared" ca="1" si="30"/>
        <v/>
      </c>
      <c r="O147" s="387" t="str">
        <f ca="1">IFERROR(IF(COUNTA($D$41:$D147)=1,"",OFFSET($C145,-COUNTA($D$41:$D147)+3,0)),"")</f>
        <v>a1HDm000000c2yuMAA</v>
      </c>
      <c r="P147" s="387">
        <f t="shared" ca="1" si="22"/>
        <v>0</v>
      </c>
      <c r="Q147" s="387"/>
      <c r="R147" s="387"/>
      <c r="S147" s="387"/>
      <c r="T147" s="387" t="b">
        <f t="shared" ca="1" si="31"/>
        <v>1</v>
      </c>
    </row>
    <row r="148" spans="1:20">
      <c r="A148" s="387" t="b">
        <f t="shared" ca="1" si="23"/>
        <v>1</v>
      </c>
      <c r="B148" s="397"/>
      <c r="C148" s="396" t="str">
        <f t="shared" ca="1" si="24"/>
        <v>a1HDm000000c2z9MAA</v>
      </c>
      <c r="D148" s="387"/>
      <c r="E148" s="387">
        <f t="shared" ca="1" si="20"/>
        <v>3</v>
      </c>
      <c r="F148" s="392">
        <f ca="1">IFERROR(IF(COUNTA($D$41:$D148)=1,"",OFFSET($F146,-COUNTA($D$41:$D148)+3,0)),"")</f>
        <v>3</v>
      </c>
      <c r="G148" s="387" t="str">
        <f t="shared" ca="1" si="21"/>
        <v>32026</v>
      </c>
      <c r="H148" s="387">
        <f t="shared" ca="1" si="25"/>
        <v>13</v>
      </c>
      <c r="I148" s="398" t="str">
        <f t="shared" ca="1" si="26"/>
        <v/>
      </c>
      <c r="J148" s="398">
        <f t="shared" ca="1" si="27"/>
        <v>1.6</v>
      </c>
      <c r="K148" s="389" t="str">
        <f t="shared" ca="1" si="28"/>
        <v/>
      </c>
      <c r="L148" s="391">
        <f ca="1">IFERROR(CHOOSE(E148,'Impact Indicators - Section B '!$K$7,'Impact Indicators - Section B '!$O$7,'Impact Indicators - Section B '!$S$7,'Impact Indicators - Section B '!$W$7,'Impact Indicators - Section B '!#REF!),"")</f>
        <v>2026</v>
      </c>
      <c r="M148" s="399" t="str">
        <f t="shared" ca="1" si="29"/>
        <v/>
      </c>
      <c r="N148" s="391" t="str">
        <f t="shared" ca="1" si="30"/>
        <v/>
      </c>
      <c r="O148" s="387" t="str">
        <f ca="1">IFERROR(IF(COUNTA($D$41:$D148)=1,"",OFFSET($C146,-COUNTA($D$41:$D148)+3,0)),"")</f>
        <v>a1HDm000000c2z9MAA</v>
      </c>
      <c r="P148" s="387">
        <f t="shared" ca="1" si="22"/>
        <v>0</v>
      </c>
      <c r="Q148" s="387"/>
      <c r="R148" s="387"/>
      <c r="S148" s="387"/>
      <c r="T148" s="387" t="b">
        <f t="shared" ca="1" si="31"/>
        <v>1</v>
      </c>
    </row>
    <row r="149" spans="1:20">
      <c r="A149" s="387" t="b">
        <f t="shared" ca="1" si="23"/>
        <v>0</v>
      </c>
      <c r="B149" s="397"/>
      <c r="C149" s="396" t="str">
        <f t="shared" ca="1" si="24"/>
        <v>a1HDm000000c2zOMAQ</v>
      </c>
      <c r="D149" s="387"/>
      <c r="E149" s="387">
        <f t="shared" ca="1" si="20"/>
        <v>4</v>
      </c>
      <c r="F149" s="392">
        <f ca="1">IFERROR(IF(COUNTA($D$41:$D149)=1,"",OFFSET($F147,-COUNTA($D$41:$D149)+3,0)),"")</f>
        <v>3</v>
      </c>
      <c r="G149" s="387" t="str">
        <f t="shared" ca="1" si="21"/>
        <v>3</v>
      </c>
      <c r="H149" s="387">
        <f t="shared" ca="1" si="25"/>
        <v>13</v>
      </c>
      <c r="I149" s="398" t="str">
        <f t="shared" ca="1" si="26"/>
        <v/>
      </c>
      <c r="J149" s="398" t="str">
        <f t="shared" ca="1" si="27"/>
        <v/>
      </c>
      <c r="K149" s="389" t="str">
        <f t="shared" ca="1" si="28"/>
        <v/>
      </c>
      <c r="L149" s="391" t="str">
        <f ca="1">IFERROR(CHOOSE(E149,'Impact Indicators - Section B '!$K$7,'Impact Indicators - Section B '!$O$7,'Impact Indicators - Section B '!$S$7,'Impact Indicators - Section B '!$W$7,'Impact Indicators - Section B '!#REF!),"")</f>
        <v/>
      </c>
      <c r="M149" s="399" t="str">
        <f t="shared" ca="1" si="29"/>
        <v/>
      </c>
      <c r="N149" s="391" t="str">
        <f t="shared" ca="1" si="30"/>
        <v/>
      </c>
      <c r="O149" s="387" t="str">
        <f ca="1">IFERROR(IF(COUNTA($D$41:$D149)=1,"",OFFSET($C147,-COUNTA($D$41:$D149)+3,0)),"")</f>
        <v>a1HDm000000c2zOMAQ</v>
      </c>
      <c r="P149" s="387">
        <f t="shared" ca="1" si="22"/>
        <v>0</v>
      </c>
      <c r="Q149" s="387"/>
      <c r="R149" s="387"/>
      <c r="S149" s="387"/>
      <c r="T149" s="387" t="b">
        <f t="shared" ca="1" si="31"/>
        <v>0</v>
      </c>
    </row>
    <row r="150" spans="1:20">
      <c r="A150" s="387" t="b">
        <f t="shared" ca="1" si="23"/>
        <v>0</v>
      </c>
      <c r="B150" s="397"/>
      <c r="C150" s="396" t="str">
        <f t="shared" ca="1" si="24"/>
        <v>a1HDm000000c2zdMAA</v>
      </c>
      <c r="D150" s="387"/>
      <c r="E150" s="387">
        <f t="shared" ca="1" si="20"/>
        <v>5</v>
      </c>
      <c r="F150" s="392">
        <f ca="1">IFERROR(IF(COUNTA($D$41:$D150)=1,"",OFFSET($F148,-COUNTA($D$41:$D150)+3,0)),"")</f>
        <v>3</v>
      </c>
      <c r="G150" s="387" t="str">
        <f t="shared" ca="1" si="21"/>
        <v>3</v>
      </c>
      <c r="H150" s="387">
        <f t="shared" ca="1" si="25"/>
        <v>13</v>
      </c>
      <c r="I150" s="398" t="str">
        <f t="shared" ca="1" si="26"/>
        <v/>
      </c>
      <c r="J150" s="398" t="str">
        <f t="shared" ca="1" si="27"/>
        <v/>
      </c>
      <c r="K150" s="389" t="str">
        <f t="shared" ca="1" si="28"/>
        <v/>
      </c>
      <c r="L150" s="391" t="str">
        <f ca="1">IFERROR(CHOOSE(E150,'Impact Indicators - Section B '!$K$7,'Impact Indicators - Section B '!$O$7,'Impact Indicators - Section B '!$S$7,'Impact Indicators - Section B '!$W$7,'Impact Indicators - Section B '!#REF!),"")</f>
        <v/>
      </c>
      <c r="M150" s="399" t="str">
        <f t="shared" ca="1" si="29"/>
        <v/>
      </c>
      <c r="N150" s="391" t="str">
        <f t="shared" ca="1" si="30"/>
        <v/>
      </c>
      <c r="O150" s="387" t="str">
        <f ca="1">IFERROR(IF(COUNTA($D$41:$D150)=1,"",OFFSET($C148,-COUNTA($D$41:$D150)+3,0)),"")</f>
        <v>a1HDm000000c2zdMAA</v>
      </c>
      <c r="P150" s="387">
        <f t="shared" ca="1" si="22"/>
        <v>0</v>
      </c>
      <c r="Q150" s="387"/>
      <c r="R150" s="387"/>
      <c r="S150" s="387"/>
      <c r="T150" s="387" t="b">
        <f t="shared" ca="1" si="31"/>
        <v>0</v>
      </c>
    </row>
    <row r="151" spans="1:20">
      <c r="A151" s="387" t="b">
        <f t="shared" ca="1" si="23"/>
        <v>0</v>
      </c>
      <c r="B151" s="397"/>
      <c r="C151" s="396" t="str">
        <f t="shared" ca="1" si="24"/>
        <v>a1HDm000000c2zsMAA</v>
      </c>
      <c r="D151" s="387"/>
      <c r="E151" s="387">
        <f t="shared" ca="1" si="20"/>
        <v>6</v>
      </c>
      <c r="F151" s="392">
        <f ca="1">IFERROR(IF(COUNTA($D$41:$D151)=1,"",OFFSET($F149,-COUNTA($D$41:$D151)+3,0)),"")</f>
        <v>3</v>
      </c>
      <c r="G151" s="387" t="str">
        <f t="shared" ca="1" si="21"/>
        <v>3</v>
      </c>
      <c r="H151" s="387">
        <f t="shared" ca="1" si="25"/>
        <v>13</v>
      </c>
      <c r="I151" s="398" t="str">
        <f t="shared" ca="1" si="26"/>
        <v/>
      </c>
      <c r="J151" s="398" t="str">
        <f t="shared" ca="1" si="27"/>
        <v/>
      </c>
      <c r="K151" s="389" t="str">
        <f t="shared" ca="1" si="28"/>
        <v/>
      </c>
      <c r="L151" s="391" t="str">
        <f ca="1">IFERROR(CHOOSE(E151,'Impact Indicators - Section B '!$K$7,'Impact Indicators - Section B '!$O$7,'Impact Indicators - Section B '!$S$7,'Impact Indicators - Section B '!$W$7,'Impact Indicators - Section B '!#REF!),"")</f>
        <v/>
      </c>
      <c r="M151" s="399" t="str">
        <f t="shared" ca="1" si="29"/>
        <v/>
      </c>
      <c r="N151" s="391" t="str">
        <f t="shared" ca="1" si="30"/>
        <v/>
      </c>
      <c r="O151" s="387" t="str">
        <f ca="1">IFERROR(IF(COUNTA($D$41:$D151)=1,"",OFFSET($C149,-COUNTA($D$41:$D151)+3,0)),"")</f>
        <v>a1HDm000000c2zsMAA</v>
      </c>
      <c r="P151" s="387">
        <f t="shared" ca="1" si="22"/>
        <v>0</v>
      </c>
      <c r="Q151" s="387"/>
      <c r="R151" s="387"/>
      <c r="S151" s="387"/>
      <c r="T151" s="387" t="b">
        <f t="shared" ca="1" si="31"/>
        <v>0</v>
      </c>
    </row>
    <row r="152" spans="1:20">
      <c r="A152" s="387" t="b">
        <f t="shared" ca="1" si="23"/>
        <v>0</v>
      </c>
      <c r="B152" s="397"/>
      <c r="C152" s="396" t="str">
        <f t="shared" ca="1" si="24"/>
        <v>a1HDm000000c2ygMAA</v>
      </c>
      <c r="D152" s="387"/>
      <c r="E152" s="387">
        <f t="shared" ca="1" si="20"/>
        <v>1</v>
      </c>
      <c r="F152" s="392">
        <f ca="1">IFERROR(IF(COUNTA($D$41:$D152)=1,"",OFFSET($F150,-COUNTA($D$41:$D152)+3,0)),"")</f>
        <v>4</v>
      </c>
      <c r="G152" s="387" t="str">
        <f t="shared" ca="1" si="21"/>
        <v>42024</v>
      </c>
      <c r="H152" s="387">
        <f t="shared" ca="1" si="25"/>
        <v>15</v>
      </c>
      <c r="I152" s="398" t="str">
        <f t="shared" ca="1" si="26"/>
        <v/>
      </c>
      <c r="J152" s="398" t="str">
        <f t="shared" ca="1" si="27"/>
        <v/>
      </c>
      <c r="K152" s="389" t="str">
        <f t="shared" ca="1" si="28"/>
        <v/>
      </c>
      <c r="L152" s="391">
        <f ca="1">IFERROR(CHOOSE(E152,'Impact Indicators - Section B '!$K$7,'Impact Indicators - Section B '!$O$7,'Impact Indicators - Section B '!$S$7,'Impact Indicators - Section B '!$W$7,'Impact Indicators - Section B '!#REF!),"")</f>
        <v>2024</v>
      </c>
      <c r="M152" s="399" t="str">
        <f t="shared" ca="1" si="29"/>
        <v/>
      </c>
      <c r="N152" s="391" t="str">
        <f t="shared" ca="1" si="30"/>
        <v/>
      </c>
      <c r="O152" s="387" t="str">
        <f ca="1">IFERROR(IF(COUNTA($D$41:$D152)=1,"",OFFSET($C150,-COUNTA($D$41:$D152)+3,0)),"")</f>
        <v>a1HDm000000c2ygMAA</v>
      </c>
      <c r="P152" s="387">
        <f t="shared" ca="1" si="22"/>
        <v>0</v>
      </c>
      <c r="Q152" s="387"/>
      <c r="R152" s="387"/>
      <c r="S152" s="387"/>
      <c r="T152" s="387" t="b">
        <f t="shared" ca="1" si="31"/>
        <v>0</v>
      </c>
    </row>
    <row r="153" spans="1:20">
      <c r="A153" s="387" t="b">
        <f t="shared" ca="1" si="23"/>
        <v>1</v>
      </c>
      <c r="B153" s="397"/>
      <c r="C153" s="396" t="str">
        <f t="shared" ca="1" si="24"/>
        <v>a1HDm000000c2yvMAA</v>
      </c>
      <c r="D153" s="387"/>
      <c r="E153" s="387">
        <f t="shared" ca="1" si="20"/>
        <v>2</v>
      </c>
      <c r="F153" s="392">
        <f ca="1">IFERROR(IF(COUNTA($D$41:$D153)=1,"",OFFSET($F151,-COUNTA($D$41:$D153)+3,0)),"")</f>
        <v>4</v>
      </c>
      <c r="G153" s="387" t="str">
        <f t="shared" ca="1" si="21"/>
        <v>42025</v>
      </c>
      <c r="H153" s="387">
        <f t="shared" ca="1" si="25"/>
        <v>15</v>
      </c>
      <c r="I153" s="398" t="str">
        <f t="shared" ca="1" si="26"/>
        <v/>
      </c>
      <c r="J153" s="398" t="str">
        <f t="shared" ca="1" si="27"/>
        <v/>
      </c>
      <c r="K153" s="389" t="str">
        <f t="shared" ca="1" si="28"/>
        <v/>
      </c>
      <c r="L153" s="391">
        <f ca="1">IFERROR(CHOOSE(E153,'Impact Indicators - Section B '!$K$7,'Impact Indicators - Section B '!$O$7,'Impact Indicators - Section B '!$S$7,'Impact Indicators - Section B '!$W$7,'Impact Indicators - Section B '!#REF!),"")</f>
        <v>2025</v>
      </c>
      <c r="M153" s="399" t="str">
        <f t="shared" ca="1" si="29"/>
        <v/>
      </c>
      <c r="N153" s="391" t="str">
        <f t="shared" ca="1" si="30"/>
        <v>TBD</v>
      </c>
      <c r="O153" s="387" t="str">
        <f ca="1">IFERROR(IF(COUNTA($D$41:$D153)=1,"",OFFSET($C151,-COUNTA($D$41:$D153)+3,0)),"")</f>
        <v>a1HDm000000c2yvMAA</v>
      </c>
      <c r="P153" s="387">
        <f t="shared" ca="1" si="22"/>
        <v>0</v>
      </c>
      <c r="Q153" s="387"/>
      <c r="R153" s="387"/>
      <c r="S153" s="387"/>
      <c r="T153" s="387" t="b">
        <f t="shared" ca="1" si="31"/>
        <v>1</v>
      </c>
    </row>
    <row r="154" spans="1:20">
      <c r="A154" s="387" t="b">
        <f t="shared" ca="1" si="23"/>
        <v>0</v>
      </c>
      <c r="B154" s="397"/>
      <c r="C154" s="396" t="str">
        <f t="shared" ca="1" si="24"/>
        <v>a1HDm000000c2zAMAQ</v>
      </c>
      <c r="D154" s="387"/>
      <c r="E154" s="387">
        <f t="shared" ca="1" si="20"/>
        <v>3</v>
      </c>
      <c r="F154" s="392">
        <f ca="1">IFERROR(IF(COUNTA($D$41:$D154)=1,"",OFFSET($F152,-COUNTA($D$41:$D154)+3,0)),"")</f>
        <v>4</v>
      </c>
      <c r="G154" s="387" t="str">
        <f t="shared" ca="1" si="21"/>
        <v>42026</v>
      </c>
      <c r="H154" s="387">
        <f t="shared" ca="1" si="25"/>
        <v>15</v>
      </c>
      <c r="I154" s="398" t="str">
        <f t="shared" ca="1" si="26"/>
        <v/>
      </c>
      <c r="J154" s="398" t="str">
        <f t="shared" ca="1" si="27"/>
        <v/>
      </c>
      <c r="K154" s="389" t="str">
        <f t="shared" ca="1" si="28"/>
        <v/>
      </c>
      <c r="L154" s="391">
        <f ca="1">IFERROR(CHOOSE(E154,'Impact Indicators - Section B '!$K$7,'Impact Indicators - Section B '!$O$7,'Impact Indicators - Section B '!$S$7,'Impact Indicators - Section B '!$W$7,'Impact Indicators - Section B '!#REF!),"")</f>
        <v>2026</v>
      </c>
      <c r="M154" s="399" t="str">
        <f t="shared" ca="1" si="29"/>
        <v/>
      </c>
      <c r="N154" s="391" t="str">
        <f t="shared" ca="1" si="30"/>
        <v/>
      </c>
      <c r="O154" s="387" t="str">
        <f ca="1">IFERROR(IF(COUNTA($D$41:$D154)=1,"",OFFSET($C152,-COUNTA($D$41:$D154)+3,0)),"")</f>
        <v>a1HDm000000c2zAMAQ</v>
      </c>
      <c r="P154" s="387">
        <f t="shared" ca="1" si="22"/>
        <v>0</v>
      </c>
      <c r="Q154" s="387"/>
      <c r="R154" s="387"/>
      <c r="S154" s="387"/>
      <c r="T154" s="387" t="b">
        <f t="shared" ca="1" si="31"/>
        <v>0</v>
      </c>
    </row>
    <row r="155" spans="1:20">
      <c r="A155" s="387" t="b">
        <f t="shared" ca="1" si="23"/>
        <v>0</v>
      </c>
      <c r="B155" s="397"/>
      <c r="C155" s="396" t="str">
        <f t="shared" ca="1" si="24"/>
        <v>a1HDm000000c2zPMAQ</v>
      </c>
      <c r="D155" s="387"/>
      <c r="E155" s="387">
        <f t="shared" ca="1" si="20"/>
        <v>4</v>
      </c>
      <c r="F155" s="392">
        <f ca="1">IFERROR(IF(COUNTA($D$41:$D155)=1,"",OFFSET($F153,-COUNTA($D$41:$D155)+3,0)),"")</f>
        <v>4</v>
      </c>
      <c r="G155" s="387" t="str">
        <f t="shared" ca="1" si="21"/>
        <v>4</v>
      </c>
      <c r="H155" s="387">
        <f t="shared" ca="1" si="25"/>
        <v>15</v>
      </c>
      <c r="I155" s="398" t="str">
        <f t="shared" ca="1" si="26"/>
        <v/>
      </c>
      <c r="J155" s="398" t="str">
        <f t="shared" ca="1" si="27"/>
        <v/>
      </c>
      <c r="K155" s="389" t="str">
        <f t="shared" ca="1" si="28"/>
        <v/>
      </c>
      <c r="L155" s="391" t="str">
        <f ca="1">IFERROR(CHOOSE(E155,'Impact Indicators - Section B '!$K$7,'Impact Indicators - Section B '!$O$7,'Impact Indicators - Section B '!$S$7,'Impact Indicators - Section B '!$W$7,'Impact Indicators - Section B '!#REF!),"")</f>
        <v/>
      </c>
      <c r="M155" s="399" t="str">
        <f t="shared" ca="1" si="29"/>
        <v/>
      </c>
      <c r="N155" s="391" t="str">
        <f t="shared" ca="1" si="30"/>
        <v/>
      </c>
      <c r="O155" s="387" t="str">
        <f ca="1">IFERROR(IF(COUNTA($D$41:$D155)=1,"",OFFSET($C153,-COUNTA($D$41:$D155)+3,0)),"")</f>
        <v>a1HDm000000c2zPMAQ</v>
      </c>
      <c r="P155" s="387">
        <f t="shared" ca="1" si="22"/>
        <v>0</v>
      </c>
      <c r="Q155" s="387"/>
      <c r="R155" s="387"/>
      <c r="S155" s="387"/>
      <c r="T155" s="387" t="b">
        <f t="shared" ca="1" si="31"/>
        <v>0</v>
      </c>
    </row>
    <row r="156" spans="1:20">
      <c r="A156" s="387" t="b">
        <f t="shared" ca="1" si="23"/>
        <v>0</v>
      </c>
      <c r="B156" s="397"/>
      <c r="C156" s="396" t="str">
        <f t="shared" ca="1" si="24"/>
        <v>a1HDm000000c2zeMAA</v>
      </c>
      <c r="D156" s="387"/>
      <c r="E156" s="387">
        <f t="shared" ca="1" si="20"/>
        <v>5</v>
      </c>
      <c r="F156" s="392">
        <f ca="1">IFERROR(IF(COUNTA($D$41:$D156)=1,"",OFFSET($F154,-COUNTA($D$41:$D156)+3,0)),"")</f>
        <v>4</v>
      </c>
      <c r="G156" s="387" t="str">
        <f t="shared" ca="1" si="21"/>
        <v>4</v>
      </c>
      <c r="H156" s="387">
        <f t="shared" ca="1" si="25"/>
        <v>15</v>
      </c>
      <c r="I156" s="398" t="str">
        <f t="shared" ca="1" si="26"/>
        <v/>
      </c>
      <c r="J156" s="398" t="str">
        <f t="shared" ca="1" si="27"/>
        <v/>
      </c>
      <c r="K156" s="389" t="str">
        <f t="shared" ca="1" si="28"/>
        <v/>
      </c>
      <c r="L156" s="391" t="str">
        <f ca="1">IFERROR(CHOOSE(E156,'Impact Indicators - Section B '!$K$7,'Impact Indicators - Section B '!$O$7,'Impact Indicators - Section B '!$S$7,'Impact Indicators - Section B '!$W$7,'Impact Indicators - Section B '!#REF!),"")</f>
        <v/>
      </c>
      <c r="M156" s="399" t="str">
        <f t="shared" ca="1" si="29"/>
        <v/>
      </c>
      <c r="N156" s="391" t="str">
        <f t="shared" ca="1" si="30"/>
        <v/>
      </c>
      <c r="O156" s="387" t="str">
        <f ca="1">IFERROR(IF(COUNTA($D$41:$D156)=1,"",OFFSET($C154,-COUNTA($D$41:$D156)+3,0)),"")</f>
        <v>a1HDm000000c2zeMAA</v>
      </c>
      <c r="P156" s="387">
        <f t="shared" ca="1" si="22"/>
        <v>0</v>
      </c>
      <c r="Q156" s="387"/>
      <c r="R156" s="387"/>
      <c r="S156" s="387"/>
      <c r="T156" s="387" t="b">
        <f t="shared" ca="1" si="31"/>
        <v>0</v>
      </c>
    </row>
    <row r="157" spans="1:20">
      <c r="A157" s="387" t="b">
        <f t="shared" ca="1" si="23"/>
        <v>0</v>
      </c>
      <c r="B157" s="397"/>
      <c r="C157" s="396" t="str">
        <f t="shared" ca="1" si="24"/>
        <v>a1HDm000000c2ztMAA</v>
      </c>
      <c r="D157" s="387"/>
      <c r="E157" s="387">
        <f t="shared" ca="1" si="20"/>
        <v>6</v>
      </c>
      <c r="F157" s="392">
        <f ca="1">IFERROR(IF(COUNTA($D$41:$D157)=1,"",OFFSET($F155,-COUNTA($D$41:$D157)+3,0)),"")</f>
        <v>4</v>
      </c>
      <c r="G157" s="387" t="str">
        <f t="shared" ca="1" si="21"/>
        <v>4</v>
      </c>
      <c r="H157" s="387">
        <f t="shared" ca="1" si="25"/>
        <v>15</v>
      </c>
      <c r="I157" s="398" t="str">
        <f t="shared" ca="1" si="26"/>
        <v/>
      </c>
      <c r="J157" s="398" t="str">
        <f t="shared" ca="1" si="27"/>
        <v/>
      </c>
      <c r="K157" s="389" t="str">
        <f t="shared" ca="1" si="28"/>
        <v/>
      </c>
      <c r="L157" s="391" t="str">
        <f ca="1">IFERROR(CHOOSE(E157,'Impact Indicators - Section B '!$K$7,'Impact Indicators - Section B '!$O$7,'Impact Indicators - Section B '!$S$7,'Impact Indicators - Section B '!$W$7,'Impact Indicators - Section B '!#REF!),"")</f>
        <v/>
      </c>
      <c r="M157" s="399" t="str">
        <f t="shared" ca="1" si="29"/>
        <v/>
      </c>
      <c r="N157" s="391" t="str">
        <f t="shared" ca="1" si="30"/>
        <v/>
      </c>
      <c r="O157" s="387" t="str">
        <f ca="1">IFERROR(IF(COUNTA($D$41:$D157)=1,"",OFFSET($C155,-COUNTA($D$41:$D157)+3,0)),"")</f>
        <v>a1HDm000000c2ztMAA</v>
      </c>
      <c r="P157" s="387">
        <f t="shared" ca="1" si="22"/>
        <v>0</v>
      </c>
      <c r="Q157" s="387"/>
      <c r="R157" s="387"/>
      <c r="S157" s="387"/>
      <c r="T157" s="387" t="b">
        <f t="shared" ca="1" si="31"/>
        <v>0</v>
      </c>
    </row>
    <row r="158" spans="1:20">
      <c r="A158" s="387" t="b">
        <f t="shared" ca="1" si="23"/>
        <v>0</v>
      </c>
      <c r="B158" s="397"/>
      <c r="C158" s="396" t="str">
        <f t="shared" ca="1" si="24"/>
        <v>a1HDm000000c2yhMAA</v>
      </c>
      <c r="D158" s="387"/>
      <c r="E158" s="387">
        <f t="shared" ca="1" si="20"/>
        <v>1</v>
      </c>
      <c r="F158" s="392">
        <f ca="1">IFERROR(IF(COUNTA($D$41:$D158)=1,"",OFFSET($F156,-COUNTA($D$41:$D158)+3,0)),"")</f>
        <v>5</v>
      </c>
      <c r="G158" s="387" t="str">
        <f t="shared" ca="1" si="21"/>
        <v>52024</v>
      </c>
      <c r="H158" s="387">
        <f t="shared" ca="1" si="25"/>
        <v>17</v>
      </c>
      <c r="I158" s="398" t="str">
        <f t="shared" ca="1" si="26"/>
        <v/>
      </c>
      <c r="J158" s="398" t="str">
        <f t="shared" ca="1" si="27"/>
        <v/>
      </c>
      <c r="K158" s="389" t="str">
        <f t="shared" ca="1" si="28"/>
        <v/>
      </c>
      <c r="L158" s="391">
        <f ca="1">IFERROR(CHOOSE(E158,'Impact Indicators - Section B '!$K$7,'Impact Indicators - Section B '!$O$7,'Impact Indicators - Section B '!$S$7,'Impact Indicators - Section B '!$W$7,'Impact Indicators - Section B '!#REF!),"")</f>
        <v>2024</v>
      </c>
      <c r="M158" s="399" t="str">
        <f t="shared" ca="1" si="29"/>
        <v/>
      </c>
      <c r="N158" s="391" t="str">
        <f t="shared" ca="1" si="30"/>
        <v/>
      </c>
      <c r="O158" s="387" t="str">
        <f ca="1">IFERROR(IF(COUNTA($D$41:$D158)=1,"",OFFSET($C156,-COUNTA($D$41:$D158)+3,0)),"")</f>
        <v>a1HDm000000c2yhMAA</v>
      </c>
      <c r="P158" s="387">
        <f t="shared" ca="1" si="22"/>
        <v>0</v>
      </c>
      <c r="Q158" s="387"/>
      <c r="R158" s="387"/>
      <c r="S158" s="387"/>
      <c r="T158" s="387" t="b">
        <f t="shared" ca="1" si="31"/>
        <v>0</v>
      </c>
    </row>
    <row r="159" spans="1:20">
      <c r="A159" s="387" t="b">
        <f t="shared" ca="1" si="23"/>
        <v>1</v>
      </c>
      <c r="B159" s="397"/>
      <c r="C159" s="396" t="str">
        <f t="shared" ca="1" si="24"/>
        <v>a1HDm000000c2ywMAA</v>
      </c>
      <c r="D159" s="387"/>
      <c r="E159" s="387">
        <f t="shared" ca="1" si="20"/>
        <v>2</v>
      </c>
      <c r="F159" s="392">
        <f ca="1">IFERROR(IF(COUNTA($D$41:$D159)=1,"",OFFSET($F157,-COUNTA($D$41:$D159)+3,0)),"")</f>
        <v>5</v>
      </c>
      <c r="G159" s="387" t="str">
        <f t="shared" ca="1" si="21"/>
        <v>52025</v>
      </c>
      <c r="H159" s="387">
        <f t="shared" ca="1" si="25"/>
        <v>17</v>
      </c>
      <c r="I159" s="398" t="str">
        <f t="shared" ca="1" si="26"/>
        <v/>
      </c>
      <c r="J159" s="398" t="str">
        <f t="shared" ca="1" si="27"/>
        <v/>
      </c>
      <c r="K159" s="389" t="str">
        <f t="shared" ca="1" si="28"/>
        <v/>
      </c>
      <c r="L159" s="391">
        <f ca="1">IFERROR(CHOOSE(E159,'Impact Indicators - Section B '!$K$7,'Impact Indicators - Section B '!$O$7,'Impact Indicators - Section B '!$S$7,'Impact Indicators - Section B '!$W$7,'Impact Indicators - Section B '!#REF!),"")</f>
        <v>2025</v>
      </c>
      <c r="M159" s="399" t="str">
        <f t="shared" ca="1" si="29"/>
        <v/>
      </c>
      <c r="N159" s="391" t="str">
        <f t="shared" ca="1" si="30"/>
        <v>TBD</v>
      </c>
      <c r="O159" s="387" t="str">
        <f ca="1">IFERROR(IF(COUNTA($D$41:$D159)=1,"",OFFSET($C157,-COUNTA($D$41:$D159)+3,0)),"")</f>
        <v>a1HDm000000c2ywMAA</v>
      </c>
      <c r="P159" s="387">
        <f t="shared" ca="1" si="22"/>
        <v>0</v>
      </c>
      <c r="Q159" s="387"/>
      <c r="R159" s="387"/>
      <c r="S159" s="387"/>
      <c r="T159" s="387" t="b">
        <f t="shared" ca="1" si="31"/>
        <v>1</v>
      </c>
    </row>
    <row r="160" spans="1:20">
      <c r="A160" s="387" t="b">
        <f t="shared" ca="1" si="23"/>
        <v>0</v>
      </c>
      <c r="B160" s="397"/>
      <c r="C160" s="396" t="str">
        <f t="shared" ca="1" si="24"/>
        <v>a1HDm000000c2zBMAQ</v>
      </c>
      <c r="D160" s="387"/>
      <c r="E160" s="387">
        <f t="shared" ca="1" si="20"/>
        <v>3</v>
      </c>
      <c r="F160" s="392">
        <f ca="1">IFERROR(IF(COUNTA($D$41:$D160)=1,"",OFFSET($F158,-COUNTA($D$41:$D160)+3,0)),"")</f>
        <v>5</v>
      </c>
      <c r="G160" s="387" t="str">
        <f t="shared" ca="1" si="21"/>
        <v>52026</v>
      </c>
      <c r="H160" s="387">
        <f t="shared" ca="1" si="25"/>
        <v>17</v>
      </c>
      <c r="I160" s="398" t="str">
        <f t="shared" ca="1" si="26"/>
        <v/>
      </c>
      <c r="J160" s="398" t="str">
        <f t="shared" ca="1" si="27"/>
        <v/>
      </c>
      <c r="K160" s="389" t="str">
        <f t="shared" ca="1" si="28"/>
        <v/>
      </c>
      <c r="L160" s="391">
        <f ca="1">IFERROR(CHOOSE(E160,'Impact Indicators - Section B '!$K$7,'Impact Indicators - Section B '!$O$7,'Impact Indicators - Section B '!$S$7,'Impact Indicators - Section B '!$W$7,'Impact Indicators - Section B '!#REF!),"")</f>
        <v>2026</v>
      </c>
      <c r="M160" s="399" t="str">
        <f t="shared" ca="1" si="29"/>
        <v/>
      </c>
      <c r="N160" s="391" t="str">
        <f t="shared" ca="1" si="30"/>
        <v/>
      </c>
      <c r="O160" s="387" t="str">
        <f ca="1">IFERROR(IF(COUNTA($D$41:$D160)=1,"",OFFSET($C158,-COUNTA($D$41:$D160)+3,0)),"")</f>
        <v>a1HDm000000c2zBMAQ</v>
      </c>
      <c r="P160" s="387">
        <f t="shared" ca="1" si="22"/>
        <v>0</v>
      </c>
      <c r="Q160" s="387"/>
      <c r="R160" s="387"/>
      <c r="S160" s="387"/>
      <c r="T160" s="387" t="b">
        <f t="shared" ca="1" si="31"/>
        <v>0</v>
      </c>
    </row>
    <row r="161" spans="1:20">
      <c r="A161" s="387" t="b">
        <f t="shared" ca="1" si="23"/>
        <v>0</v>
      </c>
      <c r="B161" s="397"/>
      <c r="C161" s="396" t="str">
        <f t="shared" ca="1" si="24"/>
        <v>a1HDm000000c2zQMAQ</v>
      </c>
      <c r="D161" s="387"/>
      <c r="E161" s="387">
        <f t="shared" ca="1" si="20"/>
        <v>4</v>
      </c>
      <c r="F161" s="392">
        <f ca="1">IFERROR(IF(COUNTA($D$41:$D161)=1,"",OFFSET($F159,-COUNTA($D$41:$D161)+3,0)),"")</f>
        <v>5</v>
      </c>
      <c r="G161" s="387" t="str">
        <f t="shared" ca="1" si="21"/>
        <v>5</v>
      </c>
      <c r="H161" s="387">
        <f t="shared" ca="1" si="25"/>
        <v>17</v>
      </c>
      <c r="I161" s="398" t="str">
        <f t="shared" ca="1" si="26"/>
        <v/>
      </c>
      <c r="J161" s="398" t="str">
        <f t="shared" ca="1" si="27"/>
        <v/>
      </c>
      <c r="K161" s="389" t="str">
        <f t="shared" ca="1" si="28"/>
        <v/>
      </c>
      <c r="L161" s="391" t="str">
        <f ca="1">IFERROR(CHOOSE(E161,'Impact Indicators - Section B '!$K$7,'Impact Indicators - Section B '!$O$7,'Impact Indicators - Section B '!$S$7,'Impact Indicators - Section B '!$W$7,'Impact Indicators - Section B '!#REF!),"")</f>
        <v/>
      </c>
      <c r="M161" s="399" t="str">
        <f t="shared" ca="1" si="29"/>
        <v/>
      </c>
      <c r="N161" s="391" t="str">
        <f t="shared" ca="1" si="30"/>
        <v/>
      </c>
      <c r="O161" s="387" t="str">
        <f ca="1">IFERROR(IF(COUNTA($D$41:$D161)=1,"",OFFSET($C159,-COUNTA($D$41:$D161)+3,0)),"")</f>
        <v>a1HDm000000c2zQMAQ</v>
      </c>
      <c r="P161" s="387">
        <f t="shared" ca="1" si="22"/>
        <v>0</v>
      </c>
      <c r="Q161" s="387"/>
      <c r="R161" s="387"/>
      <c r="S161" s="387"/>
      <c r="T161" s="387" t="b">
        <f t="shared" ca="1" si="31"/>
        <v>0</v>
      </c>
    </row>
    <row r="162" spans="1:20">
      <c r="A162" s="387" t="b">
        <f t="shared" ca="1" si="23"/>
        <v>0</v>
      </c>
      <c r="B162" s="397"/>
      <c r="C162" s="396" t="str">
        <f t="shared" ca="1" si="24"/>
        <v>a1HDm000000c2zfMAA</v>
      </c>
      <c r="D162" s="387"/>
      <c r="E162" s="387">
        <f t="shared" ca="1" si="20"/>
        <v>5</v>
      </c>
      <c r="F162" s="392">
        <f ca="1">IFERROR(IF(COUNTA($D$41:$D162)=1,"",OFFSET($F160,-COUNTA($D$41:$D162)+3,0)),"")</f>
        <v>5</v>
      </c>
      <c r="G162" s="387" t="str">
        <f t="shared" ca="1" si="21"/>
        <v>5</v>
      </c>
      <c r="H162" s="387">
        <f t="shared" ca="1" si="25"/>
        <v>17</v>
      </c>
      <c r="I162" s="398" t="str">
        <f t="shared" ca="1" si="26"/>
        <v/>
      </c>
      <c r="J162" s="398" t="str">
        <f t="shared" ca="1" si="27"/>
        <v/>
      </c>
      <c r="K162" s="389" t="str">
        <f t="shared" ca="1" si="28"/>
        <v/>
      </c>
      <c r="L162" s="391" t="str">
        <f ca="1">IFERROR(CHOOSE(E162,'Impact Indicators - Section B '!$K$7,'Impact Indicators - Section B '!$O$7,'Impact Indicators - Section B '!$S$7,'Impact Indicators - Section B '!$W$7,'Impact Indicators - Section B '!#REF!),"")</f>
        <v/>
      </c>
      <c r="M162" s="399" t="str">
        <f t="shared" ca="1" si="29"/>
        <v/>
      </c>
      <c r="N162" s="391" t="str">
        <f t="shared" ca="1" si="30"/>
        <v/>
      </c>
      <c r="O162" s="387" t="str">
        <f ca="1">IFERROR(IF(COUNTA($D$41:$D162)=1,"",OFFSET($C160,-COUNTA($D$41:$D162)+3,0)),"")</f>
        <v>a1HDm000000c2zfMAA</v>
      </c>
      <c r="P162" s="387">
        <f t="shared" ca="1" si="22"/>
        <v>0</v>
      </c>
      <c r="Q162" s="387"/>
      <c r="R162" s="387"/>
      <c r="S162" s="387"/>
      <c r="T162" s="387" t="b">
        <f t="shared" ca="1" si="31"/>
        <v>0</v>
      </c>
    </row>
    <row r="163" spans="1:20">
      <c r="A163" s="387" t="b">
        <f t="shared" ca="1" si="23"/>
        <v>0</v>
      </c>
      <c r="B163" s="397"/>
      <c r="C163" s="396" t="str">
        <f t="shared" ca="1" si="24"/>
        <v>a1HDm000000c2zuMAA</v>
      </c>
      <c r="D163" s="387"/>
      <c r="E163" s="387">
        <f t="shared" ca="1" si="20"/>
        <v>6</v>
      </c>
      <c r="F163" s="392">
        <f ca="1">IFERROR(IF(COUNTA($D$41:$D163)=1,"",OFFSET($F161,-COUNTA($D$41:$D163)+3,0)),"")</f>
        <v>5</v>
      </c>
      <c r="G163" s="387" t="str">
        <f t="shared" ca="1" si="21"/>
        <v>5</v>
      </c>
      <c r="H163" s="387">
        <f t="shared" ca="1" si="25"/>
        <v>17</v>
      </c>
      <c r="I163" s="398" t="str">
        <f t="shared" ca="1" si="26"/>
        <v/>
      </c>
      <c r="J163" s="398" t="str">
        <f t="shared" ca="1" si="27"/>
        <v/>
      </c>
      <c r="K163" s="389" t="str">
        <f t="shared" ca="1" si="28"/>
        <v/>
      </c>
      <c r="L163" s="391" t="str">
        <f ca="1">IFERROR(CHOOSE(E163,'Impact Indicators - Section B '!$K$7,'Impact Indicators - Section B '!$O$7,'Impact Indicators - Section B '!$S$7,'Impact Indicators - Section B '!$W$7,'Impact Indicators - Section B '!#REF!),"")</f>
        <v/>
      </c>
      <c r="M163" s="399" t="str">
        <f t="shared" ca="1" si="29"/>
        <v/>
      </c>
      <c r="N163" s="391" t="str">
        <f t="shared" ca="1" si="30"/>
        <v/>
      </c>
      <c r="O163" s="387" t="str">
        <f ca="1">IFERROR(IF(COUNTA($D$41:$D163)=1,"",OFFSET($C161,-COUNTA($D$41:$D163)+3,0)),"")</f>
        <v>a1HDm000000c2zuMAA</v>
      </c>
      <c r="P163" s="387">
        <f t="shared" ca="1" si="22"/>
        <v>0</v>
      </c>
      <c r="Q163" s="387"/>
      <c r="R163" s="387"/>
      <c r="S163" s="387"/>
      <c r="T163" s="387" t="b">
        <f t="shared" ca="1" si="31"/>
        <v>0</v>
      </c>
    </row>
    <row r="164" spans="1:20">
      <c r="A164" s="387" t="b">
        <f t="shared" ca="1" si="23"/>
        <v>0</v>
      </c>
      <c r="B164" s="397"/>
      <c r="C164" s="396" t="str">
        <f t="shared" ca="1" si="24"/>
        <v>a1HDm000000c2yiMAA</v>
      </c>
      <c r="D164" s="387"/>
      <c r="E164" s="387">
        <f t="shared" ca="1" si="20"/>
        <v>1</v>
      </c>
      <c r="F164" s="392">
        <f ca="1">IFERROR(IF(COUNTA($D$41:$D164)=1,"",OFFSET($F162,-COUNTA($D$41:$D164)+3,0)),"")</f>
        <v>6</v>
      </c>
      <c r="G164" s="387" t="str">
        <f t="shared" ca="1" si="21"/>
        <v>62024</v>
      </c>
      <c r="H164" s="387">
        <f t="shared" ca="1" si="25"/>
        <v>19</v>
      </c>
      <c r="I164" s="398" t="str">
        <f t="shared" ca="1" si="26"/>
        <v/>
      </c>
      <c r="J164" s="398" t="str">
        <f t="shared" ca="1" si="27"/>
        <v/>
      </c>
      <c r="K164" s="389" t="str">
        <f t="shared" ca="1" si="28"/>
        <v/>
      </c>
      <c r="L164" s="391">
        <f ca="1">IFERROR(CHOOSE(E164,'Impact Indicators - Section B '!$K$7,'Impact Indicators - Section B '!$O$7,'Impact Indicators - Section B '!$S$7,'Impact Indicators - Section B '!$W$7,'Impact Indicators - Section B '!#REF!),"")</f>
        <v>2024</v>
      </c>
      <c r="M164" s="399" t="str">
        <f t="shared" ca="1" si="29"/>
        <v/>
      </c>
      <c r="N164" s="391" t="str">
        <f t="shared" ca="1" si="30"/>
        <v/>
      </c>
      <c r="O164" s="387" t="str">
        <f ca="1">IFERROR(IF(COUNTA($D$41:$D164)=1,"",OFFSET($C162,-COUNTA($D$41:$D164)+3,0)),"")</f>
        <v>a1HDm000000c2yiMAA</v>
      </c>
      <c r="P164" s="387">
        <f t="shared" ca="1" si="22"/>
        <v>0</v>
      </c>
      <c r="Q164" s="387"/>
      <c r="R164" s="387"/>
      <c r="S164" s="387"/>
      <c r="T164" s="387" t="b">
        <f t="shared" ca="1" si="31"/>
        <v>0</v>
      </c>
    </row>
    <row r="165" spans="1:20">
      <c r="A165" s="387" t="b">
        <f t="shared" ca="1" si="23"/>
        <v>1</v>
      </c>
      <c r="B165" s="397"/>
      <c r="C165" s="396" t="str">
        <f t="shared" ca="1" si="24"/>
        <v>a1HDm000000c2yxMAA</v>
      </c>
      <c r="D165" s="387"/>
      <c r="E165" s="387">
        <f t="shared" ca="1" si="20"/>
        <v>2</v>
      </c>
      <c r="F165" s="392">
        <f ca="1">IFERROR(IF(COUNTA($D$41:$D165)=1,"",OFFSET($F163,-COUNTA($D$41:$D165)+3,0)),"")</f>
        <v>6</v>
      </c>
      <c r="G165" s="387" t="str">
        <f t="shared" ca="1" si="21"/>
        <v>62025</v>
      </c>
      <c r="H165" s="387">
        <f t="shared" ca="1" si="25"/>
        <v>19</v>
      </c>
      <c r="I165" s="398" t="str">
        <f t="shared" ca="1" si="26"/>
        <v/>
      </c>
      <c r="J165" s="398" t="str">
        <f t="shared" ca="1" si="27"/>
        <v/>
      </c>
      <c r="K165" s="389" t="str">
        <f t="shared" ca="1" si="28"/>
        <v/>
      </c>
      <c r="L165" s="391">
        <f ca="1">IFERROR(CHOOSE(E165,'Impact Indicators - Section B '!$K$7,'Impact Indicators - Section B '!$O$7,'Impact Indicators - Section B '!$S$7,'Impact Indicators - Section B '!$W$7,'Impact Indicators - Section B '!#REF!),"")</f>
        <v>2025</v>
      </c>
      <c r="M165" s="399" t="str">
        <f t="shared" ca="1" si="29"/>
        <v/>
      </c>
      <c r="N165" s="391" t="str">
        <f t="shared" ca="1" si="30"/>
        <v>TBD</v>
      </c>
      <c r="O165" s="387" t="str">
        <f ca="1">IFERROR(IF(COUNTA($D$41:$D165)=1,"",OFFSET($C163,-COUNTA($D$41:$D165)+3,0)),"")</f>
        <v>a1HDm000000c2yxMAA</v>
      </c>
      <c r="P165" s="387">
        <f t="shared" ca="1" si="22"/>
        <v>0</v>
      </c>
      <c r="Q165" s="387"/>
      <c r="R165" s="387"/>
      <c r="S165" s="387"/>
      <c r="T165" s="387" t="b">
        <f t="shared" ca="1" si="31"/>
        <v>1</v>
      </c>
    </row>
    <row r="166" spans="1:20">
      <c r="A166" s="387" t="b">
        <f t="shared" ca="1" si="23"/>
        <v>0</v>
      </c>
      <c r="B166" s="397"/>
      <c r="C166" s="396" t="str">
        <f t="shared" ca="1" si="24"/>
        <v>a1HDm000000c2zCMAQ</v>
      </c>
      <c r="D166" s="387"/>
      <c r="E166" s="387">
        <f t="shared" ca="1" si="20"/>
        <v>3</v>
      </c>
      <c r="F166" s="392">
        <f ca="1">IFERROR(IF(COUNTA($D$41:$D166)=1,"",OFFSET($F164,-COUNTA($D$41:$D166)+3,0)),"")</f>
        <v>6</v>
      </c>
      <c r="G166" s="387" t="str">
        <f t="shared" ca="1" si="21"/>
        <v>62026</v>
      </c>
      <c r="H166" s="387">
        <f t="shared" ca="1" si="25"/>
        <v>19</v>
      </c>
      <c r="I166" s="398" t="str">
        <f t="shared" ca="1" si="26"/>
        <v/>
      </c>
      <c r="J166" s="398" t="str">
        <f t="shared" ca="1" si="27"/>
        <v/>
      </c>
      <c r="K166" s="389" t="str">
        <f t="shared" ca="1" si="28"/>
        <v/>
      </c>
      <c r="L166" s="391">
        <f ca="1">IFERROR(CHOOSE(E166,'Impact Indicators - Section B '!$K$7,'Impact Indicators - Section B '!$O$7,'Impact Indicators - Section B '!$S$7,'Impact Indicators - Section B '!$W$7,'Impact Indicators - Section B '!#REF!),"")</f>
        <v>2026</v>
      </c>
      <c r="M166" s="399" t="str">
        <f t="shared" ca="1" si="29"/>
        <v/>
      </c>
      <c r="N166" s="391" t="str">
        <f t="shared" ca="1" si="30"/>
        <v/>
      </c>
      <c r="O166" s="387" t="str">
        <f ca="1">IFERROR(IF(COUNTA($D$41:$D166)=1,"",OFFSET($C164,-COUNTA($D$41:$D166)+3,0)),"")</f>
        <v>a1HDm000000c2zCMAQ</v>
      </c>
      <c r="P166" s="387">
        <f t="shared" ca="1" si="22"/>
        <v>0</v>
      </c>
      <c r="Q166" s="387"/>
      <c r="R166" s="387"/>
      <c r="S166" s="387"/>
      <c r="T166" s="387" t="b">
        <f t="shared" ca="1" si="31"/>
        <v>0</v>
      </c>
    </row>
    <row r="167" spans="1:20">
      <c r="A167" s="387" t="b">
        <f t="shared" ca="1" si="23"/>
        <v>0</v>
      </c>
      <c r="B167" s="397"/>
      <c r="C167" s="396" t="str">
        <f t="shared" ca="1" si="24"/>
        <v>a1HDm000000c2zRMAQ</v>
      </c>
      <c r="D167" s="387"/>
      <c r="E167" s="387">
        <f t="shared" ca="1" si="20"/>
        <v>4</v>
      </c>
      <c r="F167" s="392">
        <f ca="1">IFERROR(IF(COUNTA($D$41:$D167)=1,"",OFFSET($F165,-COUNTA($D$41:$D167)+3,0)),"")</f>
        <v>6</v>
      </c>
      <c r="G167" s="387" t="str">
        <f t="shared" ca="1" si="21"/>
        <v>6</v>
      </c>
      <c r="H167" s="387">
        <f t="shared" ca="1" si="25"/>
        <v>19</v>
      </c>
      <c r="I167" s="398" t="str">
        <f t="shared" ca="1" si="26"/>
        <v/>
      </c>
      <c r="J167" s="398" t="str">
        <f t="shared" ca="1" si="27"/>
        <v/>
      </c>
      <c r="K167" s="389" t="str">
        <f t="shared" ca="1" si="28"/>
        <v/>
      </c>
      <c r="L167" s="391" t="str">
        <f ca="1">IFERROR(CHOOSE(E167,'Impact Indicators - Section B '!$K$7,'Impact Indicators - Section B '!$O$7,'Impact Indicators - Section B '!$S$7,'Impact Indicators - Section B '!$W$7,'Impact Indicators - Section B '!#REF!),"")</f>
        <v/>
      </c>
      <c r="M167" s="399" t="str">
        <f t="shared" ca="1" si="29"/>
        <v/>
      </c>
      <c r="N167" s="391" t="str">
        <f t="shared" ca="1" si="30"/>
        <v/>
      </c>
      <c r="O167" s="387" t="str">
        <f ca="1">IFERROR(IF(COUNTA($D$41:$D167)=1,"",OFFSET($C165,-COUNTA($D$41:$D167)+3,0)),"")</f>
        <v>a1HDm000000c2zRMAQ</v>
      </c>
      <c r="P167" s="387">
        <f t="shared" ca="1" si="22"/>
        <v>0</v>
      </c>
      <c r="Q167" s="387"/>
      <c r="R167" s="387"/>
      <c r="S167" s="387"/>
      <c r="T167" s="387" t="b">
        <f t="shared" ca="1" si="31"/>
        <v>0</v>
      </c>
    </row>
    <row r="168" spans="1:20">
      <c r="A168" s="387" t="b">
        <f t="shared" ca="1" si="23"/>
        <v>0</v>
      </c>
      <c r="B168" s="397"/>
      <c r="C168" s="396" t="str">
        <f t="shared" ca="1" si="24"/>
        <v>a1HDm000000c2zgMAA</v>
      </c>
      <c r="D168" s="387"/>
      <c r="E168" s="387">
        <f t="shared" ca="1" si="20"/>
        <v>5</v>
      </c>
      <c r="F168" s="392">
        <f ca="1">IFERROR(IF(COUNTA($D$41:$D168)=1,"",OFFSET($F166,-COUNTA($D$41:$D168)+3,0)),"")</f>
        <v>6</v>
      </c>
      <c r="G168" s="387" t="str">
        <f t="shared" ca="1" si="21"/>
        <v>6</v>
      </c>
      <c r="H168" s="387">
        <f t="shared" ca="1" si="25"/>
        <v>19</v>
      </c>
      <c r="I168" s="398" t="str">
        <f t="shared" ca="1" si="26"/>
        <v/>
      </c>
      <c r="J168" s="398" t="str">
        <f t="shared" ca="1" si="27"/>
        <v/>
      </c>
      <c r="K168" s="389" t="str">
        <f t="shared" ca="1" si="28"/>
        <v/>
      </c>
      <c r="L168" s="391" t="str">
        <f ca="1">IFERROR(CHOOSE(E168,'Impact Indicators - Section B '!$K$7,'Impact Indicators - Section B '!$O$7,'Impact Indicators - Section B '!$S$7,'Impact Indicators - Section B '!$W$7,'Impact Indicators - Section B '!#REF!),"")</f>
        <v/>
      </c>
      <c r="M168" s="399" t="str">
        <f t="shared" ca="1" si="29"/>
        <v/>
      </c>
      <c r="N168" s="391" t="str">
        <f t="shared" ca="1" si="30"/>
        <v/>
      </c>
      <c r="O168" s="387" t="str">
        <f ca="1">IFERROR(IF(COUNTA($D$41:$D168)=1,"",OFFSET($C166,-COUNTA($D$41:$D168)+3,0)),"")</f>
        <v>a1HDm000000c2zgMAA</v>
      </c>
      <c r="P168" s="387">
        <f t="shared" ca="1" si="22"/>
        <v>0</v>
      </c>
      <c r="Q168" s="387"/>
      <c r="R168" s="387"/>
      <c r="S168" s="387"/>
      <c r="T168" s="387" t="b">
        <f t="shared" ca="1" si="31"/>
        <v>0</v>
      </c>
    </row>
    <row r="169" spans="1:20">
      <c r="A169" s="387" t="b">
        <f t="shared" ca="1" si="23"/>
        <v>0</v>
      </c>
      <c r="B169" s="397"/>
      <c r="C169" s="396" t="str">
        <f t="shared" ca="1" si="24"/>
        <v>a1HDm000000c2zvMAA</v>
      </c>
      <c r="D169" s="387"/>
      <c r="E169" s="387">
        <f t="shared" ca="1" si="20"/>
        <v>6</v>
      </c>
      <c r="F169" s="392">
        <f ca="1">IFERROR(IF(COUNTA($D$41:$D169)=1,"",OFFSET($F167,-COUNTA($D$41:$D169)+3,0)),"")</f>
        <v>6</v>
      </c>
      <c r="G169" s="387" t="str">
        <f t="shared" ca="1" si="21"/>
        <v>6</v>
      </c>
      <c r="H169" s="387">
        <f t="shared" ca="1" si="25"/>
        <v>19</v>
      </c>
      <c r="I169" s="398" t="str">
        <f t="shared" ca="1" si="26"/>
        <v/>
      </c>
      <c r="J169" s="398" t="str">
        <f t="shared" ca="1" si="27"/>
        <v/>
      </c>
      <c r="K169" s="389" t="str">
        <f t="shared" ca="1" si="28"/>
        <v/>
      </c>
      <c r="L169" s="391" t="str">
        <f ca="1">IFERROR(CHOOSE(E169,'Impact Indicators - Section B '!$K$7,'Impact Indicators - Section B '!$O$7,'Impact Indicators - Section B '!$S$7,'Impact Indicators - Section B '!$W$7,'Impact Indicators - Section B '!#REF!),"")</f>
        <v/>
      </c>
      <c r="M169" s="399" t="str">
        <f t="shared" ca="1" si="29"/>
        <v/>
      </c>
      <c r="N169" s="391" t="str">
        <f t="shared" ca="1" si="30"/>
        <v/>
      </c>
      <c r="O169" s="387" t="str">
        <f ca="1">IFERROR(IF(COUNTA($D$41:$D169)=1,"",OFFSET($C167,-COUNTA($D$41:$D169)+3,0)),"")</f>
        <v>a1HDm000000c2zvMAA</v>
      </c>
      <c r="P169" s="387">
        <f t="shared" ca="1" si="22"/>
        <v>0</v>
      </c>
      <c r="Q169" s="387"/>
      <c r="R169" s="387"/>
      <c r="S169" s="387"/>
      <c r="T169" s="387" t="b">
        <f t="shared" ca="1" si="31"/>
        <v>0</v>
      </c>
    </row>
    <row r="170" spans="1:20">
      <c r="A170" s="387" t="b">
        <f t="shared" ca="1" si="23"/>
        <v>0</v>
      </c>
      <c r="B170" s="397"/>
      <c r="C170" s="396" t="str">
        <f t="shared" ca="1" si="24"/>
        <v>a1HDm000000c2yjMAA</v>
      </c>
      <c r="D170" s="387"/>
      <c r="E170" s="387">
        <f t="shared" ca="1" si="20"/>
        <v>1</v>
      </c>
      <c r="F170" s="392">
        <f ca="1">IFERROR(IF(COUNTA($D$41:$D170)=1,"",OFFSET($F168,-COUNTA($D$41:$D170)+3,0)),"")</f>
        <v>7</v>
      </c>
      <c r="G170" s="387" t="str">
        <f t="shared" ca="1" si="21"/>
        <v>72024</v>
      </c>
      <c r="H170" s="387">
        <f t="shared" ca="1" si="25"/>
        <v>21</v>
      </c>
      <c r="I170" s="398" t="str">
        <f t="shared" ca="1" si="26"/>
        <v/>
      </c>
      <c r="J170" s="398" t="str">
        <f t="shared" ca="1" si="27"/>
        <v/>
      </c>
      <c r="K170" s="389" t="str">
        <f t="shared" ca="1" si="28"/>
        <v/>
      </c>
      <c r="L170" s="391">
        <f ca="1">IFERROR(CHOOSE(E170,'Impact Indicators - Section B '!$K$7,'Impact Indicators - Section B '!$O$7,'Impact Indicators - Section B '!$S$7,'Impact Indicators - Section B '!$W$7,'Impact Indicators - Section B '!#REF!),"")</f>
        <v>2024</v>
      </c>
      <c r="M170" s="399" t="str">
        <f t="shared" ca="1" si="29"/>
        <v/>
      </c>
      <c r="N170" s="391" t="str">
        <f t="shared" ca="1" si="30"/>
        <v/>
      </c>
      <c r="O170" s="387" t="str">
        <f ca="1">IFERROR(IF(COUNTA($D$41:$D170)=1,"",OFFSET($C168,-COUNTA($D$41:$D170)+3,0)),"")</f>
        <v>a1HDm000000c2yjMAA</v>
      </c>
      <c r="P170" s="387">
        <f t="shared" ca="1" si="22"/>
        <v>0</v>
      </c>
      <c r="Q170" s="387"/>
      <c r="R170" s="387"/>
      <c r="S170" s="387"/>
      <c r="T170" s="387" t="b">
        <f t="shared" ca="1" si="31"/>
        <v>0</v>
      </c>
    </row>
    <row r="171" spans="1:20">
      <c r="A171" s="387" t="b">
        <f t="shared" ca="1" si="23"/>
        <v>1</v>
      </c>
      <c r="B171" s="397"/>
      <c r="C171" s="396" t="str">
        <f t="shared" ca="1" si="24"/>
        <v>a1HDm000000c2yyMAA</v>
      </c>
      <c r="D171" s="387"/>
      <c r="E171" s="387">
        <f t="shared" ca="1" si="20"/>
        <v>2</v>
      </c>
      <c r="F171" s="392">
        <f ca="1">IFERROR(IF(COUNTA($D$41:$D171)=1,"",OFFSET($F169,-COUNTA($D$41:$D171)+3,0)),"")</f>
        <v>7</v>
      </c>
      <c r="G171" s="387" t="str">
        <f t="shared" ca="1" si="21"/>
        <v>72025</v>
      </c>
      <c r="H171" s="387">
        <f t="shared" ca="1" si="25"/>
        <v>21</v>
      </c>
      <c r="I171" s="398" t="str">
        <f t="shared" ca="1" si="26"/>
        <v/>
      </c>
      <c r="J171" s="398" t="str">
        <f t="shared" ca="1" si="27"/>
        <v/>
      </c>
      <c r="K171" s="389" t="str">
        <f t="shared" ca="1" si="28"/>
        <v/>
      </c>
      <c r="L171" s="391">
        <f ca="1">IFERROR(CHOOSE(E171,'Impact Indicators - Section B '!$K$7,'Impact Indicators - Section B '!$O$7,'Impact Indicators - Section B '!$S$7,'Impact Indicators - Section B '!$W$7,'Impact Indicators - Section B '!#REF!),"")</f>
        <v>2025</v>
      </c>
      <c r="M171" s="399" t="str">
        <f t="shared" ca="1" si="29"/>
        <v/>
      </c>
      <c r="N171" s="391" t="str">
        <f t="shared" ca="1" si="30"/>
        <v>TBD</v>
      </c>
      <c r="O171" s="387" t="str">
        <f ca="1">IFERROR(IF(COUNTA($D$41:$D171)=1,"",OFFSET($C169,-COUNTA($D$41:$D171)+3,0)),"")</f>
        <v>a1HDm000000c2yyMAA</v>
      </c>
      <c r="P171" s="387">
        <f t="shared" ca="1" si="22"/>
        <v>0</v>
      </c>
      <c r="Q171" s="387"/>
      <c r="R171" s="387"/>
      <c r="S171" s="387"/>
      <c r="T171" s="387" t="b">
        <f t="shared" ca="1" si="31"/>
        <v>1</v>
      </c>
    </row>
    <row r="172" spans="1:20">
      <c r="A172" s="387" t="b">
        <f t="shared" ca="1" si="23"/>
        <v>0</v>
      </c>
      <c r="B172" s="397"/>
      <c r="C172" s="396" t="str">
        <f t="shared" ca="1" si="24"/>
        <v>a1HDm000000c2zDMAQ</v>
      </c>
      <c r="D172" s="387"/>
      <c r="E172" s="387">
        <f t="shared" ref="E172:E223" ca="1" si="32">COUNTIF(F163:F172,F172)</f>
        <v>3</v>
      </c>
      <c r="F172" s="392">
        <f ca="1">IFERROR(IF(COUNTA($D$41:$D172)=1,"",OFFSET($F170,-COUNTA($D$41:$D172)+3,0)),"")</f>
        <v>7</v>
      </c>
      <c r="G172" s="387" t="str">
        <f t="shared" ref="G172:G223" ca="1" si="33">CONCATENATE(F172,L172)</f>
        <v>72026</v>
      </c>
      <c r="H172" s="387">
        <f t="shared" ca="1" si="25"/>
        <v>21</v>
      </c>
      <c r="I172" s="398" t="str">
        <f t="shared" ca="1" si="26"/>
        <v/>
      </c>
      <c r="J172" s="398" t="str">
        <f t="shared" ca="1" si="27"/>
        <v/>
      </c>
      <c r="K172" s="389" t="str">
        <f t="shared" ca="1" si="28"/>
        <v/>
      </c>
      <c r="L172" s="391">
        <f ca="1">IFERROR(CHOOSE(E172,'Impact Indicators - Section B '!$K$7,'Impact Indicators - Section B '!$O$7,'Impact Indicators - Section B '!$S$7,'Impact Indicators - Section B '!$W$7,'Impact Indicators - Section B '!#REF!),"")</f>
        <v>2026</v>
      </c>
      <c r="M172" s="399" t="str">
        <f t="shared" ca="1" si="29"/>
        <v/>
      </c>
      <c r="N172" s="391" t="str">
        <f t="shared" ca="1" si="30"/>
        <v/>
      </c>
      <c r="O172" s="387" t="str">
        <f ca="1">IFERROR(IF(COUNTA($D$41:$D172)=1,"",OFFSET($C170,-COUNTA($D$41:$D172)+3,0)),"")</f>
        <v>a1HDm000000c2zDMAQ</v>
      </c>
      <c r="P172" s="387">
        <f t="shared" ref="P172:P223" ca="1" si="34">IF(NOT(_xlfn.ISFORMULA(I172)),P171+1,0)</f>
        <v>0</v>
      </c>
      <c r="Q172" s="387"/>
      <c r="R172" s="387"/>
      <c r="S172" s="387"/>
      <c r="T172" s="387" t="b">
        <f t="shared" ca="1" si="31"/>
        <v>0</v>
      </c>
    </row>
    <row r="173" spans="1:20">
      <c r="A173" s="387" t="b">
        <f t="shared" ca="1" si="23"/>
        <v>0</v>
      </c>
      <c r="B173" s="397"/>
      <c r="C173" s="396" t="str">
        <f t="shared" ca="1" si="24"/>
        <v>a1HDm000000c2zSMAQ</v>
      </c>
      <c r="D173" s="387"/>
      <c r="E173" s="387">
        <f t="shared" ca="1" si="32"/>
        <v>4</v>
      </c>
      <c r="F173" s="392">
        <f ca="1">IFERROR(IF(COUNTA($D$41:$D173)=1,"",OFFSET($F171,-COUNTA($D$41:$D173)+3,0)),"")</f>
        <v>7</v>
      </c>
      <c r="G173" s="387" t="str">
        <f t="shared" ca="1" si="33"/>
        <v>7</v>
      </c>
      <c r="H173" s="387">
        <f t="shared" ca="1" si="25"/>
        <v>21</v>
      </c>
      <c r="I173" s="398" t="str">
        <f t="shared" ca="1" si="26"/>
        <v/>
      </c>
      <c r="J173" s="398" t="str">
        <f t="shared" ca="1" si="27"/>
        <v/>
      </c>
      <c r="K173" s="389" t="str">
        <f t="shared" ca="1" si="28"/>
        <v/>
      </c>
      <c r="L173" s="391" t="str">
        <f ca="1">IFERROR(CHOOSE(E173,'Impact Indicators - Section B '!$K$7,'Impact Indicators - Section B '!$O$7,'Impact Indicators - Section B '!$S$7,'Impact Indicators - Section B '!$W$7,'Impact Indicators - Section B '!#REF!),"")</f>
        <v/>
      </c>
      <c r="M173" s="399" t="str">
        <f t="shared" ca="1" si="29"/>
        <v/>
      </c>
      <c r="N173" s="391" t="str">
        <f t="shared" ca="1" si="30"/>
        <v/>
      </c>
      <c r="O173" s="387" t="str">
        <f ca="1">IFERROR(IF(COUNTA($D$41:$D173)=1,"",OFFSET($C171,-COUNTA($D$41:$D173)+3,0)),"")</f>
        <v>a1HDm000000c2zSMAQ</v>
      </c>
      <c r="P173" s="387">
        <f t="shared" ca="1" si="34"/>
        <v>0</v>
      </c>
      <c r="Q173" s="387"/>
      <c r="R173" s="387"/>
      <c r="S173" s="387"/>
      <c r="T173" s="387" t="b">
        <f t="shared" ca="1" si="31"/>
        <v>0</v>
      </c>
    </row>
    <row r="174" spans="1:20">
      <c r="A174" s="387" t="b">
        <f t="shared" ca="1" si="23"/>
        <v>0</v>
      </c>
      <c r="B174" s="397"/>
      <c r="C174" s="396" t="str">
        <f t="shared" ca="1" si="24"/>
        <v>a1HDm000000c2zhMAA</v>
      </c>
      <c r="D174" s="387"/>
      <c r="E174" s="387">
        <f t="shared" ca="1" si="32"/>
        <v>5</v>
      </c>
      <c r="F174" s="392">
        <f ca="1">IFERROR(IF(COUNTA($D$41:$D174)=1,"",OFFSET($F172,-COUNTA($D$41:$D174)+3,0)),"")</f>
        <v>7</v>
      </c>
      <c r="G174" s="387" t="str">
        <f t="shared" ca="1" si="33"/>
        <v>7</v>
      </c>
      <c r="H174" s="387">
        <f t="shared" ca="1" si="25"/>
        <v>21</v>
      </c>
      <c r="I174" s="398" t="str">
        <f t="shared" ca="1" si="26"/>
        <v/>
      </c>
      <c r="J174" s="398" t="str">
        <f t="shared" ca="1" si="27"/>
        <v/>
      </c>
      <c r="K174" s="389" t="str">
        <f t="shared" ca="1" si="28"/>
        <v/>
      </c>
      <c r="L174" s="391" t="str">
        <f ca="1">IFERROR(CHOOSE(E174,'Impact Indicators - Section B '!$K$7,'Impact Indicators - Section B '!$O$7,'Impact Indicators - Section B '!$S$7,'Impact Indicators - Section B '!$W$7,'Impact Indicators - Section B '!#REF!),"")</f>
        <v/>
      </c>
      <c r="M174" s="399" t="str">
        <f t="shared" ca="1" si="29"/>
        <v/>
      </c>
      <c r="N174" s="391" t="str">
        <f t="shared" ca="1" si="30"/>
        <v/>
      </c>
      <c r="O174" s="387" t="str">
        <f ca="1">IFERROR(IF(COUNTA($D$41:$D174)=1,"",OFFSET($C172,-COUNTA($D$41:$D174)+3,0)),"")</f>
        <v>a1HDm000000c2zhMAA</v>
      </c>
      <c r="P174" s="387">
        <f t="shared" ca="1" si="34"/>
        <v>0</v>
      </c>
      <c r="Q174" s="387"/>
      <c r="R174" s="387"/>
      <c r="S174" s="387"/>
      <c r="T174" s="387" t="b">
        <f t="shared" ca="1" si="31"/>
        <v>0</v>
      </c>
    </row>
    <row r="175" spans="1:20">
      <c r="A175" s="387" t="b">
        <f t="shared" ca="1" si="23"/>
        <v>0</v>
      </c>
      <c r="B175" s="397"/>
      <c r="C175" s="396" t="str">
        <f t="shared" ca="1" si="24"/>
        <v>a1HDm000000c2zwMAA</v>
      </c>
      <c r="D175" s="387"/>
      <c r="E175" s="387">
        <f t="shared" ca="1" si="32"/>
        <v>6</v>
      </c>
      <c r="F175" s="392">
        <f ca="1">IFERROR(IF(COUNTA($D$41:$D175)=1,"",OFFSET($F173,-COUNTA($D$41:$D175)+3,0)),"")</f>
        <v>7</v>
      </c>
      <c r="G175" s="387" t="str">
        <f t="shared" ca="1" si="33"/>
        <v>7</v>
      </c>
      <c r="H175" s="387">
        <f t="shared" ca="1" si="25"/>
        <v>21</v>
      </c>
      <c r="I175" s="398" t="str">
        <f t="shared" ca="1" si="26"/>
        <v/>
      </c>
      <c r="J175" s="398" t="str">
        <f t="shared" ca="1" si="27"/>
        <v/>
      </c>
      <c r="K175" s="389" t="str">
        <f t="shared" ca="1" si="28"/>
        <v/>
      </c>
      <c r="L175" s="391" t="str">
        <f ca="1">IFERROR(CHOOSE(E175,'Impact Indicators - Section B '!$K$7,'Impact Indicators - Section B '!$O$7,'Impact Indicators - Section B '!$S$7,'Impact Indicators - Section B '!$W$7,'Impact Indicators - Section B '!#REF!),"")</f>
        <v/>
      </c>
      <c r="M175" s="399" t="str">
        <f t="shared" ca="1" si="29"/>
        <v/>
      </c>
      <c r="N175" s="391" t="str">
        <f t="shared" ca="1" si="30"/>
        <v/>
      </c>
      <c r="O175" s="387" t="str">
        <f ca="1">IFERROR(IF(COUNTA($D$41:$D175)=1,"",OFFSET($C173,-COUNTA($D$41:$D175)+3,0)),"")</f>
        <v>a1HDm000000c2zwMAA</v>
      </c>
      <c r="P175" s="387">
        <f t="shared" ca="1" si="34"/>
        <v>0</v>
      </c>
      <c r="Q175" s="387"/>
      <c r="R175" s="387"/>
      <c r="S175" s="387"/>
      <c r="T175" s="387" t="b">
        <f t="shared" ca="1" si="31"/>
        <v>0</v>
      </c>
    </row>
    <row r="176" spans="1:20">
      <c r="A176" s="387" t="b">
        <f t="shared" ca="1" si="23"/>
        <v>0</v>
      </c>
      <c r="B176" s="397"/>
      <c r="C176" s="396" t="str">
        <f t="shared" ca="1" si="24"/>
        <v>a1HDm000000c2ykMAA</v>
      </c>
      <c r="D176" s="387"/>
      <c r="E176" s="387">
        <f t="shared" ca="1" si="32"/>
        <v>1</v>
      </c>
      <c r="F176" s="392">
        <f ca="1">IFERROR(IF(COUNTA($D$41:$D176)=1,"",OFFSET($F174,-COUNTA($D$41:$D176)+3,0)),"")</f>
        <v>8</v>
      </c>
      <c r="G176" s="387" t="str">
        <f t="shared" ca="1" si="33"/>
        <v>82024</v>
      </c>
      <c r="H176" s="387">
        <f t="shared" ca="1" si="25"/>
        <v>23</v>
      </c>
      <c r="I176" s="398" t="str">
        <f t="shared" ca="1" si="26"/>
        <v/>
      </c>
      <c r="J176" s="398" t="str">
        <f t="shared" ca="1" si="27"/>
        <v/>
      </c>
      <c r="K176" s="389" t="str">
        <f t="shared" ca="1" si="28"/>
        <v/>
      </c>
      <c r="L176" s="391">
        <f ca="1">IFERROR(CHOOSE(E176,'Impact Indicators - Section B '!$K$7,'Impact Indicators - Section B '!$O$7,'Impact Indicators - Section B '!$S$7,'Impact Indicators - Section B '!$W$7,'Impact Indicators - Section B '!#REF!),"")</f>
        <v>2024</v>
      </c>
      <c r="M176" s="399" t="str">
        <f t="shared" ca="1" si="29"/>
        <v/>
      </c>
      <c r="N176" s="391" t="str">
        <f t="shared" ca="1" si="30"/>
        <v/>
      </c>
      <c r="O176" s="387" t="str">
        <f ca="1">IFERROR(IF(COUNTA($D$41:$D176)=1,"",OFFSET($C174,-COUNTA($D$41:$D176)+3,0)),"")</f>
        <v>a1HDm000000c2ykMAA</v>
      </c>
      <c r="P176" s="387">
        <f t="shared" ca="1" si="34"/>
        <v>0</v>
      </c>
      <c r="Q176" s="387"/>
      <c r="R176" s="387"/>
      <c r="S176" s="387"/>
      <c r="T176" s="387" t="b">
        <f t="shared" ca="1" si="31"/>
        <v>0</v>
      </c>
    </row>
    <row r="177" spans="1:20">
      <c r="A177" s="387" t="b">
        <f t="shared" ca="1" si="23"/>
        <v>1</v>
      </c>
      <c r="B177" s="397"/>
      <c r="C177" s="396" t="str">
        <f t="shared" ca="1" si="24"/>
        <v>a1HDm000000c2yzMAA</v>
      </c>
      <c r="D177" s="387"/>
      <c r="E177" s="387">
        <f t="shared" ca="1" si="32"/>
        <v>2</v>
      </c>
      <c r="F177" s="392">
        <f ca="1">IFERROR(IF(COUNTA($D$41:$D177)=1,"",OFFSET($F175,-COUNTA($D$41:$D177)+3,0)),"")</f>
        <v>8</v>
      </c>
      <c r="G177" s="387" t="str">
        <f t="shared" ca="1" si="33"/>
        <v>82025</v>
      </c>
      <c r="H177" s="387">
        <f t="shared" ca="1" si="25"/>
        <v>23</v>
      </c>
      <c r="I177" s="398" t="str">
        <f t="shared" ca="1" si="26"/>
        <v/>
      </c>
      <c r="J177" s="398" t="str">
        <f t="shared" ca="1" si="27"/>
        <v/>
      </c>
      <c r="K177" s="389" t="str">
        <f t="shared" ca="1" si="28"/>
        <v/>
      </c>
      <c r="L177" s="391">
        <f ca="1">IFERROR(CHOOSE(E177,'Impact Indicators - Section B '!$K$7,'Impact Indicators - Section B '!$O$7,'Impact Indicators - Section B '!$S$7,'Impact Indicators - Section B '!$W$7,'Impact Indicators - Section B '!#REF!),"")</f>
        <v>2025</v>
      </c>
      <c r="M177" s="399" t="str">
        <f t="shared" ca="1" si="29"/>
        <v/>
      </c>
      <c r="N177" s="391" t="str">
        <f t="shared" ca="1" si="30"/>
        <v>TBD</v>
      </c>
      <c r="O177" s="387" t="str">
        <f ca="1">IFERROR(IF(COUNTA($D$41:$D177)=1,"",OFFSET($C175,-COUNTA($D$41:$D177)+3,0)),"")</f>
        <v>a1HDm000000c2yzMAA</v>
      </c>
      <c r="P177" s="387">
        <f t="shared" ca="1" si="34"/>
        <v>0</v>
      </c>
      <c r="Q177" s="387"/>
      <c r="R177" s="387"/>
      <c r="S177" s="387"/>
      <c r="T177" s="387" t="b">
        <f t="shared" ca="1" si="31"/>
        <v>1</v>
      </c>
    </row>
    <row r="178" spans="1:20">
      <c r="A178" s="387" t="b">
        <f t="shared" ca="1" si="23"/>
        <v>0</v>
      </c>
      <c r="B178" s="397"/>
      <c r="C178" s="396" t="str">
        <f t="shared" ca="1" si="24"/>
        <v>a1HDm000000c2zEMAQ</v>
      </c>
      <c r="D178" s="387"/>
      <c r="E178" s="387">
        <f t="shared" ca="1" si="32"/>
        <v>3</v>
      </c>
      <c r="F178" s="392">
        <f ca="1">IFERROR(IF(COUNTA($D$41:$D178)=1,"",OFFSET($F176,-COUNTA($D$41:$D178)+3,0)),"")</f>
        <v>8</v>
      </c>
      <c r="G178" s="387" t="str">
        <f t="shared" ca="1" si="33"/>
        <v>82026</v>
      </c>
      <c r="H178" s="387">
        <f t="shared" ca="1" si="25"/>
        <v>23</v>
      </c>
      <c r="I178" s="398" t="str">
        <f t="shared" ca="1" si="26"/>
        <v/>
      </c>
      <c r="J178" s="398" t="str">
        <f t="shared" ca="1" si="27"/>
        <v/>
      </c>
      <c r="K178" s="389" t="str">
        <f t="shared" ca="1" si="28"/>
        <v/>
      </c>
      <c r="L178" s="391">
        <f ca="1">IFERROR(CHOOSE(E178,'Impact Indicators - Section B '!$K$7,'Impact Indicators - Section B '!$O$7,'Impact Indicators - Section B '!$S$7,'Impact Indicators - Section B '!$W$7,'Impact Indicators - Section B '!#REF!),"")</f>
        <v>2026</v>
      </c>
      <c r="M178" s="399" t="str">
        <f t="shared" ca="1" si="29"/>
        <v/>
      </c>
      <c r="N178" s="391" t="str">
        <f t="shared" ca="1" si="30"/>
        <v/>
      </c>
      <c r="O178" s="387" t="str">
        <f ca="1">IFERROR(IF(COUNTA($D$41:$D178)=1,"",OFFSET($C176,-COUNTA($D$41:$D178)+3,0)),"")</f>
        <v>a1HDm000000c2zEMAQ</v>
      </c>
      <c r="P178" s="387">
        <f t="shared" ca="1" si="34"/>
        <v>0</v>
      </c>
      <c r="Q178" s="387"/>
      <c r="R178" s="387"/>
      <c r="S178" s="387"/>
      <c r="T178" s="387" t="b">
        <f t="shared" ca="1" si="31"/>
        <v>0</v>
      </c>
    </row>
    <row r="179" spans="1:20">
      <c r="A179" s="387" t="b">
        <f t="shared" ca="1" si="23"/>
        <v>0</v>
      </c>
      <c r="B179" s="397"/>
      <c r="C179" s="396" t="str">
        <f t="shared" ca="1" si="24"/>
        <v>a1HDm000000c2zTMAQ</v>
      </c>
      <c r="D179" s="387"/>
      <c r="E179" s="387">
        <f t="shared" ca="1" si="32"/>
        <v>4</v>
      </c>
      <c r="F179" s="392">
        <f ca="1">IFERROR(IF(COUNTA($D$41:$D179)=1,"",OFFSET($F177,-COUNTA($D$41:$D179)+3,0)),"")</f>
        <v>8</v>
      </c>
      <c r="G179" s="387" t="str">
        <f t="shared" ca="1" si="33"/>
        <v>8</v>
      </c>
      <c r="H179" s="387">
        <f t="shared" ca="1" si="25"/>
        <v>23</v>
      </c>
      <c r="I179" s="398" t="str">
        <f t="shared" ca="1" si="26"/>
        <v/>
      </c>
      <c r="J179" s="398" t="str">
        <f t="shared" ca="1" si="27"/>
        <v/>
      </c>
      <c r="K179" s="389" t="str">
        <f t="shared" ca="1" si="28"/>
        <v/>
      </c>
      <c r="L179" s="391" t="str">
        <f ca="1">IFERROR(CHOOSE(E179,'Impact Indicators - Section B '!$K$7,'Impact Indicators - Section B '!$O$7,'Impact Indicators - Section B '!$S$7,'Impact Indicators - Section B '!$W$7,'Impact Indicators - Section B '!#REF!),"")</f>
        <v/>
      </c>
      <c r="M179" s="399" t="str">
        <f t="shared" ca="1" si="29"/>
        <v/>
      </c>
      <c r="N179" s="391" t="str">
        <f t="shared" ca="1" si="30"/>
        <v/>
      </c>
      <c r="O179" s="387" t="str">
        <f ca="1">IFERROR(IF(COUNTA($D$41:$D179)=1,"",OFFSET($C177,-COUNTA($D$41:$D179)+3,0)),"")</f>
        <v>a1HDm000000c2zTMAQ</v>
      </c>
      <c r="P179" s="387">
        <f t="shared" ca="1" si="34"/>
        <v>0</v>
      </c>
      <c r="Q179" s="387"/>
      <c r="R179" s="387"/>
      <c r="S179" s="387"/>
      <c r="T179" s="387" t="b">
        <f t="shared" ca="1" si="31"/>
        <v>0</v>
      </c>
    </row>
    <row r="180" spans="1:20">
      <c r="A180" s="387" t="b">
        <f t="shared" ca="1" si="23"/>
        <v>0</v>
      </c>
      <c r="B180" s="397"/>
      <c r="C180" s="396" t="str">
        <f t="shared" ca="1" si="24"/>
        <v>a1HDm000000c2ziMAA</v>
      </c>
      <c r="D180" s="387"/>
      <c r="E180" s="387">
        <f t="shared" ca="1" si="32"/>
        <v>5</v>
      </c>
      <c r="F180" s="392">
        <f ca="1">IFERROR(IF(COUNTA($D$41:$D180)=1,"",OFFSET($F178,-COUNTA($D$41:$D180)+3,0)),"")</f>
        <v>8</v>
      </c>
      <c r="G180" s="387" t="str">
        <f t="shared" ca="1" si="33"/>
        <v>8</v>
      </c>
      <c r="H180" s="387">
        <f t="shared" ca="1" si="25"/>
        <v>23</v>
      </c>
      <c r="I180" s="398" t="str">
        <f t="shared" ca="1" si="26"/>
        <v/>
      </c>
      <c r="J180" s="398" t="str">
        <f t="shared" ca="1" si="27"/>
        <v/>
      </c>
      <c r="K180" s="389" t="str">
        <f t="shared" ca="1" si="28"/>
        <v/>
      </c>
      <c r="L180" s="391" t="str">
        <f ca="1">IFERROR(CHOOSE(E180,'Impact Indicators - Section B '!$K$7,'Impact Indicators - Section B '!$O$7,'Impact Indicators - Section B '!$S$7,'Impact Indicators - Section B '!$W$7,'Impact Indicators - Section B '!#REF!),"")</f>
        <v/>
      </c>
      <c r="M180" s="399" t="str">
        <f t="shared" ca="1" si="29"/>
        <v/>
      </c>
      <c r="N180" s="391" t="str">
        <f t="shared" ca="1" si="30"/>
        <v/>
      </c>
      <c r="O180" s="387" t="str">
        <f ca="1">IFERROR(IF(COUNTA($D$41:$D180)=1,"",OFFSET($C178,-COUNTA($D$41:$D180)+3,0)),"")</f>
        <v>a1HDm000000c2ziMAA</v>
      </c>
      <c r="P180" s="387">
        <f t="shared" ca="1" si="34"/>
        <v>0</v>
      </c>
      <c r="Q180" s="387"/>
      <c r="R180" s="387"/>
      <c r="S180" s="387"/>
      <c r="T180" s="387" t="b">
        <f t="shared" ca="1" si="31"/>
        <v>0</v>
      </c>
    </row>
    <row r="181" spans="1:20">
      <c r="A181" s="387" t="b">
        <f t="shared" ca="1" si="23"/>
        <v>0</v>
      </c>
      <c r="B181" s="397"/>
      <c r="C181" s="396" t="str">
        <f t="shared" ca="1" si="24"/>
        <v>a1HDm000000c2zxMAA</v>
      </c>
      <c r="D181" s="387"/>
      <c r="E181" s="387">
        <f t="shared" ca="1" si="32"/>
        <v>6</v>
      </c>
      <c r="F181" s="392">
        <f ca="1">IFERROR(IF(COUNTA($D$41:$D181)=1,"",OFFSET($F179,-COUNTA($D$41:$D181)+3,0)),"")</f>
        <v>8</v>
      </c>
      <c r="G181" s="387" t="str">
        <f t="shared" ca="1" si="33"/>
        <v>8</v>
      </c>
      <c r="H181" s="387">
        <f t="shared" ca="1" si="25"/>
        <v>23</v>
      </c>
      <c r="I181" s="398" t="str">
        <f t="shared" ca="1" si="26"/>
        <v/>
      </c>
      <c r="J181" s="398" t="str">
        <f t="shared" ca="1" si="27"/>
        <v/>
      </c>
      <c r="K181" s="389" t="str">
        <f t="shared" ca="1" si="28"/>
        <v/>
      </c>
      <c r="L181" s="391" t="str">
        <f ca="1">IFERROR(CHOOSE(E181,'Impact Indicators - Section B '!$K$7,'Impact Indicators - Section B '!$O$7,'Impact Indicators - Section B '!$S$7,'Impact Indicators - Section B '!$W$7,'Impact Indicators - Section B '!#REF!),"")</f>
        <v/>
      </c>
      <c r="M181" s="399" t="str">
        <f t="shared" ca="1" si="29"/>
        <v/>
      </c>
      <c r="N181" s="391" t="str">
        <f t="shared" ca="1" si="30"/>
        <v/>
      </c>
      <c r="O181" s="387" t="str">
        <f ca="1">IFERROR(IF(COUNTA($D$41:$D181)=1,"",OFFSET($C179,-COUNTA($D$41:$D181)+3,0)),"")</f>
        <v>a1HDm000000c2zxMAA</v>
      </c>
      <c r="P181" s="387">
        <f t="shared" ca="1" si="34"/>
        <v>0</v>
      </c>
      <c r="Q181" s="387"/>
      <c r="R181" s="387"/>
      <c r="S181" s="387"/>
      <c r="T181" s="387" t="b">
        <f t="shared" ca="1" si="31"/>
        <v>0</v>
      </c>
    </row>
    <row r="182" spans="1:20">
      <c r="A182" s="387" t="b">
        <f t="shared" ca="1" si="23"/>
        <v>1</v>
      </c>
      <c r="B182" s="397"/>
      <c r="C182" s="396" t="str">
        <f t="shared" ca="1" si="24"/>
        <v>a1HDm000000c2ylMAA</v>
      </c>
      <c r="D182" s="387"/>
      <c r="E182" s="387">
        <f t="shared" ca="1" si="32"/>
        <v>1</v>
      </c>
      <c r="F182" s="392">
        <f ca="1">IFERROR(IF(COUNTA($D$41:$D182)=1,"",OFFSET($F180,-COUNTA($D$41:$D182)+3,0)),"")</f>
        <v>9</v>
      </c>
      <c r="G182" s="387" t="str">
        <f t="shared" ca="1" si="33"/>
        <v>92024</v>
      </c>
      <c r="H182" s="387">
        <f t="shared" ca="1" si="25"/>
        <v>25</v>
      </c>
      <c r="I182" s="398" t="str">
        <f t="shared" ca="1" si="26"/>
        <v/>
      </c>
      <c r="J182" s="398">
        <f t="shared" ca="1" si="27"/>
        <v>17607</v>
      </c>
      <c r="K182" s="389" t="str">
        <f t="shared" ca="1" si="28"/>
        <v/>
      </c>
      <c r="L182" s="391">
        <f ca="1">IFERROR(CHOOSE(E182,'Impact Indicators - Section B '!$K$7,'Impact Indicators - Section B '!$O$7,'Impact Indicators - Section B '!$S$7,'Impact Indicators - Section B '!$W$7,'Impact Indicators - Section B '!#REF!),"")</f>
        <v>2024</v>
      </c>
      <c r="M182" s="399" t="str">
        <f t="shared" ca="1" si="29"/>
        <v/>
      </c>
      <c r="N182" s="391" t="str">
        <f t="shared" ca="1" si="30"/>
        <v/>
      </c>
      <c r="O182" s="387" t="str">
        <f ca="1">IFERROR(IF(COUNTA($D$41:$D182)=1,"",OFFSET($C180,-COUNTA($D$41:$D182)+3,0)),"")</f>
        <v>a1HDm000000c2ylMAA</v>
      </c>
      <c r="P182" s="387">
        <f t="shared" ca="1" si="34"/>
        <v>0</v>
      </c>
      <c r="Q182" s="387"/>
      <c r="R182" s="387"/>
      <c r="S182" s="387"/>
      <c r="T182" s="387" t="b">
        <f t="shared" ca="1" si="31"/>
        <v>1</v>
      </c>
    </row>
    <row r="183" spans="1:20">
      <c r="A183" s="387" t="b">
        <f t="shared" ca="1" si="23"/>
        <v>1</v>
      </c>
      <c r="B183" s="397"/>
      <c r="C183" s="396" t="str">
        <f t="shared" ca="1" si="24"/>
        <v>a1HDm000000c2z0MAA</v>
      </c>
      <c r="D183" s="387"/>
      <c r="E183" s="387">
        <f t="shared" ca="1" si="32"/>
        <v>2</v>
      </c>
      <c r="F183" s="392">
        <f ca="1">IFERROR(IF(COUNTA($D$41:$D183)=1,"",OFFSET($F181,-COUNTA($D$41:$D183)+3,0)),"")</f>
        <v>9</v>
      </c>
      <c r="G183" s="387" t="str">
        <f t="shared" ca="1" si="33"/>
        <v>92025</v>
      </c>
      <c r="H183" s="387">
        <f t="shared" ca="1" si="25"/>
        <v>25</v>
      </c>
      <c r="I183" s="398" t="str">
        <f t="shared" ca="1" si="26"/>
        <v/>
      </c>
      <c r="J183" s="398">
        <f t="shared" ca="1" si="27"/>
        <v>16072</v>
      </c>
      <c r="K183" s="389" t="str">
        <f t="shared" ca="1" si="28"/>
        <v/>
      </c>
      <c r="L183" s="391">
        <f ca="1">IFERROR(CHOOSE(E183,'Impact Indicators - Section B '!$K$7,'Impact Indicators - Section B '!$O$7,'Impact Indicators - Section B '!$S$7,'Impact Indicators - Section B '!$W$7,'Impact Indicators - Section B '!#REF!),"")</f>
        <v>2025</v>
      </c>
      <c r="M183" s="399" t="str">
        <f t="shared" ca="1" si="29"/>
        <v/>
      </c>
      <c r="N183" s="391" t="str">
        <f t="shared" ca="1" si="30"/>
        <v/>
      </c>
      <c r="O183" s="387" t="str">
        <f ca="1">IFERROR(IF(COUNTA($D$41:$D183)=1,"",OFFSET($C181,-COUNTA($D$41:$D183)+3,0)),"")</f>
        <v>a1HDm000000c2z0MAA</v>
      </c>
      <c r="P183" s="387">
        <f t="shared" ca="1" si="34"/>
        <v>0</v>
      </c>
      <c r="Q183" s="387"/>
      <c r="R183" s="387"/>
      <c r="S183" s="387"/>
      <c r="T183" s="387" t="b">
        <f t="shared" ca="1" si="31"/>
        <v>1</v>
      </c>
    </row>
    <row r="184" spans="1:20">
      <c r="A184" s="387" t="b">
        <f t="shared" ca="1" si="23"/>
        <v>1</v>
      </c>
      <c r="B184" s="397"/>
      <c r="C184" s="396" t="str">
        <f t="shared" ca="1" si="24"/>
        <v>a1HDm000000c2zFMAQ</v>
      </c>
      <c r="D184" s="387"/>
      <c r="E184" s="387">
        <f t="shared" ca="1" si="32"/>
        <v>3</v>
      </c>
      <c r="F184" s="392">
        <f ca="1">IFERROR(IF(COUNTA($D$41:$D184)=1,"",OFFSET($F182,-COUNTA($D$41:$D184)+3,0)),"")</f>
        <v>9</v>
      </c>
      <c r="G184" s="387" t="str">
        <f t="shared" ca="1" si="33"/>
        <v>92026</v>
      </c>
      <c r="H184" s="387">
        <f t="shared" ca="1" si="25"/>
        <v>25</v>
      </c>
      <c r="I184" s="398" t="str">
        <f t="shared" ca="1" si="26"/>
        <v/>
      </c>
      <c r="J184" s="398">
        <f t="shared" ca="1" si="27"/>
        <v>14276</v>
      </c>
      <c r="K184" s="389" t="str">
        <f t="shared" ca="1" si="28"/>
        <v/>
      </c>
      <c r="L184" s="391">
        <f ca="1">IFERROR(CHOOSE(E184,'Impact Indicators - Section B '!$K$7,'Impact Indicators - Section B '!$O$7,'Impact Indicators - Section B '!$S$7,'Impact Indicators - Section B '!$W$7,'Impact Indicators - Section B '!#REF!),"")</f>
        <v>2026</v>
      </c>
      <c r="M184" s="399" t="str">
        <f t="shared" ca="1" si="29"/>
        <v/>
      </c>
      <c r="N184" s="391" t="str">
        <f t="shared" ca="1" si="30"/>
        <v/>
      </c>
      <c r="O184" s="387" t="str">
        <f ca="1">IFERROR(IF(COUNTA($D$41:$D184)=1,"",OFFSET($C182,-COUNTA($D$41:$D184)+3,0)),"")</f>
        <v>a1HDm000000c2zFMAQ</v>
      </c>
      <c r="P184" s="387">
        <f t="shared" ca="1" si="34"/>
        <v>0</v>
      </c>
      <c r="Q184" s="387"/>
      <c r="R184" s="387"/>
      <c r="S184" s="387"/>
      <c r="T184" s="387" t="b">
        <f t="shared" ca="1" si="31"/>
        <v>1</v>
      </c>
    </row>
    <row r="185" spans="1:20">
      <c r="A185" s="387" t="b">
        <f t="shared" ca="1" si="23"/>
        <v>0</v>
      </c>
      <c r="B185" s="397"/>
      <c r="C185" s="396" t="str">
        <f t="shared" ca="1" si="24"/>
        <v>a1HDm000000c2zUMAQ</v>
      </c>
      <c r="D185" s="387"/>
      <c r="E185" s="387">
        <f t="shared" ca="1" si="32"/>
        <v>4</v>
      </c>
      <c r="F185" s="392">
        <f ca="1">IFERROR(IF(COUNTA($D$41:$D185)=1,"",OFFSET($F183,-COUNTA($D$41:$D185)+3,0)),"")</f>
        <v>9</v>
      </c>
      <c r="G185" s="387" t="str">
        <f t="shared" ca="1" si="33"/>
        <v>9</v>
      </c>
      <c r="H185" s="387">
        <f t="shared" ca="1" si="25"/>
        <v>25</v>
      </c>
      <c r="I185" s="398" t="str">
        <f t="shared" ca="1" si="26"/>
        <v/>
      </c>
      <c r="J185" s="398" t="str">
        <f t="shared" ca="1" si="27"/>
        <v/>
      </c>
      <c r="K185" s="389" t="str">
        <f t="shared" ca="1" si="28"/>
        <v/>
      </c>
      <c r="L185" s="391" t="str">
        <f ca="1">IFERROR(CHOOSE(E185,'Impact Indicators - Section B '!$K$7,'Impact Indicators - Section B '!$O$7,'Impact Indicators - Section B '!$S$7,'Impact Indicators - Section B '!$W$7,'Impact Indicators - Section B '!#REF!),"")</f>
        <v/>
      </c>
      <c r="M185" s="399" t="str">
        <f t="shared" ca="1" si="29"/>
        <v/>
      </c>
      <c r="N185" s="391" t="str">
        <f t="shared" ca="1" si="30"/>
        <v/>
      </c>
      <c r="O185" s="387" t="str">
        <f ca="1">IFERROR(IF(COUNTA($D$41:$D185)=1,"",OFFSET($C183,-COUNTA($D$41:$D185)+3,0)),"")</f>
        <v>a1HDm000000c2zUMAQ</v>
      </c>
      <c r="P185" s="387">
        <f t="shared" ca="1" si="34"/>
        <v>0</v>
      </c>
      <c r="Q185" s="387"/>
      <c r="R185" s="387"/>
      <c r="S185" s="387"/>
      <c r="T185" s="387" t="b">
        <f t="shared" ca="1" si="31"/>
        <v>0</v>
      </c>
    </row>
    <row r="186" spans="1:20">
      <c r="A186" s="387" t="b">
        <f t="shared" ca="1" si="23"/>
        <v>0</v>
      </c>
      <c r="B186" s="397"/>
      <c r="C186" s="396" t="str">
        <f t="shared" ca="1" si="24"/>
        <v>a1HDm000000c2zjMAA</v>
      </c>
      <c r="D186" s="387"/>
      <c r="E186" s="387">
        <f t="shared" ca="1" si="32"/>
        <v>5</v>
      </c>
      <c r="F186" s="392">
        <f ca="1">IFERROR(IF(COUNTA($D$41:$D186)=1,"",OFFSET($F184,-COUNTA($D$41:$D186)+3,0)),"")</f>
        <v>9</v>
      </c>
      <c r="G186" s="387" t="str">
        <f t="shared" ca="1" si="33"/>
        <v>9</v>
      </c>
      <c r="H186" s="387">
        <f t="shared" ca="1" si="25"/>
        <v>25</v>
      </c>
      <c r="I186" s="398" t="str">
        <f t="shared" ca="1" si="26"/>
        <v/>
      </c>
      <c r="J186" s="398" t="str">
        <f t="shared" ca="1" si="27"/>
        <v/>
      </c>
      <c r="K186" s="389" t="str">
        <f t="shared" ca="1" si="28"/>
        <v/>
      </c>
      <c r="L186" s="391" t="str">
        <f ca="1">IFERROR(CHOOSE(E186,'Impact Indicators - Section B '!$K$7,'Impact Indicators - Section B '!$O$7,'Impact Indicators - Section B '!$S$7,'Impact Indicators - Section B '!$W$7,'Impact Indicators - Section B '!#REF!),"")</f>
        <v/>
      </c>
      <c r="M186" s="399" t="str">
        <f t="shared" ca="1" si="29"/>
        <v/>
      </c>
      <c r="N186" s="391" t="str">
        <f t="shared" ca="1" si="30"/>
        <v/>
      </c>
      <c r="O186" s="387" t="str">
        <f ca="1">IFERROR(IF(COUNTA($D$41:$D186)=1,"",OFFSET($C184,-COUNTA($D$41:$D186)+3,0)),"")</f>
        <v>a1HDm000000c2zjMAA</v>
      </c>
      <c r="P186" s="387">
        <f t="shared" ca="1" si="34"/>
        <v>0</v>
      </c>
      <c r="Q186" s="387"/>
      <c r="R186" s="387"/>
      <c r="S186" s="387"/>
      <c r="T186" s="387" t="b">
        <f t="shared" ca="1" si="31"/>
        <v>0</v>
      </c>
    </row>
    <row r="187" spans="1:20">
      <c r="A187" s="387" t="b">
        <f t="shared" ca="1" si="23"/>
        <v>0</v>
      </c>
      <c r="B187" s="397"/>
      <c r="C187" s="396" t="str">
        <f t="shared" ca="1" si="24"/>
        <v>a1HDm000000c2zyMAA</v>
      </c>
      <c r="D187" s="387"/>
      <c r="E187" s="387">
        <f t="shared" ca="1" si="32"/>
        <v>6</v>
      </c>
      <c r="F187" s="392">
        <f ca="1">IFERROR(IF(COUNTA($D$41:$D187)=1,"",OFFSET($F185,-COUNTA($D$41:$D187)+3,0)),"")</f>
        <v>9</v>
      </c>
      <c r="G187" s="387" t="str">
        <f t="shared" ca="1" si="33"/>
        <v>9</v>
      </c>
      <c r="H187" s="387">
        <f t="shared" ca="1" si="25"/>
        <v>25</v>
      </c>
      <c r="I187" s="398" t="str">
        <f t="shared" ca="1" si="26"/>
        <v/>
      </c>
      <c r="J187" s="398" t="str">
        <f t="shared" ca="1" si="27"/>
        <v/>
      </c>
      <c r="K187" s="389" t="str">
        <f t="shared" ca="1" si="28"/>
        <v/>
      </c>
      <c r="L187" s="391" t="str">
        <f ca="1">IFERROR(CHOOSE(E187,'Impact Indicators - Section B '!$K$7,'Impact Indicators - Section B '!$O$7,'Impact Indicators - Section B '!$S$7,'Impact Indicators - Section B '!$W$7,'Impact Indicators - Section B '!#REF!),"")</f>
        <v/>
      </c>
      <c r="M187" s="399" t="str">
        <f t="shared" ca="1" si="29"/>
        <v/>
      </c>
      <c r="N187" s="391" t="str">
        <f t="shared" ca="1" si="30"/>
        <v/>
      </c>
      <c r="O187" s="387" t="str">
        <f ca="1">IFERROR(IF(COUNTA($D$41:$D187)=1,"",OFFSET($C185,-COUNTA($D$41:$D187)+3,0)),"")</f>
        <v>a1HDm000000c2zyMAA</v>
      </c>
      <c r="P187" s="387">
        <f t="shared" ca="1" si="34"/>
        <v>0</v>
      </c>
      <c r="Q187" s="387"/>
      <c r="R187" s="387"/>
      <c r="S187" s="387"/>
      <c r="T187" s="387" t="b">
        <f t="shared" ca="1" si="31"/>
        <v>0</v>
      </c>
    </row>
    <row r="188" spans="1:20">
      <c r="A188" s="387" t="b">
        <f t="shared" ca="1" si="23"/>
        <v>1</v>
      </c>
      <c r="B188" s="397"/>
      <c r="C188" s="396" t="str">
        <f t="shared" ca="1" si="24"/>
        <v>a1HDm000000c2ymMAA</v>
      </c>
      <c r="D188" s="387"/>
      <c r="E188" s="387">
        <f t="shared" ca="1" si="32"/>
        <v>1</v>
      </c>
      <c r="F188" s="392">
        <f ca="1">IFERROR(IF(COUNTA($D$41:$D188)=1,"",OFFSET($F186,-COUNTA($D$41:$D188)+3,0)),"")</f>
        <v>10</v>
      </c>
      <c r="G188" s="387" t="str">
        <f t="shared" ca="1" si="33"/>
        <v>102024</v>
      </c>
      <c r="H188" s="387">
        <f t="shared" ca="1" si="25"/>
        <v>27</v>
      </c>
      <c r="I188" s="398" t="str">
        <f t="shared" ca="1" si="26"/>
        <v/>
      </c>
      <c r="J188" s="398">
        <f t="shared" ca="1" si="27"/>
        <v>12157</v>
      </c>
      <c r="K188" s="389" t="str">
        <f t="shared" ca="1" si="28"/>
        <v/>
      </c>
      <c r="L188" s="391">
        <f ca="1">IFERROR(CHOOSE(E188,'Impact Indicators - Section B '!$K$7,'Impact Indicators - Section B '!$O$7,'Impact Indicators - Section B '!$S$7,'Impact Indicators - Section B '!$W$7,'Impact Indicators - Section B '!#REF!),"")</f>
        <v>2024</v>
      </c>
      <c r="M188" s="399" t="str">
        <f t="shared" ca="1" si="29"/>
        <v/>
      </c>
      <c r="N188" s="391" t="str">
        <f t="shared" ca="1" si="30"/>
        <v/>
      </c>
      <c r="O188" s="387" t="str">
        <f ca="1">IFERROR(IF(COUNTA($D$41:$D188)=1,"",OFFSET($C186,-COUNTA($D$41:$D188)+3,0)),"")</f>
        <v>a1HDm000000c2ymMAA</v>
      </c>
      <c r="P188" s="387">
        <f t="shared" ca="1" si="34"/>
        <v>0</v>
      </c>
      <c r="Q188" s="387"/>
      <c r="R188" s="387"/>
      <c r="S188" s="387"/>
      <c r="T188" s="387" t="b">
        <f t="shared" ca="1" si="31"/>
        <v>1</v>
      </c>
    </row>
    <row r="189" spans="1:20">
      <c r="A189" s="387" t="b">
        <f t="shared" ca="1" si="23"/>
        <v>1</v>
      </c>
      <c r="B189" s="397"/>
      <c r="C189" s="396" t="str">
        <f t="shared" ca="1" si="24"/>
        <v>a1HDm000000c2z1MAA</v>
      </c>
      <c r="D189" s="387"/>
      <c r="E189" s="387">
        <f t="shared" ca="1" si="32"/>
        <v>2</v>
      </c>
      <c r="F189" s="392">
        <f ca="1">IFERROR(IF(COUNTA($D$41:$D189)=1,"",OFFSET($F187,-COUNTA($D$41:$D189)+3,0)),"")</f>
        <v>10</v>
      </c>
      <c r="G189" s="387" t="str">
        <f t="shared" ca="1" si="33"/>
        <v>102025</v>
      </c>
      <c r="H189" s="387">
        <f t="shared" ca="1" si="25"/>
        <v>27</v>
      </c>
      <c r="I189" s="398" t="str">
        <f t="shared" ca="1" si="26"/>
        <v/>
      </c>
      <c r="J189" s="398">
        <f t="shared" ca="1" si="27"/>
        <v>12188</v>
      </c>
      <c r="K189" s="389" t="str">
        <f t="shared" ca="1" si="28"/>
        <v/>
      </c>
      <c r="L189" s="391">
        <f ca="1">IFERROR(CHOOSE(E189,'Impact Indicators - Section B '!$K$7,'Impact Indicators - Section B '!$O$7,'Impact Indicators - Section B '!$S$7,'Impact Indicators - Section B '!$W$7,'Impact Indicators - Section B '!#REF!),"")</f>
        <v>2025</v>
      </c>
      <c r="M189" s="399" t="str">
        <f t="shared" ca="1" si="29"/>
        <v/>
      </c>
      <c r="N189" s="391" t="str">
        <f t="shared" ca="1" si="30"/>
        <v/>
      </c>
      <c r="O189" s="387" t="str">
        <f ca="1">IFERROR(IF(COUNTA($D$41:$D189)=1,"",OFFSET($C187,-COUNTA($D$41:$D189)+3,0)),"")</f>
        <v>a1HDm000000c2z1MAA</v>
      </c>
      <c r="P189" s="387">
        <f t="shared" ca="1" si="34"/>
        <v>0</v>
      </c>
      <c r="Q189" s="387"/>
      <c r="R189" s="387"/>
      <c r="S189" s="387"/>
      <c r="T189" s="387" t="b">
        <f t="shared" ca="1" si="31"/>
        <v>1</v>
      </c>
    </row>
    <row r="190" spans="1:20">
      <c r="A190" s="387" t="b">
        <f t="shared" ca="1" si="23"/>
        <v>1</v>
      </c>
      <c r="B190" s="397"/>
      <c r="C190" s="396" t="str">
        <f t="shared" ca="1" si="24"/>
        <v>a1HDm000000c2zGMAQ</v>
      </c>
      <c r="D190" s="387"/>
      <c r="E190" s="387">
        <f t="shared" ca="1" si="32"/>
        <v>3</v>
      </c>
      <c r="F190" s="392">
        <f ca="1">IFERROR(IF(COUNTA($D$41:$D190)=1,"",OFFSET($F188,-COUNTA($D$41:$D190)+3,0)),"")</f>
        <v>10</v>
      </c>
      <c r="G190" s="387" t="str">
        <f t="shared" ca="1" si="33"/>
        <v>102026</v>
      </c>
      <c r="H190" s="387">
        <f t="shared" ca="1" si="25"/>
        <v>27</v>
      </c>
      <c r="I190" s="398" t="str">
        <f t="shared" ca="1" si="26"/>
        <v/>
      </c>
      <c r="J190" s="398">
        <f t="shared" ca="1" si="27"/>
        <v>11980</v>
      </c>
      <c r="K190" s="389" t="str">
        <f t="shared" ca="1" si="28"/>
        <v/>
      </c>
      <c r="L190" s="391">
        <f ca="1">IFERROR(CHOOSE(E190,'Impact Indicators - Section B '!$K$7,'Impact Indicators - Section B '!$O$7,'Impact Indicators - Section B '!$S$7,'Impact Indicators - Section B '!$W$7,'Impact Indicators - Section B '!#REF!),"")</f>
        <v>2026</v>
      </c>
      <c r="M190" s="399" t="str">
        <f t="shared" ca="1" si="29"/>
        <v/>
      </c>
      <c r="N190" s="391" t="str">
        <f t="shared" ca="1" si="30"/>
        <v/>
      </c>
      <c r="O190" s="387" t="str">
        <f ca="1">IFERROR(IF(COUNTA($D$41:$D190)=1,"",OFFSET($C188,-COUNTA($D$41:$D190)+3,0)),"")</f>
        <v>a1HDm000000c2zGMAQ</v>
      </c>
      <c r="P190" s="387">
        <f t="shared" ca="1" si="34"/>
        <v>0</v>
      </c>
      <c r="Q190" s="387"/>
      <c r="R190" s="387"/>
      <c r="S190" s="387"/>
      <c r="T190" s="387" t="b">
        <f t="shared" ca="1" si="31"/>
        <v>1</v>
      </c>
    </row>
    <row r="191" spans="1:20">
      <c r="A191" s="387" t="b">
        <f t="shared" ca="1" si="23"/>
        <v>0</v>
      </c>
      <c r="B191" s="397"/>
      <c r="C191" s="396" t="str">
        <f t="shared" ca="1" si="24"/>
        <v>a1HDm000000c2zVMAQ</v>
      </c>
      <c r="D191" s="387"/>
      <c r="E191" s="387">
        <f t="shared" ca="1" si="32"/>
        <v>4</v>
      </c>
      <c r="F191" s="392">
        <f ca="1">IFERROR(IF(COUNTA($D$41:$D191)=1,"",OFFSET($F189,-COUNTA($D$41:$D191)+3,0)),"")</f>
        <v>10</v>
      </c>
      <c r="G191" s="387" t="str">
        <f t="shared" ca="1" si="33"/>
        <v>10</v>
      </c>
      <c r="H191" s="387">
        <f t="shared" ca="1" si="25"/>
        <v>27</v>
      </c>
      <c r="I191" s="398" t="str">
        <f t="shared" ca="1" si="26"/>
        <v/>
      </c>
      <c r="J191" s="398" t="str">
        <f t="shared" ca="1" si="27"/>
        <v/>
      </c>
      <c r="K191" s="389" t="str">
        <f t="shared" ca="1" si="28"/>
        <v/>
      </c>
      <c r="L191" s="391" t="str">
        <f ca="1">IFERROR(CHOOSE(E191,'Impact Indicators - Section B '!$K$7,'Impact Indicators - Section B '!$O$7,'Impact Indicators - Section B '!$S$7,'Impact Indicators - Section B '!$W$7,'Impact Indicators - Section B '!#REF!),"")</f>
        <v/>
      </c>
      <c r="M191" s="399" t="str">
        <f t="shared" ca="1" si="29"/>
        <v/>
      </c>
      <c r="N191" s="391" t="str">
        <f t="shared" ca="1" si="30"/>
        <v/>
      </c>
      <c r="O191" s="387" t="str">
        <f ca="1">IFERROR(IF(COUNTA($D$41:$D191)=1,"",OFFSET($C189,-COUNTA($D$41:$D191)+3,0)),"")</f>
        <v>a1HDm000000c2zVMAQ</v>
      </c>
      <c r="P191" s="387">
        <f t="shared" ca="1" si="34"/>
        <v>0</v>
      </c>
      <c r="Q191" s="387"/>
      <c r="R191" s="387"/>
      <c r="S191" s="387"/>
      <c r="T191" s="387" t="b">
        <f t="shared" ca="1" si="31"/>
        <v>0</v>
      </c>
    </row>
    <row r="192" spans="1:20">
      <c r="A192" s="387" t="b">
        <f t="shared" ca="1" si="23"/>
        <v>0</v>
      </c>
      <c r="B192" s="397"/>
      <c r="C192" s="396" t="str">
        <f t="shared" ca="1" si="24"/>
        <v>a1HDm000000c2zkMAA</v>
      </c>
      <c r="D192" s="387"/>
      <c r="E192" s="387">
        <f t="shared" ca="1" si="32"/>
        <v>5</v>
      </c>
      <c r="F192" s="392">
        <f ca="1">IFERROR(IF(COUNTA($D$41:$D192)=1,"",OFFSET($F190,-COUNTA($D$41:$D192)+3,0)),"")</f>
        <v>10</v>
      </c>
      <c r="G192" s="387" t="str">
        <f t="shared" ca="1" si="33"/>
        <v>10</v>
      </c>
      <c r="H192" s="387">
        <f t="shared" ca="1" si="25"/>
        <v>27</v>
      </c>
      <c r="I192" s="398" t="str">
        <f t="shared" ca="1" si="26"/>
        <v/>
      </c>
      <c r="J192" s="398" t="str">
        <f t="shared" ca="1" si="27"/>
        <v/>
      </c>
      <c r="K192" s="389" t="str">
        <f t="shared" ca="1" si="28"/>
        <v/>
      </c>
      <c r="L192" s="391" t="str">
        <f ca="1">IFERROR(CHOOSE(E192,'Impact Indicators - Section B '!$K$7,'Impact Indicators - Section B '!$O$7,'Impact Indicators - Section B '!$S$7,'Impact Indicators - Section B '!$W$7,'Impact Indicators - Section B '!#REF!),"")</f>
        <v/>
      </c>
      <c r="M192" s="399" t="str">
        <f t="shared" ca="1" si="29"/>
        <v/>
      </c>
      <c r="N192" s="391" t="str">
        <f t="shared" ca="1" si="30"/>
        <v/>
      </c>
      <c r="O192" s="387" t="str">
        <f ca="1">IFERROR(IF(COUNTA($D$41:$D192)=1,"",OFFSET($C190,-COUNTA($D$41:$D192)+3,0)),"")</f>
        <v>a1HDm000000c2zkMAA</v>
      </c>
      <c r="P192" s="387">
        <f t="shared" ca="1" si="34"/>
        <v>0</v>
      </c>
      <c r="Q192" s="387"/>
      <c r="R192" s="387"/>
      <c r="S192" s="387"/>
      <c r="T192" s="387" t="b">
        <f t="shared" ca="1" si="31"/>
        <v>0</v>
      </c>
    </row>
    <row r="193" spans="1:20">
      <c r="A193" s="387" t="b">
        <f t="shared" ca="1" si="23"/>
        <v>0</v>
      </c>
      <c r="B193" s="397"/>
      <c r="C193" s="396" t="str">
        <f t="shared" ca="1" si="24"/>
        <v>a1HDm000000c2zzMAA</v>
      </c>
      <c r="D193" s="387"/>
      <c r="E193" s="387">
        <f t="shared" ca="1" si="32"/>
        <v>6</v>
      </c>
      <c r="F193" s="392">
        <f ca="1">IFERROR(IF(COUNTA($D$41:$D193)=1,"",OFFSET($F191,-COUNTA($D$41:$D193)+3,0)),"")</f>
        <v>10</v>
      </c>
      <c r="G193" s="387" t="str">
        <f t="shared" ca="1" si="33"/>
        <v>10</v>
      </c>
      <c r="H193" s="387">
        <f t="shared" ca="1" si="25"/>
        <v>27</v>
      </c>
      <c r="I193" s="398" t="str">
        <f t="shared" ca="1" si="26"/>
        <v/>
      </c>
      <c r="J193" s="398" t="str">
        <f t="shared" ca="1" si="27"/>
        <v/>
      </c>
      <c r="K193" s="389" t="str">
        <f t="shared" ca="1" si="28"/>
        <v/>
      </c>
      <c r="L193" s="391" t="str">
        <f ca="1">IFERROR(CHOOSE(E193,'Impact Indicators - Section B '!$K$7,'Impact Indicators - Section B '!$O$7,'Impact Indicators - Section B '!$S$7,'Impact Indicators - Section B '!$W$7,'Impact Indicators - Section B '!#REF!),"")</f>
        <v/>
      </c>
      <c r="M193" s="399" t="str">
        <f t="shared" ca="1" si="29"/>
        <v/>
      </c>
      <c r="N193" s="391" t="str">
        <f t="shared" ca="1" si="30"/>
        <v/>
      </c>
      <c r="O193" s="387" t="str">
        <f ca="1">IFERROR(IF(COUNTA($D$41:$D193)=1,"",OFFSET($C191,-COUNTA($D$41:$D193)+3,0)),"")</f>
        <v>a1HDm000000c2zzMAA</v>
      </c>
      <c r="P193" s="387">
        <f t="shared" ca="1" si="34"/>
        <v>0</v>
      </c>
      <c r="Q193" s="387"/>
      <c r="R193" s="387"/>
      <c r="S193" s="387"/>
      <c r="T193" s="387" t="b">
        <f t="shared" ca="1" si="31"/>
        <v>0</v>
      </c>
    </row>
    <row r="194" spans="1:20">
      <c r="A194" s="387" t="b">
        <f t="shared" ca="1" si="23"/>
        <v>1</v>
      </c>
      <c r="B194" s="397"/>
      <c r="C194" s="396" t="str">
        <f t="shared" ca="1" si="24"/>
        <v>a1HDm000000c2ynMAA</v>
      </c>
      <c r="D194" s="387"/>
      <c r="E194" s="387">
        <f t="shared" ca="1" si="32"/>
        <v>1</v>
      </c>
      <c r="F194" s="392">
        <f ca="1">IFERROR(IF(COUNTA($D$41:$D194)=1,"",OFFSET($F192,-COUNTA($D$41:$D194)+3,0)),"")</f>
        <v>11</v>
      </c>
      <c r="G194" s="387" t="str">
        <f t="shared" ca="1" si="33"/>
        <v>112024</v>
      </c>
      <c r="H194" s="387">
        <f t="shared" ca="1" si="25"/>
        <v>29</v>
      </c>
      <c r="I194" s="398">
        <f t="shared" ca="1" si="26"/>
        <v>38506</v>
      </c>
      <c r="J194" s="398">
        <f t="shared" ca="1" si="27"/>
        <v>9208</v>
      </c>
      <c r="K194" s="389">
        <f t="shared" ca="1" si="28"/>
        <v>23.913156391211761</v>
      </c>
      <c r="L194" s="391">
        <f ca="1">IFERROR(CHOOSE(E194,'Impact Indicators - Section B '!$K$7,'Impact Indicators - Section B '!$O$7,'Impact Indicators - Section B '!$S$7,'Impact Indicators - Section B '!$W$7,'Impact Indicators - Section B '!#REF!),"")</f>
        <v>2024</v>
      </c>
      <c r="M194" s="399" t="str">
        <f t="shared" ca="1" si="29"/>
        <v/>
      </c>
      <c r="N194" s="391" t="str">
        <f t="shared" ca="1" si="30"/>
        <v/>
      </c>
      <c r="O194" s="387" t="str">
        <f ca="1">IFERROR(IF(COUNTA($D$41:$D194)=1,"",OFFSET($C192,-COUNTA($D$41:$D194)+3,0)),"")</f>
        <v>a1HDm000000c2ynMAA</v>
      </c>
      <c r="P194" s="387">
        <f t="shared" ca="1" si="34"/>
        <v>0</v>
      </c>
      <c r="Q194" s="387"/>
      <c r="R194" s="387"/>
      <c r="S194" s="387"/>
      <c r="T194" s="387" t="b">
        <f t="shared" ca="1" si="31"/>
        <v>1</v>
      </c>
    </row>
    <row r="195" spans="1:20">
      <c r="A195" s="387" t="b">
        <f t="shared" ca="1" si="23"/>
        <v>1</v>
      </c>
      <c r="B195" s="397"/>
      <c r="C195" s="396" t="str">
        <f t="shared" ca="1" si="24"/>
        <v>a1HDm000000c2z2MAA</v>
      </c>
      <c r="D195" s="387"/>
      <c r="E195" s="387">
        <f t="shared" ca="1" si="32"/>
        <v>2</v>
      </c>
      <c r="F195" s="392">
        <f ca="1">IFERROR(IF(COUNTA($D$41:$D195)=1,"",OFFSET($F193,-COUNTA($D$41:$D195)+3,0)),"")</f>
        <v>11</v>
      </c>
      <c r="G195" s="387" t="str">
        <f t="shared" ca="1" si="33"/>
        <v>112025</v>
      </c>
      <c r="H195" s="387">
        <f t="shared" ca="1" si="25"/>
        <v>29</v>
      </c>
      <c r="I195" s="398">
        <f t="shared" ca="1" si="26"/>
        <v>37061</v>
      </c>
      <c r="J195" s="398">
        <f t="shared" ca="1" si="27"/>
        <v>8062</v>
      </c>
      <c r="K195" s="389">
        <f t="shared" ca="1" si="28"/>
        <v>21.753325598337874</v>
      </c>
      <c r="L195" s="391">
        <f ca="1">IFERROR(CHOOSE(E195,'Impact Indicators - Section B '!$K$7,'Impact Indicators - Section B '!$O$7,'Impact Indicators - Section B '!$S$7,'Impact Indicators - Section B '!$W$7,'Impact Indicators - Section B '!#REF!),"")</f>
        <v>2025</v>
      </c>
      <c r="M195" s="399" t="str">
        <f t="shared" ca="1" si="29"/>
        <v/>
      </c>
      <c r="N195" s="391" t="str">
        <f t="shared" ca="1" si="30"/>
        <v/>
      </c>
      <c r="O195" s="387" t="str">
        <f ca="1">IFERROR(IF(COUNTA($D$41:$D195)=1,"",OFFSET($C193,-COUNTA($D$41:$D195)+3,0)),"")</f>
        <v>a1HDm000000c2z2MAA</v>
      </c>
      <c r="P195" s="387">
        <f t="shared" ca="1" si="34"/>
        <v>0</v>
      </c>
      <c r="Q195" s="387"/>
      <c r="R195" s="387"/>
      <c r="S195" s="387"/>
      <c r="T195" s="387" t="b">
        <f t="shared" ca="1" si="31"/>
        <v>1</v>
      </c>
    </row>
    <row r="196" spans="1:20">
      <c r="A196" s="387" t="b">
        <f t="shared" ca="1" si="23"/>
        <v>1</v>
      </c>
      <c r="B196" s="397"/>
      <c r="C196" s="396" t="str">
        <f t="shared" ca="1" si="24"/>
        <v>a1HDm000000c2zHMAQ</v>
      </c>
      <c r="D196" s="387"/>
      <c r="E196" s="387">
        <f t="shared" ca="1" si="32"/>
        <v>3</v>
      </c>
      <c r="F196" s="392">
        <f ca="1">IFERROR(IF(COUNTA($D$41:$D196)=1,"",OFFSET($F194,-COUNTA($D$41:$D196)+3,0)),"")</f>
        <v>11</v>
      </c>
      <c r="G196" s="387" t="str">
        <f t="shared" ca="1" si="33"/>
        <v>112026</v>
      </c>
      <c r="H196" s="387">
        <f t="shared" ca="1" si="25"/>
        <v>29</v>
      </c>
      <c r="I196" s="398">
        <f t="shared" ca="1" si="26"/>
        <v>35939</v>
      </c>
      <c r="J196" s="398">
        <f t="shared" ca="1" si="27"/>
        <v>6909</v>
      </c>
      <c r="K196" s="389">
        <f t="shared" ca="1" si="28"/>
        <v>19.224241075155124</v>
      </c>
      <c r="L196" s="391">
        <f ca="1">IFERROR(CHOOSE(E196,'Impact Indicators - Section B '!$K$7,'Impact Indicators - Section B '!$O$7,'Impact Indicators - Section B '!$S$7,'Impact Indicators - Section B '!$W$7,'Impact Indicators - Section B '!#REF!),"")</f>
        <v>2026</v>
      </c>
      <c r="M196" s="399" t="str">
        <f t="shared" ca="1" si="29"/>
        <v/>
      </c>
      <c r="N196" s="391" t="str">
        <f t="shared" ca="1" si="30"/>
        <v/>
      </c>
      <c r="O196" s="387" t="str">
        <f ca="1">IFERROR(IF(COUNTA($D$41:$D196)=1,"",OFFSET($C194,-COUNTA($D$41:$D196)+3,0)),"")</f>
        <v>a1HDm000000c2zHMAQ</v>
      </c>
      <c r="P196" s="387">
        <f t="shared" ca="1" si="34"/>
        <v>0</v>
      </c>
      <c r="Q196" s="387"/>
      <c r="R196" s="387"/>
      <c r="S196" s="387"/>
      <c r="T196" s="387" t="b">
        <f t="shared" ca="1" si="31"/>
        <v>1</v>
      </c>
    </row>
    <row r="197" spans="1:20">
      <c r="A197" s="387" t="b">
        <f t="shared" ca="1" si="23"/>
        <v>0</v>
      </c>
      <c r="B197" s="397"/>
      <c r="C197" s="396" t="str">
        <f t="shared" ca="1" si="24"/>
        <v>a1HDm000000c2zWMAQ</v>
      </c>
      <c r="D197" s="387"/>
      <c r="E197" s="387">
        <f t="shared" ca="1" si="32"/>
        <v>4</v>
      </c>
      <c r="F197" s="392">
        <f ca="1">IFERROR(IF(COUNTA($D$41:$D197)=1,"",OFFSET($F195,-COUNTA($D$41:$D197)+3,0)),"")</f>
        <v>11</v>
      </c>
      <c r="G197" s="387" t="str">
        <f t="shared" ca="1" si="33"/>
        <v>11</v>
      </c>
      <c r="H197" s="387">
        <f t="shared" ca="1" si="25"/>
        <v>29</v>
      </c>
      <c r="I197" s="398" t="str">
        <f t="shared" ca="1" si="26"/>
        <v/>
      </c>
      <c r="J197" s="398" t="str">
        <f t="shared" ca="1" si="27"/>
        <v/>
      </c>
      <c r="K197" s="389" t="str">
        <f t="shared" ca="1" si="28"/>
        <v/>
      </c>
      <c r="L197" s="391" t="str">
        <f ca="1">IFERROR(CHOOSE(E197,'Impact Indicators - Section B '!$K$7,'Impact Indicators - Section B '!$O$7,'Impact Indicators - Section B '!$S$7,'Impact Indicators - Section B '!$W$7,'Impact Indicators - Section B '!#REF!),"")</f>
        <v/>
      </c>
      <c r="M197" s="399" t="str">
        <f t="shared" ca="1" si="29"/>
        <v/>
      </c>
      <c r="N197" s="391" t="str">
        <f t="shared" ca="1" si="30"/>
        <v/>
      </c>
      <c r="O197" s="387" t="str">
        <f ca="1">IFERROR(IF(COUNTA($D$41:$D197)=1,"",OFFSET($C195,-COUNTA($D$41:$D197)+3,0)),"")</f>
        <v>a1HDm000000c2zWMAQ</v>
      </c>
      <c r="P197" s="387">
        <f t="shared" ca="1" si="34"/>
        <v>0</v>
      </c>
      <c r="Q197" s="387"/>
      <c r="R197" s="387"/>
      <c r="S197" s="387"/>
      <c r="T197" s="387" t="b">
        <f t="shared" ca="1" si="31"/>
        <v>0</v>
      </c>
    </row>
    <row r="198" spans="1:20">
      <c r="A198" s="387" t="b">
        <f t="shared" ref="A198:A223" ca="1" si="35">IF(OR(I198&lt;&gt;"",J198&lt;&gt;"",K198&lt;&gt;"",M198&lt;&gt;"",N198&lt;&gt;""),TRUE,FALSE)</f>
        <v>0</v>
      </c>
      <c r="B198" s="397"/>
      <c r="C198" s="396" t="str">
        <f t="shared" ref="C198:C223" ca="1" si="36">O198</f>
        <v>a1HDm000000c2zlMAA</v>
      </c>
      <c r="D198" s="387"/>
      <c r="E198" s="387">
        <f t="shared" ca="1" si="32"/>
        <v>5</v>
      </c>
      <c r="F198" s="392">
        <f ca="1">IFERROR(IF(COUNTA($D$41:$D198)=1,"",OFFSET($F196,-COUNTA($D$41:$D198)+3,0)),"")</f>
        <v>11</v>
      </c>
      <c r="G198" s="387" t="str">
        <f t="shared" ca="1" si="33"/>
        <v>11</v>
      </c>
      <c r="H198" s="387">
        <f t="shared" ref="H198:H223" ca="1" si="37">VLOOKUP(F198,$AH$1:$AI$225,2,FALSE)</f>
        <v>29</v>
      </c>
      <c r="I198" s="398" t="str">
        <f t="shared" ref="I198:I223" ca="1" si="38">IFERROR(CHOOSE(E198,IFERROR(IF(INDIRECT("'Impact Indicators - Section B '!K"&amp;H198+1)="","",INDIRECT("'Impact Indicators - Section B '!K"&amp;H198+1)),""),IFERROR(IF(INDIRECT("'Impact Indicators - Section B '!O"&amp;H198+1)="","",INDIRECT("'Impact Indicators - Section B '!O"&amp;H198+1)),""),IFERROR(IF(INDIRECT("'Impact Indicators - Section B '!S"&amp;H198+1)="","",INDIRECT("'Impact Indicators - Section B '!S"&amp;H198+1)),""),IFERROR(IF(INDIRECT("'Impact Indicators - Section B '!W"&amp;H198+1)="","",INDIRECT("'Impact Indicators - Section B '!W"&amp;H198+1)),"")),"")</f>
        <v/>
      </c>
      <c r="J198" s="398" t="str">
        <f t="shared" ref="J198:J223" ca="1" si="39">IFERROR(CHOOSE(E198,IFERROR(IF(INDIRECT("'Impact Indicators - Section B '!K"&amp;H198)="","",INDIRECT("'Impact Indicators - Section B '!K"&amp;H198)),""),IFERROR(IF(INDIRECT("'Impact Indicators - Section B '!O"&amp;H198)="","",INDIRECT("'Impact Indicators - Section B '!O"&amp;H198)),""),IFERROR(IF(INDIRECT("'Impact Indicators - Section B '!S"&amp;H198)="","",INDIRECT("'Impact Indicators - Section B '!S"&amp;H198)),""),IFERROR(IF(INDIRECT("'Impact Indicators - Section B '!W"&amp;H198)="","",INDIRECT("'Impact Indicators - Section B '!W"&amp;H198)),"")),"")</f>
        <v/>
      </c>
      <c r="K198" s="389" t="str">
        <f t="shared" ref="K198:K223" ca="1" si="40">IFERROR(CHOOSE(E198,IFERROR(IF(INDIRECT("'Impact Indicators - Section B '!L"&amp;H198)="","",INDIRECT("'Impact Indicators - Section B '!L"&amp;H198)*100),""),IFERROR(IF(INDIRECT("'Impact Indicators - Section B '!P"&amp;H198)="","",INDIRECT("'Impact Indicators - Section B '!P"&amp;H198)*100),""),IFERROR(IF(INDIRECT("'Impact Indicators - Section B '!T"&amp;H198)="","",INDIRECT("'Impact Indicators - Section B '!T"&amp;H198)*100),""),IFERROR(IF(INDIRECT("'Impact Indicators - Section B '!X"&amp;H198)="","",INDIRECT("'Impact Indicators - Section B '!X"&amp;H198)*100),"")),"")</f>
        <v/>
      </c>
      <c r="L198" s="391" t="str">
        <f ca="1">IFERROR(CHOOSE(E198,'Impact Indicators - Section B '!$K$7,'Impact Indicators - Section B '!$O$7,'Impact Indicators - Section B '!$S$7,'Impact Indicators - Section B '!$W$7,'Impact Indicators - Section B '!#REF!),"")</f>
        <v/>
      </c>
      <c r="M198" s="399" t="str">
        <f t="shared" ref="M198:M223" ca="1" si="41">IFERROR(CHOOSE(E198,IFERROR(IF(INDIRECT("'Impact Indicators - Section B '!M"&amp;H198)="","",INDIRECT("'Impact Indicators - Section B '!M"&amp;H198)),""),IFERROR(IF(INDIRECT("'Impact Indicators - Section B '!Q"&amp;H198)=0,"",INDIRECT("'Impact Indicators - Section B '!Q"&amp;H198)),""),IFERROR(IF(INDIRECT("'Impact Indicators - Section B '!U"&amp;H198)=0,"",INDIRECT("'Impact Indicators - Section B '!U"&amp;H198)),""),IFERROR(IF(INDIRECT("'Impact Indicators - Section B '!Y"&amp;H198)=0,"",INDIRECT("'Impact Indicators - Section B '!Y"&amp;H198)),"")),"")</f>
        <v/>
      </c>
      <c r="N198" s="391" t="str">
        <f t="shared" ref="N198:N223" ca="1" si="42">IFERROR(CHOOSE(E198,IFERROR(IF(INDIRECT("'Impact Indicators - Section B '!N"&amp;H198)=0,"",INDIRECT("'Impact Indicators - Section B '!N"&amp;H198)),""),IFERROR(IF(INDIRECT("'Impact Indicators - Section B '!R"&amp;H198)=0,"",INDIRECT("'Impact Indicators - Section B '!R"&amp;H198)),""),IFERROR(IF(INDIRECT("'Impact Indicators - Section B '!V"&amp;H198)=0,"",INDIRECT("'Impact Indicators - Section B '!V"&amp;H198)),""),IFERROR(IF(INDIRECT("'Impact Indicators - Section B '!Z"&amp;H198)=0,"",INDIRECT("'Impact Indicators - Section B '!Z"&amp;H198)),"")),"")</f>
        <v/>
      </c>
      <c r="O198" s="387" t="str">
        <f ca="1">IFERROR(IF(COUNTA($D$41:$D198)=1,"",OFFSET($C196,-COUNTA($D$41:$D198)+3,0)),"")</f>
        <v>a1HDm000000c2zlMAA</v>
      </c>
      <c r="P198" s="387">
        <f t="shared" ca="1" si="34"/>
        <v>0</v>
      </c>
      <c r="Q198" s="387"/>
      <c r="R198" s="387"/>
      <c r="S198" s="387"/>
      <c r="T198" s="387" t="b">
        <f t="shared" ref="T198:T223" ca="1" si="43">IF(A198=TRUE,TRUE,FALSE)</f>
        <v>0</v>
      </c>
    </row>
    <row r="199" spans="1:20">
      <c r="A199" s="387" t="b">
        <f t="shared" ca="1" si="35"/>
        <v>0</v>
      </c>
      <c r="B199" s="397"/>
      <c r="C199" s="396" t="str">
        <f t="shared" ca="1" si="36"/>
        <v>a1HDm000000c300MAA</v>
      </c>
      <c r="D199" s="387"/>
      <c r="E199" s="387">
        <f t="shared" ca="1" si="32"/>
        <v>6</v>
      </c>
      <c r="F199" s="392">
        <f ca="1">IFERROR(IF(COUNTA($D$41:$D199)=1,"",OFFSET($F197,-COUNTA($D$41:$D199)+3,0)),"")</f>
        <v>11</v>
      </c>
      <c r="G199" s="387" t="str">
        <f t="shared" ca="1" si="33"/>
        <v>11</v>
      </c>
      <c r="H199" s="387">
        <f t="shared" ca="1" si="37"/>
        <v>29</v>
      </c>
      <c r="I199" s="398" t="str">
        <f t="shared" ca="1" si="38"/>
        <v/>
      </c>
      <c r="J199" s="398" t="str">
        <f t="shared" ca="1" si="39"/>
        <v/>
      </c>
      <c r="K199" s="389" t="str">
        <f t="shared" ca="1" si="40"/>
        <v/>
      </c>
      <c r="L199" s="391" t="str">
        <f ca="1">IFERROR(CHOOSE(E199,'Impact Indicators - Section B '!$K$7,'Impact Indicators - Section B '!$O$7,'Impact Indicators - Section B '!$S$7,'Impact Indicators - Section B '!$W$7,'Impact Indicators - Section B '!#REF!),"")</f>
        <v/>
      </c>
      <c r="M199" s="399" t="str">
        <f t="shared" ca="1" si="41"/>
        <v/>
      </c>
      <c r="N199" s="391" t="str">
        <f t="shared" ca="1" si="42"/>
        <v/>
      </c>
      <c r="O199" s="387" t="str">
        <f ca="1">IFERROR(IF(COUNTA($D$41:$D199)=1,"",OFFSET($C197,-COUNTA($D$41:$D199)+3,0)),"")</f>
        <v>a1HDm000000c300MAA</v>
      </c>
      <c r="P199" s="387">
        <f t="shared" ca="1" si="34"/>
        <v>0</v>
      </c>
      <c r="Q199" s="387"/>
      <c r="R199" s="387"/>
      <c r="S199" s="387"/>
      <c r="T199" s="387" t="b">
        <f t="shared" ca="1" si="43"/>
        <v>0</v>
      </c>
    </row>
    <row r="200" spans="1:20">
      <c r="A200" s="387" t="b">
        <f t="shared" ca="1" si="35"/>
        <v>0</v>
      </c>
      <c r="B200" s="397"/>
      <c r="C200" s="396" t="str">
        <f t="shared" ca="1" si="36"/>
        <v>a1HDm000000c2yoMAA</v>
      </c>
      <c r="D200" s="387"/>
      <c r="E200" s="387">
        <f t="shared" ca="1" si="32"/>
        <v>1</v>
      </c>
      <c r="F200" s="392">
        <f ca="1">IFERROR(IF(COUNTA($D$41:$D200)=1,"",OFFSET($F198,-COUNTA($D$41:$D200)+3,0)),"")</f>
        <v>12</v>
      </c>
      <c r="G200" s="387" t="str">
        <f t="shared" ca="1" si="33"/>
        <v>122024</v>
      </c>
      <c r="H200" s="387">
        <f t="shared" ca="1" si="37"/>
        <v>31</v>
      </c>
      <c r="I200" s="398" t="str">
        <f t="shared" ca="1" si="38"/>
        <v/>
      </c>
      <c r="J200" s="398" t="str">
        <f t="shared" ca="1" si="39"/>
        <v/>
      </c>
      <c r="K200" s="389" t="str">
        <f t="shared" ca="1" si="40"/>
        <v/>
      </c>
      <c r="L200" s="391">
        <f ca="1">IFERROR(CHOOSE(E200,'Impact Indicators - Section B '!$K$7,'Impact Indicators - Section B '!$O$7,'Impact Indicators - Section B '!$S$7,'Impact Indicators - Section B '!$W$7,'Impact Indicators - Section B '!#REF!),"")</f>
        <v>2024</v>
      </c>
      <c r="M200" s="399" t="str">
        <f t="shared" ca="1" si="41"/>
        <v/>
      </c>
      <c r="N200" s="391" t="str">
        <f t="shared" ca="1" si="42"/>
        <v/>
      </c>
      <c r="O200" s="387" t="str">
        <f ca="1">IFERROR(IF(COUNTA($D$41:$D200)=1,"",OFFSET($C198,-COUNTA($D$41:$D200)+3,0)),"")</f>
        <v>a1HDm000000c2yoMAA</v>
      </c>
      <c r="P200" s="387">
        <f t="shared" ca="1" si="34"/>
        <v>0</v>
      </c>
      <c r="Q200" s="387"/>
      <c r="R200" s="387"/>
      <c r="S200" s="387"/>
      <c r="T200" s="387" t="b">
        <f t="shared" ca="1" si="43"/>
        <v>0</v>
      </c>
    </row>
    <row r="201" spans="1:20">
      <c r="A201" s="387" t="b">
        <f t="shared" ca="1" si="35"/>
        <v>0</v>
      </c>
      <c r="B201" s="397"/>
      <c r="C201" s="396" t="str">
        <f t="shared" ca="1" si="36"/>
        <v>a1HDm000000c2z3MAA</v>
      </c>
      <c r="D201" s="387"/>
      <c r="E201" s="387">
        <f t="shared" ca="1" si="32"/>
        <v>2</v>
      </c>
      <c r="F201" s="392">
        <f ca="1">IFERROR(IF(COUNTA($D$41:$D201)=1,"",OFFSET($F199,-COUNTA($D$41:$D201)+3,0)),"")</f>
        <v>12</v>
      </c>
      <c r="G201" s="387" t="str">
        <f t="shared" ca="1" si="33"/>
        <v>122025</v>
      </c>
      <c r="H201" s="387">
        <f t="shared" ca="1" si="37"/>
        <v>31</v>
      </c>
      <c r="I201" s="398" t="str">
        <f t="shared" ca="1" si="38"/>
        <v/>
      </c>
      <c r="J201" s="398" t="str">
        <f t="shared" ca="1" si="39"/>
        <v/>
      </c>
      <c r="K201" s="389" t="str">
        <f t="shared" ca="1" si="40"/>
        <v/>
      </c>
      <c r="L201" s="391">
        <f ca="1">IFERROR(CHOOSE(E201,'Impact Indicators - Section B '!$K$7,'Impact Indicators - Section B '!$O$7,'Impact Indicators - Section B '!$S$7,'Impact Indicators - Section B '!$W$7,'Impact Indicators - Section B '!#REF!),"")</f>
        <v>2025</v>
      </c>
      <c r="M201" s="399" t="str">
        <f t="shared" ca="1" si="41"/>
        <v/>
      </c>
      <c r="N201" s="391" t="str">
        <f t="shared" ca="1" si="42"/>
        <v/>
      </c>
      <c r="O201" s="387" t="str">
        <f ca="1">IFERROR(IF(COUNTA($D$41:$D201)=1,"",OFFSET($C199,-COUNTA($D$41:$D201)+3,0)),"")</f>
        <v>a1HDm000000c2z3MAA</v>
      </c>
      <c r="P201" s="387">
        <f t="shared" ca="1" si="34"/>
        <v>0</v>
      </c>
      <c r="Q201" s="387"/>
      <c r="R201" s="387"/>
      <c r="S201" s="387"/>
      <c r="T201" s="387" t="b">
        <f t="shared" ca="1" si="43"/>
        <v>0</v>
      </c>
    </row>
    <row r="202" spans="1:20">
      <c r="A202" s="387" t="b">
        <f t="shared" ca="1" si="35"/>
        <v>0</v>
      </c>
      <c r="B202" s="397"/>
      <c r="C202" s="396" t="str">
        <f t="shared" ca="1" si="36"/>
        <v>a1HDm000000c2zIMAQ</v>
      </c>
      <c r="D202" s="387"/>
      <c r="E202" s="387">
        <f t="shared" ca="1" si="32"/>
        <v>3</v>
      </c>
      <c r="F202" s="392">
        <f ca="1">IFERROR(IF(COUNTA($D$41:$D202)=1,"",OFFSET($F200,-COUNTA($D$41:$D202)+3,0)),"")</f>
        <v>12</v>
      </c>
      <c r="G202" s="387" t="str">
        <f t="shared" ca="1" si="33"/>
        <v>122026</v>
      </c>
      <c r="H202" s="387">
        <f t="shared" ca="1" si="37"/>
        <v>31</v>
      </c>
      <c r="I202" s="398" t="str">
        <f t="shared" ca="1" si="38"/>
        <v/>
      </c>
      <c r="J202" s="398" t="str">
        <f t="shared" ca="1" si="39"/>
        <v/>
      </c>
      <c r="K202" s="389" t="str">
        <f t="shared" ca="1" si="40"/>
        <v/>
      </c>
      <c r="L202" s="391">
        <f ca="1">IFERROR(CHOOSE(E202,'Impact Indicators - Section B '!$K$7,'Impact Indicators - Section B '!$O$7,'Impact Indicators - Section B '!$S$7,'Impact Indicators - Section B '!$W$7,'Impact Indicators - Section B '!#REF!),"")</f>
        <v>2026</v>
      </c>
      <c r="M202" s="399" t="str">
        <f t="shared" ca="1" si="41"/>
        <v/>
      </c>
      <c r="N202" s="391" t="str">
        <f t="shared" ca="1" si="42"/>
        <v/>
      </c>
      <c r="O202" s="387" t="str">
        <f ca="1">IFERROR(IF(COUNTA($D$41:$D202)=1,"",OFFSET($C200,-COUNTA($D$41:$D202)+3,0)),"")</f>
        <v>a1HDm000000c2zIMAQ</v>
      </c>
      <c r="P202" s="387">
        <f t="shared" ca="1" si="34"/>
        <v>0</v>
      </c>
      <c r="Q202" s="387"/>
      <c r="R202" s="387"/>
      <c r="S202" s="387"/>
      <c r="T202" s="387" t="b">
        <f t="shared" ca="1" si="43"/>
        <v>0</v>
      </c>
    </row>
    <row r="203" spans="1:20">
      <c r="A203" s="387" t="b">
        <f t="shared" ca="1" si="35"/>
        <v>0</v>
      </c>
      <c r="B203" s="397"/>
      <c r="C203" s="396" t="str">
        <f t="shared" ca="1" si="36"/>
        <v>a1HDm000000c2zXMAQ</v>
      </c>
      <c r="D203" s="387"/>
      <c r="E203" s="387">
        <f t="shared" ca="1" si="32"/>
        <v>4</v>
      </c>
      <c r="F203" s="392">
        <f ca="1">IFERROR(IF(COUNTA($D$41:$D203)=1,"",OFFSET($F201,-COUNTA($D$41:$D203)+3,0)),"")</f>
        <v>12</v>
      </c>
      <c r="G203" s="387" t="str">
        <f t="shared" ca="1" si="33"/>
        <v>12</v>
      </c>
      <c r="H203" s="387">
        <f t="shared" ca="1" si="37"/>
        <v>31</v>
      </c>
      <c r="I203" s="398" t="str">
        <f t="shared" ca="1" si="38"/>
        <v/>
      </c>
      <c r="J203" s="398" t="str">
        <f t="shared" ca="1" si="39"/>
        <v/>
      </c>
      <c r="K203" s="389" t="str">
        <f t="shared" ca="1" si="40"/>
        <v/>
      </c>
      <c r="L203" s="391" t="str">
        <f ca="1">IFERROR(CHOOSE(E203,'Impact Indicators - Section B '!$K$7,'Impact Indicators - Section B '!$O$7,'Impact Indicators - Section B '!$S$7,'Impact Indicators - Section B '!$W$7,'Impact Indicators - Section B '!#REF!),"")</f>
        <v/>
      </c>
      <c r="M203" s="399" t="str">
        <f t="shared" ca="1" si="41"/>
        <v/>
      </c>
      <c r="N203" s="391" t="str">
        <f t="shared" ca="1" si="42"/>
        <v/>
      </c>
      <c r="O203" s="387" t="str">
        <f ca="1">IFERROR(IF(COUNTA($D$41:$D203)=1,"",OFFSET($C201,-COUNTA($D$41:$D203)+3,0)),"")</f>
        <v>a1HDm000000c2zXMAQ</v>
      </c>
      <c r="P203" s="387">
        <f t="shared" ca="1" si="34"/>
        <v>0</v>
      </c>
      <c r="Q203" s="387"/>
      <c r="R203" s="387"/>
      <c r="S203" s="387"/>
      <c r="T203" s="387" t="b">
        <f t="shared" ca="1" si="43"/>
        <v>0</v>
      </c>
    </row>
    <row r="204" spans="1:20">
      <c r="A204" s="387" t="b">
        <f t="shared" ca="1" si="35"/>
        <v>0</v>
      </c>
      <c r="B204" s="397"/>
      <c r="C204" s="396" t="str">
        <f t="shared" ca="1" si="36"/>
        <v>a1HDm000000c2zmMAA</v>
      </c>
      <c r="D204" s="387"/>
      <c r="E204" s="387">
        <f t="shared" ca="1" si="32"/>
        <v>5</v>
      </c>
      <c r="F204" s="392">
        <f ca="1">IFERROR(IF(COUNTA($D$41:$D204)=1,"",OFFSET($F202,-COUNTA($D$41:$D204)+3,0)),"")</f>
        <v>12</v>
      </c>
      <c r="G204" s="387" t="str">
        <f t="shared" ca="1" si="33"/>
        <v>12</v>
      </c>
      <c r="H204" s="387">
        <f t="shared" ca="1" si="37"/>
        <v>31</v>
      </c>
      <c r="I204" s="398" t="str">
        <f t="shared" ca="1" si="38"/>
        <v/>
      </c>
      <c r="J204" s="398" t="str">
        <f t="shared" ca="1" si="39"/>
        <v/>
      </c>
      <c r="K204" s="389" t="str">
        <f t="shared" ca="1" si="40"/>
        <v/>
      </c>
      <c r="L204" s="391" t="str">
        <f ca="1">IFERROR(CHOOSE(E204,'Impact Indicators - Section B '!$K$7,'Impact Indicators - Section B '!$O$7,'Impact Indicators - Section B '!$S$7,'Impact Indicators - Section B '!$W$7,'Impact Indicators - Section B '!#REF!),"")</f>
        <v/>
      </c>
      <c r="M204" s="399" t="str">
        <f t="shared" ca="1" si="41"/>
        <v/>
      </c>
      <c r="N204" s="391" t="str">
        <f t="shared" ca="1" si="42"/>
        <v/>
      </c>
      <c r="O204" s="387" t="str">
        <f ca="1">IFERROR(IF(COUNTA($D$41:$D204)=1,"",OFFSET($C202,-COUNTA($D$41:$D204)+3,0)),"")</f>
        <v>a1HDm000000c2zmMAA</v>
      </c>
      <c r="P204" s="387">
        <f t="shared" ca="1" si="34"/>
        <v>0</v>
      </c>
      <c r="Q204" s="387"/>
      <c r="R204" s="387"/>
      <c r="S204" s="387"/>
      <c r="T204" s="387" t="b">
        <f t="shared" ca="1" si="43"/>
        <v>0</v>
      </c>
    </row>
    <row r="205" spans="1:20">
      <c r="A205" s="387" t="b">
        <f t="shared" ca="1" si="35"/>
        <v>0</v>
      </c>
      <c r="B205" s="397"/>
      <c r="C205" s="396" t="str">
        <f t="shared" ca="1" si="36"/>
        <v>a1HDm000000c301MAA</v>
      </c>
      <c r="D205" s="387"/>
      <c r="E205" s="387">
        <f t="shared" ca="1" si="32"/>
        <v>6</v>
      </c>
      <c r="F205" s="392">
        <f ca="1">IFERROR(IF(COUNTA($D$41:$D205)=1,"",OFFSET($F203,-COUNTA($D$41:$D205)+3,0)),"")</f>
        <v>12</v>
      </c>
      <c r="G205" s="387" t="str">
        <f t="shared" ca="1" si="33"/>
        <v>12</v>
      </c>
      <c r="H205" s="387">
        <f t="shared" ca="1" si="37"/>
        <v>31</v>
      </c>
      <c r="I205" s="398" t="str">
        <f t="shared" ca="1" si="38"/>
        <v/>
      </c>
      <c r="J205" s="398" t="str">
        <f t="shared" ca="1" si="39"/>
        <v/>
      </c>
      <c r="K205" s="389" t="str">
        <f t="shared" ca="1" si="40"/>
        <v/>
      </c>
      <c r="L205" s="391" t="str">
        <f ca="1">IFERROR(CHOOSE(E205,'Impact Indicators - Section B '!$K$7,'Impact Indicators - Section B '!$O$7,'Impact Indicators - Section B '!$S$7,'Impact Indicators - Section B '!$W$7,'Impact Indicators - Section B '!#REF!),"")</f>
        <v/>
      </c>
      <c r="M205" s="399" t="str">
        <f t="shared" ca="1" si="41"/>
        <v/>
      </c>
      <c r="N205" s="391" t="str">
        <f t="shared" ca="1" si="42"/>
        <v/>
      </c>
      <c r="O205" s="387" t="str">
        <f ca="1">IFERROR(IF(COUNTA($D$41:$D205)=1,"",OFFSET($C203,-COUNTA($D$41:$D205)+3,0)),"")</f>
        <v>a1HDm000000c301MAA</v>
      </c>
      <c r="P205" s="387">
        <f t="shared" ca="1" si="34"/>
        <v>0</v>
      </c>
      <c r="Q205" s="387"/>
      <c r="R205" s="387"/>
      <c r="S205" s="387"/>
      <c r="T205" s="387" t="b">
        <f t="shared" ca="1" si="43"/>
        <v>0</v>
      </c>
    </row>
    <row r="206" spans="1:20">
      <c r="A206" s="387" t="b">
        <f t="shared" ca="1" si="35"/>
        <v>0</v>
      </c>
      <c r="B206" s="397"/>
      <c r="C206" s="396" t="str">
        <f t="shared" ca="1" si="36"/>
        <v>a1HDm000000c2ypMAA</v>
      </c>
      <c r="D206" s="387"/>
      <c r="E206" s="387">
        <f t="shared" ca="1" si="32"/>
        <v>1</v>
      </c>
      <c r="F206" s="392">
        <f ca="1">IFERROR(IF(COUNTA($D$41:$D206)=1,"",OFFSET($F204,-COUNTA($D$41:$D206)+3,0)),"")</f>
        <v>13</v>
      </c>
      <c r="G206" s="387" t="str">
        <f t="shared" ca="1" si="33"/>
        <v>132024</v>
      </c>
      <c r="H206" s="387">
        <f t="shared" ca="1" si="37"/>
        <v>33</v>
      </c>
      <c r="I206" s="398" t="str">
        <f t="shared" ca="1" si="38"/>
        <v/>
      </c>
      <c r="J206" s="398" t="str">
        <f t="shared" ca="1" si="39"/>
        <v/>
      </c>
      <c r="K206" s="389" t="str">
        <f t="shared" ca="1" si="40"/>
        <v/>
      </c>
      <c r="L206" s="391">
        <f ca="1">IFERROR(CHOOSE(E206,'Impact Indicators - Section B '!$K$7,'Impact Indicators - Section B '!$O$7,'Impact Indicators - Section B '!$S$7,'Impact Indicators - Section B '!$W$7,'Impact Indicators - Section B '!#REF!),"")</f>
        <v>2024</v>
      </c>
      <c r="M206" s="399" t="str">
        <f t="shared" ca="1" si="41"/>
        <v/>
      </c>
      <c r="N206" s="391" t="str">
        <f t="shared" ca="1" si="42"/>
        <v/>
      </c>
      <c r="O206" s="387" t="str">
        <f ca="1">IFERROR(IF(COUNTA($D$41:$D206)=1,"",OFFSET($C204,-COUNTA($D$41:$D206)+3,0)),"")</f>
        <v>a1HDm000000c2ypMAA</v>
      </c>
      <c r="P206" s="387">
        <f t="shared" ca="1" si="34"/>
        <v>0</v>
      </c>
      <c r="Q206" s="387"/>
      <c r="R206" s="387"/>
      <c r="S206" s="387"/>
      <c r="T206" s="387" t="b">
        <f t="shared" ca="1" si="43"/>
        <v>0</v>
      </c>
    </row>
    <row r="207" spans="1:20">
      <c r="A207" s="387" t="b">
        <f t="shared" ca="1" si="35"/>
        <v>0</v>
      </c>
      <c r="B207" s="397"/>
      <c r="C207" s="396" t="str">
        <f t="shared" ca="1" si="36"/>
        <v>a1HDm000000c2z4MAA</v>
      </c>
      <c r="D207" s="387"/>
      <c r="E207" s="387">
        <f t="shared" ca="1" si="32"/>
        <v>2</v>
      </c>
      <c r="F207" s="392">
        <f ca="1">IFERROR(IF(COUNTA($D$41:$D207)=1,"",OFFSET($F205,-COUNTA($D$41:$D207)+3,0)),"")</f>
        <v>13</v>
      </c>
      <c r="G207" s="387" t="str">
        <f t="shared" ca="1" si="33"/>
        <v>132025</v>
      </c>
      <c r="H207" s="387">
        <f t="shared" ca="1" si="37"/>
        <v>33</v>
      </c>
      <c r="I207" s="398" t="str">
        <f t="shared" ca="1" si="38"/>
        <v/>
      </c>
      <c r="J207" s="398" t="str">
        <f t="shared" ca="1" si="39"/>
        <v/>
      </c>
      <c r="K207" s="389" t="str">
        <f t="shared" ca="1" si="40"/>
        <v/>
      </c>
      <c r="L207" s="391">
        <f ca="1">IFERROR(CHOOSE(E207,'Impact Indicators - Section B '!$K$7,'Impact Indicators - Section B '!$O$7,'Impact Indicators - Section B '!$S$7,'Impact Indicators - Section B '!$W$7,'Impact Indicators - Section B '!#REF!),"")</f>
        <v>2025</v>
      </c>
      <c r="M207" s="399" t="str">
        <f t="shared" ca="1" si="41"/>
        <v/>
      </c>
      <c r="N207" s="391" t="str">
        <f t="shared" ca="1" si="42"/>
        <v/>
      </c>
      <c r="O207" s="387" t="str">
        <f ca="1">IFERROR(IF(COUNTA($D$41:$D207)=1,"",OFFSET($C205,-COUNTA($D$41:$D207)+3,0)),"")</f>
        <v>a1HDm000000c2z4MAA</v>
      </c>
      <c r="P207" s="387">
        <f t="shared" ca="1" si="34"/>
        <v>0</v>
      </c>
      <c r="Q207" s="387"/>
      <c r="R207" s="387"/>
      <c r="S207" s="387"/>
      <c r="T207" s="387" t="b">
        <f t="shared" ca="1" si="43"/>
        <v>0</v>
      </c>
    </row>
    <row r="208" spans="1:20">
      <c r="A208" s="387" t="b">
        <f t="shared" ca="1" si="35"/>
        <v>0</v>
      </c>
      <c r="B208" s="397"/>
      <c r="C208" s="396" t="str">
        <f t="shared" ca="1" si="36"/>
        <v>a1HDm000000c2zJMAQ</v>
      </c>
      <c r="D208" s="387"/>
      <c r="E208" s="387">
        <f t="shared" ca="1" si="32"/>
        <v>3</v>
      </c>
      <c r="F208" s="392">
        <f ca="1">IFERROR(IF(COUNTA($D$41:$D208)=1,"",OFFSET($F206,-COUNTA($D$41:$D208)+3,0)),"")</f>
        <v>13</v>
      </c>
      <c r="G208" s="387" t="str">
        <f t="shared" ca="1" si="33"/>
        <v>132026</v>
      </c>
      <c r="H208" s="387">
        <f t="shared" ca="1" si="37"/>
        <v>33</v>
      </c>
      <c r="I208" s="398" t="str">
        <f t="shared" ca="1" si="38"/>
        <v/>
      </c>
      <c r="J208" s="398" t="str">
        <f t="shared" ca="1" si="39"/>
        <v/>
      </c>
      <c r="K208" s="389" t="str">
        <f t="shared" ca="1" si="40"/>
        <v/>
      </c>
      <c r="L208" s="391">
        <f ca="1">IFERROR(CHOOSE(E208,'Impact Indicators - Section B '!$K$7,'Impact Indicators - Section B '!$O$7,'Impact Indicators - Section B '!$S$7,'Impact Indicators - Section B '!$W$7,'Impact Indicators - Section B '!#REF!),"")</f>
        <v>2026</v>
      </c>
      <c r="M208" s="399" t="str">
        <f t="shared" ca="1" si="41"/>
        <v/>
      </c>
      <c r="N208" s="391" t="str">
        <f t="shared" ca="1" si="42"/>
        <v/>
      </c>
      <c r="O208" s="387" t="str">
        <f ca="1">IFERROR(IF(COUNTA($D$41:$D208)=1,"",OFFSET($C206,-COUNTA($D$41:$D208)+3,0)),"")</f>
        <v>a1HDm000000c2zJMAQ</v>
      </c>
      <c r="P208" s="387">
        <f t="shared" ca="1" si="34"/>
        <v>0</v>
      </c>
      <c r="Q208" s="387"/>
      <c r="R208" s="387"/>
      <c r="S208" s="387"/>
      <c r="T208" s="387" t="b">
        <f t="shared" ca="1" si="43"/>
        <v>0</v>
      </c>
    </row>
    <row r="209" spans="1:35">
      <c r="A209" s="387" t="b">
        <f t="shared" ca="1" si="35"/>
        <v>0</v>
      </c>
      <c r="B209" s="397"/>
      <c r="C209" s="396" t="str">
        <f t="shared" ca="1" si="36"/>
        <v>a1HDm000000c2zYMAQ</v>
      </c>
      <c r="D209" s="387"/>
      <c r="E209" s="387">
        <f t="shared" ca="1" si="32"/>
        <v>4</v>
      </c>
      <c r="F209" s="392">
        <f ca="1">IFERROR(IF(COUNTA($D$41:$D209)=1,"",OFFSET($F207,-COUNTA($D$41:$D209)+3,0)),"")</f>
        <v>13</v>
      </c>
      <c r="G209" s="387" t="str">
        <f t="shared" ca="1" si="33"/>
        <v>13</v>
      </c>
      <c r="H209" s="387">
        <f t="shared" ca="1" si="37"/>
        <v>33</v>
      </c>
      <c r="I209" s="398" t="str">
        <f t="shared" ca="1" si="38"/>
        <v/>
      </c>
      <c r="J209" s="398" t="str">
        <f t="shared" ca="1" si="39"/>
        <v/>
      </c>
      <c r="K209" s="389" t="str">
        <f t="shared" ca="1" si="40"/>
        <v/>
      </c>
      <c r="L209" s="391" t="str">
        <f ca="1">IFERROR(CHOOSE(E209,'Impact Indicators - Section B '!$K$7,'Impact Indicators - Section B '!$O$7,'Impact Indicators - Section B '!$S$7,'Impact Indicators - Section B '!$W$7,'Impact Indicators - Section B '!#REF!),"")</f>
        <v/>
      </c>
      <c r="M209" s="399" t="str">
        <f t="shared" ca="1" si="41"/>
        <v/>
      </c>
      <c r="N209" s="391" t="str">
        <f t="shared" ca="1" si="42"/>
        <v/>
      </c>
      <c r="O209" s="387" t="str">
        <f ca="1">IFERROR(IF(COUNTA($D$41:$D209)=1,"",OFFSET($C207,-COUNTA($D$41:$D209)+3,0)),"")</f>
        <v>a1HDm000000c2zYMAQ</v>
      </c>
      <c r="P209" s="387">
        <f t="shared" ca="1" si="34"/>
        <v>0</v>
      </c>
      <c r="Q209" s="387"/>
      <c r="R209" s="387"/>
      <c r="S209" s="387"/>
      <c r="T209" s="387" t="b">
        <f t="shared" ca="1" si="43"/>
        <v>0</v>
      </c>
    </row>
    <row r="210" spans="1:35">
      <c r="A210" s="387" t="b">
        <f t="shared" ca="1" si="35"/>
        <v>0</v>
      </c>
      <c r="B210" s="397"/>
      <c r="C210" s="396" t="str">
        <f t="shared" ca="1" si="36"/>
        <v>a1HDm000000c2znMAA</v>
      </c>
      <c r="D210" s="387"/>
      <c r="E210" s="387">
        <f t="shared" ca="1" si="32"/>
        <v>5</v>
      </c>
      <c r="F210" s="392">
        <f ca="1">IFERROR(IF(COUNTA($D$41:$D210)=1,"",OFFSET($F208,-COUNTA($D$41:$D210)+3,0)),"")</f>
        <v>13</v>
      </c>
      <c r="G210" s="387" t="str">
        <f t="shared" ca="1" si="33"/>
        <v>13</v>
      </c>
      <c r="H210" s="387">
        <f t="shared" ca="1" si="37"/>
        <v>33</v>
      </c>
      <c r="I210" s="398" t="str">
        <f t="shared" ca="1" si="38"/>
        <v/>
      </c>
      <c r="J210" s="398" t="str">
        <f t="shared" ca="1" si="39"/>
        <v/>
      </c>
      <c r="K210" s="389" t="str">
        <f t="shared" ca="1" si="40"/>
        <v/>
      </c>
      <c r="L210" s="391" t="str">
        <f ca="1">IFERROR(CHOOSE(E210,'Impact Indicators - Section B '!$K$7,'Impact Indicators - Section B '!$O$7,'Impact Indicators - Section B '!$S$7,'Impact Indicators - Section B '!$W$7,'Impact Indicators - Section B '!#REF!),"")</f>
        <v/>
      </c>
      <c r="M210" s="399" t="str">
        <f t="shared" ca="1" si="41"/>
        <v/>
      </c>
      <c r="N210" s="391" t="str">
        <f t="shared" ca="1" si="42"/>
        <v/>
      </c>
      <c r="O210" s="387" t="str">
        <f ca="1">IFERROR(IF(COUNTA($D$41:$D210)=1,"",OFFSET($C208,-COUNTA($D$41:$D210)+3,0)),"")</f>
        <v>a1HDm000000c2znMAA</v>
      </c>
      <c r="P210" s="387">
        <f t="shared" ca="1" si="34"/>
        <v>0</v>
      </c>
      <c r="Q210" s="387"/>
      <c r="R210" s="387"/>
      <c r="S210" s="387"/>
      <c r="T210" s="387" t="b">
        <f t="shared" ca="1" si="43"/>
        <v>0</v>
      </c>
    </row>
    <row r="211" spans="1:35">
      <c r="A211" s="387" t="b">
        <f t="shared" ca="1" si="35"/>
        <v>0</v>
      </c>
      <c r="B211" s="397"/>
      <c r="C211" s="396" t="str">
        <f t="shared" ca="1" si="36"/>
        <v>a1HDm000000c302MAA</v>
      </c>
      <c r="D211" s="387"/>
      <c r="E211" s="387">
        <f t="shared" ca="1" si="32"/>
        <v>6</v>
      </c>
      <c r="F211" s="392">
        <f ca="1">IFERROR(IF(COUNTA($D$41:$D211)=1,"",OFFSET($F209,-COUNTA($D$41:$D211)+3,0)),"")</f>
        <v>13</v>
      </c>
      <c r="G211" s="387" t="str">
        <f t="shared" ca="1" si="33"/>
        <v>13</v>
      </c>
      <c r="H211" s="387">
        <f t="shared" ca="1" si="37"/>
        <v>33</v>
      </c>
      <c r="I211" s="398" t="str">
        <f t="shared" ca="1" si="38"/>
        <v/>
      </c>
      <c r="J211" s="398" t="str">
        <f t="shared" ca="1" si="39"/>
        <v/>
      </c>
      <c r="K211" s="389" t="str">
        <f t="shared" ca="1" si="40"/>
        <v/>
      </c>
      <c r="L211" s="391" t="str">
        <f ca="1">IFERROR(CHOOSE(E211,'Impact Indicators - Section B '!$K$7,'Impact Indicators - Section B '!$O$7,'Impact Indicators - Section B '!$S$7,'Impact Indicators - Section B '!$W$7,'Impact Indicators - Section B '!#REF!),"")</f>
        <v/>
      </c>
      <c r="M211" s="399" t="str">
        <f t="shared" ca="1" si="41"/>
        <v/>
      </c>
      <c r="N211" s="391" t="str">
        <f t="shared" ca="1" si="42"/>
        <v/>
      </c>
      <c r="O211" s="387" t="str">
        <f ca="1">IFERROR(IF(COUNTA($D$41:$D211)=1,"",OFFSET($C209,-COUNTA($D$41:$D211)+3,0)),"")</f>
        <v>a1HDm000000c302MAA</v>
      </c>
      <c r="P211" s="387">
        <f t="shared" ca="1" si="34"/>
        <v>0</v>
      </c>
      <c r="Q211" s="387"/>
      <c r="R211" s="387"/>
      <c r="S211" s="387"/>
      <c r="T211" s="387" t="b">
        <f t="shared" ca="1" si="43"/>
        <v>0</v>
      </c>
    </row>
    <row r="212" spans="1:35">
      <c r="A212" s="387" t="b">
        <f t="shared" ca="1" si="35"/>
        <v>0</v>
      </c>
      <c r="B212" s="397"/>
      <c r="C212" s="396" t="str">
        <f t="shared" ca="1" si="36"/>
        <v>a1HDm000000c2yqMAA</v>
      </c>
      <c r="D212" s="387"/>
      <c r="E212" s="387">
        <f t="shared" ca="1" si="32"/>
        <v>1</v>
      </c>
      <c r="F212" s="392">
        <f ca="1">IFERROR(IF(COUNTA($D$41:$D212)=1,"",OFFSET($F210,-COUNTA($D$41:$D212)+3,0)),"")</f>
        <v>14</v>
      </c>
      <c r="G212" s="387" t="str">
        <f t="shared" ca="1" si="33"/>
        <v>142024</v>
      </c>
      <c r="H212" s="387">
        <f t="shared" ca="1" si="37"/>
        <v>35</v>
      </c>
      <c r="I212" s="398" t="str">
        <f t="shared" ca="1" si="38"/>
        <v/>
      </c>
      <c r="J212" s="398" t="str">
        <f t="shared" ca="1" si="39"/>
        <v/>
      </c>
      <c r="K212" s="389" t="str">
        <f t="shared" ca="1" si="40"/>
        <v/>
      </c>
      <c r="L212" s="391">
        <f ca="1">IFERROR(CHOOSE(E212,'Impact Indicators - Section B '!$K$7,'Impact Indicators - Section B '!$O$7,'Impact Indicators - Section B '!$S$7,'Impact Indicators - Section B '!$W$7,'Impact Indicators - Section B '!#REF!),"")</f>
        <v>2024</v>
      </c>
      <c r="M212" s="399" t="str">
        <f t="shared" ca="1" si="41"/>
        <v/>
      </c>
      <c r="N212" s="391" t="str">
        <f t="shared" ca="1" si="42"/>
        <v/>
      </c>
      <c r="O212" s="387" t="str">
        <f ca="1">IFERROR(IF(COUNTA($D$41:$D212)=1,"",OFFSET($C210,-COUNTA($D$41:$D212)+3,0)),"")</f>
        <v>a1HDm000000c2yqMAA</v>
      </c>
      <c r="P212" s="387">
        <f t="shared" ca="1" si="34"/>
        <v>0</v>
      </c>
      <c r="Q212" s="387"/>
      <c r="R212" s="387"/>
      <c r="S212" s="387"/>
      <c r="T212" s="387" t="b">
        <f t="shared" ca="1" si="43"/>
        <v>0</v>
      </c>
    </row>
    <row r="213" spans="1:35">
      <c r="A213" s="387" t="b">
        <f t="shared" ca="1" si="35"/>
        <v>0</v>
      </c>
      <c r="B213" s="397"/>
      <c r="C213" s="396" t="str">
        <f t="shared" ca="1" si="36"/>
        <v>a1HDm000000c2z5MAA</v>
      </c>
      <c r="D213" s="387"/>
      <c r="E213" s="387">
        <f t="shared" ca="1" si="32"/>
        <v>2</v>
      </c>
      <c r="F213" s="392">
        <f ca="1">IFERROR(IF(COUNTA($D$41:$D213)=1,"",OFFSET($F211,-COUNTA($D$41:$D213)+3,0)),"")</f>
        <v>14</v>
      </c>
      <c r="G213" s="387" t="str">
        <f t="shared" ca="1" si="33"/>
        <v>142025</v>
      </c>
      <c r="H213" s="387">
        <f t="shared" ca="1" si="37"/>
        <v>35</v>
      </c>
      <c r="I213" s="398" t="str">
        <f t="shared" ca="1" si="38"/>
        <v/>
      </c>
      <c r="J213" s="398" t="str">
        <f t="shared" ca="1" si="39"/>
        <v/>
      </c>
      <c r="K213" s="389" t="str">
        <f t="shared" ca="1" si="40"/>
        <v/>
      </c>
      <c r="L213" s="391">
        <f ca="1">IFERROR(CHOOSE(E213,'Impact Indicators - Section B '!$K$7,'Impact Indicators - Section B '!$O$7,'Impact Indicators - Section B '!$S$7,'Impact Indicators - Section B '!$W$7,'Impact Indicators - Section B '!#REF!),"")</f>
        <v>2025</v>
      </c>
      <c r="M213" s="399" t="str">
        <f t="shared" ca="1" si="41"/>
        <v/>
      </c>
      <c r="N213" s="391" t="str">
        <f t="shared" ca="1" si="42"/>
        <v/>
      </c>
      <c r="O213" s="387" t="str">
        <f ca="1">IFERROR(IF(COUNTA($D$41:$D213)=1,"",OFFSET($C211,-COUNTA($D$41:$D213)+3,0)),"")</f>
        <v>a1HDm000000c2z5MAA</v>
      </c>
      <c r="P213" s="387">
        <f t="shared" ca="1" si="34"/>
        <v>0</v>
      </c>
      <c r="Q213" s="387"/>
      <c r="R213" s="387"/>
      <c r="S213" s="387"/>
      <c r="T213" s="387" t="b">
        <f t="shared" ca="1" si="43"/>
        <v>0</v>
      </c>
    </row>
    <row r="214" spans="1:35">
      <c r="A214" s="387" t="b">
        <f t="shared" ca="1" si="35"/>
        <v>0</v>
      </c>
      <c r="B214" s="397"/>
      <c r="C214" s="396" t="str">
        <f t="shared" ca="1" si="36"/>
        <v>a1HDm000000c2zKMAQ</v>
      </c>
      <c r="D214" s="387"/>
      <c r="E214" s="387">
        <f t="shared" ca="1" si="32"/>
        <v>3</v>
      </c>
      <c r="F214" s="392">
        <f ca="1">IFERROR(IF(COUNTA($D$41:$D214)=1,"",OFFSET($F212,-COUNTA($D$41:$D214)+3,0)),"")</f>
        <v>14</v>
      </c>
      <c r="G214" s="387" t="str">
        <f t="shared" ca="1" si="33"/>
        <v>142026</v>
      </c>
      <c r="H214" s="387">
        <f t="shared" ca="1" si="37"/>
        <v>35</v>
      </c>
      <c r="I214" s="398" t="str">
        <f t="shared" ca="1" si="38"/>
        <v/>
      </c>
      <c r="J214" s="398" t="str">
        <f t="shared" ca="1" si="39"/>
        <v/>
      </c>
      <c r="K214" s="389" t="str">
        <f t="shared" ca="1" si="40"/>
        <v/>
      </c>
      <c r="L214" s="391">
        <f ca="1">IFERROR(CHOOSE(E214,'Impact Indicators - Section B '!$K$7,'Impact Indicators - Section B '!$O$7,'Impact Indicators - Section B '!$S$7,'Impact Indicators - Section B '!$W$7,'Impact Indicators - Section B '!#REF!),"")</f>
        <v>2026</v>
      </c>
      <c r="M214" s="399" t="str">
        <f t="shared" ca="1" si="41"/>
        <v/>
      </c>
      <c r="N214" s="391" t="str">
        <f t="shared" ca="1" si="42"/>
        <v/>
      </c>
      <c r="O214" s="387" t="str">
        <f ca="1">IFERROR(IF(COUNTA($D$41:$D214)=1,"",OFFSET($C212,-COUNTA($D$41:$D214)+3,0)),"")</f>
        <v>a1HDm000000c2zKMAQ</v>
      </c>
      <c r="P214" s="387">
        <f t="shared" ca="1" si="34"/>
        <v>0</v>
      </c>
      <c r="Q214" s="387"/>
      <c r="R214" s="387"/>
      <c r="S214" s="387"/>
      <c r="T214" s="387" t="b">
        <f t="shared" ca="1" si="43"/>
        <v>0</v>
      </c>
    </row>
    <row r="215" spans="1:35">
      <c r="A215" s="387" t="b">
        <f t="shared" ca="1" si="35"/>
        <v>0</v>
      </c>
      <c r="B215" s="397"/>
      <c r="C215" s="396" t="str">
        <f t="shared" ca="1" si="36"/>
        <v>a1HDm000000c2zZMAQ</v>
      </c>
      <c r="D215" s="387"/>
      <c r="E215" s="387">
        <f t="shared" ca="1" si="32"/>
        <v>4</v>
      </c>
      <c r="F215" s="392">
        <f ca="1">IFERROR(IF(COUNTA($D$41:$D215)=1,"",OFFSET($F213,-COUNTA($D$41:$D215)+3,0)),"")</f>
        <v>14</v>
      </c>
      <c r="G215" s="387" t="str">
        <f t="shared" ca="1" si="33"/>
        <v>14</v>
      </c>
      <c r="H215" s="387">
        <f t="shared" ca="1" si="37"/>
        <v>35</v>
      </c>
      <c r="I215" s="398" t="str">
        <f t="shared" ca="1" si="38"/>
        <v/>
      </c>
      <c r="J215" s="398" t="str">
        <f t="shared" ca="1" si="39"/>
        <v/>
      </c>
      <c r="K215" s="389" t="str">
        <f t="shared" ca="1" si="40"/>
        <v/>
      </c>
      <c r="L215" s="391" t="str">
        <f ca="1">IFERROR(CHOOSE(E215,'Impact Indicators - Section B '!$K$7,'Impact Indicators - Section B '!$O$7,'Impact Indicators - Section B '!$S$7,'Impact Indicators - Section B '!$W$7,'Impact Indicators - Section B '!#REF!),"")</f>
        <v/>
      </c>
      <c r="M215" s="399" t="str">
        <f t="shared" ca="1" si="41"/>
        <v/>
      </c>
      <c r="N215" s="391" t="str">
        <f t="shared" ca="1" si="42"/>
        <v/>
      </c>
      <c r="O215" s="387" t="str">
        <f ca="1">IFERROR(IF(COUNTA($D$41:$D215)=1,"",OFFSET($C213,-COUNTA($D$41:$D215)+3,0)),"")</f>
        <v>a1HDm000000c2zZMAQ</v>
      </c>
      <c r="P215" s="387">
        <f t="shared" ca="1" si="34"/>
        <v>0</v>
      </c>
      <c r="Q215" s="387"/>
      <c r="R215" s="387"/>
      <c r="S215" s="387"/>
      <c r="T215" s="387" t="b">
        <f t="shared" ca="1" si="43"/>
        <v>0</v>
      </c>
    </row>
    <row r="216" spans="1:35">
      <c r="A216" s="387" t="b">
        <f t="shared" ca="1" si="35"/>
        <v>0</v>
      </c>
      <c r="B216" s="397"/>
      <c r="C216" s="396" t="str">
        <f t="shared" ca="1" si="36"/>
        <v>a1HDm000000c2zoMAA</v>
      </c>
      <c r="D216" s="387"/>
      <c r="E216" s="387">
        <f t="shared" ca="1" si="32"/>
        <v>5</v>
      </c>
      <c r="F216" s="392">
        <f ca="1">IFERROR(IF(COUNTA($D$41:$D216)=1,"",OFFSET($F214,-COUNTA($D$41:$D216)+3,0)),"")</f>
        <v>14</v>
      </c>
      <c r="G216" s="387" t="str">
        <f t="shared" ca="1" si="33"/>
        <v>14</v>
      </c>
      <c r="H216" s="387">
        <f t="shared" ca="1" si="37"/>
        <v>35</v>
      </c>
      <c r="I216" s="398" t="str">
        <f t="shared" ca="1" si="38"/>
        <v/>
      </c>
      <c r="J216" s="398" t="str">
        <f t="shared" ca="1" si="39"/>
        <v/>
      </c>
      <c r="K216" s="389" t="str">
        <f t="shared" ca="1" si="40"/>
        <v/>
      </c>
      <c r="L216" s="391" t="str">
        <f ca="1">IFERROR(CHOOSE(E216,'Impact Indicators - Section B '!$K$7,'Impact Indicators - Section B '!$O$7,'Impact Indicators - Section B '!$S$7,'Impact Indicators - Section B '!$W$7,'Impact Indicators - Section B '!#REF!),"")</f>
        <v/>
      </c>
      <c r="M216" s="399" t="str">
        <f t="shared" ca="1" si="41"/>
        <v/>
      </c>
      <c r="N216" s="391" t="str">
        <f t="shared" ca="1" si="42"/>
        <v/>
      </c>
      <c r="O216" s="387" t="str">
        <f ca="1">IFERROR(IF(COUNTA($D$41:$D216)=1,"",OFFSET($C214,-COUNTA($D$41:$D216)+3,0)),"")</f>
        <v>a1HDm000000c2zoMAA</v>
      </c>
      <c r="P216" s="387">
        <f t="shared" ca="1" si="34"/>
        <v>0</v>
      </c>
      <c r="Q216" s="387"/>
      <c r="R216" s="387"/>
      <c r="S216" s="387"/>
      <c r="T216" s="387" t="b">
        <f t="shared" ca="1" si="43"/>
        <v>0</v>
      </c>
    </row>
    <row r="217" spans="1:35">
      <c r="A217" s="387" t="b">
        <f t="shared" ca="1" si="35"/>
        <v>0</v>
      </c>
      <c r="B217" s="397"/>
      <c r="C217" s="396" t="str">
        <f t="shared" ca="1" si="36"/>
        <v>a1HDm000000c303MAA</v>
      </c>
      <c r="D217" s="387"/>
      <c r="E217" s="387">
        <f t="shared" ca="1" si="32"/>
        <v>6</v>
      </c>
      <c r="F217" s="392">
        <f ca="1">IFERROR(IF(COUNTA($D$41:$D217)=1,"",OFFSET($F215,-COUNTA($D$41:$D217)+3,0)),"")</f>
        <v>14</v>
      </c>
      <c r="G217" s="387" t="str">
        <f t="shared" ca="1" si="33"/>
        <v>14</v>
      </c>
      <c r="H217" s="387">
        <f t="shared" ca="1" si="37"/>
        <v>35</v>
      </c>
      <c r="I217" s="398" t="str">
        <f t="shared" ca="1" si="38"/>
        <v/>
      </c>
      <c r="J217" s="398" t="str">
        <f t="shared" ca="1" si="39"/>
        <v/>
      </c>
      <c r="K217" s="389" t="str">
        <f t="shared" ca="1" si="40"/>
        <v/>
      </c>
      <c r="L217" s="391" t="str">
        <f ca="1">IFERROR(CHOOSE(E217,'Impact Indicators - Section B '!$K$7,'Impact Indicators - Section B '!$O$7,'Impact Indicators - Section B '!$S$7,'Impact Indicators - Section B '!$W$7,'Impact Indicators - Section B '!#REF!),"")</f>
        <v/>
      </c>
      <c r="M217" s="399" t="str">
        <f t="shared" ca="1" si="41"/>
        <v/>
      </c>
      <c r="N217" s="391" t="str">
        <f t="shared" ca="1" si="42"/>
        <v/>
      </c>
      <c r="O217" s="387" t="str">
        <f ca="1">IFERROR(IF(COUNTA($D$41:$D217)=1,"",OFFSET($C215,-COUNTA($D$41:$D217)+3,0)),"")</f>
        <v>a1HDm000000c303MAA</v>
      </c>
      <c r="P217" s="387">
        <f t="shared" ca="1" si="34"/>
        <v>0</v>
      </c>
      <c r="Q217" s="387"/>
      <c r="R217" s="387"/>
      <c r="S217" s="387"/>
      <c r="T217" s="387" t="b">
        <f t="shared" ca="1" si="43"/>
        <v>0</v>
      </c>
    </row>
    <row r="218" spans="1:35">
      <c r="A218" s="387" t="b">
        <f t="shared" ca="1" si="35"/>
        <v>0</v>
      </c>
      <c r="B218" s="397"/>
      <c r="C218" s="396" t="str">
        <f t="shared" ca="1" si="36"/>
        <v>a1HDm000000c2yrMAA</v>
      </c>
      <c r="D218" s="387"/>
      <c r="E218" s="387">
        <f t="shared" ca="1" si="32"/>
        <v>1</v>
      </c>
      <c r="F218" s="392">
        <f ca="1">IFERROR(IF(COUNTA($D$41:$D218)=1,"",OFFSET($F216,-COUNTA($D$41:$D218)+3,0)),"")</f>
        <v>15</v>
      </c>
      <c r="G218" s="387" t="str">
        <f t="shared" ca="1" si="33"/>
        <v>152024</v>
      </c>
      <c r="H218" s="387">
        <f t="shared" ca="1" si="37"/>
        <v>37</v>
      </c>
      <c r="I218" s="398" t="str">
        <f t="shared" ca="1" si="38"/>
        <v/>
      </c>
      <c r="J218" s="398" t="str">
        <f t="shared" ca="1" si="39"/>
        <v/>
      </c>
      <c r="K218" s="389" t="str">
        <f t="shared" ca="1" si="40"/>
        <v/>
      </c>
      <c r="L218" s="391">
        <f ca="1">IFERROR(CHOOSE(E218,'Impact Indicators - Section B '!$K$7,'Impact Indicators - Section B '!$O$7,'Impact Indicators - Section B '!$S$7,'Impact Indicators - Section B '!$W$7,'Impact Indicators - Section B '!#REF!),"")</f>
        <v>2024</v>
      </c>
      <c r="M218" s="399" t="str">
        <f t="shared" ca="1" si="41"/>
        <v/>
      </c>
      <c r="N218" s="391" t="str">
        <f t="shared" ca="1" si="42"/>
        <v/>
      </c>
      <c r="O218" s="387" t="str">
        <f ca="1">IFERROR(IF(COUNTA($D$41:$D218)=1,"",OFFSET($C216,-COUNTA($D$41:$D218)+3,0)),"")</f>
        <v>a1HDm000000c2yrMAA</v>
      </c>
      <c r="P218" s="387">
        <f t="shared" ca="1" si="34"/>
        <v>0</v>
      </c>
      <c r="Q218" s="387"/>
      <c r="R218" s="387"/>
      <c r="S218" s="387"/>
      <c r="T218" s="387" t="b">
        <f t="shared" ca="1" si="43"/>
        <v>0</v>
      </c>
    </row>
    <row r="219" spans="1:35">
      <c r="A219" s="387" t="b">
        <f t="shared" ca="1" si="35"/>
        <v>0</v>
      </c>
      <c r="B219" s="397"/>
      <c r="C219" s="396" t="str">
        <f t="shared" ca="1" si="36"/>
        <v>a1HDm000000c2z6MAA</v>
      </c>
      <c r="D219" s="387"/>
      <c r="E219" s="387">
        <f t="shared" ca="1" si="32"/>
        <v>2</v>
      </c>
      <c r="F219" s="392">
        <f ca="1">IFERROR(IF(COUNTA($D$41:$D219)=1,"",OFFSET($F217,-COUNTA($D$41:$D219)+3,0)),"")</f>
        <v>15</v>
      </c>
      <c r="G219" s="387" t="str">
        <f t="shared" ca="1" si="33"/>
        <v>152025</v>
      </c>
      <c r="H219" s="387">
        <f t="shared" ca="1" si="37"/>
        <v>37</v>
      </c>
      <c r="I219" s="398" t="str">
        <f t="shared" ca="1" si="38"/>
        <v/>
      </c>
      <c r="J219" s="398" t="str">
        <f t="shared" ca="1" si="39"/>
        <v/>
      </c>
      <c r="K219" s="389" t="str">
        <f t="shared" ca="1" si="40"/>
        <v/>
      </c>
      <c r="L219" s="391">
        <f ca="1">IFERROR(CHOOSE(E219,'Impact Indicators - Section B '!$K$7,'Impact Indicators - Section B '!$O$7,'Impact Indicators - Section B '!$S$7,'Impact Indicators - Section B '!$W$7,'Impact Indicators - Section B '!#REF!),"")</f>
        <v>2025</v>
      </c>
      <c r="M219" s="399" t="str">
        <f t="shared" ca="1" si="41"/>
        <v/>
      </c>
      <c r="N219" s="391" t="str">
        <f t="shared" ca="1" si="42"/>
        <v/>
      </c>
      <c r="O219" s="387" t="str">
        <f ca="1">IFERROR(IF(COUNTA($D$41:$D219)=1,"",OFFSET($C217,-COUNTA($D$41:$D219)+3,0)),"")</f>
        <v>a1HDm000000c2z6MAA</v>
      </c>
      <c r="P219" s="387">
        <f t="shared" ca="1" si="34"/>
        <v>0</v>
      </c>
      <c r="Q219" s="387"/>
      <c r="R219" s="387"/>
      <c r="S219" s="387"/>
      <c r="T219" s="387" t="b">
        <f t="shared" ca="1" si="43"/>
        <v>0</v>
      </c>
    </row>
    <row r="220" spans="1:35">
      <c r="A220" s="387" t="b">
        <f t="shared" ca="1" si="35"/>
        <v>0</v>
      </c>
      <c r="B220" s="397"/>
      <c r="C220" s="396" t="str">
        <f t="shared" ca="1" si="36"/>
        <v>a1HDm000000c2zLMAQ</v>
      </c>
      <c r="D220" s="387"/>
      <c r="E220" s="387">
        <f t="shared" ca="1" si="32"/>
        <v>3</v>
      </c>
      <c r="F220" s="392">
        <f ca="1">IFERROR(IF(COUNTA($D$41:$D220)=1,"",OFFSET($F218,-COUNTA($D$41:$D220)+3,0)),"")</f>
        <v>15</v>
      </c>
      <c r="G220" s="387" t="str">
        <f t="shared" ca="1" si="33"/>
        <v>152026</v>
      </c>
      <c r="H220" s="387">
        <f t="shared" ca="1" si="37"/>
        <v>37</v>
      </c>
      <c r="I220" s="398" t="str">
        <f t="shared" ca="1" si="38"/>
        <v/>
      </c>
      <c r="J220" s="398" t="str">
        <f t="shared" ca="1" si="39"/>
        <v/>
      </c>
      <c r="K220" s="389" t="str">
        <f t="shared" ca="1" si="40"/>
        <v/>
      </c>
      <c r="L220" s="391">
        <f ca="1">IFERROR(CHOOSE(E220,'Impact Indicators - Section B '!$K$7,'Impact Indicators - Section B '!$O$7,'Impact Indicators - Section B '!$S$7,'Impact Indicators - Section B '!$W$7,'Impact Indicators - Section B '!#REF!),"")</f>
        <v>2026</v>
      </c>
      <c r="M220" s="399" t="str">
        <f t="shared" ca="1" si="41"/>
        <v/>
      </c>
      <c r="N220" s="391" t="str">
        <f t="shared" ca="1" si="42"/>
        <v/>
      </c>
      <c r="O220" s="387" t="str">
        <f ca="1">IFERROR(IF(COUNTA($D$41:$D220)=1,"",OFFSET($C218,-COUNTA($D$41:$D220)+3,0)),"")</f>
        <v>a1HDm000000c2zLMAQ</v>
      </c>
      <c r="P220" s="387">
        <f t="shared" ca="1" si="34"/>
        <v>0</v>
      </c>
      <c r="Q220" s="387"/>
      <c r="R220" s="387"/>
      <c r="S220" s="387"/>
      <c r="T220" s="387" t="b">
        <f t="shared" ca="1" si="43"/>
        <v>0</v>
      </c>
    </row>
    <row r="221" spans="1:35">
      <c r="A221" s="387" t="b">
        <f t="shared" ca="1" si="35"/>
        <v>0</v>
      </c>
      <c r="B221" s="397"/>
      <c r="C221" s="396" t="str">
        <f t="shared" ca="1" si="36"/>
        <v>a1HDm000000c2zaMAA</v>
      </c>
      <c r="D221" s="387"/>
      <c r="E221" s="387">
        <f t="shared" ca="1" si="32"/>
        <v>4</v>
      </c>
      <c r="F221" s="392">
        <f ca="1">IFERROR(IF(COUNTA($D$41:$D221)=1,"",OFFSET($F219,-COUNTA($D$41:$D221)+3,0)),"")</f>
        <v>15</v>
      </c>
      <c r="G221" s="387" t="str">
        <f t="shared" ca="1" si="33"/>
        <v>15</v>
      </c>
      <c r="H221" s="387">
        <f t="shared" ca="1" si="37"/>
        <v>37</v>
      </c>
      <c r="I221" s="398" t="str">
        <f t="shared" ca="1" si="38"/>
        <v/>
      </c>
      <c r="J221" s="398" t="str">
        <f t="shared" ca="1" si="39"/>
        <v/>
      </c>
      <c r="K221" s="389" t="str">
        <f t="shared" ca="1" si="40"/>
        <v/>
      </c>
      <c r="L221" s="391" t="str">
        <f ca="1">IFERROR(CHOOSE(E221,'Impact Indicators - Section B '!$K$7,'Impact Indicators - Section B '!$O$7,'Impact Indicators - Section B '!$S$7,'Impact Indicators - Section B '!$W$7,'Impact Indicators - Section B '!#REF!),"")</f>
        <v/>
      </c>
      <c r="M221" s="399" t="str">
        <f t="shared" ca="1" si="41"/>
        <v/>
      </c>
      <c r="N221" s="391" t="str">
        <f t="shared" ca="1" si="42"/>
        <v/>
      </c>
      <c r="O221" s="387" t="str">
        <f ca="1">IFERROR(IF(COUNTA($D$41:$D221)=1,"",OFFSET($C219,-COUNTA($D$41:$D221)+3,0)),"")</f>
        <v>a1HDm000000c2zaMAA</v>
      </c>
      <c r="P221" s="387">
        <f t="shared" ca="1" si="34"/>
        <v>0</v>
      </c>
      <c r="Q221" s="387"/>
      <c r="R221" s="387"/>
      <c r="S221" s="387"/>
      <c r="T221" s="387" t="b">
        <f t="shared" ca="1" si="43"/>
        <v>0</v>
      </c>
    </row>
    <row r="222" spans="1:35">
      <c r="A222" s="387" t="b">
        <f t="shared" ca="1" si="35"/>
        <v>0</v>
      </c>
      <c r="B222" s="397"/>
      <c r="C222" s="396" t="str">
        <f t="shared" ca="1" si="36"/>
        <v>a1HDm000000c2zpMAA</v>
      </c>
      <c r="D222" s="387"/>
      <c r="E222" s="387">
        <f t="shared" ca="1" si="32"/>
        <v>5</v>
      </c>
      <c r="F222" s="392">
        <f ca="1">IFERROR(IF(COUNTA($D$41:$D222)=1,"",OFFSET($F220,-COUNTA($D$41:$D222)+3,0)),"")</f>
        <v>15</v>
      </c>
      <c r="G222" s="387" t="str">
        <f t="shared" ca="1" si="33"/>
        <v>15</v>
      </c>
      <c r="H222" s="387">
        <f t="shared" ca="1" si="37"/>
        <v>37</v>
      </c>
      <c r="I222" s="398" t="str">
        <f t="shared" ca="1" si="38"/>
        <v/>
      </c>
      <c r="J222" s="398" t="str">
        <f t="shared" ca="1" si="39"/>
        <v/>
      </c>
      <c r="K222" s="389" t="str">
        <f t="shared" ca="1" si="40"/>
        <v/>
      </c>
      <c r="L222" s="391" t="str">
        <f ca="1">IFERROR(CHOOSE(E222,'Impact Indicators - Section B '!$K$7,'Impact Indicators - Section B '!$O$7,'Impact Indicators - Section B '!$S$7,'Impact Indicators - Section B '!$W$7,'Impact Indicators - Section B '!#REF!),"")</f>
        <v/>
      </c>
      <c r="M222" s="399" t="str">
        <f t="shared" ca="1" si="41"/>
        <v/>
      </c>
      <c r="N222" s="391" t="str">
        <f t="shared" ca="1" si="42"/>
        <v/>
      </c>
      <c r="O222" s="387" t="str">
        <f ca="1">IFERROR(IF(COUNTA($D$41:$D222)=1,"",OFFSET($C220,-COUNTA($D$41:$D222)+3,0)),"")</f>
        <v>a1HDm000000c2zpMAA</v>
      </c>
      <c r="P222" s="387">
        <f t="shared" ca="1" si="34"/>
        <v>0</v>
      </c>
      <c r="Q222" s="387"/>
      <c r="R222" s="387"/>
      <c r="S222" s="387"/>
      <c r="T222" s="387" t="b">
        <f t="shared" ca="1" si="43"/>
        <v>0</v>
      </c>
    </row>
    <row r="223" spans="1:35">
      <c r="A223" s="387" t="b">
        <f t="shared" ca="1" si="35"/>
        <v>0</v>
      </c>
      <c r="B223" s="397"/>
      <c r="C223" s="396" t="str">
        <f t="shared" ca="1" si="36"/>
        <v>a1HDm000000c304MAA</v>
      </c>
      <c r="D223" s="387"/>
      <c r="E223" s="387">
        <f t="shared" ca="1" si="32"/>
        <v>6</v>
      </c>
      <c r="F223" s="392">
        <f ca="1">IFERROR(IF(COUNTA($D$41:$D223)=1,"",OFFSET($F221,-COUNTA($D$41:$D223)+3,0)),"")</f>
        <v>15</v>
      </c>
      <c r="G223" s="387" t="str">
        <f t="shared" ca="1" si="33"/>
        <v>15</v>
      </c>
      <c r="H223" s="387">
        <f t="shared" ca="1" si="37"/>
        <v>37</v>
      </c>
      <c r="I223" s="398" t="str">
        <f t="shared" ca="1" si="38"/>
        <v/>
      </c>
      <c r="J223" s="398" t="str">
        <f t="shared" ca="1" si="39"/>
        <v/>
      </c>
      <c r="K223" s="389" t="str">
        <f t="shared" ca="1" si="40"/>
        <v/>
      </c>
      <c r="L223" s="391" t="str">
        <f ca="1">IFERROR(CHOOSE(E223,'Impact Indicators - Section B '!$K$7,'Impact Indicators - Section B '!$O$7,'Impact Indicators - Section B '!$S$7,'Impact Indicators - Section B '!$W$7,'Impact Indicators - Section B '!#REF!),"")</f>
        <v/>
      </c>
      <c r="M223" s="399" t="str">
        <f t="shared" ca="1" si="41"/>
        <v/>
      </c>
      <c r="N223" s="391" t="str">
        <f t="shared" ca="1" si="42"/>
        <v/>
      </c>
      <c r="O223" s="387" t="str">
        <f ca="1">IFERROR(IF(COUNTA($D$41:$D223)=1,"",OFFSET($C221,-COUNTA($D$41:$D223)+3,0)),"")</f>
        <v>a1HDm000000c304MAA</v>
      </c>
      <c r="P223" s="387">
        <f t="shared" ca="1" si="34"/>
        <v>0</v>
      </c>
      <c r="Q223" s="387"/>
      <c r="R223" s="387"/>
      <c r="S223" s="387"/>
      <c r="T223" s="387" t="b">
        <f t="shared" ca="1" si="43"/>
        <v>0</v>
      </c>
    </row>
    <row r="224" spans="1:35">
      <c r="J224" s="386" t="str">
        <f ca="1">IF(ROW()&gt;'Impact Indicator Target Update'!A6,"",INDIRECT("'Impact Indicators - Section B'!A"&amp;'Impact Indicator Target Update'!D6))</f>
        <v/>
      </c>
      <c r="AH224" s="386">
        <v>14</v>
      </c>
      <c r="AI224" s="386">
        <f>AI43+2</f>
        <v>35</v>
      </c>
    </row>
    <row r="225" spans="1:35">
      <c r="A225" s="385" t="s">
        <v>2457</v>
      </c>
      <c r="B225" s="386" t="s">
        <v>2303</v>
      </c>
      <c r="I225" s="386" t="s">
        <v>2304</v>
      </c>
      <c r="J225" s="386" t="str">
        <f ca="1">IF(ROW()&gt;'Impact Indicator Target Update'!A7,"",INDIRECT("'Impact Indicators - Section B'!A"&amp;'Impact Indicator Target Update'!D7))</f>
        <v/>
      </c>
      <c r="AH225" s="386">
        <v>15</v>
      </c>
      <c r="AI225" s="386">
        <f t="shared" si="0"/>
        <v>37</v>
      </c>
    </row>
    <row r="226" spans="1:35">
      <c r="A226" s="387" t="s">
        <v>328</v>
      </c>
      <c r="B226" s="387">
        <v>5</v>
      </c>
      <c r="C226" s="387" t="s">
        <v>318</v>
      </c>
      <c r="D226" s="387" t="s">
        <v>105</v>
      </c>
      <c r="E226" s="387" t="s">
        <v>2316</v>
      </c>
      <c r="F226" s="387" t="s">
        <v>2317</v>
      </c>
      <c r="G226" s="387" t="s">
        <v>768</v>
      </c>
      <c r="H226" s="387" t="s">
        <v>199</v>
      </c>
      <c r="I226" s="387">
        <v>1</v>
      </c>
      <c r="J226" s="387" t="s">
        <v>2318</v>
      </c>
      <c r="K226" s="387" t="s">
        <v>2458</v>
      </c>
      <c r="L226" s="387" t="s">
        <v>2459</v>
      </c>
      <c r="M226" s="387" t="s">
        <v>2460</v>
      </c>
      <c r="N226" s="387" t="s">
        <v>2104</v>
      </c>
      <c r="O226" s="387" t="s">
        <v>120</v>
      </c>
      <c r="P226" s="387" t="s">
        <v>2461</v>
      </c>
      <c r="Q226" s="387" t="s">
        <v>2320</v>
      </c>
      <c r="R226" s="387" t="s">
        <v>2322</v>
      </c>
      <c r="S226" s="387" t="s">
        <v>2462</v>
      </c>
    </row>
    <row r="227" spans="1:35" hidden="1">
      <c r="A227" s="387" t="b">
        <f ca="1">IF(OR(L227&lt;&gt;"",M227&lt;&gt;""),TRUE,FALSE)</f>
        <v>0</v>
      </c>
      <c r="B227" s="387">
        <f ca="1">IF(_xlfn.ISFORMULA(J227),B226+2,B226)</f>
        <v>7</v>
      </c>
      <c r="C227" s="387" t="str">
        <f ca="1">IFERROR(IF(AND(I227=2,B227=7),"blank",INDEX(C$226:C227,I227,1)),"")</f>
        <v>blank</v>
      </c>
      <c r="D227" s="389" t="str">
        <f ca="1">IFERROR(IF(INDIRECT("'Outcome Indicators - Section C '!E"&amp;$B227)="","",INDIRECT("'Outcome Indicators - Section C '!E"&amp;$B227)*100),"")</f>
        <v/>
      </c>
      <c r="E227" s="390" t="str">
        <f ca="1">IFERROR(IF(INDIRECT("'Outcome Indicators - Section C '!D"&amp;$B227+1)="","",INDIRECT("'Outcome Indicators - Section C '!D"&amp;$B227+1)),"")</f>
        <v>Baseline #N Baseline #D</v>
      </c>
      <c r="F227" s="390" t="str">
        <f ca="1">IFERROR(IF(INDIRECT("'Outcome Indicators - Section C '!D"&amp;$B227)="","",INDIRECT("'Outcome Indicators - Section C '!D"&amp;$B227)),"")</f>
        <v/>
      </c>
      <c r="G227" s="391" t="str">
        <f ca="1">IFERROR(IF(INDIRECT("'Outcome Indicators - Section C '!F"&amp;$B227)=0,"",INDIRECT("'Outcome Indicators - Section C '!F"&amp;$B227)),"")</f>
        <v/>
      </c>
      <c r="H227" s="391" t="str">
        <f ca="1">IFERROR(IF(INDIRECT("'Outcome Indicators - Section C '!G"&amp;$B227)="","",INDIRECT("'Outcome Indicators - Section C '!G"&amp;$B227)),"")</f>
        <v/>
      </c>
      <c r="I227" s="387">
        <f ca="1">IF(_xlfn.ISFORMULA(J227),I226+1,I226)</f>
        <v>2</v>
      </c>
      <c r="J227" s="391" t="str">
        <f ca="1">IFERROR(IF(INDIRECT("'Outcome Indicators - Section C '!AA"&amp;$B227)="","",INDIRECT("'Outcome Indicators - Section C '!AA"&amp;$B227)),"")</f>
        <v/>
      </c>
      <c r="K227" s="392" t="e">
        <f>IF(K226=15,1,K226+1)</f>
        <v>#VALUE!</v>
      </c>
      <c r="L227" s="391" t="str">
        <f ca="1">IFERROR(IF(INDIRECT("'Outcome Indicators - Section C '!C"&amp;$B227)=0,"",INDIRECT("'Outcome Indicators - Section C '!C"&amp;$B227)),"")</f>
        <v/>
      </c>
      <c r="M227" s="387" t="str">
        <f t="array" aca="1" ref="M227" ca="1">IFERROR(VLOOKUP(LEFT(INDIRECT("'Outcome Indicators - Section C '!B"&amp;$B227),255),LEFT('Reference Records'!$C$26:$L$82,255),10,0),"")</f>
        <v/>
      </c>
      <c r="N227" s="387" t="str">
        <f ca="1">IFERROR(IF(INDIRECT("'Outcome Indicators - Section C '!j"&amp;$B227)=0,"",INDIRECT("'Outcome Indicators - Section C '!j"&amp;$B227)),"")</f>
        <v/>
      </c>
      <c r="O227" s="387" t="str">
        <f ca="1">IFERROR(VLOOKUP(INDIRECT("'Outcome Indicators - Section C '!I"&amp;$B227),'Overview - Section A'!M$31:P41,4,0),IFERROR(VLOOKUP(INDIRECT("'Outcome Indicators - Section C '!I"&amp;$B227),'Overview - Section A'!E$27:I30,5,0),""))</f>
        <v/>
      </c>
      <c r="P227" s="391" t="s">
        <v>2463</v>
      </c>
      <c r="Q227" s="387" t="s">
        <v>2324</v>
      </c>
      <c r="R227" s="387" t="str" cm="1">
        <f t="array" aca="1" ref="R227" ca="1">IFERROR(IF(INDIRECT("'Outcome Indicators - Section C '!BX"&amp;$B227)=0,"",INDIRECT("'Outcome Indicators - Section C '!BX"&amp;$B227)),"")</f>
        <v/>
      </c>
      <c r="S227" s="387" t="str" cm="1">
        <f t="array" aca="1" ref="S227" ca="1">IFERROR(IF(INDIRECT("'Outcome Indicators - Section C '!BY"&amp;$B227)=0,"",INDIRECT("'Outcome Indicators - Section C '!BY"&amp;$B227)),"")</f>
        <v/>
      </c>
    </row>
    <row r="228" spans="1:35">
      <c r="A228" s="387" t="b">
        <v>1</v>
      </c>
      <c r="B228" s="387">
        <f t="shared" ref="B228:B257" ca="1" si="44">IF(_xlfn.ISFORMULA(J228),B227+2,B227)</f>
        <v>7</v>
      </c>
      <c r="C228" s="387" t="s">
        <v>2464</v>
      </c>
      <c r="D228" s="389">
        <v>70</v>
      </c>
      <c r="E228" s="390"/>
      <c r="F228" s="390"/>
      <c r="G228" s="391" t="s">
        <v>2328</v>
      </c>
      <c r="H228" s="391" t="s">
        <v>780</v>
      </c>
      <c r="I228" s="387">
        <f t="shared" ref="I228:I257" ca="1" si="45">IF(_xlfn.ISFORMULA(J228),I227+1,I227)</f>
        <v>2</v>
      </c>
      <c r="J228" s="391" t="s">
        <v>2183</v>
      </c>
      <c r="K228" s="392">
        <v>1</v>
      </c>
      <c r="L228" s="391"/>
      <c r="M228" s="387" t="s">
        <v>1042</v>
      </c>
      <c r="N228" s="387" t="s">
        <v>781</v>
      </c>
      <c r="O228" s="387" t="s">
        <v>324</v>
      </c>
      <c r="P228" s="391" t="s">
        <v>1043</v>
      </c>
      <c r="Q228" s="387" t="s">
        <v>325</v>
      </c>
      <c r="R228" s="387" t="s">
        <v>2105</v>
      </c>
      <c r="S228" s="387" t="s">
        <v>1044</v>
      </c>
    </row>
    <row r="229" spans="1:35">
      <c r="A229" s="387" t="b">
        <v>1</v>
      </c>
      <c r="B229" s="387">
        <f t="shared" ca="1" si="44"/>
        <v>7</v>
      </c>
      <c r="C229" s="387" t="s">
        <v>2465</v>
      </c>
      <c r="D229" s="389">
        <v>94</v>
      </c>
      <c r="E229" s="390"/>
      <c r="F229" s="390"/>
      <c r="G229" s="391" t="s">
        <v>2328</v>
      </c>
      <c r="H229" s="391" t="s">
        <v>780</v>
      </c>
      <c r="I229" s="387">
        <f t="shared" ca="1" si="45"/>
        <v>2</v>
      </c>
      <c r="J229" s="391" t="s">
        <v>2184</v>
      </c>
      <c r="K229" s="392">
        <v>2</v>
      </c>
      <c r="L229" s="391"/>
      <c r="M229" s="387" t="s">
        <v>1046</v>
      </c>
      <c r="N229" s="387" t="s">
        <v>781</v>
      </c>
      <c r="O229" s="387" t="s">
        <v>324</v>
      </c>
      <c r="P229" s="391" t="s">
        <v>1047</v>
      </c>
      <c r="Q229" s="387" t="s">
        <v>325</v>
      </c>
      <c r="R229" s="387" t="s">
        <v>2105</v>
      </c>
      <c r="S229" s="387" t="s">
        <v>1048</v>
      </c>
    </row>
    <row r="230" spans="1:35">
      <c r="A230" s="387" t="b">
        <v>1</v>
      </c>
      <c r="B230" s="387">
        <f t="shared" ca="1" si="44"/>
        <v>7</v>
      </c>
      <c r="C230" s="387" t="s">
        <v>2466</v>
      </c>
      <c r="D230" s="389">
        <v>19</v>
      </c>
      <c r="E230" s="390"/>
      <c r="F230" s="390"/>
      <c r="G230" s="391" t="s">
        <v>2328</v>
      </c>
      <c r="H230" s="391" t="s">
        <v>780</v>
      </c>
      <c r="I230" s="387">
        <f t="shared" ca="1" si="45"/>
        <v>2</v>
      </c>
      <c r="J230" s="391" t="s">
        <v>2185</v>
      </c>
      <c r="K230" s="392">
        <v>3</v>
      </c>
      <c r="L230" s="391"/>
      <c r="M230" s="387" t="s">
        <v>1050</v>
      </c>
      <c r="N230" s="387" t="s">
        <v>781</v>
      </c>
      <c r="O230" s="387" t="s">
        <v>324</v>
      </c>
      <c r="P230" s="391" t="s">
        <v>1051</v>
      </c>
      <c r="Q230" s="387" t="s">
        <v>325</v>
      </c>
      <c r="R230" s="387" t="s">
        <v>2105</v>
      </c>
      <c r="S230" s="387" t="s">
        <v>1052</v>
      </c>
    </row>
    <row r="231" spans="1:35">
      <c r="A231" s="387" t="b">
        <v>1</v>
      </c>
      <c r="B231" s="387">
        <f t="shared" ca="1" si="44"/>
        <v>7</v>
      </c>
      <c r="C231" s="387" t="s">
        <v>2467</v>
      </c>
      <c r="D231" s="389">
        <v>80</v>
      </c>
      <c r="E231" s="390"/>
      <c r="F231" s="390"/>
      <c r="G231" s="391" t="s">
        <v>2328</v>
      </c>
      <c r="H231" s="391" t="s">
        <v>780</v>
      </c>
      <c r="I231" s="387">
        <f t="shared" ca="1" si="45"/>
        <v>2</v>
      </c>
      <c r="J231" s="391" t="s">
        <v>2186</v>
      </c>
      <c r="K231" s="392">
        <v>4</v>
      </c>
      <c r="L231" s="391"/>
      <c r="M231" s="387" t="s">
        <v>1054</v>
      </c>
      <c r="N231" s="387" t="s">
        <v>781</v>
      </c>
      <c r="O231" s="387" t="s">
        <v>324</v>
      </c>
      <c r="P231" s="391" t="s">
        <v>1055</v>
      </c>
      <c r="Q231" s="387" t="s">
        <v>325</v>
      </c>
      <c r="R231" s="387" t="s">
        <v>2105</v>
      </c>
      <c r="S231" s="387" t="s">
        <v>1056</v>
      </c>
    </row>
    <row r="232" spans="1:35" ht="157.5">
      <c r="A232" s="387" t="b">
        <v>1</v>
      </c>
      <c r="B232" s="387">
        <f t="shared" ca="1" si="44"/>
        <v>7</v>
      </c>
      <c r="C232" s="387" t="s">
        <v>2468</v>
      </c>
      <c r="D232" s="389">
        <v>62.072289156626503</v>
      </c>
      <c r="E232" s="390">
        <v>2075</v>
      </c>
      <c r="F232" s="390">
        <v>1288</v>
      </c>
      <c r="G232" s="391" t="s">
        <v>2337</v>
      </c>
      <c r="H232" s="391" t="s">
        <v>2187</v>
      </c>
      <c r="I232" s="387">
        <f t="shared" ca="1" si="45"/>
        <v>2</v>
      </c>
      <c r="J232" s="400" t="s">
        <v>2188</v>
      </c>
      <c r="K232" s="392">
        <v>5</v>
      </c>
      <c r="L232" s="391"/>
      <c r="M232" s="387" t="s">
        <v>894</v>
      </c>
      <c r="N232" s="387" t="s">
        <v>781</v>
      </c>
      <c r="O232" s="387" t="s">
        <v>324</v>
      </c>
      <c r="P232" s="391" t="s">
        <v>895</v>
      </c>
      <c r="Q232" s="387" t="s">
        <v>325</v>
      </c>
      <c r="R232" s="387" t="s">
        <v>2105</v>
      </c>
      <c r="S232" s="387" t="s">
        <v>896</v>
      </c>
    </row>
    <row r="233" spans="1:35" ht="126">
      <c r="A233" s="387" t="b">
        <v>1</v>
      </c>
      <c r="B233" s="387">
        <f t="shared" ca="1" si="44"/>
        <v>7</v>
      </c>
      <c r="C233" s="387" t="s">
        <v>2469</v>
      </c>
      <c r="D233" s="389">
        <v>59.600614439324097</v>
      </c>
      <c r="E233" s="390">
        <v>651</v>
      </c>
      <c r="F233" s="390">
        <v>388</v>
      </c>
      <c r="G233" s="391" t="s">
        <v>2337</v>
      </c>
      <c r="H233" s="391" t="s">
        <v>2187</v>
      </c>
      <c r="I233" s="387">
        <f t="shared" ca="1" si="45"/>
        <v>2</v>
      </c>
      <c r="J233" s="400" t="s">
        <v>2189</v>
      </c>
      <c r="K233" s="392">
        <v>6</v>
      </c>
      <c r="L233" s="391"/>
      <c r="M233" s="387" t="s">
        <v>898</v>
      </c>
      <c r="N233" s="387" t="s">
        <v>781</v>
      </c>
      <c r="O233" s="387" t="s">
        <v>324</v>
      </c>
      <c r="P233" s="391" t="s">
        <v>899</v>
      </c>
      <c r="Q233" s="387" t="s">
        <v>325</v>
      </c>
      <c r="R233" s="387" t="s">
        <v>2105</v>
      </c>
      <c r="S233" s="387" t="s">
        <v>900</v>
      </c>
    </row>
    <row r="234" spans="1:35" ht="126">
      <c r="A234" s="387" t="b">
        <v>1</v>
      </c>
      <c r="B234" s="387">
        <f t="shared" ca="1" si="44"/>
        <v>7</v>
      </c>
      <c r="C234" s="387" t="s">
        <v>2470</v>
      </c>
      <c r="D234" s="389">
        <v>70.4444444444444</v>
      </c>
      <c r="E234" s="390">
        <v>4050</v>
      </c>
      <c r="F234" s="390">
        <v>2853</v>
      </c>
      <c r="G234" s="391" t="s">
        <v>2337</v>
      </c>
      <c r="H234" s="391" t="s">
        <v>2187</v>
      </c>
      <c r="I234" s="387">
        <f t="shared" ca="1" si="45"/>
        <v>2</v>
      </c>
      <c r="J234" s="400" t="s">
        <v>2190</v>
      </c>
      <c r="K234" s="392">
        <v>7</v>
      </c>
      <c r="L234" s="391"/>
      <c r="M234" s="387" t="s">
        <v>902</v>
      </c>
      <c r="N234" s="387" t="s">
        <v>781</v>
      </c>
      <c r="O234" s="387" t="s">
        <v>324</v>
      </c>
      <c r="P234" s="391" t="s">
        <v>903</v>
      </c>
      <c r="Q234" s="387" t="s">
        <v>325</v>
      </c>
      <c r="R234" s="387" t="s">
        <v>2105</v>
      </c>
      <c r="S234" s="387" t="s">
        <v>904</v>
      </c>
    </row>
    <row r="235" spans="1:35" ht="126">
      <c r="A235" s="387" t="b">
        <v>1</v>
      </c>
      <c r="B235" s="387">
        <f t="shared" ca="1" si="44"/>
        <v>7</v>
      </c>
      <c r="C235" s="387" t="s">
        <v>2471</v>
      </c>
      <c r="D235" s="389">
        <v>50.6</v>
      </c>
      <c r="E235" s="390"/>
      <c r="F235" s="390"/>
      <c r="G235" s="391" t="s">
        <v>2337</v>
      </c>
      <c r="H235" s="391" t="s">
        <v>2187</v>
      </c>
      <c r="I235" s="387">
        <f t="shared" ca="1" si="45"/>
        <v>2</v>
      </c>
      <c r="J235" s="400" t="s">
        <v>2191</v>
      </c>
      <c r="K235" s="392">
        <v>8</v>
      </c>
      <c r="L235" s="391"/>
      <c r="M235" s="387" t="s">
        <v>906</v>
      </c>
      <c r="N235" s="387" t="s">
        <v>781</v>
      </c>
      <c r="O235" s="387" t="s">
        <v>324</v>
      </c>
      <c r="P235" s="391" t="s">
        <v>907</v>
      </c>
      <c r="Q235" s="387" t="s">
        <v>325</v>
      </c>
      <c r="R235" s="387" t="s">
        <v>2105</v>
      </c>
      <c r="S235" s="387" t="s">
        <v>908</v>
      </c>
    </row>
    <row r="236" spans="1:35" ht="94.5">
      <c r="A236" s="387" t="b">
        <v>1</v>
      </c>
      <c r="B236" s="387">
        <f t="shared" ca="1" si="44"/>
        <v>7</v>
      </c>
      <c r="C236" s="387" t="s">
        <v>2472</v>
      </c>
      <c r="D236" s="389">
        <v>84.873271825612903</v>
      </c>
      <c r="E236" s="390">
        <v>541829</v>
      </c>
      <c r="F236" s="390">
        <v>459868</v>
      </c>
      <c r="G236" s="391" t="s">
        <v>2328</v>
      </c>
      <c r="H236" s="391" t="s">
        <v>2192</v>
      </c>
      <c r="I236" s="387">
        <f t="shared" ca="1" si="45"/>
        <v>2</v>
      </c>
      <c r="J236" s="400" t="s">
        <v>2193</v>
      </c>
      <c r="K236" s="392">
        <v>9</v>
      </c>
      <c r="L236" s="391"/>
      <c r="M236" s="387" t="s">
        <v>918</v>
      </c>
      <c r="N236" s="387" t="s">
        <v>781</v>
      </c>
      <c r="O236" s="387" t="s">
        <v>324</v>
      </c>
      <c r="P236" s="391" t="s">
        <v>919</v>
      </c>
      <c r="Q236" s="387" t="s">
        <v>325</v>
      </c>
      <c r="R236" s="387" t="s">
        <v>2105</v>
      </c>
      <c r="S236" s="387" t="s">
        <v>921</v>
      </c>
    </row>
    <row r="237" spans="1:35" ht="157.5">
      <c r="A237" s="387" t="b">
        <v>1</v>
      </c>
      <c r="B237" s="387">
        <f t="shared" ca="1" si="44"/>
        <v>7</v>
      </c>
      <c r="C237" s="387" t="s">
        <v>2473</v>
      </c>
      <c r="D237" s="389">
        <v>73.0125444946149</v>
      </c>
      <c r="E237" s="390">
        <v>541829</v>
      </c>
      <c r="F237" s="390">
        <v>395603.13970972702</v>
      </c>
      <c r="G237" s="391" t="s">
        <v>2337</v>
      </c>
      <c r="H237" s="391" t="s">
        <v>2192</v>
      </c>
      <c r="I237" s="387">
        <f t="shared" ca="1" si="45"/>
        <v>2</v>
      </c>
      <c r="J237" s="400" t="s">
        <v>2194</v>
      </c>
      <c r="K237" s="392">
        <v>10</v>
      </c>
      <c r="L237" s="391"/>
      <c r="M237" s="387" t="s">
        <v>927</v>
      </c>
      <c r="N237" s="387" t="s">
        <v>781</v>
      </c>
      <c r="O237" s="387" t="s">
        <v>324</v>
      </c>
      <c r="P237" s="391" t="s">
        <v>928</v>
      </c>
      <c r="Q237" s="387" t="s">
        <v>325</v>
      </c>
      <c r="R237" s="387" t="s">
        <v>2105</v>
      </c>
      <c r="S237" s="387" t="s">
        <v>929</v>
      </c>
    </row>
    <row r="238" spans="1:35" ht="126">
      <c r="A238" s="387" t="b">
        <v>1</v>
      </c>
      <c r="B238" s="387">
        <f t="shared" ca="1" si="44"/>
        <v>7</v>
      </c>
      <c r="C238" s="387" t="s">
        <v>2474</v>
      </c>
      <c r="D238" s="389"/>
      <c r="E238" s="390"/>
      <c r="F238" s="390"/>
      <c r="G238" s="391"/>
      <c r="H238" s="391" t="s">
        <v>2195</v>
      </c>
      <c r="I238" s="387">
        <f t="shared" ca="1" si="45"/>
        <v>2</v>
      </c>
      <c r="J238" s="400" t="s">
        <v>2196</v>
      </c>
      <c r="K238" s="392">
        <v>11</v>
      </c>
      <c r="L238" s="391"/>
      <c r="M238" s="387" t="s">
        <v>948</v>
      </c>
      <c r="N238" s="387" t="s">
        <v>781</v>
      </c>
      <c r="O238" s="387" t="s">
        <v>324</v>
      </c>
      <c r="P238" s="391" t="s">
        <v>949</v>
      </c>
      <c r="Q238" s="387" t="s">
        <v>325</v>
      </c>
      <c r="R238" s="387" t="s">
        <v>2105</v>
      </c>
      <c r="S238" s="387" t="s">
        <v>950</v>
      </c>
    </row>
    <row r="239" spans="1:35" ht="141.75">
      <c r="A239" s="387" t="b">
        <v>1</v>
      </c>
      <c r="B239" s="387">
        <f t="shared" ca="1" si="44"/>
        <v>7</v>
      </c>
      <c r="C239" s="387" t="s">
        <v>2475</v>
      </c>
      <c r="D239" s="389"/>
      <c r="E239" s="390"/>
      <c r="F239" s="390"/>
      <c r="G239" s="391"/>
      <c r="H239" s="391" t="s">
        <v>2195</v>
      </c>
      <c r="I239" s="387">
        <f t="shared" ca="1" si="45"/>
        <v>2</v>
      </c>
      <c r="J239" s="400" t="s">
        <v>2197</v>
      </c>
      <c r="K239" s="392">
        <v>12</v>
      </c>
      <c r="L239" s="391"/>
      <c r="M239" s="387" t="s">
        <v>952</v>
      </c>
      <c r="N239" s="387" t="s">
        <v>781</v>
      </c>
      <c r="O239" s="387" t="s">
        <v>324</v>
      </c>
      <c r="P239" s="391" t="s">
        <v>953</v>
      </c>
      <c r="Q239" s="387" t="s">
        <v>325</v>
      </c>
      <c r="R239" s="387" t="s">
        <v>2105</v>
      </c>
      <c r="S239" s="387" t="s">
        <v>954</v>
      </c>
    </row>
    <row r="240" spans="1:35" ht="141.75">
      <c r="A240" s="387" t="b">
        <v>1</v>
      </c>
      <c r="B240" s="387">
        <f t="shared" ca="1" si="44"/>
        <v>7</v>
      </c>
      <c r="C240" s="387" t="s">
        <v>2476</v>
      </c>
      <c r="D240" s="389"/>
      <c r="E240" s="390"/>
      <c r="F240" s="390"/>
      <c r="G240" s="391"/>
      <c r="H240" s="391" t="s">
        <v>2195</v>
      </c>
      <c r="I240" s="387">
        <f t="shared" ca="1" si="45"/>
        <v>2</v>
      </c>
      <c r="J240" s="400" t="s">
        <v>2197</v>
      </c>
      <c r="K240" s="392">
        <v>13</v>
      </c>
      <c r="L240" s="391"/>
      <c r="M240" s="387" t="s">
        <v>956</v>
      </c>
      <c r="N240" s="387" t="s">
        <v>781</v>
      </c>
      <c r="O240" s="387" t="s">
        <v>324</v>
      </c>
      <c r="P240" s="391" t="s">
        <v>957</v>
      </c>
      <c r="Q240" s="387" t="s">
        <v>325</v>
      </c>
      <c r="R240" s="387" t="s">
        <v>2105</v>
      </c>
      <c r="S240" s="387" t="s">
        <v>958</v>
      </c>
    </row>
    <row r="241" spans="1:19" ht="141.75">
      <c r="A241" s="387" t="b">
        <v>1</v>
      </c>
      <c r="B241" s="387">
        <f t="shared" ca="1" si="44"/>
        <v>7</v>
      </c>
      <c r="C241" s="387" t="s">
        <v>2477</v>
      </c>
      <c r="D241" s="389"/>
      <c r="E241" s="390"/>
      <c r="F241" s="390"/>
      <c r="G241" s="391"/>
      <c r="H241" s="391" t="s">
        <v>2195</v>
      </c>
      <c r="I241" s="387">
        <f t="shared" ca="1" si="45"/>
        <v>2</v>
      </c>
      <c r="J241" s="400" t="s">
        <v>2197</v>
      </c>
      <c r="K241" s="392">
        <v>14</v>
      </c>
      <c r="L241" s="391"/>
      <c r="M241" s="387" t="s">
        <v>960</v>
      </c>
      <c r="N241" s="387" t="s">
        <v>781</v>
      </c>
      <c r="O241" s="387" t="s">
        <v>324</v>
      </c>
      <c r="P241" s="391" t="s">
        <v>961</v>
      </c>
      <c r="Q241" s="387" t="s">
        <v>325</v>
      </c>
      <c r="R241" s="387" t="s">
        <v>2105</v>
      </c>
      <c r="S241" s="387" t="s">
        <v>962</v>
      </c>
    </row>
    <row r="242" spans="1:19" ht="346.5">
      <c r="A242" s="387" t="b">
        <v>1</v>
      </c>
      <c r="B242" s="387">
        <f t="shared" ca="1" si="44"/>
        <v>7</v>
      </c>
      <c r="C242" s="387" t="s">
        <v>2478</v>
      </c>
      <c r="D242" s="389"/>
      <c r="E242" s="390"/>
      <c r="F242" s="390">
        <v>93041</v>
      </c>
      <c r="G242" s="391" t="s">
        <v>2328</v>
      </c>
      <c r="H242" s="391" t="s">
        <v>2199</v>
      </c>
      <c r="I242" s="387">
        <f t="shared" ca="1" si="45"/>
        <v>2</v>
      </c>
      <c r="J242" s="400" t="s">
        <v>2200</v>
      </c>
      <c r="K242" s="392">
        <v>15</v>
      </c>
      <c r="L242" s="391" t="s">
        <v>2198</v>
      </c>
      <c r="M242" s="387"/>
      <c r="N242" s="387" t="s">
        <v>781</v>
      </c>
      <c r="O242" s="387" t="s">
        <v>324</v>
      </c>
      <c r="P242" s="391" t="s">
        <v>2198</v>
      </c>
      <c r="Q242" s="387" t="s">
        <v>325</v>
      </c>
      <c r="R242" s="387" t="s">
        <v>2105</v>
      </c>
      <c r="S242" s="387"/>
    </row>
    <row r="243" spans="1:19">
      <c r="A243" s="387" t="b">
        <f t="shared" ref="A243:A257" ca="1" si="46">IF(OR(L243&lt;&gt;"",M243&lt;&gt;""),TRUE,FALSE)</f>
        <v>1</v>
      </c>
      <c r="B243" s="387">
        <f t="shared" ca="1" si="44"/>
        <v>9</v>
      </c>
      <c r="C243" s="396" t="str">
        <f ca="1">IFERROR(IF(AND(I243=2,B243=7),"blank",INDEX(C$226:C243,I243,1)),"")</f>
        <v>a1XDm000000GpaBMAS</v>
      </c>
      <c r="D243" s="389">
        <f t="shared" ref="D243:D257" ca="1" si="47">IFERROR(IF(INDIRECT("'Outcome Indicators - Section C '!E"&amp;$B243)="","",INDIRECT("'Outcome Indicators - Section C '!E"&amp;$B243)*100),"")</f>
        <v>70</v>
      </c>
      <c r="E243" s="390" t="str">
        <f t="shared" ref="E243:E257" ca="1" si="48">IFERROR(IF(INDIRECT("'Outcome Indicators - Section C '!D"&amp;$B243+1)="","",INDIRECT("'Outcome Indicators - Section C '!D"&amp;$B243+1)),"")</f>
        <v/>
      </c>
      <c r="F243" s="390" t="str">
        <f t="shared" ref="F243:F257" ca="1" si="49">IFERROR(IF(INDIRECT("'Outcome Indicators - Section C '!D"&amp;$B243)="","",INDIRECT("'Outcome Indicators - Section C '!D"&amp;$B243)),"")</f>
        <v/>
      </c>
      <c r="G243" s="391">
        <f t="shared" ref="G243:G257" ca="1" si="50">IFERROR(IF(INDIRECT("'Outcome Indicators - Section C '!F"&amp;$B243)=0,"",INDIRECT("'Outcome Indicators - Section C '!F"&amp;$B243)),"")</f>
        <v>2021</v>
      </c>
      <c r="H243" s="391" t="str">
        <f t="shared" ref="H243:H257" ca="1" si="51">IFERROR(IF(INDIRECT("'Outcome Indicators - Section C '!G"&amp;$B243)="","",INDIRECT("'Outcome Indicators - Section C '!G"&amp;$B243)),"")</f>
        <v>WHO TB Global Report 2022</v>
      </c>
      <c r="I243" s="387">
        <f t="shared" ca="1" si="45"/>
        <v>3</v>
      </c>
      <c r="J243" s="391" t="str">
        <f t="shared" ref="J243:J257" ca="1" si="52">IFERROR(IF(INDIRECT("'Outcome Indicators - Section C '!AA"&amp;$B243)="","",INDIRECT("'Outcome Indicators - Section C '!AA"&amp;$B243)),"")</f>
        <v>The increase in TB coverage (or detection rate) has evolved by an average of 4% between 2015 and 2021. In 2022, despite the significant jump in case notification with 30,364 additional cases compared to 2021, the base population used did not reflect the program's treatment coverage efforts. In fact, the population used by WHO was lower than the INS population (a gap of 8,448,783 in 2021). Based on these arguments, the country has applied in the NSP an increase in coverage of 4% in 2023 and 2024, and 6% in 2025 and 2026. Thus, the coverage rate provided for in the NSP is 80% in 2024, 86% in 2025 and 92% in 2026.</v>
      </c>
      <c r="K243" s="392">
        <f t="shared" ref="K243:K257" si="53">IF(K242=15,1,K242+1)</f>
        <v>1</v>
      </c>
      <c r="L243" s="391" t="str">
        <f t="shared" ref="L243:L257" ca="1" si="54">IFERROR(IF(INDIRECT("'Outcome Indicators - Section C '!C"&amp;$B243)=0,"",INDIRECT("'Outcome Indicators - Section C '!C"&amp;$B243)),"")</f>
        <v/>
      </c>
      <c r="M243" s="387" t="str">
        <f t="array" aca="1" ref="M243" ca="1">IFERROR(VLOOKUP(LEFT(INDIRECT("'Outcome Indicators - Section C '!B"&amp;$B243),255),LEFT('Reference Records'!$C$26:$L$82,255),10,0),"")</f>
        <v>IOR-00198</v>
      </c>
      <c r="N243" s="387" t="str">
        <f t="shared" ref="N243:N257" ca="1" si="55">IFERROR(IF(INDIRECT("'Outcome Indicators - Section C '!j"&amp;$B243)=0,"",INDIRECT("'Outcome Indicators - Section C '!j"&amp;$B243)),"")</f>
        <v>Congo (Democratic Republic)</v>
      </c>
      <c r="O243" s="387" t="str">
        <f ca="1">IFERROR(VLOOKUP(INDIRECT("'Outcome Indicators - Section C '!I"&amp;$B243),'Overview - Section A'!M$31:P57,4,0),IFERROR(VLOOKUP(INDIRECT("'Outcome Indicators - Section C '!I"&amp;$B243),'Overview - Section A'!E$27:I46,5,0),""))</f>
        <v>a12Dm000000cC1cIAE</v>
      </c>
      <c r="P243" s="391"/>
      <c r="Q243" s="387"/>
      <c r="R243" s="387" t="str" cm="1">
        <f t="array" aca="1" ref="R243" ca="1">IFERROR(IF(INDIRECT("'Outcome Indicators - Section C '!BX"&amp;$B243)=0,"",INDIRECT("'Outcome Indicators - Section C '!BX"&amp;$B243)),"")</f>
        <v>a1A360000013M2uEAE</v>
      </c>
      <c r="S243" s="387" t="str" cm="1">
        <f t="array" aca="1" ref="S243" ca="1">IFERROR(IF(INDIRECT("'Outcome Indicators - Section C '!BY"&amp;$B243)=0,"",INDIRECT("'Outcome Indicators - Section C '!BY"&amp;$B243)),"")</f>
        <v>a1JDm000000k9cVMAQ</v>
      </c>
    </row>
    <row r="244" spans="1:19">
      <c r="A244" s="387" t="b">
        <f t="shared" ca="1" si="46"/>
        <v>1</v>
      </c>
      <c r="B244" s="387">
        <f t="shared" ca="1" si="44"/>
        <v>11</v>
      </c>
      <c r="C244" s="396" t="str">
        <f ca="1">IFERROR(IF(AND(I244=2,B244=7),"blank",INDEX(C$226:C244,I244,1)),"")</f>
        <v>a1XDm000000GpaCMAS</v>
      </c>
      <c r="D244" s="389">
        <f t="shared" ca="1" si="47"/>
        <v>94</v>
      </c>
      <c r="E244" s="390" t="str">
        <f t="shared" ca="1" si="48"/>
        <v/>
      </c>
      <c r="F244" s="390" t="str">
        <f t="shared" ca="1" si="49"/>
        <v/>
      </c>
      <c r="G244" s="391">
        <f t="shared" ca="1" si="50"/>
        <v>2021</v>
      </c>
      <c r="H244" s="391" t="str">
        <f t="shared" ca="1" si="51"/>
        <v>WHO TB Global Report 2022</v>
      </c>
      <c r="I244" s="387">
        <f t="shared" ca="1" si="45"/>
        <v>4</v>
      </c>
      <c r="J244" s="391" t="str">
        <f t="shared" ca="1" si="52"/>
        <v>The country has reported a 94% treatment success rate for susceptible TB. The efforts made in this application with the choice of a patient-centered approach, community involvement and decentralization of services will allow the country to reach at least the 95% therapeutic success rate of 2024-2026. (NSP Targets)</v>
      </c>
      <c r="K244" s="392">
        <f t="shared" si="53"/>
        <v>2</v>
      </c>
      <c r="L244" s="391" t="str">
        <f t="shared" ca="1" si="54"/>
        <v/>
      </c>
      <c r="M244" s="387" t="str">
        <f t="array" aca="1" ref="M244" ca="1">IFERROR(VLOOKUP(LEFT(INDIRECT("'Outcome Indicators - Section C '!B"&amp;$B244),255),LEFT('Reference Records'!$C$26:$L$82,255),10,0),"")</f>
        <v>IOR-00199</v>
      </c>
      <c r="N244" s="387" t="str">
        <f t="shared" ca="1" si="55"/>
        <v>Congo (Democratic Republic)</v>
      </c>
      <c r="O244" s="387" t="str">
        <f ca="1">IFERROR(VLOOKUP(INDIRECT("'Outcome Indicators - Section C '!I"&amp;$B244),'Overview - Section A'!M$31:P58,4,0),IFERROR(VLOOKUP(INDIRECT("'Outcome Indicators - Section C '!I"&amp;$B244),'Overview - Section A'!E$27:I47,5,0),""))</f>
        <v>a12Dm000000cC1cIAE</v>
      </c>
      <c r="P244" s="391"/>
      <c r="Q244" s="387"/>
      <c r="R244" s="387" t="str" cm="1">
        <f t="array" aca="1" ref="R244" ca="1">IFERROR(IF(INDIRECT("'Outcome Indicators - Section C '!BX"&amp;$B244)=0,"",INDIRECT("'Outcome Indicators - Section C '!BX"&amp;$B244)),"")</f>
        <v>a1A360000013M2uEAE</v>
      </c>
      <c r="S244" s="387" t="str" cm="1">
        <f t="array" aca="1" ref="S244" ca="1">IFERROR(IF(INDIRECT("'Outcome Indicators - Section C '!BY"&amp;$B244)=0,"",INDIRECT("'Outcome Indicators - Section C '!BY"&amp;$B244)),"")</f>
        <v>a1JDm000000k9cWMAQ</v>
      </c>
    </row>
    <row r="245" spans="1:19">
      <c r="A245" s="387" t="b">
        <f t="shared" ca="1" si="46"/>
        <v>1</v>
      </c>
      <c r="B245" s="387">
        <f t="shared" ca="1" si="44"/>
        <v>13</v>
      </c>
      <c r="C245" s="396" t="str">
        <f ca="1">IFERROR(IF(AND(I245=2,B245=7),"blank",INDEX(C$226:C245,I245,1)),"")</f>
        <v>a1XDm000000GpaDMAS</v>
      </c>
      <c r="D245" s="389">
        <f t="shared" ca="1" si="47"/>
        <v>19</v>
      </c>
      <c r="E245" s="390" t="str">
        <f t="shared" ca="1" si="48"/>
        <v/>
      </c>
      <c r="F245" s="390" t="str">
        <f t="shared" ca="1" si="49"/>
        <v/>
      </c>
      <c r="G245" s="391">
        <f t="shared" ca="1" si="50"/>
        <v>2021</v>
      </c>
      <c r="H245" s="391" t="str">
        <f t="shared" ca="1" si="51"/>
        <v>WHO TB Global Report 2022</v>
      </c>
      <c r="I245" s="387">
        <f t="shared" ca="1" si="45"/>
        <v>5</v>
      </c>
      <c r="J245" s="391" t="str">
        <f t="shared" ca="1" si="52"/>
        <v>Apart from the WHO TB-PR targets expected in the country, the NTP has calculated the number of cases expected among the notified cases. This calculation takes into account the prevalence of MDR-TB resistance among new cases (1.6%) and retreatments (20%) and the strategy of universal screening using rifampicin resistance diagnostic tests such as GeneXpert. This trend will be maintained by the NTP until the results of the drug resistance survey are available in 2023. The laboratory results showed that the Xpert test was widely used for reprocessing (81% in 2021). For new cases, the rate of Xpert testing has steadily increased from 9.1% in 2020 to 22% in 2021 (WHO Global TB report 2022). Following this reasoning, the expected number of PR-TB cases among notified cases would be 3547 in 2024, 3981 in 2025, and 4515 in 2026. The results of the NTP showed a capacity to cover 44.3% of the identified MDR-TB cases among notified patients in 2021 (NC + retreatment). With the activities of the MDR-TB acceleration plan, the Xpert test in 1st line and the Xpert testing strategy for all detected TB+ cases, an annual progression of 10% is expected to reach in 2026 90% of MDR-TB cases identified among notified cases. These targets are aligned with those of the performance framework of the new NSP.</v>
      </c>
      <c r="K245" s="392">
        <f t="shared" si="53"/>
        <v>3</v>
      </c>
      <c r="L245" s="391" t="str">
        <f t="shared" ca="1" si="54"/>
        <v/>
      </c>
      <c r="M245" s="387" t="str">
        <f t="array" aca="1" ref="M245" ca="1">IFERROR(VLOOKUP(LEFT(INDIRECT("'Outcome Indicators - Section C '!B"&amp;$B245),255),LEFT('Reference Records'!$C$26:$L$82,255),10,0),"")</f>
        <v>IOR-00200</v>
      </c>
      <c r="N245" s="387" t="str">
        <f t="shared" ca="1" si="55"/>
        <v>Congo (Democratic Republic)</v>
      </c>
      <c r="O245" s="387" t="str">
        <f ca="1">IFERROR(VLOOKUP(INDIRECT("'Outcome Indicators - Section C '!I"&amp;$B245),'Overview - Section A'!M$31:P59,4,0),IFERROR(VLOOKUP(INDIRECT("'Outcome Indicators - Section C '!I"&amp;$B245),'Overview - Section A'!E$27:I48,5,0),""))</f>
        <v>a12Dm000000cC1cIAE</v>
      </c>
      <c r="P245" s="391"/>
      <c r="Q245" s="387"/>
      <c r="R245" s="387" t="str" cm="1">
        <f t="array" aca="1" ref="R245" ca="1">IFERROR(IF(INDIRECT("'Outcome Indicators - Section C '!BX"&amp;$B245)=0,"",INDIRECT("'Outcome Indicators - Section C '!BX"&amp;$B245)),"")</f>
        <v>a1A360000013M2uEAE</v>
      </c>
      <c r="S245" s="387" t="str" cm="1">
        <f t="array" aca="1" ref="S245" ca="1">IFERROR(IF(INDIRECT("'Outcome Indicators - Section C '!BY"&amp;$B245)=0,"",INDIRECT("'Outcome Indicators - Section C '!BY"&amp;$B245)),"")</f>
        <v>a1JDm000000k9cXMAQ</v>
      </c>
    </row>
    <row r="246" spans="1:19">
      <c r="A246" s="387" t="b">
        <f t="shared" ca="1" si="46"/>
        <v>1</v>
      </c>
      <c r="B246" s="387">
        <f t="shared" ca="1" si="44"/>
        <v>15</v>
      </c>
      <c r="C246" s="396" t="str">
        <f ca="1">IFERROR(IF(AND(I246=2,B246=7),"blank",INDEX(C$226:C246,I246,1)),"")</f>
        <v>a1XDm000000GpaEMAS</v>
      </c>
      <c r="D246" s="389">
        <f t="shared" ca="1" si="47"/>
        <v>80</v>
      </c>
      <c r="E246" s="390" t="str">
        <f t="shared" ca="1" si="48"/>
        <v/>
      </c>
      <c r="F246" s="390" t="str">
        <f t="shared" ca="1" si="49"/>
        <v/>
      </c>
      <c r="G246" s="391">
        <f t="shared" ca="1" si="50"/>
        <v>2021</v>
      </c>
      <c r="H246" s="391" t="str">
        <f t="shared" ca="1" si="51"/>
        <v>WHO TB Global Report 2022</v>
      </c>
      <c r="I246" s="387">
        <f t="shared" ca="1" si="45"/>
        <v>6</v>
      </c>
      <c r="J246" s="391" t="str">
        <f t="shared" ca="1" si="52"/>
        <v>The country reports for the 2019 cohort a treatment success rate of 83% for MDR-TB patients put on treatment (80% for detected cases). the efforts made in this application with the choice of a patient-centered approach to MDR-TB, the expansion of the use of the new BPaL/BPaLM regimen, community involvement and the decentralization of services will enable the country to reach at least the 85% treatment success rate by 2024-2026. (NSP Target)</v>
      </c>
      <c r="K246" s="392">
        <f t="shared" si="53"/>
        <v>4</v>
      </c>
      <c r="L246" s="391" t="str">
        <f t="shared" ca="1" si="54"/>
        <v/>
      </c>
      <c r="M246" s="387" t="str">
        <f t="array" aca="1" ref="M246" ca="1">IFERROR(VLOOKUP(LEFT(INDIRECT("'Outcome Indicators - Section C '!B"&amp;$B246),255),LEFT('Reference Records'!$C$26:$L$82,255),10,0),"")</f>
        <v>IOR-00201</v>
      </c>
      <c r="N246" s="387" t="str">
        <f t="shared" ca="1" si="55"/>
        <v>Congo (Democratic Republic)</v>
      </c>
      <c r="O246" s="387" t="str">
        <f ca="1">IFERROR(VLOOKUP(INDIRECT("'Outcome Indicators - Section C '!I"&amp;$B246),'Overview - Section A'!M$31:P60,4,0),IFERROR(VLOOKUP(INDIRECT("'Outcome Indicators - Section C '!I"&amp;$B246),'Overview - Section A'!E$27:I49,5,0),""))</f>
        <v>a12Dm000000cC1cIAE</v>
      </c>
      <c r="P246" s="391"/>
      <c r="Q246" s="387"/>
      <c r="R246" s="387" t="str" cm="1">
        <f t="array" aca="1" ref="R246" ca="1">IFERROR(IF(INDIRECT("'Outcome Indicators - Section C '!BX"&amp;$B246)=0,"",INDIRECT("'Outcome Indicators - Section C '!BX"&amp;$B246)),"")</f>
        <v>a1A360000013M2uEAE</v>
      </c>
      <c r="S246" s="387" t="str" cm="1">
        <f t="array" aca="1" ref="S246" ca="1">IFERROR(IF(INDIRECT("'Outcome Indicators - Section C '!BY"&amp;$B246)=0,"",INDIRECT("'Outcome Indicators - Section C '!BY"&amp;$B246)),"")</f>
        <v>a1JDm000000k9cYMAQ</v>
      </c>
    </row>
    <row r="247" spans="1:19">
      <c r="A247" s="387" t="b">
        <f t="shared" ca="1" si="46"/>
        <v>1</v>
      </c>
      <c r="B247" s="387">
        <f t="shared" ca="1" si="44"/>
        <v>17</v>
      </c>
      <c r="C247" s="396" t="str">
        <f ca="1">IFERROR(IF(AND(I247=2,B247=7),"blank",INDEX(C$226:C247,I247,1)),"")</f>
        <v>a1XDm000000GpaFMAS</v>
      </c>
      <c r="D247" s="389">
        <f t="shared" ca="1" si="47"/>
        <v>62.072289156626503</v>
      </c>
      <c r="E247" s="390">
        <f t="shared" ca="1" si="48"/>
        <v>2075</v>
      </c>
      <c r="F247" s="390">
        <f t="shared" ca="1" si="49"/>
        <v>1288</v>
      </c>
      <c r="G247" s="391">
        <f t="shared" ca="1" si="50"/>
        <v>2022</v>
      </c>
      <c r="H247" s="391" t="str">
        <f t="shared" ca="1" si="51"/>
        <v>Mapping report and key population estimates</v>
      </c>
      <c r="I247" s="387">
        <f t="shared" ca="1" si="45"/>
        <v>7</v>
      </c>
      <c r="J247" s="391" t="str">
        <f t="shared" ca="1" si="52"/>
        <v>N: Number of men who have sex with men who reported using a condom the last time they had anal sex
D: Number of men who have sex with men who reported having anal sex with a male partner in the last six months 
The survey will be conducted in 2024 and the results will be published in 2025. The survey report will be submitted in February 2025.</v>
      </c>
      <c r="K247" s="392">
        <f t="shared" si="53"/>
        <v>5</v>
      </c>
      <c r="L247" s="391" t="str">
        <f t="shared" ca="1" si="54"/>
        <v/>
      </c>
      <c r="M247" s="387" t="str">
        <f t="array" aca="1" ref="M247" ca="1">IFERROR(VLOOKUP(LEFT(INDIRECT("'Outcome Indicators - Section C '!B"&amp;$B247),255),LEFT('Reference Records'!$C$26:$L$82,255),10,0),"")</f>
        <v>IOR-00171</v>
      </c>
      <c r="N247" s="387" t="str">
        <f t="shared" ca="1" si="55"/>
        <v>Congo (Democratic Republic)</v>
      </c>
      <c r="O247" s="387" t="str">
        <f ca="1">IFERROR(VLOOKUP(INDIRECT("'Outcome Indicators - Section C '!I"&amp;$B247),'Overview - Section A'!M$31:P61,4,0),IFERROR(VLOOKUP(INDIRECT("'Outcome Indicators - Section C '!I"&amp;$B247),'Overview - Section A'!E$27:I50,5,0),""))</f>
        <v>a12Dm000000cC1cIAE</v>
      </c>
      <c r="P247" s="391"/>
      <c r="Q247" s="387"/>
      <c r="R247" s="387" t="str" cm="1">
        <f t="array" aca="1" ref="R247" ca="1">IFERROR(IF(INDIRECT("'Outcome Indicators - Section C '!BX"&amp;$B247)=0,"",INDIRECT("'Outcome Indicators - Section C '!BX"&amp;$B247)),"")</f>
        <v>a1A360000013M2uEAE</v>
      </c>
      <c r="S247" s="387" t="str" cm="1">
        <f t="array" aca="1" ref="S247" ca="1">IFERROR(IF(INDIRECT("'Outcome Indicators - Section C '!BY"&amp;$B247)=0,"",INDIRECT("'Outcome Indicators - Section C '!BY"&amp;$B247)),"")</f>
        <v>a1JDm000000k9c4MAA</v>
      </c>
    </row>
    <row r="248" spans="1:19">
      <c r="A248" s="387" t="b">
        <f t="shared" ca="1" si="46"/>
        <v>1</v>
      </c>
      <c r="B248" s="387">
        <f t="shared" ca="1" si="44"/>
        <v>19</v>
      </c>
      <c r="C248" s="396" t="str">
        <f ca="1">IFERROR(IF(AND(I248=2,B248=7),"blank",INDEX(C$226:C248,I248,1)),"")</f>
        <v>a1XDm000000GpaGMAS</v>
      </c>
      <c r="D248" s="389">
        <f t="shared" ca="1" si="47"/>
        <v>59.600614439324119</v>
      </c>
      <c r="E248" s="390">
        <f t="shared" ca="1" si="48"/>
        <v>651</v>
      </c>
      <c r="F248" s="390">
        <f t="shared" ca="1" si="49"/>
        <v>388</v>
      </c>
      <c r="G248" s="391">
        <f t="shared" ca="1" si="50"/>
        <v>2022</v>
      </c>
      <c r="H248" s="391" t="str">
        <f t="shared" ca="1" si="51"/>
        <v>Mapping report and key population estimates</v>
      </c>
      <c r="I248" s="387">
        <f t="shared" ca="1" si="45"/>
        <v>8</v>
      </c>
      <c r="J248" s="391" t="str">
        <f t="shared" ca="1" si="52"/>
        <v>N: Number of transgender people who reported using a condom at last sex or anal sex
D: Number of transgender respondents who reported having sex or anal sex in the past six months
The survey will be conducted in 2024 and the results will be published in 2025. The survey report will be submitted in February 2025.</v>
      </c>
      <c r="K248" s="392">
        <f t="shared" si="53"/>
        <v>6</v>
      </c>
      <c r="L248" s="391" t="str">
        <f t="shared" ca="1" si="54"/>
        <v/>
      </c>
      <c r="M248" s="387" t="str">
        <f t="array" aca="1" ref="M248" ca="1">IFERROR(VLOOKUP(LEFT(INDIRECT("'Outcome Indicators - Section C '!B"&amp;$B248),255),LEFT('Reference Records'!$C$26:$L$82,255),10,0),"")</f>
        <v>IOR-00172</v>
      </c>
      <c r="N248" s="387" t="str">
        <f t="shared" ca="1" si="55"/>
        <v>Congo (Democratic Republic)</v>
      </c>
      <c r="O248" s="387" t="str">
        <f ca="1">IFERROR(VLOOKUP(INDIRECT("'Outcome Indicators - Section C '!I"&amp;$B248),'Overview - Section A'!M$31:P62,4,0),IFERROR(VLOOKUP(INDIRECT("'Outcome Indicators - Section C '!I"&amp;$B248),'Overview - Section A'!E$27:I51,5,0),""))</f>
        <v>a12Dm000000cC1cIAE</v>
      </c>
      <c r="P248" s="391"/>
      <c r="Q248" s="387"/>
      <c r="R248" s="387" t="str" cm="1">
        <f t="array" aca="1" ref="R248" ca="1">IFERROR(IF(INDIRECT("'Outcome Indicators - Section C '!BX"&amp;$B248)=0,"",INDIRECT("'Outcome Indicators - Section C '!BX"&amp;$B248)),"")</f>
        <v>a1A360000013M2uEAE</v>
      </c>
      <c r="S248" s="387" t="str" cm="1">
        <f t="array" aca="1" ref="S248" ca="1">IFERROR(IF(INDIRECT("'Outcome Indicators - Section C '!BY"&amp;$B248)=0,"",INDIRECT("'Outcome Indicators - Section C '!BY"&amp;$B248)),"")</f>
        <v>a1JDm000000k9c5MAA</v>
      </c>
    </row>
    <row r="249" spans="1:19">
      <c r="A249" s="387" t="b">
        <f t="shared" ca="1" si="46"/>
        <v>1</v>
      </c>
      <c r="B249" s="387">
        <f t="shared" ca="1" si="44"/>
        <v>21</v>
      </c>
      <c r="C249" s="396" t="str">
        <f ca="1">IFERROR(IF(AND(I249=2,B249=7),"blank",INDEX(C$226:C249,I249,1)),"")</f>
        <v>a1XDm000000GpaHMAS</v>
      </c>
      <c r="D249" s="389">
        <f t="shared" ca="1" si="47"/>
        <v>70.444444444444443</v>
      </c>
      <c r="E249" s="390">
        <f t="shared" ca="1" si="48"/>
        <v>4050</v>
      </c>
      <c r="F249" s="390">
        <f t="shared" ca="1" si="49"/>
        <v>2853</v>
      </c>
      <c r="G249" s="391">
        <f t="shared" ca="1" si="50"/>
        <v>2022</v>
      </c>
      <c r="H249" s="391" t="str">
        <f t="shared" ca="1" si="51"/>
        <v>Mapping report and key population estimates</v>
      </c>
      <c r="I249" s="387">
        <f t="shared" ca="1" si="45"/>
        <v>9</v>
      </c>
      <c r="J249" s="391" t="str">
        <f t="shared" ca="1" si="52"/>
        <v>N: number of sex workers who reported using a condom with their last client
D: number of sex workers who reported having sex in the last 12 months
The survey will be conducted in 2024 and the results will be published in 2025. The survey report will be submitted in February 2025.</v>
      </c>
      <c r="K249" s="392">
        <f t="shared" si="53"/>
        <v>7</v>
      </c>
      <c r="L249" s="391" t="str">
        <f t="shared" ca="1" si="54"/>
        <v/>
      </c>
      <c r="M249" s="387" t="str">
        <f t="array" aca="1" ref="M249" ca="1">IFERROR(VLOOKUP(LEFT(INDIRECT("'Outcome Indicators - Section C '!B"&amp;$B249),255),LEFT('Reference Records'!$C$26:$L$82,255),10,0),"")</f>
        <v>IOR-00173</v>
      </c>
      <c r="N249" s="387" t="str">
        <f t="shared" ca="1" si="55"/>
        <v>Congo (Democratic Republic)</v>
      </c>
      <c r="O249" s="387" t="str">
        <f ca="1">IFERROR(VLOOKUP(INDIRECT("'Outcome Indicators - Section C '!I"&amp;$B249),'Overview - Section A'!M$31:P63,4,0),IFERROR(VLOOKUP(INDIRECT("'Outcome Indicators - Section C '!I"&amp;$B249),'Overview - Section A'!E$27:I52,5,0),""))</f>
        <v>a12Dm000000cC1cIAE</v>
      </c>
      <c r="P249" s="391"/>
      <c r="Q249" s="387"/>
      <c r="R249" s="387" t="str" cm="1">
        <f t="array" aca="1" ref="R249" ca="1">IFERROR(IF(INDIRECT("'Outcome Indicators - Section C '!BX"&amp;$B249)=0,"",INDIRECT("'Outcome Indicators - Section C '!BX"&amp;$B249)),"")</f>
        <v>a1A360000013M2uEAE</v>
      </c>
      <c r="S249" s="387" t="str" cm="1">
        <f t="array" aca="1" ref="S249" ca="1">IFERROR(IF(INDIRECT("'Outcome Indicators - Section C '!BY"&amp;$B249)=0,"",INDIRECT("'Outcome Indicators - Section C '!BY"&amp;$B249)),"")</f>
        <v>a1JDm000000k9c6MAA</v>
      </c>
    </row>
    <row r="250" spans="1:19">
      <c r="A250" s="387" t="b">
        <f t="shared" ca="1" si="46"/>
        <v>1</v>
      </c>
      <c r="B250" s="387">
        <f t="shared" ca="1" si="44"/>
        <v>23</v>
      </c>
      <c r="C250" s="396" t="str">
        <f ca="1">IFERROR(IF(AND(I250=2,B250=7),"blank",INDEX(C$226:C250,I250,1)),"")</f>
        <v>a1XDm000000GpaIMAS</v>
      </c>
      <c r="D250" s="389">
        <f t="shared" ca="1" si="47"/>
        <v>50.6</v>
      </c>
      <c r="E250" s="390" t="str">
        <f t="shared" ca="1" si="48"/>
        <v/>
      </c>
      <c r="F250" s="390" t="str">
        <f t="shared" ca="1" si="49"/>
        <v/>
      </c>
      <c r="G250" s="391">
        <f t="shared" ca="1" si="50"/>
        <v>2022</v>
      </c>
      <c r="H250" s="391" t="str">
        <f t="shared" ca="1" si="51"/>
        <v>Mapping report and key population estimates</v>
      </c>
      <c r="I250" s="387">
        <f t="shared" ca="1" si="45"/>
        <v>10</v>
      </c>
      <c r="J250" s="391" t="str">
        <f t="shared" ca="1" si="52"/>
        <v>N: Number of people who used a new needle when they last injected the drug during the reporting period
D: Number of people who inject drugs who report injecting during the reporting period
The survey will be conducted in 2024 and the results will be published in 2025. The survey report will be submitted in February 2025.</v>
      </c>
      <c r="K250" s="392">
        <f t="shared" si="53"/>
        <v>8</v>
      </c>
      <c r="L250" s="391" t="str">
        <f t="shared" ca="1" si="54"/>
        <v/>
      </c>
      <c r="M250" s="387" t="str">
        <f t="array" aca="1" ref="M250" ca="1">IFERROR(VLOOKUP(LEFT(INDIRECT("'Outcome Indicators - Section C '!B"&amp;$B250),255),LEFT('Reference Records'!$C$26:$L$82,255),10,0),"")</f>
        <v>IOR-00174</v>
      </c>
      <c r="N250" s="387" t="str">
        <f t="shared" ca="1" si="55"/>
        <v>Congo (Democratic Republic)</v>
      </c>
      <c r="O250" s="387" t="str">
        <f ca="1">IFERROR(VLOOKUP(INDIRECT("'Outcome Indicators - Section C '!I"&amp;$B250),'Overview - Section A'!M$31:P64,4,0),IFERROR(VLOOKUP(INDIRECT("'Outcome Indicators - Section C '!I"&amp;$B250),'Overview - Section A'!E$27:I53,5,0),""))</f>
        <v>a12Dm000000cC1cIAE</v>
      </c>
      <c r="P250" s="391"/>
      <c r="Q250" s="387"/>
      <c r="R250" s="387" t="str" cm="1">
        <f t="array" aca="1" ref="R250" ca="1">IFERROR(IF(INDIRECT("'Outcome Indicators - Section C '!BX"&amp;$B250)=0,"",INDIRECT("'Outcome Indicators - Section C '!BX"&amp;$B250)),"")</f>
        <v>a1A360000013M2uEAE</v>
      </c>
      <c r="S250" s="387" t="str" cm="1">
        <f t="array" aca="1" ref="S250" ca="1">IFERROR(IF(INDIRECT("'Outcome Indicators - Section C '!BY"&amp;$B250)=0,"",INDIRECT("'Outcome Indicators - Section C '!BY"&amp;$B250)),"")</f>
        <v>a1JDm000000k9c7MAA</v>
      </c>
    </row>
    <row r="251" spans="1:19">
      <c r="A251" s="387" t="b">
        <f t="shared" ca="1" si="46"/>
        <v>1</v>
      </c>
      <c r="B251" s="387">
        <f t="shared" ca="1" si="44"/>
        <v>25</v>
      </c>
      <c r="C251" s="396" t="str">
        <f ca="1">IFERROR(IF(AND(I251=2,B251=7),"blank",INDEX(C$226:C251,I251,1)),"")</f>
        <v>a1XDm000000GpaJMAS</v>
      </c>
      <c r="D251" s="389">
        <f t="shared" ca="1" si="47"/>
        <v>84.873271825612875</v>
      </c>
      <c r="E251" s="390">
        <f t="shared" ca="1" si="48"/>
        <v>541829</v>
      </c>
      <c r="F251" s="390">
        <f t="shared" ca="1" si="49"/>
        <v>459868</v>
      </c>
      <c r="G251" s="391">
        <f t="shared" ca="1" si="50"/>
        <v>2021</v>
      </c>
      <c r="H251" s="391" t="str">
        <f t="shared" ca="1" si="51"/>
        <v>HIV program annual report</v>
      </c>
      <c r="I251" s="387">
        <f t="shared" ca="1" si="45"/>
        <v>11</v>
      </c>
      <c r="J251" s="391" t="str">
        <f t="shared" ca="1" si="52"/>
        <v>N: Number of people living with HIV who know their HIV status
D: Number of people living with HIV
The contribution of the GF to knowledge of HIV status will be: 265,893 in 2024; 271,696 in 2025 and 276,573 in 2026.</v>
      </c>
      <c r="K251" s="392">
        <f t="shared" si="53"/>
        <v>9</v>
      </c>
      <c r="L251" s="391" t="str">
        <f t="shared" ca="1" si="54"/>
        <v/>
      </c>
      <c r="M251" s="387" t="str">
        <f t="array" aca="1" ref="M251" ca="1">IFERROR(VLOOKUP(LEFT(INDIRECT("'Outcome Indicators - Section C '!B"&amp;$B251),255),LEFT('Reference Records'!$C$26:$L$82,255),10,0),"")</f>
        <v>IOR-00177</v>
      </c>
      <c r="N251" s="387" t="str">
        <f t="shared" ca="1" si="55"/>
        <v>Congo (Democratic Republic)</v>
      </c>
      <c r="O251" s="387" t="str">
        <f ca="1">IFERROR(VLOOKUP(INDIRECT("'Outcome Indicators - Section C '!I"&amp;$B251),'Overview - Section A'!M$31:P65,4,0),IFERROR(VLOOKUP(INDIRECT("'Outcome Indicators - Section C '!I"&amp;$B251),'Overview - Section A'!E$27:I54,5,0),""))</f>
        <v>a12Dm000000cC1cIAE</v>
      </c>
      <c r="P251" s="391"/>
      <c r="Q251" s="387"/>
      <c r="R251" s="387" t="str" cm="1">
        <f t="array" aca="1" ref="R251" ca="1">IFERROR(IF(INDIRECT("'Outcome Indicators - Section C '!BX"&amp;$B251)=0,"",INDIRECT("'Outcome Indicators - Section C '!BX"&amp;$B251)),"")</f>
        <v>a1A360000013M2uEAE</v>
      </c>
      <c r="S251" s="387" t="str" cm="1">
        <f t="array" aca="1" ref="S251" ca="1">IFERROR(IF(INDIRECT("'Outcome Indicators - Section C '!BY"&amp;$B251)=0,"",INDIRECT("'Outcome Indicators - Section C '!BY"&amp;$B251)),"")</f>
        <v>a1JDm000000k9cAMAQ</v>
      </c>
    </row>
    <row r="252" spans="1:19">
      <c r="A252" s="387" t="b">
        <f t="shared" ca="1" si="46"/>
        <v>1</v>
      </c>
      <c r="B252" s="387">
        <f t="shared" ca="1" si="44"/>
        <v>27</v>
      </c>
      <c r="C252" s="396" t="str">
        <f ca="1">IFERROR(IF(AND(I252=2,B252=7),"blank",INDEX(C$226:C252,I252,1)),"")</f>
        <v>a1XDm000000GpaKMAS</v>
      </c>
      <c r="D252" s="389">
        <f t="shared" ca="1" si="47"/>
        <v>73.0125444946149</v>
      </c>
      <c r="E252" s="390">
        <f t="shared" ca="1" si="48"/>
        <v>541829</v>
      </c>
      <c r="F252" s="390">
        <f t="shared" ca="1" si="49"/>
        <v>395603.13970972702</v>
      </c>
      <c r="G252" s="391">
        <f t="shared" ca="1" si="50"/>
        <v>2022</v>
      </c>
      <c r="H252" s="391" t="str">
        <f t="shared" ca="1" si="51"/>
        <v>HIV program annual report</v>
      </c>
      <c r="I252" s="387">
        <f t="shared" ca="1" si="45"/>
        <v>12</v>
      </c>
      <c r="J252" s="391" t="str">
        <f t="shared" ca="1" si="52"/>
        <v>N: Number of people living with HIV who were started on ART 12 months prior to the start of the reporting period and have suppressed viral load
D: Number of people living with HIV who were started on ART 12 months prior to the beginning of the reporting year
The contribution of the GF to viral load access will be: 79,159 (30%) in 2024; 16,080 (50%) in 2025 and 268,311 (70%) in 2026</v>
      </c>
      <c r="K252" s="392">
        <f t="shared" si="53"/>
        <v>10</v>
      </c>
      <c r="L252" s="391" t="str">
        <f t="shared" ca="1" si="54"/>
        <v/>
      </c>
      <c r="M252" s="387" t="str">
        <f t="array" aca="1" ref="M252" ca="1">IFERROR(VLOOKUP(LEFT(INDIRECT("'Outcome Indicators - Section C '!B"&amp;$B252),255),LEFT('Reference Records'!$C$26:$L$82,255),10,0),"")</f>
        <v>IOR-00179</v>
      </c>
      <c r="N252" s="387" t="str">
        <f t="shared" ca="1" si="55"/>
        <v>Congo (Democratic Republic)</v>
      </c>
      <c r="O252" s="387" t="str">
        <f ca="1">IFERROR(VLOOKUP(INDIRECT("'Outcome Indicators - Section C '!I"&amp;$B252),'Overview - Section A'!M$31:P66,4,0),IFERROR(VLOOKUP(INDIRECT("'Outcome Indicators - Section C '!I"&amp;$B252),'Overview - Section A'!E$27:I55,5,0),""))</f>
        <v>a12Dm000000cC1cIAE</v>
      </c>
      <c r="P252" s="391"/>
      <c r="Q252" s="387"/>
      <c r="R252" s="387" t="str" cm="1">
        <f t="array" aca="1" ref="R252" ca="1">IFERROR(IF(INDIRECT("'Outcome Indicators - Section C '!BX"&amp;$B252)=0,"",INDIRECT("'Outcome Indicators - Section C '!BX"&amp;$B252)),"")</f>
        <v>a1A360000013M2uEAE</v>
      </c>
      <c r="S252" s="387" t="str" cm="1">
        <f t="array" aca="1" ref="S252" ca="1">IFERROR(IF(INDIRECT("'Outcome Indicators - Section C '!BY"&amp;$B252)=0,"",INDIRECT("'Outcome Indicators - Section C '!BY"&amp;$B252)),"")</f>
        <v>a1JDm000000k9cCMAQ</v>
      </c>
    </row>
    <row r="253" spans="1:19">
      <c r="A253" s="387" t="b">
        <f t="shared" ca="1" si="46"/>
        <v>1</v>
      </c>
      <c r="B253" s="387">
        <f t="shared" ca="1" si="44"/>
        <v>29</v>
      </c>
      <c r="C253" s="396" t="str">
        <f ca="1">IFERROR(IF(AND(I253=2,B253=7),"blank",INDEX(C$226:C253,I253,1)),"")</f>
        <v>a1XDm000000GpaLMAS</v>
      </c>
      <c r="D253" s="389" t="str">
        <f t="shared" ca="1" si="47"/>
        <v/>
      </c>
      <c r="E253" s="390" t="str">
        <f t="shared" ca="1" si="48"/>
        <v/>
      </c>
      <c r="F253" s="390" t="str">
        <f t="shared" ca="1" si="49"/>
        <v/>
      </c>
      <c r="G253" s="391" t="str">
        <f t="shared" ca="1" si="50"/>
        <v/>
      </c>
      <c r="H253" s="391" t="str">
        <f t="shared" ca="1" si="51"/>
        <v>Data Not Available</v>
      </c>
      <c r="I253" s="387">
        <f t="shared" ca="1" si="45"/>
        <v>13</v>
      </c>
      <c r="J253" s="391" t="str">
        <f t="shared" ca="1" si="52"/>
        <v>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v>
      </c>
      <c r="K253" s="392">
        <f t="shared" si="53"/>
        <v>11</v>
      </c>
      <c r="L253" s="391" t="str">
        <f t="shared" ca="1" si="54"/>
        <v/>
      </c>
      <c r="M253" s="387" t="str">
        <f t="array" aca="1" ref="M253" ca="1">IFERROR(VLOOKUP(LEFT(INDIRECT("'Outcome Indicators - Section C '!B"&amp;$B253),255),LEFT('Reference Records'!$C$26:$L$82,255),10,0),"")</f>
        <v>IOR-00184</v>
      </c>
      <c r="N253" s="387" t="str">
        <f t="shared" ca="1" si="55"/>
        <v>Congo (Democratic Republic)</v>
      </c>
      <c r="O253" s="387" t="str">
        <f ca="1">IFERROR(VLOOKUP(INDIRECT("'Outcome Indicators - Section C '!I"&amp;$B253),'Overview - Section A'!M$31:P67,4,0),IFERROR(VLOOKUP(INDIRECT("'Outcome Indicators - Section C '!I"&amp;$B253),'Overview - Section A'!E$27:I56,5,0),""))</f>
        <v>a12Dm000000cC1cIAE</v>
      </c>
      <c r="P253" s="391"/>
      <c r="Q253" s="387"/>
      <c r="R253" s="387" t="str" cm="1">
        <f t="array" aca="1" ref="R253" ca="1">IFERROR(IF(INDIRECT("'Outcome Indicators - Section C '!BX"&amp;$B253)=0,"",INDIRECT("'Outcome Indicators - Section C '!BX"&amp;$B253)),"")</f>
        <v>a1A360000013M2uEAE</v>
      </c>
      <c r="S253" s="387" t="str" cm="1">
        <f t="array" aca="1" ref="S253" ca="1">IFERROR(IF(INDIRECT("'Outcome Indicators - Section C '!BY"&amp;$B253)=0,"",INDIRECT("'Outcome Indicators - Section C '!BY"&amp;$B253)),"")</f>
        <v>a1JDm000000k9cHMAQ</v>
      </c>
    </row>
    <row r="254" spans="1:19">
      <c r="A254" s="387" t="b">
        <f t="shared" ca="1" si="46"/>
        <v>1</v>
      </c>
      <c r="B254" s="387">
        <f t="shared" ca="1" si="44"/>
        <v>31</v>
      </c>
      <c r="C254" s="396" t="str">
        <f ca="1">IFERROR(IF(AND(I254=2,B254=7),"blank",INDEX(C$226:C254,I254,1)),"")</f>
        <v>a1XDm000000GpaMMAS</v>
      </c>
      <c r="D254" s="389" t="str">
        <f t="shared" ca="1" si="47"/>
        <v/>
      </c>
      <c r="E254" s="390" t="str">
        <f t="shared" ca="1" si="48"/>
        <v/>
      </c>
      <c r="F254" s="390" t="str">
        <f t="shared" ca="1" si="49"/>
        <v/>
      </c>
      <c r="G254" s="391" t="str">
        <f t="shared" ca="1" si="50"/>
        <v/>
      </c>
      <c r="H254" s="391" t="str">
        <f t="shared" ca="1" si="51"/>
        <v>Data Not Available</v>
      </c>
      <c r="I254" s="387">
        <f t="shared" ca="1" si="45"/>
        <v>14</v>
      </c>
      <c r="J254" s="391" t="str">
        <f t="shared" ca="1" si="52"/>
        <v>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v>
      </c>
      <c r="K254" s="392">
        <f t="shared" si="53"/>
        <v>12</v>
      </c>
      <c r="L254" s="391" t="str">
        <f t="shared" ca="1" si="54"/>
        <v/>
      </c>
      <c r="M254" s="387" t="str">
        <f t="array" aca="1" ref="M254" ca="1">IFERROR(VLOOKUP(LEFT(INDIRECT("'Outcome Indicators - Section C '!B"&amp;$B254),255),LEFT('Reference Records'!$C$26:$L$82,255),10,0),"")</f>
        <v>IOR-00185</v>
      </c>
      <c r="N254" s="387" t="str">
        <f t="shared" ca="1" si="55"/>
        <v>Congo (Democratic Republic)</v>
      </c>
      <c r="O254" s="387" t="str">
        <f ca="1">IFERROR(VLOOKUP(INDIRECT("'Outcome Indicators - Section C '!I"&amp;$B254),'Overview - Section A'!M$31:P68,4,0),IFERROR(VLOOKUP(INDIRECT("'Outcome Indicators - Section C '!I"&amp;$B254),'Overview - Section A'!E$27:I57,5,0),""))</f>
        <v>a12Dm000000cC1cIAE</v>
      </c>
      <c r="P254" s="391"/>
      <c r="Q254" s="387"/>
      <c r="R254" s="387" t="str" cm="1">
        <f t="array" aca="1" ref="R254" ca="1">IFERROR(IF(INDIRECT("'Outcome Indicators - Section C '!BX"&amp;$B254)=0,"",INDIRECT("'Outcome Indicators - Section C '!BX"&amp;$B254)),"")</f>
        <v>a1A360000013M2uEAE</v>
      </c>
      <c r="S254" s="387" t="str" cm="1">
        <f t="array" aca="1" ref="S254" ca="1">IFERROR(IF(INDIRECT("'Outcome Indicators - Section C '!BY"&amp;$B254)=0,"",INDIRECT("'Outcome Indicators - Section C '!BY"&amp;$B254)),"")</f>
        <v>a1JDm000000k9cIMAQ</v>
      </c>
    </row>
    <row r="255" spans="1:19">
      <c r="A255" s="387" t="b">
        <f t="shared" ca="1" si="46"/>
        <v>1</v>
      </c>
      <c r="B255" s="387">
        <f t="shared" ca="1" si="44"/>
        <v>33</v>
      </c>
      <c r="C255" s="396" t="str">
        <f ca="1">IFERROR(IF(AND(I255=2,B255=7),"blank",INDEX(C$226:C255,I255,1)),"")</f>
        <v>a1XDm000000GpaNMAS</v>
      </c>
      <c r="D255" s="389" t="str">
        <f t="shared" ca="1" si="47"/>
        <v/>
      </c>
      <c r="E255" s="390" t="str">
        <f t="shared" ca="1" si="48"/>
        <v/>
      </c>
      <c r="F255" s="390" t="str">
        <f t="shared" ca="1" si="49"/>
        <v/>
      </c>
      <c r="G255" s="391" t="str">
        <f t="shared" ca="1" si="50"/>
        <v/>
      </c>
      <c r="H255" s="391" t="str">
        <f t="shared" ca="1" si="51"/>
        <v>Data Not Available</v>
      </c>
      <c r="I255" s="387">
        <f t="shared" ca="1" si="45"/>
        <v>15</v>
      </c>
      <c r="J255" s="391" t="str">
        <f t="shared" ca="1" si="52"/>
        <v>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v>
      </c>
      <c r="K255" s="392">
        <f t="shared" si="53"/>
        <v>13</v>
      </c>
      <c r="L255" s="391" t="str">
        <f t="shared" ca="1" si="54"/>
        <v/>
      </c>
      <c r="M255" s="387" t="str">
        <f t="array" aca="1" ref="M255" ca="1">IFERROR(VLOOKUP(LEFT(INDIRECT("'Outcome Indicators - Section C '!B"&amp;$B255),255),LEFT('Reference Records'!$C$26:$L$82,255),10,0),"")</f>
        <v>IOR-00186</v>
      </c>
      <c r="N255" s="387" t="str">
        <f t="shared" ca="1" si="55"/>
        <v>Congo (Democratic Republic)</v>
      </c>
      <c r="O255" s="387" t="str">
        <f ca="1">IFERROR(VLOOKUP(INDIRECT("'Outcome Indicators - Section C '!I"&amp;$B255),'Overview - Section A'!M$31:P69,4,0),IFERROR(VLOOKUP(INDIRECT("'Outcome Indicators - Section C '!I"&amp;$B255),'Overview - Section A'!E$27:I58,5,0),""))</f>
        <v>a12Dm000000cC1cIAE</v>
      </c>
      <c r="P255" s="391"/>
      <c r="Q255" s="387"/>
      <c r="R255" s="387" t="str" cm="1">
        <f t="array" aca="1" ref="R255" ca="1">IFERROR(IF(INDIRECT("'Outcome Indicators - Section C '!BX"&amp;$B255)=0,"",INDIRECT("'Outcome Indicators - Section C '!BX"&amp;$B255)),"")</f>
        <v>a1A360000013M2uEAE</v>
      </c>
      <c r="S255" s="387" t="str" cm="1">
        <f t="array" aca="1" ref="S255" ca="1">IFERROR(IF(INDIRECT("'Outcome Indicators - Section C '!BY"&amp;$B255)=0,"",INDIRECT("'Outcome Indicators - Section C '!BY"&amp;$B255)),"")</f>
        <v>a1JDm000000k9cJMAQ</v>
      </c>
    </row>
    <row r="256" spans="1:19">
      <c r="A256" s="387" t="b">
        <f t="shared" ca="1" si="46"/>
        <v>1</v>
      </c>
      <c r="B256" s="387">
        <f t="shared" ca="1" si="44"/>
        <v>35</v>
      </c>
      <c r="C256" s="396" t="str">
        <f ca="1">IFERROR(IF(AND(I256=2,B256=7),"blank",INDEX(C$226:C256,I256,1)),"")</f>
        <v>a1XDm000000GpaOMAS</v>
      </c>
      <c r="D256" s="389" t="str">
        <f t="shared" ca="1" si="47"/>
        <v/>
      </c>
      <c r="E256" s="390" t="str">
        <f t="shared" ca="1" si="48"/>
        <v/>
      </c>
      <c r="F256" s="390" t="str">
        <f t="shared" ca="1" si="49"/>
        <v/>
      </c>
      <c r="G256" s="391" t="str">
        <f t="shared" ca="1" si="50"/>
        <v/>
      </c>
      <c r="H256" s="391" t="str">
        <f t="shared" ca="1" si="51"/>
        <v>Data Not Available</v>
      </c>
      <c r="I256" s="387">
        <f t="shared" ca="1" si="45"/>
        <v>16</v>
      </c>
      <c r="J256" s="391" t="str">
        <f t="shared" ca="1" si="52"/>
        <v>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v>
      </c>
      <c r="K256" s="392">
        <f t="shared" si="53"/>
        <v>14</v>
      </c>
      <c r="L256" s="391" t="str">
        <f t="shared" ca="1" si="54"/>
        <v/>
      </c>
      <c r="M256" s="387" t="str">
        <f t="array" aca="1" ref="M256" ca="1">IFERROR(VLOOKUP(LEFT(INDIRECT("'Outcome Indicators - Section C '!B"&amp;$B256),255),LEFT('Reference Records'!$C$26:$L$82,255),10,0),"")</f>
        <v>IOR-00187</v>
      </c>
      <c r="N256" s="387" t="str">
        <f t="shared" ca="1" si="55"/>
        <v>Congo (Democratic Republic)</v>
      </c>
      <c r="O256" s="387" t="str">
        <f ca="1">IFERROR(VLOOKUP(INDIRECT("'Outcome Indicators - Section C '!I"&amp;$B256),'Overview - Section A'!M$31:P70,4,0),IFERROR(VLOOKUP(INDIRECT("'Outcome Indicators - Section C '!I"&amp;$B256),'Overview - Section A'!E$27:I59,5,0),""))</f>
        <v>a12Dm000000cC1cIAE</v>
      </c>
      <c r="P256" s="391"/>
      <c r="Q256" s="387"/>
      <c r="R256" s="387" t="str" cm="1">
        <f t="array" aca="1" ref="R256" ca="1">IFERROR(IF(INDIRECT("'Outcome Indicators - Section C '!BX"&amp;$B256)=0,"",INDIRECT("'Outcome Indicators - Section C '!BX"&amp;$B256)),"")</f>
        <v>a1A360000013M2uEAE</v>
      </c>
      <c r="S256" s="387" t="str" cm="1">
        <f t="array" aca="1" ref="S256" ca="1">IFERROR(IF(INDIRECT("'Outcome Indicators - Section C '!BY"&amp;$B256)=0,"",INDIRECT("'Outcome Indicators - Section C '!BY"&amp;$B256)),"")</f>
        <v>a1JDm000000k9cKMAQ</v>
      </c>
    </row>
    <row r="257" spans="1:19">
      <c r="A257" s="387" t="b">
        <f t="shared" ca="1" si="46"/>
        <v>1</v>
      </c>
      <c r="B257" s="387">
        <f t="shared" ca="1" si="44"/>
        <v>37</v>
      </c>
      <c r="C257" s="396" t="str">
        <f ca="1">IFERROR(IF(AND(I257=2,B257=7),"blank",INDEX(C$226:C257,I257,1)),"")</f>
        <v>a1XDm000000GpaPMAS</v>
      </c>
      <c r="D257" s="389" t="str">
        <f t="shared" ca="1" si="47"/>
        <v/>
      </c>
      <c r="E257" s="390" t="str">
        <f t="shared" ca="1" si="48"/>
        <v/>
      </c>
      <c r="F257" s="390">
        <f t="shared" ca="1" si="49"/>
        <v>93041</v>
      </c>
      <c r="G257" s="391">
        <f t="shared" ca="1" si="50"/>
        <v>2021</v>
      </c>
      <c r="H257" s="391" t="str">
        <f t="shared" ca="1" si="51"/>
        <v>TB program annual report</v>
      </c>
      <c r="I257" s="387">
        <f t="shared" ca="1" si="45"/>
        <v>17</v>
      </c>
      <c r="J257" s="391" t="str">
        <f t="shared" ca="1" si="52"/>
        <v>The increase in TB coverage (or detection rate) has evolved on average by 4% between 2015 and 2021. The 2022 data being validated The country has implemented in the NSP an increase in coverage of 4% in 2023 and 2024, and 6% in 2025 and 2026 which will be achieved through the following strategies: 1) decentralization and provision of integrated and person-centered TB services; 2) optimization of the use of molecular diagnostic tools, expanding specimen transport with accurate mapping at the SLA level; 3) an efficient diagnostic network 4) expansion of the quality approach 5) implementation of active screening in key and vulnerable populations using digital radiography with CAD or not. The coverage rate planned in the NSP is 80% in 2024, 86% in 2025 and 92% in 2026. The country expects to reach 90% of the NSP target with the grant. Thus, the expected number of TB cases is 258,638 in 2024, 284,558 in 2025 and 311,540 in 2026. The contribution of women during the grant period is 44% per year, or 113,800 in 2024, 125,205 in 2025 and 137,077 in 2026.
This is a gender equity indicator.</v>
      </c>
      <c r="K257" s="392">
        <f t="shared" si="53"/>
        <v>15</v>
      </c>
      <c r="L257" s="391" t="str">
        <f t="shared" ca="1" si="54"/>
        <v>Number of female patients with all forms of TB notified (i.e., bacteriologically confirmed + clinically diagnosed); *includes only those with new and relapse TB.</v>
      </c>
      <c r="M257" s="387" t="str">
        <f t="array" aca="1" ref="M257" ca="1">IFERROR(VLOOKUP(LEFT(INDIRECT("'Outcome Indicators - Section C '!B"&amp;$B257),255),LEFT('Reference Records'!$C$26:$L$82,255),10,0),"")</f>
        <v/>
      </c>
      <c r="N257" s="387" t="str">
        <f t="shared" ca="1" si="55"/>
        <v>Congo (Democratic Republic)</v>
      </c>
      <c r="O257" s="387" t="str">
        <f ca="1">IFERROR(VLOOKUP(INDIRECT("'Outcome Indicators - Section C '!I"&amp;$B257),'Overview - Section A'!M$31:P71,4,0),IFERROR(VLOOKUP(INDIRECT("'Outcome Indicators - Section C '!I"&amp;$B257),'Overview - Section A'!E$27:I60,5,0),""))</f>
        <v>a12Dm000000cC1cIAE</v>
      </c>
      <c r="P257" s="391"/>
      <c r="Q257" s="387"/>
      <c r="R257" s="387" t="str" cm="1">
        <f t="array" aca="1" ref="R257" ca="1">IFERROR(IF(INDIRECT("'Outcome Indicators - Section C '!BX"&amp;$B257)=0,"",INDIRECT("'Outcome Indicators - Section C '!BX"&amp;$B257)),"")</f>
        <v>a1A360000013M2uEAE</v>
      </c>
      <c r="S257" s="387" t="str" cm="1">
        <f t="array" aca="1" ref="S257" ca="1">IFERROR(IF(INDIRECT("'Outcome Indicators - Section C '!BY"&amp;$B257)=0,"",INDIRECT("'Outcome Indicators - Section C '!BY"&amp;$B257)),"")</f>
        <v/>
      </c>
    </row>
    <row r="258" spans="1:19">
      <c r="B258" s="393"/>
      <c r="I258" s="393"/>
    </row>
    <row r="259" spans="1:19">
      <c r="B259" s="393"/>
      <c r="I259" s="393"/>
    </row>
    <row r="260" spans="1:19">
      <c r="B260" s="393"/>
      <c r="I260" s="393"/>
    </row>
    <row r="261" spans="1:19">
      <c r="B261" s="393"/>
      <c r="I261" s="393"/>
    </row>
    <row r="262" spans="1:19">
      <c r="B262" s="393"/>
      <c r="I262" s="393"/>
    </row>
    <row r="263" spans="1:19">
      <c r="B263" s="393"/>
      <c r="I263" s="393"/>
    </row>
    <row r="264" spans="1:19">
      <c r="J264" s="386" t="str">
        <f ca="1">IF(ROW()&gt;'Impact Indicator Target Update'!A9,"",INDIRECT("'Impact Indicators - Section B'!A"&amp;'Impact Indicator Target Update'!D9))</f>
        <v/>
      </c>
    </row>
    <row r="265" spans="1:19">
      <c r="A265" s="385" t="s">
        <v>2479</v>
      </c>
      <c r="J265" s="386" t="str">
        <f ca="1">IF(ROW()&gt;'Impact Indicator Target Update'!A10,"",INDIRECT("'Impact Indicators - Section B'!A"&amp;'Impact Indicator Target Update'!D10))</f>
        <v/>
      </c>
    </row>
    <row r="266" spans="1:19">
      <c r="A266" s="387"/>
      <c r="B266" s="397">
        <v>-151</v>
      </c>
      <c r="C266" s="387" t="s">
        <v>318</v>
      </c>
      <c r="D266" s="387" t="s">
        <v>2480</v>
      </c>
      <c r="E266" s="387" t="s">
        <v>2347</v>
      </c>
      <c r="F266" s="387" t="s">
        <v>2268</v>
      </c>
      <c r="G266" s="387"/>
      <c r="H266" s="387" t="s">
        <v>805</v>
      </c>
      <c r="I266" s="387" t="s">
        <v>807</v>
      </c>
      <c r="J266" s="387" t="s">
        <v>802</v>
      </c>
      <c r="K266" s="387" t="s">
        <v>225</v>
      </c>
      <c r="L266" s="387" t="s">
        <v>811</v>
      </c>
      <c r="M266" s="387" t="s">
        <v>771</v>
      </c>
      <c r="N266" s="387" t="s">
        <v>808</v>
      </c>
    </row>
    <row r="267" spans="1:19" hidden="1">
      <c r="A267" s="387" t="b">
        <f ca="1">IF(OR(I267&lt;&gt;"",J267&lt;&gt;"",K267&lt;&gt;"",M267&lt;&gt;"",N267&lt;&gt;""),TRUE,FALSE)</f>
        <v>0</v>
      </c>
      <c r="B267" s="397">
        <f>B266+1</f>
        <v>-150</v>
      </c>
      <c r="C267" s="401" t="str">
        <f ca="1">IF(COUNTA(D$265:D266)=1,"",OFFSET(B265,-COUNTA(D$265:D266)+3,1))</f>
        <v/>
      </c>
      <c r="D267" s="387"/>
      <c r="E267" s="387">
        <f ca="1">COUNTIF(F258:F267,F267)</f>
        <v>9</v>
      </c>
      <c r="F267" s="402" t="str">
        <f ca="1">IF(COUNTA(D$265:D266)=1,"",OFFSET(F265,-COUNTA(D$265:D266)+3,0))</f>
        <v/>
      </c>
      <c r="G267" s="387" t="str">
        <f ca="1">CONCATENATE(F267,L267)</f>
        <v/>
      </c>
      <c r="H267" s="387" t="e">
        <f ca="1">VLOOKUP(F267,$AH$1:$AI$225,2,FALSE)</f>
        <v>#N/A</v>
      </c>
      <c r="I267" s="392" t="str">
        <f ca="1">IFERROR(CHOOSE(E267,IFERROR(IF(INDIRECT("'Outcome Indicators - Section C '!K"&amp;H267+1)="","",INDIRECT("'Outcome Indicators - Section C '!K"&amp;H267+1)),""),IFERROR(IF(INDIRECT("'Outcome Indicators - Section C '!O"&amp;H267+1)="","",INDIRECT("'Outcome Indicators - Section C '!O"&amp;H267+1)),""),IFERROR(IF(INDIRECT("'Outcome Indicators - Section C '!S"&amp;H267+1)="","",INDIRECT("'Outcome Indicators - Section C '!S"&amp;H267+1)),""),IFERROR(IF(INDIRECT("'Outcome Indicators - Section C '!W"&amp;H267+1)="","",INDIRECT("'Outcome Indicators - Section C '!W"&amp;H267+1)),"")),"")</f>
        <v/>
      </c>
      <c r="J267" s="403" t="str">
        <f ca="1">IFERROR(CHOOSE(E267,IFERROR(IF(INDIRECT("'Outcome Indicators - Section C '!K"&amp;H267)="","",INDIRECT("'Outcome Indicators - Section C '!K"&amp;H267)),""),IFERROR(IF(INDIRECT("'Outcome Indicators - Section C '!O"&amp;H267)="","",INDIRECT("'Outcome Indicators - Section C '!O"&amp;H267)),""),IFERROR(IF(INDIRECT("'Outcome Indicators - Section C '!S"&amp;H267)="","",INDIRECT("'Outcome Indicators - Section C '!S"&amp;H267)),""),IFERROR(IF(INDIRECT("'Outcome Indicators - Section C '!W"&amp;H267)="","",INDIRECT("'Outcome Indicators - Section C '!W"&amp;H267)),"")),"")</f>
        <v/>
      </c>
      <c r="K267" s="389" t="str">
        <f ca="1">IFERROR(CHOOSE(E267,IFERROR(IF(INDIRECT("'Outcome Indicators - Section C '!L"&amp;H267)="","",INDIRECT("'Outcome Indicators - Section C '!L"&amp;H267)*100),""),IFERROR(IF(INDIRECT("'Outcome Indicators - Section C '!P"&amp;H267)="","",INDIRECT("'Outcome Indicators - Section C '!P"&amp;H267)*100),""),IFERROR(IF(INDIRECT("'Outcome Indicators - Section C '!T"&amp;H267)="","",INDIRECT("'Outcome Indicators - Section C '!T"&amp;H267)*100),""),IFERROR(IF(INDIRECT("'Outcome Indicators - Section C '!X"&amp;H267)="","",INDIRECT("'Outcome Indicators - Section C '!X"&amp;H267)*100),"")),"")</f>
        <v/>
      </c>
      <c r="L267" s="391" t="str">
        <f ca="1">IFERROR(CHOOSE(E267,'Outcome Indicators - Section C '!$K$7,'Outcome Indicators - Section C '!$O$7,'Outcome Indicators - Section C '!$S$7,'Outcome Indicators - Section C '!$W$7,'Outcome Indicators - Section C '!#REF!),"")</f>
        <v/>
      </c>
      <c r="M267" s="399" t="str">
        <f ca="1">IFERROR(CHOOSE(E267,IFERROR(IF(INDIRECT("'Outcome Indicators - Section C '!M"&amp;H267)="","",INDIRECT("'Outcome Indicators - Section C '!M"&amp;H267)),""),IFERROR(IF(INDIRECT("'Outcome Indicators - Section C '!Q"&amp;H267)="","",INDIRECT("'Outcome Indicators - Section C '!Q"&amp;H267)),""),IFERROR(IF(INDIRECT("'Outcome Indicators - Section C '!U"&amp;H267)="","",INDIRECT("'Outcome Indicators - Section C '!U"&amp;H267)),""),IFERROR(IF(INDIRECT("'Outcome Indicators - Section C '!Y"&amp;H267)="","",INDIRECT("'Outcome Indicators - Section C '!Y"&amp;H267)),"")),"")</f>
        <v/>
      </c>
      <c r="N267" s="391" t="str">
        <f ca="1">IF(IFERROR(CHOOSE(E267,IFERROR(IF(INDIRECT("'Outcome Indicators - Section C '!N"&amp;H267)=0,"",INDIRECT("'Outcome Indicators - Section C '!N"&amp;H267)),""),IFERROR(IF(INDIRECT("'Outcome Indicators - Section C '!R"&amp;H267)=0,"",INDIRECT("'Outcome Indicators - Section C '!R"&amp;H267)),""),IFERROR(IF(INDIRECT("'Outcome Indicators - Section C '!V"&amp;H267)=0,"",INDIRECT("'Outcome Indicators - Section C '!V"&amp;H267)),""),IFERROR(IF(INDIRECT("'Outcome Indicators - Section C '!Z"&amp;H267)=0,"",INDIRECT("'Outcome Indicators - Section C '!Z"&amp;H267)),""),),"")=0,"",IFERROR(CHOOSE(E267,IFERROR(IF(INDIRECT("'Outcome Indicators - Section C '!N"&amp;H267)=0,"",INDIRECT("'Outcome Indicators - Section C '!N"&amp;H267)),""),IFERROR(IF(INDIRECT("'Outcome Indicators - Section C '!R"&amp;H267)=0,"",INDIRECT("'Outcome Indicators - Section C '!R"&amp;H267)),""),IFERROR(IF(INDIRECT("'Outcome Indicators - Section C '!V"&amp;H267)=0,"",INDIRECT("'Outcome Indicators - Section C '!V"&amp;H267)),""),IFERROR(IF(INDIRECT("'Outcome Indicators - Section C '!Z"&amp;H267)=0,"",INDIRECT("'Outcome Indicators - Section C '!Z"&amp;H267)),""),),""))</f>
        <v/>
      </c>
    </row>
    <row r="268" spans="1:19">
      <c r="A268" s="387" t="b">
        <v>1</v>
      </c>
      <c r="B268" s="397">
        <f t="shared" ref="B268:B331" si="56">B267+1</f>
        <v>-149</v>
      </c>
      <c r="C268" s="401" t="s">
        <v>2481</v>
      </c>
      <c r="D268" s="387" t="s">
        <v>2482</v>
      </c>
      <c r="E268" s="387">
        <f t="shared" ref="E268:E331" ca="1" si="57">COUNTIF(F259:F268,F268)</f>
        <v>1</v>
      </c>
      <c r="F268" s="402">
        <v>1</v>
      </c>
      <c r="G268" s="387" t="str">
        <f t="shared" ref="G268:G331" si="58">CONCATENATE(F268,L268)</f>
        <v>12024</v>
      </c>
      <c r="H268" s="387">
        <f t="shared" ref="H268:H331" si="59">VLOOKUP(F268,$AH$1:$AI$225,2,FALSE)</f>
        <v>9</v>
      </c>
      <c r="I268" s="392"/>
      <c r="J268" s="403"/>
      <c r="K268" s="389">
        <v>80</v>
      </c>
      <c r="L268" s="391" t="s">
        <v>2351</v>
      </c>
      <c r="M268" s="399"/>
      <c r="N268" s="391"/>
    </row>
    <row r="269" spans="1:19">
      <c r="A269" s="387" t="b">
        <v>1</v>
      </c>
      <c r="B269" s="397">
        <f t="shared" si="56"/>
        <v>-148</v>
      </c>
      <c r="C269" s="401" t="s">
        <v>2483</v>
      </c>
      <c r="D269" s="387" t="s">
        <v>2482</v>
      </c>
      <c r="E269" s="387">
        <f t="shared" ca="1" si="57"/>
        <v>2</v>
      </c>
      <c r="F269" s="402">
        <v>1</v>
      </c>
      <c r="G269" s="387" t="str">
        <f t="shared" si="58"/>
        <v>12025</v>
      </c>
      <c r="H269" s="387">
        <f t="shared" si="59"/>
        <v>9</v>
      </c>
      <c r="I269" s="392"/>
      <c r="J269" s="403"/>
      <c r="K269" s="389">
        <v>86</v>
      </c>
      <c r="L269" s="391" t="s">
        <v>2353</v>
      </c>
      <c r="M269" s="399"/>
      <c r="N269" s="391"/>
    </row>
    <row r="270" spans="1:19">
      <c r="A270" s="387" t="b">
        <v>1</v>
      </c>
      <c r="B270" s="397">
        <f t="shared" si="56"/>
        <v>-147</v>
      </c>
      <c r="C270" s="401" t="s">
        <v>2484</v>
      </c>
      <c r="D270" s="387" t="s">
        <v>2482</v>
      </c>
      <c r="E270" s="387">
        <f t="shared" ca="1" si="57"/>
        <v>3</v>
      </c>
      <c r="F270" s="402">
        <v>1</v>
      </c>
      <c r="G270" s="387" t="str">
        <f t="shared" si="58"/>
        <v>12026</v>
      </c>
      <c r="H270" s="387">
        <f t="shared" si="59"/>
        <v>9</v>
      </c>
      <c r="I270" s="392"/>
      <c r="J270" s="403"/>
      <c r="K270" s="389">
        <v>92</v>
      </c>
      <c r="L270" s="391" t="s">
        <v>2355</v>
      </c>
      <c r="M270" s="399"/>
      <c r="N270" s="391"/>
    </row>
    <row r="271" spans="1:19">
      <c r="A271" s="387" t="b">
        <v>0</v>
      </c>
      <c r="B271" s="397">
        <f t="shared" si="56"/>
        <v>-146</v>
      </c>
      <c r="C271" s="401" t="s">
        <v>2485</v>
      </c>
      <c r="D271" s="387" t="s">
        <v>2482</v>
      </c>
      <c r="E271" s="387">
        <f t="shared" ca="1" si="57"/>
        <v>4</v>
      </c>
      <c r="F271" s="402">
        <v>1</v>
      </c>
      <c r="G271" s="387" t="str">
        <f t="shared" si="58"/>
        <v>1</v>
      </c>
      <c r="H271" s="387">
        <f t="shared" si="59"/>
        <v>9</v>
      </c>
      <c r="I271" s="392"/>
      <c r="J271" s="403"/>
      <c r="K271" s="389"/>
      <c r="L271" s="391"/>
      <c r="M271" s="399"/>
      <c r="N271" s="391"/>
    </row>
    <row r="272" spans="1:19">
      <c r="A272" s="387" t="b">
        <v>0</v>
      </c>
      <c r="B272" s="397">
        <f t="shared" si="56"/>
        <v>-145</v>
      </c>
      <c r="C272" s="401" t="s">
        <v>2486</v>
      </c>
      <c r="D272" s="387" t="s">
        <v>2482</v>
      </c>
      <c r="E272" s="387">
        <f t="shared" ca="1" si="57"/>
        <v>5</v>
      </c>
      <c r="F272" s="402">
        <v>1</v>
      </c>
      <c r="G272" s="387" t="str">
        <f t="shared" si="58"/>
        <v>1</v>
      </c>
      <c r="H272" s="387">
        <f t="shared" si="59"/>
        <v>9</v>
      </c>
      <c r="I272" s="392"/>
      <c r="J272" s="403"/>
      <c r="K272" s="389"/>
      <c r="L272" s="391"/>
      <c r="M272" s="399"/>
      <c r="N272" s="391"/>
    </row>
    <row r="273" spans="1:14">
      <c r="A273" s="387" t="b">
        <v>0</v>
      </c>
      <c r="B273" s="397">
        <f t="shared" si="56"/>
        <v>-144</v>
      </c>
      <c r="C273" s="401" t="s">
        <v>2487</v>
      </c>
      <c r="D273" s="387" t="s">
        <v>2482</v>
      </c>
      <c r="E273" s="387">
        <f t="shared" ca="1" si="57"/>
        <v>6</v>
      </c>
      <c r="F273" s="402">
        <v>1</v>
      </c>
      <c r="G273" s="387" t="str">
        <f t="shared" si="58"/>
        <v>1</v>
      </c>
      <c r="H273" s="387">
        <f t="shared" si="59"/>
        <v>9</v>
      </c>
      <c r="I273" s="392"/>
      <c r="J273" s="403"/>
      <c r="K273" s="389"/>
      <c r="L273" s="391"/>
      <c r="M273" s="399"/>
      <c r="N273" s="391"/>
    </row>
    <row r="274" spans="1:14">
      <c r="A274" s="387" t="b">
        <v>1</v>
      </c>
      <c r="B274" s="397">
        <f t="shared" si="56"/>
        <v>-143</v>
      </c>
      <c r="C274" s="401" t="s">
        <v>2488</v>
      </c>
      <c r="D274" s="387" t="s">
        <v>2489</v>
      </c>
      <c r="E274" s="387">
        <f t="shared" ca="1" si="57"/>
        <v>1</v>
      </c>
      <c r="F274" s="402">
        <v>2</v>
      </c>
      <c r="G274" s="387" t="str">
        <f t="shared" si="58"/>
        <v>22024</v>
      </c>
      <c r="H274" s="387">
        <f t="shared" si="59"/>
        <v>11</v>
      </c>
      <c r="I274" s="392"/>
      <c r="J274" s="403"/>
      <c r="K274" s="389">
        <v>95</v>
      </c>
      <c r="L274" s="391" t="s">
        <v>2351</v>
      </c>
      <c r="M274" s="399"/>
      <c r="N274" s="391"/>
    </row>
    <row r="275" spans="1:14">
      <c r="A275" s="387" t="b">
        <v>1</v>
      </c>
      <c r="B275" s="397">
        <f t="shared" si="56"/>
        <v>-142</v>
      </c>
      <c r="C275" s="401" t="s">
        <v>2490</v>
      </c>
      <c r="D275" s="387" t="s">
        <v>2489</v>
      </c>
      <c r="E275" s="387">
        <f t="shared" ca="1" si="57"/>
        <v>2</v>
      </c>
      <c r="F275" s="402">
        <v>2</v>
      </c>
      <c r="G275" s="387" t="str">
        <f t="shared" si="58"/>
        <v>22025</v>
      </c>
      <c r="H275" s="387">
        <f t="shared" si="59"/>
        <v>11</v>
      </c>
      <c r="I275" s="392"/>
      <c r="J275" s="403"/>
      <c r="K275" s="389">
        <v>95</v>
      </c>
      <c r="L275" s="391" t="s">
        <v>2353</v>
      </c>
      <c r="M275" s="399"/>
      <c r="N275" s="391"/>
    </row>
    <row r="276" spans="1:14">
      <c r="A276" s="387" t="b">
        <v>1</v>
      </c>
      <c r="B276" s="397">
        <f t="shared" si="56"/>
        <v>-141</v>
      </c>
      <c r="C276" s="401" t="s">
        <v>2491</v>
      </c>
      <c r="D276" s="387" t="s">
        <v>2489</v>
      </c>
      <c r="E276" s="387">
        <f t="shared" ca="1" si="57"/>
        <v>3</v>
      </c>
      <c r="F276" s="402">
        <v>2</v>
      </c>
      <c r="G276" s="387" t="str">
        <f t="shared" si="58"/>
        <v>22026</v>
      </c>
      <c r="H276" s="387">
        <f t="shared" si="59"/>
        <v>11</v>
      </c>
      <c r="I276" s="392"/>
      <c r="J276" s="403"/>
      <c r="K276" s="389">
        <v>95</v>
      </c>
      <c r="L276" s="391" t="s">
        <v>2355</v>
      </c>
      <c r="M276" s="399"/>
      <c r="N276" s="391"/>
    </row>
    <row r="277" spans="1:14">
      <c r="A277" s="387" t="b">
        <v>0</v>
      </c>
      <c r="B277" s="397">
        <f t="shared" si="56"/>
        <v>-140</v>
      </c>
      <c r="C277" s="401" t="s">
        <v>2492</v>
      </c>
      <c r="D277" s="387" t="s">
        <v>2489</v>
      </c>
      <c r="E277" s="387">
        <f t="shared" si="57"/>
        <v>4</v>
      </c>
      <c r="F277" s="402">
        <v>2</v>
      </c>
      <c r="G277" s="387" t="str">
        <f t="shared" si="58"/>
        <v>2</v>
      </c>
      <c r="H277" s="387">
        <f t="shared" si="59"/>
        <v>11</v>
      </c>
      <c r="I277" s="392"/>
      <c r="J277" s="403"/>
      <c r="K277" s="389"/>
      <c r="L277" s="391"/>
      <c r="M277" s="399"/>
      <c r="N277" s="391"/>
    </row>
    <row r="278" spans="1:14">
      <c r="A278" s="387" t="b">
        <v>0</v>
      </c>
      <c r="B278" s="397">
        <f t="shared" si="56"/>
        <v>-139</v>
      </c>
      <c r="C278" s="401" t="s">
        <v>2493</v>
      </c>
      <c r="D278" s="387" t="s">
        <v>2489</v>
      </c>
      <c r="E278" s="387">
        <f t="shared" si="57"/>
        <v>5</v>
      </c>
      <c r="F278" s="402">
        <v>2</v>
      </c>
      <c r="G278" s="387" t="str">
        <f t="shared" si="58"/>
        <v>2</v>
      </c>
      <c r="H278" s="387">
        <f t="shared" si="59"/>
        <v>11</v>
      </c>
      <c r="I278" s="392"/>
      <c r="J278" s="403"/>
      <c r="K278" s="389"/>
      <c r="L278" s="391"/>
      <c r="M278" s="399"/>
      <c r="N278" s="391"/>
    </row>
    <row r="279" spans="1:14">
      <c r="A279" s="387" t="b">
        <v>0</v>
      </c>
      <c r="B279" s="397">
        <f t="shared" si="56"/>
        <v>-138</v>
      </c>
      <c r="C279" s="401" t="s">
        <v>2494</v>
      </c>
      <c r="D279" s="387" t="s">
        <v>2489</v>
      </c>
      <c r="E279" s="387">
        <f t="shared" si="57"/>
        <v>6</v>
      </c>
      <c r="F279" s="402">
        <v>2</v>
      </c>
      <c r="G279" s="387" t="str">
        <f t="shared" si="58"/>
        <v>2</v>
      </c>
      <c r="H279" s="387">
        <f t="shared" si="59"/>
        <v>11</v>
      </c>
      <c r="I279" s="392"/>
      <c r="J279" s="403"/>
      <c r="K279" s="389"/>
      <c r="L279" s="391"/>
      <c r="M279" s="399"/>
      <c r="N279" s="391"/>
    </row>
    <row r="280" spans="1:14">
      <c r="A280" s="387" t="b">
        <v>1</v>
      </c>
      <c r="B280" s="397">
        <f t="shared" si="56"/>
        <v>-137</v>
      </c>
      <c r="C280" s="401" t="s">
        <v>2495</v>
      </c>
      <c r="D280" s="387" t="s">
        <v>2496</v>
      </c>
      <c r="E280" s="387">
        <f t="shared" si="57"/>
        <v>1</v>
      </c>
      <c r="F280" s="402">
        <v>3</v>
      </c>
      <c r="G280" s="387" t="str">
        <f t="shared" si="58"/>
        <v>32024</v>
      </c>
      <c r="H280" s="387">
        <f t="shared" si="59"/>
        <v>13</v>
      </c>
      <c r="I280" s="392"/>
      <c r="J280" s="403"/>
      <c r="K280" s="389">
        <v>33</v>
      </c>
      <c r="L280" s="391" t="s">
        <v>2351</v>
      </c>
      <c r="M280" s="399"/>
      <c r="N280" s="391"/>
    </row>
    <row r="281" spans="1:14">
      <c r="A281" s="387" t="b">
        <v>1</v>
      </c>
      <c r="B281" s="397">
        <f t="shared" si="56"/>
        <v>-136</v>
      </c>
      <c r="C281" s="401" t="s">
        <v>2497</v>
      </c>
      <c r="D281" s="387" t="s">
        <v>2496</v>
      </c>
      <c r="E281" s="387">
        <f t="shared" si="57"/>
        <v>2</v>
      </c>
      <c r="F281" s="402">
        <v>3</v>
      </c>
      <c r="G281" s="387" t="str">
        <f t="shared" si="58"/>
        <v>32025</v>
      </c>
      <c r="H281" s="387">
        <f t="shared" si="59"/>
        <v>13</v>
      </c>
      <c r="I281" s="392"/>
      <c r="J281" s="403"/>
      <c r="K281" s="389">
        <v>40</v>
      </c>
      <c r="L281" s="391" t="s">
        <v>2353</v>
      </c>
      <c r="M281" s="399"/>
      <c r="N281" s="391"/>
    </row>
    <row r="282" spans="1:14">
      <c r="A282" s="387" t="b">
        <v>1</v>
      </c>
      <c r="B282" s="397">
        <f t="shared" si="56"/>
        <v>-135</v>
      </c>
      <c r="C282" s="401" t="s">
        <v>2498</v>
      </c>
      <c r="D282" s="387" t="s">
        <v>2496</v>
      </c>
      <c r="E282" s="387">
        <f t="shared" si="57"/>
        <v>3</v>
      </c>
      <c r="F282" s="402">
        <v>3</v>
      </c>
      <c r="G282" s="387" t="str">
        <f t="shared" si="58"/>
        <v>32026</v>
      </c>
      <c r="H282" s="387">
        <f t="shared" si="59"/>
        <v>13</v>
      </c>
      <c r="I282" s="392"/>
      <c r="J282" s="403"/>
      <c r="K282" s="389">
        <v>50</v>
      </c>
      <c r="L282" s="391" t="s">
        <v>2355</v>
      </c>
      <c r="M282" s="399"/>
      <c r="N282" s="391"/>
    </row>
    <row r="283" spans="1:14">
      <c r="A283" s="387" t="b">
        <v>0</v>
      </c>
      <c r="B283" s="397">
        <f t="shared" si="56"/>
        <v>-134</v>
      </c>
      <c r="C283" s="401" t="s">
        <v>2499</v>
      </c>
      <c r="D283" s="387" t="s">
        <v>2496</v>
      </c>
      <c r="E283" s="387">
        <f t="shared" si="57"/>
        <v>4</v>
      </c>
      <c r="F283" s="402">
        <v>3</v>
      </c>
      <c r="G283" s="387" t="str">
        <f t="shared" si="58"/>
        <v>3</v>
      </c>
      <c r="H283" s="387">
        <f t="shared" si="59"/>
        <v>13</v>
      </c>
      <c r="I283" s="392"/>
      <c r="J283" s="403"/>
      <c r="K283" s="389"/>
      <c r="L283" s="391"/>
      <c r="M283" s="399"/>
      <c r="N283" s="391"/>
    </row>
    <row r="284" spans="1:14">
      <c r="A284" s="387" t="b">
        <v>0</v>
      </c>
      <c r="B284" s="397">
        <f t="shared" si="56"/>
        <v>-133</v>
      </c>
      <c r="C284" s="401" t="s">
        <v>2500</v>
      </c>
      <c r="D284" s="387" t="s">
        <v>2496</v>
      </c>
      <c r="E284" s="387">
        <f t="shared" si="57"/>
        <v>5</v>
      </c>
      <c r="F284" s="402">
        <v>3</v>
      </c>
      <c r="G284" s="387" t="str">
        <f t="shared" si="58"/>
        <v>3</v>
      </c>
      <c r="H284" s="387">
        <f t="shared" si="59"/>
        <v>13</v>
      </c>
      <c r="I284" s="392"/>
      <c r="J284" s="403"/>
      <c r="K284" s="389"/>
      <c r="L284" s="391"/>
      <c r="M284" s="399"/>
      <c r="N284" s="391"/>
    </row>
    <row r="285" spans="1:14">
      <c r="A285" s="387" t="b">
        <v>0</v>
      </c>
      <c r="B285" s="397">
        <f t="shared" si="56"/>
        <v>-132</v>
      </c>
      <c r="C285" s="401" t="s">
        <v>2501</v>
      </c>
      <c r="D285" s="387" t="s">
        <v>2496</v>
      </c>
      <c r="E285" s="387">
        <f t="shared" si="57"/>
        <v>6</v>
      </c>
      <c r="F285" s="402">
        <v>3</v>
      </c>
      <c r="G285" s="387" t="str">
        <f t="shared" si="58"/>
        <v>3</v>
      </c>
      <c r="H285" s="387">
        <f t="shared" si="59"/>
        <v>13</v>
      </c>
      <c r="I285" s="392"/>
      <c r="J285" s="403"/>
      <c r="K285" s="389"/>
      <c r="L285" s="391"/>
      <c r="M285" s="399"/>
      <c r="N285" s="391"/>
    </row>
    <row r="286" spans="1:14">
      <c r="A286" s="387" t="b">
        <v>1</v>
      </c>
      <c r="B286" s="397">
        <f t="shared" si="56"/>
        <v>-131</v>
      </c>
      <c r="C286" s="401" t="s">
        <v>2502</v>
      </c>
      <c r="D286" s="387" t="s">
        <v>2503</v>
      </c>
      <c r="E286" s="387">
        <f t="shared" si="57"/>
        <v>1</v>
      </c>
      <c r="F286" s="402">
        <v>4</v>
      </c>
      <c r="G286" s="387" t="str">
        <f t="shared" si="58"/>
        <v>42024</v>
      </c>
      <c r="H286" s="387">
        <f t="shared" si="59"/>
        <v>15</v>
      </c>
      <c r="I286" s="392"/>
      <c r="J286" s="403"/>
      <c r="K286" s="389">
        <v>85</v>
      </c>
      <c r="L286" s="391" t="s">
        <v>2351</v>
      </c>
      <c r="M286" s="399"/>
      <c r="N286" s="391"/>
    </row>
    <row r="287" spans="1:14">
      <c r="A287" s="387" t="b">
        <v>1</v>
      </c>
      <c r="B287" s="397">
        <f t="shared" si="56"/>
        <v>-130</v>
      </c>
      <c r="C287" s="401" t="s">
        <v>2504</v>
      </c>
      <c r="D287" s="387" t="s">
        <v>2503</v>
      </c>
      <c r="E287" s="387">
        <f t="shared" si="57"/>
        <v>2</v>
      </c>
      <c r="F287" s="402">
        <v>4</v>
      </c>
      <c r="G287" s="387" t="str">
        <f t="shared" si="58"/>
        <v>42025</v>
      </c>
      <c r="H287" s="387">
        <f t="shared" si="59"/>
        <v>15</v>
      </c>
      <c r="I287" s="392"/>
      <c r="J287" s="403"/>
      <c r="K287" s="389">
        <v>85</v>
      </c>
      <c r="L287" s="391" t="s">
        <v>2353</v>
      </c>
      <c r="M287" s="399"/>
      <c r="N287" s="391"/>
    </row>
    <row r="288" spans="1:14">
      <c r="A288" s="387" t="b">
        <v>1</v>
      </c>
      <c r="B288" s="397">
        <f t="shared" si="56"/>
        <v>-129</v>
      </c>
      <c r="C288" s="401" t="s">
        <v>2505</v>
      </c>
      <c r="D288" s="387" t="s">
        <v>2503</v>
      </c>
      <c r="E288" s="387">
        <f t="shared" si="57"/>
        <v>3</v>
      </c>
      <c r="F288" s="402">
        <v>4</v>
      </c>
      <c r="G288" s="387" t="str">
        <f t="shared" si="58"/>
        <v>42026</v>
      </c>
      <c r="H288" s="387">
        <f t="shared" si="59"/>
        <v>15</v>
      </c>
      <c r="I288" s="392"/>
      <c r="J288" s="403"/>
      <c r="K288" s="389">
        <v>85</v>
      </c>
      <c r="L288" s="391" t="s">
        <v>2355</v>
      </c>
      <c r="M288" s="399"/>
      <c r="N288" s="391"/>
    </row>
    <row r="289" spans="1:14">
      <c r="A289" s="387" t="b">
        <v>0</v>
      </c>
      <c r="B289" s="397">
        <f t="shared" si="56"/>
        <v>-128</v>
      </c>
      <c r="C289" s="401" t="s">
        <v>2506</v>
      </c>
      <c r="D289" s="387" t="s">
        <v>2503</v>
      </c>
      <c r="E289" s="387">
        <f t="shared" si="57"/>
        <v>4</v>
      </c>
      <c r="F289" s="402">
        <v>4</v>
      </c>
      <c r="G289" s="387" t="str">
        <f t="shared" si="58"/>
        <v>4</v>
      </c>
      <c r="H289" s="387">
        <f t="shared" si="59"/>
        <v>15</v>
      </c>
      <c r="I289" s="392"/>
      <c r="J289" s="403"/>
      <c r="K289" s="389"/>
      <c r="L289" s="391"/>
      <c r="M289" s="399"/>
      <c r="N289" s="391"/>
    </row>
    <row r="290" spans="1:14">
      <c r="A290" s="387" t="b">
        <v>0</v>
      </c>
      <c r="B290" s="397">
        <f t="shared" si="56"/>
        <v>-127</v>
      </c>
      <c r="C290" s="401" t="s">
        <v>2507</v>
      </c>
      <c r="D290" s="387" t="s">
        <v>2503</v>
      </c>
      <c r="E290" s="387">
        <f t="shared" si="57"/>
        <v>5</v>
      </c>
      <c r="F290" s="402">
        <v>4</v>
      </c>
      <c r="G290" s="387" t="str">
        <f t="shared" si="58"/>
        <v>4</v>
      </c>
      <c r="H290" s="387">
        <f t="shared" si="59"/>
        <v>15</v>
      </c>
      <c r="I290" s="392"/>
      <c r="J290" s="403"/>
      <c r="K290" s="389"/>
      <c r="L290" s="391"/>
      <c r="M290" s="399"/>
      <c r="N290" s="391"/>
    </row>
    <row r="291" spans="1:14">
      <c r="A291" s="387" t="b">
        <v>0</v>
      </c>
      <c r="B291" s="397">
        <f t="shared" si="56"/>
        <v>-126</v>
      </c>
      <c r="C291" s="401" t="s">
        <v>2508</v>
      </c>
      <c r="D291" s="387" t="s">
        <v>2503</v>
      </c>
      <c r="E291" s="387">
        <f t="shared" si="57"/>
        <v>6</v>
      </c>
      <c r="F291" s="402">
        <v>4</v>
      </c>
      <c r="G291" s="387" t="str">
        <f t="shared" si="58"/>
        <v>4</v>
      </c>
      <c r="H291" s="387">
        <f t="shared" si="59"/>
        <v>15</v>
      </c>
      <c r="I291" s="392"/>
      <c r="J291" s="403"/>
      <c r="K291" s="389"/>
      <c r="L291" s="391"/>
      <c r="M291" s="399"/>
      <c r="N291" s="391"/>
    </row>
    <row r="292" spans="1:14">
      <c r="A292" s="387" t="b">
        <v>0</v>
      </c>
      <c r="B292" s="397">
        <f t="shared" si="56"/>
        <v>-125</v>
      </c>
      <c r="C292" s="401" t="s">
        <v>2509</v>
      </c>
      <c r="D292" s="387" t="s">
        <v>2510</v>
      </c>
      <c r="E292" s="387">
        <f t="shared" si="57"/>
        <v>1</v>
      </c>
      <c r="F292" s="402">
        <v>5</v>
      </c>
      <c r="G292" s="387" t="str">
        <f t="shared" si="58"/>
        <v>52024</v>
      </c>
      <c r="H292" s="387">
        <f t="shared" si="59"/>
        <v>17</v>
      </c>
      <c r="I292" s="392"/>
      <c r="J292" s="403"/>
      <c r="K292" s="389"/>
      <c r="L292" s="391" t="s">
        <v>2351</v>
      </c>
      <c r="M292" s="399"/>
      <c r="N292" s="391"/>
    </row>
    <row r="293" spans="1:14">
      <c r="A293" s="387" t="b">
        <v>1</v>
      </c>
      <c r="B293" s="397">
        <f t="shared" si="56"/>
        <v>-124</v>
      </c>
      <c r="C293" s="401" t="s">
        <v>2511</v>
      </c>
      <c r="D293" s="387" t="s">
        <v>2510</v>
      </c>
      <c r="E293" s="387">
        <f t="shared" si="57"/>
        <v>2</v>
      </c>
      <c r="F293" s="402">
        <v>5</v>
      </c>
      <c r="G293" s="387" t="str">
        <f t="shared" si="58"/>
        <v>52025</v>
      </c>
      <c r="H293" s="387">
        <f t="shared" si="59"/>
        <v>17</v>
      </c>
      <c r="I293" s="392"/>
      <c r="J293" s="403"/>
      <c r="K293" s="389"/>
      <c r="L293" s="391" t="s">
        <v>2353</v>
      </c>
      <c r="M293" s="399"/>
      <c r="N293" s="391" t="s">
        <v>665</v>
      </c>
    </row>
    <row r="294" spans="1:14">
      <c r="A294" s="387" t="b">
        <v>0</v>
      </c>
      <c r="B294" s="397">
        <f t="shared" si="56"/>
        <v>-123</v>
      </c>
      <c r="C294" s="401" t="s">
        <v>2512</v>
      </c>
      <c r="D294" s="387" t="s">
        <v>2510</v>
      </c>
      <c r="E294" s="387">
        <f t="shared" si="57"/>
        <v>3</v>
      </c>
      <c r="F294" s="402">
        <v>5</v>
      </c>
      <c r="G294" s="387" t="str">
        <f t="shared" si="58"/>
        <v>52026</v>
      </c>
      <c r="H294" s="387">
        <f t="shared" si="59"/>
        <v>17</v>
      </c>
      <c r="I294" s="392"/>
      <c r="J294" s="403"/>
      <c r="K294" s="389"/>
      <c r="L294" s="391" t="s">
        <v>2355</v>
      </c>
      <c r="M294" s="399"/>
      <c r="N294" s="391"/>
    </row>
    <row r="295" spans="1:14">
      <c r="A295" s="387" t="b">
        <v>0</v>
      </c>
      <c r="B295" s="397">
        <f t="shared" si="56"/>
        <v>-122</v>
      </c>
      <c r="C295" s="401" t="s">
        <v>2513</v>
      </c>
      <c r="D295" s="387" t="s">
        <v>2510</v>
      </c>
      <c r="E295" s="387">
        <f t="shared" si="57"/>
        <v>4</v>
      </c>
      <c r="F295" s="402">
        <v>5</v>
      </c>
      <c r="G295" s="387" t="str">
        <f t="shared" si="58"/>
        <v>5</v>
      </c>
      <c r="H295" s="387">
        <f t="shared" si="59"/>
        <v>17</v>
      </c>
      <c r="I295" s="392"/>
      <c r="J295" s="403"/>
      <c r="K295" s="389"/>
      <c r="L295" s="391"/>
      <c r="M295" s="399"/>
      <c r="N295" s="391"/>
    </row>
    <row r="296" spans="1:14">
      <c r="A296" s="387" t="b">
        <v>0</v>
      </c>
      <c r="B296" s="397">
        <f t="shared" si="56"/>
        <v>-121</v>
      </c>
      <c r="C296" s="401" t="s">
        <v>2514</v>
      </c>
      <c r="D296" s="387" t="s">
        <v>2510</v>
      </c>
      <c r="E296" s="387">
        <f t="shared" si="57"/>
        <v>5</v>
      </c>
      <c r="F296" s="402">
        <v>5</v>
      </c>
      <c r="G296" s="387" t="str">
        <f t="shared" si="58"/>
        <v>5</v>
      </c>
      <c r="H296" s="387">
        <f t="shared" si="59"/>
        <v>17</v>
      </c>
      <c r="I296" s="392"/>
      <c r="J296" s="403"/>
      <c r="K296" s="389"/>
      <c r="L296" s="391"/>
      <c r="M296" s="399"/>
      <c r="N296" s="391"/>
    </row>
    <row r="297" spans="1:14">
      <c r="A297" s="387" t="b">
        <v>0</v>
      </c>
      <c r="B297" s="397">
        <f t="shared" si="56"/>
        <v>-120</v>
      </c>
      <c r="C297" s="401" t="s">
        <v>2515</v>
      </c>
      <c r="D297" s="387" t="s">
        <v>2510</v>
      </c>
      <c r="E297" s="387">
        <f t="shared" si="57"/>
        <v>6</v>
      </c>
      <c r="F297" s="402">
        <v>5</v>
      </c>
      <c r="G297" s="387" t="str">
        <f t="shared" si="58"/>
        <v>5</v>
      </c>
      <c r="H297" s="387">
        <f t="shared" si="59"/>
        <v>17</v>
      </c>
      <c r="I297" s="392"/>
      <c r="J297" s="403"/>
      <c r="K297" s="389"/>
      <c r="L297" s="391"/>
      <c r="M297" s="399"/>
      <c r="N297" s="391"/>
    </row>
    <row r="298" spans="1:14">
      <c r="A298" s="387" t="b">
        <v>0</v>
      </c>
      <c r="B298" s="397">
        <f t="shared" si="56"/>
        <v>-119</v>
      </c>
      <c r="C298" s="401" t="s">
        <v>2516</v>
      </c>
      <c r="D298" s="387" t="s">
        <v>2517</v>
      </c>
      <c r="E298" s="387">
        <f t="shared" si="57"/>
        <v>1</v>
      </c>
      <c r="F298" s="402">
        <v>6</v>
      </c>
      <c r="G298" s="387" t="str">
        <f t="shared" si="58"/>
        <v>62024</v>
      </c>
      <c r="H298" s="387">
        <f t="shared" si="59"/>
        <v>19</v>
      </c>
      <c r="I298" s="392"/>
      <c r="J298" s="403"/>
      <c r="K298" s="389"/>
      <c r="L298" s="391" t="s">
        <v>2351</v>
      </c>
      <c r="M298" s="399"/>
      <c r="N298" s="391"/>
    </row>
    <row r="299" spans="1:14">
      <c r="A299" s="387" t="b">
        <v>1</v>
      </c>
      <c r="B299" s="397">
        <f t="shared" si="56"/>
        <v>-118</v>
      </c>
      <c r="C299" s="401" t="s">
        <v>2518</v>
      </c>
      <c r="D299" s="387" t="s">
        <v>2517</v>
      </c>
      <c r="E299" s="387">
        <f t="shared" si="57"/>
        <v>2</v>
      </c>
      <c r="F299" s="402">
        <v>6</v>
      </c>
      <c r="G299" s="387" t="str">
        <f t="shared" si="58"/>
        <v>62025</v>
      </c>
      <c r="H299" s="387">
        <f t="shared" si="59"/>
        <v>19</v>
      </c>
      <c r="I299" s="392"/>
      <c r="J299" s="403"/>
      <c r="K299" s="389"/>
      <c r="L299" s="391" t="s">
        <v>2353</v>
      </c>
      <c r="M299" s="399"/>
      <c r="N299" s="391" t="s">
        <v>665</v>
      </c>
    </row>
    <row r="300" spans="1:14">
      <c r="A300" s="387" t="b">
        <v>0</v>
      </c>
      <c r="B300" s="397">
        <f t="shared" si="56"/>
        <v>-117</v>
      </c>
      <c r="C300" s="401" t="s">
        <v>2519</v>
      </c>
      <c r="D300" s="387" t="s">
        <v>2517</v>
      </c>
      <c r="E300" s="387">
        <f t="shared" si="57"/>
        <v>3</v>
      </c>
      <c r="F300" s="402">
        <v>6</v>
      </c>
      <c r="G300" s="387" t="str">
        <f t="shared" si="58"/>
        <v>62026</v>
      </c>
      <c r="H300" s="387">
        <f t="shared" si="59"/>
        <v>19</v>
      </c>
      <c r="I300" s="392"/>
      <c r="J300" s="403"/>
      <c r="K300" s="389"/>
      <c r="L300" s="391" t="s">
        <v>2355</v>
      </c>
      <c r="M300" s="399"/>
      <c r="N300" s="391"/>
    </row>
    <row r="301" spans="1:14">
      <c r="A301" s="387" t="b">
        <v>0</v>
      </c>
      <c r="B301" s="397">
        <f t="shared" si="56"/>
        <v>-116</v>
      </c>
      <c r="C301" s="401" t="s">
        <v>2520</v>
      </c>
      <c r="D301" s="387" t="s">
        <v>2517</v>
      </c>
      <c r="E301" s="387">
        <f t="shared" si="57"/>
        <v>4</v>
      </c>
      <c r="F301" s="402">
        <v>6</v>
      </c>
      <c r="G301" s="387" t="str">
        <f t="shared" si="58"/>
        <v>6</v>
      </c>
      <c r="H301" s="387">
        <f t="shared" si="59"/>
        <v>19</v>
      </c>
      <c r="I301" s="392"/>
      <c r="J301" s="403"/>
      <c r="K301" s="389"/>
      <c r="L301" s="391"/>
      <c r="M301" s="399"/>
      <c r="N301" s="391"/>
    </row>
    <row r="302" spans="1:14">
      <c r="A302" s="387" t="b">
        <v>0</v>
      </c>
      <c r="B302" s="397">
        <f t="shared" si="56"/>
        <v>-115</v>
      </c>
      <c r="C302" s="401" t="s">
        <v>2521</v>
      </c>
      <c r="D302" s="387" t="s">
        <v>2517</v>
      </c>
      <c r="E302" s="387">
        <f t="shared" si="57"/>
        <v>5</v>
      </c>
      <c r="F302" s="402">
        <v>6</v>
      </c>
      <c r="G302" s="387" t="str">
        <f t="shared" si="58"/>
        <v>6</v>
      </c>
      <c r="H302" s="387">
        <f t="shared" si="59"/>
        <v>19</v>
      </c>
      <c r="I302" s="392"/>
      <c r="J302" s="403"/>
      <c r="K302" s="389"/>
      <c r="L302" s="391"/>
      <c r="M302" s="399"/>
      <c r="N302" s="391"/>
    </row>
    <row r="303" spans="1:14">
      <c r="A303" s="387" t="b">
        <v>0</v>
      </c>
      <c r="B303" s="397">
        <f t="shared" si="56"/>
        <v>-114</v>
      </c>
      <c r="C303" s="401" t="s">
        <v>2522</v>
      </c>
      <c r="D303" s="387" t="s">
        <v>2517</v>
      </c>
      <c r="E303" s="387">
        <f t="shared" si="57"/>
        <v>6</v>
      </c>
      <c r="F303" s="402">
        <v>6</v>
      </c>
      <c r="G303" s="387" t="str">
        <f t="shared" si="58"/>
        <v>6</v>
      </c>
      <c r="H303" s="387">
        <f t="shared" si="59"/>
        <v>19</v>
      </c>
      <c r="I303" s="392"/>
      <c r="J303" s="403"/>
      <c r="K303" s="389"/>
      <c r="L303" s="391"/>
      <c r="M303" s="399"/>
      <c r="N303" s="391"/>
    </row>
    <row r="304" spans="1:14">
      <c r="A304" s="387" t="b">
        <v>0</v>
      </c>
      <c r="B304" s="397">
        <f t="shared" si="56"/>
        <v>-113</v>
      </c>
      <c r="C304" s="401" t="s">
        <v>2523</v>
      </c>
      <c r="D304" s="387" t="s">
        <v>2524</v>
      </c>
      <c r="E304" s="387">
        <f t="shared" si="57"/>
        <v>1</v>
      </c>
      <c r="F304" s="402">
        <v>7</v>
      </c>
      <c r="G304" s="387" t="str">
        <f t="shared" si="58"/>
        <v>72024</v>
      </c>
      <c r="H304" s="387">
        <f t="shared" si="59"/>
        <v>21</v>
      </c>
      <c r="I304" s="392"/>
      <c r="J304" s="403"/>
      <c r="K304" s="389"/>
      <c r="L304" s="391" t="s">
        <v>2351</v>
      </c>
      <c r="M304" s="399"/>
      <c r="N304" s="391"/>
    </row>
    <row r="305" spans="1:14">
      <c r="A305" s="387" t="b">
        <v>1</v>
      </c>
      <c r="B305" s="397">
        <f t="shared" si="56"/>
        <v>-112</v>
      </c>
      <c r="C305" s="401" t="s">
        <v>2525</v>
      </c>
      <c r="D305" s="387" t="s">
        <v>2524</v>
      </c>
      <c r="E305" s="387">
        <f t="shared" si="57"/>
        <v>2</v>
      </c>
      <c r="F305" s="402">
        <v>7</v>
      </c>
      <c r="G305" s="387" t="str">
        <f t="shared" si="58"/>
        <v>72025</v>
      </c>
      <c r="H305" s="387">
        <f t="shared" si="59"/>
        <v>21</v>
      </c>
      <c r="I305" s="392"/>
      <c r="J305" s="403"/>
      <c r="K305" s="389"/>
      <c r="L305" s="391" t="s">
        <v>2353</v>
      </c>
      <c r="M305" s="399"/>
      <c r="N305" s="391" t="s">
        <v>665</v>
      </c>
    </row>
    <row r="306" spans="1:14">
      <c r="A306" s="387" t="b">
        <v>0</v>
      </c>
      <c r="B306" s="397">
        <f t="shared" si="56"/>
        <v>-111</v>
      </c>
      <c r="C306" s="401" t="s">
        <v>2526</v>
      </c>
      <c r="D306" s="387" t="s">
        <v>2524</v>
      </c>
      <c r="E306" s="387">
        <f t="shared" si="57"/>
        <v>3</v>
      </c>
      <c r="F306" s="402">
        <v>7</v>
      </c>
      <c r="G306" s="387" t="str">
        <f t="shared" si="58"/>
        <v>72026</v>
      </c>
      <c r="H306" s="387">
        <f t="shared" si="59"/>
        <v>21</v>
      </c>
      <c r="I306" s="392"/>
      <c r="J306" s="403"/>
      <c r="K306" s="389"/>
      <c r="L306" s="391" t="s">
        <v>2355</v>
      </c>
      <c r="M306" s="399"/>
      <c r="N306" s="391"/>
    </row>
    <row r="307" spans="1:14">
      <c r="A307" s="387" t="b">
        <v>0</v>
      </c>
      <c r="B307" s="397">
        <f t="shared" si="56"/>
        <v>-110</v>
      </c>
      <c r="C307" s="401" t="s">
        <v>2527</v>
      </c>
      <c r="D307" s="387" t="s">
        <v>2524</v>
      </c>
      <c r="E307" s="387">
        <f t="shared" si="57"/>
        <v>4</v>
      </c>
      <c r="F307" s="402">
        <v>7</v>
      </c>
      <c r="G307" s="387" t="str">
        <f t="shared" si="58"/>
        <v>7</v>
      </c>
      <c r="H307" s="387">
        <f t="shared" si="59"/>
        <v>21</v>
      </c>
      <c r="I307" s="392"/>
      <c r="J307" s="403"/>
      <c r="K307" s="389"/>
      <c r="L307" s="391"/>
      <c r="M307" s="399"/>
      <c r="N307" s="391"/>
    </row>
    <row r="308" spans="1:14">
      <c r="A308" s="387" t="b">
        <v>0</v>
      </c>
      <c r="B308" s="397">
        <f t="shared" si="56"/>
        <v>-109</v>
      </c>
      <c r="C308" s="401" t="s">
        <v>2528</v>
      </c>
      <c r="D308" s="387" t="s">
        <v>2524</v>
      </c>
      <c r="E308" s="387">
        <f t="shared" si="57"/>
        <v>5</v>
      </c>
      <c r="F308" s="402">
        <v>7</v>
      </c>
      <c r="G308" s="387" t="str">
        <f t="shared" si="58"/>
        <v>7</v>
      </c>
      <c r="H308" s="387">
        <f t="shared" si="59"/>
        <v>21</v>
      </c>
      <c r="I308" s="392"/>
      <c r="J308" s="403"/>
      <c r="K308" s="389"/>
      <c r="L308" s="391"/>
      <c r="M308" s="399"/>
      <c r="N308" s="391"/>
    </row>
    <row r="309" spans="1:14">
      <c r="A309" s="387" t="b">
        <v>0</v>
      </c>
      <c r="B309" s="397">
        <f t="shared" si="56"/>
        <v>-108</v>
      </c>
      <c r="C309" s="401" t="s">
        <v>2529</v>
      </c>
      <c r="D309" s="387" t="s">
        <v>2524</v>
      </c>
      <c r="E309" s="387">
        <f t="shared" si="57"/>
        <v>6</v>
      </c>
      <c r="F309" s="402">
        <v>7</v>
      </c>
      <c r="G309" s="387" t="str">
        <f t="shared" si="58"/>
        <v>7</v>
      </c>
      <c r="H309" s="387">
        <f t="shared" si="59"/>
        <v>21</v>
      </c>
      <c r="I309" s="392"/>
      <c r="J309" s="403"/>
      <c r="K309" s="389"/>
      <c r="L309" s="391"/>
      <c r="M309" s="399"/>
      <c r="N309" s="391"/>
    </row>
    <row r="310" spans="1:14">
      <c r="A310" s="387" t="b">
        <v>1</v>
      </c>
      <c r="B310" s="397">
        <f t="shared" si="56"/>
        <v>-107</v>
      </c>
      <c r="C310" s="401" t="s">
        <v>2530</v>
      </c>
      <c r="D310" s="387" t="s">
        <v>2531</v>
      </c>
      <c r="E310" s="387">
        <f t="shared" si="57"/>
        <v>1</v>
      </c>
      <c r="F310" s="402">
        <v>8</v>
      </c>
      <c r="G310" s="387" t="str">
        <f t="shared" si="58"/>
        <v>82024</v>
      </c>
      <c r="H310" s="387">
        <f t="shared" si="59"/>
        <v>23</v>
      </c>
      <c r="I310" s="392">
        <v>517375</v>
      </c>
      <c r="J310" s="403">
        <v>434595</v>
      </c>
      <c r="K310" s="389">
        <v>84</v>
      </c>
      <c r="L310" s="391" t="s">
        <v>2351</v>
      </c>
      <c r="M310" s="399"/>
      <c r="N310" s="391"/>
    </row>
    <row r="311" spans="1:14">
      <c r="A311" s="387" t="b">
        <v>1</v>
      </c>
      <c r="B311" s="397">
        <f t="shared" si="56"/>
        <v>-106</v>
      </c>
      <c r="C311" s="401" t="s">
        <v>2532</v>
      </c>
      <c r="D311" s="387" t="s">
        <v>2531</v>
      </c>
      <c r="E311" s="387">
        <f t="shared" si="57"/>
        <v>2</v>
      </c>
      <c r="F311" s="402">
        <v>8</v>
      </c>
      <c r="G311" s="387" t="str">
        <f t="shared" si="58"/>
        <v>82025</v>
      </c>
      <c r="H311" s="387">
        <f t="shared" si="59"/>
        <v>23</v>
      </c>
      <c r="I311" s="392">
        <v>517111</v>
      </c>
      <c r="J311" s="403">
        <v>449887</v>
      </c>
      <c r="K311" s="389">
        <v>87.000083154293804</v>
      </c>
      <c r="L311" s="391" t="s">
        <v>2353</v>
      </c>
      <c r="M311" s="399"/>
      <c r="N311" s="391"/>
    </row>
    <row r="312" spans="1:14">
      <c r="A312" s="387" t="b">
        <v>1</v>
      </c>
      <c r="B312" s="397">
        <f t="shared" si="56"/>
        <v>-105</v>
      </c>
      <c r="C312" s="401" t="s">
        <v>2533</v>
      </c>
      <c r="D312" s="387" t="s">
        <v>2531</v>
      </c>
      <c r="E312" s="387">
        <f t="shared" si="57"/>
        <v>3</v>
      </c>
      <c r="F312" s="402">
        <v>8</v>
      </c>
      <c r="G312" s="387" t="str">
        <f t="shared" si="58"/>
        <v>82026</v>
      </c>
      <c r="H312" s="387">
        <f t="shared" si="59"/>
        <v>23</v>
      </c>
      <c r="I312" s="392">
        <v>515190</v>
      </c>
      <c r="J312" s="403">
        <v>468823</v>
      </c>
      <c r="K312" s="389">
        <v>91.000019410314593</v>
      </c>
      <c r="L312" s="391" t="s">
        <v>2355</v>
      </c>
      <c r="M312" s="399"/>
      <c r="N312" s="391"/>
    </row>
    <row r="313" spans="1:14">
      <c r="A313" s="387" t="b">
        <v>0</v>
      </c>
      <c r="B313" s="397">
        <f t="shared" si="56"/>
        <v>-104</v>
      </c>
      <c r="C313" s="401" t="s">
        <v>2534</v>
      </c>
      <c r="D313" s="387" t="s">
        <v>2531</v>
      </c>
      <c r="E313" s="387">
        <f t="shared" si="57"/>
        <v>4</v>
      </c>
      <c r="F313" s="402">
        <v>8</v>
      </c>
      <c r="G313" s="387" t="str">
        <f t="shared" si="58"/>
        <v>8</v>
      </c>
      <c r="H313" s="387">
        <f t="shared" si="59"/>
        <v>23</v>
      </c>
      <c r="I313" s="392"/>
      <c r="J313" s="403"/>
      <c r="K313" s="389"/>
      <c r="L313" s="391"/>
      <c r="M313" s="399"/>
      <c r="N313" s="391"/>
    </row>
    <row r="314" spans="1:14">
      <c r="A314" s="387" t="b">
        <v>0</v>
      </c>
      <c r="B314" s="397">
        <f t="shared" si="56"/>
        <v>-103</v>
      </c>
      <c r="C314" s="401" t="s">
        <v>2535</v>
      </c>
      <c r="D314" s="387" t="s">
        <v>2531</v>
      </c>
      <c r="E314" s="387">
        <f t="shared" si="57"/>
        <v>5</v>
      </c>
      <c r="F314" s="402">
        <v>8</v>
      </c>
      <c r="G314" s="387" t="str">
        <f t="shared" si="58"/>
        <v>8</v>
      </c>
      <c r="H314" s="387">
        <f t="shared" si="59"/>
        <v>23</v>
      </c>
      <c r="I314" s="392"/>
      <c r="J314" s="403"/>
      <c r="K314" s="389"/>
      <c r="L314" s="391"/>
      <c r="M314" s="399"/>
      <c r="N314" s="391"/>
    </row>
    <row r="315" spans="1:14">
      <c r="A315" s="387" t="b">
        <v>0</v>
      </c>
      <c r="B315" s="397">
        <f t="shared" si="56"/>
        <v>-102</v>
      </c>
      <c r="C315" s="401" t="s">
        <v>2536</v>
      </c>
      <c r="D315" s="387" t="s">
        <v>2531</v>
      </c>
      <c r="E315" s="387">
        <f t="shared" si="57"/>
        <v>6</v>
      </c>
      <c r="F315" s="402">
        <v>8</v>
      </c>
      <c r="G315" s="387" t="str">
        <f t="shared" si="58"/>
        <v>8</v>
      </c>
      <c r="H315" s="387">
        <f t="shared" si="59"/>
        <v>23</v>
      </c>
      <c r="I315" s="392"/>
      <c r="J315" s="403"/>
      <c r="K315" s="389"/>
      <c r="L315" s="391"/>
      <c r="M315" s="399"/>
      <c r="N315" s="391"/>
    </row>
    <row r="316" spans="1:14">
      <c r="A316" s="387" t="b">
        <v>1</v>
      </c>
      <c r="B316" s="397">
        <f t="shared" si="56"/>
        <v>-101</v>
      </c>
      <c r="C316" s="401" t="s">
        <v>2537</v>
      </c>
      <c r="D316" s="387" t="s">
        <v>2538</v>
      </c>
      <c r="E316" s="387">
        <f t="shared" si="57"/>
        <v>1</v>
      </c>
      <c r="F316" s="402">
        <v>9</v>
      </c>
      <c r="G316" s="387" t="str">
        <f t="shared" si="58"/>
        <v>92024</v>
      </c>
      <c r="H316" s="387">
        <f t="shared" si="59"/>
        <v>25</v>
      </c>
      <c r="I316" s="392">
        <v>517375</v>
      </c>
      <c r="J316" s="403">
        <v>391398.03666661598</v>
      </c>
      <c r="K316" s="389">
        <v>75.650743980017594</v>
      </c>
      <c r="L316" s="391" t="s">
        <v>2351</v>
      </c>
      <c r="M316" s="399"/>
      <c r="N316" s="391"/>
    </row>
    <row r="317" spans="1:14">
      <c r="A317" s="387" t="b">
        <v>1</v>
      </c>
      <c r="B317" s="397">
        <f t="shared" si="56"/>
        <v>-100</v>
      </c>
      <c r="C317" s="401" t="s">
        <v>2539</v>
      </c>
      <c r="D317" s="387" t="s">
        <v>2538</v>
      </c>
      <c r="E317" s="387">
        <f t="shared" si="57"/>
        <v>2</v>
      </c>
      <c r="F317" s="402">
        <v>9</v>
      </c>
      <c r="G317" s="387" t="str">
        <f t="shared" si="58"/>
        <v>92025</v>
      </c>
      <c r="H317" s="387">
        <f t="shared" si="59"/>
        <v>25</v>
      </c>
      <c r="I317" s="392">
        <v>517111</v>
      </c>
      <c r="J317" s="403">
        <v>409604.66714365501</v>
      </c>
      <c r="K317" s="389">
        <v>79.210201899332105</v>
      </c>
      <c r="L317" s="391" t="s">
        <v>2353</v>
      </c>
      <c r="M317" s="399"/>
      <c r="N317" s="391"/>
    </row>
    <row r="318" spans="1:14">
      <c r="A318" s="387" t="b">
        <v>1</v>
      </c>
      <c r="B318" s="397">
        <f t="shared" si="56"/>
        <v>-99</v>
      </c>
      <c r="C318" s="401" t="s">
        <v>2540</v>
      </c>
      <c r="D318" s="387" t="s">
        <v>2538</v>
      </c>
      <c r="E318" s="387">
        <f t="shared" si="57"/>
        <v>3</v>
      </c>
      <c r="F318" s="402">
        <v>9</v>
      </c>
      <c r="G318" s="387" t="str">
        <f t="shared" si="58"/>
        <v>92026</v>
      </c>
      <c r="H318" s="387">
        <f t="shared" si="59"/>
        <v>25</v>
      </c>
      <c r="I318" s="392">
        <v>515190</v>
      </c>
      <c r="J318" s="403">
        <v>426422.27749992802</v>
      </c>
      <c r="K318" s="389">
        <v>82.769905762908493</v>
      </c>
      <c r="L318" s="391" t="s">
        <v>2355</v>
      </c>
      <c r="M318" s="399"/>
      <c r="N318" s="391"/>
    </row>
    <row r="319" spans="1:14">
      <c r="A319" s="387" t="b">
        <v>0</v>
      </c>
      <c r="B319" s="397">
        <f t="shared" si="56"/>
        <v>-98</v>
      </c>
      <c r="C319" s="401" t="s">
        <v>2541</v>
      </c>
      <c r="D319" s="387" t="s">
        <v>2538</v>
      </c>
      <c r="E319" s="387">
        <f t="shared" si="57"/>
        <v>4</v>
      </c>
      <c r="F319" s="402">
        <v>9</v>
      </c>
      <c r="G319" s="387" t="str">
        <f t="shared" si="58"/>
        <v>9</v>
      </c>
      <c r="H319" s="387">
        <f t="shared" si="59"/>
        <v>25</v>
      </c>
      <c r="I319" s="392"/>
      <c r="J319" s="403"/>
      <c r="K319" s="389"/>
      <c r="L319" s="391"/>
      <c r="M319" s="399"/>
      <c r="N319" s="391"/>
    </row>
    <row r="320" spans="1:14">
      <c r="A320" s="387" t="b">
        <v>0</v>
      </c>
      <c r="B320" s="397">
        <f t="shared" si="56"/>
        <v>-97</v>
      </c>
      <c r="C320" s="401" t="s">
        <v>2542</v>
      </c>
      <c r="D320" s="387" t="s">
        <v>2538</v>
      </c>
      <c r="E320" s="387">
        <f t="shared" si="57"/>
        <v>5</v>
      </c>
      <c r="F320" s="402">
        <v>9</v>
      </c>
      <c r="G320" s="387" t="str">
        <f t="shared" si="58"/>
        <v>9</v>
      </c>
      <c r="H320" s="387">
        <f t="shared" si="59"/>
        <v>25</v>
      </c>
      <c r="I320" s="392"/>
      <c r="J320" s="403"/>
      <c r="K320" s="389"/>
      <c r="L320" s="391"/>
      <c r="M320" s="399"/>
      <c r="N320" s="391"/>
    </row>
    <row r="321" spans="1:14">
      <c r="A321" s="387" t="b">
        <v>0</v>
      </c>
      <c r="B321" s="397">
        <f t="shared" si="56"/>
        <v>-96</v>
      </c>
      <c r="C321" s="401" t="s">
        <v>2543</v>
      </c>
      <c r="D321" s="387" t="s">
        <v>2538</v>
      </c>
      <c r="E321" s="387">
        <f t="shared" si="57"/>
        <v>6</v>
      </c>
      <c r="F321" s="402">
        <v>9</v>
      </c>
      <c r="G321" s="387" t="str">
        <f t="shared" si="58"/>
        <v>9</v>
      </c>
      <c r="H321" s="387">
        <f t="shared" si="59"/>
        <v>25</v>
      </c>
      <c r="I321" s="392"/>
      <c r="J321" s="403"/>
      <c r="K321" s="389"/>
      <c r="L321" s="391"/>
      <c r="M321" s="399"/>
      <c r="N321" s="391"/>
    </row>
    <row r="322" spans="1:14">
      <c r="A322" s="387" t="b">
        <v>0</v>
      </c>
      <c r="B322" s="397">
        <f t="shared" si="56"/>
        <v>-95</v>
      </c>
      <c r="C322" s="401" t="s">
        <v>2544</v>
      </c>
      <c r="D322" s="387" t="s">
        <v>2545</v>
      </c>
      <c r="E322" s="387">
        <f t="shared" si="57"/>
        <v>1</v>
      </c>
      <c r="F322" s="402">
        <v>10</v>
      </c>
      <c r="G322" s="387" t="str">
        <f t="shared" si="58"/>
        <v>102024</v>
      </c>
      <c r="H322" s="387">
        <f t="shared" si="59"/>
        <v>27</v>
      </c>
      <c r="I322" s="392"/>
      <c r="J322" s="403"/>
      <c r="K322" s="389"/>
      <c r="L322" s="391" t="s">
        <v>2351</v>
      </c>
      <c r="M322" s="399"/>
      <c r="N322" s="391"/>
    </row>
    <row r="323" spans="1:14">
      <c r="A323" s="387" t="b">
        <v>1</v>
      </c>
      <c r="B323" s="397">
        <f t="shared" si="56"/>
        <v>-94</v>
      </c>
      <c r="C323" s="401" t="s">
        <v>2546</v>
      </c>
      <c r="D323" s="387" t="s">
        <v>2545</v>
      </c>
      <c r="E323" s="387">
        <f t="shared" si="57"/>
        <v>2</v>
      </c>
      <c r="F323" s="402">
        <v>10</v>
      </c>
      <c r="G323" s="387" t="str">
        <f t="shared" si="58"/>
        <v>102025</v>
      </c>
      <c r="H323" s="387">
        <f t="shared" si="59"/>
        <v>27</v>
      </c>
      <c r="I323" s="392"/>
      <c r="J323" s="403"/>
      <c r="K323" s="389"/>
      <c r="L323" s="391" t="s">
        <v>2353</v>
      </c>
      <c r="M323" s="399"/>
      <c r="N323" s="391" t="s">
        <v>665</v>
      </c>
    </row>
    <row r="324" spans="1:14">
      <c r="A324" s="387" t="b">
        <v>0</v>
      </c>
      <c r="B324" s="397">
        <f t="shared" si="56"/>
        <v>-93</v>
      </c>
      <c r="C324" s="401" t="s">
        <v>2547</v>
      </c>
      <c r="D324" s="387" t="s">
        <v>2545</v>
      </c>
      <c r="E324" s="387">
        <f t="shared" si="57"/>
        <v>3</v>
      </c>
      <c r="F324" s="402">
        <v>10</v>
      </c>
      <c r="G324" s="387" t="str">
        <f t="shared" si="58"/>
        <v>102026</v>
      </c>
      <c r="H324" s="387">
        <f t="shared" si="59"/>
        <v>27</v>
      </c>
      <c r="I324" s="392"/>
      <c r="J324" s="403"/>
      <c r="K324" s="389"/>
      <c r="L324" s="391" t="s">
        <v>2355</v>
      </c>
      <c r="M324" s="399"/>
      <c r="N324" s="391"/>
    </row>
    <row r="325" spans="1:14">
      <c r="A325" s="387" t="b">
        <v>0</v>
      </c>
      <c r="B325" s="397">
        <f t="shared" si="56"/>
        <v>-92</v>
      </c>
      <c r="C325" s="401" t="s">
        <v>2548</v>
      </c>
      <c r="D325" s="387" t="s">
        <v>2545</v>
      </c>
      <c r="E325" s="387">
        <f t="shared" si="57"/>
        <v>4</v>
      </c>
      <c r="F325" s="402">
        <v>10</v>
      </c>
      <c r="G325" s="387" t="str">
        <f t="shared" si="58"/>
        <v>10</v>
      </c>
      <c r="H325" s="387">
        <f t="shared" si="59"/>
        <v>27</v>
      </c>
      <c r="I325" s="392"/>
      <c r="J325" s="403"/>
      <c r="K325" s="389"/>
      <c r="L325" s="391"/>
      <c r="M325" s="399"/>
      <c r="N325" s="391"/>
    </row>
    <row r="326" spans="1:14">
      <c r="A326" s="387" t="b">
        <v>0</v>
      </c>
      <c r="B326" s="397">
        <f t="shared" si="56"/>
        <v>-91</v>
      </c>
      <c r="C326" s="401" t="s">
        <v>2549</v>
      </c>
      <c r="D326" s="387" t="s">
        <v>2545</v>
      </c>
      <c r="E326" s="387">
        <f t="shared" si="57"/>
        <v>5</v>
      </c>
      <c r="F326" s="402">
        <v>10</v>
      </c>
      <c r="G326" s="387" t="str">
        <f t="shared" si="58"/>
        <v>10</v>
      </c>
      <c r="H326" s="387">
        <f t="shared" si="59"/>
        <v>27</v>
      </c>
      <c r="I326" s="392"/>
      <c r="J326" s="403"/>
      <c r="K326" s="389"/>
      <c r="L326" s="391"/>
      <c r="M326" s="399"/>
      <c r="N326" s="391"/>
    </row>
    <row r="327" spans="1:14">
      <c r="A327" s="387" t="b">
        <v>0</v>
      </c>
      <c r="B327" s="397">
        <f t="shared" si="56"/>
        <v>-90</v>
      </c>
      <c r="C327" s="401" t="s">
        <v>2550</v>
      </c>
      <c r="D327" s="387" t="s">
        <v>2545</v>
      </c>
      <c r="E327" s="387">
        <f t="shared" si="57"/>
        <v>6</v>
      </c>
      <c r="F327" s="402">
        <v>10</v>
      </c>
      <c r="G327" s="387" t="str">
        <f t="shared" si="58"/>
        <v>10</v>
      </c>
      <c r="H327" s="387">
        <f t="shared" si="59"/>
        <v>27</v>
      </c>
      <c r="I327" s="392"/>
      <c r="J327" s="403"/>
      <c r="K327" s="389"/>
      <c r="L327" s="391"/>
      <c r="M327" s="399"/>
      <c r="N327" s="391"/>
    </row>
    <row r="328" spans="1:14">
      <c r="A328" s="387" t="b">
        <v>0</v>
      </c>
      <c r="B328" s="397">
        <f t="shared" si="56"/>
        <v>-89</v>
      </c>
      <c r="C328" s="401" t="s">
        <v>2551</v>
      </c>
      <c r="D328" s="387" t="s">
        <v>2552</v>
      </c>
      <c r="E328" s="387">
        <f t="shared" si="57"/>
        <v>1</v>
      </c>
      <c r="F328" s="402">
        <v>11</v>
      </c>
      <c r="G328" s="387" t="str">
        <f t="shared" si="58"/>
        <v>112024</v>
      </c>
      <c r="H328" s="387">
        <f t="shared" si="59"/>
        <v>29</v>
      </c>
      <c r="I328" s="392"/>
      <c r="J328" s="403"/>
      <c r="K328" s="389"/>
      <c r="L328" s="391" t="s">
        <v>2351</v>
      </c>
      <c r="M328" s="399"/>
      <c r="N328" s="391"/>
    </row>
    <row r="329" spans="1:14">
      <c r="A329" s="387" t="b">
        <v>1</v>
      </c>
      <c r="B329" s="397">
        <f t="shared" si="56"/>
        <v>-88</v>
      </c>
      <c r="C329" s="401" t="s">
        <v>2553</v>
      </c>
      <c r="D329" s="387" t="s">
        <v>2552</v>
      </c>
      <c r="E329" s="387">
        <f t="shared" si="57"/>
        <v>2</v>
      </c>
      <c r="F329" s="402">
        <v>11</v>
      </c>
      <c r="G329" s="387" t="str">
        <f t="shared" si="58"/>
        <v>112025</v>
      </c>
      <c r="H329" s="387">
        <f t="shared" si="59"/>
        <v>29</v>
      </c>
      <c r="I329" s="392"/>
      <c r="J329" s="403"/>
      <c r="K329" s="389"/>
      <c r="L329" s="391" t="s">
        <v>2353</v>
      </c>
      <c r="M329" s="399"/>
      <c r="N329" s="391" t="s">
        <v>665</v>
      </c>
    </row>
    <row r="330" spans="1:14">
      <c r="A330" s="387" t="b">
        <v>0</v>
      </c>
      <c r="B330" s="397">
        <f t="shared" si="56"/>
        <v>-87</v>
      </c>
      <c r="C330" s="401" t="s">
        <v>2554</v>
      </c>
      <c r="D330" s="387" t="s">
        <v>2552</v>
      </c>
      <c r="E330" s="387">
        <f t="shared" si="57"/>
        <v>3</v>
      </c>
      <c r="F330" s="402">
        <v>11</v>
      </c>
      <c r="G330" s="387" t="str">
        <f t="shared" si="58"/>
        <v>112026</v>
      </c>
      <c r="H330" s="387">
        <f t="shared" si="59"/>
        <v>29</v>
      </c>
      <c r="I330" s="392"/>
      <c r="J330" s="403"/>
      <c r="K330" s="389"/>
      <c r="L330" s="391" t="s">
        <v>2355</v>
      </c>
      <c r="M330" s="399"/>
      <c r="N330" s="391"/>
    </row>
    <row r="331" spans="1:14">
      <c r="A331" s="387" t="b">
        <v>0</v>
      </c>
      <c r="B331" s="397">
        <f t="shared" si="56"/>
        <v>-86</v>
      </c>
      <c r="C331" s="401" t="s">
        <v>2555</v>
      </c>
      <c r="D331" s="387" t="s">
        <v>2552</v>
      </c>
      <c r="E331" s="387">
        <f t="shared" si="57"/>
        <v>4</v>
      </c>
      <c r="F331" s="402">
        <v>11</v>
      </c>
      <c r="G331" s="387" t="str">
        <f t="shared" si="58"/>
        <v>11</v>
      </c>
      <c r="H331" s="387">
        <f t="shared" si="59"/>
        <v>29</v>
      </c>
      <c r="I331" s="392"/>
      <c r="J331" s="403"/>
      <c r="K331" s="389"/>
      <c r="L331" s="391"/>
      <c r="M331" s="399"/>
      <c r="N331" s="391"/>
    </row>
    <row r="332" spans="1:14">
      <c r="A332" s="387" t="b">
        <v>0</v>
      </c>
      <c r="B332" s="397">
        <f t="shared" ref="B332:B395" si="60">B331+1</f>
        <v>-85</v>
      </c>
      <c r="C332" s="401" t="s">
        <v>2556</v>
      </c>
      <c r="D332" s="387" t="s">
        <v>2552</v>
      </c>
      <c r="E332" s="387">
        <f t="shared" ref="E332:E395" si="61">COUNTIF(F323:F332,F332)</f>
        <v>5</v>
      </c>
      <c r="F332" s="402">
        <v>11</v>
      </c>
      <c r="G332" s="387" t="str">
        <f t="shared" ref="G332:G395" si="62">CONCATENATE(F332,L332)</f>
        <v>11</v>
      </c>
      <c r="H332" s="387">
        <f t="shared" ref="H332:H395" si="63">VLOOKUP(F332,$AH$1:$AI$225,2,FALSE)</f>
        <v>29</v>
      </c>
      <c r="I332" s="392"/>
      <c r="J332" s="403"/>
      <c r="K332" s="389"/>
      <c r="L332" s="391"/>
      <c r="M332" s="399"/>
      <c r="N332" s="391"/>
    </row>
    <row r="333" spans="1:14">
      <c r="A333" s="387" t="b">
        <v>0</v>
      </c>
      <c r="B333" s="397">
        <f t="shared" si="60"/>
        <v>-84</v>
      </c>
      <c r="C333" s="401" t="s">
        <v>2557</v>
      </c>
      <c r="D333" s="387" t="s">
        <v>2552</v>
      </c>
      <c r="E333" s="387">
        <f t="shared" si="61"/>
        <v>6</v>
      </c>
      <c r="F333" s="402">
        <v>11</v>
      </c>
      <c r="G333" s="387" t="str">
        <f t="shared" si="62"/>
        <v>11</v>
      </c>
      <c r="H333" s="387">
        <f t="shared" si="63"/>
        <v>29</v>
      </c>
      <c r="I333" s="392"/>
      <c r="J333" s="403"/>
      <c r="K333" s="389"/>
      <c r="L333" s="391"/>
      <c r="M333" s="399"/>
      <c r="N333" s="391"/>
    </row>
    <row r="334" spans="1:14">
      <c r="A334" s="387" t="b">
        <v>0</v>
      </c>
      <c r="B334" s="397">
        <f t="shared" si="60"/>
        <v>-83</v>
      </c>
      <c r="C334" s="401" t="s">
        <v>2558</v>
      </c>
      <c r="D334" s="387" t="s">
        <v>2559</v>
      </c>
      <c r="E334" s="387">
        <f t="shared" si="61"/>
        <v>1</v>
      </c>
      <c r="F334" s="402">
        <v>12</v>
      </c>
      <c r="G334" s="387" t="str">
        <f t="shared" si="62"/>
        <v>122024</v>
      </c>
      <c r="H334" s="387">
        <f t="shared" si="63"/>
        <v>31</v>
      </c>
      <c r="I334" s="392"/>
      <c r="J334" s="403"/>
      <c r="K334" s="389"/>
      <c r="L334" s="391" t="s">
        <v>2351</v>
      </c>
      <c r="M334" s="399"/>
      <c r="N334" s="391"/>
    </row>
    <row r="335" spans="1:14">
      <c r="A335" s="387" t="b">
        <v>1</v>
      </c>
      <c r="B335" s="397">
        <f t="shared" si="60"/>
        <v>-82</v>
      </c>
      <c r="C335" s="401" t="s">
        <v>2560</v>
      </c>
      <c r="D335" s="387" t="s">
        <v>2559</v>
      </c>
      <c r="E335" s="387">
        <f t="shared" si="61"/>
        <v>2</v>
      </c>
      <c r="F335" s="402">
        <v>12</v>
      </c>
      <c r="G335" s="387" t="str">
        <f t="shared" si="62"/>
        <v>122025</v>
      </c>
      <c r="H335" s="387">
        <f t="shared" si="63"/>
        <v>31</v>
      </c>
      <c r="I335" s="392"/>
      <c r="J335" s="403"/>
      <c r="K335" s="389"/>
      <c r="L335" s="391" t="s">
        <v>2353</v>
      </c>
      <c r="M335" s="399"/>
      <c r="N335" s="391" t="s">
        <v>665</v>
      </c>
    </row>
    <row r="336" spans="1:14">
      <c r="A336" s="387" t="b">
        <v>0</v>
      </c>
      <c r="B336" s="397">
        <f t="shared" si="60"/>
        <v>-81</v>
      </c>
      <c r="C336" s="401" t="s">
        <v>2561</v>
      </c>
      <c r="D336" s="387" t="s">
        <v>2559</v>
      </c>
      <c r="E336" s="387">
        <f t="shared" si="61"/>
        <v>3</v>
      </c>
      <c r="F336" s="402">
        <v>12</v>
      </c>
      <c r="G336" s="387" t="str">
        <f t="shared" si="62"/>
        <v>122026</v>
      </c>
      <c r="H336" s="387">
        <f t="shared" si="63"/>
        <v>31</v>
      </c>
      <c r="I336" s="392"/>
      <c r="J336" s="403"/>
      <c r="K336" s="389"/>
      <c r="L336" s="391" t="s">
        <v>2355</v>
      </c>
      <c r="M336" s="399"/>
      <c r="N336" s="391"/>
    </row>
    <row r="337" spans="1:14">
      <c r="A337" s="387" t="b">
        <v>0</v>
      </c>
      <c r="B337" s="397">
        <f t="shared" si="60"/>
        <v>-80</v>
      </c>
      <c r="C337" s="401" t="s">
        <v>2562</v>
      </c>
      <c r="D337" s="387" t="s">
        <v>2559</v>
      </c>
      <c r="E337" s="387">
        <f t="shared" si="61"/>
        <v>4</v>
      </c>
      <c r="F337" s="402">
        <v>12</v>
      </c>
      <c r="G337" s="387" t="str">
        <f t="shared" si="62"/>
        <v>12</v>
      </c>
      <c r="H337" s="387">
        <f t="shared" si="63"/>
        <v>31</v>
      </c>
      <c r="I337" s="392"/>
      <c r="J337" s="403"/>
      <c r="K337" s="389"/>
      <c r="L337" s="391"/>
      <c r="M337" s="399"/>
      <c r="N337" s="391"/>
    </row>
    <row r="338" spans="1:14">
      <c r="A338" s="387" t="b">
        <v>0</v>
      </c>
      <c r="B338" s="397">
        <f t="shared" si="60"/>
        <v>-79</v>
      </c>
      <c r="C338" s="401" t="s">
        <v>2563</v>
      </c>
      <c r="D338" s="387" t="s">
        <v>2559</v>
      </c>
      <c r="E338" s="387">
        <f t="shared" si="61"/>
        <v>5</v>
      </c>
      <c r="F338" s="402">
        <v>12</v>
      </c>
      <c r="G338" s="387" t="str">
        <f t="shared" si="62"/>
        <v>12</v>
      </c>
      <c r="H338" s="387">
        <f t="shared" si="63"/>
        <v>31</v>
      </c>
      <c r="I338" s="392"/>
      <c r="J338" s="403"/>
      <c r="K338" s="389"/>
      <c r="L338" s="391"/>
      <c r="M338" s="399"/>
      <c r="N338" s="391"/>
    </row>
    <row r="339" spans="1:14">
      <c r="A339" s="387" t="b">
        <v>0</v>
      </c>
      <c r="B339" s="397">
        <f t="shared" si="60"/>
        <v>-78</v>
      </c>
      <c r="C339" s="401" t="s">
        <v>2564</v>
      </c>
      <c r="D339" s="387" t="s">
        <v>2559</v>
      </c>
      <c r="E339" s="387">
        <f t="shared" si="61"/>
        <v>6</v>
      </c>
      <c r="F339" s="402">
        <v>12</v>
      </c>
      <c r="G339" s="387" t="str">
        <f t="shared" si="62"/>
        <v>12</v>
      </c>
      <c r="H339" s="387">
        <f t="shared" si="63"/>
        <v>31</v>
      </c>
      <c r="I339" s="392"/>
      <c r="J339" s="403"/>
      <c r="K339" s="389"/>
      <c r="L339" s="391"/>
      <c r="M339" s="399"/>
      <c r="N339" s="391"/>
    </row>
    <row r="340" spans="1:14">
      <c r="A340" s="387" t="b">
        <v>0</v>
      </c>
      <c r="B340" s="397">
        <f t="shared" si="60"/>
        <v>-77</v>
      </c>
      <c r="C340" s="401" t="s">
        <v>2565</v>
      </c>
      <c r="D340" s="387" t="s">
        <v>2566</v>
      </c>
      <c r="E340" s="387">
        <f t="shared" si="61"/>
        <v>1</v>
      </c>
      <c r="F340" s="402">
        <v>13</v>
      </c>
      <c r="G340" s="387" t="str">
        <f t="shared" si="62"/>
        <v>132024</v>
      </c>
      <c r="H340" s="387">
        <f t="shared" si="63"/>
        <v>33</v>
      </c>
      <c r="I340" s="392"/>
      <c r="J340" s="403"/>
      <c r="K340" s="389"/>
      <c r="L340" s="391" t="s">
        <v>2351</v>
      </c>
      <c r="M340" s="399"/>
      <c r="N340" s="391"/>
    </row>
    <row r="341" spans="1:14">
      <c r="A341" s="387" t="b">
        <v>1</v>
      </c>
      <c r="B341" s="397">
        <f t="shared" si="60"/>
        <v>-76</v>
      </c>
      <c r="C341" s="401" t="s">
        <v>2567</v>
      </c>
      <c r="D341" s="387" t="s">
        <v>2566</v>
      </c>
      <c r="E341" s="387">
        <f t="shared" si="61"/>
        <v>2</v>
      </c>
      <c r="F341" s="402">
        <v>13</v>
      </c>
      <c r="G341" s="387" t="str">
        <f t="shared" si="62"/>
        <v>132025</v>
      </c>
      <c r="H341" s="387">
        <f t="shared" si="63"/>
        <v>33</v>
      </c>
      <c r="I341" s="392"/>
      <c r="J341" s="403"/>
      <c r="K341" s="389"/>
      <c r="L341" s="391" t="s">
        <v>2353</v>
      </c>
      <c r="M341" s="399"/>
      <c r="N341" s="391" t="s">
        <v>665</v>
      </c>
    </row>
    <row r="342" spans="1:14">
      <c r="A342" s="387" t="b">
        <v>0</v>
      </c>
      <c r="B342" s="397">
        <f t="shared" si="60"/>
        <v>-75</v>
      </c>
      <c r="C342" s="401" t="s">
        <v>2568</v>
      </c>
      <c r="D342" s="387" t="s">
        <v>2566</v>
      </c>
      <c r="E342" s="387">
        <f t="shared" si="61"/>
        <v>3</v>
      </c>
      <c r="F342" s="402">
        <v>13</v>
      </c>
      <c r="G342" s="387" t="str">
        <f t="shared" si="62"/>
        <v>132026</v>
      </c>
      <c r="H342" s="387">
        <f t="shared" si="63"/>
        <v>33</v>
      </c>
      <c r="I342" s="392"/>
      <c r="J342" s="403"/>
      <c r="K342" s="389"/>
      <c r="L342" s="391" t="s">
        <v>2355</v>
      </c>
      <c r="M342" s="399"/>
      <c r="N342" s="391"/>
    </row>
    <row r="343" spans="1:14">
      <c r="A343" s="387" t="b">
        <v>0</v>
      </c>
      <c r="B343" s="397">
        <f t="shared" si="60"/>
        <v>-74</v>
      </c>
      <c r="C343" s="401" t="s">
        <v>2569</v>
      </c>
      <c r="D343" s="387" t="s">
        <v>2566</v>
      </c>
      <c r="E343" s="387">
        <f t="shared" si="61"/>
        <v>4</v>
      </c>
      <c r="F343" s="402">
        <v>13</v>
      </c>
      <c r="G343" s="387" t="str">
        <f t="shared" si="62"/>
        <v>13</v>
      </c>
      <c r="H343" s="387">
        <f t="shared" si="63"/>
        <v>33</v>
      </c>
      <c r="I343" s="392"/>
      <c r="J343" s="403"/>
      <c r="K343" s="389"/>
      <c r="L343" s="391"/>
      <c r="M343" s="399"/>
      <c r="N343" s="391"/>
    </row>
    <row r="344" spans="1:14">
      <c r="A344" s="387" t="b">
        <v>0</v>
      </c>
      <c r="B344" s="397">
        <f t="shared" si="60"/>
        <v>-73</v>
      </c>
      <c r="C344" s="401" t="s">
        <v>2570</v>
      </c>
      <c r="D344" s="387" t="s">
        <v>2566</v>
      </c>
      <c r="E344" s="387">
        <f t="shared" si="61"/>
        <v>5</v>
      </c>
      <c r="F344" s="402">
        <v>13</v>
      </c>
      <c r="G344" s="387" t="str">
        <f t="shared" si="62"/>
        <v>13</v>
      </c>
      <c r="H344" s="387">
        <f t="shared" si="63"/>
        <v>33</v>
      </c>
      <c r="I344" s="392"/>
      <c r="J344" s="403"/>
      <c r="K344" s="389"/>
      <c r="L344" s="391"/>
      <c r="M344" s="399"/>
      <c r="N344" s="391"/>
    </row>
    <row r="345" spans="1:14">
      <c r="A345" s="387" t="b">
        <v>0</v>
      </c>
      <c r="B345" s="397">
        <f t="shared" si="60"/>
        <v>-72</v>
      </c>
      <c r="C345" s="401" t="s">
        <v>2571</v>
      </c>
      <c r="D345" s="387" t="s">
        <v>2566</v>
      </c>
      <c r="E345" s="387">
        <f t="shared" si="61"/>
        <v>6</v>
      </c>
      <c r="F345" s="402">
        <v>13</v>
      </c>
      <c r="G345" s="387" t="str">
        <f t="shared" si="62"/>
        <v>13</v>
      </c>
      <c r="H345" s="387">
        <f t="shared" si="63"/>
        <v>33</v>
      </c>
      <c r="I345" s="392"/>
      <c r="J345" s="403"/>
      <c r="K345" s="389"/>
      <c r="L345" s="391"/>
      <c r="M345" s="399"/>
      <c r="N345" s="391"/>
    </row>
    <row r="346" spans="1:14">
      <c r="A346" s="387" t="b">
        <v>0</v>
      </c>
      <c r="B346" s="397">
        <f t="shared" si="60"/>
        <v>-71</v>
      </c>
      <c r="C346" s="401" t="s">
        <v>2572</v>
      </c>
      <c r="D346" s="387" t="s">
        <v>2573</v>
      </c>
      <c r="E346" s="387">
        <f t="shared" si="61"/>
        <v>1</v>
      </c>
      <c r="F346" s="402">
        <v>14</v>
      </c>
      <c r="G346" s="387" t="str">
        <f t="shared" si="62"/>
        <v>142024</v>
      </c>
      <c r="H346" s="387">
        <f t="shared" si="63"/>
        <v>35</v>
      </c>
      <c r="I346" s="392"/>
      <c r="J346" s="403"/>
      <c r="K346" s="389"/>
      <c r="L346" s="391" t="s">
        <v>2351</v>
      </c>
      <c r="M346" s="399"/>
      <c r="N346" s="391"/>
    </row>
    <row r="347" spans="1:14">
      <c r="A347" s="387" t="b">
        <v>1</v>
      </c>
      <c r="B347" s="397">
        <f t="shared" si="60"/>
        <v>-70</v>
      </c>
      <c r="C347" s="401" t="s">
        <v>2574</v>
      </c>
      <c r="D347" s="387" t="s">
        <v>2573</v>
      </c>
      <c r="E347" s="387">
        <f t="shared" si="61"/>
        <v>2</v>
      </c>
      <c r="F347" s="402">
        <v>14</v>
      </c>
      <c r="G347" s="387" t="str">
        <f t="shared" si="62"/>
        <v>142025</v>
      </c>
      <c r="H347" s="387">
        <f t="shared" si="63"/>
        <v>35</v>
      </c>
      <c r="I347" s="392"/>
      <c r="J347" s="403"/>
      <c r="K347" s="389"/>
      <c r="L347" s="391" t="s">
        <v>2353</v>
      </c>
      <c r="M347" s="399"/>
      <c r="N347" s="391" t="s">
        <v>665</v>
      </c>
    </row>
    <row r="348" spans="1:14">
      <c r="A348" s="387" t="b">
        <v>0</v>
      </c>
      <c r="B348" s="397">
        <f t="shared" si="60"/>
        <v>-69</v>
      </c>
      <c r="C348" s="401" t="s">
        <v>2575</v>
      </c>
      <c r="D348" s="387" t="s">
        <v>2573</v>
      </c>
      <c r="E348" s="387">
        <f t="shared" si="61"/>
        <v>3</v>
      </c>
      <c r="F348" s="402">
        <v>14</v>
      </c>
      <c r="G348" s="387" t="str">
        <f t="shared" si="62"/>
        <v>142026</v>
      </c>
      <c r="H348" s="387">
        <f t="shared" si="63"/>
        <v>35</v>
      </c>
      <c r="I348" s="392"/>
      <c r="J348" s="403"/>
      <c r="K348" s="389"/>
      <c r="L348" s="391" t="s">
        <v>2355</v>
      </c>
      <c r="M348" s="399"/>
      <c r="N348" s="391"/>
    </row>
    <row r="349" spans="1:14">
      <c r="A349" s="387" t="b">
        <v>0</v>
      </c>
      <c r="B349" s="397">
        <f t="shared" si="60"/>
        <v>-68</v>
      </c>
      <c r="C349" s="401" t="s">
        <v>2576</v>
      </c>
      <c r="D349" s="387" t="s">
        <v>2573</v>
      </c>
      <c r="E349" s="387">
        <f t="shared" si="61"/>
        <v>4</v>
      </c>
      <c r="F349" s="402">
        <v>14</v>
      </c>
      <c r="G349" s="387" t="str">
        <f t="shared" si="62"/>
        <v>14</v>
      </c>
      <c r="H349" s="387">
        <f t="shared" si="63"/>
        <v>35</v>
      </c>
      <c r="I349" s="392"/>
      <c r="J349" s="403"/>
      <c r="K349" s="389"/>
      <c r="L349" s="391"/>
      <c r="M349" s="399"/>
      <c r="N349" s="391"/>
    </row>
    <row r="350" spans="1:14">
      <c r="A350" s="387" t="b">
        <v>0</v>
      </c>
      <c r="B350" s="397">
        <f t="shared" si="60"/>
        <v>-67</v>
      </c>
      <c r="C350" s="401" t="s">
        <v>2577</v>
      </c>
      <c r="D350" s="387" t="s">
        <v>2573</v>
      </c>
      <c r="E350" s="387">
        <f t="shared" si="61"/>
        <v>5</v>
      </c>
      <c r="F350" s="402">
        <v>14</v>
      </c>
      <c r="G350" s="387" t="str">
        <f t="shared" si="62"/>
        <v>14</v>
      </c>
      <c r="H350" s="387">
        <f t="shared" si="63"/>
        <v>35</v>
      </c>
      <c r="I350" s="392"/>
      <c r="J350" s="403"/>
      <c r="K350" s="389"/>
      <c r="L350" s="391"/>
      <c r="M350" s="399"/>
      <c r="N350" s="391"/>
    </row>
    <row r="351" spans="1:14">
      <c r="A351" s="387" t="b">
        <v>0</v>
      </c>
      <c r="B351" s="397">
        <f t="shared" si="60"/>
        <v>-66</v>
      </c>
      <c r="C351" s="401" t="s">
        <v>2578</v>
      </c>
      <c r="D351" s="387" t="s">
        <v>2573</v>
      </c>
      <c r="E351" s="387">
        <f t="shared" si="61"/>
        <v>6</v>
      </c>
      <c r="F351" s="402">
        <v>14</v>
      </c>
      <c r="G351" s="387" t="str">
        <f t="shared" si="62"/>
        <v>14</v>
      </c>
      <c r="H351" s="387">
        <f t="shared" si="63"/>
        <v>35</v>
      </c>
      <c r="I351" s="392"/>
      <c r="J351" s="403"/>
      <c r="K351" s="389"/>
      <c r="L351" s="391"/>
      <c r="M351" s="399"/>
      <c r="N351" s="391"/>
    </row>
    <row r="352" spans="1:14">
      <c r="A352" s="387" t="b">
        <v>1</v>
      </c>
      <c r="B352" s="397">
        <f t="shared" si="60"/>
        <v>-65</v>
      </c>
      <c r="C352" s="401" t="s">
        <v>2579</v>
      </c>
      <c r="D352" s="387" t="s">
        <v>2580</v>
      </c>
      <c r="E352" s="387">
        <f t="shared" si="61"/>
        <v>1</v>
      </c>
      <c r="F352" s="402">
        <v>15</v>
      </c>
      <c r="G352" s="387" t="str">
        <f t="shared" si="62"/>
        <v>152024</v>
      </c>
      <c r="H352" s="387">
        <f t="shared" si="63"/>
        <v>37</v>
      </c>
      <c r="I352" s="392"/>
      <c r="J352" s="403">
        <v>113800</v>
      </c>
      <c r="K352" s="389"/>
      <c r="L352" s="391" t="s">
        <v>2351</v>
      </c>
      <c r="M352" s="399"/>
      <c r="N352" s="391"/>
    </row>
    <row r="353" spans="1:14">
      <c r="A353" s="387" t="b">
        <v>1</v>
      </c>
      <c r="B353" s="397">
        <f t="shared" si="60"/>
        <v>-64</v>
      </c>
      <c r="C353" s="401" t="s">
        <v>2581</v>
      </c>
      <c r="D353" s="387" t="s">
        <v>2580</v>
      </c>
      <c r="E353" s="387">
        <f t="shared" si="61"/>
        <v>2</v>
      </c>
      <c r="F353" s="402">
        <v>15</v>
      </c>
      <c r="G353" s="387" t="str">
        <f t="shared" si="62"/>
        <v>152025</v>
      </c>
      <c r="H353" s="387">
        <f t="shared" si="63"/>
        <v>37</v>
      </c>
      <c r="I353" s="392"/>
      <c r="J353" s="403">
        <v>125205</v>
      </c>
      <c r="K353" s="389"/>
      <c r="L353" s="391" t="s">
        <v>2353</v>
      </c>
      <c r="M353" s="399"/>
      <c r="N353" s="391"/>
    </row>
    <row r="354" spans="1:14">
      <c r="A354" s="387" t="b">
        <v>1</v>
      </c>
      <c r="B354" s="397">
        <f t="shared" si="60"/>
        <v>-63</v>
      </c>
      <c r="C354" s="401" t="s">
        <v>2582</v>
      </c>
      <c r="D354" s="387" t="s">
        <v>2580</v>
      </c>
      <c r="E354" s="387">
        <f t="shared" si="61"/>
        <v>3</v>
      </c>
      <c r="F354" s="402">
        <v>15</v>
      </c>
      <c r="G354" s="387" t="str">
        <f t="shared" si="62"/>
        <v>152026</v>
      </c>
      <c r="H354" s="387">
        <f t="shared" si="63"/>
        <v>37</v>
      </c>
      <c r="I354" s="392"/>
      <c r="J354" s="403">
        <v>137077</v>
      </c>
      <c r="K354" s="389"/>
      <c r="L354" s="391" t="s">
        <v>2355</v>
      </c>
      <c r="M354" s="399"/>
      <c r="N354" s="391"/>
    </row>
    <row r="355" spans="1:14">
      <c r="A355" s="387" t="b">
        <v>0</v>
      </c>
      <c r="B355" s="397">
        <f t="shared" si="60"/>
        <v>-62</v>
      </c>
      <c r="C355" s="401" t="s">
        <v>2583</v>
      </c>
      <c r="D355" s="387" t="s">
        <v>2580</v>
      </c>
      <c r="E355" s="387">
        <f t="shared" si="61"/>
        <v>4</v>
      </c>
      <c r="F355" s="402">
        <v>15</v>
      </c>
      <c r="G355" s="387" t="str">
        <f t="shared" si="62"/>
        <v>15</v>
      </c>
      <c r="H355" s="387">
        <f t="shared" si="63"/>
        <v>37</v>
      </c>
      <c r="I355" s="392"/>
      <c r="J355" s="403"/>
      <c r="K355" s="389"/>
      <c r="L355" s="391"/>
      <c r="M355" s="399"/>
      <c r="N355" s="391"/>
    </row>
    <row r="356" spans="1:14">
      <c r="A356" s="387" t="b">
        <v>0</v>
      </c>
      <c r="B356" s="397">
        <f t="shared" si="60"/>
        <v>-61</v>
      </c>
      <c r="C356" s="401" t="s">
        <v>2584</v>
      </c>
      <c r="D356" s="387" t="s">
        <v>2580</v>
      </c>
      <c r="E356" s="387">
        <f t="shared" si="61"/>
        <v>5</v>
      </c>
      <c r="F356" s="402">
        <v>15</v>
      </c>
      <c r="G356" s="387" t="str">
        <f t="shared" si="62"/>
        <v>15</v>
      </c>
      <c r="H356" s="387">
        <f t="shared" si="63"/>
        <v>37</v>
      </c>
      <c r="I356" s="392"/>
      <c r="J356" s="403"/>
      <c r="K356" s="389"/>
      <c r="L356" s="391"/>
      <c r="M356" s="399"/>
      <c r="N356" s="391"/>
    </row>
    <row r="357" spans="1:14">
      <c r="A357" s="387" t="b">
        <v>0</v>
      </c>
      <c r="B357" s="397">
        <f t="shared" si="60"/>
        <v>-60</v>
      </c>
      <c r="C357" s="401" t="s">
        <v>2585</v>
      </c>
      <c r="D357" s="387" t="s">
        <v>2580</v>
      </c>
      <c r="E357" s="387">
        <f t="shared" si="61"/>
        <v>6</v>
      </c>
      <c r="F357" s="402">
        <v>15</v>
      </c>
      <c r="G357" s="387" t="str">
        <f t="shared" si="62"/>
        <v>15</v>
      </c>
      <c r="H357" s="387">
        <f t="shared" si="63"/>
        <v>37</v>
      </c>
      <c r="I357" s="392"/>
      <c r="J357" s="403"/>
      <c r="K357" s="389"/>
      <c r="L357" s="391"/>
      <c r="M357" s="399"/>
      <c r="N357" s="391"/>
    </row>
    <row r="358" spans="1:14">
      <c r="A358" s="387" t="b">
        <f t="shared" ref="A358:A421" ca="1" si="64">IF(OR(I358&lt;&gt;"",J358&lt;&gt;"",K358&lt;&gt;"",M358&lt;&gt;"",N358&lt;&gt;""),TRUE,FALSE)</f>
        <v>1</v>
      </c>
      <c r="B358" s="397">
        <f t="shared" si="60"/>
        <v>-59</v>
      </c>
      <c r="C358" s="404" t="str">
        <f ca="1">IF(COUNTA(D$265:D357)=1,"",OFFSET(B356,-COUNTA(D$265:D357)+3,1))</f>
        <v>a1WDm000000c5VeMAI</v>
      </c>
      <c r="D358" s="387"/>
      <c r="E358" s="387">
        <f t="shared" ca="1" si="61"/>
        <v>1</v>
      </c>
      <c r="F358" s="402">
        <f ca="1">IF(COUNTA(D$265:D357)=1,"",OFFSET(F356,-COUNTA(D$265:D357)+3,0))</f>
        <v>1</v>
      </c>
      <c r="G358" s="387" t="str">
        <f t="shared" ca="1" si="62"/>
        <v>12024</v>
      </c>
      <c r="H358" s="387">
        <f t="shared" ca="1" si="63"/>
        <v>9</v>
      </c>
      <c r="I358" s="392" t="str">
        <f t="shared" ref="I358:I421" ca="1" si="65">IFERROR(CHOOSE(E358,IFERROR(IF(INDIRECT("'Outcome Indicators - Section C '!K"&amp;H358+1)="","",INDIRECT("'Outcome Indicators - Section C '!K"&amp;H358+1)),""),IFERROR(IF(INDIRECT("'Outcome Indicators - Section C '!O"&amp;H358+1)="","",INDIRECT("'Outcome Indicators - Section C '!O"&amp;H358+1)),""),IFERROR(IF(INDIRECT("'Outcome Indicators - Section C '!S"&amp;H358+1)="","",INDIRECT("'Outcome Indicators - Section C '!S"&amp;H358+1)),""),IFERROR(IF(INDIRECT("'Outcome Indicators - Section C '!W"&amp;H358+1)="","",INDIRECT("'Outcome Indicators - Section C '!W"&amp;H358+1)),"")),"")</f>
        <v/>
      </c>
      <c r="J358" s="403" t="str">
        <f t="shared" ref="J358:J421" ca="1" si="66">IFERROR(CHOOSE(E358,IFERROR(IF(INDIRECT("'Outcome Indicators - Section C '!K"&amp;H358)="","",INDIRECT("'Outcome Indicators - Section C '!K"&amp;H358)),""),IFERROR(IF(INDIRECT("'Outcome Indicators - Section C '!O"&amp;H358)="","",INDIRECT("'Outcome Indicators - Section C '!O"&amp;H358)),""),IFERROR(IF(INDIRECT("'Outcome Indicators - Section C '!S"&amp;H358)="","",INDIRECT("'Outcome Indicators - Section C '!S"&amp;H358)),""),IFERROR(IF(INDIRECT("'Outcome Indicators - Section C '!W"&amp;H358)="","",INDIRECT("'Outcome Indicators - Section C '!W"&amp;H358)),"")),"")</f>
        <v/>
      </c>
      <c r="K358" s="389">
        <f t="shared" ref="K358:K421" ca="1" si="67">IFERROR(CHOOSE(E358,IFERROR(IF(INDIRECT("'Outcome Indicators - Section C '!L"&amp;H358)="","",INDIRECT("'Outcome Indicators - Section C '!L"&amp;H358)*100),""),IFERROR(IF(INDIRECT("'Outcome Indicators - Section C '!P"&amp;H358)="","",INDIRECT("'Outcome Indicators - Section C '!P"&amp;H358)*100),""),IFERROR(IF(INDIRECT("'Outcome Indicators - Section C '!T"&amp;H358)="","",INDIRECT("'Outcome Indicators - Section C '!T"&amp;H358)*100),""),IFERROR(IF(INDIRECT("'Outcome Indicators - Section C '!X"&amp;H358)="","",INDIRECT("'Outcome Indicators - Section C '!X"&amp;H358)*100),"")),"")</f>
        <v>80</v>
      </c>
      <c r="L358" s="391">
        <f ca="1">IFERROR(CHOOSE(E358,'Outcome Indicators - Section C '!$K$7,'Outcome Indicators - Section C '!$O$7,'Outcome Indicators - Section C '!$S$7,'Outcome Indicators - Section C '!$W$7,'Outcome Indicators - Section C '!#REF!),"")</f>
        <v>2024</v>
      </c>
      <c r="M358" s="399" t="str">
        <f t="shared" ref="M358:M421" ca="1" si="68">IFERROR(CHOOSE(E358,IFERROR(IF(INDIRECT("'Outcome Indicators - Section C '!M"&amp;H358)="","",INDIRECT("'Outcome Indicators - Section C '!M"&amp;H358)),""),IFERROR(IF(INDIRECT("'Outcome Indicators - Section C '!Q"&amp;H358)="","",INDIRECT("'Outcome Indicators - Section C '!Q"&amp;H358)),""),IFERROR(IF(INDIRECT("'Outcome Indicators - Section C '!U"&amp;H358)="","",INDIRECT("'Outcome Indicators - Section C '!U"&amp;H358)),""),IFERROR(IF(INDIRECT("'Outcome Indicators - Section C '!Y"&amp;H358)="","",INDIRECT("'Outcome Indicators - Section C '!Y"&amp;H358)),"")),"")</f>
        <v/>
      </c>
      <c r="N358" s="391" t="str">
        <f t="shared" ref="N358:N421" ca="1" si="69">IF(IFERROR(CHOOSE(E358,IFERROR(IF(INDIRECT("'Outcome Indicators - Section C '!N"&amp;H358)=0,"",INDIRECT("'Outcome Indicators - Section C '!N"&amp;H358)),""),IFERROR(IF(INDIRECT("'Outcome Indicators - Section C '!R"&amp;H358)=0,"",INDIRECT("'Outcome Indicators - Section C '!R"&amp;H358)),""),IFERROR(IF(INDIRECT("'Outcome Indicators - Section C '!V"&amp;H358)=0,"",INDIRECT("'Outcome Indicators - Section C '!V"&amp;H358)),""),IFERROR(IF(INDIRECT("'Outcome Indicators - Section C '!Z"&amp;H358)=0,"",INDIRECT("'Outcome Indicators - Section C '!Z"&amp;H358)),""),),"")=0,"",IFERROR(CHOOSE(E358,IFERROR(IF(INDIRECT("'Outcome Indicators - Section C '!N"&amp;H358)=0,"",INDIRECT("'Outcome Indicators - Section C '!N"&amp;H358)),""),IFERROR(IF(INDIRECT("'Outcome Indicators - Section C '!R"&amp;H358)=0,"",INDIRECT("'Outcome Indicators - Section C '!R"&amp;H358)),""),IFERROR(IF(INDIRECT("'Outcome Indicators - Section C '!V"&amp;H358)=0,"",INDIRECT("'Outcome Indicators - Section C '!V"&amp;H358)),""),IFERROR(IF(INDIRECT("'Outcome Indicators - Section C '!Z"&amp;H358)=0,"",INDIRECT("'Outcome Indicators - Section C '!Z"&amp;H358)),""),),""))</f>
        <v/>
      </c>
    </row>
    <row r="359" spans="1:14">
      <c r="A359" s="387" t="b">
        <f t="shared" ca="1" si="64"/>
        <v>1</v>
      </c>
      <c r="B359" s="397">
        <f t="shared" si="60"/>
        <v>-58</v>
      </c>
      <c r="C359" s="404" t="str">
        <f ca="1">IF(COUNTA(D$265:D358)=1,"",OFFSET(B357,-COUNTA(D$265:D358)+3,1))</f>
        <v>a1WDm000000c5VtMAI</v>
      </c>
      <c r="D359" s="387"/>
      <c r="E359" s="387">
        <f t="shared" ca="1" si="61"/>
        <v>2</v>
      </c>
      <c r="F359" s="402">
        <f ca="1">IF(COUNTA(D$265:D358)=1,"",OFFSET(F357,-COUNTA(D$265:D358)+3,0))</f>
        <v>1</v>
      </c>
      <c r="G359" s="387" t="str">
        <f t="shared" ca="1" si="62"/>
        <v>12025</v>
      </c>
      <c r="H359" s="387">
        <f t="shared" ca="1" si="63"/>
        <v>9</v>
      </c>
      <c r="I359" s="392" t="str">
        <f t="shared" ca="1" si="65"/>
        <v/>
      </c>
      <c r="J359" s="403" t="str">
        <f t="shared" ca="1" si="66"/>
        <v/>
      </c>
      <c r="K359" s="389">
        <f t="shared" ca="1" si="67"/>
        <v>86</v>
      </c>
      <c r="L359" s="391">
        <f ca="1">IFERROR(CHOOSE(E359,'Outcome Indicators - Section C '!$K$7,'Outcome Indicators - Section C '!$O$7,'Outcome Indicators - Section C '!$S$7,'Outcome Indicators - Section C '!$W$7,'Outcome Indicators - Section C '!#REF!),"")</f>
        <v>2025</v>
      </c>
      <c r="M359" s="399" t="str">
        <f t="shared" ca="1" si="68"/>
        <v/>
      </c>
      <c r="N359" s="391" t="str">
        <f t="shared" ca="1" si="69"/>
        <v/>
      </c>
    </row>
    <row r="360" spans="1:14">
      <c r="A360" s="387" t="b">
        <f t="shared" ca="1" si="64"/>
        <v>1</v>
      </c>
      <c r="B360" s="397">
        <f t="shared" si="60"/>
        <v>-57</v>
      </c>
      <c r="C360" s="404" t="str">
        <f ca="1">IF(COUNTA(D$265:D359)=1,"",OFFSET(B358,-COUNTA(D$265:D359)+3,1))</f>
        <v>a1WDm000000c5W8MAI</v>
      </c>
      <c r="D360" s="387"/>
      <c r="E360" s="387">
        <f t="shared" ca="1" si="61"/>
        <v>3</v>
      </c>
      <c r="F360" s="402">
        <f ca="1">IF(COUNTA(D$265:D359)=1,"",OFFSET(F358,-COUNTA(D$265:D359)+3,0))</f>
        <v>1</v>
      </c>
      <c r="G360" s="387" t="str">
        <f t="shared" ca="1" si="62"/>
        <v>12026</v>
      </c>
      <c r="H360" s="387">
        <f t="shared" ca="1" si="63"/>
        <v>9</v>
      </c>
      <c r="I360" s="392" t="str">
        <f t="shared" ca="1" si="65"/>
        <v/>
      </c>
      <c r="J360" s="403" t="str">
        <f t="shared" ca="1" si="66"/>
        <v/>
      </c>
      <c r="K360" s="389">
        <f t="shared" ca="1" si="67"/>
        <v>92</v>
      </c>
      <c r="L360" s="391">
        <f ca="1">IFERROR(CHOOSE(E360,'Outcome Indicators - Section C '!$K$7,'Outcome Indicators - Section C '!$O$7,'Outcome Indicators - Section C '!$S$7,'Outcome Indicators - Section C '!$W$7,'Outcome Indicators - Section C '!#REF!),"")</f>
        <v>2026</v>
      </c>
      <c r="M360" s="399" t="str">
        <f t="shared" ca="1" si="68"/>
        <v/>
      </c>
      <c r="N360" s="391" t="str">
        <f t="shared" ca="1" si="69"/>
        <v/>
      </c>
    </row>
    <row r="361" spans="1:14">
      <c r="A361" s="387" t="b">
        <f t="shared" ca="1" si="64"/>
        <v>0</v>
      </c>
      <c r="B361" s="397">
        <f t="shared" si="60"/>
        <v>-56</v>
      </c>
      <c r="C361" s="404" t="str">
        <f ca="1">IF(COUNTA(D$265:D360)=1,"",OFFSET(B359,-COUNTA(D$265:D360)+3,1))</f>
        <v>a1WDm000000c5WNMAY</v>
      </c>
      <c r="D361" s="387"/>
      <c r="E361" s="387">
        <f t="shared" ca="1" si="61"/>
        <v>4</v>
      </c>
      <c r="F361" s="402">
        <f ca="1">IF(COUNTA(D$265:D360)=1,"",OFFSET(F359,-COUNTA(D$265:D360)+3,0))</f>
        <v>1</v>
      </c>
      <c r="G361" s="387" t="str">
        <f t="shared" ca="1" si="62"/>
        <v>1</v>
      </c>
      <c r="H361" s="387">
        <f t="shared" ca="1" si="63"/>
        <v>9</v>
      </c>
      <c r="I361" s="392" t="str">
        <f t="shared" ca="1" si="65"/>
        <v/>
      </c>
      <c r="J361" s="403" t="str">
        <f t="shared" ca="1" si="66"/>
        <v/>
      </c>
      <c r="K361" s="389" t="str">
        <f t="shared" ca="1" si="67"/>
        <v/>
      </c>
      <c r="L361" s="391" t="str">
        <f ca="1">IFERROR(CHOOSE(E361,'Outcome Indicators - Section C '!$K$7,'Outcome Indicators - Section C '!$O$7,'Outcome Indicators - Section C '!$S$7,'Outcome Indicators - Section C '!$W$7,'Outcome Indicators - Section C '!#REF!),"")</f>
        <v/>
      </c>
      <c r="M361" s="399" t="str">
        <f t="shared" ca="1" si="68"/>
        <v/>
      </c>
      <c r="N361" s="391" t="str">
        <f t="shared" ca="1" si="69"/>
        <v/>
      </c>
    </row>
    <row r="362" spans="1:14">
      <c r="A362" s="387" t="b">
        <f t="shared" ca="1" si="64"/>
        <v>0</v>
      </c>
      <c r="B362" s="397">
        <f t="shared" si="60"/>
        <v>-55</v>
      </c>
      <c r="C362" s="404" t="str">
        <f ca="1">IF(COUNTA(D$265:D361)=1,"",OFFSET(B360,-COUNTA(D$265:D361)+3,1))</f>
        <v>a1WDm000000c5WcMAI</v>
      </c>
      <c r="D362" s="387"/>
      <c r="E362" s="387">
        <f t="shared" ca="1" si="61"/>
        <v>5</v>
      </c>
      <c r="F362" s="402">
        <f ca="1">IF(COUNTA(D$265:D361)=1,"",OFFSET(F360,-COUNTA(D$265:D361)+3,0))</f>
        <v>1</v>
      </c>
      <c r="G362" s="387" t="str">
        <f t="shared" ca="1" si="62"/>
        <v>1</v>
      </c>
      <c r="H362" s="387">
        <f t="shared" ca="1" si="63"/>
        <v>9</v>
      </c>
      <c r="I362" s="392" t="str">
        <f t="shared" ca="1" si="65"/>
        <v/>
      </c>
      <c r="J362" s="403" t="str">
        <f t="shared" ca="1" si="66"/>
        <v/>
      </c>
      <c r="K362" s="389" t="str">
        <f t="shared" ca="1" si="67"/>
        <v/>
      </c>
      <c r="L362" s="391" t="str">
        <f ca="1">IFERROR(CHOOSE(E362,'Outcome Indicators - Section C '!$K$7,'Outcome Indicators - Section C '!$O$7,'Outcome Indicators - Section C '!$S$7,'Outcome Indicators - Section C '!$W$7,'Outcome Indicators - Section C '!#REF!),"")</f>
        <v/>
      </c>
      <c r="M362" s="399" t="str">
        <f t="shared" ca="1" si="68"/>
        <v/>
      </c>
      <c r="N362" s="391" t="str">
        <f t="shared" ca="1" si="69"/>
        <v/>
      </c>
    </row>
    <row r="363" spans="1:14">
      <c r="A363" s="387" t="b">
        <f t="shared" ca="1" si="64"/>
        <v>0</v>
      </c>
      <c r="B363" s="397">
        <f t="shared" si="60"/>
        <v>-54</v>
      </c>
      <c r="C363" s="404" t="str">
        <f ca="1">IF(COUNTA(D$265:D362)=1,"",OFFSET(B361,-COUNTA(D$265:D362)+3,1))</f>
        <v>a1WDm000000c5WrMAI</v>
      </c>
      <c r="D363" s="387"/>
      <c r="E363" s="387">
        <f t="shared" ca="1" si="61"/>
        <v>6</v>
      </c>
      <c r="F363" s="402">
        <f ca="1">IF(COUNTA(D$265:D362)=1,"",OFFSET(F361,-COUNTA(D$265:D362)+3,0))</f>
        <v>1</v>
      </c>
      <c r="G363" s="387" t="str">
        <f t="shared" ca="1" si="62"/>
        <v>1</v>
      </c>
      <c r="H363" s="387">
        <f t="shared" ca="1" si="63"/>
        <v>9</v>
      </c>
      <c r="I363" s="392" t="str">
        <f t="shared" ca="1" si="65"/>
        <v/>
      </c>
      <c r="J363" s="403" t="str">
        <f t="shared" ca="1" si="66"/>
        <v/>
      </c>
      <c r="K363" s="389" t="str">
        <f t="shared" ca="1" si="67"/>
        <v/>
      </c>
      <c r="L363" s="391" t="str">
        <f ca="1">IFERROR(CHOOSE(E363,'Outcome Indicators - Section C '!$K$7,'Outcome Indicators - Section C '!$O$7,'Outcome Indicators - Section C '!$S$7,'Outcome Indicators - Section C '!$W$7,'Outcome Indicators - Section C '!#REF!),"")</f>
        <v/>
      </c>
      <c r="M363" s="399" t="str">
        <f t="shared" ca="1" si="68"/>
        <v/>
      </c>
      <c r="N363" s="391" t="str">
        <f t="shared" ca="1" si="69"/>
        <v/>
      </c>
    </row>
    <row r="364" spans="1:14">
      <c r="A364" s="387" t="b">
        <f t="shared" ca="1" si="64"/>
        <v>1</v>
      </c>
      <c r="B364" s="397">
        <f t="shared" si="60"/>
        <v>-53</v>
      </c>
      <c r="C364" s="404" t="str">
        <f ca="1">IF(COUNTA(D$265:D363)=1,"",OFFSET(B362,-COUNTA(D$265:D363)+3,1))</f>
        <v>a1WDm000000c5VfMAI</v>
      </c>
      <c r="D364" s="387"/>
      <c r="E364" s="387">
        <f t="shared" ca="1" si="61"/>
        <v>1</v>
      </c>
      <c r="F364" s="402">
        <f ca="1">IF(COUNTA(D$265:D363)=1,"",OFFSET(F362,-COUNTA(D$265:D363)+3,0))</f>
        <v>2</v>
      </c>
      <c r="G364" s="387" t="str">
        <f t="shared" ca="1" si="62"/>
        <v>22024</v>
      </c>
      <c r="H364" s="387">
        <f t="shared" ca="1" si="63"/>
        <v>11</v>
      </c>
      <c r="I364" s="392" t="str">
        <f t="shared" ca="1" si="65"/>
        <v/>
      </c>
      <c r="J364" s="403" t="str">
        <f t="shared" ca="1" si="66"/>
        <v/>
      </c>
      <c r="K364" s="389">
        <f t="shared" ca="1" si="67"/>
        <v>95</v>
      </c>
      <c r="L364" s="391">
        <f ca="1">IFERROR(CHOOSE(E364,'Outcome Indicators - Section C '!$K$7,'Outcome Indicators - Section C '!$O$7,'Outcome Indicators - Section C '!$S$7,'Outcome Indicators - Section C '!$W$7,'Outcome Indicators - Section C '!#REF!),"")</f>
        <v>2024</v>
      </c>
      <c r="M364" s="399" t="str">
        <f t="shared" ca="1" si="68"/>
        <v/>
      </c>
      <c r="N364" s="391" t="str">
        <f t="shared" ca="1" si="69"/>
        <v/>
      </c>
    </row>
    <row r="365" spans="1:14">
      <c r="A365" s="387" t="b">
        <f t="shared" ca="1" si="64"/>
        <v>1</v>
      </c>
      <c r="B365" s="397">
        <f t="shared" si="60"/>
        <v>-52</v>
      </c>
      <c r="C365" s="404" t="str">
        <f ca="1">IF(COUNTA(D$265:D364)=1,"",OFFSET(B363,-COUNTA(D$265:D364)+3,1))</f>
        <v>a1WDm000000c5VuMAI</v>
      </c>
      <c r="D365" s="387"/>
      <c r="E365" s="387">
        <f t="shared" ca="1" si="61"/>
        <v>2</v>
      </c>
      <c r="F365" s="402">
        <f ca="1">IF(COUNTA(D$265:D364)=1,"",OFFSET(F363,-COUNTA(D$265:D364)+3,0))</f>
        <v>2</v>
      </c>
      <c r="G365" s="387" t="str">
        <f t="shared" ca="1" si="62"/>
        <v>22025</v>
      </c>
      <c r="H365" s="387">
        <f t="shared" ca="1" si="63"/>
        <v>11</v>
      </c>
      <c r="I365" s="392" t="str">
        <f t="shared" ca="1" si="65"/>
        <v/>
      </c>
      <c r="J365" s="403" t="str">
        <f t="shared" ca="1" si="66"/>
        <v/>
      </c>
      <c r="K365" s="389">
        <f t="shared" ca="1" si="67"/>
        <v>95</v>
      </c>
      <c r="L365" s="391">
        <f ca="1">IFERROR(CHOOSE(E365,'Outcome Indicators - Section C '!$K$7,'Outcome Indicators - Section C '!$O$7,'Outcome Indicators - Section C '!$S$7,'Outcome Indicators - Section C '!$W$7,'Outcome Indicators - Section C '!#REF!),"")</f>
        <v>2025</v>
      </c>
      <c r="M365" s="399" t="str">
        <f t="shared" ca="1" si="68"/>
        <v/>
      </c>
      <c r="N365" s="391" t="str">
        <f t="shared" ca="1" si="69"/>
        <v/>
      </c>
    </row>
    <row r="366" spans="1:14">
      <c r="A366" s="387" t="b">
        <f t="shared" ca="1" si="64"/>
        <v>1</v>
      </c>
      <c r="B366" s="397">
        <f t="shared" si="60"/>
        <v>-51</v>
      </c>
      <c r="C366" s="404" t="str">
        <f ca="1">IF(COUNTA(D$265:D365)=1,"",OFFSET(B364,-COUNTA(D$265:D365)+3,1))</f>
        <v>a1WDm000000c5W9MAI</v>
      </c>
      <c r="D366" s="387"/>
      <c r="E366" s="387">
        <f t="shared" ca="1" si="61"/>
        <v>3</v>
      </c>
      <c r="F366" s="402">
        <f ca="1">IF(COUNTA(D$265:D365)=1,"",OFFSET(F364,-COUNTA(D$265:D365)+3,0))</f>
        <v>2</v>
      </c>
      <c r="G366" s="387" t="str">
        <f t="shared" ca="1" si="62"/>
        <v>22026</v>
      </c>
      <c r="H366" s="387">
        <f t="shared" ca="1" si="63"/>
        <v>11</v>
      </c>
      <c r="I366" s="392" t="str">
        <f t="shared" ca="1" si="65"/>
        <v/>
      </c>
      <c r="J366" s="403" t="str">
        <f t="shared" ca="1" si="66"/>
        <v/>
      </c>
      <c r="K366" s="389">
        <f t="shared" ca="1" si="67"/>
        <v>95</v>
      </c>
      <c r="L366" s="391">
        <f ca="1">IFERROR(CHOOSE(E366,'Outcome Indicators - Section C '!$K$7,'Outcome Indicators - Section C '!$O$7,'Outcome Indicators - Section C '!$S$7,'Outcome Indicators - Section C '!$W$7,'Outcome Indicators - Section C '!#REF!),"")</f>
        <v>2026</v>
      </c>
      <c r="M366" s="399" t="str">
        <f t="shared" ca="1" si="68"/>
        <v/>
      </c>
      <c r="N366" s="391" t="str">
        <f t="shared" ca="1" si="69"/>
        <v/>
      </c>
    </row>
    <row r="367" spans="1:14">
      <c r="A367" s="387" t="b">
        <f t="shared" ca="1" si="64"/>
        <v>0</v>
      </c>
      <c r="B367" s="397">
        <f t="shared" si="60"/>
        <v>-50</v>
      </c>
      <c r="C367" s="404" t="str">
        <f ca="1">IF(COUNTA(D$265:D366)=1,"",OFFSET(B365,-COUNTA(D$265:D366)+3,1))</f>
        <v>a1WDm000000c5WOMAY</v>
      </c>
      <c r="D367" s="387"/>
      <c r="E367" s="387">
        <f t="shared" ca="1" si="61"/>
        <v>4</v>
      </c>
      <c r="F367" s="402">
        <f ca="1">IF(COUNTA(D$265:D366)=1,"",OFFSET(F365,-COUNTA(D$265:D366)+3,0))</f>
        <v>2</v>
      </c>
      <c r="G367" s="387" t="str">
        <f t="shared" ca="1" si="62"/>
        <v>2</v>
      </c>
      <c r="H367" s="387">
        <f t="shared" ca="1" si="63"/>
        <v>11</v>
      </c>
      <c r="I367" s="392" t="str">
        <f t="shared" ca="1" si="65"/>
        <v/>
      </c>
      <c r="J367" s="403" t="str">
        <f t="shared" ca="1" si="66"/>
        <v/>
      </c>
      <c r="K367" s="389" t="str">
        <f t="shared" ca="1" si="67"/>
        <v/>
      </c>
      <c r="L367" s="391" t="str">
        <f ca="1">IFERROR(CHOOSE(E367,'Outcome Indicators - Section C '!$K$7,'Outcome Indicators - Section C '!$O$7,'Outcome Indicators - Section C '!$S$7,'Outcome Indicators - Section C '!$W$7,'Outcome Indicators - Section C '!#REF!),"")</f>
        <v/>
      </c>
      <c r="M367" s="399" t="str">
        <f t="shared" ca="1" si="68"/>
        <v/>
      </c>
      <c r="N367" s="391" t="str">
        <f t="shared" ca="1" si="69"/>
        <v/>
      </c>
    </row>
    <row r="368" spans="1:14">
      <c r="A368" s="387" t="b">
        <f t="shared" ca="1" si="64"/>
        <v>0</v>
      </c>
      <c r="B368" s="397">
        <f t="shared" si="60"/>
        <v>-49</v>
      </c>
      <c r="C368" s="404" t="str">
        <f ca="1">IF(COUNTA(D$265:D367)=1,"",OFFSET(B366,-COUNTA(D$265:D367)+3,1))</f>
        <v>a1WDm000000c5WdMAI</v>
      </c>
      <c r="D368" s="387"/>
      <c r="E368" s="387">
        <f t="shared" ca="1" si="61"/>
        <v>5</v>
      </c>
      <c r="F368" s="402">
        <f ca="1">IF(COUNTA(D$265:D367)=1,"",OFFSET(F366,-COUNTA(D$265:D367)+3,0))</f>
        <v>2</v>
      </c>
      <c r="G368" s="387" t="str">
        <f t="shared" ca="1" si="62"/>
        <v>2</v>
      </c>
      <c r="H368" s="387">
        <f t="shared" ca="1" si="63"/>
        <v>11</v>
      </c>
      <c r="I368" s="392" t="str">
        <f t="shared" ca="1" si="65"/>
        <v/>
      </c>
      <c r="J368" s="403" t="str">
        <f t="shared" ca="1" si="66"/>
        <v/>
      </c>
      <c r="K368" s="389" t="str">
        <f t="shared" ca="1" si="67"/>
        <v/>
      </c>
      <c r="L368" s="391" t="str">
        <f ca="1">IFERROR(CHOOSE(E368,'Outcome Indicators - Section C '!$K$7,'Outcome Indicators - Section C '!$O$7,'Outcome Indicators - Section C '!$S$7,'Outcome Indicators - Section C '!$W$7,'Outcome Indicators - Section C '!#REF!),"")</f>
        <v/>
      </c>
      <c r="M368" s="399" t="str">
        <f t="shared" ca="1" si="68"/>
        <v/>
      </c>
      <c r="N368" s="391" t="str">
        <f t="shared" ca="1" si="69"/>
        <v/>
      </c>
    </row>
    <row r="369" spans="1:14">
      <c r="A369" s="387" t="b">
        <f t="shared" ca="1" si="64"/>
        <v>0</v>
      </c>
      <c r="B369" s="397">
        <f t="shared" si="60"/>
        <v>-48</v>
      </c>
      <c r="C369" s="404" t="str">
        <f ca="1">IF(COUNTA(D$265:D368)=1,"",OFFSET(B367,-COUNTA(D$265:D368)+3,1))</f>
        <v>a1WDm000000c5WsMAI</v>
      </c>
      <c r="D369" s="387"/>
      <c r="E369" s="387">
        <f t="shared" ca="1" si="61"/>
        <v>6</v>
      </c>
      <c r="F369" s="402">
        <f ca="1">IF(COUNTA(D$265:D368)=1,"",OFFSET(F367,-COUNTA(D$265:D368)+3,0))</f>
        <v>2</v>
      </c>
      <c r="G369" s="387" t="str">
        <f t="shared" ca="1" si="62"/>
        <v>2</v>
      </c>
      <c r="H369" s="387">
        <f t="shared" ca="1" si="63"/>
        <v>11</v>
      </c>
      <c r="I369" s="392" t="str">
        <f t="shared" ca="1" si="65"/>
        <v/>
      </c>
      <c r="J369" s="403" t="str">
        <f t="shared" ca="1" si="66"/>
        <v/>
      </c>
      <c r="K369" s="389" t="str">
        <f t="shared" ca="1" si="67"/>
        <v/>
      </c>
      <c r="L369" s="391" t="str">
        <f ca="1">IFERROR(CHOOSE(E369,'Outcome Indicators - Section C '!$K$7,'Outcome Indicators - Section C '!$O$7,'Outcome Indicators - Section C '!$S$7,'Outcome Indicators - Section C '!$W$7,'Outcome Indicators - Section C '!#REF!),"")</f>
        <v/>
      </c>
      <c r="M369" s="399" t="str">
        <f t="shared" ca="1" si="68"/>
        <v/>
      </c>
      <c r="N369" s="391" t="str">
        <f t="shared" ca="1" si="69"/>
        <v/>
      </c>
    </row>
    <row r="370" spans="1:14">
      <c r="A370" s="387" t="b">
        <f t="shared" ca="1" si="64"/>
        <v>1</v>
      </c>
      <c r="B370" s="397">
        <f t="shared" si="60"/>
        <v>-47</v>
      </c>
      <c r="C370" s="404" t="str">
        <f ca="1">IF(COUNTA(D$265:D369)=1,"",OFFSET(B368,-COUNTA(D$265:D369)+3,1))</f>
        <v>a1WDm000000c5VgMAI</v>
      </c>
      <c r="D370" s="387"/>
      <c r="E370" s="387">
        <f t="shared" ca="1" si="61"/>
        <v>1</v>
      </c>
      <c r="F370" s="402">
        <f ca="1">IF(COUNTA(D$265:D369)=1,"",OFFSET(F368,-COUNTA(D$265:D369)+3,0))</f>
        <v>3</v>
      </c>
      <c r="G370" s="387" t="str">
        <f t="shared" ca="1" si="62"/>
        <v>32024</v>
      </c>
      <c r="H370" s="387">
        <f t="shared" ca="1" si="63"/>
        <v>13</v>
      </c>
      <c r="I370" s="392" t="str">
        <f t="shared" ca="1" si="65"/>
        <v/>
      </c>
      <c r="J370" s="403" t="str">
        <f t="shared" ca="1" si="66"/>
        <v/>
      </c>
      <c r="K370" s="389">
        <f t="shared" ca="1" si="67"/>
        <v>33</v>
      </c>
      <c r="L370" s="391">
        <f ca="1">IFERROR(CHOOSE(E370,'Outcome Indicators - Section C '!$K$7,'Outcome Indicators - Section C '!$O$7,'Outcome Indicators - Section C '!$S$7,'Outcome Indicators - Section C '!$W$7,'Outcome Indicators - Section C '!#REF!),"")</f>
        <v>2024</v>
      </c>
      <c r="M370" s="399" t="str">
        <f t="shared" ca="1" si="68"/>
        <v/>
      </c>
      <c r="N370" s="391" t="str">
        <f t="shared" ca="1" si="69"/>
        <v/>
      </c>
    </row>
    <row r="371" spans="1:14">
      <c r="A371" s="387" t="b">
        <f t="shared" ca="1" si="64"/>
        <v>1</v>
      </c>
      <c r="B371" s="397">
        <f t="shared" si="60"/>
        <v>-46</v>
      </c>
      <c r="C371" s="404" t="str">
        <f ca="1">IF(COUNTA(D$265:D370)=1,"",OFFSET(B369,-COUNTA(D$265:D370)+3,1))</f>
        <v>a1WDm000000c5VvMAI</v>
      </c>
      <c r="D371" s="387"/>
      <c r="E371" s="387">
        <f t="shared" ca="1" si="61"/>
        <v>2</v>
      </c>
      <c r="F371" s="402">
        <f ca="1">IF(COUNTA(D$265:D370)=1,"",OFFSET(F369,-COUNTA(D$265:D370)+3,0))</f>
        <v>3</v>
      </c>
      <c r="G371" s="387" t="str">
        <f t="shared" ca="1" si="62"/>
        <v>32025</v>
      </c>
      <c r="H371" s="387">
        <f t="shared" ca="1" si="63"/>
        <v>13</v>
      </c>
      <c r="I371" s="392" t="str">
        <f t="shared" ca="1" si="65"/>
        <v/>
      </c>
      <c r="J371" s="403" t="str">
        <f t="shared" ca="1" si="66"/>
        <v/>
      </c>
      <c r="K371" s="389">
        <f t="shared" ca="1" si="67"/>
        <v>40</v>
      </c>
      <c r="L371" s="391">
        <f ca="1">IFERROR(CHOOSE(E371,'Outcome Indicators - Section C '!$K$7,'Outcome Indicators - Section C '!$O$7,'Outcome Indicators - Section C '!$S$7,'Outcome Indicators - Section C '!$W$7,'Outcome Indicators - Section C '!#REF!),"")</f>
        <v>2025</v>
      </c>
      <c r="M371" s="399" t="str">
        <f t="shared" ca="1" si="68"/>
        <v/>
      </c>
      <c r="N371" s="391" t="str">
        <f t="shared" ca="1" si="69"/>
        <v/>
      </c>
    </row>
    <row r="372" spans="1:14">
      <c r="A372" s="387" t="b">
        <f t="shared" ca="1" si="64"/>
        <v>1</v>
      </c>
      <c r="B372" s="397">
        <f t="shared" si="60"/>
        <v>-45</v>
      </c>
      <c r="C372" s="404" t="str">
        <f ca="1">IF(COUNTA(D$265:D371)=1,"",OFFSET(B370,-COUNTA(D$265:D371)+3,1))</f>
        <v>a1WDm000000c5WAMAY</v>
      </c>
      <c r="D372" s="387"/>
      <c r="E372" s="387">
        <f t="shared" ca="1" si="61"/>
        <v>3</v>
      </c>
      <c r="F372" s="402">
        <f ca="1">IF(COUNTA(D$265:D371)=1,"",OFFSET(F370,-COUNTA(D$265:D371)+3,0))</f>
        <v>3</v>
      </c>
      <c r="G372" s="387" t="str">
        <f t="shared" ca="1" si="62"/>
        <v>32026</v>
      </c>
      <c r="H372" s="387">
        <f t="shared" ca="1" si="63"/>
        <v>13</v>
      </c>
      <c r="I372" s="392" t="str">
        <f t="shared" ca="1" si="65"/>
        <v/>
      </c>
      <c r="J372" s="403" t="str">
        <f t="shared" ca="1" si="66"/>
        <v/>
      </c>
      <c r="K372" s="389">
        <f t="shared" ca="1" si="67"/>
        <v>50</v>
      </c>
      <c r="L372" s="391">
        <f ca="1">IFERROR(CHOOSE(E372,'Outcome Indicators - Section C '!$K$7,'Outcome Indicators - Section C '!$O$7,'Outcome Indicators - Section C '!$S$7,'Outcome Indicators - Section C '!$W$7,'Outcome Indicators - Section C '!#REF!),"")</f>
        <v>2026</v>
      </c>
      <c r="M372" s="399" t="str">
        <f t="shared" ca="1" si="68"/>
        <v/>
      </c>
      <c r="N372" s="391" t="str">
        <f t="shared" ca="1" si="69"/>
        <v/>
      </c>
    </row>
    <row r="373" spans="1:14">
      <c r="A373" s="387" t="b">
        <f t="shared" ca="1" si="64"/>
        <v>0</v>
      </c>
      <c r="B373" s="397">
        <f t="shared" si="60"/>
        <v>-44</v>
      </c>
      <c r="C373" s="404" t="str">
        <f ca="1">IF(COUNTA(D$265:D372)=1,"",OFFSET(B371,-COUNTA(D$265:D372)+3,1))</f>
        <v>a1WDm000000c5WPMAY</v>
      </c>
      <c r="D373" s="387"/>
      <c r="E373" s="387">
        <f t="shared" ca="1" si="61"/>
        <v>4</v>
      </c>
      <c r="F373" s="402">
        <f ca="1">IF(COUNTA(D$265:D372)=1,"",OFFSET(F371,-COUNTA(D$265:D372)+3,0))</f>
        <v>3</v>
      </c>
      <c r="G373" s="387" t="str">
        <f t="shared" ca="1" si="62"/>
        <v>3</v>
      </c>
      <c r="H373" s="387">
        <f t="shared" ca="1" si="63"/>
        <v>13</v>
      </c>
      <c r="I373" s="392" t="str">
        <f t="shared" ca="1" si="65"/>
        <v/>
      </c>
      <c r="J373" s="403" t="str">
        <f t="shared" ca="1" si="66"/>
        <v/>
      </c>
      <c r="K373" s="389" t="str">
        <f t="shared" ca="1" si="67"/>
        <v/>
      </c>
      <c r="L373" s="391" t="str">
        <f ca="1">IFERROR(CHOOSE(E373,'Outcome Indicators - Section C '!$K$7,'Outcome Indicators - Section C '!$O$7,'Outcome Indicators - Section C '!$S$7,'Outcome Indicators - Section C '!$W$7,'Outcome Indicators - Section C '!#REF!),"")</f>
        <v/>
      </c>
      <c r="M373" s="399" t="str">
        <f t="shared" ca="1" si="68"/>
        <v/>
      </c>
      <c r="N373" s="391" t="str">
        <f t="shared" ca="1" si="69"/>
        <v/>
      </c>
    </row>
    <row r="374" spans="1:14">
      <c r="A374" s="387" t="b">
        <f t="shared" ca="1" si="64"/>
        <v>0</v>
      </c>
      <c r="B374" s="397">
        <f t="shared" si="60"/>
        <v>-43</v>
      </c>
      <c r="C374" s="404" t="str">
        <f ca="1">IF(COUNTA(D$265:D373)=1,"",OFFSET(B372,-COUNTA(D$265:D373)+3,1))</f>
        <v>a1WDm000000c5WeMAI</v>
      </c>
      <c r="D374" s="387"/>
      <c r="E374" s="387">
        <f t="shared" ca="1" si="61"/>
        <v>5</v>
      </c>
      <c r="F374" s="402">
        <f ca="1">IF(COUNTA(D$265:D373)=1,"",OFFSET(F372,-COUNTA(D$265:D373)+3,0))</f>
        <v>3</v>
      </c>
      <c r="G374" s="387" t="str">
        <f t="shared" ca="1" si="62"/>
        <v>3</v>
      </c>
      <c r="H374" s="387">
        <f t="shared" ca="1" si="63"/>
        <v>13</v>
      </c>
      <c r="I374" s="392" t="str">
        <f t="shared" ca="1" si="65"/>
        <v/>
      </c>
      <c r="J374" s="403" t="str">
        <f t="shared" ca="1" si="66"/>
        <v/>
      </c>
      <c r="K374" s="389" t="str">
        <f t="shared" ca="1" si="67"/>
        <v/>
      </c>
      <c r="L374" s="391" t="str">
        <f ca="1">IFERROR(CHOOSE(E374,'Outcome Indicators - Section C '!$K$7,'Outcome Indicators - Section C '!$O$7,'Outcome Indicators - Section C '!$S$7,'Outcome Indicators - Section C '!$W$7,'Outcome Indicators - Section C '!#REF!),"")</f>
        <v/>
      </c>
      <c r="M374" s="399" t="str">
        <f t="shared" ca="1" si="68"/>
        <v/>
      </c>
      <c r="N374" s="391" t="str">
        <f t="shared" ca="1" si="69"/>
        <v/>
      </c>
    </row>
    <row r="375" spans="1:14">
      <c r="A375" s="387" t="b">
        <f t="shared" ca="1" si="64"/>
        <v>0</v>
      </c>
      <c r="B375" s="397">
        <f t="shared" si="60"/>
        <v>-42</v>
      </c>
      <c r="C375" s="404" t="str">
        <f ca="1">IF(COUNTA(D$265:D374)=1,"",OFFSET(B373,-COUNTA(D$265:D374)+3,1))</f>
        <v>a1WDm000000c5WtMAI</v>
      </c>
      <c r="D375" s="387"/>
      <c r="E375" s="387">
        <f t="shared" ca="1" si="61"/>
        <v>6</v>
      </c>
      <c r="F375" s="402">
        <f ca="1">IF(COUNTA(D$265:D374)=1,"",OFFSET(F373,-COUNTA(D$265:D374)+3,0))</f>
        <v>3</v>
      </c>
      <c r="G375" s="387" t="str">
        <f t="shared" ca="1" si="62"/>
        <v>3</v>
      </c>
      <c r="H375" s="387">
        <f t="shared" ca="1" si="63"/>
        <v>13</v>
      </c>
      <c r="I375" s="392" t="str">
        <f t="shared" ca="1" si="65"/>
        <v/>
      </c>
      <c r="J375" s="403" t="str">
        <f t="shared" ca="1" si="66"/>
        <v/>
      </c>
      <c r="K375" s="389" t="str">
        <f t="shared" ca="1" si="67"/>
        <v/>
      </c>
      <c r="L375" s="391" t="str">
        <f ca="1">IFERROR(CHOOSE(E375,'Outcome Indicators - Section C '!$K$7,'Outcome Indicators - Section C '!$O$7,'Outcome Indicators - Section C '!$S$7,'Outcome Indicators - Section C '!$W$7,'Outcome Indicators - Section C '!#REF!),"")</f>
        <v/>
      </c>
      <c r="M375" s="399" t="str">
        <f t="shared" ca="1" si="68"/>
        <v/>
      </c>
      <c r="N375" s="391" t="str">
        <f t="shared" ca="1" si="69"/>
        <v/>
      </c>
    </row>
    <row r="376" spans="1:14">
      <c r="A376" s="387" t="b">
        <f t="shared" ca="1" si="64"/>
        <v>1</v>
      </c>
      <c r="B376" s="397">
        <f t="shared" si="60"/>
        <v>-41</v>
      </c>
      <c r="C376" s="404" t="str">
        <f ca="1">IF(COUNTA(D$265:D375)=1,"",OFFSET(B374,-COUNTA(D$265:D375)+3,1))</f>
        <v>a1WDm000000c5VhMAI</v>
      </c>
      <c r="D376" s="387"/>
      <c r="E376" s="387">
        <f t="shared" ca="1" si="61"/>
        <v>1</v>
      </c>
      <c r="F376" s="402">
        <f ca="1">IF(COUNTA(D$265:D375)=1,"",OFFSET(F374,-COUNTA(D$265:D375)+3,0))</f>
        <v>4</v>
      </c>
      <c r="G376" s="387" t="str">
        <f t="shared" ca="1" si="62"/>
        <v>42024</v>
      </c>
      <c r="H376" s="387">
        <f t="shared" ca="1" si="63"/>
        <v>15</v>
      </c>
      <c r="I376" s="392" t="str">
        <f t="shared" ca="1" si="65"/>
        <v/>
      </c>
      <c r="J376" s="403" t="str">
        <f t="shared" ca="1" si="66"/>
        <v/>
      </c>
      <c r="K376" s="389">
        <f t="shared" ca="1" si="67"/>
        <v>85</v>
      </c>
      <c r="L376" s="391">
        <f ca="1">IFERROR(CHOOSE(E376,'Outcome Indicators - Section C '!$K$7,'Outcome Indicators - Section C '!$O$7,'Outcome Indicators - Section C '!$S$7,'Outcome Indicators - Section C '!$W$7,'Outcome Indicators - Section C '!#REF!),"")</f>
        <v>2024</v>
      </c>
      <c r="M376" s="399" t="str">
        <f t="shared" ca="1" si="68"/>
        <v/>
      </c>
      <c r="N376" s="391" t="str">
        <f t="shared" ca="1" si="69"/>
        <v/>
      </c>
    </row>
    <row r="377" spans="1:14">
      <c r="A377" s="387" t="b">
        <f t="shared" ca="1" si="64"/>
        <v>1</v>
      </c>
      <c r="B377" s="397">
        <f t="shared" si="60"/>
        <v>-40</v>
      </c>
      <c r="C377" s="404" t="str">
        <f ca="1">IF(COUNTA(D$265:D376)=1,"",OFFSET(B375,-COUNTA(D$265:D376)+3,1))</f>
        <v>a1WDm000000c5VwMAI</v>
      </c>
      <c r="D377" s="387"/>
      <c r="E377" s="387">
        <f t="shared" ca="1" si="61"/>
        <v>2</v>
      </c>
      <c r="F377" s="402">
        <f ca="1">IF(COUNTA(D$265:D376)=1,"",OFFSET(F375,-COUNTA(D$265:D376)+3,0))</f>
        <v>4</v>
      </c>
      <c r="G377" s="387" t="str">
        <f t="shared" ca="1" si="62"/>
        <v>42025</v>
      </c>
      <c r="H377" s="387">
        <f t="shared" ca="1" si="63"/>
        <v>15</v>
      </c>
      <c r="I377" s="392" t="str">
        <f t="shared" ca="1" si="65"/>
        <v/>
      </c>
      <c r="J377" s="403" t="str">
        <f t="shared" ca="1" si="66"/>
        <v/>
      </c>
      <c r="K377" s="389">
        <f t="shared" ca="1" si="67"/>
        <v>85</v>
      </c>
      <c r="L377" s="391">
        <f ca="1">IFERROR(CHOOSE(E377,'Outcome Indicators - Section C '!$K$7,'Outcome Indicators - Section C '!$O$7,'Outcome Indicators - Section C '!$S$7,'Outcome Indicators - Section C '!$W$7,'Outcome Indicators - Section C '!#REF!),"")</f>
        <v>2025</v>
      </c>
      <c r="M377" s="399" t="str">
        <f t="shared" ca="1" si="68"/>
        <v/>
      </c>
      <c r="N377" s="391" t="str">
        <f t="shared" ca="1" si="69"/>
        <v/>
      </c>
    </row>
    <row r="378" spans="1:14">
      <c r="A378" s="387" t="b">
        <f t="shared" ca="1" si="64"/>
        <v>1</v>
      </c>
      <c r="B378" s="397">
        <f t="shared" si="60"/>
        <v>-39</v>
      </c>
      <c r="C378" s="404" t="str">
        <f ca="1">IF(COUNTA(D$265:D377)=1,"",OFFSET(B376,-COUNTA(D$265:D377)+3,1))</f>
        <v>a1WDm000000c5WBMAY</v>
      </c>
      <c r="D378" s="387"/>
      <c r="E378" s="387">
        <f t="shared" ca="1" si="61"/>
        <v>3</v>
      </c>
      <c r="F378" s="402">
        <f ca="1">IF(COUNTA(D$265:D377)=1,"",OFFSET(F376,-COUNTA(D$265:D377)+3,0))</f>
        <v>4</v>
      </c>
      <c r="G378" s="387" t="str">
        <f t="shared" ca="1" si="62"/>
        <v>42026</v>
      </c>
      <c r="H378" s="387">
        <f t="shared" ca="1" si="63"/>
        <v>15</v>
      </c>
      <c r="I378" s="392" t="str">
        <f t="shared" ca="1" si="65"/>
        <v/>
      </c>
      <c r="J378" s="403" t="str">
        <f t="shared" ca="1" si="66"/>
        <v/>
      </c>
      <c r="K378" s="389">
        <f t="shared" ca="1" si="67"/>
        <v>85</v>
      </c>
      <c r="L378" s="391">
        <f ca="1">IFERROR(CHOOSE(E378,'Outcome Indicators - Section C '!$K$7,'Outcome Indicators - Section C '!$O$7,'Outcome Indicators - Section C '!$S$7,'Outcome Indicators - Section C '!$W$7,'Outcome Indicators - Section C '!#REF!),"")</f>
        <v>2026</v>
      </c>
      <c r="M378" s="399" t="str">
        <f t="shared" ca="1" si="68"/>
        <v/>
      </c>
      <c r="N378" s="391" t="str">
        <f t="shared" ca="1" si="69"/>
        <v/>
      </c>
    </row>
    <row r="379" spans="1:14">
      <c r="A379" s="387" t="b">
        <f t="shared" ca="1" si="64"/>
        <v>0</v>
      </c>
      <c r="B379" s="397">
        <f t="shared" si="60"/>
        <v>-38</v>
      </c>
      <c r="C379" s="404" t="str">
        <f ca="1">IF(COUNTA(D$265:D378)=1,"",OFFSET(B377,-COUNTA(D$265:D378)+3,1))</f>
        <v>a1WDm000000c5WQMAY</v>
      </c>
      <c r="D379" s="387"/>
      <c r="E379" s="387">
        <f t="shared" ca="1" si="61"/>
        <v>4</v>
      </c>
      <c r="F379" s="402">
        <f ca="1">IF(COUNTA(D$265:D378)=1,"",OFFSET(F377,-COUNTA(D$265:D378)+3,0))</f>
        <v>4</v>
      </c>
      <c r="G379" s="387" t="str">
        <f t="shared" ca="1" si="62"/>
        <v>4</v>
      </c>
      <c r="H379" s="387">
        <f t="shared" ca="1" si="63"/>
        <v>15</v>
      </c>
      <c r="I379" s="392" t="str">
        <f t="shared" ca="1" si="65"/>
        <v/>
      </c>
      <c r="J379" s="403" t="str">
        <f t="shared" ca="1" si="66"/>
        <v/>
      </c>
      <c r="K379" s="389" t="str">
        <f t="shared" ca="1" si="67"/>
        <v/>
      </c>
      <c r="L379" s="391" t="str">
        <f ca="1">IFERROR(CHOOSE(E379,'Outcome Indicators - Section C '!$K$7,'Outcome Indicators - Section C '!$O$7,'Outcome Indicators - Section C '!$S$7,'Outcome Indicators - Section C '!$W$7,'Outcome Indicators - Section C '!#REF!),"")</f>
        <v/>
      </c>
      <c r="M379" s="399" t="str">
        <f t="shared" ca="1" si="68"/>
        <v/>
      </c>
      <c r="N379" s="391" t="str">
        <f t="shared" ca="1" si="69"/>
        <v/>
      </c>
    </row>
    <row r="380" spans="1:14">
      <c r="A380" s="387" t="b">
        <f t="shared" ca="1" si="64"/>
        <v>0</v>
      </c>
      <c r="B380" s="397">
        <f t="shared" si="60"/>
        <v>-37</v>
      </c>
      <c r="C380" s="404" t="str">
        <f ca="1">IF(COUNTA(D$265:D379)=1,"",OFFSET(B378,-COUNTA(D$265:D379)+3,1))</f>
        <v>a1WDm000000c5WfMAI</v>
      </c>
      <c r="D380" s="387"/>
      <c r="E380" s="387">
        <f t="shared" ca="1" si="61"/>
        <v>5</v>
      </c>
      <c r="F380" s="402">
        <f ca="1">IF(COUNTA(D$265:D379)=1,"",OFFSET(F378,-COUNTA(D$265:D379)+3,0))</f>
        <v>4</v>
      </c>
      <c r="G380" s="387" t="str">
        <f t="shared" ca="1" si="62"/>
        <v>4</v>
      </c>
      <c r="H380" s="387">
        <f t="shared" ca="1" si="63"/>
        <v>15</v>
      </c>
      <c r="I380" s="392" t="str">
        <f t="shared" ca="1" si="65"/>
        <v/>
      </c>
      <c r="J380" s="403" t="str">
        <f t="shared" ca="1" si="66"/>
        <v/>
      </c>
      <c r="K380" s="389" t="str">
        <f t="shared" ca="1" si="67"/>
        <v/>
      </c>
      <c r="L380" s="391" t="str">
        <f ca="1">IFERROR(CHOOSE(E380,'Outcome Indicators - Section C '!$K$7,'Outcome Indicators - Section C '!$O$7,'Outcome Indicators - Section C '!$S$7,'Outcome Indicators - Section C '!$W$7,'Outcome Indicators - Section C '!#REF!),"")</f>
        <v/>
      </c>
      <c r="M380" s="399" t="str">
        <f t="shared" ca="1" si="68"/>
        <v/>
      </c>
      <c r="N380" s="391" t="str">
        <f t="shared" ca="1" si="69"/>
        <v/>
      </c>
    </row>
    <row r="381" spans="1:14">
      <c r="A381" s="387" t="b">
        <f t="shared" ca="1" si="64"/>
        <v>0</v>
      </c>
      <c r="B381" s="397">
        <f t="shared" si="60"/>
        <v>-36</v>
      </c>
      <c r="C381" s="404" t="str">
        <f ca="1">IF(COUNTA(D$265:D380)=1,"",OFFSET(B379,-COUNTA(D$265:D380)+3,1))</f>
        <v>a1WDm000000c5WuMAI</v>
      </c>
      <c r="D381" s="387"/>
      <c r="E381" s="387">
        <f t="shared" ca="1" si="61"/>
        <v>6</v>
      </c>
      <c r="F381" s="402">
        <f ca="1">IF(COUNTA(D$265:D380)=1,"",OFFSET(F379,-COUNTA(D$265:D380)+3,0))</f>
        <v>4</v>
      </c>
      <c r="G381" s="387" t="str">
        <f t="shared" ca="1" si="62"/>
        <v>4</v>
      </c>
      <c r="H381" s="387">
        <f t="shared" ca="1" si="63"/>
        <v>15</v>
      </c>
      <c r="I381" s="392" t="str">
        <f t="shared" ca="1" si="65"/>
        <v/>
      </c>
      <c r="J381" s="403" t="str">
        <f t="shared" ca="1" si="66"/>
        <v/>
      </c>
      <c r="K381" s="389" t="str">
        <f t="shared" ca="1" si="67"/>
        <v/>
      </c>
      <c r="L381" s="391" t="str">
        <f ca="1">IFERROR(CHOOSE(E381,'Outcome Indicators - Section C '!$K$7,'Outcome Indicators - Section C '!$O$7,'Outcome Indicators - Section C '!$S$7,'Outcome Indicators - Section C '!$W$7,'Outcome Indicators - Section C '!#REF!),"")</f>
        <v/>
      </c>
      <c r="M381" s="399" t="str">
        <f t="shared" ca="1" si="68"/>
        <v/>
      </c>
      <c r="N381" s="391" t="str">
        <f t="shared" ca="1" si="69"/>
        <v/>
      </c>
    </row>
    <row r="382" spans="1:14">
      <c r="A382" s="387" t="b">
        <f t="shared" ca="1" si="64"/>
        <v>0</v>
      </c>
      <c r="B382" s="397">
        <f t="shared" si="60"/>
        <v>-35</v>
      </c>
      <c r="C382" s="404" t="str">
        <f ca="1">IF(COUNTA(D$265:D381)=1,"",OFFSET(B380,-COUNTA(D$265:D381)+3,1))</f>
        <v>a1WDm000000c5ViMAI</v>
      </c>
      <c r="D382" s="387"/>
      <c r="E382" s="387">
        <f t="shared" ca="1" si="61"/>
        <v>1</v>
      </c>
      <c r="F382" s="402">
        <f ca="1">IF(COUNTA(D$265:D381)=1,"",OFFSET(F380,-COUNTA(D$265:D381)+3,0))</f>
        <v>5</v>
      </c>
      <c r="G382" s="387" t="str">
        <f t="shared" ca="1" si="62"/>
        <v>52024</v>
      </c>
      <c r="H382" s="387">
        <f t="shared" ca="1" si="63"/>
        <v>17</v>
      </c>
      <c r="I382" s="392" t="str">
        <f t="shared" ca="1" si="65"/>
        <v/>
      </c>
      <c r="J382" s="403" t="str">
        <f t="shared" ca="1" si="66"/>
        <v/>
      </c>
      <c r="K382" s="389" t="str">
        <f t="shared" ca="1" si="67"/>
        <v/>
      </c>
      <c r="L382" s="391">
        <f ca="1">IFERROR(CHOOSE(E382,'Outcome Indicators - Section C '!$K$7,'Outcome Indicators - Section C '!$O$7,'Outcome Indicators - Section C '!$S$7,'Outcome Indicators - Section C '!$W$7,'Outcome Indicators - Section C '!#REF!),"")</f>
        <v>2024</v>
      </c>
      <c r="M382" s="399" t="str">
        <f t="shared" ca="1" si="68"/>
        <v/>
      </c>
      <c r="N382" s="391" t="str">
        <f t="shared" ca="1" si="69"/>
        <v/>
      </c>
    </row>
    <row r="383" spans="1:14">
      <c r="A383" s="387" t="b">
        <f t="shared" ca="1" si="64"/>
        <v>1</v>
      </c>
      <c r="B383" s="397">
        <f t="shared" si="60"/>
        <v>-34</v>
      </c>
      <c r="C383" s="404" t="str">
        <f ca="1">IF(COUNTA(D$265:D382)=1,"",OFFSET(B381,-COUNTA(D$265:D382)+3,1))</f>
        <v>a1WDm000000c5VxMAI</v>
      </c>
      <c r="D383" s="387"/>
      <c r="E383" s="387">
        <f t="shared" ca="1" si="61"/>
        <v>2</v>
      </c>
      <c r="F383" s="402">
        <f ca="1">IF(COUNTA(D$265:D382)=1,"",OFFSET(F381,-COUNTA(D$265:D382)+3,0))</f>
        <v>5</v>
      </c>
      <c r="G383" s="387" t="str">
        <f t="shared" ca="1" si="62"/>
        <v>52025</v>
      </c>
      <c r="H383" s="387">
        <f t="shared" ca="1" si="63"/>
        <v>17</v>
      </c>
      <c r="I383" s="392" t="str">
        <f t="shared" ca="1" si="65"/>
        <v/>
      </c>
      <c r="J383" s="403" t="str">
        <f t="shared" ca="1" si="66"/>
        <v/>
      </c>
      <c r="K383" s="389" t="str">
        <f t="shared" ca="1" si="67"/>
        <v/>
      </c>
      <c r="L383" s="391">
        <f ca="1">IFERROR(CHOOSE(E383,'Outcome Indicators - Section C '!$K$7,'Outcome Indicators - Section C '!$O$7,'Outcome Indicators - Section C '!$S$7,'Outcome Indicators - Section C '!$W$7,'Outcome Indicators - Section C '!#REF!),"")</f>
        <v>2025</v>
      </c>
      <c r="M383" s="399" t="str">
        <f t="shared" ca="1" si="68"/>
        <v/>
      </c>
      <c r="N383" s="391" t="str">
        <f t="shared" ca="1" si="69"/>
        <v>TBD</v>
      </c>
    </row>
    <row r="384" spans="1:14">
      <c r="A384" s="387" t="b">
        <f t="shared" ca="1" si="64"/>
        <v>0</v>
      </c>
      <c r="B384" s="397">
        <f t="shared" si="60"/>
        <v>-33</v>
      </c>
      <c r="C384" s="404" t="str">
        <f ca="1">IF(COUNTA(D$265:D383)=1,"",OFFSET(B382,-COUNTA(D$265:D383)+3,1))</f>
        <v>a1WDm000000c5WCMAY</v>
      </c>
      <c r="D384" s="387"/>
      <c r="E384" s="387">
        <f t="shared" ca="1" si="61"/>
        <v>3</v>
      </c>
      <c r="F384" s="402">
        <f ca="1">IF(COUNTA(D$265:D383)=1,"",OFFSET(F382,-COUNTA(D$265:D383)+3,0))</f>
        <v>5</v>
      </c>
      <c r="G384" s="387" t="str">
        <f t="shared" ca="1" si="62"/>
        <v>52026</v>
      </c>
      <c r="H384" s="387">
        <f t="shared" ca="1" si="63"/>
        <v>17</v>
      </c>
      <c r="I384" s="392" t="str">
        <f t="shared" ca="1" si="65"/>
        <v/>
      </c>
      <c r="J384" s="403" t="str">
        <f t="shared" ca="1" si="66"/>
        <v/>
      </c>
      <c r="K384" s="389" t="str">
        <f t="shared" ca="1" si="67"/>
        <v/>
      </c>
      <c r="L384" s="391">
        <f ca="1">IFERROR(CHOOSE(E384,'Outcome Indicators - Section C '!$K$7,'Outcome Indicators - Section C '!$O$7,'Outcome Indicators - Section C '!$S$7,'Outcome Indicators - Section C '!$W$7,'Outcome Indicators - Section C '!#REF!),"")</f>
        <v>2026</v>
      </c>
      <c r="M384" s="399" t="str">
        <f t="shared" ca="1" si="68"/>
        <v/>
      </c>
      <c r="N384" s="391" t="str">
        <f t="shared" ca="1" si="69"/>
        <v/>
      </c>
    </row>
    <row r="385" spans="1:14">
      <c r="A385" s="387" t="b">
        <f t="shared" ca="1" si="64"/>
        <v>0</v>
      </c>
      <c r="B385" s="397">
        <f t="shared" si="60"/>
        <v>-32</v>
      </c>
      <c r="C385" s="404" t="str">
        <f ca="1">IF(COUNTA(D$265:D384)=1,"",OFFSET(B383,-COUNTA(D$265:D384)+3,1))</f>
        <v>a1WDm000000c5WRMAY</v>
      </c>
      <c r="D385" s="387"/>
      <c r="E385" s="387">
        <f t="shared" ca="1" si="61"/>
        <v>4</v>
      </c>
      <c r="F385" s="402">
        <f ca="1">IF(COUNTA(D$265:D384)=1,"",OFFSET(F383,-COUNTA(D$265:D384)+3,0))</f>
        <v>5</v>
      </c>
      <c r="G385" s="387" t="str">
        <f t="shared" ca="1" si="62"/>
        <v>5</v>
      </c>
      <c r="H385" s="387">
        <f t="shared" ca="1" si="63"/>
        <v>17</v>
      </c>
      <c r="I385" s="392" t="str">
        <f t="shared" ca="1" si="65"/>
        <v/>
      </c>
      <c r="J385" s="403" t="str">
        <f t="shared" ca="1" si="66"/>
        <v/>
      </c>
      <c r="K385" s="389" t="str">
        <f t="shared" ca="1" si="67"/>
        <v/>
      </c>
      <c r="L385" s="391" t="str">
        <f ca="1">IFERROR(CHOOSE(E385,'Outcome Indicators - Section C '!$K$7,'Outcome Indicators - Section C '!$O$7,'Outcome Indicators - Section C '!$S$7,'Outcome Indicators - Section C '!$W$7,'Outcome Indicators - Section C '!#REF!),"")</f>
        <v/>
      </c>
      <c r="M385" s="399" t="str">
        <f t="shared" ca="1" si="68"/>
        <v/>
      </c>
      <c r="N385" s="391" t="str">
        <f t="shared" ca="1" si="69"/>
        <v/>
      </c>
    </row>
    <row r="386" spans="1:14">
      <c r="A386" s="387" t="b">
        <f t="shared" ca="1" si="64"/>
        <v>0</v>
      </c>
      <c r="B386" s="397">
        <f t="shared" si="60"/>
        <v>-31</v>
      </c>
      <c r="C386" s="404" t="str">
        <f ca="1">IF(COUNTA(D$265:D385)=1,"",OFFSET(B384,-COUNTA(D$265:D385)+3,1))</f>
        <v>a1WDm000000c5WgMAI</v>
      </c>
      <c r="D386" s="387"/>
      <c r="E386" s="387">
        <f t="shared" ca="1" si="61"/>
        <v>5</v>
      </c>
      <c r="F386" s="402">
        <f ca="1">IF(COUNTA(D$265:D385)=1,"",OFFSET(F384,-COUNTA(D$265:D385)+3,0))</f>
        <v>5</v>
      </c>
      <c r="G386" s="387" t="str">
        <f t="shared" ca="1" si="62"/>
        <v>5</v>
      </c>
      <c r="H386" s="387">
        <f t="shared" ca="1" si="63"/>
        <v>17</v>
      </c>
      <c r="I386" s="392" t="str">
        <f t="shared" ca="1" si="65"/>
        <v/>
      </c>
      <c r="J386" s="403" t="str">
        <f t="shared" ca="1" si="66"/>
        <v/>
      </c>
      <c r="K386" s="389" t="str">
        <f t="shared" ca="1" si="67"/>
        <v/>
      </c>
      <c r="L386" s="391" t="str">
        <f ca="1">IFERROR(CHOOSE(E386,'Outcome Indicators - Section C '!$K$7,'Outcome Indicators - Section C '!$O$7,'Outcome Indicators - Section C '!$S$7,'Outcome Indicators - Section C '!$W$7,'Outcome Indicators - Section C '!#REF!),"")</f>
        <v/>
      </c>
      <c r="M386" s="399" t="str">
        <f t="shared" ca="1" si="68"/>
        <v/>
      </c>
      <c r="N386" s="391" t="str">
        <f t="shared" ca="1" si="69"/>
        <v/>
      </c>
    </row>
    <row r="387" spans="1:14">
      <c r="A387" s="387" t="b">
        <f t="shared" ca="1" si="64"/>
        <v>0</v>
      </c>
      <c r="B387" s="397">
        <f t="shared" si="60"/>
        <v>-30</v>
      </c>
      <c r="C387" s="404" t="str">
        <f ca="1">IF(COUNTA(D$265:D386)=1,"",OFFSET(B385,-COUNTA(D$265:D386)+3,1))</f>
        <v>a1WDm000000c5WvMAI</v>
      </c>
      <c r="D387" s="387"/>
      <c r="E387" s="387">
        <f t="shared" ca="1" si="61"/>
        <v>6</v>
      </c>
      <c r="F387" s="402">
        <f ca="1">IF(COUNTA(D$265:D386)=1,"",OFFSET(F385,-COUNTA(D$265:D386)+3,0))</f>
        <v>5</v>
      </c>
      <c r="G387" s="387" t="str">
        <f t="shared" ca="1" si="62"/>
        <v>5</v>
      </c>
      <c r="H387" s="387">
        <f t="shared" ca="1" si="63"/>
        <v>17</v>
      </c>
      <c r="I387" s="392" t="str">
        <f t="shared" ca="1" si="65"/>
        <v/>
      </c>
      <c r="J387" s="403" t="str">
        <f t="shared" ca="1" si="66"/>
        <v/>
      </c>
      <c r="K387" s="389" t="str">
        <f t="shared" ca="1" si="67"/>
        <v/>
      </c>
      <c r="L387" s="391" t="str">
        <f ca="1">IFERROR(CHOOSE(E387,'Outcome Indicators - Section C '!$K$7,'Outcome Indicators - Section C '!$O$7,'Outcome Indicators - Section C '!$S$7,'Outcome Indicators - Section C '!$W$7,'Outcome Indicators - Section C '!#REF!),"")</f>
        <v/>
      </c>
      <c r="M387" s="399" t="str">
        <f t="shared" ca="1" si="68"/>
        <v/>
      </c>
      <c r="N387" s="391" t="str">
        <f t="shared" ca="1" si="69"/>
        <v/>
      </c>
    </row>
    <row r="388" spans="1:14">
      <c r="A388" s="387" t="b">
        <f t="shared" ca="1" si="64"/>
        <v>0</v>
      </c>
      <c r="B388" s="397">
        <f t="shared" si="60"/>
        <v>-29</v>
      </c>
      <c r="C388" s="404" t="str">
        <f ca="1">IF(COUNTA(D$265:D387)=1,"",OFFSET(B386,-COUNTA(D$265:D387)+3,1))</f>
        <v>a1WDm000000c5VjMAI</v>
      </c>
      <c r="D388" s="387"/>
      <c r="E388" s="387">
        <f t="shared" ca="1" si="61"/>
        <v>1</v>
      </c>
      <c r="F388" s="402">
        <f ca="1">IF(COUNTA(D$265:D387)=1,"",OFFSET(F386,-COUNTA(D$265:D387)+3,0))</f>
        <v>6</v>
      </c>
      <c r="G388" s="387" t="str">
        <f t="shared" ca="1" si="62"/>
        <v>62024</v>
      </c>
      <c r="H388" s="387">
        <f t="shared" ca="1" si="63"/>
        <v>19</v>
      </c>
      <c r="I388" s="392" t="str">
        <f t="shared" ca="1" si="65"/>
        <v/>
      </c>
      <c r="J388" s="403" t="str">
        <f t="shared" ca="1" si="66"/>
        <v/>
      </c>
      <c r="K388" s="389" t="str">
        <f t="shared" ca="1" si="67"/>
        <v/>
      </c>
      <c r="L388" s="391">
        <f ca="1">IFERROR(CHOOSE(E388,'Outcome Indicators - Section C '!$K$7,'Outcome Indicators - Section C '!$O$7,'Outcome Indicators - Section C '!$S$7,'Outcome Indicators - Section C '!$W$7,'Outcome Indicators - Section C '!#REF!),"")</f>
        <v>2024</v>
      </c>
      <c r="M388" s="399" t="str">
        <f t="shared" ca="1" si="68"/>
        <v/>
      </c>
      <c r="N388" s="391" t="str">
        <f t="shared" ca="1" si="69"/>
        <v/>
      </c>
    </row>
    <row r="389" spans="1:14">
      <c r="A389" s="387" t="b">
        <f t="shared" ca="1" si="64"/>
        <v>1</v>
      </c>
      <c r="B389" s="397">
        <f t="shared" si="60"/>
        <v>-28</v>
      </c>
      <c r="C389" s="404" t="str">
        <f ca="1">IF(COUNTA(D$265:D388)=1,"",OFFSET(B387,-COUNTA(D$265:D388)+3,1))</f>
        <v>a1WDm000000c5VyMAI</v>
      </c>
      <c r="D389" s="387"/>
      <c r="E389" s="387">
        <f t="shared" ca="1" si="61"/>
        <v>2</v>
      </c>
      <c r="F389" s="402">
        <f ca="1">IF(COUNTA(D$265:D388)=1,"",OFFSET(F387,-COUNTA(D$265:D388)+3,0))</f>
        <v>6</v>
      </c>
      <c r="G389" s="387" t="str">
        <f t="shared" ca="1" si="62"/>
        <v>62025</v>
      </c>
      <c r="H389" s="387">
        <f t="shared" ca="1" si="63"/>
        <v>19</v>
      </c>
      <c r="I389" s="392" t="str">
        <f t="shared" ca="1" si="65"/>
        <v/>
      </c>
      <c r="J389" s="403" t="str">
        <f t="shared" ca="1" si="66"/>
        <v/>
      </c>
      <c r="K389" s="389" t="str">
        <f t="shared" ca="1" si="67"/>
        <v/>
      </c>
      <c r="L389" s="391">
        <f ca="1">IFERROR(CHOOSE(E389,'Outcome Indicators - Section C '!$K$7,'Outcome Indicators - Section C '!$O$7,'Outcome Indicators - Section C '!$S$7,'Outcome Indicators - Section C '!$W$7,'Outcome Indicators - Section C '!#REF!),"")</f>
        <v>2025</v>
      </c>
      <c r="M389" s="399" t="str">
        <f t="shared" ca="1" si="68"/>
        <v/>
      </c>
      <c r="N389" s="391" t="str">
        <f t="shared" ca="1" si="69"/>
        <v>TBD</v>
      </c>
    </row>
    <row r="390" spans="1:14">
      <c r="A390" s="387" t="b">
        <f t="shared" ca="1" si="64"/>
        <v>0</v>
      </c>
      <c r="B390" s="397">
        <f t="shared" si="60"/>
        <v>-27</v>
      </c>
      <c r="C390" s="404" t="str">
        <f ca="1">IF(COUNTA(D$265:D389)=1,"",OFFSET(B388,-COUNTA(D$265:D389)+3,1))</f>
        <v>a1WDm000000c5WDMAY</v>
      </c>
      <c r="D390" s="387"/>
      <c r="E390" s="387">
        <f t="shared" ca="1" si="61"/>
        <v>3</v>
      </c>
      <c r="F390" s="402">
        <f ca="1">IF(COUNTA(D$265:D389)=1,"",OFFSET(F388,-COUNTA(D$265:D389)+3,0))</f>
        <v>6</v>
      </c>
      <c r="G390" s="387" t="str">
        <f t="shared" ca="1" si="62"/>
        <v>62026</v>
      </c>
      <c r="H390" s="387">
        <f t="shared" ca="1" si="63"/>
        <v>19</v>
      </c>
      <c r="I390" s="392" t="str">
        <f t="shared" ca="1" si="65"/>
        <v/>
      </c>
      <c r="J390" s="403" t="str">
        <f t="shared" ca="1" si="66"/>
        <v/>
      </c>
      <c r="K390" s="389" t="str">
        <f t="shared" ca="1" si="67"/>
        <v/>
      </c>
      <c r="L390" s="391">
        <f ca="1">IFERROR(CHOOSE(E390,'Outcome Indicators - Section C '!$K$7,'Outcome Indicators - Section C '!$O$7,'Outcome Indicators - Section C '!$S$7,'Outcome Indicators - Section C '!$W$7,'Outcome Indicators - Section C '!#REF!),"")</f>
        <v>2026</v>
      </c>
      <c r="M390" s="399" t="str">
        <f t="shared" ca="1" si="68"/>
        <v/>
      </c>
      <c r="N390" s="391" t="str">
        <f t="shared" ca="1" si="69"/>
        <v/>
      </c>
    </row>
    <row r="391" spans="1:14">
      <c r="A391" s="387" t="b">
        <f t="shared" ca="1" si="64"/>
        <v>0</v>
      </c>
      <c r="B391" s="397">
        <f t="shared" si="60"/>
        <v>-26</v>
      </c>
      <c r="C391" s="404" t="str">
        <f ca="1">IF(COUNTA(D$265:D390)=1,"",OFFSET(B389,-COUNTA(D$265:D390)+3,1))</f>
        <v>a1WDm000000c5WSMAY</v>
      </c>
      <c r="D391" s="387"/>
      <c r="E391" s="387">
        <f t="shared" ca="1" si="61"/>
        <v>4</v>
      </c>
      <c r="F391" s="402">
        <f ca="1">IF(COUNTA(D$265:D390)=1,"",OFFSET(F389,-COUNTA(D$265:D390)+3,0))</f>
        <v>6</v>
      </c>
      <c r="G391" s="387" t="str">
        <f t="shared" ca="1" si="62"/>
        <v>6</v>
      </c>
      <c r="H391" s="387">
        <f t="shared" ca="1" si="63"/>
        <v>19</v>
      </c>
      <c r="I391" s="392" t="str">
        <f t="shared" ca="1" si="65"/>
        <v/>
      </c>
      <c r="J391" s="403" t="str">
        <f t="shared" ca="1" si="66"/>
        <v/>
      </c>
      <c r="K391" s="389" t="str">
        <f t="shared" ca="1" si="67"/>
        <v/>
      </c>
      <c r="L391" s="391" t="str">
        <f ca="1">IFERROR(CHOOSE(E391,'Outcome Indicators - Section C '!$K$7,'Outcome Indicators - Section C '!$O$7,'Outcome Indicators - Section C '!$S$7,'Outcome Indicators - Section C '!$W$7,'Outcome Indicators - Section C '!#REF!),"")</f>
        <v/>
      </c>
      <c r="M391" s="399" t="str">
        <f t="shared" ca="1" si="68"/>
        <v/>
      </c>
      <c r="N391" s="391" t="str">
        <f t="shared" ca="1" si="69"/>
        <v/>
      </c>
    </row>
    <row r="392" spans="1:14">
      <c r="A392" s="387" t="b">
        <f t="shared" ca="1" si="64"/>
        <v>0</v>
      </c>
      <c r="B392" s="397">
        <f t="shared" si="60"/>
        <v>-25</v>
      </c>
      <c r="C392" s="404" t="str">
        <f ca="1">IF(COUNTA(D$265:D391)=1,"",OFFSET(B390,-COUNTA(D$265:D391)+3,1))</f>
        <v>a1WDm000000c5WhMAI</v>
      </c>
      <c r="D392" s="387"/>
      <c r="E392" s="387">
        <f t="shared" ca="1" si="61"/>
        <v>5</v>
      </c>
      <c r="F392" s="402">
        <f ca="1">IF(COUNTA(D$265:D391)=1,"",OFFSET(F390,-COUNTA(D$265:D391)+3,0))</f>
        <v>6</v>
      </c>
      <c r="G392" s="387" t="str">
        <f t="shared" ca="1" si="62"/>
        <v>6</v>
      </c>
      <c r="H392" s="387">
        <f t="shared" ca="1" si="63"/>
        <v>19</v>
      </c>
      <c r="I392" s="392" t="str">
        <f t="shared" ca="1" si="65"/>
        <v/>
      </c>
      <c r="J392" s="403" t="str">
        <f t="shared" ca="1" si="66"/>
        <v/>
      </c>
      <c r="K392" s="389" t="str">
        <f t="shared" ca="1" si="67"/>
        <v/>
      </c>
      <c r="L392" s="391" t="str">
        <f ca="1">IFERROR(CHOOSE(E392,'Outcome Indicators - Section C '!$K$7,'Outcome Indicators - Section C '!$O$7,'Outcome Indicators - Section C '!$S$7,'Outcome Indicators - Section C '!$W$7,'Outcome Indicators - Section C '!#REF!),"")</f>
        <v/>
      </c>
      <c r="M392" s="399" t="str">
        <f t="shared" ca="1" si="68"/>
        <v/>
      </c>
      <c r="N392" s="391" t="str">
        <f t="shared" ca="1" si="69"/>
        <v/>
      </c>
    </row>
    <row r="393" spans="1:14">
      <c r="A393" s="387" t="b">
        <f t="shared" ca="1" si="64"/>
        <v>0</v>
      </c>
      <c r="B393" s="397">
        <f t="shared" si="60"/>
        <v>-24</v>
      </c>
      <c r="C393" s="404" t="str">
        <f ca="1">IF(COUNTA(D$265:D392)=1,"",OFFSET(B391,-COUNTA(D$265:D392)+3,1))</f>
        <v>a1WDm000000c5WwMAI</v>
      </c>
      <c r="D393" s="387"/>
      <c r="E393" s="387">
        <f t="shared" ca="1" si="61"/>
        <v>6</v>
      </c>
      <c r="F393" s="402">
        <f ca="1">IF(COUNTA(D$265:D392)=1,"",OFFSET(F391,-COUNTA(D$265:D392)+3,0))</f>
        <v>6</v>
      </c>
      <c r="G393" s="387" t="str">
        <f t="shared" ca="1" si="62"/>
        <v>6</v>
      </c>
      <c r="H393" s="387">
        <f t="shared" ca="1" si="63"/>
        <v>19</v>
      </c>
      <c r="I393" s="392" t="str">
        <f t="shared" ca="1" si="65"/>
        <v/>
      </c>
      <c r="J393" s="403" t="str">
        <f t="shared" ca="1" si="66"/>
        <v/>
      </c>
      <c r="K393" s="389" t="str">
        <f t="shared" ca="1" si="67"/>
        <v/>
      </c>
      <c r="L393" s="391" t="str">
        <f ca="1">IFERROR(CHOOSE(E393,'Outcome Indicators - Section C '!$K$7,'Outcome Indicators - Section C '!$O$7,'Outcome Indicators - Section C '!$S$7,'Outcome Indicators - Section C '!$W$7,'Outcome Indicators - Section C '!#REF!),"")</f>
        <v/>
      </c>
      <c r="M393" s="399" t="str">
        <f t="shared" ca="1" si="68"/>
        <v/>
      </c>
      <c r="N393" s="391" t="str">
        <f t="shared" ca="1" si="69"/>
        <v/>
      </c>
    </row>
    <row r="394" spans="1:14">
      <c r="A394" s="387" t="b">
        <f t="shared" ca="1" si="64"/>
        <v>0</v>
      </c>
      <c r="B394" s="397">
        <f t="shared" si="60"/>
        <v>-23</v>
      </c>
      <c r="C394" s="404" t="str">
        <f ca="1">IF(COUNTA(D$265:D393)=1,"",OFFSET(B392,-COUNTA(D$265:D393)+3,1))</f>
        <v>a1WDm000000c5VkMAI</v>
      </c>
      <c r="D394" s="387"/>
      <c r="E394" s="387">
        <f t="shared" ca="1" si="61"/>
        <v>1</v>
      </c>
      <c r="F394" s="402">
        <f ca="1">IF(COUNTA(D$265:D393)=1,"",OFFSET(F392,-COUNTA(D$265:D393)+3,0))</f>
        <v>7</v>
      </c>
      <c r="G394" s="387" t="str">
        <f t="shared" ca="1" si="62"/>
        <v>72024</v>
      </c>
      <c r="H394" s="387">
        <f t="shared" ca="1" si="63"/>
        <v>21</v>
      </c>
      <c r="I394" s="392" t="str">
        <f t="shared" ca="1" si="65"/>
        <v/>
      </c>
      <c r="J394" s="403" t="str">
        <f t="shared" ca="1" si="66"/>
        <v/>
      </c>
      <c r="K394" s="389" t="str">
        <f t="shared" ca="1" si="67"/>
        <v/>
      </c>
      <c r="L394" s="391">
        <f ca="1">IFERROR(CHOOSE(E394,'Outcome Indicators - Section C '!$K$7,'Outcome Indicators - Section C '!$O$7,'Outcome Indicators - Section C '!$S$7,'Outcome Indicators - Section C '!$W$7,'Outcome Indicators - Section C '!#REF!),"")</f>
        <v>2024</v>
      </c>
      <c r="M394" s="399" t="str">
        <f t="shared" ca="1" si="68"/>
        <v/>
      </c>
      <c r="N394" s="391" t="str">
        <f t="shared" ca="1" si="69"/>
        <v/>
      </c>
    </row>
    <row r="395" spans="1:14">
      <c r="A395" s="387" t="b">
        <f t="shared" ca="1" si="64"/>
        <v>1</v>
      </c>
      <c r="B395" s="397">
        <f t="shared" si="60"/>
        <v>-22</v>
      </c>
      <c r="C395" s="404" t="str">
        <f ca="1">IF(COUNTA(D$265:D394)=1,"",OFFSET(B393,-COUNTA(D$265:D394)+3,1))</f>
        <v>a1WDm000000c5VzMAI</v>
      </c>
      <c r="D395" s="387"/>
      <c r="E395" s="387">
        <f t="shared" ca="1" si="61"/>
        <v>2</v>
      </c>
      <c r="F395" s="402">
        <f ca="1">IF(COUNTA(D$265:D394)=1,"",OFFSET(F393,-COUNTA(D$265:D394)+3,0))</f>
        <v>7</v>
      </c>
      <c r="G395" s="387" t="str">
        <f t="shared" ca="1" si="62"/>
        <v>72025</v>
      </c>
      <c r="H395" s="387">
        <f t="shared" ca="1" si="63"/>
        <v>21</v>
      </c>
      <c r="I395" s="392" t="str">
        <f t="shared" ca="1" si="65"/>
        <v/>
      </c>
      <c r="J395" s="403" t="str">
        <f t="shared" ca="1" si="66"/>
        <v/>
      </c>
      <c r="K395" s="389" t="str">
        <f t="shared" ca="1" si="67"/>
        <v/>
      </c>
      <c r="L395" s="391">
        <f ca="1">IFERROR(CHOOSE(E395,'Outcome Indicators - Section C '!$K$7,'Outcome Indicators - Section C '!$O$7,'Outcome Indicators - Section C '!$S$7,'Outcome Indicators - Section C '!$W$7,'Outcome Indicators - Section C '!#REF!),"")</f>
        <v>2025</v>
      </c>
      <c r="M395" s="399" t="str">
        <f t="shared" ca="1" si="68"/>
        <v/>
      </c>
      <c r="N395" s="391" t="str">
        <f t="shared" ca="1" si="69"/>
        <v>TBD</v>
      </c>
    </row>
    <row r="396" spans="1:14">
      <c r="A396" s="387" t="b">
        <f t="shared" ca="1" si="64"/>
        <v>0</v>
      </c>
      <c r="B396" s="397">
        <f t="shared" ref="B396:B447" si="70">B395+1</f>
        <v>-21</v>
      </c>
      <c r="C396" s="404" t="str">
        <f ca="1">IF(COUNTA(D$265:D395)=1,"",OFFSET(B394,-COUNTA(D$265:D395)+3,1))</f>
        <v>a1WDm000000c5WEMAY</v>
      </c>
      <c r="D396" s="387"/>
      <c r="E396" s="387">
        <f t="shared" ref="E396:E447" ca="1" si="71">COUNTIF(F387:F396,F396)</f>
        <v>3</v>
      </c>
      <c r="F396" s="402">
        <f ca="1">IF(COUNTA(D$265:D395)=1,"",OFFSET(F394,-COUNTA(D$265:D395)+3,0))</f>
        <v>7</v>
      </c>
      <c r="G396" s="387" t="str">
        <f t="shared" ref="G396:G447" ca="1" si="72">CONCATENATE(F396,L396)</f>
        <v>72026</v>
      </c>
      <c r="H396" s="387">
        <f t="shared" ref="H396:H447" ca="1" si="73">VLOOKUP(F396,$AH$1:$AI$225,2,FALSE)</f>
        <v>21</v>
      </c>
      <c r="I396" s="392" t="str">
        <f t="shared" ca="1" si="65"/>
        <v/>
      </c>
      <c r="J396" s="403" t="str">
        <f t="shared" ca="1" si="66"/>
        <v/>
      </c>
      <c r="K396" s="389" t="str">
        <f t="shared" ca="1" si="67"/>
        <v/>
      </c>
      <c r="L396" s="391">
        <f ca="1">IFERROR(CHOOSE(E396,'Outcome Indicators - Section C '!$K$7,'Outcome Indicators - Section C '!$O$7,'Outcome Indicators - Section C '!$S$7,'Outcome Indicators - Section C '!$W$7,'Outcome Indicators - Section C '!#REF!),"")</f>
        <v>2026</v>
      </c>
      <c r="M396" s="399" t="str">
        <f t="shared" ca="1" si="68"/>
        <v/>
      </c>
      <c r="N396" s="391" t="str">
        <f t="shared" ca="1" si="69"/>
        <v/>
      </c>
    </row>
    <row r="397" spans="1:14">
      <c r="A397" s="387" t="b">
        <f t="shared" ca="1" si="64"/>
        <v>0</v>
      </c>
      <c r="B397" s="397">
        <f t="shared" si="70"/>
        <v>-20</v>
      </c>
      <c r="C397" s="404" t="str">
        <f ca="1">IF(COUNTA(D$265:D396)=1,"",OFFSET(B395,-COUNTA(D$265:D396)+3,1))</f>
        <v>a1WDm000000c5WTMAY</v>
      </c>
      <c r="D397" s="387"/>
      <c r="E397" s="387">
        <f t="shared" ca="1" si="71"/>
        <v>4</v>
      </c>
      <c r="F397" s="402">
        <f ca="1">IF(COUNTA(D$265:D396)=1,"",OFFSET(F395,-COUNTA(D$265:D396)+3,0))</f>
        <v>7</v>
      </c>
      <c r="G397" s="387" t="str">
        <f t="shared" ca="1" si="72"/>
        <v>7</v>
      </c>
      <c r="H397" s="387">
        <f t="shared" ca="1" si="73"/>
        <v>21</v>
      </c>
      <c r="I397" s="392" t="str">
        <f t="shared" ca="1" si="65"/>
        <v/>
      </c>
      <c r="J397" s="403" t="str">
        <f t="shared" ca="1" si="66"/>
        <v/>
      </c>
      <c r="K397" s="389" t="str">
        <f t="shared" ca="1" si="67"/>
        <v/>
      </c>
      <c r="L397" s="391" t="str">
        <f ca="1">IFERROR(CHOOSE(E397,'Outcome Indicators - Section C '!$K$7,'Outcome Indicators - Section C '!$O$7,'Outcome Indicators - Section C '!$S$7,'Outcome Indicators - Section C '!$W$7,'Outcome Indicators - Section C '!#REF!),"")</f>
        <v/>
      </c>
      <c r="M397" s="399" t="str">
        <f t="shared" ca="1" si="68"/>
        <v/>
      </c>
      <c r="N397" s="391" t="str">
        <f t="shared" ca="1" si="69"/>
        <v/>
      </c>
    </row>
    <row r="398" spans="1:14">
      <c r="A398" s="387" t="b">
        <f t="shared" ca="1" si="64"/>
        <v>0</v>
      </c>
      <c r="B398" s="397">
        <f t="shared" si="70"/>
        <v>-19</v>
      </c>
      <c r="C398" s="404" t="str">
        <f ca="1">IF(COUNTA(D$265:D397)=1,"",OFFSET(B396,-COUNTA(D$265:D397)+3,1))</f>
        <v>a1WDm000000c5WiMAI</v>
      </c>
      <c r="D398" s="387"/>
      <c r="E398" s="387">
        <f t="shared" ca="1" si="71"/>
        <v>5</v>
      </c>
      <c r="F398" s="402">
        <f ca="1">IF(COUNTA(D$265:D397)=1,"",OFFSET(F396,-COUNTA(D$265:D397)+3,0))</f>
        <v>7</v>
      </c>
      <c r="G398" s="387" t="str">
        <f t="shared" ca="1" si="72"/>
        <v>7</v>
      </c>
      <c r="H398" s="387">
        <f t="shared" ca="1" si="73"/>
        <v>21</v>
      </c>
      <c r="I398" s="392" t="str">
        <f t="shared" ca="1" si="65"/>
        <v/>
      </c>
      <c r="J398" s="403" t="str">
        <f t="shared" ca="1" si="66"/>
        <v/>
      </c>
      <c r="K398" s="389" t="str">
        <f t="shared" ca="1" si="67"/>
        <v/>
      </c>
      <c r="L398" s="391" t="str">
        <f ca="1">IFERROR(CHOOSE(E398,'Outcome Indicators - Section C '!$K$7,'Outcome Indicators - Section C '!$O$7,'Outcome Indicators - Section C '!$S$7,'Outcome Indicators - Section C '!$W$7,'Outcome Indicators - Section C '!#REF!),"")</f>
        <v/>
      </c>
      <c r="M398" s="399" t="str">
        <f t="shared" ca="1" si="68"/>
        <v/>
      </c>
      <c r="N398" s="391" t="str">
        <f t="shared" ca="1" si="69"/>
        <v/>
      </c>
    </row>
    <row r="399" spans="1:14">
      <c r="A399" s="387" t="b">
        <f t="shared" ca="1" si="64"/>
        <v>0</v>
      </c>
      <c r="B399" s="397">
        <f t="shared" si="70"/>
        <v>-18</v>
      </c>
      <c r="C399" s="404" t="str">
        <f ca="1">IF(COUNTA(D$265:D398)=1,"",OFFSET(B397,-COUNTA(D$265:D398)+3,1))</f>
        <v>a1WDm000000c5WxMAI</v>
      </c>
      <c r="D399" s="387"/>
      <c r="E399" s="387">
        <f t="shared" ca="1" si="71"/>
        <v>6</v>
      </c>
      <c r="F399" s="402">
        <f ca="1">IF(COUNTA(D$265:D398)=1,"",OFFSET(F397,-COUNTA(D$265:D398)+3,0))</f>
        <v>7</v>
      </c>
      <c r="G399" s="387" t="str">
        <f t="shared" ca="1" si="72"/>
        <v>7</v>
      </c>
      <c r="H399" s="387">
        <f t="shared" ca="1" si="73"/>
        <v>21</v>
      </c>
      <c r="I399" s="392" t="str">
        <f t="shared" ca="1" si="65"/>
        <v/>
      </c>
      <c r="J399" s="403" t="str">
        <f t="shared" ca="1" si="66"/>
        <v/>
      </c>
      <c r="K399" s="389" t="str">
        <f t="shared" ca="1" si="67"/>
        <v/>
      </c>
      <c r="L399" s="391" t="str">
        <f ca="1">IFERROR(CHOOSE(E399,'Outcome Indicators - Section C '!$K$7,'Outcome Indicators - Section C '!$O$7,'Outcome Indicators - Section C '!$S$7,'Outcome Indicators - Section C '!$W$7,'Outcome Indicators - Section C '!#REF!),"")</f>
        <v/>
      </c>
      <c r="M399" s="399" t="str">
        <f t="shared" ca="1" si="68"/>
        <v/>
      </c>
      <c r="N399" s="391" t="str">
        <f t="shared" ca="1" si="69"/>
        <v/>
      </c>
    </row>
    <row r="400" spans="1:14">
      <c r="A400" s="387" t="b">
        <f t="shared" ca="1" si="64"/>
        <v>1</v>
      </c>
      <c r="B400" s="397">
        <f t="shared" si="70"/>
        <v>-17</v>
      </c>
      <c r="C400" s="404" t="str">
        <f ca="1">IF(COUNTA(D$265:D399)=1,"",OFFSET(B398,-COUNTA(D$265:D399)+3,1))</f>
        <v>a1WDm000000c5VlMAI</v>
      </c>
      <c r="D400" s="387"/>
      <c r="E400" s="387">
        <f t="shared" ca="1" si="71"/>
        <v>1</v>
      </c>
      <c r="F400" s="402">
        <f ca="1">IF(COUNTA(D$265:D399)=1,"",OFFSET(F398,-COUNTA(D$265:D399)+3,0))</f>
        <v>8</v>
      </c>
      <c r="G400" s="387" t="str">
        <f t="shared" ca="1" si="72"/>
        <v>82024</v>
      </c>
      <c r="H400" s="387">
        <f t="shared" ca="1" si="73"/>
        <v>23</v>
      </c>
      <c r="I400" s="392">
        <f t="shared" ca="1" si="65"/>
        <v>517375</v>
      </c>
      <c r="J400" s="403">
        <f t="shared" ca="1" si="66"/>
        <v>434595</v>
      </c>
      <c r="K400" s="389">
        <f t="shared" ca="1" si="67"/>
        <v>84</v>
      </c>
      <c r="L400" s="391">
        <f ca="1">IFERROR(CHOOSE(E400,'Outcome Indicators - Section C '!$K$7,'Outcome Indicators - Section C '!$O$7,'Outcome Indicators - Section C '!$S$7,'Outcome Indicators - Section C '!$W$7,'Outcome Indicators - Section C '!#REF!),"")</f>
        <v>2024</v>
      </c>
      <c r="M400" s="399" t="str">
        <f t="shared" ca="1" si="68"/>
        <v/>
      </c>
      <c r="N400" s="391" t="str">
        <f t="shared" ca="1" si="69"/>
        <v/>
      </c>
    </row>
    <row r="401" spans="1:14">
      <c r="A401" s="387" t="b">
        <f t="shared" ca="1" si="64"/>
        <v>1</v>
      </c>
      <c r="B401" s="397">
        <f t="shared" si="70"/>
        <v>-16</v>
      </c>
      <c r="C401" s="404" t="str">
        <f ca="1">IF(COUNTA(D$265:D400)=1,"",OFFSET(B399,-COUNTA(D$265:D400)+3,1))</f>
        <v>a1WDm000000c5W0MAI</v>
      </c>
      <c r="D401" s="387"/>
      <c r="E401" s="387">
        <f t="shared" ca="1" si="71"/>
        <v>2</v>
      </c>
      <c r="F401" s="402">
        <f ca="1">IF(COUNTA(D$265:D400)=1,"",OFFSET(F399,-COUNTA(D$265:D400)+3,0))</f>
        <v>8</v>
      </c>
      <c r="G401" s="387" t="str">
        <f t="shared" ca="1" si="72"/>
        <v>82025</v>
      </c>
      <c r="H401" s="387">
        <f t="shared" ca="1" si="73"/>
        <v>23</v>
      </c>
      <c r="I401" s="392">
        <f t="shared" ca="1" si="65"/>
        <v>517111</v>
      </c>
      <c r="J401" s="403">
        <f t="shared" ca="1" si="66"/>
        <v>449887</v>
      </c>
      <c r="K401" s="389">
        <f t="shared" ca="1" si="67"/>
        <v>87.000083154293762</v>
      </c>
      <c r="L401" s="391">
        <f ca="1">IFERROR(CHOOSE(E401,'Outcome Indicators - Section C '!$K$7,'Outcome Indicators - Section C '!$O$7,'Outcome Indicators - Section C '!$S$7,'Outcome Indicators - Section C '!$W$7,'Outcome Indicators - Section C '!#REF!),"")</f>
        <v>2025</v>
      </c>
      <c r="M401" s="399" t="str">
        <f t="shared" ca="1" si="68"/>
        <v/>
      </c>
      <c r="N401" s="391" t="str">
        <f t="shared" ca="1" si="69"/>
        <v/>
      </c>
    </row>
    <row r="402" spans="1:14">
      <c r="A402" s="387" t="b">
        <f t="shared" ca="1" si="64"/>
        <v>1</v>
      </c>
      <c r="B402" s="397">
        <f t="shared" si="70"/>
        <v>-15</v>
      </c>
      <c r="C402" s="404" t="str">
        <f ca="1">IF(COUNTA(D$265:D401)=1,"",OFFSET(B400,-COUNTA(D$265:D401)+3,1))</f>
        <v>a1WDm000000c5WFMAY</v>
      </c>
      <c r="D402" s="387"/>
      <c r="E402" s="387">
        <f t="shared" ca="1" si="71"/>
        <v>3</v>
      </c>
      <c r="F402" s="402">
        <f ca="1">IF(COUNTA(D$265:D401)=1,"",OFFSET(F400,-COUNTA(D$265:D401)+3,0))</f>
        <v>8</v>
      </c>
      <c r="G402" s="387" t="str">
        <f t="shared" ca="1" si="72"/>
        <v>82026</v>
      </c>
      <c r="H402" s="387">
        <f t="shared" ca="1" si="73"/>
        <v>23</v>
      </c>
      <c r="I402" s="392">
        <f t="shared" ca="1" si="65"/>
        <v>515190</v>
      </c>
      <c r="J402" s="403">
        <f t="shared" ca="1" si="66"/>
        <v>468823</v>
      </c>
      <c r="K402" s="389">
        <f t="shared" ca="1" si="67"/>
        <v>91.000019410314636</v>
      </c>
      <c r="L402" s="391">
        <f ca="1">IFERROR(CHOOSE(E402,'Outcome Indicators - Section C '!$K$7,'Outcome Indicators - Section C '!$O$7,'Outcome Indicators - Section C '!$S$7,'Outcome Indicators - Section C '!$W$7,'Outcome Indicators - Section C '!#REF!),"")</f>
        <v>2026</v>
      </c>
      <c r="M402" s="399" t="str">
        <f t="shared" ca="1" si="68"/>
        <v/>
      </c>
      <c r="N402" s="391" t="str">
        <f t="shared" ca="1" si="69"/>
        <v/>
      </c>
    </row>
    <row r="403" spans="1:14">
      <c r="A403" s="387" t="b">
        <f t="shared" ca="1" si="64"/>
        <v>0</v>
      </c>
      <c r="B403" s="397">
        <f t="shared" si="70"/>
        <v>-14</v>
      </c>
      <c r="C403" s="404" t="str">
        <f ca="1">IF(COUNTA(D$265:D402)=1,"",OFFSET(B401,-COUNTA(D$265:D402)+3,1))</f>
        <v>a1WDm000000c5WUMAY</v>
      </c>
      <c r="D403" s="387"/>
      <c r="E403" s="387">
        <f t="shared" ca="1" si="71"/>
        <v>4</v>
      </c>
      <c r="F403" s="402">
        <f ca="1">IF(COUNTA(D$265:D402)=1,"",OFFSET(F401,-COUNTA(D$265:D402)+3,0))</f>
        <v>8</v>
      </c>
      <c r="G403" s="387" t="str">
        <f t="shared" ca="1" si="72"/>
        <v>8</v>
      </c>
      <c r="H403" s="387">
        <f t="shared" ca="1" si="73"/>
        <v>23</v>
      </c>
      <c r="I403" s="392" t="str">
        <f t="shared" ca="1" si="65"/>
        <v/>
      </c>
      <c r="J403" s="403" t="str">
        <f t="shared" ca="1" si="66"/>
        <v/>
      </c>
      <c r="K403" s="389" t="str">
        <f t="shared" ca="1" si="67"/>
        <v/>
      </c>
      <c r="L403" s="391" t="str">
        <f ca="1">IFERROR(CHOOSE(E403,'Outcome Indicators - Section C '!$K$7,'Outcome Indicators - Section C '!$O$7,'Outcome Indicators - Section C '!$S$7,'Outcome Indicators - Section C '!$W$7,'Outcome Indicators - Section C '!#REF!),"")</f>
        <v/>
      </c>
      <c r="M403" s="399" t="str">
        <f t="shared" ca="1" si="68"/>
        <v/>
      </c>
      <c r="N403" s="391" t="str">
        <f t="shared" ca="1" si="69"/>
        <v/>
      </c>
    </row>
    <row r="404" spans="1:14">
      <c r="A404" s="387" t="b">
        <f t="shared" ca="1" si="64"/>
        <v>0</v>
      </c>
      <c r="B404" s="397">
        <f t="shared" si="70"/>
        <v>-13</v>
      </c>
      <c r="C404" s="404" t="str">
        <f ca="1">IF(COUNTA(D$265:D403)=1,"",OFFSET(B402,-COUNTA(D$265:D403)+3,1))</f>
        <v>a1WDm000000c5WjMAI</v>
      </c>
      <c r="D404" s="387"/>
      <c r="E404" s="387">
        <f t="shared" ca="1" si="71"/>
        <v>5</v>
      </c>
      <c r="F404" s="402">
        <f ca="1">IF(COUNTA(D$265:D403)=1,"",OFFSET(F402,-COUNTA(D$265:D403)+3,0))</f>
        <v>8</v>
      </c>
      <c r="G404" s="387" t="str">
        <f t="shared" ca="1" si="72"/>
        <v>8</v>
      </c>
      <c r="H404" s="387">
        <f t="shared" ca="1" si="73"/>
        <v>23</v>
      </c>
      <c r="I404" s="392" t="str">
        <f t="shared" ca="1" si="65"/>
        <v/>
      </c>
      <c r="J404" s="403" t="str">
        <f t="shared" ca="1" si="66"/>
        <v/>
      </c>
      <c r="K404" s="389" t="str">
        <f t="shared" ca="1" si="67"/>
        <v/>
      </c>
      <c r="L404" s="391" t="str">
        <f ca="1">IFERROR(CHOOSE(E404,'Outcome Indicators - Section C '!$K$7,'Outcome Indicators - Section C '!$O$7,'Outcome Indicators - Section C '!$S$7,'Outcome Indicators - Section C '!$W$7,'Outcome Indicators - Section C '!#REF!),"")</f>
        <v/>
      </c>
      <c r="M404" s="399" t="str">
        <f t="shared" ca="1" si="68"/>
        <v/>
      </c>
      <c r="N404" s="391" t="str">
        <f t="shared" ca="1" si="69"/>
        <v/>
      </c>
    </row>
    <row r="405" spans="1:14">
      <c r="A405" s="387" t="b">
        <f t="shared" ca="1" si="64"/>
        <v>0</v>
      </c>
      <c r="B405" s="397">
        <f t="shared" si="70"/>
        <v>-12</v>
      </c>
      <c r="C405" s="404" t="str">
        <f ca="1">IF(COUNTA(D$265:D404)=1,"",OFFSET(B403,-COUNTA(D$265:D404)+3,1))</f>
        <v>a1WDm000000c5WyMAI</v>
      </c>
      <c r="D405" s="387"/>
      <c r="E405" s="387">
        <f t="shared" ca="1" si="71"/>
        <v>6</v>
      </c>
      <c r="F405" s="402">
        <f ca="1">IF(COUNTA(D$265:D404)=1,"",OFFSET(F403,-COUNTA(D$265:D404)+3,0))</f>
        <v>8</v>
      </c>
      <c r="G405" s="387" t="str">
        <f t="shared" ca="1" si="72"/>
        <v>8</v>
      </c>
      <c r="H405" s="387">
        <f t="shared" ca="1" si="73"/>
        <v>23</v>
      </c>
      <c r="I405" s="392" t="str">
        <f t="shared" ca="1" si="65"/>
        <v/>
      </c>
      <c r="J405" s="403" t="str">
        <f t="shared" ca="1" si="66"/>
        <v/>
      </c>
      <c r="K405" s="389" t="str">
        <f t="shared" ca="1" si="67"/>
        <v/>
      </c>
      <c r="L405" s="391" t="str">
        <f ca="1">IFERROR(CHOOSE(E405,'Outcome Indicators - Section C '!$K$7,'Outcome Indicators - Section C '!$O$7,'Outcome Indicators - Section C '!$S$7,'Outcome Indicators - Section C '!$W$7,'Outcome Indicators - Section C '!#REF!),"")</f>
        <v/>
      </c>
      <c r="M405" s="399" t="str">
        <f t="shared" ca="1" si="68"/>
        <v/>
      </c>
      <c r="N405" s="391" t="str">
        <f t="shared" ca="1" si="69"/>
        <v/>
      </c>
    </row>
    <row r="406" spans="1:14">
      <c r="A406" s="387" t="b">
        <f t="shared" ca="1" si="64"/>
        <v>1</v>
      </c>
      <c r="B406" s="397">
        <f t="shared" si="70"/>
        <v>-11</v>
      </c>
      <c r="C406" s="404" t="str">
        <f ca="1">IF(COUNTA(D$265:D405)=1,"",OFFSET(B404,-COUNTA(D$265:D405)+3,1))</f>
        <v>a1WDm000000c5VmMAI</v>
      </c>
      <c r="D406" s="387"/>
      <c r="E406" s="387">
        <f t="shared" ca="1" si="71"/>
        <v>1</v>
      </c>
      <c r="F406" s="402">
        <f ca="1">IF(COUNTA(D$265:D405)=1,"",OFFSET(F404,-COUNTA(D$265:D405)+3,0))</f>
        <v>9</v>
      </c>
      <c r="G406" s="387" t="str">
        <f t="shared" ca="1" si="72"/>
        <v>92024</v>
      </c>
      <c r="H406" s="387">
        <f t="shared" ca="1" si="73"/>
        <v>25</v>
      </c>
      <c r="I406" s="392">
        <f t="shared" ca="1" si="65"/>
        <v>517375</v>
      </c>
      <c r="J406" s="403">
        <f t="shared" ca="1" si="66"/>
        <v>391398.03666661598</v>
      </c>
      <c r="K406" s="389">
        <f t="shared" ca="1" si="67"/>
        <v>75.65074398001758</v>
      </c>
      <c r="L406" s="391">
        <f ca="1">IFERROR(CHOOSE(E406,'Outcome Indicators - Section C '!$K$7,'Outcome Indicators - Section C '!$O$7,'Outcome Indicators - Section C '!$S$7,'Outcome Indicators - Section C '!$W$7,'Outcome Indicators - Section C '!#REF!),"")</f>
        <v>2024</v>
      </c>
      <c r="M406" s="399" t="str">
        <f t="shared" ca="1" si="68"/>
        <v/>
      </c>
      <c r="N406" s="391" t="str">
        <f t="shared" ca="1" si="69"/>
        <v/>
      </c>
    </row>
    <row r="407" spans="1:14">
      <c r="A407" s="387" t="b">
        <f t="shared" ca="1" si="64"/>
        <v>1</v>
      </c>
      <c r="B407" s="397">
        <f t="shared" si="70"/>
        <v>-10</v>
      </c>
      <c r="C407" s="404" t="str">
        <f ca="1">IF(COUNTA(D$265:D406)=1,"",OFFSET(B405,-COUNTA(D$265:D406)+3,1))</f>
        <v>a1WDm000000c5W1MAI</v>
      </c>
      <c r="D407" s="387"/>
      <c r="E407" s="387">
        <f t="shared" ca="1" si="71"/>
        <v>2</v>
      </c>
      <c r="F407" s="402">
        <f ca="1">IF(COUNTA(D$265:D406)=1,"",OFFSET(F405,-COUNTA(D$265:D406)+3,0))</f>
        <v>9</v>
      </c>
      <c r="G407" s="387" t="str">
        <f t="shared" ca="1" si="72"/>
        <v>92025</v>
      </c>
      <c r="H407" s="387">
        <f t="shared" ca="1" si="73"/>
        <v>25</v>
      </c>
      <c r="I407" s="392">
        <f t="shared" ca="1" si="65"/>
        <v>517111</v>
      </c>
      <c r="J407" s="403">
        <f t="shared" ca="1" si="66"/>
        <v>409604.66714365501</v>
      </c>
      <c r="K407" s="389">
        <f t="shared" ca="1" si="67"/>
        <v>79.210201899332048</v>
      </c>
      <c r="L407" s="391">
        <f ca="1">IFERROR(CHOOSE(E407,'Outcome Indicators - Section C '!$K$7,'Outcome Indicators - Section C '!$O$7,'Outcome Indicators - Section C '!$S$7,'Outcome Indicators - Section C '!$W$7,'Outcome Indicators - Section C '!#REF!),"")</f>
        <v>2025</v>
      </c>
      <c r="M407" s="399" t="str">
        <f t="shared" ca="1" si="68"/>
        <v/>
      </c>
      <c r="N407" s="391" t="str">
        <f t="shared" ca="1" si="69"/>
        <v/>
      </c>
    </row>
    <row r="408" spans="1:14">
      <c r="A408" s="387" t="b">
        <f t="shared" ca="1" si="64"/>
        <v>1</v>
      </c>
      <c r="B408" s="397">
        <f t="shared" si="70"/>
        <v>-9</v>
      </c>
      <c r="C408" s="404" t="str">
        <f ca="1">IF(COUNTA(D$265:D407)=1,"",OFFSET(B406,-COUNTA(D$265:D407)+3,1))</f>
        <v>a1WDm000000c5WGMAY</v>
      </c>
      <c r="D408" s="387"/>
      <c r="E408" s="387">
        <f t="shared" ca="1" si="71"/>
        <v>3</v>
      </c>
      <c r="F408" s="402">
        <f ca="1">IF(COUNTA(D$265:D407)=1,"",OFFSET(F406,-COUNTA(D$265:D407)+3,0))</f>
        <v>9</v>
      </c>
      <c r="G408" s="387" t="str">
        <f t="shared" ca="1" si="72"/>
        <v>92026</v>
      </c>
      <c r="H408" s="387">
        <f t="shared" ca="1" si="73"/>
        <v>25</v>
      </c>
      <c r="I408" s="392">
        <f t="shared" ca="1" si="65"/>
        <v>515190</v>
      </c>
      <c r="J408" s="403">
        <f t="shared" ca="1" si="66"/>
        <v>426422.27749992802</v>
      </c>
      <c r="K408" s="389">
        <f t="shared" ca="1" si="67"/>
        <v>82.769905762908451</v>
      </c>
      <c r="L408" s="391">
        <f ca="1">IFERROR(CHOOSE(E408,'Outcome Indicators - Section C '!$K$7,'Outcome Indicators - Section C '!$O$7,'Outcome Indicators - Section C '!$S$7,'Outcome Indicators - Section C '!$W$7,'Outcome Indicators - Section C '!#REF!),"")</f>
        <v>2026</v>
      </c>
      <c r="M408" s="399" t="str">
        <f t="shared" ca="1" si="68"/>
        <v/>
      </c>
      <c r="N408" s="391" t="str">
        <f t="shared" ca="1" si="69"/>
        <v/>
      </c>
    </row>
    <row r="409" spans="1:14">
      <c r="A409" s="387" t="b">
        <f t="shared" ca="1" si="64"/>
        <v>0</v>
      </c>
      <c r="B409" s="397">
        <f t="shared" si="70"/>
        <v>-8</v>
      </c>
      <c r="C409" s="404" t="str">
        <f ca="1">IF(COUNTA(D$265:D408)=1,"",OFFSET(B407,-COUNTA(D$265:D408)+3,1))</f>
        <v>a1WDm000000c5WVMAY</v>
      </c>
      <c r="D409" s="387"/>
      <c r="E409" s="387">
        <f t="shared" ca="1" si="71"/>
        <v>4</v>
      </c>
      <c r="F409" s="402">
        <f ca="1">IF(COUNTA(D$265:D408)=1,"",OFFSET(F407,-COUNTA(D$265:D408)+3,0))</f>
        <v>9</v>
      </c>
      <c r="G409" s="387" t="str">
        <f t="shared" ca="1" si="72"/>
        <v>9</v>
      </c>
      <c r="H409" s="387">
        <f t="shared" ca="1" si="73"/>
        <v>25</v>
      </c>
      <c r="I409" s="392" t="str">
        <f t="shared" ca="1" si="65"/>
        <v/>
      </c>
      <c r="J409" s="403" t="str">
        <f t="shared" ca="1" si="66"/>
        <v/>
      </c>
      <c r="K409" s="389" t="str">
        <f t="shared" ca="1" si="67"/>
        <v/>
      </c>
      <c r="L409" s="391" t="str">
        <f ca="1">IFERROR(CHOOSE(E409,'Outcome Indicators - Section C '!$K$7,'Outcome Indicators - Section C '!$O$7,'Outcome Indicators - Section C '!$S$7,'Outcome Indicators - Section C '!$W$7,'Outcome Indicators - Section C '!#REF!),"")</f>
        <v/>
      </c>
      <c r="M409" s="399" t="str">
        <f t="shared" ca="1" si="68"/>
        <v/>
      </c>
      <c r="N409" s="391" t="str">
        <f t="shared" ca="1" si="69"/>
        <v/>
      </c>
    </row>
    <row r="410" spans="1:14">
      <c r="A410" s="387" t="b">
        <f t="shared" ca="1" si="64"/>
        <v>0</v>
      </c>
      <c r="B410" s="397">
        <f t="shared" si="70"/>
        <v>-7</v>
      </c>
      <c r="C410" s="404" t="str">
        <f ca="1">IF(COUNTA(D$265:D409)=1,"",OFFSET(B408,-COUNTA(D$265:D409)+3,1))</f>
        <v>a1WDm000000c5WkMAI</v>
      </c>
      <c r="D410" s="387"/>
      <c r="E410" s="387">
        <f t="shared" ca="1" si="71"/>
        <v>5</v>
      </c>
      <c r="F410" s="402">
        <f ca="1">IF(COUNTA(D$265:D409)=1,"",OFFSET(F408,-COUNTA(D$265:D409)+3,0))</f>
        <v>9</v>
      </c>
      <c r="G410" s="387" t="str">
        <f t="shared" ca="1" si="72"/>
        <v>9</v>
      </c>
      <c r="H410" s="387">
        <f t="shared" ca="1" si="73"/>
        <v>25</v>
      </c>
      <c r="I410" s="392" t="str">
        <f t="shared" ca="1" si="65"/>
        <v/>
      </c>
      <c r="J410" s="403" t="str">
        <f t="shared" ca="1" si="66"/>
        <v/>
      </c>
      <c r="K410" s="389" t="str">
        <f t="shared" ca="1" si="67"/>
        <v/>
      </c>
      <c r="L410" s="391" t="str">
        <f ca="1">IFERROR(CHOOSE(E410,'Outcome Indicators - Section C '!$K$7,'Outcome Indicators - Section C '!$O$7,'Outcome Indicators - Section C '!$S$7,'Outcome Indicators - Section C '!$W$7,'Outcome Indicators - Section C '!#REF!),"")</f>
        <v/>
      </c>
      <c r="M410" s="399" t="str">
        <f t="shared" ca="1" si="68"/>
        <v/>
      </c>
      <c r="N410" s="391" t="str">
        <f t="shared" ca="1" si="69"/>
        <v/>
      </c>
    </row>
    <row r="411" spans="1:14">
      <c r="A411" s="387" t="b">
        <f t="shared" ca="1" si="64"/>
        <v>0</v>
      </c>
      <c r="B411" s="397">
        <f t="shared" si="70"/>
        <v>-6</v>
      </c>
      <c r="C411" s="404" t="str">
        <f ca="1">IF(COUNTA(D$265:D410)=1,"",OFFSET(B409,-COUNTA(D$265:D410)+3,1))</f>
        <v>a1WDm000000c5WzMAI</v>
      </c>
      <c r="D411" s="387"/>
      <c r="E411" s="387">
        <f t="shared" ca="1" si="71"/>
        <v>6</v>
      </c>
      <c r="F411" s="402">
        <f ca="1">IF(COUNTA(D$265:D410)=1,"",OFFSET(F409,-COUNTA(D$265:D410)+3,0))</f>
        <v>9</v>
      </c>
      <c r="G411" s="387" t="str">
        <f t="shared" ca="1" si="72"/>
        <v>9</v>
      </c>
      <c r="H411" s="387">
        <f t="shared" ca="1" si="73"/>
        <v>25</v>
      </c>
      <c r="I411" s="392" t="str">
        <f t="shared" ca="1" si="65"/>
        <v/>
      </c>
      <c r="J411" s="403" t="str">
        <f t="shared" ca="1" si="66"/>
        <v/>
      </c>
      <c r="K411" s="389" t="str">
        <f t="shared" ca="1" si="67"/>
        <v/>
      </c>
      <c r="L411" s="391" t="str">
        <f ca="1">IFERROR(CHOOSE(E411,'Outcome Indicators - Section C '!$K$7,'Outcome Indicators - Section C '!$O$7,'Outcome Indicators - Section C '!$S$7,'Outcome Indicators - Section C '!$W$7,'Outcome Indicators - Section C '!#REF!),"")</f>
        <v/>
      </c>
      <c r="M411" s="399" t="str">
        <f t="shared" ca="1" si="68"/>
        <v/>
      </c>
      <c r="N411" s="391" t="str">
        <f t="shared" ca="1" si="69"/>
        <v/>
      </c>
    </row>
    <row r="412" spans="1:14">
      <c r="A412" s="387" t="b">
        <f t="shared" ca="1" si="64"/>
        <v>0</v>
      </c>
      <c r="B412" s="397">
        <f t="shared" si="70"/>
        <v>-5</v>
      </c>
      <c r="C412" s="404" t="str">
        <f ca="1">IF(COUNTA(D$265:D411)=1,"",OFFSET(B410,-COUNTA(D$265:D411)+3,1))</f>
        <v>a1WDm000000c5VnMAI</v>
      </c>
      <c r="D412" s="387"/>
      <c r="E412" s="387">
        <f t="shared" ca="1" si="71"/>
        <v>1</v>
      </c>
      <c r="F412" s="402">
        <f ca="1">IF(COUNTA(D$265:D411)=1,"",OFFSET(F410,-COUNTA(D$265:D411)+3,0))</f>
        <v>10</v>
      </c>
      <c r="G412" s="387" t="str">
        <f t="shared" ca="1" si="72"/>
        <v>102024</v>
      </c>
      <c r="H412" s="387">
        <f t="shared" ca="1" si="73"/>
        <v>27</v>
      </c>
      <c r="I412" s="392" t="str">
        <f t="shared" ca="1" si="65"/>
        <v/>
      </c>
      <c r="J412" s="403" t="str">
        <f t="shared" ca="1" si="66"/>
        <v/>
      </c>
      <c r="K412" s="389" t="str">
        <f t="shared" ca="1" si="67"/>
        <v/>
      </c>
      <c r="L412" s="391">
        <f ca="1">IFERROR(CHOOSE(E412,'Outcome Indicators - Section C '!$K$7,'Outcome Indicators - Section C '!$O$7,'Outcome Indicators - Section C '!$S$7,'Outcome Indicators - Section C '!$W$7,'Outcome Indicators - Section C '!#REF!),"")</f>
        <v>2024</v>
      </c>
      <c r="M412" s="399" t="str">
        <f t="shared" ca="1" si="68"/>
        <v/>
      </c>
      <c r="N412" s="391" t="str">
        <f t="shared" ca="1" si="69"/>
        <v/>
      </c>
    </row>
    <row r="413" spans="1:14">
      <c r="A413" s="387" t="b">
        <f t="shared" ca="1" si="64"/>
        <v>1</v>
      </c>
      <c r="B413" s="397">
        <f t="shared" si="70"/>
        <v>-4</v>
      </c>
      <c r="C413" s="404" t="str">
        <f ca="1">IF(COUNTA(D$265:D412)=1,"",OFFSET(B411,-COUNTA(D$265:D412)+3,1))</f>
        <v>a1WDm000000c5W2MAI</v>
      </c>
      <c r="D413" s="387"/>
      <c r="E413" s="387">
        <f t="shared" ca="1" si="71"/>
        <v>2</v>
      </c>
      <c r="F413" s="402">
        <f ca="1">IF(COUNTA(D$265:D412)=1,"",OFFSET(F411,-COUNTA(D$265:D412)+3,0))</f>
        <v>10</v>
      </c>
      <c r="G413" s="387" t="str">
        <f t="shared" ca="1" si="72"/>
        <v>102025</v>
      </c>
      <c r="H413" s="387">
        <f t="shared" ca="1" si="73"/>
        <v>27</v>
      </c>
      <c r="I413" s="392" t="str">
        <f t="shared" ca="1" si="65"/>
        <v/>
      </c>
      <c r="J413" s="403" t="str">
        <f t="shared" ca="1" si="66"/>
        <v/>
      </c>
      <c r="K413" s="389" t="str">
        <f t="shared" ca="1" si="67"/>
        <v/>
      </c>
      <c r="L413" s="391">
        <f ca="1">IFERROR(CHOOSE(E413,'Outcome Indicators - Section C '!$K$7,'Outcome Indicators - Section C '!$O$7,'Outcome Indicators - Section C '!$S$7,'Outcome Indicators - Section C '!$W$7,'Outcome Indicators - Section C '!#REF!),"")</f>
        <v>2025</v>
      </c>
      <c r="M413" s="399" t="str">
        <f t="shared" ca="1" si="68"/>
        <v/>
      </c>
      <c r="N413" s="391" t="str">
        <f t="shared" ca="1" si="69"/>
        <v>TBD</v>
      </c>
    </row>
    <row r="414" spans="1:14">
      <c r="A414" s="387" t="b">
        <f t="shared" ca="1" si="64"/>
        <v>0</v>
      </c>
      <c r="B414" s="397">
        <f t="shared" si="70"/>
        <v>-3</v>
      </c>
      <c r="C414" s="404" t="str">
        <f ca="1">IF(COUNTA(D$265:D413)=1,"",OFFSET(B412,-COUNTA(D$265:D413)+3,1))</f>
        <v>a1WDm000000c5WHMAY</v>
      </c>
      <c r="D414" s="387"/>
      <c r="E414" s="387">
        <f t="shared" ca="1" si="71"/>
        <v>3</v>
      </c>
      <c r="F414" s="402">
        <f ca="1">IF(COUNTA(D$265:D413)=1,"",OFFSET(F412,-COUNTA(D$265:D413)+3,0))</f>
        <v>10</v>
      </c>
      <c r="G414" s="387" t="str">
        <f t="shared" ca="1" si="72"/>
        <v>102026</v>
      </c>
      <c r="H414" s="387">
        <f t="shared" ca="1" si="73"/>
        <v>27</v>
      </c>
      <c r="I414" s="392" t="str">
        <f t="shared" ca="1" si="65"/>
        <v/>
      </c>
      <c r="J414" s="403" t="str">
        <f t="shared" ca="1" si="66"/>
        <v/>
      </c>
      <c r="K414" s="389" t="str">
        <f t="shared" ca="1" si="67"/>
        <v/>
      </c>
      <c r="L414" s="391">
        <f ca="1">IFERROR(CHOOSE(E414,'Outcome Indicators - Section C '!$K$7,'Outcome Indicators - Section C '!$O$7,'Outcome Indicators - Section C '!$S$7,'Outcome Indicators - Section C '!$W$7,'Outcome Indicators - Section C '!#REF!),"")</f>
        <v>2026</v>
      </c>
      <c r="M414" s="399" t="str">
        <f t="shared" ca="1" si="68"/>
        <v/>
      </c>
      <c r="N414" s="391" t="str">
        <f t="shared" ca="1" si="69"/>
        <v/>
      </c>
    </row>
    <row r="415" spans="1:14">
      <c r="A415" s="387" t="b">
        <f t="shared" ca="1" si="64"/>
        <v>0</v>
      </c>
      <c r="B415" s="397">
        <f t="shared" si="70"/>
        <v>-2</v>
      </c>
      <c r="C415" s="404" t="str">
        <f ca="1">IF(COUNTA(D$265:D414)=1,"",OFFSET(B413,-COUNTA(D$265:D414)+3,1))</f>
        <v>a1WDm000000c5WWMAY</v>
      </c>
      <c r="D415" s="387"/>
      <c r="E415" s="387">
        <f t="shared" ca="1" si="71"/>
        <v>4</v>
      </c>
      <c r="F415" s="402">
        <f ca="1">IF(COUNTA(D$265:D414)=1,"",OFFSET(F413,-COUNTA(D$265:D414)+3,0))</f>
        <v>10</v>
      </c>
      <c r="G415" s="387" t="str">
        <f t="shared" ca="1" si="72"/>
        <v>10</v>
      </c>
      <c r="H415" s="387">
        <f t="shared" ca="1" si="73"/>
        <v>27</v>
      </c>
      <c r="I415" s="392" t="str">
        <f t="shared" ca="1" si="65"/>
        <v/>
      </c>
      <c r="J415" s="403" t="str">
        <f t="shared" ca="1" si="66"/>
        <v/>
      </c>
      <c r="K415" s="389" t="str">
        <f t="shared" ca="1" si="67"/>
        <v/>
      </c>
      <c r="L415" s="391" t="str">
        <f ca="1">IFERROR(CHOOSE(E415,'Outcome Indicators - Section C '!$K$7,'Outcome Indicators - Section C '!$O$7,'Outcome Indicators - Section C '!$S$7,'Outcome Indicators - Section C '!$W$7,'Outcome Indicators - Section C '!#REF!),"")</f>
        <v/>
      </c>
      <c r="M415" s="399" t="str">
        <f t="shared" ca="1" si="68"/>
        <v/>
      </c>
      <c r="N415" s="391" t="str">
        <f t="shared" ca="1" si="69"/>
        <v/>
      </c>
    </row>
    <row r="416" spans="1:14">
      <c r="A416" s="387" t="b">
        <f t="shared" ca="1" si="64"/>
        <v>0</v>
      </c>
      <c r="B416" s="397">
        <f t="shared" si="70"/>
        <v>-1</v>
      </c>
      <c r="C416" s="404" t="str">
        <f ca="1">IF(COUNTA(D$265:D415)=1,"",OFFSET(B414,-COUNTA(D$265:D415)+3,1))</f>
        <v>a1WDm000000c5WlMAI</v>
      </c>
      <c r="D416" s="387"/>
      <c r="E416" s="387">
        <f t="shared" ca="1" si="71"/>
        <v>5</v>
      </c>
      <c r="F416" s="402">
        <f ca="1">IF(COUNTA(D$265:D415)=1,"",OFFSET(F414,-COUNTA(D$265:D415)+3,0))</f>
        <v>10</v>
      </c>
      <c r="G416" s="387" t="str">
        <f t="shared" ca="1" si="72"/>
        <v>10</v>
      </c>
      <c r="H416" s="387">
        <f t="shared" ca="1" si="73"/>
        <v>27</v>
      </c>
      <c r="I416" s="392" t="str">
        <f t="shared" ca="1" si="65"/>
        <v/>
      </c>
      <c r="J416" s="403" t="str">
        <f t="shared" ca="1" si="66"/>
        <v/>
      </c>
      <c r="K416" s="389" t="str">
        <f t="shared" ca="1" si="67"/>
        <v/>
      </c>
      <c r="L416" s="391" t="str">
        <f ca="1">IFERROR(CHOOSE(E416,'Outcome Indicators - Section C '!$K$7,'Outcome Indicators - Section C '!$O$7,'Outcome Indicators - Section C '!$S$7,'Outcome Indicators - Section C '!$W$7,'Outcome Indicators - Section C '!#REF!),"")</f>
        <v/>
      </c>
      <c r="M416" s="399" t="str">
        <f t="shared" ca="1" si="68"/>
        <v/>
      </c>
      <c r="N416" s="391" t="str">
        <f t="shared" ca="1" si="69"/>
        <v/>
      </c>
    </row>
    <row r="417" spans="1:14">
      <c r="A417" s="387" t="b">
        <f t="shared" ca="1" si="64"/>
        <v>0</v>
      </c>
      <c r="B417" s="397">
        <f t="shared" si="70"/>
        <v>0</v>
      </c>
      <c r="C417" s="404" t="str">
        <f ca="1">IF(COUNTA(D$265:D416)=1,"",OFFSET(B415,-COUNTA(D$265:D416)+3,1))</f>
        <v>a1WDm000000c5X0MAI</v>
      </c>
      <c r="D417" s="387"/>
      <c r="E417" s="387">
        <f t="shared" ca="1" si="71"/>
        <v>6</v>
      </c>
      <c r="F417" s="402">
        <f ca="1">IF(COUNTA(D$265:D416)=1,"",OFFSET(F415,-COUNTA(D$265:D416)+3,0))</f>
        <v>10</v>
      </c>
      <c r="G417" s="387" t="str">
        <f t="shared" ca="1" si="72"/>
        <v>10</v>
      </c>
      <c r="H417" s="387">
        <f t="shared" ca="1" si="73"/>
        <v>27</v>
      </c>
      <c r="I417" s="392" t="str">
        <f t="shared" ca="1" si="65"/>
        <v/>
      </c>
      <c r="J417" s="403" t="str">
        <f t="shared" ca="1" si="66"/>
        <v/>
      </c>
      <c r="K417" s="389" t="str">
        <f t="shared" ca="1" si="67"/>
        <v/>
      </c>
      <c r="L417" s="391" t="str">
        <f ca="1">IFERROR(CHOOSE(E417,'Outcome Indicators - Section C '!$K$7,'Outcome Indicators - Section C '!$O$7,'Outcome Indicators - Section C '!$S$7,'Outcome Indicators - Section C '!$W$7,'Outcome Indicators - Section C '!#REF!),"")</f>
        <v/>
      </c>
      <c r="M417" s="399" t="str">
        <f t="shared" ca="1" si="68"/>
        <v/>
      </c>
      <c r="N417" s="391" t="str">
        <f t="shared" ca="1" si="69"/>
        <v/>
      </c>
    </row>
    <row r="418" spans="1:14">
      <c r="A418" s="387" t="b">
        <f t="shared" ca="1" si="64"/>
        <v>0</v>
      </c>
      <c r="B418" s="397">
        <f t="shared" si="70"/>
        <v>1</v>
      </c>
      <c r="C418" s="404" t="str">
        <f ca="1">IF(COUNTA(D$265:D417)=1,"",OFFSET(B416,-COUNTA(D$265:D417)+3,1))</f>
        <v>a1WDm000000c5VoMAI</v>
      </c>
      <c r="D418" s="387"/>
      <c r="E418" s="387">
        <f t="shared" ca="1" si="71"/>
        <v>1</v>
      </c>
      <c r="F418" s="402">
        <f ca="1">IF(COUNTA(D$265:D417)=1,"",OFFSET(F416,-COUNTA(D$265:D417)+3,0))</f>
        <v>11</v>
      </c>
      <c r="G418" s="387" t="str">
        <f t="shared" ca="1" si="72"/>
        <v>112024</v>
      </c>
      <c r="H418" s="387">
        <f t="shared" ca="1" si="73"/>
        <v>29</v>
      </c>
      <c r="I418" s="392" t="str">
        <f t="shared" ca="1" si="65"/>
        <v/>
      </c>
      <c r="J418" s="403" t="str">
        <f t="shared" ca="1" si="66"/>
        <v/>
      </c>
      <c r="K418" s="389" t="str">
        <f t="shared" ca="1" si="67"/>
        <v/>
      </c>
      <c r="L418" s="391">
        <f ca="1">IFERROR(CHOOSE(E418,'Outcome Indicators - Section C '!$K$7,'Outcome Indicators - Section C '!$O$7,'Outcome Indicators - Section C '!$S$7,'Outcome Indicators - Section C '!$W$7,'Outcome Indicators - Section C '!#REF!),"")</f>
        <v>2024</v>
      </c>
      <c r="M418" s="399" t="str">
        <f t="shared" ca="1" si="68"/>
        <v/>
      </c>
      <c r="N418" s="391" t="str">
        <f t="shared" ca="1" si="69"/>
        <v/>
      </c>
    </row>
    <row r="419" spans="1:14">
      <c r="A419" s="387" t="b">
        <f t="shared" ca="1" si="64"/>
        <v>1</v>
      </c>
      <c r="B419" s="397">
        <f t="shared" si="70"/>
        <v>2</v>
      </c>
      <c r="C419" s="404" t="str">
        <f ca="1">IF(COUNTA(D$265:D418)=1,"",OFFSET(B417,-COUNTA(D$265:D418)+3,1))</f>
        <v>a1WDm000000c5W3MAI</v>
      </c>
      <c r="D419" s="387"/>
      <c r="E419" s="387">
        <f t="shared" ca="1" si="71"/>
        <v>2</v>
      </c>
      <c r="F419" s="402">
        <f ca="1">IF(COUNTA(D$265:D418)=1,"",OFFSET(F417,-COUNTA(D$265:D418)+3,0))</f>
        <v>11</v>
      </c>
      <c r="G419" s="387" t="str">
        <f t="shared" ca="1" si="72"/>
        <v>112025</v>
      </c>
      <c r="H419" s="387">
        <f t="shared" ca="1" si="73"/>
        <v>29</v>
      </c>
      <c r="I419" s="392" t="str">
        <f t="shared" ca="1" si="65"/>
        <v/>
      </c>
      <c r="J419" s="403" t="str">
        <f t="shared" ca="1" si="66"/>
        <v/>
      </c>
      <c r="K419" s="389" t="str">
        <f t="shared" ca="1" si="67"/>
        <v/>
      </c>
      <c r="L419" s="391">
        <f ca="1">IFERROR(CHOOSE(E419,'Outcome Indicators - Section C '!$K$7,'Outcome Indicators - Section C '!$O$7,'Outcome Indicators - Section C '!$S$7,'Outcome Indicators - Section C '!$W$7,'Outcome Indicators - Section C '!#REF!),"")</f>
        <v>2025</v>
      </c>
      <c r="M419" s="399" t="str">
        <f t="shared" ca="1" si="68"/>
        <v/>
      </c>
      <c r="N419" s="391" t="str">
        <f t="shared" ca="1" si="69"/>
        <v>TBD</v>
      </c>
    </row>
    <row r="420" spans="1:14">
      <c r="A420" s="387" t="b">
        <f t="shared" ca="1" si="64"/>
        <v>0</v>
      </c>
      <c r="B420" s="397">
        <f t="shared" si="70"/>
        <v>3</v>
      </c>
      <c r="C420" s="404" t="str">
        <f ca="1">IF(COUNTA(D$265:D419)=1,"",OFFSET(B418,-COUNTA(D$265:D419)+3,1))</f>
        <v>a1WDm000000c5WIMAY</v>
      </c>
      <c r="D420" s="387"/>
      <c r="E420" s="387">
        <f t="shared" ca="1" si="71"/>
        <v>3</v>
      </c>
      <c r="F420" s="402">
        <f ca="1">IF(COUNTA(D$265:D419)=1,"",OFFSET(F418,-COUNTA(D$265:D419)+3,0))</f>
        <v>11</v>
      </c>
      <c r="G420" s="387" t="str">
        <f t="shared" ca="1" si="72"/>
        <v>112026</v>
      </c>
      <c r="H420" s="387">
        <f t="shared" ca="1" si="73"/>
        <v>29</v>
      </c>
      <c r="I420" s="392" t="str">
        <f t="shared" ca="1" si="65"/>
        <v/>
      </c>
      <c r="J420" s="403" t="str">
        <f t="shared" ca="1" si="66"/>
        <v/>
      </c>
      <c r="K420" s="389" t="str">
        <f t="shared" ca="1" si="67"/>
        <v/>
      </c>
      <c r="L420" s="391">
        <f ca="1">IFERROR(CHOOSE(E420,'Outcome Indicators - Section C '!$K$7,'Outcome Indicators - Section C '!$O$7,'Outcome Indicators - Section C '!$S$7,'Outcome Indicators - Section C '!$W$7,'Outcome Indicators - Section C '!#REF!),"")</f>
        <v>2026</v>
      </c>
      <c r="M420" s="399" t="str">
        <f t="shared" ca="1" si="68"/>
        <v/>
      </c>
      <c r="N420" s="391" t="str">
        <f t="shared" ca="1" si="69"/>
        <v/>
      </c>
    </row>
    <row r="421" spans="1:14">
      <c r="A421" s="387" t="b">
        <f t="shared" ca="1" si="64"/>
        <v>0</v>
      </c>
      <c r="B421" s="397">
        <f t="shared" si="70"/>
        <v>4</v>
      </c>
      <c r="C421" s="404" t="str">
        <f ca="1">IF(COUNTA(D$265:D420)=1,"",OFFSET(B419,-COUNTA(D$265:D420)+3,1))</f>
        <v>a1WDm000000c5WXMAY</v>
      </c>
      <c r="D421" s="387"/>
      <c r="E421" s="387">
        <f t="shared" ca="1" si="71"/>
        <v>4</v>
      </c>
      <c r="F421" s="402">
        <f ca="1">IF(COUNTA(D$265:D420)=1,"",OFFSET(F419,-COUNTA(D$265:D420)+3,0))</f>
        <v>11</v>
      </c>
      <c r="G421" s="387" t="str">
        <f t="shared" ca="1" si="72"/>
        <v>11</v>
      </c>
      <c r="H421" s="387">
        <f t="shared" ca="1" si="73"/>
        <v>29</v>
      </c>
      <c r="I421" s="392" t="str">
        <f t="shared" ca="1" si="65"/>
        <v/>
      </c>
      <c r="J421" s="403" t="str">
        <f t="shared" ca="1" si="66"/>
        <v/>
      </c>
      <c r="K421" s="389" t="str">
        <f t="shared" ca="1" si="67"/>
        <v/>
      </c>
      <c r="L421" s="391" t="str">
        <f ca="1">IFERROR(CHOOSE(E421,'Outcome Indicators - Section C '!$K$7,'Outcome Indicators - Section C '!$O$7,'Outcome Indicators - Section C '!$S$7,'Outcome Indicators - Section C '!$W$7,'Outcome Indicators - Section C '!#REF!),"")</f>
        <v/>
      </c>
      <c r="M421" s="399" t="str">
        <f t="shared" ca="1" si="68"/>
        <v/>
      </c>
      <c r="N421" s="391" t="str">
        <f t="shared" ca="1" si="69"/>
        <v/>
      </c>
    </row>
    <row r="422" spans="1:14">
      <c r="A422" s="387" t="b">
        <f t="shared" ref="A422:A447" ca="1" si="74">IF(OR(I422&lt;&gt;"",J422&lt;&gt;"",K422&lt;&gt;"",M422&lt;&gt;"",N422&lt;&gt;""),TRUE,FALSE)</f>
        <v>0</v>
      </c>
      <c r="B422" s="397">
        <f t="shared" si="70"/>
        <v>5</v>
      </c>
      <c r="C422" s="404" t="str">
        <f ca="1">IF(COUNTA(D$265:D421)=1,"",OFFSET(B420,-COUNTA(D$265:D421)+3,1))</f>
        <v>a1WDm000000c5WmMAI</v>
      </c>
      <c r="D422" s="387"/>
      <c r="E422" s="387">
        <f t="shared" ca="1" si="71"/>
        <v>5</v>
      </c>
      <c r="F422" s="402">
        <f ca="1">IF(COUNTA(D$265:D421)=1,"",OFFSET(F420,-COUNTA(D$265:D421)+3,0))</f>
        <v>11</v>
      </c>
      <c r="G422" s="387" t="str">
        <f t="shared" ca="1" si="72"/>
        <v>11</v>
      </c>
      <c r="H422" s="387">
        <f t="shared" ca="1" si="73"/>
        <v>29</v>
      </c>
      <c r="I422" s="392" t="str">
        <f t="shared" ref="I422:I447" ca="1" si="75">IFERROR(CHOOSE(E422,IFERROR(IF(INDIRECT("'Outcome Indicators - Section C '!K"&amp;H422+1)="","",INDIRECT("'Outcome Indicators - Section C '!K"&amp;H422+1)),""),IFERROR(IF(INDIRECT("'Outcome Indicators - Section C '!O"&amp;H422+1)="","",INDIRECT("'Outcome Indicators - Section C '!O"&amp;H422+1)),""),IFERROR(IF(INDIRECT("'Outcome Indicators - Section C '!S"&amp;H422+1)="","",INDIRECT("'Outcome Indicators - Section C '!S"&amp;H422+1)),""),IFERROR(IF(INDIRECT("'Outcome Indicators - Section C '!W"&amp;H422+1)="","",INDIRECT("'Outcome Indicators - Section C '!W"&amp;H422+1)),"")),"")</f>
        <v/>
      </c>
      <c r="J422" s="403" t="str">
        <f t="shared" ref="J422:J447" ca="1" si="76">IFERROR(CHOOSE(E422,IFERROR(IF(INDIRECT("'Outcome Indicators - Section C '!K"&amp;H422)="","",INDIRECT("'Outcome Indicators - Section C '!K"&amp;H422)),""),IFERROR(IF(INDIRECT("'Outcome Indicators - Section C '!O"&amp;H422)="","",INDIRECT("'Outcome Indicators - Section C '!O"&amp;H422)),""),IFERROR(IF(INDIRECT("'Outcome Indicators - Section C '!S"&amp;H422)="","",INDIRECT("'Outcome Indicators - Section C '!S"&amp;H422)),""),IFERROR(IF(INDIRECT("'Outcome Indicators - Section C '!W"&amp;H422)="","",INDIRECT("'Outcome Indicators - Section C '!W"&amp;H422)),"")),"")</f>
        <v/>
      </c>
      <c r="K422" s="389" t="str">
        <f t="shared" ref="K422:K447" ca="1" si="77">IFERROR(CHOOSE(E422,IFERROR(IF(INDIRECT("'Outcome Indicators - Section C '!L"&amp;H422)="","",INDIRECT("'Outcome Indicators - Section C '!L"&amp;H422)*100),""),IFERROR(IF(INDIRECT("'Outcome Indicators - Section C '!P"&amp;H422)="","",INDIRECT("'Outcome Indicators - Section C '!P"&amp;H422)*100),""),IFERROR(IF(INDIRECT("'Outcome Indicators - Section C '!T"&amp;H422)="","",INDIRECT("'Outcome Indicators - Section C '!T"&amp;H422)*100),""),IFERROR(IF(INDIRECT("'Outcome Indicators - Section C '!X"&amp;H422)="","",INDIRECT("'Outcome Indicators - Section C '!X"&amp;H422)*100),"")),"")</f>
        <v/>
      </c>
      <c r="L422" s="391" t="str">
        <f ca="1">IFERROR(CHOOSE(E422,'Outcome Indicators - Section C '!$K$7,'Outcome Indicators - Section C '!$O$7,'Outcome Indicators - Section C '!$S$7,'Outcome Indicators - Section C '!$W$7,'Outcome Indicators - Section C '!#REF!),"")</f>
        <v/>
      </c>
      <c r="M422" s="399" t="str">
        <f t="shared" ref="M422:M447" ca="1" si="78">IFERROR(CHOOSE(E422,IFERROR(IF(INDIRECT("'Outcome Indicators - Section C '!M"&amp;H422)="","",INDIRECT("'Outcome Indicators - Section C '!M"&amp;H422)),""),IFERROR(IF(INDIRECT("'Outcome Indicators - Section C '!Q"&amp;H422)="","",INDIRECT("'Outcome Indicators - Section C '!Q"&amp;H422)),""),IFERROR(IF(INDIRECT("'Outcome Indicators - Section C '!U"&amp;H422)="","",INDIRECT("'Outcome Indicators - Section C '!U"&amp;H422)),""),IFERROR(IF(INDIRECT("'Outcome Indicators - Section C '!Y"&amp;H422)="","",INDIRECT("'Outcome Indicators - Section C '!Y"&amp;H422)),"")),"")</f>
        <v/>
      </c>
      <c r="N422" s="391" t="str">
        <f t="shared" ref="N422:N447" ca="1" si="79">IF(IFERROR(CHOOSE(E422,IFERROR(IF(INDIRECT("'Outcome Indicators - Section C '!N"&amp;H422)=0,"",INDIRECT("'Outcome Indicators - Section C '!N"&amp;H422)),""),IFERROR(IF(INDIRECT("'Outcome Indicators - Section C '!R"&amp;H422)=0,"",INDIRECT("'Outcome Indicators - Section C '!R"&amp;H422)),""),IFERROR(IF(INDIRECT("'Outcome Indicators - Section C '!V"&amp;H422)=0,"",INDIRECT("'Outcome Indicators - Section C '!V"&amp;H422)),""),IFERROR(IF(INDIRECT("'Outcome Indicators - Section C '!Z"&amp;H422)=0,"",INDIRECT("'Outcome Indicators - Section C '!Z"&amp;H422)),""),),"")=0,"",IFERROR(CHOOSE(E422,IFERROR(IF(INDIRECT("'Outcome Indicators - Section C '!N"&amp;H422)=0,"",INDIRECT("'Outcome Indicators - Section C '!N"&amp;H422)),""),IFERROR(IF(INDIRECT("'Outcome Indicators - Section C '!R"&amp;H422)=0,"",INDIRECT("'Outcome Indicators - Section C '!R"&amp;H422)),""),IFERROR(IF(INDIRECT("'Outcome Indicators - Section C '!V"&amp;H422)=0,"",INDIRECT("'Outcome Indicators - Section C '!V"&amp;H422)),""),IFERROR(IF(INDIRECT("'Outcome Indicators - Section C '!Z"&amp;H422)=0,"",INDIRECT("'Outcome Indicators - Section C '!Z"&amp;H422)),""),),""))</f>
        <v/>
      </c>
    </row>
    <row r="423" spans="1:14">
      <c r="A423" s="387" t="b">
        <f t="shared" ca="1" si="74"/>
        <v>0</v>
      </c>
      <c r="B423" s="397">
        <f t="shared" si="70"/>
        <v>6</v>
      </c>
      <c r="C423" s="404" t="str">
        <f ca="1">IF(COUNTA(D$265:D422)=1,"",OFFSET(B421,-COUNTA(D$265:D422)+3,1))</f>
        <v>a1WDm000000c5X1MAI</v>
      </c>
      <c r="D423" s="387"/>
      <c r="E423" s="387">
        <f t="shared" ca="1" si="71"/>
        <v>6</v>
      </c>
      <c r="F423" s="402">
        <f ca="1">IF(COUNTA(D$265:D422)=1,"",OFFSET(F421,-COUNTA(D$265:D422)+3,0))</f>
        <v>11</v>
      </c>
      <c r="G423" s="387" t="str">
        <f t="shared" ca="1" si="72"/>
        <v>11</v>
      </c>
      <c r="H423" s="387">
        <f t="shared" ca="1" si="73"/>
        <v>29</v>
      </c>
      <c r="I423" s="392" t="str">
        <f t="shared" ca="1" si="75"/>
        <v/>
      </c>
      <c r="J423" s="403" t="str">
        <f t="shared" ca="1" si="76"/>
        <v/>
      </c>
      <c r="K423" s="389" t="str">
        <f t="shared" ca="1" si="77"/>
        <v/>
      </c>
      <c r="L423" s="391" t="str">
        <f ca="1">IFERROR(CHOOSE(E423,'Outcome Indicators - Section C '!$K$7,'Outcome Indicators - Section C '!$O$7,'Outcome Indicators - Section C '!$S$7,'Outcome Indicators - Section C '!$W$7,'Outcome Indicators - Section C '!#REF!),"")</f>
        <v/>
      </c>
      <c r="M423" s="399" t="str">
        <f t="shared" ca="1" si="78"/>
        <v/>
      </c>
      <c r="N423" s="391" t="str">
        <f t="shared" ca="1" si="79"/>
        <v/>
      </c>
    </row>
    <row r="424" spans="1:14">
      <c r="A424" s="387" t="b">
        <f t="shared" ca="1" si="74"/>
        <v>0</v>
      </c>
      <c r="B424" s="397">
        <f t="shared" si="70"/>
        <v>7</v>
      </c>
      <c r="C424" s="404" t="str">
        <f ca="1">IF(COUNTA(D$265:D423)=1,"",OFFSET(B422,-COUNTA(D$265:D423)+3,1))</f>
        <v>a1WDm000000c5VpMAI</v>
      </c>
      <c r="D424" s="387"/>
      <c r="E424" s="387">
        <f t="shared" ca="1" si="71"/>
        <v>1</v>
      </c>
      <c r="F424" s="402">
        <f ca="1">IF(COUNTA(D$265:D423)=1,"",OFFSET(F422,-COUNTA(D$265:D423)+3,0))</f>
        <v>12</v>
      </c>
      <c r="G424" s="387" t="str">
        <f t="shared" ca="1" si="72"/>
        <v>122024</v>
      </c>
      <c r="H424" s="387">
        <f t="shared" ca="1" si="73"/>
        <v>31</v>
      </c>
      <c r="I424" s="392" t="str">
        <f t="shared" ca="1" si="75"/>
        <v/>
      </c>
      <c r="J424" s="403" t="str">
        <f t="shared" ca="1" si="76"/>
        <v/>
      </c>
      <c r="K424" s="389" t="str">
        <f t="shared" ca="1" si="77"/>
        <v/>
      </c>
      <c r="L424" s="391">
        <f ca="1">IFERROR(CHOOSE(E424,'Outcome Indicators - Section C '!$K$7,'Outcome Indicators - Section C '!$O$7,'Outcome Indicators - Section C '!$S$7,'Outcome Indicators - Section C '!$W$7,'Outcome Indicators - Section C '!#REF!),"")</f>
        <v>2024</v>
      </c>
      <c r="M424" s="399" t="str">
        <f t="shared" ca="1" si="78"/>
        <v/>
      </c>
      <c r="N424" s="391" t="str">
        <f t="shared" ca="1" si="79"/>
        <v/>
      </c>
    </row>
    <row r="425" spans="1:14">
      <c r="A425" s="387" t="b">
        <f t="shared" ca="1" si="74"/>
        <v>1</v>
      </c>
      <c r="B425" s="397">
        <f t="shared" si="70"/>
        <v>8</v>
      </c>
      <c r="C425" s="404" t="str">
        <f ca="1">IF(COUNTA(D$265:D424)=1,"",OFFSET(B423,-COUNTA(D$265:D424)+3,1))</f>
        <v>a1WDm000000c5W4MAI</v>
      </c>
      <c r="D425" s="387"/>
      <c r="E425" s="387">
        <f t="shared" ca="1" si="71"/>
        <v>2</v>
      </c>
      <c r="F425" s="402">
        <f ca="1">IF(COUNTA(D$265:D424)=1,"",OFFSET(F423,-COUNTA(D$265:D424)+3,0))</f>
        <v>12</v>
      </c>
      <c r="G425" s="387" t="str">
        <f t="shared" ca="1" si="72"/>
        <v>122025</v>
      </c>
      <c r="H425" s="387">
        <f t="shared" ca="1" si="73"/>
        <v>31</v>
      </c>
      <c r="I425" s="392" t="str">
        <f t="shared" ca="1" si="75"/>
        <v/>
      </c>
      <c r="J425" s="403" t="str">
        <f t="shared" ca="1" si="76"/>
        <v/>
      </c>
      <c r="K425" s="389" t="str">
        <f t="shared" ca="1" si="77"/>
        <v/>
      </c>
      <c r="L425" s="391">
        <f ca="1">IFERROR(CHOOSE(E425,'Outcome Indicators - Section C '!$K$7,'Outcome Indicators - Section C '!$O$7,'Outcome Indicators - Section C '!$S$7,'Outcome Indicators - Section C '!$W$7,'Outcome Indicators - Section C '!#REF!),"")</f>
        <v>2025</v>
      </c>
      <c r="M425" s="399" t="str">
        <f t="shared" ca="1" si="78"/>
        <v/>
      </c>
      <c r="N425" s="391" t="str">
        <f t="shared" ca="1" si="79"/>
        <v>TBD</v>
      </c>
    </row>
    <row r="426" spans="1:14">
      <c r="A426" s="387" t="b">
        <f t="shared" ca="1" si="74"/>
        <v>0</v>
      </c>
      <c r="B426" s="397">
        <f t="shared" si="70"/>
        <v>9</v>
      </c>
      <c r="C426" s="404" t="str">
        <f ca="1">IF(COUNTA(D$265:D425)=1,"",OFFSET(B424,-COUNTA(D$265:D425)+3,1))</f>
        <v>a1WDm000000c5WJMAY</v>
      </c>
      <c r="D426" s="387"/>
      <c r="E426" s="387">
        <f t="shared" ca="1" si="71"/>
        <v>3</v>
      </c>
      <c r="F426" s="402">
        <f ca="1">IF(COUNTA(D$265:D425)=1,"",OFFSET(F424,-COUNTA(D$265:D425)+3,0))</f>
        <v>12</v>
      </c>
      <c r="G426" s="387" t="str">
        <f t="shared" ca="1" si="72"/>
        <v>122026</v>
      </c>
      <c r="H426" s="387">
        <f t="shared" ca="1" si="73"/>
        <v>31</v>
      </c>
      <c r="I426" s="392" t="str">
        <f t="shared" ca="1" si="75"/>
        <v/>
      </c>
      <c r="J426" s="403" t="str">
        <f t="shared" ca="1" si="76"/>
        <v/>
      </c>
      <c r="K426" s="389" t="str">
        <f t="shared" ca="1" si="77"/>
        <v/>
      </c>
      <c r="L426" s="391">
        <f ca="1">IFERROR(CHOOSE(E426,'Outcome Indicators - Section C '!$K$7,'Outcome Indicators - Section C '!$O$7,'Outcome Indicators - Section C '!$S$7,'Outcome Indicators - Section C '!$W$7,'Outcome Indicators - Section C '!#REF!),"")</f>
        <v>2026</v>
      </c>
      <c r="M426" s="399" t="str">
        <f t="shared" ca="1" si="78"/>
        <v/>
      </c>
      <c r="N426" s="391" t="str">
        <f t="shared" ca="1" si="79"/>
        <v/>
      </c>
    </row>
    <row r="427" spans="1:14">
      <c r="A427" s="387" t="b">
        <f t="shared" ca="1" si="74"/>
        <v>0</v>
      </c>
      <c r="B427" s="397">
        <f t="shared" si="70"/>
        <v>10</v>
      </c>
      <c r="C427" s="404" t="str">
        <f ca="1">IF(COUNTA(D$265:D426)=1,"",OFFSET(B425,-COUNTA(D$265:D426)+3,1))</f>
        <v>a1WDm000000c5WYMAY</v>
      </c>
      <c r="D427" s="387"/>
      <c r="E427" s="387">
        <f t="shared" ca="1" si="71"/>
        <v>4</v>
      </c>
      <c r="F427" s="402">
        <f ca="1">IF(COUNTA(D$265:D426)=1,"",OFFSET(F425,-COUNTA(D$265:D426)+3,0))</f>
        <v>12</v>
      </c>
      <c r="G427" s="387" t="str">
        <f t="shared" ca="1" si="72"/>
        <v>12</v>
      </c>
      <c r="H427" s="387">
        <f t="shared" ca="1" si="73"/>
        <v>31</v>
      </c>
      <c r="I427" s="392" t="str">
        <f t="shared" ca="1" si="75"/>
        <v/>
      </c>
      <c r="J427" s="403" t="str">
        <f t="shared" ca="1" si="76"/>
        <v/>
      </c>
      <c r="K427" s="389" t="str">
        <f t="shared" ca="1" si="77"/>
        <v/>
      </c>
      <c r="L427" s="391" t="str">
        <f ca="1">IFERROR(CHOOSE(E427,'Outcome Indicators - Section C '!$K$7,'Outcome Indicators - Section C '!$O$7,'Outcome Indicators - Section C '!$S$7,'Outcome Indicators - Section C '!$W$7,'Outcome Indicators - Section C '!#REF!),"")</f>
        <v/>
      </c>
      <c r="M427" s="399" t="str">
        <f t="shared" ca="1" si="78"/>
        <v/>
      </c>
      <c r="N427" s="391" t="str">
        <f t="shared" ca="1" si="79"/>
        <v/>
      </c>
    </row>
    <row r="428" spans="1:14">
      <c r="A428" s="387" t="b">
        <f t="shared" ca="1" si="74"/>
        <v>0</v>
      </c>
      <c r="B428" s="397">
        <f t="shared" si="70"/>
        <v>11</v>
      </c>
      <c r="C428" s="404" t="str">
        <f ca="1">IF(COUNTA(D$265:D427)=1,"",OFFSET(B426,-COUNTA(D$265:D427)+3,1))</f>
        <v>a1WDm000000c5WnMAI</v>
      </c>
      <c r="D428" s="387"/>
      <c r="E428" s="387">
        <f t="shared" ca="1" si="71"/>
        <v>5</v>
      </c>
      <c r="F428" s="402">
        <f ca="1">IF(COUNTA(D$265:D427)=1,"",OFFSET(F426,-COUNTA(D$265:D427)+3,0))</f>
        <v>12</v>
      </c>
      <c r="G428" s="387" t="str">
        <f t="shared" ca="1" si="72"/>
        <v>12</v>
      </c>
      <c r="H428" s="387">
        <f t="shared" ca="1" si="73"/>
        <v>31</v>
      </c>
      <c r="I428" s="392" t="str">
        <f t="shared" ca="1" si="75"/>
        <v/>
      </c>
      <c r="J428" s="403" t="str">
        <f t="shared" ca="1" si="76"/>
        <v/>
      </c>
      <c r="K428" s="389" t="str">
        <f t="shared" ca="1" si="77"/>
        <v/>
      </c>
      <c r="L428" s="391" t="str">
        <f ca="1">IFERROR(CHOOSE(E428,'Outcome Indicators - Section C '!$K$7,'Outcome Indicators - Section C '!$O$7,'Outcome Indicators - Section C '!$S$7,'Outcome Indicators - Section C '!$W$7,'Outcome Indicators - Section C '!#REF!),"")</f>
        <v/>
      </c>
      <c r="M428" s="399" t="str">
        <f t="shared" ca="1" si="78"/>
        <v/>
      </c>
      <c r="N428" s="391" t="str">
        <f t="shared" ca="1" si="79"/>
        <v/>
      </c>
    </row>
    <row r="429" spans="1:14">
      <c r="A429" s="387" t="b">
        <f t="shared" ca="1" si="74"/>
        <v>0</v>
      </c>
      <c r="B429" s="397">
        <f t="shared" si="70"/>
        <v>12</v>
      </c>
      <c r="C429" s="404" t="str">
        <f ca="1">IF(COUNTA(D$265:D428)=1,"",OFFSET(B427,-COUNTA(D$265:D428)+3,1))</f>
        <v>a1WDm000000c5X2MAI</v>
      </c>
      <c r="D429" s="387"/>
      <c r="E429" s="387">
        <f t="shared" ca="1" si="71"/>
        <v>6</v>
      </c>
      <c r="F429" s="402">
        <f ca="1">IF(COUNTA(D$265:D428)=1,"",OFFSET(F427,-COUNTA(D$265:D428)+3,0))</f>
        <v>12</v>
      </c>
      <c r="G429" s="387" t="str">
        <f t="shared" ca="1" si="72"/>
        <v>12</v>
      </c>
      <c r="H429" s="387">
        <f t="shared" ca="1" si="73"/>
        <v>31</v>
      </c>
      <c r="I429" s="392" t="str">
        <f t="shared" ca="1" si="75"/>
        <v/>
      </c>
      <c r="J429" s="403" t="str">
        <f t="shared" ca="1" si="76"/>
        <v/>
      </c>
      <c r="K429" s="389" t="str">
        <f t="shared" ca="1" si="77"/>
        <v/>
      </c>
      <c r="L429" s="391" t="str">
        <f ca="1">IFERROR(CHOOSE(E429,'Outcome Indicators - Section C '!$K$7,'Outcome Indicators - Section C '!$O$7,'Outcome Indicators - Section C '!$S$7,'Outcome Indicators - Section C '!$W$7,'Outcome Indicators - Section C '!#REF!),"")</f>
        <v/>
      </c>
      <c r="M429" s="399" t="str">
        <f t="shared" ca="1" si="78"/>
        <v/>
      </c>
      <c r="N429" s="391" t="str">
        <f t="shared" ca="1" si="79"/>
        <v/>
      </c>
    </row>
    <row r="430" spans="1:14">
      <c r="A430" s="387" t="b">
        <f t="shared" ca="1" si="74"/>
        <v>0</v>
      </c>
      <c r="B430" s="397">
        <f t="shared" si="70"/>
        <v>13</v>
      </c>
      <c r="C430" s="404" t="str">
        <f ca="1">IF(COUNTA(D$265:D429)=1,"",OFFSET(B428,-COUNTA(D$265:D429)+3,1))</f>
        <v>a1WDm000000c5VqMAI</v>
      </c>
      <c r="D430" s="387"/>
      <c r="E430" s="387">
        <f t="shared" ca="1" si="71"/>
        <v>1</v>
      </c>
      <c r="F430" s="402">
        <f ca="1">IF(COUNTA(D$265:D429)=1,"",OFFSET(F428,-COUNTA(D$265:D429)+3,0))</f>
        <v>13</v>
      </c>
      <c r="G430" s="387" t="str">
        <f t="shared" ca="1" si="72"/>
        <v>132024</v>
      </c>
      <c r="H430" s="387">
        <f t="shared" ca="1" si="73"/>
        <v>33</v>
      </c>
      <c r="I430" s="392" t="str">
        <f t="shared" ca="1" si="75"/>
        <v/>
      </c>
      <c r="J430" s="403" t="str">
        <f t="shared" ca="1" si="76"/>
        <v/>
      </c>
      <c r="K430" s="389" t="str">
        <f t="shared" ca="1" si="77"/>
        <v/>
      </c>
      <c r="L430" s="391">
        <f ca="1">IFERROR(CHOOSE(E430,'Outcome Indicators - Section C '!$K$7,'Outcome Indicators - Section C '!$O$7,'Outcome Indicators - Section C '!$S$7,'Outcome Indicators - Section C '!$W$7,'Outcome Indicators - Section C '!#REF!),"")</f>
        <v>2024</v>
      </c>
      <c r="M430" s="399" t="str">
        <f t="shared" ca="1" si="78"/>
        <v/>
      </c>
      <c r="N430" s="391" t="str">
        <f t="shared" ca="1" si="79"/>
        <v/>
      </c>
    </row>
    <row r="431" spans="1:14">
      <c r="A431" s="387" t="b">
        <f t="shared" ca="1" si="74"/>
        <v>1</v>
      </c>
      <c r="B431" s="397">
        <f t="shared" si="70"/>
        <v>14</v>
      </c>
      <c r="C431" s="404" t="str">
        <f ca="1">IF(COUNTA(D$265:D430)=1,"",OFFSET(B429,-COUNTA(D$265:D430)+3,1))</f>
        <v>a1WDm000000c5W5MAI</v>
      </c>
      <c r="D431" s="387"/>
      <c r="E431" s="387">
        <f t="shared" ca="1" si="71"/>
        <v>2</v>
      </c>
      <c r="F431" s="402">
        <f ca="1">IF(COUNTA(D$265:D430)=1,"",OFFSET(F429,-COUNTA(D$265:D430)+3,0))</f>
        <v>13</v>
      </c>
      <c r="G431" s="387" t="str">
        <f t="shared" ca="1" si="72"/>
        <v>132025</v>
      </c>
      <c r="H431" s="387">
        <f t="shared" ca="1" si="73"/>
        <v>33</v>
      </c>
      <c r="I431" s="392" t="str">
        <f t="shared" ca="1" si="75"/>
        <v/>
      </c>
      <c r="J431" s="403" t="str">
        <f t="shared" ca="1" si="76"/>
        <v/>
      </c>
      <c r="K431" s="389" t="str">
        <f t="shared" ca="1" si="77"/>
        <v/>
      </c>
      <c r="L431" s="391">
        <f ca="1">IFERROR(CHOOSE(E431,'Outcome Indicators - Section C '!$K$7,'Outcome Indicators - Section C '!$O$7,'Outcome Indicators - Section C '!$S$7,'Outcome Indicators - Section C '!$W$7,'Outcome Indicators - Section C '!#REF!),"")</f>
        <v>2025</v>
      </c>
      <c r="M431" s="399" t="str">
        <f t="shared" ca="1" si="78"/>
        <v/>
      </c>
      <c r="N431" s="391" t="str">
        <f t="shared" ca="1" si="79"/>
        <v>TBD</v>
      </c>
    </row>
    <row r="432" spans="1:14">
      <c r="A432" s="387" t="b">
        <f t="shared" ca="1" si="74"/>
        <v>0</v>
      </c>
      <c r="B432" s="397">
        <f t="shared" si="70"/>
        <v>15</v>
      </c>
      <c r="C432" s="404" t="str">
        <f ca="1">IF(COUNTA(D$265:D431)=1,"",OFFSET(B430,-COUNTA(D$265:D431)+3,1))</f>
        <v>a1WDm000000c5WKMAY</v>
      </c>
      <c r="D432" s="387"/>
      <c r="E432" s="387">
        <f t="shared" ca="1" si="71"/>
        <v>3</v>
      </c>
      <c r="F432" s="402">
        <f ca="1">IF(COUNTA(D$265:D431)=1,"",OFFSET(F430,-COUNTA(D$265:D431)+3,0))</f>
        <v>13</v>
      </c>
      <c r="G432" s="387" t="str">
        <f t="shared" ca="1" si="72"/>
        <v>132026</v>
      </c>
      <c r="H432" s="387">
        <f t="shared" ca="1" si="73"/>
        <v>33</v>
      </c>
      <c r="I432" s="392" t="str">
        <f t="shared" ca="1" si="75"/>
        <v/>
      </c>
      <c r="J432" s="403" t="str">
        <f t="shared" ca="1" si="76"/>
        <v/>
      </c>
      <c r="K432" s="389" t="str">
        <f t="shared" ca="1" si="77"/>
        <v/>
      </c>
      <c r="L432" s="391">
        <f ca="1">IFERROR(CHOOSE(E432,'Outcome Indicators - Section C '!$K$7,'Outcome Indicators - Section C '!$O$7,'Outcome Indicators - Section C '!$S$7,'Outcome Indicators - Section C '!$W$7,'Outcome Indicators - Section C '!#REF!),"")</f>
        <v>2026</v>
      </c>
      <c r="M432" s="399" t="str">
        <f t="shared" ca="1" si="78"/>
        <v/>
      </c>
      <c r="N432" s="391" t="str">
        <f t="shared" ca="1" si="79"/>
        <v/>
      </c>
    </row>
    <row r="433" spans="1:14">
      <c r="A433" s="387" t="b">
        <f t="shared" ca="1" si="74"/>
        <v>0</v>
      </c>
      <c r="B433" s="397">
        <f t="shared" si="70"/>
        <v>16</v>
      </c>
      <c r="C433" s="404" t="str">
        <f ca="1">IF(COUNTA(D$265:D432)=1,"",OFFSET(B431,-COUNTA(D$265:D432)+3,1))</f>
        <v>a1WDm000000c5WZMAY</v>
      </c>
      <c r="D433" s="387"/>
      <c r="E433" s="387">
        <f t="shared" ca="1" si="71"/>
        <v>4</v>
      </c>
      <c r="F433" s="402">
        <f ca="1">IF(COUNTA(D$265:D432)=1,"",OFFSET(F431,-COUNTA(D$265:D432)+3,0))</f>
        <v>13</v>
      </c>
      <c r="G433" s="387" t="str">
        <f t="shared" ca="1" si="72"/>
        <v>13</v>
      </c>
      <c r="H433" s="387">
        <f t="shared" ca="1" si="73"/>
        <v>33</v>
      </c>
      <c r="I433" s="392" t="str">
        <f t="shared" ca="1" si="75"/>
        <v/>
      </c>
      <c r="J433" s="403" t="str">
        <f t="shared" ca="1" si="76"/>
        <v/>
      </c>
      <c r="K433" s="389" t="str">
        <f t="shared" ca="1" si="77"/>
        <v/>
      </c>
      <c r="L433" s="391" t="str">
        <f ca="1">IFERROR(CHOOSE(E433,'Outcome Indicators - Section C '!$K$7,'Outcome Indicators - Section C '!$O$7,'Outcome Indicators - Section C '!$S$7,'Outcome Indicators - Section C '!$W$7,'Outcome Indicators - Section C '!#REF!),"")</f>
        <v/>
      </c>
      <c r="M433" s="399" t="str">
        <f t="shared" ca="1" si="78"/>
        <v/>
      </c>
      <c r="N433" s="391" t="str">
        <f t="shared" ca="1" si="79"/>
        <v/>
      </c>
    </row>
    <row r="434" spans="1:14">
      <c r="A434" s="387" t="b">
        <f t="shared" ca="1" si="74"/>
        <v>0</v>
      </c>
      <c r="B434" s="397">
        <f t="shared" si="70"/>
        <v>17</v>
      </c>
      <c r="C434" s="404" t="str">
        <f ca="1">IF(COUNTA(D$265:D433)=1,"",OFFSET(B432,-COUNTA(D$265:D433)+3,1))</f>
        <v>a1WDm000000c5WoMAI</v>
      </c>
      <c r="D434" s="387"/>
      <c r="E434" s="387">
        <f t="shared" ca="1" si="71"/>
        <v>5</v>
      </c>
      <c r="F434" s="402">
        <f ca="1">IF(COUNTA(D$265:D433)=1,"",OFFSET(F432,-COUNTA(D$265:D433)+3,0))</f>
        <v>13</v>
      </c>
      <c r="G434" s="387" t="str">
        <f t="shared" ca="1" si="72"/>
        <v>13</v>
      </c>
      <c r="H434" s="387">
        <f t="shared" ca="1" si="73"/>
        <v>33</v>
      </c>
      <c r="I434" s="392" t="str">
        <f t="shared" ca="1" si="75"/>
        <v/>
      </c>
      <c r="J434" s="403" t="str">
        <f t="shared" ca="1" si="76"/>
        <v/>
      </c>
      <c r="K434" s="389" t="str">
        <f t="shared" ca="1" si="77"/>
        <v/>
      </c>
      <c r="L434" s="391" t="str">
        <f ca="1">IFERROR(CHOOSE(E434,'Outcome Indicators - Section C '!$K$7,'Outcome Indicators - Section C '!$O$7,'Outcome Indicators - Section C '!$S$7,'Outcome Indicators - Section C '!$W$7,'Outcome Indicators - Section C '!#REF!),"")</f>
        <v/>
      </c>
      <c r="M434" s="399" t="str">
        <f t="shared" ca="1" si="78"/>
        <v/>
      </c>
      <c r="N434" s="391" t="str">
        <f t="shared" ca="1" si="79"/>
        <v/>
      </c>
    </row>
    <row r="435" spans="1:14">
      <c r="A435" s="387" t="b">
        <f t="shared" ca="1" si="74"/>
        <v>0</v>
      </c>
      <c r="B435" s="397">
        <f t="shared" si="70"/>
        <v>18</v>
      </c>
      <c r="C435" s="404" t="str">
        <f ca="1">IF(COUNTA(D$265:D434)=1,"",OFFSET(B433,-COUNTA(D$265:D434)+3,1))</f>
        <v>a1WDm000000c5X3MAI</v>
      </c>
      <c r="D435" s="387"/>
      <c r="E435" s="387">
        <f t="shared" ca="1" si="71"/>
        <v>6</v>
      </c>
      <c r="F435" s="402">
        <f ca="1">IF(COUNTA(D$265:D434)=1,"",OFFSET(F433,-COUNTA(D$265:D434)+3,0))</f>
        <v>13</v>
      </c>
      <c r="G435" s="387" t="str">
        <f t="shared" ca="1" si="72"/>
        <v>13</v>
      </c>
      <c r="H435" s="387">
        <f t="shared" ca="1" si="73"/>
        <v>33</v>
      </c>
      <c r="I435" s="392" t="str">
        <f t="shared" ca="1" si="75"/>
        <v/>
      </c>
      <c r="J435" s="403" t="str">
        <f t="shared" ca="1" si="76"/>
        <v/>
      </c>
      <c r="K435" s="389" t="str">
        <f t="shared" ca="1" si="77"/>
        <v/>
      </c>
      <c r="L435" s="391" t="str">
        <f ca="1">IFERROR(CHOOSE(E435,'Outcome Indicators - Section C '!$K$7,'Outcome Indicators - Section C '!$O$7,'Outcome Indicators - Section C '!$S$7,'Outcome Indicators - Section C '!$W$7,'Outcome Indicators - Section C '!#REF!),"")</f>
        <v/>
      </c>
      <c r="M435" s="399" t="str">
        <f t="shared" ca="1" si="78"/>
        <v/>
      </c>
      <c r="N435" s="391" t="str">
        <f t="shared" ca="1" si="79"/>
        <v/>
      </c>
    </row>
    <row r="436" spans="1:14">
      <c r="A436" s="387" t="b">
        <f t="shared" ca="1" si="74"/>
        <v>0</v>
      </c>
      <c r="B436" s="397">
        <f t="shared" si="70"/>
        <v>19</v>
      </c>
      <c r="C436" s="404" t="str">
        <f ca="1">IF(COUNTA(D$265:D435)=1,"",OFFSET(B434,-COUNTA(D$265:D435)+3,1))</f>
        <v>a1WDm000000c5VrMAI</v>
      </c>
      <c r="D436" s="387"/>
      <c r="E436" s="387">
        <f t="shared" ca="1" si="71"/>
        <v>1</v>
      </c>
      <c r="F436" s="402">
        <f ca="1">IF(COUNTA(D$265:D435)=1,"",OFFSET(F434,-COUNTA(D$265:D435)+3,0))</f>
        <v>14</v>
      </c>
      <c r="G436" s="387" t="str">
        <f t="shared" ca="1" si="72"/>
        <v>142024</v>
      </c>
      <c r="H436" s="387">
        <f t="shared" ca="1" si="73"/>
        <v>35</v>
      </c>
      <c r="I436" s="392" t="str">
        <f t="shared" ca="1" si="75"/>
        <v/>
      </c>
      <c r="J436" s="403" t="str">
        <f t="shared" ca="1" si="76"/>
        <v/>
      </c>
      <c r="K436" s="389" t="str">
        <f t="shared" ca="1" si="77"/>
        <v/>
      </c>
      <c r="L436" s="391">
        <f ca="1">IFERROR(CHOOSE(E436,'Outcome Indicators - Section C '!$K$7,'Outcome Indicators - Section C '!$O$7,'Outcome Indicators - Section C '!$S$7,'Outcome Indicators - Section C '!$W$7,'Outcome Indicators - Section C '!#REF!),"")</f>
        <v>2024</v>
      </c>
      <c r="M436" s="399" t="str">
        <f t="shared" ca="1" si="78"/>
        <v/>
      </c>
      <c r="N436" s="391" t="str">
        <f t="shared" ca="1" si="79"/>
        <v/>
      </c>
    </row>
    <row r="437" spans="1:14">
      <c r="A437" s="387" t="b">
        <f t="shared" ca="1" si="74"/>
        <v>1</v>
      </c>
      <c r="B437" s="397">
        <f t="shared" si="70"/>
        <v>20</v>
      </c>
      <c r="C437" s="404" t="str">
        <f ca="1">IF(COUNTA(D$265:D436)=1,"",OFFSET(B435,-COUNTA(D$265:D436)+3,1))</f>
        <v>a1WDm000000c5W6MAI</v>
      </c>
      <c r="D437" s="387"/>
      <c r="E437" s="387">
        <f t="shared" ca="1" si="71"/>
        <v>2</v>
      </c>
      <c r="F437" s="402">
        <f ca="1">IF(COUNTA(D$265:D436)=1,"",OFFSET(F435,-COUNTA(D$265:D436)+3,0))</f>
        <v>14</v>
      </c>
      <c r="G437" s="387" t="str">
        <f t="shared" ca="1" si="72"/>
        <v>142025</v>
      </c>
      <c r="H437" s="387">
        <f t="shared" ca="1" si="73"/>
        <v>35</v>
      </c>
      <c r="I437" s="392" t="str">
        <f t="shared" ca="1" si="75"/>
        <v/>
      </c>
      <c r="J437" s="403" t="str">
        <f t="shared" ca="1" si="76"/>
        <v/>
      </c>
      <c r="K437" s="389" t="str">
        <f t="shared" ca="1" si="77"/>
        <v/>
      </c>
      <c r="L437" s="391">
        <f ca="1">IFERROR(CHOOSE(E437,'Outcome Indicators - Section C '!$K$7,'Outcome Indicators - Section C '!$O$7,'Outcome Indicators - Section C '!$S$7,'Outcome Indicators - Section C '!$W$7,'Outcome Indicators - Section C '!#REF!),"")</f>
        <v>2025</v>
      </c>
      <c r="M437" s="399" t="str">
        <f t="shared" ca="1" si="78"/>
        <v/>
      </c>
      <c r="N437" s="391" t="str">
        <f t="shared" ca="1" si="79"/>
        <v>TBD</v>
      </c>
    </row>
    <row r="438" spans="1:14">
      <c r="A438" s="387" t="b">
        <f t="shared" ca="1" si="74"/>
        <v>0</v>
      </c>
      <c r="B438" s="397">
        <f t="shared" si="70"/>
        <v>21</v>
      </c>
      <c r="C438" s="404" t="str">
        <f ca="1">IF(COUNTA(D$265:D437)=1,"",OFFSET(B436,-COUNTA(D$265:D437)+3,1))</f>
        <v>a1WDm000000c5WLMAY</v>
      </c>
      <c r="D438" s="387"/>
      <c r="E438" s="387">
        <f t="shared" ca="1" si="71"/>
        <v>3</v>
      </c>
      <c r="F438" s="402">
        <f ca="1">IF(COUNTA(D$265:D437)=1,"",OFFSET(F436,-COUNTA(D$265:D437)+3,0))</f>
        <v>14</v>
      </c>
      <c r="G438" s="387" t="str">
        <f t="shared" ca="1" si="72"/>
        <v>142026</v>
      </c>
      <c r="H438" s="387">
        <f t="shared" ca="1" si="73"/>
        <v>35</v>
      </c>
      <c r="I438" s="392" t="str">
        <f t="shared" ca="1" si="75"/>
        <v/>
      </c>
      <c r="J438" s="403" t="str">
        <f t="shared" ca="1" si="76"/>
        <v/>
      </c>
      <c r="K438" s="389" t="str">
        <f t="shared" ca="1" si="77"/>
        <v/>
      </c>
      <c r="L438" s="391">
        <f ca="1">IFERROR(CHOOSE(E438,'Outcome Indicators - Section C '!$K$7,'Outcome Indicators - Section C '!$O$7,'Outcome Indicators - Section C '!$S$7,'Outcome Indicators - Section C '!$W$7,'Outcome Indicators - Section C '!#REF!),"")</f>
        <v>2026</v>
      </c>
      <c r="M438" s="399" t="str">
        <f t="shared" ca="1" si="78"/>
        <v/>
      </c>
      <c r="N438" s="391" t="str">
        <f t="shared" ca="1" si="79"/>
        <v/>
      </c>
    </row>
    <row r="439" spans="1:14">
      <c r="A439" s="387" t="b">
        <f t="shared" ca="1" si="74"/>
        <v>0</v>
      </c>
      <c r="B439" s="397">
        <f t="shared" si="70"/>
        <v>22</v>
      </c>
      <c r="C439" s="404" t="str">
        <f ca="1">IF(COUNTA(D$265:D438)=1,"",OFFSET(B437,-COUNTA(D$265:D438)+3,1))</f>
        <v>a1WDm000000c5WaMAI</v>
      </c>
      <c r="D439" s="387"/>
      <c r="E439" s="387">
        <f t="shared" ca="1" si="71"/>
        <v>4</v>
      </c>
      <c r="F439" s="402">
        <f ca="1">IF(COUNTA(D$265:D438)=1,"",OFFSET(F437,-COUNTA(D$265:D438)+3,0))</f>
        <v>14</v>
      </c>
      <c r="G439" s="387" t="str">
        <f t="shared" ca="1" si="72"/>
        <v>14</v>
      </c>
      <c r="H439" s="387">
        <f t="shared" ca="1" si="73"/>
        <v>35</v>
      </c>
      <c r="I439" s="392" t="str">
        <f t="shared" ca="1" si="75"/>
        <v/>
      </c>
      <c r="J439" s="403" t="str">
        <f t="shared" ca="1" si="76"/>
        <v/>
      </c>
      <c r="K439" s="389" t="str">
        <f t="shared" ca="1" si="77"/>
        <v/>
      </c>
      <c r="L439" s="391" t="str">
        <f ca="1">IFERROR(CHOOSE(E439,'Outcome Indicators - Section C '!$K$7,'Outcome Indicators - Section C '!$O$7,'Outcome Indicators - Section C '!$S$7,'Outcome Indicators - Section C '!$W$7,'Outcome Indicators - Section C '!#REF!),"")</f>
        <v/>
      </c>
      <c r="M439" s="399" t="str">
        <f t="shared" ca="1" si="78"/>
        <v/>
      </c>
      <c r="N439" s="391" t="str">
        <f t="shared" ca="1" si="79"/>
        <v/>
      </c>
    </row>
    <row r="440" spans="1:14">
      <c r="A440" s="387" t="b">
        <f t="shared" ca="1" si="74"/>
        <v>0</v>
      </c>
      <c r="B440" s="397">
        <f t="shared" si="70"/>
        <v>23</v>
      </c>
      <c r="C440" s="404" t="str">
        <f ca="1">IF(COUNTA(D$265:D439)=1,"",OFFSET(B438,-COUNTA(D$265:D439)+3,1))</f>
        <v>a1WDm000000c5WpMAI</v>
      </c>
      <c r="D440" s="387"/>
      <c r="E440" s="387">
        <f t="shared" ca="1" si="71"/>
        <v>5</v>
      </c>
      <c r="F440" s="402">
        <f ca="1">IF(COUNTA(D$265:D439)=1,"",OFFSET(F438,-COUNTA(D$265:D439)+3,0))</f>
        <v>14</v>
      </c>
      <c r="G440" s="387" t="str">
        <f t="shared" ca="1" si="72"/>
        <v>14</v>
      </c>
      <c r="H440" s="387">
        <f t="shared" ca="1" si="73"/>
        <v>35</v>
      </c>
      <c r="I440" s="392" t="str">
        <f t="shared" ca="1" si="75"/>
        <v/>
      </c>
      <c r="J440" s="403" t="str">
        <f t="shared" ca="1" si="76"/>
        <v/>
      </c>
      <c r="K440" s="389" t="str">
        <f t="shared" ca="1" si="77"/>
        <v/>
      </c>
      <c r="L440" s="391" t="str">
        <f ca="1">IFERROR(CHOOSE(E440,'Outcome Indicators - Section C '!$K$7,'Outcome Indicators - Section C '!$O$7,'Outcome Indicators - Section C '!$S$7,'Outcome Indicators - Section C '!$W$7,'Outcome Indicators - Section C '!#REF!),"")</f>
        <v/>
      </c>
      <c r="M440" s="399" t="str">
        <f t="shared" ca="1" si="78"/>
        <v/>
      </c>
      <c r="N440" s="391" t="str">
        <f t="shared" ca="1" si="79"/>
        <v/>
      </c>
    </row>
    <row r="441" spans="1:14">
      <c r="A441" s="387" t="b">
        <f t="shared" ca="1" si="74"/>
        <v>0</v>
      </c>
      <c r="B441" s="397">
        <f t="shared" si="70"/>
        <v>24</v>
      </c>
      <c r="C441" s="404" t="str">
        <f ca="1">IF(COUNTA(D$265:D440)=1,"",OFFSET(B439,-COUNTA(D$265:D440)+3,1))</f>
        <v>a1WDm000000c5X4MAI</v>
      </c>
      <c r="D441" s="387"/>
      <c r="E441" s="387">
        <f t="shared" ca="1" si="71"/>
        <v>6</v>
      </c>
      <c r="F441" s="402">
        <f ca="1">IF(COUNTA(D$265:D440)=1,"",OFFSET(F439,-COUNTA(D$265:D440)+3,0))</f>
        <v>14</v>
      </c>
      <c r="G441" s="387" t="str">
        <f t="shared" ca="1" si="72"/>
        <v>14</v>
      </c>
      <c r="H441" s="387">
        <f t="shared" ca="1" si="73"/>
        <v>35</v>
      </c>
      <c r="I441" s="392" t="str">
        <f t="shared" ca="1" si="75"/>
        <v/>
      </c>
      <c r="J441" s="403" t="str">
        <f t="shared" ca="1" si="76"/>
        <v/>
      </c>
      <c r="K441" s="389" t="str">
        <f t="shared" ca="1" si="77"/>
        <v/>
      </c>
      <c r="L441" s="391" t="str">
        <f ca="1">IFERROR(CHOOSE(E441,'Outcome Indicators - Section C '!$K$7,'Outcome Indicators - Section C '!$O$7,'Outcome Indicators - Section C '!$S$7,'Outcome Indicators - Section C '!$W$7,'Outcome Indicators - Section C '!#REF!),"")</f>
        <v/>
      </c>
      <c r="M441" s="399" t="str">
        <f t="shared" ca="1" si="78"/>
        <v/>
      </c>
      <c r="N441" s="391" t="str">
        <f t="shared" ca="1" si="79"/>
        <v/>
      </c>
    </row>
    <row r="442" spans="1:14">
      <c r="A442" s="387" t="b">
        <f t="shared" ca="1" si="74"/>
        <v>1</v>
      </c>
      <c r="B442" s="397">
        <f t="shared" si="70"/>
        <v>25</v>
      </c>
      <c r="C442" s="404" t="str">
        <f ca="1">IF(COUNTA(D$265:D441)=1,"",OFFSET(B440,-COUNTA(D$265:D441)+3,1))</f>
        <v>a1WDm000000c5VsMAI</v>
      </c>
      <c r="D442" s="387"/>
      <c r="E442" s="387">
        <f t="shared" ca="1" si="71"/>
        <v>1</v>
      </c>
      <c r="F442" s="402">
        <f ca="1">IF(COUNTA(D$265:D441)=1,"",OFFSET(F440,-COUNTA(D$265:D441)+3,0))</f>
        <v>15</v>
      </c>
      <c r="G442" s="387" t="str">
        <f t="shared" ca="1" si="72"/>
        <v>152024</v>
      </c>
      <c r="H442" s="387">
        <f t="shared" ca="1" si="73"/>
        <v>37</v>
      </c>
      <c r="I442" s="392" t="str">
        <f t="shared" ca="1" si="75"/>
        <v/>
      </c>
      <c r="J442" s="403">
        <f t="shared" ca="1" si="76"/>
        <v>113800</v>
      </c>
      <c r="K442" s="389" t="str">
        <f t="shared" ca="1" si="77"/>
        <v/>
      </c>
      <c r="L442" s="391">
        <f ca="1">IFERROR(CHOOSE(E442,'Outcome Indicators - Section C '!$K$7,'Outcome Indicators - Section C '!$O$7,'Outcome Indicators - Section C '!$S$7,'Outcome Indicators - Section C '!$W$7,'Outcome Indicators - Section C '!#REF!),"")</f>
        <v>2024</v>
      </c>
      <c r="M442" s="399" t="str">
        <f t="shared" ca="1" si="78"/>
        <v/>
      </c>
      <c r="N442" s="391" t="str">
        <f t="shared" ca="1" si="79"/>
        <v/>
      </c>
    </row>
    <row r="443" spans="1:14">
      <c r="A443" s="387" t="b">
        <f t="shared" ca="1" si="74"/>
        <v>1</v>
      </c>
      <c r="B443" s="397">
        <f t="shared" si="70"/>
        <v>26</v>
      </c>
      <c r="C443" s="404" t="str">
        <f ca="1">IF(COUNTA(D$265:D442)=1,"",OFFSET(B441,-COUNTA(D$265:D442)+3,1))</f>
        <v>a1WDm000000c5W7MAI</v>
      </c>
      <c r="D443" s="387"/>
      <c r="E443" s="387">
        <f t="shared" ca="1" si="71"/>
        <v>2</v>
      </c>
      <c r="F443" s="402">
        <f ca="1">IF(COUNTA(D$265:D442)=1,"",OFFSET(F441,-COUNTA(D$265:D442)+3,0))</f>
        <v>15</v>
      </c>
      <c r="G443" s="387" t="str">
        <f t="shared" ca="1" si="72"/>
        <v>152025</v>
      </c>
      <c r="H443" s="387">
        <f t="shared" ca="1" si="73"/>
        <v>37</v>
      </c>
      <c r="I443" s="392" t="str">
        <f t="shared" ca="1" si="75"/>
        <v/>
      </c>
      <c r="J443" s="403">
        <f t="shared" ca="1" si="76"/>
        <v>125205</v>
      </c>
      <c r="K443" s="389" t="str">
        <f t="shared" ca="1" si="77"/>
        <v/>
      </c>
      <c r="L443" s="391">
        <f ca="1">IFERROR(CHOOSE(E443,'Outcome Indicators - Section C '!$K$7,'Outcome Indicators - Section C '!$O$7,'Outcome Indicators - Section C '!$S$7,'Outcome Indicators - Section C '!$W$7,'Outcome Indicators - Section C '!#REF!),"")</f>
        <v>2025</v>
      </c>
      <c r="M443" s="399" t="str">
        <f t="shared" ca="1" si="78"/>
        <v/>
      </c>
      <c r="N443" s="391" t="str">
        <f t="shared" ca="1" si="79"/>
        <v/>
      </c>
    </row>
    <row r="444" spans="1:14">
      <c r="A444" s="387" t="b">
        <f t="shared" ca="1" si="74"/>
        <v>1</v>
      </c>
      <c r="B444" s="397">
        <f t="shared" si="70"/>
        <v>27</v>
      </c>
      <c r="C444" s="404" t="str">
        <f ca="1">IF(COUNTA(D$265:D443)=1,"",OFFSET(B442,-COUNTA(D$265:D443)+3,1))</f>
        <v>a1WDm000000c5WMMAY</v>
      </c>
      <c r="D444" s="387"/>
      <c r="E444" s="387">
        <f t="shared" ca="1" si="71"/>
        <v>3</v>
      </c>
      <c r="F444" s="402">
        <f ca="1">IF(COUNTA(D$265:D443)=1,"",OFFSET(F442,-COUNTA(D$265:D443)+3,0))</f>
        <v>15</v>
      </c>
      <c r="G444" s="387" t="str">
        <f t="shared" ca="1" si="72"/>
        <v>152026</v>
      </c>
      <c r="H444" s="387">
        <f t="shared" ca="1" si="73"/>
        <v>37</v>
      </c>
      <c r="I444" s="392" t="str">
        <f t="shared" ca="1" si="75"/>
        <v/>
      </c>
      <c r="J444" s="403">
        <f t="shared" ca="1" si="76"/>
        <v>137077</v>
      </c>
      <c r="K444" s="389" t="str">
        <f t="shared" ca="1" si="77"/>
        <v/>
      </c>
      <c r="L444" s="391">
        <f ca="1">IFERROR(CHOOSE(E444,'Outcome Indicators - Section C '!$K$7,'Outcome Indicators - Section C '!$O$7,'Outcome Indicators - Section C '!$S$7,'Outcome Indicators - Section C '!$W$7,'Outcome Indicators - Section C '!#REF!),"")</f>
        <v>2026</v>
      </c>
      <c r="M444" s="399" t="str">
        <f t="shared" ca="1" si="78"/>
        <v/>
      </c>
      <c r="N444" s="391" t="str">
        <f t="shared" ca="1" si="79"/>
        <v/>
      </c>
    </row>
    <row r="445" spans="1:14">
      <c r="A445" s="387" t="b">
        <f t="shared" ca="1" si="74"/>
        <v>0</v>
      </c>
      <c r="B445" s="397">
        <f t="shared" si="70"/>
        <v>28</v>
      </c>
      <c r="C445" s="404" t="str">
        <f ca="1">IF(COUNTA(D$265:D444)=1,"",OFFSET(B443,-COUNTA(D$265:D444)+3,1))</f>
        <v>a1WDm000000c5WbMAI</v>
      </c>
      <c r="D445" s="387"/>
      <c r="E445" s="387">
        <f t="shared" ca="1" si="71"/>
        <v>4</v>
      </c>
      <c r="F445" s="402">
        <f ca="1">IF(COUNTA(D$265:D444)=1,"",OFFSET(F443,-COUNTA(D$265:D444)+3,0))</f>
        <v>15</v>
      </c>
      <c r="G445" s="387" t="str">
        <f t="shared" ca="1" si="72"/>
        <v>15</v>
      </c>
      <c r="H445" s="387">
        <f t="shared" ca="1" si="73"/>
        <v>37</v>
      </c>
      <c r="I445" s="392" t="str">
        <f t="shared" ca="1" si="75"/>
        <v/>
      </c>
      <c r="J445" s="403" t="str">
        <f t="shared" ca="1" si="76"/>
        <v/>
      </c>
      <c r="K445" s="389" t="str">
        <f t="shared" ca="1" si="77"/>
        <v/>
      </c>
      <c r="L445" s="391" t="str">
        <f ca="1">IFERROR(CHOOSE(E445,'Outcome Indicators - Section C '!$K$7,'Outcome Indicators - Section C '!$O$7,'Outcome Indicators - Section C '!$S$7,'Outcome Indicators - Section C '!$W$7,'Outcome Indicators - Section C '!#REF!),"")</f>
        <v/>
      </c>
      <c r="M445" s="399" t="str">
        <f t="shared" ca="1" si="78"/>
        <v/>
      </c>
      <c r="N445" s="391" t="str">
        <f t="shared" ca="1" si="79"/>
        <v/>
      </c>
    </row>
    <row r="446" spans="1:14">
      <c r="A446" s="387" t="b">
        <f t="shared" ca="1" si="74"/>
        <v>0</v>
      </c>
      <c r="B446" s="397">
        <f t="shared" si="70"/>
        <v>29</v>
      </c>
      <c r="C446" s="404" t="str">
        <f ca="1">IF(COUNTA(D$265:D445)=1,"",OFFSET(B444,-COUNTA(D$265:D445)+3,1))</f>
        <v>a1WDm000000c5WqMAI</v>
      </c>
      <c r="D446" s="387"/>
      <c r="E446" s="387">
        <f t="shared" ca="1" si="71"/>
        <v>5</v>
      </c>
      <c r="F446" s="402">
        <f ca="1">IF(COUNTA(D$265:D445)=1,"",OFFSET(F444,-COUNTA(D$265:D445)+3,0))</f>
        <v>15</v>
      </c>
      <c r="G446" s="387" t="str">
        <f t="shared" ca="1" si="72"/>
        <v>15</v>
      </c>
      <c r="H446" s="387">
        <f t="shared" ca="1" si="73"/>
        <v>37</v>
      </c>
      <c r="I446" s="392" t="str">
        <f t="shared" ca="1" si="75"/>
        <v/>
      </c>
      <c r="J446" s="403" t="str">
        <f t="shared" ca="1" si="76"/>
        <v/>
      </c>
      <c r="K446" s="389" t="str">
        <f t="shared" ca="1" si="77"/>
        <v/>
      </c>
      <c r="L446" s="391" t="str">
        <f ca="1">IFERROR(CHOOSE(E446,'Outcome Indicators - Section C '!$K$7,'Outcome Indicators - Section C '!$O$7,'Outcome Indicators - Section C '!$S$7,'Outcome Indicators - Section C '!$W$7,'Outcome Indicators - Section C '!#REF!),"")</f>
        <v/>
      </c>
      <c r="M446" s="399" t="str">
        <f t="shared" ca="1" si="78"/>
        <v/>
      </c>
      <c r="N446" s="391" t="str">
        <f t="shared" ca="1" si="79"/>
        <v/>
      </c>
    </row>
    <row r="447" spans="1:14">
      <c r="A447" s="387" t="b">
        <f t="shared" ca="1" si="74"/>
        <v>0</v>
      </c>
      <c r="B447" s="397">
        <f t="shared" si="70"/>
        <v>30</v>
      </c>
      <c r="C447" s="404" t="str">
        <f ca="1">IF(COUNTA(D$265:D446)=1,"",OFFSET(B445,-COUNTA(D$265:D446)+3,1))</f>
        <v>a1WDm000000c5X5MAI</v>
      </c>
      <c r="D447" s="387"/>
      <c r="E447" s="387">
        <f t="shared" ca="1" si="71"/>
        <v>6</v>
      </c>
      <c r="F447" s="402">
        <f ca="1">IF(COUNTA(D$265:D446)=1,"",OFFSET(F445,-COUNTA(D$265:D446)+3,0))</f>
        <v>15</v>
      </c>
      <c r="G447" s="387" t="str">
        <f t="shared" ca="1" si="72"/>
        <v>15</v>
      </c>
      <c r="H447" s="387">
        <f t="shared" ca="1" si="73"/>
        <v>37</v>
      </c>
      <c r="I447" s="392" t="str">
        <f t="shared" ca="1" si="75"/>
        <v/>
      </c>
      <c r="J447" s="403" t="str">
        <f t="shared" ca="1" si="76"/>
        <v/>
      </c>
      <c r="K447" s="389" t="str">
        <f t="shared" ca="1" si="77"/>
        <v/>
      </c>
      <c r="L447" s="391" t="str">
        <f ca="1">IFERROR(CHOOSE(E447,'Outcome Indicators - Section C '!$K$7,'Outcome Indicators - Section C '!$O$7,'Outcome Indicators - Section C '!$S$7,'Outcome Indicators - Section C '!$W$7,'Outcome Indicators - Section C '!#REF!),"")</f>
        <v/>
      </c>
      <c r="M447" s="399" t="str">
        <f t="shared" ca="1" si="78"/>
        <v/>
      </c>
      <c r="N447" s="391" t="str">
        <f t="shared" ca="1" si="79"/>
        <v/>
      </c>
    </row>
    <row r="450" spans="1:26">
      <c r="J450" s="386" t="str">
        <f ca="1">IF(ROW()&gt;'Impact Indicator Target Update'!A12,"",INDIRECT("'Impact Indicators - Section B'!A"&amp;'Impact Indicator Target Update'!D12))</f>
        <v/>
      </c>
    </row>
    <row r="451" spans="1:26">
      <c r="A451" s="385" t="s">
        <v>2586</v>
      </c>
      <c r="B451" s="386" t="s">
        <v>2303</v>
      </c>
      <c r="H451" s="386" t="s">
        <v>2304</v>
      </c>
      <c r="J451" s="386" t="str">
        <f ca="1">IF(ROW()&gt;'Impact Indicator Target Update'!A13,"",INDIRECT("'Impact Indicators - Section B'!A"&amp;'Impact Indicator Target Update'!D13))</f>
        <v/>
      </c>
    </row>
    <row r="452" spans="1:26">
      <c r="A452" s="387" t="s">
        <v>328</v>
      </c>
      <c r="B452" s="387">
        <v>5</v>
      </c>
      <c r="C452" s="387" t="s">
        <v>318</v>
      </c>
      <c r="D452" s="387" t="s">
        <v>105</v>
      </c>
      <c r="E452" s="387" t="s">
        <v>2316</v>
      </c>
      <c r="F452" s="387" t="s">
        <v>2317</v>
      </c>
      <c r="G452" s="387" t="s">
        <v>199</v>
      </c>
      <c r="H452" s="387">
        <v>1</v>
      </c>
      <c r="I452" s="387" t="s">
        <v>2318</v>
      </c>
      <c r="J452" s="387" t="s">
        <v>2587</v>
      </c>
      <c r="K452" s="387" t="s">
        <v>2588</v>
      </c>
      <c r="L452" s="387" t="s">
        <v>2589</v>
      </c>
      <c r="M452" s="387" t="s">
        <v>2590</v>
      </c>
      <c r="N452" s="387" t="s">
        <v>2591</v>
      </c>
      <c r="O452" s="387" t="s">
        <v>2104</v>
      </c>
      <c r="P452" s="387" t="s">
        <v>2592</v>
      </c>
      <c r="Q452" s="387" t="s">
        <v>2593</v>
      </c>
      <c r="R452" s="387" t="s">
        <v>2594</v>
      </c>
      <c r="S452" s="387" t="s">
        <v>120</v>
      </c>
      <c r="T452" s="387" t="s">
        <v>2203</v>
      </c>
      <c r="U452" s="387" t="s">
        <v>2595</v>
      </c>
      <c r="V452" s="387" t="s">
        <v>256</v>
      </c>
      <c r="W452" s="387" t="s">
        <v>2596</v>
      </c>
      <c r="X452" s="388" t="s">
        <v>2322</v>
      </c>
      <c r="Y452" s="387" t="s">
        <v>2597</v>
      </c>
      <c r="Z452" s="387" t="s">
        <v>2598</v>
      </c>
    </row>
    <row r="453" spans="1:26" hidden="1">
      <c r="A453" s="387" t="b">
        <f ca="1">IF(OR(J453&lt;&gt;"",N453&lt;&gt;""),TRUE,FALSE)</f>
        <v>0</v>
      </c>
      <c r="B453" s="387">
        <f ca="1">IF(_xlfn.ISFORMULA(I453),B452+2,B452)</f>
        <v>7</v>
      </c>
      <c r="C453" s="387" t="str">
        <f ca="1">IFERROR(IF(AND(H453=2,B453=7),"blank",INDEX(C$452:C453,H453,1)),"")</f>
        <v>blank</v>
      </c>
      <c r="D453" s="389" t="str">
        <f ca="1">IFERROR(IF(INDIRECT("'Coverage Indicators - Section D'!F"&amp;$B453)="","",INDIRECT("'Coverage Indicators - Section D'!F"&amp;$B453)*100),"")</f>
        <v/>
      </c>
      <c r="E453" s="390" t="str">
        <f ca="1">IFERROR(IF(INDIRECT("'Coverage Indicators - Section D'!E"&amp;$B453+1)="","",INDIRECT("'Coverage Indicators - Section D'!E"&amp;$B453+1)),"")</f>
        <v>Baseline #N Baseline #D</v>
      </c>
      <c r="F453" s="390" t="str">
        <f ca="1">IFERROR(IF(INDIRECT("'Coverage Indicators - Section D'!E"&amp;$B453)="","",INDIRECT("'Coverage Indicators - Section D'!E"&amp;$B453)),"")</f>
        <v/>
      </c>
      <c r="G453" s="391" t="str">
        <f ca="1">IFERROR(IF(INDIRECT("'Coverage Indicators - Section D'!H"&amp;$B453)="","",INDIRECT("'Coverage Indicators - Section D'!H"&amp;$B453)),"")</f>
        <v/>
      </c>
      <c r="H453" s="387">
        <f ca="1">IF(_xlfn.ISFORMULA(I453),H452+1,H452)</f>
        <v>2</v>
      </c>
      <c r="I453" s="391" t="str">
        <f ca="1">IFERROR(IF(INDIRECT("'Coverage Indicators - Section D'!AL"&amp;$B453)="","",INDIRECT("'Coverage Indicators - Section D'!AL"&amp;$B453)),"")</f>
        <v/>
      </c>
      <c r="J453" s="387" t="str" cm="1">
        <f t="array" aca="1" ref="J453" ca="1">IFERROR(VLOOKUP(LEFT(INDIRECT("'Coverage Indicators - Section D'!C"&amp;$B453),255),LEFT('Reference Records'!C1:F245,255),4,0),"")</f>
        <v/>
      </c>
      <c r="K453" s="387" t="str">
        <f ca="1">IFERROR(VLOOKUP(IF(INDIRECT("'Coverage Indicators - Section D'!B"&amp;$B453)="","--select--",INDIRECT("'Coverage Indicators - Section D'!B"&amp;$B453)),'Overview - Section A'!C$101:D102,2,0),"")</f>
        <v/>
      </c>
      <c r="L453" s="391" t="str">
        <f ca="1">IFERROR(IF(INDIRECT("'Coverage Indicators - Section D'!G"&amp;$B453)=0,"",INDIRECT("'Coverage Indicators - Section D'!G"&amp;$B453)),"")</f>
        <v/>
      </c>
      <c r="M453" s="387"/>
      <c r="N453" s="391" t="str">
        <f ca="1">IFERROR(IF(INDIRECT("'Coverage Indicators - Section D'!D"&amp;$B453)=0,"",INDIRECT("'Coverage Indicators - Section D'!D"&amp;$B453)),"")</f>
        <v/>
      </c>
      <c r="O453" s="387" t="str">
        <f ca="1">IFERROR(IF(INDIRECT("'Coverage Indicators - Section D'!L"&amp;$B453)=0,"",INDIRECT("'Coverage Indicators - Section D'!L"&amp;$B453)),"")</f>
        <v/>
      </c>
      <c r="P453" s="391" t="str">
        <f ca="1">IFERROR(IF(INDIRECT("'Coverage Indicators - Section D'!L"&amp;$B453+1)=0,"",INDIRECT("'Coverage Indicators - Section D'!L"&amp;$B453+1)),"")</f>
        <v>Country / Scope of targets</v>
      </c>
      <c r="Q453" s="391" t="str">
        <f ca="1">IFERROR(IF(INDIRECT("'Coverage Indicators - Section D'!M"&amp;$B453)=0,"",INDIRECT("'Coverage Indicators - Section D'!M"&amp;$B453)),"")</f>
        <v/>
      </c>
      <c r="R453" s="387" t="str">
        <f ca="1">IFERROR(IF(INDIRECT("'Coverage Indicators - Section D'!J"&amp;$B453)=0,"FALSE",IF(INDIRECT("'Coverage Indicators - Section D'!J"&amp;$B453)="Yes",TRUE,FALSE)),"")</f>
        <v>FALSE</v>
      </c>
      <c r="S453" s="387" t="str">
        <f ca="1">IFERROR(VLOOKUP(INDIRECT("'Coverage Indicators - Section D'!K"&amp;$B453),'Overview - Section A'!M$31:P41,4,0),IFERROR(IF(VLOOKUP(INDIRECT("'Coverage Indicators - Section D'!K"&amp;$B453),'Overview - Section A'!E$27:I30,5,0)=0,"",VLOOKUP(INDIRECT("'Coverage Indicators - Section D'!K"&amp;$B453),'Overview - Section A'!E$27:I30,5,0)),""))</f>
        <v/>
      </c>
      <c r="T453" s="392" t="s">
        <v>2599</v>
      </c>
      <c r="U453" s="391" t="s">
        <v>2600</v>
      </c>
      <c r="V453" s="391" t="s">
        <v>2601</v>
      </c>
      <c r="W453" s="387" t="b">
        <f ca="1">IF(IFERROR(IF(INDIRECT("'Coverage Indicators - Section D'!C"&amp;$B453)&lt;&gt; 0,INDIRECT("'Coverage Indicators - Section D'!AZ"&amp;$B453),
 IF(INDIRECT("'Coverage Indicators - Section D'!D"&amp;$B453)&lt;&gt;0,INDIRECT("'Coverage Indicators - Section D'!BA"&amp;$B453),"FALSE")
 ),"") = "Yes", TRUE, FALSE)</f>
        <v>0</v>
      </c>
      <c r="X453" s="387" t="str">
        <f ca="1">IFERROR(IF(INDIRECT("'Coverage Indicators - Section D'!CI"&amp;$B453)=0,"",INDIRECT("'Coverage Indicators - Section D'!CI"&amp;$B453)),"")</f>
        <v/>
      </c>
      <c r="Y453" s="387" t="str">
        <f ca="1">IFERROR(IF(INDIRECT("'Coverage Indicators - Section D'!CK"&amp;$B453)=0,"",INDIRECT("'Coverage Indicators - Section D'!CK"&amp;$B453)),"")</f>
        <v/>
      </c>
      <c r="Z453" s="387" t="str">
        <f ca="1">IFERROR(IF(INDIRECT("'Coverage Indicators - Section D'!CJ"&amp;$B453)=0,"",INDIRECT("'Coverage Indicators - Section D'!CJ"&amp;$B453)),"")</f>
        <v/>
      </c>
    </row>
    <row r="454" spans="1:26" ht="409.5">
      <c r="A454" s="387" t="b">
        <v>1</v>
      </c>
      <c r="B454" s="387">
        <f t="shared" ref="B454:B517" ca="1" si="80">IF(_xlfn.ISFORMULA(I454),B453+2,B453)</f>
        <v>7</v>
      </c>
      <c r="C454" s="387" t="s">
        <v>2602</v>
      </c>
      <c r="D454" s="389"/>
      <c r="E454" s="390"/>
      <c r="F454" s="390">
        <v>245490</v>
      </c>
      <c r="G454" s="391" t="s">
        <v>2211</v>
      </c>
      <c r="H454" s="387">
        <f t="shared" ref="H454:H517" ca="1" si="81">IF(_xlfn.ISFORMULA(I454),H453+1,H453)</f>
        <v>2</v>
      </c>
      <c r="I454" s="400" t="s">
        <v>2214</v>
      </c>
      <c r="J454" s="387" t="s">
        <v>1218</v>
      </c>
      <c r="K454" s="387" t="s">
        <v>424</v>
      </c>
      <c r="L454" s="391" t="s">
        <v>2337</v>
      </c>
      <c r="M454" s="387"/>
      <c r="N454" s="391"/>
      <c r="O454" s="387" t="s">
        <v>781</v>
      </c>
      <c r="P454" s="391" t="s">
        <v>651</v>
      </c>
      <c r="Q454" s="391" t="s">
        <v>650</v>
      </c>
      <c r="R454" s="387" t="b">
        <v>1</v>
      </c>
      <c r="S454" s="387" t="s">
        <v>324</v>
      </c>
      <c r="T454" s="392">
        <v>1</v>
      </c>
      <c r="U454" s="391" t="s">
        <v>1219</v>
      </c>
      <c r="V454" s="391" t="s">
        <v>1559</v>
      </c>
      <c r="W454" s="387" t="b">
        <v>0</v>
      </c>
      <c r="X454" s="387" t="s">
        <v>2105</v>
      </c>
      <c r="Y454" s="387" t="s">
        <v>1221</v>
      </c>
      <c r="Z454" s="387" t="s">
        <v>426</v>
      </c>
    </row>
    <row r="455" spans="1:26">
      <c r="A455" s="387" t="b">
        <v>1</v>
      </c>
      <c r="B455" s="387">
        <f t="shared" ca="1" si="80"/>
        <v>7</v>
      </c>
      <c r="C455" s="387" t="s">
        <v>2603</v>
      </c>
      <c r="D455" s="389">
        <v>94</v>
      </c>
      <c r="E455" s="390"/>
      <c r="F455" s="390"/>
      <c r="G455" s="391" t="s">
        <v>780</v>
      </c>
      <c r="H455" s="387">
        <f t="shared" ca="1" si="81"/>
        <v>2</v>
      </c>
      <c r="I455" s="391" t="s">
        <v>2215</v>
      </c>
      <c r="J455" s="387" t="s">
        <v>1235</v>
      </c>
      <c r="K455" s="387" t="s">
        <v>424</v>
      </c>
      <c r="L455" s="391" t="s">
        <v>2328</v>
      </c>
      <c r="M455" s="387"/>
      <c r="N455" s="391"/>
      <c r="O455" s="387" t="s">
        <v>781</v>
      </c>
      <c r="P455" s="391" t="s">
        <v>651</v>
      </c>
      <c r="Q455" s="391" t="s">
        <v>650</v>
      </c>
      <c r="R455" s="387" t="b">
        <v>1</v>
      </c>
      <c r="S455" s="387" t="s">
        <v>324</v>
      </c>
      <c r="T455" s="392">
        <v>2</v>
      </c>
      <c r="U455" s="391" t="s">
        <v>1236</v>
      </c>
      <c r="V455" s="391" t="s">
        <v>1559</v>
      </c>
      <c r="W455" s="387" t="b">
        <v>0</v>
      </c>
      <c r="X455" s="387" t="s">
        <v>2105</v>
      </c>
      <c r="Y455" s="387" t="s">
        <v>1238</v>
      </c>
      <c r="Z455" s="387" t="s">
        <v>426</v>
      </c>
    </row>
    <row r="456" spans="1:26">
      <c r="A456" s="387" t="b">
        <v>1</v>
      </c>
      <c r="B456" s="387">
        <f t="shared" ca="1" si="80"/>
        <v>7</v>
      </c>
      <c r="C456" s="387" t="s">
        <v>2604</v>
      </c>
      <c r="D456" s="389">
        <v>9.4003022275288206</v>
      </c>
      <c r="E456" s="390">
        <v>214408</v>
      </c>
      <c r="F456" s="390">
        <v>20155</v>
      </c>
      <c r="G456" s="391" t="s">
        <v>780</v>
      </c>
      <c r="H456" s="387">
        <f t="shared" ca="1" si="81"/>
        <v>2</v>
      </c>
      <c r="I456" s="391" t="s">
        <v>2216</v>
      </c>
      <c r="J456" s="387" t="s">
        <v>1232</v>
      </c>
      <c r="K456" s="387" t="s">
        <v>424</v>
      </c>
      <c r="L456" s="391" t="s">
        <v>2328</v>
      </c>
      <c r="M456" s="387"/>
      <c r="N456" s="391"/>
      <c r="O456" s="387" t="s">
        <v>781</v>
      </c>
      <c r="P456" s="391" t="s">
        <v>651</v>
      </c>
      <c r="Q456" s="391" t="s">
        <v>650</v>
      </c>
      <c r="R456" s="387" t="b">
        <v>1</v>
      </c>
      <c r="S456" s="387" t="s">
        <v>324</v>
      </c>
      <c r="T456" s="392">
        <v>3</v>
      </c>
      <c r="U456" s="391" t="s">
        <v>1233</v>
      </c>
      <c r="V456" s="391" t="s">
        <v>1559</v>
      </c>
      <c r="W456" s="387" t="b">
        <v>0</v>
      </c>
      <c r="X456" s="387" t="s">
        <v>2105</v>
      </c>
      <c r="Y456" s="387" t="s">
        <v>1234</v>
      </c>
      <c r="Z456" s="387" t="s">
        <v>426</v>
      </c>
    </row>
    <row r="457" spans="1:26">
      <c r="A457" s="387" t="b">
        <v>1</v>
      </c>
      <c r="B457" s="387">
        <f t="shared" ca="1" si="80"/>
        <v>7</v>
      </c>
      <c r="C457" s="387" t="s">
        <v>2605</v>
      </c>
      <c r="D457" s="389"/>
      <c r="E457" s="390"/>
      <c r="F457" s="390">
        <v>1614</v>
      </c>
      <c r="G457" s="391" t="s">
        <v>2199</v>
      </c>
      <c r="H457" s="387">
        <f t="shared" ca="1" si="81"/>
        <v>2</v>
      </c>
      <c r="I457" s="391" t="s">
        <v>2217</v>
      </c>
      <c r="J457" s="387" t="s">
        <v>1239</v>
      </c>
      <c r="K457" s="387" t="s">
        <v>427</v>
      </c>
      <c r="L457" s="391" t="s">
        <v>2337</v>
      </c>
      <c r="M457" s="387"/>
      <c r="N457" s="391"/>
      <c r="O457" s="387" t="s">
        <v>781</v>
      </c>
      <c r="P457" s="391" t="s">
        <v>651</v>
      </c>
      <c r="Q457" s="391" t="s">
        <v>650</v>
      </c>
      <c r="R457" s="387" t="b">
        <v>1</v>
      </c>
      <c r="S457" s="387" t="s">
        <v>324</v>
      </c>
      <c r="T457" s="392">
        <v>4</v>
      </c>
      <c r="U457" s="391" t="s">
        <v>1240</v>
      </c>
      <c r="V457" s="391" t="s">
        <v>1563</v>
      </c>
      <c r="W457" s="387" t="b">
        <v>0</v>
      </c>
      <c r="X457" s="387" t="s">
        <v>2105</v>
      </c>
      <c r="Y457" s="387" t="s">
        <v>1241</v>
      </c>
      <c r="Z457" s="387" t="s">
        <v>429</v>
      </c>
    </row>
    <row r="458" spans="1:26">
      <c r="A458" s="387" t="b">
        <v>1</v>
      </c>
      <c r="B458" s="387">
        <f t="shared" ca="1" si="80"/>
        <v>7</v>
      </c>
      <c r="C458" s="387" t="s">
        <v>2606</v>
      </c>
      <c r="D458" s="389">
        <v>91.019417475728204</v>
      </c>
      <c r="E458" s="390">
        <v>1236</v>
      </c>
      <c r="F458" s="390">
        <v>1125</v>
      </c>
      <c r="G458" s="391" t="s">
        <v>780</v>
      </c>
      <c r="H458" s="387">
        <f t="shared" ca="1" si="81"/>
        <v>2</v>
      </c>
      <c r="I458" s="391" t="s">
        <v>2218</v>
      </c>
      <c r="J458" s="387" t="s">
        <v>1242</v>
      </c>
      <c r="K458" s="387" t="s">
        <v>427</v>
      </c>
      <c r="L458" s="391" t="s">
        <v>2328</v>
      </c>
      <c r="M458" s="387"/>
      <c r="N458" s="391"/>
      <c r="O458" s="387" t="s">
        <v>781</v>
      </c>
      <c r="P458" s="391" t="s">
        <v>651</v>
      </c>
      <c r="Q458" s="391" t="s">
        <v>650</v>
      </c>
      <c r="R458" s="387" t="b">
        <v>1</v>
      </c>
      <c r="S458" s="387" t="s">
        <v>324</v>
      </c>
      <c r="T458" s="392">
        <v>5</v>
      </c>
      <c r="U458" s="391" t="s">
        <v>1243</v>
      </c>
      <c r="V458" s="391" t="s">
        <v>1563</v>
      </c>
      <c r="W458" s="387" t="b">
        <v>0</v>
      </c>
      <c r="X458" s="387" t="s">
        <v>2105</v>
      </c>
      <c r="Y458" s="387" t="s">
        <v>1245</v>
      </c>
      <c r="Z458" s="387" t="s">
        <v>429</v>
      </c>
    </row>
    <row r="459" spans="1:26">
      <c r="A459" s="387" t="b">
        <v>1</v>
      </c>
      <c r="B459" s="387">
        <f t="shared" ca="1" si="80"/>
        <v>7</v>
      </c>
      <c r="C459" s="387" t="s">
        <v>2607</v>
      </c>
      <c r="D459" s="389"/>
      <c r="E459" s="390"/>
      <c r="F459" s="390">
        <v>59006</v>
      </c>
      <c r="G459" s="391" t="s">
        <v>780</v>
      </c>
      <c r="H459" s="387">
        <f t="shared" ca="1" si="81"/>
        <v>2</v>
      </c>
      <c r="I459" s="391" t="s">
        <v>2219</v>
      </c>
      <c r="J459" s="387" t="s">
        <v>1275</v>
      </c>
      <c r="K459" s="387" t="s">
        <v>430</v>
      </c>
      <c r="L459" s="391" t="s">
        <v>2328</v>
      </c>
      <c r="M459" s="387"/>
      <c r="N459" s="391"/>
      <c r="O459" s="387" t="s">
        <v>781</v>
      </c>
      <c r="P459" s="391" t="s">
        <v>651</v>
      </c>
      <c r="Q459" s="391" t="s">
        <v>650</v>
      </c>
      <c r="R459" s="387" t="b">
        <v>1</v>
      </c>
      <c r="S459" s="387" t="s">
        <v>324</v>
      </c>
      <c r="T459" s="392">
        <v>6</v>
      </c>
      <c r="U459" s="391" t="s">
        <v>1276</v>
      </c>
      <c r="V459" s="391" t="s">
        <v>1567</v>
      </c>
      <c r="W459" s="387" t="b">
        <v>0</v>
      </c>
      <c r="X459" s="387" t="s">
        <v>2105</v>
      </c>
      <c r="Y459" s="387" t="s">
        <v>1278</v>
      </c>
      <c r="Z459" s="387" t="s">
        <v>432</v>
      </c>
    </row>
    <row r="460" spans="1:26">
      <c r="A460" s="387" t="b">
        <v>1</v>
      </c>
      <c r="B460" s="387">
        <f t="shared" ca="1" si="80"/>
        <v>7</v>
      </c>
      <c r="C460" s="387" t="s">
        <v>2608</v>
      </c>
      <c r="D460" s="389"/>
      <c r="E460" s="390"/>
      <c r="F460" s="390">
        <v>1939</v>
      </c>
      <c r="G460" s="391" t="s">
        <v>2211</v>
      </c>
      <c r="H460" s="387">
        <f t="shared" ca="1" si="81"/>
        <v>2</v>
      </c>
      <c r="I460" s="391" t="s">
        <v>2220</v>
      </c>
      <c r="J460" s="387" t="s">
        <v>1289</v>
      </c>
      <c r="K460" s="387" t="s">
        <v>433</v>
      </c>
      <c r="L460" s="391" t="s">
        <v>2328</v>
      </c>
      <c r="M460" s="387"/>
      <c r="N460" s="391"/>
      <c r="O460" s="387" t="s">
        <v>781</v>
      </c>
      <c r="P460" s="391" t="s">
        <v>651</v>
      </c>
      <c r="Q460" s="391" t="s">
        <v>650</v>
      </c>
      <c r="R460" s="387" t="b">
        <v>1</v>
      </c>
      <c r="S460" s="387" t="s">
        <v>324</v>
      </c>
      <c r="T460" s="392">
        <v>7</v>
      </c>
      <c r="U460" s="391" t="s">
        <v>1290</v>
      </c>
      <c r="V460" s="391" t="s">
        <v>1575</v>
      </c>
      <c r="W460" s="387" t="b">
        <v>0</v>
      </c>
      <c r="X460" s="387" t="s">
        <v>2105</v>
      </c>
      <c r="Y460" s="387" t="s">
        <v>1291</v>
      </c>
      <c r="Z460" s="387" t="s">
        <v>435</v>
      </c>
    </row>
    <row r="461" spans="1:26" ht="409.5">
      <c r="A461" s="387" t="b">
        <v>1</v>
      </c>
      <c r="B461" s="387">
        <f t="shared" ca="1" si="80"/>
        <v>7</v>
      </c>
      <c r="C461" s="387" t="s">
        <v>2609</v>
      </c>
      <c r="D461" s="389"/>
      <c r="E461" s="390"/>
      <c r="F461" s="390">
        <v>8132</v>
      </c>
      <c r="G461" s="391" t="s">
        <v>2211</v>
      </c>
      <c r="H461" s="387">
        <f t="shared" ca="1" si="81"/>
        <v>2</v>
      </c>
      <c r="I461" s="400" t="s">
        <v>2221</v>
      </c>
      <c r="J461" s="387" t="s">
        <v>1292</v>
      </c>
      <c r="K461" s="387" t="s">
        <v>433</v>
      </c>
      <c r="L461" s="391" t="s">
        <v>2328</v>
      </c>
      <c r="M461" s="387"/>
      <c r="N461" s="391"/>
      <c r="O461" s="387" t="s">
        <v>781</v>
      </c>
      <c r="P461" s="391" t="s">
        <v>651</v>
      </c>
      <c r="Q461" s="391" t="s">
        <v>650</v>
      </c>
      <c r="R461" s="387" t="b">
        <v>1</v>
      </c>
      <c r="S461" s="387" t="s">
        <v>324</v>
      </c>
      <c r="T461" s="392">
        <v>8</v>
      </c>
      <c r="U461" s="391" t="s">
        <v>1293</v>
      </c>
      <c r="V461" s="391" t="s">
        <v>1575</v>
      </c>
      <c r="W461" s="387" t="b">
        <v>0</v>
      </c>
      <c r="X461" s="387" t="s">
        <v>2105</v>
      </c>
      <c r="Y461" s="387" t="s">
        <v>1294</v>
      </c>
      <c r="Z461" s="387" t="s">
        <v>435</v>
      </c>
    </row>
    <row r="462" spans="1:26">
      <c r="A462" s="387" t="b">
        <v>1</v>
      </c>
      <c r="B462" s="387">
        <f t="shared" ca="1" si="80"/>
        <v>7</v>
      </c>
      <c r="C462" s="387" t="s">
        <v>2610</v>
      </c>
      <c r="D462" s="389">
        <v>75</v>
      </c>
      <c r="E462" s="390"/>
      <c r="F462" s="390"/>
      <c r="G462" s="391" t="s">
        <v>780</v>
      </c>
      <c r="H462" s="387">
        <f t="shared" ca="1" si="81"/>
        <v>2</v>
      </c>
      <c r="I462" s="391" t="s">
        <v>2222</v>
      </c>
      <c r="J462" s="387" t="s">
        <v>1298</v>
      </c>
      <c r="K462" s="387" t="s">
        <v>436</v>
      </c>
      <c r="L462" s="391" t="s">
        <v>2337</v>
      </c>
      <c r="M462" s="387"/>
      <c r="N462" s="391"/>
      <c r="O462" s="387" t="s">
        <v>781</v>
      </c>
      <c r="P462" s="391" t="s">
        <v>651</v>
      </c>
      <c r="Q462" s="391" t="s">
        <v>650</v>
      </c>
      <c r="R462" s="387" t="b">
        <v>1</v>
      </c>
      <c r="S462" s="387" t="s">
        <v>324</v>
      </c>
      <c r="T462" s="392">
        <v>9</v>
      </c>
      <c r="U462" s="391" t="s">
        <v>1299</v>
      </c>
      <c r="V462" s="391" t="s">
        <v>1493</v>
      </c>
      <c r="W462" s="387" t="b">
        <v>0</v>
      </c>
      <c r="X462" s="387" t="s">
        <v>2105</v>
      </c>
      <c r="Y462" s="387" t="s">
        <v>1301</v>
      </c>
      <c r="Z462" s="387" t="s">
        <v>438</v>
      </c>
    </row>
    <row r="463" spans="1:26">
      <c r="A463" s="387" t="b">
        <v>1</v>
      </c>
      <c r="B463" s="387">
        <f t="shared" ca="1" si="80"/>
        <v>7</v>
      </c>
      <c r="C463" s="387" t="s">
        <v>2611</v>
      </c>
      <c r="D463" s="389">
        <v>86</v>
      </c>
      <c r="E463" s="390"/>
      <c r="F463" s="390"/>
      <c r="G463" s="391" t="s">
        <v>780</v>
      </c>
      <c r="H463" s="387">
        <f t="shared" ca="1" si="81"/>
        <v>2</v>
      </c>
      <c r="I463" s="391" t="s">
        <v>2223</v>
      </c>
      <c r="J463" s="387" t="s">
        <v>1302</v>
      </c>
      <c r="K463" s="387" t="s">
        <v>436</v>
      </c>
      <c r="L463" s="391" t="s">
        <v>2328</v>
      </c>
      <c r="M463" s="387"/>
      <c r="N463" s="391"/>
      <c r="O463" s="387" t="s">
        <v>781</v>
      </c>
      <c r="P463" s="391" t="s">
        <v>651</v>
      </c>
      <c r="Q463" s="391" t="s">
        <v>650</v>
      </c>
      <c r="R463" s="387" t="b">
        <v>1</v>
      </c>
      <c r="S463" s="387" t="s">
        <v>324</v>
      </c>
      <c r="T463" s="392">
        <v>10</v>
      </c>
      <c r="U463" s="391" t="s">
        <v>1303</v>
      </c>
      <c r="V463" s="391" t="s">
        <v>1493</v>
      </c>
      <c r="W463" s="387" t="b">
        <v>0</v>
      </c>
      <c r="X463" s="387" t="s">
        <v>2105</v>
      </c>
      <c r="Y463" s="387" t="s">
        <v>1304</v>
      </c>
      <c r="Z463" s="387" t="s">
        <v>438</v>
      </c>
    </row>
    <row r="464" spans="1:26">
      <c r="A464" s="387" t="b">
        <v>1</v>
      </c>
      <c r="B464" s="387">
        <f t="shared" ca="1" si="80"/>
        <v>7</v>
      </c>
      <c r="C464" s="387" t="s">
        <v>2612</v>
      </c>
      <c r="D464" s="389">
        <v>80</v>
      </c>
      <c r="E464" s="390"/>
      <c r="F464" s="390"/>
      <c r="G464" s="391" t="s">
        <v>2199</v>
      </c>
      <c r="H464" s="387">
        <f t="shared" ca="1" si="81"/>
        <v>2</v>
      </c>
      <c r="I464" s="391" t="s">
        <v>2186</v>
      </c>
      <c r="J464" s="387" t="s">
        <v>1268</v>
      </c>
      <c r="K464" s="387" t="s">
        <v>427</v>
      </c>
      <c r="L464" s="391" t="s">
        <v>2328</v>
      </c>
      <c r="M464" s="387"/>
      <c r="N464" s="391"/>
      <c r="O464" s="387" t="s">
        <v>781</v>
      </c>
      <c r="P464" s="391" t="s">
        <v>651</v>
      </c>
      <c r="Q464" s="391" t="s">
        <v>650</v>
      </c>
      <c r="R464" s="387" t="b">
        <v>1</v>
      </c>
      <c r="S464" s="387" t="s">
        <v>324</v>
      </c>
      <c r="T464" s="392">
        <v>11</v>
      </c>
      <c r="U464" s="391" t="s">
        <v>1269</v>
      </c>
      <c r="V464" s="391" t="s">
        <v>1563</v>
      </c>
      <c r="W464" s="387" t="b">
        <v>0</v>
      </c>
      <c r="X464" s="387" t="s">
        <v>2105</v>
      </c>
      <c r="Y464" s="387" t="s">
        <v>1271</v>
      </c>
      <c r="Z464" s="387" t="s">
        <v>429</v>
      </c>
    </row>
    <row r="465" spans="1:26">
      <c r="A465" s="387" t="b">
        <v>0</v>
      </c>
      <c r="B465" s="387">
        <f t="shared" ca="1" si="80"/>
        <v>7</v>
      </c>
      <c r="C465" s="387" t="s">
        <v>2613</v>
      </c>
      <c r="D465" s="389"/>
      <c r="E465" s="390"/>
      <c r="F465" s="390"/>
      <c r="G465" s="391"/>
      <c r="H465" s="387">
        <f t="shared" ca="1" si="81"/>
        <v>2</v>
      </c>
      <c r="I465" s="391"/>
      <c r="J465" s="387"/>
      <c r="K465" s="387" t="s">
        <v>424</v>
      </c>
      <c r="L465" s="391"/>
      <c r="M465" s="387"/>
      <c r="N465" s="391"/>
      <c r="O465" s="387"/>
      <c r="P465" s="391"/>
      <c r="Q465" s="391"/>
      <c r="R465" s="387" t="b">
        <v>0</v>
      </c>
      <c r="S465" s="387"/>
      <c r="T465" s="392">
        <v>12</v>
      </c>
      <c r="U465" s="391"/>
      <c r="V465" s="391" t="s">
        <v>1559</v>
      </c>
      <c r="W465" s="387" t="b">
        <v>0</v>
      </c>
      <c r="X465" s="387"/>
      <c r="Y465" s="387"/>
      <c r="Z465" s="387" t="s">
        <v>426</v>
      </c>
    </row>
    <row r="466" spans="1:26" ht="157.5">
      <c r="A466" s="387" t="b">
        <v>1</v>
      </c>
      <c r="B466" s="387">
        <f t="shared" ca="1" si="80"/>
        <v>7</v>
      </c>
      <c r="C466" s="387" t="s">
        <v>2614</v>
      </c>
      <c r="D466" s="389">
        <v>15.132279751396601</v>
      </c>
      <c r="E466" s="390">
        <v>120556.851311953</v>
      </c>
      <c r="F466" s="390">
        <v>18243</v>
      </c>
      <c r="G466" s="391" t="s">
        <v>2192</v>
      </c>
      <c r="H466" s="387">
        <f t="shared" ca="1" si="81"/>
        <v>2</v>
      </c>
      <c r="I466" s="400" t="s">
        <v>2224</v>
      </c>
      <c r="J466" s="387" t="s">
        <v>1090</v>
      </c>
      <c r="K466" s="387" t="s">
        <v>439</v>
      </c>
      <c r="L466" s="391" t="s">
        <v>2328</v>
      </c>
      <c r="M466" s="387"/>
      <c r="N466" s="391"/>
      <c r="O466" s="387"/>
      <c r="P466" s="391" t="s">
        <v>651</v>
      </c>
      <c r="Q466" s="391" t="s">
        <v>650</v>
      </c>
      <c r="R466" s="387" t="b">
        <v>1</v>
      </c>
      <c r="S466" s="387" t="s">
        <v>337</v>
      </c>
      <c r="T466" s="392">
        <v>13</v>
      </c>
      <c r="U466" s="391" t="s">
        <v>1091</v>
      </c>
      <c r="V466" s="391" t="s">
        <v>1443</v>
      </c>
      <c r="W466" s="387" t="b">
        <v>0</v>
      </c>
      <c r="X466" s="387"/>
      <c r="Y466" s="387" t="s">
        <v>1092</v>
      </c>
      <c r="Z466" s="387" t="s">
        <v>441</v>
      </c>
    </row>
    <row r="467" spans="1:26" ht="204.75">
      <c r="A467" s="387" t="b">
        <v>1</v>
      </c>
      <c r="B467" s="387">
        <f t="shared" ca="1" si="80"/>
        <v>7</v>
      </c>
      <c r="C467" s="387" t="s">
        <v>2615</v>
      </c>
      <c r="D467" s="389"/>
      <c r="E467" s="390"/>
      <c r="F467" s="390"/>
      <c r="G467" s="391" t="s">
        <v>2195</v>
      </c>
      <c r="H467" s="387">
        <f t="shared" ca="1" si="81"/>
        <v>2</v>
      </c>
      <c r="I467" s="400" t="s">
        <v>2225</v>
      </c>
      <c r="J467" s="387" t="s">
        <v>1095</v>
      </c>
      <c r="K467" s="387" t="s">
        <v>439</v>
      </c>
      <c r="L467" s="391"/>
      <c r="M467" s="387"/>
      <c r="N467" s="391"/>
      <c r="O467" s="387"/>
      <c r="P467" s="391" t="s">
        <v>651</v>
      </c>
      <c r="Q467" s="391" t="s">
        <v>650</v>
      </c>
      <c r="R467" s="387" t="b">
        <v>1</v>
      </c>
      <c r="S467" s="387" t="s">
        <v>337</v>
      </c>
      <c r="T467" s="392">
        <v>14</v>
      </c>
      <c r="U467" s="391" t="s">
        <v>1096</v>
      </c>
      <c r="V467" s="391" t="s">
        <v>1443</v>
      </c>
      <c r="W467" s="387" t="b">
        <v>0</v>
      </c>
      <c r="X467" s="387"/>
      <c r="Y467" s="387" t="s">
        <v>1098</v>
      </c>
      <c r="Z467" s="387" t="s">
        <v>441</v>
      </c>
    </row>
    <row r="468" spans="1:26" ht="141.75">
      <c r="A468" s="387" t="b">
        <v>1</v>
      </c>
      <c r="B468" s="387">
        <f t="shared" ca="1" si="80"/>
        <v>7</v>
      </c>
      <c r="C468" s="387" t="s">
        <v>2616</v>
      </c>
      <c r="D468" s="389">
        <v>34.1147493280615</v>
      </c>
      <c r="E468" s="390">
        <v>306251.70068027201</v>
      </c>
      <c r="F468" s="390">
        <v>104477</v>
      </c>
      <c r="G468" s="391" t="s">
        <v>2192</v>
      </c>
      <c r="H468" s="387">
        <f t="shared" ca="1" si="81"/>
        <v>2</v>
      </c>
      <c r="I468" s="400" t="s">
        <v>2226</v>
      </c>
      <c r="J468" s="387" t="s">
        <v>1103</v>
      </c>
      <c r="K468" s="387" t="s">
        <v>442</v>
      </c>
      <c r="L468" s="391" t="s">
        <v>2328</v>
      </c>
      <c r="M468" s="387"/>
      <c r="N468" s="391"/>
      <c r="O468" s="387" t="s">
        <v>781</v>
      </c>
      <c r="P468" s="391" t="s">
        <v>651</v>
      </c>
      <c r="Q468" s="391" t="s">
        <v>650</v>
      </c>
      <c r="R468" s="387" t="b">
        <v>1</v>
      </c>
      <c r="S468" s="387" t="s">
        <v>337</v>
      </c>
      <c r="T468" s="392">
        <v>15</v>
      </c>
      <c r="U468" s="391" t="s">
        <v>1104</v>
      </c>
      <c r="V468" s="391" t="s">
        <v>1447</v>
      </c>
      <c r="W468" s="387" t="b">
        <v>0</v>
      </c>
      <c r="X468" s="387" t="s">
        <v>2105</v>
      </c>
      <c r="Y468" s="387" t="s">
        <v>1106</v>
      </c>
      <c r="Z468" s="387" t="s">
        <v>444</v>
      </c>
    </row>
    <row r="469" spans="1:26" ht="204.75">
      <c r="A469" s="387" t="b">
        <v>1</v>
      </c>
      <c r="B469" s="387">
        <f t="shared" ca="1" si="80"/>
        <v>7</v>
      </c>
      <c r="C469" s="387" t="s">
        <v>2617</v>
      </c>
      <c r="D469" s="389"/>
      <c r="E469" s="390"/>
      <c r="F469" s="390"/>
      <c r="G469" s="391" t="s">
        <v>2195</v>
      </c>
      <c r="H469" s="387">
        <f t="shared" ca="1" si="81"/>
        <v>2</v>
      </c>
      <c r="I469" s="400" t="s">
        <v>2227</v>
      </c>
      <c r="J469" s="387" t="s">
        <v>1107</v>
      </c>
      <c r="K469" s="387" t="s">
        <v>442</v>
      </c>
      <c r="L469" s="391"/>
      <c r="M469" s="387"/>
      <c r="N469" s="391"/>
      <c r="O469" s="387" t="s">
        <v>781</v>
      </c>
      <c r="P469" s="391" t="s">
        <v>651</v>
      </c>
      <c r="Q469" s="391" t="s">
        <v>650</v>
      </c>
      <c r="R469" s="387" t="b">
        <v>1</v>
      </c>
      <c r="S469" s="387" t="s">
        <v>337</v>
      </c>
      <c r="T469" s="392">
        <v>16</v>
      </c>
      <c r="U469" s="391" t="s">
        <v>1108</v>
      </c>
      <c r="V469" s="391" t="s">
        <v>1447</v>
      </c>
      <c r="W469" s="387" t="b">
        <v>0</v>
      </c>
      <c r="X469" s="387" t="s">
        <v>2105</v>
      </c>
      <c r="Y469" s="387" t="s">
        <v>1110</v>
      </c>
      <c r="Z469" s="387" t="s">
        <v>444</v>
      </c>
    </row>
    <row r="470" spans="1:26" ht="173.25">
      <c r="A470" s="387" t="b">
        <v>1</v>
      </c>
      <c r="B470" s="387">
        <f t="shared" ca="1" si="80"/>
        <v>7</v>
      </c>
      <c r="C470" s="387" t="s">
        <v>2618</v>
      </c>
      <c r="D470" s="389">
        <v>42.277647266937898</v>
      </c>
      <c r="E470" s="390">
        <v>54936.8318756074</v>
      </c>
      <c r="F470" s="390">
        <v>23226</v>
      </c>
      <c r="G470" s="391" t="s">
        <v>2192</v>
      </c>
      <c r="H470" s="387">
        <f t="shared" ca="1" si="81"/>
        <v>2</v>
      </c>
      <c r="I470" s="400" t="s">
        <v>2228</v>
      </c>
      <c r="J470" s="387" t="s">
        <v>1115</v>
      </c>
      <c r="K470" s="387" t="s">
        <v>445</v>
      </c>
      <c r="L470" s="391" t="s">
        <v>2328</v>
      </c>
      <c r="M470" s="387"/>
      <c r="N470" s="391"/>
      <c r="O470" s="387" t="s">
        <v>781</v>
      </c>
      <c r="P470" s="391" t="s">
        <v>651</v>
      </c>
      <c r="Q470" s="391" t="s">
        <v>650</v>
      </c>
      <c r="R470" s="387" t="b">
        <v>1</v>
      </c>
      <c r="S470" s="387" t="s">
        <v>337</v>
      </c>
      <c r="T470" s="392">
        <v>17</v>
      </c>
      <c r="U470" s="391" t="s">
        <v>1116</v>
      </c>
      <c r="V470" s="391" t="s">
        <v>1451</v>
      </c>
      <c r="W470" s="387" t="b">
        <v>0</v>
      </c>
      <c r="X470" s="387" t="s">
        <v>2105</v>
      </c>
      <c r="Y470" s="387" t="s">
        <v>1117</v>
      </c>
      <c r="Z470" s="387" t="s">
        <v>447</v>
      </c>
    </row>
    <row r="471" spans="1:26" ht="157.5">
      <c r="A471" s="387" t="b">
        <v>1</v>
      </c>
      <c r="B471" s="387">
        <f t="shared" ca="1" si="80"/>
        <v>7</v>
      </c>
      <c r="C471" s="387" t="s">
        <v>2619</v>
      </c>
      <c r="D471" s="389"/>
      <c r="E471" s="390"/>
      <c r="F471" s="390"/>
      <c r="G471" s="391" t="s">
        <v>2195</v>
      </c>
      <c r="H471" s="387">
        <f t="shared" ca="1" si="81"/>
        <v>2</v>
      </c>
      <c r="I471" s="400" t="s">
        <v>2229</v>
      </c>
      <c r="J471" s="387" t="s">
        <v>1118</v>
      </c>
      <c r="K471" s="387" t="s">
        <v>445</v>
      </c>
      <c r="L471" s="391"/>
      <c r="M471" s="387"/>
      <c r="N471" s="391"/>
      <c r="O471" s="387" t="s">
        <v>781</v>
      </c>
      <c r="P471" s="391" t="s">
        <v>655</v>
      </c>
      <c r="Q471" s="391" t="s">
        <v>650</v>
      </c>
      <c r="R471" s="387" t="b">
        <v>1</v>
      </c>
      <c r="S471" s="387" t="s">
        <v>337</v>
      </c>
      <c r="T471" s="392">
        <v>18</v>
      </c>
      <c r="U471" s="391" t="s">
        <v>1119</v>
      </c>
      <c r="V471" s="391" t="s">
        <v>1451</v>
      </c>
      <c r="W471" s="387" t="b">
        <v>0</v>
      </c>
      <c r="X471" s="387" t="s">
        <v>2105</v>
      </c>
      <c r="Y471" s="387" t="s">
        <v>1121</v>
      </c>
      <c r="Z471" s="387" t="s">
        <v>447</v>
      </c>
    </row>
    <row r="472" spans="1:26" ht="157.5">
      <c r="A472" s="387" t="b">
        <v>1</v>
      </c>
      <c r="B472" s="387">
        <f t="shared" ca="1" si="80"/>
        <v>7</v>
      </c>
      <c r="C472" s="387" t="s">
        <v>2620</v>
      </c>
      <c r="D472" s="389">
        <v>7.0537684199057198</v>
      </c>
      <c r="E472" s="390">
        <v>107034.985422741</v>
      </c>
      <c r="F472" s="390">
        <v>7550</v>
      </c>
      <c r="G472" s="391" t="s">
        <v>2192</v>
      </c>
      <c r="H472" s="387">
        <f t="shared" ca="1" si="81"/>
        <v>2</v>
      </c>
      <c r="I472" s="400" t="s">
        <v>2230</v>
      </c>
      <c r="J472" s="387" t="s">
        <v>1126</v>
      </c>
      <c r="K472" s="387" t="s">
        <v>448</v>
      </c>
      <c r="L472" s="391" t="s">
        <v>2328</v>
      </c>
      <c r="M472" s="387"/>
      <c r="N472" s="391"/>
      <c r="O472" s="387" t="s">
        <v>781</v>
      </c>
      <c r="P472" s="391" t="s">
        <v>651</v>
      </c>
      <c r="Q472" s="391" t="s">
        <v>650</v>
      </c>
      <c r="R472" s="387" t="b">
        <v>1</v>
      </c>
      <c r="S472" s="387" t="s">
        <v>337</v>
      </c>
      <c r="T472" s="392">
        <v>19</v>
      </c>
      <c r="U472" s="391" t="s">
        <v>1127</v>
      </c>
      <c r="V472" s="391" t="s">
        <v>1455</v>
      </c>
      <c r="W472" s="387" t="b">
        <v>0</v>
      </c>
      <c r="X472" s="387" t="s">
        <v>2105</v>
      </c>
      <c r="Y472" s="387" t="s">
        <v>1128</v>
      </c>
      <c r="Z472" s="387" t="s">
        <v>450</v>
      </c>
    </row>
    <row r="473" spans="1:26" ht="110.25">
      <c r="A473" s="387" t="b">
        <v>1</v>
      </c>
      <c r="B473" s="387">
        <f t="shared" ca="1" si="80"/>
        <v>7</v>
      </c>
      <c r="C473" s="387" t="s">
        <v>2621</v>
      </c>
      <c r="D473" s="389"/>
      <c r="E473" s="390"/>
      <c r="F473" s="390"/>
      <c r="G473" s="391" t="s">
        <v>2195</v>
      </c>
      <c r="H473" s="387">
        <f t="shared" ca="1" si="81"/>
        <v>2</v>
      </c>
      <c r="I473" s="400" t="s">
        <v>2231</v>
      </c>
      <c r="J473" s="387" t="s">
        <v>1135</v>
      </c>
      <c r="K473" s="387" t="s">
        <v>448</v>
      </c>
      <c r="L473" s="391"/>
      <c r="M473" s="387"/>
      <c r="N473" s="391"/>
      <c r="O473" s="387" t="s">
        <v>781</v>
      </c>
      <c r="P473" s="391" t="s">
        <v>651</v>
      </c>
      <c r="Q473" s="391" t="s">
        <v>650</v>
      </c>
      <c r="R473" s="387" t="b">
        <v>1</v>
      </c>
      <c r="S473" s="387" t="s">
        <v>337</v>
      </c>
      <c r="T473" s="392">
        <v>20</v>
      </c>
      <c r="U473" s="391" t="s">
        <v>1136</v>
      </c>
      <c r="V473" s="391" t="s">
        <v>1455</v>
      </c>
      <c r="W473" s="387" t="b">
        <v>0</v>
      </c>
      <c r="X473" s="387" t="s">
        <v>2105</v>
      </c>
      <c r="Y473" s="387" t="s">
        <v>1138</v>
      </c>
      <c r="Z473" s="387" t="s">
        <v>450</v>
      </c>
    </row>
    <row r="474" spans="1:26" ht="299.25">
      <c r="A474" s="387" t="b">
        <v>1</v>
      </c>
      <c r="B474" s="387">
        <f t="shared" ca="1" si="80"/>
        <v>7</v>
      </c>
      <c r="C474" s="387" t="s">
        <v>2622</v>
      </c>
      <c r="D474" s="389">
        <v>17.6859220642738</v>
      </c>
      <c r="E474" s="390">
        <v>28446.354008099999</v>
      </c>
      <c r="F474" s="390">
        <v>5031</v>
      </c>
      <c r="G474" s="391" t="s">
        <v>2232</v>
      </c>
      <c r="H474" s="387">
        <f t="shared" ca="1" si="81"/>
        <v>2</v>
      </c>
      <c r="I474" s="400" t="s">
        <v>2233</v>
      </c>
      <c r="J474" s="387" t="s">
        <v>1142</v>
      </c>
      <c r="K474" s="387" t="s">
        <v>451</v>
      </c>
      <c r="L474" s="391" t="s">
        <v>2328</v>
      </c>
      <c r="M474" s="387"/>
      <c r="N474" s="391"/>
      <c r="O474" s="387" t="s">
        <v>781</v>
      </c>
      <c r="P474" s="391" t="s">
        <v>651</v>
      </c>
      <c r="Q474" s="391" t="s">
        <v>650</v>
      </c>
      <c r="R474" s="387" t="b">
        <v>1</v>
      </c>
      <c r="S474" s="387" t="s">
        <v>337</v>
      </c>
      <c r="T474" s="392">
        <v>21</v>
      </c>
      <c r="U474" s="391" t="s">
        <v>1143</v>
      </c>
      <c r="V474" s="391" t="s">
        <v>1459</v>
      </c>
      <c r="W474" s="387" t="b">
        <v>0</v>
      </c>
      <c r="X474" s="387" t="s">
        <v>2105</v>
      </c>
      <c r="Y474" s="387" t="s">
        <v>1144</v>
      </c>
      <c r="Z474" s="387" t="s">
        <v>453</v>
      </c>
    </row>
    <row r="475" spans="1:26" ht="252">
      <c r="A475" s="387" t="b">
        <v>1</v>
      </c>
      <c r="B475" s="387">
        <f t="shared" ca="1" si="80"/>
        <v>7</v>
      </c>
      <c r="C475" s="387" t="s">
        <v>2623</v>
      </c>
      <c r="D475" s="389">
        <v>26.989755991390901</v>
      </c>
      <c r="E475" s="390">
        <v>120556.851311953</v>
      </c>
      <c r="F475" s="390">
        <v>32538</v>
      </c>
      <c r="G475" s="391" t="s">
        <v>2192</v>
      </c>
      <c r="H475" s="387">
        <f t="shared" ca="1" si="81"/>
        <v>2</v>
      </c>
      <c r="I475" s="400" t="s">
        <v>2234</v>
      </c>
      <c r="J475" s="387" t="s">
        <v>1175</v>
      </c>
      <c r="K475" s="387" t="s">
        <v>457</v>
      </c>
      <c r="L475" s="391" t="s">
        <v>2328</v>
      </c>
      <c r="M475" s="387"/>
      <c r="N475" s="391"/>
      <c r="O475" s="387" t="s">
        <v>781</v>
      </c>
      <c r="P475" s="391" t="s">
        <v>651</v>
      </c>
      <c r="Q475" s="391" t="s">
        <v>650</v>
      </c>
      <c r="R475" s="387" t="b">
        <v>1</v>
      </c>
      <c r="S475" s="387" t="s">
        <v>324</v>
      </c>
      <c r="T475" s="392">
        <v>22</v>
      </c>
      <c r="U475" s="391" t="s">
        <v>1176</v>
      </c>
      <c r="V475" s="391" t="s">
        <v>1480</v>
      </c>
      <c r="W475" s="387" t="b">
        <v>0</v>
      </c>
      <c r="X475" s="387" t="s">
        <v>2105</v>
      </c>
      <c r="Y475" s="387" t="s">
        <v>1177</v>
      </c>
      <c r="Z475" s="387" t="s">
        <v>459</v>
      </c>
    </row>
    <row r="476" spans="1:26" ht="252">
      <c r="A476" s="387" t="b">
        <v>1</v>
      </c>
      <c r="B476" s="387">
        <f t="shared" ca="1" si="80"/>
        <v>7</v>
      </c>
      <c r="C476" s="387" t="s">
        <v>2624</v>
      </c>
      <c r="D476" s="389">
        <v>7.4303520254731996</v>
      </c>
      <c r="E476" s="390">
        <v>54936.8318756074</v>
      </c>
      <c r="F476" s="390">
        <v>4082</v>
      </c>
      <c r="G476" s="391" t="s">
        <v>2192</v>
      </c>
      <c r="H476" s="387">
        <f t="shared" ca="1" si="81"/>
        <v>2</v>
      </c>
      <c r="I476" s="400" t="s">
        <v>2235</v>
      </c>
      <c r="J476" s="387" t="s">
        <v>1178</v>
      </c>
      <c r="K476" s="387" t="s">
        <v>457</v>
      </c>
      <c r="L476" s="391" t="s">
        <v>2328</v>
      </c>
      <c r="M476" s="387"/>
      <c r="N476" s="391"/>
      <c r="O476" s="387" t="s">
        <v>781</v>
      </c>
      <c r="P476" s="391" t="s">
        <v>651</v>
      </c>
      <c r="Q476" s="391" t="s">
        <v>650</v>
      </c>
      <c r="R476" s="387" t="b">
        <v>1</v>
      </c>
      <c r="S476" s="387" t="s">
        <v>324</v>
      </c>
      <c r="T476" s="392">
        <v>23</v>
      </c>
      <c r="U476" s="391" t="s">
        <v>1179</v>
      </c>
      <c r="V476" s="391" t="s">
        <v>1480</v>
      </c>
      <c r="W476" s="387" t="b">
        <v>0</v>
      </c>
      <c r="X476" s="387" t="s">
        <v>2105</v>
      </c>
      <c r="Y476" s="387" t="s">
        <v>1180</v>
      </c>
      <c r="Z476" s="387" t="s">
        <v>459</v>
      </c>
    </row>
    <row r="477" spans="1:26" ht="236.25">
      <c r="A477" s="387" t="b">
        <v>1</v>
      </c>
      <c r="B477" s="387">
        <f t="shared" ca="1" si="80"/>
        <v>7</v>
      </c>
      <c r="C477" s="387" t="s">
        <v>2625</v>
      </c>
      <c r="D477" s="389">
        <v>21.538166107643399</v>
      </c>
      <c r="E477" s="390">
        <v>306251.70068027201</v>
      </c>
      <c r="F477" s="390">
        <v>65961</v>
      </c>
      <c r="G477" s="391" t="s">
        <v>2192</v>
      </c>
      <c r="H477" s="387">
        <f t="shared" ca="1" si="81"/>
        <v>2</v>
      </c>
      <c r="I477" s="400" t="s">
        <v>2236</v>
      </c>
      <c r="J477" s="387" t="s">
        <v>1181</v>
      </c>
      <c r="K477" s="387" t="s">
        <v>457</v>
      </c>
      <c r="L477" s="391" t="s">
        <v>2328</v>
      </c>
      <c r="M477" s="387"/>
      <c r="N477" s="391"/>
      <c r="O477" s="387" t="s">
        <v>781</v>
      </c>
      <c r="P477" s="391" t="s">
        <v>651</v>
      </c>
      <c r="Q477" s="391" t="s">
        <v>650</v>
      </c>
      <c r="R477" s="387" t="b">
        <v>1</v>
      </c>
      <c r="S477" s="387" t="s">
        <v>324</v>
      </c>
      <c r="T477" s="392">
        <v>24</v>
      </c>
      <c r="U477" s="391" t="s">
        <v>1182</v>
      </c>
      <c r="V477" s="391" t="s">
        <v>1480</v>
      </c>
      <c r="W477" s="387" t="b">
        <v>0</v>
      </c>
      <c r="X477" s="387" t="s">
        <v>2105</v>
      </c>
      <c r="Y477" s="387" t="s">
        <v>1183</v>
      </c>
      <c r="Z477" s="387" t="s">
        <v>459</v>
      </c>
    </row>
    <row r="478" spans="1:26" ht="252">
      <c r="A478" s="387" t="b">
        <v>1</v>
      </c>
      <c r="B478" s="387">
        <f t="shared" ca="1" si="80"/>
        <v>7</v>
      </c>
      <c r="C478" s="387" t="s">
        <v>2626</v>
      </c>
      <c r="D478" s="389">
        <v>8.9092365102279505</v>
      </c>
      <c r="E478" s="390">
        <v>107034.985422741</v>
      </c>
      <c r="F478" s="390">
        <v>9536</v>
      </c>
      <c r="G478" s="391" t="s">
        <v>2192</v>
      </c>
      <c r="H478" s="387">
        <f t="shared" ca="1" si="81"/>
        <v>2</v>
      </c>
      <c r="I478" s="400" t="s">
        <v>2237</v>
      </c>
      <c r="J478" s="387" t="s">
        <v>1184</v>
      </c>
      <c r="K478" s="387" t="s">
        <v>457</v>
      </c>
      <c r="L478" s="391" t="s">
        <v>2328</v>
      </c>
      <c r="M478" s="387"/>
      <c r="N478" s="391"/>
      <c r="O478" s="387" t="s">
        <v>781</v>
      </c>
      <c r="P478" s="391" t="s">
        <v>651</v>
      </c>
      <c r="Q478" s="391" t="s">
        <v>650</v>
      </c>
      <c r="R478" s="387" t="b">
        <v>1</v>
      </c>
      <c r="S478" s="387" t="s">
        <v>324</v>
      </c>
      <c r="T478" s="392">
        <v>25</v>
      </c>
      <c r="U478" s="391" t="s">
        <v>1185</v>
      </c>
      <c r="V478" s="391" t="s">
        <v>1480</v>
      </c>
      <c r="W478" s="387" t="b">
        <v>0</v>
      </c>
      <c r="X478" s="387" t="s">
        <v>2105</v>
      </c>
      <c r="Y478" s="387" t="s">
        <v>1186</v>
      </c>
      <c r="Z478" s="387" t="s">
        <v>459</v>
      </c>
    </row>
    <row r="479" spans="1:26" ht="409.5">
      <c r="A479" s="387" t="b">
        <v>1</v>
      </c>
      <c r="B479" s="387">
        <f t="shared" ca="1" si="80"/>
        <v>7</v>
      </c>
      <c r="C479" s="387" t="s">
        <v>2627</v>
      </c>
      <c r="D479" s="389">
        <v>16.4379589689017</v>
      </c>
      <c r="E479" s="390">
        <v>28446.354008099999</v>
      </c>
      <c r="F479" s="390">
        <v>4676</v>
      </c>
      <c r="G479" s="391" t="s">
        <v>2232</v>
      </c>
      <c r="H479" s="387">
        <f t="shared" ca="1" si="81"/>
        <v>2</v>
      </c>
      <c r="I479" s="400" t="s">
        <v>2238</v>
      </c>
      <c r="J479" s="387" t="s">
        <v>1190</v>
      </c>
      <c r="K479" s="387" t="s">
        <v>457</v>
      </c>
      <c r="L479" s="391" t="s">
        <v>2328</v>
      </c>
      <c r="M479" s="387"/>
      <c r="N479" s="391"/>
      <c r="O479" s="387" t="s">
        <v>781</v>
      </c>
      <c r="P479" s="391" t="s">
        <v>651</v>
      </c>
      <c r="Q479" s="391" t="s">
        <v>650</v>
      </c>
      <c r="R479" s="387" t="b">
        <v>1</v>
      </c>
      <c r="S479" s="387" t="s">
        <v>324</v>
      </c>
      <c r="T479" s="392">
        <v>26</v>
      </c>
      <c r="U479" s="391" t="s">
        <v>1191</v>
      </c>
      <c r="V479" s="391" t="s">
        <v>1480</v>
      </c>
      <c r="W479" s="387" t="b">
        <v>0</v>
      </c>
      <c r="X479" s="387" t="s">
        <v>2105</v>
      </c>
      <c r="Y479" s="387" t="s">
        <v>1193</v>
      </c>
      <c r="Z479" s="387" t="s">
        <v>459</v>
      </c>
    </row>
    <row r="480" spans="1:26" ht="78.75">
      <c r="A480" s="387" t="b">
        <v>1</v>
      </c>
      <c r="B480" s="387">
        <f t="shared" ca="1" si="80"/>
        <v>7</v>
      </c>
      <c r="C480" s="387" t="s">
        <v>2628</v>
      </c>
      <c r="D480" s="389"/>
      <c r="E480" s="390"/>
      <c r="F480" s="390"/>
      <c r="G480" s="391" t="s">
        <v>2195</v>
      </c>
      <c r="H480" s="387">
        <f t="shared" ca="1" si="81"/>
        <v>2</v>
      </c>
      <c r="I480" s="400" t="s">
        <v>2239</v>
      </c>
      <c r="J480" s="387" t="s">
        <v>1197</v>
      </c>
      <c r="K480" s="387" t="s">
        <v>457</v>
      </c>
      <c r="L480" s="391"/>
      <c r="M480" s="387"/>
      <c r="N480" s="391"/>
      <c r="O480" s="387" t="s">
        <v>781</v>
      </c>
      <c r="P480" s="391" t="s">
        <v>651</v>
      </c>
      <c r="Q480" s="391" t="s">
        <v>650</v>
      </c>
      <c r="R480" s="387" t="b">
        <v>1</v>
      </c>
      <c r="S480" s="387" t="s">
        <v>324</v>
      </c>
      <c r="T480" s="392">
        <v>27</v>
      </c>
      <c r="U480" s="391" t="s">
        <v>1198</v>
      </c>
      <c r="V480" s="391" t="s">
        <v>1480</v>
      </c>
      <c r="W480" s="387" t="b">
        <v>0</v>
      </c>
      <c r="X480" s="387" t="s">
        <v>2105</v>
      </c>
      <c r="Y480" s="387" t="s">
        <v>1199</v>
      </c>
      <c r="Z480" s="387" t="s">
        <v>459</v>
      </c>
    </row>
    <row r="481" spans="1:26" ht="252">
      <c r="A481" s="387" t="b">
        <v>1</v>
      </c>
      <c r="B481" s="387">
        <f t="shared" ca="1" si="80"/>
        <v>7</v>
      </c>
      <c r="C481" s="387" t="s">
        <v>2629</v>
      </c>
      <c r="D481" s="389">
        <v>31.649859784458201</v>
      </c>
      <c r="E481" s="390">
        <v>3757786</v>
      </c>
      <c r="F481" s="390">
        <v>1189334</v>
      </c>
      <c r="G481" s="391" t="s">
        <v>2192</v>
      </c>
      <c r="H481" s="387">
        <f t="shared" ca="1" si="81"/>
        <v>2</v>
      </c>
      <c r="I481" s="400" t="s">
        <v>2240</v>
      </c>
      <c r="J481" s="387" t="s">
        <v>1162</v>
      </c>
      <c r="K481" s="387" t="s">
        <v>454</v>
      </c>
      <c r="L481" s="391" t="s">
        <v>2328</v>
      </c>
      <c r="M481" s="387"/>
      <c r="N481" s="391"/>
      <c r="O481" s="387" t="s">
        <v>781</v>
      </c>
      <c r="P481" s="391" t="s">
        <v>651</v>
      </c>
      <c r="Q481" s="391" t="s">
        <v>654</v>
      </c>
      <c r="R481" s="387" t="b">
        <v>1</v>
      </c>
      <c r="S481" s="387" t="s">
        <v>324</v>
      </c>
      <c r="T481" s="392">
        <v>28</v>
      </c>
      <c r="U481" s="391" t="s">
        <v>1163</v>
      </c>
      <c r="V481" s="391" t="s">
        <v>1476</v>
      </c>
      <c r="W481" s="387" t="b">
        <v>0</v>
      </c>
      <c r="X481" s="387" t="s">
        <v>2105</v>
      </c>
      <c r="Y481" s="387" t="s">
        <v>1165</v>
      </c>
      <c r="Z481" s="387" t="s">
        <v>456</v>
      </c>
    </row>
    <row r="482" spans="1:26" ht="236.25">
      <c r="A482" s="387" t="b">
        <v>1</v>
      </c>
      <c r="B482" s="387">
        <f t="shared" ca="1" si="80"/>
        <v>7</v>
      </c>
      <c r="C482" s="387" t="s">
        <v>2630</v>
      </c>
      <c r="D482" s="389">
        <v>9.2843593723055697</v>
      </c>
      <c r="E482" s="390">
        <v>28995</v>
      </c>
      <c r="F482" s="390">
        <v>2692</v>
      </c>
      <c r="G482" s="391" t="s">
        <v>2192</v>
      </c>
      <c r="H482" s="387">
        <f t="shared" ca="1" si="81"/>
        <v>2</v>
      </c>
      <c r="I482" s="400" t="s">
        <v>2241</v>
      </c>
      <c r="J482" s="387" t="s">
        <v>1166</v>
      </c>
      <c r="K482" s="387" t="s">
        <v>454</v>
      </c>
      <c r="L482" s="391" t="s">
        <v>2328</v>
      </c>
      <c r="M482" s="387"/>
      <c r="N482" s="391"/>
      <c r="O482" s="387" t="s">
        <v>781</v>
      </c>
      <c r="P482" s="391" t="s">
        <v>651</v>
      </c>
      <c r="Q482" s="391" t="s">
        <v>654</v>
      </c>
      <c r="R482" s="387" t="b">
        <v>1</v>
      </c>
      <c r="S482" s="387" t="s">
        <v>324</v>
      </c>
      <c r="T482" s="392">
        <v>29</v>
      </c>
      <c r="U482" s="391" t="s">
        <v>1167</v>
      </c>
      <c r="V482" s="391" t="s">
        <v>1476</v>
      </c>
      <c r="W482" s="387" t="b">
        <v>0</v>
      </c>
      <c r="X482" s="387" t="s">
        <v>2105</v>
      </c>
      <c r="Y482" s="387" t="s">
        <v>1168</v>
      </c>
      <c r="Z482" s="387" t="s">
        <v>456</v>
      </c>
    </row>
    <row r="483" spans="1:26" ht="173.25">
      <c r="A483" s="387" t="b">
        <v>1</v>
      </c>
      <c r="B483" s="387">
        <f t="shared" ca="1" si="80"/>
        <v>7</v>
      </c>
      <c r="C483" s="387" t="s">
        <v>2631</v>
      </c>
      <c r="D483" s="389">
        <v>10.306852092452001</v>
      </c>
      <c r="E483" s="390">
        <v>4273264</v>
      </c>
      <c r="F483" s="390">
        <v>440439</v>
      </c>
      <c r="G483" s="391" t="s">
        <v>2192</v>
      </c>
      <c r="H483" s="387">
        <f t="shared" ca="1" si="81"/>
        <v>2</v>
      </c>
      <c r="I483" s="400" t="s">
        <v>2249</v>
      </c>
      <c r="J483" s="387" t="s">
        <v>1169</v>
      </c>
      <c r="K483" s="387" t="s">
        <v>454</v>
      </c>
      <c r="L483" s="391" t="s">
        <v>2328</v>
      </c>
      <c r="M483" s="387"/>
      <c r="N483" s="391"/>
      <c r="O483" s="387" t="s">
        <v>781</v>
      </c>
      <c r="P483" s="391" t="s">
        <v>651</v>
      </c>
      <c r="Q483" s="391" t="s">
        <v>650</v>
      </c>
      <c r="R483" s="387" t="b">
        <v>1</v>
      </c>
      <c r="S483" s="387" t="s">
        <v>341</v>
      </c>
      <c r="T483" s="392">
        <v>30</v>
      </c>
      <c r="U483" s="391" t="s">
        <v>1170</v>
      </c>
      <c r="V483" s="391" t="s">
        <v>1476</v>
      </c>
      <c r="W483" s="387" t="b">
        <v>0</v>
      </c>
      <c r="X483" s="387" t="s">
        <v>2105</v>
      </c>
      <c r="Y483" s="387" t="s">
        <v>1171</v>
      </c>
      <c r="Z483" s="387" t="s">
        <v>456</v>
      </c>
    </row>
    <row r="484" spans="1:26" ht="220.5">
      <c r="A484" s="387" t="b">
        <v>1</v>
      </c>
      <c r="B484" s="387">
        <f t="shared" ca="1" si="80"/>
        <v>7</v>
      </c>
      <c r="C484" s="387" t="s">
        <v>2632</v>
      </c>
      <c r="D484" s="389">
        <v>86.354492690000001</v>
      </c>
      <c r="E484" s="390">
        <v>514737.55</v>
      </c>
      <c r="F484" s="390">
        <v>444499</v>
      </c>
      <c r="G484" s="391" t="s">
        <v>2192</v>
      </c>
      <c r="H484" s="387">
        <f t="shared" ca="1" si="81"/>
        <v>2</v>
      </c>
      <c r="I484" s="400" t="s">
        <v>2633</v>
      </c>
      <c r="J484" s="387" t="s">
        <v>1200</v>
      </c>
      <c r="K484" s="387" t="s">
        <v>460</v>
      </c>
      <c r="L484" s="391" t="s">
        <v>2328</v>
      </c>
      <c r="M484" s="387"/>
      <c r="N484" s="391"/>
      <c r="O484" s="387" t="s">
        <v>781</v>
      </c>
      <c r="P484" s="391"/>
      <c r="Q484" s="391"/>
      <c r="R484" s="387" t="b">
        <v>0</v>
      </c>
      <c r="S484" s="387"/>
      <c r="T484" s="392">
        <v>31</v>
      </c>
      <c r="U484" s="391" t="s">
        <v>1201</v>
      </c>
      <c r="V484" s="391" t="s">
        <v>1484</v>
      </c>
      <c r="W484" s="387" t="b">
        <v>0</v>
      </c>
      <c r="X484" s="387" t="s">
        <v>2105</v>
      </c>
      <c r="Y484" s="387" t="s">
        <v>1202</v>
      </c>
      <c r="Z484" s="387" t="s">
        <v>462</v>
      </c>
    </row>
    <row r="485" spans="1:26" ht="409.5">
      <c r="A485" s="387" t="b">
        <v>1</v>
      </c>
      <c r="B485" s="387">
        <f t="shared" ca="1" si="80"/>
        <v>7</v>
      </c>
      <c r="C485" s="387" t="s">
        <v>2634</v>
      </c>
      <c r="D485" s="389">
        <v>92.393936510000003</v>
      </c>
      <c r="E485" s="390">
        <v>454969.25</v>
      </c>
      <c r="F485" s="390">
        <v>420364</v>
      </c>
      <c r="G485" s="391" t="s">
        <v>2192</v>
      </c>
      <c r="H485" s="387">
        <f t="shared" ca="1" si="81"/>
        <v>2</v>
      </c>
      <c r="I485" s="400" t="s">
        <v>2635</v>
      </c>
      <c r="J485" s="387" t="s">
        <v>1203</v>
      </c>
      <c r="K485" s="387" t="s">
        <v>460</v>
      </c>
      <c r="L485" s="391" t="s">
        <v>2328</v>
      </c>
      <c r="M485" s="387"/>
      <c r="N485" s="391"/>
      <c r="O485" s="387" t="s">
        <v>781</v>
      </c>
      <c r="P485" s="391"/>
      <c r="Q485" s="391"/>
      <c r="R485" s="387" t="b">
        <v>0</v>
      </c>
      <c r="S485" s="387"/>
      <c r="T485" s="392">
        <v>32</v>
      </c>
      <c r="U485" s="391" t="s">
        <v>1204</v>
      </c>
      <c r="V485" s="391" t="s">
        <v>1484</v>
      </c>
      <c r="W485" s="387" t="b">
        <v>0</v>
      </c>
      <c r="X485" s="387" t="s">
        <v>2105</v>
      </c>
      <c r="Y485" s="387" t="s">
        <v>1205</v>
      </c>
      <c r="Z485" s="387" t="s">
        <v>462</v>
      </c>
    </row>
    <row r="486" spans="1:26" ht="220.5">
      <c r="A486" s="387" t="b">
        <v>1</v>
      </c>
      <c r="B486" s="387">
        <f t="shared" ca="1" si="80"/>
        <v>7</v>
      </c>
      <c r="C486" s="387" t="s">
        <v>2636</v>
      </c>
      <c r="D486" s="389">
        <v>40.380937719999999</v>
      </c>
      <c r="E486" s="390">
        <v>59768.3</v>
      </c>
      <c r="F486" s="390">
        <v>24135</v>
      </c>
      <c r="G486" s="391" t="s">
        <v>2192</v>
      </c>
      <c r="H486" s="387">
        <f t="shared" ca="1" si="81"/>
        <v>2</v>
      </c>
      <c r="I486" s="400" t="s">
        <v>2637</v>
      </c>
      <c r="J486" s="387" t="s">
        <v>1206</v>
      </c>
      <c r="K486" s="387" t="s">
        <v>460</v>
      </c>
      <c r="L486" s="391" t="s">
        <v>2328</v>
      </c>
      <c r="M486" s="387"/>
      <c r="N486" s="391"/>
      <c r="O486" s="387" t="s">
        <v>781</v>
      </c>
      <c r="P486" s="391"/>
      <c r="Q486" s="391"/>
      <c r="R486" s="387" t="b">
        <v>0</v>
      </c>
      <c r="S486" s="387"/>
      <c r="T486" s="392">
        <v>33</v>
      </c>
      <c r="U486" s="391" t="s">
        <v>1207</v>
      </c>
      <c r="V486" s="391" t="s">
        <v>1484</v>
      </c>
      <c r="W486" s="387" t="b">
        <v>0</v>
      </c>
      <c r="X486" s="387" t="s">
        <v>2105</v>
      </c>
      <c r="Y486" s="387" t="s">
        <v>1208</v>
      </c>
      <c r="Z486" s="387" t="s">
        <v>462</v>
      </c>
    </row>
    <row r="487" spans="1:26" ht="220.5">
      <c r="A487" s="387" t="b">
        <v>1</v>
      </c>
      <c r="B487" s="387">
        <f t="shared" ca="1" si="80"/>
        <v>7</v>
      </c>
      <c r="C487" s="387" t="s">
        <v>2638</v>
      </c>
      <c r="D487" s="389">
        <v>39.079151580000001</v>
      </c>
      <c r="E487" s="390">
        <v>28995</v>
      </c>
      <c r="F487" s="390">
        <v>11331</v>
      </c>
      <c r="G487" s="391" t="s">
        <v>2639</v>
      </c>
      <c r="H487" s="387">
        <f t="shared" ca="1" si="81"/>
        <v>2</v>
      </c>
      <c r="I487" s="400" t="s">
        <v>2640</v>
      </c>
      <c r="J487" s="387" t="s">
        <v>1215</v>
      </c>
      <c r="K487" s="387" t="s">
        <v>460</v>
      </c>
      <c r="L487" s="391" t="s">
        <v>2328</v>
      </c>
      <c r="M487" s="387"/>
      <c r="N487" s="391"/>
      <c r="O487" s="387" t="s">
        <v>781</v>
      </c>
      <c r="P487" s="391"/>
      <c r="Q487" s="391"/>
      <c r="R487" s="387" t="b">
        <v>0</v>
      </c>
      <c r="S487" s="387"/>
      <c r="T487" s="392">
        <v>34</v>
      </c>
      <c r="U487" s="391" t="s">
        <v>1216</v>
      </c>
      <c r="V487" s="391" t="s">
        <v>1484</v>
      </c>
      <c r="W487" s="387" t="b">
        <v>0</v>
      </c>
      <c r="X487" s="387" t="s">
        <v>2105</v>
      </c>
      <c r="Y487" s="387" t="s">
        <v>1217</v>
      </c>
      <c r="Z487" s="387" t="s">
        <v>462</v>
      </c>
    </row>
    <row r="488" spans="1:26" ht="299.25">
      <c r="A488" s="387" t="b">
        <v>1</v>
      </c>
      <c r="B488" s="387">
        <f t="shared" ca="1" si="80"/>
        <v>7</v>
      </c>
      <c r="C488" s="387" t="s">
        <v>2641</v>
      </c>
      <c r="D488" s="389">
        <v>38.269405450000001</v>
      </c>
      <c r="E488" s="390">
        <v>514737.55</v>
      </c>
      <c r="F488" s="390">
        <v>196987</v>
      </c>
      <c r="G488" s="391" t="s">
        <v>2192</v>
      </c>
      <c r="H488" s="387">
        <f t="shared" ca="1" si="81"/>
        <v>2</v>
      </c>
      <c r="I488" s="400" t="s">
        <v>2642</v>
      </c>
      <c r="J488" s="387" t="s">
        <v>1209</v>
      </c>
      <c r="K488" s="387" t="s">
        <v>460</v>
      </c>
      <c r="L488" s="391" t="s">
        <v>2328</v>
      </c>
      <c r="M488" s="387"/>
      <c r="N488" s="391"/>
      <c r="O488" s="387" t="s">
        <v>781</v>
      </c>
      <c r="P488" s="391"/>
      <c r="Q488" s="391"/>
      <c r="R488" s="387" t="b">
        <v>0</v>
      </c>
      <c r="S488" s="387"/>
      <c r="T488" s="392">
        <v>35</v>
      </c>
      <c r="U488" s="391" t="s">
        <v>1210</v>
      </c>
      <c r="V488" s="391" t="s">
        <v>1484</v>
      </c>
      <c r="W488" s="387" t="b">
        <v>0</v>
      </c>
      <c r="X488" s="387" t="s">
        <v>2105</v>
      </c>
      <c r="Y488" s="387" t="s">
        <v>1211</v>
      </c>
      <c r="Z488" s="387" t="s">
        <v>462</v>
      </c>
    </row>
    <row r="489" spans="1:26" ht="189">
      <c r="A489" s="387" t="b">
        <v>1</v>
      </c>
      <c r="B489" s="387">
        <f t="shared" ca="1" si="80"/>
        <v>7</v>
      </c>
      <c r="C489" s="387" t="s">
        <v>2643</v>
      </c>
      <c r="D489" s="389">
        <v>78.082587059999994</v>
      </c>
      <c r="E489" s="390">
        <v>100500</v>
      </c>
      <c r="F489" s="390">
        <v>78473</v>
      </c>
      <c r="G489" s="391" t="s">
        <v>2192</v>
      </c>
      <c r="H489" s="387">
        <f t="shared" ca="1" si="81"/>
        <v>2</v>
      </c>
      <c r="I489" s="400" t="s">
        <v>2644</v>
      </c>
      <c r="J489" s="387" t="s">
        <v>1295</v>
      </c>
      <c r="K489" s="387" t="s">
        <v>436</v>
      </c>
      <c r="L489" s="391" t="s">
        <v>2328</v>
      </c>
      <c r="M489" s="387"/>
      <c r="N489" s="391"/>
      <c r="O489" s="387" t="s">
        <v>781</v>
      </c>
      <c r="P489" s="391"/>
      <c r="Q489" s="391"/>
      <c r="R489" s="387" t="b">
        <v>0</v>
      </c>
      <c r="S489" s="387"/>
      <c r="T489" s="392">
        <v>36</v>
      </c>
      <c r="U489" s="391" t="s">
        <v>1296</v>
      </c>
      <c r="V489" s="391" t="s">
        <v>1493</v>
      </c>
      <c r="W489" s="387" t="b">
        <v>0</v>
      </c>
      <c r="X489" s="387" t="s">
        <v>2105</v>
      </c>
      <c r="Y489" s="387" t="s">
        <v>1297</v>
      </c>
      <c r="Z489" s="387" t="s">
        <v>438</v>
      </c>
    </row>
    <row r="490" spans="1:26" ht="252">
      <c r="A490" s="387" t="b">
        <v>1</v>
      </c>
      <c r="B490" s="387">
        <f t="shared" ca="1" si="80"/>
        <v>7</v>
      </c>
      <c r="C490" s="387" t="s">
        <v>2645</v>
      </c>
      <c r="D490" s="389">
        <v>77.897713749999994</v>
      </c>
      <c r="E490" s="390">
        <v>71427</v>
      </c>
      <c r="F490" s="390">
        <v>55640</v>
      </c>
      <c r="G490" s="391" t="s">
        <v>2192</v>
      </c>
      <c r="H490" s="387">
        <f t="shared" ca="1" si="81"/>
        <v>2</v>
      </c>
      <c r="I490" s="400" t="s">
        <v>2646</v>
      </c>
      <c r="J490" s="387" t="s">
        <v>1305</v>
      </c>
      <c r="K490" s="387" t="s">
        <v>436</v>
      </c>
      <c r="L490" s="391" t="s">
        <v>2328</v>
      </c>
      <c r="M490" s="387"/>
      <c r="N490" s="391"/>
      <c r="O490" s="387" t="s">
        <v>781</v>
      </c>
      <c r="P490" s="391"/>
      <c r="Q490" s="391"/>
      <c r="R490" s="387" t="b">
        <v>0</v>
      </c>
      <c r="S490" s="387"/>
      <c r="T490" s="392">
        <v>37</v>
      </c>
      <c r="U490" s="391" t="s">
        <v>1306</v>
      </c>
      <c r="V490" s="391" t="s">
        <v>1493</v>
      </c>
      <c r="W490" s="387" t="b">
        <v>0</v>
      </c>
      <c r="X490" s="387" t="s">
        <v>2105</v>
      </c>
      <c r="Y490" s="387" t="s">
        <v>1308</v>
      </c>
      <c r="Z490" s="387" t="s">
        <v>438</v>
      </c>
    </row>
    <row r="491" spans="1:26" ht="126">
      <c r="A491" s="387" t="b">
        <v>1</v>
      </c>
      <c r="B491" s="387">
        <f t="shared" ca="1" si="80"/>
        <v>7</v>
      </c>
      <c r="C491" s="387" t="s">
        <v>2647</v>
      </c>
      <c r="D491" s="389">
        <v>96.368715080000001</v>
      </c>
      <c r="E491" s="390">
        <v>5012</v>
      </c>
      <c r="F491" s="390">
        <v>4830</v>
      </c>
      <c r="G491" s="391" t="s">
        <v>2192</v>
      </c>
      <c r="H491" s="387">
        <f t="shared" ca="1" si="81"/>
        <v>2</v>
      </c>
      <c r="I491" s="400" t="s">
        <v>2648</v>
      </c>
      <c r="J491" s="387" t="s">
        <v>1404</v>
      </c>
      <c r="K491" s="387" t="s">
        <v>466</v>
      </c>
      <c r="L491" s="391" t="s">
        <v>2328</v>
      </c>
      <c r="M491" s="387"/>
      <c r="N491" s="391"/>
      <c r="O491" s="387" t="s">
        <v>781</v>
      </c>
      <c r="P491" s="391"/>
      <c r="Q491" s="391"/>
      <c r="R491" s="387" t="b">
        <v>0</v>
      </c>
      <c r="S491" s="387"/>
      <c r="T491" s="392">
        <v>38</v>
      </c>
      <c r="U491" s="391" t="s">
        <v>1405</v>
      </c>
      <c r="V491" s="391" t="s">
        <v>1525</v>
      </c>
      <c r="W491" s="387" t="b">
        <v>0</v>
      </c>
      <c r="X491" s="387" t="s">
        <v>2105</v>
      </c>
      <c r="Y491" s="387" t="s">
        <v>1407</v>
      </c>
      <c r="Z491" s="387" t="s">
        <v>468</v>
      </c>
    </row>
    <row r="492" spans="1:26" ht="141.75">
      <c r="A492" s="387" t="b">
        <v>1</v>
      </c>
      <c r="B492" s="387">
        <f t="shared" ca="1" si="80"/>
        <v>7</v>
      </c>
      <c r="C492" s="387" t="s">
        <v>2649</v>
      </c>
      <c r="D492" s="389">
        <v>58.04070231</v>
      </c>
      <c r="E492" s="390">
        <v>5012</v>
      </c>
      <c r="F492" s="390">
        <v>2909</v>
      </c>
      <c r="G492" s="391" t="s">
        <v>2192</v>
      </c>
      <c r="H492" s="387">
        <f t="shared" ca="1" si="81"/>
        <v>2</v>
      </c>
      <c r="I492" s="400" t="s">
        <v>2650</v>
      </c>
      <c r="J492" s="387" t="s">
        <v>1408</v>
      </c>
      <c r="K492" s="387" t="s">
        <v>466</v>
      </c>
      <c r="L492" s="391" t="s">
        <v>2328</v>
      </c>
      <c r="M492" s="387"/>
      <c r="N492" s="391"/>
      <c r="O492" s="387" t="s">
        <v>781</v>
      </c>
      <c r="P492" s="391"/>
      <c r="Q492" s="391"/>
      <c r="R492" s="387" t="b">
        <v>0</v>
      </c>
      <c r="S492" s="387"/>
      <c r="T492" s="392">
        <v>39</v>
      </c>
      <c r="U492" s="391" t="s">
        <v>1409</v>
      </c>
      <c r="V492" s="391" t="s">
        <v>1525</v>
      </c>
      <c r="W492" s="387" t="b">
        <v>0</v>
      </c>
      <c r="X492" s="387" t="s">
        <v>2105</v>
      </c>
      <c r="Y492" s="387" t="s">
        <v>1410</v>
      </c>
      <c r="Z492" s="387" t="s">
        <v>468</v>
      </c>
    </row>
    <row r="493" spans="1:26">
      <c r="A493" s="387" t="b">
        <f t="shared" ref="A493:A522" ca="1" si="82">IF(OR(J493&lt;&gt;"",N493&lt;&gt;""),TRUE,FALSE)</f>
        <v>1</v>
      </c>
      <c r="B493" s="387">
        <f t="shared" ca="1" si="80"/>
        <v>9</v>
      </c>
      <c r="C493" s="396" t="str">
        <f ca="1">IFERROR(IF(AND(H493=2,B493=7),"blank",INDEX(C$452:C493,H493,1)),"")</f>
        <v>a18Dm000000Gw6sIAC</v>
      </c>
      <c r="D493" s="389" t="str">
        <f t="shared" ref="D493:D522" ca="1" si="83">IFERROR(IF(INDIRECT("'Coverage Indicators - Section D'!F"&amp;$B493)="","",INDIRECT("'Coverage Indicators - Section D'!F"&amp;$B493)*100),"")</f>
        <v/>
      </c>
      <c r="E493" s="390" t="str">
        <f t="shared" ref="E493:E522" ca="1" si="84">IFERROR(IF(INDIRECT("'Coverage Indicators - Section D'!E"&amp;$B493+1)="","",INDIRECT("'Coverage Indicators - Section D'!E"&amp;$B493+1)),"")</f>
        <v/>
      </c>
      <c r="F493" s="390">
        <f t="shared" ref="F493:F522" ca="1" si="85">IFERROR(IF(INDIRECT("'Coverage Indicators - Section D'!E"&amp;$B493)="","",INDIRECT("'Coverage Indicators - Section D'!E"&amp;$B493)),"")</f>
        <v>245490</v>
      </c>
      <c r="G493" s="391" t="str">
        <f t="shared" ref="G493:G522" ca="1" si="86">IFERROR(IF(INDIRECT("'Coverage Indicators - Section D'!H"&amp;$B493)="","",INDIRECT("'Coverage Indicators - Section D'!H"&amp;$B493)),"")</f>
        <v>DHIS2</v>
      </c>
      <c r="H493" s="387">
        <f t="shared" ca="1" si="81"/>
        <v>3</v>
      </c>
      <c r="I493" s="391" t="str">
        <f t="shared" ref="I493:I522" ca="1" si="87">IFERROR(IF(INDIRECT("'Coverage Indicators - Section D'!AL"&amp;$B493)="","",INDIRECT("'Coverage Indicators - Section D'!AL"&amp;$B493)),"")</f>
        <v>The increase in TB coverage (or detection rate) has evolved on average by 4% between 2015 and 2021. The 2022 data being validated The country has implemented in the NSP an increase in coverage of 4% in 2023 and 2024, and 6% in 2025 and 2026 which will be achieved through the following strategies: 1) decentralization and provision of integrated and person-centered TB services; 2) optimization of the use of molecular diagnostic tools, expanding specimen transport with accurate mapping at the SLA level; 3) an efficient diagnostic network 4) expansion of the quality approach 5) implementation of active screening in key and vulnerable populations using digital radiography with CAD or not. The coverage rate planned in the NSP is 80% in 2024, 86% in 2025 and 92% in 2026. The country expects to reach 90% of the NSP target with the grant. Thus, the expected number of TB cases is 258,638 in 2024, 284,558 in 2025 and 311,540 in 2026.
This is an equity indicator.</v>
      </c>
      <c r="J493" s="387" t="str" cm="1">
        <f t="array" aca="1" ref="J493" ca="1">IFERROR(VLOOKUP(LEFT(INDIRECT("'Coverage Indicators - Section D'!C"&amp;$B493),255),LEFT('Reference Records'!C41:F285,255),4,0),"")</f>
        <v>MCI-01539</v>
      </c>
      <c r="K493" s="387" t="str">
        <f ca="1">IFERROR(VLOOKUP(IF(INDIRECT("'Coverage Indicators - Section D'!B"&amp;$B493)="","--select--",INDIRECT("'Coverage Indicators - Section D'!B"&amp;$B493)),'Overview - Section A'!C$101:D142,2,0),"")</f>
        <v>M-84753</v>
      </c>
      <c r="L493" s="391">
        <f t="shared" ref="L493:L522" ca="1" si="88">IFERROR(IF(INDIRECT("'Coverage Indicators - Section D'!G"&amp;$B493)=0,"",INDIRECT("'Coverage Indicators - Section D'!G"&amp;$B493)),"")</f>
        <v>2022</v>
      </c>
      <c r="M493" s="387"/>
      <c r="N493" s="391" t="str">
        <f t="shared" ref="N493:N522" ca="1" si="89">IFERROR(IF(INDIRECT("'Coverage Indicators - Section D'!D"&amp;$B493)=0,"",INDIRECT("'Coverage Indicators - Section D'!D"&amp;$B493)),"")</f>
        <v/>
      </c>
      <c r="O493" s="387" t="str">
        <f t="shared" ref="O493:O522" ca="1" si="90">IFERROR(IF(INDIRECT("'Coverage Indicators - Section D'!L"&amp;$B493)=0,"",INDIRECT("'Coverage Indicators - Section D'!L"&amp;$B493)),"")</f>
        <v>Congo (Democratic Republic)</v>
      </c>
      <c r="P493" s="391" t="str">
        <f t="shared" ref="P493:P522" ca="1" si="91">IFERROR(IF(INDIRECT("'Coverage Indicators - Section D'!L"&amp;$B493+1)=0,"",INDIRECT("'Coverage Indicators - Section D'!L"&amp;$B493+1)),"")</f>
        <v>Geographic National, 100% of national program target</v>
      </c>
      <c r="Q493" s="391" t="str">
        <f t="shared" ref="Q493:Q522" ca="1" si="92">IFERROR(IF(INDIRECT("'Coverage Indicators - Section D'!M"&amp;$B493)=0,"",INDIRECT("'Coverage Indicators - Section D'!M"&amp;$B493)),"")</f>
        <v>Non cumulative</v>
      </c>
      <c r="R493" s="387" t="b">
        <f t="shared" ref="R493:R522" ca="1" si="93">IFERROR(IF(INDIRECT("'Coverage Indicators - Section D'!J"&amp;$B493)=0,"FALSE",IF(INDIRECT("'Coverage Indicators - Section D'!J"&amp;$B493)="Yes",TRUE,FALSE)),"")</f>
        <v>1</v>
      </c>
      <c r="S493" s="387" t="str">
        <f ca="1">IFERROR(VLOOKUP(INDIRECT("'Coverage Indicators - Section D'!K"&amp;$B493),'Overview - Section A'!M$31:P81,4,0),IFERROR(IF(VLOOKUP(INDIRECT("'Coverage Indicators - Section D'!K"&amp;$B493),'Overview - Section A'!E$27:I70,5,0)=0,"",VLOOKUP(INDIRECT("'Coverage Indicators - Section D'!K"&amp;$B493),'Overview - Section A'!E$27:I70,5,0)),""))</f>
        <v>a12Dm000000cC1cIAE</v>
      </c>
      <c r="T493" s="392"/>
      <c r="U493" s="391"/>
      <c r="V493" s="391"/>
      <c r="W493" s="387" t="b">
        <f t="shared" ref="W493:W522" ca="1" si="94">IF(IFERROR(IF(INDIRECT("'Coverage Indicators - Section D'!C"&amp;$B493)&lt;&gt; 0,INDIRECT("'Coverage Indicators - Section D'!AZ"&amp;$B493),
 IF(INDIRECT("'Coverage Indicators - Section D'!D"&amp;$B493)&lt;&gt;0,INDIRECT("'Coverage Indicators - Section D'!BA"&amp;$B493),"FALSE")
 ),"") = "Yes", TRUE, FALSE)</f>
        <v>0</v>
      </c>
      <c r="X493" s="387" t="str">
        <f t="shared" ref="X493:X522" ca="1" si="95">IFERROR(IF(INDIRECT("'Coverage Indicators - Section D'!CI"&amp;$B493)=0,"",INDIRECT("'Coverage Indicators - Section D'!CI"&amp;$B493)),"")</f>
        <v>a1A360000013M2uEAE</v>
      </c>
      <c r="Y493" s="387" t="str">
        <f t="shared" ref="Y493:Y522" ca="1" si="96">IFERROR(IF(INDIRECT("'Coverage Indicators - Section D'!CK"&amp;$B493)=0,"",INDIRECT("'Coverage Indicators - Section D'!CK"&amp;$B493)),"")</f>
        <v>a1ODm000000GnyEMAS</v>
      </c>
      <c r="Z493" s="387" t="str">
        <f t="shared" ref="Z493:Z522" ca="1" si="97">IFERROR(IF(INDIRECT("'Coverage Indicators - Section D'!CJ"&amp;$B493)=0,"",INDIRECT("'Coverage Indicators - Section D'!CJ"&amp;$B493)),"")</f>
        <v>a1PDm000000LrD4MAK</v>
      </c>
    </row>
    <row r="494" spans="1:26">
      <c r="A494" s="387" t="b">
        <f t="shared" ca="1" si="82"/>
        <v>1</v>
      </c>
      <c r="B494" s="387">
        <f t="shared" ca="1" si="80"/>
        <v>11</v>
      </c>
      <c r="C494" s="396" t="str">
        <f ca="1">IFERROR(IF(AND(H494=2,B494=7),"blank",INDEX(C$452:C494,H494,1)),"")</f>
        <v>a18Dm000000Gw6tIAC</v>
      </c>
      <c r="D494" s="389">
        <f t="shared" ca="1" si="83"/>
        <v>94</v>
      </c>
      <c r="E494" s="390" t="str">
        <f t="shared" ca="1" si="84"/>
        <v/>
      </c>
      <c r="F494" s="390" t="str">
        <f t="shared" ca="1" si="85"/>
        <v/>
      </c>
      <c r="G494" s="391" t="str">
        <f t="shared" ca="1" si="86"/>
        <v>WHO TB Global Report 2022</v>
      </c>
      <c r="H494" s="387">
        <f t="shared" ca="1" si="81"/>
        <v>4</v>
      </c>
      <c r="I494" s="391" t="str">
        <f t="shared" ca="1" si="87"/>
        <v>The country has reported a 94% treatment success rate for patients who repeat susceptible TB. The efforts made in this application with the choice of a patient-centered approach, community involvement and decentralization of services will enable the country to reach at least the 95% treatment success rate by 2024-2026 as expected as a target by WHO. (NSP targets).</v>
      </c>
      <c r="J494" s="387" t="str" cm="1">
        <f t="array" aca="1" ref="J494" ca="1">IFERROR(VLOOKUP(LEFT(INDIRECT("'Coverage Indicators - Section D'!C"&amp;$B494),255),LEFT('Reference Records'!C42:F286,255),4,0),"")</f>
        <v>MCI-01544</v>
      </c>
      <c r="K494" s="387" t="str">
        <f ca="1">IFERROR(VLOOKUP(IF(INDIRECT("'Coverage Indicators - Section D'!B"&amp;$B494)="","--select--",INDIRECT("'Coverage Indicators - Section D'!B"&amp;$B494)),'Overview - Section A'!C$101:D143,2,0),"")</f>
        <v>M-84753</v>
      </c>
      <c r="L494" s="391">
        <f t="shared" ca="1" si="88"/>
        <v>2021</v>
      </c>
      <c r="M494" s="387"/>
      <c r="N494" s="391" t="str">
        <f t="shared" ca="1" si="89"/>
        <v/>
      </c>
      <c r="O494" s="387" t="str">
        <f t="shared" ca="1" si="90"/>
        <v>Congo (Democratic Republic)</v>
      </c>
      <c r="P494" s="391" t="str">
        <f t="shared" ca="1" si="91"/>
        <v>Geographic National, 100% of national program target</v>
      </c>
      <c r="Q494" s="391" t="str">
        <f t="shared" ca="1" si="92"/>
        <v>Non cumulative</v>
      </c>
      <c r="R494" s="387" t="b">
        <f t="shared" ca="1" si="93"/>
        <v>1</v>
      </c>
      <c r="S494" s="387" t="str">
        <f ca="1">IFERROR(VLOOKUP(INDIRECT("'Coverage Indicators - Section D'!K"&amp;$B494),'Overview - Section A'!M$31:P82,4,0),IFERROR(IF(VLOOKUP(INDIRECT("'Coverage Indicators - Section D'!K"&amp;$B494),'Overview - Section A'!E$27:I71,5,0)=0,"",VLOOKUP(INDIRECT("'Coverage Indicators - Section D'!K"&amp;$B494),'Overview - Section A'!E$27:I71,5,0)),""))</f>
        <v>a12Dm000000cC1cIAE</v>
      </c>
      <c r="T494" s="392"/>
      <c r="U494" s="391"/>
      <c r="V494" s="391"/>
      <c r="W494" s="387" t="b">
        <f t="shared" ca="1" si="94"/>
        <v>0</v>
      </c>
      <c r="X494" s="387" t="str">
        <f t="shared" ca="1" si="95"/>
        <v>a1A360000013M2uEAE</v>
      </c>
      <c r="Y494" s="387" t="str">
        <f t="shared" ca="1" si="96"/>
        <v>a1ODm000000GnyJMAS</v>
      </c>
      <c r="Z494" s="387" t="str">
        <f t="shared" ca="1" si="97"/>
        <v>a1PDm000000LrD4MAK</v>
      </c>
    </row>
    <row r="495" spans="1:26">
      <c r="A495" s="387" t="b">
        <f t="shared" ca="1" si="82"/>
        <v>1</v>
      </c>
      <c r="B495" s="387">
        <f t="shared" ca="1" si="80"/>
        <v>13</v>
      </c>
      <c r="C495" s="396" t="str">
        <f ca="1">IFERROR(IF(AND(H495=2,B495=7),"blank",INDEX(C$452:C495,H495,1)),"")</f>
        <v>a18Dm000000Gw6uIAC</v>
      </c>
      <c r="D495" s="389">
        <f t="shared" ca="1" si="83"/>
        <v>9.4003022275288242</v>
      </c>
      <c r="E495" s="390">
        <f t="shared" ca="1" si="84"/>
        <v>214408</v>
      </c>
      <c r="F495" s="390">
        <f t="shared" ca="1" si="85"/>
        <v>20155</v>
      </c>
      <c r="G495" s="391" t="str">
        <f t="shared" ca="1" si="86"/>
        <v>WHO TB Global Report 2022</v>
      </c>
      <c r="H495" s="387">
        <f t="shared" ca="1" si="81"/>
        <v>5</v>
      </c>
      <c r="I495" s="391" t="str">
        <f t="shared" ca="1" si="87"/>
        <v>The DRC has experienced a significant increase in the number of Xpert machines available; by the end of 2023, the country will have a total of 341 Xpert machines and 38 Truenat machines. Combined with a strengthening of the sample transport system, with community actors and the purchase of X new machines and the application of the PATI 6 diagnostic algorithm (initial molecular diagnostic test in sites equipped with molecular devices), the NTP expects to screen at least 45% of patients with molecular tests by 2026.</v>
      </c>
      <c r="J495" s="387" t="str" cm="1">
        <f t="array" aca="1" ref="J495" ca="1">IFERROR(VLOOKUP(LEFT(INDIRECT("'Coverage Indicators - Section D'!C"&amp;$B495),255),LEFT('Reference Records'!C43:F287,255),4,0),"")</f>
        <v>MCI-01543</v>
      </c>
      <c r="K495" s="387" t="str">
        <f ca="1">IFERROR(VLOOKUP(IF(INDIRECT("'Coverage Indicators - Section D'!B"&amp;$B495)="","--select--",INDIRECT("'Coverage Indicators - Section D'!B"&amp;$B495)),'Overview - Section A'!C$101:D144,2,0),"")</f>
        <v>M-84753</v>
      </c>
      <c r="L495" s="391">
        <f t="shared" ca="1" si="88"/>
        <v>2021</v>
      </c>
      <c r="M495" s="387"/>
      <c r="N495" s="391" t="str">
        <f t="shared" ca="1" si="89"/>
        <v/>
      </c>
      <c r="O495" s="387" t="str">
        <f t="shared" ca="1" si="90"/>
        <v>Congo (Democratic Republic)</v>
      </c>
      <c r="P495" s="391" t="str">
        <f t="shared" ca="1" si="91"/>
        <v>Geographic National, 100% of national program target</v>
      </c>
      <c r="Q495" s="391" t="str">
        <f t="shared" ca="1" si="92"/>
        <v>Non cumulative</v>
      </c>
      <c r="R495" s="387" t="b">
        <f t="shared" ca="1" si="93"/>
        <v>1</v>
      </c>
      <c r="S495" s="387" t="str">
        <f ca="1">IFERROR(VLOOKUP(INDIRECT("'Coverage Indicators - Section D'!K"&amp;$B495),'Overview - Section A'!M$31:P83,4,0),IFERROR(IF(VLOOKUP(INDIRECT("'Coverage Indicators - Section D'!K"&amp;$B495),'Overview - Section A'!E$27:I72,5,0)=0,"",VLOOKUP(INDIRECT("'Coverage Indicators - Section D'!K"&amp;$B495),'Overview - Section A'!E$27:I72,5,0)),""))</f>
        <v>a12Dm000000cC1cIAE</v>
      </c>
      <c r="T495" s="392"/>
      <c r="U495" s="391"/>
      <c r="V495" s="391"/>
      <c r="W495" s="387" t="b">
        <f t="shared" ca="1" si="94"/>
        <v>0</v>
      </c>
      <c r="X495" s="387" t="str">
        <f t="shared" ca="1" si="95"/>
        <v>a1A360000013M2uEAE</v>
      </c>
      <c r="Y495" s="387" t="str">
        <f t="shared" ca="1" si="96"/>
        <v>a1ODm000000GnyIMAS</v>
      </c>
      <c r="Z495" s="387" t="str">
        <f t="shared" ca="1" si="97"/>
        <v>a1PDm000000LrD4MAK</v>
      </c>
    </row>
    <row r="496" spans="1:26">
      <c r="A496" s="387" t="b">
        <f t="shared" ca="1" si="82"/>
        <v>1</v>
      </c>
      <c r="B496" s="387">
        <f t="shared" ca="1" si="80"/>
        <v>15</v>
      </c>
      <c r="C496" s="396" t="str">
        <f ca="1">IFERROR(IF(AND(H496=2,B496=7),"blank",INDEX(C$452:C496,H496,1)),"")</f>
        <v>a18Dm000000Gw6vIAC</v>
      </c>
      <c r="D496" s="389" t="str">
        <f t="shared" ca="1" si="83"/>
        <v/>
      </c>
      <c r="E496" s="390" t="str">
        <f t="shared" ca="1" si="84"/>
        <v/>
      </c>
      <c r="F496" s="390">
        <f t="shared" ca="1" si="85"/>
        <v>1614</v>
      </c>
      <c r="G496" s="391" t="str">
        <f t="shared" ca="1" si="86"/>
        <v>TB program annual report</v>
      </c>
      <c r="H496" s="387">
        <f t="shared" ca="1" si="81"/>
        <v>6</v>
      </c>
      <c r="I496" s="391" t="str">
        <f t="shared" ca="1" si="87"/>
        <v>In 2022, 1614 RP-TB cases were reported and in 2021, 1236 RP-TB cases, which is an increase of 30%. With the implementation of the RP-TB acceleration plan, the increase of access to and optimization of the GeneXpert and Truenat machines, the implementation of the Xpert test for all confirmed TPB+ cases, the country plans to notify 9731 RP-TB patients over the 3 years: 2483 in 2024, 3185 in 2025 and 4063 in 2026.</v>
      </c>
      <c r="J496" s="387" t="str" cm="1">
        <f t="array" aca="1" ref="J496" ca="1">IFERROR(VLOOKUP(LEFT(INDIRECT("'Coverage Indicators - Section D'!C"&amp;$B496),255),LEFT('Reference Records'!C44:F288,255),4,0),"")</f>
        <v>MCI-01550</v>
      </c>
      <c r="K496" s="387" t="str">
        <f ca="1">IFERROR(VLOOKUP(IF(INDIRECT("'Coverage Indicators - Section D'!B"&amp;$B496)="","--select--",INDIRECT("'Coverage Indicators - Section D'!B"&amp;$B496)),'Overview - Section A'!C$101:D145,2,0),"")</f>
        <v>M-84754</v>
      </c>
      <c r="L496" s="391">
        <f t="shared" ca="1" si="88"/>
        <v>2022</v>
      </c>
      <c r="M496" s="387"/>
      <c r="N496" s="391" t="str">
        <f t="shared" ca="1" si="89"/>
        <v/>
      </c>
      <c r="O496" s="387" t="str">
        <f t="shared" ca="1" si="90"/>
        <v>Congo (Democratic Republic)</v>
      </c>
      <c r="P496" s="391" t="str">
        <f t="shared" ca="1" si="91"/>
        <v>Geographic National, 100% of national program target</v>
      </c>
      <c r="Q496" s="391" t="str">
        <f t="shared" ca="1" si="92"/>
        <v>Non cumulative</v>
      </c>
      <c r="R496" s="387" t="b">
        <f t="shared" ca="1" si="93"/>
        <v>1</v>
      </c>
      <c r="S496" s="387" t="str">
        <f ca="1">IFERROR(VLOOKUP(INDIRECT("'Coverage Indicators - Section D'!K"&amp;$B496),'Overview - Section A'!M$31:P84,4,0),IFERROR(IF(VLOOKUP(INDIRECT("'Coverage Indicators - Section D'!K"&amp;$B496),'Overview - Section A'!E$27:I73,5,0)=0,"",VLOOKUP(INDIRECT("'Coverage Indicators - Section D'!K"&amp;$B496),'Overview - Section A'!E$27:I73,5,0)),""))</f>
        <v>a12Dm000000cC1cIAE</v>
      </c>
      <c r="T496" s="392"/>
      <c r="U496" s="391"/>
      <c r="V496" s="391"/>
      <c r="W496" s="387" t="b">
        <f t="shared" ca="1" si="94"/>
        <v>0</v>
      </c>
      <c r="X496" s="387" t="str">
        <f t="shared" ca="1" si="95"/>
        <v>a1A360000013M2uEAE</v>
      </c>
      <c r="Y496" s="387" t="str">
        <f t="shared" ca="1" si="96"/>
        <v>a1ODm000000GnyPMAS</v>
      </c>
      <c r="Z496" s="387" t="str">
        <f t="shared" ca="1" si="97"/>
        <v>a1PDm000000LrD5MAK</v>
      </c>
    </row>
    <row r="497" spans="1:26">
      <c r="A497" s="387" t="b">
        <f t="shared" ca="1" si="82"/>
        <v>1</v>
      </c>
      <c r="B497" s="387">
        <f t="shared" ca="1" si="80"/>
        <v>17</v>
      </c>
      <c r="C497" s="396" t="str">
        <f ca="1">IFERROR(IF(AND(H497=2,B497=7),"blank",INDEX(C$452:C497,H497,1)),"")</f>
        <v>a18Dm000000Gw6wIAC</v>
      </c>
      <c r="D497" s="389">
        <f t="shared" ca="1" si="83"/>
        <v>91.019417475728162</v>
      </c>
      <c r="E497" s="390">
        <f t="shared" ca="1" si="84"/>
        <v>1236</v>
      </c>
      <c r="F497" s="390">
        <f t="shared" ca="1" si="85"/>
        <v>1125</v>
      </c>
      <c r="G497" s="391" t="str">
        <f t="shared" ca="1" si="86"/>
        <v>WHO TB Global Report 2022</v>
      </c>
      <c r="H497" s="387">
        <f t="shared" ca="1" si="81"/>
        <v>7</v>
      </c>
      <c r="I497" s="391" t="str">
        <f t="shared" ca="1" si="87"/>
        <v>By 2021, the country will have treated 91% of detected cases of MDR-TB. In the NSP, the program foresees an extension of the decentralization of the management with a revitalization of the provincial MDR-TB committees with a particular emphasis on the importance of the rapid enrolment of the totality of the cases detected, i.e., 2322 in 2024, 2978 in 2025 and 3799 in 2026. The targets for the enrolment on treatment are aligned with those of the DR-TB2 indicator.</v>
      </c>
      <c r="J497" s="387" t="str" cm="1">
        <f t="array" aca="1" ref="J497" ca="1">IFERROR(VLOOKUP(LEFT(INDIRECT("'Coverage Indicators - Section D'!C"&amp;$B497),255),LEFT('Reference Records'!C45:F289,255),4,0),"")</f>
        <v>MCI-01551</v>
      </c>
      <c r="K497" s="387" t="str">
        <f ca="1">IFERROR(VLOOKUP(IF(INDIRECT("'Coverage Indicators - Section D'!B"&amp;$B497)="","--select--",INDIRECT("'Coverage Indicators - Section D'!B"&amp;$B497)),'Overview - Section A'!C$101:D146,2,0),"")</f>
        <v>M-84754</v>
      </c>
      <c r="L497" s="391">
        <f t="shared" ca="1" si="88"/>
        <v>2021</v>
      </c>
      <c r="M497" s="387"/>
      <c r="N497" s="391" t="str">
        <f t="shared" ca="1" si="89"/>
        <v/>
      </c>
      <c r="O497" s="387" t="str">
        <f t="shared" ca="1" si="90"/>
        <v>Congo (Democratic Republic)</v>
      </c>
      <c r="P497" s="391" t="str">
        <f t="shared" ca="1" si="91"/>
        <v>Geographic National, 100% of national program target</v>
      </c>
      <c r="Q497" s="391" t="str">
        <f t="shared" ca="1" si="92"/>
        <v>Non cumulative</v>
      </c>
      <c r="R497" s="387" t="b">
        <f t="shared" ca="1" si="93"/>
        <v>1</v>
      </c>
      <c r="S497" s="387" t="str">
        <f ca="1">IFERROR(VLOOKUP(INDIRECT("'Coverage Indicators - Section D'!K"&amp;$B497),'Overview - Section A'!M$31:P85,4,0),IFERROR(IF(VLOOKUP(INDIRECT("'Coverage Indicators - Section D'!K"&amp;$B497),'Overview - Section A'!E$27:I74,5,0)=0,"",VLOOKUP(INDIRECT("'Coverage Indicators - Section D'!K"&amp;$B497),'Overview - Section A'!E$27:I74,5,0)),""))</f>
        <v>a12Dm000000cC1cIAE</v>
      </c>
      <c r="T497" s="392"/>
      <c r="U497" s="391"/>
      <c r="V497" s="391"/>
      <c r="W497" s="387" t="b">
        <f t="shared" ca="1" si="94"/>
        <v>0</v>
      </c>
      <c r="X497" s="387" t="str">
        <f t="shared" ca="1" si="95"/>
        <v>a1A360000013M2uEAE</v>
      </c>
      <c r="Y497" s="387" t="str">
        <f t="shared" ca="1" si="96"/>
        <v>a1ODm000000GnyQMAS</v>
      </c>
      <c r="Z497" s="387" t="str">
        <f t="shared" ca="1" si="97"/>
        <v>a1PDm000000LrD5MAK</v>
      </c>
    </row>
    <row r="498" spans="1:26">
      <c r="A498" s="387" t="b">
        <f t="shared" ca="1" si="82"/>
        <v>1</v>
      </c>
      <c r="B498" s="387">
        <f t="shared" ca="1" si="80"/>
        <v>19</v>
      </c>
      <c r="C498" s="396" t="str">
        <f ca="1">IFERROR(IF(AND(H498=2,B498=7),"blank",INDEX(C$452:C498,H498,1)),"")</f>
        <v>a18Dm000000Gw6xIAC</v>
      </c>
      <c r="D498" s="389" t="str">
        <f t="shared" ca="1" si="83"/>
        <v/>
      </c>
      <c r="E498" s="390" t="str">
        <f t="shared" ca="1" si="84"/>
        <v/>
      </c>
      <c r="F498" s="390">
        <f t="shared" ca="1" si="85"/>
        <v>59006</v>
      </c>
      <c r="G498" s="391" t="str">
        <f t="shared" ca="1" si="86"/>
        <v>WHO TB Global Report 2022</v>
      </c>
      <c r="H498" s="387">
        <f t="shared" ca="1" si="81"/>
        <v>8</v>
      </c>
      <c r="I498" s="391" t="str">
        <f t="shared" ca="1" si="87"/>
        <v>The expected contribution for this GF grant application for the period 2024-2026 will cover 80% of the needs in year 1 and 70% in year 2 and 3. The support will be mainly for the purchase of the Isoniazid-rifapentine combination for children over 5 years of age and RH for children under 5 years of age in accordance with WHO guidelines adopted by the country, community support for contact tracing and reimbursement of transportation for contacts referred to health facilities. Priority in this application will be given to children under 5 years of age (74,581 in 2024, 97,950 in 2025 and 118,011 in 2026).</v>
      </c>
      <c r="J498" s="387" t="str" cm="1">
        <f t="array" aca="1" ref="J498" ca="1">IFERROR(VLOOKUP(LEFT(INDIRECT("'Coverage Indicators - Section D'!C"&amp;$B498),255),LEFT('Reference Records'!C46:F290,255),4,0),"")</f>
        <v>MCI-01636</v>
      </c>
      <c r="K498" s="387" t="str">
        <f ca="1">IFERROR(VLOOKUP(IF(INDIRECT("'Coverage Indicators - Section D'!B"&amp;$B498)="","--select--",INDIRECT("'Coverage Indicators - Section D'!B"&amp;$B498)),'Overview - Section A'!C$101:D147,2,0),"")</f>
        <v>M-84755</v>
      </c>
      <c r="L498" s="391">
        <f t="shared" ca="1" si="88"/>
        <v>2021</v>
      </c>
      <c r="M498" s="387"/>
      <c r="N498" s="391" t="str">
        <f t="shared" ca="1" si="89"/>
        <v/>
      </c>
      <c r="O498" s="387" t="str">
        <f t="shared" ca="1" si="90"/>
        <v>Congo (Democratic Republic)</v>
      </c>
      <c r="P498" s="391" t="str">
        <f t="shared" ca="1" si="91"/>
        <v>Geographic National, 100% of national program target</v>
      </c>
      <c r="Q498" s="391" t="str">
        <f t="shared" ca="1" si="92"/>
        <v>Non cumulative</v>
      </c>
      <c r="R498" s="387" t="b">
        <f t="shared" ca="1" si="93"/>
        <v>1</v>
      </c>
      <c r="S498" s="387" t="str">
        <f ca="1">IFERROR(VLOOKUP(INDIRECT("'Coverage Indicators - Section D'!K"&amp;$B498),'Overview - Section A'!M$31:P86,4,0),IFERROR(IF(VLOOKUP(INDIRECT("'Coverage Indicators - Section D'!K"&amp;$B498),'Overview - Section A'!E$27:I75,5,0)=0,"",VLOOKUP(INDIRECT("'Coverage Indicators - Section D'!K"&amp;$B498),'Overview - Section A'!E$27:I75,5,0)),""))</f>
        <v>a12Dm000000cC1cIAE</v>
      </c>
      <c r="T498" s="392"/>
      <c r="U498" s="391"/>
      <c r="V498" s="391"/>
      <c r="W498" s="387" t="b">
        <f t="shared" ca="1" si="94"/>
        <v>0</v>
      </c>
      <c r="X498" s="387" t="str">
        <f t="shared" ca="1" si="95"/>
        <v>a1A360000013M2uEAE</v>
      </c>
      <c r="Y498" s="387" t="str">
        <f t="shared" ca="1" si="96"/>
        <v>a1ODm000000GnznMAC</v>
      </c>
      <c r="Z498" s="387" t="str">
        <f t="shared" ca="1" si="97"/>
        <v>a1PDm000000LrD6MAK</v>
      </c>
    </row>
    <row r="499" spans="1:26">
      <c r="A499" s="387" t="b">
        <f t="shared" ca="1" si="82"/>
        <v>1</v>
      </c>
      <c r="B499" s="387">
        <f t="shared" ca="1" si="80"/>
        <v>21</v>
      </c>
      <c r="C499" s="396" t="str">
        <f ca="1">IFERROR(IF(AND(H499=2,B499=7),"blank",INDEX(C$452:C499,H499,1)),"")</f>
        <v>a18Dm000000Gw6yIAC</v>
      </c>
      <c r="D499" s="389" t="str">
        <f t="shared" ca="1" si="83"/>
        <v/>
      </c>
      <c r="E499" s="390" t="str">
        <f t="shared" ca="1" si="84"/>
        <v/>
      </c>
      <c r="F499" s="390">
        <f t="shared" ca="1" si="85"/>
        <v>1939</v>
      </c>
      <c r="G499" s="391" t="str">
        <f t="shared" ca="1" si="86"/>
        <v>DHIS2</v>
      </c>
      <c r="H499" s="387">
        <f t="shared" ca="1" si="81"/>
        <v>9</v>
      </c>
      <c r="I499" s="391" t="str">
        <f t="shared" ca="1" si="87"/>
        <v>This indicator is selected as an equity indicator. This target concerns prisoners. In 2021, the PNLT reported 1939 cases of TB among prisoners according to DHIS2 data. In collaboration with the HIV program and GIZ, an integrated action plan to fight TB in prisons for equity in access to TB care has been developed and will be implemented. This involves the implementation of systematic screening at the entrance of prisons, the improvement of laboratory services, and the improvement of case management in prisons.   Based on the 2021 target of 1939 TB patients screened, an increase rate of 4% per year is planned until 2026.</v>
      </c>
      <c r="J499" s="387" t="str" cm="1">
        <f t="array" aca="1" ref="J499" ca="1">IFERROR(VLOOKUP(LEFT(INDIRECT("'Coverage Indicators - Section D'!C"&amp;$B499),255),LEFT('Reference Records'!C47:F291,255),4,0),"")</f>
        <v>MCI-01634</v>
      </c>
      <c r="K499" s="387" t="str">
        <f ca="1">IFERROR(VLOOKUP(IF(INDIRECT("'Coverage Indicators - Section D'!B"&amp;$B499)="","--select--",INDIRECT("'Coverage Indicators - Section D'!B"&amp;$B499)),'Overview - Section A'!C$101:D148,2,0),"")</f>
        <v>M-84756</v>
      </c>
      <c r="L499" s="391">
        <f t="shared" ca="1" si="88"/>
        <v>2021</v>
      </c>
      <c r="M499" s="387"/>
      <c r="N499" s="391" t="str">
        <f t="shared" ca="1" si="89"/>
        <v/>
      </c>
      <c r="O499" s="387" t="str">
        <f t="shared" ca="1" si="90"/>
        <v>Congo (Democratic Republic)</v>
      </c>
      <c r="P499" s="391" t="str">
        <f t="shared" ca="1" si="91"/>
        <v>Geographic National, 100% of national program target</v>
      </c>
      <c r="Q499" s="391" t="str">
        <f t="shared" ca="1" si="92"/>
        <v>Non cumulative</v>
      </c>
      <c r="R499" s="387" t="b">
        <f t="shared" ca="1" si="93"/>
        <v>1</v>
      </c>
      <c r="S499" s="387" t="str">
        <f ca="1">IFERROR(VLOOKUP(INDIRECT("'Coverage Indicators - Section D'!K"&amp;$B499),'Overview - Section A'!M$31:P87,4,0),IFERROR(IF(VLOOKUP(INDIRECT("'Coverage Indicators - Section D'!K"&amp;$B499),'Overview - Section A'!E$27:I76,5,0)=0,"",VLOOKUP(INDIRECT("'Coverage Indicators - Section D'!K"&amp;$B499),'Overview - Section A'!E$27:I76,5,0)),""))</f>
        <v>a12Dm000000cC1cIAE</v>
      </c>
      <c r="T499" s="392"/>
      <c r="U499" s="391"/>
      <c r="V499" s="391"/>
      <c r="W499" s="387" t="b">
        <f t="shared" ca="1" si="94"/>
        <v>0</v>
      </c>
      <c r="X499" s="387" t="str">
        <f t="shared" ca="1" si="95"/>
        <v>a1A360000013M2uEAE</v>
      </c>
      <c r="Y499" s="387" t="str">
        <f t="shared" ca="1" si="96"/>
        <v>a1ODm000000GnzlMAC</v>
      </c>
      <c r="Z499" s="387" t="str">
        <f t="shared" ca="1" si="97"/>
        <v>a1PDm000000LrD7MAK</v>
      </c>
    </row>
    <row r="500" spans="1:26">
      <c r="A500" s="387" t="b">
        <f t="shared" ca="1" si="82"/>
        <v>1</v>
      </c>
      <c r="B500" s="387">
        <f t="shared" ca="1" si="80"/>
        <v>23</v>
      </c>
      <c r="C500" s="396" t="str">
        <f ca="1">IFERROR(IF(AND(H500=2,B500=7),"blank",INDEX(C$452:C500,H500,1)),"")</f>
        <v>a18Dm000000Gw6zIAC</v>
      </c>
      <c r="D500" s="389" t="str">
        <f t="shared" ca="1" si="83"/>
        <v/>
      </c>
      <c r="E500" s="390" t="str">
        <f t="shared" ca="1" si="84"/>
        <v/>
      </c>
      <c r="F500" s="390">
        <f t="shared" ca="1" si="85"/>
        <v>8132</v>
      </c>
      <c r="G500" s="391" t="str">
        <f t="shared" ca="1" si="86"/>
        <v>DHIS2</v>
      </c>
      <c r="H500" s="387">
        <f t="shared" ca="1" si="81"/>
        <v>10</v>
      </c>
      <c r="I500" s="391" t="str">
        <f t="shared" ca="1" si="87"/>
        <v>This indicator is retained as an equity indicator. This target concerns miners (artisanal miners and mining companies). In 2021, the PNLT reported 8132 cases of TB among miners according to DHIS2 data.  Based on the 2021 target, the projection for the three years was made with an annual increase rate of 15%. For an equitable access to TB care, passive and active screening will be done in all these sites. For the passive screening, the presumed patients will be directed to the CSDT/CST and for the active screening, it will be a mass campaign with the collaboration of the RECOs for the transport of the samples to the CSDT. Collaboration with the mining companies will be implemented.   
This is an indicator of equity.</v>
      </c>
      <c r="J500" s="387" t="str" cm="1">
        <f t="array" aca="1" ref="J500" ca="1">IFERROR(VLOOKUP(LEFT(INDIRECT("'Coverage Indicators - Section D'!C"&amp;$B500),255),LEFT('Reference Records'!C48:F292,255),4,0),"")</f>
        <v>MCI-01635</v>
      </c>
      <c r="K500" s="387" t="str">
        <f ca="1">IFERROR(VLOOKUP(IF(INDIRECT("'Coverage Indicators - Section D'!B"&amp;$B500)="","--select--",INDIRECT("'Coverage Indicators - Section D'!B"&amp;$B500)),'Overview - Section A'!C$101:D149,2,0),"")</f>
        <v>M-84756</v>
      </c>
      <c r="L500" s="391">
        <f t="shared" ca="1" si="88"/>
        <v>2021</v>
      </c>
      <c r="M500" s="387"/>
      <c r="N500" s="391" t="str">
        <f t="shared" ca="1" si="89"/>
        <v/>
      </c>
      <c r="O500" s="387" t="str">
        <f t="shared" ca="1" si="90"/>
        <v>Congo (Democratic Republic)</v>
      </c>
      <c r="P500" s="391" t="str">
        <f t="shared" ca="1" si="91"/>
        <v>Geographic National, 100% of national program target</v>
      </c>
      <c r="Q500" s="391" t="str">
        <f t="shared" ca="1" si="92"/>
        <v>Non cumulative</v>
      </c>
      <c r="R500" s="387" t="b">
        <f t="shared" ca="1" si="93"/>
        <v>1</v>
      </c>
      <c r="S500" s="387" t="str">
        <f ca="1">IFERROR(VLOOKUP(INDIRECT("'Coverage Indicators - Section D'!K"&amp;$B500),'Overview - Section A'!M$31:P88,4,0),IFERROR(IF(VLOOKUP(INDIRECT("'Coverage Indicators - Section D'!K"&amp;$B500),'Overview - Section A'!E$27:I77,5,0)=0,"",VLOOKUP(INDIRECT("'Coverage Indicators - Section D'!K"&amp;$B500),'Overview - Section A'!E$27:I77,5,0)),""))</f>
        <v>a12Dm000000cC1cIAE</v>
      </c>
      <c r="T500" s="392"/>
      <c r="U500" s="391"/>
      <c r="V500" s="391"/>
      <c r="W500" s="387" t="b">
        <f t="shared" ca="1" si="94"/>
        <v>0</v>
      </c>
      <c r="X500" s="387" t="str">
        <f t="shared" ca="1" si="95"/>
        <v>a1A360000013M2uEAE</v>
      </c>
      <c r="Y500" s="387" t="str">
        <f t="shared" ca="1" si="96"/>
        <v>a1ODm000000GnzmMAC</v>
      </c>
      <c r="Z500" s="387" t="str">
        <f t="shared" ca="1" si="97"/>
        <v>a1PDm000000LrD7MAK</v>
      </c>
    </row>
    <row r="501" spans="1:26">
      <c r="A501" s="387" t="b">
        <f t="shared" ca="1" si="82"/>
        <v>1</v>
      </c>
      <c r="B501" s="387">
        <f t="shared" ca="1" si="80"/>
        <v>25</v>
      </c>
      <c r="C501" s="396" t="str">
        <f ca="1">IFERROR(IF(AND(H501=2,B501=7),"blank",INDEX(C$452:C501,H501,1)),"")</f>
        <v>a18Dm000000Gw70IAC</v>
      </c>
      <c r="D501" s="389">
        <f t="shared" ca="1" si="83"/>
        <v>75</v>
      </c>
      <c r="E501" s="390" t="str">
        <f t="shared" ca="1" si="84"/>
        <v/>
      </c>
      <c r="F501" s="390" t="str">
        <f t="shared" ca="1" si="85"/>
        <v/>
      </c>
      <c r="G501" s="391" t="str">
        <f t="shared" ca="1" si="86"/>
        <v>WHO TB Global Report 2022</v>
      </c>
      <c r="H501" s="387">
        <f t="shared" ca="1" si="81"/>
        <v>11</v>
      </c>
      <c r="I501" s="391" t="str">
        <f t="shared" ca="1" si="87"/>
        <v>In 2021, 77% of patients knew their HIV status, according to the DHIS2 data for 2021. Assuming that we will reach 80% in 2023, this proportion will increase to 83% in 2024, 86% in 2025 and 89% in 2026. The numerator is the number of TB patients (new and relapsed) who know their HIV status at a given time during their TB treatment and the denominator is the number of TB patients (new cases and relapsed) screened during the same insured period. Each year, the country aims to increase the number of patients who know their HIV status by 5%. 80% in 2024, 85% in 2025 and 90% in 2026.</v>
      </c>
      <c r="J501" s="387" t="str" cm="1">
        <f t="array" aca="1" ref="J501" ca="1">IFERROR(VLOOKUP(LEFT(INDIRECT("'Coverage Indicators - Section D'!C"&amp;$B501),255),LEFT('Reference Records'!C49:F293,255),4,0),"")</f>
        <v>MCI-01546</v>
      </c>
      <c r="K501" s="387" t="str">
        <f ca="1">IFERROR(VLOOKUP(IF(INDIRECT("'Coverage Indicators - Section D'!B"&amp;$B501)="","--select--",INDIRECT("'Coverage Indicators - Section D'!B"&amp;$B501)),'Overview - Section A'!C$101:D150,2,0),"")</f>
        <v>M-84757</v>
      </c>
      <c r="L501" s="391">
        <f t="shared" ca="1" si="88"/>
        <v>2022</v>
      </c>
      <c r="M501" s="387"/>
      <c r="N501" s="391" t="str">
        <f t="shared" ca="1" si="89"/>
        <v/>
      </c>
      <c r="O501" s="387" t="str">
        <f t="shared" ca="1" si="90"/>
        <v>Congo (Democratic Republic)</v>
      </c>
      <c r="P501" s="391" t="str">
        <f t="shared" ca="1" si="91"/>
        <v>Geographic National, 100% of national program target</v>
      </c>
      <c r="Q501" s="391" t="str">
        <f t="shared" ca="1" si="92"/>
        <v>Non cumulative</v>
      </c>
      <c r="R501" s="387" t="b">
        <f t="shared" ca="1" si="93"/>
        <v>1</v>
      </c>
      <c r="S501" s="387" t="str">
        <f ca="1">IFERROR(VLOOKUP(INDIRECT("'Coverage Indicators - Section D'!K"&amp;$B501),'Overview - Section A'!M$31:P89,4,0),IFERROR(IF(VLOOKUP(INDIRECT("'Coverage Indicators - Section D'!K"&amp;$B501),'Overview - Section A'!E$27:I78,5,0)=0,"",VLOOKUP(INDIRECT("'Coverage Indicators - Section D'!K"&amp;$B501),'Overview - Section A'!E$27:I78,5,0)),""))</f>
        <v>a12Dm000000cC1cIAE</v>
      </c>
      <c r="T501" s="392"/>
      <c r="U501" s="391"/>
      <c r="V501" s="391"/>
      <c r="W501" s="387" t="b">
        <f t="shared" ca="1" si="94"/>
        <v>0</v>
      </c>
      <c r="X501" s="387" t="str">
        <f t="shared" ca="1" si="95"/>
        <v>a1A360000013M2uEAE</v>
      </c>
      <c r="Y501" s="387" t="str">
        <f t="shared" ca="1" si="96"/>
        <v>a1ODm000000GnyLMAS</v>
      </c>
      <c r="Z501" s="387" t="str">
        <f t="shared" ca="1" si="97"/>
        <v>a1PDm000000LrD8MAK</v>
      </c>
    </row>
    <row r="502" spans="1:26">
      <c r="A502" s="387" t="b">
        <f t="shared" ca="1" si="82"/>
        <v>1</v>
      </c>
      <c r="B502" s="387">
        <f t="shared" ca="1" si="80"/>
        <v>27</v>
      </c>
      <c r="C502" s="396" t="str">
        <f ca="1">IFERROR(IF(AND(H502=2,B502=7),"blank",INDEX(C$452:C502,H502,1)),"")</f>
        <v>a18Dm000000Gw71IAC</v>
      </c>
      <c r="D502" s="389">
        <f t="shared" ca="1" si="83"/>
        <v>86</v>
      </c>
      <c r="E502" s="390" t="str">
        <f t="shared" ca="1" si="84"/>
        <v/>
      </c>
      <c r="F502" s="390" t="str">
        <f t="shared" ca="1" si="85"/>
        <v/>
      </c>
      <c r="G502" s="391" t="str">
        <f t="shared" ca="1" si="86"/>
        <v>WHO TB Global Report 2022</v>
      </c>
      <c r="H502" s="387">
        <f t="shared" ca="1" si="81"/>
        <v>12</v>
      </c>
      <c r="I502" s="391" t="str">
        <f t="shared" ca="1" si="87"/>
        <v>In 2021, 83% of HIV+ TB co-infected patients received ARV treatment. According to the 2021 DHIS2 data, this proportion is 90% in 2024, 92% in 2025 and 95% in 2025.     The numerator is HIV+ TB co-infected patients put on ARVs and the denominator is all HIV+ TB co-infected patients.</v>
      </c>
      <c r="J502" s="387" t="str" cm="1">
        <f t="array" aca="1" ref="J502" ca="1">IFERROR(VLOOKUP(LEFT(INDIRECT("'Coverage Indicators - Section D'!C"&amp;$B502),255),LEFT('Reference Records'!C50:F294,255),4,0),"")</f>
        <v>MCI-01547</v>
      </c>
      <c r="K502" s="387" t="str">
        <f ca="1">IFERROR(VLOOKUP(IF(INDIRECT("'Coverage Indicators - Section D'!B"&amp;$B502)="","--select--",INDIRECT("'Coverage Indicators - Section D'!B"&amp;$B502)),'Overview - Section A'!C$101:D151,2,0),"")</f>
        <v>M-84757</v>
      </c>
      <c r="L502" s="391">
        <f t="shared" ca="1" si="88"/>
        <v>2021</v>
      </c>
      <c r="M502" s="387"/>
      <c r="N502" s="391" t="str">
        <f t="shared" ca="1" si="89"/>
        <v/>
      </c>
      <c r="O502" s="387" t="str">
        <f t="shared" ca="1" si="90"/>
        <v>Congo (Democratic Republic)</v>
      </c>
      <c r="P502" s="391" t="str">
        <f t="shared" ca="1" si="91"/>
        <v>Geographic National, 100% of national program target</v>
      </c>
      <c r="Q502" s="391" t="str">
        <f t="shared" ca="1" si="92"/>
        <v>Non cumulative</v>
      </c>
      <c r="R502" s="387" t="b">
        <f t="shared" ca="1" si="93"/>
        <v>1</v>
      </c>
      <c r="S502" s="387" t="str">
        <f ca="1">IFERROR(VLOOKUP(INDIRECT("'Coverage Indicators - Section D'!K"&amp;$B502),'Overview - Section A'!M$31:P90,4,0),IFERROR(IF(VLOOKUP(INDIRECT("'Coverage Indicators - Section D'!K"&amp;$B502),'Overview - Section A'!E$27:I79,5,0)=0,"",VLOOKUP(INDIRECT("'Coverage Indicators - Section D'!K"&amp;$B502),'Overview - Section A'!E$27:I79,5,0)),""))</f>
        <v>a12Dm000000cC1cIAE</v>
      </c>
      <c r="T502" s="392"/>
      <c r="U502" s="391"/>
      <c r="V502" s="391"/>
      <c r="W502" s="387" t="b">
        <f t="shared" ca="1" si="94"/>
        <v>0</v>
      </c>
      <c r="X502" s="387" t="str">
        <f t="shared" ca="1" si="95"/>
        <v>a1A360000013M2uEAE</v>
      </c>
      <c r="Y502" s="387" t="str">
        <f t="shared" ca="1" si="96"/>
        <v>a1ODm000000GnyMMAS</v>
      </c>
      <c r="Z502" s="387" t="str">
        <f t="shared" ca="1" si="97"/>
        <v>a1PDm000000LrD8MAK</v>
      </c>
    </row>
    <row r="503" spans="1:26">
      <c r="A503" s="387" t="b">
        <f t="shared" ca="1" si="82"/>
        <v>1</v>
      </c>
      <c r="B503" s="387">
        <f t="shared" ca="1" si="80"/>
        <v>29</v>
      </c>
      <c r="C503" s="396" t="str">
        <f ca="1">IFERROR(IF(AND(H503=2,B503=7),"blank",INDEX(C$452:C503,H503,1)),"")</f>
        <v>a18Dm000000Gw72IAC</v>
      </c>
      <c r="D503" s="389">
        <f t="shared" ca="1" si="83"/>
        <v>80</v>
      </c>
      <c r="E503" s="390" t="str">
        <f t="shared" ca="1" si="84"/>
        <v/>
      </c>
      <c r="F503" s="390" t="str">
        <f t="shared" ca="1" si="85"/>
        <v/>
      </c>
      <c r="G503" s="391" t="str">
        <f t="shared" ca="1" si="86"/>
        <v>TB program annual report</v>
      </c>
      <c r="H503" s="387">
        <f t="shared" ca="1" si="81"/>
        <v>13</v>
      </c>
      <c r="I503" s="391" t="str">
        <f t="shared" ca="1" si="87"/>
        <v>The country reports for the 2019 cohort a treatment success rate of 83% for MDR-TB patients put on treatment (80% for detected cases). the efforts made in this application with the choice of a patient-centered approach to MDR-TB, the expansion of the use of the new BPaL/BPaLM regimen, community involvement and the decentralization of services will enable the country to reach at least the 85% treatment success rate by 2024-2026. (NSP Target)</v>
      </c>
      <c r="J503" s="387" t="str" cm="1">
        <f t="array" aca="1" ref="J503" ca="1">IFERROR(VLOOKUP(LEFT(INDIRECT("'Coverage Indicators - Section D'!C"&amp;$B503),255),LEFT('Reference Records'!C51:F295,255),4,0),"")</f>
        <v>MCI-01559</v>
      </c>
      <c r="K503" s="387" t="str">
        <f ca="1">IFERROR(VLOOKUP(IF(INDIRECT("'Coverage Indicators - Section D'!B"&amp;$B503)="","--select--",INDIRECT("'Coverage Indicators - Section D'!B"&amp;$B503)),'Overview - Section A'!C$101:D152,2,0),"")</f>
        <v>M-84754</v>
      </c>
      <c r="L503" s="391">
        <f t="shared" ca="1" si="88"/>
        <v>2021</v>
      </c>
      <c r="M503" s="387"/>
      <c r="N503" s="391" t="str">
        <f t="shared" ca="1" si="89"/>
        <v/>
      </c>
      <c r="O503" s="387" t="str">
        <f t="shared" ca="1" si="90"/>
        <v>Congo (Democratic Republic)</v>
      </c>
      <c r="P503" s="391" t="str">
        <f t="shared" ca="1" si="91"/>
        <v>Geographic National, 100% of national program target</v>
      </c>
      <c r="Q503" s="391" t="str">
        <f t="shared" ca="1" si="92"/>
        <v>Non cumulative</v>
      </c>
      <c r="R503" s="387" t="b">
        <f t="shared" ca="1" si="93"/>
        <v>1</v>
      </c>
      <c r="S503" s="387" t="str">
        <f ca="1">IFERROR(VLOOKUP(INDIRECT("'Coverage Indicators - Section D'!K"&amp;$B503),'Overview - Section A'!M$31:P91,4,0),IFERROR(IF(VLOOKUP(INDIRECT("'Coverage Indicators - Section D'!K"&amp;$B503),'Overview - Section A'!E$27:I80,5,0)=0,"",VLOOKUP(INDIRECT("'Coverage Indicators - Section D'!K"&amp;$B503),'Overview - Section A'!E$27:I80,5,0)),""))</f>
        <v>a12Dm000000cC1cIAE</v>
      </c>
      <c r="T503" s="392"/>
      <c r="U503" s="391"/>
      <c r="V503" s="391"/>
      <c r="W503" s="387" t="b">
        <f t="shared" ca="1" si="94"/>
        <v>0</v>
      </c>
      <c r="X503" s="387" t="str">
        <f t="shared" ca="1" si="95"/>
        <v>a1A360000013M2uEAE</v>
      </c>
      <c r="Y503" s="387" t="str">
        <f t="shared" ca="1" si="96"/>
        <v>a1ODm000000GnyYMAS</v>
      </c>
      <c r="Z503" s="387" t="str">
        <f t="shared" ca="1" si="97"/>
        <v>a1PDm000000LrD5MAK</v>
      </c>
    </row>
    <row r="504" spans="1:26">
      <c r="A504" s="387" t="b">
        <f t="shared" ca="1" si="82"/>
        <v>0</v>
      </c>
      <c r="B504" s="387">
        <f t="shared" ca="1" si="80"/>
        <v>31</v>
      </c>
      <c r="C504" s="396" t="str">
        <f ca="1">IFERROR(IF(AND(H504=2,B504=7),"blank",INDEX(C$452:C504,H504,1)),"")</f>
        <v>a18Dm000000Gw73IAC</v>
      </c>
      <c r="D504" s="389" t="str">
        <f t="shared" ca="1" si="83"/>
        <v/>
      </c>
      <c r="E504" s="390" t="str">
        <f t="shared" ca="1" si="84"/>
        <v/>
      </c>
      <c r="F504" s="390" t="str">
        <f t="shared" ca="1" si="85"/>
        <v/>
      </c>
      <c r="G504" s="391" t="str">
        <f t="shared" ca="1" si="86"/>
        <v/>
      </c>
      <c r="H504" s="387">
        <f t="shared" ca="1" si="81"/>
        <v>14</v>
      </c>
      <c r="I504" s="391" t="str">
        <f t="shared" ca="1" si="87"/>
        <v/>
      </c>
      <c r="J504" s="387" t="str" cm="1">
        <f t="array" aca="1" ref="J504" ca="1">IFERROR(VLOOKUP(LEFT(INDIRECT("'Coverage Indicators - Section D'!C"&amp;$B504),255),LEFT('Reference Records'!C52:F296,255),4,0),"")</f>
        <v/>
      </c>
      <c r="K504" s="387" t="str">
        <f ca="1">IFERROR(VLOOKUP(IF(INDIRECT("'Coverage Indicators - Section D'!B"&amp;$B504)="","--select--",INDIRECT("'Coverage Indicators - Section D'!B"&amp;$B504)),'Overview - Section A'!C$101:D153,2,0),"")</f>
        <v/>
      </c>
      <c r="L504" s="391" t="str">
        <f t="shared" ca="1" si="88"/>
        <v/>
      </c>
      <c r="M504" s="387"/>
      <c r="N504" s="391" t="str">
        <f t="shared" ca="1" si="89"/>
        <v/>
      </c>
      <c r="O504" s="387" t="str">
        <f t="shared" ca="1" si="90"/>
        <v/>
      </c>
      <c r="P504" s="391" t="str">
        <f t="shared" ca="1" si="91"/>
        <v/>
      </c>
      <c r="Q504" s="391" t="str">
        <f t="shared" ca="1" si="92"/>
        <v/>
      </c>
      <c r="R504" s="387" t="str">
        <f t="shared" ca="1" si="93"/>
        <v>FALSE</v>
      </c>
      <c r="S504" s="387" t="str">
        <f ca="1">IFERROR(VLOOKUP(INDIRECT("'Coverage Indicators - Section D'!K"&amp;$B504),'Overview - Section A'!M$31:P92,4,0),IFERROR(IF(VLOOKUP(INDIRECT("'Coverage Indicators - Section D'!K"&amp;$B504),'Overview - Section A'!E$27:I81,5,0)=0,"",VLOOKUP(INDIRECT("'Coverage Indicators - Section D'!K"&amp;$B504),'Overview - Section A'!E$27:I81,5,0)),""))</f>
        <v/>
      </c>
      <c r="T504" s="392"/>
      <c r="U504" s="391"/>
      <c r="V504" s="391"/>
      <c r="W504" s="387" t="b">
        <f t="shared" ca="1" si="94"/>
        <v>0</v>
      </c>
      <c r="X504" s="387" t="str">
        <f t="shared" ca="1" si="95"/>
        <v/>
      </c>
      <c r="Y504" s="387" t="str">
        <f t="shared" ca="1" si="96"/>
        <v/>
      </c>
      <c r="Z504" s="387" t="str">
        <f t="shared" ca="1" si="97"/>
        <v/>
      </c>
    </row>
    <row r="505" spans="1:26">
      <c r="A505" s="387" t="b">
        <f t="shared" ca="1" si="82"/>
        <v>1</v>
      </c>
      <c r="B505" s="387">
        <f t="shared" ca="1" si="80"/>
        <v>33</v>
      </c>
      <c r="C505" s="396" t="str">
        <f ca="1">IFERROR(IF(AND(H505=2,B505=7),"blank",INDEX(C$452:C505,H505,1)),"")</f>
        <v>a18Dm000000Gw74IAC</v>
      </c>
      <c r="D505" s="389">
        <f t="shared" ca="1" si="83"/>
        <v>15.132279751396624</v>
      </c>
      <c r="E505" s="390">
        <f t="shared" ca="1" si="84"/>
        <v>120556.851311953</v>
      </c>
      <c r="F505" s="390">
        <f t="shared" ca="1" si="85"/>
        <v>18243</v>
      </c>
      <c r="G505" s="391" t="str">
        <f t="shared" ca="1" si="86"/>
        <v>HIV program annual report</v>
      </c>
      <c r="H505" s="387">
        <f t="shared" ca="1" si="81"/>
        <v>15</v>
      </c>
      <c r="I505" s="391" t="str">
        <f t="shared" ca="1" si="87"/>
        <v>N: Number of MSM who received a defined package of HIV prevention services
D: Estimated number of MSM in the target area
The GF contribution is 41,376 in 2024; 50,280 in 2025; and 59,477 in 2026.</v>
      </c>
      <c r="J505" s="387" t="str" cm="1">
        <f t="array" aca="1" ref="J505" ca="1">IFERROR(VLOOKUP(LEFT(INDIRECT("'Coverage Indicators - Section D'!C"&amp;$B505),255),LEFT('Reference Records'!C53:F297,255),4,0),"")</f>
        <v>MCI-01623</v>
      </c>
      <c r="K505" s="387" t="str">
        <f ca="1">IFERROR(VLOOKUP(IF(INDIRECT("'Coverage Indicators - Section D'!B"&amp;$B505)="","--select--",INDIRECT("'Coverage Indicators - Section D'!B"&amp;$B505)),'Overview - Section A'!C$101:D154,2,0),"")</f>
        <v>M-84758</v>
      </c>
      <c r="L505" s="391">
        <f t="shared" ca="1" si="88"/>
        <v>2021</v>
      </c>
      <c r="M505" s="387"/>
      <c r="N505" s="391" t="str">
        <f t="shared" ca="1" si="89"/>
        <v/>
      </c>
      <c r="O505" s="387" t="str">
        <f t="shared" ca="1" si="90"/>
        <v/>
      </c>
      <c r="P505" s="391" t="str">
        <f t="shared" ca="1" si="91"/>
        <v>Geographic National, 100% of national program target</v>
      </c>
      <c r="Q505" s="391" t="str">
        <f t="shared" ca="1" si="92"/>
        <v>Non cumulative</v>
      </c>
      <c r="R505" s="387" t="b">
        <f t="shared" ca="1" si="93"/>
        <v>1</v>
      </c>
      <c r="S505" s="387" t="str">
        <f ca="1">IFERROR(VLOOKUP(INDIRECT("'Coverage Indicators - Section D'!K"&amp;$B505),'Overview - Section A'!M$31:P93,4,0),IFERROR(IF(VLOOKUP(INDIRECT("'Coverage Indicators - Section D'!K"&amp;$B505),'Overview - Section A'!E$27:I82,5,0)=0,"",VLOOKUP(INDIRECT("'Coverage Indicators - Section D'!K"&amp;$B505),'Overview - Section A'!E$27:I82,5,0)),""))</f>
        <v>a12Dm000000cC1dIAE</v>
      </c>
      <c r="T505" s="392"/>
      <c r="U505" s="391"/>
      <c r="V505" s="391"/>
      <c r="W505" s="387" t="b">
        <f t="shared" ca="1" si="94"/>
        <v>0</v>
      </c>
      <c r="X505" s="387" t="str">
        <f t="shared" ca="1" si="95"/>
        <v/>
      </c>
      <c r="Y505" s="387" t="str">
        <f t="shared" ca="1" si="96"/>
        <v>a1ODm000000GnzaMAC</v>
      </c>
      <c r="Z505" s="387" t="str">
        <f t="shared" ca="1" si="97"/>
        <v>a1PDm000000LrD9MAK</v>
      </c>
    </row>
    <row r="506" spans="1:26">
      <c r="A506" s="387" t="b">
        <f t="shared" ca="1" si="82"/>
        <v>1</v>
      </c>
      <c r="B506" s="387">
        <f t="shared" ca="1" si="80"/>
        <v>35</v>
      </c>
      <c r="C506" s="396" t="str">
        <f ca="1">IFERROR(IF(AND(H506=2,B506=7),"blank",INDEX(C$452:C506,H506,1)),"")</f>
        <v>a18Dm000000Gw75IAC</v>
      </c>
      <c r="D506" s="389" t="str">
        <f t="shared" ca="1" si="83"/>
        <v/>
      </c>
      <c r="E506" s="390" t="str">
        <f t="shared" ca="1" si="84"/>
        <v/>
      </c>
      <c r="F506" s="390" t="str">
        <f t="shared" ca="1" si="85"/>
        <v/>
      </c>
      <c r="G506" s="391" t="str">
        <f t="shared" ca="1" si="86"/>
        <v>Data Not Available</v>
      </c>
      <c r="H506" s="387">
        <f t="shared" ca="1" si="81"/>
        <v>16</v>
      </c>
      <c r="I506" s="391" t="str">
        <f t="shared" ca="1" si="87"/>
        <v>N: Number of MSM who received PrEP at least once during the reporting period
D: Number of MSM eligible for PrEP during the reporting period
The GF contribution is 2.850 in 2024; 4.011 in 2025 and 5.341 in 2026.
The PEPFAR-led pilot (FHI 360) in 2022 covered a target of 1214.</v>
      </c>
      <c r="J506" s="387" t="str" cm="1">
        <f t="array" aca="1" ref="J506" ca="1">IFERROR(VLOOKUP(LEFT(INDIRECT("'Coverage Indicators - Section D'!C"&amp;$B506),255),LEFT('Reference Records'!C54:F298,255),4,0),"")</f>
        <v>MCI-01624</v>
      </c>
      <c r="K506" s="387" t="str">
        <f ca="1">IFERROR(VLOOKUP(IF(INDIRECT("'Coverage Indicators - Section D'!B"&amp;$B506)="","--select--",INDIRECT("'Coverage Indicators - Section D'!B"&amp;$B506)),'Overview - Section A'!C$101:D155,2,0),"")</f>
        <v>M-84758</v>
      </c>
      <c r="L506" s="391" t="str">
        <f t="shared" ca="1" si="88"/>
        <v/>
      </c>
      <c r="M506" s="387"/>
      <c r="N506" s="391" t="str">
        <f t="shared" ca="1" si="89"/>
        <v/>
      </c>
      <c r="O506" s="387" t="str">
        <f t="shared" ca="1" si="90"/>
        <v/>
      </c>
      <c r="P506" s="391" t="str">
        <f t="shared" ca="1" si="91"/>
        <v>Geographic National, 100% of national program target</v>
      </c>
      <c r="Q506" s="391" t="str">
        <f t="shared" ca="1" si="92"/>
        <v>Non cumulative</v>
      </c>
      <c r="R506" s="387" t="b">
        <f t="shared" ca="1" si="93"/>
        <v>1</v>
      </c>
      <c r="S506" s="387" t="str">
        <f ca="1">IFERROR(VLOOKUP(INDIRECT("'Coverage Indicators - Section D'!K"&amp;$B506),'Overview - Section A'!M$31:P94,4,0),IFERROR(IF(VLOOKUP(INDIRECT("'Coverage Indicators - Section D'!K"&amp;$B506),'Overview - Section A'!E$27:I83,5,0)=0,"",VLOOKUP(INDIRECT("'Coverage Indicators - Section D'!K"&amp;$B506),'Overview - Section A'!E$27:I83,5,0)),""))</f>
        <v>a12Dm000000cC1dIAE</v>
      </c>
      <c r="T506" s="392"/>
      <c r="U506" s="391"/>
      <c r="V506" s="391"/>
      <c r="W506" s="387" t="b">
        <f t="shared" ca="1" si="94"/>
        <v>0</v>
      </c>
      <c r="X506" s="387" t="str">
        <f t="shared" ca="1" si="95"/>
        <v/>
      </c>
      <c r="Y506" s="387" t="str">
        <f t="shared" ca="1" si="96"/>
        <v>a1ODm000000GnzbMAC</v>
      </c>
      <c r="Z506" s="387" t="str">
        <f t="shared" ca="1" si="97"/>
        <v>a1PDm000000LrD9MAK</v>
      </c>
    </row>
    <row r="507" spans="1:26">
      <c r="A507" s="387" t="b">
        <f t="shared" ca="1" si="82"/>
        <v>1</v>
      </c>
      <c r="B507" s="387">
        <f t="shared" ca="1" si="80"/>
        <v>37</v>
      </c>
      <c r="C507" s="396" t="str">
        <f ca="1">IFERROR(IF(AND(H507=2,B507=7),"blank",INDEX(C$452:C507,H507,1)),"")</f>
        <v>a18Dm000000Gw76IAC</v>
      </c>
      <c r="D507" s="389">
        <f t="shared" ca="1" si="83"/>
        <v>34.114749328061492</v>
      </c>
      <c r="E507" s="390">
        <f t="shared" ca="1" si="84"/>
        <v>306251.70068027201</v>
      </c>
      <c r="F507" s="390">
        <f t="shared" ca="1" si="85"/>
        <v>104477</v>
      </c>
      <c r="G507" s="391" t="str">
        <f t="shared" ca="1" si="86"/>
        <v>HIV program annual report</v>
      </c>
      <c r="H507" s="387">
        <f t="shared" ca="1" si="81"/>
        <v>17</v>
      </c>
      <c r="I507" s="391" t="str">
        <f t="shared" ca="1" si="87"/>
        <v>N: Number of sex workers who received a defined package of HIV prevention services 
D: Estimated number of sex workers in the target area
The GF contribution is 105,108 in 2024; 127,727 in 2025 and 151,040 in 2026.</v>
      </c>
      <c r="J507" s="387" t="str" cm="1">
        <f t="array" aca="1" ref="J507" ca="1">IFERROR(VLOOKUP(LEFT(INDIRECT("'Coverage Indicators - Section D'!C"&amp;$B507),255),LEFT('Reference Records'!C55:F299,255),4,0),"")</f>
        <v>MCI-01521</v>
      </c>
      <c r="K507" s="387" t="str">
        <f ca="1">IFERROR(VLOOKUP(IF(INDIRECT("'Coverage Indicators - Section D'!B"&amp;$B507)="","--select--",INDIRECT("'Coverage Indicators - Section D'!B"&amp;$B507)),'Overview - Section A'!C$101:D156,2,0),"")</f>
        <v>M-84759</v>
      </c>
      <c r="L507" s="391">
        <f t="shared" ca="1" si="88"/>
        <v>2021</v>
      </c>
      <c r="M507" s="387"/>
      <c r="N507" s="391" t="str">
        <f t="shared" ca="1" si="89"/>
        <v/>
      </c>
      <c r="O507" s="387" t="str">
        <f t="shared" ca="1" si="90"/>
        <v>Congo (Democratic Republic)</v>
      </c>
      <c r="P507" s="391" t="str">
        <f t="shared" ca="1" si="91"/>
        <v>Geographic National, 100% of national program target</v>
      </c>
      <c r="Q507" s="391" t="str">
        <f t="shared" ca="1" si="92"/>
        <v>Non cumulative</v>
      </c>
      <c r="R507" s="387" t="b">
        <f t="shared" ca="1" si="93"/>
        <v>1</v>
      </c>
      <c r="S507" s="387" t="str">
        <f ca="1">IFERROR(VLOOKUP(INDIRECT("'Coverage Indicators - Section D'!K"&amp;$B507),'Overview - Section A'!M$31:P95,4,0),IFERROR(IF(VLOOKUP(INDIRECT("'Coverage Indicators - Section D'!K"&amp;$B507),'Overview - Section A'!E$27:I84,5,0)=0,"",VLOOKUP(INDIRECT("'Coverage Indicators - Section D'!K"&amp;$B507),'Overview - Section A'!E$27:I84,5,0)),""))</f>
        <v>a12Dm000000cC1dIAE</v>
      </c>
      <c r="T507" s="392"/>
      <c r="U507" s="391"/>
      <c r="V507" s="391"/>
      <c r="W507" s="387" t="b">
        <f t="shared" ca="1" si="94"/>
        <v>0</v>
      </c>
      <c r="X507" s="387" t="str">
        <f t="shared" ca="1" si="95"/>
        <v>a1A360000013M2uEAE</v>
      </c>
      <c r="Y507" s="387" t="str">
        <f t="shared" ca="1" si="96"/>
        <v>a1ODm000000GnxwMAC</v>
      </c>
      <c r="Z507" s="387" t="str">
        <f t="shared" ca="1" si="97"/>
        <v>a1PDm000000LrDAMA0</v>
      </c>
    </row>
    <row r="508" spans="1:26">
      <c r="A508" s="387" t="b">
        <f t="shared" ca="1" si="82"/>
        <v>1</v>
      </c>
      <c r="B508" s="387">
        <f t="shared" ca="1" si="80"/>
        <v>39</v>
      </c>
      <c r="C508" s="396" t="str">
        <f ca="1">IFERROR(IF(AND(H508=2,B508=7),"blank",INDEX(C$452:C508,H508,1)),"")</f>
        <v>a18Dm000000Gw77IAC</v>
      </c>
      <c r="D508" s="389" t="str">
        <f t="shared" ca="1" si="83"/>
        <v/>
      </c>
      <c r="E508" s="390" t="str">
        <f t="shared" ca="1" si="84"/>
        <v/>
      </c>
      <c r="F508" s="390" t="str">
        <f t="shared" ca="1" si="85"/>
        <v/>
      </c>
      <c r="G508" s="391" t="str">
        <f t="shared" ca="1" si="86"/>
        <v>Data Not Available</v>
      </c>
      <c r="H508" s="387">
        <f t="shared" ca="1" si="81"/>
        <v>18</v>
      </c>
      <c r="I508" s="391" t="str">
        <f t="shared" ca="1" si="87"/>
        <v>N: Number of TS who received at least one PrEP product during the reporting period
D: Number of STs eligible for PrEP during the reporting period
The GF contribution is 6,904 in 2024; 8,356 in 2025 and 9,918 in 2026.
The pilot project conducted by PEPFAR (FHI 360) in 2022 covered a target of 4,460.</v>
      </c>
      <c r="J508" s="387" t="str" cm="1">
        <f t="array" aca="1" ref="J508" ca="1">IFERROR(VLOOKUP(LEFT(INDIRECT("'Coverage Indicators - Section D'!C"&amp;$B508),255),LEFT('Reference Records'!C56:F300,255),4,0),"")</f>
        <v>MCI-01522</v>
      </c>
      <c r="K508" s="387" t="str">
        <f ca="1">IFERROR(VLOOKUP(IF(INDIRECT("'Coverage Indicators - Section D'!B"&amp;$B508)="","--select--",INDIRECT("'Coverage Indicators - Section D'!B"&amp;$B508)),'Overview - Section A'!C$101:D157,2,0),"")</f>
        <v>M-84759</v>
      </c>
      <c r="L508" s="391" t="str">
        <f t="shared" ca="1" si="88"/>
        <v/>
      </c>
      <c r="M508" s="387"/>
      <c r="N508" s="391" t="str">
        <f t="shared" ca="1" si="89"/>
        <v/>
      </c>
      <c r="O508" s="387" t="str">
        <f t="shared" ca="1" si="90"/>
        <v>Congo (Democratic Republic)</v>
      </c>
      <c r="P508" s="391" t="str">
        <f t="shared" ca="1" si="91"/>
        <v>Geographic National, 100% of national program target</v>
      </c>
      <c r="Q508" s="391" t="str">
        <f t="shared" ca="1" si="92"/>
        <v>Non cumulative</v>
      </c>
      <c r="R508" s="387" t="b">
        <f t="shared" ca="1" si="93"/>
        <v>1</v>
      </c>
      <c r="S508" s="387" t="str">
        <f ca="1">IFERROR(VLOOKUP(INDIRECT("'Coverage Indicators - Section D'!K"&amp;$B508),'Overview - Section A'!M$31:P96,4,0),IFERROR(IF(VLOOKUP(INDIRECT("'Coverage Indicators - Section D'!K"&amp;$B508),'Overview - Section A'!E$27:I85,5,0)=0,"",VLOOKUP(INDIRECT("'Coverage Indicators - Section D'!K"&amp;$B508),'Overview - Section A'!E$27:I85,5,0)),""))</f>
        <v>a12Dm000000cC1dIAE</v>
      </c>
      <c r="T508" s="392"/>
      <c r="U508" s="391"/>
      <c r="V508" s="391"/>
      <c r="W508" s="387" t="b">
        <f t="shared" ca="1" si="94"/>
        <v>0</v>
      </c>
      <c r="X508" s="387" t="str">
        <f t="shared" ca="1" si="95"/>
        <v>a1A360000013M2uEAE</v>
      </c>
      <c r="Y508" s="387" t="str">
        <f t="shared" ca="1" si="96"/>
        <v>a1ODm000000GnxxMAC</v>
      </c>
      <c r="Z508" s="387" t="str">
        <f t="shared" ca="1" si="97"/>
        <v>a1PDm000000LrDAMA0</v>
      </c>
    </row>
    <row r="509" spans="1:26">
      <c r="A509" s="387" t="b">
        <f t="shared" ca="1" si="82"/>
        <v>1</v>
      </c>
      <c r="B509" s="387">
        <f t="shared" ca="1" si="80"/>
        <v>41</v>
      </c>
      <c r="C509" s="396" t="str">
        <f ca="1">IFERROR(IF(AND(H509=2,B509=7),"blank",INDEX(C$452:C509,H509,1)),"")</f>
        <v>a18Dm000000Gw78IAC</v>
      </c>
      <c r="D509" s="389">
        <f t="shared" ca="1" si="83"/>
        <v>42.277647266937898</v>
      </c>
      <c r="E509" s="390">
        <f t="shared" ca="1" si="84"/>
        <v>54936.8318756074</v>
      </c>
      <c r="F509" s="390">
        <f t="shared" ca="1" si="85"/>
        <v>23226</v>
      </c>
      <c r="G509" s="391" t="str">
        <f t="shared" ca="1" si="86"/>
        <v>HIV program annual report</v>
      </c>
      <c r="H509" s="387">
        <f t="shared" ca="1" si="81"/>
        <v>19</v>
      </c>
      <c r="I509" s="391" t="str">
        <f t="shared" ca="1" si="87"/>
        <v>N: Number of TGs who received a defined package of HIV prevention services
D: Estimated number of TGs in the target area
The GF contrbution is 10,774 in 2024; 14,320 in 2025 and 18,063 in 2026.
PrEP for the TG population is a new activity.</v>
      </c>
      <c r="J509" s="387" t="str" cm="1">
        <f t="array" aca="1" ref="J509" ca="1">IFERROR(VLOOKUP(LEFT(INDIRECT("'Coverage Indicators - Section D'!C"&amp;$B509),255),LEFT('Reference Records'!C57:F301,255),4,0),"")</f>
        <v>MCI-01609</v>
      </c>
      <c r="K509" s="387" t="str">
        <f ca="1">IFERROR(VLOOKUP(IF(INDIRECT("'Coverage Indicators - Section D'!B"&amp;$B509)="","--select--",INDIRECT("'Coverage Indicators - Section D'!B"&amp;$B509)),'Overview - Section A'!C$101:D158,2,0),"")</f>
        <v>M-84760</v>
      </c>
      <c r="L509" s="391">
        <f t="shared" ca="1" si="88"/>
        <v>2021</v>
      </c>
      <c r="M509" s="387"/>
      <c r="N509" s="391" t="str">
        <f t="shared" ca="1" si="89"/>
        <v/>
      </c>
      <c r="O509" s="387" t="str">
        <f t="shared" ca="1" si="90"/>
        <v>Congo (Democratic Republic)</v>
      </c>
      <c r="P509" s="391" t="str">
        <f t="shared" ca="1" si="91"/>
        <v>Geographic National, 100% of national program target</v>
      </c>
      <c r="Q509" s="391" t="str">
        <f t="shared" ca="1" si="92"/>
        <v>Non cumulative</v>
      </c>
      <c r="R509" s="387" t="b">
        <f t="shared" ca="1" si="93"/>
        <v>1</v>
      </c>
      <c r="S509" s="387" t="str">
        <f ca="1">IFERROR(VLOOKUP(INDIRECT("'Coverage Indicators - Section D'!K"&amp;$B509),'Overview - Section A'!M$31:P97,4,0),IFERROR(IF(VLOOKUP(INDIRECT("'Coverage Indicators - Section D'!K"&amp;$B509),'Overview - Section A'!E$27:I86,5,0)=0,"",VLOOKUP(INDIRECT("'Coverage Indicators - Section D'!K"&amp;$B509),'Overview - Section A'!E$27:I86,5,0)),""))</f>
        <v>a12Dm000000cC1dIAE</v>
      </c>
      <c r="T509" s="392"/>
      <c r="U509" s="391"/>
      <c r="V509" s="391"/>
      <c r="W509" s="387" t="b">
        <f t="shared" ca="1" si="94"/>
        <v>0</v>
      </c>
      <c r="X509" s="387" t="str">
        <f t="shared" ca="1" si="95"/>
        <v>a1A360000013M2uEAE</v>
      </c>
      <c r="Y509" s="387" t="str">
        <f t="shared" ca="1" si="96"/>
        <v>a1ODm000000GnzMMAS</v>
      </c>
      <c r="Z509" s="387" t="str">
        <f t="shared" ca="1" si="97"/>
        <v>a1PDm000000LrDBMA0</v>
      </c>
    </row>
    <row r="510" spans="1:26">
      <c r="A510" s="387" t="b">
        <f t="shared" ca="1" si="82"/>
        <v>1</v>
      </c>
      <c r="B510" s="387">
        <f t="shared" ca="1" si="80"/>
        <v>43</v>
      </c>
      <c r="C510" s="396" t="str">
        <f ca="1">IFERROR(IF(AND(H510=2,B510=7),"blank",INDEX(C$452:C510,H510,1)),"")</f>
        <v>a18Dm000000Gw79IAC</v>
      </c>
      <c r="D510" s="389" t="str">
        <f t="shared" ca="1" si="83"/>
        <v/>
      </c>
      <c r="E510" s="390" t="str">
        <f t="shared" ca="1" si="84"/>
        <v/>
      </c>
      <c r="F510" s="390" t="str">
        <f t="shared" ca="1" si="85"/>
        <v/>
      </c>
      <c r="G510" s="391" t="str">
        <f t="shared" ca="1" si="86"/>
        <v>Data Not Available</v>
      </c>
      <c r="H510" s="387">
        <f t="shared" ca="1" si="81"/>
        <v>20</v>
      </c>
      <c r="I510" s="391" t="str">
        <f t="shared" ca="1" si="87"/>
        <v>N: Number of TGs who returned for PrEP for 3 consecutive months during the period
D: Number of TGs who were put on PrEP during the period
The GF contribution is 1.692 in 2024; 2.044 in 2025 and 2.386 in 2026.</v>
      </c>
      <c r="J510" s="387" t="str" cm="1">
        <f t="array" aca="1" ref="J510" ca="1">IFERROR(VLOOKUP(LEFT(INDIRECT("'Coverage Indicators - Section D'!C"&amp;$B510),255),LEFT('Reference Records'!C58:F302,255),4,0),"")</f>
        <v>MCI-01610</v>
      </c>
      <c r="K510" s="387" t="str">
        <f ca="1">IFERROR(VLOOKUP(IF(INDIRECT("'Coverage Indicators - Section D'!B"&amp;$B510)="","--select--",INDIRECT("'Coverage Indicators - Section D'!B"&amp;$B510)),'Overview - Section A'!C$101:D159,2,0),"")</f>
        <v>M-84760</v>
      </c>
      <c r="L510" s="391" t="str">
        <f t="shared" ca="1" si="88"/>
        <v/>
      </c>
      <c r="M510" s="387"/>
      <c r="N510" s="391" t="str">
        <f t="shared" ca="1" si="89"/>
        <v/>
      </c>
      <c r="O510" s="387" t="str">
        <f t="shared" ca="1" si="90"/>
        <v>Congo (Democratic Republic)</v>
      </c>
      <c r="P510" s="391" t="str">
        <f t="shared" ca="1" si="91"/>
        <v>Geographic Subnational, less than 100% national program target</v>
      </c>
      <c r="Q510" s="391" t="str">
        <f t="shared" ca="1" si="92"/>
        <v>Non cumulative</v>
      </c>
      <c r="R510" s="387" t="b">
        <f t="shared" ca="1" si="93"/>
        <v>1</v>
      </c>
      <c r="S510" s="387" t="str">
        <f ca="1">IFERROR(VLOOKUP(INDIRECT("'Coverage Indicators - Section D'!K"&amp;$B510),'Overview - Section A'!M$31:P98,4,0),IFERROR(IF(VLOOKUP(INDIRECT("'Coverage Indicators - Section D'!K"&amp;$B510),'Overview - Section A'!E$27:I87,5,0)=0,"",VLOOKUP(INDIRECT("'Coverage Indicators - Section D'!K"&amp;$B510),'Overview - Section A'!E$27:I87,5,0)),""))</f>
        <v>a12Dm000000cC1dIAE</v>
      </c>
      <c r="T510" s="392"/>
      <c r="U510" s="391"/>
      <c r="V510" s="391"/>
      <c r="W510" s="387" t="b">
        <f t="shared" ca="1" si="94"/>
        <v>0</v>
      </c>
      <c r="X510" s="387" t="str">
        <f t="shared" ca="1" si="95"/>
        <v>a1A360000013M2uEAE</v>
      </c>
      <c r="Y510" s="387" t="str">
        <f t="shared" ca="1" si="96"/>
        <v>a1ODm000000GnzNMAS</v>
      </c>
      <c r="Z510" s="387" t="str">
        <f t="shared" ca="1" si="97"/>
        <v>a1PDm000000LrDBMA0</v>
      </c>
    </row>
    <row r="511" spans="1:26">
      <c r="A511" s="387" t="b">
        <f t="shared" ca="1" si="82"/>
        <v>1</v>
      </c>
      <c r="B511" s="387">
        <f t="shared" ca="1" si="80"/>
        <v>45</v>
      </c>
      <c r="C511" s="396" t="str">
        <f ca="1">IFERROR(IF(AND(H511=2,B511=7),"blank",INDEX(C$452:C511,H511,1)),"")</f>
        <v>a18Dm000000Gw7AIAS</v>
      </c>
      <c r="D511" s="389">
        <f t="shared" ca="1" si="83"/>
        <v>7.0537684199057242</v>
      </c>
      <c r="E511" s="390">
        <f t="shared" ca="1" si="84"/>
        <v>107034.985422741</v>
      </c>
      <c r="F511" s="390">
        <f t="shared" ca="1" si="85"/>
        <v>7550</v>
      </c>
      <c r="G511" s="391" t="str">
        <f t="shared" ca="1" si="86"/>
        <v>HIV program annual report</v>
      </c>
      <c r="H511" s="387">
        <f t="shared" ca="1" si="81"/>
        <v>21</v>
      </c>
      <c r="I511" s="391" t="str">
        <f t="shared" ca="1" si="87"/>
        <v>N: Number of IDUs who received a defined package of HIV prevention services
D: Estimated number of IDUs in the target area
The contribution of the GF to the prevention package will be: 15,744 in 2024; 22,320 in 2025 and 29,327 in 2026</v>
      </c>
      <c r="J511" s="387" t="str" cm="1">
        <f t="array" aca="1" ref="J511" ca="1">IFERROR(VLOOKUP(LEFT(INDIRECT("'Coverage Indicators - Section D'!C"&amp;$B511),255),LEFT('Reference Records'!C59:F303,255),4,0),"")</f>
        <v>MCI-01524</v>
      </c>
      <c r="K511" s="387" t="str">
        <f ca="1">IFERROR(VLOOKUP(IF(INDIRECT("'Coverage Indicators - Section D'!B"&amp;$B511)="","--select--",INDIRECT("'Coverage Indicators - Section D'!B"&amp;$B511)),'Overview - Section A'!C$101:D160,2,0),"")</f>
        <v>M-84761</v>
      </c>
      <c r="L511" s="391">
        <f t="shared" ca="1" si="88"/>
        <v>2021</v>
      </c>
      <c r="M511" s="387"/>
      <c r="N511" s="391" t="str">
        <f t="shared" ca="1" si="89"/>
        <v/>
      </c>
      <c r="O511" s="387" t="str">
        <f t="shared" ca="1" si="90"/>
        <v>Congo (Democratic Republic)</v>
      </c>
      <c r="P511" s="391" t="str">
        <f t="shared" ca="1" si="91"/>
        <v>Geographic National, 100% of national program target</v>
      </c>
      <c r="Q511" s="391" t="str">
        <f t="shared" ca="1" si="92"/>
        <v>Non cumulative</v>
      </c>
      <c r="R511" s="387" t="b">
        <f t="shared" ca="1" si="93"/>
        <v>1</v>
      </c>
      <c r="S511" s="387" t="str">
        <f ca="1">IFERROR(VLOOKUP(INDIRECT("'Coverage Indicators - Section D'!K"&amp;$B511),'Overview - Section A'!M$31:P99,4,0),IFERROR(IF(VLOOKUP(INDIRECT("'Coverage Indicators - Section D'!K"&amp;$B511),'Overview - Section A'!E$27:I88,5,0)=0,"",VLOOKUP(INDIRECT("'Coverage Indicators - Section D'!K"&amp;$B511),'Overview - Section A'!E$27:I88,5,0)),""))</f>
        <v>a12Dm000000cC1dIAE</v>
      </c>
      <c r="T511" s="392"/>
      <c r="U511" s="391"/>
      <c r="V511" s="391"/>
      <c r="W511" s="387" t="b">
        <f t="shared" ca="1" si="94"/>
        <v>0</v>
      </c>
      <c r="X511" s="387" t="str">
        <f t="shared" ca="1" si="95"/>
        <v>a1A360000013M2uEAE</v>
      </c>
      <c r="Y511" s="387" t="str">
        <f t="shared" ca="1" si="96"/>
        <v>a1ODm000000GnxzMAC</v>
      </c>
      <c r="Z511" s="387" t="str">
        <f t="shared" ca="1" si="97"/>
        <v>a1PDm000000LrDCMA0</v>
      </c>
    </row>
    <row r="512" spans="1:26">
      <c r="A512" s="387" t="b">
        <f t="shared" ca="1" si="82"/>
        <v>1</v>
      </c>
      <c r="B512" s="387">
        <f t="shared" ca="1" si="80"/>
        <v>47</v>
      </c>
      <c r="C512" s="396" t="str">
        <f ca="1">IFERROR(IF(AND(H512=2,B512=7),"blank",INDEX(C$452:C512,H512,1)),"")</f>
        <v>a18Dm000000Gw7BIAS</v>
      </c>
      <c r="D512" s="389" t="str">
        <f t="shared" ca="1" si="83"/>
        <v/>
      </c>
      <c r="E512" s="390" t="str">
        <f t="shared" ca="1" si="84"/>
        <v/>
      </c>
      <c r="F512" s="390" t="str">
        <f t="shared" ca="1" si="85"/>
        <v/>
      </c>
      <c r="G512" s="391" t="str">
        <f t="shared" ca="1" si="86"/>
        <v>Data Not Available</v>
      </c>
      <c r="H512" s="387">
        <f t="shared" ca="1" si="81"/>
        <v>22</v>
      </c>
      <c r="I512" s="391" t="str">
        <f t="shared" ca="1" si="87"/>
        <v>PrEP for IDUs is a new activity in the country.
The GF contribution to PrEP will be: 2.223 in 2024, 3.004 in 2025 and 3.888 in 2026. An annual increase of 5%.</v>
      </c>
      <c r="J512" s="387" t="str" cm="1">
        <f t="array" aca="1" ref="J512" ca="1">IFERROR(VLOOKUP(LEFT(INDIRECT("'Coverage Indicators - Section D'!C"&amp;$B512),255),LEFT('Reference Records'!C60:F304,255),4,0),"")</f>
        <v>MCI-01527</v>
      </c>
      <c r="K512" s="387" t="str">
        <f ca="1">IFERROR(VLOOKUP(IF(INDIRECT("'Coverage Indicators - Section D'!B"&amp;$B512)="","--select--",INDIRECT("'Coverage Indicators - Section D'!B"&amp;$B512)),'Overview - Section A'!C$101:D161,2,0),"")</f>
        <v>M-84761</v>
      </c>
      <c r="L512" s="391" t="str">
        <f t="shared" ca="1" si="88"/>
        <v/>
      </c>
      <c r="M512" s="387"/>
      <c r="N512" s="391" t="str">
        <f t="shared" ca="1" si="89"/>
        <v/>
      </c>
      <c r="O512" s="387" t="str">
        <f t="shared" ca="1" si="90"/>
        <v>Congo (Democratic Republic)</v>
      </c>
      <c r="P512" s="391" t="str">
        <f t="shared" ca="1" si="91"/>
        <v>Geographic National, 100% of national program target</v>
      </c>
      <c r="Q512" s="391" t="str">
        <f t="shared" ca="1" si="92"/>
        <v>Non cumulative</v>
      </c>
      <c r="R512" s="387" t="b">
        <f t="shared" ca="1" si="93"/>
        <v>1</v>
      </c>
      <c r="S512" s="387" t="str">
        <f ca="1">IFERROR(VLOOKUP(INDIRECT("'Coverage Indicators - Section D'!K"&amp;$B512),'Overview - Section A'!M$31:P100,4,0),IFERROR(IF(VLOOKUP(INDIRECT("'Coverage Indicators - Section D'!K"&amp;$B512),'Overview - Section A'!E$27:I89,5,0)=0,"",VLOOKUP(INDIRECT("'Coverage Indicators - Section D'!K"&amp;$B512),'Overview - Section A'!E$27:I89,5,0)),""))</f>
        <v>a12Dm000000cC1dIAE</v>
      </c>
      <c r="T512" s="392"/>
      <c r="U512" s="391"/>
      <c r="V512" s="391"/>
      <c r="W512" s="387" t="b">
        <f t="shared" ca="1" si="94"/>
        <v>0</v>
      </c>
      <c r="X512" s="387" t="str">
        <f t="shared" ca="1" si="95"/>
        <v>a1A360000013M2uEAE</v>
      </c>
      <c r="Y512" s="387" t="str">
        <f t="shared" ca="1" si="96"/>
        <v>a1ODm000000Gny2MAC</v>
      </c>
      <c r="Z512" s="387" t="str">
        <f t="shared" ca="1" si="97"/>
        <v>a1PDm000000LrDCMA0</v>
      </c>
    </row>
    <row r="513" spans="1:26">
      <c r="A513" s="387" t="b">
        <f t="shared" ca="1" si="82"/>
        <v>1</v>
      </c>
      <c r="B513" s="387">
        <f t="shared" ca="1" si="80"/>
        <v>49</v>
      </c>
      <c r="C513" s="396" t="str">
        <f ca="1">IFERROR(IF(AND(H513=2,B513=7),"blank",INDEX(C$452:C513,H513,1)),"")</f>
        <v>a18Dm000000Gw7CIAS</v>
      </c>
      <c r="D513" s="389">
        <f t="shared" ca="1" si="83"/>
        <v>17.685922064273825</v>
      </c>
      <c r="E513" s="390">
        <f t="shared" ca="1" si="84"/>
        <v>28446.354008099999</v>
      </c>
      <c r="F513" s="390">
        <f t="shared" ca="1" si="85"/>
        <v>5031</v>
      </c>
      <c r="G513" s="391" t="str">
        <f t="shared" ca="1" si="86"/>
        <v>Performance Rating Tool</v>
      </c>
      <c r="H513" s="387">
        <f t="shared" ca="1" si="81"/>
        <v>23</v>
      </c>
      <c r="I513" s="391" t="str">
        <f t="shared" ca="1" si="87"/>
        <v>N: Number of people in detention or other closed settings who received a defined package of HIV prevention services.
D: Number of people in detention or other closed settings in the target area
Baseline data: the baseline data available is 5,031 in 2021 (Performance Rating Tool - Jan a Dec 2021). This data does not take into account PEPFAR achievements. 
The GF Contribution is 11,158 in 2024; 13,347 in 2025 and 15,588 in 2026.</v>
      </c>
      <c r="J513" s="387" t="str" cm="1">
        <f t="array" aca="1" ref="J513" ca="1">IFERROR(VLOOKUP(LEFT(INDIRECT("'Coverage Indicators - Section D'!C"&amp;$B513),255),LEFT('Reference Records'!C61:F305,255),4,0),"")</f>
        <v>MCI-01612</v>
      </c>
      <c r="K513" s="387" t="str">
        <f ca="1">IFERROR(VLOOKUP(IF(INDIRECT("'Coverage Indicators - Section D'!B"&amp;$B513)="","--select--",INDIRECT("'Coverage Indicators - Section D'!B"&amp;$B513)),'Overview - Section A'!C$101:D162,2,0),"")</f>
        <v>M-84762</v>
      </c>
      <c r="L513" s="391">
        <f t="shared" ca="1" si="88"/>
        <v>2021</v>
      </c>
      <c r="M513" s="387"/>
      <c r="N513" s="391" t="str">
        <f t="shared" ca="1" si="89"/>
        <v/>
      </c>
      <c r="O513" s="387" t="str">
        <f t="shared" ca="1" si="90"/>
        <v>Congo (Democratic Republic)</v>
      </c>
      <c r="P513" s="391" t="str">
        <f t="shared" ca="1" si="91"/>
        <v>Geographic National, 100% of national program target</v>
      </c>
      <c r="Q513" s="391" t="str">
        <f t="shared" ca="1" si="92"/>
        <v>Non cumulative</v>
      </c>
      <c r="R513" s="387" t="b">
        <f t="shared" ca="1" si="93"/>
        <v>1</v>
      </c>
      <c r="S513" s="387" t="str">
        <f ca="1">IFERROR(VLOOKUP(INDIRECT("'Coverage Indicators - Section D'!K"&amp;$B513),'Overview - Section A'!M$31:P101,4,0),IFERROR(IF(VLOOKUP(INDIRECT("'Coverage Indicators - Section D'!K"&amp;$B513),'Overview - Section A'!E$27:I90,5,0)=0,"",VLOOKUP(INDIRECT("'Coverage Indicators - Section D'!K"&amp;$B513),'Overview - Section A'!E$27:I90,5,0)),""))</f>
        <v>a12Dm000000cC1dIAE</v>
      </c>
      <c r="T513" s="392"/>
      <c r="U513" s="391"/>
      <c r="V513" s="391"/>
      <c r="W513" s="387" t="b">
        <f t="shared" ca="1" si="94"/>
        <v>0</v>
      </c>
      <c r="X513" s="387" t="str">
        <f t="shared" ca="1" si="95"/>
        <v>a1A360000013M2uEAE</v>
      </c>
      <c r="Y513" s="387" t="str">
        <f t="shared" ca="1" si="96"/>
        <v>a1ODm000000GnzPMAS</v>
      </c>
      <c r="Z513" s="387" t="str">
        <f t="shared" ca="1" si="97"/>
        <v>a1PDm000000LrDDMA0</v>
      </c>
    </row>
    <row r="514" spans="1:26">
      <c r="A514" s="387" t="b">
        <f t="shared" ca="1" si="82"/>
        <v>1</v>
      </c>
      <c r="B514" s="387">
        <f t="shared" ca="1" si="80"/>
        <v>51</v>
      </c>
      <c r="C514" s="396" t="str">
        <f ca="1">IFERROR(IF(AND(H514=2,B514=7),"blank",INDEX(C$452:C514,H514,1)),"")</f>
        <v>a18Dm000000Gw7DIAS</v>
      </c>
      <c r="D514" s="389">
        <f t="shared" ca="1" si="83"/>
        <v>26.989755991390858</v>
      </c>
      <c r="E514" s="390">
        <f t="shared" ca="1" si="84"/>
        <v>120556.851311953</v>
      </c>
      <c r="F514" s="390">
        <f t="shared" ca="1" si="85"/>
        <v>32538</v>
      </c>
      <c r="G514" s="391" t="str">
        <f t="shared" ca="1" si="86"/>
        <v>HIV program annual report</v>
      </c>
      <c r="H514" s="387">
        <f t="shared" ca="1" si="81"/>
        <v>24</v>
      </c>
      <c r="I514" s="391" t="str">
        <f t="shared" ca="1" si="87"/>
        <v>N:Number of men who have sex with men who were tested for HIV during the reporting period in KP-specific programs and who know their results
D:Estimated number of men who have sex with men in KP-specific program areas
Activities for key populations are implemented but data are not captured by the national system.
The contribution of the GF is 40,300 in 2024; 49,274 in 2025 and 58,565 in 2026.</v>
      </c>
      <c r="J514" s="387" t="str" cm="1">
        <f t="array" aca="1" ref="J514" ca="1">IFERROR(VLOOKUP(LEFT(INDIRECT("'Coverage Indicators - Section D'!C"&amp;$B514),255),LEFT('Reference Records'!C62:F306,255),4,0),"")</f>
        <v>MCI-01614</v>
      </c>
      <c r="K514" s="387" t="str">
        <f ca="1">IFERROR(VLOOKUP(IF(INDIRECT("'Coverage Indicators - Section D'!B"&amp;$B514)="","--select--",INDIRECT("'Coverage Indicators - Section D'!B"&amp;$B514)),'Overview - Section A'!C$101:D163,2,0),"")</f>
        <v>M-84764</v>
      </c>
      <c r="L514" s="391">
        <f t="shared" ca="1" si="88"/>
        <v>2021</v>
      </c>
      <c r="M514" s="387"/>
      <c r="N514" s="391" t="str">
        <f t="shared" ca="1" si="89"/>
        <v/>
      </c>
      <c r="O514" s="387" t="str">
        <f t="shared" ca="1" si="90"/>
        <v>Congo (Democratic Republic)</v>
      </c>
      <c r="P514" s="391" t="str">
        <f t="shared" ca="1" si="91"/>
        <v>Geographic National, 100% of national program target</v>
      </c>
      <c r="Q514" s="391" t="str">
        <f t="shared" ca="1" si="92"/>
        <v>Non cumulative</v>
      </c>
      <c r="R514" s="387" t="b">
        <f t="shared" ca="1" si="93"/>
        <v>1</v>
      </c>
      <c r="S514" s="387" t="str">
        <f ca="1">IFERROR(VLOOKUP(INDIRECT("'Coverage Indicators - Section D'!K"&amp;$B514),'Overview - Section A'!M$31:P102,4,0),IFERROR(IF(VLOOKUP(INDIRECT("'Coverage Indicators - Section D'!K"&amp;$B514),'Overview - Section A'!E$27:I91,5,0)=0,"",VLOOKUP(INDIRECT("'Coverage Indicators - Section D'!K"&amp;$B514),'Overview - Section A'!E$27:I91,5,0)),""))</f>
        <v>a12Dm000000cC1cIAE</v>
      </c>
      <c r="T514" s="392"/>
      <c r="U514" s="391"/>
      <c r="V514" s="391"/>
      <c r="W514" s="387" t="b">
        <f t="shared" ca="1" si="94"/>
        <v>0</v>
      </c>
      <c r="X514" s="387" t="str">
        <f t="shared" ca="1" si="95"/>
        <v>a1A360000013M2uEAE</v>
      </c>
      <c r="Y514" s="387" t="str">
        <f t="shared" ca="1" si="96"/>
        <v>a1ODm000000GnzRMAS</v>
      </c>
      <c r="Z514" s="387" t="str">
        <f t="shared" ca="1" si="97"/>
        <v>a1PDm000000LrDFMA0</v>
      </c>
    </row>
    <row r="515" spans="1:26">
      <c r="A515" s="387" t="b">
        <f t="shared" ca="1" si="82"/>
        <v>1</v>
      </c>
      <c r="B515" s="387">
        <f t="shared" ca="1" si="80"/>
        <v>53</v>
      </c>
      <c r="C515" s="396" t="str">
        <f ca="1">IFERROR(IF(AND(H515=2,B515=7),"blank",INDEX(C$452:C515,H515,1)),"")</f>
        <v>a18Dm000000Gw7EIAS</v>
      </c>
      <c r="D515" s="389">
        <f t="shared" ca="1" si="83"/>
        <v>7.4303520254731987</v>
      </c>
      <c r="E515" s="390">
        <f t="shared" ca="1" si="84"/>
        <v>54936.8318756074</v>
      </c>
      <c r="F515" s="390">
        <f t="shared" ca="1" si="85"/>
        <v>4082</v>
      </c>
      <c r="G515" s="391" t="str">
        <f t="shared" ca="1" si="86"/>
        <v>HIV program annual report</v>
      </c>
      <c r="H515" s="387">
        <f t="shared" ca="1" si="81"/>
        <v>25</v>
      </c>
      <c r="I515" s="391" t="str">
        <f t="shared" ca="1" si="87"/>
        <v>N:Number of transgender people who were tested for HIV during the reporting period in KP-specific programs and who know their results
D:Estimated number of transgender people in KP-specific program areas
Activities for key populations are implemented but data are not captured by the national system.
GF Contribution is 10,774 in 2024; 14,320 in 2025 and 18,063 in 2026.</v>
      </c>
      <c r="J515" s="387" t="str" cm="1">
        <f t="array" aca="1" ref="J515" ca="1">IFERROR(VLOOKUP(LEFT(INDIRECT("'Coverage Indicators - Section D'!C"&amp;$B515),255),LEFT('Reference Records'!C63:F307,255),4,0),"")</f>
        <v>MCI-01615</v>
      </c>
      <c r="K515" s="387" t="str">
        <f ca="1">IFERROR(VLOOKUP(IF(INDIRECT("'Coverage Indicators - Section D'!B"&amp;$B515)="","--select--",INDIRECT("'Coverage Indicators - Section D'!B"&amp;$B515)),'Overview - Section A'!C$101:D164,2,0),"")</f>
        <v>M-84764</v>
      </c>
      <c r="L515" s="391">
        <f t="shared" ca="1" si="88"/>
        <v>2021</v>
      </c>
      <c r="M515" s="387"/>
      <c r="N515" s="391" t="str">
        <f t="shared" ca="1" si="89"/>
        <v/>
      </c>
      <c r="O515" s="387" t="str">
        <f t="shared" ca="1" si="90"/>
        <v>Congo (Democratic Republic)</v>
      </c>
      <c r="P515" s="391" t="str">
        <f t="shared" ca="1" si="91"/>
        <v>Geographic National, 100% of national program target</v>
      </c>
      <c r="Q515" s="391" t="str">
        <f t="shared" ca="1" si="92"/>
        <v>Non cumulative</v>
      </c>
      <c r="R515" s="387" t="b">
        <f t="shared" ca="1" si="93"/>
        <v>1</v>
      </c>
      <c r="S515" s="387" t="str">
        <f ca="1">IFERROR(VLOOKUP(INDIRECT("'Coverage Indicators - Section D'!K"&amp;$B515),'Overview - Section A'!M$31:P103,4,0),IFERROR(IF(VLOOKUP(INDIRECT("'Coverage Indicators - Section D'!K"&amp;$B515),'Overview - Section A'!E$27:I92,5,0)=0,"",VLOOKUP(INDIRECT("'Coverage Indicators - Section D'!K"&amp;$B515),'Overview - Section A'!E$27:I92,5,0)),""))</f>
        <v>a12Dm000000cC1cIAE</v>
      </c>
      <c r="T515" s="392"/>
      <c r="U515" s="391"/>
      <c r="V515" s="391"/>
      <c r="W515" s="387" t="b">
        <f t="shared" ca="1" si="94"/>
        <v>0</v>
      </c>
      <c r="X515" s="387" t="str">
        <f t="shared" ca="1" si="95"/>
        <v>a1A360000013M2uEAE</v>
      </c>
      <c r="Y515" s="387" t="str">
        <f t="shared" ca="1" si="96"/>
        <v>a1ODm000000GnzSMAS</v>
      </c>
      <c r="Z515" s="387" t="str">
        <f t="shared" ca="1" si="97"/>
        <v>a1PDm000000LrDFMA0</v>
      </c>
    </row>
    <row r="516" spans="1:26">
      <c r="A516" s="387" t="b">
        <f t="shared" ca="1" si="82"/>
        <v>1</v>
      </c>
      <c r="B516" s="387">
        <f t="shared" ca="1" si="80"/>
        <v>55</v>
      </c>
      <c r="C516" s="396" t="str">
        <f ca="1">IFERROR(IF(AND(H516=2,B516=7),"blank",INDEX(C$452:C516,H516,1)),"")</f>
        <v>a18Dm000000Gw7FIAS</v>
      </c>
      <c r="D516" s="389">
        <f t="shared" ca="1" si="83"/>
        <v>21.538166107643448</v>
      </c>
      <c r="E516" s="390">
        <f t="shared" ca="1" si="84"/>
        <v>306251.70068027201</v>
      </c>
      <c r="F516" s="390">
        <f t="shared" ca="1" si="85"/>
        <v>65961</v>
      </c>
      <c r="G516" s="391" t="str">
        <f t="shared" ca="1" si="86"/>
        <v>HIV program annual report</v>
      </c>
      <c r="H516" s="387">
        <f t="shared" ca="1" si="81"/>
        <v>26</v>
      </c>
      <c r="I516" s="391" t="str">
        <f t="shared" ca="1" si="87"/>
        <v>N:Number of SWs who were tested for HIV during the reporting period in KP-specific programs and who know their results
D:Estimated number of SWs in KP-specific program areas
GF Contribution is 103,742 in 2024; 126,450 in 2025 and and 149983 in 2026.
Activities for key populations are being implemented but the data is not captured by the national system.</v>
      </c>
      <c r="J516" s="387" t="str" cm="1">
        <f t="array" aca="1" ref="J516" ca="1">IFERROR(VLOOKUP(LEFT(INDIRECT("'Coverage Indicators - Section D'!C"&amp;$B516),255),LEFT('Reference Records'!C64:F308,255),4,0),"")</f>
        <v>MCI-01616</v>
      </c>
      <c r="K516" s="387" t="str">
        <f ca="1">IFERROR(VLOOKUP(IF(INDIRECT("'Coverage Indicators - Section D'!B"&amp;$B516)="","--select--",INDIRECT("'Coverage Indicators - Section D'!B"&amp;$B516)),'Overview - Section A'!C$101:D165,2,0),"")</f>
        <v>M-84764</v>
      </c>
      <c r="L516" s="391">
        <f t="shared" ca="1" si="88"/>
        <v>2021</v>
      </c>
      <c r="M516" s="387"/>
      <c r="N516" s="391" t="str">
        <f t="shared" ca="1" si="89"/>
        <v/>
      </c>
      <c r="O516" s="387" t="str">
        <f t="shared" ca="1" si="90"/>
        <v>Congo (Democratic Republic)</v>
      </c>
      <c r="P516" s="391" t="str">
        <f t="shared" ca="1" si="91"/>
        <v>Geographic National, 100% of national program target</v>
      </c>
      <c r="Q516" s="391" t="str">
        <f t="shared" ca="1" si="92"/>
        <v>Non cumulative</v>
      </c>
      <c r="R516" s="387" t="b">
        <f t="shared" ca="1" si="93"/>
        <v>1</v>
      </c>
      <c r="S516" s="387" t="str">
        <f ca="1">IFERROR(VLOOKUP(INDIRECT("'Coverage Indicators - Section D'!K"&amp;$B516),'Overview - Section A'!M$31:P104,4,0),IFERROR(IF(VLOOKUP(INDIRECT("'Coverage Indicators - Section D'!K"&amp;$B516),'Overview - Section A'!E$27:I93,5,0)=0,"",VLOOKUP(INDIRECT("'Coverage Indicators - Section D'!K"&amp;$B516),'Overview - Section A'!E$27:I93,5,0)),""))</f>
        <v>a12Dm000000cC1cIAE</v>
      </c>
      <c r="T516" s="392"/>
      <c r="U516" s="391"/>
      <c r="V516" s="391"/>
      <c r="W516" s="387" t="b">
        <f t="shared" ca="1" si="94"/>
        <v>0</v>
      </c>
      <c r="X516" s="387" t="str">
        <f t="shared" ca="1" si="95"/>
        <v>a1A360000013M2uEAE</v>
      </c>
      <c r="Y516" s="387" t="str">
        <f t="shared" ca="1" si="96"/>
        <v>a1ODm000000GnzTMAS</v>
      </c>
      <c r="Z516" s="387" t="str">
        <f t="shared" ca="1" si="97"/>
        <v>a1PDm000000LrDFMA0</v>
      </c>
    </row>
    <row r="517" spans="1:26">
      <c r="A517" s="387" t="b">
        <f t="shared" ca="1" si="82"/>
        <v>1</v>
      </c>
      <c r="B517" s="387">
        <f t="shared" ca="1" si="80"/>
        <v>57</v>
      </c>
      <c r="C517" s="396" t="str">
        <f ca="1">IFERROR(IF(AND(H517=2,B517=7),"blank",INDEX(C$452:C517,H517,1)),"")</f>
        <v>a18Dm000000Gw7GIAS</v>
      </c>
      <c r="D517" s="389">
        <f t="shared" ca="1" si="83"/>
        <v>8.9092365102279452</v>
      </c>
      <c r="E517" s="390">
        <f t="shared" ca="1" si="84"/>
        <v>107034.985422741</v>
      </c>
      <c r="F517" s="390">
        <f t="shared" ca="1" si="85"/>
        <v>9536</v>
      </c>
      <c r="G517" s="391" t="str">
        <f t="shared" ca="1" si="86"/>
        <v>HIV program annual report</v>
      </c>
      <c r="H517" s="387">
        <f t="shared" ca="1" si="81"/>
        <v>27</v>
      </c>
      <c r="I517" s="391" t="str">
        <f t="shared" ca="1" si="87"/>
        <v>N: Number of people who inject drugs who were tested for HIV during the reporting period and who know their results.
D: Estimated number of people who inject drugs in the target areas
Activities for key populations are being implemented but data are not being captured by the national system.
The GF contribution is 15,744 in 2024; 22,320 in 2025 and 29,327 in 2026.</v>
      </c>
      <c r="J517" s="387" t="str" cm="1">
        <f t="array" aca="1" ref="J517" ca="1">IFERROR(VLOOKUP(LEFT(INDIRECT("'Coverage Indicators - Section D'!C"&amp;$B517),255),LEFT('Reference Records'!C65:F309,255),4,0),"")</f>
        <v>MCI-01617</v>
      </c>
      <c r="K517" s="387" t="str">
        <f ca="1">IFERROR(VLOOKUP(IF(INDIRECT("'Coverage Indicators - Section D'!B"&amp;$B517)="","--select--",INDIRECT("'Coverage Indicators - Section D'!B"&amp;$B517)),'Overview - Section A'!C$101:D166,2,0),"")</f>
        <v>M-84764</v>
      </c>
      <c r="L517" s="391">
        <f t="shared" ca="1" si="88"/>
        <v>2021</v>
      </c>
      <c r="M517" s="387"/>
      <c r="N517" s="391" t="str">
        <f t="shared" ca="1" si="89"/>
        <v/>
      </c>
      <c r="O517" s="387" t="str">
        <f t="shared" ca="1" si="90"/>
        <v>Congo (Democratic Republic)</v>
      </c>
      <c r="P517" s="391" t="str">
        <f t="shared" ca="1" si="91"/>
        <v>Geographic National, 100% of national program target</v>
      </c>
      <c r="Q517" s="391" t="str">
        <f t="shared" ca="1" si="92"/>
        <v>Non cumulative</v>
      </c>
      <c r="R517" s="387" t="b">
        <f t="shared" ca="1" si="93"/>
        <v>1</v>
      </c>
      <c r="S517" s="387" t="str">
        <f ca="1">IFERROR(VLOOKUP(INDIRECT("'Coverage Indicators - Section D'!K"&amp;$B517),'Overview - Section A'!M$31:P105,4,0),IFERROR(IF(VLOOKUP(INDIRECT("'Coverage Indicators - Section D'!K"&amp;$B517),'Overview - Section A'!E$27:I94,5,0)=0,"",VLOOKUP(INDIRECT("'Coverage Indicators - Section D'!K"&amp;$B517),'Overview - Section A'!E$27:I94,5,0)),""))</f>
        <v>a12Dm000000cC1cIAE</v>
      </c>
      <c r="T517" s="392"/>
      <c r="U517" s="391"/>
      <c r="V517" s="391"/>
      <c r="W517" s="387" t="b">
        <f t="shared" ca="1" si="94"/>
        <v>0</v>
      </c>
      <c r="X517" s="387" t="str">
        <f t="shared" ca="1" si="95"/>
        <v>a1A360000013M2uEAE</v>
      </c>
      <c r="Y517" s="387" t="str">
        <f t="shared" ca="1" si="96"/>
        <v>a1ODm000000GnzUMAS</v>
      </c>
      <c r="Z517" s="387" t="str">
        <f t="shared" ca="1" si="97"/>
        <v>a1PDm000000LrDFMA0</v>
      </c>
    </row>
    <row r="518" spans="1:26">
      <c r="A518" s="387" t="b">
        <f t="shared" ca="1" si="82"/>
        <v>1</v>
      </c>
      <c r="B518" s="387">
        <f t="shared" ref="B518:B522" ca="1" si="98">IF(_xlfn.ISFORMULA(I518),B517+2,B517)</f>
        <v>59</v>
      </c>
      <c r="C518" s="396" t="str">
        <f ca="1">IFERROR(IF(AND(H518=2,B518=7),"blank",INDEX(C$452:C518,H518,1)),"")</f>
        <v>a18Dm000000Gw7HIAS</v>
      </c>
      <c r="D518" s="389">
        <f t="shared" ca="1" si="83"/>
        <v>16.437958968901693</v>
      </c>
      <c r="E518" s="390">
        <f t="shared" ca="1" si="84"/>
        <v>28446.354008099999</v>
      </c>
      <c r="F518" s="390">
        <f t="shared" ca="1" si="85"/>
        <v>4676</v>
      </c>
      <c r="G518" s="391" t="str">
        <f t="shared" ca="1" si="86"/>
        <v>Performance Rating Tool</v>
      </c>
      <c r="H518" s="387">
        <f t="shared" ref="H518:H522" ca="1" si="99">IF(_xlfn.ISFORMULA(I518),H517+1,H517)</f>
        <v>28</v>
      </c>
      <c r="I518" s="391" t="str">
        <f t="shared" ca="1" si="87"/>
        <v>N: Number of people in detention or other closed settings who received a defined package of HIV prevention services.
D: Estimated number of people in detention or other closed settings in the target areas
Baseline data: the baseline data available is 4,676 in 2021 (Performance Rating Tool - Jan a Dec 2021). This data does not take into account PEPFAR achievements. For 2022, the suspension of RHs did not allow for consolidated data.
Activities for key populations are implemented but the reporting process is not captured by the national system.
The contribution of the GF is 11158 in 2024; 13347 in 2025 and 15588 in 2026.</v>
      </c>
      <c r="J518" s="387" t="str" cm="1">
        <f t="array" aca="1" ref="J518" ca="1">IFERROR(VLOOKUP(LEFT(INDIRECT("'Coverage Indicators - Section D'!C"&amp;$B518),255),LEFT('Reference Records'!C66:F310,255),4,0),"")</f>
        <v>MCI-01619</v>
      </c>
      <c r="K518" s="387" t="str">
        <f ca="1">IFERROR(VLOOKUP(IF(INDIRECT("'Coverage Indicators - Section D'!B"&amp;$B518)="","--select--",INDIRECT("'Coverage Indicators - Section D'!B"&amp;$B518)),'Overview - Section A'!C$101:D167,2,0),"")</f>
        <v>M-84764</v>
      </c>
      <c r="L518" s="391">
        <f t="shared" ca="1" si="88"/>
        <v>2021</v>
      </c>
      <c r="M518" s="387"/>
      <c r="N518" s="391" t="str">
        <f t="shared" ca="1" si="89"/>
        <v/>
      </c>
      <c r="O518" s="387" t="str">
        <f t="shared" ca="1" si="90"/>
        <v>Congo (Democratic Republic)</v>
      </c>
      <c r="P518" s="391" t="str">
        <f t="shared" ca="1" si="91"/>
        <v>Geographic National, 100% of national program target</v>
      </c>
      <c r="Q518" s="391" t="str">
        <f t="shared" ca="1" si="92"/>
        <v>Non cumulative</v>
      </c>
      <c r="R518" s="387" t="b">
        <f t="shared" ca="1" si="93"/>
        <v>1</v>
      </c>
      <c r="S518" s="387" t="str">
        <f ca="1">IFERROR(VLOOKUP(INDIRECT("'Coverage Indicators - Section D'!K"&amp;$B518),'Overview - Section A'!M$31:P106,4,0),IFERROR(IF(VLOOKUP(INDIRECT("'Coverage Indicators - Section D'!K"&amp;$B518),'Overview - Section A'!E$27:I95,5,0)=0,"",VLOOKUP(INDIRECT("'Coverage Indicators - Section D'!K"&amp;$B518),'Overview - Section A'!E$27:I95,5,0)),""))</f>
        <v>a12Dm000000cC1cIAE</v>
      </c>
      <c r="T518" s="392"/>
      <c r="U518" s="391"/>
      <c r="V518" s="391"/>
      <c r="W518" s="387" t="b">
        <f t="shared" ca="1" si="94"/>
        <v>0</v>
      </c>
      <c r="X518" s="387" t="str">
        <f t="shared" ca="1" si="95"/>
        <v>a1A360000013M2uEAE</v>
      </c>
      <c r="Y518" s="387" t="str">
        <f t="shared" ca="1" si="96"/>
        <v>a1ODm000000GnzWMAS</v>
      </c>
      <c r="Z518" s="387" t="str">
        <f t="shared" ca="1" si="97"/>
        <v>a1PDm000000LrDFMA0</v>
      </c>
    </row>
    <row r="519" spans="1:26">
      <c r="A519" s="387" t="b">
        <f t="shared" ca="1" si="82"/>
        <v>1</v>
      </c>
      <c r="B519" s="387">
        <f t="shared" ca="1" si="98"/>
        <v>61</v>
      </c>
      <c r="C519" s="396" t="str">
        <f ca="1">IFERROR(IF(AND(H519=2,B519=7),"blank",INDEX(C$452:C519,H519,1)),"")</f>
        <v>a18Dm000000Gw7IIAS</v>
      </c>
      <c r="D519" s="389" t="str">
        <f t="shared" ca="1" si="83"/>
        <v/>
      </c>
      <c r="E519" s="390" t="str">
        <f t="shared" ca="1" si="84"/>
        <v/>
      </c>
      <c r="F519" s="390" t="str">
        <f t="shared" ca="1" si="85"/>
        <v/>
      </c>
      <c r="G519" s="391" t="str">
        <f t="shared" ca="1" si="86"/>
        <v>Data Not Available</v>
      </c>
      <c r="H519" s="387">
        <f t="shared" ca="1" si="99"/>
        <v>29</v>
      </c>
      <c r="I519" s="391" t="str">
        <f t="shared" ca="1" si="87"/>
        <v>N: Number of self-testing kits distributed to all KP
The GF contribution is 25,950 in 2024; 31,254 in 2025 and 36,701 in 2026.</v>
      </c>
      <c r="J519" s="387" t="str" cm="1">
        <f t="array" aca="1" ref="J519" ca="1">IFERROR(VLOOKUP(LEFT(INDIRECT("'Coverage Indicators - Section D'!C"&amp;$B519),255),LEFT('Reference Records'!C67:F311,255),4,0),"")</f>
        <v>MCI-01622</v>
      </c>
      <c r="K519" s="387" t="str">
        <f ca="1">IFERROR(VLOOKUP(IF(INDIRECT("'Coverage Indicators - Section D'!B"&amp;$B519)="","--select--",INDIRECT("'Coverage Indicators - Section D'!B"&amp;$B519)),'Overview - Section A'!C$101:D168,2,0),"")</f>
        <v>M-84764</v>
      </c>
      <c r="L519" s="391" t="str">
        <f t="shared" ca="1" si="88"/>
        <v/>
      </c>
      <c r="M519" s="387"/>
      <c r="N519" s="391" t="str">
        <f t="shared" ca="1" si="89"/>
        <v/>
      </c>
      <c r="O519" s="387" t="str">
        <f t="shared" ca="1" si="90"/>
        <v>Congo (Democratic Republic)</v>
      </c>
      <c r="P519" s="391" t="str">
        <f t="shared" ca="1" si="91"/>
        <v>Geographic National, 100% of national program target</v>
      </c>
      <c r="Q519" s="391" t="str">
        <f t="shared" ca="1" si="92"/>
        <v>Non cumulative</v>
      </c>
      <c r="R519" s="387" t="b">
        <f t="shared" ca="1" si="93"/>
        <v>1</v>
      </c>
      <c r="S519" s="387" t="str">
        <f ca="1">IFERROR(VLOOKUP(INDIRECT("'Coverage Indicators - Section D'!K"&amp;$B519),'Overview - Section A'!M$31:P107,4,0),IFERROR(IF(VLOOKUP(INDIRECT("'Coverage Indicators - Section D'!K"&amp;$B519),'Overview - Section A'!E$27:I96,5,0)=0,"",VLOOKUP(INDIRECT("'Coverage Indicators - Section D'!K"&amp;$B519),'Overview - Section A'!E$27:I96,5,0)),""))</f>
        <v>a12Dm000000cC1cIAE</v>
      </c>
      <c r="T519" s="392"/>
      <c r="U519" s="391"/>
      <c r="V519" s="391"/>
      <c r="W519" s="387" t="b">
        <f t="shared" ca="1" si="94"/>
        <v>0</v>
      </c>
      <c r="X519" s="387" t="str">
        <f t="shared" ca="1" si="95"/>
        <v>a1A360000013M2uEAE</v>
      </c>
      <c r="Y519" s="387" t="str">
        <f t="shared" ca="1" si="96"/>
        <v>a1ODm000000GnzZMAS</v>
      </c>
      <c r="Z519" s="387" t="str">
        <f t="shared" ca="1" si="97"/>
        <v>a1PDm000000LrDFMA0</v>
      </c>
    </row>
    <row r="520" spans="1:26">
      <c r="A520" s="387" t="b">
        <f t="shared" ca="1" si="82"/>
        <v>1</v>
      </c>
      <c r="B520" s="387">
        <f t="shared" ca="1" si="98"/>
        <v>63</v>
      </c>
      <c r="C520" s="396" t="str">
        <f ca="1">IFERROR(IF(AND(H520=2,B520=7),"blank",INDEX(C$452:C520,H520,1)),"")</f>
        <v>a18Dm000000Gw7JIAS</v>
      </c>
      <c r="D520" s="389">
        <f t="shared" ca="1" si="83"/>
        <v>31.64985978445819</v>
      </c>
      <c r="E520" s="390">
        <f t="shared" ca="1" si="84"/>
        <v>3757786</v>
      </c>
      <c r="F520" s="390">
        <f t="shared" ca="1" si="85"/>
        <v>1189334</v>
      </c>
      <c r="G520" s="391" t="str">
        <f t="shared" ca="1" si="86"/>
        <v>HIV program annual report</v>
      </c>
      <c r="H520" s="387">
        <f t="shared" ca="1" si="99"/>
        <v>30</v>
      </c>
      <c r="I520" s="391" t="str">
        <f t="shared" ca="1" si="87"/>
        <v>N: Number of pregnant women who received antenatal care and/or delivered in a health facility, who were tested for HIV during pregnancy or who already knew they were infected with HIV
D: Number of pregnant women who received antenatal care and/or delivered in a health facility in the past 12 months
The GF contribution is 1,221,620 in 2024; 1,138,388 in 2025; and 1,549,051 in 2026.</v>
      </c>
      <c r="J520" s="387" t="str" cm="1">
        <f t="array" aca="1" ref="J520" ca="1">IFERROR(VLOOKUP(LEFT(INDIRECT("'Coverage Indicators - Section D'!C"&amp;$B520),255),LEFT('Reference Records'!C68:F312,255),4,0),"")</f>
        <v>MCI-01530</v>
      </c>
      <c r="K520" s="387" t="str">
        <f ca="1">IFERROR(VLOOKUP(IF(INDIRECT("'Coverage Indicators - Section D'!B"&amp;$B520)="","--select--",INDIRECT("'Coverage Indicators - Section D'!B"&amp;$B520)),'Overview - Section A'!C$101:D169,2,0),"")</f>
        <v>M-84763</v>
      </c>
      <c r="L520" s="391">
        <f t="shared" ca="1" si="88"/>
        <v>2021</v>
      </c>
      <c r="M520" s="387"/>
      <c r="N520" s="391" t="str">
        <f t="shared" ca="1" si="89"/>
        <v/>
      </c>
      <c r="O520" s="387" t="str">
        <f t="shared" ca="1" si="90"/>
        <v>Congo (Democratic Republic)</v>
      </c>
      <c r="P520" s="391" t="str">
        <f t="shared" ca="1" si="91"/>
        <v>Geographic National, 100% of national program target</v>
      </c>
      <c r="Q520" s="391" t="str">
        <f t="shared" ca="1" si="92"/>
        <v>Non cumulative - special</v>
      </c>
      <c r="R520" s="387" t="b">
        <f t="shared" ca="1" si="93"/>
        <v>1</v>
      </c>
      <c r="S520" s="387" t="str">
        <f ca="1">IFERROR(VLOOKUP(INDIRECT("'Coverage Indicators - Section D'!K"&amp;$B520),'Overview - Section A'!M$31:P108,4,0),IFERROR(IF(VLOOKUP(INDIRECT("'Coverage Indicators - Section D'!K"&amp;$B520),'Overview - Section A'!E$27:I97,5,0)=0,"",VLOOKUP(INDIRECT("'Coverage Indicators - Section D'!K"&amp;$B520),'Overview - Section A'!E$27:I97,5,0)),""))</f>
        <v>a12Dm000000cC1cIAE</v>
      </c>
      <c r="T520" s="392"/>
      <c r="U520" s="391"/>
      <c r="V520" s="391"/>
      <c r="W520" s="387" t="b">
        <f t="shared" ca="1" si="94"/>
        <v>0</v>
      </c>
      <c r="X520" s="387" t="str">
        <f t="shared" ca="1" si="95"/>
        <v>a1A360000013M2uEAE</v>
      </c>
      <c r="Y520" s="387" t="str">
        <f t="shared" ca="1" si="96"/>
        <v>a1ODm000000Gny5MAC</v>
      </c>
      <c r="Z520" s="387" t="str">
        <f t="shared" ca="1" si="97"/>
        <v>a1PDm000000LrDEMA0</v>
      </c>
    </row>
    <row r="521" spans="1:26">
      <c r="A521" s="387" t="b">
        <f t="shared" ca="1" si="82"/>
        <v>1</v>
      </c>
      <c r="B521" s="387">
        <f t="shared" ca="1" si="98"/>
        <v>65</v>
      </c>
      <c r="C521" s="396" t="str">
        <f ca="1">IFERROR(IF(AND(H521=2,B521=7),"blank",INDEX(C$452:C521,H521,1)),"")</f>
        <v>a18Dm000000Gw7KIAS</v>
      </c>
      <c r="D521" s="389">
        <f t="shared" ca="1" si="83"/>
        <v>9.2843593723055697</v>
      </c>
      <c r="E521" s="390">
        <f t="shared" ca="1" si="84"/>
        <v>28995</v>
      </c>
      <c r="F521" s="390">
        <f t="shared" ca="1" si="85"/>
        <v>2692</v>
      </c>
      <c r="G521" s="391" t="str">
        <f t="shared" ca="1" si="86"/>
        <v>HIV program annual report</v>
      </c>
      <c r="H521" s="387">
        <f t="shared" ca="1" si="99"/>
        <v>31</v>
      </c>
      <c r="I521" s="391" t="str">
        <f t="shared" ca="1" si="87"/>
        <v>N: Number of HIV-exposed infants born in the last 12 months who had a virological test for HIV infection within 2 months of birth.
D: Number of HIV-infected pregnant women who gave birth in the last 12 months (indirect measure of the number of infants born to HIV-infected women).
The contribution of the GF is 6,759 in 2024; 8,695 in 2025 and 11,410 in 2026.</v>
      </c>
      <c r="J521" s="387" t="str" cm="1">
        <f t="array" aca="1" ref="J521" ca="1">IFERROR(VLOOKUP(LEFT(INDIRECT("'Coverage Indicators - Section D'!C"&amp;$B521),255),LEFT('Reference Records'!C69:F313,255),4,0),"")</f>
        <v>MCI-01531</v>
      </c>
      <c r="K521" s="387" t="str">
        <f ca="1">IFERROR(VLOOKUP(IF(INDIRECT("'Coverage Indicators - Section D'!B"&amp;$B521)="","--select--",INDIRECT("'Coverage Indicators - Section D'!B"&amp;$B521)),'Overview - Section A'!C$101:D170,2,0),"")</f>
        <v>M-84763</v>
      </c>
      <c r="L521" s="391">
        <f t="shared" ca="1" si="88"/>
        <v>2021</v>
      </c>
      <c r="M521" s="387"/>
      <c r="N521" s="391" t="str">
        <f t="shared" ca="1" si="89"/>
        <v/>
      </c>
      <c r="O521" s="387" t="str">
        <f t="shared" ca="1" si="90"/>
        <v>Congo (Democratic Republic)</v>
      </c>
      <c r="P521" s="391" t="str">
        <f t="shared" ca="1" si="91"/>
        <v>Geographic National, 100% of national program target</v>
      </c>
      <c r="Q521" s="391" t="str">
        <f t="shared" ca="1" si="92"/>
        <v>Non cumulative - special</v>
      </c>
      <c r="R521" s="387" t="b">
        <f t="shared" ca="1" si="93"/>
        <v>1</v>
      </c>
      <c r="S521" s="387" t="str">
        <f ca="1">IFERROR(VLOOKUP(INDIRECT("'Coverage Indicators - Section D'!K"&amp;$B521),'Overview - Section A'!M$31:P109,4,0),IFERROR(IF(VLOOKUP(INDIRECT("'Coverage Indicators - Section D'!K"&amp;$B521),'Overview - Section A'!E$27:I98,5,0)=0,"",VLOOKUP(INDIRECT("'Coverage Indicators - Section D'!K"&amp;$B521),'Overview - Section A'!E$27:I98,5,0)),""))</f>
        <v>a12Dm000000cC1cIAE</v>
      </c>
      <c r="T521" s="392"/>
      <c r="U521" s="391"/>
      <c r="V521" s="391"/>
      <c r="W521" s="387" t="b">
        <f t="shared" ca="1" si="94"/>
        <v>0</v>
      </c>
      <c r="X521" s="387" t="str">
        <f t="shared" ca="1" si="95"/>
        <v>a1A360000013M2uEAE</v>
      </c>
      <c r="Y521" s="387" t="str">
        <f t="shared" ca="1" si="96"/>
        <v>a1ODm000000Gny6MAC</v>
      </c>
      <c r="Z521" s="387" t="str">
        <f t="shared" ca="1" si="97"/>
        <v>a1PDm000000LrDEMA0</v>
      </c>
    </row>
    <row r="522" spans="1:26">
      <c r="A522" s="387" t="b">
        <f t="shared" ca="1" si="82"/>
        <v>1</v>
      </c>
      <c r="B522" s="387">
        <f t="shared" ca="1" si="98"/>
        <v>67</v>
      </c>
      <c r="C522" s="396" t="str">
        <f ca="1">IFERROR(IF(AND(H522=2,B522=7),"blank",INDEX(C$452:C522,H522,1)),"")</f>
        <v>a18Dm000000Gw7LIAS</v>
      </c>
      <c r="D522" s="389">
        <f t="shared" ca="1" si="83"/>
        <v>10.306852092452045</v>
      </c>
      <c r="E522" s="390">
        <f t="shared" ca="1" si="84"/>
        <v>4273264</v>
      </c>
      <c r="F522" s="390">
        <f t="shared" ca="1" si="85"/>
        <v>440439</v>
      </c>
      <c r="G522" s="391" t="str">
        <f t="shared" ca="1" si="86"/>
        <v>HIV program annual report</v>
      </c>
      <c r="H522" s="387">
        <f t="shared" ca="1" si="99"/>
        <v>32</v>
      </c>
      <c r="I522" s="391" t="str">
        <f t="shared" ca="1" si="87"/>
        <v>The increase in TB coverage (or detection rate) has evolved on average by 4% between 2015 and 2021. The 2022 data being validated The country has implemented in the NSP an increase in coverage of 4% in 2023 and 2024, and 6% in 2025 and 2026 which will be achieved through the following strategies: 1) decentralization and provision of integrated and person-centered TB services; 2) optimization of the use of molecular diagnostic tools, expanding specimen transport with accurate mapping at the SLA level; 3) an efficient diagnostic network 4) expansion of the quality approach 5) implementation of active screening in key and vulnerable populations using digital radiography with CAD or not. The coverage rate planned in the NSP is 80% in 2024, 86% in 2025 and 92% in 2026. The country expects to reach 90% of the NSP target with the grant. Thus, the expected number of TB cases is 258,638 in 2024, 284,558 in 2025 and 311,540 in 2026.
This is an equity indicator.</v>
      </c>
      <c r="J522" s="387" t="str" cm="1">
        <f t="array" aca="1" ref="J522" ca="1">IFERROR(VLOOKUP(LEFT(INDIRECT("'Coverage Indicators - Section D'!C"&amp;$B522),255),LEFT('Reference Records'!C70:F314,255),4,0),"")</f>
        <v>MCI-01532</v>
      </c>
      <c r="K522" s="387" t="str">
        <f ca="1">IFERROR(VLOOKUP(IF(INDIRECT("'Coverage Indicators - Section D'!B"&amp;$B522)="","--select--",INDIRECT("'Coverage Indicators - Section D'!B"&amp;$B522)),'Overview - Section A'!C$101:D171,2,0),"")</f>
        <v>M-84763</v>
      </c>
      <c r="L522" s="391">
        <f t="shared" ca="1" si="88"/>
        <v>2021</v>
      </c>
      <c r="M522" s="387"/>
      <c r="N522" s="391" t="str">
        <f t="shared" ca="1" si="89"/>
        <v/>
      </c>
      <c r="O522" s="387" t="str">
        <f t="shared" ca="1" si="90"/>
        <v>Congo (Democratic Republic)</v>
      </c>
      <c r="P522" s="391" t="str">
        <f t="shared" ca="1" si="91"/>
        <v>Geographic National, 100% of national program target</v>
      </c>
      <c r="Q522" s="391" t="str">
        <f t="shared" ca="1" si="92"/>
        <v>Non cumulative</v>
      </c>
      <c r="R522" s="387" t="b">
        <f t="shared" ca="1" si="93"/>
        <v>1</v>
      </c>
      <c r="S522" s="387" t="str">
        <f ca="1">IFERROR(VLOOKUP(INDIRECT("'Coverage Indicators - Section D'!K"&amp;$B522),'Overview - Section A'!M$31:P110,4,0),IFERROR(IF(VLOOKUP(INDIRECT("'Coverage Indicators - Section D'!K"&amp;$B522),'Overview - Section A'!E$27:I99,5,0)=0,"",VLOOKUP(INDIRECT("'Coverage Indicators - Section D'!K"&amp;$B522),'Overview - Section A'!E$27:I99,5,0)),""))</f>
        <v>a12Dm000000cC1cIAE</v>
      </c>
      <c r="T522" s="392"/>
      <c r="U522" s="391"/>
      <c r="V522" s="391"/>
      <c r="W522" s="387" t="b">
        <f t="shared" ca="1" si="94"/>
        <v>0</v>
      </c>
      <c r="X522" s="387" t="str">
        <f t="shared" ca="1" si="95"/>
        <v>a1A360000013M2uEAE</v>
      </c>
      <c r="Y522" s="387" t="str">
        <f t="shared" ca="1" si="96"/>
        <v>a1ODm000000Gny7MAC</v>
      </c>
      <c r="Z522" s="387" t="str">
        <f t="shared" ca="1" si="97"/>
        <v>a1PDm000000LrDEMA0</v>
      </c>
    </row>
    <row r="523" spans="1:26">
      <c r="B523" s="393"/>
      <c r="E523" s="394"/>
      <c r="F523" s="394"/>
      <c r="H523" s="393"/>
    </row>
    <row r="524" spans="1:26">
      <c r="B524" s="393"/>
      <c r="E524" s="394"/>
      <c r="F524" s="394"/>
      <c r="H524" s="393"/>
    </row>
    <row r="525" spans="1:26">
      <c r="J525" s="386" t="str">
        <f ca="1">IF(ROW()&gt;'Impact Indicator Target Update'!A14,"",INDIRECT("'Impact Indicators - Section B'!A"&amp;'Impact Indicator Target Update'!D14))</f>
        <v/>
      </c>
    </row>
    <row r="526" spans="1:26">
      <c r="A526" s="385" t="s">
        <v>2651</v>
      </c>
      <c r="J526" s="386" t="str">
        <f ca="1">IF(ROW()&gt;'Impact Indicator Target Update'!A15,"",INDIRECT("'Impact Indicators - Section B'!A"&amp;'Impact Indicator Target Update'!D15))</f>
        <v/>
      </c>
    </row>
    <row r="527" spans="1:26">
      <c r="A527" s="387" t="s">
        <v>328</v>
      </c>
      <c r="B527" s="387">
        <f ca="1">-T2*V2-1</f>
        <v>-235</v>
      </c>
      <c r="C527" s="387" t="s">
        <v>318</v>
      </c>
      <c r="D527" s="387" t="s">
        <v>2652</v>
      </c>
      <c r="E527" s="387" t="s">
        <v>2347</v>
      </c>
      <c r="F527" s="387" t="s">
        <v>2203</v>
      </c>
      <c r="G527" s="387" t="s">
        <v>199</v>
      </c>
      <c r="H527" s="387" t="s">
        <v>805</v>
      </c>
      <c r="I527" s="387" t="s">
        <v>225</v>
      </c>
      <c r="J527" s="387" t="s">
        <v>807</v>
      </c>
      <c r="K527" s="387" t="s">
        <v>802</v>
      </c>
      <c r="L527" s="387" t="s">
        <v>808</v>
      </c>
      <c r="M527" s="387" t="s">
        <v>2348</v>
      </c>
      <c r="N527" s="387" t="s">
        <v>2653</v>
      </c>
      <c r="O527" s="387">
        <v>-1</v>
      </c>
      <c r="P527" s="387"/>
      <c r="Q527" s="387"/>
      <c r="R527" s="387"/>
      <c r="S527" s="387"/>
      <c r="T527" s="387" t="s">
        <v>2654</v>
      </c>
    </row>
    <row r="528" spans="1:26" hidden="1">
      <c r="A528" s="387" t="b">
        <f ca="1">IF(OR(I528&lt;&gt;"",J528&lt;&gt;"",K528&lt;&gt;"",L528&lt;&gt;""),TRUE,FALSE)</f>
        <v>0</v>
      </c>
      <c r="B528" s="387">
        <f ca="1">B527+1</f>
        <v>-234</v>
      </c>
      <c r="C528" s="401" t="str">
        <f ca="1">M528</f>
        <v/>
      </c>
      <c r="D528" s="401"/>
      <c r="E528" s="387">
        <f ca="1">IF(E527="countif",0,IF(E527=W$2,1,E527+1))</f>
        <v>0</v>
      </c>
      <c r="F528" s="402" t="str">
        <f ca="1">IF(COUNTA(D$527:D528)=1,"",OFFSET(F526,-COUNTA(D$527:D528)+3,0))</f>
        <v/>
      </c>
      <c r="G528" s="391" t="str">
        <f ca="1">IFERROR(IF(INDIRECT("'Coverage Indicators - Section I'!G"&amp;$I3)="","",INDIRECT("'Coverage Indicators - Section I'!G"&amp;$I3)),"")</f>
        <v/>
      </c>
      <c r="H528" s="387" t="str">
        <f ca="1">IF(B528=1,9,IF(E527=MAX(E526:E528),H526+2,H527))</f>
        <v>row number</v>
      </c>
      <c r="I528" s="389" t="str">
        <f ca="1">IFERROR(CHOOSE(E528,IFERROR(IF(INDIRECT("'Coverage Indicators - Section D'!O"&amp;H528)="","",INDIRECT("'Coverage Indicators - Section D'!O"&amp;H528)*100),""),IFERROR(IF(INDIRECT("'Coverage Indicators - Section D'!R"&amp;H528)="","",INDIRECT("'Coverage Indicators - Section D'!R"&amp;H528)*100),""),IFERROR(IF(INDIRECT("'Coverage Indicators - Section D'!U"&amp;H528)="","",INDIRECT("'Coverage Indicators - Section D'!U"&amp;H528)*100),""),IFERROR(IF(INDIRECT("'Coverage Indicators - Section D'!X"&amp;H528)="","",INDIRECT("'Coverage Indicators - Section D'!X"&amp;H528)*100),""),IFERROR(IF(INDIRECT("'Coverage Indicators - Section D'!AA"&amp;H528)="","",INDIRECT("'Coverage Indicators - Section D'!AA"&amp;H528)*100),""),IFERROR(IF(INDIRECT("'Coverage Indicators - Section D'!AD"&amp;H528)="","",INDIRECT("'Coverage Indicators - Section D'!AD"&amp;H528)*100),""),IFERROR(IF(INDIRECT("'Coverage Indicators - Section D'!AG"&amp;H528)="","",INDIRECT("'Coverage Indicators - Section D'!AG"&amp;H528)*100),""),IFERROR(IF(INDIRECT("'Coverage Indicators - Section D'!AJ"&amp;H528)="","",INDIRECT("'Coverage Indicators - Section D'!AJ"&amp;H528)*100),"")),"")</f>
        <v/>
      </c>
      <c r="J528" s="392" t="str">
        <f ca="1">IFERROR(CHOOSE(E528,IFERROR(IF(INDIRECT("'Coverage Indicators - Section D'!N"&amp;H528+1)="","",INDIRECT("'Coverage Indicators - Section D'!N"&amp;H528+1)),""),IFERROR(IF(INDIRECT("'Coverage Indicators - Section D'!Q"&amp;H528+1)="","",INDIRECT("'Coverage Indicators - Section D'!Q"&amp;H528+1)),""),IFERROR(IF(INDIRECT("'Coverage Indicators - Section D'!T"&amp;H528+1)="","",INDIRECT("'Coverage Indicators - Section D'!T"&amp;H528+1)),""),IFERROR(IF(INDIRECT("'Coverage Indicators - Section D'!W"&amp;H528+1)="","",INDIRECT("'Coverage Indicators - Section D'!W"&amp;H528+1)),""),IFERROR(IF(INDIRECT("'Coverage Indicators - Section D'!Z"&amp;H528+1)="","",INDIRECT("'Coverage Indicators - Section D'!Z"&amp;H528+1)),""),IFERROR(IF(INDIRECT("'Coverage Indicators - Section D'!AC"&amp;H528+1)="","",INDIRECT("'Coverage Indicators - Section D'!AC"&amp;H528+1)),""),IFERROR(IF(INDIRECT("'Coverage Indicators - Section D'!AF"&amp;H528+1)="","",INDIRECT("'Coverage Indicators - Section D'!AF"&amp;H528+1)),""),IFERROR(IF(INDIRECT("'Coverage Indicators - Section D'!AI"&amp;H528+1)="","",INDIRECT("'Coverage Indicators - Section D'!AI"&amp;H528+1)),"")),"")</f>
        <v/>
      </c>
      <c r="K528" s="392" t="str">
        <f ca="1">IFERROR(CHOOSE(E528,IFERROR(IF(INDIRECT("'Coverage Indicators - Section D'!N"&amp;H528)="","",INDIRECT("'Coverage Indicators - Section D'!N"&amp;H528)),""),IFERROR(IF(INDIRECT("'Coverage Indicators - Section D'!Q"&amp;H528)="","",INDIRECT("'Coverage Indicators - Section D'!Q"&amp;H528)),""),IFERROR(IF(INDIRECT("'Coverage Indicators - Section D'!T"&amp;H528)="","",INDIRECT("'Coverage Indicators - Section D'!T"&amp;H528)),""),IFERROR(IF(INDIRECT("'Coverage Indicators - Section D'!W"&amp;H528)="","",INDIRECT("'Coverage Indicators - Section D'!W"&amp;H528)),""),IFERROR(IF(INDIRECT("'Coverage Indicators - Section D'!Z"&amp;H528)="","",INDIRECT("'Coverage Indicators - Section D'!Z"&amp;H528)),""),IFERROR(IF(INDIRECT("'Coverage Indicators - Section D'!AC"&amp;H528)="","",INDIRECT("'Coverage Indicators - Section D'!AC"&amp;H528)),""),IFERROR(IF(INDIRECT("'Coverage Indicators - Section D'!AF"&amp;H528)="","",INDIRECT("'Coverage Indicators - Section D'!AF"&amp;H528)),""),IFERROR(IF(INDIRECT("'Coverage Indicators - Section D'!AI"&amp;H528)="","",INDIRECT("'Coverage Indicators - Section D'!AI"&amp;H528)),"")),"")</f>
        <v/>
      </c>
      <c r="L528" s="391" t="str">
        <f ca="1">IF(IFERROR(CHOOSE(E528,IFERROR(IF(INDIRECT("'Coverage Indicators - Section D'!P"&amp;H528)=0,"",INDIRECT("'Coverage Indicators - Section D'!P"&amp;H528)),""),IFERROR(IF(INDIRECT("'Coverage Indicators - Section D'!S"&amp;H528)=0,"",INDIRECT("'Coverage Indicators - Section D'!S"&amp;H528)),""),IFERROR(IF(INDIRECT("'Coverage Indicators - Section D'!V"&amp;H528)=0,"",INDIRECT("'Coverage Indicators - Section D'!V"&amp;H528)),""),IFERROR(IF(INDIRECT("'Coverage Indicators - Section D'!Y"&amp;H528)=0,"",INDIRECT("'Coverage Indicators - Section D'!Y"&amp;H528)),""),IFERROR(IF(INDIRECT("'Coverage Indicators - Section D'!AB"&amp;H528)=0,"",INDIRECT("'Coverage Indicators - Section D'!AB"&amp;H528)),""),IFERROR(IF(INDIRECT("'Coverage Indicators - Section D'!AE"&amp;H528)=0,"",INDIRECT("'Coverage Indicators - Section D'!AE"&amp;H528)),""),IFERROR(IF(INDIRECT("'Coverage Indicators - Section D'!AH"&amp;H528)=0,"",INDIRECT("'Coverage Indicators - Section D'!AH"&amp;H528)),""),IFERROR(IF(INDIRECT("'Coverage Indicators - Section D'!AK"&amp;H528)=0,"",INDIRECT("'Coverage Indicators - Section D'!AK"&amp;H528)),""),),"")=0,"",IFERROR(CHOOSE(E528,IFERROR(IF(INDIRECT("'Coverage Indicators - Section D'!P"&amp;H528)=0,"",INDIRECT("'Coverage Indicators - Section D'!P"&amp;H528)),""),IFERROR(IF(INDIRECT("'Coverage Indicators - Section D'!S"&amp;H528)=0,"",INDIRECT("'Coverage Indicators - Section D'!S"&amp;H528)),""),IFERROR(IF(INDIRECT("'Coverage Indicators - Section D'!V"&amp;H528)=0,"",INDIRECT("'Coverage Indicators - Section D'!V"&amp;H528)),""),IFERROR(IF(INDIRECT("'Coverage Indicators - Section D'!Y"&amp;H528)=0,"",INDIRECT("'Coverage Indicators - Section D'!Y"&amp;H528)),""),IFERROR(IF(INDIRECT("'Coverage Indicators - Section D'!AB"&amp;H528)=0,"",INDIRECT("'Coverage Indicators - Section D'!AB"&amp;H528)),""),IFERROR(IF(INDIRECT("'Coverage Indicators - Section D'!AE"&amp;H528)=0,"",INDIRECT("'Coverage Indicators - Section D'!AE"&amp;H528)),""),IFERROR(IF(INDIRECT("'Coverage Indicators - Section D'!AH"&amp;H528)=0,"",INDIRECT("'Coverage Indicators - Section D'!AH"&amp;H528)),""),IFERROR(IF(INDIRECT("'Coverage Indicators - Section D'!AK"&amp;H528)=0,"",INDIRECT("'Coverage Indicators - Section D'!AK"&amp;H528)),""),),""))</f>
        <v/>
      </c>
      <c r="M528" s="401" t="str">
        <f ca="1">IFERROR(IF(COUNTIF($B$526:$B527,"&lt;0")=1,"",OFFSET($C526,-COUNTIF($B$526:$B527,"&lt;0")+3,0)),"")</f>
        <v/>
      </c>
      <c r="N528" s="401">
        <f ca="1">IFERROR(IF(AND(_xlfn.ISFORMULA(I528),NOT(_xlfn.ISFORMULA(I527))),1,OFFSET($F526,-COUNTIF($B$526:B527,"&lt;0")+3,0)),"")</f>
        <v>1</v>
      </c>
      <c r="O528" s="387">
        <f ca="1">IF(NOT(_xlfn.ISFORMULA(I528)),O527+1,0)</f>
        <v>0</v>
      </c>
      <c r="P528" s="387"/>
      <c r="Q528" s="387"/>
      <c r="R528" s="387"/>
      <c r="S528" s="387"/>
      <c r="T528" s="391" t="s">
        <v>2655</v>
      </c>
    </row>
    <row r="529" spans="1:20">
      <c r="A529" s="387" t="b">
        <v>1</v>
      </c>
      <c r="B529" s="387">
        <f t="shared" ref="B529:B592" ca="1" si="100">B528+1</f>
        <v>-233</v>
      </c>
      <c r="C529" s="401" t="s">
        <v>2656</v>
      </c>
      <c r="D529" s="401" t="s">
        <v>2657</v>
      </c>
      <c r="E529" s="387">
        <f t="shared" ref="E529:E592" ca="1" si="101">IF(E528="countif",0,IF(E528=W$2,1,E528+1))</f>
        <v>1</v>
      </c>
      <c r="F529" s="402">
        <v>1</v>
      </c>
      <c r="G529" s="391" t="s">
        <v>2211</v>
      </c>
      <c r="H529" s="387" t="str">
        <f t="shared" ref="H529:H592" ca="1" si="102">IF(B529=1,9,IF(E528=MAX(E527:E529),H527+2,H528))</f>
        <v>row number</v>
      </c>
      <c r="I529" s="389"/>
      <c r="J529" s="392"/>
      <c r="K529" s="392">
        <v>129319</v>
      </c>
      <c r="L529" s="391"/>
      <c r="M529" s="401" t="str">
        <f ca="1">IFERROR(IF(COUNTIF($B$526:$B528,"&lt;0")=1,"",OFFSET($C527,-COUNTIF($B$526:$B528,"&lt;0")+3,0)),"")</f>
        <v/>
      </c>
      <c r="N529" s="401" t="str">
        <f ca="1">IFERROR(IF(AND(_xlfn.ISFORMULA(I529),NOT(_xlfn.ISFORMULA(I528))),1,OFFSET($F527,-COUNTIF($B$526:B528,"&lt;0")+3,0)),"")</f>
        <v/>
      </c>
      <c r="O529" s="387">
        <f t="shared" ref="O529:O592" ca="1" si="103">IF(NOT(_xlfn.ISFORMULA(I529)),O528+1,0)</f>
        <v>1</v>
      </c>
      <c r="P529" s="387"/>
      <c r="Q529" s="387"/>
      <c r="R529" s="387"/>
      <c r="S529" s="387"/>
      <c r="T529" s="391" t="s">
        <v>2212</v>
      </c>
    </row>
    <row r="530" spans="1:20">
      <c r="A530" s="387" t="b">
        <v>1</v>
      </c>
      <c r="B530" s="387">
        <f t="shared" ca="1" si="100"/>
        <v>-232</v>
      </c>
      <c r="C530" s="401" t="s">
        <v>2658</v>
      </c>
      <c r="D530" s="401" t="s">
        <v>2657</v>
      </c>
      <c r="E530" s="387">
        <f t="shared" ca="1" si="101"/>
        <v>2</v>
      </c>
      <c r="F530" s="402">
        <v>1</v>
      </c>
      <c r="G530" s="391" t="s">
        <v>2211</v>
      </c>
      <c r="H530" s="387" t="str">
        <f t="shared" ca="1" si="102"/>
        <v>row number</v>
      </c>
      <c r="I530" s="389"/>
      <c r="J530" s="392"/>
      <c r="K530" s="392">
        <v>129319</v>
      </c>
      <c r="L530" s="391"/>
      <c r="M530" s="401" t="str">
        <f ca="1">IFERROR(IF(COUNTIF($B$526:$B529,"&lt;0")=1,"",OFFSET($C528,-COUNTIF($B$526:$B529,"&lt;0")+3,0)),"")</f>
        <v/>
      </c>
      <c r="N530" s="401" t="str">
        <f ca="1">IFERROR(IF(AND(_xlfn.ISFORMULA(I530),NOT(_xlfn.ISFORMULA(I529))),1,OFFSET($F528,-COUNTIF($B$526:B529,"&lt;0")+3,0)),"")</f>
        <v/>
      </c>
      <c r="O530" s="387">
        <f t="shared" ca="1" si="103"/>
        <v>2</v>
      </c>
      <c r="P530" s="387"/>
      <c r="Q530" s="387"/>
      <c r="R530" s="387"/>
      <c r="S530" s="387"/>
      <c r="T530" s="391" t="s">
        <v>2212</v>
      </c>
    </row>
    <row r="531" spans="1:20">
      <c r="A531" s="387" t="b">
        <v>1</v>
      </c>
      <c r="B531" s="387">
        <f t="shared" ca="1" si="100"/>
        <v>-231</v>
      </c>
      <c r="C531" s="401" t="s">
        <v>2659</v>
      </c>
      <c r="D531" s="401" t="s">
        <v>2657</v>
      </c>
      <c r="E531" s="387">
        <f t="shared" ca="1" si="101"/>
        <v>3</v>
      </c>
      <c r="F531" s="402">
        <v>1</v>
      </c>
      <c r="G531" s="391" t="s">
        <v>2211</v>
      </c>
      <c r="H531" s="387" t="str">
        <f t="shared" ca="1" si="102"/>
        <v>row number</v>
      </c>
      <c r="I531" s="389"/>
      <c r="J531" s="392"/>
      <c r="K531" s="392">
        <v>142279</v>
      </c>
      <c r="L531" s="391"/>
      <c r="M531" s="401" t="str">
        <f ca="1">IFERROR(IF(COUNTIF($B$526:$B530,"&lt;0")=1,"",OFFSET($C529,-COUNTIF($B$526:$B530,"&lt;0")+3,0)),"")</f>
        <v/>
      </c>
      <c r="N531" s="401" t="str">
        <f ca="1">IFERROR(IF(AND(_xlfn.ISFORMULA(I531),NOT(_xlfn.ISFORMULA(I530))),1,OFFSET($F529,-COUNTIF($B$526:B530,"&lt;0")+3,0)),"")</f>
        <v/>
      </c>
      <c r="O531" s="387">
        <f t="shared" ca="1" si="103"/>
        <v>3</v>
      </c>
      <c r="P531" s="387"/>
      <c r="Q531" s="387"/>
      <c r="R531" s="387"/>
      <c r="S531" s="387"/>
      <c r="T531" s="391" t="s">
        <v>2212</v>
      </c>
    </row>
    <row r="532" spans="1:20">
      <c r="A532" s="387" t="b">
        <v>1</v>
      </c>
      <c r="B532" s="387">
        <f t="shared" ca="1" si="100"/>
        <v>-230</v>
      </c>
      <c r="C532" s="401" t="s">
        <v>2660</v>
      </c>
      <c r="D532" s="401" t="s">
        <v>2657</v>
      </c>
      <c r="E532" s="387">
        <f t="shared" ca="1" si="101"/>
        <v>4</v>
      </c>
      <c r="F532" s="402">
        <v>1</v>
      </c>
      <c r="G532" s="391" t="s">
        <v>2211</v>
      </c>
      <c r="H532" s="387" t="str">
        <f t="shared" ca="1" si="102"/>
        <v>row number</v>
      </c>
      <c r="I532" s="389"/>
      <c r="J532" s="392"/>
      <c r="K532" s="392">
        <v>142279</v>
      </c>
      <c r="L532" s="391"/>
      <c r="M532" s="401" t="str">
        <f ca="1">IFERROR(IF(COUNTIF($B$526:$B531,"&lt;0")=1,"",OFFSET($C530,-COUNTIF($B$526:$B531,"&lt;0")+3,0)),"")</f>
        <v/>
      </c>
      <c r="N532" s="401" t="str">
        <f ca="1">IFERROR(IF(AND(_xlfn.ISFORMULA(I532),NOT(_xlfn.ISFORMULA(I531))),1,OFFSET($F530,-COUNTIF($B$526:B531,"&lt;0")+3,0)),"")</f>
        <v/>
      </c>
      <c r="O532" s="387">
        <f t="shared" ca="1" si="103"/>
        <v>4</v>
      </c>
      <c r="P532" s="387"/>
      <c r="Q532" s="387"/>
      <c r="R532" s="387"/>
      <c r="S532" s="387"/>
      <c r="T532" s="391" t="s">
        <v>2212</v>
      </c>
    </row>
    <row r="533" spans="1:20">
      <c r="A533" s="387" t="b">
        <v>1</v>
      </c>
      <c r="B533" s="387">
        <f t="shared" ca="1" si="100"/>
        <v>-229</v>
      </c>
      <c r="C533" s="401" t="s">
        <v>2661</v>
      </c>
      <c r="D533" s="401" t="s">
        <v>2657</v>
      </c>
      <c r="E533" s="387">
        <f t="shared" ca="1" si="101"/>
        <v>5</v>
      </c>
      <c r="F533" s="402">
        <v>1</v>
      </c>
      <c r="G533" s="391" t="s">
        <v>2211</v>
      </c>
      <c r="H533" s="387" t="str">
        <f t="shared" ca="1" si="102"/>
        <v>row number</v>
      </c>
      <c r="I533" s="389"/>
      <c r="J533" s="392"/>
      <c r="K533" s="392">
        <v>155770</v>
      </c>
      <c r="L533" s="391"/>
      <c r="M533" s="401" t="str">
        <f ca="1">IFERROR(IF(COUNTIF($B$526:$B532,"&lt;0")=1,"",OFFSET($C531,-COUNTIF($B$526:$B532,"&lt;0")+3,0)),"")</f>
        <v/>
      </c>
      <c r="N533" s="401" t="str">
        <f ca="1">IFERROR(IF(AND(_xlfn.ISFORMULA(I533),NOT(_xlfn.ISFORMULA(I532))),1,OFFSET($F531,-COUNTIF($B$526:B532,"&lt;0")+3,0)),"")</f>
        <v/>
      </c>
      <c r="O533" s="387">
        <f t="shared" ca="1" si="103"/>
        <v>5</v>
      </c>
      <c r="P533" s="387"/>
      <c r="Q533" s="387"/>
      <c r="R533" s="387"/>
      <c r="S533" s="387"/>
      <c r="T533" s="391" t="s">
        <v>2212</v>
      </c>
    </row>
    <row r="534" spans="1:20">
      <c r="A534" s="387" t="b">
        <v>1</v>
      </c>
      <c r="B534" s="387">
        <f t="shared" ca="1" si="100"/>
        <v>-228</v>
      </c>
      <c r="C534" s="401" t="s">
        <v>2662</v>
      </c>
      <c r="D534" s="401" t="s">
        <v>2657</v>
      </c>
      <c r="E534" s="387">
        <f t="shared" ca="1" si="101"/>
        <v>6</v>
      </c>
      <c r="F534" s="402">
        <v>1</v>
      </c>
      <c r="G534" s="391" t="s">
        <v>2211</v>
      </c>
      <c r="H534" s="387" t="str">
        <f t="shared" ca="1" si="102"/>
        <v>row number</v>
      </c>
      <c r="I534" s="389"/>
      <c r="J534" s="392"/>
      <c r="K534" s="392">
        <v>155770</v>
      </c>
      <c r="L534" s="391"/>
      <c r="M534" s="401" t="str">
        <f ca="1">IFERROR(IF(COUNTIF($B$526:$B533,"&lt;0")=1,"",OFFSET($C532,-COUNTIF($B$526:$B533,"&lt;0")+3,0)),"")</f>
        <v/>
      </c>
      <c r="N534" s="401" t="str">
        <f ca="1">IFERROR(IF(AND(_xlfn.ISFORMULA(I534),NOT(_xlfn.ISFORMULA(I533))),1,OFFSET($F532,-COUNTIF($B$526:B533,"&lt;0")+3,0)),"")</f>
        <v/>
      </c>
      <c r="O534" s="387">
        <f t="shared" ca="1" si="103"/>
        <v>6</v>
      </c>
      <c r="P534" s="387"/>
      <c r="Q534" s="387"/>
      <c r="R534" s="387"/>
      <c r="S534" s="387"/>
      <c r="T534" s="391" t="s">
        <v>2212</v>
      </c>
    </row>
    <row r="535" spans="1:20">
      <c r="A535" s="387" t="b">
        <v>1</v>
      </c>
      <c r="B535" s="387">
        <f t="shared" ca="1" si="100"/>
        <v>-227</v>
      </c>
      <c r="C535" s="401" t="s">
        <v>2663</v>
      </c>
      <c r="D535" s="401" t="s">
        <v>2664</v>
      </c>
      <c r="E535" s="387">
        <f t="shared" ca="1" si="101"/>
        <v>7</v>
      </c>
      <c r="F535" s="402">
        <v>2</v>
      </c>
      <c r="G535" s="391" t="s">
        <v>780</v>
      </c>
      <c r="H535" s="387" t="str">
        <f t="shared" ca="1" si="102"/>
        <v>row number</v>
      </c>
      <c r="I535" s="389">
        <v>95</v>
      </c>
      <c r="J535" s="392"/>
      <c r="K535" s="392"/>
      <c r="L535" s="391"/>
      <c r="M535" s="401" t="str">
        <f ca="1">IFERROR(IF(COUNTIF($B$526:$B534,"&lt;0")=1,"",OFFSET($C533,-COUNTIF($B$526:$B534,"&lt;0")+3,0)),"")</f>
        <v/>
      </c>
      <c r="N535" s="401" t="str">
        <f ca="1">IFERROR(IF(AND(_xlfn.ISFORMULA(I535),NOT(_xlfn.ISFORMULA(I534))),1,OFFSET($F533,-COUNTIF($B$526:B534,"&lt;0")+3,0)),"")</f>
        <v/>
      </c>
      <c r="O535" s="387">
        <f t="shared" ca="1" si="103"/>
        <v>7</v>
      </c>
      <c r="P535" s="387"/>
      <c r="Q535" s="387"/>
      <c r="R535" s="387"/>
      <c r="S535" s="387"/>
      <c r="T535" s="391" t="s">
        <v>2212</v>
      </c>
    </row>
    <row r="536" spans="1:20">
      <c r="A536" s="387" t="b">
        <v>1</v>
      </c>
      <c r="B536" s="387">
        <f t="shared" ca="1" si="100"/>
        <v>-226</v>
      </c>
      <c r="C536" s="401" t="s">
        <v>2665</v>
      </c>
      <c r="D536" s="401" t="s">
        <v>2664</v>
      </c>
      <c r="E536" s="387">
        <f t="shared" ca="1" si="101"/>
        <v>8</v>
      </c>
      <c r="F536" s="402">
        <v>2</v>
      </c>
      <c r="G536" s="391" t="s">
        <v>780</v>
      </c>
      <c r="H536" s="387" t="str">
        <f t="shared" ca="1" si="102"/>
        <v>row number</v>
      </c>
      <c r="I536" s="389">
        <v>95</v>
      </c>
      <c r="J536" s="392"/>
      <c r="K536" s="392"/>
      <c r="L536" s="391"/>
      <c r="M536" s="401" t="str">
        <f ca="1">IFERROR(IF(COUNTIF($B$526:$B535,"&lt;0")=1,"",OFFSET($C534,-COUNTIF($B$526:$B535,"&lt;0")+3,0)),"")</f>
        <v/>
      </c>
      <c r="N536" s="401" t="str">
        <f ca="1">IFERROR(IF(AND(_xlfn.ISFORMULA(I536),NOT(_xlfn.ISFORMULA(I535))),1,OFFSET($F534,-COUNTIF($B$526:B535,"&lt;0")+3,0)),"")</f>
        <v/>
      </c>
      <c r="O536" s="387">
        <f t="shared" ca="1" si="103"/>
        <v>8</v>
      </c>
      <c r="P536" s="387"/>
      <c r="Q536" s="387"/>
      <c r="R536" s="387"/>
      <c r="S536" s="387"/>
      <c r="T536" s="391" t="s">
        <v>2212</v>
      </c>
    </row>
    <row r="537" spans="1:20">
      <c r="A537" s="387" t="b">
        <v>1</v>
      </c>
      <c r="B537" s="387">
        <f t="shared" ca="1" si="100"/>
        <v>-225</v>
      </c>
      <c r="C537" s="401" t="s">
        <v>2666</v>
      </c>
      <c r="D537" s="401" t="s">
        <v>2664</v>
      </c>
      <c r="E537" s="387">
        <f t="shared" ca="1" si="101"/>
        <v>9</v>
      </c>
      <c r="F537" s="402">
        <v>2</v>
      </c>
      <c r="G537" s="391" t="s">
        <v>780</v>
      </c>
      <c r="H537" s="387" t="str">
        <f t="shared" ca="1" si="102"/>
        <v>row number</v>
      </c>
      <c r="I537" s="389">
        <v>95</v>
      </c>
      <c r="J537" s="392"/>
      <c r="K537" s="392"/>
      <c r="L537" s="391"/>
      <c r="M537" s="401" t="str">
        <f ca="1">IFERROR(IF(COUNTIF($B$526:$B536,"&lt;0")=1,"",OFFSET($C535,-COUNTIF($B$526:$B536,"&lt;0")+3,0)),"")</f>
        <v/>
      </c>
      <c r="N537" s="401" t="str">
        <f ca="1">IFERROR(IF(AND(_xlfn.ISFORMULA(I537),NOT(_xlfn.ISFORMULA(I536))),1,OFFSET($F535,-COUNTIF($B$526:B536,"&lt;0")+3,0)),"")</f>
        <v/>
      </c>
      <c r="O537" s="387">
        <f t="shared" ca="1" si="103"/>
        <v>9</v>
      </c>
      <c r="P537" s="387"/>
      <c r="Q537" s="387"/>
      <c r="R537" s="387"/>
      <c r="S537" s="387"/>
      <c r="T537" s="391" t="s">
        <v>2212</v>
      </c>
    </row>
    <row r="538" spans="1:20">
      <c r="A538" s="387" t="b">
        <v>1</v>
      </c>
      <c r="B538" s="387">
        <f t="shared" ca="1" si="100"/>
        <v>-224</v>
      </c>
      <c r="C538" s="401" t="s">
        <v>2667</v>
      </c>
      <c r="D538" s="401" t="s">
        <v>2664</v>
      </c>
      <c r="E538" s="387">
        <f t="shared" ca="1" si="101"/>
        <v>10</v>
      </c>
      <c r="F538" s="402">
        <v>2</v>
      </c>
      <c r="G538" s="391" t="s">
        <v>780</v>
      </c>
      <c r="H538" s="387" t="str">
        <f t="shared" ca="1" si="102"/>
        <v>row number</v>
      </c>
      <c r="I538" s="389">
        <v>95</v>
      </c>
      <c r="J538" s="392"/>
      <c r="K538" s="392"/>
      <c r="L538" s="391"/>
      <c r="M538" s="401" t="str">
        <f ca="1">IFERROR(IF(COUNTIF($B$526:$B537,"&lt;0")=1,"",OFFSET($C536,-COUNTIF($B$526:$B537,"&lt;0")+3,0)),"")</f>
        <v/>
      </c>
      <c r="N538" s="401" t="str">
        <f ca="1">IFERROR(IF(AND(_xlfn.ISFORMULA(I538),NOT(_xlfn.ISFORMULA(I537))),1,OFFSET($F536,-COUNTIF($B$526:B537,"&lt;0")+3,0)),"")</f>
        <v/>
      </c>
      <c r="O538" s="387">
        <f t="shared" ca="1" si="103"/>
        <v>10</v>
      </c>
      <c r="P538" s="387"/>
      <c r="Q538" s="387"/>
      <c r="R538" s="387"/>
      <c r="S538" s="387"/>
      <c r="T538" s="391" t="s">
        <v>2212</v>
      </c>
    </row>
    <row r="539" spans="1:20">
      <c r="A539" s="387" t="b">
        <v>1</v>
      </c>
      <c r="B539" s="387">
        <f t="shared" ca="1" si="100"/>
        <v>-223</v>
      </c>
      <c r="C539" s="401" t="s">
        <v>2668</v>
      </c>
      <c r="D539" s="401" t="s">
        <v>2664</v>
      </c>
      <c r="E539" s="387">
        <f t="shared" ca="1" si="101"/>
        <v>11</v>
      </c>
      <c r="F539" s="402">
        <v>2</v>
      </c>
      <c r="G539" s="391" t="s">
        <v>780</v>
      </c>
      <c r="H539" s="387" t="str">
        <f t="shared" ca="1" si="102"/>
        <v>row number</v>
      </c>
      <c r="I539" s="389">
        <v>95</v>
      </c>
      <c r="J539" s="392"/>
      <c r="K539" s="392"/>
      <c r="L539" s="391"/>
      <c r="M539" s="401" t="str">
        <f ca="1">IFERROR(IF(COUNTIF($B$526:$B538,"&lt;0")=1,"",OFFSET($C537,-COUNTIF($B$526:$B538,"&lt;0")+3,0)),"")</f>
        <v/>
      </c>
      <c r="N539" s="401" t="str">
        <f ca="1">IFERROR(IF(AND(_xlfn.ISFORMULA(I539),NOT(_xlfn.ISFORMULA(I538))),1,OFFSET($F537,-COUNTIF($B$526:B538,"&lt;0")+3,0)),"")</f>
        <v/>
      </c>
      <c r="O539" s="387">
        <f t="shared" ca="1" si="103"/>
        <v>11</v>
      </c>
      <c r="P539" s="387"/>
      <c r="Q539" s="387"/>
      <c r="R539" s="387"/>
      <c r="S539" s="387"/>
      <c r="T539" s="391" t="s">
        <v>2212</v>
      </c>
    </row>
    <row r="540" spans="1:20">
      <c r="A540" s="387" t="b">
        <v>1</v>
      </c>
      <c r="B540" s="387">
        <f t="shared" ca="1" si="100"/>
        <v>-222</v>
      </c>
      <c r="C540" s="401" t="s">
        <v>2669</v>
      </c>
      <c r="D540" s="401" t="s">
        <v>2664</v>
      </c>
      <c r="E540" s="387">
        <f t="shared" ca="1" si="101"/>
        <v>12</v>
      </c>
      <c r="F540" s="402">
        <v>2</v>
      </c>
      <c r="G540" s="391" t="s">
        <v>780</v>
      </c>
      <c r="H540" s="387" t="str">
        <f t="shared" ca="1" si="102"/>
        <v>row number</v>
      </c>
      <c r="I540" s="389">
        <v>95</v>
      </c>
      <c r="J540" s="392"/>
      <c r="K540" s="392"/>
      <c r="L540" s="391"/>
      <c r="M540" s="401" t="str">
        <f ca="1">IFERROR(IF(COUNTIF($B$526:$B539,"&lt;0")=1,"",OFFSET($C538,-COUNTIF($B$526:$B539,"&lt;0")+3,0)),"")</f>
        <v/>
      </c>
      <c r="N540" s="401" t="str">
        <f ca="1">IFERROR(IF(AND(_xlfn.ISFORMULA(I540),NOT(_xlfn.ISFORMULA(I539))),1,OFFSET($F538,-COUNTIF($B$526:B539,"&lt;0")+3,0)),"")</f>
        <v/>
      </c>
      <c r="O540" s="387">
        <f t="shared" ca="1" si="103"/>
        <v>12</v>
      </c>
      <c r="P540" s="387"/>
      <c r="Q540" s="387"/>
      <c r="R540" s="387"/>
      <c r="S540" s="387"/>
      <c r="T540" s="391" t="s">
        <v>2212</v>
      </c>
    </row>
    <row r="541" spans="1:20">
      <c r="A541" s="387" t="b">
        <v>1</v>
      </c>
      <c r="B541" s="387">
        <f t="shared" ca="1" si="100"/>
        <v>-221</v>
      </c>
      <c r="C541" s="401" t="s">
        <v>2670</v>
      </c>
      <c r="D541" s="401" t="s">
        <v>2671</v>
      </c>
      <c r="E541" s="387">
        <f t="shared" ca="1" si="101"/>
        <v>13</v>
      </c>
      <c r="F541" s="402">
        <v>3</v>
      </c>
      <c r="G541" s="391" t="s">
        <v>780</v>
      </c>
      <c r="H541" s="387" t="str">
        <f t="shared" ca="1" si="102"/>
        <v>row number</v>
      </c>
      <c r="I541" s="389">
        <v>20</v>
      </c>
      <c r="J541" s="392"/>
      <c r="K541" s="392"/>
      <c r="L541" s="391"/>
      <c r="M541" s="401" t="str">
        <f ca="1">IFERROR(IF(COUNTIF($B$526:$B540,"&lt;0")=1,"",OFFSET($C539,-COUNTIF($B$526:$B540,"&lt;0")+3,0)),"")</f>
        <v/>
      </c>
      <c r="N541" s="401" t="str">
        <f ca="1">IFERROR(IF(AND(_xlfn.ISFORMULA(I541),NOT(_xlfn.ISFORMULA(I540))),1,OFFSET($F539,-COUNTIF($B$526:B540,"&lt;0")+3,0)),"")</f>
        <v/>
      </c>
      <c r="O541" s="387">
        <f t="shared" ca="1" si="103"/>
        <v>13</v>
      </c>
      <c r="P541" s="387"/>
      <c r="Q541" s="387"/>
      <c r="R541" s="387"/>
      <c r="S541" s="387"/>
      <c r="T541" s="391" t="s">
        <v>2212</v>
      </c>
    </row>
    <row r="542" spans="1:20">
      <c r="A542" s="387" t="b">
        <v>1</v>
      </c>
      <c r="B542" s="387">
        <f t="shared" ca="1" si="100"/>
        <v>-220</v>
      </c>
      <c r="C542" s="401" t="s">
        <v>2672</v>
      </c>
      <c r="D542" s="401" t="s">
        <v>2671</v>
      </c>
      <c r="E542" s="387">
        <f t="shared" ca="1" si="101"/>
        <v>14</v>
      </c>
      <c r="F542" s="402">
        <v>3</v>
      </c>
      <c r="G542" s="391" t="s">
        <v>780</v>
      </c>
      <c r="H542" s="387" t="str">
        <f t="shared" ca="1" si="102"/>
        <v>row number</v>
      </c>
      <c r="I542" s="389">
        <v>20</v>
      </c>
      <c r="J542" s="392"/>
      <c r="K542" s="392"/>
      <c r="L542" s="391"/>
      <c r="M542" s="401" t="str">
        <f ca="1">IFERROR(IF(COUNTIF($B$526:$B541,"&lt;0")=1,"",OFFSET($C540,-COUNTIF($B$526:$B541,"&lt;0")+3,0)),"")</f>
        <v/>
      </c>
      <c r="N542" s="401" t="str">
        <f ca="1">IFERROR(IF(AND(_xlfn.ISFORMULA(I542),NOT(_xlfn.ISFORMULA(I541))),1,OFFSET($F540,-COUNTIF($B$526:B541,"&lt;0")+3,0)),"")</f>
        <v/>
      </c>
      <c r="O542" s="387">
        <f t="shared" ca="1" si="103"/>
        <v>14</v>
      </c>
      <c r="P542" s="387"/>
      <c r="Q542" s="387"/>
      <c r="R542" s="387"/>
      <c r="S542" s="387"/>
      <c r="T542" s="391" t="s">
        <v>2212</v>
      </c>
    </row>
    <row r="543" spans="1:20">
      <c r="A543" s="387" t="b">
        <v>1</v>
      </c>
      <c r="B543" s="387">
        <f t="shared" ca="1" si="100"/>
        <v>-219</v>
      </c>
      <c r="C543" s="401" t="s">
        <v>2673</v>
      </c>
      <c r="D543" s="401" t="s">
        <v>2671</v>
      </c>
      <c r="E543" s="387">
        <f t="shared" ca="1" si="101"/>
        <v>15</v>
      </c>
      <c r="F543" s="402">
        <v>3</v>
      </c>
      <c r="G543" s="391" t="s">
        <v>780</v>
      </c>
      <c r="H543" s="387" t="str">
        <f t="shared" ca="1" si="102"/>
        <v>row number</v>
      </c>
      <c r="I543" s="389">
        <v>30</v>
      </c>
      <c r="J543" s="392"/>
      <c r="K543" s="392"/>
      <c r="L543" s="391"/>
      <c r="M543" s="401" t="str">
        <f ca="1">IFERROR(IF(COUNTIF($B$526:$B542,"&lt;0")=1,"",OFFSET($C541,-COUNTIF($B$526:$B542,"&lt;0")+3,0)),"")</f>
        <v/>
      </c>
      <c r="N543" s="401" t="str">
        <f ca="1">IFERROR(IF(AND(_xlfn.ISFORMULA(I543),NOT(_xlfn.ISFORMULA(I542))),1,OFFSET($F541,-COUNTIF($B$526:B542,"&lt;0")+3,0)),"")</f>
        <v/>
      </c>
      <c r="O543" s="387">
        <f t="shared" ca="1" si="103"/>
        <v>15</v>
      </c>
      <c r="P543" s="387"/>
      <c r="Q543" s="387"/>
      <c r="R543" s="387"/>
      <c r="S543" s="387"/>
      <c r="T543" s="391" t="s">
        <v>2212</v>
      </c>
    </row>
    <row r="544" spans="1:20">
      <c r="A544" s="387" t="b">
        <v>1</v>
      </c>
      <c r="B544" s="387">
        <f t="shared" ca="1" si="100"/>
        <v>-218</v>
      </c>
      <c r="C544" s="401" t="s">
        <v>2674</v>
      </c>
      <c r="D544" s="401" t="s">
        <v>2671</v>
      </c>
      <c r="E544" s="387">
        <f t="shared" ca="1" si="101"/>
        <v>16</v>
      </c>
      <c r="F544" s="402">
        <v>3</v>
      </c>
      <c r="G544" s="391" t="s">
        <v>780</v>
      </c>
      <c r="H544" s="387" t="str">
        <f t="shared" ca="1" si="102"/>
        <v>row number</v>
      </c>
      <c r="I544" s="389">
        <v>30</v>
      </c>
      <c r="J544" s="392"/>
      <c r="K544" s="392"/>
      <c r="L544" s="391"/>
      <c r="M544" s="401" t="str">
        <f ca="1">IFERROR(IF(COUNTIF($B$526:$B543,"&lt;0")=1,"",OFFSET($C542,-COUNTIF($B$526:$B543,"&lt;0")+3,0)),"")</f>
        <v/>
      </c>
      <c r="N544" s="401" t="str">
        <f ca="1">IFERROR(IF(AND(_xlfn.ISFORMULA(I544),NOT(_xlfn.ISFORMULA(I543))),1,OFFSET($F542,-COUNTIF($B$526:B543,"&lt;0")+3,0)),"")</f>
        <v/>
      </c>
      <c r="O544" s="387">
        <f t="shared" ca="1" si="103"/>
        <v>16</v>
      </c>
      <c r="P544" s="387"/>
      <c r="Q544" s="387"/>
      <c r="R544" s="387"/>
      <c r="S544" s="387"/>
      <c r="T544" s="391" t="s">
        <v>2212</v>
      </c>
    </row>
    <row r="545" spans="1:20">
      <c r="A545" s="387" t="b">
        <v>1</v>
      </c>
      <c r="B545" s="387">
        <f t="shared" ca="1" si="100"/>
        <v>-217</v>
      </c>
      <c r="C545" s="401" t="s">
        <v>2675</v>
      </c>
      <c r="D545" s="401" t="s">
        <v>2671</v>
      </c>
      <c r="E545" s="387">
        <f t="shared" ca="1" si="101"/>
        <v>17</v>
      </c>
      <c r="F545" s="402">
        <v>3</v>
      </c>
      <c r="G545" s="391" t="s">
        <v>780</v>
      </c>
      <c r="H545" s="387" t="str">
        <f t="shared" ca="1" si="102"/>
        <v>row number</v>
      </c>
      <c r="I545" s="389">
        <v>45</v>
      </c>
      <c r="J545" s="392"/>
      <c r="K545" s="392"/>
      <c r="L545" s="391"/>
      <c r="M545" s="401" t="str">
        <f ca="1">IFERROR(IF(COUNTIF($B$526:$B544,"&lt;0")=1,"",OFFSET($C543,-COUNTIF($B$526:$B544,"&lt;0")+3,0)),"")</f>
        <v/>
      </c>
      <c r="N545" s="401" t="str">
        <f ca="1">IFERROR(IF(AND(_xlfn.ISFORMULA(I545),NOT(_xlfn.ISFORMULA(I544))),1,OFFSET($F543,-COUNTIF($B$526:B544,"&lt;0")+3,0)),"")</f>
        <v/>
      </c>
      <c r="O545" s="387">
        <f t="shared" ca="1" si="103"/>
        <v>17</v>
      </c>
      <c r="P545" s="387"/>
      <c r="Q545" s="387"/>
      <c r="R545" s="387"/>
      <c r="S545" s="387"/>
      <c r="T545" s="391" t="s">
        <v>2212</v>
      </c>
    </row>
    <row r="546" spans="1:20">
      <c r="A546" s="387" t="b">
        <v>1</v>
      </c>
      <c r="B546" s="387">
        <f t="shared" ca="1" si="100"/>
        <v>-216</v>
      </c>
      <c r="C546" s="401" t="s">
        <v>2676</v>
      </c>
      <c r="D546" s="401" t="s">
        <v>2671</v>
      </c>
      <c r="E546" s="387">
        <f t="shared" ca="1" si="101"/>
        <v>18</v>
      </c>
      <c r="F546" s="402">
        <v>3</v>
      </c>
      <c r="G546" s="391" t="s">
        <v>780</v>
      </c>
      <c r="H546" s="387" t="str">
        <f t="shared" ca="1" si="102"/>
        <v>row number</v>
      </c>
      <c r="I546" s="389">
        <v>45</v>
      </c>
      <c r="J546" s="392"/>
      <c r="K546" s="392"/>
      <c r="L546" s="391"/>
      <c r="M546" s="401" t="str">
        <f ca="1">IFERROR(IF(COUNTIF($B$526:$B545,"&lt;0")=1,"",OFFSET($C544,-COUNTIF($B$526:$B545,"&lt;0")+3,0)),"")</f>
        <v/>
      </c>
      <c r="N546" s="401" t="str">
        <f ca="1">IFERROR(IF(AND(_xlfn.ISFORMULA(I546),NOT(_xlfn.ISFORMULA(I545))),1,OFFSET($F544,-COUNTIF($B$526:B545,"&lt;0")+3,0)),"")</f>
        <v/>
      </c>
      <c r="O546" s="387">
        <f t="shared" ca="1" si="103"/>
        <v>18</v>
      </c>
      <c r="P546" s="387"/>
      <c r="Q546" s="387"/>
      <c r="R546" s="387"/>
      <c r="S546" s="387"/>
      <c r="T546" s="391" t="s">
        <v>2212</v>
      </c>
    </row>
    <row r="547" spans="1:20">
      <c r="A547" s="387" t="b">
        <v>1</v>
      </c>
      <c r="B547" s="387">
        <f t="shared" ca="1" si="100"/>
        <v>-215</v>
      </c>
      <c r="C547" s="401" t="s">
        <v>2677</v>
      </c>
      <c r="D547" s="401" t="s">
        <v>2678</v>
      </c>
      <c r="E547" s="387">
        <f t="shared" ca="1" si="101"/>
        <v>19</v>
      </c>
      <c r="F547" s="402">
        <v>4</v>
      </c>
      <c r="G547" s="391" t="s">
        <v>2199</v>
      </c>
      <c r="H547" s="387" t="str">
        <f t="shared" ca="1" si="102"/>
        <v>row number</v>
      </c>
      <c r="I547" s="389"/>
      <c r="J547" s="392"/>
      <c r="K547" s="392">
        <v>1241.5</v>
      </c>
      <c r="L547" s="391"/>
      <c r="M547" s="401" t="str">
        <f ca="1">IFERROR(IF(COUNTIF($B$526:$B546,"&lt;0")=1,"",OFFSET($C545,-COUNTIF($B$526:$B546,"&lt;0")+3,0)),"")</f>
        <v/>
      </c>
      <c r="N547" s="401" t="str">
        <f ca="1">IFERROR(IF(AND(_xlfn.ISFORMULA(I547),NOT(_xlfn.ISFORMULA(I546))),1,OFFSET($F545,-COUNTIF($B$526:B546,"&lt;0")+3,0)),"")</f>
        <v/>
      </c>
      <c r="O547" s="387">
        <f t="shared" ca="1" si="103"/>
        <v>19</v>
      </c>
      <c r="P547" s="387"/>
      <c r="Q547" s="387"/>
      <c r="R547" s="387"/>
      <c r="S547" s="387"/>
      <c r="T547" s="391" t="s">
        <v>2212</v>
      </c>
    </row>
    <row r="548" spans="1:20">
      <c r="A548" s="387" t="b">
        <v>1</v>
      </c>
      <c r="B548" s="387">
        <f t="shared" ca="1" si="100"/>
        <v>-214</v>
      </c>
      <c r="C548" s="401" t="s">
        <v>2679</v>
      </c>
      <c r="D548" s="401" t="s">
        <v>2678</v>
      </c>
      <c r="E548" s="387">
        <f t="shared" ca="1" si="101"/>
        <v>20</v>
      </c>
      <c r="F548" s="402">
        <v>4</v>
      </c>
      <c r="G548" s="391" t="s">
        <v>2199</v>
      </c>
      <c r="H548" s="387" t="str">
        <f t="shared" ca="1" si="102"/>
        <v>row number</v>
      </c>
      <c r="I548" s="389"/>
      <c r="J548" s="392"/>
      <c r="K548" s="392">
        <v>1241.5</v>
      </c>
      <c r="L548" s="391"/>
      <c r="M548" s="401" t="str">
        <f ca="1">IFERROR(IF(COUNTIF($B$526:$B547,"&lt;0")=1,"",OFFSET($C546,-COUNTIF($B$526:$B547,"&lt;0")+3,0)),"")</f>
        <v/>
      </c>
      <c r="N548" s="401" t="str">
        <f ca="1">IFERROR(IF(AND(_xlfn.ISFORMULA(I548),NOT(_xlfn.ISFORMULA(I547))),1,OFFSET($F546,-COUNTIF($B$526:B547,"&lt;0")+3,0)),"")</f>
        <v/>
      </c>
      <c r="O548" s="387">
        <f t="shared" ca="1" si="103"/>
        <v>20</v>
      </c>
      <c r="P548" s="387"/>
      <c r="Q548" s="387"/>
      <c r="R548" s="387"/>
      <c r="S548" s="387"/>
      <c r="T548" s="391" t="s">
        <v>2212</v>
      </c>
    </row>
    <row r="549" spans="1:20">
      <c r="A549" s="387" t="b">
        <v>1</v>
      </c>
      <c r="B549" s="387">
        <f t="shared" ca="1" si="100"/>
        <v>-213</v>
      </c>
      <c r="C549" s="401" t="s">
        <v>2680</v>
      </c>
      <c r="D549" s="401" t="s">
        <v>2678</v>
      </c>
      <c r="E549" s="387">
        <f t="shared" ca="1" si="101"/>
        <v>21</v>
      </c>
      <c r="F549" s="402">
        <v>4</v>
      </c>
      <c r="G549" s="391" t="s">
        <v>2199</v>
      </c>
      <c r="H549" s="387" t="str">
        <f t="shared" ca="1" si="102"/>
        <v>row number</v>
      </c>
      <c r="I549" s="389"/>
      <c r="J549" s="392"/>
      <c r="K549" s="392">
        <v>1592.5</v>
      </c>
      <c r="L549" s="391"/>
      <c r="M549" s="401" t="str">
        <f ca="1">IFERROR(IF(COUNTIF($B$526:$B548,"&lt;0")=1,"",OFFSET($C547,-COUNTIF($B$526:$B548,"&lt;0")+3,0)),"")</f>
        <v/>
      </c>
      <c r="N549" s="401" t="str">
        <f ca="1">IFERROR(IF(AND(_xlfn.ISFORMULA(I549),NOT(_xlfn.ISFORMULA(I548))),1,OFFSET($F547,-COUNTIF($B$526:B548,"&lt;0")+3,0)),"")</f>
        <v/>
      </c>
      <c r="O549" s="387">
        <f t="shared" ca="1" si="103"/>
        <v>21</v>
      </c>
      <c r="P549" s="387"/>
      <c r="Q549" s="387"/>
      <c r="R549" s="387"/>
      <c r="S549" s="387"/>
      <c r="T549" s="391" t="s">
        <v>2212</v>
      </c>
    </row>
    <row r="550" spans="1:20">
      <c r="A550" s="387" t="b">
        <v>1</v>
      </c>
      <c r="B550" s="387">
        <f t="shared" ca="1" si="100"/>
        <v>-212</v>
      </c>
      <c r="C550" s="401" t="s">
        <v>2681</v>
      </c>
      <c r="D550" s="401" t="s">
        <v>2678</v>
      </c>
      <c r="E550" s="387">
        <f t="shared" ca="1" si="101"/>
        <v>22</v>
      </c>
      <c r="F550" s="402">
        <v>4</v>
      </c>
      <c r="G550" s="391" t="s">
        <v>2199</v>
      </c>
      <c r="H550" s="387" t="str">
        <f t="shared" ca="1" si="102"/>
        <v>row number</v>
      </c>
      <c r="I550" s="389"/>
      <c r="J550" s="392"/>
      <c r="K550" s="392">
        <v>1592.5</v>
      </c>
      <c r="L550" s="391"/>
      <c r="M550" s="401" t="str">
        <f ca="1">IFERROR(IF(COUNTIF($B$526:$B549,"&lt;0")=1,"",OFFSET($C548,-COUNTIF($B$526:$B549,"&lt;0")+3,0)),"")</f>
        <v/>
      </c>
      <c r="N550" s="401" t="str">
        <f ca="1">IFERROR(IF(AND(_xlfn.ISFORMULA(I550),NOT(_xlfn.ISFORMULA(I549))),1,OFFSET($F548,-COUNTIF($B$526:B549,"&lt;0")+3,0)),"")</f>
        <v/>
      </c>
      <c r="O550" s="387">
        <f t="shared" ca="1" si="103"/>
        <v>22</v>
      </c>
      <c r="P550" s="387"/>
      <c r="Q550" s="387"/>
      <c r="R550" s="387"/>
      <c r="S550" s="387"/>
      <c r="T550" s="391" t="s">
        <v>2212</v>
      </c>
    </row>
    <row r="551" spans="1:20">
      <c r="A551" s="387" t="b">
        <v>1</v>
      </c>
      <c r="B551" s="387">
        <f t="shared" ca="1" si="100"/>
        <v>-211</v>
      </c>
      <c r="C551" s="401" t="s">
        <v>2682</v>
      </c>
      <c r="D551" s="401" t="s">
        <v>2678</v>
      </c>
      <c r="E551" s="387">
        <f t="shared" ca="1" si="101"/>
        <v>23</v>
      </c>
      <c r="F551" s="402">
        <v>4</v>
      </c>
      <c r="G551" s="391" t="s">
        <v>2199</v>
      </c>
      <c r="H551" s="387" t="str">
        <f t="shared" ca="1" si="102"/>
        <v>row number</v>
      </c>
      <c r="I551" s="389"/>
      <c r="J551" s="392"/>
      <c r="K551" s="392">
        <v>2031.5</v>
      </c>
      <c r="L551" s="391"/>
      <c r="M551" s="401" t="str">
        <f ca="1">IFERROR(IF(COUNTIF($B$526:$B550,"&lt;0")=1,"",OFFSET($C549,-COUNTIF($B$526:$B550,"&lt;0")+3,0)),"")</f>
        <v/>
      </c>
      <c r="N551" s="401" t="str">
        <f ca="1">IFERROR(IF(AND(_xlfn.ISFORMULA(I551),NOT(_xlfn.ISFORMULA(I550))),1,OFFSET($F549,-COUNTIF($B$526:B550,"&lt;0")+3,0)),"")</f>
        <v/>
      </c>
      <c r="O551" s="387">
        <f t="shared" ca="1" si="103"/>
        <v>23</v>
      </c>
      <c r="P551" s="387"/>
      <c r="Q551" s="387"/>
      <c r="R551" s="387"/>
      <c r="S551" s="387"/>
      <c r="T551" s="391" t="s">
        <v>2212</v>
      </c>
    </row>
    <row r="552" spans="1:20">
      <c r="A552" s="387" t="b">
        <v>1</v>
      </c>
      <c r="B552" s="387">
        <f t="shared" ca="1" si="100"/>
        <v>-210</v>
      </c>
      <c r="C552" s="401" t="s">
        <v>2683</v>
      </c>
      <c r="D552" s="401" t="s">
        <v>2678</v>
      </c>
      <c r="E552" s="387">
        <f t="shared" ca="1" si="101"/>
        <v>24</v>
      </c>
      <c r="F552" s="402">
        <v>4</v>
      </c>
      <c r="G552" s="391" t="s">
        <v>2199</v>
      </c>
      <c r="H552" s="387" t="str">
        <f t="shared" ca="1" si="102"/>
        <v>row number</v>
      </c>
      <c r="I552" s="389"/>
      <c r="J552" s="392"/>
      <c r="K552" s="392">
        <v>2031.5</v>
      </c>
      <c r="L552" s="391"/>
      <c r="M552" s="401" t="str">
        <f ca="1">IFERROR(IF(COUNTIF($B$526:$B551,"&lt;0")=1,"",OFFSET($C550,-COUNTIF($B$526:$B551,"&lt;0")+3,0)),"")</f>
        <v/>
      </c>
      <c r="N552" s="401" t="str">
        <f ca="1">IFERROR(IF(AND(_xlfn.ISFORMULA(I552),NOT(_xlfn.ISFORMULA(I551))),1,OFFSET($F550,-COUNTIF($B$526:B551,"&lt;0")+3,0)),"")</f>
        <v/>
      </c>
      <c r="O552" s="387">
        <f t="shared" ca="1" si="103"/>
        <v>24</v>
      </c>
      <c r="P552" s="387"/>
      <c r="Q552" s="387"/>
      <c r="R552" s="387"/>
      <c r="S552" s="387"/>
      <c r="T552" s="391" t="s">
        <v>2212</v>
      </c>
    </row>
    <row r="553" spans="1:20">
      <c r="A553" s="387" t="b">
        <v>1</v>
      </c>
      <c r="B553" s="387">
        <f t="shared" ca="1" si="100"/>
        <v>-209</v>
      </c>
      <c r="C553" s="401" t="s">
        <v>2684</v>
      </c>
      <c r="D553" s="401" t="s">
        <v>2685</v>
      </c>
      <c r="E553" s="387">
        <f t="shared" ca="1" si="101"/>
        <v>25</v>
      </c>
      <c r="F553" s="402">
        <v>5</v>
      </c>
      <c r="G553" s="391" t="s">
        <v>780</v>
      </c>
      <c r="H553" s="387" t="str">
        <f t="shared" ca="1" si="102"/>
        <v>row number</v>
      </c>
      <c r="I553" s="389">
        <v>100</v>
      </c>
      <c r="J553" s="392"/>
      <c r="K553" s="392"/>
      <c r="L553" s="391"/>
      <c r="M553" s="401" t="str">
        <f ca="1">IFERROR(IF(COUNTIF($B$526:$B552,"&lt;0")=1,"",OFFSET($C551,-COUNTIF($B$526:$B552,"&lt;0")+3,0)),"")</f>
        <v/>
      </c>
      <c r="N553" s="401" t="str">
        <f ca="1">IFERROR(IF(AND(_xlfn.ISFORMULA(I553),NOT(_xlfn.ISFORMULA(I552))),1,OFFSET($F551,-COUNTIF($B$526:B552,"&lt;0")+3,0)),"")</f>
        <v/>
      </c>
      <c r="O553" s="387">
        <f t="shared" ca="1" si="103"/>
        <v>25</v>
      </c>
      <c r="P553" s="387"/>
      <c r="Q553" s="387"/>
      <c r="R553" s="387"/>
      <c r="S553" s="387"/>
      <c r="T553" s="391" t="s">
        <v>2212</v>
      </c>
    </row>
    <row r="554" spans="1:20">
      <c r="A554" s="387" t="b">
        <v>1</v>
      </c>
      <c r="B554" s="387">
        <f t="shared" ca="1" si="100"/>
        <v>-208</v>
      </c>
      <c r="C554" s="401" t="s">
        <v>2686</v>
      </c>
      <c r="D554" s="401" t="s">
        <v>2685</v>
      </c>
      <c r="E554" s="387">
        <f t="shared" ca="1" si="101"/>
        <v>26</v>
      </c>
      <c r="F554" s="402">
        <v>5</v>
      </c>
      <c r="G554" s="391" t="s">
        <v>780</v>
      </c>
      <c r="H554" s="387" t="str">
        <f t="shared" ca="1" si="102"/>
        <v>row number</v>
      </c>
      <c r="I554" s="389">
        <v>100</v>
      </c>
      <c r="J554" s="392"/>
      <c r="K554" s="392"/>
      <c r="L554" s="391"/>
      <c r="M554" s="401" t="str">
        <f ca="1">IFERROR(IF(COUNTIF($B$526:$B553,"&lt;0")=1,"",OFFSET($C552,-COUNTIF($B$526:$B553,"&lt;0")+3,0)),"")</f>
        <v/>
      </c>
      <c r="N554" s="401" t="str">
        <f ca="1">IFERROR(IF(AND(_xlfn.ISFORMULA(I554),NOT(_xlfn.ISFORMULA(I553))),1,OFFSET($F552,-COUNTIF($B$526:B553,"&lt;0")+3,0)),"")</f>
        <v/>
      </c>
      <c r="O554" s="387">
        <f t="shared" ca="1" si="103"/>
        <v>26</v>
      </c>
      <c r="P554" s="387"/>
      <c r="Q554" s="387"/>
      <c r="R554" s="387"/>
      <c r="S554" s="387"/>
      <c r="T554" s="391" t="s">
        <v>2212</v>
      </c>
    </row>
    <row r="555" spans="1:20">
      <c r="A555" s="387" t="b">
        <v>1</v>
      </c>
      <c r="B555" s="387">
        <f t="shared" ca="1" si="100"/>
        <v>-207</v>
      </c>
      <c r="C555" s="401" t="s">
        <v>2687</v>
      </c>
      <c r="D555" s="401" t="s">
        <v>2685</v>
      </c>
      <c r="E555" s="387">
        <f t="shared" ca="1" si="101"/>
        <v>27</v>
      </c>
      <c r="F555" s="402">
        <v>5</v>
      </c>
      <c r="G555" s="391" t="s">
        <v>780</v>
      </c>
      <c r="H555" s="387" t="str">
        <f t="shared" ca="1" si="102"/>
        <v>row number</v>
      </c>
      <c r="I555" s="389">
        <v>100</v>
      </c>
      <c r="J555" s="392"/>
      <c r="K555" s="392"/>
      <c r="L555" s="391"/>
      <c r="M555" s="401" t="str">
        <f ca="1">IFERROR(IF(COUNTIF($B$526:$B554,"&lt;0")=1,"",OFFSET($C553,-COUNTIF($B$526:$B554,"&lt;0")+3,0)),"")</f>
        <v/>
      </c>
      <c r="N555" s="401" t="str">
        <f ca="1">IFERROR(IF(AND(_xlfn.ISFORMULA(I555),NOT(_xlfn.ISFORMULA(I554))),1,OFFSET($F553,-COUNTIF($B$526:B554,"&lt;0")+3,0)),"")</f>
        <v/>
      </c>
      <c r="O555" s="387">
        <f t="shared" ca="1" si="103"/>
        <v>27</v>
      </c>
      <c r="P555" s="387"/>
      <c r="Q555" s="387"/>
      <c r="R555" s="387"/>
      <c r="S555" s="387"/>
      <c r="T555" s="391" t="s">
        <v>2212</v>
      </c>
    </row>
    <row r="556" spans="1:20">
      <c r="A556" s="387" t="b">
        <v>1</v>
      </c>
      <c r="B556" s="387">
        <f t="shared" ca="1" si="100"/>
        <v>-206</v>
      </c>
      <c r="C556" s="401" t="s">
        <v>2688</v>
      </c>
      <c r="D556" s="401" t="s">
        <v>2685</v>
      </c>
      <c r="E556" s="387">
        <f t="shared" ca="1" si="101"/>
        <v>28</v>
      </c>
      <c r="F556" s="402">
        <v>5</v>
      </c>
      <c r="G556" s="391" t="s">
        <v>780</v>
      </c>
      <c r="H556" s="387" t="str">
        <f t="shared" ca="1" si="102"/>
        <v>row number</v>
      </c>
      <c r="I556" s="389">
        <v>100</v>
      </c>
      <c r="J556" s="392"/>
      <c r="K556" s="392"/>
      <c r="L556" s="391"/>
      <c r="M556" s="401" t="str">
        <f ca="1">IFERROR(IF(COUNTIF($B$526:$B555,"&lt;0")=1,"",OFFSET($C554,-COUNTIF($B$526:$B555,"&lt;0")+3,0)),"")</f>
        <v/>
      </c>
      <c r="N556" s="401" t="str">
        <f ca="1">IFERROR(IF(AND(_xlfn.ISFORMULA(I556),NOT(_xlfn.ISFORMULA(I555))),1,OFFSET($F554,-COUNTIF($B$526:B555,"&lt;0")+3,0)),"")</f>
        <v/>
      </c>
      <c r="O556" s="387">
        <f t="shared" ca="1" si="103"/>
        <v>28</v>
      </c>
      <c r="P556" s="387"/>
      <c r="Q556" s="387"/>
      <c r="R556" s="387"/>
      <c r="S556" s="387"/>
      <c r="T556" s="391" t="s">
        <v>2212</v>
      </c>
    </row>
    <row r="557" spans="1:20">
      <c r="A557" s="387" t="b">
        <v>1</v>
      </c>
      <c r="B557" s="387">
        <f t="shared" ca="1" si="100"/>
        <v>-205</v>
      </c>
      <c r="C557" s="401" t="s">
        <v>2689</v>
      </c>
      <c r="D557" s="401" t="s">
        <v>2685</v>
      </c>
      <c r="E557" s="387">
        <f t="shared" ca="1" si="101"/>
        <v>29</v>
      </c>
      <c r="F557" s="402">
        <v>5</v>
      </c>
      <c r="G557" s="391" t="s">
        <v>780</v>
      </c>
      <c r="H557" s="387" t="str">
        <f t="shared" ca="1" si="102"/>
        <v>row number</v>
      </c>
      <c r="I557" s="389">
        <v>100</v>
      </c>
      <c r="J557" s="392"/>
      <c r="K557" s="392"/>
      <c r="L557" s="391"/>
      <c r="M557" s="401" t="str">
        <f ca="1">IFERROR(IF(COUNTIF($B$526:$B556,"&lt;0")=1,"",OFFSET($C555,-COUNTIF($B$526:$B556,"&lt;0")+3,0)),"")</f>
        <v/>
      </c>
      <c r="N557" s="401" t="str">
        <f ca="1">IFERROR(IF(AND(_xlfn.ISFORMULA(I557),NOT(_xlfn.ISFORMULA(I556))),1,OFFSET($F555,-COUNTIF($B$526:B556,"&lt;0")+3,0)),"")</f>
        <v/>
      </c>
      <c r="O557" s="387">
        <f t="shared" ca="1" si="103"/>
        <v>29</v>
      </c>
      <c r="P557" s="387"/>
      <c r="Q557" s="387"/>
      <c r="R557" s="387"/>
      <c r="S557" s="387"/>
      <c r="T557" s="391" t="s">
        <v>2212</v>
      </c>
    </row>
    <row r="558" spans="1:20">
      <c r="A558" s="387" t="b">
        <v>1</v>
      </c>
      <c r="B558" s="387">
        <f t="shared" ca="1" si="100"/>
        <v>-204</v>
      </c>
      <c r="C558" s="401" t="s">
        <v>2690</v>
      </c>
      <c r="D558" s="401" t="s">
        <v>2685</v>
      </c>
      <c r="E558" s="387">
        <f t="shared" ca="1" si="101"/>
        <v>30</v>
      </c>
      <c r="F558" s="402">
        <v>5</v>
      </c>
      <c r="G558" s="391" t="s">
        <v>780</v>
      </c>
      <c r="H558" s="387" t="str">
        <f t="shared" ca="1" si="102"/>
        <v>row number</v>
      </c>
      <c r="I558" s="389">
        <v>100</v>
      </c>
      <c r="J558" s="392"/>
      <c r="K558" s="392"/>
      <c r="L558" s="391"/>
      <c r="M558" s="401" t="str">
        <f ca="1">IFERROR(IF(COUNTIF($B$526:$B557,"&lt;0")=1,"",OFFSET($C556,-COUNTIF($B$526:$B557,"&lt;0")+3,0)),"")</f>
        <v/>
      </c>
      <c r="N558" s="401" t="str">
        <f ca="1">IFERROR(IF(AND(_xlfn.ISFORMULA(I558),NOT(_xlfn.ISFORMULA(I557))),1,OFFSET($F556,-COUNTIF($B$526:B557,"&lt;0")+3,0)),"")</f>
        <v/>
      </c>
      <c r="O558" s="387">
        <f t="shared" ca="1" si="103"/>
        <v>30</v>
      </c>
      <c r="P558" s="387"/>
      <c r="Q558" s="387"/>
      <c r="R558" s="387"/>
      <c r="S558" s="387"/>
      <c r="T558" s="391" t="s">
        <v>2212</v>
      </c>
    </row>
    <row r="559" spans="1:20">
      <c r="A559" s="387" t="b">
        <v>1</v>
      </c>
      <c r="B559" s="387">
        <f t="shared" ca="1" si="100"/>
        <v>-203</v>
      </c>
      <c r="C559" s="401" t="s">
        <v>2691</v>
      </c>
      <c r="D559" s="401" t="s">
        <v>2692</v>
      </c>
      <c r="E559" s="387">
        <f t="shared" ca="1" si="101"/>
        <v>31</v>
      </c>
      <c r="F559" s="402">
        <v>6</v>
      </c>
      <c r="G559" s="391" t="s">
        <v>780</v>
      </c>
      <c r="H559" s="387" t="str">
        <f t="shared" ca="1" si="102"/>
        <v>row number</v>
      </c>
      <c r="I559" s="389"/>
      <c r="J559" s="392"/>
      <c r="K559" s="392">
        <v>37290.5</v>
      </c>
      <c r="L559" s="391"/>
      <c r="M559" s="401" t="str">
        <f ca="1">IFERROR(IF(COUNTIF($B$526:$B558,"&lt;0")=1,"",OFFSET($C557,-COUNTIF($B$526:$B558,"&lt;0")+3,0)),"")</f>
        <v/>
      </c>
      <c r="N559" s="401" t="str">
        <f ca="1">IFERROR(IF(AND(_xlfn.ISFORMULA(I559),NOT(_xlfn.ISFORMULA(I558))),1,OFFSET($F557,-COUNTIF($B$526:B558,"&lt;0")+3,0)),"")</f>
        <v/>
      </c>
      <c r="O559" s="387">
        <f t="shared" ca="1" si="103"/>
        <v>31</v>
      </c>
      <c r="P559" s="387"/>
      <c r="Q559" s="387"/>
      <c r="R559" s="387"/>
      <c r="S559" s="387"/>
      <c r="T559" s="391" t="s">
        <v>2212</v>
      </c>
    </row>
    <row r="560" spans="1:20">
      <c r="A560" s="387" t="b">
        <v>1</v>
      </c>
      <c r="B560" s="387">
        <f t="shared" ca="1" si="100"/>
        <v>-202</v>
      </c>
      <c r="C560" s="401" t="s">
        <v>2693</v>
      </c>
      <c r="D560" s="401" t="s">
        <v>2692</v>
      </c>
      <c r="E560" s="387">
        <f t="shared" ca="1" si="101"/>
        <v>32</v>
      </c>
      <c r="F560" s="402">
        <v>6</v>
      </c>
      <c r="G560" s="391" t="s">
        <v>780</v>
      </c>
      <c r="H560" s="387" t="str">
        <f t="shared" ca="1" si="102"/>
        <v>row number</v>
      </c>
      <c r="I560" s="389"/>
      <c r="J560" s="392"/>
      <c r="K560" s="392">
        <v>37290.5</v>
      </c>
      <c r="L560" s="391"/>
      <c r="M560" s="401" t="str">
        <f ca="1">IFERROR(IF(COUNTIF($B$526:$B559,"&lt;0")=1,"",OFFSET($C558,-COUNTIF($B$526:$B559,"&lt;0")+3,0)),"")</f>
        <v/>
      </c>
      <c r="N560" s="401" t="str">
        <f ca="1">IFERROR(IF(AND(_xlfn.ISFORMULA(I560),NOT(_xlfn.ISFORMULA(I559))),1,OFFSET($F558,-COUNTIF($B$526:B559,"&lt;0")+3,0)),"")</f>
        <v/>
      </c>
      <c r="O560" s="387">
        <f t="shared" ca="1" si="103"/>
        <v>32</v>
      </c>
      <c r="P560" s="387"/>
      <c r="Q560" s="387"/>
      <c r="R560" s="387"/>
      <c r="S560" s="387"/>
      <c r="T560" s="391" t="s">
        <v>2212</v>
      </c>
    </row>
    <row r="561" spans="1:20">
      <c r="A561" s="387" t="b">
        <v>1</v>
      </c>
      <c r="B561" s="387">
        <f t="shared" ca="1" si="100"/>
        <v>-201</v>
      </c>
      <c r="C561" s="401" t="s">
        <v>2694</v>
      </c>
      <c r="D561" s="401" t="s">
        <v>2692</v>
      </c>
      <c r="E561" s="387">
        <f t="shared" ca="1" si="101"/>
        <v>33</v>
      </c>
      <c r="F561" s="402">
        <v>6</v>
      </c>
      <c r="G561" s="391" t="s">
        <v>780</v>
      </c>
      <c r="H561" s="387" t="str">
        <f t="shared" ca="1" si="102"/>
        <v>row number</v>
      </c>
      <c r="I561" s="389"/>
      <c r="J561" s="392"/>
      <c r="K561" s="392">
        <v>48975</v>
      </c>
      <c r="L561" s="391"/>
      <c r="M561" s="401" t="str">
        <f ca="1">IFERROR(IF(COUNTIF($B$526:$B560,"&lt;0")=1,"",OFFSET($C559,-COUNTIF($B$526:$B560,"&lt;0")+3,0)),"")</f>
        <v/>
      </c>
      <c r="N561" s="401" t="str">
        <f ca="1">IFERROR(IF(AND(_xlfn.ISFORMULA(I561),NOT(_xlfn.ISFORMULA(I560))),1,OFFSET($F559,-COUNTIF($B$526:B560,"&lt;0")+3,0)),"")</f>
        <v/>
      </c>
      <c r="O561" s="387">
        <f t="shared" ca="1" si="103"/>
        <v>33</v>
      </c>
      <c r="P561" s="387"/>
      <c r="Q561" s="387"/>
      <c r="R561" s="387"/>
      <c r="S561" s="387"/>
      <c r="T561" s="391" t="s">
        <v>2212</v>
      </c>
    </row>
    <row r="562" spans="1:20">
      <c r="A562" s="387" t="b">
        <v>1</v>
      </c>
      <c r="B562" s="387">
        <f t="shared" ca="1" si="100"/>
        <v>-200</v>
      </c>
      <c r="C562" s="401" t="s">
        <v>2695</v>
      </c>
      <c r="D562" s="401" t="s">
        <v>2692</v>
      </c>
      <c r="E562" s="387">
        <f t="shared" ca="1" si="101"/>
        <v>34</v>
      </c>
      <c r="F562" s="402">
        <v>6</v>
      </c>
      <c r="G562" s="391" t="s">
        <v>780</v>
      </c>
      <c r="H562" s="387" t="str">
        <f t="shared" ca="1" si="102"/>
        <v>row number</v>
      </c>
      <c r="I562" s="389"/>
      <c r="J562" s="392"/>
      <c r="K562" s="392">
        <v>48975</v>
      </c>
      <c r="L562" s="391"/>
      <c r="M562" s="401" t="str">
        <f ca="1">IFERROR(IF(COUNTIF($B$526:$B561,"&lt;0")=1,"",OFFSET($C560,-COUNTIF($B$526:$B561,"&lt;0")+3,0)),"")</f>
        <v/>
      </c>
      <c r="N562" s="401" t="str">
        <f ca="1">IFERROR(IF(AND(_xlfn.ISFORMULA(I562),NOT(_xlfn.ISFORMULA(I561))),1,OFFSET($F560,-COUNTIF($B$526:B561,"&lt;0")+3,0)),"")</f>
        <v/>
      </c>
      <c r="O562" s="387">
        <f t="shared" ca="1" si="103"/>
        <v>34</v>
      </c>
      <c r="P562" s="387"/>
      <c r="Q562" s="387"/>
      <c r="R562" s="387"/>
      <c r="S562" s="387"/>
      <c r="T562" s="391" t="s">
        <v>2212</v>
      </c>
    </row>
    <row r="563" spans="1:20">
      <c r="A563" s="387" t="b">
        <v>1</v>
      </c>
      <c r="B563" s="387">
        <f t="shared" ca="1" si="100"/>
        <v>-199</v>
      </c>
      <c r="C563" s="401" t="s">
        <v>2696</v>
      </c>
      <c r="D563" s="401" t="s">
        <v>2692</v>
      </c>
      <c r="E563" s="387">
        <f t="shared" ca="1" si="101"/>
        <v>35</v>
      </c>
      <c r="F563" s="402">
        <v>6</v>
      </c>
      <c r="G563" s="391" t="s">
        <v>780</v>
      </c>
      <c r="H563" s="387" t="str">
        <f t="shared" ca="1" si="102"/>
        <v>row number</v>
      </c>
      <c r="I563" s="389"/>
      <c r="J563" s="392"/>
      <c r="K563" s="392">
        <v>59005.5</v>
      </c>
      <c r="L563" s="391"/>
      <c r="M563" s="401" t="str">
        <f ca="1">IFERROR(IF(COUNTIF($B$526:$B562,"&lt;0")=1,"",OFFSET($C561,-COUNTIF($B$526:$B562,"&lt;0")+3,0)),"")</f>
        <v/>
      </c>
      <c r="N563" s="401" t="str">
        <f ca="1">IFERROR(IF(AND(_xlfn.ISFORMULA(I563),NOT(_xlfn.ISFORMULA(I562))),1,OFFSET($F561,-COUNTIF($B$526:B562,"&lt;0")+3,0)),"")</f>
        <v/>
      </c>
      <c r="O563" s="387">
        <f t="shared" ca="1" si="103"/>
        <v>35</v>
      </c>
      <c r="P563" s="387"/>
      <c r="Q563" s="387"/>
      <c r="R563" s="387"/>
      <c r="S563" s="387"/>
      <c r="T563" s="391" t="s">
        <v>2212</v>
      </c>
    </row>
    <row r="564" spans="1:20">
      <c r="A564" s="387" t="b">
        <v>1</v>
      </c>
      <c r="B564" s="387">
        <f t="shared" ca="1" si="100"/>
        <v>-198</v>
      </c>
      <c r="C564" s="401" t="s">
        <v>2697</v>
      </c>
      <c r="D564" s="401" t="s">
        <v>2692</v>
      </c>
      <c r="E564" s="387">
        <f t="shared" ca="1" si="101"/>
        <v>36</v>
      </c>
      <c r="F564" s="402">
        <v>6</v>
      </c>
      <c r="G564" s="391" t="s">
        <v>780</v>
      </c>
      <c r="H564" s="387" t="str">
        <f t="shared" ca="1" si="102"/>
        <v>row number</v>
      </c>
      <c r="I564" s="389"/>
      <c r="J564" s="392"/>
      <c r="K564" s="392">
        <v>59005.5</v>
      </c>
      <c r="L564" s="391"/>
      <c r="M564" s="401" t="str">
        <f ca="1">IFERROR(IF(COUNTIF($B$526:$B563,"&lt;0")=1,"",OFFSET($C562,-COUNTIF($B$526:$B563,"&lt;0")+3,0)),"")</f>
        <v/>
      </c>
      <c r="N564" s="401" t="str">
        <f ca="1">IFERROR(IF(AND(_xlfn.ISFORMULA(I564),NOT(_xlfn.ISFORMULA(I563))),1,OFFSET($F562,-COUNTIF($B$526:B563,"&lt;0")+3,0)),"")</f>
        <v/>
      </c>
      <c r="O564" s="387">
        <f t="shared" ca="1" si="103"/>
        <v>36</v>
      </c>
      <c r="P564" s="387"/>
      <c r="Q564" s="387"/>
      <c r="R564" s="387"/>
      <c r="S564" s="387"/>
      <c r="T564" s="391" t="s">
        <v>2212</v>
      </c>
    </row>
    <row r="565" spans="1:20">
      <c r="A565" s="387" t="b">
        <v>1</v>
      </c>
      <c r="B565" s="387">
        <f t="shared" ca="1" si="100"/>
        <v>-197</v>
      </c>
      <c r="C565" s="401" t="s">
        <v>2698</v>
      </c>
      <c r="D565" s="401" t="s">
        <v>2699</v>
      </c>
      <c r="E565" s="387">
        <f t="shared" ca="1" si="101"/>
        <v>37</v>
      </c>
      <c r="F565" s="402">
        <v>7</v>
      </c>
      <c r="G565" s="391" t="s">
        <v>2211</v>
      </c>
      <c r="H565" s="387" t="str">
        <f t="shared" ca="1" si="102"/>
        <v>row number</v>
      </c>
      <c r="I565" s="389"/>
      <c r="J565" s="392"/>
      <c r="K565" s="392">
        <v>1220</v>
      </c>
      <c r="L565" s="391"/>
      <c r="M565" s="401" t="str">
        <f ca="1">IFERROR(IF(COUNTIF($B$526:$B564,"&lt;0")=1,"",OFFSET($C563,-COUNTIF($B$526:$B564,"&lt;0")+3,0)),"")</f>
        <v/>
      </c>
      <c r="N565" s="401" t="str">
        <f ca="1">IFERROR(IF(AND(_xlfn.ISFORMULA(I565),NOT(_xlfn.ISFORMULA(I564))),1,OFFSET($F563,-COUNTIF($B$526:B564,"&lt;0")+3,0)),"")</f>
        <v/>
      </c>
      <c r="O565" s="387">
        <f t="shared" ca="1" si="103"/>
        <v>37</v>
      </c>
      <c r="P565" s="387"/>
      <c r="Q565" s="387"/>
      <c r="R565" s="387"/>
      <c r="S565" s="387"/>
      <c r="T565" s="391" t="s">
        <v>2212</v>
      </c>
    </row>
    <row r="566" spans="1:20">
      <c r="A566" s="387" t="b">
        <v>1</v>
      </c>
      <c r="B566" s="387">
        <f t="shared" ca="1" si="100"/>
        <v>-196</v>
      </c>
      <c r="C566" s="401" t="s">
        <v>2700</v>
      </c>
      <c r="D566" s="401" t="s">
        <v>2699</v>
      </c>
      <c r="E566" s="387">
        <f t="shared" ca="1" si="101"/>
        <v>38</v>
      </c>
      <c r="F566" s="402">
        <v>7</v>
      </c>
      <c r="G566" s="391" t="s">
        <v>2211</v>
      </c>
      <c r="H566" s="387" t="str">
        <f t="shared" ca="1" si="102"/>
        <v>row number</v>
      </c>
      <c r="I566" s="389"/>
      <c r="J566" s="392"/>
      <c r="K566" s="392">
        <v>1220</v>
      </c>
      <c r="L566" s="391"/>
      <c r="M566" s="401" t="str">
        <f ca="1">IFERROR(IF(COUNTIF($B$526:$B565,"&lt;0")=1,"",OFFSET($C564,-COUNTIF($B$526:$B565,"&lt;0")+3,0)),"")</f>
        <v/>
      </c>
      <c r="N566" s="401" t="str">
        <f ca="1">IFERROR(IF(AND(_xlfn.ISFORMULA(I566),NOT(_xlfn.ISFORMULA(I565))),1,OFFSET($F564,-COUNTIF($B$526:B565,"&lt;0")+3,0)),"")</f>
        <v/>
      </c>
      <c r="O566" s="387">
        <f t="shared" ca="1" si="103"/>
        <v>38</v>
      </c>
      <c r="P566" s="387"/>
      <c r="Q566" s="387"/>
      <c r="R566" s="387"/>
      <c r="S566" s="387"/>
      <c r="T566" s="391" t="s">
        <v>2212</v>
      </c>
    </row>
    <row r="567" spans="1:20">
      <c r="A567" s="387" t="b">
        <v>1</v>
      </c>
      <c r="B567" s="387">
        <f t="shared" ca="1" si="100"/>
        <v>-195</v>
      </c>
      <c r="C567" s="401" t="s">
        <v>2701</v>
      </c>
      <c r="D567" s="401" t="s">
        <v>2699</v>
      </c>
      <c r="E567" s="387">
        <f t="shared" ca="1" si="101"/>
        <v>39</v>
      </c>
      <c r="F567" s="402">
        <v>7</v>
      </c>
      <c r="G567" s="391" t="s">
        <v>2211</v>
      </c>
      <c r="H567" s="387" t="str">
        <f t="shared" ca="1" si="102"/>
        <v>row number</v>
      </c>
      <c r="I567" s="389"/>
      <c r="J567" s="392"/>
      <c r="K567" s="392">
        <v>1269</v>
      </c>
      <c r="L567" s="391"/>
      <c r="M567" s="401" t="str">
        <f ca="1">IFERROR(IF(COUNTIF($B$526:$B566,"&lt;0")=1,"",OFFSET($C565,-COUNTIF($B$526:$B566,"&lt;0")+3,0)),"")</f>
        <v/>
      </c>
      <c r="N567" s="401" t="str">
        <f ca="1">IFERROR(IF(AND(_xlfn.ISFORMULA(I567),NOT(_xlfn.ISFORMULA(I566))),1,OFFSET($F565,-COUNTIF($B$526:B566,"&lt;0")+3,0)),"")</f>
        <v/>
      </c>
      <c r="O567" s="387">
        <f t="shared" ca="1" si="103"/>
        <v>39</v>
      </c>
      <c r="P567" s="387"/>
      <c r="Q567" s="387"/>
      <c r="R567" s="387"/>
      <c r="S567" s="387"/>
      <c r="T567" s="391" t="s">
        <v>2212</v>
      </c>
    </row>
    <row r="568" spans="1:20">
      <c r="A568" s="387" t="b">
        <v>1</v>
      </c>
      <c r="B568" s="387">
        <f t="shared" ca="1" si="100"/>
        <v>-194</v>
      </c>
      <c r="C568" s="401" t="s">
        <v>2702</v>
      </c>
      <c r="D568" s="401" t="s">
        <v>2699</v>
      </c>
      <c r="E568" s="387">
        <f t="shared" ca="1" si="101"/>
        <v>40</v>
      </c>
      <c r="F568" s="402">
        <v>7</v>
      </c>
      <c r="G568" s="391" t="s">
        <v>2211</v>
      </c>
      <c r="H568" s="387" t="str">
        <f t="shared" ca="1" si="102"/>
        <v>row number</v>
      </c>
      <c r="I568" s="389"/>
      <c r="J568" s="392"/>
      <c r="K568" s="392">
        <v>1269</v>
      </c>
      <c r="L568" s="391"/>
      <c r="M568" s="401" t="str">
        <f ca="1">IFERROR(IF(COUNTIF($B$526:$B567,"&lt;0")=1,"",OFFSET($C566,-COUNTIF($B$526:$B567,"&lt;0")+3,0)),"")</f>
        <v/>
      </c>
      <c r="N568" s="401" t="str">
        <f ca="1">IFERROR(IF(AND(_xlfn.ISFORMULA(I568),NOT(_xlfn.ISFORMULA(I567))),1,OFFSET($F566,-COUNTIF($B$526:B567,"&lt;0")+3,0)),"")</f>
        <v/>
      </c>
      <c r="O568" s="387">
        <f t="shared" ca="1" si="103"/>
        <v>40</v>
      </c>
      <c r="P568" s="387"/>
      <c r="Q568" s="387"/>
      <c r="R568" s="387"/>
      <c r="S568" s="387"/>
      <c r="T568" s="391" t="s">
        <v>2212</v>
      </c>
    </row>
    <row r="569" spans="1:20">
      <c r="A569" s="387" t="b">
        <v>1</v>
      </c>
      <c r="B569" s="387">
        <f t="shared" ca="1" si="100"/>
        <v>-193</v>
      </c>
      <c r="C569" s="401" t="s">
        <v>2703</v>
      </c>
      <c r="D569" s="401" t="s">
        <v>2699</v>
      </c>
      <c r="E569" s="387">
        <f t="shared" ca="1" si="101"/>
        <v>41</v>
      </c>
      <c r="F569" s="402">
        <v>7</v>
      </c>
      <c r="G569" s="391" t="s">
        <v>2211</v>
      </c>
      <c r="H569" s="387" t="str">
        <f t="shared" ca="1" si="102"/>
        <v>row number</v>
      </c>
      <c r="I569" s="389"/>
      <c r="J569" s="392"/>
      <c r="K569" s="392">
        <v>1319.5</v>
      </c>
      <c r="L569" s="391"/>
      <c r="M569" s="401" t="str">
        <f ca="1">IFERROR(IF(COUNTIF($B$526:$B568,"&lt;0")=1,"",OFFSET($C567,-COUNTIF($B$526:$B568,"&lt;0")+3,0)),"")</f>
        <v/>
      </c>
      <c r="N569" s="401" t="str">
        <f ca="1">IFERROR(IF(AND(_xlfn.ISFORMULA(I569),NOT(_xlfn.ISFORMULA(I568))),1,OFFSET($F567,-COUNTIF($B$526:B568,"&lt;0")+3,0)),"")</f>
        <v/>
      </c>
      <c r="O569" s="387">
        <f t="shared" ca="1" si="103"/>
        <v>41</v>
      </c>
      <c r="P569" s="387"/>
      <c r="Q569" s="387"/>
      <c r="R569" s="387"/>
      <c r="S569" s="387"/>
      <c r="T569" s="391" t="s">
        <v>2212</v>
      </c>
    </row>
    <row r="570" spans="1:20">
      <c r="A570" s="387" t="b">
        <v>1</v>
      </c>
      <c r="B570" s="387">
        <f t="shared" ca="1" si="100"/>
        <v>-192</v>
      </c>
      <c r="C570" s="401" t="s">
        <v>2704</v>
      </c>
      <c r="D570" s="401" t="s">
        <v>2699</v>
      </c>
      <c r="E570" s="387">
        <f t="shared" ca="1" si="101"/>
        <v>42</v>
      </c>
      <c r="F570" s="402">
        <v>7</v>
      </c>
      <c r="G570" s="391" t="s">
        <v>2211</v>
      </c>
      <c r="H570" s="387" t="str">
        <f t="shared" ca="1" si="102"/>
        <v>row number</v>
      </c>
      <c r="I570" s="389"/>
      <c r="J570" s="392"/>
      <c r="K570" s="392">
        <v>1319.5</v>
      </c>
      <c r="L570" s="391"/>
      <c r="M570" s="401" t="str">
        <f ca="1">IFERROR(IF(COUNTIF($B$526:$B569,"&lt;0")=1,"",OFFSET($C568,-COUNTIF($B$526:$B569,"&lt;0")+3,0)),"")</f>
        <v/>
      </c>
      <c r="N570" s="401" t="str">
        <f ca="1">IFERROR(IF(AND(_xlfn.ISFORMULA(I570),NOT(_xlfn.ISFORMULA(I569))),1,OFFSET($F568,-COUNTIF($B$526:B569,"&lt;0")+3,0)),"")</f>
        <v/>
      </c>
      <c r="O570" s="387">
        <f t="shared" ca="1" si="103"/>
        <v>42</v>
      </c>
      <c r="P570" s="387"/>
      <c r="Q570" s="387"/>
      <c r="R570" s="387"/>
      <c r="S570" s="387"/>
      <c r="T570" s="391" t="s">
        <v>2212</v>
      </c>
    </row>
    <row r="571" spans="1:20">
      <c r="A571" s="387" t="b">
        <v>1</v>
      </c>
      <c r="B571" s="387">
        <f t="shared" ca="1" si="100"/>
        <v>-191</v>
      </c>
      <c r="C571" s="401" t="s">
        <v>2705</v>
      </c>
      <c r="D571" s="401" t="s">
        <v>2706</v>
      </c>
      <c r="E571" s="387">
        <f t="shared" ca="1" si="101"/>
        <v>43</v>
      </c>
      <c r="F571" s="402">
        <v>8</v>
      </c>
      <c r="G571" s="391" t="s">
        <v>2211</v>
      </c>
      <c r="H571" s="387" t="str">
        <f t="shared" ca="1" si="102"/>
        <v>row number</v>
      </c>
      <c r="I571" s="389"/>
      <c r="J571" s="392"/>
      <c r="K571" s="392">
        <v>6211</v>
      </c>
      <c r="L571" s="391"/>
      <c r="M571" s="401" t="str">
        <f ca="1">IFERROR(IF(COUNTIF($B$526:$B570,"&lt;0")=1,"",OFFSET($C569,-COUNTIF($B$526:$B570,"&lt;0")+3,0)),"")</f>
        <v/>
      </c>
      <c r="N571" s="401" t="str">
        <f ca="1">IFERROR(IF(AND(_xlfn.ISFORMULA(I571),NOT(_xlfn.ISFORMULA(I570))),1,OFFSET($F569,-COUNTIF($B$526:B570,"&lt;0")+3,0)),"")</f>
        <v/>
      </c>
      <c r="O571" s="387">
        <f t="shared" ca="1" si="103"/>
        <v>43</v>
      </c>
      <c r="P571" s="387"/>
      <c r="Q571" s="387"/>
      <c r="R571" s="387"/>
      <c r="S571" s="387"/>
      <c r="T571" s="391" t="s">
        <v>2212</v>
      </c>
    </row>
    <row r="572" spans="1:20">
      <c r="A572" s="387" t="b">
        <v>1</v>
      </c>
      <c r="B572" s="387">
        <f t="shared" ca="1" si="100"/>
        <v>-190</v>
      </c>
      <c r="C572" s="401" t="s">
        <v>2707</v>
      </c>
      <c r="D572" s="401" t="s">
        <v>2706</v>
      </c>
      <c r="E572" s="387">
        <f t="shared" ca="1" si="101"/>
        <v>44</v>
      </c>
      <c r="F572" s="402">
        <v>8</v>
      </c>
      <c r="G572" s="391" t="s">
        <v>2211</v>
      </c>
      <c r="H572" s="387" t="str">
        <f t="shared" ca="1" si="102"/>
        <v>row number</v>
      </c>
      <c r="I572" s="389"/>
      <c r="J572" s="392"/>
      <c r="K572" s="392">
        <v>6211</v>
      </c>
      <c r="L572" s="391"/>
      <c r="M572" s="401" t="str">
        <f ca="1">IFERROR(IF(COUNTIF($B$526:$B571,"&lt;0")=1,"",OFFSET($C570,-COUNTIF($B$526:$B571,"&lt;0")+3,0)),"")</f>
        <v/>
      </c>
      <c r="N572" s="401" t="str">
        <f ca="1">IFERROR(IF(AND(_xlfn.ISFORMULA(I572),NOT(_xlfn.ISFORMULA(I571))),1,OFFSET($F570,-COUNTIF($B$526:B571,"&lt;0")+3,0)),"")</f>
        <v/>
      </c>
      <c r="O572" s="387">
        <f t="shared" ca="1" si="103"/>
        <v>44</v>
      </c>
      <c r="P572" s="387"/>
      <c r="Q572" s="387"/>
      <c r="R572" s="387"/>
      <c r="S572" s="387"/>
      <c r="T572" s="391" t="s">
        <v>2212</v>
      </c>
    </row>
    <row r="573" spans="1:20">
      <c r="A573" s="387" t="b">
        <v>1</v>
      </c>
      <c r="B573" s="387">
        <f t="shared" ca="1" si="100"/>
        <v>-189</v>
      </c>
      <c r="C573" s="401" t="s">
        <v>2708</v>
      </c>
      <c r="D573" s="401" t="s">
        <v>2706</v>
      </c>
      <c r="E573" s="387">
        <f t="shared" ca="1" si="101"/>
        <v>45</v>
      </c>
      <c r="F573" s="402">
        <v>8</v>
      </c>
      <c r="G573" s="391" t="s">
        <v>2211</v>
      </c>
      <c r="H573" s="387" t="str">
        <f t="shared" ca="1" si="102"/>
        <v>row number</v>
      </c>
      <c r="I573" s="389"/>
      <c r="J573" s="392"/>
      <c r="K573" s="392">
        <v>7143</v>
      </c>
      <c r="L573" s="391"/>
      <c r="M573" s="401" t="str">
        <f ca="1">IFERROR(IF(COUNTIF($B$526:$B572,"&lt;0")=1,"",OFFSET($C571,-COUNTIF($B$526:$B572,"&lt;0")+3,0)),"")</f>
        <v/>
      </c>
      <c r="N573" s="401" t="str">
        <f ca="1">IFERROR(IF(AND(_xlfn.ISFORMULA(I573),NOT(_xlfn.ISFORMULA(I572))),1,OFFSET($F571,-COUNTIF($B$526:B572,"&lt;0")+3,0)),"")</f>
        <v/>
      </c>
      <c r="O573" s="387">
        <f t="shared" ca="1" si="103"/>
        <v>45</v>
      </c>
      <c r="P573" s="387"/>
      <c r="Q573" s="387"/>
      <c r="R573" s="387"/>
      <c r="S573" s="387"/>
      <c r="T573" s="391" t="s">
        <v>2212</v>
      </c>
    </row>
    <row r="574" spans="1:20">
      <c r="A574" s="387" t="b">
        <v>1</v>
      </c>
      <c r="B574" s="387">
        <f t="shared" ca="1" si="100"/>
        <v>-188</v>
      </c>
      <c r="C574" s="401" t="s">
        <v>2709</v>
      </c>
      <c r="D574" s="401" t="s">
        <v>2706</v>
      </c>
      <c r="E574" s="387">
        <f t="shared" ca="1" si="101"/>
        <v>46</v>
      </c>
      <c r="F574" s="402">
        <v>8</v>
      </c>
      <c r="G574" s="391" t="s">
        <v>2211</v>
      </c>
      <c r="H574" s="387" t="str">
        <f t="shared" ca="1" si="102"/>
        <v>row number</v>
      </c>
      <c r="I574" s="389"/>
      <c r="J574" s="392"/>
      <c r="K574" s="392">
        <v>7143</v>
      </c>
      <c r="L574" s="391"/>
      <c r="M574" s="401" t="str">
        <f ca="1">IFERROR(IF(COUNTIF($B$526:$B573,"&lt;0")=1,"",OFFSET($C572,-COUNTIF($B$526:$B573,"&lt;0")+3,0)),"")</f>
        <v/>
      </c>
      <c r="N574" s="401" t="str">
        <f ca="1">IFERROR(IF(AND(_xlfn.ISFORMULA(I574),NOT(_xlfn.ISFORMULA(I573))),1,OFFSET($F572,-COUNTIF($B$526:B573,"&lt;0")+3,0)),"")</f>
        <v/>
      </c>
      <c r="O574" s="387">
        <f t="shared" ca="1" si="103"/>
        <v>46</v>
      </c>
      <c r="P574" s="387"/>
      <c r="Q574" s="387"/>
      <c r="R574" s="387"/>
      <c r="S574" s="387"/>
      <c r="T574" s="391" t="s">
        <v>2212</v>
      </c>
    </row>
    <row r="575" spans="1:20">
      <c r="A575" s="387" t="b">
        <v>1</v>
      </c>
      <c r="B575" s="387">
        <f t="shared" ca="1" si="100"/>
        <v>-187</v>
      </c>
      <c r="C575" s="401" t="s">
        <v>2710</v>
      </c>
      <c r="D575" s="401" t="s">
        <v>2706</v>
      </c>
      <c r="E575" s="387">
        <f t="shared" ca="1" si="101"/>
        <v>47</v>
      </c>
      <c r="F575" s="402">
        <v>8</v>
      </c>
      <c r="G575" s="391" t="s">
        <v>2211</v>
      </c>
      <c r="H575" s="387" t="str">
        <f t="shared" ca="1" si="102"/>
        <v>row number</v>
      </c>
      <c r="I575" s="389"/>
      <c r="J575" s="392"/>
      <c r="K575" s="392">
        <v>8214</v>
      </c>
      <c r="L575" s="391"/>
      <c r="M575" s="401" t="str">
        <f ca="1">IFERROR(IF(COUNTIF($B$526:$B574,"&lt;0")=1,"",OFFSET($C573,-COUNTIF($B$526:$B574,"&lt;0")+3,0)),"")</f>
        <v/>
      </c>
      <c r="N575" s="401" t="str">
        <f ca="1">IFERROR(IF(AND(_xlfn.ISFORMULA(I575),NOT(_xlfn.ISFORMULA(I574))),1,OFFSET($F573,-COUNTIF($B$526:B574,"&lt;0")+3,0)),"")</f>
        <v/>
      </c>
      <c r="O575" s="387">
        <f t="shared" ca="1" si="103"/>
        <v>47</v>
      </c>
      <c r="P575" s="387"/>
      <c r="Q575" s="387"/>
      <c r="R575" s="387"/>
      <c r="S575" s="387"/>
      <c r="T575" s="391" t="s">
        <v>2212</v>
      </c>
    </row>
    <row r="576" spans="1:20">
      <c r="A576" s="387" t="b">
        <v>1</v>
      </c>
      <c r="B576" s="387">
        <f t="shared" ca="1" si="100"/>
        <v>-186</v>
      </c>
      <c r="C576" s="401" t="s">
        <v>2711</v>
      </c>
      <c r="D576" s="401" t="s">
        <v>2706</v>
      </c>
      <c r="E576" s="387">
        <f t="shared" ca="1" si="101"/>
        <v>48</v>
      </c>
      <c r="F576" s="402">
        <v>8</v>
      </c>
      <c r="G576" s="391" t="s">
        <v>2211</v>
      </c>
      <c r="H576" s="387" t="str">
        <f t="shared" ca="1" si="102"/>
        <v>row number</v>
      </c>
      <c r="I576" s="389"/>
      <c r="J576" s="392"/>
      <c r="K576" s="392">
        <v>8214</v>
      </c>
      <c r="L576" s="391"/>
      <c r="M576" s="401" t="str">
        <f ca="1">IFERROR(IF(COUNTIF($B$526:$B575,"&lt;0")=1,"",OFFSET($C574,-COUNTIF($B$526:$B575,"&lt;0")+3,0)),"")</f>
        <v/>
      </c>
      <c r="N576" s="401" t="str">
        <f ca="1">IFERROR(IF(AND(_xlfn.ISFORMULA(I576),NOT(_xlfn.ISFORMULA(I575))),1,OFFSET($F574,-COUNTIF($B$526:B575,"&lt;0")+3,0)),"")</f>
        <v/>
      </c>
      <c r="O576" s="387">
        <f t="shared" ca="1" si="103"/>
        <v>48</v>
      </c>
      <c r="P576" s="387"/>
      <c r="Q576" s="387"/>
      <c r="R576" s="387"/>
      <c r="S576" s="387"/>
      <c r="T576" s="391" t="s">
        <v>2212</v>
      </c>
    </row>
    <row r="577" spans="1:20">
      <c r="A577" s="387" t="b">
        <v>1</v>
      </c>
      <c r="B577" s="387">
        <f t="shared" ca="1" si="100"/>
        <v>-185</v>
      </c>
      <c r="C577" s="401" t="s">
        <v>2712</v>
      </c>
      <c r="D577" s="401" t="s">
        <v>2713</v>
      </c>
      <c r="E577" s="387">
        <f t="shared" ca="1" si="101"/>
        <v>49</v>
      </c>
      <c r="F577" s="402">
        <v>9</v>
      </c>
      <c r="G577" s="391" t="s">
        <v>780</v>
      </c>
      <c r="H577" s="387" t="str">
        <f t="shared" ca="1" si="102"/>
        <v>row number</v>
      </c>
      <c r="I577" s="389">
        <v>80</v>
      </c>
      <c r="J577" s="392"/>
      <c r="K577" s="392"/>
      <c r="L577" s="391"/>
      <c r="M577" s="401" t="str">
        <f ca="1">IFERROR(IF(COUNTIF($B$526:$B576,"&lt;0")=1,"",OFFSET($C575,-COUNTIF($B$526:$B576,"&lt;0")+3,0)),"")</f>
        <v/>
      </c>
      <c r="N577" s="401" t="str">
        <f ca="1">IFERROR(IF(AND(_xlfn.ISFORMULA(I577),NOT(_xlfn.ISFORMULA(I576))),1,OFFSET($F575,-COUNTIF($B$526:B576,"&lt;0")+3,0)),"")</f>
        <v/>
      </c>
      <c r="O577" s="387">
        <f t="shared" ca="1" si="103"/>
        <v>49</v>
      </c>
      <c r="P577" s="387"/>
      <c r="Q577" s="387"/>
      <c r="R577" s="387"/>
      <c r="S577" s="387"/>
      <c r="T577" s="391" t="s">
        <v>2212</v>
      </c>
    </row>
    <row r="578" spans="1:20">
      <c r="A578" s="387" t="b">
        <v>1</v>
      </c>
      <c r="B578" s="387">
        <f t="shared" ca="1" si="100"/>
        <v>-184</v>
      </c>
      <c r="C578" s="401" t="s">
        <v>2714</v>
      </c>
      <c r="D578" s="401" t="s">
        <v>2713</v>
      </c>
      <c r="E578" s="387">
        <f t="shared" ca="1" si="101"/>
        <v>50</v>
      </c>
      <c r="F578" s="402">
        <v>9</v>
      </c>
      <c r="G578" s="391" t="s">
        <v>780</v>
      </c>
      <c r="H578" s="387" t="str">
        <f t="shared" ca="1" si="102"/>
        <v>row number</v>
      </c>
      <c r="I578" s="389">
        <v>80</v>
      </c>
      <c r="J578" s="392"/>
      <c r="K578" s="392"/>
      <c r="L578" s="391"/>
      <c r="M578" s="401" t="str">
        <f ca="1">IFERROR(IF(COUNTIF($B$526:$B577,"&lt;0")=1,"",OFFSET($C576,-COUNTIF($B$526:$B577,"&lt;0")+3,0)),"")</f>
        <v/>
      </c>
      <c r="N578" s="401" t="str">
        <f ca="1">IFERROR(IF(AND(_xlfn.ISFORMULA(I578),NOT(_xlfn.ISFORMULA(I577))),1,OFFSET($F576,-COUNTIF($B$526:B577,"&lt;0")+3,0)),"")</f>
        <v/>
      </c>
      <c r="O578" s="387">
        <f t="shared" ca="1" si="103"/>
        <v>50</v>
      </c>
      <c r="P578" s="387"/>
      <c r="Q578" s="387"/>
      <c r="R578" s="387"/>
      <c r="S578" s="387"/>
      <c r="T578" s="391" t="s">
        <v>2212</v>
      </c>
    </row>
    <row r="579" spans="1:20">
      <c r="A579" s="387" t="b">
        <v>1</v>
      </c>
      <c r="B579" s="387">
        <f t="shared" ca="1" si="100"/>
        <v>-183</v>
      </c>
      <c r="C579" s="401" t="s">
        <v>2715</v>
      </c>
      <c r="D579" s="401" t="s">
        <v>2713</v>
      </c>
      <c r="E579" s="387">
        <f t="shared" ca="1" si="101"/>
        <v>51</v>
      </c>
      <c r="F579" s="402">
        <v>9</v>
      </c>
      <c r="G579" s="391" t="s">
        <v>780</v>
      </c>
      <c r="H579" s="387" t="str">
        <f t="shared" ca="1" si="102"/>
        <v>row number</v>
      </c>
      <c r="I579" s="389">
        <v>85</v>
      </c>
      <c r="J579" s="392"/>
      <c r="K579" s="392"/>
      <c r="L579" s="391"/>
      <c r="M579" s="401" t="str">
        <f ca="1">IFERROR(IF(COUNTIF($B$526:$B578,"&lt;0")=1,"",OFFSET($C577,-COUNTIF($B$526:$B578,"&lt;0")+3,0)),"")</f>
        <v/>
      </c>
      <c r="N579" s="401" t="str">
        <f ca="1">IFERROR(IF(AND(_xlfn.ISFORMULA(I579),NOT(_xlfn.ISFORMULA(I578))),1,OFFSET($F577,-COUNTIF($B$526:B578,"&lt;0")+3,0)),"")</f>
        <v/>
      </c>
      <c r="O579" s="387">
        <f t="shared" ca="1" si="103"/>
        <v>51</v>
      </c>
      <c r="P579" s="387"/>
      <c r="Q579" s="387"/>
      <c r="R579" s="387"/>
      <c r="S579" s="387"/>
      <c r="T579" s="391" t="s">
        <v>2212</v>
      </c>
    </row>
    <row r="580" spans="1:20">
      <c r="A580" s="387" t="b">
        <v>1</v>
      </c>
      <c r="B580" s="387">
        <f t="shared" ca="1" si="100"/>
        <v>-182</v>
      </c>
      <c r="C580" s="401" t="s">
        <v>2716</v>
      </c>
      <c r="D580" s="401" t="s">
        <v>2713</v>
      </c>
      <c r="E580" s="387">
        <f t="shared" ca="1" si="101"/>
        <v>52</v>
      </c>
      <c r="F580" s="402">
        <v>9</v>
      </c>
      <c r="G580" s="391" t="s">
        <v>780</v>
      </c>
      <c r="H580" s="387" t="str">
        <f t="shared" ca="1" si="102"/>
        <v>row number</v>
      </c>
      <c r="I580" s="389">
        <v>85</v>
      </c>
      <c r="J580" s="392"/>
      <c r="K580" s="392"/>
      <c r="L580" s="391"/>
      <c r="M580" s="401" t="str">
        <f ca="1">IFERROR(IF(COUNTIF($B$526:$B579,"&lt;0")=1,"",OFFSET($C578,-COUNTIF($B$526:$B579,"&lt;0")+3,0)),"")</f>
        <v/>
      </c>
      <c r="N580" s="401" t="str">
        <f ca="1">IFERROR(IF(AND(_xlfn.ISFORMULA(I580),NOT(_xlfn.ISFORMULA(I579))),1,OFFSET($F578,-COUNTIF($B$526:B579,"&lt;0")+3,0)),"")</f>
        <v/>
      </c>
      <c r="O580" s="387">
        <f t="shared" ca="1" si="103"/>
        <v>52</v>
      </c>
      <c r="P580" s="387"/>
      <c r="Q580" s="387"/>
      <c r="R580" s="387"/>
      <c r="S580" s="387"/>
      <c r="T580" s="391" t="s">
        <v>2212</v>
      </c>
    </row>
    <row r="581" spans="1:20">
      <c r="A581" s="387" t="b">
        <v>1</v>
      </c>
      <c r="B581" s="387">
        <f t="shared" ca="1" si="100"/>
        <v>-181</v>
      </c>
      <c r="C581" s="401" t="s">
        <v>2717</v>
      </c>
      <c r="D581" s="401" t="s">
        <v>2713</v>
      </c>
      <c r="E581" s="387">
        <f t="shared" ca="1" si="101"/>
        <v>53</v>
      </c>
      <c r="F581" s="402">
        <v>9</v>
      </c>
      <c r="G581" s="391" t="s">
        <v>780</v>
      </c>
      <c r="H581" s="387" t="str">
        <f t="shared" ca="1" si="102"/>
        <v>row number</v>
      </c>
      <c r="I581" s="389">
        <v>90</v>
      </c>
      <c r="J581" s="392"/>
      <c r="K581" s="392"/>
      <c r="L581" s="391"/>
      <c r="M581" s="401" t="str">
        <f ca="1">IFERROR(IF(COUNTIF($B$526:$B580,"&lt;0")=1,"",OFFSET($C579,-COUNTIF($B$526:$B580,"&lt;0")+3,0)),"")</f>
        <v/>
      </c>
      <c r="N581" s="401" t="str">
        <f ca="1">IFERROR(IF(AND(_xlfn.ISFORMULA(I581),NOT(_xlfn.ISFORMULA(I580))),1,OFFSET($F579,-COUNTIF($B$526:B580,"&lt;0")+3,0)),"")</f>
        <v/>
      </c>
      <c r="O581" s="387">
        <f t="shared" ca="1" si="103"/>
        <v>53</v>
      </c>
      <c r="P581" s="387"/>
      <c r="Q581" s="387"/>
      <c r="R581" s="387"/>
      <c r="S581" s="387"/>
      <c r="T581" s="391" t="s">
        <v>2212</v>
      </c>
    </row>
    <row r="582" spans="1:20">
      <c r="A582" s="387" t="b">
        <v>1</v>
      </c>
      <c r="B582" s="387">
        <f t="shared" ca="1" si="100"/>
        <v>-180</v>
      </c>
      <c r="C582" s="401" t="s">
        <v>2718</v>
      </c>
      <c r="D582" s="401" t="s">
        <v>2713</v>
      </c>
      <c r="E582" s="387">
        <f t="shared" ca="1" si="101"/>
        <v>54</v>
      </c>
      <c r="F582" s="402">
        <v>9</v>
      </c>
      <c r="G582" s="391" t="s">
        <v>780</v>
      </c>
      <c r="H582" s="387" t="str">
        <f t="shared" ca="1" si="102"/>
        <v>row number</v>
      </c>
      <c r="I582" s="389">
        <v>90</v>
      </c>
      <c r="J582" s="392"/>
      <c r="K582" s="392"/>
      <c r="L582" s="391"/>
      <c r="M582" s="401" t="str">
        <f ca="1">IFERROR(IF(COUNTIF($B$526:$B581,"&lt;0")=1,"",OFFSET($C580,-COUNTIF($B$526:$B581,"&lt;0")+3,0)),"")</f>
        <v/>
      </c>
      <c r="N582" s="401" t="str">
        <f ca="1">IFERROR(IF(AND(_xlfn.ISFORMULA(I582),NOT(_xlfn.ISFORMULA(I581))),1,OFFSET($F580,-COUNTIF($B$526:B581,"&lt;0")+3,0)),"")</f>
        <v/>
      </c>
      <c r="O582" s="387">
        <f t="shared" ca="1" si="103"/>
        <v>54</v>
      </c>
      <c r="P582" s="387"/>
      <c r="Q582" s="387"/>
      <c r="R582" s="387"/>
      <c r="S582" s="387"/>
      <c r="T582" s="391" t="s">
        <v>2212</v>
      </c>
    </row>
    <row r="583" spans="1:20">
      <c r="A583" s="387" t="b">
        <v>1</v>
      </c>
      <c r="B583" s="387">
        <f t="shared" ca="1" si="100"/>
        <v>-179</v>
      </c>
      <c r="C583" s="401" t="s">
        <v>2719</v>
      </c>
      <c r="D583" s="401" t="s">
        <v>2720</v>
      </c>
      <c r="E583" s="387">
        <f t="shared" ca="1" si="101"/>
        <v>55</v>
      </c>
      <c r="F583" s="402">
        <v>10</v>
      </c>
      <c r="G583" s="391" t="s">
        <v>780</v>
      </c>
      <c r="H583" s="387" t="str">
        <f t="shared" ca="1" si="102"/>
        <v>row number</v>
      </c>
      <c r="I583" s="389">
        <v>90</v>
      </c>
      <c r="J583" s="392"/>
      <c r="K583" s="392"/>
      <c r="L583" s="391"/>
      <c r="M583" s="401" t="str">
        <f ca="1">IFERROR(IF(COUNTIF($B$526:$B582,"&lt;0")=1,"",OFFSET($C581,-COUNTIF($B$526:$B582,"&lt;0")+3,0)),"")</f>
        <v/>
      </c>
      <c r="N583" s="401" t="str">
        <f ca="1">IFERROR(IF(AND(_xlfn.ISFORMULA(I583),NOT(_xlfn.ISFORMULA(I582))),1,OFFSET($F581,-COUNTIF($B$526:B582,"&lt;0")+3,0)),"")</f>
        <v/>
      </c>
      <c r="O583" s="387">
        <f t="shared" ca="1" si="103"/>
        <v>55</v>
      </c>
      <c r="P583" s="387"/>
      <c r="Q583" s="387"/>
      <c r="R583" s="387"/>
      <c r="S583" s="387"/>
      <c r="T583" s="391" t="s">
        <v>2212</v>
      </c>
    </row>
    <row r="584" spans="1:20">
      <c r="A584" s="387" t="b">
        <v>1</v>
      </c>
      <c r="B584" s="387">
        <f t="shared" ca="1" si="100"/>
        <v>-178</v>
      </c>
      <c r="C584" s="401" t="s">
        <v>2721</v>
      </c>
      <c r="D584" s="401" t="s">
        <v>2720</v>
      </c>
      <c r="E584" s="387">
        <f t="shared" ca="1" si="101"/>
        <v>56</v>
      </c>
      <c r="F584" s="402">
        <v>10</v>
      </c>
      <c r="G584" s="391" t="s">
        <v>780</v>
      </c>
      <c r="H584" s="387" t="str">
        <f t="shared" ca="1" si="102"/>
        <v>row number</v>
      </c>
      <c r="I584" s="389">
        <v>90</v>
      </c>
      <c r="J584" s="392"/>
      <c r="K584" s="392"/>
      <c r="L584" s="391"/>
      <c r="M584" s="401" t="str">
        <f ca="1">IFERROR(IF(COUNTIF($B$526:$B583,"&lt;0")=1,"",OFFSET($C582,-COUNTIF($B$526:$B583,"&lt;0")+3,0)),"")</f>
        <v/>
      </c>
      <c r="N584" s="401" t="str">
        <f ca="1">IFERROR(IF(AND(_xlfn.ISFORMULA(I584),NOT(_xlfn.ISFORMULA(I583))),1,OFFSET($F582,-COUNTIF($B$526:B583,"&lt;0")+3,0)),"")</f>
        <v/>
      </c>
      <c r="O584" s="387">
        <f t="shared" ca="1" si="103"/>
        <v>56</v>
      </c>
      <c r="P584" s="387"/>
      <c r="Q584" s="387"/>
      <c r="R584" s="387"/>
      <c r="S584" s="387"/>
      <c r="T584" s="391" t="s">
        <v>2212</v>
      </c>
    </row>
    <row r="585" spans="1:20">
      <c r="A585" s="387" t="b">
        <v>1</v>
      </c>
      <c r="B585" s="387">
        <f t="shared" ca="1" si="100"/>
        <v>-177</v>
      </c>
      <c r="C585" s="401" t="s">
        <v>2722</v>
      </c>
      <c r="D585" s="401" t="s">
        <v>2720</v>
      </c>
      <c r="E585" s="387">
        <f t="shared" ca="1" si="101"/>
        <v>57</v>
      </c>
      <c r="F585" s="402">
        <v>10</v>
      </c>
      <c r="G585" s="391" t="s">
        <v>780</v>
      </c>
      <c r="H585" s="387" t="str">
        <f t="shared" ca="1" si="102"/>
        <v>row number</v>
      </c>
      <c r="I585" s="389">
        <v>92</v>
      </c>
      <c r="J585" s="392"/>
      <c r="K585" s="392"/>
      <c r="L585" s="391"/>
      <c r="M585" s="401" t="str">
        <f ca="1">IFERROR(IF(COUNTIF($B$526:$B584,"&lt;0")=1,"",OFFSET($C583,-COUNTIF($B$526:$B584,"&lt;0")+3,0)),"")</f>
        <v/>
      </c>
      <c r="N585" s="401" t="str">
        <f ca="1">IFERROR(IF(AND(_xlfn.ISFORMULA(I585),NOT(_xlfn.ISFORMULA(I584))),1,OFFSET($F583,-COUNTIF($B$526:B584,"&lt;0")+3,0)),"")</f>
        <v/>
      </c>
      <c r="O585" s="387">
        <f t="shared" ca="1" si="103"/>
        <v>57</v>
      </c>
      <c r="P585" s="387"/>
      <c r="Q585" s="387"/>
      <c r="R585" s="387"/>
      <c r="S585" s="387"/>
      <c r="T585" s="391" t="s">
        <v>2212</v>
      </c>
    </row>
    <row r="586" spans="1:20">
      <c r="A586" s="387" t="b">
        <v>1</v>
      </c>
      <c r="B586" s="387">
        <f t="shared" ca="1" si="100"/>
        <v>-176</v>
      </c>
      <c r="C586" s="401" t="s">
        <v>2723</v>
      </c>
      <c r="D586" s="401" t="s">
        <v>2720</v>
      </c>
      <c r="E586" s="387">
        <f t="shared" ca="1" si="101"/>
        <v>58</v>
      </c>
      <c r="F586" s="402">
        <v>10</v>
      </c>
      <c r="G586" s="391" t="s">
        <v>780</v>
      </c>
      <c r="H586" s="387" t="str">
        <f t="shared" ca="1" si="102"/>
        <v>row number</v>
      </c>
      <c r="I586" s="389">
        <v>92</v>
      </c>
      <c r="J586" s="392"/>
      <c r="K586" s="392"/>
      <c r="L586" s="391"/>
      <c r="M586" s="401" t="str">
        <f ca="1">IFERROR(IF(COUNTIF($B$526:$B585,"&lt;0")=1,"",OFFSET($C584,-COUNTIF($B$526:$B585,"&lt;0")+3,0)),"")</f>
        <v/>
      </c>
      <c r="N586" s="401" t="str">
        <f ca="1">IFERROR(IF(AND(_xlfn.ISFORMULA(I586),NOT(_xlfn.ISFORMULA(I585))),1,OFFSET($F584,-COUNTIF($B$526:B585,"&lt;0")+3,0)),"")</f>
        <v/>
      </c>
      <c r="O586" s="387">
        <f t="shared" ca="1" si="103"/>
        <v>58</v>
      </c>
      <c r="P586" s="387"/>
      <c r="Q586" s="387"/>
      <c r="R586" s="387"/>
      <c r="S586" s="387"/>
      <c r="T586" s="391" t="s">
        <v>2212</v>
      </c>
    </row>
    <row r="587" spans="1:20">
      <c r="A587" s="387" t="b">
        <v>1</v>
      </c>
      <c r="B587" s="387">
        <f t="shared" ca="1" si="100"/>
        <v>-175</v>
      </c>
      <c r="C587" s="401" t="s">
        <v>2724</v>
      </c>
      <c r="D587" s="401" t="s">
        <v>2720</v>
      </c>
      <c r="E587" s="387">
        <f t="shared" ca="1" si="101"/>
        <v>59</v>
      </c>
      <c r="F587" s="402">
        <v>10</v>
      </c>
      <c r="G587" s="391" t="s">
        <v>780</v>
      </c>
      <c r="H587" s="387" t="str">
        <f t="shared" ca="1" si="102"/>
        <v>row number</v>
      </c>
      <c r="I587" s="389">
        <v>95</v>
      </c>
      <c r="J587" s="392"/>
      <c r="K587" s="392"/>
      <c r="L587" s="391"/>
      <c r="M587" s="401" t="str">
        <f ca="1">IFERROR(IF(COUNTIF($B$526:$B586,"&lt;0")=1,"",OFFSET($C585,-COUNTIF($B$526:$B586,"&lt;0")+3,0)),"")</f>
        <v/>
      </c>
      <c r="N587" s="401" t="str">
        <f ca="1">IFERROR(IF(AND(_xlfn.ISFORMULA(I587),NOT(_xlfn.ISFORMULA(I586))),1,OFFSET($F585,-COUNTIF($B$526:B586,"&lt;0")+3,0)),"")</f>
        <v/>
      </c>
      <c r="O587" s="387">
        <f t="shared" ca="1" si="103"/>
        <v>59</v>
      </c>
      <c r="P587" s="387"/>
      <c r="Q587" s="387"/>
      <c r="R587" s="387"/>
      <c r="S587" s="387"/>
      <c r="T587" s="391" t="s">
        <v>2212</v>
      </c>
    </row>
    <row r="588" spans="1:20">
      <c r="A588" s="387" t="b">
        <v>1</v>
      </c>
      <c r="B588" s="387">
        <f t="shared" ca="1" si="100"/>
        <v>-174</v>
      </c>
      <c r="C588" s="401" t="s">
        <v>2725</v>
      </c>
      <c r="D588" s="401" t="s">
        <v>2720</v>
      </c>
      <c r="E588" s="387">
        <f t="shared" ca="1" si="101"/>
        <v>60</v>
      </c>
      <c r="F588" s="402">
        <v>10</v>
      </c>
      <c r="G588" s="391" t="s">
        <v>780</v>
      </c>
      <c r="H588" s="387" t="str">
        <f t="shared" ca="1" si="102"/>
        <v>row number</v>
      </c>
      <c r="I588" s="389">
        <v>95</v>
      </c>
      <c r="J588" s="392"/>
      <c r="K588" s="392"/>
      <c r="L588" s="391"/>
      <c r="M588" s="401" t="str">
        <f ca="1">IFERROR(IF(COUNTIF($B$526:$B587,"&lt;0")=1,"",OFFSET($C586,-COUNTIF($B$526:$B587,"&lt;0")+3,0)),"")</f>
        <v/>
      </c>
      <c r="N588" s="401" t="str">
        <f ca="1">IFERROR(IF(AND(_xlfn.ISFORMULA(I588),NOT(_xlfn.ISFORMULA(I587))),1,OFFSET($F586,-COUNTIF($B$526:B587,"&lt;0")+3,0)),"")</f>
        <v/>
      </c>
      <c r="O588" s="387">
        <f t="shared" ca="1" si="103"/>
        <v>60</v>
      </c>
      <c r="P588" s="387"/>
      <c r="Q588" s="387"/>
      <c r="R588" s="387"/>
      <c r="S588" s="387"/>
      <c r="T588" s="391" t="s">
        <v>2212</v>
      </c>
    </row>
    <row r="589" spans="1:20">
      <c r="A589" s="387" t="b">
        <v>1</v>
      </c>
      <c r="B589" s="387">
        <f t="shared" ca="1" si="100"/>
        <v>-173</v>
      </c>
      <c r="C589" s="401" t="s">
        <v>2726</v>
      </c>
      <c r="D589" s="401" t="s">
        <v>2727</v>
      </c>
      <c r="E589" s="387">
        <f t="shared" ca="1" si="101"/>
        <v>61</v>
      </c>
      <c r="F589" s="402">
        <v>11</v>
      </c>
      <c r="G589" s="391" t="s">
        <v>2199</v>
      </c>
      <c r="H589" s="387" t="str">
        <f t="shared" ca="1" si="102"/>
        <v>row number</v>
      </c>
      <c r="I589" s="389">
        <v>85</v>
      </c>
      <c r="J589" s="392"/>
      <c r="K589" s="392"/>
      <c r="L589" s="391"/>
      <c r="M589" s="401" t="str">
        <f ca="1">IFERROR(IF(COUNTIF($B$526:$B588,"&lt;0")=1,"",OFFSET($C587,-COUNTIF($B$526:$B588,"&lt;0")+3,0)),"")</f>
        <v/>
      </c>
      <c r="N589" s="401" t="str">
        <f ca="1">IFERROR(IF(AND(_xlfn.ISFORMULA(I589),NOT(_xlfn.ISFORMULA(I588))),1,OFFSET($F587,-COUNTIF($B$526:B588,"&lt;0")+3,0)),"")</f>
        <v/>
      </c>
      <c r="O589" s="387">
        <f t="shared" ca="1" si="103"/>
        <v>61</v>
      </c>
      <c r="P589" s="387"/>
      <c r="Q589" s="387"/>
      <c r="R589" s="387"/>
      <c r="S589" s="387"/>
      <c r="T589" s="391" t="s">
        <v>2212</v>
      </c>
    </row>
    <row r="590" spans="1:20">
      <c r="A590" s="387" t="b">
        <v>1</v>
      </c>
      <c r="B590" s="387">
        <f t="shared" ca="1" si="100"/>
        <v>-172</v>
      </c>
      <c r="C590" s="401" t="s">
        <v>2728</v>
      </c>
      <c r="D590" s="401" t="s">
        <v>2727</v>
      </c>
      <c r="E590" s="387">
        <f t="shared" ca="1" si="101"/>
        <v>62</v>
      </c>
      <c r="F590" s="402">
        <v>11</v>
      </c>
      <c r="G590" s="391" t="s">
        <v>2199</v>
      </c>
      <c r="H590" s="387" t="str">
        <f t="shared" ca="1" si="102"/>
        <v>row number</v>
      </c>
      <c r="I590" s="389">
        <v>85</v>
      </c>
      <c r="J590" s="392"/>
      <c r="K590" s="392"/>
      <c r="L590" s="391"/>
      <c r="M590" s="401" t="str">
        <f ca="1">IFERROR(IF(COUNTIF($B$526:$B589,"&lt;0")=1,"",OFFSET($C588,-COUNTIF($B$526:$B589,"&lt;0")+3,0)),"")</f>
        <v/>
      </c>
      <c r="N590" s="401" t="str">
        <f ca="1">IFERROR(IF(AND(_xlfn.ISFORMULA(I590),NOT(_xlfn.ISFORMULA(I589))),1,OFFSET($F588,-COUNTIF($B$526:B589,"&lt;0")+3,0)),"")</f>
        <v/>
      </c>
      <c r="O590" s="387">
        <f t="shared" ca="1" si="103"/>
        <v>62</v>
      </c>
      <c r="P590" s="387"/>
      <c r="Q590" s="387"/>
      <c r="R590" s="387"/>
      <c r="S590" s="387"/>
      <c r="T590" s="391" t="s">
        <v>2212</v>
      </c>
    </row>
    <row r="591" spans="1:20">
      <c r="A591" s="387" t="b">
        <v>1</v>
      </c>
      <c r="B591" s="387">
        <f t="shared" ca="1" si="100"/>
        <v>-171</v>
      </c>
      <c r="C591" s="401" t="s">
        <v>2729</v>
      </c>
      <c r="D591" s="401" t="s">
        <v>2727</v>
      </c>
      <c r="E591" s="387">
        <f t="shared" ca="1" si="101"/>
        <v>63</v>
      </c>
      <c r="F591" s="402">
        <v>11</v>
      </c>
      <c r="G591" s="391" t="s">
        <v>2199</v>
      </c>
      <c r="H591" s="387" t="str">
        <f t="shared" ca="1" si="102"/>
        <v>row number</v>
      </c>
      <c r="I591" s="389">
        <v>85</v>
      </c>
      <c r="J591" s="392"/>
      <c r="K591" s="392"/>
      <c r="L591" s="391"/>
      <c r="M591" s="401" t="str">
        <f ca="1">IFERROR(IF(COUNTIF($B$526:$B590,"&lt;0")=1,"",OFFSET($C589,-COUNTIF($B$526:$B590,"&lt;0")+3,0)),"")</f>
        <v/>
      </c>
      <c r="N591" s="401" t="str">
        <f ca="1">IFERROR(IF(AND(_xlfn.ISFORMULA(I591),NOT(_xlfn.ISFORMULA(I590))),1,OFFSET($F589,-COUNTIF($B$526:B590,"&lt;0")+3,0)),"")</f>
        <v/>
      </c>
      <c r="O591" s="387">
        <f t="shared" ca="1" si="103"/>
        <v>63</v>
      </c>
      <c r="P591" s="387"/>
      <c r="Q591" s="387"/>
      <c r="R591" s="387"/>
      <c r="S591" s="387"/>
      <c r="T591" s="391" t="s">
        <v>2212</v>
      </c>
    </row>
    <row r="592" spans="1:20">
      <c r="A592" s="387" t="b">
        <v>1</v>
      </c>
      <c r="B592" s="387">
        <f t="shared" ca="1" si="100"/>
        <v>-170</v>
      </c>
      <c r="C592" s="401" t="s">
        <v>2730</v>
      </c>
      <c r="D592" s="401" t="s">
        <v>2727</v>
      </c>
      <c r="E592" s="387">
        <f t="shared" ca="1" si="101"/>
        <v>64</v>
      </c>
      <c r="F592" s="402">
        <v>11</v>
      </c>
      <c r="G592" s="391" t="s">
        <v>2199</v>
      </c>
      <c r="H592" s="387" t="str">
        <f t="shared" ca="1" si="102"/>
        <v>row number</v>
      </c>
      <c r="I592" s="389">
        <v>85</v>
      </c>
      <c r="J592" s="392"/>
      <c r="K592" s="392"/>
      <c r="L592" s="391"/>
      <c r="M592" s="401" t="str">
        <f ca="1">IFERROR(IF(COUNTIF($B$526:$B591,"&lt;0")=1,"",OFFSET($C590,-COUNTIF($B$526:$B591,"&lt;0")+3,0)),"")</f>
        <v/>
      </c>
      <c r="N592" s="401" t="str">
        <f ca="1">IFERROR(IF(AND(_xlfn.ISFORMULA(I592),NOT(_xlfn.ISFORMULA(I591))),1,OFFSET($F590,-COUNTIF($B$526:B591,"&lt;0")+3,0)),"")</f>
        <v/>
      </c>
      <c r="O592" s="387">
        <f t="shared" ca="1" si="103"/>
        <v>64</v>
      </c>
      <c r="P592" s="387"/>
      <c r="Q592" s="387"/>
      <c r="R592" s="387"/>
      <c r="S592" s="387"/>
      <c r="T592" s="391" t="s">
        <v>2212</v>
      </c>
    </row>
    <row r="593" spans="1:20">
      <c r="A593" s="387" t="b">
        <v>1</v>
      </c>
      <c r="B593" s="387">
        <f t="shared" ref="B593:B656" ca="1" si="104">B592+1</f>
        <v>-169</v>
      </c>
      <c r="C593" s="401" t="s">
        <v>2731</v>
      </c>
      <c r="D593" s="401" t="s">
        <v>2727</v>
      </c>
      <c r="E593" s="387">
        <f t="shared" ref="E593:E656" ca="1" si="105">IF(E592="countif",0,IF(E592=W$2,1,E592+1))</f>
        <v>65</v>
      </c>
      <c r="F593" s="402">
        <v>11</v>
      </c>
      <c r="G593" s="391" t="s">
        <v>2199</v>
      </c>
      <c r="H593" s="387" t="str">
        <f t="shared" ref="H593:H656" ca="1" si="106">IF(B593=1,9,IF(E592=MAX(E591:E593),H591+2,H592))</f>
        <v>row number</v>
      </c>
      <c r="I593" s="389">
        <v>85</v>
      </c>
      <c r="J593" s="392"/>
      <c r="K593" s="392"/>
      <c r="L593" s="391"/>
      <c r="M593" s="401" t="str">
        <f ca="1">IFERROR(IF(COUNTIF($B$526:$B592,"&lt;0")=1,"",OFFSET($C591,-COUNTIF($B$526:$B592,"&lt;0")+3,0)),"")</f>
        <v/>
      </c>
      <c r="N593" s="401" t="str">
        <f ca="1">IFERROR(IF(AND(_xlfn.ISFORMULA(I593),NOT(_xlfn.ISFORMULA(I592))),1,OFFSET($F591,-COUNTIF($B$526:B592,"&lt;0")+3,0)),"")</f>
        <v/>
      </c>
      <c r="O593" s="387">
        <f t="shared" ref="O593:O656" ca="1" si="107">IF(NOT(_xlfn.ISFORMULA(I593)),O592+1,0)</f>
        <v>65</v>
      </c>
      <c r="P593" s="387"/>
      <c r="Q593" s="387"/>
      <c r="R593" s="387"/>
      <c r="S593" s="387"/>
      <c r="T593" s="391" t="s">
        <v>2212</v>
      </c>
    </row>
    <row r="594" spans="1:20">
      <c r="A594" s="387" t="b">
        <v>1</v>
      </c>
      <c r="B594" s="387">
        <f t="shared" ca="1" si="104"/>
        <v>-168</v>
      </c>
      <c r="C594" s="401" t="s">
        <v>2732</v>
      </c>
      <c r="D594" s="401" t="s">
        <v>2727</v>
      </c>
      <c r="E594" s="387">
        <f t="shared" ca="1" si="105"/>
        <v>66</v>
      </c>
      <c r="F594" s="402">
        <v>11</v>
      </c>
      <c r="G594" s="391" t="s">
        <v>2199</v>
      </c>
      <c r="H594" s="387" t="str">
        <f t="shared" ca="1" si="106"/>
        <v>row number</v>
      </c>
      <c r="I594" s="389">
        <v>85</v>
      </c>
      <c r="J594" s="392"/>
      <c r="K594" s="392"/>
      <c r="L594" s="391"/>
      <c r="M594" s="401" t="str">
        <f ca="1">IFERROR(IF(COUNTIF($B$526:$B593,"&lt;0")=1,"",OFFSET($C592,-COUNTIF($B$526:$B593,"&lt;0")+3,0)),"")</f>
        <v/>
      </c>
      <c r="N594" s="401" t="str">
        <f ca="1">IFERROR(IF(AND(_xlfn.ISFORMULA(I594),NOT(_xlfn.ISFORMULA(I593))),1,OFFSET($F592,-COUNTIF($B$526:B593,"&lt;0")+3,0)),"")</f>
        <v/>
      </c>
      <c r="O594" s="387">
        <f t="shared" ca="1" si="107"/>
        <v>66</v>
      </c>
      <c r="P594" s="387"/>
      <c r="Q594" s="387"/>
      <c r="R594" s="387"/>
      <c r="S594" s="387"/>
      <c r="T594" s="391" t="s">
        <v>2212</v>
      </c>
    </row>
    <row r="595" spans="1:20">
      <c r="A595" s="387" t="b">
        <v>0</v>
      </c>
      <c r="B595" s="387">
        <f t="shared" ca="1" si="104"/>
        <v>-167</v>
      </c>
      <c r="C595" s="401" t="s">
        <v>2733</v>
      </c>
      <c r="D595" s="401" t="s">
        <v>2734</v>
      </c>
      <c r="E595" s="387">
        <f t="shared" ca="1" si="105"/>
        <v>67</v>
      </c>
      <c r="F595" s="402">
        <v>12</v>
      </c>
      <c r="G595" s="391"/>
      <c r="H595" s="387" t="str">
        <f t="shared" ca="1" si="106"/>
        <v>row number</v>
      </c>
      <c r="I595" s="389"/>
      <c r="J595" s="392"/>
      <c r="K595" s="392"/>
      <c r="L595" s="391"/>
      <c r="M595" s="401" t="str">
        <f ca="1">IFERROR(IF(COUNTIF($B$526:$B594,"&lt;0")=1,"",OFFSET($C593,-COUNTIF($B$526:$B594,"&lt;0")+3,0)),"")</f>
        <v/>
      </c>
      <c r="N595" s="401" t="str">
        <f ca="1">IFERROR(IF(AND(_xlfn.ISFORMULA(I595),NOT(_xlfn.ISFORMULA(I594))),1,OFFSET($F593,-COUNTIF($B$526:B594,"&lt;0")+3,0)),"")</f>
        <v/>
      </c>
      <c r="O595" s="387">
        <f t="shared" ca="1" si="107"/>
        <v>67</v>
      </c>
      <c r="P595" s="387"/>
      <c r="Q595" s="387"/>
      <c r="R595" s="387"/>
      <c r="S595" s="387"/>
      <c r="T595" s="391"/>
    </row>
    <row r="596" spans="1:20">
      <c r="A596" s="387" t="b">
        <v>0</v>
      </c>
      <c r="B596" s="387">
        <f t="shared" ca="1" si="104"/>
        <v>-166</v>
      </c>
      <c r="C596" s="401" t="s">
        <v>2735</v>
      </c>
      <c r="D596" s="401" t="s">
        <v>2734</v>
      </c>
      <c r="E596" s="387">
        <f t="shared" ca="1" si="105"/>
        <v>68</v>
      </c>
      <c r="F596" s="402">
        <v>12</v>
      </c>
      <c r="G596" s="391"/>
      <c r="H596" s="387" t="str">
        <f t="shared" ca="1" si="106"/>
        <v>row number</v>
      </c>
      <c r="I596" s="389"/>
      <c r="J596" s="392"/>
      <c r="K596" s="392"/>
      <c r="L596" s="391"/>
      <c r="M596" s="401" t="str">
        <f ca="1">IFERROR(IF(COUNTIF($B$526:$B595,"&lt;0")=1,"",OFFSET($C594,-COUNTIF($B$526:$B595,"&lt;0")+3,0)),"")</f>
        <v/>
      </c>
      <c r="N596" s="401" t="str">
        <f ca="1">IFERROR(IF(AND(_xlfn.ISFORMULA(I596),NOT(_xlfn.ISFORMULA(I595))),1,OFFSET($F594,-COUNTIF($B$526:B595,"&lt;0")+3,0)),"")</f>
        <v/>
      </c>
      <c r="O596" s="387">
        <f t="shared" ca="1" si="107"/>
        <v>68</v>
      </c>
      <c r="P596" s="387"/>
      <c r="Q596" s="387"/>
      <c r="R596" s="387"/>
      <c r="S596" s="387"/>
      <c r="T596" s="391"/>
    </row>
    <row r="597" spans="1:20">
      <c r="A597" s="387" t="b">
        <v>0</v>
      </c>
      <c r="B597" s="387">
        <f t="shared" ca="1" si="104"/>
        <v>-165</v>
      </c>
      <c r="C597" s="401" t="s">
        <v>2736</v>
      </c>
      <c r="D597" s="401" t="s">
        <v>2734</v>
      </c>
      <c r="E597" s="387">
        <f t="shared" ca="1" si="105"/>
        <v>69</v>
      </c>
      <c r="F597" s="402">
        <v>12</v>
      </c>
      <c r="G597" s="391"/>
      <c r="H597" s="387" t="str">
        <f t="shared" ca="1" si="106"/>
        <v>row number</v>
      </c>
      <c r="I597" s="389"/>
      <c r="J597" s="392"/>
      <c r="K597" s="392"/>
      <c r="L597" s="391"/>
      <c r="M597" s="401" t="str">
        <f ca="1">IFERROR(IF(COUNTIF($B$526:$B596,"&lt;0")=1,"",OFFSET($C595,-COUNTIF($B$526:$B596,"&lt;0")+3,0)),"")</f>
        <v/>
      </c>
      <c r="N597" s="401" t="str">
        <f ca="1">IFERROR(IF(AND(_xlfn.ISFORMULA(I597),NOT(_xlfn.ISFORMULA(I596))),1,OFFSET($F595,-COUNTIF($B$526:B596,"&lt;0")+3,0)),"")</f>
        <v/>
      </c>
      <c r="O597" s="387">
        <f t="shared" ca="1" si="107"/>
        <v>69</v>
      </c>
      <c r="P597" s="387"/>
      <c r="Q597" s="387"/>
      <c r="R597" s="387"/>
      <c r="S597" s="387"/>
      <c r="T597" s="391"/>
    </row>
    <row r="598" spans="1:20">
      <c r="A598" s="387" t="b">
        <v>0</v>
      </c>
      <c r="B598" s="387">
        <f t="shared" ca="1" si="104"/>
        <v>-164</v>
      </c>
      <c r="C598" s="401" t="s">
        <v>2737</v>
      </c>
      <c r="D598" s="401" t="s">
        <v>2734</v>
      </c>
      <c r="E598" s="387">
        <f t="shared" ca="1" si="105"/>
        <v>70</v>
      </c>
      <c r="F598" s="402">
        <v>12</v>
      </c>
      <c r="G598" s="391"/>
      <c r="H598" s="387" t="str">
        <f t="shared" ca="1" si="106"/>
        <v>row number</v>
      </c>
      <c r="I598" s="389"/>
      <c r="J598" s="392"/>
      <c r="K598" s="392"/>
      <c r="L598" s="391"/>
      <c r="M598" s="401" t="str">
        <f ca="1">IFERROR(IF(COUNTIF($B$526:$B597,"&lt;0")=1,"",OFFSET($C596,-COUNTIF($B$526:$B597,"&lt;0")+3,0)),"")</f>
        <v/>
      </c>
      <c r="N598" s="401" t="str">
        <f ca="1">IFERROR(IF(AND(_xlfn.ISFORMULA(I598),NOT(_xlfn.ISFORMULA(I597))),1,OFFSET($F596,-COUNTIF($B$526:B597,"&lt;0")+3,0)),"")</f>
        <v/>
      </c>
      <c r="O598" s="387">
        <f t="shared" ca="1" si="107"/>
        <v>70</v>
      </c>
      <c r="P598" s="387"/>
      <c r="Q598" s="387"/>
      <c r="R598" s="387"/>
      <c r="S598" s="387"/>
      <c r="T598" s="391"/>
    </row>
    <row r="599" spans="1:20">
      <c r="A599" s="387" t="b">
        <v>0</v>
      </c>
      <c r="B599" s="387">
        <f t="shared" ca="1" si="104"/>
        <v>-163</v>
      </c>
      <c r="C599" s="401" t="s">
        <v>2738</v>
      </c>
      <c r="D599" s="401" t="s">
        <v>2734</v>
      </c>
      <c r="E599" s="387">
        <f t="shared" ca="1" si="105"/>
        <v>71</v>
      </c>
      <c r="F599" s="402">
        <v>12</v>
      </c>
      <c r="G599" s="391"/>
      <c r="H599" s="387" t="str">
        <f t="shared" ca="1" si="106"/>
        <v>row number</v>
      </c>
      <c r="I599" s="389"/>
      <c r="J599" s="392"/>
      <c r="K599" s="392"/>
      <c r="L599" s="391"/>
      <c r="M599" s="401" t="str">
        <f ca="1">IFERROR(IF(COUNTIF($B$526:$B598,"&lt;0")=1,"",OFFSET($C597,-COUNTIF($B$526:$B598,"&lt;0")+3,0)),"")</f>
        <v/>
      </c>
      <c r="N599" s="401" t="str">
        <f ca="1">IFERROR(IF(AND(_xlfn.ISFORMULA(I599),NOT(_xlfn.ISFORMULA(I598))),1,OFFSET($F597,-COUNTIF($B$526:B598,"&lt;0")+3,0)),"")</f>
        <v/>
      </c>
      <c r="O599" s="387">
        <f t="shared" ca="1" si="107"/>
        <v>71</v>
      </c>
      <c r="P599" s="387"/>
      <c r="Q599" s="387"/>
      <c r="R599" s="387"/>
      <c r="S599" s="387"/>
      <c r="T599" s="391"/>
    </row>
    <row r="600" spans="1:20">
      <c r="A600" s="387" t="b">
        <v>0</v>
      </c>
      <c r="B600" s="387">
        <f t="shared" ca="1" si="104"/>
        <v>-162</v>
      </c>
      <c r="C600" s="401" t="s">
        <v>2739</v>
      </c>
      <c r="D600" s="401" t="s">
        <v>2734</v>
      </c>
      <c r="E600" s="387">
        <f t="shared" ca="1" si="105"/>
        <v>72</v>
      </c>
      <c r="F600" s="402">
        <v>12</v>
      </c>
      <c r="G600" s="391"/>
      <c r="H600" s="387" t="str">
        <f t="shared" ca="1" si="106"/>
        <v>row number</v>
      </c>
      <c r="I600" s="389"/>
      <c r="J600" s="392"/>
      <c r="K600" s="392"/>
      <c r="L600" s="391"/>
      <c r="M600" s="401" t="str">
        <f ca="1">IFERROR(IF(COUNTIF($B$526:$B599,"&lt;0")=1,"",OFFSET($C598,-COUNTIF($B$526:$B599,"&lt;0")+3,0)),"")</f>
        <v/>
      </c>
      <c r="N600" s="401" t="str">
        <f ca="1">IFERROR(IF(AND(_xlfn.ISFORMULA(I600),NOT(_xlfn.ISFORMULA(I599))),1,OFFSET($F598,-COUNTIF($B$526:B599,"&lt;0")+3,0)),"")</f>
        <v/>
      </c>
      <c r="O600" s="387">
        <f t="shared" ca="1" si="107"/>
        <v>72</v>
      </c>
      <c r="P600" s="387"/>
      <c r="Q600" s="387"/>
      <c r="R600" s="387"/>
      <c r="S600" s="387"/>
      <c r="T600" s="391"/>
    </row>
    <row r="601" spans="1:20">
      <c r="A601" s="387" t="b">
        <v>1</v>
      </c>
      <c r="B601" s="387">
        <f t="shared" ca="1" si="104"/>
        <v>-161</v>
      </c>
      <c r="C601" s="401" t="s">
        <v>2740</v>
      </c>
      <c r="D601" s="401" t="s">
        <v>2741</v>
      </c>
      <c r="E601" s="387">
        <f t="shared" ca="1" si="105"/>
        <v>73</v>
      </c>
      <c r="F601" s="402">
        <v>13</v>
      </c>
      <c r="G601" s="391" t="s">
        <v>2192</v>
      </c>
      <c r="H601" s="387" t="str">
        <f t="shared" ca="1" si="106"/>
        <v>row number</v>
      </c>
      <c r="I601" s="389">
        <v>35.526476065918501</v>
      </c>
      <c r="J601" s="392">
        <v>124784.4</v>
      </c>
      <c r="K601" s="392">
        <v>44331.5</v>
      </c>
      <c r="L601" s="391"/>
      <c r="M601" s="401" t="str">
        <f ca="1">IFERROR(IF(COUNTIF($B$526:$B600,"&lt;0")=1,"",OFFSET($C599,-COUNTIF($B$526:$B600,"&lt;0")+3,0)),"")</f>
        <v/>
      </c>
      <c r="N601" s="401" t="str">
        <f ca="1">IFERROR(IF(AND(_xlfn.ISFORMULA(I601),NOT(_xlfn.ISFORMULA(I600))),1,OFFSET($F599,-COUNTIF($B$526:B600,"&lt;0")+3,0)),"")</f>
        <v/>
      </c>
      <c r="O601" s="387">
        <f t="shared" ca="1" si="107"/>
        <v>73</v>
      </c>
      <c r="P601" s="387"/>
      <c r="Q601" s="387"/>
      <c r="R601" s="387"/>
      <c r="S601" s="387"/>
      <c r="T601" s="391" t="s">
        <v>2212</v>
      </c>
    </row>
    <row r="602" spans="1:20">
      <c r="A602" s="387" t="b">
        <v>1</v>
      </c>
      <c r="B602" s="387">
        <f t="shared" ca="1" si="104"/>
        <v>-160</v>
      </c>
      <c r="C602" s="401" t="s">
        <v>2742</v>
      </c>
      <c r="D602" s="401" t="s">
        <v>2741</v>
      </c>
      <c r="E602" s="387">
        <f t="shared" ca="1" si="105"/>
        <v>74</v>
      </c>
      <c r="F602" s="402">
        <v>13</v>
      </c>
      <c r="G602" s="391" t="s">
        <v>2192</v>
      </c>
      <c r="H602" s="387" t="str">
        <f t="shared" ca="1" si="106"/>
        <v>row number</v>
      </c>
      <c r="I602" s="389">
        <v>35.526476065918501</v>
      </c>
      <c r="J602" s="392">
        <v>124784.4</v>
      </c>
      <c r="K602" s="392">
        <v>44331.5</v>
      </c>
      <c r="L602" s="391"/>
      <c r="M602" s="401" t="str">
        <f ca="1">IFERROR(IF(COUNTIF($B$526:$B601,"&lt;0")=1,"",OFFSET($C600,-COUNTIF($B$526:$B601,"&lt;0")+3,0)),"")</f>
        <v/>
      </c>
      <c r="N602" s="401" t="str">
        <f ca="1">IFERROR(IF(AND(_xlfn.ISFORMULA(I602),NOT(_xlfn.ISFORMULA(I601))),1,OFFSET($F600,-COUNTIF($B$526:B601,"&lt;0")+3,0)),"")</f>
        <v/>
      </c>
      <c r="O602" s="387">
        <f t="shared" ca="1" si="107"/>
        <v>74</v>
      </c>
      <c r="P602" s="387"/>
      <c r="Q602" s="387"/>
      <c r="R602" s="387"/>
      <c r="S602" s="387"/>
      <c r="T602" s="391" t="s">
        <v>2212</v>
      </c>
    </row>
    <row r="603" spans="1:20">
      <c r="A603" s="387" t="b">
        <v>1</v>
      </c>
      <c r="B603" s="387">
        <f t="shared" ca="1" si="104"/>
        <v>-159</v>
      </c>
      <c r="C603" s="401" t="s">
        <v>2743</v>
      </c>
      <c r="D603" s="401" t="s">
        <v>2741</v>
      </c>
      <c r="E603" s="387">
        <f t="shared" ca="1" si="105"/>
        <v>75</v>
      </c>
      <c r="F603" s="402">
        <v>13</v>
      </c>
      <c r="G603" s="391" t="s">
        <v>2192</v>
      </c>
      <c r="H603" s="387" t="str">
        <f t="shared" ca="1" si="106"/>
        <v>row number</v>
      </c>
      <c r="I603" s="389">
        <v>41.605044706586</v>
      </c>
      <c r="J603" s="392">
        <v>128403.9</v>
      </c>
      <c r="K603" s="392">
        <v>53422.5</v>
      </c>
      <c r="L603" s="391"/>
      <c r="M603" s="401" t="str">
        <f ca="1">IFERROR(IF(COUNTIF($B$526:$B602,"&lt;0")=1,"",OFFSET($C601,-COUNTIF($B$526:$B602,"&lt;0")+3,0)),"")</f>
        <v/>
      </c>
      <c r="N603" s="401" t="str">
        <f ca="1">IFERROR(IF(AND(_xlfn.ISFORMULA(I603),NOT(_xlfn.ISFORMULA(I602))),1,OFFSET($F601,-COUNTIF($B$526:B602,"&lt;0")+3,0)),"")</f>
        <v/>
      </c>
      <c r="O603" s="387">
        <f t="shared" ca="1" si="107"/>
        <v>75</v>
      </c>
      <c r="P603" s="387"/>
      <c r="Q603" s="387"/>
      <c r="R603" s="387"/>
      <c r="S603" s="387"/>
      <c r="T603" s="391" t="s">
        <v>2212</v>
      </c>
    </row>
    <row r="604" spans="1:20">
      <c r="A604" s="387" t="b">
        <v>1</v>
      </c>
      <c r="B604" s="387">
        <f t="shared" ca="1" si="104"/>
        <v>-158</v>
      </c>
      <c r="C604" s="401" t="s">
        <v>2744</v>
      </c>
      <c r="D604" s="401" t="s">
        <v>2741</v>
      </c>
      <c r="E604" s="387">
        <f t="shared" ca="1" si="105"/>
        <v>76</v>
      </c>
      <c r="F604" s="402">
        <v>13</v>
      </c>
      <c r="G604" s="391" t="s">
        <v>2192</v>
      </c>
      <c r="H604" s="387" t="str">
        <f t="shared" ca="1" si="106"/>
        <v>row number</v>
      </c>
      <c r="I604" s="389">
        <v>41.605044706586</v>
      </c>
      <c r="J604" s="392">
        <v>128403.9</v>
      </c>
      <c r="K604" s="392">
        <v>53422.5</v>
      </c>
      <c r="L604" s="391"/>
      <c r="M604" s="401" t="str">
        <f ca="1">IFERROR(IF(COUNTIF($B$526:$B603,"&lt;0")=1,"",OFFSET($C602,-COUNTIF($B$526:$B603,"&lt;0")+3,0)),"")</f>
        <v/>
      </c>
      <c r="N604" s="401" t="str">
        <f ca="1">IFERROR(IF(AND(_xlfn.ISFORMULA(I604),NOT(_xlfn.ISFORMULA(I603))),1,OFFSET($F602,-COUNTIF($B$526:B603,"&lt;0")+3,0)),"")</f>
        <v/>
      </c>
      <c r="O604" s="387">
        <f t="shared" ca="1" si="107"/>
        <v>76</v>
      </c>
      <c r="P604" s="387"/>
      <c r="Q604" s="387"/>
      <c r="R604" s="387"/>
      <c r="S604" s="387"/>
      <c r="T604" s="391" t="s">
        <v>2212</v>
      </c>
    </row>
    <row r="605" spans="1:20">
      <c r="A605" s="387" t="b">
        <v>1</v>
      </c>
      <c r="B605" s="387">
        <f t="shared" ca="1" si="104"/>
        <v>-157</v>
      </c>
      <c r="C605" s="401" t="s">
        <v>2745</v>
      </c>
      <c r="D605" s="401" t="s">
        <v>2741</v>
      </c>
      <c r="E605" s="387">
        <f t="shared" ca="1" si="105"/>
        <v>77</v>
      </c>
      <c r="F605" s="402">
        <v>13</v>
      </c>
      <c r="G605" s="391" t="s">
        <v>2192</v>
      </c>
      <c r="H605" s="387" t="str">
        <f t="shared" ca="1" si="106"/>
        <v>row number</v>
      </c>
      <c r="I605" s="389">
        <v>47.500150423513098</v>
      </c>
      <c r="J605" s="392">
        <v>132126.95000000001</v>
      </c>
      <c r="K605" s="392">
        <v>62760.5</v>
      </c>
      <c r="L605" s="391"/>
      <c r="M605" s="401" t="str">
        <f ca="1">IFERROR(IF(COUNTIF($B$526:$B604,"&lt;0")=1,"",OFFSET($C603,-COUNTIF($B$526:$B604,"&lt;0")+3,0)),"")</f>
        <v/>
      </c>
      <c r="N605" s="401" t="str">
        <f ca="1">IFERROR(IF(AND(_xlfn.ISFORMULA(I605),NOT(_xlfn.ISFORMULA(I604))),1,OFFSET($F603,-COUNTIF($B$526:B604,"&lt;0")+3,0)),"")</f>
        <v/>
      </c>
      <c r="O605" s="387">
        <f t="shared" ca="1" si="107"/>
        <v>77</v>
      </c>
      <c r="P605" s="387"/>
      <c r="Q605" s="387"/>
      <c r="R605" s="387"/>
      <c r="S605" s="387"/>
      <c r="T605" s="391" t="s">
        <v>2212</v>
      </c>
    </row>
    <row r="606" spans="1:20">
      <c r="A606" s="387" t="b">
        <v>1</v>
      </c>
      <c r="B606" s="387">
        <f t="shared" ca="1" si="104"/>
        <v>-156</v>
      </c>
      <c r="C606" s="401" t="s">
        <v>2746</v>
      </c>
      <c r="D606" s="401" t="s">
        <v>2741</v>
      </c>
      <c r="E606" s="387">
        <f t="shared" ca="1" si="105"/>
        <v>78</v>
      </c>
      <c r="F606" s="402">
        <v>13</v>
      </c>
      <c r="G606" s="391" t="s">
        <v>2192</v>
      </c>
      <c r="H606" s="387" t="str">
        <f t="shared" ca="1" si="106"/>
        <v>row number</v>
      </c>
      <c r="I606" s="389">
        <v>47.500150423513098</v>
      </c>
      <c r="J606" s="392">
        <v>132126.95000000001</v>
      </c>
      <c r="K606" s="392">
        <v>62760.5</v>
      </c>
      <c r="L606" s="391"/>
      <c r="M606" s="401" t="str">
        <f ca="1">IFERROR(IF(COUNTIF($B$526:$B605,"&lt;0")=1,"",OFFSET($C604,-COUNTIF($B$526:$B605,"&lt;0")+3,0)),"")</f>
        <v/>
      </c>
      <c r="N606" s="401" t="str">
        <f ca="1">IFERROR(IF(AND(_xlfn.ISFORMULA(I606),NOT(_xlfn.ISFORMULA(I605))),1,OFFSET($F604,-COUNTIF($B$526:B605,"&lt;0")+3,0)),"")</f>
        <v/>
      </c>
      <c r="O606" s="387">
        <f t="shared" ca="1" si="107"/>
        <v>78</v>
      </c>
      <c r="P606" s="387"/>
      <c r="Q606" s="387"/>
      <c r="R606" s="387"/>
      <c r="S606" s="387"/>
      <c r="T606" s="391" t="s">
        <v>2212</v>
      </c>
    </row>
    <row r="607" spans="1:20">
      <c r="A607" s="387" t="b">
        <v>1</v>
      </c>
      <c r="B607" s="387">
        <f t="shared" ca="1" si="104"/>
        <v>-155</v>
      </c>
      <c r="C607" s="401" t="s">
        <v>2747</v>
      </c>
      <c r="D607" s="401" t="s">
        <v>2748</v>
      </c>
      <c r="E607" s="387">
        <f t="shared" ca="1" si="105"/>
        <v>79</v>
      </c>
      <c r="F607" s="402">
        <v>14</v>
      </c>
      <c r="G607" s="391" t="s">
        <v>2195</v>
      </c>
      <c r="H607" s="387" t="str">
        <f t="shared" ca="1" si="106"/>
        <v>row number</v>
      </c>
      <c r="I607" s="389">
        <v>42.997474038731397</v>
      </c>
      <c r="J607" s="392">
        <v>14252</v>
      </c>
      <c r="K607" s="392">
        <v>6128</v>
      </c>
      <c r="L607" s="391"/>
      <c r="M607" s="401" t="str">
        <f ca="1">IFERROR(IF(COUNTIF($B$526:$B606,"&lt;0")=1,"",OFFSET($C605,-COUNTIF($B$526:$B606,"&lt;0")+3,0)),"")</f>
        <v/>
      </c>
      <c r="N607" s="401" t="str">
        <f ca="1">IFERROR(IF(AND(_xlfn.ISFORMULA(I607),NOT(_xlfn.ISFORMULA(I606))),1,OFFSET($F605,-COUNTIF($B$526:B606,"&lt;0")+3,0)),"")</f>
        <v/>
      </c>
      <c r="O607" s="387">
        <f t="shared" ca="1" si="107"/>
        <v>79</v>
      </c>
      <c r="P607" s="387"/>
      <c r="Q607" s="387"/>
      <c r="R607" s="387"/>
      <c r="S607" s="387"/>
      <c r="T607" s="391" t="s">
        <v>2212</v>
      </c>
    </row>
    <row r="608" spans="1:20">
      <c r="A608" s="387" t="b">
        <v>1</v>
      </c>
      <c r="B608" s="387">
        <f t="shared" ca="1" si="104"/>
        <v>-154</v>
      </c>
      <c r="C608" s="401" t="s">
        <v>2749</v>
      </c>
      <c r="D608" s="401" t="s">
        <v>2748</v>
      </c>
      <c r="E608" s="387">
        <f t="shared" ca="1" si="105"/>
        <v>80</v>
      </c>
      <c r="F608" s="402">
        <v>14</v>
      </c>
      <c r="G608" s="391" t="s">
        <v>2195</v>
      </c>
      <c r="H608" s="387" t="str">
        <f t="shared" ca="1" si="106"/>
        <v>row number</v>
      </c>
      <c r="I608" s="389">
        <v>46.000561324726398</v>
      </c>
      <c r="J608" s="392">
        <v>14252</v>
      </c>
      <c r="K608" s="392">
        <v>6556</v>
      </c>
      <c r="L608" s="391"/>
      <c r="M608" s="401" t="str">
        <f ca="1">IFERROR(IF(COUNTIF($B$526:$B607,"&lt;0")=1,"",OFFSET($C606,-COUNTIF($B$526:$B607,"&lt;0")+3,0)),"")</f>
        <v/>
      </c>
      <c r="N608" s="401" t="str">
        <f ca="1">IFERROR(IF(AND(_xlfn.ISFORMULA(I608),NOT(_xlfn.ISFORMULA(I607))),1,OFFSET($F606,-COUNTIF($B$526:B607,"&lt;0")+3,0)),"")</f>
        <v/>
      </c>
      <c r="O608" s="387">
        <f t="shared" ca="1" si="107"/>
        <v>80</v>
      </c>
      <c r="P608" s="387"/>
      <c r="Q608" s="387"/>
      <c r="R608" s="387"/>
      <c r="S608" s="387"/>
      <c r="T608" s="391" t="s">
        <v>2212</v>
      </c>
    </row>
    <row r="609" spans="1:20">
      <c r="A609" s="387" t="b">
        <v>1</v>
      </c>
      <c r="B609" s="387">
        <f t="shared" ca="1" si="104"/>
        <v>-153</v>
      </c>
      <c r="C609" s="401" t="s">
        <v>2750</v>
      </c>
      <c r="D609" s="401" t="s">
        <v>2748</v>
      </c>
      <c r="E609" s="387">
        <f t="shared" ca="1" si="105"/>
        <v>81</v>
      </c>
      <c r="F609" s="402">
        <v>14</v>
      </c>
      <c r="G609" s="391" t="s">
        <v>2195</v>
      </c>
      <c r="H609" s="387" t="str">
        <f t="shared" ca="1" si="106"/>
        <v>row number</v>
      </c>
      <c r="I609" s="389">
        <v>51.003365324691501</v>
      </c>
      <c r="J609" s="392">
        <v>16046</v>
      </c>
      <c r="K609" s="392">
        <v>8184</v>
      </c>
      <c r="L609" s="391"/>
      <c r="M609" s="401" t="str">
        <f ca="1">IFERROR(IF(COUNTIF($B$526:$B608,"&lt;0")=1,"",OFFSET($C607,-COUNTIF($B$526:$B608,"&lt;0")+3,0)),"")</f>
        <v/>
      </c>
      <c r="N609" s="401" t="str">
        <f ca="1">IFERROR(IF(AND(_xlfn.ISFORMULA(I609),NOT(_xlfn.ISFORMULA(I608))),1,OFFSET($F607,-COUNTIF($B$526:B608,"&lt;0")+3,0)),"")</f>
        <v/>
      </c>
      <c r="O609" s="387">
        <f t="shared" ca="1" si="107"/>
        <v>81</v>
      </c>
      <c r="P609" s="387"/>
      <c r="Q609" s="387"/>
      <c r="R609" s="387"/>
      <c r="S609" s="387"/>
      <c r="T609" s="391" t="s">
        <v>2212</v>
      </c>
    </row>
    <row r="610" spans="1:20">
      <c r="A610" s="387" t="b">
        <v>1</v>
      </c>
      <c r="B610" s="387">
        <f t="shared" ca="1" si="104"/>
        <v>-152</v>
      </c>
      <c r="C610" s="401" t="s">
        <v>2751</v>
      </c>
      <c r="D610" s="401" t="s">
        <v>2748</v>
      </c>
      <c r="E610" s="387">
        <f t="shared" ca="1" si="105"/>
        <v>82</v>
      </c>
      <c r="F610" s="402">
        <v>14</v>
      </c>
      <c r="G610" s="391" t="s">
        <v>2195</v>
      </c>
      <c r="H610" s="387" t="str">
        <f t="shared" ca="1" si="106"/>
        <v>row number</v>
      </c>
      <c r="I610" s="389">
        <v>56.0014956998629</v>
      </c>
      <c r="J610" s="392">
        <v>16046</v>
      </c>
      <c r="K610" s="392">
        <v>8986</v>
      </c>
      <c r="L610" s="391"/>
      <c r="M610" s="401" t="str">
        <f ca="1">IFERROR(IF(COUNTIF($B$526:$B609,"&lt;0")=1,"",OFFSET($C608,-COUNTIF($B$526:$B609,"&lt;0")+3,0)),"")</f>
        <v/>
      </c>
      <c r="N610" s="401" t="str">
        <f ca="1">IFERROR(IF(AND(_xlfn.ISFORMULA(I610),NOT(_xlfn.ISFORMULA(I609))),1,OFFSET($F608,-COUNTIF($B$526:B609,"&lt;0")+3,0)),"")</f>
        <v/>
      </c>
      <c r="O610" s="387">
        <f t="shared" ca="1" si="107"/>
        <v>82</v>
      </c>
      <c r="P610" s="387"/>
      <c r="Q610" s="387"/>
      <c r="R610" s="387"/>
      <c r="S610" s="387"/>
      <c r="T610" s="391" t="s">
        <v>2212</v>
      </c>
    </row>
    <row r="611" spans="1:20">
      <c r="A611" s="387" t="b">
        <v>1</v>
      </c>
      <c r="B611" s="387">
        <f t="shared" ca="1" si="104"/>
        <v>-151</v>
      </c>
      <c r="C611" s="401" t="s">
        <v>2752</v>
      </c>
      <c r="D611" s="401" t="s">
        <v>2748</v>
      </c>
      <c r="E611" s="387">
        <f t="shared" ca="1" si="105"/>
        <v>83</v>
      </c>
      <c r="F611" s="402">
        <v>14</v>
      </c>
      <c r="G611" s="391" t="s">
        <v>2195</v>
      </c>
      <c r="H611" s="387" t="str">
        <f t="shared" ca="1" si="106"/>
        <v>row number</v>
      </c>
      <c r="I611" s="389">
        <v>61.000954895242401</v>
      </c>
      <c r="J611" s="392">
        <v>17803</v>
      </c>
      <c r="K611" s="392">
        <v>10860</v>
      </c>
      <c r="L611" s="391"/>
      <c r="M611" s="401" t="str">
        <f ca="1">IFERROR(IF(COUNTIF($B$526:$B610,"&lt;0")=1,"",OFFSET($C609,-COUNTIF($B$526:$B610,"&lt;0")+3,0)),"")</f>
        <v/>
      </c>
      <c r="N611" s="401" t="str">
        <f ca="1">IFERROR(IF(AND(_xlfn.ISFORMULA(I611),NOT(_xlfn.ISFORMULA(I610))),1,OFFSET($F609,-COUNTIF($B$526:B610,"&lt;0")+3,0)),"")</f>
        <v/>
      </c>
      <c r="O611" s="387">
        <f t="shared" ca="1" si="107"/>
        <v>83</v>
      </c>
      <c r="P611" s="387"/>
      <c r="Q611" s="387"/>
      <c r="R611" s="387"/>
      <c r="S611" s="387"/>
      <c r="T611" s="391" t="s">
        <v>2212</v>
      </c>
    </row>
    <row r="612" spans="1:20">
      <c r="A612" s="387" t="b">
        <v>1</v>
      </c>
      <c r="B612" s="387">
        <f t="shared" ca="1" si="104"/>
        <v>-150</v>
      </c>
      <c r="C612" s="401" t="s">
        <v>2753</v>
      </c>
      <c r="D612" s="401" t="s">
        <v>2748</v>
      </c>
      <c r="E612" s="387">
        <f t="shared" ca="1" si="105"/>
        <v>84</v>
      </c>
      <c r="F612" s="402">
        <v>14</v>
      </c>
      <c r="G612" s="391" t="s">
        <v>2195</v>
      </c>
      <c r="H612" s="387" t="str">
        <f t="shared" ca="1" si="106"/>
        <v>row number</v>
      </c>
      <c r="I612" s="389">
        <v>66.000112340616795</v>
      </c>
      <c r="J612" s="392">
        <v>17803</v>
      </c>
      <c r="K612" s="392">
        <v>11750</v>
      </c>
      <c r="L612" s="391"/>
      <c r="M612" s="401" t="str">
        <f ca="1">IFERROR(IF(COUNTIF($B$526:$B611,"&lt;0")=1,"",OFFSET($C610,-COUNTIF($B$526:$B611,"&lt;0")+3,0)),"")</f>
        <v/>
      </c>
      <c r="N612" s="401" t="str">
        <f ca="1">IFERROR(IF(AND(_xlfn.ISFORMULA(I612),NOT(_xlfn.ISFORMULA(I611))),1,OFFSET($F610,-COUNTIF($B$526:B611,"&lt;0")+3,0)),"")</f>
        <v/>
      </c>
      <c r="O612" s="387">
        <f t="shared" ca="1" si="107"/>
        <v>84</v>
      </c>
      <c r="P612" s="387"/>
      <c r="Q612" s="387"/>
      <c r="R612" s="387"/>
      <c r="S612" s="387"/>
      <c r="T612" s="391" t="s">
        <v>2212</v>
      </c>
    </row>
    <row r="613" spans="1:20">
      <c r="A613" s="387" t="b">
        <v>1</v>
      </c>
      <c r="B613" s="387">
        <f t="shared" ca="1" si="104"/>
        <v>-149</v>
      </c>
      <c r="C613" s="401" t="s">
        <v>2754</v>
      </c>
      <c r="D613" s="401" t="s">
        <v>2755</v>
      </c>
      <c r="E613" s="387">
        <f t="shared" ca="1" si="105"/>
        <v>85</v>
      </c>
      <c r="F613" s="402">
        <v>15</v>
      </c>
      <c r="G613" s="391" t="s">
        <v>2192</v>
      </c>
      <c r="H613" s="387" t="str">
        <f t="shared" ca="1" si="106"/>
        <v>row number</v>
      </c>
      <c r="I613" s="389">
        <v>28.420961146952202</v>
      </c>
      <c r="J613" s="392">
        <v>316993.15000000002</v>
      </c>
      <c r="K613" s="392">
        <v>90092.5</v>
      </c>
      <c r="L613" s="391"/>
      <c r="M613" s="401" t="str">
        <f ca="1">IFERROR(IF(COUNTIF($B$526:$B612,"&lt;0")=1,"",OFFSET($C611,-COUNTIF($B$526:$B612,"&lt;0")+3,0)),"")</f>
        <v/>
      </c>
      <c r="N613" s="401" t="str">
        <f ca="1">IFERROR(IF(AND(_xlfn.ISFORMULA(I613),NOT(_xlfn.ISFORMULA(I612))),1,OFFSET($F611,-COUNTIF($B$526:B612,"&lt;0")+3,0)),"")</f>
        <v/>
      </c>
      <c r="O613" s="387">
        <f t="shared" ca="1" si="107"/>
        <v>85</v>
      </c>
      <c r="P613" s="387"/>
      <c r="Q613" s="387"/>
      <c r="R613" s="387"/>
      <c r="S613" s="387"/>
      <c r="T613" s="391" t="s">
        <v>2212</v>
      </c>
    </row>
    <row r="614" spans="1:20">
      <c r="A614" s="387" t="b">
        <v>1</v>
      </c>
      <c r="B614" s="387">
        <f t="shared" ca="1" si="104"/>
        <v>-148</v>
      </c>
      <c r="C614" s="401" t="s">
        <v>2756</v>
      </c>
      <c r="D614" s="401" t="s">
        <v>2755</v>
      </c>
      <c r="E614" s="387">
        <f t="shared" ca="1" si="105"/>
        <v>86</v>
      </c>
      <c r="F614" s="402">
        <v>15</v>
      </c>
      <c r="G614" s="391" t="s">
        <v>2192</v>
      </c>
      <c r="H614" s="387" t="str">
        <f t="shared" ca="1" si="106"/>
        <v>row number</v>
      </c>
      <c r="I614" s="389">
        <v>28.420961146952202</v>
      </c>
      <c r="J614" s="392">
        <v>316993.15000000002</v>
      </c>
      <c r="K614" s="392">
        <v>90092.5</v>
      </c>
      <c r="L614" s="391"/>
      <c r="M614" s="401" t="str">
        <f ca="1">IFERROR(IF(COUNTIF($B$526:$B613,"&lt;0")=1,"",OFFSET($C612,-COUNTIF($B$526:$B613,"&lt;0")+3,0)),"")</f>
        <v/>
      </c>
      <c r="N614" s="401" t="str">
        <f ca="1">IFERROR(IF(AND(_xlfn.ISFORMULA(I614),NOT(_xlfn.ISFORMULA(I613))),1,OFFSET($F612,-COUNTIF($B$526:B613,"&lt;0")+3,0)),"")</f>
        <v/>
      </c>
      <c r="O614" s="387">
        <f t="shared" ca="1" si="107"/>
        <v>86</v>
      </c>
      <c r="P614" s="387"/>
      <c r="Q614" s="387"/>
      <c r="R614" s="387"/>
      <c r="S614" s="387"/>
      <c r="T614" s="391" t="s">
        <v>2212</v>
      </c>
    </row>
    <row r="615" spans="1:20">
      <c r="A615" s="387" t="b">
        <v>1</v>
      </c>
      <c r="B615" s="387">
        <f t="shared" ca="1" si="104"/>
        <v>-147</v>
      </c>
      <c r="C615" s="401" t="s">
        <v>2757</v>
      </c>
      <c r="D615" s="401" t="s">
        <v>2755</v>
      </c>
      <c r="E615" s="387">
        <f t="shared" ca="1" si="105"/>
        <v>87</v>
      </c>
      <c r="F615" s="402">
        <v>15</v>
      </c>
      <c r="G615" s="391" t="s">
        <v>2192</v>
      </c>
      <c r="H615" s="387" t="str">
        <f t="shared" ca="1" si="106"/>
        <v>row number</v>
      </c>
      <c r="I615" s="389">
        <v>34.263134595032803</v>
      </c>
      <c r="J615" s="392">
        <v>326184.40000000002</v>
      </c>
      <c r="K615" s="392">
        <v>111761</v>
      </c>
      <c r="L615" s="391"/>
      <c r="M615" s="401" t="str">
        <f ca="1">IFERROR(IF(COUNTIF($B$526:$B614,"&lt;0")=1,"",OFFSET($C613,-COUNTIF($B$526:$B614,"&lt;0")+3,0)),"")</f>
        <v/>
      </c>
      <c r="N615" s="401" t="str">
        <f ca="1">IFERROR(IF(AND(_xlfn.ISFORMULA(I615),NOT(_xlfn.ISFORMULA(I614))),1,OFFSET($F613,-COUNTIF($B$526:B614,"&lt;0")+3,0)),"")</f>
        <v/>
      </c>
      <c r="O615" s="387">
        <f t="shared" ca="1" si="107"/>
        <v>87</v>
      </c>
      <c r="P615" s="387"/>
      <c r="Q615" s="387"/>
      <c r="R615" s="387"/>
      <c r="S615" s="387"/>
      <c r="T615" s="391" t="s">
        <v>2212</v>
      </c>
    </row>
    <row r="616" spans="1:20">
      <c r="A616" s="387" t="b">
        <v>1</v>
      </c>
      <c r="B616" s="387">
        <f t="shared" ca="1" si="104"/>
        <v>-146</v>
      </c>
      <c r="C616" s="401" t="s">
        <v>2758</v>
      </c>
      <c r="D616" s="401" t="s">
        <v>2755</v>
      </c>
      <c r="E616" s="387">
        <f t="shared" ca="1" si="105"/>
        <v>88</v>
      </c>
      <c r="F616" s="402">
        <v>15</v>
      </c>
      <c r="G616" s="391" t="s">
        <v>2192</v>
      </c>
      <c r="H616" s="387" t="str">
        <f t="shared" ca="1" si="106"/>
        <v>row number</v>
      </c>
      <c r="I616" s="389">
        <v>34.263134595032803</v>
      </c>
      <c r="J616" s="392">
        <v>326184.40000000002</v>
      </c>
      <c r="K616" s="392">
        <v>111761</v>
      </c>
      <c r="L616" s="391"/>
      <c r="M616" s="401" t="str">
        <f ca="1">IFERROR(IF(COUNTIF($B$526:$B615,"&lt;0")=1,"",OFFSET($C614,-COUNTIF($B$526:$B615,"&lt;0")+3,0)),"")</f>
        <v/>
      </c>
      <c r="N616" s="401" t="str">
        <f ca="1">IFERROR(IF(AND(_xlfn.ISFORMULA(I616),NOT(_xlfn.ISFORMULA(I615))),1,OFFSET($F614,-COUNTIF($B$526:B615,"&lt;0")+3,0)),"")</f>
        <v/>
      </c>
      <c r="O616" s="387">
        <f t="shared" ca="1" si="107"/>
        <v>88</v>
      </c>
      <c r="P616" s="387"/>
      <c r="Q616" s="387"/>
      <c r="R616" s="387"/>
      <c r="S616" s="387"/>
      <c r="T616" s="391" t="s">
        <v>2212</v>
      </c>
    </row>
    <row r="617" spans="1:20">
      <c r="A617" s="387" t="b">
        <v>1</v>
      </c>
      <c r="B617" s="387">
        <f t="shared" ca="1" si="104"/>
        <v>-145</v>
      </c>
      <c r="C617" s="401" t="s">
        <v>2759</v>
      </c>
      <c r="D617" s="401" t="s">
        <v>2755</v>
      </c>
      <c r="E617" s="387">
        <f t="shared" ca="1" si="105"/>
        <v>89</v>
      </c>
      <c r="F617" s="402">
        <v>15</v>
      </c>
      <c r="G617" s="391" t="s">
        <v>2192</v>
      </c>
      <c r="H617" s="387" t="str">
        <f t="shared" ca="1" si="106"/>
        <v>row number</v>
      </c>
      <c r="I617" s="389">
        <v>39.9999106197182</v>
      </c>
      <c r="J617" s="392">
        <v>335644.5</v>
      </c>
      <c r="K617" s="392">
        <v>134257.5</v>
      </c>
      <c r="L617" s="391"/>
      <c r="M617" s="401" t="str">
        <f ca="1">IFERROR(IF(COUNTIF($B$526:$B616,"&lt;0")=1,"",OFFSET($C615,-COUNTIF($B$526:$B616,"&lt;0")+3,0)),"")</f>
        <v/>
      </c>
      <c r="N617" s="401" t="str">
        <f ca="1">IFERROR(IF(AND(_xlfn.ISFORMULA(I617),NOT(_xlfn.ISFORMULA(I616))),1,OFFSET($F615,-COUNTIF($B$526:B616,"&lt;0")+3,0)),"")</f>
        <v/>
      </c>
      <c r="O617" s="387">
        <f t="shared" ca="1" si="107"/>
        <v>89</v>
      </c>
      <c r="P617" s="387"/>
      <c r="Q617" s="387"/>
      <c r="R617" s="387"/>
      <c r="S617" s="387"/>
      <c r="T617" s="391" t="s">
        <v>2212</v>
      </c>
    </row>
    <row r="618" spans="1:20">
      <c r="A618" s="387" t="b">
        <v>1</v>
      </c>
      <c r="B618" s="387">
        <f t="shared" ca="1" si="104"/>
        <v>-144</v>
      </c>
      <c r="C618" s="401" t="s">
        <v>2760</v>
      </c>
      <c r="D618" s="401" t="s">
        <v>2755</v>
      </c>
      <c r="E618" s="387">
        <f t="shared" ca="1" si="105"/>
        <v>90</v>
      </c>
      <c r="F618" s="402">
        <v>15</v>
      </c>
      <c r="G618" s="391" t="s">
        <v>2192</v>
      </c>
      <c r="H618" s="387" t="str">
        <f t="shared" ca="1" si="106"/>
        <v>row number</v>
      </c>
      <c r="I618" s="389">
        <v>39.9999106197182</v>
      </c>
      <c r="J618" s="392">
        <v>335644.5</v>
      </c>
      <c r="K618" s="392">
        <v>134257.5</v>
      </c>
      <c r="L618" s="391"/>
      <c r="M618" s="401" t="str">
        <f ca="1">IFERROR(IF(COUNTIF($B$526:$B617,"&lt;0")=1,"",OFFSET($C616,-COUNTIF($B$526:$B617,"&lt;0")+3,0)),"")</f>
        <v/>
      </c>
      <c r="N618" s="401" t="str">
        <f ca="1">IFERROR(IF(AND(_xlfn.ISFORMULA(I618),NOT(_xlfn.ISFORMULA(I617))),1,OFFSET($F616,-COUNTIF($B$526:B617,"&lt;0")+3,0)),"")</f>
        <v/>
      </c>
      <c r="O618" s="387">
        <f t="shared" ca="1" si="107"/>
        <v>90</v>
      </c>
      <c r="P618" s="387"/>
      <c r="Q618" s="387"/>
      <c r="R618" s="387"/>
      <c r="S618" s="387"/>
      <c r="T618" s="391" t="s">
        <v>2212</v>
      </c>
    </row>
    <row r="619" spans="1:20">
      <c r="A619" s="387" t="b">
        <v>1</v>
      </c>
      <c r="B619" s="387">
        <f t="shared" ca="1" si="104"/>
        <v>-143</v>
      </c>
      <c r="C619" s="401" t="s">
        <v>2761</v>
      </c>
      <c r="D619" s="401" t="s">
        <v>2762</v>
      </c>
      <c r="E619" s="387">
        <f t="shared" ca="1" si="105"/>
        <v>91</v>
      </c>
      <c r="F619" s="402">
        <v>16</v>
      </c>
      <c r="G619" s="391" t="s">
        <v>2195</v>
      </c>
      <c r="H619" s="387" t="str">
        <f t="shared" ca="1" si="106"/>
        <v>row number</v>
      </c>
      <c r="I619" s="389">
        <v>72.996929494235602</v>
      </c>
      <c r="J619" s="392">
        <v>17261</v>
      </c>
      <c r="K619" s="392">
        <v>12600</v>
      </c>
      <c r="L619" s="391"/>
      <c r="M619" s="401" t="str">
        <f ca="1">IFERROR(IF(COUNTIF($B$526:$B618,"&lt;0")=1,"",OFFSET($C617,-COUNTIF($B$526:$B618,"&lt;0")+3,0)),"")</f>
        <v/>
      </c>
      <c r="N619" s="401" t="str">
        <f ca="1">IFERROR(IF(AND(_xlfn.ISFORMULA(I619),NOT(_xlfn.ISFORMULA(I618))),1,OFFSET($F617,-COUNTIF($B$526:B618,"&lt;0")+3,0)),"")</f>
        <v/>
      </c>
      <c r="O619" s="387">
        <f t="shared" ca="1" si="107"/>
        <v>91</v>
      </c>
      <c r="P619" s="387"/>
      <c r="Q619" s="387"/>
      <c r="R619" s="387"/>
      <c r="S619" s="387"/>
      <c r="T619" s="391" t="s">
        <v>2212</v>
      </c>
    </row>
    <row r="620" spans="1:20">
      <c r="A620" s="387" t="b">
        <v>1</v>
      </c>
      <c r="B620" s="387">
        <f t="shared" ca="1" si="104"/>
        <v>-142</v>
      </c>
      <c r="C620" s="401" t="s">
        <v>2763</v>
      </c>
      <c r="D620" s="401" t="s">
        <v>2762</v>
      </c>
      <c r="E620" s="387">
        <f t="shared" ca="1" si="105"/>
        <v>92</v>
      </c>
      <c r="F620" s="402">
        <v>16</v>
      </c>
      <c r="G620" s="391" t="s">
        <v>2195</v>
      </c>
      <c r="H620" s="387" t="str">
        <f t="shared" ca="1" si="106"/>
        <v>row number</v>
      </c>
      <c r="I620" s="389">
        <v>75.997914373442995</v>
      </c>
      <c r="J620" s="392">
        <v>17261</v>
      </c>
      <c r="K620" s="392">
        <v>13118</v>
      </c>
      <c r="L620" s="391"/>
      <c r="M620" s="401" t="str">
        <f ca="1">IFERROR(IF(COUNTIF($B$526:$B619,"&lt;0")=1,"",OFFSET($C618,-COUNTIF($B$526:$B619,"&lt;0")+3,0)),"")</f>
        <v/>
      </c>
      <c r="N620" s="401" t="str">
        <f ca="1">IFERROR(IF(AND(_xlfn.ISFORMULA(I620),NOT(_xlfn.ISFORMULA(I619))),1,OFFSET($F618,-COUNTIF($B$526:B619,"&lt;0")+3,0)),"")</f>
        <v/>
      </c>
      <c r="O620" s="387">
        <f t="shared" ca="1" si="107"/>
        <v>92</v>
      </c>
      <c r="P620" s="387"/>
      <c r="Q620" s="387"/>
      <c r="R620" s="387"/>
      <c r="S620" s="387"/>
      <c r="T620" s="391" t="s">
        <v>2212</v>
      </c>
    </row>
    <row r="621" spans="1:20">
      <c r="A621" s="387" t="b">
        <v>1</v>
      </c>
      <c r="B621" s="387">
        <f t="shared" ca="1" si="104"/>
        <v>-141</v>
      </c>
      <c r="C621" s="401" t="s">
        <v>2764</v>
      </c>
      <c r="D621" s="401" t="s">
        <v>2762</v>
      </c>
      <c r="E621" s="387">
        <f t="shared" ca="1" si="105"/>
        <v>93</v>
      </c>
      <c r="F621" s="402">
        <v>16</v>
      </c>
      <c r="G621" s="391" t="s">
        <v>2195</v>
      </c>
      <c r="H621" s="387" t="str">
        <f t="shared" ca="1" si="106"/>
        <v>row number</v>
      </c>
      <c r="I621" s="389">
        <v>79.997941645654294</v>
      </c>
      <c r="J621" s="392">
        <v>19433</v>
      </c>
      <c r="K621" s="392">
        <v>15546</v>
      </c>
      <c r="L621" s="391"/>
      <c r="M621" s="401" t="str">
        <f ca="1">IFERROR(IF(COUNTIF($B$526:$B620,"&lt;0")=1,"",OFFSET($C619,-COUNTIF($B$526:$B620,"&lt;0")+3,0)),"")</f>
        <v/>
      </c>
      <c r="N621" s="401" t="str">
        <f ca="1">IFERROR(IF(AND(_xlfn.ISFORMULA(I621),NOT(_xlfn.ISFORMULA(I620))),1,OFFSET($F619,-COUNTIF($B$526:B620,"&lt;0")+3,0)),"")</f>
        <v/>
      </c>
      <c r="O621" s="387">
        <f t="shared" ca="1" si="107"/>
        <v>93</v>
      </c>
      <c r="P621" s="387"/>
      <c r="Q621" s="387"/>
      <c r="R621" s="387"/>
      <c r="S621" s="387"/>
      <c r="T621" s="391" t="s">
        <v>2212</v>
      </c>
    </row>
    <row r="622" spans="1:20">
      <c r="A622" s="387" t="b">
        <v>1</v>
      </c>
      <c r="B622" s="387">
        <f t="shared" ca="1" si="104"/>
        <v>-140</v>
      </c>
      <c r="C622" s="401" t="s">
        <v>2765</v>
      </c>
      <c r="D622" s="401" t="s">
        <v>2762</v>
      </c>
      <c r="E622" s="387">
        <f t="shared" ca="1" si="105"/>
        <v>94</v>
      </c>
      <c r="F622" s="402">
        <v>16</v>
      </c>
      <c r="G622" s="391" t="s">
        <v>2195</v>
      </c>
      <c r="H622" s="387" t="str">
        <f t="shared" ca="1" si="106"/>
        <v>row number</v>
      </c>
      <c r="I622" s="389">
        <v>84.001440848041995</v>
      </c>
      <c r="J622" s="392">
        <v>19433</v>
      </c>
      <c r="K622" s="392">
        <v>16324</v>
      </c>
      <c r="L622" s="391"/>
      <c r="M622" s="401" t="str">
        <f ca="1">IFERROR(IF(COUNTIF($B$526:$B621,"&lt;0")=1,"",OFFSET($C620,-COUNTIF($B$526:$B621,"&lt;0")+3,0)),"")</f>
        <v/>
      </c>
      <c r="N622" s="401" t="str">
        <f ca="1">IFERROR(IF(AND(_xlfn.ISFORMULA(I622),NOT(_xlfn.ISFORMULA(I621))),1,OFFSET($F620,-COUNTIF($B$526:B621,"&lt;0")+3,0)),"")</f>
        <v/>
      </c>
      <c r="O622" s="387">
        <f t="shared" ca="1" si="107"/>
        <v>94</v>
      </c>
      <c r="P622" s="387"/>
      <c r="Q622" s="387"/>
      <c r="R622" s="387"/>
      <c r="S622" s="387"/>
      <c r="T622" s="391" t="s">
        <v>2212</v>
      </c>
    </row>
    <row r="623" spans="1:20">
      <c r="A623" s="387" t="b">
        <v>1</v>
      </c>
      <c r="B623" s="387">
        <f t="shared" ca="1" si="104"/>
        <v>-139</v>
      </c>
      <c r="C623" s="401" t="s">
        <v>2766</v>
      </c>
      <c r="D623" s="401" t="s">
        <v>2762</v>
      </c>
      <c r="E623" s="387">
        <f t="shared" ca="1" si="105"/>
        <v>95</v>
      </c>
      <c r="F623" s="402">
        <v>16</v>
      </c>
      <c r="G623" s="391" t="s">
        <v>2195</v>
      </c>
      <c r="H623" s="387" t="str">
        <f t="shared" ca="1" si="106"/>
        <v>row number</v>
      </c>
      <c r="I623" s="389">
        <v>90.497170948891593</v>
      </c>
      <c r="J623" s="392">
        <v>21562</v>
      </c>
      <c r="K623" s="392">
        <v>19513</v>
      </c>
      <c r="L623" s="391"/>
      <c r="M623" s="401" t="str">
        <f ca="1">IFERROR(IF(COUNTIF($B$526:$B622,"&lt;0")=1,"",OFFSET($C621,-COUNTIF($B$526:$B622,"&lt;0")+3,0)),"")</f>
        <v/>
      </c>
      <c r="N623" s="401" t="str">
        <f ca="1">IFERROR(IF(AND(_xlfn.ISFORMULA(I623),NOT(_xlfn.ISFORMULA(I622))),1,OFFSET($F621,-COUNTIF($B$526:B622,"&lt;0")+3,0)),"")</f>
        <v/>
      </c>
      <c r="O623" s="387">
        <f t="shared" ca="1" si="107"/>
        <v>95</v>
      </c>
      <c r="P623" s="387"/>
      <c r="Q623" s="387"/>
      <c r="R623" s="387"/>
      <c r="S623" s="387"/>
      <c r="T623" s="391" t="s">
        <v>2212</v>
      </c>
    </row>
    <row r="624" spans="1:20">
      <c r="A624" s="387" t="b">
        <v>1</v>
      </c>
      <c r="B624" s="387">
        <f t="shared" ca="1" si="104"/>
        <v>-138</v>
      </c>
      <c r="C624" s="401" t="s">
        <v>2767</v>
      </c>
      <c r="D624" s="401" t="s">
        <v>2762</v>
      </c>
      <c r="E624" s="387">
        <f t="shared" ca="1" si="105"/>
        <v>96</v>
      </c>
      <c r="F624" s="402">
        <v>16</v>
      </c>
      <c r="G624" s="391" t="s">
        <v>2195</v>
      </c>
      <c r="H624" s="387" t="str">
        <f t="shared" ca="1" si="106"/>
        <v>row number</v>
      </c>
      <c r="I624" s="389">
        <v>96.999350709581705</v>
      </c>
      <c r="J624" s="392">
        <v>21562</v>
      </c>
      <c r="K624" s="392">
        <v>20915</v>
      </c>
      <c r="L624" s="391"/>
      <c r="M624" s="401" t="str">
        <f ca="1">IFERROR(IF(COUNTIF($B$526:$B623,"&lt;0")=1,"",OFFSET($C622,-COUNTIF($B$526:$B623,"&lt;0")+3,0)),"")</f>
        <v/>
      </c>
      <c r="N624" s="401" t="str">
        <f ca="1">IFERROR(IF(AND(_xlfn.ISFORMULA(I624),NOT(_xlfn.ISFORMULA(I623))),1,OFFSET($F622,-COUNTIF($B$526:B623,"&lt;0")+3,0)),"")</f>
        <v/>
      </c>
      <c r="O624" s="387">
        <f t="shared" ca="1" si="107"/>
        <v>96</v>
      </c>
      <c r="P624" s="387"/>
      <c r="Q624" s="387"/>
      <c r="R624" s="387"/>
      <c r="S624" s="387"/>
      <c r="T624" s="391" t="s">
        <v>2212</v>
      </c>
    </row>
    <row r="625" spans="1:20">
      <c r="A625" s="387" t="b">
        <v>1</v>
      </c>
      <c r="B625" s="387">
        <f t="shared" ca="1" si="104"/>
        <v>-137</v>
      </c>
      <c r="C625" s="401" t="s">
        <v>2768</v>
      </c>
      <c r="D625" s="401" t="s">
        <v>2769</v>
      </c>
      <c r="E625" s="387">
        <f t="shared" ca="1" si="105"/>
        <v>97</v>
      </c>
      <c r="F625" s="402">
        <v>17</v>
      </c>
      <c r="G625" s="391" t="s">
        <v>2192</v>
      </c>
      <c r="H625" s="387" t="str">
        <f t="shared" ca="1" si="106"/>
        <v>row number</v>
      </c>
      <c r="I625" s="389">
        <v>14.2105932018423</v>
      </c>
      <c r="J625" s="392">
        <v>56863.199999999997</v>
      </c>
      <c r="K625" s="392">
        <v>8080.5980335499999</v>
      </c>
      <c r="L625" s="391"/>
      <c r="M625" s="401" t="str">
        <f ca="1">IFERROR(IF(COUNTIF($B$526:$B624,"&lt;0")=1,"",OFFSET($C623,-COUNTIF($B$526:$B624,"&lt;0")+3,0)),"")</f>
        <v/>
      </c>
      <c r="N625" s="401" t="str">
        <f ca="1">IFERROR(IF(AND(_xlfn.ISFORMULA(I625),NOT(_xlfn.ISFORMULA(I624))),1,OFFSET($F623,-COUNTIF($B$526:B624,"&lt;0")+3,0)),"")</f>
        <v/>
      </c>
      <c r="O625" s="387">
        <f t="shared" ca="1" si="107"/>
        <v>97</v>
      </c>
      <c r="P625" s="387"/>
      <c r="Q625" s="387"/>
      <c r="R625" s="387"/>
      <c r="S625" s="387"/>
      <c r="T625" s="391" t="s">
        <v>2212</v>
      </c>
    </row>
    <row r="626" spans="1:20">
      <c r="A626" s="387" t="b">
        <v>1</v>
      </c>
      <c r="B626" s="387">
        <f t="shared" ca="1" si="104"/>
        <v>-136</v>
      </c>
      <c r="C626" s="401" t="s">
        <v>2770</v>
      </c>
      <c r="D626" s="401" t="s">
        <v>2769</v>
      </c>
      <c r="E626" s="387">
        <f t="shared" ca="1" si="105"/>
        <v>98</v>
      </c>
      <c r="F626" s="402">
        <v>17</v>
      </c>
      <c r="G626" s="391" t="s">
        <v>2192</v>
      </c>
      <c r="H626" s="387" t="str">
        <f t="shared" ca="1" si="106"/>
        <v>row number</v>
      </c>
      <c r="I626" s="389">
        <v>14.2105932018423</v>
      </c>
      <c r="J626" s="392">
        <v>56863.199999999997</v>
      </c>
      <c r="K626" s="392">
        <v>8080.5980335499999</v>
      </c>
      <c r="L626" s="391"/>
      <c r="M626" s="401" t="str">
        <f ca="1">IFERROR(IF(COUNTIF($B$526:$B625,"&lt;0")=1,"",OFFSET($C624,-COUNTIF($B$526:$B625,"&lt;0")+3,0)),"")</f>
        <v/>
      </c>
      <c r="N626" s="401" t="str">
        <f ca="1">IFERROR(IF(AND(_xlfn.ISFORMULA(I626),NOT(_xlfn.ISFORMULA(I625))),1,OFFSET($F624,-COUNTIF($B$526:B625,"&lt;0")+3,0)),"")</f>
        <v/>
      </c>
      <c r="O626" s="387">
        <f t="shared" ca="1" si="107"/>
        <v>98</v>
      </c>
      <c r="P626" s="387"/>
      <c r="Q626" s="387"/>
      <c r="R626" s="387"/>
      <c r="S626" s="387"/>
      <c r="T626" s="391" t="s">
        <v>2212</v>
      </c>
    </row>
    <row r="627" spans="1:20">
      <c r="A627" s="387" t="b">
        <v>1</v>
      </c>
      <c r="B627" s="387">
        <f t="shared" ca="1" si="104"/>
        <v>-135</v>
      </c>
      <c r="C627" s="401" t="s">
        <v>2771</v>
      </c>
      <c r="D627" s="401" t="s">
        <v>2769</v>
      </c>
      <c r="E627" s="387">
        <f t="shared" ca="1" si="105"/>
        <v>99</v>
      </c>
      <c r="F627" s="402">
        <v>17</v>
      </c>
      <c r="G627" s="391" t="s">
        <v>2192</v>
      </c>
      <c r="H627" s="387" t="str">
        <f t="shared" ca="1" si="106"/>
        <v>row number</v>
      </c>
      <c r="I627" s="389">
        <v>19.578983575159501</v>
      </c>
      <c r="J627" s="392">
        <v>58512.4</v>
      </c>
      <c r="K627" s="392">
        <v>11456.133185431599</v>
      </c>
      <c r="L627" s="391"/>
      <c r="M627" s="401" t="str">
        <f ca="1">IFERROR(IF(COUNTIF($B$526:$B626,"&lt;0")=1,"",OFFSET($C625,-COUNTIF($B$526:$B626,"&lt;0")+3,0)),"")</f>
        <v/>
      </c>
      <c r="N627" s="401" t="str">
        <f ca="1">IFERROR(IF(AND(_xlfn.ISFORMULA(I627),NOT(_xlfn.ISFORMULA(I626))),1,OFFSET($F625,-COUNTIF($B$526:B626,"&lt;0")+3,0)),"")</f>
        <v/>
      </c>
      <c r="O627" s="387">
        <f t="shared" ca="1" si="107"/>
        <v>99</v>
      </c>
      <c r="P627" s="387"/>
      <c r="Q627" s="387"/>
      <c r="R627" s="387"/>
      <c r="S627" s="387"/>
      <c r="T627" s="391" t="s">
        <v>2212</v>
      </c>
    </row>
    <row r="628" spans="1:20">
      <c r="A628" s="387" t="b">
        <v>1</v>
      </c>
      <c r="B628" s="387">
        <f t="shared" ca="1" si="104"/>
        <v>-134</v>
      </c>
      <c r="C628" s="401" t="s">
        <v>2772</v>
      </c>
      <c r="D628" s="401" t="s">
        <v>2769</v>
      </c>
      <c r="E628" s="387">
        <f t="shared" ca="1" si="105"/>
        <v>100</v>
      </c>
      <c r="F628" s="402">
        <v>17</v>
      </c>
      <c r="G628" s="391" t="s">
        <v>2192</v>
      </c>
      <c r="H628" s="387" t="str">
        <f t="shared" ca="1" si="106"/>
        <v>row number</v>
      </c>
      <c r="I628" s="389">
        <v>19.578983575159501</v>
      </c>
      <c r="J628" s="392">
        <v>58512.4</v>
      </c>
      <c r="K628" s="392">
        <v>11456.133185431599</v>
      </c>
      <c r="L628" s="391"/>
      <c r="M628" s="401" t="str">
        <f ca="1">IFERROR(IF(COUNTIF($B$526:$B627,"&lt;0")=1,"",OFFSET($C626,-COUNTIF($B$526:$B627,"&lt;0")+3,0)),"")</f>
        <v/>
      </c>
      <c r="N628" s="401" t="str">
        <f ca="1">IFERROR(IF(AND(_xlfn.ISFORMULA(I628),NOT(_xlfn.ISFORMULA(I627))),1,OFFSET($F626,-COUNTIF($B$526:B627,"&lt;0")+3,0)),"")</f>
        <v/>
      </c>
      <c r="O628" s="387">
        <f t="shared" ca="1" si="107"/>
        <v>100</v>
      </c>
      <c r="P628" s="387"/>
      <c r="Q628" s="387"/>
      <c r="R628" s="387"/>
      <c r="S628" s="387"/>
      <c r="T628" s="391" t="s">
        <v>2212</v>
      </c>
    </row>
    <row r="629" spans="1:20">
      <c r="A629" s="387" t="b">
        <v>1</v>
      </c>
      <c r="B629" s="387">
        <f t="shared" ca="1" si="104"/>
        <v>-133</v>
      </c>
      <c r="C629" s="401" t="s">
        <v>2773</v>
      </c>
      <c r="D629" s="401" t="s">
        <v>2769</v>
      </c>
      <c r="E629" s="387">
        <f t="shared" ca="1" si="105"/>
        <v>101</v>
      </c>
      <c r="F629" s="402">
        <v>17</v>
      </c>
      <c r="G629" s="391" t="s">
        <v>2192</v>
      </c>
      <c r="H629" s="387" t="str">
        <f t="shared" ca="1" si="106"/>
        <v>row number</v>
      </c>
      <c r="I629" s="389">
        <v>25.000112500897401</v>
      </c>
      <c r="J629" s="392">
        <v>60209.1</v>
      </c>
      <c r="K629" s="392">
        <v>15052.3427357778</v>
      </c>
      <c r="L629" s="391"/>
      <c r="M629" s="401" t="str">
        <f ca="1">IFERROR(IF(COUNTIF($B$526:$B628,"&lt;0")=1,"",OFFSET($C627,-COUNTIF($B$526:$B628,"&lt;0")+3,0)),"")</f>
        <v/>
      </c>
      <c r="N629" s="401" t="str">
        <f ca="1">IFERROR(IF(AND(_xlfn.ISFORMULA(I629),NOT(_xlfn.ISFORMULA(I628))),1,OFFSET($F627,-COUNTIF($B$526:B628,"&lt;0")+3,0)),"")</f>
        <v/>
      </c>
      <c r="O629" s="387">
        <f t="shared" ca="1" si="107"/>
        <v>101</v>
      </c>
      <c r="P629" s="387"/>
      <c r="Q629" s="387"/>
      <c r="R629" s="387"/>
      <c r="S629" s="387"/>
      <c r="T629" s="391" t="s">
        <v>2212</v>
      </c>
    </row>
    <row r="630" spans="1:20">
      <c r="A630" s="387" t="b">
        <v>1</v>
      </c>
      <c r="B630" s="387">
        <f t="shared" ca="1" si="104"/>
        <v>-132</v>
      </c>
      <c r="C630" s="401" t="s">
        <v>2774</v>
      </c>
      <c r="D630" s="401" t="s">
        <v>2769</v>
      </c>
      <c r="E630" s="387">
        <f t="shared" ca="1" si="105"/>
        <v>102</v>
      </c>
      <c r="F630" s="402">
        <v>17</v>
      </c>
      <c r="G630" s="391" t="s">
        <v>2192</v>
      </c>
      <c r="H630" s="387" t="str">
        <f t="shared" ca="1" si="106"/>
        <v>row number</v>
      </c>
      <c r="I630" s="389">
        <v>25.000112500897401</v>
      </c>
      <c r="J630" s="392">
        <v>60209.1</v>
      </c>
      <c r="K630" s="392">
        <v>15052.3427357778</v>
      </c>
      <c r="L630" s="391"/>
      <c r="M630" s="401" t="str">
        <f ca="1">IFERROR(IF(COUNTIF($B$526:$B629,"&lt;0")=1,"",OFFSET($C628,-COUNTIF($B$526:$B629,"&lt;0")+3,0)),"")</f>
        <v/>
      </c>
      <c r="N630" s="401" t="str">
        <f ca="1">IFERROR(IF(AND(_xlfn.ISFORMULA(I630),NOT(_xlfn.ISFORMULA(I629))),1,OFFSET($F628,-COUNTIF($B$526:B629,"&lt;0")+3,0)),"")</f>
        <v/>
      </c>
      <c r="O630" s="387">
        <f t="shared" ca="1" si="107"/>
        <v>102</v>
      </c>
      <c r="P630" s="387"/>
      <c r="Q630" s="387"/>
      <c r="R630" s="387"/>
      <c r="S630" s="387"/>
      <c r="T630" s="391" t="s">
        <v>2212</v>
      </c>
    </row>
    <row r="631" spans="1:20">
      <c r="A631" s="387" t="b">
        <v>1</v>
      </c>
      <c r="B631" s="387">
        <f t="shared" ca="1" si="104"/>
        <v>-131</v>
      </c>
      <c r="C631" s="401" t="s">
        <v>2775</v>
      </c>
      <c r="D631" s="401" t="s">
        <v>2776</v>
      </c>
      <c r="E631" s="387">
        <f t="shared" ca="1" si="105"/>
        <v>103</v>
      </c>
      <c r="F631" s="402">
        <v>18</v>
      </c>
      <c r="G631" s="391" t="s">
        <v>2195</v>
      </c>
      <c r="H631" s="387" t="str">
        <f t="shared" ca="1" si="106"/>
        <v>row number</v>
      </c>
      <c r="I631" s="389">
        <v>37.8216425801903</v>
      </c>
      <c r="J631" s="392">
        <v>5674</v>
      </c>
      <c r="K631" s="392">
        <v>2146</v>
      </c>
      <c r="L631" s="391"/>
      <c r="M631" s="401" t="str">
        <f ca="1">IFERROR(IF(COUNTIF($B$526:$B630,"&lt;0")=1,"",OFFSET($C629,-COUNTIF($B$526:$B630,"&lt;0")+3,0)),"")</f>
        <v/>
      </c>
      <c r="N631" s="401" t="str">
        <f ca="1">IFERROR(IF(AND(_xlfn.ISFORMULA(I631),NOT(_xlfn.ISFORMULA(I630))),1,OFFSET($F629,-COUNTIF($B$526:B630,"&lt;0")+3,0)),"")</f>
        <v/>
      </c>
      <c r="O631" s="387">
        <f t="shared" ca="1" si="107"/>
        <v>103</v>
      </c>
      <c r="P631" s="387"/>
      <c r="Q631" s="387"/>
      <c r="R631" s="387"/>
      <c r="S631" s="387"/>
      <c r="T631" s="391" t="s">
        <v>2212</v>
      </c>
    </row>
    <row r="632" spans="1:20">
      <c r="A632" s="387" t="b">
        <v>1</v>
      </c>
      <c r="B632" s="387">
        <f t="shared" ca="1" si="104"/>
        <v>-130</v>
      </c>
      <c r="C632" s="401" t="s">
        <v>2777</v>
      </c>
      <c r="D632" s="401" t="s">
        <v>2776</v>
      </c>
      <c r="E632" s="387">
        <f t="shared" ca="1" si="105"/>
        <v>104</v>
      </c>
      <c r="F632" s="402">
        <v>18</v>
      </c>
      <c r="G632" s="391" t="s">
        <v>2195</v>
      </c>
      <c r="H632" s="387" t="str">
        <f t="shared" ca="1" si="106"/>
        <v>row number</v>
      </c>
      <c r="I632" s="389">
        <v>40.817765244977103</v>
      </c>
      <c r="J632" s="392">
        <v>5674</v>
      </c>
      <c r="K632" s="392">
        <v>2316</v>
      </c>
      <c r="L632" s="391"/>
      <c r="M632" s="401" t="str">
        <f ca="1">IFERROR(IF(COUNTIF($B$526:$B631,"&lt;0")=1,"",OFFSET($C630,-COUNTIF($B$526:$B631,"&lt;0")+3,0)),"")</f>
        <v/>
      </c>
      <c r="N632" s="401" t="str">
        <f ca="1">IFERROR(IF(AND(_xlfn.ISFORMULA(I632),NOT(_xlfn.ISFORMULA(I631))),1,OFFSET($F630,-COUNTIF($B$526:B631,"&lt;0")+3,0)),"")</f>
        <v/>
      </c>
      <c r="O632" s="387">
        <f t="shared" ca="1" si="107"/>
        <v>104</v>
      </c>
      <c r="P632" s="387"/>
      <c r="Q632" s="387"/>
      <c r="R632" s="387"/>
      <c r="S632" s="387"/>
      <c r="T632" s="391" t="s">
        <v>2212</v>
      </c>
    </row>
    <row r="633" spans="1:20">
      <c r="A633" s="387" t="b">
        <v>1</v>
      </c>
      <c r="B633" s="387">
        <f t="shared" ca="1" si="104"/>
        <v>-129</v>
      </c>
      <c r="C633" s="401" t="s">
        <v>2778</v>
      </c>
      <c r="D633" s="401" t="s">
        <v>2776</v>
      </c>
      <c r="E633" s="387">
        <f t="shared" ca="1" si="105"/>
        <v>105</v>
      </c>
      <c r="F633" s="402">
        <v>18</v>
      </c>
      <c r="G633" s="391" t="s">
        <v>2195</v>
      </c>
      <c r="H633" s="387" t="str">
        <f t="shared" ca="1" si="106"/>
        <v>row number</v>
      </c>
      <c r="I633" s="389">
        <v>44.411396368190402</v>
      </c>
      <c r="J633" s="392">
        <v>6388</v>
      </c>
      <c r="K633" s="392">
        <v>2837</v>
      </c>
      <c r="L633" s="391"/>
      <c r="M633" s="401" t="str">
        <f ca="1">IFERROR(IF(COUNTIF($B$526:$B632,"&lt;0")=1,"",OFFSET($C631,-COUNTIF($B$526:$B632,"&lt;0")+3,0)),"")</f>
        <v/>
      </c>
      <c r="N633" s="401" t="str">
        <f ca="1">IFERROR(IF(AND(_xlfn.ISFORMULA(I633),NOT(_xlfn.ISFORMULA(I632))),1,OFFSET($F631,-COUNTIF($B$526:B632,"&lt;0")+3,0)),"")</f>
        <v/>
      </c>
      <c r="O633" s="387">
        <f t="shared" ca="1" si="107"/>
        <v>105</v>
      </c>
      <c r="P633" s="387"/>
      <c r="Q633" s="387"/>
      <c r="R633" s="387"/>
      <c r="S633" s="387"/>
      <c r="T633" s="391" t="s">
        <v>2212</v>
      </c>
    </row>
    <row r="634" spans="1:20">
      <c r="A634" s="387" t="b">
        <v>1</v>
      </c>
      <c r="B634" s="387">
        <f t="shared" ca="1" si="104"/>
        <v>-128</v>
      </c>
      <c r="C634" s="401" t="s">
        <v>2779</v>
      </c>
      <c r="D634" s="401" t="s">
        <v>2776</v>
      </c>
      <c r="E634" s="387">
        <f t="shared" ca="1" si="105"/>
        <v>106</v>
      </c>
      <c r="F634" s="402">
        <v>18</v>
      </c>
      <c r="G634" s="391" t="s">
        <v>2195</v>
      </c>
      <c r="H634" s="387" t="str">
        <f t="shared" ca="1" si="106"/>
        <v>row number</v>
      </c>
      <c r="I634" s="389">
        <v>47.996242955541597</v>
      </c>
      <c r="J634" s="392">
        <v>6388</v>
      </c>
      <c r="K634" s="392">
        <v>3066</v>
      </c>
      <c r="L634" s="391"/>
      <c r="M634" s="401" t="str">
        <f ca="1">IFERROR(IF(COUNTIF($B$526:$B633,"&lt;0")=1,"",OFFSET($C632,-COUNTIF($B$526:$B633,"&lt;0")+3,0)),"")</f>
        <v/>
      </c>
      <c r="N634" s="401" t="str">
        <f ca="1">IFERROR(IF(AND(_xlfn.ISFORMULA(I634),NOT(_xlfn.ISFORMULA(I633))),1,OFFSET($F632,-COUNTIF($B$526:B633,"&lt;0")+3,0)),"")</f>
        <v/>
      </c>
      <c r="O634" s="387">
        <f t="shared" ca="1" si="107"/>
        <v>106</v>
      </c>
      <c r="P634" s="387"/>
      <c r="Q634" s="387"/>
      <c r="R634" s="387"/>
      <c r="S634" s="387"/>
      <c r="T634" s="391" t="s">
        <v>2212</v>
      </c>
    </row>
    <row r="635" spans="1:20">
      <c r="A635" s="387" t="b">
        <v>1</v>
      </c>
      <c r="B635" s="387">
        <f t="shared" ca="1" si="104"/>
        <v>-127</v>
      </c>
      <c r="C635" s="401" t="s">
        <v>2780</v>
      </c>
      <c r="D635" s="401" t="s">
        <v>2776</v>
      </c>
      <c r="E635" s="387">
        <f t="shared" ca="1" si="105"/>
        <v>107</v>
      </c>
      <c r="F635" s="402">
        <v>18</v>
      </c>
      <c r="G635" s="391" t="s">
        <v>2195</v>
      </c>
      <c r="H635" s="387" t="str">
        <f t="shared" ca="1" si="106"/>
        <v>row number</v>
      </c>
      <c r="I635" s="389">
        <v>51.326185101580101</v>
      </c>
      <c r="J635" s="392">
        <v>7088</v>
      </c>
      <c r="K635" s="392">
        <v>3638</v>
      </c>
      <c r="L635" s="391"/>
      <c r="M635" s="401" t="str">
        <f ca="1">IFERROR(IF(COUNTIF($B$526:$B634,"&lt;0")=1,"",OFFSET($C633,-COUNTIF($B$526:$B634,"&lt;0")+3,0)),"")</f>
        <v/>
      </c>
      <c r="N635" s="401" t="str">
        <f ca="1">IFERROR(IF(AND(_xlfn.ISFORMULA(I635),NOT(_xlfn.ISFORMULA(I634))),1,OFFSET($F633,-COUNTIF($B$526:B634,"&lt;0")+3,0)),"")</f>
        <v/>
      </c>
      <c r="O635" s="387">
        <f t="shared" ca="1" si="107"/>
        <v>107</v>
      </c>
      <c r="P635" s="387"/>
      <c r="Q635" s="387"/>
      <c r="R635" s="387"/>
      <c r="S635" s="387"/>
      <c r="T635" s="391" t="s">
        <v>2212</v>
      </c>
    </row>
    <row r="636" spans="1:20">
      <c r="A636" s="387" t="b">
        <v>1</v>
      </c>
      <c r="B636" s="387">
        <f t="shared" ca="1" si="104"/>
        <v>-126</v>
      </c>
      <c r="C636" s="401" t="s">
        <v>2781</v>
      </c>
      <c r="D636" s="401" t="s">
        <v>2776</v>
      </c>
      <c r="E636" s="387">
        <f t="shared" ca="1" si="105"/>
        <v>108</v>
      </c>
      <c r="F636" s="402">
        <v>18</v>
      </c>
      <c r="G636" s="391" t="s">
        <v>2195</v>
      </c>
      <c r="H636" s="387" t="str">
        <f t="shared" ca="1" si="106"/>
        <v>row number</v>
      </c>
      <c r="I636" s="389">
        <v>54.669864559819402</v>
      </c>
      <c r="J636" s="392">
        <v>7088</v>
      </c>
      <c r="K636" s="392">
        <v>3875</v>
      </c>
      <c r="L636" s="391"/>
      <c r="M636" s="401" t="str">
        <f ca="1">IFERROR(IF(COUNTIF($B$526:$B635,"&lt;0")=1,"",OFFSET($C634,-COUNTIF($B$526:$B635,"&lt;0")+3,0)),"")</f>
        <v/>
      </c>
      <c r="N636" s="401" t="str">
        <f ca="1">IFERROR(IF(AND(_xlfn.ISFORMULA(I636),NOT(_xlfn.ISFORMULA(I635))),1,OFFSET($F634,-COUNTIF($B$526:B635,"&lt;0")+3,0)),"")</f>
        <v/>
      </c>
      <c r="O636" s="387">
        <f t="shared" ca="1" si="107"/>
        <v>108</v>
      </c>
      <c r="P636" s="387"/>
      <c r="Q636" s="387"/>
      <c r="R636" s="387"/>
      <c r="S636" s="387"/>
      <c r="T636" s="391" t="s">
        <v>2212</v>
      </c>
    </row>
    <row r="637" spans="1:20">
      <c r="A637" s="387" t="b">
        <v>1</v>
      </c>
      <c r="B637" s="387">
        <f t="shared" ca="1" si="104"/>
        <v>-125</v>
      </c>
      <c r="C637" s="401" t="s">
        <v>2782</v>
      </c>
      <c r="D637" s="401" t="s">
        <v>2783</v>
      </c>
      <c r="E637" s="387">
        <f t="shared" ca="1" si="105"/>
        <v>109</v>
      </c>
      <c r="F637" s="402">
        <v>19</v>
      </c>
      <c r="G637" s="391" t="s">
        <v>2192</v>
      </c>
      <c r="H637" s="387" t="str">
        <f t="shared" ca="1" si="106"/>
        <v>row number</v>
      </c>
      <c r="I637" s="389">
        <v>11.842330917329299</v>
      </c>
      <c r="J637" s="392">
        <v>110789</v>
      </c>
      <c r="K637" s="392">
        <v>13120</v>
      </c>
      <c r="L637" s="391"/>
      <c r="M637" s="401" t="str">
        <f ca="1">IFERROR(IF(COUNTIF($B$526:$B636,"&lt;0")=1,"",OFFSET($C635,-COUNTIF($B$526:$B636,"&lt;0")+3,0)),"")</f>
        <v/>
      </c>
      <c r="N637" s="401" t="str">
        <f ca="1">IFERROR(IF(AND(_xlfn.ISFORMULA(I637),NOT(_xlfn.ISFORMULA(I636))),1,OFFSET($F635,-COUNTIF($B$526:B636,"&lt;0")+3,0)),"")</f>
        <v/>
      </c>
      <c r="O637" s="387">
        <f t="shared" ca="1" si="107"/>
        <v>109</v>
      </c>
      <c r="P637" s="387"/>
      <c r="Q637" s="387"/>
      <c r="R637" s="387"/>
      <c r="S637" s="387"/>
      <c r="T637" s="391" t="s">
        <v>2212</v>
      </c>
    </row>
    <row r="638" spans="1:20">
      <c r="A638" s="387" t="b">
        <v>1</v>
      </c>
      <c r="B638" s="387">
        <f t="shared" ca="1" si="104"/>
        <v>-124</v>
      </c>
      <c r="C638" s="401" t="s">
        <v>2784</v>
      </c>
      <c r="D638" s="401" t="s">
        <v>2783</v>
      </c>
      <c r="E638" s="387">
        <f t="shared" ca="1" si="105"/>
        <v>110</v>
      </c>
      <c r="F638" s="402">
        <v>19</v>
      </c>
      <c r="G638" s="391" t="s">
        <v>2192</v>
      </c>
      <c r="H638" s="387" t="str">
        <f t="shared" ca="1" si="106"/>
        <v>row number</v>
      </c>
      <c r="I638" s="389">
        <v>11.842330917329299</v>
      </c>
      <c r="J638" s="392">
        <v>110789</v>
      </c>
      <c r="K638" s="392">
        <v>13120</v>
      </c>
      <c r="L638" s="391"/>
      <c r="M638" s="401" t="str">
        <f ca="1">IFERROR(IF(COUNTIF($B$526:$B637,"&lt;0")=1,"",OFFSET($C636,-COUNTIF($B$526:$B637,"&lt;0")+3,0)),"")</f>
        <v/>
      </c>
      <c r="N638" s="401" t="str">
        <f ca="1">IFERROR(IF(AND(_xlfn.ISFORMULA(I638),NOT(_xlfn.ISFORMULA(I637))),1,OFFSET($F636,-COUNTIF($B$526:B637,"&lt;0")+3,0)),"")</f>
        <v/>
      </c>
      <c r="O638" s="387">
        <f t="shared" ca="1" si="107"/>
        <v>110</v>
      </c>
      <c r="P638" s="387"/>
      <c r="Q638" s="387"/>
      <c r="R638" s="387"/>
      <c r="S638" s="387"/>
      <c r="T638" s="391" t="s">
        <v>2212</v>
      </c>
    </row>
    <row r="639" spans="1:20">
      <c r="A639" s="387" t="b">
        <v>1</v>
      </c>
      <c r="B639" s="387">
        <f t="shared" ca="1" si="104"/>
        <v>-123</v>
      </c>
      <c r="C639" s="401" t="s">
        <v>2785</v>
      </c>
      <c r="D639" s="401" t="s">
        <v>2783</v>
      </c>
      <c r="E639" s="387">
        <f t="shared" ca="1" si="105"/>
        <v>111</v>
      </c>
      <c r="F639" s="402">
        <v>19</v>
      </c>
      <c r="G639" s="391" t="s">
        <v>2192</v>
      </c>
      <c r="H639" s="387" t="str">
        <f t="shared" ca="1" si="106"/>
        <v>row number</v>
      </c>
      <c r="I639" s="389">
        <v>17.1312934258113</v>
      </c>
      <c r="J639" s="392">
        <v>114001.9</v>
      </c>
      <c r="K639" s="392">
        <v>19530</v>
      </c>
      <c r="L639" s="391"/>
      <c r="M639" s="401" t="str">
        <f ca="1">IFERROR(IF(COUNTIF($B$526:$B638,"&lt;0")=1,"",OFFSET($C637,-COUNTIF($B$526:$B638,"&lt;0")+3,0)),"")</f>
        <v/>
      </c>
      <c r="N639" s="401" t="str">
        <f ca="1">IFERROR(IF(AND(_xlfn.ISFORMULA(I639),NOT(_xlfn.ISFORMULA(I638))),1,OFFSET($F637,-COUNTIF($B$526:B638,"&lt;0")+3,0)),"")</f>
        <v/>
      </c>
      <c r="O639" s="387">
        <f t="shared" ca="1" si="107"/>
        <v>111</v>
      </c>
      <c r="P639" s="387"/>
      <c r="Q639" s="387"/>
      <c r="R639" s="387"/>
      <c r="S639" s="387"/>
      <c r="T639" s="391" t="s">
        <v>2212</v>
      </c>
    </row>
    <row r="640" spans="1:20">
      <c r="A640" s="387" t="b">
        <v>1</v>
      </c>
      <c r="B640" s="387">
        <f t="shared" ca="1" si="104"/>
        <v>-122</v>
      </c>
      <c r="C640" s="401" t="s">
        <v>2786</v>
      </c>
      <c r="D640" s="401" t="s">
        <v>2783</v>
      </c>
      <c r="E640" s="387">
        <f t="shared" ca="1" si="105"/>
        <v>112</v>
      </c>
      <c r="F640" s="402">
        <v>19</v>
      </c>
      <c r="G640" s="391" t="s">
        <v>2192</v>
      </c>
      <c r="H640" s="387" t="str">
        <f t="shared" ca="1" si="106"/>
        <v>row number</v>
      </c>
      <c r="I640" s="389">
        <v>17.1312934258113</v>
      </c>
      <c r="J640" s="392">
        <v>114001.9</v>
      </c>
      <c r="K640" s="392">
        <v>19530</v>
      </c>
      <c r="L640" s="391"/>
      <c r="M640" s="401" t="str">
        <f ca="1">IFERROR(IF(COUNTIF($B$526:$B639,"&lt;0")=1,"",OFFSET($C638,-COUNTIF($B$526:$B639,"&lt;0")+3,0)),"")</f>
        <v/>
      </c>
      <c r="N640" s="401" t="str">
        <f ca="1">IFERROR(IF(AND(_xlfn.ISFORMULA(I640),NOT(_xlfn.ISFORMULA(I639))),1,OFFSET($F638,-COUNTIF($B$526:B639,"&lt;0")+3,0)),"")</f>
        <v/>
      </c>
      <c r="O640" s="387">
        <f t="shared" ca="1" si="107"/>
        <v>112</v>
      </c>
      <c r="P640" s="387"/>
      <c r="Q640" s="387"/>
      <c r="R640" s="387"/>
      <c r="S640" s="387"/>
      <c r="T640" s="391" t="s">
        <v>2212</v>
      </c>
    </row>
    <row r="641" spans="1:20">
      <c r="A641" s="387" t="b">
        <v>1</v>
      </c>
      <c r="B641" s="387">
        <f t="shared" ca="1" si="104"/>
        <v>-121</v>
      </c>
      <c r="C641" s="401" t="s">
        <v>2787</v>
      </c>
      <c r="D641" s="401" t="s">
        <v>2783</v>
      </c>
      <c r="E641" s="387">
        <f t="shared" ca="1" si="105"/>
        <v>113</v>
      </c>
      <c r="F641" s="402">
        <v>19</v>
      </c>
      <c r="G641" s="391" t="s">
        <v>2192</v>
      </c>
      <c r="H641" s="387" t="str">
        <f t="shared" ca="1" si="106"/>
        <v>row number</v>
      </c>
      <c r="I641" s="389">
        <v>22.500189671795301</v>
      </c>
      <c r="J641" s="392">
        <v>117307.9</v>
      </c>
      <c r="K641" s="392">
        <v>26394.5</v>
      </c>
      <c r="L641" s="391"/>
      <c r="M641" s="401" t="str">
        <f ca="1">IFERROR(IF(COUNTIF($B$526:$B640,"&lt;0")=1,"",OFFSET($C639,-COUNTIF($B$526:$B640,"&lt;0")+3,0)),"")</f>
        <v/>
      </c>
      <c r="N641" s="401" t="str">
        <f ca="1">IFERROR(IF(AND(_xlfn.ISFORMULA(I641),NOT(_xlfn.ISFORMULA(I640))),1,OFFSET($F639,-COUNTIF($B$526:B640,"&lt;0")+3,0)),"")</f>
        <v/>
      </c>
      <c r="O641" s="387">
        <f t="shared" ca="1" si="107"/>
        <v>113</v>
      </c>
      <c r="P641" s="387"/>
      <c r="Q641" s="387"/>
      <c r="R641" s="387"/>
      <c r="S641" s="387"/>
      <c r="T641" s="391" t="s">
        <v>2212</v>
      </c>
    </row>
    <row r="642" spans="1:20">
      <c r="A642" s="387" t="b">
        <v>1</v>
      </c>
      <c r="B642" s="387">
        <f t="shared" ca="1" si="104"/>
        <v>-120</v>
      </c>
      <c r="C642" s="401" t="s">
        <v>2788</v>
      </c>
      <c r="D642" s="401" t="s">
        <v>2783</v>
      </c>
      <c r="E642" s="387">
        <f t="shared" ca="1" si="105"/>
        <v>114</v>
      </c>
      <c r="F642" s="402">
        <v>19</v>
      </c>
      <c r="G642" s="391" t="s">
        <v>2192</v>
      </c>
      <c r="H642" s="387" t="str">
        <f t="shared" ca="1" si="106"/>
        <v>row number</v>
      </c>
      <c r="I642" s="389">
        <v>22.500189671795301</v>
      </c>
      <c r="J642" s="392">
        <v>117307.9</v>
      </c>
      <c r="K642" s="392">
        <v>26394.5</v>
      </c>
      <c r="L642" s="391"/>
      <c r="M642" s="401" t="str">
        <f ca="1">IFERROR(IF(COUNTIF($B$526:$B641,"&lt;0")=1,"",OFFSET($C640,-COUNTIF($B$526:$B641,"&lt;0")+3,0)),"")</f>
        <v/>
      </c>
      <c r="N642" s="401" t="str">
        <f ca="1">IFERROR(IF(AND(_xlfn.ISFORMULA(I642),NOT(_xlfn.ISFORMULA(I641))),1,OFFSET($F640,-COUNTIF($B$526:B641,"&lt;0")+3,0)),"")</f>
        <v/>
      </c>
      <c r="O642" s="387">
        <f t="shared" ca="1" si="107"/>
        <v>114</v>
      </c>
      <c r="P642" s="387"/>
      <c r="Q642" s="387"/>
      <c r="R642" s="387"/>
      <c r="S642" s="387"/>
      <c r="T642" s="391" t="s">
        <v>2212</v>
      </c>
    </row>
    <row r="643" spans="1:20">
      <c r="A643" s="387" t="b">
        <v>1</v>
      </c>
      <c r="B643" s="387">
        <f t="shared" ca="1" si="104"/>
        <v>-119</v>
      </c>
      <c r="C643" s="401" t="s">
        <v>2789</v>
      </c>
      <c r="D643" s="401" t="s">
        <v>2790</v>
      </c>
      <c r="E643" s="387">
        <f t="shared" ca="1" si="105"/>
        <v>115</v>
      </c>
      <c r="F643" s="402">
        <v>20</v>
      </c>
      <c r="G643" s="391" t="s">
        <v>2195</v>
      </c>
      <c r="H643" s="387" t="str">
        <f t="shared" ca="1" si="106"/>
        <v>row number</v>
      </c>
      <c r="I643" s="389">
        <v>32.744855504329202</v>
      </c>
      <c r="J643" s="392">
        <v>8893</v>
      </c>
      <c r="K643" s="392">
        <v>2912</v>
      </c>
      <c r="L643" s="391"/>
      <c r="M643" s="401" t="str">
        <f ca="1">IFERROR(IF(COUNTIF($B$526:$B642,"&lt;0")=1,"",OFFSET($C641,-COUNTIF($B$526:$B642,"&lt;0")+3,0)),"")</f>
        <v/>
      </c>
      <c r="N643" s="401" t="str">
        <f ca="1">IFERROR(IF(AND(_xlfn.ISFORMULA(I643),NOT(_xlfn.ISFORMULA(I642))),1,OFFSET($F641,-COUNTIF($B$526:B642,"&lt;0")+3,0)),"")</f>
        <v/>
      </c>
      <c r="O643" s="387">
        <f t="shared" ca="1" si="107"/>
        <v>115</v>
      </c>
      <c r="P643" s="387"/>
      <c r="Q643" s="387"/>
      <c r="R643" s="387"/>
      <c r="S643" s="387"/>
      <c r="T643" s="391" t="s">
        <v>2212</v>
      </c>
    </row>
    <row r="644" spans="1:20">
      <c r="A644" s="387" t="b">
        <v>1</v>
      </c>
      <c r="B644" s="387">
        <f t="shared" ca="1" si="104"/>
        <v>-118</v>
      </c>
      <c r="C644" s="401" t="s">
        <v>2791</v>
      </c>
      <c r="D644" s="401" t="s">
        <v>2790</v>
      </c>
      <c r="E644" s="387">
        <f t="shared" ca="1" si="105"/>
        <v>116</v>
      </c>
      <c r="F644" s="402">
        <v>20</v>
      </c>
      <c r="G644" s="391" t="s">
        <v>2195</v>
      </c>
      <c r="H644" s="387" t="str">
        <f t="shared" ca="1" si="106"/>
        <v>row number</v>
      </c>
      <c r="I644" s="389">
        <v>35.494208928370597</v>
      </c>
      <c r="J644" s="392">
        <v>8893</v>
      </c>
      <c r="K644" s="392">
        <v>3156.5</v>
      </c>
      <c r="L644" s="391"/>
      <c r="M644" s="401" t="str">
        <f ca="1">IFERROR(IF(COUNTIF($B$526:$B643,"&lt;0")=1,"",OFFSET($C642,-COUNTIF($B$526:$B643,"&lt;0")+3,0)),"")</f>
        <v/>
      </c>
      <c r="N644" s="401" t="str">
        <f ca="1">IFERROR(IF(AND(_xlfn.ISFORMULA(I644),NOT(_xlfn.ISFORMULA(I643))),1,OFFSET($F642,-COUNTIF($B$526:B643,"&lt;0")+3,0)),"")</f>
        <v/>
      </c>
      <c r="O644" s="387">
        <f t="shared" ca="1" si="107"/>
        <v>116</v>
      </c>
      <c r="P644" s="387"/>
      <c r="Q644" s="387"/>
      <c r="R644" s="387"/>
      <c r="S644" s="387"/>
      <c r="T644" s="391" t="s">
        <v>2212</v>
      </c>
    </row>
    <row r="645" spans="1:20">
      <c r="A645" s="387" t="b">
        <v>1</v>
      </c>
      <c r="B645" s="387">
        <f t="shared" ca="1" si="104"/>
        <v>-117</v>
      </c>
      <c r="C645" s="401" t="s">
        <v>2792</v>
      </c>
      <c r="D645" s="401" t="s">
        <v>2790</v>
      </c>
      <c r="E645" s="387">
        <f t="shared" ca="1" si="105"/>
        <v>117</v>
      </c>
      <c r="F645" s="402">
        <v>20</v>
      </c>
      <c r="G645" s="391" t="s">
        <v>2195</v>
      </c>
      <c r="H645" s="387" t="str">
        <f t="shared" ca="1" si="106"/>
        <v>row number</v>
      </c>
      <c r="I645" s="389">
        <v>38.000599221012699</v>
      </c>
      <c r="J645" s="392">
        <v>10013</v>
      </c>
      <c r="K645" s="392">
        <v>3805</v>
      </c>
      <c r="L645" s="391"/>
      <c r="M645" s="401" t="str">
        <f ca="1">IFERROR(IF(COUNTIF($B$526:$B644,"&lt;0")=1,"",OFFSET($C643,-COUNTIF($B$526:$B644,"&lt;0")+3,0)),"")</f>
        <v/>
      </c>
      <c r="N645" s="401" t="str">
        <f ca="1">IFERROR(IF(AND(_xlfn.ISFORMULA(I645),NOT(_xlfn.ISFORMULA(I644))),1,OFFSET($F643,-COUNTIF($B$526:B644,"&lt;0")+3,0)),"")</f>
        <v/>
      </c>
      <c r="O645" s="387">
        <f t="shared" ca="1" si="107"/>
        <v>117</v>
      </c>
      <c r="P645" s="387"/>
      <c r="Q645" s="387"/>
      <c r="R645" s="387"/>
      <c r="S645" s="387"/>
      <c r="T645" s="391" t="s">
        <v>2212</v>
      </c>
    </row>
    <row r="646" spans="1:20">
      <c r="A646" s="387" t="b">
        <v>1</v>
      </c>
      <c r="B646" s="387">
        <f t="shared" ca="1" si="104"/>
        <v>-116</v>
      </c>
      <c r="C646" s="401" t="s">
        <v>2793</v>
      </c>
      <c r="D646" s="401" t="s">
        <v>2790</v>
      </c>
      <c r="E646" s="387">
        <f t="shared" ca="1" si="105"/>
        <v>118</v>
      </c>
      <c r="F646" s="402">
        <v>20</v>
      </c>
      <c r="G646" s="391" t="s">
        <v>2195</v>
      </c>
      <c r="H646" s="387" t="str">
        <f t="shared" ca="1" si="106"/>
        <v>row number</v>
      </c>
      <c r="I646" s="389">
        <v>40.497353440527299</v>
      </c>
      <c r="J646" s="392">
        <v>10013</v>
      </c>
      <c r="K646" s="392">
        <v>4055</v>
      </c>
      <c r="L646" s="391"/>
      <c r="M646" s="401" t="str">
        <f ca="1">IFERROR(IF(COUNTIF($B$526:$B645,"&lt;0")=1,"",OFFSET($C644,-COUNTIF($B$526:$B645,"&lt;0")+3,0)),"")</f>
        <v/>
      </c>
      <c r="N646" s="401" t="str">
        <f ca="1">IFERROR(IF(AND(_xlfn.ISFORMULA(I646),NOT(_xlfn.ISFORMULA(I645))),1,OFFSET($F644,-COUNTIF($B$526:B645,"&lt;0")+3,0)),"")</f>
        <v/>
      </c>
      <c r="O646" s="387">
        <f t="shared" ca="1" si="107"/>
        <v>118</v>
      </c>
      <c r="P646" s="387"/>
      <c r="Q646" s="387"/>
      <c r="R646" s="387"/>
      <c r="S646" s="387"/>
      <c r="T646" s="391" t="s">
        <v>2212</v>
      </c>
    </row>
    <row r="647" spans="1:20">
      <c r="A647" s="387" t="b">
        <v>1</v>
      </c>
      <c r="B647" s="387">
        <f t="shared" ca="1" si="104"/>
        <v>-115</v>
      </c>
      <c r="C647" s="401" t="s">
        <v>2794</v>
      </c>
      <c r="D647" s="401" t="s">
        <v>2790</v>
      </c>
      <c r="E647" s="387">
        <f t="shared" ca="1" si="105"/>
        <v>119</v>
      </c>
      <c r="F647" s="402">
        <v>20</v>
      </c>
      <c r="G647" s="391" t="s">
        <v>2195</v>
      </c>
      <c r="H647" s="387" t="str">
        <f t="shared" ca="1" si="106"/>
        <v>row number</v>
      </c>
      <c r="I647" s="389">
        <v>43.001170222342203</v>
      </c>
      <c r="J647" s="392">
        <v>11109</v>
      </c>
      <c r="K647" s="392">
        <v>4777</v>
      </c>
      <c r="L647" s="391"/>
      <c r="M647" s="401" t="str">
        <f ca="1">IFERROR(IF(COUNTIF($B$526:$B646,"&lt;0")=1,"",OFFSET($C645,-COUNTIF($B$526:$B646,"&lt;0")+3,0)),"")</f>
        <v/>
      </c>
      <c r="N647" s="401" t="str">
        <f ca="1">IFERROR(IF(AND(_xlfn.ISFORMULA(I647),NOT(_xlfn.ISFORMULA(I646))),1,OFFSET($F645,-COUNTIF($B$526:B646,"&lt;0")+3,0)),"")</f>
        <v/>
      </c>
      <c r="O647" s="387">
        <f t="shared" ca="1" si="107"/>
        <v>119</v>
      </c>
      <c r="P647" s="387"/>
      <c r="Q647" s="387"/>
      <c r="R647" s="387"/>
      <c r="S647" s="387"/>
      <c r="T647" s="391" t="s">
        <v>2212</v>
      </c>
    </row>
    <row r="648" spans="1:20">
      <c r="A648" s="387" t="b">
        <v>1</v>
      </c>
      <c r="B648" s="387">
        <f t="shared" ca="1" si="104"/>
        <v>-114</v>
      </c>
      <c r="C648" s="401" t="s">
        <v>2795</v>
      </c>
      <c r="D648" s="401" t="s">
        <v>2790</v>
      </c>
      <c r="E648" s="387">
        <f t="shared" ca="1" si="105"/>
        <v>120</v>
      </c>
      <c r="F648" s="402">
        <v>20</v>
      </c>
      <c r="G648" s="391" t="s">
        <v>2195</v>
      </c>
      <c r="H648" s="387" t="str">
        <f t="shared" ca="1" si="106"/>
        <v>row number</v>
      </c>
      <c r="I648" s="389">
        <v>45.499144837519097</v>
      </c>
      <c r="J648" s="392">
        <v>11109</v>
      </c>
      <c r="K648" s="392">
        <v>5054.5</v>
      </c>
      <c r="L648" s="391"/>
      <c r="M648" s="401" t="str">
        <f ca="1">IFERROR(IF(COUNTIF($B$526:$B647,"&lt;0")=1,"",OFFSET($C646,-COUNTIF($B$526:$B647,"&lt;0")+3,0)),"")</f>
        <v/>
      </c>
      <c r="N648" s="401" t="str">
        <f ca="1">IFERROR(IF(AND(_xlfn.ISFORMULA(I648),NOT(_xlfn.ISFORMULA(I647))),1,OFFSET($F646,-COUNTIF($B$526:B647,"&lt;0")+3,0)),"")</f>
        <v/>
      </c>
      <c r="O648" s="387">
        <f t="shared" ca="1" si="107"/>
        <v>120</v>
      </c>
      <c r="P648" s="387"/>
      <c r="Q648" s="387"/>
      <c r="R648" s="387"/>
      <c r="S648" s="387"/>
      <c r="T648" s="391" t="s">
        <v>2212</v>
      </c>
    </row>
    <row r="649" spans="1:20">
      <c r="A649" s="387" t="b">
        <v>1</v>
      </c>
      <c r="B649" s="387">
        <f t="shared" ca="1" si="104"/>
        <v>-113</v>
      </c>
      <c r="C649" s="401" t="s">
        <v>2796</v>
      </c>
      <c r="D649" s="401" t="s">
        <v>2797</v>
      </c>
      <c r="E649" s="387">
        <f t="shared" ca="1" si="105"/>
        <v>121</v>
      </c>
      <c r="F649" s="402">
        <v>21</v>
      </c>
      <c r="G649" s="391" t="s">
        <v>2232</v>
      </c>
      <c r="H649" s="387" t="str">
        <f t="shared" ca="1" si="106"/>
        <v>row number</v>
      </c>
      <c r="I649" s="389">
        <v>33.157521088529698</v>
      </c>
      <c r="J649" s="392">
        <v>29444.3</v>
      </c>
      <c r="K649" s="392">
        <v>9762.9999818699507</v>
      </c>
      <c r="L649" s="391"/>
      <c r="M649" s="401" t="str">
        <f ca="1">IFERROR(IF(COUNTIF($B$526:$B648,"&lt;0")=1,"",OFFSET($C647,-COUNTIF($B$526:$B648,"&lt;0")+3,0)),"")</f>
        <v/>
      </c>
      <c r="N649" s="401" t="str">
        <f ca="1">IFERROR(IF(AND(_xlfn.ISFORMULA(I649),NOT(_xlfn.ISFORMULA(I648))),1,OFFSET($F647,-COUNTIF($B$526:B648,"&lt;0")+3,0)),"")</f>
        <v/>
      </c>
      <c r="O649" s="387">
        <f t="shared" ca="1" si="107"/>
        <v>121</v>
      </c>
      <c r="P649" s="387"/>
      <c r="Q649" s="387"/>
      <c r="R649" s="387"/>
      <c r="S649" s="387"/>
      <c r="T649" s="391" t="s">
        <v>2212</v>
      </c>
    </row>
    <row r="650" spans="1:20">
      <c r="A650" s="387" t="b">
        <v>1</v>
      </c>
      <c r="B650" s="387">
        <f t="shared" ca="1" si="104"/>
        <v>-112</v>
      </c>
      <c r="C650" s="401" t="s">
        <v>2798</v>
      </c>
      <c r="D650" s="401" t="s">
        <v>2797</v>
      </c>
      <c r="E650" s="387">
        <f t="shared" ca="1" si="105"/>
        <v>122</v>
      </c>
      <c r="F650" s="402">
        <v>21</v>
      </c>
      <c r="G650" s="391" t="s">
        <v>2232</v>
      </c>
      <c r="H650" s="387" t="str">
        <f t="shared" ca="1" si="106"/>
        <v>row number</v>
      </c>
      <c r="I650" s="389">
        <v>33.157521088529698</v>
      </c>
      <c r="J650" s="392">
        <v>29444.3</v>
      </c>
      <c r="K650" s="392">
        <v>9762.9999818699507</v>
      </c>
      <c r="L650" s="391"/>
      <c r="M650" s="401" t="str">
        <f ca="1">IFERROR(IF(COUNTIF($B$526:$B649,"&lt;0")=1,"",OFFSET($C648,-COUNTIF($B$526:$B649,"&lt;0")+3,0)),"")</f>
        <v/>
      </c>
      <c r="N650" s="401" t="str">
        <f ca="1">IFERROR(IF(AND(_xlfn.ISFORMULA(I650),NOT(_xlfn.ISFORMULA(I649))),1,OFFSET($F648,-COUNTIF($B$526:B649,"&lt;0")+3,0)),"")</f>
        <v/>
      </c>
      <c r="O650" s="387">
        <f t="shared" ca="1" si="107"/>
        <v>122</v>
      </c>
      <c r="P650" s="387"/>
      <c r="Q650" s="387"/>
      <c r="R650" s="387"/>
      <c r="S650" s="387"/>
      <c r="T650" s="391" t="s">
        <v>2212</v>
      </c>
    </row>
    <row r="651" spans="1:20">
      <c r="A651" s="387" t="b">
        <v>1</v>
      </c>
      <c r="B651" s="387">
        <f t="shared" ca="1" si="104"/>
        <v>-111</v>
      </c>
      <c r="C651" s="401" t="s">
        <v>2799</v>
      </c>
      <c r="D651" s="401" t="s">
        <v>2797</v>
      </c>
      <c r="E651" s="387">
        <f t="shared" ca="1" si="105"/>
        <v>123</v>
      </c>
      <c r="F651" s="402">
        <v>21</v>
      </c>
      <c r="G651" s="391" t="s">
        <v>2232</v>
      </c>
      <c r="H651" s="387" t="str">
        <f t="shared" ca="1" si="106"/>
        <v>row number</v>
      </c>
      <c r="I651" s="389">
        <v>39.158467650585003</v>
      </c>
      <c r="J651" s="392">
        <v>30297.4</v>
      </c>
      <c r="K651" s="392">
        <v>11863.997577968399</v>
      </c>
      <c r="L651" s="391"/>
      <c r="M651" s="401" t="str">
        <f ca="1">IFERROR(IF(COUNTIF($B$526:$B650,"&lt;0")=1,"",OFFSET($C649,-COUNTIF($B$526:$B650,"&lt;0")+3,0)),"")</f>
        <v/>
      </c>
      <c r="N651" s="401" t="str">
        <f ca="1">IFERROR(IF(AND(_xlfn.ISFORMULA(I651),NOT(_xlfn.ISFORMULA(I650))),1,OFFSET($F649,-COUNTIF($B$526:B650,"&lt;0")+3,0)),"")</f>
        <v/>
      </c>
      <c r="O651" s="387">
        <f t="shared" ca="1" si="107"/>
        <v>123</v>
      </c>
      <c r="P651" s="387"/>
      <c r="Q651" s="387"/>
      <c r="R651" s="387"/>
      <c r="S651" s="387"/>
      <c r="T651" s="391" t="s">
        <v>2212</v>
      </c>
    </row>
    <row r="652" spans="1:20">
      <c r="A652" s="387" t="b">
        <v>1</v>
      </c>
      <c r="B652" s="387">
        <f t="shared" ca="1" si="104"/>
        <v>-110</v>
      </c>
      <c r="C652" s="401" t="s">
        <v>2800</v>
      </c>
      <c r="D652" s="401" t="s">
        <v>2797</v>
      </c>
      <c r="E652" s="387">
        <f t="shared" ca="1" si="105"/>
        <v>124</v>
      </c>
      <c r="F652" s="402">
        <v>21</v>
      </c>
      <c r="G652" s="391" t="s">
        <v>2232</v>
      </c>
      <c r="H652" s="387" t="str">
        <f t="shared" ca="1" si="106"/>
        <v>row number</v>
      </c>
      <c r="I652" s="389">
        <v>39.158467650585003</v>
      </c>
      <c r="J652" s="392">
        <v>30297.4</v>
      </c>
      <c r="K652" s="392">
        <v>11863.997577968399</v>
      </c>
      <c r="L652" s="391"/>
      <c r="M652" s="401" t="str">
        <f ca="1">IFERROR(IF(COUNTIF($B$526:$B651,"&lt;0")=1,"",OFFSET($C650,-COUNTIF($B$526:$B651,"&lt;0")+3,0)),"")</f>
        <v/>
      </c>
      <c r="N652" s="401" t="str">
        <f ca="1">IFERROR(IF(AND(_xlfn.ISFORMULA(I652),NOT(_xlfn.ISFORMULA(I651))),1,OFFSET($F650,-COUNTIF($B$526:B651,"&lt;0")+3,0)),"")</f>
        <v/>
      </c>
      <c r="O652" s="387">
        <f t="shared" ca="1" si="107"/>
        <v>124</v>
      </c>
      <c r="P652" s="387"/>
      <c r="Q652" s="387"/>
      <c r="R652" s="387"/>
      <c r="S652" s="387"/>
      <c r="T652" s="391" t="s">
        <v>2212</v>
      </c>
    </row>
    <row r="653" spans="1:20">
      <c r="A653" s="387" t="b">
        <v>1</v>
      </c>
      <c r="B653" s="387">
        <f t="shared" ca="1" si="104"/>
        <v>-109</v>
      </c>
      <c r="C653" s="401" t="s">
        <v>2801</v>
      </c>
      <c r="D653" s="401" t="s">
        <v>2797</v>
      </c>
      <c r="E653" s="387">
        <f t="shared" ca="1" si="105"/>
        <v>125</v>
      </c>
      <c r="F653" s="402">
        <v>21</v>
      </c>
      <c r="G653" s="391" t="s">
        <v>2232</v>
      </c>
      <c r="H653" s="387" t="str">
        <f t="shared" ca="1" si="106"/>
        <v>row number</v>
      </c>
      <c r="I653" s="389">
        <v>45.000477382380801</v>
      </c>
      <c r="J653" s="392">
        <v>31176.15</v>
      </c>
      <c r="K653" s="392">
        <v>14029.4163294471</v>
      </c>
      <c r="L653" s="391"/>
      <c r="M653" s="401" t="str">
        <f ca="1">IFERROR(IF(COUNTIF($B$526:$B652,"&lt;0")=1,"",OFFSET($C651,-COUNTIF($B$526:$B652,"&lt;0")+3,0)),"")</f>
        <v/>
      </c>
      <c r="N653" s="401" t="str">
        <f ca="1">IFERROR(IF(AND(_xlfn.ISFORMULA(I653),NOT(_xlfn.ISFORMULA(I652))),1,OFFSET($F651,-COUNTIF($B$526:B652,"&lt;0")+3,0)),"")</f>
        <v/>
      </c>
      <c r="O653" s="387">
        <f t="shared" ca="1" si="107"/>
        <v>125</v>
      </c>
      <c r="P653" s="387"/>
      <c r="Q653" s="387"/>
      <c r="R653" s="387"/>
      <c r="S653" s="387"/>
      <c r="T653" s="391" t="s">
        <v>2212</v>
      </c>
    </row>
    <row r="654" spans="1:20">
      <c r="A654" s="387" t="b">
        <v>1</v>
      </c>
      <c r="B654" s="387">
        <f t="shared" ca="1" si="104"/>
        <v>-108</v>
      </c>
      <c r="C654" s="401" t="s">
        <v>2802</v>
      </c>
      <c r="D654" s="401" t="s">
        <v>2797</v>
      </c>
      <c r="E654" s="387">
        <f t="shared" ca="1" si="105"/>
        <v>126</v>
      </c>
      <c r="F654" s="402">
        <v>21</v>
      </c>
      <c r="G654" s="391" t="s">
        <v>2232</v>
      </c>
      <c r="H654" s="387" t="str">
        <f t="shared" ca="1" si="106"/>
        <v>row number</v>
      </c>
      <c r="I654" s="389">
        <v>45.000477382380801</v>
      </c>
      <c r="J654" s="392">
        <v>31176.15</v>
      </c>
      <c r="K654" s="392">
        <v>14029.4163294471</v>
      </c>
      <c r="L654" s="391"/>
      <c r="M654" s="401" t="str">
        <f ca="1">IFERROR(IF(COUNTIF($B$526:$B653,"&lt;0")=1,"",OFFSET($C652,-COUNTIF($B$526:$B653,"&lt;0")+3,0)),"")</f>
        <v/>
      </c>
      <c r="N654" s="401" t="str">
        <f ca="1">IFERROR(IF(AND(_xlfn.ISFORMULA(I654),NOT(_xlfn.ISFORMULA(I653))),1,OFFSET($F652,-COUNTIF($B$526:B653,"&lt;0")+3,0)),"")</f>
        <v/>
      </c>
      <c r="O654" s="387">
        <f t="shared" ca="1" si="107"/>
        <v>126</v>
      </c>
      <c r="P654" s="387"/>
      <c r="Q654" s="387"/>
      <c r="R654" s="387"/>
      <c r="S654" s="387"/>
      <c r="T654" s="391" t="s">
        <v>2212</v>
      </c>
    </row>
    <row r="655" spans="1:20">
      <c r="A655" s="387" t="b">
        <v>1</v>
      </c>
      <c r="B655" s="387">
        <f t="shared" ca="1" si="104"/>
        <v>-107</v>
      </c>
      <c r="C655" s="401" t="s">
        <v>2803</v>
      </c>
      <c r="D655" s="401" t="s">
        <v>2804</v>
      </c>
      <c r="E655" s="387">
        <f t="shared" ca="1" si="105"/>
        <v>127</v>
      </c>
      <c r="F655" s="402">
        <v>22</v>
      </c>
      <c r="G655" s="391" t="s">
        <v>2192</v>
      </c>
      <c r="H655" s="387" t="str">
        <f t="shared" ca="1" si="106"/>
        <v>row number</v>
      </c>
      <c r="I655" s="389">
        <v>35.250319751507398</v>
      </c>
      <c r="J655" s="392">
        <v>131352</v>
      </c>
      <c r="K655" s="392">
        <v>46302</v>
      </c>
      <c r="L655" s="391"/>
      <c r="M655" s="401" t="str">
        <f ca="1">IFERROR(IF(COUNTIF($B$526:$B654,"&lt;0")=1,"",OFFSET($C653,-COUNTIF($B$526:$B654,"&lt;0")+3,0)),"")</f>
        <v/>
      </c>
      <c r="N655" s="401" t="str">
        <f ca="1">IFERROR(IF(AND(_xlfn.ISFORMULA(I655),NOT(_xlfn.ISFORMULA(I654))),1,OFFSET($F653,-COUNTIF($B$526:B654,"&lt;0")+3,0)),"")</f>
        <v/>
      </c>
      <c r="O655" s="387">
        <f t="shared" ca="1" si="107"/>
        <v>127</v>
      </c>
      <c r="P655" s="387"/>
      <c r="Q655" s="387"/>
      <c r="R655" s="387"/>
      <c r="S655" s="387"/>
      <c r="T655" s="391" t="s">
        <v>2212</v>
      </c>
    </row>
    <row r="656" spans="1:20">
      <c r="A656" s="387" t="b">
        <v>1</v>
      </c>
      <c r="B656" s="387">
        <f t="shared" ca="1" si="104"/>
        <v>-106</v>
      </c>
      <c r="C656" s="401" t="s">
        <v>2805</v>
      </c>
      <c r="D656" s="401" t="s">
        <v>2804</v>
      </c>
      <c r="E656" s="387">
        <f t="shared" ca="1" si="105"/>
        <v>128</v>
      </c>
      <c r="F656" s="402">
        <v>22</v>
      </c>
      <c r="G656" s="391" t="s">
        <v>2192</v>
      </c>
      <c r="H656" s="387" t="str">
        <f t="shared" ca="1" si="106"/>
        <v>row number</v>
      </c>
      <c r="I656" s="389">
        <v>35.250319751507398</v>
      </c>
      <c r="J656" s="392">
        <v>131352</v>
      </c>
      <c r="K656" s="392">
        <v>46302</v>
      </c>
      <c r="L656" s="391"/>
      <c r="M656" s="401" t="str">
        <f ca="1">IFERROR(IF(COUNTIF($B$526:$B655,"&lt;0")=1,"",OFFSET($C654,-COUNTIF($B$526:$B655,"&lt;0")+3,0)),"")</f>
        <v/>
      </c>
      <c r="N656" s="401" t="str">
        <f ca="1">IFERROR(IF(AND(_xlfn.ISFORMULA(I656),NOT(_xlfn.ISFORMULA(I655))),1,OFFSET($F654,-COUNTIF($B$526:B655,"&lt;0")+3,0)),"")</f>
        <v/>
      </c>
      <c r="O656" s="387">
        <f t="shared" ca="1" si="107"/>
        <v>128</v>
      </c>
      <c r="P656" s="387"/>
      <c r="Q656" s="387"/>
      <c r="R656" s="387"/>
      <c r="S656" s="387"/>
      <c r="T656" s="391" t="s">
        <v>2212</v>
      </c>
    </row>
    <row r="657" spans="1:20">
      <c r="A657" s="387" t="b">
        <v>1</v>
      </c>
      <c r="B657" s="387">
        <f t="shared" ref="B657:B720" ca="1" si="108">B656+1</f>
        <v>-105</v>
      </c>
      <c r="C657" s="401" t="s">
        <v>2806</v>
      </c>
      <c r="D657" s="401" t="s">
        <v>2804</v>
      </c>
      <c r="E657" s="387">
        <f t="shared" ref="E657:E720" ca="1" si="109">IF(E656="countif",0,IF(E656=W$2,1,E656+1))</f>
        <v>129</v>
      </c>
      <c r="F657" s="402">
        <v>22</v>
      </c>
      <c r="G657" s="391" t="s">
        <v>2192</v>
      </c>
      <c r="H657" s="387" t="str">
        <f t="shared" ref="H657:H720" ca="1" si="110">IF(B657=1,9,IF(E656=MAX(E655:E657),H655+2,H656))</f>
        <v>row number</v>
      </c>
      <c r="I657" s="389">
        <v>41.524922129904297</v>
      </c>
      <c r="J657" s="392">
        <v>135161</v>
      </c>
      <c r="K657" s="392">
        <v>56125.5</v>
      </c>
      <c r="L657" s="391"/>
      <c r="M657" s="401" t="str">
        <f ca="1">IFERROR(IF(COUNTIF($B$526:$B656,"&lt;0")=1,"",OFFSET($C655,-COUNTIF($B$526:$B656,"&lt;0")+3,0)),"")</f>
        <v/>
      </c>
      <c r="N657" s="401" t="str">
        <f ca="1">IFERROR(IF(AND(_xlfn.ISFORMULA(I657),NOT(_xlfn.ISFORMULA(I656))),1,OFFSET($F655,-COUNTIF($B$526:B656,"&lt;0")+3,0)),"")</f>
        <v/>
      </c>
      <c r="O657" s="387">
        <f t="shared" ref="O657:O720" ca="1" si="111">IF(NOT(_xlfn.ISFORMULA(I657)),O656+1,0)</f>
        <v>129</v>
      </c>
      <c r="P657" s="387"/>
      <c r="Q657" s="387"/>
      <c r="R657" s="387"/>
      <c r="S657" s="387"/>
      <c r="T657" s="391" t="s">
        <v>2212</v>
      </c>
    </row>
    <row r="658" spans="1:20">
      <c r="A658" s="387" t="b">
        <v>1</v>
      </c>
      <c r="B658" s="387">
        <f t="shared" ca="1" si="108"/>
        <v>-104</v>
      </c>
      <c r="C658" s="401" t="s">
        <v>2807</v>
      </c>
      <c r="D658" s="401" t="s">
        <v>2804</v>
      </c>
      <c r="E658" s="387">
        <f t="shared" ca="1" si="109"/>
        <v>130</v>
      </c>
      <c r="F658" s="402">
        <v>22</v>
      </c>
      <c r="G658" s="391" t="s">
        <v>2192</v>
      </c>
      <c r="H658" s="387" t="str">
        <f t="shared" ca="1" si="110"/>
        <v>row number</v>
      </c>
      <c r="I658" s="389">
        <v>41.524922129904297</v>
      </c>
      <c r="J658" s="392">
        <v>135161</v>
      </c>
      <c r="K658" s="392">
        <v>56125.5</v>
      </c>
      <c r="L658" s="391"/>
      <c r="M658" s="401" t="str">
        <f ca="1">IFERROR(IF(COUNTIF($B$526:$B657,"&lt;0")=1,"",OFFSET($C656,-COUNTIF($B$526:$B657,"&lt;0")+3,0)),"")</f>
        <v/>
      </c>
      <c r="N658" s="401" t="str">
        <f ca="1">IFERROR(IF(AND(_xlfn.ISFORMULA(I658),NOT(_xlfn.ISFORMULA(I657))),1,OFFSET($F656,-COUNTIF($B$526:B657,"&lt;0")+3,0)),"")</f>
        <v/>
      </c>
      <c r="O658" s="387">
        <f t="shared" ca="1" si="111"/>
        <v>130</v>
      </c>
      <c r="P658" s="387"/>
      <c r="Q658" s="387"/>
      <c r="R658" s="387"/>
      <c r="S658" s="387"/>
      <c r="T658" s="391" t="s">
        <v>2212</v>
      </c>
    </row>
    <row r="659" spans="1:20">
      <c r="A659" s="387" t="b">
        <v>1</v>
      </c>
      <c r="B659" s="387">
        <f t="shared" ca="1" si="108"/>
        <v>-103</v>
      </c>
      <c r="C659" s="401" t="s">
        <v>2808</v>
      </c>
      <c r="D659" s="401" t="s">
        <v>2804</v>
      </c>
      <c r="E659" s="387">
        <f t="shared" ca="1" si="109"/>
        <v>131</v>
      </c>
      <c r="F659" s="402">
        <v>22</v>
      </c>
      <c r="G659" s="391" t="s">
        <v>2192</v>
      </c>
      <c r="H659" s="387" t="str">
        <f t="shared" ca="1" si="110"/>
        <v>row number</v>
      </c>
      <c r="I659" s="389">
        <v>47.499275434947997</v>
      </c>
      <c r="J659" s="392">
        <v>139081</v>
      </c>
      <c r="K659" s="392">
        <v>66062.467267679996</v>
      </c>
      <c r="L659" s="391"/>
      <c r="M659" s="401" t="str">
        <f ca="1">IFERROR(IF(COUNTIF($B$526:$B658,"&lt;0")=1,"",OFFSET($C657,-COUNTIF($B$526:$B658,"&lt;0")+3,0)),"")</f>
        <v/>
      </c>
      <c r="N659" s="401" t="str">
        <f ca="1">IFERROR(IF(AND(_xlfn.ISFORMULA(I659),NOT(_xlfn.ISFORMULA(I658))),1,OFFSET($F657,-COUNTIF($B$526:B658,"&lt;0")+3,0)),"")</f>
        <v/>
      </c>
      <c r="O659" s="387">
        <f t="shared" ca="1" si="111"/>
        <v>131</v>
      </c>
      <c r="P659" s="387"/>
      <c r="Q659" s="387"/>
      <c r="R659" s="387"/>
      <c r="S659" s="387"/>
      <c r="T659" s="391" t="s">
        <v>2212</v>
      </c>
    </row>
    <row r="660" spans="1:20">
      <c r="A660" s="387" t="b">
        <v>1</v>
      </c>
      <c r="B660" s="387">
        <f t="shared" ca="1" si="108"/>
        <v>-102</v>
      </c>
      <c r="C660" s="401" t="s">
        <v>2809</v>
      </c>
      <c r="D660" s="401" t="s">
        <v>2804</v>
      </c>
      <c r="E660" s="387">
        <f t="shared" ca="1" si="109"/>
        <v>132</v>
      </c>
      <c r="F660" s="402">
        <v>22</v>
      </c>
      <c r="G660" s="391" t="s">
        <v>2192</v>
      </c>
      <c r="H660" s="387" t="str">
        <f t="shared" ca="1" si="110"/>
        <v>row number</v>
      </c>
      <c r="I660" s="389">
        <v>47.499275434947997</v>
      </c>
      <c r="J660" s="392">
        <v>139081</v>
      </c>
      <c r="K660" s="392">
        <v>66062.467267679996</v>
      </c>
      <c r="L660" s="391"/>
      <c r="M660" s="401" t="str">
        <f ca="1">IFERROR(IF(COUNTIF($B$526:$B659,"&lt;0")=1,"",OFFSET($C658,-COUNTIF($B$526:$B659,"&lt;0")+3,0)),"")</f>
        <v/>
      </c>
      <c r="N660" s="401" t="str">
        <f ca="1">IFERROR(IF(AND(_xlfn.ISFORMULA(I660),NOT(_xlfn.ISFORMULA(I659))),1,OFFSET($F658,-COUNTIF($B$526:B659,"&lt;0")+3,0)),"")</f>
        <v/>
      </c>
      <c r="O660" s="387">
        <f t="shared" ca="1" si="111"/>
        <v>132</v>
      </c>
      <c r="P660" s="387"/>
      <c r="Q660" s="387"/>
      <c r="R660" s="387"/>
      <c r="S660" s="387"/>
      <c r="T660" s="391" t="s">
        <v>2212</v>
      </c>
    </row>
    <row r="661" spans="1:20">
      <c r="A661" s="387" t="b">
        <v>1</v>
      </c>
      <c r="B661" s="387">
        <f t="shared" ca="1" si="108"/>
        <v>-101</v>
      </c>
      <c r="C661" s="401" t="s">
        <v>2810</v>
      </c>
      <c r="D661" s="401" t="s">
        <v>2811</v>
      </c>
      <c r="E661" s="387">
        <f t="shared" ca="1" si="109"/>
        <v>133</v>
      </c>
      <c r="F661" s="402">
        <v>23</v>
      </c>
      <c r="G661" s="391" t="s">
        <v>2192</v>
      </c>
      <c r="H661" s="387" t="str">
        <f t="shared" ca="1" si="110"/>
        <v>row number</v>
      </c>
      <c r="I661" s="389">
        <v>15</v>
      </c>
      <c r="J661" s="392">
        <v>59856.281730000002</v>
      </c>
      <c r="K661" s="392">
        <v>8978.4422594999996</v>
      </c>
      <c r="L661" s="391"/>
      <c r="M661" s="401" t="str">
        <f ca="1">IFERROR(IF(COUNTIF($B$526:$B660,"&lt;0")=1,"",OFFSET($C659,-COUNTIF($B$526:$B660,"&lt;0")+3,0)),"")</f>
        <v/>
      </c>
      <c r="N661" s="401" t="str">
        <f ca="1">IFERROR(IF(AND(_xlfn.ISFORMULA(I661),NOT(_xlfn.ISFORMULA(I660))),1,OFFSET($F659,-COUNTIF($B$526:B660,"&lt;0")+3,0)),"")</f>
        <v/>
      </c>
      <c r="O661" s="387">
        <f t="shared" ca="1" si="111"/>
        <v>133</v>
      </c>
      <c r="P661" s="387"/>
      <c r="Q661" s="387"/>
      <c r="R661" s="387"/>
      <c r="S661" s="387"/>
      <c r="T661" s="391" t="s">
        <v>2212</v>
      </c>
    </row>
    <row r="662" spans="1:20">
      <c r="A662" s="387" t="b">
        <v>1</v>
      </c>
      <c r="B662" s="387">
        <f t="shared" ca="1" si="108"/>
        <v>-100</v>
      </c>
      <c r="C662" s="401" t="s">
        <v>2812</v>
      </c>
      <c r="D662" s="401" t="s">
        <v>2811</v>
      </c>
      <c r="E662" s="387">
        <f t="shared" ca="1" si="109"/>
        <v>134</v>
      </c>
      <c r="F662" s="402">
        <v>23</v>
      </c>
      <c r="G662" s="391" t="s">
        <v>2192</v>
      </c>
      <c r="H662" s="387" t="str">
        <f t="shared" ca="1" si="110"/>
        <v>row number</v>
      </c>
      <c r="I662" s="389">
        <v>15</v>
      </c>
      <c r="J662" s="392">
        <v>59856.281730000002</v>
      </c>
      <c r="K662" s="392">
        <v>8978.4422594999996</v>
      </c>
      <c r="L662" s="391"/>
      <c r="M662" s="401" t="str">
        <f ca="1">IFERROR(IF(COUNTIF($B$526:$B661,"&lt;0")=1,"",OFFSET($C660,-COUNTIF($B$526:$B661,"&lt;0")+3,0)),"")</f>
        <v/>
      </c>
      <c r="N662" s="401" t="str">
        <f ca="1">IFERROR(IF(AND(_xlfn.ISFORMULA(I662),NOT(_xlfn.ISFORMULA(I661))),1,OFFSET($F660,-COUNTIF($B$526:B661,"&lt;0")+3,0)),"")</f>
        <v/>
      </c>
      <c r="O662" s="387">
        <f t="shared" ca="1" si="111"/>
        <v>134</v>
      </c>
      <c r="P662" s="387"/>
      <c r="Q662" s="387"/>
      <c r="R662" s="387"/>
      <c r="S662" s="387"/>
      <c r="T662" s="391" t="s">
        <v>2212</v>
      </c>
    </row>
    <row r="663" spans="1:20">
      <c r="A663" s="387" t="b">
        <v>1</v>
      </c>
      <c r="B663" s="387">
        <f t="shared" ca="1" si="108"/>
        <v>-99</v>
      </c>
      <c r="C663" s="401" t="s">
        <v>2813</v>
      </c>
      <c r="D663" s="401" t="s">
        <v>2811</v>
      </c>
      <c r="E663" s="387">
        <f t="shared" ca="1" si="109"/>
        <v>135</v>
      </c>
      <c r="F663" s="402">
        <v>23</v>
      </c>
      <c r="G663" s="391" t="s">
        <v>2192</v>
      </c>
      <c r="H663" s="387" t="str">
        <f t="shared" ca="1" si="110"/>
        <v>row number</v>
      </c>
      <c r="I663" s="389">
        <v>20.6</v>
      </c>
      <c r="J663" s="392">
        <v>61592.113900169999</v>
      </c>
      <c r="K663" s="392">
        <v>12687.975463434999</v>
      </c>
      <c r="L663" s="391"/>
      <c r="M663" s="401" t="str">
        <f ca="1">IFERROR(IF(COUNTIF($B$526:$B662,"&lt;0")=1,"",OFFSET($C661,-COUNTIF($B$526:$B662,"&lt;0")+3,0)),"")</f>
        <v/>
      </c>
      <c r="N663" s="401" t="str">
        <f ca="1">IFERROR(IF(AND(_xlfn.ISFORMULA(I663),NOT(_xlfn.ISFORMULA(I662))),1,OFFSET($F661,-COUNTIF($B$526:B662,"&lt;0")+3,0)),"")</f>
        <v/>
      </c>
      <c r="O663" s="387">
        <f t="shared" ca="1" si="111"/>
        <v>135</v>
      </c>
      <c r="P663" s="387"/>
      <c r="Q663" s="387"/>
      <c r="R663" s="387"/>
      <c r="S663" s="387"/>
      <c r="T663" s="391" t="s">
        <v>2212</v>
      </c>
    </row>
    <row r="664" spans="1:20">
      <c r="A664" s="387" t="b">
        <v>1</v>
      </c>
      <c r="B664" s="387">
        <f t="shared" ca="1" si="108"/>
        <v>-98</v>
      </c>
      <c r="C664" s="401" t="s">
        <v>2814</v>
      </c>
      <c r="D664" s="401" t="s">
        <v>2811</v>
      </c>
      <c r="E664" s="387">
        <f t="shared" ca="1" si="109"/>
        <v>136</v>
      </c>
      <c r="F664" s="402">
        <v>23</v>
      </c>
      <c r="G664" s="391" t="s">
        <v>2192</v>
      </c>
      <c r="H664" s="387" t="str">
        <f t="shared" ca="1" si="110"/>
        <v>row number</v>
      </c>
      <c r="I664" s="389">
        <v>20.6</v>
      </c>
      <c r="J664" s="392">
        <v>61592.113900169999</v>
      </c>
      <c r="K664" s="392">
        <v>12687.975463434999</v>
      </c>
      <c r="L664" s="391"/>
      <c r="M664" s="401" t="str">
        <f ca="1">IFERROR(IF(COUNTIF($B$526:$B663,"&lt;0")=1,"",OFFSET($C662,-COUNTIF($B$526:$B663,"&lt;0")+3,0)),"")</f>
        <v/>
      </c>
      <c r="N664" s="401" t="str">
        <f ca="1">IFERROR(IF(AND(_xlfn.ISFORMULA(I664),NOT(_xlfn.ISFORMULA(I663))),1,OFFSET($F662,-COUNTIF($B$526:B663,"&lt;0")+3,0)),"")</f>
        <v/>
      </c>
      <c r="O664" s="387">
        <f t="shared" ca="1" si="111"/>
        <v>136</v>
      </c>
      <c r="P664" s="387"/>
      <c r="Q664" s="387"/>
      <c r="R664" s="387"/>
      <c r="S664" s="387"/>
      <c r="T664" s="391" t="s">
        <v>2212</v>
      </c>
    </row>
    <row r="665" spans="1:20">
      <c r="A665" s="387" t="b">
        <v>1</v>
      </c>
      <c r="B665" s="387">
        <f t="shared" ca="1" si="108"/>
        <v>-97</v>
      </c>
      <c r="C665" s="401" t="s">
        <v>2815</v>
      </c>
      <c r="D665" s="401" t="s">
        <v>2811</v>
      </c>
      <c r="E665" s="387">
        <f t="shared" ca="1" si="109"/>
        <v>137</v>
      </c>
      <c r="F665" s="402">
        <v>23</v>
      </c>
      <c r="G665" s="391" t="s">
        <v>2192</v>
      </c>
      <c r="H665" s="387" t="str">
        <f t="shared" ca="1" si="110"/>
        <v>row number</v>
      </c>
      <c r="I665" s="389">
        <v>26.25</v>
      </c>
      <c r="J665" s="392">
        <v>63378.2852032749</v>
      </c>
      <c r="K665" s="392">
        <v>16636.799865859699</v>
      </c>
      <c r="L665" s="391"/>
      <c r="M665" s="401" t="str">
        <f ca="1">IFERROR(IF(COUNTIF($B$526:$B664,"&lt;0")=1,"",OFFSET($C663,-COUNTIF($B$526:$B664,"&lt;0")+3,0)),"")</f>
        <v/>
      </c>
      <c r="N665" s="401" t="str">
        <f ca="1">IFERROR(IF(AND(_xlfn.ISFORMULA(I665),NOT(_xlfn.ISFORMULA(I664))),1,OFFSET($F663,-COUNTIF($B$526:B664,"&lt;0")+3,0)),"")</f>
        <v/>
      </c>
      <c r="O665" s="387">
        <f t="shared" ca="1" si="111"/>
        <v>137</v>
      </c>
      <c r="P665" s="387"/>
      <c r="Q665" s="387"/>
      <c r="R665" s="387"/>
      <c r="S665" s="387"/>
      <c r="T665" s="391" t="s">
        <v>2212</v>
      </c>
    </row>
    <row r="666" spans="1:20">
      <c r="A666" s="387" t="b">
        <v>1</v>
      </c>
      <c r="B666" s="387">
        <f t="shared" ca="1" si="108"/>
        <v>-96</v>
      </c>
      <c r="C666" s="401" t="s">
        <v>2816</v>
      </c>
      <c r="D666" s="401" t="s">
        <v>2811</v>
      </c>
      <c r="E666" s="387">
        <f t="shared" ca="1" si="109"/>
        <v>138</v>
      </c>
      <c r="F666" s="402">
        <v>23</v>
      </c>
      <c r="G666" s="391" t="s">
        <v>2192</v>
      </c>
      <c r="H666" s="387" t="str">
        <f t="shared" ca="1" si="110"/>
        <v>row number</v>
      </c>
      <c r="I666" s="389">
        <v>26.25</v>
      </c>
      <c r="J666" s="392">
        <v>63378.2852032749</v>
      </c>
      <c r="K666" s="392">
        <v>16636.799865859699</v>
      </c>
      <c r="L666" s="391"/>
      <c r="M666" s="401" t="str">
        <f ca="1">IFERROR(IF(COUNTIF($B$526:$B665,"&lt;0")=1,"",OFFSET($C664,-COUNTIF($B$526:$B665,"&lt;0")+3,0)),"")</f>
        <v/>
      </c>
      <c r="N666" s="401" t="str">
        <f ca="1">IFERROR(IF(AND(_xlfn.ISFORMULA(I666),NOT(_xlfn.ISFORMULA(I665))),1,OFFSET($F664,-COUNTIF($B$526:B665,"&lt;0")+3,0)),"")</f>
        <v/>
      </c>
      <c r="O666" s="387">
        <f t="shared" ca="1" si="111"/>
        <v>138</v>
      </c>
      <c r="P666" s="387"/>
      <c r="Q666" s="387"/>
      <c r="R666" s="387"/>
      <c r="S666" s="387"/>
      <c r="T666" s="391" t="s">
        <v>2212</v>
      </c>
    </row>
    <row r="667" spans="1:20">
      <c r="A667" s="387" t="b">
        <v>1</v>
      </c>
      <c r="B667" s="387">
        <f t="shared" ca="1" si="108"/>
        <v>-95</v>
      </c>
      <c r="C667" s="401" t="s">
        <v>2817</v>
      </c>
      <c r="D667" s="401" t="s">
        <v>2818</v>
      </c>
      <c r="E667" s="387">
        <f t="shared" ca="1" si="109"/>
        <v>139</v>
      </c>
      <c r="F667" s="402">
        <v>24</v>
      </c>
      <c r="G667" s="391" t="s">
        <v>2192</v>
      </c>
      <c r="H667" s="387" t="str">
        <f t="shared" ca="1" si="110"/>
        <v>row number</v>
      </c>
      <c r="I667" s="389">
        <v>28.000065932221698</v>
      </c>
      <c r="J667" s="392">
        <v>333676</v>
      </c>
      <c r="K667" s="392">
        <v>93429.5</v>
      </c>
      <c r="L667" s="391"/>
      <c r="M667" s="401" t="str">
        <f ca="1">IFERROR(IF(COUNTIF($B$526:$B666,"&lt;0")=1,"",OFFSET($C665,-COUNTIF($B$526:$B666,"&lt;0")+3,0)),"")</f>
        <v/>
      </c>
      <c r="N667" s="401" t="str">
        <f ca="1">IFERROR(IF(AND(_xlfn.ISFORMULA(I667),NOT(_xlfn.ISFORMULA(I666))),1,OFFSET($F665,-COUNTIF($B$526:B666,"&lt;0")+3,0)),"")</f>
        <v/>
      </c>
      <c r="O667" s="387">
        <f t="shared" ca="1" si="111"/>
        <v>139</v>
      </c>
      <c r="P667" s="387"/>
      <c r="Q667" s="387"/>
      <c r="R667" s="387"/>
      <c r="S667" s="387"/>
      <c r="T667" s="391" t="s">
        <v>2212</v>
      </c>
    </row>
    <row r="668" spans="1:20">
      <c r="A668" s="387" t="b">
        <v>1</v>
      </c>
      <c r="B668" s="387">
        <f t="shared" ca="1" si="108"/>
        <v>-94</v>
      </c>
      <c r="C668" s="401" t="s">
        <v>2819</v>
      </c>
      <c r="D668" s="401" t="s">
        <v>2818</v>
      </c>
      <c r="E668" s="387">
        <f t="shared" ca="1" si="109"/>
        <v>140</v>
      </c>
      <c r="F668" s="402">
        <v>24</v>
      </c>
      <c r="G668" s="391" t="s">
        <v>2192</v>
      </c>
      <c r="H668" s="387" t="str">
        <f t="shared" ca="1" si="110"/>
        <v>row number</v>
      </c>
      <c r="I668" s="389">
        <v>28.000065932221698</v>
      </c>
      <c r="J668" s="392">
        <v>333676</v>
      </c>
      <c r="K668" s="392">
        <v>93429.5</v>
      </c>
      <c r="L668" s="391"/>
      <c r="M668" s="401" t="str">
        <f ca="1">IFERROR(IF(COUNTIF($B$526:$B667,"&lt;0")=1,"",OFFSET($C666,-COUNTIF($B$526:$B667,"&lt;0")+3,0)),"")</f>
        <v/>
      </c>
      <c r="N668" s="401" t="str">
        <f ca="1">IFERROR(IF(AND(_xlfn.ISFORMULA(I668),NOT(_xlfn.ISFORMULA(I667))),1,OFFSET($F666,-COUNTIF($B$526:B667,"&lt;0")+3,0)),"")</f>
        <v/>
      </c>
      <c r="O668" s="387">
        <f t="shared" ca="1" si="111"/>
        <v>140</v>
      </c>
      <c r="P668" s="387"/>
      <c r="Q668" s="387"/>
      <c r="R668" s="387"/>
      <c r="S668" s="387"/>
      <c r="T668" s="391" t="s">
        <v>2212</v>
      </c>
    </row>
    <row r="669" spans="1:20">
      <c r="A669" s="387" t="b">
        <v>1</v>
      </c>
      <c r="B669" s="387">
        <f t="shared" ca="1" si="108"/>
        <v>-93</v>
      </c>
      <c r="C669" s="401" t="s">
        <v>2820</v>
      </c>
      <c r="D669" s="401" t="s">
        <v>2818</v>
      </c>
      <c r="E669" s="387">
        <f t="shared" ca="1" si="109"/>
        <v>141</v>
      </c>
      <c r="F669" s="402">
        <v>24</v>
      </c>
      <c r="G669" s="391" t="s">
        <v>2192</v>
      </c>
      <c r="H669" s="387" t="str">
        <f t="shared" ca="1" si="110"/>
        <v>row number</v>
      </c>
      <c r="I669" s="389">
        <v>34.050041939467398</v>
      </c>
      <c r="J669" s="392">
        <v>343352</v>
      </c>
      <c r="K669" s="392">
        <v>116911.5</v>
      </c>
      <c r="L669" s="391"/>
      <c r="M669" s="401" t="str">
        <f ca="1">IFERROR(IF(COUNTIF($B$526:$B668,"&lt;0")=1,"",OFFSET($C667,-COUNTIF($B$526:$B668,"&lt;0")+3,0)),"")</f>
        <v/>
      </c>
      <c r="N669" s="401" t="str">
        <f ca="1">IFERROR(IF(AND(_xlfn.ISFORMULA(I669),NOT(_xlfn.ISFORMULA(I668))),1,OFFSET($F667,-COUNTIF($B$526:B668,"&lt;0")+3,0)),"")</f>
        <v/>
      </c>
      <c r="O669" s="387">
        <f t="shared" ca="1" si="111"/>
        <v>141</v>
      </c>
      <c r="P669" s="387"/>
      <c r="Q669" s="387"/>
      <c r="R669" s="387"/>
      <c r="S669" s="387"/>
      <c r="T669" s="391" t="s">
        <v>2212</v>
      </c>
    </row>
    <row r="670" spans="1:20">
      <c r="A670" s="387" t="b">
        <v>1</v>
      </c>
      <c r="B670" s="387">
        <f t="shared" ca="1" si="108"/>
        <v>-92</v>
      </c>
      <c r="C670" s="401" t="s">
        <v>2821</v>
      </c>
      <c r="D670" s="401" t="s">
        <v>2818</v>
      </c>
      <c r="E670" s="387">
        <f t="shared" ca="1" si="109"/>
        <v>142</v>
      </c>
      <c r="F670" s="402">
        <v>24</v>
      </c>
      <c r="G670" s="391" t="s">
        <v>2192</v>
      </c>
      <c r="H670" s="387" t="str">
        <f t="shared" ca="1" si="110"/>
        <v>row number</v>
      </c>
      <c r="I670" s="389">
        <v>34.050041939467398</v>
      </c>
      <c r="J670" s="392">
        <v>343352</v>
      </c>
      <c r="K670" s="392">
        <v>116911.5</v>
      </c>
      <c r="L670" s="391"/>
      <c r="M670" s="401" t="str">
        <f ca="1">IFERROR(IF(COUNTIF($B$526:$B669,"&lt;0")=1,"",OFFSET($C668,-COUNTIF($B$526:$B669,"&lt;0")+3,0)),"")</f>
        <v/>
      </c>
      <c r="N670" s="401" t="str">
        <f ca="1">IFERROR(IF(AND(_xlfn.ISFORMULA(I670),NOT(_xlfn.ISFORMULA(I669))),1,OFFSET($F668,-COUNTIF($B$526:B669,"&lt;0")+3,0)),"")</f>
        <v/>
      </c>
      <c r="O670" s="387">
        <f t="shared" ca="1" si="111"/>
        <v>142</v>
      </c>
      <c r="P670" s="387"/>
      <c r="Q670" s="387"/>
      <c r="R670" s="387"/>
      <c r="S670" s="387"/>
      <c r="T670" s="391" t="s">
        <v>2212</v>
      </c>
    </row>
    <row r="671" spans="1:20">
      <c r="A671" s="387" t="b">
        <v>1</v>
      </c>
      <c r="B671" s="387">
        <f t="shared" ca="1" si="108"/>
        <v>-91</v>
      </c>
      <c r="C671" s="401" t="s">
        <v>2822</v>
      </c>
      <c r="D671" s="401" t="s">
        <v>2818</v>
      </c>
      <c r="E671" s="387">
        <f t="shared" ca="1" si="109"/>
        <v>143</v>
      </c>
      <c r="F671" s="402">
        <v>24</v>
      </c>
      <c r="G671" s="391" t="s">
        <v>2192</v>
      </c>
      <c r="H671" s="387" t="str">
        <f t="shared" ca="1" si="110"/>
        <v>row number</v>
      </c>
      <c r="I671" s="389">
        <v>40.499844329342501</v>
      </c>
      <c r="J671" s="392">
        <v>353310</v>
      </c>
      <c r="K671" s="392">
        <v>143090</v>
      </c>
      <c r="L671" s="391"/>
      <c r="M671" s="401" t="str">
        <f ca="1">IFERROR(IF(COUNTIF($B$526:$B670,"&lt;0")=1,"",OFFSET($C669,-COUNTIF($B$526:$B670,"&lt;0")+3,0)),"")</f>
        <v/>
      </c>
      <c r="N671" s="401" t="str">
        <f ca="1">IFERROR(IF(AND(_xlfn.ISFORMULA(I671),NOT(_xlfn.ISFORMULA(I670))),1,OFFSET($F669,-COUNTIF($B$526:B670,"&lt;0")+3,0)),"")</f>
        <v/>
      </c>
      <c r="O671" s="387">
        <f t="shared" ca="1" si="111"/>
        <v>143</v>
      </c>
      <c r="P671" s="387"/>
      <c r="Q671" s="387"/>
      <c r="R671" s="387"/>
      <c r="S671" s="387"/>
      <c r="T671" s="391" t="s">
        <v>2212</v>
      </c>
    </row>
    <row r="672" spans="1:20">
      <c r="A672" s="387" t="b">
        <v>1</v>
      </c>
      <c r="B672" s="387">
        <f t="shared" ca="1" si="108"/>
        <v>-90</v>
      </c>
      <c r="C672" s="401" t="s">
        <v>2823</v>
      </c>
      <c r="D672" s="401" t="s">
        <v>2818</v>
      </c>
      <c r="E672" s="387">
        <f t="shared" ca="1" si="109"/>
        <v>144</v>
      </c>
      <c r="F672" s="402">
        <v>24</v>
      </c>
      <c r="G672" s="391" t="s">
        <v>2192</v>
      </c>
      <c r="H672" s="387" t="str">
        <f t="shared" ca="1" si="110"/>
        <v>row number</v>
      </c>
      <c r="I672" s="389">
        <v>40.499844329342501</v>
      </c>
      <c r="J672" s="392">
        <v>353310</v>
      </c>
      <c r="K672" s="392">
        <v>143090</v>
      </c>
      <c r="L672" s="391"/>
      <c r="M672" s="401" t="str">
        <f ca="1">IFERROR(IF(COUNTIF($B$526:$B671,"&lt;0")=1,"",OFFSET($C670,-COUNTIF($B$526:$B671,"&lt;0")+3,0)),"")</f>
        <v/>
      </c>
      <c r="N672" s="401" t="str">
        <f ca="1">IFERROR(IF(AND(_xlfn.ISFORMULA(I672),NOT(_xlfn.ISFORMULA(I671))),1,OFFSET($F670,-COUNTIF($B$526:B671,"&lt;0")+3,0)),"")</f>
        <v/>
      </c>
      <c r="O672" s="387">
        <f t="shared" ca="1" si="111"/>
        <v>144</v>
      </c>
      <c r="P672" s="387"/>
      <c r="Q672" s="387"/>
      <c r="R672" s="387"/>
      <c r="S672" s="387"/>
      <c r="T672" s="391" t="s">
        <v>2212</v>
      </c>
    </row>
    <row r="673" spans="1:20">
      <c r="A673" s="387" t="b">
        <v>1</v>
      </c>
      <c r="B673" s="387">
        <f t="shared" ca="1" si="108"/>
        <v>-89</v>
      </c>
      <c r="C673" s="401" t="s">
        <v>2824</v>
      </c>
      <c r="D673" s="401" t="s">
        <v>2825</v>
      </c>
      <c r="E673" s="387">
        <f t="shared" ca="1" si="109"/>
        <v>145</v>
      </c>
      <c r="F673" s="402">
        <v>25</v>
      </c>
      <c r="G673" s="391" t="s">
        <v>2192</v>
      </c>
      <c r="H673" s="387" t="str">
        <f t="shared" ca="1" si="110"/>
        <v>row number</v>
      </c>
      <c r="I673" s="389">
        <v>12.7499659875</v>
      </c>
      <c r="J673" s="392">
        <v>116620</v>
      </c>
      <c r="K673" s="392">
        <v>14869.010334622501</v>
      </c>
      <c r="L673" s="391"/>
      <c r="M673" s="401" t="str">
        <f ca="1">IFERROR(IF(COUNTIF($B$526:$B672,"&lt;0")=1,"",OFFSET($C671,-COUNTIF($B$526:$B672,"&lt;0")+3,0)),"")</f>
        <v/>
      </c>
      <c r="N673" s="401" t="str">
        <f ca="1">IFERROR(IF(AND(_xlfn.ISFORMULA(I673),NOT(_xlfn.ISFORMULA(I672))),1,OFFSET($F671,-COUNTIF($B$526:B672,"&lt;0")+3,0)),"")</f>
        <v/>
      </c>
      <c r="O673" s="387">
        <f t="shared" ca="1" si="111"/>
        <v>145</v>
      </c>
      <c r="P673" s="387"/>
      <c r="Q673" s="387"/>
      <c r="R673" s="387"/>
      <c r="S673" s="387"/>
      <c r="T673" s="391" t="s">
        <v>2212</v>
      </c>
    </row>
    <row r="674" spans="1:20">
      <c r="A674" s="387" t="b">
        <v>1</v>
      </c>
      <c r="B674" s="387">
        <f t="shared" ca="1" si="108"/>
        <v>-88</v>
      </c>
      <c r="C674" s="401" t="s">
        <v>2826</v>
      </c>
      <c r="D674" s="401" t="s">
        <v>2825</v>
      </c>
      <c r="E674" s="387">
        <f t="shared" ca="1" si="109"/>
        <v>146</v>
      </c>
      <c r="F674" s="402">
        <v>25</v>
      </c>
      <c r="G674" s="391" t="s">
        <v>2192</v>
      </c>
      <c r="H674" s="387" t="str">
        <f t="shared" ca="1" si="110"/>
        <v>row number</v>
      </c>
      <c r="I674" s="389">
        <v>12.7499659875</v>
      </c>
      <c r="J674" s="392">
        <v>116620</v>
      </c>
      <c r="K674" s="392">
        <v>14869.010334622501</v>
      </c>
      <c r="L674" s="391"/>
      <c r="M674" s="401" t="str">
        <f ca="1">IFERROR(IF(COUNTIF($B$526:$B673,"&lt;0")=1,"",OFFSET($C672,-COUNTIF($B$526:$B673,"&lt;0")+3,0)),"")</f>
        <v/>
      </c>
      <c r="N674" s="401" t="str">
        <f ca="1">IFERROR(IF(AND(_xlfn.ISFORMULA(I674),NOT(_xlfn.ISFORMULA(I673))),1,OFFSET($F672,-COUNTIF($B$526:B673,"&lt;0")+3,0)),"")</f>
        <v/>
      </c>
      <c r="O674" s="387">
        <f t="shared" ca="1" si="111"/>
        <v>146</v>
      </c>
      <c r="P674" s="387"/>
      <c r="Q674" s="387"/>
      <c r="R674" s="387"/>
      <c r="S674" s="387"/>
      <c r="T674" s="391" t="s">
        <v>2212</v>
      </c>
    </row>
    <row r="675" spans="1:20">
      <c r="A675" s="387" t="b">
        <v>1</v>
      </c>
      <c r="B675" s="387">
        <f t="shared" ca="1" si="108"/>
        <v>-87</v>
      </c>
      <c r="C675" s="401" t="s">
        <v>2827</v>
      </c>
      <c r="D675" s="401" t="s">
        <v>2825</v>
      </c>
      <c r="E675" s="387">
        <f t="shared" ca="1" si="109"/>
        <v>147</v>
      </c>
      <c r="F675" s="402">
        <v>25</v>
      </c>
      <c r="G675" s="391" t="s">
        <v>2192</v>
      </c>
      <c r="H675" s="387" t="str">
        <f t="shared" ca="1" si="110"/>
        <v>row number</v>
      </c>
      <c r="I675" s="389">
        <v>18.274948202975501</v>
      </c>
      <c r="J675" s="392">
        <v>120002</v>
      </c>
      <c r="K675" s="392">
        <v>21930.303342534698</v>
      </c>
      <c r="L675" s="391"/>
      <c r="M675" s="401" t="str">
        <f ca="1">IFERROR(IF(COUNTIF($B$526:$B674,"&lt;0")=1,"",OFFSET($C673,-COUNTIF($B$526:$B674,"&lt;0")+3,0)),"")</f>
        <v/>
      </c>
      <c r="N675" s="401" t="str">
        <f ca="1">IFERROR(IF(AND(_xlfn.ISFORMULA(I675),NOT(_xlfn.ISFORMULA(I674))),1,OFFSET($F673,-COUNTIF($B$526:B674,"&lt;0")+3,0)),"")</f>
        <v/>
      </c>
      <c r="O675" s="387">
        <f t="shared" ca="1" si="111"/>
        <v>147</v>
      </c>
      <c r="P675" s="387"/>
      <c r="Q675" s="387"/>
      <c r="R675" s="387"/>
      <c r="S675" s="387"/>
      <c r="T675" s="391" t="s">
        <v>2212</v>
      </c>
    </row>
    <row r="676" spans="1:20">
      <c r="A676" s="387" t="b">
        <v>1</v>
      </c>
      <c r="B676" s="387">
        <f t="shared" ca="1" si="108"/>
        <v>-86</v>
      </c>
      <c r="C676" s="401" t="s">
        <v>2828</v>
      </c>
      <c r="D676" s="401" t="s">
        <v>2825</v>
      </c>
      <c r="E676" s="387">
        <f t="shared" ca="1" si="109"/>
        <v>148</v>
      </c>
      <c r="F676" s="402">
        <v>25</v>
      </c>
      <c r="G676" s="391" t="s">
        <v>2192</v>
      </c>
      <c r="H676" s="387" t="str">
        <f t="shared" ca="1" si="110"/>
        <v>row number</v>
      </c>
      <c r="I676" s="389">
        <v>18.274948202975501</v>
      </c>
      <c r="J676" s="392">
        <v>120002</v>
      </c>
      <c r="K676" s="392">
        <v>21930.303342534698</v>
      </c>
      <c r="L676" s="391"/>
      <c r="M676" s="401" t="str">
        <f ca="1">IFERROR(IF(COUNTIF($B$526:$B675,"&lt;0")=1,"",OFFSET($C674,-COUNTIF($B$526:$B675,"&lt;0")+3,0)),"")</f>
        <v/>
      </c>
      <c r="N676" s="401" t="str">
        <f ca="1">IFERROR(IF(AND(_xlfn.ISFORMULA(I676),NOT(_xlfn.ISFORMULA(I675))),1,OFFSET($F674,-COUNTIF($B$526:B675,"&lt;0")+3,0)),"")</f>
        <v/>
      </c>
      <c r="O676" s="387">
        <f t="shared" ca="1" si="111"/>
        <v>148</v>
      </c>
      <c r="P676" s="387"/>
      <c r="Q676" s="387"/>
      <c r="R676" s="387"/>
      <c r="S676" s="387"/>
      <c r="T676" s="391" t="s">
        <v>2212</v>
      </c>
    </row>
    <row r="677" spans="1:20">
      <c r="A677" s="387" t="b">
        <v>1</v>
      </c>
      <c r="B677" s="387">
        <f t="shared" ca="1" si="108"/>
        <v>-85</v>
      </c>
      <c r="C677" s="401" t="s">
        <v>2829</v>
      </c>
      <c r="D677" s="401" t="s">
        <v>2825</v>
      </c>
      <c r="E677" s="387">
        <f t="shared" ca="1" si="109"/>
        <v>149</v>
      </c>
      <c r="F677" s="402">
        <v>25</v>
      </c>
      <c r="G677" s="391" t="s">
        <v>2192</v>
      </c>
      <c r="H677" s="387" t="str">
        <f t="shared" ca="1" si="110"/>
        <v>row number</v>
      </c>
      <c r="I677" s="389">
        <v>23.87494354499</v>
      </c>
      <c r="J677" s="392">
        <v>123482</v>
      </c>
      <c r="K677" s="392">
        <v>29481.257788224499</v>
      </c>
      <c r="L677" s="391"/>
      <c r="M677" s="401" t="str">
        <f ca="1">IFERROR(IF(COUNTIF($B$526:$B676,"&lt;0")=1,"",OFFSET($C675,-COUNTIF($B$526:$B676,"&lt;0")+3,0)),"")</f>
        <v/>
      </c>
      <c r="N677" s="401" t="str">
        <f ca="1">IFERROR(IF(AND(_xlfn.ISFORMULA(I677),NOT(_xlfn.ISFORMULA(I676))),1,OFFSET($F675,-COUNTIF($B$526:B676,"&lt;0")+3,0)),"")</f>
        <v/>
      </c>
      <c r="O677" s="387">
        <f t="shared" ca="1" si="111"/>
        <v>149</v>
      </c>
      <c r="P677" s="387"/>
      <c r="Q677" s="387"/>
      <c r="R677" s="387"/>
      <c r="S677" s="387"/>
      <c r="T677" s="391" t="s">
        <v>2212</v>
      </c>
    </row>
    <row r="678" spans="1:20">
      <c r="A678" s="387" t="b">
        <v>1</v>
      </c>
      <c r="B678" s="387">
        <f t="shared" ca="1" si="108"/>
        <v>-84</v>
      </c>
      <c r="C678" s="401" t="s">
        <v>2830</v>
      </c>
      <c r="D678" s="401" t="s">
        <v>2825</v>
      </c>
      <c r="E678" s="387">
        <f t="shared" ca="1" si="109"/>
        <v>150</v>
      </c>
      <c r="F678" s="402">
        <v>25</v>
      </c>
      <c r="G678" s="391" t="s">
        <v>2192</v>
      </c>
      <c r="H678" s="387" t="str">
        <f t="shared" ca="1" si="110"/>
        <v>row number</v>
      </c>
      <c r="I678" s="389">
        <v>23.87494354499</v>
      </c>
      <c r="J678" s="392">
        <v>123482</v>
      </c>
      <c r="K678" s="392">
        <v>29481.257788224499</v>
      </c>
      <c r="L678" s="391"/>
      <c r="M678" s="401" t="str">
        <f ca="1">IFERROR(IF(COUNTIF($B$526:$B677,"&lt;0")=1,"",OFFSET($C676,-COUNTIF($B$526:$B677,"&lt;0")+3,0)),"")</f>
        <v/>
      </c>
      <c r="N678" s="401" t="str">
        <f ca="1">IFERROR(IF(AND(_xlfn.ISFORMULA(I678),NOT(_xlfn.ISFORMULA(I677))),1,OFFSET($F676,-COUNTIF($B$526:B677,"&lt;0")+3,0)),"")</f>
        <v/>
      </c>
      <c r="O678" s="387">
        <f t="shared" ca="1" si="111"/>
        <v>150</v>
      </c>
      <c r="P678" s="387"/>
      <c r="Q678" s="387"/>
      <c r="R678" s="387"/>
      <c r="S678" s="387"/>
      <c r="T678" s="391" t="s">
        <v>2212</v>
      </c>
    </row>
    <row r="679" spans="1:20">
      <c r="A679" s="387" t="b">
        <v>1</v>
      </c>
      <c r="B679" s="387">
        <f t="shared" ca="1" si="108"/>
        <v>-83</v>
      </c>
      <c r="C679" s="401" t="s">
        <v>2831</v>
      </c>
      <c r="D679" s="401" t="s">
        <v>2832</v>
      </c>
      <c r="E679" s="387">
        <f t="shared" ca="1" si="109"/>
        <v>151</v>
      </c>
      <c r="F679" s="402">
        <v>26</v>
      </c>
      <c r="G679" s="391" t="s">
        <v>2232</v>
      </c>
      <c r="H679" s="387" t="str">
        <f t="shared" ca="1" si="110"/>
        <v>row number</v>
      </c>
      <c r="I679" s="389">
        <v>34.000512200802198</v>
      </c>
      <c r="J679" s="392">
        <v>30993.650736095002</v>
      </c>
      <c r="K679" s="392">
        <v>10538</v>
      </c>
      <c r="L679" s="391"/>
      <c r="M679" s="401" t="str">
        <f ca="1">IFERROR(IF(COUNTIF($B$526:$B678,"&lt;0")=1,"",OFFSET($C677,-COUNTIF($B$526:$B678,"&lt;0")+3,0)),"")</f>
        <v/>
      </c>
      <c r="N679" s="401" t="str">
        <f ca="1">IFERROR(IF(AND(_xlfn.ISFORMULA(I679),NOT(_xlfn.ISFORMULA(I678))),1,OFFSET($F677,-COUNTIF($B$526:B678,"&lt;0")+3,0)),"")</f>
        <v/>
      </c>
      <c r="O679" s="387">
        <f t="shared" ca="1" si="111"/>
        <v>151</v>
      </c>
      <c r="P679" s="387"/>
      <c r="Q679" s="387"/>
      <c r="R679" s="387"/>
      <c r="S679" s="387"/>
      <c r="T679" s="391" t="s">
        <v>2212</v>
      </c>
    </row>
    <row r="680" spans="1:20">
      <c r="A680" s="387" t="b">
        <v>1</v>
      </c>
      <c r="B680" s="387">
        <f t="shared" ca="1" si="108"/>
        <v>-82</v>
      </c>
      <c r="C680" s="401" t="s">
        <v>2833</v>
      </c>
      <c r="D680" s="401" t="s">
        <v>2832</v>
      </c>
      <c r="E680" s="387">
        <f t="shared" ca="1" si="109"/>
        <v>152</v>
      </c>
      <c r="F680" s="402">
        <v>26</v>
      </c>
      <c r="G680" s="391" t="s">
        <v>2232</v>
      </c>
      <c r="H680" s="387" t="str">
        <f t="shared" ca="1" si="110"/>
        <v>row number</v>
      </c>
      <c r="I680" s="389">
        <v>34.000512200802198</v>
      </c>
      <c r="J680" s="392">
        <v>30993.650736095002</v>
      </c>
      <c r="K680" s="392">
        <v>10538</v>
      </c>
      <c r="L680" s="391"/>
      <c r="M680" s="401" t="str">
        <f ca="1">IFERROR(IF(COUNTIF($B$526:$B679,"&lt;0")=1,"",OFFSET($C678,-COUNTIF($B$526:$B679,"&lt;0")+3,0)),"")</f>
        <v/>
      </c>
      <c r="N680" s="401" t="str">
        <f ca="1">IFERROR(IF(AND(_xlfn.ISFORMULA(I680),NOT(_xlfn.ISFORMULA(I679))),1,OFFSET($F678,-COUNTIF($B$526:B679,"&lt;0")+3,0)),"")</f>
        <v/>
      </c>
      <c r="O680" s="387">
        <f t="shared" ca="1" si="111"/>
        <v>152</v>
      </c>
      <c r="P680" s="387"/>
      <c r="Q680" s="387"/>
      <c r="R680" s="387"/>
      <c r="S680" s="387"/>
      <c r="T680" s="391" t="s">
        <v>2212</v>
      </c>
    </row>
    <row r="681" spans="1:20">
      <c r="A681" s="387" t="b">
        <v>1</v>
      </c>
      <c r="B681" s="387">
        <f t="shared" ca="1" si="108"/>
        <v>-81</v>
      </c>
      <c r="C681" s="401" t="s">
        <v>2834</v>
      </c>
      <c r="D681" s="401" t="s">
        <v>2832</v>
      </c>
      <c r="E681" s="387">
        <f t="shared" ca="1" si="109"/>
        <v>153</v>
      </c>
      <c r="F681" s="402">
        <v>26</v>
      </c>
      <c r="G681" s="391" t="s">
        <v>2232</v>
      </c>
      <c r="H681" s="387" t="str">
        <f t="shared" ca="1" si="110"/>
        <v>row number</v>
      </c>
      <c r="I681" s="389">
        <v>39.700598125093201</v>
      </c>
      <c r="J681" s="392">
        <v>31892.466607441798</v>
      </c>
      <c r="K681" s="392">
        <v>12661.5</v>
      </c>
      <c r="L681" s="391"/>
      <c r="M681" s="401" t="str">
        <f ca="1">IFERROR(IF(COUNTIF($B$526:$B680,"&lt;0")=1,"",OFFSET($C679,-COUNTIF($B$526:$B680,"&lt;0")+3,0)),"")</f>
        <v/>
      </c>
      <c r="N681" s="401" t="str">
        <f ca="1">IFERROR(IF(AND(_xlfn.ISFORMULA(I681),NOT(_xlfn.ISFORMULA(I680))),1,OFFSET($F679,-COUNTIF($B$526:B680,"&lt;0")+3,0)),"")</f>
        <v/>
      </c>
      <c r="O681" s="387">
        <f t="shared" ca="1" si="111"/>
        <v>153</v>
      </c>
      <c r="P681" s="387"/>
      <c r="Q681" s="387"/>
      <c r="R681" s="387"/>
      <c r="S681" s="387"/>
      <c r="T681" s="391" t="s">
        <v>2212</v>
      </c>
    </row>
    <row r="682" spans="1:20">
      <c r="A682" s="387" t="b">
        <v>1</v>
      </c>
      <c r="B682" s="387">
        <f t="shared" ca="1" si="108"/>
        <v>-80</v>
      </c>
      <c r="C682" s="401" t="s">
        <v>2835</v>
      </c>
      <c r="D682" s="401" t="s">
        <v>2832</v>
      </c>
      <c r="E682" s="387">
        <f t="shared" ca="1" si="109"/>
        <v>154</v>
      </c>
      <c r="F682" s="402">
        <v>26</v>
      </c>
      <c r="G682" s="391" t="s">
        <v>2232</v>
      </c>
      <c r="H682" s="387" t="str">
        <f t="shared" ca="1" si="110"/>
        <v>row number</v>
      </c>
      <c r="I682" s="389">
        <v>39.700598125093201</v>
      </c>
      <c r="J682" s="392">
        <v>31892.466607441798</v>
      </c>
      <c r="K682" s="392">
        <v>12661.5</v>
      </c>
      <c r="L682" s="391"/>
      <c r="M682" s="401" t="str">
        <f ca="1">IFERROR(IF(COUNTIF($B$526:$B681,"&lt;0")=1,"",OFFSET($C680,-COUNTIF($B$526:$B681,"&lt;0")+3,0)),"")</f>
        <v/>
      </c>
      <c r="N682" s="401" t="str">
        <f ca="1">IFERROR(IF(AND(_xlfn.ISFORMULA(I682),NOT(_xlfn.ISFORMULA(I681))),1,OFFSET($F680,-COUNTIF($B$526:B681,"&lt;0")+3,0)),"")</f>
        <v/>
      </c>
      <c r="O682" s="387">
        <f t="shared" ca="1" si="111"/>
        <v>154</v>
      </c>
      <c r="P682" s="387"/>
      <c r="Q682" s="387"/>
      <c r="R682" s="387"/>
      <c r="S682" s="387"/>
      <c r="T682" s="391" t="s">
        <v>2212</v>
      </c>
    </row>
    <row r="683" spans="1:20">
      <c r="A683" s="387" t="b">
        <v>1</v>
      </c>
      <c r="B683" s="387">
        <f t="shared" ca="1" si="108"/>
        <v>-79</v>
      </c>
      <c r="C683" s="401" t="s">
        <v>2836</v>
      </c>
      <c r="D683" s="401" t="s">
        <v>2832</v>
      </c>
      <c r="E683" s="387">
        <f t="shared" ca="1" si="109"/>
        <v>155</v>
      </c>
      <c r="F683" s="402">
        <v>26</v>
      </c>
      <c r="G683" s="391" t="s">
        <v>2232</v>
      </c>
      <c r="H683" s="387" t="str">
        <f t="shared" ca="1" si="110"/>
        <v>row number</v>
      </c>
      <c r="I683" s="389">
        <v>45.250456974999302</v>
      </c>
      <c r="J683" s="392">
        <v>32817.348139057598</v>
      </c>
      <c r="K683" s="392">
        <v>14850</v>
      </c>
      <c r="L683" s="391"/>
      <c r="M683" s="401" t="str">
        <f ca="1">IFERROR(IF(COUNTIF($B$526:$B682,"&lt;0")=1,"",OFFSET($C681,-COUNTIF($B$526:$B682,"&lt;0")+3,0)),"")</f>
        <v/>
      </c>
      <c r="N683" s="401" t="str">
        <f ca="1">IFERROR(IF(AND(_xlfn.ISFORMULA(I683),NOT(_xlfn.ISFORMULA(I682))),1,OFFSET($F681,-COUNTIF($B$526:B682,"&lt;0")+3,0)),"")</f>
        <v/>
      </c>
      <c r="O683" s="387">
        <f t="shared" ca="1" si="111"/>
        <v>155</v>
      </c>
      <c r="P683" s="387"/>
      <c r="Q683" s="387"/>
      <c r="R683" s="387"/>
      <c r="S683" s="387"/>
      <c r="T683" s="391" t="s">
        <v>2212</v>
      </c>
    </row>
    <row r="684" spans="1:20">
      <c r="A684" s="387" t="b">
        <v>1</v>
      </c>
      <c r="B684" s="387">
        <f t="shared" ca="1" si="108"/>
        <v>-78</v>
      </c>
      <c r="C684" s="401" t="s">
        <v>2837</v>
      </c>
      <c r="D684" s="401" t="s">
        <v>2832</v>
      </c>
      <c r="E684" s="387">
        <f t="shared" ca="1" si="109"/>
        <v>156</v>
      </c>
      <c r="F684" s="402">
        <v>26</v>
      </c>
      <c r="G684" s="391" t="s">
        <v>2232</v>
      </c>
      <c r="H684" s="387" t="str">
        <f t="shared" ca="1" si="110"/>
        <v>row number</v>
      </c>
      <c r="I684" s="389">
        <v>45.250456974999302</v>
      </c>
      <c r="J684" s="392">
        <v>32817.348139057598</v>
      </c>
      <c r="K684" s="392">
        <v>14850</v>
      </c>
      <c r="L684" s="391"/>
      <c r="M684" s="401" t="str">
        <f ca="1">IFERROR(IF(COUNTIF($B$526:$B683,"&lt;0")=1,"",OFFSET($C682,-COUNTIF($B$526:$B683,"&lt;0")+3,0)),"")</f>
        <v/>
      </c>
      <c r="N684" s="401" t="str">
        <f ca="1">IFERROR(IF(AND(_xlfn.ISFORMULA(I684),NOT(_xlfn.ISFORMULA(I683))),1,OFFSET($F682,-COUNTIF($B$526:B683,"&lt;0")+3,0)),"")</f>
        <v/>
      </c>
      <c r="O684" s="387">
        <f t="shared" ca="1" si="111"/>
        <v>156</v>
      </c>
      <c r="P684" s="387"/>
      <c r="Q684" s="387"/>
      <c r="R684" s="387"/>
      <c r="S684" s="387"/>
      <c r="T684" s="391" t="s">
        <v>2212</v>
      </c>
    </row>
    <row r="685" spans="1:20">
      <c r="A685" s="387" t="b">
        <v>1</v>
      </c>
      <c r="B685" s="387">
        <f t="shared" ca="1" si="108"/>
        <v>-77</v>
      </c>
      <c r="C685" s="401" t="s">
        <v>2838</v>
      </c>
      <c r="D685" s="401" t="s">
        <v>2839</v>
      </c>
      <c r="E685" s="387">
        <f t="shared" ca="1" si="109"/>
        <v>157</v>
      </c>
      <c r="F685" s="402">
        <v>27</v>
      </c>
      <c r="G685" s="391" t="s">
        <v>2195</v>
      </c>
      <c r="H685" s="387" t="str">
        <f t="shared" ca="1" si="110"/>
        <v>row number</v>
      </c>
      <c r="I685" s="389"/>
      <c r="J685" s="392"/>
      <c r="K685" s="392">
        <v>24537</v>
      </c>
      <c r="L685" s="391"/>
      <c r="M685" s="401" t="str">
        <f ca="1">IFERROR(IF(COUNTIF($B$526:$B684,"&lt;0")=1,"",OFFSET($C683,-COUNTIF($B$526:$B684,"&lt;0")+3,0)),"")</f>
        <v/>
      </c>
      <c r="N685" s="401" t="str">
        <f ca="1">IFERROR(IF(AND(_xlfn.ISFORMULA(I685),NOT(_xlfn.ISFORMULA(I684))),1,OFFSET($F683,-COUNTIF($B$526:B684,"&lt;0")+3,0)),"")</f>
        <v/>
      </c>
      <c r="O685" s="387">
        <f t="shared" ca="1" si="111"/>
        <v>157</v>
      </c>
      <c r="P685" s="387"/>
      <c r="Q685" s="387"/>
      <c r="R685" s="387"/>
      <c r="S685" s="387"/>
      <c r="T685" s="391" t="s">
        <v>2212</v>
      </c>
    </row>
    <row r="686" spans="1:20">
      <c r="A686" s="387" t="b">
        <v>1</v>
      </c>
      <c r="B686" s="387">
        <f t="shared" ca="1" si="108"/>
        <v>-76</v>
      </c>
      <c r="C686" s="401" t="s">
        <v>2840</v>
      </c>
      <c r="D686" s="401" t="s">
        <v>2839</v>
      </c>
      <c r="E686" s="387">
        <f t="shared" ca="1" si="109"/>
        <v>158</v>
      </c>
      <c r="F686" s="402">
        <v>27</v>
      </c>
      <c r="G686" s="391" t="s">
        <v>2195</v>
      </c>
      <c r="H686" s="387" t="str">
        <f t="shared" ca="1" si="110"/>
        <v>row number</v>
      </c>
      <c r="I686" s="389"/>
      <c r="J686" s="392"/>
      <c r="K686" s="392">
        <v>24537</v>
      </c>
      <c r="L686" s="391"/>
      <c r="M686" s="401" t="str">
        <f ca="1">IFERROR(IF(COUNTIF($B$526:$B685,"&lt;0")=1,"",OFFSET($C684,-COUNTIF($B$526:$B685,"&lt;0")+3,0)),"")</f>
        <v/>
      </c>
      <c r="N686" s="401" t="str">
        <f ca="1">IFERROR(IF(AND(_xlfn.ISFORMULA(I686),NOT(_xlfn.ISFORMULA(I685))),1,OFFSET($F684,-COUNTIF($B$526:B685,"&lt;0")+3,0)),"")</f>
        <v/>
      </c>
      <c r="O686" s="387">
        <f t="shared" ca="1" si="111"/>
        <v>158</v>
      </c>
      <c r="P686" s="387"/>
      <c r="Q686" s="387"/>
      <c r="R686" s="387"/>
      <c r="S686" s="387"/>
      <c r="T686" s="391" t="s">
        <v>2212</v>
      </c>
    </row>
    <row r="687" spans="1:20">
      <c r="A687" s="387" t="b">
        <v>1</v>
      </c>
      <c r="B687" s="387">
        <f t="shared" ca="1" si="108"/>
        <v>-75</v>
      </c>
      <c r="C687" s="401" t="s">
        <v>2841</v>
      </c>
      <c r="D687" s="401" t="s">
        <v>2839</v>
      </c>
      <c r="E687" s="387">
        <f t="shared" ca="1" si="109"/>
        <v>159</v>
      </c>
      <c r="F687" s="402">
        <v>27</v>
      </c>
      <c r="G687" s="391" t="s">
        <v>2195</v>
      </c>
      <c r="H687" s="387" t="str">
        <f t="shared" ca="1" si="110"/>
        <v>row number</v>
      </c>
      <c r="I687" s="389"/>
      <c r="J687" s="392"/>
      <c r="K687" s="392">
        <v>30677</v>
      </c>
      <c r="L687" s="391"/>
      <c r="M687" s="401" t="str">
        <f ca="1">IFERROR(IF(COUNTIF($B$526:$B686,"&lt;0")=1,"",OFFSET($C685,-COUNTIF($B$526:$B686,"&lt;0")+3,0)),"")</f>
        <v/>
      </c>
      <c r="N687" s="401" t="str">
        <f ca="1">IFERROR(IF(AND(_xlfn.ISFORMULA(I687),NOT(_xlfn.ISFORMULA(I686))),1,OFFSET($F685,-COUNTIF($B$526:B686,"&lt;0")+3,0)),"")</f>
        <v/>
      </c>
      <c r="O687" s="387">
        <f t="shared" ca="1" si="111"/>
        <v>159</v>
      </c>
      <c r="P687" s="387"/>
      <c r="Q687" s="387"/>
      <c r="R687" s="387"/>
      <c r="S687" s="387"/>
      <c r="T687" s="391" t="s">
        <v>2212</v>
      </c>
    </row>
    <row r="688" spans="1:20">
      <c r="A688" s="387" t="b">
        <v>1</v>
      </c>
      <c r="B688" s="387">
        <f t="shared" ca="1" si="108"/>
        <v>-74</v>
      </c>
      <c r="C688" s="401" t="s">
        <v>2842</v>
      </c>
      <c r="D688" s="401" t="s">
        <v>2839</v>
      </c>
      <c r="E688" s="387">
        <f t="shared" ca="1" si="109"/>
        <v>160</v>
      </c>
      <c r="F688" s="402">
        <v>27</v>
      </c>
      <c r="G688" s="391" t="s">
        <v>2195</v>
      </c>
      <c r="H688" s="387" t="str">
        <f t="shared" ca="1" si="110"/>
        <v>row number</v>
      </c>
      <c r="I688" s="389"/>
      <c r="J688" s="392"/>
      <c r="K688" s="392">
        <v>30677</v>
      </c>
      <c r="L688" s="391"/>
      <c r="M688" s="401" t="str">
        <f ca="1">IFERROR(IF(COUNTIF($B$526:$B687,"&lt;0")=1,"",OFFSET($C686,-COUNTIF($B$526:$B687,"&lt;0")+3,0)),"")</f>
        <v/>
      </c>
      <c r="N688" s="401" t="str">
        <f ca="1">IFERROR(IF(AND(_xlfn.ISFORMULA(I688),NOT(_xlfn.ISFORMULA(I687))),1,OFFSET($F686,-COUNTIF($B$526:B687,"&lt;0")+3,0)),"")</f>
        <v/>
      </c>
      <c r="O688" s="387">
        <f t="shared" ca="1" si="111"/>
        <v>160</v>
      </c>
      <c r="P688" s="387"/>
      <c r="Q688" s="387"/>
      <c r="R688" s="387"/>
      <c r="S688" s="387"/>
      <c r="T688" s="391" t="s">
        <v>2212</v>
      </c>
    </row>
    <row r="689" spans="1:20">
      <c r="A689" s="387" t="b">
        <v>1</v>
      </c>
      <c r="B689" s="387">
        <f t="shared" ca="1" si="108"/>
        <v>-73</v>
      </c>
      <c r="C689" s="401" t="s">
        <v>2843</v>
      </c>
      <c r="D689" s="401" t="s">
        <v>2839</v>
      </c>
      <c r="E689" s="387">
        <f t="shared" ca="1" si="109"/>
        <v>161</v>
      </c>
      <c r="F689" s="402">
        <v>27</v>
      </c>
      <c r="G689" s="391" t="s">
        <v>2195</v>
      </c>
      <c r="H689" s="387" t="str">
        <f t="shared" ca="1" si="110"/>
        <v>row number</v>
      </c>
      <c r="I689" s="389"/>
      <c r="J689" s="392"/>
      <c r="K689" s="392">
        <v>37326</v>
      </c>
      <c r="L689" s="391"/>
      <c r="M689" s="401" t="str">
        <f ca="1">IFERROR(IF(COUNTIF($B$526:$B688,"&lt;0")=1,"",OFFSET($C687,-COUNTIF($B$526:$B688,"&lt;0")+3,0)),"")</f>
        <v/>
      </c>
      <c r="N689" s="401" t="str">
        <f ca="1">IFERROR(IF(AND(_xlfn.ISFORMULA(I689),NOT(_xlfn.ISFORMULA(I688))),1,OFFSET($F687,-COUNTIF($B$526:B688,"&lt;0")+3,0)),"")</f>
        <v/>
      </c>
      <c r="O689" s="387">
        <f t="shared" ca="1" si="111"/>
        <v>161</v>
      </c>
      <c r="P689" s="387"/>
      <c r="Q689" s="387"/>
      <c r="R689" s="387"/>
      <c r="S689" s="387"/>
      <c r="T689" s="391" t="s">
        <v>2212</v>
      </c>
    </row>
    <row r="690" spans="1:20">
      <c r="A690" s="387" t="b">
        <v>1</v>
      </c>
      <c r="B690" s="387">
        <f t="shared" ca="1" si="108"/>
        <v>-72</v>
      </c>
      <c r="C690" s="401" t="s">
        <v>2844</v>
      </c>
      <c r="D690" s="401" t="s">
        <v>2839</v>
      </c>
      <c r="E690" s="387">
        <f t="shared" ca="1" si="109"/>
        <v>162</v>
      </c>
      <c r="F690" s="402">
        <v>27</v>
      </c>
      <c r="G690" s="391" t="s">
        <v>2195</v>
      </c>
      <c r="H690" s="387" t="str">
        <f t="shared" ca="1" si="110"/>
        <v>row number</v>
      </c>
      <c r="I690" s="389"/>
      <c r="J690" s="392"/>
      <c r="K690" s="392">
        <v>37326</v>
      </c>
      <c r="L690" s="391"/>
      <c r="M690" s="401" t="str">
        <f ca="1">IFERROR(IF(COUNTIF($B$526:$B689,"&lt;0")=1,"",OFFSET($C688,-COUNTIF($B$526:$B689,"&lt;0")+3,0)),"")</f>
        <v/>
      </c>
      <c r="N690" s="401" t="str">
        <f ca="1">IFERROR(IF(AND(_xlfn.ISFORMULA(I690),NOT(_xlfn.ISFORMULA(I689))),1,OFFSET($F688,-COUNTIF($B$526:B689,"&lt;0")+3,0)),"")</f>
        <v/>
      </c>
      <c r="O690" s="387">
        <f t="shared" ca="1" si="111"/>
        <v>162</v>
      </c>
      <c r="P690" s="387"/>
      <c r="Q690" s="387"/>
      <c r="R690" s="387"/>
      <c r="S690" s="387"/>
      <c r="T690" s="391" t="s">
        <v>2212</v>
      </c>
    </row>
    <row r="691" spans="1:20">
      <c r="A691" s="387" t="b">
        <v>1</v>
      </c>
      <c r="B691" s="387">
        <f t="shared" ca="1" si="108"/>
        <v>-71</v>
      </c>
      <c r="C691" s="401" t="s">
        <v>2845</v>
      </c>
      <c r="D691" s="401" t="s">
        <v>2846</v>
      </c>
      <c r="E691" s="387">
        <f t="shared" ca="1" si="109"/>
        <v>163</v>
      </c>
      <c r="F691" s="402">
        <v>28</v>
      </c>
      <c r="G691" s="391" t="s">
        <v>2192</v>
      </c>
      <c r="H691" s="387" t="str">
        <f t="shared" ca="1" si="110"/>
        <v>row number</v>
      </c>
      <c r="I691" s="389">
        <v>33.6188244722102</v>
      </c>
      <c r="J691" s="392">
        <v>3633738</v>
      </c>
      <c r="K691" s="392">
        <v>1221620</v>
      </c>
      <c r="L691" s="391"/>
      <c r="M691" s="401" t="str">
        <f ca="1">IFERROR(IF(COUNTIF($B$526:$B690,"&lt;0")=1,"",OFFSET($C689,-COUNTIF($B$526:$B690,"&lt;0")+3,0)),"")</f>
        <v/>
      </c>
      <c r="N691" s="401" t="str">
        <f ca="1">IFERROR(IF(AND(_xlfn.ISFORMULA(I691),NOT(_xlfn.ISFORMULA(I690))),1,OFFSET($F689,-COUNTIF($B$526:B690,"&lt;0")+3,0)),"")</f>
        <v/>
      </c>
      <c r="O691" s="387">
        <f t="shared" ca="1" si="111"/>
        <v>163</v>
      </c>
      <c r="P691" s="387"/>
      <c r="Q691" s="387"/>
      <c r="R691" s="387"/>
      <c r="S691" s="387"/>
      <c r="T691" s="391" t="s">
        <v>2212</v>
      </c>
    </row>
    <row r="692" spans="1:20">
      <c r="A692" s="387" t="b">
        <v>1</v>
      </c>
      <c r="B692" s="387">
        <f t="shared" ca="1" si="108"/>
        <v>-70</v>
      </c>
      <c r="C692" s="401" t="s">
        <v>2847</v>
      </c>
      <c r="D692" s="401" t="s">
        <v>2846</v>
      </c>
      <c r="E692" s="387">
        <f t="shared" ca="1" si="109"/>
        <v>164</v>
      </c>
      <c r="F692" s="402">
        <v>28</v>
      </c>
      <c r="G692" s="391" t="s">
        <v>2192</v>
      </c>
      <c r="H692" s="387" t="str">
        <f t="shared" ca="1" si="110"/>
        <v>row number</v>
      </c>
      <c r="I692" s="389">
        <v>33.6188244722102</v>
      </c>
      <c r="J692" s="392">
        <v>3633738</v>
      </c>
      <c r="K692" s="392">
        <v>1221620</v>
      </c>
      <c r="L692" s="391"/>
      <c r="M692" s="401" t="str">
        <f ca="1">IFERROR(IF(COUNTIF($B$526:$B691,"&lt;0")=1,"",OFFSET($C690,-COUNTIF($B$526:$B691,"&lt;0")+3,0)),"")</f>
        <v/>
      </c>
      <c r="N692" s="401" t="str">
        <f ca="1">IFERROR(IF(AND(_xlfn.ISFORMULA(I692),NOT(_xlfn.ISFORMULA(I691))),1,OFFSET($F690,-COUNTIF($B$526:B691,"&lt;0")+3,0)),"")</f>
        <v/>
      </c>
      <c r="O692" s="387">
        <f t="shared" ca="1" si="111"/>
        <v>164</v>
      </c>
      <c r="P692" s="387"/>
      <c r="Q692" s="387"/>
      <c r="R692" s="387"/>
      <c r="S692" s="387"/>
      <c r="T692" s="391" t="s">
        <v>2212</v>
      </c>
    </row>
    <row r="693" spans="1:20">
      <c r="A693" s="387" t="b">
        <v>1</v>
      </c>
      <c r="B693" s="387">
        <f t="shared" ca="1" si="108"/>
        <v>-69</v>
      </c>
      <c r="C693" s="401" t="s">
        <v>2848</v>
      </c>
      <c r="D693" s="401" t="s">
        <v>2846</v>
      </c>
      <c r="E693" s="387">
        <f t="shared" ca="1" si="109"/>
        <v>165</v>
      </c>
      <c r="F693" s="402">
        <v>28</v>
      </c>
      <c r="G693" s="391" t="s">
        <v>2192</v>
      </c>
      <c r="H693" s="387" t="str">
        <f t="shared" ca="1" si="110"/>
        <v>row number</v>
      </c>
      <c r="I693" s="389">
        <v>36.863997569479601</v>
      </c>
      <c r="J693" s="392">
        <v>3739117</v>
      </c>
      <c r="K693" s="392">
        <v>1378388</v>
      </c>
      <c r="L693" s="391"/>
      <c r="M693" s="401" t="str">
        <f ca="1">IFERROR(IF(COUNTIF($B$526:$B692,"&lt;0")=1,"",OFFSET($C691,-COUNTIF($B$526:$B692,"&lt;0")+3,0)),"")</f>
        <v/>
      </c>
      <c r="N693" s="401" t="str">
        <f ca="1">IFERROR(IF(AND(_xlfn.ISFORMULA(I693),NOT(_xlfn.ISFORMULA(I692))),1,OFFSET($F691,-COUNTIF($B$526:B692,"&lt;0")+3,0)),"")</f>
        <v/>
      </c>
      <c r="O693" s="387">
        <f t="shared" ca="1" si="111"/>
        <v>165</v>
      </c>
      <c r="P693" s="387"/>
      <c r="Q693" s="387"/>
      <c r="R693" s="387"/>
      <c r="S693" s="387"/>
      <c r="T693" s="391" t="s">
        <v>2212</v>
      </c>
    </row>
    <row r="694" spans="1:20">
      <c r="A694" s="387" t="b">
        <v>1</v>
      </c>
      <c r="B694" s="387">
        <f t="shared" ca="1" si="108"/>
        <v>-68</v>
      </c>
      <c r="C694" s="401" t="s">
        <v>2849</v>
      </c>
      <c r="D694" s="401" t="s">
        <v>2846</v>
      </c>
      <c r="E694" s="387">
        <f t="shared" ca="1" si="109"/>
        <v>166</v>
      </c>
      <c r="F694" s="402">
        <v>28</v>
      </c>
      <c r="G694" s="391" t="s">
        <v>2192</v>
      </c>
      <c r="H694" s="387" t="str">
        <f t="shared" ca="1" si="110"/>
        <v>row number</v>
      </c>
      <c r="I694" s="389">
        <v>36.863997569479601</v>
      </c>
      <c r="J694" s="392">
        <v>3739117</v>
      </c>
      <c r="K694" s="392">
        <v>1378388</v>
      </c>
      <c r="L694" s="391"/>
      <c r="M694" s="401" t="str">
        <f ca="1">IFERROR(IF(COUNTIF($B$526:$B693,"&lt;0")=1,"",OFFSET($C692,-COUNTIF($B$526:$B693,"&lt;0")+3,0)),"")</f>
        <v/>
      </c>
      <c r="N694" s="401" t="str">
        <f ca="1">IFERROR(IF(AND(_xlfn.ISFORMULA(I694),NOT(_xlfn.ISFORMULA(I693))),1,OFFSET($F692,-COUNTIF($B$526:B693,"&lt;0")+3,0)),"")</f>
        <v/>
      </c>
      <c r="O694" s="387">
        <f t="shared" ca="1" si="111"/>
        <v>166</v>
      </c>
      <c r="P694" s="387"/>
      <c r="Q694" s="387"/>
      <c r="R694" s="387"/>
      <c r="S694" s="387"/>
      <c r="T694" s="391" t="s">
        <v>2212</v>
      </c>
    </row>
    <row r="695" spans="1:20">
      <c r="A695" s="387" t="b">
        <v>1</v>
      </c>
      <c r="B695" s="387">
        <f t="shared" ca="1" si="108"/>
        <v>-67</v>
      </c>
      <c r="C695" s="401" t="s">
        <v>2850</v>
      </c>
      <c r="D695" s="401" t="s">
        <v>2846</v>
      </c>
      <c r="E695" s="387">
        <f t="shared" ca="1" si="109"/>
        <v>167</v>
      </c>
      <c r="F695" s="402">
        <v>28</v>
      </c>
      <c r="G695" s="391" t="s">
        <v>2192</v>
      </c>
      <c r="H695" s="387" t="str">
        <f t="shared" ca="1" si="110"/>
        <v>row number</v>
      </c>
      <c r="I695" s="389">
        <v>40.260713893071198</v>
      </c>
      <c r="J695" s="392">
        <v>3847551</v>
      </c>
      <c r="K695" s="392">
        <v>1549051.5</v>
      </c>
      <c r="L695" s="391"/>
      <c r="M695" s="401" t="str">
        <f ca="1">IFERROR(IF(COUNTIF($B$526:$B694,"&lt;0")=1,"",OFFSET($C693,-COUNTIF($B$526:$B694,"&lt;0")+3,0)),"")</f>
        <v/>
      </c>
      <c r="N695" s="401" t="str">
        <f ca="1">IFERROR(IF(AND(_xlfn.ISFORMULA(I695),NOT(_xlfn.ISFORMULA(I694))),1,OFFSET($F693,-COUNTIF($B$526:B694,"&lt;0")+3,0)),"")</f>
        <v/>
      </c>
      <c r="O695" s="387">
        <f t="shared" ca="1" si="111"/>
        <v>167</v>
      </c>
      <c r="P695" s="387"/>
      <c r="Q695" s="387"/>
      <c r="R695" s="387"/>
      <c r="S695" s="387"/>
      <c r="T695" s="391" t="s">
        <v>2212</v>
      </c>
    </row>
    <row r="696" spans="1:20">
      <c r="A696" s="387" t="b">
        <v>1</v>
      </c>
      <c r="B696" s="387">
        <f t="shared" ca="1" si="108"/>
        <v>-66</v>
      </c>
      <c r="C696" s="401" t="s">
        <v>2851</v>
      </c>
      <c r="D696" s="401" t="s">
        <v>2846</v>
      </c>
      <c r="E696" s="387">
        <f t="shared" ca="1" si="109"/>
        <v>168</v>
      </c>
      <c r="F696" s="402">
        <v>28</v>
      </c>
      <c r="G696" s="391" t="s">
        <v>2192</v>
      </c>
      <c r="H696" s="387" t="str">
        <f t="shared" ca="1" si="110"/>
        <v>row number</v>
      </c>
      <c r="I696" s="389">
        <v>40.260713893071198</v>
      </c>
      <c r="J696" s="392">
        <v>3847551</v>
      </c>
      <c r="K696" s="392">
        <v>1549051.5</v>
      </c>
      <c r="L696" s="391"/>
      <c r="M696" s="401" t="str">
        <f ca="1">IFERROR(IF(COUNTIF($B$526:$B695,"&lt;0")=1,"",OFFSET($C694,-COUNTIF($B$526:$B695,"&lt;0")+3,0)),"")</f>
        <v/>
      </c>
      <c r="N696" s="401" t="str">
        <f ca="1">IFERROR(IF(AND(_xlfn.ISFORMULA(I696),NOT(_xlfn.ISFORMULA(I695))),1,OFFSET($F694,-COUNTIF($B$526:B695,"&lt;0")+3,0)),"")</f>
        <v/>
      </c>
      <c r="O696" s="387">
        <f t="shared" ca="1" si="111"/>
        <v>168</v>
      </c>
      <c r="P696" s="387"/>
      <c r="Q696" s="387"/>
      <c r="R696" s="387"/>
      <c r="S696" s="387"/>
      <c r="T696" s="391" t="s">
        <v>2212</v>
      </c>
    </row>
    <row r="697" spans="1:20">
      <c r="A697" s="387" t="b">
        <v>1</v>
      </c>
      <c r="B697" s="387">
        <f t="shared" ca="1" si="108"/>
        <v>-65</v>
      </c>
      <c r="C697" s="401" t="s">
        <v>2852</v>
      </c>
      <c r="D697" s="401" t="s">
        <v>2853</v>
      </c>
      <c r="E697" s="387">
        <f t="shared" ca="1" si="109"/>
        <v>169</v>
      </c>
      <c r="F697" s="402">
        <v>29</v>
      </c>
      <c r="G697" s="391" t="s">
        <v>2192</v>
      </c>
      <c r="H697" s="387" t="str">
        <f t="shared" ca="1" si="110"/>
        <v>row number</v>
      </c>
      <c r="I697" s="389">
        <v>14.0250869994287</v>
      </c>
      <c r="J697" s="392">
        <v>38506</v>
      </c>
      <c r="K697" s="392">
        <v>5400.5</v>
      </c>
      <c r="L697" s="391"/>
      <c r="M697" s="401" t="str">
        <f ca="1">IFERROR(IF(COUNTIF($B$526:$B696,"&lt;0")=1,"",OFFSET($C695,-COUNTIF($B$526:$B696,"&lt;0")+3,0)),"")</f>
        <v/>
      </c>
      <c r="N697" s="401" t="str">
        <f ca="1">IFERROR(IF(AND(_xlfn.ISFORMULA(I697),NOT(_xlfn.ISFORMULA(I696))),1,OFFSET($F695,-COUNTIF($B$526:B696,"&lt;0")+3,0)),"")</f>
        <v/>
      </c>
      <c r="O697" s="387">
        <f t="shared" ca="1" si="111"/>
        <v>169</v>
      </c>
      <c r="P697" s="387"/>
      <c r="Q697" s="387"/>
      <c r="R697" s="387"/>
      <c r="S697" s="387"/>
      <c r="T697" s="391" t="s">
        <v>2212</v>
      </c>
    </row>
    <row r="698" spans="1:20">
      <c r="A698" s="387" t="b">
        <v>1</v>
      </c>
      <c r="B698" s="387">
        <f t="shared" ca="1" si="108"/>
        <v>-64</v>
      </c>
      <c r="C698" s="401" t="s">
        <v>2854</v>
      </c>
      <c r="D698" s="401" t="s">
        <v>2853</v>
      </c>
      <c r="E698" s="387">
        <f t="shared" ca="1" si="109"/>
        <v>170</v>
      </c>
      <c r="F698" s="402">
        <v>29</v>
      </c>
      <c r="G698" s="391" t="s">
        <v>2192</v>
      </c>
      <c r="H698" s="387" t="str">
        <f t="shared" ca="1" si="110"/>
        <v>row number</v>
      </c>
      <c r="I698" s="389">
        <v>14.0250869994287</v>
      </c>
      <c r="J698" s="392">
        <v>38506</v>
      </c>
      <c r="K698" s="392">
        <v>5400.5</v>
      </c>
      <c r="L698" s="391"/>
      <c r="M698" s="401" t="str">
        <f ca="1">IFERROR(IF(COUNTIF($B$526:$B697,"&lt;0")=1,"",OFFSET($C696,-COUNTIF($B$526:$B697,"&lt;0")+3,0)),"")</f>
        <v/>
      </c>
      <c r="N698" s="401" t="str">
        <f ca="1">IFERROR(IF(AND(_xlfn.ISFORMULA(I698),NOT(_xlfn.ISFORMULA(I697))),1,OFFSET($F696,-COUNTIF($B$526:B697,"&lt;0")+3,0)),"")</f>
        <v/>
      </c>
      <c r="O698" s="387">
        <f t="shared" ca="1" si="111"/>
        <v>170</v>
      </c>
      <c r="P698" s="387"/>
      <c r="Q698" s="387"/>
      <c r="R698" s="387"/>
      <c r="S698" s="387"/>
      <c r="T698" s="391" t="s">
        <v>2212</v>
      </c>
    </row>
    <row r="699" spans="1:20">
      <c r="A699" s="387" t="b">
        <v>1</v>
      </c>
      <c r="B699" s="387">
        <f t="shared" ca="1" si="108"/>
        <v>-63</v>
      </c>
      <c r="C699" s="401" t="s">
        <v>2855</v>
      </c>
      <c r="D699" s="401" t="s">
        <v>2853</v>
      </c>
      <c r="E699" s="387">
        <f t="shared" ca="1" si="109"/>
        <v>171</v>
      </c>
      <c r="F699" s="402">
        <v>29</v>
      </c>
      <c r="G699" s="391" t="s">
        <v>2192</v>
      </c>
      <c r="H699" s="387" t="str">
        <f t="shared" ca="1" si="110"/>
        <v>row number</v>
      </c>
      <c r="I699" s="389">
        <v>19.337038935808501</v>
      </c>
      <c r="J699" s="392">
        <v>37061</v>
      </c>
      <c r="K699" s="392">
        <v>7166.5</v>
      </c>
      <c r="L699" s="391"/>
      <c r="M699" s="401" t="str">
        <f ca="1">IFERROR(IF(COUNTIF($B$526:$B698,"&lt;0")=1,"",OFFSET($C697,-COUNTIF($B$526:$B698,"&lt;0")+3,0)),"")</f>
        <v/>
      </c>
      <c r="N699" s="401" t="str">
        <f ca="1">IFERROR(IF(AND(_xlfn.ISFORMULA(I699),NOT(_xlfn.ISFORMULA(I698))),1,OFFSET($F697,-COUNTIF($B$526:B698,"&lt;0")+3,0)),"")</f>
        <v/>
      </c>
      <c r="O699" s="387">
        <f t="shared" ca="1" si="111"/>
        <v>171</v>
      </c>
      <c r="P699" s="387"/>
      <c r="Q699" s="387"/>
      <c r="R699" s="387"/>
      <c r="S699" s="387"/>
      <c r="T699" s="391" t="s">
        <v>2212</v>
      </c>
    </row>
    <row r="700" spans="1:20">
      <c r="A700" s="387" t="b">
        <v>1</v>
      </c>
      <c r="B700" s="387">
        <f t="shared" ca="1" si="108"/>
        <v>-62</v>
      </c>
      <c r="C700" s="401" t="s">
        <v>2856</v>
      </c>
      <c r="D700" s="401" t="s">
        <v>2853</v>
      </c>
      <c r="E700" s="387">
        <f t="shared" ca="1" si="109"/>
        <v>172</v>
      </c>
      <c r="F700" s="402">
        <v>29</v>
      </c>
      <c r="G700" s="391" t="s">
        <v>2192</v>
      </c>
      <c r="H700" s="387" t="str">
        <f t="shared" ca="1" si="110"/>
        <v>row number</v>
      </c>
      <c r="I700" s="389">
        <v>19.337038935808501</v>
      </c>
      <c r="J700" s="392">
        <v>37061</v>
      </c>
      <c r="K700" s="392">
        <v>7166.5</v>
      </c>
      <c r="L700" s="391"/>
      <c r="M700" s="401" t="str">
        <f ca="1">IFERROR(IF(COUNTIF($B$526:$B699,"&lt;0")=1,"",OFFSET($C698,-COUNTIF($B$526:$B699,"&lt;0")+3,0)),"")</f>
        <v/>
      </c>
      <c r="N700" s="401" t="str">
        <f ca="1">IFERROR(IF(AND(_xlfn.ISFORMULA(I700),NOT(_xlfn.ISFORMULA(I699))),1,OFFSET($F698,-COUNTIF($B$526:B699,"&lt;0")+3,0)),"")</f>
        <v/>
      </c>
      <c r="O700" s="387">
        <f t="shared" ca="1" si="111"/>
        <v>172</v>
      </c>
      <c r="P700" s="387"/>
      <c r="Q700" s="387"/>
      <c r="R700" s="387"/>
      <c r="S700" s="387"/>
      <c r="T700" s="391" t="s">
        <v>2212</v>
      </c>
    </row>
    <row r="701" spans="1:20">
      <c r="A701" s="387" t="b">
        <v>1</v>
      </c>
      <c r="B701" s="387">
        <f t="shared" ca="1" si="108"/>
        <v>-61</v>
      </c>
      <c r="C701" s="401" t="s">
        <v>2857</v>
      </c>
      <c r="D701" s="401" t="s">
        <v>2853</v>
      </c>
      <c r="E701" s="387">
        <f t="shared" ca="1" si="109"/>
        <v>173</v>
      </c>
      <c r="F701" s="402">
        <v>29</v>
      </c>
      <c r="G701" s="391" t="s">
        <v>2192</v>
      </c>
      <c r="H701" s="387" t="str">
        <f t="shared" ca="1" si="110"/>
        <v>row number</v>
      </c>
      <c r="I701" s="389">
        <v>25.500153037090602</v>
      </c>
      <c r="J701" s="392">
        <v>35939</v>
      </c>
      <c r="K701" s="392">
        <v>9164.5</v>
      </c>
      <c r="L701" s="391"/>
      <c r="M701" s="401" t="str">
        <f ca="1">IFERROR(IF(COUNTIF($B$526:$B700,"&lt;0")=1,"",OFFSET($C699,-COUNTIF($B$526:$B700,"&lt;0")+3,0)),"")</f>
        <v/>
      </c>
      <c r="N701" s="401" t="str">
        <f ca="1">IFERROR(IF(AND(_xlfn.ISFORMULA(I701),NOT(_xlfn.ISFORMULA(I700))),1,OFFSET($F699,-COUNTIF($B$526:B700,"&lt;0")+3,0)),"")</f>
        <v/>
      </c>
      <c r="O701" s="387">
        <f t="shared" ca="1" si="111"/>
        <v>173</v>
      </c>
      <c r="P701" s="387"/>
      <c r="Q701" s="387"/>
      <c r="R701" s="387"/>
      <c r="S701" s="387"/>
      <c r="T701" s="391" t="s">
        <v>2212</v>
      </c>
    </row>
    <row r="702" spans="1:20">
      <c r="A702" s="387" t="b">
        <v>1</v>
      </c>
      <c r="B702" s="387">
        <f t="shared" ca="1" si="108"/>
        <v>-60</v>
      </c>
      <c r="C702" s="401" t="s">
        <v>2858</v>
      </c>
      <c r="D702" s="401" t="s">
        <v>2853</v>
      </c>
      <c r="E702" s="387">
        <f t="shared" ca="1" si="109"/>
        <v>174</v>
      </c>
      <c r="F702" s="402">
        <v>29</v>
      </c>
      <c r="G702" s="391" t="s">
        <v>2192</v>
      </c>
      <c r="H702" s="387" t="str">
        <f t="shared" ca="1" si="110"/>
        <v>row number</v>
      </c>
      <c r="I702" s="389">
        <v>25.500153037090602</v>
      </c>
      <c r="J702" s="392">
        <v>35939</v>
      </c>
      <c r="K702" s="392">
        <v>9164.5</v>
      </c>
      <c r="L702" s="391"/>
      <c r="M702" s="401" t="str">
        <f ca="1">IFERROR(IF(COUNTIF($B$526:$B701,"&lt;0")=1,"",OFFSET($C700,-COUNTIF($B$526:$B701,"&lt;0")+3,0)),"")</f>
        <v/>
      </c>
      <c r="N702" s="401" t="str">
        <f ca="1">IFERROR(IF(AND(_xlfn.ISFORMULA(I702),NOT(_xlfn.ISFORMULA(I701))),1,OFFSET($F700,-COUNTIF($B$526:B701,"&lt;0")+3,0)),"")</f>
        <v/>
      </c>
      <c r="O702" s="387">
        <f t="shared" ca="1" si="111"/>
        <v>174</v>
      </c>
      <c r="P702" s="387"/>
      <c r="Q702" s="387"/>
      <c r="R702" s="387"/>
      <c r="S702" s="387"/>
      <c r="T702" s="391" t="s">
        <v>2212</v>
      </c>
    </row>
    <row r="703" spans="1:20">
      <c r="A703" s="387" t="b">
        <v>1</v>
      </c>
      <c r="B703" s="387">
        <f t="shared" ca="1" si="108"/>
        <v>-59</v>
      </c>
      <c r="C703" s="401" t="s">
        <v>2859</v>
      </c>
      <c r="D703" s="401" t="s">
        <v>2860</v>
      </c>
      <c r="E703" s="387">
        <f t="shared" ca="1" si="109"/>
        <v>175</v>
      </c>
      <c r="F703" s="402">
        <v>30</v>
      </c>
      <c r="G703" s="391" t="s">
        <v>2192</v>
      </c>
      <c r="H703" s="387" t="str">
        <f t="shared" ca="1" si="110"/>
        <v>row number</v>
      </c>
      <c r="I703" s="389">
        <v>40.0000049246079</v>
      </c>
      <c r="J703" s="392">
        <v>4061237</v>
      </c>
      <c r="K703" s="392">
        <v>1624495</v>
      </c>
      <c r="L703" s="391"/>
      <c r="M703" s="401" t="str">
        <f ca="1">IFERROR(IF(COUNTIF($B$526:$B702,"&lt;0")=1,"",OFFSET($C701,-COUNTIF($B$526:$B702,"&lt;0")+3,0)),"")</f>
        <v/>
      </c>
      <c r="N703" s="401" t="str">
        <f ca="1">IFERROR(IF(AND(_xlfn.ISFORMULA(I703),NOT(_xlfn.ISFORMULA(I702))),1,OFFSET($F701,-COUNTIF($B$526:B702,"&lt;0")+3,0)),"")</f>
        <v/>
      </c>
      <c r="O703" s="387">
        <f t="shared" ca="1" si="111"/>
        <v>175</v>
      </c>
      <c r="P703" s="387"/>
      <c r="Q703" s="387"/>
      <c r="R703" s="387"/>
      <c r="S703" s="387"/>
      <c r="T703" s="391" t="s">
        <v>2212</v>
      </c>
    </row>
    <row r="704" spans="1:20">
      <c r="A704" s="387" t="b">
        <v>1</v>
      </c>
      <c r="B704" s="387">
        <f t="shared" ca="1" si="108"/>
        <v>-58</v>
      </c>
      <c r="C704" s="401" t="s">
        <v>2861</v>
      </c>
      <c r="D704" s="401" t="s">
        <v>2860</v>
      </c>
      <c r="E704" s="387">
        <f t="shared" ca="1" si="109"/>
        <v>176</v>
      </c>
      <c r="F704" s="402">
        <v>30</v>
      </c>
      <c r="G704" s="391" t="s">
        <v>2192</v>
      </c>
      <c r="H704" s="387" t="str">
        <f t="shared" ca="1" si="110"/>
        <v>row number</v>
      </c>
      <c r="I704" s="389">
        <v>40.0000049246079</v>
      </c>
      <c r="J704" s="392">
        <v>4061237</v>
      </c>
      <c r="K704" s="392">
        <v>1624495</v>
      </c>
      <c r="L704" s="391"/>
      <c r="M704" s="401" t="str">
        <f ca="1">IFERROR(IF(COUNTIF($B$526:$B703,"&lt;0")=1,"",OFFSET($C702,-COUNTIF($B$526:$B703,"&lt;0")+3,0)),"")</f>
        <v/>
      </c>
      <c r="N704" s="401" t="str">
        <f ca="1">IFERROR(IF(AND(_xlfn.ISFORMULA(I704),NOT(_xlfn.ISFORMULA(I703))),1,OFFSET($F702,-COUNTIF($B$526:B703,"&lt;0")+3,0)),"")</f>
        <v/>
      </c>
      <c r="O704" s="387">
        <f t="shared" ca="1" si="111"/>
        <v>176</v>
      </c>
      <c r="P704" s="387"/>
      <c r="Q704" s="387"/>
      <c r="R704" s="387"/>
      <c r="S704" s="387"/>
      <c r="T704" s="391" t="s">
        <v>2212</v>
      </c>
    </row>
    <row r="705" spans="1:20">
      <c r="A705" s="387" t="b">
        <v>1</v>
      </c>
      <c r="B705" s="387">
        <f t="shared" ca="1" si="108"/>
        <v>-57</v>
      </c>
      <c r="C705" s="401" t="s">
        <v>2862</v>
      </c>
      <c r="D705" s="401" t="s">
        <v>2860</v>
      </c>
      <c r="E705" s="387">
        <f t="shared" ca="1" si="109"/>
        <v>177</v>
      </c>
      <c r="F705" s="402">
        <v>30</v>
      </c>
      <c r="G705" s="391" t="s">
        <v>2192</v>
      </c>
      <c r="H705" s="387" t="str">
        <f t="shared" ca="1" si="110"/>
        <v>row number</v>
      </c>
      <c r="I705" s="389">
        <v>42.500003551975603</v>
      </c>
      <c r="J705" s="392">
        <v>4223002</v>
      </c>
      <c r="K705" s="392">
        <v>1794776</v>
      </c>
      <c r="L705" s="391"/>
      <c r="M705" s="401" t="str">
        <f ca="1">IFERROR(IF(COUNTIF($B$526:$B704,"&lt;0")=1,"",OFFSET($C703,-COUNTIF($B$526:$B704,"&lt;0")+3,0)),"")</f>
        <v/>
      </c>
      <c r="N705" s="401" t="str">
        <f ca="1">IFERROR(IF(AND(_xlfn.ISFORMULA(I705),NOT(_xlfn.ISFORMULA(I704))),1,OFFSET($F703,-COUNTIF($B$526:B704,"&lt;0")+3,0)),"")</f>
        <v/>
      </c>
      <c r="O705" s="387">
        <f t="shared" ca="1" si="111"/>
        <v>177</v>
      </c>
      <c r="P705" s="387"/>
      <c r="Q705" s="387"/>
      <c r="R705" s="387"/>
      <c r="S705" s="387"/>
      <c r="T705" s="391" t="s">
        <v>2212</v>
      </c>
    </row>
    <row r="706" spans="1:20">
      <c r="A706" s="387" t="b">
        <v>1</v>
      </c>
      <c r="B706" s="387">
        <f t="shared" ca="1" si="108"/>
        <v>-56</v>
      </c>
      <c r="C706" s="401" t="s">
        <v>2863</v>
      </c>
      <c r="D706" s="401" t="s">
        <v>2860</v>
      </c>
      <c r="E706" s="387">
        <f t="shared" ca="1" si="109"/>
        <v>178</v>
      </c>
      <c r="F706" s="402">
        <v>30</v>
      </c>
      <c r="G706" s="391" t="s">
        <v>2192</v>
      </c>
      <c r="H706" s="387" t="str">
        <f t="shared" ca="1" si="110"/>
        <v>row number</v>
      </c>
      <c r="I706" s="389">
        <v>42.500003551975603</v>
      </c>
      <c r="J706" s="392">
        <v>4223002</v>
      </c>
      <c r="K706" s="392">
        <v>1794776</v>
      </c>
      <c r="L706" s="391"/>
      <c r="M706" s="401" t="str">
        <f ca="1">IFERROR(IF(COUNTIF($B$526:$B705,"&lt;0")=1,"",OFFSET($C704,-COUNTIF($B$526:$B705,"&lt;0")+3,0)),"")</f>
        <v/>
      </c>
      <c r="N706" s="401" t="str">
        <f ca="1">IFERROR(IF(AND(_xlfn.ISFORMULA(I706),NOT(_xlfn.ISFORMULA(I705))),1,OFFSET($F704,-COUNTIF($B$526:B705,"&lt;0")+3,0)),"")</f>
        <v/>
      </c>
      <c r="O706" s="387">
        <f t="shared" ca="1" si="111"/>
        <v>178</v>
      </c>
      <c r="P706" s="387"/>
      <c r="Q706" s="387"/>
      <c r="R706" s="387"/>
      <c r="S706" s="387"/>
      <c r="T706" s="391" t="s">
        <v>2212</v>
      </c>
    </row>
    <row r="707" spans="1:20">
      <c r="A707" s="387" t="b">
        <v>1</v>
      </c>
      <c r="B707" s="387">
        <f t="shared" ca="1" si="108"/>
        <v>-55</v>
      </c>
      <c r="C707" s="401" t="s">
        <v>2864</v>
      </c>
      <c r="D707" s="401" t="s">
        <v>2860</v>
      </c>
      <c r="E707" s="387">
        <f t="shared" ca="1" si="109"/>
        <v>179</v>
      </c>
      <c r="F707" s="402">
        <v>30</v>
      </c>
      <c r="G707" s="391" t="s">
        <v>2192</v>
      </c>
      <c r="H707" s="387" t="str">
        <f t="shared" ca="1" si="110"/>
        <v>row number</v>
      </c>
      <c r="I707" s="389">
        <v>44.999994306192498</v>
      </c>
      <c r="J707" s="392">
        <v>4390735</v>
      </c>
      <c r="K707" s="392">
        <v>1975830.5</v>
      </c>
      <c r="L707" s="391"/>
      <c r="M707" s="401" t="str">
        <f ca="1">IFERROR(IF(COUNTIF($B$526:$B706,"&lt;0")=1,"",OFFSET($C705,-COUNTIF($B$526:$B706,"&lt;0")+3,0)),"")</f>
        <v/>
      </c>
      <c r="N707" s="401" t="str">
        <f ca="1">IFERROR(IF(AND(_xlfn.ISFORMULA(I707),NOT(_xlfn.ISFORMULA(I706))),1,OFFSET($F705,-COUNTIF($B$526:B706,"&lt;0")+3,0)),"")</f>
        <v/>
      </c>
      <c r="O707" s="387">
        <f t="shared" ca="1" si="111"/>
        <v>179</v>
      </c>
      <c r="P707" s="387"/>
      <c r="Q707" s="387"/>
      <c r="R707" s="387"/>
      <c r="S707" s="387"/>
      <c r="T707" s="391" t="s">
        <v>2212</v>
      </c>
    </row>
    <row r="708" spans="1:20">
      <c r="A708" s="387" t="b">
        <v>1</v>
      </c>
      <c r="B708" s="387">
        <f t="shared" ca="1" si="108"/>
        <v>-54</v>
      </c>
      <c r="C708" s="401" t="s">
        <v>2865</v>
      </c>
      <c r="D708" s="401" t="s">
        <v>2860</v>
      </c>
      <c r="E708" s="387">
        <f t="shared" ca="1" si="109"/>
        <v>180</v>
      </c>
      <c r="F708" s="402">
        <v>30</v>
      </c>
      <c r="G708" s="391" t="s">
        <v>2192</v>
      </c>
      <c r="H708" s="387" t="str">
        <f t="shared" ca="1" si="110"/>
        <v>row number</v>
      </c>
      <c r="I708" s="389">
        <v>44.999994306192498</v>
      </c>
      <c r="J708" s="392">
        <v>4390735</v>
      </c>
      <c r="K708" s="392">
        <v>1975830.5</v>
      </c>
      <c r="L708" s="391"/>
      <c r="M708" s="401" t="str">
        <f ca="1">IFERROR(IF(COUNTIF($B$526:$B707,"&lt;0")=1,"",OFFSET($C706,-COUNTIF($B$526:$B707,"&lt;0")+3,0)),"")</f>
        <v/>
      </c>
      <c r="N708" s="401" t="str">
        <f ca="1">IFERROR(IF(AND(_xlfn.ISFORMULA(I708),NOT(_xlfn.ISFORMULA(I707))),1,OFFSET($F706,-COUNTIF($B$526:B707,"&lt;0")+3,0)),"")</f>
        <v/>
      </c>
      <c r="O708" s="387">
        <f t="shared" ca="1" si="111"/>
        <v>180</v>
      </c>
      <c r="P708" s="387"/>
      <c r="Q708" s="387"/>
      <c r="R708" s="387"/>
      <c r="S708" s="387"/>
      <c r="T708" s="391" t="s">
        <v>2212</v>
      </c>
    </row>
    <row r="709" spans="1:20">
      <c r="A709" s="387" t="b">
        <v>1</v>
      </c>
      <c r="B709" s="387">
        <f t="shared" ca="1" si="108"/>
        <v>-53</v>
      </c>
      <c r="C709" s="401" t="s">
        <v>2866</v>
      </c>
      <c r="D709" s="401" t="s">
        <v>2867</v>
      </c>
      <c r="E709" s="387">
        <f t="shared" ca="1" si="109"/>
        <v>181</v>
      </c>
      <c r="F709" s="402">
        <v>31</v>
      </c>
      <c r="G709" s="391" t="s">
        <v>2192</v>
      </c>
      <c r="H709" s="387" t="str">
        <f t="shared" ca="1" si="110"/>
        <v>row number</v>
      </c>
      <c r="I709" s="389">
        <v>83.974720570000002</v>
      </c>
      <c r="J709" s="392">
        <v>491506.25</v>
      </c>
      <c r="K709" s="392">
        <v>412741</v>
      </c>
      <c r="L709" s="391"/>
      <c r="M709" s="401" t="str">
        <f ca="1">IFERROR(IF(COUNTIF($B$526:$B708,"&lt;0")=1,"",OFFSET($C707,-COUNTIF($B$526:$B708,"&lt;0")+3,0)),"")</f>
        <v/>
      </c>
      <c r="N709" s="401" t="str">
        <f ca="1">IFERROR(IF(AND(_xlfn.ISFORMULA(I709),NOT(_xlfn.ISFORMULA(I708))),1,OFFSET($F707,-COUNTIF($B$526:B708,"&lt;0")+3,0)),"")</f>
        <v/>
      </c>
      <c r="O709" s="387">
        <f t="shared" ca="1" si="111"/>
        <v>181</v>
      </c>
      <c r="P709" s="387"/>
      <c r="Q709" s="387"/>
      <c r="R709" s="387"/>
      <c r="S709" s="387"/>
      <c r="T709" s="391" t="s">
        <v>2212</v>
      </c>
    </row>
    <row r="710" spans="1:20">
      <c r="A710" s="387" t="b">
        <v>1</v>
      </c>
      <c r="B710" s="387">
        <f t="shared" ca="1" si="108"/>
        <v>-52</v>
      </c>
      <c r="C710" s="401" t="s">
        <v>2868</v>
      </c>
      <c r="D710" s="401" t="s">
        <v>2867</v>
      </c>
      <c r="E710" s="387">
        <f t="shared" ca="1" si="109"/>
        <v>182</v>
      </c>
      <c r="F710" s="402">
        <v>31</v>
      </c>
      <c r="G710" s="391" t="s">
        <v>2192</v>
      </c>
      <c r="H710" s="387" t="str">
        <f t="shared" ca="1" si="110"/>
        <v>row number</v>
      </c>
      <c r="I710" s="389">
        <v>87.870907029999998</v>
      </c>
      <c r="J710" s="392">
        <v>491506.25</v>
      </c>
      <c r="K710" s="392">
        <v>431891</v>
      </c>
      <c r="L710" s="391"/>
      <c r="M710" s="401" t="str">
        <f ca="1">IFERROR(IF(COUNTIF($B$526:$B709,"&lt;0")=1,"",OFFSET($C708,-COUNTIF($B$526:$B709,"&lt;0")+3,0)),"")</f>
        <v/>
      </c>
      <c r="N710" s="401" t="str">
        <f ca="1">IFERROR(IF(AND(_xlfn.ISFORMULA(I710),NOT(_xlfn.ISFORMULA(I709))),1,OFFSET($F708,-COUNTIF($B$526:B709,"&lt;0")+3,0)),"")</f>
        <v/>
      </c>
      <c r="O710" s="387">
        <f t="shared" ca="1" si="111"/>
        <v>182</v>
      </c>
      <c r="P710" s="387"/>
      <c r="Q710" s="387"/>
      <c r="R710" s="387"/>
      <c r="S710" s="387"/>
      <c r="T710" s="391" t="s">
        <v>2212</v>
      </c>
    </row>
    <row r="711" spans="1:20">
      <c r="A711" s="387" t="b">
        <v>1</v>
      </c>
      <c r="B711" s="387">
        <f t="shared" ca="1" si="108"/>
        <v>-51</v>
      </c>
      <c r="C711" s="401" t="s">
        <v>2869</v>
      </c>
      <c r="D711" s="401" t="s">
        <v>2867</v>
      </c>
      <c r="E711" s="387">
        <f t="shared" ca="1" si="109"/>
        <v>183</v>
      </c>
      <c r="F711" s="402">
        <v>31</v>
      </c>
      <c r="G711" s="391" t="s">
        <v>2192</v>
      </c>
      <c r="H711" s="387" t="str">
        <f t="shared" ca="1" si="110"/>
        <v>row number</v>
      </c>
      <c r="I711" s="389">
        <v>90.574058769999994</v>
      </c>
      <c r="J711" s="392">
        <v>491255.45</v>
      </c>
      <c r="K711" s="392">
        <v>444950</v>
      </c>
      <c r="L711" s="391"/>
      <c r="M711" s="401" t="str">
        <f ca="1">IFERROR(IF(COUNTIF($B$526:$B710,"&lt;0")=1,"",OFFSET($C709,-COUNTIF($B$526:$B710,"&lt;0")+3,0)),"")</f>
        <v/>
      </c>
      <c r="N711" s="401" t="str">
        <f ca="1">IFERROR(IF(AND(_xlfn.ISFORMULA(I711),NOT(_xlfn.ISFORMULA(I710))),1,OFFSET($F709,-COUNTIF($B$526:B710,"&lt;0")+3,0)),"")</f>
        <v/>
      </c>
      <c r="O711" s="387">
        <f t="shared" ca="1" si="111"/>
        <v>183</v>
      </c>
      <c r="P711" s="387"/>
      <c r="Q711" s="387"/>
      <c r="R711" s="387"/>
      <c r="S711" s="387"/>
      <c r="T711" s="391" t="s">
        <v>2212</v>
      </c>
    </row>
    <row r="712" spans="1:20">
      <c r="A712" s="387" t="b">
        <v>1</v>
      </c>
      <c r="B712" s="387">
        <f t="shared" ca="1" si="108"/>
        <v>-50</v>
      </c>
      <c r="C712" s="401" t="s">
        <v>2870</v>
      </c>
      <c r="D712" s="401" t="s">
        <v>2867</v>
      </c>
      <c r="E712" s="387">
        <f t="shared" ca="1" si="109"/>
        <v>184</v>
      </c>
      <c r="F712" s="402">
        <v>31</v>
      </c>
      <c r="G712" s="391" t="s">
        <v>2192</v>
      </c>
      <c r="H712" s="387" t="str">
        <f t="shared" ca="1" si="110"/>
        <v>row number</v>
      </c>
      <c r="I712" s="389">
        <v>93.232349889999995</v>
      </c>
      <c r="J712" s="392">
        <v>491255.45</v>
      </c>
      <c r="K712" s="392">
        <v>458009</v>
      </c>
      <c r="L712" s="391"/>
      <c r="M712" s="401" t="str">
        <f ca="1">IFERROR(IF(COUNTIF($B$526:$B711,"&lt;0")=1,"",OFFSET($C710,-COUNTIF($B$526:$B711,"&lt;0")+3,0)),"")</f>
        <v/>
      </c>
      <c r="N712" s="401" t="str">
        <f ca="1">IFERROR(IF(AND(_xlfn.ISFORMULA(I712),NOT(_xlfn.ISFORMULA(I711))),1,OFFSET($F710,-COUNTIF($B$526:B711,"&lt;0")+3,0)),"")</f>
        <v/>
      </c>
      <c r="O712" s="387">
        <f t="shared" ca="1" si="111"/>
        <v>184</v>
      </c>
      <c r="P712" s="387"/>
      <c r="Q712" s="387"/>
      <c r="R712" s="387"/>
      <c r="S712" s="387"/>
      <c r="T712" s="391" t="s">
        <v>2212</v>
      </c>
    </row>
    <row r="713" spans="1:20">
      <c r="A713" s="387" t="b">
        <v>1</v>
      </c>
      <c r="B713" s="387">
        <f t="shared" ca="1" si="108"/>
        <v>-49</v>
      </c>
      <c r="C713" s="401" t="s">
        <v>2871</v>
      </c>
      <c r="D713" s="401" t="s">
        <v>2867</v>
      </c>
      <c r="E713" s="387">
        <f t="shared" ca="1" si="109"/>
        <v>185</v>
      </c>
      <c r="F713" s="402">
        <v>31</v>
      </c>
      <c r="G713" s="391" t="s">
        <v>2192</v>
      </c>
      <c r="H713" s="387" t="str">
        <f t="shared" ca="1" si="110"/>
        <v>row number</v>
      </c>
      <c r="I713" s="389">
        <v>95.257242860000005</v>
      </c>
      <c r="J713" s="392">
        <v>489430.5</v>
      </c>
      <c r="K713" s="392">
        <v>466218</v>
      </c>
      <c r="L713" s="391"/>
      <c r="M713" s="401" t="str">
        <f ca="1">IFERROR(IF(COUNTIF($B$526:$B712,"&lt;0")=1,"",OFFSET($C711,-COUNTIF($B$526:$B712,"&lt;0")+3,0)),"")</f>
        <v/>
      </c>
      <c r="N713" s="401" t="str">
        <f ca="1">IFERROR(IF(AND(_xlfn.ISFORMULA(I713),NOT(_xlfn.ISFORMULA(I712))),1,OFFSET($F711,-COUNTIF($B$526:B712,"&lt;0")+3,0)),"")</f>
        <v/>
      </c>
      <c r="O713" s="387">
        <f t="shared" ca="1" si="111"/>
        <v>185</v>
      </c>
      <c r="P713" s="387"/>
      <c r="Q713" s="387"/>
      <c r="R713" s="387"/>
      <c r="S713" s="387"/>
      <c r="T713" s="391" t="s">
        <v>2212</v>
      </c>
    </row>
    <row r="714" spans="1:20">
      <c r="A714" s="387" t="b">
        <v>1</v>
      </c>
      <c r="B714" s="387">
        <f t="shared" ca="1" si="108"/>
        <v>-48</v>
      </c>
      <c r="C714" s="401" t="s">
        <v>2872</v>
      </c>
      <c r="D714" s="401" t="s">
        <v>2867</v>
      </c>
      <c r="E714" s="387">
        <f t="shared" ca="1" si="109"/>
        <v>186</v>
      </c>
      <c r="F714" s="402">
        <v>31</v>
      </c>
      <c r="G714" s="391" t="s">
        <v>2192</v>
      </c>
      <c r="H714" s="387" t="str">
        <f t="shared" ca="1" si="110"/>
        <v>row number</v>
      </c>
      <c r="I714" s="389">
        <v>96.934498360000006</v>
      </c>
      <c r="J714" s="392">
        <v>489430.5</v>
      </c>
      <c r="K714" s="392">
        <v>474427</v>
      </c>
      <c r="L714" s="391"/>
      <c r="M714" s="401" t="str">
        <f ca="1">IFERROR(IF(COUNTIF($B$526:$B713,"&lt;0")=1,"",OFFSET($C712,-COUNTIF($B$526:$B713,"&lt;0")+3,0)),"")</f>
        <v/>
      </c>
      <c r="N714" s="401" t="str">
        <f ca="1">IFERROR(IF(AND(_xlfn.ISFORMULA(I714),NOT(_xlfn.ISFORMULA(I713))),1,OFFSET($F712,-COUNTIF($B$526:B713,"&lt;0")+3,0)),"")</f>
        <v/>
      </c>
      <c r="O714" s="387">
        <f t="shared" ca="1" si="111"/>
        <v>186</v>
      </c>
      <c r="P714" s="387"/>
      <c r="Q714" s="387"/>
      <c r="R714" s="387"/>
      <c r="S714" s="387"/>
      <c r="T714" s="391" t="s">
        <v>2212</v>
      </c>
    </row>
    <row r="715" spans="1:20">
      <c r="A715" s="387" t="b">
        <v>1</v>
      </c>
      <c r="B715" s="387">
        <f t="shared" ca="1" si="108"/>
        <v>-47</v>
      </c>
      <c r="C715" s="401" t="s">
        <v>2873</v>
      </c>
      <c r="D715" s="401" t="s">
        <v>2874</v>
      </c>
      <c r="E715" s="387">
        <f t="shared" ca="1" si="109"/>
        <v>187</v>
      </c>
      <c r="F715" s="402">
        <v>32</v>
      </c>
      <c r="G715" s="391" t="s">
        <v>2192</v>
      </c>
      <c r="H715" s="387" t="str">
        <f t="shared" ca="1" si="110"/>
        <v>row number</v>
      </c>
      <c r="I715" s="389">
        <v>92.651112150000003</v>
      </c>
      <c r="J715" s="392">
        <v>408125.7</v>
      </c>
      <c r="K715" s="392">
        <v>378133</v>
      </c>
      <c r="L715" s="391"/>
      <c r="M715" s="401" t="str">
        <f ca="1">IFERROR(IF(COUNTIF($B$526:$B714,"&lt;0")=1,"",OFFSET($C713,-COUNTIF($B$526:$B714,"&lt;0")+3,0)),"")</f>
        <v/>
      </c>
      <c r="N715" s="401" t="str">
        <f ca="1">IFERROR(IF(AND(_xlfn.ISFORMULA(I715),NOT(_xlfn.ISFORMULA(I714))),1,OFFSET($F713,-COUNTIF($B$526:B714,"&lt;0")+3,0)),"")</f>
        <v/>
      </c>
      <c r="O715" s="387">
        <f t="shared" ca="1" si="111"/>
        <v>187</v>
      </c>
      <c r="P715" s="387"/>
      <c r="Q715" s="387"/>
      <c r="R715" s="387"/>
      <c r="S715" s="387"/>
      <c r="T715" s="391" t="s">
        <v>2212</v>
      </c>
    </row>
    <row r="716" spans="1:20">
      <c r="A716" s="387" t="b">
        <v>1</v>
      </c>
      <c r="B716" s="387">
        <f t="shared" ca="1" si="108"/>
        <v>-46</v>
      </c>
      <c r="C716" s="401" t="s">
        <v>2875</v>
      </c>
      <c r="D716" s="401" t="s">
        <v>2874</v>
      </c>
      <c r="E716" s="387">
        <f t="shared" ca="1" si="109"/>
        <v>188</v>
      </c>
      <c r="F716" s="402">
        <v>32</v>
      </c>
      <c r="G716" s="391" t="s">
        <v>2192</v>
      </c>
      <c r="H716" s="387" t="str">
        <f t="shared" ca="1" si="110"/>
        <v>row number</v>
      </c>
      <c r="I716" s="389">
        <v>94.454478120000005</v>
      </c>
      <c r="J716" s="392">
        <v>408125.7</v>
      </c>
      <c r="K716" s="392">
        <v>385493</v>
      </c>
      <c r="L716" s="391"/>
      <c r="M716" s="401" t="str">
        <f ca="1">IFERROR(IF(COUNTIF($B$526:$B715,"&lt;0")=1,"",OFFSET($C714,-COUNTIF($B$526:$B715,"&lt;0")+3,0)),"")</f>
        <v/>
      </c>
      <c r="N716" s="401" t="str">
        <f ca="1">IFERROR(IF(AND(_xlfn.ISFORMULA(I716),NOT(_xlfn.ISFORMULA(I715))),1,OFFSET($F714,-COUNTIF($B$526:B715,"&lt;0")+3,0)),"")</f>
        <v/>
      </c>
      <c r="O716" s="387">
        <f t="shared" ca="1" si="111"/>
        <v>188</v>
      </c>
      <c r="P716" s="387"/>
      <c r="Q716" s="387"/>
      <c r="R716" s="387"/>
      <c r="S716" s="387"/>
      <c r="T716" s="391" t="s">
        <v>2212</v>
      </c>
    </row>
    <row r="717" spans="1:20">
      <c r="A717" s="387" t="b">
        <v>1</v>
      </c>
      <c r="B717" s="387">
        <f t="shared" ca="1" si="108"/>
        <v>-45</v>
      </c>
      <c r="C717" s="401" t="s">
        <v>2876</v>
      </c>
      <c r="D717" s="401" t="s">
        <v>2874</v>
      </c>
      <c r="E717" s="387">
        <f t="shared" ca="1" si="109"/>
        <v>189</v>
      </c>
      <c r="F717" s="402">
        <v>32</v>
      </c>
      <c r="G717" s="391" t="s">
        <v>2192</v>
      </c>
      <c r="H717" s="387" t="str">
        <f t="shared" ca="1" si="110"/>
        <v>row number</v>
      </c>
      <c r="I717" s="389">
        <v>96.059729140000002</v>
      </c>
      <c r="J717" s="392">
        <v>410352.5</v>
      </c>
      <c r="K717" s="392">
        <v>394183.5</v>
      </c>
      <c r="L717" s="391"/>
      <c r="M717" s="401" t="str">
        <f ca="1">IFERROR(IF(COUNTIF($B$526:$B716,"&lt;0")=1,"",OFFSET($C715,-COUNTIF($B$526:$B716,"&lt;0")+3,0)),"")</f>
        <v/>
      </c>
      <c r="N717" s="401" t="str">
        <f ca="1">IFERROR(IF(AND(_xlfn.ISFORMULA(I717),NOT(_xlfn.ISFORMULA(I716))),1,OFFSET($F715,-COUNTIF($B$526:B716,"&lt;0")+3,0)),"")</f>
        <v/>
      </c>
      <c r="O717" s="387">
        <f t="shared" ca="1" si="111"/>
        <v>189</v>
      </c>
      <c r="P717" s="387"/>
      <c r="Q717" s="387"/>
      <c r="R717" s="387"/>
      <c r="S717" s="387"/>
      <c r="T717" s="391" t="s">
        <v>2212</v>
      </c>
    </row>
    <row r="718" spans="1:20">
      <c r="A718" s="387" t="b">
        <v>1</v>
      </c>
      <c r="B718" s="387">
        <f t="shared" ca="1" si="108"/>
        <v>-44</v>
      </c>
      <c r="C718" s="401" t="s">
        <v>2877</v>
      </c>
      <c r="D718" s="401" t="s">
        <v>2874</v>
      </c>
      <c r="E718" s="387">
        <f t="shared" ca="1" si="109"/>
        <v>190</v>
      </c>
      <c r="F718" s="402">
        <v>32</v>
      </c>
      <c r="G718" s="391" t="s">
        <v>2192</v>
      </c>
      <c r="H718" s="387" t="str">
        <f t="shared" ca="1" si="110"/>
        <v>row number</v>
      </c>
      <c r="I718" s="389">
        <v>98.17754248</v>
      </c>
      <c r="J718" s="392">
        <v>410352.5</v>
      </c>
      <c r="K718" s="392">
        <v>402874</v>
      </c>
      <c r="L718" s="391"/>
      <c r="M718" s="401" t="str">
        <f ca="1">IFERROR(IF(COUNTIF($B$526:$B717,"&lt;0")=1,"",OFFSET($C716,-COUNTIF($B$526:$B717,"&lt;0")+3,0)),"")</f>
        <v/>
      </c>
      <c r="N718" s="401" t="str">
        <f ca="1">IFERROR(IF(AND(_xlfn.ISFORMULA(I718),NOT(_xlfn.ISFORMULA(I717))),1,OFFSET($F716,-COUNTIF($B$526:B717,"&lt;0")+3,0)),"")</f>
        <v/>
      </c>
      <c r="O718" s="387">
        <f t="shared" ca="1" si="111"/>
        <v>190</v>
      </c>
      <c r="P718" s="387"/>
      <c r="Q718" s="387"/>
      <c r="R718" s="387"/>
      <c r="S718" s="387"/>
      <c r="T718" s="391" t="s">
        <v>2212</v>
      </c>
    </row>
    <row r="719" spans="1:20">
      <c r="A719" s="387" t="b">
        <v>1</v>
      </c>
      <c r="B719" s="387">
        <f t="shared" ca="1" si="108"/>
        <v>-43</v>
      </c>
      <c r="C719" s="401" t="s">
        <v>2878</v>
      </c>
      <c r="D719" s="401" t="s">
        <v>2874</v>
      </c>
      <c r="E719" s="387">
        <f t="shared" ca="1" si="109"/>
        <v>191</v>
      </c>
      <c r="F719" s="402">
        <v>32</v>
      </c>
      <c r="G719" s="391" t="s">
        <v>2192</v>
      </c>
      <c r="H719" s="387" t="str">
        <f t="shared" ca="1" si="110"/>
        <v>row number</v>
      </c>
      <c r="I719" s="389">
        <v>98.8976337</v>
      </c>
      <c r="J719" s="392">
        <v>411945.65</v>
      </c>
      <c r="K719" s="392">
        <v>407404.5</v>
      </c>
      <c r="L719" s="391"/>
      <c r="M719" s="401" t="str">
        <f ca="1">IFERROR(IF(COUNTIF($B$526:$B718,"&lt;0")=1,"",OFFSET($C717,-COUNTIF($B$526:$B718,"&lt;0")+3,0)),"")</f>
        <v/>
      </c>
      <c r="N719" s="401" t="str">
        <f ca="1">IFERROR(IF(AND(_xlfn.ISFORMULA(I719),NOT(_xlfn.ISFORMULA(I718))),1,OFFSET($F717,-COUNTIF($B$526:B718,"&lt;0")+3,0)),"")</f>
        <v/>
      </c>
      <c r="O719" s="387">
        <f t="shared" ca="1" si="111"/>
        <v>191</v>
      </c>
      <c r="P719" s="387"/>
      <c r="Q719" s="387"/>
      <c r="R719" s="387"/>
      <c r="S719" s="387"/>
      <c r="T719" s="391" t="s">
        <v>2212</v>
      </c>
    </row>
    <row r="720" spans="1:20">
      <c r="A720" s="387" t="b">
        <v>1</v>
      </c>
      <c r="B720" s="387">
        <f t="shared" ca="1" si="108"/>
        <v>-42</v>
      </c>
      <c r="C720" s="401" t="s">
        <v>2879</v>
      </c>
      <c r="D720" s="401" t="s">
        <v>2874</v>
      </c>
      <c r="E720" s="387">
        <f t="shared" ca="1" si="109"/>
        <v>192</v>
      </c>
      <c r="F720" s="402">
        <v>32</v>
      </c>
      <c r="G720" s="391" t="s">
        <v>2192</v>
      </c>
      <c r="H720" s="387" t="str">
        <f t="shared" ca="1" si="110"/>
        <v>row number</v>
      </c>
      <c r="I720" s="389">
        <v>99.997414710000001</v>
      </c>
      <c r="J720" s="392">
        <v>411945.65</v>
      </c>
      <c r="K720" s="392">
        <v>411935</v>
      </c>
      <c r="L720" s="391"/>
      <c r="M720" s="401" t="str">
        <f ca="1">IFERROR(IF(COUNTIF($B$526:$B719,"&lt;0")=1,"",OFFSET($C718,-COUNTIF($B$526:$B719,"&lt;0")+3,0)),"")</f>
        <v/>
      </c>
      <c r="N720" s="401" t="str">
        <f ca="1">IFERROR(IF(AND(_xlfn.ISFORMULA(I720),NOT(_xlfn.ISFORMULA(I719))),1,OFFSET($F718,-COUNTIF($B$526:B719,"&lt;0")+3,0)),"")</f>
        <v/>
      </c>
      <c r="O720" s="387">
        <f t="shared" ca="1" si="111"/>
        <v>192</v>
      </c>
      <c r="P720" s="387"/>
      <c r="Q720" s="387"/>
      <c r="R720" s="387"/>
      <c r="S720" s="387"/>
      <c r="T720" s="391" t="s">
        <v>2212</v>
      </c>
    </row>
    <row r="721" spans="1:20">
      <c r="A721" s="387" t="b">
        <v>1</v>
      </c>
      <c r="B721" s="387">
        <f t="shared" ref="B721:B784" ca="1" si="112">B720+1</f>
        <v>-41</v>
      </c>
      <c r="C721" s="401" t="s">
        <v>2880</v>
      </c>
      <c r="D721" s="401" t="s">
        <v>2881</v>
      </c>
      <c r="E721" s="387">
        <f t="shared" ref="E721:E784" ca="1" si="113">IF(E720="countif",0,IF(E720=W$2,1,E720+1))</f>
        <v>193</v>
      </c>
      <c r="F721" s="402">
        <v>33</v>
      </c>
      <c r="G721" s="391" t="s">
        <v>2192</v>
      </c>
      <c r="H721" s="387" t="str">
        <f t="shared" ref="H721:H784" ca="1" si="114">IF(B721=1,9,IF(E720=MAX(E719:E721),H719+2,H720))</f>
        <v>row number</v>
      </c>
      <c r="I721" s="389">
        <v>41.506082650000003</v>
      </c>
      <c r="J721" s="392">
        <v>83380.55</v>
      </c>
      <c r="K721" s="392">
        <v>34608</v>
      </c>
      <c r="L721" s="391"/>
      <c r="M721" s="401" t="str">
        <f ca="1">IFERROR(IF(COUNTIF($B$526:$B720,"&lt;0")=1,"",OFFSET($C719,-COUNTIF($B$526:$B720,"&lt;0")+3,0)),"")</f>
        <v/>
      </c>
      <c r="N721" s="401" t="str">
        <f ca="1">IFERROR(IF(AND(_xlfn.ISFORMULA(I721),NOT(_xlfn.ISFORMULA(I720))),1,OFFSET($F719,-COUNTIF($B$526:B720,"&lt;0")+3,0)),"")</f>
        <v/>
      </c>
      <c r="O721" s="387">
        <f t="shared" ref="O721:O784" ca="1" si="115">IF(NOT(_xlfn.ISFORMULA(I721)),O720+1,0)</f>
        <v>193</v>
      </c>
      <c r="P721" s="387"/>
      <c r="Q721" s="387"/>
      <c r="R721" s="387"/>
      <c r="S721" s="387"/>
      <c r="T721" s="391" t="s">
        <v>2212</v>
      </c>
    </row>
    <row r="722" spans="1:20">
      <c r="A722" s="387" t="b">
        <v>1</v>
      </c>
      <c r="B722" s="387">
        <f t="shared" ca="1" si="112"/>
        <v>-40</v>
      </c>
      <c r="C722" s="401" t="s">
        <v>2882</v>
      </c>
      <c r="D722" s="401" t="s">
        <v>2881</v>
      </c>
      <c r="E722" s="387">
        <f t="shared" ca="1" si="113"/>
        <v>194</v>
      </c>
      <c r="F722" s="402">
        <v>33</v>
      </c>
      <c r="G722" s="391" t="s">
        <v>2192</v>
      </c>
      <c r="H722" s="387" t="str">
        <f t="shared" ca="1" si="114"/>
        <v>row number</v>
      </c>
      <c r="I722" s="389">
        <v>55.646070940000001</v>
      </c>
      <c r="J722" s="392">
        <v>83380.55</v>
      </c>
      <c r="K722" s="392">
        <v>46398</v>
      </c>
      <c r="L722" s="391"/>
      <c r="M722" s="401" t="str">
        <f ca="1">IFERROR(IF(COUNTIF($B$526:$B721,"&lt;0")=1,"",OFFSET($C720,-COUNTIF($B$526:$B721,"&lt;0")+3,0)),"")</f>
        <v/>
      </c>
      <c r="N722" s="401" t="str">
        <f ca="1">IFERROR(IF(AND(_xlfn.ISFORMULA(I722),NOT(_xlfn.ISFORMULA(I721))),1,OFFSET($F720,-COUNTIF($B$526:B721,"&lt;0")+3,0)),"")</f>
        <v/>
      </c>
      <c r="O722" s="387">
        <f t="shared" ca="1" si="115"/>
        <v>194</v>
      </c>
      <c r="P722" s="387"/>
      <c r="Q722" s="387"/>
      <c r="R722" s="387"/>
      <c r="S722" s="387"/>
      <c r="T722" s="391" t="s">
        <v>2212</v>
      </c>
    </row>
    <row r="723" spans="1:20">
      <c r="A723" s="387" t="b">
        <v>1</v>
      </c>
      <c r="B723" s="387">
        <f t="shared" ca="1" si="112"/>
        <v>-39</v>
      </c>
      <c r="C723" s="401" t="s">
        <v>2883</v>
      </c>
      <c r="D723" s="401" t="s">
        <v>2881</v>
      </c>
      <c r="E723" s="387">
        <f t="shared" ca="1" si="113"/>
        <v>195</v>
      </c>
      <c r="F723" s="402">
        <v>33</v>
      </c>
      <c r="G723" s="391" t="s">
        <v>2192</v>
      </c>
      <c r="H723" s="387" t="str">
        <f t="shared" ca="1" si="114"/>
        <v>row number</v>
      </c>
      <c r="I723" s="389">
        <v>62.749875000000003</v>
      </c>
      <c r="J723" s="392">
        <v>80902.95</v>
      </c>
      <c r="K723" s="392">
        <v>50766.5</v>
      </c>
      <c r="L723" s="391"/>
      <c r="M723" s="401" t="str">
        <f ca="1">IFERROR(IF(COUNTIF($B$526:$B722,"&lt;0")=1,"",OFFSET($C721,-COUNTIF($B$526:$B722,"&lt;0")+3,0)),"")</f>
        <v/>
      </c>
      <c r="N723" s="401" t="str">
        <f ca="1">IFERROR(IF(AND(_xlfn.ISFORMULA(I723),NOT(_xlfn.ISFORMULA(I722))),1,OFFSET($F721,-COUNTIF($B$526:B722,"&lt;0")+3,0)),"")</f>
        <v/>
      </c>
      <c r="O723" s="387">
        <f t="shared" ca="1" si="115"/>
        <v>195</v>
      </c>
      <c r="P723" s="387"/>
      <c r="Q723" s="387"/>
      <c r="R723" s="387"/>
      <c r="S723" s="387"/>
      <c r="T723" s="391" t="s">
        <v>2212</v>
      </c>
    </row>
    <row r="724" spans="1:20">
      <c r="A724" s="387" t="b">
        <v>1</v>
      </c>
      <c r="B724" s="387">
        <f t="shared" ca="1" si="112"/>
        <v>-38</v>
      </c>
      <c r="C724" s="401" t="s">
        <v>2884</v>
      </c>
      <c r="D724" s="401" t="s">
        <v>2881</v>
      </c>
      <c r="E724" s="387">
        <f t="shared" ca="1" si="113"/>
        <v>196</v>
      </c>
      <c r="F724" s="402">
        <v>33</v>
      </c>
      <c r="G724" s="391" t="s">
        <v>2192</v>
      </c>
      <c r="H724" s="387" t="str">
        <f t="shared" ca="1" si="114"/>
        <v>row number</v>
      </c>
      <c r="I724" s="389">
        <v>68.149554499999994</v>
      </c>
      <c r="J724" s="392">
        <v>80902.95</v>
      </c>
      <c r="K724" s="392">
        <v>55135</v>
      </c>
      <c r="L724" s="391"/>
      <c r="M724" s="401" t="str">
        <f ca="1">IFERROR(IF(COUNTIF($B$526:$B723,"&lt;0")=1,"",OFFSET($C722,-COUNTIF($B$526:$B723,"&lt;0")+3,0)),"")</f>
        <v/>
      </c>
      <c r="N724" s="401" t="str">
        <f ca="1">IFERROR(IF(AND(_xlfn.ISFORMULA(I724),NOT(_xlfn.ISFORMULA(I723))),1,OFFSET($F722,-COUNTIF($B$526:B723,"&lt;0")+3,0)),"")</f>
        <v/>
      </c>
      <c r="O724" s="387">
        <f t="shared" ca="1" si="115"/>
        <v>196</v>
      </c>
      <c r="P724" s="387"/>
      <c r="Q724" s="387"/>
      <c r="R724" s="387"/>
      <c r="S724" s="387"/>
      <c r="T724" s="391" t="s">
        <v>2212</v>
      </c>
    </row>
    <row r="725" spans="1:20">
      <c r="A725" s="387" t="b">
        <v>1</v>
      </c>
      <c r="B725" s="387">
        <f t="shared" ca="1" si="112"/>
        <v>-37</v>
      </c>
      <c r="C725" s="401" t="s">
        <v>2885</v>
      </c>
      <c r="D725" s="401" t="s">
        <v>2881</v>
      </c>
      <c r="E725" s="387">
        <f t="shared" ca="1" si="113"/>
        <v>197</v>
      </c>
      <c r="F725" s="402">
        <v>33</v>
      </c>
      <c r="G725" s="391" t="s">
        <v>2192</v>
      </c>
      <c r="H725" s="387" t="str">
        <f t="shared" ca="1" si="114"/>
        <v>row number</v>
      </c>
      <c r="I725" s="389">
        <v>75.903224949999995</v>
      </c>
      <c r="J725" s="392">
        <v>77484.850000000006</v>
      </c>
      <c r="K725" s="392">
        <v>58813.5</v>
      </c>
      <c r="L725" s="391"/>
      <c r="M725" s="401" t="str">
        <f ca="1">IFERROR(IF(COUNTIF($B$526:$B724,"&lt;0")=1,"",OFFSET($C723,-COUNTIF($B$526:$B724,"&lt;0")+3,0)),"")</f>
        <v/>
      </c>
      <c r="N725" s="401" t="str">
        <f ca="1">IFERROR(IF(AND(_xlfn.ISFORMULA(I725),NOT(_xlfn.ISFORMULA(I724))),1,OFFSET($F723,-COUNTIF($B$526:B724,"&lt;0")+3,0)),"")</f>
        <v/>
      </c>
      <c r="O725" s="387">
        <f t="shared" ca="1" si="115"/>
        <v>197</v>
      </c>
      <c r="P725" s="387"/>
      <c r="Q725" s="387"/>
      <c r="R725" s="387"/>
      <c r="S725" s="387"/>
      <c r="T725" s="391" t="s">
        <v>2212</v>
      </c>
    </row>
    <row r="726" spans="1:20">
      <c r="A726" s="387" t="b">
        <v>1</v>
      </c>
      <c r="B726" s="387">
        <f t="shared" ca="1" si="112"/>
        <v>-36</v>
      </c>
      <c r="C726" s="401" t="s">
        <v>2886</v>
      </c>
      <c r="D726" s="401" t="s">
        <v>2881</v>
      </c>
      <c r="E726" s="387">
        <f t="shared" ca="1" si="113"/>
        <v>198</v>
      </c>
      <c r="F726" s="402">
        <v>33</v>
      </c>
      <c r="G726" s="391" t="s">
        <v>2192</v>
      </c>
      <c r="H726" s="387" t="str">
        <f t="shared" ca="1" si="114"/>
        <v>row number</v>
      </c>
      <c r="I726" s="389">
        <v>80.650604599999994</v>
      </c>
      <c r="J726" s="392">
        <v>77484.850000000006</v>
      </c>
      <c r="K726" s="392">
        <v>62492</v>
      </c>
      <c r="L726" s="391"/>
      <c r="M726" s="401" t="str">
        <f ca="1">IFERROR(IF(COUNTIF($B$526:$B725,"&lt;0")=1,"",OFFSET($C724,-COUNTIF($B$526:$B725,"&lt;0")+3,0)),"")</f>
        <v/>
      </c>
      <c r="N726" s="401" t="str">
        <f ca="1">IFERROR(IF(AND(_xlfn.ISFORMULA(I726),NOT(_xlfn.ISFORMULA(I725))),1,OFFSET($F724,-COUNTIF($B$526:B725,"&lt;0")+3,0)),"")</f>
        <v/>
      </c>
      <c r="O726" s="387">
        <f t="shared" ca="1" si="115"/>
        <v>198</v>
      </c>
      <c r="P726" s="387"/>
      <c r="Q726" s="387"/>
      <c r="R726" s="387"/>
      <c r="S726" s="387"/>
      <c r="T726" s="391" t="s">
        <v>2212</v>
      </c>
    </row>
    <row r="727" spans="1:20">
      <c r="A727" s="387" t="b">
        <v>1</v>
      </c>
      <c r="B727" s="387">
        <f t="shared" ca="1" si="112"/>
        <v>-35</v>
      </c>
      <c r="C727" s="401" t="s">
        <v>2887</v>
      </c>
      <c r="D727" s="401" t="s">
        <v>2888</v>
      </c>
      <c r="E727" s="387">
        <f t="shared" ca="1" si="113"/>
        <v>199</v>
      </c>
      <c r="F727" s="402">
        <v>34</v>
      </c>
      <c r="G727" s="391" t="s">
        <v>2639</v>
      </c>
      <c r="H727" s="387" t="str">
        <f t="shared" ca="1" si="114"/>
        <v>row number</v>
      </c>
      <c r="I727" s="389">
        <v>22.450363169999999</v>
      </c>
      <c r="J727" s="392">
        <v>36580.699999999997</v>
      </c>
      <c r="K727" s="392">
        <v>8212.5</v>
      </c>
      <c r="L727" s="391"/>
      <c r="M727" s="401" t="str">
        <f ca="1">IFERROR(IF(COUNTIF($B$526:$B726,"&lt;0")=1,"",OFFSET($C725,-COUNTIF($B$526:$B726,"&lt;0")+3,0)),"")</f>
        <v/>
      </c>
      <c r="N727" s="401" t="str">
        <f ca="1">IFERROR(IF(AND(_xlfn.ISFORMULA(I727),NOT(_xlfn.ISFORMULA(I726))),1,OFFSET($F725,-COUNTIF($B$526:B726,"&lt;0")+3,0)),"")</f>
        <v/>
      </c>
      <c r="O727" s="387">
        <f t="shared" ca="1" si="115"/>
        <v>199</v>
      </c>
      <c r="P727" s="387"/>
      <c r="Q727" s="387"/>
      <c r="R727" s="387"/>
      <c r="S727" s="387"/>
      <c r="T727" s="391" t="s">
        <v>2212</v>
      </c>
    </row>
    <row r="728" spans="1:20">
      <c r="A728" s="387" t="b">
        <v>1</v>
      </c>
      <c r="B728" s="387">
        <f t="shared" ca="1" si="112"/>
        <v>-34</v>
      </c>
      <c r="C728" s="401" t="s">
        <v>2889</v>
      </c>
      <c r="D728" s="401" t="s">
        <v>2888</v>
      </c>
      <c r="E728" s="387">
        <f t="shared" ca="1" si="113"/>
        <v>200</v>
      </c>
      <c r="F728" s="402">
        <v>34</v>
      </c>
      <c r="G728" s="391" t="s">
        <v>2639</v>
      </c>
      <c r="H728" s="387" t="str">
        <f t="shared" ca="1" si="114"/>
        <v>row number</v>
      </c>
      <c r="I728" s="389">
        <v>22.450363169999999</v>
      </c>
      <c r="J728" s="392">
        <v>36580.699999999997</v>
      </c>
      <c r="K728" s="392">
        <v>8212.5</v>
      </c>
      <c r="L728" s="391"/>
      <c r="M728" s="401" t="str">
        <f ca="1">IFERROR(IF(COUNTIF($B$526:$B727,"&lt;0")=1,"",OFFSET($C726,-COUNTIF($B$526:$B727,"&lt;0")+3,0)),"")</f>
        <v/>
      </c>
      <c r="N728" s="401" t="str">
        <f ca="1">IFERROR(IF(AND(_xlfn.ISFORMULA(I728),NOT(_xlfn.ISFORMULA(I727))),1,OFFSET($F726,-COUNTIF($B$526:B727,"&lt;0")+3,0)),"")</f>
        <v/>
      </c>
      <c r="O728" s="387">
        <f t="shared" ca="1" si="115"/>
        <v>200</v>
      </c>
      <c r="P728" s="387"/>
      <c r="Q728" s="387"/>
      <c r="R728" s="387"/>
      <c r="S728" s="387"/>
      <c r="T728" s="391" t="s">
        <v>2212</v>
      </c>
    </row>
    <row r="729" spans="1:20">
      <c r="A729" s="387" t="b">
        <v>1</v>
      </c>
      <c r="B729" s="387">
        <f t="shared" ca="1" si="112"/>
        <v>-33</v>
      </c>
      <c r="C729" s="401" t="s">
        <v>2890</v>
      </c>
      <c r="D729" s="401" t="s">
        <v>2888</v>
      </c>
      <c r="E729" s="387">
        <f t="shared" ca="1" si="113"/>
        <v>201</v>
      </c>
      <c r="F729" s="402">
        <v>34</v>
      </c>
      <c r="G729" s="391" t="s">
        <v>2639</v>
      </c>
      <c r="H729" s="387" t="str">
        <f t="shared" ca="1" si="114"/>
        <v>row number</v>
      </c>
      <c r="I729" s="389">
        <v>30.392283559999999</v>
      </c>
      <c r="J729" s="392">
        <v>35207.949999999997</v>
      </c>
      <c r="K729" s="392">
        <v>10700.5</v>
      </c>
      <c r="L729" s="391"/>
      <c r="M729" s="401" t="str">
        <f ca="1">IFERROR(IF(COUNTIF($B$526:$B728,"&lt;0")=1,"",OFFSET($C727,-COUNTIF($B$526:$B728,"&lt;0")+3,0)),"")</f>
        <v/>
      </c>
      <c r="N729" s="401" t="str">
        <f ca="1">IFERROR(IF(AND(_xlfn.ISFORMULA(I729),NOT(_xlfn.ISFORMULA(I728))),1,OFFSET($F727,-COUNTIF($B$526:B728,"&lt;0")+3,0)),"")</f>
        <v/>
      </c>
      <c r="O729" s="387">
        <f t="shared" ca="1" si="115"/>
        <v>201</v>
      </c>
      <c r="P729" s="387"/>
      <c r="Q729" s="387"/>
      <c r="R729" s="387"/>
      <c r="S729" s="387"/>
      <c r="T729" s="391" t="s">
        <v>2212</v>
      </c>
    </row>
    <row r="730" spans="1:20">
      <c r="A730" s="387" t="b">
        <v>1</v>
      </c>
      <c r="B730" s="387">
        <f t="shared" ca="1" si="112"/>
        <v>-32</v>
      </c>
      <c r="C730" s="401" t="s">
        <v>2891</v>
      </c>
      <c r="D730" s="401" t="s">
        <v>2888</v>
      </c>
      <c r="E730" s="387">
        <f t="shared" ca="1" si="113"/>
        <v>202</v>
      </c>
      <c r="F730" s="402">
        <v>34</v>
      </c>
      <c r="G730" s="391" t="s">
        <v>2639</v>
      </c>
      <c r="H730" s="387" t="str">
        <f t="shared" ca="1" si="114"/>
        <v>row number</v>
      </c>
      <c r="I730" s="389">
        <v>30.392283559999999</v>
      </c>
      <c r="J730" s="392">
        <v>35207.949999999997</v>
      </c>
      <c r="K730" s="392">
        <v>10700.5</v>
      </c>
      <c r="L730" s="391"/>
      <c r="M730" s="401" t="str">
        <f ca="1">IFERROR(IF(COUNTIF($B$526:$B729,"&lt;0")=1,"",OFFSET($C728,-COUNTIF($B$526:$B729,"&lt;0")+3,0)),"")</f>
        <v/>
      </c>
      <c r="N730" s="401" t="str">
        <f ca="1">IFERROR(IF(AND(_xlfn.ISFORMULA(I730),NOT(_xlfn.ISFORMULA(I729))),1,OFFSET($F728,-COUNTIF($B$526:B729,"&lt;0")+3,0)),"")</f>
        <v/>
      </c>
      <c r="O730" s="387">
        <f t="shared" ca="1" si="115"/>
        <v>202</v>
      </c>
      <c r="P730" s="387"/>
      <c r="Q730" s="387"/>
      <c r="R730" s="387"/>
      <c r="S730" s="387"/>
      <c r="T730" s="391" t="s">
        <v>2212</v>
      </c>
    </row>
    <row r="731" spans="1:20">
      <c r="A731" s="387" t="b">
        <v>1</v>
      </c>
      <c r="B731" s="387">
        <f t="shared" ca="1" si="112"/>
        <v>-31</v>
      </c>
      <c r="C731" s="401" t="s">
        <v>2892</v>
      </c>
      <c r="D731" s="401" t="s">
        <v>2888</v>
      </c>
      <c r="E731" s="387">
        <f t="shared" ca="1" si="113"/>
        <v>203</v>
      </c>
      <c r="F731" s="402">
        <v>34</v>
      </c>
      <c r="G731" s="391" t="s">
        <v>2639</v>
      </c>
      <c r="H731" s="387" t="str">
        <f t="shared" ca="1" si="114"/>
        <v>row number</v>
      </c>
      <c r="I731" s="389">
        <v>41.15452939</v>
      </c>
      <c r="J731" s="392">
        <v>34142.050000000003</v>
      </c>
      <c r="K731" s="392">
        <v>14051</v>
      </c>
      <c r="L731" s="391"/>
      <c r="M731" s="401" t="str">
        <f ca="1">IFERROR(IF(COUNTIF($B$526:$B730,"&lt;0")=1,"",OFFSET($C729,-COUNTIF($B$526:$B730,"&lt;0")+3,0)),"")</f>
        <v/>
      </c>
      <c r="N731" s="401" t="str">
        <f ca="1">IFERROR(IF(AND(_xlfn.ISFORMULA(I731),NOT(_xlfn.ISFORMULA(I730))),1,OFFSET($F729,-COUNTIF($B$526:B730,"&lt;0")+3,0)),"")</f>
        <v/>
      </c>
      <c r="O731" s="387">
        <f t="shared" ca="1" si="115"/>
        <v>203</v>
      </c>
      <c r="P731" s="387"/>
      <c r="Q731" s="387"/>
      <c r="R731" s="387"/>
      <c r="S731" s="387"/>
      <c r="T731" s="391" t="s">
        <v>2212</v>
      </c>
    </row>
    <row r="732" spans="1:20">
      <c r="A732" s="387" t="b">
        <v>1</v>
      </c>
      <c r="B732" s="387">
        <f t="shared" ca="1" si="112"/>
        <v>-30</v>
      </c>
      <c r="C732" s="401" t="s">
        <v>2893</v>
      </c>
      <c r="D732" s="401" t="s">
        <v>2888</v>
      </c>
      <c r="E732" s="387">
        <f t="shared" ca="1" si="113"/>
        <v>204</v>
      </c>
      <c r="F732" s="402">
        <v>34</v>
      </c>
      <c r="G732" s="391" t="s">
        <v>2639</v>
      </c>
      <c r="H732" s="387" t="str">
        <f t="shared" ca="1" si="114"/>
        <v>row number</v>
      </c>
      <c r="I732" s="389">
        <v>41.15452939</v>
      </c>
      <c r="J732" s="392">
        <v>34142.050000000003</v>
      </c>
      <c r="K732" s="392">
        <v>14051</v>
      </c>
      <c r="L732" s="391"/>
      <c r="M732" s="401" t="str">
        <f ca="1">IFERROR(IF(COUNTIF($B$526:$B731,"&lt;0")=1,"",OFFSET($C730,-COUNTIF($B$526:$B731,"&lt;0")+3,0)),"")</f>
        <v/>
      </c>
      <c r="N732" s="401" t="str">
        <f ca="1">IFERROR(IF(AND(_xlfn.ISFORMULA(I732),NOT(_xlfn.ISFORMULA(I731))),1,OFFSET($F730,-COUNTIF($B$526:B731,"&lt;0")+3,0)),"")</f>
        <v/>
      </c>
      <c r="O732" s="387">
        <f t="shared" ca="1" si="115"/>
        <v>204</v>
      </c>
      <c r="P732" s="387"/>
      <c r="Q732" s="387"/>
      <c r="R732" s="387"/>
      <c r="S732" s="387"/>
      <c r="T732" s="391" t="s">
        <v>2212</v>
      </c>
    </row>
    <row r="733" spans="1:20">
      <c r="A733" s="387" t="b">
        <v>1</v>
      </c>
      <c r="B733" s="387">
        <f t="shared" ca="1" si="112"/>
        <v>-29</v>
      </c>
      <c r="C733" s="401" t="s">
        <v>2894</v>
      </c>
      <c r="D733" s="401" t="s">
        <v>2895</v>
      </c>
      <c r="E733" s="387">
        <f t="shared" ca="1" si="113"/>
        <v>205</v>
      </c>
      <c r="F733" s="402">
        <v>35</v>
      </c>
      <c r="G733" s="391" t="s">
        <v>2192</v>
      </c>
      <c r="H733" s="387" t="str">
        <f t="shared" ca="1" si="114"/>
        <v>row number</v>
      </c>
      <c r="I733" s="389">
        <v>31.20019576</v>
      </c>
      <c r="J733" s="392">
        <v>412741</v>
      </c>
      <c r="K733" s="392">
        <v>128776</v>
      </c>
      <c r="L733" s="391"/>
      <c r="M733" s="401" t="str">
        <f ca="1">IFERROR(IF(COUNTIF($B$526:$B732,"&lt;0")=1,"",OFFSET($C731,-COUNTIF($B$526:$B732,"&lt;0")+3,0)),"")</f>
        <v/>
      </c>
      <c r="N733" s="401" t="str">
        <f ca="1">IFERROR(IF(AND(_xlfn.ISFORMULA(I733),NOT(_xlfn.ISFORMULA(I732))),1,OFFSET($F731,-COUNTIF($B$526:B732,"&lt;0")+3,0)),"")</f>
        <v/>
      </c>
      <c r="O733" s="387">
        <f t="shared" ca="1" si="115"/>
        <v>205</v>
      </c>
      <c r="P733" s="387"/>
      <c r="Q733" s="387"/>
      <c r="R733" s="387"/>
      <c r="S733" s="387"/>
      <c r="T733" s="391" t="s">
        <v>2212</v>
      </c>
    </row>
    <row r="734" spans="1:20">
      <c r="A734" s="387" t="b">
        <v>1</v>
      </c>
      <c r="B734" s="387">
        <f t="shared" ca="1" si="112"/>
        <v>-28</v>
      </c>
      <c r="C734" s="401" t="s">
        <v>2896</v>
      </c>
      <c r="D734" s="401" t="s">
        <v>2895</v>
      </c>
      <c r="E734" s="387">
        <f t="shared" ca="1" si="113"/>
        <v>206</v>
      </c>
      <c r="F734" s="402">
        <v>35</v>
      </c>
      <c r="G734" s="391" t="s">
        <v>2192</v>
      </c>
      <c r="H734" s="387" t="str">
        <f t="shared" ca="1" si="114"/>
        <v>row number</v>
      </c>
      <c r="I734" s="389">
        <v>31.200233390000001</v>
      </c>
      <c r="J734" s="392">
        <v>431891</v>
      </c>
      <c r="K734" s="392">
        <v>134751</v>
      </c>
      <c r="L734" s="391"/>
      <c r="M734" s="401" t="str">
        <f ca="1">IFERROR(IF(COUNTIF($B$526:$B733,"&lt;0")=1,"",OFFSET($C732,-COUNTIF($B$526:$B733,"&lt;0")+3,0)),"")</f>
        <v/>
      </c>
      <c r="N734" s="401" t="str">
        <f ca="1">IFERROR(IF(AND(_xlfn.ISFORMULA(I734),NOT(_xlfn.ISFORMULA(I733))),1,OFFSET($F732,-COUNTIF($B$526:B733,"&lt;0")+3,0)),"")</f>
        <v/>
      </c>
      <c r="O734" s="387">
        <f t="shared" ca="1" si="115"/>
        <v>206</v>
      </c>
      <c r="P734" s="387"/>
      <c r="Q734" s="387"/>
      <c r="R734" s="387"/>
      <c r="S734" s="387"/>
      <c r="T734" s="391" t="s">
        <v>2212</v>
      </c>
    </row>
    <row r="735" spans="1:20">
      <c r="A735" s="387" t="b">
        <v>1</v>
      </c>
      <c r="B735" s="387">
        <f t="shared" ca="1" si="112"/>
        <v>-27</v>
      </c>
      <c r="C735" s="401" t="s">
        <v>2897</v>
      </c>
      <c r="D735" s="401" t="s">
        <v>2895</v>
      </c>
      <c r="E735" s="387">
        <f t="shared" ca="1" si="113"/>
        <v>207</v>
      </c>
      <c r="F735" s="402">
        <v>35</v>
      </c>
      <c r="G735" s="391" t="s">
        <v>2192</v>
      </c>
      <c r="H735" s="387" t="str">
        <f t="shared" ca="1" si="114"/>
        <v>row number</v>
      </c>
      <c r="I735" s="389">
        <v>35.631194520000001</v>
      </c>
      <c r="J735" s="392">
        <v>444950</v>
      </c>
      <c r="K735" s="392">
        <v>158541</v>
      </c>
      <c r="L735" s="391"/>
      <c r="M735" s="401" t="str">
        <f ca="1">IFERROR(IF(COUNTIF($B$526:$B734,"&lt;0")=1,"",OFFSET($C733,-COUNTIF($B$526:$B734,"&lt;0")+3,0)),"")</f>
        <v/>
      </c>
      <c r="N735" s="401" t="str">
        <f ca="1">IFERROR(IF(AND(_xlfn.ISFORMULA(I735),NOT(_xlfn.ISFORMULA(I734))),1,OFFSET($F733,-COUNTIF($B$526:B734,"&lt;0")+3,0)),"")</f>
        <v/>
      </c>
      <c r="O735" s="387">
        <f t="shared" ca="1" si="115"/>
        <v>207</v>
      </c>
      <c r="P735" s="387"/>
      <c r="Q735" s="387"/>
      <c r="R735" s="387"/>
      <c r="S735" s="387"/>
      <c r="T735" s="391" t="s">
        <v>2212</v>
      </c>
    </row>
    <row r="736" spans="1:20">
      <c r="A736" s="387" t="b">
        <v>1</v>
      </c>
      <c r="B736" s="387">
        <f t="shared" ca="1" si="112"/>
        <v>-26</v>
      </c>
      <c r="C736" s="401" t="s">
        <v>2898</v>
      </c>
      <c r="D736" s="401" t="s">
        <v>2895</v>
      </c>
      <c r="E736" s="387">
        <f t="shared" ca="1" si="113"/>
        <v>208</v>
      </c>
      <c r="F736" s="402">
        <v>35</v>
      </c>
      <c r="G736" s="391" t="s">
        <v>2192</v>
      </c>
      <c r="H736" s="387" t="str">
        <f t="shared" ca="1" si="114"/>
        <v>row number</v>
      </c>
      <c r="I736" s="389">
        <v>35.63139589</v>
      </c>
      <c r="J736" s="392">
        <v>458009</v>
      </c>
      <c r="K736" s="392">
        <v>163195</v>
      </c>
      <c r="L736" s="391"/>
      <c r="M736" s="401" t="str">
        <f ca="1">IFERROR(IF(COUNTIF($B$526:$B735,"&lt;0")=1,"",OFFSET($C734,-COUNTIF($B$526:$B735,"&lt;0")+3,0)),"")</f>
        <v/>
      </c>
      <c r="N736" s="401" t="str">
        <f ca="1">IFERROR(IF(AND(_xlfn.ISFORMULA(I736),NOT(_xlfn.ISFORMULA(I735))),1,OFFSET($F734,-COUNTIF($B$526:B735,"&lt;0")+3,0)),"")</f>
        <v/>
      </c>
      <c r="O736" s="387">
        <f t="shared" ca="1" si="115"/>
        <v>208</v>
      </c>
      <c r="P736" s="387"/>
      <c r="Q736" s="387"/>
      <c r="R736" s="387"/>
      <c r="S736" s="387"/>
      <c r="T736" s="391" t="s">
        <v>2212</v>
      </c>
    </row>
    <row r="737" spans="1:20">
      <c r="A737" s="387" t="b">
        <v>1</v>
      </c>
      <c r="B737" s="387">
        <f t="shared" ca="1" si="112"/>
        <v>-25</v>
      </c>
      <c r="C737" s="401" t="s">
        <v>2899</v>
      </c>
      <c r="D737" s="401" t="s">
        <v>2895</v>
      </c>
      <c r="E737" s="387">
        <f t="shared" ca="1" si="113"/>
        <v>209</v>
      </c>
      <c r="F737" s="402">
        <v>35</v>
      </c>
      <c r="G737" s="391" t="s">
        <v>2192</v>
      </c>
      <c r="H737" s="387" t="str">
        <f t="shared" ca="1" si="114"/>
        <v>row number</v>
      </c>
      <c r="I737" s="389">
        <v>40.653943009999999</v>
      </c>
      <c r="J737" s="392">
        <v>466218</v>
      </c>
      <c r="K737" s="392">
        <v>189536</v>
      </c>
      <c r="L737" s="391"/>
      <c r="M737" s="401" t="str">
        <f ca="1">IFERROR(IF(COUNTIF($B$526:$B736,"&lt;0")=1,"",OFFSET($C735,-COUNTIF($B$526:$B736,"&lt;0")+3,0)),"")</f>
        <v/>
      </c>
      <c r="N737" s="401" t="str">
        <f ca="1">IFERROR(IF(AND(_xlfn.ISFORMULA(I737),NOT(_xlfn.ISFORMULA(I736))),1,OFFSET($F735,-COUNTIF($B$526:B736,"&lt;0")+3,0)),"")</f>
        <v/>
      </c>
      <c r="O737" s="387">
        <f t="shared" ca="1" si="115"/>
        <v>209</v>
      </c>
      <c r="P737" s="387"/>
      <c r="Q737" s="387"/>
      <c r="R737" s="387"/>
      <c r="S737" s="387"/>
      <c r="T737" s="391" t="s">
        <v>2212</v>
      </c>
    </row>
    <row r="738" spans="1:20">
      <c r="A738" s="387" t="b">
        <v>1</v>
      </c>
      <c r="B738" s="387">
        <f t="shared" ca="1" si="112"/>
        <v>-24</v>
      </c>
      <c r="C738" s="401" t="s">
        <v>2900</v>
      </c>
      <c r="D738" s="401" t="s">
        <v>2895</v>
      </c>
      <c r="E738" s="387">
        <f t="shared" ca="1" si="113"/>
        <v>210</v>
      </c>
      <c r="F738" s="402">
        <v>35</v>
      </c>
      <c r="G738" s="391" t="s">
        <v>2192</v>
      </c>
      <c r="H738" s="387" t="str">
        <f t="shared" ca="1" si="114"/>
        <v>row number</v>
      </c>
      <c r="I738" s="389">
        <v>40.654094309999998</v>
      </c>
      <c r="J738" s="392">
        <v>474427</v>
      </c>
      <c r="K738" s="392">
        <v>192874</v>
      </c>
      <c r="L738" s="391"/>
      <c r="M738" s="401" t="str">
        <f ca="1">IFERROR(IF(COUNTIF($B$526:$B737,"&lt;0")=1,"",OFFSET($C736,-COUNTIF($B$526:$B737,"&lt;0")+3,0)),"")</f>
        <v/>
      </c>
      <c r="N738" s="401" t="str">
        <f ca="1">IFERROR(IF(AND(_xlfn.ISFORMULA(I738),NOT(_xlfn.ISFORMULA(I737))),1,OFFSET($F736,-COUNTIF($B$526:B737,"&lt;0")+3,0)),"")</f>
        <v/>
      </c>
      <c r="O738" s="387">
        <f t="shared" ca="1" si="115"/>
        <v>210</v>
      </c>
      <c r="P738" s="387"/>
      <c r="Q738" s="387"/>
      <c r="R738" s="387"/>
      <c r="S738" s="387"/>
      <c r="T738" s="391" t="s">
        <v>2212</v>
      </c>
    </row>
    <row r="739" spans="1:20">
      <c r="A739" s="387" t="b">
        <v>1</v>
      </c>
      <c r="B739" s="387">
        <f t="shared" ca="1" si="112"/>
        <v>-23</v>
      </c>
      <c r="C739" s="401" t="s">
        <v>2901</v>
      </c>
      <c r="D739" s="401" t="s">
        <v>2902</v>
      </c>
      <c r="E739" s="387">
        <f t="shared" ca="1" si="113"/>
        <v>211</v>
      </c>
      <c r="F739" s="402">
        <v>36</v>
      </c>
      <c r="G739" s="391" t="s">
        <v>2192</v>
      </c>
      <c r="H739" s="387" t="str">
        <f t="shared" ca="1" si="114"/>
        <v>row number</v>
      </c>
      <c r="I739" s="389">
        <v>50</v>
      </c>
      <c r="J739" s="392">
        <v>55370</v>
      </c>
      <c r="K739" s="392">
        <v>27685</v>
      </c>
      <c r="L739" s="391"/>
      <c r="M739" s="401" t="str">
        <f ca="1">IFERROR(IF(COUNTIF($B$526:$B738,"&lt;0")=1,"",OFFSET($C737,-COUNTIF($B$526:$B738,"&lt;0")+3,0)),"")</f>
        <v/>
      </c>
      <c r="N739" s="401" t="str">
        <f ca="1">IFERROR(IF(AND(_xlfn.ISFORMULA(I739),NOT(_xlfn.ISFORMULA(I738))),1,OFFSET($F737,-COUNTIF($B$526:B738,"&lt;0")+3,0)),"")</f>
        <v/>
      </c>
      <c r="O739" s="387">
        <f t="shared" ca="1" si="115"/>
        <v>211</v>
      </c>
      <c r="P739" s="387"/>
      <c r="Q739" s="387"/>
      <c r="R739" s="387"/>
      <c r="S739" s="387"/>
      <c r="T739" s="391" t="s">
        <v>2212</v>
      </c>
    </row>
    <row r="740" spans="1:20">
      <c r="A740" s="387" t="b">
        <v>1</v>
      </c>
      <c r="B740" s="387">
        <f t="shared" ca="1" si="112"/>
        <v>-22</v>
      </c>
      <c r="C740" s="401" t="s">
        <v>2903</v>
      </c>
      <c r="D740" s="401" t="s">
        <v>2902</v>
      </c>
      <c r="E740" s="387">
        <f t="shared" ca="1" si="113"/>
        <v>212</v>
      </c>
      <c r="F740" s="402">
        <v>36</v>
      </c>
      <c r="G740" s="391" t="s">
        <v>2192</v>
      </c>
      <c r="H740" s="387" t="str">
        <f t="shared" ca="1" si="114"/>
        <v>row number</v>
      </c>
      <c r="I740" s="389">
        <v>50</v>
      </c>
      <c r="J740" s="392">
        <v>55370</v>
      </c>
      <c r="K740" s="392">
        <v>27685</v>
      </c>
      <c r="L740" s="391"/>
      <c r="M740" s="401" t="str">
        <f ca="1">IFERROR(IF(COUNTIF($B$526:$B739,"&lt;0")=1,"",OFFSET($C738,-COUNTIF($B$526:$B739,"&lt;0")+3,0)),"")</f>
        <v/>
      </c>
      <c r="N740" s="401" t="str">
        <f ca="1">IFERROR(IF(AND(_xlfn.ISFORMULA(I740),NOT(_xlfn.ISFORMULA(I739))),1,OFFSET($F738,-COUNTIF($B$526:B739,"&lt;0")+3,0)),"")</f>
        <v/>
      </c>
      <c r="O740" s="387">
        <f t="shared" ca="1" si="115"/>
        <v>212</v>
      </c>
      <c r="P740" s="387"/>
      <c r="Q740" s="387"/>
      <c r="R740" s="387"/>
      <c r="S740" s="387"/>
      <c r="T740" s="391" t="s">
        <v>2212</v>
      </c>
    </row>
    <row r="741" spans="1:20">
      <c r="A741" s="387" t="b">
        <v>1</v>
      </c>
      <c r="B741" s="387">
        <f t="shared" ca="1" si="112"/>
        <v>-21</v>
      </c>
      <c r="C741" s="401" t="s">
        <v>2904</v>
      </c>
      <c r="D741" s="401" t="s">
        <v>2902</v>
      </c>
      <c r="E741" s="387">
        <f t="shared" ca="1" si="113"/>
        <v>213</v>
      </c>
      <c r="F741" s="402">
        <v>36</v>
      </c>
      <c r="G741" s="391" t="s">
        <v>2192</v>
      </c>
      <c r="H741" s="387" t="str">
        <f t="shared" ca="1" si="114"/>
        <v>row number</v>
      </c>
      <c r="I741" s="389">
        <v>50</v>
      </c>
      <c r="J741" s="392">
        <v>53656</v>
      </c>
      <c r="K741" s="392">
        <v>26828</v>
      </c>
      <c r="L741" s="391"/>
      <c r="M741" s="401" t="str">
        <f ca="1">IFERROR(IF(COUNTIF($B$526:$B740,"&lt;0")=1,"",OFFSET($C739,-COUNTIF($B$526:$B740,"&lt;0")+3,0)),"")</f>
        <v/>
      </c>
      <c r="N741" s="401" t="str">
        <f ca="1">IFERROR(IF(AND(_xlfn.ISFORMULA(I741),NOT(_xlfn.ISFORMULA(I740))),1,OFFSET($F739,-COUNTIF($B$526:B740,"&lt;0")+3,0)),"")</f>
        <v/>
      </c>
      <c r="O741" s="387">
        <f t="shared" ca="1" si="115"/>
        <v>213</v>
      </c>
      <c r="P741" s="387"/>
      <c r="Q741" s="387"/>
      <c r="R741" s="387"/>
      <c r="S741" s="387"/>
      <c r="T741" s="391" t="s">
        <v>2212</v>
      </c>
    </row>
    <row r="742" spans="1:20">
      <c r="A742" s="387" t="b">
        <v>1</v>
      </c>
      <c r="B742" s="387">
        <f t="shared" ca="1" si="112"/>
        <v>-20</v>
      </c>
      <c r="C742" s="401" t="s">
        <v>2905</v>
      </c>
      <c r="D742" s="401" t="s">
        <v>2902</v>
      </c>
      <c r="E742" s="387">
        <f t="shared" ca="1" si="113"/>
        <v>214</v>
      </c>
      <c r="F742" s="402">
        <v>36</v>
      </c>
      <c r="G742" s="391" t="s">
        <v>2192</v>
      </c>
      <c r="H742" s="387" t="str">
        <f t="shared" ca="1" si="114"/>
        <v>row number</v>
      </c>
      <c r="I742" s="389">
        <v>50</v>
      </c>
      <c r="J742" s="392">
        <v>53656</v>
      </c>
      <c r="K742" s="392">
        <v>26828</v>
      </c>
      <c r="L742" s="391"/>
      <c r="M742" s="401" t="str">
        <f ca="1">IFERROR(IF(COUNTIF($B$526:$B741,"&lt;0")=1,"",OFFSET($C740,-COUNTIF($B$526:$B741,"&lt;0")+3,0)),"")</f>
        <v/>
      </c>
      <c r="N742" s="401" t="str">
        <f ca="1">IFERROR(IF(AND(_xlfn.ISFORMULA(I742),NOT(_xlfn.ISFORMULA(I741))),1,OFFSET($F740,-COUNTIF($B$526:B741,"&lt;0")+3,0)),"")</f>
        <v/>
      </c>
      <c r="O742" s="387">
        <f t="shared" ca="1" si="115"/>
        <v>214</v>
      </c>
      <c r="P742" s="387"/>
      <c r="Q742" s="387"/>
      <c r="R742" s="387"/>
      <c r="S742" s="387"/>
      <c r="T742" s="391" t="s">
        <v>2212</v>
      </c>
    </row>
    <row r="743" spans="1:20">
      <c r="A743" s="387" t="b">
        <v>1</v>
      </c>
      <c r="B743" s="387">
        <f t="shared" ca="1" si="112"/>
        <v>-19</v>
      </c>
      <c r="C743" s="401" t="s">
        <v>2906</v>
      </c>
      <c r="D743" s="401" t="s">
        <v>2902</v>
      </c>
      <c r="E743" s="387">
        <f t="shared" ca="1" si="113"/>
        <v>215</v>
      </c>
      <c r="F743" s="402">
        <v>36</v>
      </c>
      <c r="G743" s="391" t="s">
        <v>2192</v>
      </c>
      <c r="H743" s="387" t="str">
        <f t="shared" ca="1" si="114"/>
        <v>row number</v>
      </c>
      <c r="I743" s="389">
        <v>50</v>
      </c>
      <c r="J743" s="392">
        <v>51664</v>
      </c>
      <c r="K743" s="392">
        <v>25832</v>
      </c>
      <c r="L743" s="391"/>
      <c r="M743" s="401" t="str">
        <f ca="1">IFERROR(IF(COUNTIF($B$526:$B742,"&lt;0")=1,"",OFFSET($C741,-COUNTIF($B$526:$B742,"&lt;0")+3,0)),"")</f>
        <v/>
      </c>
      <c r="N743" s="401" t="str">
        <f ca="1">IFERROR(IF(AND(_xlfn.ISFORMULA(I743),NOT(_xlfn.ISFORMULA(I742))),1,OFFSET($F741,-COUNTIF($B$526:B742,"&lt;0")+3,0)),"")</f>
        <v/>
      </c>
      <c r="O743" s="387">
        <f t="shared" ca="1" si="115"/>
        <v>215</v>
      </c>
      <c r="P743" s="387"/>
      <c r="Q743" s="387"/>
      <c r="R743" s="387"/>
      <c r="S743" s="387"/>
      <c r="T743" s="391" t="s">
        <v>2212</v>
      </c>
    </row>
    <row r="744" spans="1:20">
      <c r="A744" s="387" t="b">
        <v>1</v>
      </c>
      <c r="B744" s="387">
        <f t="shared" ca="1" si="112"/>
        <v>-18</v>
      </c>
      <c r="C744" s="401" t="s">
        <v>2907</v>
      </c>
      <c r="D744" s="401" t="s">
        <v>2902</v>
      </c>
      <c r="E744" s="387">
        <f t="shared" ca="1" si="113"/>
        <v>216</v>
      </c>
      <c r="F744" s="402">
        <v>36</v>
      </c>
      <c r="G744" s="391" t="s">
        <v>2192</v>
      </c>
      <c r="H744" s="387" t="str">
        <f t="shared" ca="1" si="114"/>
        <v>row number</v>
      </c>
      <c r="I744" s="389">
        <v>50</v>
      </c>
      <c r="J744" s="392">
        <v>51664</v>
      </c>
      <c r="K744" s="392">
        <v>25832</v>
      </c>
      <c r="L744" s="391"/>
      <c r="M744" s="401" t="str">
        <f ca="1">IFERROR(IF(COUNTIF($B$526:$B743,"&lt;0")=1,"",OFFSET($C742,-COUNTIF($B$526:$B743,"&lt;0")+3,0)),"")</f>
        <v/>
      </c>
      <c r="N744" s="401" t="str">
        <f ca="1">IFERROR(IF(AND(_xlfn.ISFORMULA(I744),NOT(_xlfn.ISFORMULA(I743))),1,OFFSET($F742,-COUNTIF($B$526:B743,"&lt;0")+3,0)),"")</f>
        <v/>
      </c>
      <c r="O744" s="387">
        <f t="shared" ca="1" si="115"/>
        <v>216</v>
      </c>
      <c r="P744" s="387"/>
      <c r="Q744" s="387"/>
      <c r="R744" s="387"/>
      <c r="S744" s="387"/>
      <c r="T744" s="391" t="s">
        <v>2212</v>
      </c>
    </row>
    <row r="745" spans="1:20">
      <c r="A745" s="387" t="b">
        <v>1</v>
      </c>
      <c r="B745" s="387">
        <f t="shared" ca="1" si="112"/>
        <v>-17</v>
      </c>
      <c r="C745" s="401" t="s">
        <v>2908</v>
      </c>
      <c r="D745" s="401" t="s">
        <v>2909</v>
      </c>
      <c r="E745" s="387">
        <f t="shared" ca="1" si="113"/>
        <v>217</v>
      </c>
      <c r="F745" s="402">
        <v>37</v>
      </c>
      <c r="G745" s="391" t="s">
        <v>2192</v>
      </c>
      <c r="H745" s="387" t="str">
        <f t="shared" ca="1" si="114"/>
        <v>row number</v>
      </c>
      <c r="I745" s="389">
        <v>50</v>
      </c>
      <c r="J745" s="392">
        <v>35538</v>
      </c>
      <c r="K745" s="392">
        <v>17769</v>
      </c>
      <c r="L745" s="391"/>
      <c r="M745" s="401" t="str">
        <f ca="1">IFERROR(IF(COUNTIF($B$526:$B744,"&lt;0")=1,"",OFFSET($C743,-COUNTIF($B$526:$B744,"&lt;0")+3,0)),"")</f>
        <v/>
      </c>
      <c r="N745" s="401" t="str">
        <f ca="1">IFERROR(IF(AND(_xlfn.ISFORMULA(I745),NOT(_xlfn.ISFORMULA(I744))),1,OFFSET($F743,-COUNTIF($B$526:B744,"&lt;0")+3,0)),"")</f>
        <v/>
      </c>
      <c r="O745" s="387">
        <f t="shared" ca="1" si="115"/>
        <v>217</v>
      </c>
      <c r="P745" s="387"/>
      <c r="Q745" s="387"/>
      <c r="R745" s="387"/>
      <c r="S745" s="387"/>
      <c r="T745" s="391" t="s">
        <v>2212</v>
      </c>
    </row>
    <row r="746" spans="1:20">
      <c r="A746" s="387" t="b">
        <v>1</v>
      </c>
      <c r="B746" s="387">
        <f t="shared" ca="1" si="112"/>
        <v>-16</v>
      </c>
      <c r="C746" s="401" t="s">
        <v>2910</v>
      </c>
      <c r="D746" s="401" t="s">
        <v>2909</v>
      </c>
      <c r="E746" s="387">
        <f t="shared" ca="1" si="113"/>
        <v>218</v>
      </c>
      <c r="F746" s="402">
        <v>37</v>
      </c>
      <c r="G746" s="391" t="s">
        <v>2192</v>
      </c>
      <c r="H746" s="387" t="str">
        <f t="shared" ca="1" si="114"/>
        <v>row number</v>
      </c>
      <c r="I746" s="389">
        <v>50</v>
      </c>
      <c r="J746" s="392">
        <v>35538</v>
      </c>
      <c r="K746" s="392">
        <v>17769</v>
      </c>
      <c r="L746" s="391"/>
      <c r="M746" s="401" t="str">
        <f ca="1">IFERROR(IF(COUNTIF($B$526:$B745,"&lt;0")=1,"",OFFSET($C744,-COUNTIF($B$526:$B745,"&lt;0")+3,0)),"")</f>
        <v/>
      </c>
      <c r="N746" s="401" t="str">
        <f ca="1">IFERROR(IF(AND(_xlfn.ISFORMULA(I746),NOT(_xlfn.ISFORMULA(I745))),1,OFFSET($F744,-COUNTIF($B$526:B745,"&lt;0")+3,0)),"")</f>
        <v/>
      </c>
      <c r="O746" s="387">
        <f t="shared" ca="1" si="115"/>
        <v>218</v>
      </c>
      <c r="P746" s="387"/>
      <c r="Q746" s="387"/>
      <c r="R746" s="387"/>
      <c r="S746" s="387"/>
      <c r="T746" s="391" t="s">
        <v>2212</v>
      </c>
    </row>
    <row r="747" spans="1:20">
      <c r="A747" s="387" t="b">
        <v>1</v>
      </c>
      <c r="B747" s="387">
        <f t="shared" ca="1" si="112"/>
        <v>-15</v>
      </c>
      <c r="C747" s="401" t="s">
        <v>2911</v>
      </c>
      <c r="D747" s="401" t="s">
        <v>2909</v>
      </c>
      <c r="E747" s="387">
        <f t="shared" ca="1" si="113"/>
        <v>219</v>
      </c>
      <c r="F747" s="402">
        <v>37</v>
      </c>
      <c r="G747" s="391" t="s">
        <v>2192</v>
      </c>
      <c r="H747" s="387" t="str">
        <f t="shared" ca="1" si="114"/>
        <v>row number</v>
      </c>
      <c r="I747" s="389">
        <v>50</v>
      </c>
      <c r="J747" s="392">
        <v>36251</v>
      </c>
      <c r="K747" s="392">
        <v>18125.5</v>
      </c>
      <c r="L747" s="391"/>
      <c r="M747" s="401" t="str">
        <f ca="1">IFERROR(IF(COUNTIF($B$526:$B746,"&lt;0")=1,"",OFFSET($C745,-COUNTIF($B$526:$B746,"&lt;0")+3,0)),"")</f>
        <v/>
      </c>
      <c r="N747" s="401" t="str">
        <f ca="1">IFERROR(IF(AND(_xlfn.ISFORMULA(I747),NOT(_xlfn.ISFORMULA(I746))),1,OFFSET($F745,-COUNTIF($B$526:B746,"&lt;0")+3,0)),"")</f>
        <v/>
      </c>
      <c r="O747" s="387">
        <f t="shared" ca="1" si="115"/>
        <v>219</v>
      </c>
      <c r="P747" s="387"/>
      <c r="Q747" s="387"/>
      <c r="R747" s="387"/>
      <c r="S747" s="387"/>
      <c r="T747" s="391" t="s">
        <v>2212</v>
      </c>
    </row>
    <row r="748" spans="1:20">
      <c r="A748" s="387" t="b">
        <v>1</v>
      </c>
      <c r="B748" s="387">
        <f t="shared" ca="1" si="112"/>
        <v>-14</v>
      </c>
      <c r="C748" s="401" t="s">
        <v>2912</v>
      </c>
      <c r="D748" s="401" t="s">
        <v>2909</v>
      </c>
      <c r="E748" s="387">
        <f t="shared" ca="1" si="113"/>
        <v>220</v>
      </c>
      <c r="F748" s="402">
        <v>37</v>
      </c>
      <c r="G748" s="391" t="s">
        <v>2192</v>
      </c>
      <c r="H748" s="387" t="str">
        <f t="shared" ca="1" si="114"/>
        <v>row number</v>
      </c>
      <c r="I748" s="389">
        <v>50</v>
      </c>
      <c r="J748" s="392">
        <v>36251</v>
      </c>
      <c r="K748" s="392">
        <v>18125.5</v>
      </c>
      <c r="L748" s="391"/>
      <c r="M748" s="401" t="str">
        <f ca="1">IFERROR(IF(COUNTIF($B$526:$B747,"&lt;0")=1,"",OFFSET($C746,-COUNTIF($B$526:$B747,"&lt;0")+3,0)),"")</f>
        <v/>
      </c>
      <c r="N748" s="401" t="str">
        <f ca="1">IFERROR(IF(AND(_xlfn.ISFORMULA(I748),NOT(_xlfn.ISFORMULA(I747))),1,OFFSET($F746,-COUNTIF($B$526:B747,"&lt;0")+3,0)),"")</f>
        <v/>
      </c>
      <c r="O748" s="387">
        <f t="shared" ca="1" si="115"/>
        <v>220</v>
      </c>
      <c r="P748" s="387"/>
      <c r="Q748" s="387"/>
      <c r="R748" s="387"/>
      <c r="S748" s="387"/>
      <c r="T748" s="391" t="s">
        <v>2212</v>
      </c>
    </row>
    <row r="749" spans="1:20">
      <c r="A749" s="387" t="b">
        <v>1</v>
      </c>
      <c r="B749" s="387">
        <f t="shared" ca="1" si="112"/>
        <v>-13</v>
      </c>
      <c r="C749" s="401" t="s">
        <v>2913</v>
      </c>
      <c r="D749" s="401" t="s">
        <v>2909</v>
      </c>
      <c r="E749" s="387">
        <f t="shared" ca="1" si="113"/>
        <v>221</v>
      </c>
      <c r="F749" s="402">
        <v>37</v>
      </c>
      <c r="G749" s="391" t="s">
        <v>2192</v>
      </c>
      <c r="H749" s="387" t="str">
        <f t="shared" ca="1" si="114"/>
        <v>row number</v>
      </c>
      <c r="I749" s="389">
        <v>50</v>
      </c>
      <c r="J749" s="392">
        <v>34905</v>
      </c>
      <c r="K749" s="392">
        <v>17452.5</v>
      </c>
      <c r="L749" s="391"/>
      <c r="M749" s="401" t="str">
        <f ca="1">IFERROR(IF(COUNTIF($B$526:$B748,"&lt;0")=1,"",OFFSET($C747,-COUNTIF($B$526:$B748,"&lt;0")+3,0)),"")</f>
        <v/>
      </c>
      <c r="N749" s="401" t="str">
        <f ca="1">IFERROR(IF(AND(_xlfn.ISFORMULA(I749),NOT(_xlfn.ISFORMULA(I748))),1,OFFSET($F747,-COUNTIF($B$526:B748,"&lt;0")+3,0)),"")</f>
        <v/>
      </c>
      <c r="O749" s="387">
        <f t="shared" ca="1" si="115"/>
        <v>221</v>
      </c>
      <c r="P749" s="387"/>
      <c r="Q749" s="387"/>
      <c r="R749" s="387"/>
      <c r="S749" s="387"/>
      <c r="T749" s="391" t="s">
        <v>2212</v>
      </c>
    </row>
    <row r="750" spans="1:20">
      <c r="A750" s="387" t="b">
        <v>1</v>
      </c>
      <c r="B750" s="387">
        <f t="shared" ca="1" si="112"/>
        <v>-12</v>
      </c>
      <c r="C750" s="401" t="s">
        <v>2914</v>
      </c>
      <c r="D750" s="401" t="s">
        <v>2909</v>
      </c>
      <c r="E750" s="387">
        <f t="shared" ca="1" si="113"/>
        <v>222</v>
      </c>
      <c r="F750" s="402">
        <v>37</v>
      </c>
      <c r="G750" s="391" t="s">
        <v>2192</v>
      </c>
      <c r="H750" s="387" t="str">
        <f t="shared" ca="1" si="114"/>
        <v>row number</v>
      </c>
      <c r="I750" s="389">
        <v>50</v>
      </c>
      <c r="J750" s="392">
        <v>34905</v>
      </c>
      <c r="K750" s="392">
        <v>17452.5</v>
      </c>
      <c r="L750" s="391"/>
      <c r="M750" s="401" t="str">
        <f ca="1">IFERROR(IF(COUNTIF($B$526:$B749,"&lt;0")=1,"",OFFSET($C748,-COUNTIF($B$526:$B749,"&lt;0")+3,0)),"")</f>
        <v/>
      </c>
      <c r="N750" s="401" t="str">
        <f ca="1">IFERROR(IF(AND(_xlfn.ISFORMULA(I750),NOT(_xlfn.ISFORMULA(I749))),1,OFFSET($F748,-COUNTIF($B$526:B749,"&lt;0")+3,0)),"")</f>
        <v/>
      </c>
      <c r="O750" s="387">
        <f t="shared" ca="1" si="115"/>
        <v>222</v>
      </c>
      <c r="P750" s="387"/>
      <c r="Q750" s="387"/>
      <c r="R750" s="387"/>
      <c r="S750" s="387"/>
      <c r="T750" s="391" t="s">
        <v>2212</v>
      </c>
    </row>
    <row r="751" spans="1:20">
      <c r="A751" s="387" t="b">
        <v>1</v>
      </c>
      <c r="B751" s="387">
        <f t="shared" ca="1" si="112"/>
        <v>-11</v>
      </c>
      <c r="C751" s="401" t="s">
        <v>2915</v>
      </c>
      <c r="D751" s="401" t="s">
        <v>2916</v>
      </c>
      <c r="E751" s="387">
        <f t="shared" ca="1" si="113"/>
        <v>223</v>
      </c>
      <c r="F751" s="402">
        <v>38</v>
      </c>
      <c r="G751" s="391" t="s">
        <v>2192</v>
      </c>
      <c r="H751" s="387" t="str">
        <f t="shared" ca="1" si="114"/>
        <v>row number</v>
      </c>
      <c r="I751" s="389">
        <v>98.502937270000004</v>
      </c>
      <c r="J751" s="392">
        <v>5277</v>
      </c>
      <c r="K751" s="392">
        <v>5198</v>
      </c>
      <c r="L751" s="391"/>
      <c r="M751" s="401" t="str">
        <f ca="1">IFERROR(IF(COUNTIF($B$526:$B750,"&lt;0")=1,"",OFFSET($C749,-COUNTIF($B$526:$B750,"&lt;0")+3,0)),"")</f>
        <v/>
      </c>
      <c r="N751" s="401" t="str">
        <f ca="1">IFERROR(IF(AND(_xlfn.ISFORMULA(I751),NOT(_xlfn.ISFORMULA(I750))),1,OFFSET($F749,-COUNTIF($B$526:B750,"&lt;0")+3,0)),"")</f>
        <v/>
      </c>
      <c r="O751" s="387">
        <f t="shared" ca="1" si="115"/>
        <v>223</v>
      </c>
      <c r="P751" s="387"/>
      <c r="Q751" s="387"/>
      <c r="R751" s="387"/>
      <c r="S751" s="387"/>
      <c r="T751" s="391" t="s">
        <v>2212</v>
      </c>
    </row>
    <row r="752" spans="1:20">
      <c r="A752" s="387" t="b">
        <v>1</v>
      </c>
      <c r="B752" s="387">
        <f t="shared" ca="1" si="112"/>
        <v>-10</v>
      </c>
      <c r="C752" s="401" t="s">
        <v>2917</v>
      </c>
      <c r="D752" s="401" t="s">
        <v>2916</v>
      </c>
      <c r="E752" s="387">
        <f t="shared" ca="1" si="113"/>
        <v>224</v>
      </c>
      <c r="F752" s="402">
        <v>38</v>
      </c>
      <c r="G752" s="391" t="s">
        <v>2192</v>
      </c>
      <c r="H752" s="387" t="str">
        <f t="shared" ca="1" si="114"/>
        <v>row number</v>
      </c>
      <c r="I752" s="389">
        <v>98.502937270000004</v>
      </c>
      <c r="J752" s="392">
        <v>5277</v>
      </c>
      <c r="K752" s="392">
        <v>5198</v>
      </c>
      <c r="L752" s="391"/>
      <c r="M752" s="401" t="str">
        <f ca="1">IFERROR(IF(COUNTIF($B$526:$B751,"&lt;0")=1,"",OFFSET($C750,-COUNTIF($B$526:$B751,"&lt;0")+3,0)),"")</f>
        <v/>
      </c>
      <c r="N752" s="401" t="str">
        <f ca="1">IFERROR(IF(AND(_xlfn.ISFORMULA(I752),NOT(_xlfn.ISFORMULA(I751))),1,OFFSET($F750,-COUNTIF($B$526:B751,"&lt;0")+3,0)),"")</f>
        <v/>
      </c>
      <c r="O752" s="387">
        <f t="shared" ca="1" si="115"/>
        <v>224</v>
      </c>
      <c r="P752" s="387"/>
      <c r="Q752" s="387"/>
      <c r="R752" s="387"/>
      <c r="S752" s="387"/>
      <c r="T752" s="391" t="s">
        <v>2212</v>
      </c>
    </row>
    <row r="753" spans="1:20">
      <c r="A753" s="387" t="b">
        <v>1</v>
      </c>
      <c r="B753" s="387">
        <f t="shared" ca="1" si="112"/>
        <v>-9</v>
      </c>
      <c r="C753" s="401" t="s">
        <v>2918</v>
      </c>
      <c r="D753" s="401" t="s">
        <v>2916</v>
      </c>
      <c r="E753" s="387">
        <f t="shared" ca="1" si="113"/>
        <v>225</v>
      </c>
      <c r="F753" s="402">
        <v>38</v>
      </c>
      <c r="G753" s="391" t="s">
        <v>2192</v>
      </c>
      <c r="H753" s="387" t="str">
        <f t="shared" ca="1" si="114"/>
        <v>row number</v>
      </c>
      <c r="I753" s="389">
        <v>98.597688079999998</v>
      </c>
      <c r="J753" s="392">
        <v>5277</v>
      </c>
      <c r="K753" s="392">
        <v>5203</v>
      </c>
      <c r="L753" s="391"/>
      <c r="M753" s="401" t="str">
        <f ca="1">IFERROR(IF(COUNTIF($B$526:$B752,"&lt;0")=1,"",OFFSET($C751,-COUNTIF($B$526:$B752,"&lt;0")+3,0)),"")</f>
        <v/>
      </c>
      <c r="N753" s="401" t="str">
        <f ca="1">IFERROR(IF(AND(_xlfn.ISFORMULA(I753),NOT(_xlfn.ISFORMULA(I752))),1,OFFSET($F751,-COUNTIF($B$526:B752,"&lt;0")+3,0)),"")</f>
        <v/>
      </c>
      <c r="O753" s="387">
        <f t="shared" ca="1" si="115"/>
        <v>225</v>
      </c>
      <c r="P753" s="387"/>
      <c r="Q753" s="387"/>
      <c r="R753" s="387"/>
      <c r="S753" s="387"/>
      <c r="T753" s="391" t="s">
        <v>2212</v>
      </c>
    </row>
    <row r="754" spans="1:20">
      <c r="A754" s="387" t="b">
        <v>1</v>
      </c>
      <c r="B754" s="387">
        <f t="shared" ca="1" si="112"/>
        <v>-8</v>
      </c>
      <c r="C754" s="401" t="s">
        <v>2919</v>
      </c>
      <c r="D754" s="401" t="s">
        <v>2916</v>
      </c>
      <c r="E754" s="387">
        <f t="shared" ca="1" si="113"/>
        <v>226</v>
      </c>
      <c r="F754" s="402">
        <v>38</v>
      </c>
      <c r="G754" s="391" t="s">
        <v>2192</v>
      </c>
      <c r="H754" s="387" t="str">
        <f t="shared" ca="1" si="114"/>
        <v>row number</v>
      </c>
      <c r="I754" s="389">
        <v>98.597688079999998</v>
      </c>
      <c r="J754" s="392">
        <v>5277</v>
      </c>
      <c r="K754" s="392">
        <v>5203</v>
      </c>
      <c r="L754" s="391"/>
      <c r="M754" s="401" t="str">
        <f ca="1">IFERROR(IF(COUNTIF($B$526:$B753,"&lt;0")=1,"",OFFSET($C752,-COUNTIF($B$526:$B753,"&lt;0")+3,0)),"")</f>
        <v/>
      </c>
      <c r="N754" s="401" t="str">
        <f ca="1">IFERROR(IF(AND(_xlfn.ISFORMULA(I754),NOT(_xlfn.ISFORMULA(I753))),1,OFFSET($F752,-COUNTIF($B$526:B753,"&lt;0")+3,0)),"")</f>
        <v/>
      </c>
      <c r="O754" s="387">
        <f t="shared" ca="1" si="115"/>
        <v>226</v>
      </c>
      <c r="P754" s="387"/>
      <c r="Q754" s="387"/>
      <c r="R754" s="387"/>
      <c r="S754" s="387"/>
      <c r="T754" s="391" t="s">
        <v>2212</v>
      </c>
    </row>
    <row r="755" spans="1:20">
      <c r="A755" s="387" t="b">
        <v>1</v>
      </c>
      <c r="B755" s="387">
        <f t="shared" ca="1" si="112"/>
        <v>-7</v>
      </c>
      <c r="C755" s="401" t="s">
        <v>2920</v>
      </c>
      <c r="D755" s="401" t="s">
        <v>2916</v>
      </c>
      <c r="E755" s="387">
        <f t="shared" ca="1" si="113"/>
        <v>227</v>
      </c>
      <c r="F755" s="402">
        <v>38</v>
      </c>
      <c r="G755" s="391" t="s">
        <v>2192</v>
      </c>
      <c r="H755" s="387" t="str">
        <f t="shared" ca="1" si="114"/>
        <v>row number</v>
      </c>
      <c r="I755" s="389">
        <v>98.711389049999994</v>
      </c>
      <c r="J755" s="392">
        <v>5277</v>
      </c>
      <c r="K755" s="392">
        <v>5209</v>
      </c>
      <c r="L755" s="391"/>
      <c r="M755" s="401" t="str">
        <f ca="1">IFERROR(IF(COUNTIF($B$526:$B754,"&lt;0")=1,"",OFFSET($C753,-COUNTIF($B$526:$B754,"&lt;0")+3,0)),"")</f>
        <v/>
      </c>
      <c r="N755" s="401" t="str">
        <f ca="1">IFERROR(IF(AND(_xlfn.ISFORMULA(I755),NOT(_xlfn.ISFORMULA(I754))),1,OFFSET($F753,-COUNTIF($B$526:B754,"&lt;0")+3,0)),"")</f>
        <v/>
      </c>
      <c r="O755" s="387">
        <f t="shared" ca="1" si="115"/>
        <v>227</v>
      </c>
      <c r="P755" s="387"/>
      <c r="Q755" s="387"/>
      <c r="R755" s="387"/>
      <c r="S755" s="387"/>
      <c r="T755" s="391" t="s">
        <v>2212</v>
      </c>
    </row>
    <row r="756" spans="1:20">
      <c r="A756" s="387" t="b">
        <v>1</v>
      </c>
      <c r="B756" s="387">
        <f t="shared" ca="1" si="112"/>
        <v>-6</v>
      </c>
      <c r="C756" s="401" t="s">
        <v>2921</v>
      </c>
      <c r="D756" s="401" t="s">
        <v>2916</v>
      </c>
      <c r="E756" s="387">
        <f t="shared" ca="1" si="113"/>
        <v>228</v>
      </c>
      <c r="F756" s="402">
        <v>38</v>
      </c>
      <c r="G756" s="391" t="s">
        <v>2192</v>
      </c>
      <c r="H756" s="387" t="str">
        <f t="shared" ca="1" si="114"/>
        <v>row number</v>
      </c>
      <c r="I756" s="389">
        <v>98.711389049999994</v>
      </c>
      <c r="J756" s="392">
        <v>5277</v>
      </c>
      <c r="K756" s="392">
        <v>5209</v>
      </c>
      <c r="L756" s="391"/>
      <c r="M756" s="401" t="str">
        <f ca="1">IFERROR(IF(COUNTIF($B$526:$B755,"&lt;0")=1,"",OFFSET($C754,-COUNTIF($B$526:$B755,"&lt;0")+3,0)),"")</f>
        <v/>
      </c>
      <c r="N756" s="401" t="str">
        <f ca="1">IFERROR(IF(AND(_xlfn.ISFORMULA(I756),NOT(_xlfn.ISFORMULA(I755))),1,OFFSET($F754,-COUNTIF($B$526:B755,"&lt;0")+3,0)),"")</f>
        <v/>
      </c>
      <c r="O756" s="387">
        <f t="shared" ca="1" si="115"/>
        <v>228</v>
      </c>
      <c r="P756" s="387"/>
      <c r="Q756" s="387"/>
      <c r="R756" s="387"/>
      <c r="S756" s="387"/>
      <c r="T756" s="391" t="s">
        <v>2212</v>
      </c>
    </row>
    <row r="757" spans="1:20">
      <c r="A757" s="387" t="b">
        <v>1</v>
      </c>
      <c r="B757" s="387">
        <f t="shared" ca="1" si="112"/>
        <v>-5</v>
      </c>
      <c r="C757" s="401" t="s">
        <v>2922</v>
      </c>
      <c r="D757" s="401" t="s">
        <v>2923</v>
      </c>
      <c r="E757" s="387">
        <f t="shared" ca="1" si="113"/>
        <v>229</v>
      </c>
      <c r="F757" s="402">
        <v>39</v>
      </c>
      <c r="G757" s="391" t="s">
        <v>2192</v>
      </c>
      <c r="H757" s="387" t="str">
        <f t="shared" ca="1" si="114"/>
        <v>row number</v>
      </c>
      <c r="I757" s="389">
        <v>90.998673490000002</v>
      </c>
      <c r="J757" s="392">
        <v>5277</v>
      </c>
      <c r="K757" s="392">
        <v>4802</v>
      </c>
      <c r="L757" s="391"/>
      <c r="M757" s="401" t="str">
        <f ca="1">IFERROR(IF(COUNTIF($B$526:$B756,"&lt;0")=1,"",OFFSET($C755,-COUNTIF($B$526:$B756,"&lt;0")+3,0)),"")</f>
        <v/>
      </c>
      <c r="N757" s="401" t="str">
        <f ca="1">IFERROR(IF(AND(_xlfn.ISFORMULA(I757),NOT(_xlfn.ISFORMULA(I756))),1,OFFSET($F755,-COUNTIF($B$526:B756,"&lt;0")+3,0)),"")</f>
        <v/>
      </c>
      <c r="O757" s="387">
        <f t="shared" ca="1" si="115"/>
        <v>229</v>
      </c>
      <c r="P757" s="387"/>
      <c r="Q757" s="387"/>
      <c r="R757" s="387"/>
      <c r="S757" s="387"/>
      <c r="T757" s="391" t="s">
        <v>2212</v>
      </c>
    </row>
    <row r="758" spans="1:20">
      <c r="A758" s="387" t="b">
        <v>1</v>
      </c>
      <c r="B758" s="387">
        <f t="shared" ca="1" si="112"/>
        <v>-4</v>
      </c>
      <c r="C758" s="401" t="s">
        <v>2924</v>
      </c>
      <c r="D758" s="401" t="s">
        <v>2923</v>
      </c>
      <c r="E758" s="387">
        <f t="shared" ca="1" si="113"/>
        <v>230</v>
      </c>
      <c r="F758" s="402">
        <v>39</v>
      </c>
      <c r="G758" s="391" t="s">
        <v>2192</v>
      </c>
      <c r="H758" s="387" t="str">
        <f t="shared" ca="1" si="114"/>
        <v>row number</v>
      </c>
      <c r="I758" s="389">
        <v>90.998673490000002</v>
      </c>
      <c r="J758" s="392">
        <v>5277</v>
      </c>
      <c r="K758" s="392">
        <v>4802</v>
      </c>
      <c r="L758" s="391"/>
      <c r="M758" s="401" t="str">
        <f ca="1">IFERROR(IF(COUNTIF($B$526:$B757,"&lt;0")=1,"",OFFSET($C756,-COUNTIF($B$526:$B757,"&lt;0")+3,0)),"")</f>
        <v/>
      </c>
      <c r="N758" s="401" t="str">
        <f ca="1">IFERROR(IF(AND(_xlfn.ISFORMULA(I758),NOT(_xlfn.ISFORMULA(I757))),1,OFFSET($F756,-COUNTIF($B$526:B757,"&lt;0")+3,0)),"")</f>
        <v/>
      </c>
      <c r="O758" s="387">
        <f t="shared" ca="1" si="115"/>
        <v>230</v>
      </c>
      <c r="P758" s="387"/>
      <c r="Q758" s="387"/>
      <c r="R758" s="387"/>
      <c r="S758" s="387"/>
      <c r="T758" s="391" t="s">
        <v>2212</v>
      </c>
    </row>
    <row r="759" spans="1:20">
      <c r="A759" s="387" t="b">
        <v>1</v>
      </c>
      <c r="B759" s="387">
        <f t="shared" ca="1" si="112"/>
        <v>-3</v>
      </c>
      <c r="C759" s="401" t="s">
        <v>2925</v>
      </c>
      <c r="D759" s="401" t="s">
        <v>2923</v>
      </c>
      <c r="E759" s="387">
        <f t="shared" ca="1" si="113"/>
        <v>231</v>
      </c>
      <c r="F759" s="402">
        <v>39</v>
      </c>
      <c r="G759" s="391" t="s">
        <v>2192</v>
      </c>
      <c r="H759" s="387" t="str">
        <f t="shared" ca="1" si="114"/>
        <v>row number</v>
      </c>
      <c r="I759" s="389">
        <v>91.491377679999999</v>
      </c>
      <c r="J759" s="392">
        <v>5277</v>
      </c>
      <c r="K759" s="392">
        <v>4828</v>
      </c>
      <c r="L759" s="391"/>
      <c r="M759" s="401" t="str">
        <f ca="1">IFERROR(IF(COUNTIF($B$526:$B758,"&lt;0")=1,"",OFFSET($C757,-COUNTIF($B$526:$B758,"&lt;0")+3,0)),"")</f>
        <v/>
      </c>
      <c r="N759" s="401" t="str">
        <f ca="1">IFERROR(IF(AND(_xlfn.ISFORMULA(I759),NOT(_xlfn.ISFORMULA(I758))),1,OFFSET($F757,-COUNTIF($B$526:B758,"&lt;0")+3,0)),"")</f>
        <v/>
      </c>
      <c r="O759" s="387">
        <f t="shared" ca="1" si="115"/>
        <v>231</v>
      </c>
      <c r="P759" s="387"/>
      <c r="Q759" s="387"/>
      <c r="R759" s="387"/>
      <c r="S759" s="387"/>
      <c r="T759" s="391" t="s">
        <v>2212</v>
      </c>
    </row>
    <row r="760" spans="1:20">
      <c r="A760" s="387" t="b">
        <v>1</v>
      </c>
      <c r="B760" s="387">
        <f t="shared" ca="1" si="112"/>
        <v>-2</v>
      </c>
      <c r="C760" s="401" t="s">
        <v>2926</v>
      </c>
      <c r="D760" s="401" t="s">
        <v>2923</v>
      </c>
      <c r="E760" s="387">
        <f t="shared" ca="1" si="113"/>
        <v>232</v>
      </c>
      <c r="F760" s="402">
        <v>39</v>
      </c>
      <c r="G760" s="391" t="s">
        <v>2192</v>
      </c>
      <c r="H760" s="387" t="str">
        <f t="shared" ca="1" si="114"/>
        <v>row number</v>
      </c>
      <c r="I760" s="389">
        <v>91.491377679999999</v>
      </c>
      <c r="J760" s="392">
        <v>5277</v>
      </c>
      <c r="K760" s="392">
        <v>4828</v>
      </c>
      <c r="L760" s="391"/>
      <c r="M760" s="401" t="str">
        <f ca="1">IFERROR(IF(COUNTIF($B$526:$B759,"&lt;0")=1,"",OFFSET($C758,-COUNTIF($B$526:$B759,"&lt;0")+3,0)),"")</f>
        <v/>
      </c>
      <c r="N760" s="401" t="str">
        <f ca="1">IFERROR(IF(AND(_xlfn.ISFORMULA(I760),NOT(_xlfn.ISFORMULA(I759))),1,OFFSET($F758,-COUNTIF($B$526:B759,"&lt;0")+3,0)),"")</f>
        <v/>
      </c>
      <c r="O760" s="387">
        <f t="shared" ca="1" si="115"/>
        <v>232</v>
      </c>
      <c r="P760" s="387"/>
      <c r="Q760" s="387"/>
      <c r="R760" s="387"/>
      <c r="S760" s="387"/>
      <c r="T760" s="391" t="s">
        <v>2212</v>
      </c>
    </row>
    <row r="761" spans="1:20">
      <c r="A761" s="387" t="b">
        <v>1</v>
      </c>
      <c r="B761" s="387">
        <f t="shared" ca="1" si="112"/>
        <v>-1</v>
      </c>
      <c r="C761" s="401" t="s">
        <v>2927</v>
      </c>
      <c r="D761" s="401" t="s">
        <v>2923</v>
      </c>
      <c r="E761" s="387">
        <f t="shared" ca="1" si="113"/>
        <v>233</v>
      </c>
      <c r="F761" s="402">
        <v>39</v>
      </c>
      <c r="G761" s="391" t="s">
        <v>2192</v>
      </c>
      <c r="H761" s="387" t="str">
        <f t="shared" ca="1" si="114"/>
        <v>row number</v>
      </c>
      <c r="I761" s="389">
        <v>91.927231379999995</v>
      </c>
      <c r="J761" s="392">
        <v>5277</v>
      </c>
      <c r="K761" s="392">
        <v>4851</v>
      </c>
      <c r="L761" s="391"/>
      <c r="M761" s="401" t="str">
        <f ca="1">IFERROR(IF(COUNTIF($B$526:$B760,"&lt;0")=1,"",OFFSET($C759,-COUNTIF($B$526:$B760,"&lt;0")+3,0)),"")</f>
        <v/>
      </c>
      <c r="N761" s="401" t="str">
        <f ca="1">IFERROR(IF(AND(_xlfn.ISFORMULA(I761),NOT(_xlfn.ISFORMULA(I760))),1,OFFSET($F759,-COUNTIF($B$526:B760,"&lt;0")+3,0)),"")</f>
        <v/>
      </c>
      <c r="O761" s="387">
        <f t="shared" ca="1" si="115"/>
        <v>233</v>
      </c>
      <c r="P761" s="387"/>
      <c r="Q761" s="387"/>
      <c r="R761" s="387"/>
      <c r="S761" s="387"/>
      <c r="T761" s="391" t="s">
        <v>2212</v>
      </c>
    </row>
    <row r="762" spans="1:20">
      <c r="A762" s="387" t="b">
        <v>1</v>
      </c>
      <c r="B762" s="387">
        <f t="shared" ca="1" si="112"/>
        <v>0</v>
      </c>
      <c r="C762" s="401" t="s">
        <v>2928</v>
      </c>
      <c r="D762" s="401" t="s">
        <v>2923</v>
      </c>
      <c r="E762" s="387">
        <f t="shared" ca="1" si="113"/>
        <v>234</v>
      </c>
      <c r="F762" s="402">
        <v>39</v>
      </c>
      <c r="G762" s="391" t="s">
        <v>2192</v>
      </c>
      <c r="H762" s="387" t="str">
        <f t="shared" ca="1" si="114"/>
        <v>row number</v>
      </c>
      <c r="I762" s="389">
        <v>91.927231379999995</v>
      </c>
      <c r="J762" s="392">
        <v>5277</v>
      </c>
      <c r="K762" s="392">
        <v>4851</v>
      </c>
      <c r="L762" s="391"/>
      <c r="M762" s="401" t="str">
        <f ca="1">IFERROR(IF(COUNTIF($B$526:$B761,"&lt;0")=1,"",OFFSET($C760,-COUNTIF($B$526:$B761,"&lt;0")+3,0)),"")</f>
        <v/>
      </c>
      <c r="N762" s="401" t="str">
        <f ca="1">IFERROR(IF(AND(_xlfn.ISFORMULA(I762),NOT(_xlfn.ISFORMULA(I761))),1,OFFSET($F760,-COUNTIF($B$526:B761,"&lt;0")+3,0)),"")</f>
        <v/>
      </c>
      <c r="O762" s="387">
        <f t="shared" ca="1" si="115"/>
        <v>234</v>
      </c>
      <c r="P762" s="387"/>
      <c r="Q762" s="387"/>
      <c r="R762" s="387"/>
      <c r="S762" s="387"/>
      <c r="T762" s="391" t="s">
        <v>2212</v>
      </c>
    </row>
    <row r="763" spans="1:20">
      <c r="A763" s="387" t="b">
        <f t="shared" ref="A763:A826" ca="1" si="116">IF(OR(I763&lt;&gt;"",J763&lt;&gt;"",K763&lt;&gt;"",L763&lt;&gt;""),TRUE,FALSE)</f>
        <v>0</v>
      </c>
      <c r="B763" s="387">
        <f t="shared" ca="1" si="112"/>
        <v>1</v>
      </c>
      <c r="C763" s="404" t="str">
        <f t="shared" ref="C763:C826" ca="1" si="117">M763</f>
        <v>a17Dm000001PuZuIAK</v>
      </c>
      <c r="D763" s="401"/>
      <c r="E763" s="387">
        <f t="shared" ca="1" si="113"/>
        <v>235</v>
      </c>
      <c r="F763" s="402">
        <f ca="1">IF(COUNTA(D$527:D763)=1,"",OFFSET(F761,-COUNTA(D$527:D763)+3,0))</f>
        <v>1</v>
      </c>
      <c r="G763" s="391" t="str">
        <f t="shared" ref="G763:G826" ca="1" si="118">IFERROR(IF(INDIRECT("'Coverage Indicators - Section I'!G"&amp;$I238)="","",INDIRECT("'Coverage Indicators - Section I'!G"&amp;$I238)),"")</f>
        <v/>
      </c>
      <c r="H763" s="387">
        <f t="shared" ca="1" si="114"/>
        <v>9</v>
      </c>
      <c r="I763" s="389" t="str">
        <f t="shared" ref="I763:I826" ca="1" si="119">IFERROR(CHOOSE(E763,IFERROR(IF(INDIRECT("'Coverage Indicators - Section D'!O"&amp;H763)="","",INDIRECT("'Coverage Indicators - Section D'!O"&amp;H763)*100),""),IFERROR(IF(INDIRECT("'Coverage Indicators - Section D'!R"&amp;H763)="","",INDIRECT("'Coverage Indicators - Section D'!R"&amp;H763)*100),""),IFERROR(IF(INDIRECT("'Coverage Indicators - Section D'!U"&amp;H763)="","",INDIRECT("'Coverage Indicators - Section D'!U"&amp;H763)*100),""),IFERROR(IF(INDIRECT("'Coverage Indicators - Section D'!X"&amp;H763)="","",INDIRECT("'Coverage Indicators - Section D'!X"&amp;H763)*100),""),IFERROR(IF(INDIRECT("'Coverage Indicators - Section D'!AA"&amp;H763)="","",INDIRECT("'Coverage Indicators - Section D'!AA"&amp;H763)*100),""),IFERROR(IF(INDIRECT("'Coverage Indicators - Section D'!AD"&amp;H763)="","",INDIRECT("'Coverage Indicators - Section D'!AD"&amp;H763)*100),""),IFERROR(IF(INDIRECT("'Coverage Indicators - Section D'!AG"&amp;H763)="","",INDIRECT("'Coverage Indicators - Section D'!AG"&amp;H763)*100),""),IFERROR(IF(INDIRECT("'Coverage Indicators - Section D'!AJ"&amp;H763)="","",INDIRECT("'Coverage Indicators - Section D'!AJ"&amp;H763)*100),"")),"")</f>
        <v/>
      </c>
      <c r="J763" s="392" t="str">
        <f t="shared" ref="J763:J826" ca="1" si="120">IFERROR(CHOOSE(E763,IFERROR(IF(INDIRECT("'Coverage Indicators - Section D'!N"&amp;H763+1)="","",INDIRECT("'Coverage Indicators - Section D'!N"&amp;H763+1)),""),IFERROR(IF(INDIRECT("'Coverage Indicators - Section D'!Q"&amp;H763+1)="","",INDIRECT("'Coverage Indicators - Section D'!Q"&amp;H763+1)),""),IFERROR(IF(INDIRECT("'Coverage Indicators - Section D'!T"&amp;H763+1)="","",INDIRECT("'Coverage Indicators - Section D'!T"&amp;H763+1)),""),IFERROR(IF(INDIRECT("'Coverage Indicators - Section D'!W"&amp;H763+1)="","",INDIRECT("'Coverage Indicators - Section D'!W"&amp;H763+1)),""),IFERROR(IF(INDIRECT("'Coverage Indicators - Section D'!Z"&amp;H763+1)="","",INDIRECT("'Coverage Indicators - Section D'!Z"&amp;H763+1)),""),IFERROR(IF(INDIRECT("'Coverage Indicators - Section D'!AC"&amp;H763+1)="","",INDIRECT("'Coverage Indicators - Section D'!AC"&amp;H763+1)),""),IFERROR(IF(INDIRECT("'Coverage Indicators - Section D'!AF"&amp;H763+1)="","",INDIRECT("'Coverage Indicators - Section D'!AF"&amp;H763+1)),""),IFERROR(IF(INDIRECT("'Coverage Indicators - Section D'!AI"&amp;H763+1)="","",INDIRECT("'Coverage Indicators - Section D'!AI"&amp;H763+1)),"")),"")</f>
        <v/>
      </c>
      <c r="K763" s="392" t="str">
        <f t="shared" ref="K763:K826" ca="1" si="121">IFERROR(CHOOSE(E763,IFERROR(IF(INDIRECT("'Coverage Indicators - Section D'!N"&amp;H763)="","",INDIRECT("'Coverage Indicators - Section D'!N"&amp;H763)),""),IFERROR(IF(INDIRECT("'Coverage Indicators - Section D'!Q"&amp;H763)="","",INDIRECT("'Coverage Indicators - Section D'!Q"&amp;H763)),""),IFERROR(IF(INDIRECT("'Coverage Indicators - Section D'!T"&amp;H763)="","",INDIRECT("'Coverage Indicators - Section D'!T"&amp;H763)),""),IFERROR(IF(INDIRECT("'Coverage Indicators - Section D'!W"&amp;H763)="","",INDIRECT("'Coverage Indicators - Section D'!W"&amp;H763)),""),IFERROR(IF(INDIRECT("'Coverage Indicators - Section D'!Z"&amp;H763)="","",INDIRECT("'Coverage Indicators - Section D'!Z"&amp;H763)),""),IFERROR(IF(INDIRECT("'Coverage Indicators - Section D'!AC"&amp;H763)="","",INDIRECT("'Coverage Indicators - Section D'!AC"&amp;H763)),""),IFERROR(IF(INDIRECT("'Coverage Indicators - Section D'!AF"&amp;H763)="","",INDIRECT("'Coverage Indicators - Section D'!AF"&amp;H763)),""),IFERROR(IF(INDIRECT("'Coverage Indicators - Section D'!AI"&amp;H763)="","",INDIRECT("'Coverage Indicators - Section D'!AI"&amp;H763)),"")),"")</f>
        <v/>
      </c>
      <c r="L763" s="391" t="str">
        <f t="shared" ref="L763:L826" ca="1" si="122">IF(IFERROR(CHOOSE(E763,IFERROR(IF(INDIRECT("'Coverage Indicators - Section D'!P"&amp;H763)=0,"",INDIRECT("'Coverage Indicators - Section D'!P"&amp;H763)),""),IFERROR(IF(INDIRECT("'Coverage Indicators - Section D'!S"&amp;H763)=0,"",INDIRECT("'Coverage Indicators - Section D'!S"&amp;H763)),""),IFERROR(IF(INDIRECT("'Coverage Indicators - Section D'!V"&amp;H763)=0,"",INDIRECT("'Coverage Indicators - Section D'!V"&amp;H763)),""),IFERROR(IF(INDIRECT("'Coverage Indicators - Section D'!Y"&amp;H763)=0,"",INDIRECT("'Coverage Indicators - Section D'!Y"&amp;H763)),""),IFERROR(IF(INDIRECT("'Coverage Indicators - Section D'!AB"&amp;H763)=0,"",INDIRECT("'Coverage Indicators - Section D'!AB"&amp;H763)),""),IFERROR(IF(INDIRECT("'Coverage Indicators - Section D'!AE"&amp;H763)=0,"",INDIRECT("'Coverage Indicators - Section D'!AE"&amp;H763)),""),IFERROR(IF(INDIRECT("'Coverage Indicators - Section D'!AH"&amp;H763)=0,"",INDIRECT("'Coverage Indicators - Section D'!AH"&amp;H763)),""),IFERROR(IF(INDIRECT("'Coverage Indicators - Section D'!AK"&amp;H763)=0,"",INDIRECT("'Coverage Indicators - Section D'!AK"&amp;H763)),""),),"")=0,"",IFERROR(CHOOSE(E763,IFERROR(IF(INDIRECT("'Coverage Indicators - Section D'!P"&amp;H763)=0,"",INDIRECT("'Coverage Indicators - Section D'!P"&amp;H763)),""),IFERROR(IF(INDIRECT("'Coverage Indicators - Section D'!S"&amp;H763)=0,"",INDIRECT("'Coverage Indicators - Section D'!S"&amp;H763)),""),IFERROR(IF(INDIRECT("'Coverage Indicators - Section D'!V"&amp;H763)=0,"",INDIRECT("'Coverage Indicators - Section D'!V"&amp;H763)),""),IFERROR(IF(INDIRECT("'Coverage Indicators - Section D'!Y"&amp;H763)=0,"",INDIRECT("'Coverage Indicators - Section D'!Y"&amp;H763)),""),IFERROR(IF(INDIRECT("'Coverage Indicators - Section D'!AB"&amp;H763)=0,"",INDIRECT("'Coverage Indicators - Section D'!AB"&amp;H763)),""),IFERROR(IF(INDIRECT("'Coverage Indicators - Section D'!AE"&amp;H763)=0,"",INDIRECT("'Coverage Indicators - Section D'!AE"&amp;H763)),""),IFERROR(IF(INDIRECT("'Coverage Indicators - Section D'!AH"&amp;H763)=0,"",INDIRECT("'Coverage Indicators - Section D'!AH"&amp;H763)),""),IFERROR(IF(INDIRECT("'Coverage Indicators - Section D'!AK"&amp;H763)=0,"",INDIRECT("'Coverage Indicators - Section D'!AK"&amp;H763)),""),),""))</f>
        <v/>
      </c>
      <c r="M763" s="401" t="str">
        <f ca="1">IFERROR(IF(COUNTIF($B$526:$B762,"&lt;0")=1,"",OFFSET($C761,-COUNTIF($B$526:$B762,"&lt;0")+3,0)),"")</f>
        <v>a17Dm000001PuZuIAK</v>
      </c>
      <c r="N763" s="401">
        <f ca="1">IFERROR(IF(AND(_xlfn.ISFORMULA(I763),NOT(_xlfn.ISFORMULA(I762))),1,OFFSET($F761,-COUNTIF($B$526:B762,"&lt;0")+3,0)),"")</f>
        <v>1</v>
      </c>
      <c r="O763" s="387">
        <f t="shared" ca="1" si="115"/>
        <v>0</v>
      </c>
      <c r="P763" s="387"/>
      <c r="Q763" s="387"/>
      <c r="R763" s="387"/>
      <c r="S763" s="387"/>
      <c r="T763" s="391"/>
    </row>
    <row r="764" spans="1:20">
      <c r="A764" s="387" t="b">
        <f t="shared" ca="1" si="116"/>
        <v>0</v>
      </c>
      <c r="B764" s="387">
        <f t="shared" ca="1" si="112"/>
        <v>2</v>
      </c>
      <c r="C764" s="404" t="str">
        <f t="shared" ca="1" si="117"/>
        <v>a17Dm000001PuaOIAS</v>
      </c>
      <c r="D764" s="401"/>
      <c r="E764" s="387">
        <f t="shared" ca="1" si="113"/>
        <v>236</v>
      </c>
      <c r="F764" s="402">
        <f ca="1">IF(COUNTA(D$527:D764)=1,"",OFFSET(F762,-COUNTA(D$527:D764)+3,0))</f>
        <v>1</v>
      </c>
      <c r="G764" s="391" t="str">
        <f t="shared" ca="1" si="118"/>
        <v/>
      </c>
      <c r="H764" s="387">
        <f t="shared" ca="1" si="114"/>
        <v>9</v>
      </c>
      <c r="I764" s="389" t="str">
        <f t="shared" ca="1" si="119"/>
        <v/>
      </c>
      <c r="J764" s="392" t="str">
        <f t="shared" ca="1" si="120"/>
        <v/>
      </c>
      <c r="K764" s="392" t="str">
        <f t="shared" ca="1" si="121"/>
        <v/>
      </c>
      <c r="L764" s="391" t="str">
        <f t="shared" ca="1" si="122"/>
        <v/>
      </c>
      <c r="M764" s="401" t="str">
        <f ca="1">IFERROR(IF(COUNTIF($B$526:$B763,"&lt;0")=1,"",OFFSET($C762,-COUNTIF($B$526:$B763,"&lt;0")+3,0)),"")</f>
        <v>a17Dm000001PuaOIAS</v>
      </c>
      <c r="N764" s="401">
        <f ca="1">IFERROR(IF(AND(_xlfn.ISFORMULA(I764),NOT(_xlfn.ISFORMULA(I763))),1,OFFSET($F762,-COUNTIF($B$526:B763,"&lt;0")+3,0)),"")</f>
        <v>1</v>
      </c>
      <c r="O764" s="387">
        <f t="shared" ca="1" si="115"/>
        <v>0</v>
      </c>
      <c r="P764" s="387"/>
      <c r="Q764" s="387"/>
      <c r="R764" s="387"/>
      <c r="S764" s="387"/>
      <c r="T764" s="391"/>
    </row>
    <row r="765" spans="1:20">
      <c r="A765" s="387" t="b">
        <f t="shared" ca="1" si="116"/>
        <v>0</v>
      </c>
      <c r="B765" s="387">
        <f t="shared" ca="1" si="112"/>
        <v>3</v>
      </c>
      <c r="C765" s="404" t="str">
        <f t="shared" ca="1" si="117"/>
        <v>a17Dm000001PuasIAC</v>
      </c>
      <c r="D765" s="401"/>
      <c r="E765" s="387">
        <f t="shared" ca="1" si="113"/>
        <v>237</v>
      </c>
      <c r="F765" s="402">
        <f ca="1">IF(COUNTA(D$527:D765)=1,"",OFFSET(F763,-COUNTA(D$527:D765)+3,0))</f>
        <v>1</v>
      </c>
      <c r="G765" s="391" t="str">
        <f t="shared" ca="1" si="118"/>
        <v/>
      </c>
      <c r="H765" s="387">
        <f t="shared" ca="1" si="114"/>
        <v>9</v>
      </c>
      <c r="I765" s="389" t="str">
        <f t="shared" ca="1" si="119"/>
        <v/>
      </c>
      <c r="J765" s="392" t="str">
        <f t="shared" ca="1" si="120"/>
        <v/>
      </c>
      <c r="K765" s="392" t="str">
        <f t="shared" ca="1" si="121"/>
        <v/>
      </c>
      <c r="L765" s="391" t="str">
        <f t="shared" ca="1" si="122"/>
        <v/>
      </c>
      <c r="M765" s="401" t="str">
        <f ca="1">IFERROR(IF(COUNTIF($B$526:$B764,"&lt;0")=1,"",OFFSET($C763,-COUNTIF($B$526:$B764,"&lt;0")+3,0)),"")</f>
        <v>a17Dm000001PuasIAC</v>
      </c>
      <c r="N765" s="401">
        <f ca="1">IFERROR(IF(AND(_xlfn.ISFORMULA(I765),NOT(_xlfn.ISFORMULA(I764))),1,OFFSET($F763,-COUNTIF($B$526:B764,"&lt;0")+3,0)),"")</f>
        <v>1</v>
      </c>
      <c r="O765" s="387">
        <f t="shared" ca="1" si="115"/>
        <v>0</v>
      </c>
      <c r="P765" s="387"/>
      <c r="Q765" s="387"/>
      <c r="R765" s="387"/>
      <c r="S765" s="387"/>
      <c r="T765" s="391"/>
    </row>
    <row r="766" spans="1:20">
      <c r="A766" s="387" t="b">
        <f t="shared" ca="1" si="116"/>
        <v>0</v>
      </c>
      <c r="B766" s="387">
        <f t="shared" ca="1" si="112"/>
        <v>4</v>
      </c>
      <c r="C766" s="404" t="str">
        <f t="shared" ca="1" si="117"/>
        <v>a17Dm000001PubMIAS</v>
      </c>
      <c r="D766" s="401"/>
      <c r="E766" s="387">
        <f t="shared" ca="1" si="113"/>
        <v>238</v>
      </c>
      <c r="F766" s="402">
        <f ca="1">IF(COUNTA(D$527:D766)=1,"",OFFSET(F764,-COUNTA(D$527:D766)+3,0))</f>
        <v>1</v>
      </c>
      <c r="G766" s="391" t="str">
        <f t="shared" ca="1" si="118"/>
        <v/>
      </c>
      <c r="H766" s="387">
        <f t="shared" ca="1" si="114"/>
        <v>9</v>
      </c>
      <c r="I766" s="389" t="str">
        <f t="shared" ca="1" si="119"/>
        <v/>
      </c>
      <c r="J766" s="392" t="str">
        <f t="shared" ca="1" si="120"/>
        <v/>
      </c>
      <c r="K766" s="392" t="str">
        <f t="shared" ca="1" si="121"/>
        <v/>
      </c>
      <c r="L766" s="391" t="str">
        <f t="shared" ca="1" si="122"/>
        <v/>
      </c>
      <c r="M766" s="401" t="str">
        <f ca="1">IFERROR(IF(COUNTIF($B$526:$B765,"&lt;0")=1,"",OFFSET($C764,-COUNTIF($B$526:$B765,"&lt;0")+3,0)),"")</f>
        <v>a17Dm000001PubMIAS</v>
      </c>
      <c r="N766" s="401">
        <f ca="1">IFERROR(IF(AND(_xlfn.ISFORMULA(I766),NOT(_xlfn.ISFORMULA(I765))),1,OFFSET($F764,-COUNTIF($B$526:B765,"&lt;0")+3,0)),"")</f>
        <v>1</v>
      </c>
      <c r="O766" s="387">
        <f t="shared" ca="1" si="115"/>
        <v>0</v>
      </c>
      <c r="P766" s="387"/>
      <c r="Q766" s="387"/>
      <c r="R766" s="387"/>
      <c r="S766" s="387"/>
      <c r="T766" s="391"/>
    </row>
    <row r="767" spans="1:20">
      <c r="A767" s="387" t="b">
        <f t="shared" ca="1" si="116"/>
        <v>0</v>
      </c>
      <c r="B767" s="387">
        <f t="shared" ca="1" si="112"/>
        <v>5</v>
      </c>
      <c r="C767" s="404" t="str">
        <f t="shared" ca="1" si="117"/>
        <v>a17Dm000001PubqIAC</v>
      </c>
      <c r="D767" s="401"/>
      <c r="E767" s="387">
        <f t="shared" ca="1" si="113"/>
        <v>239</v>
      </c>
      <c r="F767" s="402">
        <f ca="1">IF(COUNTA(D$527:D767)=1,"",OFFSET(F765,-COUNTA(D$527:D767)+3,0))</f>
        <v>1</v>
      </c>
      <c r="G767" s="391" t="str">
        <f t="shared" ca="1" si="118"/>
        <v/>
      </c>
      <c r="H767" s="387">
        <f t="shared" ca="1" si="114"/>
        <v>9</v>
      </c>
      <c r="I767" s="389" t="str">
        <f t="shared" ca="1" si="119"/>
        <v/>
      </c>
      <c r="J767" s="392" t="str">
        <f t="shared" ca="1" si="120"/>
        <v/>
      </c>
      <c r="K767" s="392" t="str">
        <f t="shared" ca="1" si="121"/>
        <v/>
      </c>
      <c r="L767" s="391" t="str">
        <f t="shared" ca="1" si="122"/>
        <v/>
      </c>
      <c r="M767" s="401" t="str">
        <f ca="1">IFERROR(IF(COUNTIF($B$526:$B766,"&lt;0")=1,"",OFFSET($C765,-COUNTIF($B$526:$B766,"&lt;0")+3,0)),"")</f>
        <v>a17Dm000001PubqIAC</v>
      </c>
      <c r="N767" s="401">
        <f ca="1">IFERROR(IF(AND(_xlfn.ISFORMULA(I767),NOT(_xlfn.ISFORMULA(I766))),1,OFFSET($F765,-COUNTIF($B$526:B766,"&lt;0")+3,0)),"")</f>
        <v>1</v>
      </c>
      <c r="O767" s="387">
        <f t="shared" ca="1" si="115"/>
        <v>0</v>
      </c>
      <c r="P767" s="387"/>
      <c r="Q767" s="387"/>
      <c r="R767" s="387"/>
      <c r="S767" s="387"/>
      <c r="T767" s="391"/>
    </row>
    <row r="768" spans="1:20">
      <c r="A768" s="387" t="b">
        <f t="shared" ca="1" si="116"/>
        <v>0</v>
      </c>
      <c r="B768" s="387">
        <f t="shared" ca="1" si="112"/>
        <v>6</v>
      </c>
      <c r="C768" s="404" t="str">
        <f t="shared" ca="1" si="117"/>
        <v>a17Dm000001PucKIAS</v>
      </c>
      <c r="D768" s="401"/>
      <c r="E768" s="387">
        <f t="shared" ca="1" si="113"/>
        <v>240</v>
      </c>
      <c r="F768" s="402">
        <f ca="1">IF(COUNTA(D$527:D768)=1,"",OFFSET(F766,-COUNTA(D$527:D768)+3,0))</f>
        <v>1</v>
      </c>
      <c r="G768" s="391" t="str">
        <f t="shared" ca="1" si="118"/>
        <v/>
      </c>
      <c r="H768" s="387">
        <f t="shared" ca="1" si="114"/>
        <v>9</v>
      </c>
      <c r="I768" s="389" t="str">
        <f t="shared" ca="1" si="119"/>
        <v/>
      </c>
      <c r="J768" s="392" t="str">
        <f t="shared" ca="1" si="120"/>
        <v/>
      </c>
      <c r="K768" s="392" t="str">
        <f t="shared" ca="1" si="121"/>
        <v/>
      </c>
      <c r="L768" s="391" t="str">
        <f t="shared" ca="1" si="122"/>
        <v/>
      </c>
      <c r="M768" s="401" t="str">
        <f ca="1">IFERROR(IF(COUNTIF($B$526:$B767,"&lt;0")=1,"",OFFSET($C766,-COUNTIF($B$526:$B767,"&lt;0")+3,0)),"")</f>
        <v>a17Dm000001PucKIAS</v>
      </c>
      <c r="N768" s="401">
        <f ca="1">IFERROR(IF(AND(_xlfn.ISFORMULA(I768),NOT(_xlfn.ISFORMULA(I767))),1,OFFSET($F766,-COUNTIF($B$526:B767,"&lt;0")+3,0)),"")</f>
        <v>1</v>
      </c>
      <c r="O768" s="387">
        <f t="shared" ca="1" si="115"/>
        <v>0</v>
      </c>
      <c r="P768" s="387"/>
      <c r="Q768" s="387"/>
      <c r="R768" s="387"/>
      <c r="S768" s="387"/>
      <c r="T768" s="391"/>
    </row>
    <row r="769" spans="1:20">
      <c r="A769" s="387" t="b">
        <f t="shared" ca="1" si="116"/>
        <v>0</v>
      </c>
      <c r="B769" s="387">
        <f t="shared" ca="1" si="112"/>
        <v>7</v>
      </c>
      <c r="C769" s="404" t="str">
        <f t="shared" ca="1" si="117"/>
        <v>a17Dm000001PuZvIAK</v>
      </c>
      <c r="D769" s="401"/>
      <c r="E769" s="387">
        <f t="shared" ca="1" si="113"/>
        <v>241</v>
      </c>
      <c r="F769" s="402">
        <f ca="1">IF(COUNTA(D$527:D769)=1,"",OFFSET(F767,-COUNTA(D$527:D769)+3,0))</f>
        <v>2</v>
      </c>
      <c r="G769" s="391" t="str">
        <f t="shared" ca="1" si="118"/>
        <v/>
      </c>
      <c r="H769" s="387">
        <f t="shared" ca="1" si="114"/>
        <v>9</v>
      </c>
      <c r="I769" s="389" t="str">
        <f t="shared" ca="1" si="119"/>
        <v/>
      </c>
      <c r="J769" s="392" t="str">
        <f t="shared" ca="1" si="120"/>
        <v/>
      </c>
      <c r="K769" s="392" t="str">
        <f t="shared" ca="1" si="121"/>
        <v/>
      </c>
      <c r="L769" s="391" t="str">
        <f t="shared" ca="1" si="122"/>
        <v/>
      </c>
      <c r="M769" s="401" t="str">
        <f ca="1">IFERROR(IF(COUNTIF($B$526:$B768,"&lt;0")=1,"",OFFSET($C767,-COUNTIF($B$526:$B768,"&lt;0")+3,0)),"")</f>
        <v>a17Dm000001PuZvIAK</v>
      </c>
      <c r="N769" s="401">
        <f ca="1">IFERROR(IF(AND(_xlfn.ISFORMULA(I769),NOT(_xlfn.ISFORMULA(I768))),1,OFFSET($F767,-COUNTIF($B$526:B768,"&lt;0")+3,0)),"")</f>
        <v>2</v>
      </c>
      <c r="O769" s="387">
        <f t="shared" ca="1" si="115"/>
        <v>0</v>
      </c>
      <c r="P769" s="387"/>
      <c r="Q769" s="387"/>
      <c r="R769" s="387"/>
      <c r="S769" s="387"/>
      <c r="T769" s="391"/>
    </row>
    <row r="770" spans="1:20">
      <c r="A770" s="387" t="b">
        <f t="shared" ca="1" si="116"/>
        <v>0</v>
      </c>
      <c r="B770" s="387">
        <f t="shared" ca="1" si="112"/>
        <v>8</v>
      </c>
      <c r="C770" s="404" t="str">
        <f t="shared" ca="1" si="117"/>
        <v>a17Dm000001PuaPIAS</v>
      </c>
      <c r="D770" s="401"/>
      <c r="E770" s="387">
        <f t="shared" ca="1" si="113"/>
        <v>242</v>
      </c>
      <c r="F770" s="402">
        <f ca="1">IF(COUNTA(D$527:D770)=1,"",OFFSET(F768,-COUNTA(D$527:D770)+3,0))</f>
        <v>2</v>
      </c>
      <c r="G770" s="391" t="str">
        <f t="shared" ca="1" si="118"/>
        <v/>
      </c>
      <c r="H770" s="387">
        <f t="shared" ca="1" si="114"/>
        <v>9</v>
      </c>
      <c r="I770" s="389" t="str">
        <f t="shared" ca="1" si="119"/>
        <v/>
      </c>
      <c r="J770" s="392" t="str">
        <f t="shared" ca="1" si="120"/>
        <v/>
      </c>
      <c r="K770" s="392" t="str">
        <f t="shared" ca="1" si="121"/>
        <v/>
      </c>
      <c r="L770" s="391" t="str">
        <f t="shared" ca="1" si="122"/>
        <v/>
      </c>
      <c r="M770" s="401" t="str">
        <f ca="1">IFERROR(IF(COUNTIF($B$526:$B769,"&lt;0")=1,"",OFFSET($C768,-COUNTIF($B$526:$B769,"&lt;0")+3,0)),"")</f>
        <v>a17Dm000001PuaPIAS</v>
      </c>
      <c r="N770" s="401">
        <f ca="1">IFERROR(IF(AND(_xlfn.ISFORMULA(I770),NOT(_xlfn.ISFORMULA(I769))),1,OFFSET($F768,-COUNTIF($B$526:B769,"&lt;0")+3,0)),"")</f>
        <v>2</v>
      </c>
      <c r="O770" s="387">
        <f t="shared" ca="1" si="115"/>
        <v>0</v>
      </c>
      <c r="P770" s="387"/>
      <c r="Q770" s="387"/>
      <c r="R770" s="387"/>
      <c r="S770" s="387"/>
      <c r="T770" s="391"/>
    </row>
    <row r="771" spans="1:20">
      <c r="A771" s="387" t="b">
        <f t="shared" ca="1" si="116"/>
        <v>0</v>
      </c>
      <c r="B771" s="387">
        <f t="shared" ca="1" si="112"/>
        <v>9</v>
      </c>
      <c r="C771" s="404" t="str">
        <f t="shared" ca="1" si="117"/>
        <v>a17Dm000001PuatIAC</v>
      </c>
      <c r="D771" s="401"/>
      <c r="E771" s="387">
        <f t="shared" ca="1" si="113"/>
        <v>243</v>
      </c>
      <c r="F771" s="402">
        <f ca="1">IF(COUNTA(D$527:D771)=1,"",OFFSET(F769,-COUNTA(D$527:D771)+3,0))</f>
        <v>2</v>
      </c>
      <c r="G771" s="391" t="str">
        <f t="shared" ca="1" si="118"/>
        <v/>
      </c>
      <c r="H771" s="387">
        <f t="shared" ca="1" si="114"/>
        <v>9</v>
      </c>
      <c r="I771" s="389" t="str">
        <f t="shared" ca="1" si="119"/>
        <v/>
      </c>
      <c r="J771" s="392" t="str">
        <f t="shared" ca="1" si="120"/>
        <v/>
      </c>
      <c r="K771" s="392" t="str">
        <f t="shared" ca="1" si="121"/>
        <v/>
      </c>
      <c r="L771" s="391" t="str">
        <f t="shared" ca="1" si="122"/>
        <v/>
      </c>
      <c r="M771" s="401" t="str">
        <f ca="1">IFERROR(IF(COUNTIF($B$526:$B770,"&lt;0")=1,"",OFFSET($C769,-COUNTIF($B$526:$B770,"&lt;0")+3,0)),"")</f>
        <v>a17Dm000001PuatIAC</v>
      </c>
      <c r="N771" s="401">
        <f ca="1">IFERROR(IF(AND(_xlfn.ISFORMULA(I771),NOT(_xlfn.ISFORMULA(I770))),1,OFFSET($F769,-COUNTIF($B$526:B770,"&lt;0")+3,0)),"")</f>
        <v>2</v>
      </c>
      <c r="O771" s="387">
        <f t="shared" ca="1" si="115"/>
        <v>0</v>
      </c>
      <c r="P771" s="387"/>
      <c r="Q771" s="387"/>
      <c r="R771" s="387"/>
      <c r="S771" s="387"/>
      <c r="T771" s="391"/>
    </row>
    <row r="772" spans="1:20">
      <c r="A772" s="387" t="b">
        <f t="shared" ca="1" si="116"/>
        <v>0</v>
      </c>
      <c r="B772" s="387">
        <f t="shared" ca="1" si="112"/>
        <v>10</v>
      </c>
      <c r="C772" s="404" t="str">
        <f t="shared" ca="1" si="117"/>
        <v>a17Dm000001PubNIAS</v>
      </c>
      <c r="D772" s="401"/>
      <c r="E772" s="387">
        <f t="shared" ca="1" si="113"/>
        <v>244</v>
      </c>
      <c r="F772" s="402">
        <f ca="1">IF(COUNTA(D$527:D772)=1,"",OFFSET(F770,-COUNTA(D$527:D772)+3,0))</f>
        <v>2</v>
      </c>
      <c r="G772" s="391" t="str">
        <f t="shared" ca="1" si="118"/>
        <v/>
      </c>
      <c r="H772" s="387">
        <f t="shared" ca="1" si="114"/>
        <v>9</v>
      </c>
      <c r="I772" s="389" t="str">
        <f t="shared" ca="1" si="119"/>
        <v/>
      </c>
      <c r="J772" s="392" t="str">
        <f t="shared" ca="1" si="120"/>
        <v/>
      </c>
      <c r="K772" s="392" t="str">
        <f t="shared" ca="1" si="121"/>
        <v/>
      </c>
      <c r="L772" s="391" t="str">
        <f t="shared" ca="1" si="122"/>
        <v/>
      </c>
      <c r="M772" s="401" t="str">
        <f ca="1">IFERROR(IF(COUNTIF($B$526:$B771,"&lt;0")=1,"",OFFSET($C770,-COUNTIF($B$526:$B771,"&lt;0")+3,0)),"")</f>
        <v>a17Dm000001PubNIAS</v>
      </c>
      <c r="N772" s="401">
        <f ca="1">IFERROR(IF(AND(_xlfn.ISFORMULA(I772),NOT(_xlfn.ISFORMULA(I771))),1,OFFSET($F770,-COUNTIF($B$526:B771,"&lt;0")+3,0)),"")</f>
        <v>2</v>
      </c>
      <c r="O772" s="387">
        <f t="shared" ca="1" si="115"/>
        <v>0</v>
      </c>
      <c r="P772" s="387"/>
      <c r="Q772" s="387"/>
      <c r="R772" s="387"/>
      <c r="S772" s="387"/>
      <c r="T772" s="391"/>
    </row>
    <row r="773" spans="1:20">
      <c r="A773" s="387" t="b">
        <f t="shared" ca="1" si="116"/>
        <v>0</v>
      </c>
      <c r="B773" s="387">
        <f t="shared" ca="1" si="112"/>
        <v>11</v>
      </c>
      <c r="C773" s="404" t="str">
        <f t="shared" ca="1" si="117"/>
        <v>a17Dm000001PubrIAC</v>
      </c>
      <c r="D773" s="401"/>
      <c r="E773" s="387">
        <f t="shared" ca="1" si="113"/>
        <v>245</v>
      </c>
      <c r="F773" s="402">
        <f ca="1">IF(COUNTA(D$527:D773)=1,"",OFFSET(F771,-COUNTA(D$527:D773)+3,0))</f>
        <v>2</v>
      </c>
      <c r="G773" s="391" t="str">
        <f t="shared" ca="1" si="118"/>
        <v/>
      </c>
      <c r="H773" s="387">
        <f t="shared" ca="1" si="114"/>
        <v>9</v>
      </c>
      <c r="I773" s="389" t="str">
        <f t="shared" ca="1" si="119"/>
        <v/>
      </c>
      <c r="J773" s="392" t="str">
        <f t="shared" ca="1" si="120"/>
        <v/>
      </c>
      <c r="K773" s="392" t="str">
        <f t="shared" ca="1" si="121"/>
        <v/>
      </c>
      <c r="L773" s="391" t="str">
        <f t="shared" ca="1" si="122"/>
        <v/>
      </c>
      <c r="M773" s="401" t="str">
        <f ca="1">IFERROR(IF(COUNTIF($B$526:$B772,"&lt;0")=1,"",OFFSET($C771,-COUNTIF($B$526:$B772,"&lt;0")+3,0)),"")</f>
        <v>a17Dm000001PubrIAC</v>
      </c>
      <c r="N773" s="401">
        <f ca="1">IFERROR(IF(AND(_xlfn.ISFORMULA(I773),NOT(_xlfn.ISFORMULA(I772))),1,OFFSET($F771,-COUNTIF($B$526:B772,"&lt;0")+3,0)),"")</f>
        <v>2</v>
      </c>
      <c r="O773" s="387">
        <f t="shared" ca="1" si="115"/>
        <v>0</v>
      </c>
      <c r="P773" s="387"/>
      <c r="Q773" s="387"/>
      <c r="R773" s="387"/>
      <c r="S773" s="387"/>
      <c r="T773" s="391"/>
    </row>
    <row r="774" spans="1:20">
      <c r="A774" s="387" t="b">
        <f t="shared" ca="1" si="116"/>
        <v>0</v>
      </c>
      <c r="B774" s="387">
        <f t="shared" ca="1" si="112"/>
        <v>12</v>
      </c>
      <c r="C774" s="404" t="str">
        <f t="shared" ca="1" si="117"/>
        <v>a17Dm000001PucLIAS</v>
      </c>
      <c r="D774" s="401"/>
      <c r="E774" s="387">
        <f t="shared" ca="1" si="113"/>
        <v>246</v>
      </c>
      <c r="F774" s="402">
        <f ca="1">IF(COUNTA(D$527:D774)=1,"",OFFSET(F772,-COUNTA(D$527:D774)+3,0))</f>
        <v>2</v>
      </c>
      <c r="G774" s="391" t="str">
        <f t="shared" ca="1" si="118"/>
        <v/>
      </c>
      <c r="H774" s="387">
        <f t="shared" ca="1" si="114"/>
        <v>9</v>
      </c>
      <c r="I774" s="389" t="str">
        <f t="shared" ca="1" si="119"/>
        <v/>
      </c>
      <c r="J774" s="392" t="str">
        <f t="shared" ca="1" si="120"/>
        <v/>
      </c>
      <c r="K774" s="392" t="str">
        <f t="shared" ca="1" si="121"/>
        <v/>
      </c>
      <c r="L774" s="391" t="str">
        <f t="shared" ca="1" si="122"/>
        <v/>
      </c>
      <c r="M774" s="401" t="str">
        <f ca="1">IFERROR(IF(COUNTIF($B$526:$B773,"&lt;0")=1,"",OFFSET($C772,-COUNTIF($B$526:$B773,"&lt;0")+3,0)),"")</f>
        <v>a17Dm000001PucLIAS</v>
      </c>
      <c r="N774" s="401">
        <f ca="1">IFERROR(IF(AND(_xlfn.ISFORMULA(I774),NOT(_xlfn.ISFORMULA(I773))),1,OFFSET($F772,-COUNTIF($B$526:B773,"&lt;0")+3,0)),"")</f>
        <v>2</v>
      </c>
      <c r="O774" s="387">
        <f t="shared" ca="1" si="115"/>
        <v>0</v>
      </c>
      <c r="P774" s="387"/>
      <c r="Q774" s="387"/>
      <c r="R774" s="387"/>
      <c r="S774" s="387"/>
      <c r="T774" s="391"/>
    </row>
    <row r="775" spans="1:20">
      <c r="A775" s="387" t="b">
        <f t="shared" ca="1" si="116"/>
        <v>0</v>
      </c>
      <c r="B775" s="387">
        <f t="shared" ca="1" si="112"/>
        <v>13</v>
      </c>
      <c r="C775" s="404" t="str">
        <f t="shared" ca="1" si="117"/>
        <v>a17Dm000001PuZwIAK</v>
      </c>
      <c r="D775" s="401"/>
      <c r="E775" s="387">
        <f t="shared" ca="1" si="113"/>
        <v>247</v>
      </c>
      <c r="F775" s="402">
        <f ca="1">IF(COUNTA(D$527:D775)=1,"",OFFSET(F773,-COUNTA(D$527:D775)+3,0))</f>
        <v>3</v>
      </c>
      <c r="G775" s="391" t="str">
        <f t="shared" ca="1" si="118"/>
        <v/>
      </c>
      <c r="H775" s="387">
        <f t="shared" ca="1" si="114"/>
        <v>9</v>
      </c>
      <c r="I775" s="389" t="str">
        <f t="shared" ca="1" si="119"/>
        <v/>
      </c>
      <c r="J775" s="392" t="str">
        <f t="shared" ca="1" si="120"/>
        <v/>
      </c>
      <c r="K775" s="392" t="str">
        <f t="shared" ca="1" si="121"/>
        <v/>
      </c>
      <c r="L775" s="391" t="str">
        <f t="shared" ca="1" si="122"/>
        <v/>
      </c>
      <c r="M775" s="401" t="str">
        <f ca="1">IFERROR(IF(COUNTIF($B$526:$B774,"&lt;0")=1,"",OFFSET($C773,-COUNTIF($B$526:$B774,"&lt;0")+3,0)),"")</f>
        <v>a17Dm000001PuZwIAK</v>
      </c>
      <c r="N775" s="401">
        <f ca="1">IFERROR(IF(AND(_xlfn.ISFORMULA(I775),NOT(_xlfn.ISFORMULA(I774))),1,OFFSET($F773,-COUNTIF($B$526:B774,"&lt;0")+3,0)),"")</f>
        <v>3</v>
      </c>
      <c r="O775" s="387">
        <f t="shared" ca="1" si="115"/>
        <v>0</v>
      </c>
      <c r="P775" s="387"/>
      <c r="Q775" s="387"/>
      <c r="R775" s="387"/>
      <c r="S775" s="387"/>
      <c r="T775" s="391"/>
    </row>
    <row r="776" spans="1:20">
      <c r="A776" s="387" t="b">
        <f t="shared" ca="1" si="116"/>
        <v>0</v>
      </c>
      <c r="B776" s="387">
        <f t="shared" ca="1" si="112"/>
        <v>14</v>
      </c>
      <c r="C776" s="404" t="str">
        <f t="shared" ca="1" si="117"/>
        <v>a17Dm000001PuaQIAS</v>
      </c>
      <c r="D776" s="401"/>
      <c r="E776" s="387">
        <f t="shared" ca="1" si="113"/>
        <v>248</v>
      </c>
      <c r="F776" s="402">
        <f ca="1">IF(COUNTA(D$527:D776)=1,"",OFFSET(F774,-COUNTA(D$527:D776)+3,0))</f>
        <v>3</v>
      </c>
      <c r="G776" s="391" t="str">
        <f t="shared" ca="1" si="118"/>
        <v/>
      </c>
      <c r="H776" s="387">
        <f t="shared" ca="1" si="114"/>
        <v>9</v>
      </c>
      <c r="I776" s="389" t="str">
        <f t="shared" ca="1" si="119"/>
        <v/>
      </c>
      <c r="J776" s="392" t="str">
        <f t="shared" ca="1" si="120"/>
        <v/>
      </c>
      <c r="K776" s="392" t="str">
        <f t="shared" ca="1" si="121"/>
        <v/>
      </c>
      <c r="L776" s="391" t="str">
        <f t="shared" ca="1" si="122"/>
        <v/>
      </c>
      <c r="M776" s="401" t="str">
        <f ca="1">IFERROR(IF(COUNTIF($B$526:$B775,"&lt;0")=1,"",OFFSET($C774,-COUNTIF($B$526:$B775,"&lt;0")+3,0)),"")</f>
        <v>a17Dm000001PuaQIAS</v>
      </c>
      <c r="N776" s="401">
        <f ca="1">IFERROR(IF(AND(_xlfn.ISFORMULA(I776),NOT(_xlfn.ISFORMULA(I775))),1,OFFSET($F774,-COUNTIF($B$526:B775,"&lt;0")+3,0)),"")</f>
        <v>3</v>
      </c>
      <c r="O776" s="387">
        <f t="shared" ca="1" si="115"/>
        <v>0</v>
      </c>
      <c r="P776" s="387"/>
      <c r="Q776" s="387"/>
      <c r="R776" s="387"/>
      <c r="S776" s="387"/>
      <c r="T776" s="391"/>
    </row>
    <row r="777" spans="1:20">
      <c r="A777" s="387" t="b">
        <f t="shared" ca="1" si="116"/>
        <v>0</v>
      </c>
      <c r="B777" s="387">
        <f t="shared" ca="1" si="112"/>
        <v>15</v>
      </c>
      <c r="C777" s="404" t="str">
        <f t="shared" ca="1" si="117"/>
        <v>a17Dm000001PuauIAC</v>
      </c>
      <c r="D777" s="401"/>
      <c r="E777" s="387">
        <f t="shared" ca="1" si="113"/>
        <v>249</v>
      </c>
      <c r="F777" s="402">
        <f ca="1">IF(COUNTA(D$527:D777)=1,"",OFFSET(F775,-COUNTA(D$527:D777)+3,0))</f>
        <v>3</v>
      </c>
      <c r="G777" s="391" t="str">
        <f t="shared" ca="1" si="118"/>
        <v/>
      </c>
      <c r="H777" s="387">
        <f t="shared" ca="1" si="114"/>
        <v>9</v>
      </c>
      <c r="I777" s="389" t="str">
        <f t="shared" ca="1" si="119"/>
        <v/>
      </c>
      <c r="J777" s="392" t="str">
        <f t="shared" ca="1" si="120"/>
        <v/>
      </c>
      <c r="K777" s="392" t="str">
        <f t="shared" ca="1" si="121"/>
        <v/>
      </c>
      <c r="L777" s="391" t="str">
        <f t="shared" ca="1" si="122"/>
        <v/>
      </c>
      <c r="M777" s="401" t="str">
        <f ca="1">IFERROR(IF(COUNTIF($B$526:$B776,"&lt;0")=1,"",OFFSET($C775,-COUNTIF($B$526:$B776,"&lt;0")+3,0)),"")</f>
        <v>a17Dm000001PuauIAC</v>
      </c>
      <c r="N777" s="401">
        <f ca="1">IFERROR(IF(AND(_xlfn.ISFORMULA(I777),NOT(_xlfn.ISFORMULA(I776))),1,OFFSET($F775,-COUNTIF($B$526:B776,"&lt;0")+3,0)),"")</f>
        <v>3</v>
      </c>
      <c r="O777" s="387">
        <f t="shared" ca="1" si="115"/>
        <v>0</v>
      </c>
      <c r="P777" s="387"/>
      <c r="Q777" s="387"/>
      <c r="R777" s="387"/>
      <c r="S777" s="387"/>
      <c r="T777" s="391"/>
    </row>
    <row r="778" spans="1:20">
      <c r="A778" s="387" t="b">
        <f t="shared" ca="1" si="116"/>
        <v>0</v>
      </c>
      <c r="B778" s="387">
        <f t="shared" ca="1" si="112"/>
        <v>16</v>
      </c>
      <c r="C778" s="404" t="str">
        <f t="shared" ca="1" si="117"/>
        <v>a17Dm000001PubOIAS</v>
      </c>
      <c r="D778" s="401"/>
      <c r="E778" s="387">
        <f t="shared" ca="1" si="113"/>
        <v>250</v>
      </c>
      <c r="F778" s="402">
        <f ca="1">IF(COUNTA(D$527:D778)=1,"",OFFSET(F776,-COUNTA(D$527:D778)+3,0))</f>
        <v>3</v>
      </c>
      <c r="G778" s="391" t="str">
        <f t="shared" ca="1" si="118"/>
        <v/>
      </c>
      <c r="H778" s="387">
        <f t="shared" ca="1" si="114"/>
        <v>9</v>
      </c>
      <c r="I778" s="389" t="str">
        <f t="shared" ca="1" si="119"/>
        <v/>
      </c>
      <c r="J778" s="392" t="str">
        <f t="shared" ca="1" si="120"/>
        <v/>
      </c>
      <c r="K778" s="392" t="str">
        <f t="shared" ca="1" si="121"/>
        <v/>
      </c>
      <c r="L778" s="391" t="str">
        <f t="shared" ca="1" si="122"/>
        <v/>
      </c>
      <c r="M778" s="401" t="str">
        <f ca="1">IFERROR(IF(COUNTIF($B$526:$B777,"&lt;0")=1,"",OFFSET($C776,-COUNTIF($B$526:$B777,"&lt;0")+3,0)),"")</f>
        <v>a17Dm000001PubOIAS</v>
      </c>
      <c r="N778" s="401">
        <f ca="1">IFERROR(IF(AND(_xlfn.ISFORMULA(I778),NOT(_xlfn.ISFORMULA(I777))),1,OFFSET($F776,-COUNTIF($B$526:B777,"&lt;0")+3,0)),"")</f>
        <v>3</v>
      </c>
      <c r="O778" s="387">
        <f t="shared" ca="1" si="115"/>
        <v>0</v>
      </c>
      <c r="P778" s="387"/>
      <c r="Q778" s="387"/>
      <c r="R778" s="387"/>
      <c r="S778" s="387"/>
      <c r="T778" s="391"/>
    </row>
    <row r="779" spans="1:20">
      <c r="A779" s="387" t="b">
        <f t="shared" ca="1" si="116"/>
        <v>0</v>
      </c>
      <c r="B779" s="387">
        <f t="shared" ca="1" si="112"/>
        <v>17</v>
      </c>
      <c r="C779" s="404" t="str">
        <f t="shared" ca="1" si="117"/>
        <v>a17Dm000001PubsIAC</v>
      </c>
      <c r="D779" s="401"/>
      <c r="E779" s="387">
        <f t="shared" ca="1" si="113"/>
        <v>251</v>
      </c>
      <c r="F779" s="402">
        <f ca="1">IF(COUNTA(D$527:D779)=1,"",OFFSET(F777,-COUNTA(D$527:D779)+3,0))</f>
        <v>3</v>
      </c>
      <c r="G779" s="391" t="str">
        <f t="shared" ca="1" si="118"/>
        <v/>
      </c>
      <c r="H779" s="387">
        <f t="shared" ca="1" si="114"/>
        <v>9</v>
      </c>
      <c r="I779" s="389" t="str">
        <f t="shared" ca="1" si="119"/>
        <v/>
      </c>
      <c r="J779" s="392" t="str">
        <f t="shared" ca="1" si="120"/>
        <v/>
      </c>
      <c r="K779" s="392" t="str">
        <f t="shared" ca="1" si="121"/>
        <v/>
      </c>
      <c r="L779" s="391" t="str">
        <f t="shared" ca="1" si="122"/>
        <v/>
      </c>
      <c r="M779" s="401" t="str">
        <f ca="1">IFERROR(IF(COUNTIF($B$526:$B778,"&lt;0")=1,"",OFFSET($C777,-COUNTIF($B$526:$B778,"&lt;0")+3,0)),"")</f>
        <v>a17Dm000001PubsIAC</v>
      </c>
      <c r="N779" s="401">
        <f ca="1">IFERROR(IF(AND(_xlfn.ISFORMULA(I779),NOT(_xlfn.ISFORMULA(I778))),1,OFFSET($F777,-COUNTIF($B$526:B778,"&lt;0")+3,0)),"")</f>
        <v>3</v>
      </c>
      <c r="O779" s="387">
        <f t="shared" ca="1" si="115"/>
        <v>0</v>
      </c>
      <c r="P779" s="387"/>
      <c r="Q779" s="387"/>
      <c r="R779" s="387"/>
      <c r="S779" s="387"/>
      <c r="T779" s="391"/>
    </row>
    <row r="780" spans="1:20">
      <c r="A780" s="387" t="b">
        <f t="shared" ca="1" si="116"/>
        <v>0</v>
      </c>
      <c r="B780" s="387">
        <f t="shared" ca="1" si="112"/>
        <v>18</v>
      </c>
      <c r="C780" s="404" t="str">
        <f t="shared" ca="1" si="117"/>
        <v>a17Dm000001PucMIAS</v>
      </c>
      <c r="D780" s="401"/>
      <c r="E780" s="387">
        <f t="shared" ca="1" si="113"/>
        <v>252</v>
      </c>
      <c r="F780" s="402">
        <f ca="1">IF(COUNTA(D$527:D780)=1,"",OFFSET(F778,-COUNTA(D$527:D780)+3,0))</f>
        <v>3</v>
      </c>
      <c r="G780" s="391" t="str">
        <f t="shared" ca="1" si="118"/>
        <v/>
      </c>
      <c r="H780" s="387">
        <f t="shared" ca="1" si="114"/>
        <v>9</v>
      </c>
      <c r="I780" s="389" t="str">
        <f t="shared" ca="1" si="119"/>
        <v/>
      </c>
      <c r="J780" s="392" t="str">
        <f t="shared" ca="1" si="120"/>
        <v/>
      </c>
      <c r="K780" s="392" t="str">
        <f t="shared" ca="1" si="121"/>
        <v/>
      </c>
      <c r="L780" s="391" t="str">
        <f t="shared" ca="1" si="122"/>
        <v/>
      </c>
      <c r="M780" s="401" t="str">
        <f ca="1">IFERROR(IF(COUNTIF($B$526:$B779,"&lt;0")=1,"",OFFSET($C778,-COUNTIF($B$526:$B779,"&lt;0")+3,0)),"")</f>
        <v>a17Dm000001PucMIAS</v>
      </c>
      <c r="N780" s="401">
        <f ca="1">IFERROR(IF(AND(_xlfn.ISFORMULA(I780),NOT(_xlfn.ISFORMULA(I779))),1,OFFSET($F778,-COUNTIF($B$526:B779,"&lt;0")+3,0)),"")</f>
        <v>3</v>
      </c>
      <c r="O780" s="387">
        <f t="shared" ca="1" si="115"/>
        <v>0</v>
      </c>
      <c r="P780" s="387"/>
      <c r="Q780" s="387"/>
      <c r="R780" s="387"/>
      <c r="S780" s="387"/>
      <c r="T780" s="391"/>
    </row>
    <row r="781" spans="1:20">
      <c r="A781" s="387" t="b">
        <f t="shared" ca="1" si="116"/>
        <v>0</v>
      </c>
      <c r="B781" s="387">
        <f t="shared" ca="1" si="112"/>
        <v>19</v>
      </c>
      <c r="C781" s="404" t="str">
        <f t="shared" ca="1" si="117"/>
        <v>a17Dm000001PuZxIAK</v>
      </c>
      <c r="D781" s="401"/>
      <c r="E781" s="387">
        <f t="shared" ca="1" si="113"/>
        <v>253</v>
      </c>
      <c r="F781" s="402">
        <f ca="1">IF(COUNTA(D$527:D781)=1,"",OFFSET(F779,-COUNTA(D$527:D781)+3,0))</f>
        <v>4</v>
      </c>
      <c r="G781" s="391" t="str">
        <f t="shared" ca="1" si="118"/>
        <v/>
      </c>
      <c r="H781" s="387">
        <f t="shared" ca="1" si="114"/>
        <v>9</v>
      </c>
      <c r="I781" s="389" t="str">
        <f t="shared" ca="1" si="119"/>
        <v/>
      </c>
      <c r="J781" s="392" t="str">
        <f t="shared" ca="1" si="120"/>
        <v/>
      </c>
      <c r="K781" s="392" t="str">
        <f t="shared" ca="1" si="121"/>
        <v/>
      </c>
      <c r="L781" s="391" t="str">
        <f t="shared" ca="1" si="122"/>
        <v/>
      </c>
      <c r="M781" s="401" t="str">
        <f ca="1">IFERROR(IF(COUNTIF($B$526:$B780,"&lt;0")=1,"",OFFSET($C779,-COUNTIF($B$526:$B780,"&lt;0")+3,0)),"")</f>
        <v>a17Dm000001PuZxIAK</v>
      </c>
      <c r="N781" s="401">
        <f ca="1">IFERROR(IF(AND(_xlfn.ISFORMULA(I781),NOT(_xlfn.ISFORMULA(I780))),1,OFFSET($F779,-COUNTIF($B$526:B780,"&lt;0")+3,0)),"")</f>
        <v>4</v>
      </c>
      <c r="O781" s="387">
        <f t="shared" ca="1" si="115"/>
        <v>0</v>
      </c>
      <c r="P781" s="387"/>
      <c r="Q781" s="387"/>
      <c r="R781" s="387"/>
      <c r="S781" s="387"/>
      <c r="T781" s="391"/>
    </row>
    <row r="782" spans="1:20">
      <c r="A782" s="387" t="b">
        <f t="shared" ca="1" si="116"/>
        <v>0</v>
      </c>
      <c r="B782" s="387">
        <f t="shared" ca="1" si="112"/>
        <v>20</v>
      </c>
      <c r="C782" s="404" t="str">
        <f t="shared" ca="1" si="117"/>
        <v>a17Dm000001PuaRIAS</v>
      </c>
      <c r="D782" s="401"/>
      <c r="E782" s="387">
        <f t="shared" ca="1" si="113"/>
        <v>254</v>
      </c>
      <c r="F782" s="402">
        <f ca="1">IF(COUNTA(D$527:D782)=1,"",OFFSET(F780,-COUNTA(D$527:D782)+3,0))</f>
        <v>4</v>
      </c>
      <c r="G782" s="391" t="str">
        <f t="shared" ca="1" si="118"/>
        <v/>
      </c>
      <c r="H782" s="387">
        <f t="shared" ca="1" si="114"/>
        <v>9</v>
      </c>
      <c r="I782" s="389" t="str">
        <f t="shared" ca="1" si="119"/>
        <v/>
      </c>
      <c r="J782" s="392" t="str">
        <f t="shared" ca="1" si="120"/>
        <v/>
      </c>
      <c r="K782" s="392" t="str">
        <f t="shared" ca="1" si="121"/>
        <v/>
      </c>
      <c r="L782" s="391" t="str">
        <f t="shared" ca="1" si="122"/>
        <v/>
      </c>
      <c r="M782" s="401" t="str">
        <f ca="1">IFERROR(IF(COUNTIF($B$526:$B781,"&lt;0")=1,"",OFFSET($C780,-COUNTIF($B$526:$B781,"&lt;0")+3,0)),"")</f>
        <v>a17Dm000001PuaRIAS</v>
      </c>
      <c r="N782" s="401">
        <f ca="1">IFERROR(IF(AND(_xlfn.ISFORMULA(I782),NOT(_xlfn.ISFORMULA(I781))),1,OFFSET($F780,-COUNTIF($B$526:B781,"&lt;0")+3,0)),"")</f>
        <v>4</v>
      </c>
      <c r="O782" s="387">
        <f t="shared" ca="1" si="115"/>
        <v>0</v>
      </c>
      <c r="P782" s="387"/>
      <c r="Q782" s="387"/>
      <c r="R782" s="387"/>
      <c r="S782" s="387"/>
      <c r="T782" s="391"/>
    </row>
    <row r="783" spans="1:20">
      <c r="A783" s="387" t="b">
        <f t="shared" ca="1" si="116"/>
        <v>0</v>
      </c>
      <c r="B783" s="387">
        <f t="shared" ca="1" si="112"/>
        <v>21</v>
      </c>
      <c r="C783" s="404" t="str">
        <f t="shared" ca="1" si="117"/>
        <v>a17Dm000001PuavIAC</v>
      </c>
      <c r="D783" s="401"/>
      <c r="E783" s="387">
        <f t="shared" ca="1" si="113"/>
        <v>255</v>
      </c>
      <c r="F783" s="402">
        <f ca="1">IF(COUNTA(D$527:D783)=1,"",OFFSET(F781,-COUNTA(D$527:D783)+3,0))</f>
        <v>4</v>
      </c>
      <c r="G783" s="391" t="str">
        <f t="shared" ca="1" si="118"/>
        <v/>
      </c>
      <c r="H783" s="387">
        <f t="shared" ca="1" si="114"/>
        <v>9</v>
      </c>
      <c r="I783" s="389" t="str">
        <f t="shared" ca="1" si="119"/>
        <v/>
      </c>
      <c r="J783" s="392" t="str">
        <f t="shared" ca="1" si="120"/>
        <v/>
      </c>
      <c r="K783" s="392" t="str">
        <f t="shared" ca="1" si="121"/>
        <v/>
      </c>
      <c r="L783" s="391" t="str">
        <f t="shared" ca="1" si="122"/>
        <v/>
      </c>
      <c r="M783" s="401" t="str">
        <f ca="1">IFERROR(IF(COUNTIF($B$526:$B782,"&lt;0")=1,"",OFFSET($C781,-COUNTIF($B$526:$B782,"&lt;0")+3,0)),"")</f>
        <v>a17Dm000001PuavIAC</v>
      </c>
      <c r="N783" s="401">
        <f ca="1">IFERROR(IF(AND(_xlfn.ISFORMULA(I783),NOT(_xlfn.ISFORMULA(I782))),1,OFFSET($F781,-COUNTIF($B$526:B782,"&lt;0")+3,0)),"")</f>
        <v>4</v>
      </c>
      <c r="O783" s="387">
        <f t="shared" ca="1" si="115"/>
        <v>0</v>
      </c>
      <c r="P783" s="387"/>
      <c r="Q783" s="387"/>
      <c r="R783" s="387"/>
      <c r="S783" s="387"/>
      <c r="T783" s="391"/>
    </row>
    <row r="784" spans="1:20">
      <c r="A784" s="387" t="b">
        <f t="shared" ca="1" si="116"/>
        <v>0</v>
      </c>
      <c r="B784" s="387">
        <f t="shared" ca="1" si="112"/>
        <v>22</v>
      </c>
      <c r="C784" s="404" t="str">
        <f t="shared" ca="1" si="117"/>
        <v>a17Dm000001PubPIAS</v>
      </c>
      <c r="D784" s="401"/>
      <c r="E784" s="387">
        <f t="shared" ca="1" si="113"/>
        <v>256</v>
      </c>
      <c r="F784" s="402">
        <f ca="1">IF(COUNTA(D$527:D784)=1,"",OFFSET(F782,-COUNTA(D$527:D784)+3,0))</f>
        <v>4</v>
      </c>
      <c r="G784" s="391" t="str">
        <f t="shared" ca="1" si="118"/>
        <v/>
      </c>
      <c r="H784" s="387">
        <f t="shared" ca="1" si="114"/>
        <v>9</v>
      </c>
      <c r="I784" s="389" t="str">
        <f t="shared" ca="1" si="119"/>
        <v/>
      </c>
      <c r="J784" s="392" t="str">
        <f t="shared" ca="1" si="120"/>
        <v/>
      </c>
      <c r="K784" s="392" t="str">
        <f t="shared" ca="1" si="121"/>
        <v/>
      </c>
      <c r="L784" s="391" t="str">
        <f t="shared" ca="1" si="122"/>
        <v/>
      </c>
      <c r="M784" s="401" t="str">
        <f ca="1">IFERROR(IF(COUNTIF($B$526:$B783,"&lt;0")=1,"",OFFSET($C782,-COUNTIF($B$526:$B783,"&lt;0")+3,0)),"")</f>
        <v>a17Dm000001PubPIAS</v>
      </c>
      <c r="N784" s="401">
        <f ca="1">IFERROR(IF(AND(_xlfn.ISFORMULA(I784),NOT(_xlfn.ISFORMULA(I783))),1,OFFSET($F782,-COUNTIF($B$526:B783,"&lt;0")+3,0)),"")</f>
        <v>4</v>
      </c>
      <c r="O784" s="387">
        <f t="shared" ca="1" si="115"/>
        <v>0</v>
      </c>
      <c r="P784" s="387"/>
      <c r="Q784" s="387"/>
      <c r="R784" s="387"/>
      <c r="S784" s="387"/>
      <c r="T784" s="391"/>
    </row>
    <row r="785" spans="1:20">
      <c r="A785" s="387" t="b">
        <f t="shared" ca="1" si="116"/>
        <v>0</v>
      </c>
      <c r="B785" s="387">
        <f t="shared" ref="B785:B848" ca="1" si="123">B784+1</f>
        <v>23</v>
      </c>
      <c r="C785" s="404" t="str">
        <f t="shared" ca="1" si="117"/>
        <v>a17Dm000001PubtIAC</v>
      </c>
      <c r="D785" s="401"/>
      <c r="E785" s="387">
        <f t="shared" ref="E785:E848" ca="1" si="124">IF(E784="countif",0,IF(E784=W$2,1,E784+1))</f>
        <v>257</v>
      </c>
      <c r="F785" s="402">
        <f ca="1">IF(COUNTA(D$527:D785)=1,"",OFFSET(F783,-COUNTA(D$527:D785)+3,0))</f>
        <v>4</v>
      </c>
      <c r="G785" s="391" t="str">
        <f t="shared" ca="1" si="118"/>
        <v/>
      </c>
      <c r="H785" s="387">
        <f t="shared" ref="H785:H848" ca="1" si="125">IF(B785=1,9,IF(E784=MAX(E783:E785),H783+2,H784))</f>
        <v>9</v>
      </c>
      <c r="I785" s="389" t="str">
        <f t="shared" ca="1" si="119"/>
        <v/>
      </c>
      <c r="J785" s="392" t="str">
        <f t="shared" ca="1" si="120"/>
        <v/>
      </c>
      <c r="K785" s="392" t="str">
        <f t="shared" ca="1" si="121"/>
        <v/>
      </c>
      <c r="L785" s="391" t="str">
        <f t="shared" ca="1" si="122"/>
        <v/>
      </c>
      <c r="M785" s="401" t="str">
        <f ca="1">IFERROR(IF(COUNTIF($B$526:$B784,"&lt;0")=1,"",OFFSET($C783,-COUNTIF($B$526:$B784,"&lt;0")+3,0)),"")</f>
        <v>a17Dm000001PubtIAC</v>
      </c>
      <c r="N785" s="401">
        <f ca="1">IFERROR(IF(AND(_xlfn.ISFORMULA(I785),NOT(_xlfn.ISFORMULA(I784))),1,OFFSET($F783,-COUNTIF($B$526:B784,"&lt;0")+3,0)),"")</f>
        <v>4</v>
      </c>
      <c r="O785" s="387">
        <f t="shared" ref="O785:O848" ca="1" si="126">IF(NOT(_xlfn.ISFORMULA(I785)),O784+1,0)</f>
        <v>0</v>
      </c>
      <c r="P785" s="387"/>
      <c r="Q785" s="387"/>
      <c r="R785" s="387"/>
      <c r="S785" s="387"/>
      <c r="T785" s="391"/>
    </row>
    <row r="786" spans="1:20">
      <c r="A786" s="387" t="b">
        <f t="shared" ca="1" si="116"/>
        <v>0</v>
      </c>
      <c r="B786" s="387">
        <f t="shared" ca="1" si="123"/>
        <v>24</v>
      </c>
      <c r="C786" s="404" t="str">
        <f t="shared" ca="1" si="117"/>
        <v>a17Dm000001PucNIAS</v>
      </c>
      <c r="D786" s="401"/>
      <c r="E786" s="387">
        <f t="shared" ca="1" si="124"/>
        <v>258</v>
      </c>
      <c r="F786" s="402">
        <f ca="1">IF(COUNTA(D$527:D786)=1,"",OFFSET(F784,-COUNTA(D$527:D786)+3,0))</f>
        <v>4</v>
      </c>
      <c r="G786" s="391" t="str">
        <f t="shared" ca="1" si="118"/>
        <v/>
      </c>
      <c r="H786" s="387">
        <f t="shared" ca="1" si="125"/>
        <v>9</v>
      </c>
      <c r="I786" s="389" t="str">
        <f t="shared" ca="1" si="119"/>
        <v/>
      </c>
      <c r="J786" s="392" t="str">
        <f t="shared" ca="1" si="120"/>
        <v/>
      </c>
      <c r="K786" s="392" t="str">
        <f t="shared" ca="1" si="121"/>
        <v/>
      </c>
      <c r="L786" s="391" t="str">
        <f t="shared" ca="1" si="122"/>
        <v/>
      </c>
      <c r="M786" s="401" t="str">
        <f ca="1">IFERROR(IF(COUNTIF($B$526:$B785,"&lt;0")=1,"",OFFSET($C784,-COUNTIF($B$526:$B785,"&lt;0")+3,0)),"")</f>
        <v>a17Dm000001PucNIAS</v>
      </c>
      <c r="N786" s="401">
        <f ca="1">IFERROR(IF(AND(_xlfn.ISFORMULA(I786),NOT(_xlfn.ISFORMULA(I785))),1,OFFSET($F784,-COUNTIF($B$526:B785,"&lt;0")+3,0)),"")</f>
        <v>4</v>
      </c>
      <c r="O786" s="387">
        <f t="shared" ca="1" si="126"/>
        <v>0</v>
      </c>
      <c r="P786" s="387"/>
      <c r="Q786" s="387"/>
      <c r="R786" s="387"/>
      <c r="S786" s="387"/>
      <c r="T786" s="391"/>
    </row>
    <row r="787" spans="1:20">
      <c r="A787" s="387" t="b">
        <f t="shared" ca="1" si="116"/>
        <v>0</v>
      </c>
      <c r="B787" s="387">
        <f t="shared" ca="1" si="123"/>
        <v>25</v>
      </c>
      <c r="C787" s="404" t="str">
        <f t="shared" ca="1" si="117"/>
        <v>a17Dm000001PuZyIAK</v>
      </c>
      <c r="D787" s="401"/>
      <c r="E787" s="387">
        <f t="shared" ca="1" si="124"/>
        <v>259</v>
      </c>
      <c r="F787" s="402">
        <f ca="1">IF(COUNTA(D$527:D787)=1,"",OFFSET(F785,-COUNTA(D$527:D787)+3,0))</f>
        <v>5</v>
      </c>
      <c r="G787" s="391" t="str">
        <f t="shared" ca="1" si="118"/>
        <v/>
      </c>
      <c r="H787" s="387">
        <f t="shared" ca="1" si="125"/>
        <v>9</v>
      </c>
      <c r="I787" s="389" t="str">
        <f t="shared" ca="1" si="119"/>
        <v/>
      </c>
      <c r="J787" s="392" t="str">
        <f t="shared" ca="1" si="120"/>
        <v/>
      </c>
      <c r="K787" s="392" t="str">
        <f t="shared" ca="1" si="121"/>
        <v/>
      </c>
      <c r="L787" s="391" t="str">
        <f t="shared" ca="1" si="122"/>
        <v/>
      </c>
      <c r="M787" s="401" t="str">
        <f ca="1">IFERROR(IF(COUNTIF($B$526:$B786,"&lt;0")=1,"",OFFSET($C785,-COUNTIF($B$526:$B786,"&lt;0")+3,0)),"")</f>
        <v>a17Dm000001PuZyIAK</v>
      </c>
      <c r="N787" s="401">
        <f ca="1">IFERROR(IF(AND(_xlfn.ISFORMULA(I787),NOT(_xlfn.ISFORMULA(I786))),1,OFFSET($F785,-COUNTIF($B$526:B786,"&lt;0")+3,0)),"")</f>
        <v>5</v>
      </c>
      <c r="O787" s="387">
        <f t="shared" ca="1" si="126"/>
        <v>0</v>
      </c>
      <c r="P787" s="387"/>
      <c r="Q787" s="387"/>
      <c r="R787" s="387"/>
      <c r="S787" s="387"/>
      <c r="T787" s="391"/>
    </row>
    <row r="788" spans="1:20">
      <c r="A788" s="387" t="b">
        <f t="shared" ca="1" si="116"/>
        <v>0</v>
      </c>
      <c r="B788" s="387">
        <f t="shared" ca="1" si="123"/>
        <v>26</v>
      </c>
      <c r="C788" s="404" t="str">
        <f t="shared" ca="1" si="117"/>
        <v>a17Dm000001PuaSIAS</v>
      </c>
      <c r="D788" s="401"/>
      <c r="E788" s="387">
        <f t="shared" ca="1" si="124"/>
        <v>260</v>
      </c>
      <c r="F788" s="402">
        <f ca="1">IF(COUNTA(D$527:D788)=1,"",OFFSET(F786,-COUNTA(D$527:D788)+3,0))</f>
        <v>5</v>
      </c>
      <c r="G788" s="391" t="str">
        <f t="shared" ca="1" si="118"/>
        <v/>
      </c>
      <c r="H788" s="387">
        <f t="shared" ca="1" si="125"/>
        <v>9</v>
      </c>
      <c r="I788" s="389" t="str">
        <f t="shared" ca="1" si="119"/>
        <v/>
      </c>
      <c r="J788" s="392" t="str">
        <f t="shared" ca="1" si="120"/>
        <v/>
      </c>
      <c r="K788" s="392" t="str">
        <f t="shared" ca="1" si="121"/>
        <v/>
      </c>
      <c r="L788" s="391" t="str">
        <f t="shared" ca="1" si="122"/>
        <v/>
      </c>
      <c r="M788" s="401" t="str">
        <f ca="1">IFERROR(IF(COUNTIF($B$526:$B787,"&lt;0")=1,"",OFFSET($C786,-COUNTIF($B$526:$B787,"&lt;0")+3,0)),"")</f>
        <v>a17Dm000001PuaSIAS</v>
      </c>
      <c r="N788" s="401">
        <f ca="1">IFERROR(IF(AND(_xlfn.ISFORMULA(I788),NOT(_xlfn.ISFORMULA(I787))),1,OFFSET($F786,-COUNTIF($B$526:B787,"&lt;0")+3,0)),"")</f>
        <v>5</v>
      </c>
      <c r="O788" s="387">
        <f t="shared" ca="1" si="126"/>
        <v>0</v>
      </c>
      <c r="P788" s="387"/>
      <c r="Q788" s="387"/>
      <c r="R788" s="387"/>
      <c r="S788" s="387"/>
      <c r="T788" s="391"/>
    </row>
    <row r="789" spans="1:20">
      <c r="A789" s="387" t="b">
        <f t="shared" ca="1" si="116"/>
        <v>0</v>
      </c>
      <c r="B789" s="387">
        <f t="shared" ca="1" si="123"/>
        <v>27</v>
      </c>
      <c r="C789" s="404" t="str">
        <f t="shared" ca="1" si="117"/>
        <v>a17Dm000001PuawIAC</v>
      </c>
      <c r="D789" s="401"/>
      <c r="E789" s="387">
        <f t="shared" ca="1" si="124"/>
        <v>261</v>
      </c>
      <c r="F789" s="402">
        <f ca="1">IF(COUNTA(D$527:D789)=1,"",OFFSET(F787,-COUNTA(D$527:D789)+3,0))</f>
        <v>5</v>
      </c>
      <c r="G789" s="391" t="str">
        <f t="shared" ca="1" si="118"/>
        <v/>
      </c>
      <c r="H789" s="387">
        <f t="shared" ca="1" si="125"/>
        <v>9</v>
      </c>
      <c r="I789" s="389" t="str">
        <f t="shared" ca="1" si="119"/>
        <v/>
      </c>
      <c r="J789" s="392" t="str">
        <f t="shared" ca="1" si="120"/>
        <v/>
      </c>
      <c r="K789" s="392" t="str">
        <f t="shared" ca="1" si="121"/>
        <v/>
      </c>
      <c r="L789" s="391" t="str">
        <f t="shared" ca="1" si="122"/>
        <v/>
      </c>
      <c r="M789" s="401" t="str">
        <f ca="1">IFERROR(IF(COUNTIF($B$526:$B788,"&lt;0")=1,"",OFFSET($C787,-COUNTIF($B$526:$B788,"&lt;0")+3,0)),"")</f>
        <v>a17Dm000001PuawIAC</v>
      </c>
      <c r="N789" s="401">
        <f ca="1">IFERROR(IF(AND(_xlfn.ISFORMULA(I789),NOT(_xlfn.ISFORMULA(I788))),1,OFFSET($F787,-COUNTIF($B$526:B788,"&lt;0")+3,0)),"")</f>
        <v>5</v>
      </c>
      <c r="O789" s="387">
        <f t="shared" ca="1" si="126"/>
        <v>0</v>
      </c>
      <c r="P789" s="387"/>
      <c r="Q789" s="387"/>
      <c r="R789" s="387"/>
      <c r="S789" s="387"/>
      <c r="T789" s="391"/>
    </row>
    <row r="790" spans="1:20">
      <c r="A790" s="387" t="b">
        <f t="shared" ca="1" si="116"/>
        <v>0</v>
      </c>
      <c r="B790" s="387">
        <f t="shared" ca="1" si="123"/>
        <v>28</v>
      </c>
      <c r="C790" s="404" t="str">
        <f t="shared" ca="1" si="117"/>
        <v>a17Dm000001PubQIAS</v>
      </c>
      <c r="D790" s="401"/>
      <c r="E790" s="387">
        <f t="shared" ca="1" si="124"/>
        <v>262</v>
      </c>
      <c r="F790" s="402">
        <f ca="1">IF(COUNTA(D$527:D790)=1,"",OFFSET(F788,-COUNTA(D$527:D790)+3,0))</f>
        <v>5</v>
      </c>
      <c r="G790" s="391" t="str">
        <f t="shared" ca="1" si="118"/>
        <v/>
      </c>
      <c r="H790" s="387">
        <f t="shared" ca="1" si="125"/>
        <v>9</v>
      </c>
      <c r="I790" s="389" t="str">
        <f t="shared" ca="1" si="119"/>
        <v/>
      </c>
      <c r="J790" s="392" t="str">
        <f t="shared" ca="1" si="120"/>
        <v/>
      </c>
      <c r="K790" s="392" t="str">
        <f t="shared" ca="1" si="121"/>
        <v/>
      </c>
      <c r="L790" s="391" t="str">
        <f t="shared" ca="1" si="122"/>
        <v/>
      </c>
      <c r="M790" s="401" t="str">
        <f ca="1">IFERROR(IF(COUNTIF($B$526:$B789,"&lt;0")=1,"",OFFSET($C788,-COUNTIF($B$526:$B789,"&lt;0")+3,0)),"")</f>
        <v>a17Dm000001PubQIAS</v>
      </c>
      <c r="N790" s="401">
        <f ca="1">IFERROR(IF(AND(_xlfn.ISFORMULA(I790),NOT(_xlfn.ISFORMULA(I789))),1,OFFSET($F788,-COUNTIF($B$526:B789,"&lt;0")+3,0)),"")</f>
        <v>5</v>
      </c>
      <c r="O790" s="387">
        <f t="shared" ca="1" si="126"/>
        <v>0</v>
      </c>
      <c r="P790" s="387"/>
      <c r="Q790" s="387"/>
      <c r="R790" s="387"/>
      <c r="S790" s="387"/>
      <c r="T790" s="391"/>
    </row>
    <row r="791" spans="1:20">
      <c r="A791" s="387" t="b">
        <f t="shared" ca="1" si="116"/>
        <v>0</v>
      </c>
      <c r="B791" s="387">
        <f t="shared" ca="1" si="123"/>
        <v>29</v>
      </c>
      <c r="C791" s="404" t="str">
        <f t="shared" ca="1" si="117"/>
        <v>a17Dm000001PubuIAC</v>
      </c>
      <c r="D791" s="401"/>
      <c r="E791" s="387">
        <f t="shared" ca="1" si="124"/>
        <v>263</v>
      </c>
      <c r="F791" s="402">
        <f ca="1">IF(COUNTA(D$527:D791)=1,"",OFFSET(F789,-COUNTA(D$527:D791)+3,0))</f>
        <v>5</v>
      </c>
      <c r="G791" s="391" t="str">
        <f t="shared" ca="1" si="118"/>
        <v/>
      </c>
      <c r="H791" s="387">
        <f t="shared" ca="1" si="125"/>
        <v>9</v>
      </c>
      <c r="I791" s="389" t="str">
        <f t="shared" ca="1" si="119"/>
        <v/>
      </c>
      <c r="J791" s="392" t="str">
        <f t="shared" ca="1" si="120"/>
        <v/>
      </c>
      <c r="K791" s="392" t="str">
        <f t="shared" ca="1" si="121"/>
        <v/>
      </c>
      <c r="L791" s="391" t="str">
        <f t="shared" ca="1" si="122"/>
        <v/>
      </c>
      <c r="M791" s="401" t="str">
        <f ca="1">IFERROR(IF(COUNTIF($B$526:$B790,"&lt;0")=1,"",OFFSET($C789,-COUNTIF($B$526:$B790,"&lt;0")+3,0)),"")</f>
        <v>a17Dm000001PubuIAC</v>
      </c>
      <c r="N791" s="401">
        <f ca="1">IFERROR(IF(AND(_xlfn.ISFORMULA(I791),NOT(_xlfn.ISFORMULA(I790))),1,OFFSET($F789,-COUNTIF($B$526:B790,"&lt;0")+3,0)),"")</f>
        <v>5</v>
      </c>
      <c r="O791" s="387">
        <f t="shared" ca="1" si="126"/>
        <v>0</v>
      </c>
      <c r="P791" s="387"/>
      <c r="Q791" s="387"/>
      <c r="R791" s="387"/>
      <c r="S791" s="387"/>
      <c r="T791" s="391"/>
    </row>
    <row r="792" spans="1:20">
      <c r="A792" s="387" t="b">
        <f t="shared" ca="1" si="116"/>
        <v>0</v>
      </c>
      <c r="B792" s="387">
        <f t="shared" ca="1" si="123"/>
        <v>30</v>
      </c>
      <c r="C792" s="404" t="str">
        <f t="shared" ca="1" si="117"/>
        <v>a17Dm000001PucOIAS</v>
      </c>
      <c r="D792" s="401"/>
      <c r="E792" s="387">
        <f t="shared" ca="1" si="124"/>
        <v>264</v>
      </c>
      <c r="F792" s="402">
        <f ca="1">IF(COUNTA(D$527:D792)=1,"",OFFSET(F790,-COUNTA(D$527:D792)+3,0))</f>
        <v>5</v>
      </c>
      <c r="G792" s="391" t="str">
        <f t="shared" ca="1" si="118"/>
        <v/>
      </c>
      <c r="H792" s="387">
        <f t="shared" ca="1" si="125"/>
        <v>9</v>
      </c>
      <c r="I792" s="389" t="str">
        <f t="shared" ca="1" si="119"/>
        <v/>
      </c>
      <c r="J792" s="392" t="str">
        <f t="shared" ca="1" si="120"/>
        <v/>
      </c>
      <c r="K792" s="392" t="str">
        <f t="shared" ca="1" si="121"/>
        <v/>
      </c>
      <c r="L792" s="391" t="str">
        <f t="shared" ca="1" si="122"/>
        <v/>
      </c>
      <c r="M792" s="401" t="str">
        <f ca="1">IFERROR(IF(COUNTIF($B$526:$B791,"&lt;0")=1,"",OFFSET($C790,-COUNTIF($B$526:$B791,"&lt;0")+3,0)),"")</f>
        <v>a17Dm000001PucOIAS</v>
      </c>
      <c r="N792" s="401">
        <f ca="1">IFERROR(IF(AND(_xlfn.ISFORMULA(I792),NOT(_xlfn.ISFORMULA(I791))),1,OFFSET($F790,-COUNTIF($B$526:B791,"&lt;0")+3,0)),"")</f>
        <v>5</v>
      </c>
      <c r="O792" s="387">
        <f t="shared" ca="1" si="126"/>
        <v>0</v>
      </c>
      <c r="P792" s="387"/>
      <c r="Q792" s="387"/>
      <c r="R792" s="387"/>
      <c r="S792" s="387"/>
      <c r="T792" s="391"/>
    </row>
    <row r="793" spans="1:20">
      <c r="A793" s="387" t="b">
        <f t="shared" ca="1" si="116"/>
        <v>0</v>
      </c>
      <c r="B793" s="387">
        <f t="shared" ca="1" si="123"/>
        <v>31</v>
      </c>
      <c r="C793" s="404" t="str">
        <f t="shared" ca="1" si="117"/>
        <v>a17Dm000001PuZzIAK</v>
      </c>
      <c r="D793" s="401"/>
      <c r="E793" s="387">
        <f t="shared" ca="1" si="124"/>
        <v>265</v>
      </c>
      <c r="F793" s="402">
        <f ca="1">IF(COUNTA(D$527:D793)=1,"",OFFSET(F791,-COUNTA(D$527:D793)+3,0))</f>
        <v>6</v>
      </c>
      <c r="G793" s="391" t="str">
        <f t="shared" ca="1" si="118"/>
        <v/>
      </c>
      <c r="H793" s="387">
        <f t="shared" ca="1" si="125"/>
        <v>9</v>
      </c>
      <c r="I793" s="389" t="str">
        <f t="shared" ca="1" si="119"/>
        <v/>
      </c>
      <c r="J793" s="392" t="str">
        <f t="shared" ca="1" si="120"/>
        <v/>
      </c>
      <c r="K793" s="392" t="str">
        <f t="shared" ca="1" si="121"/>
        <v/>
      </c>
      <c r="L793" s="391" t="str">
        <f t="shared" ca="1" si="122"/>
        <v/>
      </c>
      <c r="M793" s="401" t="str">
        <f ca="1">IFERROR(IF(COUNTIF($B$526:$B792,"&lt;0")=1,"",OFFSET($C791,-COUNTIF($B$526:$B792,"&lt;0")+3,0)),"")</f>
        <v>a17Dm000001PuZzIAK</v>
      </c>
      <c r="N793" s="401">
        <f ca="1">IFERROR(IF(AND(_xlfn.ISFORMULA(I793),NOT(_xlfn.ISFORMULA(I792))),1,OFFSET($F791,-COUNTIF($B$526:B792,"&lt;0")+3,0)),"")</f>
        <v>6</v>
      </c>
      <c r="O793" s="387">
        <f t="shared" ca="1" si="126"/>
        <v>0</v>
      </c>
      <c r="P793" s="387"/>
      <c r="Q793" s="387"/>
      <c r="R793" s="387"/>
      <c r="S793" s="387"/>
      <c r="T793" s="391"/>
    </row>
    <row r="794" spans="1:20">
      <c r="A794" s="387" t="b">
        <f t="shared" ca="1" si="116"/>
        <v>0</v>
      </c>
      <c r="B794" s="387">
        <f t="shared" ca="1" si="123"/>
        <v>32</v>
      </c>
      <c r="C794" s="404" t="str">
        <f t="shared" ca="1" si="117"/>
        <v>a17Dm000001PuaTIAS</v>
      </c>
      <c r="D794" s="401"/>
      <c r="E794" s="387">
        <f t="shared" ca="1" si="124"/>
        <v>266</v>
      </c>
      <c r="F794" s="402">
        <f ca="1">IF(COUNTA(D$527:D794)=1,"",OFFSET(F792,-COUNTA(D$527:D794)+3,0))</f>
        <v>6</v>
      </c>
      <c r="G794" s="391" t="str">
        <f t="shared" ca="1" si="118"/>
        <v/>
      </c>
      <c r="H794" s="387">
        <f t="shared" ca="1" si="125"/>
        <v>9</v>
      </c>
      <c r="I794" s="389" t="str">
        <f t="shared" ca="1" si="119"/>
        <v/>
      </c>
      <c r="J794" s="392" t="str">
        <f t="shared" ca="1" si="120"/>
        <v/>
      </c>
      <c r="K794" s="392" t="str">
        <f t="shared" ca="1" si="121"/>
        <v/>
      </c>
      <c r="L794" s="391" t="str">
        <f t="shared" ca="1" si="122"/>
        <v/>
      </c>
      <c r="M794" s="401" t="str">
        <f ca="1">IFERROR(IF(COUNTIF($B$526:$B793,"&lt;0")=1,"",OFFSET($C792,-COUNTIF($B$526:$B793,"&lt;0")+3,0)),"")</f>
        <v>a17Dm000001PuaTIAS</v>
      </c>
      <c r="N794" s="401">
        <f ca="1">IFERROR(IF(AND(_xlfn.ISFORMULA(I794),NOT(_xlfn.ISFORMULA(I793))),1,OFFSET($F792,-COUNTIF($B$526:B793,"&lt;0")+3,0)),"")</f>
        <v>6</v>
      </c>
      <c r="O794" s="387">
        <f t="shared" ca="1" si="126"/>
        <v>0</v>
      </c>
      <c r="P794" s="387"/>
      <c r="Q794" s="387"/>
      <c r="R794" s="387"/>
      <c r="S794" s="387"/>
      <c r="T794" s="391"/>
    </row>
    <row r="795" spans="1:20">
      <c r="A795" s="387" t="b">
        <f t="shared" ca="1" si="116"/>
        <v>0</v>
      </c>
      <c r="B795" s="387">
        <f t="shared" ca="1" si="123"/>
        <v>33</v>
      </c>
      <c r="C795" s="404" t="str">
        <f t="shared" ca="1" si="117"/>
        <v>a17Dm000001PuaxIAC</v>
      </c>
      <c r="D795" s="401"/>
      <c r="E795" s="387">
        <f t="shared" ca="1" si="124"/>
        <v>267</v>
      </c>
      <c r="F795" s="402">
        <f ca="1">IF(COUNTA(D$527:D795)=1,"",OFFSET(F793,-COUNTA(D$527:D795)+3,0))</f>
        <v>6</v>
      </c>
      <c r="G795" s="391" t="str">
        <f t="shared" ca="1" si="118"/>
        <v/>
      </c>
      <c r="H795" s="387">
        <f t="shared" ca="1" si="125"/>
        <v>9</v>
      </c>
      <c r="I795" s="389" t="str">
        <f t="shared" ca="1" si="119"/>
        <v/>
      </c>
      <c r="J795" s="392" t="str">
        <f t="shared" ca="1" si="120"/>
        <v/>
      </c>
      <c r="K795" s="392" t="str">
        <f t="shared" ca="1" si="121"/>
        <v/>
      </c>
      <c r="L795" s="391" t="str">
        <f t="shared" ca="1" si="122"/>
        <v/>
      </c>
      <c r="M795" s="401" t="str">
        <f ca="1">IFERROR(IF(COUNTIF($B$526:$B794,"&lt;0")=1,"",OFFSET($C793,-COUNTIF($B$526:$B794,"&lt;0")+3,0)),"")</f>
        <v>a17Dm000001PuaxIAC</v>
      </c>
      <c r="N795" s="401">
        <f ca="1">IFERROR(IF(AND(_xlfn.ISFORMULA(I795),NOT(_xlfn.ISFORMULA(I794))),1,OFFSET($F793,-COUNTIF($B$526:B794,"&lt;0")+3,0)),"")</f>
        <v>6</v>
      </c>
      <c r="O795" s="387">
        <f t="shared" ca="1" si="126"/>
        <v>0</v>
      </c>
      <c r="P795" s="387"/>
      <c r="Q795" s="387"/>
      <c r="R795" s="387"/>
      <c r="S795" s="387"/>
      <c r="T795" s="391"/>
    </row>
    <row r="796" spans="1:20">
      <c r="A796" s="387" t="b">
        <f t="shared" ca="1" si="116"/>
        <v>0</v>
      </c>
      <c r="B796" s="387">
        <f t="shared" ca="1" si="123"/>
        <v>34</v>
      </c>
      <c r="C796" s="404" t="str">
        <f t="shared" ca="1" si="117"/>
        <v>a17Dm000001PubRIAS</v>
      </c>
      <c r="D796" s="401"/>
      <c r="E796" s="387">
        <f t="shared" ca="1" si="124"/>
        <v>268</v>
      </c>
      <c r="F796" s="402">
        <f ca="1">IF(COUNTA(D$527:D796)=1,"",OFFSET(F794,-COUNTA(D$527:D796)+3,0))</f>
        <v>6</v>
      </c>
      <c r="G796" s="391" t="str">
        <f t="shared" ca="1" si="118"/>
        <v/>
      </c>
      <c r="H796" s="387">
        <f t="shared" ca="1" si="125"/>
        <v>9</v>
      </c>
      <c r="I796" s="389" t="str">
        <f t="shared" ca="1" si="119"/>
        <v/>
      </c>
      <c r="J796" s="392" t="str">
        <f t="shared" ca="1" si="120"/>
        <v/>
      </c>
      <c r="K796" s="392" t="str">
        <f t="shared" ca="1" si="121"/>
        <v/>
      </c>
      <c r="L796" s="391" t="str">
        <f t="shared" ca="1" si="122"/>
        <v/>
      </c>
      <c r="M796" s="401" t="str">
        <f ca="1">IFERROR(IF(COUNTIF($B$526:$B795,"&lt;0")=1,"",OFFSET($C794,-COUNTIF($B$526:$B795,"&lt;0")+3,0)),"")</f>
        <v>a17Dm000001PubRIAS</v>
      </c>
      <c r="N796" s="401">
        <f ca="1">IFERROR(IF(AND(_xlfn.ISFORMULA(I796),NOT(_xlfn.ISFORMULA(I795))),1,OFFSET($F794,-COUNTIF($B$526:B795,"&lt;0")+3,0)),"")</f>
        <v>6</v>
      </c>
      <c r="O796" s="387">
        <f t="shared" ca="1" si="126"/>
        <v>0</v>
      </c>
      <c r="P796" s="387"/>
      <c r="Q796" s="387"/>
      <c r="R796" s="387"/>
      <c r="S796" s="387"/>
      <c r="T796" s="391"/>
    </row>
    <row r="797" spans="1:20">
      <c r="A797" s="387" t="b">
        <f t="shared" ca="1" si="116"/>
        <v>0</v>
      </c>
      <c r="B797" s="387">
        <f t="shared" ca="1" si="123"/>
        <v>35</v>
      </c>
      <c r="C797" s="404" t="str">
        <f t="shared" ca="1" si="117"/>
        <v>a17Dm000001PubvIAC</v>
      </c>
      <c r="D797" s="401"/>
      <c r="E797" s="387">
        <f t="shared" ca="1" si="124"/>
        <v>269</v>
      </c>
      <c r="F797" s="402">
        <f ca="1">IF(COUNTA(D$527:D797)=1,"",OFFSET(F795,-COUNTA(D$527:D797)+3,0))</f>
        <v>6</v>
      </c>
      <c r="G797" s="391" t="str">
        <f t="shared" ca="1" si="118"/>
        <v/>
      </c>
      <c r="H797" s="387">
        <f t="shared" ca="1" si="125"/>
        <v>9</v>
      </c>
      <c r="I797" s="389" t="str">
        <f t="shared" ca="1" si="119"/>
        <v/>
      </c>
      <c r="J797" s="392" t="str">
        <f t="shared" ca="1" si="120"/>
        <v/>
      </c>
      <c r="K797" s="392" t="str">
        <f t="shared" ca="1" si="121"/>
        <v/>
      </c>
      <c r="L797" s="391" t="str">
        <f t="shared" ca="1" si="122"/>
        <v/>
      </c>
      <c r="M797" s="401" t="str">
        <f ca="1">IFERROR(IF(COUNTIF($B$526:$B796,"&lt;0")=1,"",OFFSET($C795,-COUNTIF($B$526:$B796,"&lt;0")+3,0)),"")</f>
        <v>a17Dm000001PubvIAC</v>
      </c>
      <c r="N797" s="401">
        <f ca="1">IFERROR(IF(AND(_xlfn.ISFORMULA(I797),NOT(_xlfn.ISFORMULA(I796))),1,OFFSET($F795,-COUNTIF($B$526:B796,"&lt;0")+3,0)),"")</f>
        <v>6</v>
      </c>
      <c r="O797" s="387">
        <f t="shared" ca="1" si="126"/>
        <v>0</v>
      </c>
      <c r="P797" s="387"/>
      <c r="Q797" s="387"/>
      <c r="R797" s="387"/>
      <c r="S797" s="387"/>
      <c r="T797" s="391"/>
    </row>
    <row r="798" spans="1:20">
      <c r="A798" s="387" t="b">
        <f t="shared" ca="1" si="116"/>
        <v>0</v>
      </c>
      <c r="B798" s="387">
        <f t="shared" ca="1" si="123"/>
        <v>36</v>
      </c>
      <c r="C798" s="404" t="str">
        <f t="shared" ca="1" si="117"/>
        <v>a17Dm000001PucPIAS</v>
      </c>
      <c r="D798" s="401"/>
      <c r="E798" s="387">
        <f t="shared" ca="1" si="124"/>
        <v>270</v>
      </c>
      <c r="F798" s="402">
        <f ca="1">IF(COUNTA(D$527:D798)=1,"",OFFSET(F796,-COUNTA(D$527:D798)+3,0))</f>
        <v>6</v>
      </c>
      <c r="G798" s="391" t="str">
        <f t="shared" ca="1" si="118"/>
        <v/>
      </c>
      <c r="H798" s="387">
        <f t="shared" ca="1" si="125"/>
        <v>9</v>
      </c>
      <c r="I798" s="389" t="str">
        <f t="shared" ca="1" si="119"/>
        <v/>
      </c>
      <c r="J798" s="392" t="str">
        <f t="shared" ca="1" si="120"/>
        <v/>
      </c>
      <c r="K798" s="392" t="str">
        <f t="shared" ca="1" si="121"/>
        <v/>
      </c>
      <c r="L798" s="391" t="str">
        <f t="shared" ca="1" si="122"/>
        <v/>
      </c>
      <c r="M798" s="401" t="str">
        <f ca="1">IFERROR(IF(COUNTIF($B$526:$B797,"&lt;0")=1,"",OFFSET($C796,-COUNTIF($B$526:$B797,"&lt;0")+3,0)),"")</f>
        <v>a17Dm000001PucPIAS</v>
      </c>
      <c r="N798" s="401">
        <f ca="1">IFERROR(IF(AND(_xlfn.ISFORMULA(I798),NOT(_xlfn.ISFORMULA(I797))),1,OFFSET($F796,-COUNTIF($B$526:B797,"&lt;0")+3,0)),"")</f>
        <v>6</v>
      </c>
      <c r="O798" s="387">
        <f t="shared" ca="1" si="126"/>
        <v>0</v>
      </c>
      <c r="P798" s="387"/>
      <c r="Q798" s="387"/>
      <c r="R798" s="387"/>
      <c r="S798" s="387"/>
      <c r="T798" s="391"/>
    </row>
    <row r="799" spans="1:20">
      <c r="A799" s="387" t="b">
        <f t="shared" ca="1" si="116"/>
        <v>0</v>
      </c>
      <c r="B799" s="387">
        <f t="shared" ca="1" si="123"/>
        <v>37</v>
      </c>
      <c r="C799" s="404" t="str">
        <f t="shared" ca="1" si="117"/>
        <v>a17Dm000001Pua0IAC</v>
      </c>
      <c r="D799" s="401"/>
      <c r="E799" s="387">
        <f t="shared" ca="1" si="124"/>
        <v>271</v>
      </c>
      <c r="F799" s="402">
        <f ca="1">IF(COUNTA(D$527:D799)=1,"",OFFSET(F797,-COUNTA(D$527:D799)+3,0))</f>
        <v>7</v>
      </c>
      <c r="G799" s="391" t="str">
        <f t="shared" ca="1" si="118"/>
        <v/>
      </c>
      <c r="H799" s="387">
        <f t="shared" ca="1" si="125"/>
        <v>9</v>
      </c>
      <c r="I799" s="389" t="str">
        <f t="shared" ca="1" si="119"/>
        <v/>
      </c>
      <c r="J799" s="392" t="str">
        <f t="shared" ca="1" si="120"/>
        <v/>
      </c>
      <c r="K799" s="392" t="str">
        <f t="shared" ca="1" si="121"/>
        <v/>
      </c>
      <c r="L799" s="391" t="str">
        <f t="shared" ca="1" si="122"/>
        <v/>
      </c>
      <c r="M799" s="401" t="str">
        <f ca="1">IFERROR(IF(COUNTIF($B$526:$B798,"&lt;0")=1,"",OFFSET($C797,-COUNTIF($B$526:$B798,"&lt;0")+3,0)),"")</f>
        <v>a17Dm000001Pua0IAC</v>
      </c>
      <c r="N799" s="401">
        <f ca="1">IFERROR(IF(AND(_xlfn.ISFORMULA(I799),NOT(_xlfn.ISFORMULA(I798))),1,OFFSET($F797,-COUNTIF($B$526:B798,"&lt;0")+3,0)),"")</f>
        <v>7</v>
      </c>
      <c r="O799" s="387">
        <f t="shared" ca="1" si="126"/>
        <v>0</v>
      </c>
      <c r="P799" s="387"/>
      <c r="Q799" s="387"/>
      <c r="R799" s="387"/>
      <c r="S799" s="387"/>
      <c r="T799" s="391"/>
    </row>
    <row r="800" spans="1:20">
      <c r="A800" s="387" t="b">
        <f t="shared" ca="1" si="116"/>
        <v>0</v>
      </c>
      <c r="B800" s="387">
        <f t="shared" ca="1" si="123"/>
        <v>38</v>
      </c>
      <c r="C800" s="404" t="str">
        <f t="shared" ca="1" si="117"/>
        <v>a17Dm000001PuaUIAS</v>
      </c>
      <c r="D800" s="401"/>
      <c r="E800" s="387">
        <f t="shared" ca="1" si="124"/>
        <v>272</v>
      </c>
      <c r="F800" s="402">
        <f ca="1">IF(COUNTA(D$527:D800)=1,"",OFFSET(F798,-COUNTA(D$527:D800)+3,0))</f>
        <v>7</v>
      </c>
      <c r="G800" s="391" t="str">
        <f t="shared" ca="1" si="118"/>
        <v/>
      </c>
      <c r="H800" s="387">
        <f t="shared" ca="1" si="125"/>
        <v>9</v>
      </c>
      <c r="I800" s="389" t="str">
        <f t="shared" ca="1" si="119"/>
        <v/>
      </c>
      <c r="J800" s="392" t="str">
        <f t="shared" ca="1" si="120"/>
        <v/>
      </c>
      <c r="K800" s="392" t="str">
        <f t="shared" ca="1" si="121"/>
        <v/>
      </c>
      <c r="L800" s="391" t="str">
        <f t="shared" ca="1" si="122"/>
        <v/>
      </c>
      <c r="M800" s="401" t="str">
        <f ca="1">IFERROR(IF(COUNTIF($B$526:$B799,"&lt;0")=1,"",OFFSET($C798,-COUNTIF($B$526:$B799,"&lt;0")+3,0)),"")</f>
        <v>a17Dm000001PuaUIAS</v>
      </c>
      <c r="N800" s="401">
        <f ca="1">IFERROR(IF(AND(_xlfn.ISFORMULA(I800),NOT(_xlfn.ISFORMULA(I799))),1,OFFSET($F798,-COUNTIF($B$526:B799,"&lt;0")+3,0)),"")</f>
        <v>7</v>
      </c>
      <c r="O800" s="387">
        <f t="shared" ca="1" si="126"/>
        <v>0</v>
      </c>
      <c r="P800" s="387"/>
      <c r="Q800" s="387"/>
      <c r="R800" s="387"/>
      <c r="S800" s="387"/>
      <c r="T800" s="391"/>
    </row>
    <row r="801" spans="1:20">
      <c r="A801" s="387" t="b">
        <f t="shared" ca="1" si="116"/>
        <v>0</v>
      </c>
      <c r="B801" s="387">
        <f t="shared" ca="1" si="123"/>
        <v>39</v>
      </c>
      <c r="C801" s="404" t="str">
        <f t="shared" ca="1" si="117"/>
        <v>a17Dm000001PuayIAC</v>
      </c>
      <c r="D801" s="401"/>
      <c r="E801" s="387">
        <f t="shared" ca="1" si="124"/>
        <v>273</v>
      </c>
      <c r="F801" s="402">
        <f ca="1">IF(COUNTA(D$527:D801)=1,"",OFFSET(F799,-COUNTA(D$527:D801)+3,0))</f>
        <v>7</v>
      </c>
      <c r="G801" s="391" t="str">
        <f t="shared" ca="1" si="118"/>
        <v/>
      </c>
      <c r="H801" s="387">
        <f t="shared" ca="1" si="125"/>
        <v>9</v>
      </c>
      <c r="I801" s="389" t="str">
        <f t="shared" ca="1" si="119"/>
        <v/>
      </c>
      <c r="J801" s="392" t="str">
        <f t="shared" ca="1" si="120"/>
        <v/>
      </c>
      <c r="K801" s="392" t="str">
        <f t="shared" ca="1" si="121"/>
        <v/>
      </c>
      <c r="L801" s="391" t="str">
        <f t="shared" ca="1" si="122"/>
        <v/>
      </c>
      <c r="M801" s="401" t="str">
        <f ca="1">IFERROR(IF(COUNTIF($B$526:$B800,"&lt;0")=1,"",OFFSET($C799,-COUNTIF($B$526:$B800,"&lt;0")+3,0)),"")</f>
        <v>a17Dm000001PuayIAC</v>
      </c>
      <c r="N801" s="401">
        <f ca="1">IFERROR(IF(AND(_xlfn.ISFORMULA(I801),NOT(_xlfn.ISFORMULA(I800))),1,OFFSET($F799,-COUNTIF($B$526:B800,"&lt;0")+3,0)),"")</f>
        <v>7</v>
      </c>
      <c r="O801" s="387">
        <f t="shared" ca="1" si="126"/>
        <v>0</v>
      </c>
      <c r="P801" s="387"/>
      <c r="Q801" s="387"/>
      <c r="R801" s="387"/>
      <c r="S801" s="387"/>
      <c r="T801" s="391"/>
    </row>
    <row r="802" spans="1:20">
      <c r="A802" s="387" t="b">
        <f t="shared" ca="1" si="116"/>
        <v>0</v>
      </c>
      <c r="B802" s="387">
        <f t="shared" ca="1" si="123"/>
        <v>40</v>
      </c>
      <c r="C802" s="404" t="str">
        <f t="shared" ca="1" si="117"/>
        <v>a17Dm000001PubSIAS</v>
      </c>
      <c r="D802" s="401"/>
      <c r="E802" s="387">
        <f t="shared" ca="1" si="124"/>
        <v>274</v>
      </c>
      <c r="F802" s="402">
        <f ca="1">IF(COUNTA(D$527:D802)=1,"",OFFSET(F800,-COUNTA(D$527:D802)+3,0))</f>
        <v>7</v>
      </c>
      <c r="G802" s="391" t="str">
        <f t="shared" ca="1" si="118"/>
        <v/>
      </c>
      <c r="H802" s="387">
        <f t="shared" ca="1" si="125"/>
        <v>9</v>
      </c>
      <c r="I802" s="389" t="str">
        <f t="shared" ca="1" si="119"/>
        <v/>
      </c>
      <c r="J802" s="392" t="str">
        <f t="shared" ca="1" si="120"/>
        <v/>
      </c>
      <c r="K802" s="392" t="str">
        <f t="shared" ca="1" si="121"/>
        <v/>
      </c>
      <c r="L802" s="391" t="str">
        <f t="shared" ca="1" si="122"/>
        <v/>
      </c>
      <c r="M802" s="401" t="str">
        <f ca="1">IFERROR(IF(COUNTIF($B$526:$B801,"&lt;0")=1,"",OFFSET($C800,-COUNTIF($B$526:$B801,"&lt;0")+3,0)),"")</f>
        <v>a17Dm000001PubSIAS</v>
      </c>
      <c r="N802" s="401">
        <f ca="1">IFERROR(IF(AND(_xlfn.ISFORMULA(I802),NOT(_xlfn.ISFORMULA(I801))),1,OFFSET($F800,-COUNTIF($B$526:B801,"&lt;0")+3,0)),"")</f>
        <v>7</v>
      </c>
      <c r="O802" s="387">
        <f t="shared" ca="1" si="126"/>
        <v>0</v>
      </c>
      <c r="P802" s="387"/>
      <c r="Q802" s="387"/>
      <c r="R802" s="387"/>
      <c r="S802" s="387"/>
      <c r="T802" s="391"/>
    </row>
    <row r="803" spans="1:20">
      <c r="A803" s="387" t="b">
        <f t="shared" ca="1" si="116"/>
        <v>0</v>
      </c>
      <c r="B803" s="387">
        <f t="shared" ca="1" si="123"/>
        <v>41</v>
      </c>
      <c r="C803" s="404" t="str">
        <f t="shared" ca="1" si="117"/>
        <v>a17Dm000001PubwIAC</v>
      </c>
      <c r="D803" s="401"/>
      <c r="E803" s="387">
        <f t="shared" ca="1" si="124"/>
        <v>275</v>
      </c>
      <c r="F803" s="402">
        <f ca="1">IF(COUNTA(D$527:D803)=1,"",OFFSET(F801,-COUNTA(D$527:D803)+3,0))</f>
        <v>7</v>
      </c>
      <c r="G803" s="391" t="str">
        <f t="shared" ca="1" si="118"/>
        <v/>
      </c>
      <c r="H803" s="387">
        <f t="shared" ca="1" si="125"/>
        <v>9</v>
      </c>
      <c r="I803" s="389" t="str">
        <f t="shared" ca="1" si="119"/>
        <v/>
      </c>
      <c r="J803" s="392" t="str">
        <f t="shared" ca="1" si="120"/>
        <v/>
      </c>
      <c r="K803" s="392" t="str">
        <f t="shared" ca="1" si="121"/>
        <v/>
      </c>
      <c r="L803" s="391" t="str">
        <f t="shared" ca="1" si="122"/>
        <v/>
      </c>
      <c r="M803" s="401" t="str">
        <f ca="1">IFERROR(IF(COUNTIF($B$526:$B802,"&lt;0")=1,"",OFFSET($C801,-COUNTIF($B$526:$B802,"&lt;0")+3,0)),"")</f>
        <v>a17Dm000001PubwIAC</v>
      </c>
      <c r="N803" s="401">
        <f ca="1">IFERROR(IF(AND(_xlfn.ISFORMULA(I803),NOT(_xlfn.ISFORMULA(I802))),1,OFFSET($F801,-COUNTIF($B$526:B802,"&lt;0")+3,0)),"")</f>
        <v>7</v>
      </c>
      <c r="O803" s="387">
        <f t="shared" ca="1" si="126"/>
        <v>0</v>
      </c>
      <c r="P803" s="387"/>
      <c r="Q803" s="387"/>
      <c r="R803" s="387"/>
      <c r="S803" s="387"/>
      <c r="T803" s="391"/>
    </row>
    <row r="804" spans="1:20">
      <c r="A804" s="387" t="b">
        <f t="shared" ca="1" si="116"/>
        <v>0</v>
      </c>
      <c r="B804" s="387">
        <f t="shared" ca="1" si="123"/>
        <v>42</v>
      </c>
      <c r="C804" s="404" t="str">
        <f t="shared" ca="1" si="117"/>
        <v>a17Dm000001PucQIAS</v>
      </c>
      <c r="D804" s="401"/>
      <c r="E804" s="387">
        <f t="shared" ca="1" si="124"/>
        <v>276</v>
      </c>
      <c r="F804" s="402">
        <f ca="1">IF(COUNTA(D$527:D804)=1,"",OFFSET(F802,-COUNTA(D$527:D804)+3,0))</f>
        <v>7</v>
      </c>
      <c r="G804" s="391" t="str">
        <f t="shared" ca="1" si="118"/>
        <v/>
      </c>
      <c r="H804" s="387">
        <f t="shared" ca="1" si="125"/>
        <v>9</v>
      </c>
      <c r="I804" s="389" t="str">
        <f t="shared" ca="1" si="119"/>
        <v/>
      </c>
      <c r="J804" s="392" t="str">
        <f t="shared" ca="1" si="120"/>
        <v/>
      </c>
      <c r="K804" s="392" t="str">
        <f t="shared" ca="1" si="121"/>
        <v/>
      </c>
      <c r="L804" s="391" t="str">
        <f t="shared" ca="1" si="122"/>
        <v/>
      </c>
      <c r="M804" s="401" t="str">
        <f ca="1">IFERROR(IF(COUNTIF($B$526:$B803,"&lt;0")=1,"",OFFSET($C802,-COUNTIF($B$526:$B803,"&lt;0")+3,0)),"")</f>
        <v>a17Dm000001PucQIAS</v>
      </c>
      <c r="N804" s="401">
        <f ca="1">IFERROR(IF(AND(_xlfn.ISFORMULA(I804),NOT(_xlfn.ISFORMULA(I803))),1,OFFSET($F802,-COUNTIF($B$526:B803,"&lt;0")+3,0)),"")</f>
        <v>7</v>
      </c>
      <c r="O804" s="387">
        <f t="shared" ca="1" si="126"/>
        <v>0</v>
      </c>
      <c r="P804" s="387"/>
      <c r="Q804" s="387"/>
      <c r="R804" s="387"/>
      <c r="S804" s="387"/>
      <c r="T804" s="391"/>
    </row>
    <row r="805" spans="1:20">
      <c r="A805" s="387" t="b">
        <f t="shared" ca="1" si="116"/>
        <v>0</v>
      </c>
      <c r="B805" s="387">
        <f t="shared" ca="1" si="123"/>
        <v>43</v>
      </c>
      <c r="C805" s="404" t="str">
        <f t="shared" ca="1" si="117"/>
        <v>a17Dm000001Pua1IAC</v>
      </c>
      <c r="D805" s="401"/>
      <c r="E805" s="387">
        <f t="shared" ca="1" si="124"/>
        <v>277</v>
      </c>
      <c r="F805" s="402">
        <f ca="1">IF(COUNTA(D$527:D805)=1,"",OFFSET(F803,-COUNTA(D$527:D805)+3,0))</f>
        <v>8</v>
      </c>
      <c r="G805" s="391" t="str">
        <f t="shared" ca="1" si="118"/>
        <v/>
      </c>
      <c r="H805" s="387">
        <f t="shared" ca="1" si="125"/>
        <v>9</v>
      </c>
      <c r="I805" s="389" t="str">
        <f t="shared" ca="1" si="119"/>
        <v/>
      </c>
      <c r="J805" s="392" t="str">
        <f t="shared" ca="1" si="120"/>
        <v/>
      </c>
      <c r="K805" s="392" t="str">
        <f t="shared" ca="1" si="121"/>
        <v/>
      </c>
      <c r="L805" s="391" t="str">
        <f t="shared" ca="1" si="122"/>
        <v/>
      </c>
      <c r="M805" s="401" t="str">
        <f ca="1">IFERROR(IF(COUNTIF($B$526:$B804,"&lt;0")=1,"",OFFSET($C803,-COUNTIF($B$526:$B804,"&lt;0")+3,0)),"")</f>
        <v>a17Dm000001Pua1IAC</v>
      </c>
      <c r="N805" s="401">
        <f ca="1">IFERROR(IF(AND(_xlfn.ISFORMULA(I805),NOT(_xlfn.ISFORMULA(I804))),1,OFFSET($F803,-COUNTIF($B$526:B804,"&lt;0")+3,0)),"")</f>
        <v>8</v>
      </c>
      <c r="O805" s="387">
        <f t="shared" ca="1" si="126"/>
        <v>0</v>
      </c>
      <c r="P805" s="387"/>
      <c r="Q805" s="387"/>
      <c r="R805" s="387"/>
      <c r="S805" s="387"/>
      <c r="T805" s="391"/>
    </row>
    <row r="806" spans="1:20">
      <c r="A806" s="387" t="b">
        <f t="shared" ca="1" si="116"/>
        <v>0</v>
      </c>
      <c r="B806" s="387">
        <f t="shared" ca="1" si="123"/>
        <v>44</v>
      </c>
      <c r="C806" s="404" t="str">
        <f t="shared" ca="1" si="117"/>
        <v>a17Dm000001PuaVIAS</v>
      </c>
      <c r="D806" s="401"/>
      <c r="E806" s="387">
        <f t="shared" ca="1" si="124"/>
        <v>278</v>
      </c>
      <c r="F806" s="402">
        <f ca="1">IF(COUNTA(D$527:D806)=1,"",OFFSET(F804,-COUNTA(D$527:D806)+3,0))</f>
        <v>8</v>
      </c>
      <c r="G806" s="391" t="str">
        <f t="shared" ca="1" si="118"/>
        <v/>
      </c>
      <c r="H806" s="387">
        <f t="shared" ca="1" si="125"/>
        <v>9</v>
      </c>
      <c r="I806" s="389" t="str">
        <f t="shared" ca="1" si="119"/>
        <v/>
      </c>
      <c r="J806" s="392" t="str">
        <f t="shared" ca="1" si="120"/>
        <v/>
      </c>
      <c r="K806" s="392" t="str">
        <f t="shared" ca="1" si="121"/>
        <v/>
      </c>
      <c r="L806" s="391" t="str">
        <f t="shared" ca="1" si="122"/>
        <v/>
      </c>
      <c r="M806" s="401" t="str">
        <f ca="1">IFERROR(IF(COUNTIF($B$526:$B805,"&lt;0")=1,"",OFFSET($C804,-COUNTIF($B$526:$B805,"&lt;0")+3,0)),"")</f>
        <v>a17Dm000001PuaVIAS</v>
      </c>
      <c r="N806" s="401">
        <f ca="1">IFERROR(IF(AND(_xlfn.ISFORMULA(I806),NOT(_xlfn.ISFORMULA(I805))),1,OFFSET($F804,-COUNTIF($B$526:B805,"&lt;0")+3,0)),"")</f>
        <v>8</v>
      </c>
      <c r="O806" s="387">
        <f t="shared" ca="1" si="126"/>
        <v>0</v>
      </c>
      <c r="P806" s="387"/>
      <c r="Q806" s="387"/>
      <c r="R806" s="387"/>
      <c r="S806" s="387"/>
      <c r="T806" s="391"/>
    </row>
    <row r="807" spans="1:20">
      <c r="A807" s="387" t="b">
        <f t="shared" ca="1" si="116"/>
        <v>0</v>
      </c>
      <c r="B807" s="387">
        <f t="shared" ca="1" si="123"/>
        <v>45</v>
      </c>
      <c r="C807" s="404" t="str">
        <f t="shared" ca="1" si="117"/>
        <v>a17Dm000001PuazIAC</v>
      </c>
      <c r="D807" s="401"/>
      <c r="E807" s="387">
        <f t="shared" ca="1" si="124"/>
        <v>279</v>
      </c>
      <c r="F807" s="402">
        <f ca="1">IF(COUNTA(D$527:D807)=1,"",OFFSET(F805,-COUNTA(D$527:D807)+3,0))</f>
        <v>8</v>
      </c>
      <c r="G807" s="391" t="str">
        <f t="shared" ca="1" si="118"/>
        <v/>
      </c>
      <c r="H807" s="387">
        <f t="shared" ca="1" si="125"/>
        <v>9</v>
      </c>
      <c r="I807" s="389" t="str">
        <f t="shared" ca="1" si="119"/>
        <v/>
      </c>
      <c r="J807" s="392" t="str">
        <f t="shared" ca="1" si="120"/>
        <v/>
      </c>
      <c r="K807" s="392" t="str">
        <f t="shared" ca="1" si="121"/>
        <v/>
      </c>
      <c r="L807" s="391" t="str">
        <f t="shared" ca="1" si="122"/>
        <v/>
      </c>
      <c r="M807" s="401" t="str">
        <f ca="1">IFERROR(IF(COUNTIF($B$526:$B806,"&lt;0")=1,"",OFFSET($C805,-COUNTIF($B$526:$B806,"&lt;0")+3,0)),"")</f>
        <v>a17Dm000001PuazIAC</v>
      </c>
      <c r="N807" s="401">
        <f ca="1">IFERROR(IF(AND(_xlfn.ISFORMULA(I807),NOT(_xlfn.ISFORMULA(I806))),1,OFFSET($F805,-COUNTIF($B$526:B806,"&lt;0")+3,0)),"")</f>
        <v>8</v>
      </c>
      <c r="O807" s="387">
        <f t="shared" ca="1" si="126"/>
        <v>0</v>
      </c>
      <c r="P807" s="387"/>
      <c r="Q807" s="387"/>
      <c r="R807" s="387"/>
      <c r="S807" s="387"/>
      <c r="T807" s="391"/>
    </row>
    <row r="808" spans="1:20">
      <c r="A808" s="387" t="b">
        <f t="shared" ca="1" si="116"/>
        <v>0</v>
      </c>
      <c r="B808" s="387">
        <f t="shared" ca="1" si="123"/>
        <v>46</v>
      </c>
      <c r="C808" s="404" t="str">
        <f t="shared" ca="1" si="117"/>
        <v>a17Dm000001PubTIAS</v>
      </c>
      <c r="D808" s="401"/>
      <c r="E808" s="387">
        <f t="shared" ca="1" si="124"/>
        <v>280</v>
      </c>
      <c r="F808" s="402">
        <f ca="1">IF(COUNTA(D$527:D808)=1,"",OFFSET(F806,-COUNTA(D$527:D808)+3,0))</f>
        <v>8</v>
      </c>
      <c r="G808" s="391" t="str">
        <f t="shared" ca="1" si="118"/>
        <v/>
      </c>
      <c r="H808" s="387">
        <f t="shared" ca="1" si="125"/>
        <v>9</v>
      </c>
      <c r="I808" s="389" t="str">
        <f t="shared" ca="1" si="119"/>
        <v/>
      </c>
      <c r="J808" s="392" t="str">
        <f t="shared" ca="1" si="120"/>
        <v/>
      </c>
      <c r="K808" s="392" t="str">
        <f t="shared" ca="1" si="121"/>
        <v/>
      </c>
      <c r="L808" s="391" t="str">
        <f t="shared" ca="1" si="122"/>
        <v/>
      </c>
      <c r="M808" s="401" t="str">
        <f ca="1">IFERROR(IF(COUNTIF($B$526:$B807,"&lt;0")=1,"",OFFSET($C806,-COUNTIF($B$526:$B807,"&lt;0")+3,0)),"")</f>
        <v>a17Dm000001PubTIAS</v>
      </c>
      <c r="N808" s="401">
        <f ca="1">IFERROR(IF(AND(_xlfn.ISFORMULA(I808),NOT(_xlfn.ISFORMULA(I807))),1,OFFSET($F806,-COUNTIF($B$526:B807,"&lt;0")+3,0)),"")</f>
        <v>8</v>
      </c>
      <c r="O808" s="387">
        <f t="shared" ca="1" si="126"/>
        <v>0</v>
      </c>
      <c r="P808" s="387"/>
      <c r="Q808" s="387"/>
      <c r="R808" s="387"/>
      <c r="S808" s="387"/>
      <c r="T808" s="391"/>
    </row>
    <row r="809" spans="1:20">
      <c r="A809" s="387" t="b">
        <f t="shared" ca="1" si="116"/>
        <v>0</v>
      </c>
      <c r="B809" s="387">
        <f t="shared" ca="1" si="123"/>
        <v>47</v>
      </c>
      <c r="C809" s="404" t="str">
        <f t="shared" ca="1" si="117"/>
        <v>a17Dm000001PubxIAC</v>
      </c>
      <c r="D809" s="401"/>
      <c r="E809" s="387">
        <f t="shared" ca="1" si="124"/>
        <v>281</v>
      </c>
      <c r="F809" s="402">
        <f ca="1">IF(COUNTA(D$527:D809)=1,"",OFFSET(F807,-COUNTA(D$527:D809)+3,0))</f>
        <v>8</v>
      </c>
      <c r="G809" s="391" t="str">
        <f t="shared" ca="1" si="118"/>
        <v/>
      </c>
      <c r="H809" s="387">
        <f t="shared" ca="1" si="125"/>
        <v>9</v>
      </c>
      <c r="I809" s="389" t="str">
        <f t="shared" ca="1" si="119"/>
        <v/>
      </c>
      <c r="J809" s="392" t="str">
        <f t="shared" ca="1" si="120"/>
        <v/>
      </c>
      <c r="K809" s="392" t="str">
        <f t="shared" ca="1" si="121"/>
        <v/>
      </c>
      <c r="L809" s="391" t="str">
        <f t="shared" ca="1" si="122"/>
        <v/>
      </c>
      <c r="M809" s="401" t="str">
        <f ca="1">IFERROR(IF(COUNTIF($B$526:$B808,"&lt;0")=1,"",OFFSET($C807,-COUNTIF($B$526:$B808,"&lt;0")+3,0)),"")</f>
        <v>a17Dm000001PubxIAC</v>
      </c>
      <c r="N809" s="401">
        <f ca="1">IFERROR(IF(AND(_xlfn.ISFORMULA(I809),NOT(_xlfn.ISFORMULA(I808))),1,OFFSET($F807,-COUNTIF($B$526:B808,"&lt;0")+3,0)),"")</f>
        <v>8</v>
      </c>
      <c r="O809" s="387">
        <f t="shared" ca="1" si="126"/>
        <v>0</v>
      </c>
      <c r="P809" s="387"/>
      <c r="Q809" s="387"/>
      <c r="R809" s="387"/>
      <c r="S809" s="387"/>
      <c r="T809" s="391"/>
    </row>
    <row r="810" spans="1:20">
      <c r="A810" s="387" t="b">
        <f t="shared" ca="1" si="116"/>
        <v>0</v>
      </c>
      <c r="B810" s="387">
        <f t="shared" ca="1" si="123"/>
        <v>48</v>
      </c>
      <c r="C810" s="404" t="str">
        <f t="shared" ca="1" si="117"/>
        <v>a17Dm000001PucRIAS</v>
      </c>
      <c r="D810" s="401"/>
      <c r="E810" s="387">
        <f t="shared" ca="1" si="124"/>
        <v>282</v>
      </c>
      <c r="F810" s="402">
        <f ca="1">IF(COUNTA(D$527:D810)=1,"",OFFSET(F808,-COUNTA(D$527:D810)+3,0))</f>
        <v>8</v>
      </c>
      <c r="G810" s="391" t="str">
        <f t="shared" ca="1" si="118"/>
        <v/>
      </c>
      <c r="H810" s="387">
        <f t="shared" ca="1" si="125"/>
        <v>9</v>
      </c>
      <c r="I810" s="389" t="str">
        <f t="shared" ca="1" si="119"/>
        <v/>
      </c>
      <c r="J810" s="392" t="str">
        <f t="shared" ca="1" si="120"/>
        <v/>
      </c>
      <c r="K810" s="392" t="str">
        <f t="shared" ca="1" si="121"/>
        <v/>
      </c>
      <c r="L810" s="391" t="str">
        <f t="shared" ca="1" si="122"/>
        <v/>
      </c>
      <c r="M810" s="401" t="str">
        <f ca="1">IFERROR(IF(COUNTIF($B$526:$B809,"&lt;0")=1,"",OFFSET($C808,-COUNTIF($B$526:$B809,"&lt;0")+3,0)),"")</f>
        <v>a17Dm000001PucRIAS</v>
      </c>
      <c r="N810" s="401">
        <f ca="1">IFERROR(IF(AND(_xlfn.ISFORMULA(I810),NOT(_xlfn.ISFORMULA(I809))),1,OFFSET($F808,-COUNTIF($B$526:B809,"&lt;0")+3,0)),"")</f>
        <v>8</v>
      </c>
      <c r="O810" s="387">
        <f t="shared" ca="1" si="126"/>
        <v>0</v>
      </c>
      <c r="P810" s="387"/>
      <c r="Q810" s="387"/>
      <c r="R810" s="387"/>
      <c r="S810" s="387"/>
      <c r="T810" s="391"/>
    </row>
    <row r="811" spans="1:20">
      <c r="A811" s="387" t="b">
        <f t="shared" ca="1" si="116"/>
        <v>0</v>
      </c>
      <c r="B811" s="387">
        <f t="shared" ca="1" si="123"/>
        <v>49</v>
      </c>
      <c r="C811" s="404" t="str">
        <f t="shared" ca="1" si="117"/>
        <v>a17Dm000001Pua2IAC</v>
      </c>
      <c r="D811" s="401"/>
      <c r="E811" s="387">
        <f t="shared" ca="1" si="124"/>
        <v>283</v>
      </c>
      <c r="F811" s="402">
        <f ca="1">IF(COUNTA(D$527:D811)=1,"",OFFSET(F809,-COUNTA(D$527:D811)+3,0))</f>
        <v>9</v>
      </c>
      <c r="G811" s="391" t="str">
        <f t="shared" ca="1" si="118"/>
        <v/>
      </c>
      <c r="H811" s="387">
        <f t="shared" ca="1" si="125"/>
        <v>9</v>
      </c>
      <c r="I811" s="389" t="str">
        <f t="shared" ca="1" si="119"/>
        <v/>
      </c>
      <c r="J811" s="392" t="str">
        <f t="shared" ca="1" si="120"/>
        <v/>
      </c>
      <c r="K811" s="392" t="str">
        <f t="shared" ca="1" si="121"/>
        <v/>
      </c>
      <c r="L811" s="391" t="str">
        <f t="shared" ca="1" si="122"/>
        <v/>
      </c>
      <c r="M811" s="401" t="str">
        <f ca="1">IFERROR(IF(COUNTIF($B$526:$B810,"&lt;0")=1,"",OFFSET($C809,-COUNTIF($B$526:$B810,"&lt;0")+3,0)),"")</f>
        <v>a17Dm000001Pua2IAC</v>
      </c>
      <c r="N811" s="401">
        <f ca="1">IFERROR(IF(AND(_xlfn.ISFORMULA(I811),NOT(_xlfn.ISFORMULA(I810))),1,OFFSET($F809,-COUNTIF($B$526:B810,"&lt;0")+3,0)),"")</f>
        <v>9</v>
      </c>
      <c r="O811" s="387">
        <f t="shared" ca="1" si="126"/>
        <v>0</v>
      </c>
      <c r="P811" s="387"/>
      <c r="Q811" s="387"/>
      <c r="R811" s="387"/>
      <c r="S811" s="387"/>
      <c r="T811" s="391"/>
    </row>
    <row r="812" spans="1:20">
      <c r="A812" s="387" t="b">
        <f t="shared" ca="1" si="116"/>
        <v>0</v>
      </c>
      <c r="B812" s="387">
        <f t="shared" ca="1" si="123"/>
        <v>50</v>
      </c>
      <c r="C812" s="404" t="str">
        <f t="shared" ca="1" si="117"/>
        <v>a17Dm000001PuaWIAS</v>
      </c>
      <c r="D812" s="401"/>
      <c r="E812" s="387">
        <f t="shared" ca="1" si="124"/>
        <v>284</v>
      </c>
      <c r="F812" s="402">
        <f ca="1">IF(COUNTA(D$527:D812)=1,"",OFFSET(F810,-COUNTA(D$527:D812)+3,0))</f>
        <v>9</v>
      </c>
      <c r="G812" s="391" t="str">
        <f t="shared" ca="1" si="118"/>
        <v/>
      </c>
      <c r="H812" s="387">
        <f t="shared" ca="1" si="125"/>
        <v>9</v>
      </c>
      <c r="I812" s="389" t="str">
        <f t="shared" ca="1" si="119"/>
        <v/>
      </c>
      <c r="J812" s="392" t="str">
        <f t="shared" ca="1" si="120"/>
        <v/>
      </c>
      <c r="K812" s="392" t="str">
        <f t="shared" ca="1" si="121"/>
        <v/>
      </c>
      <c r="L812" s="391" t="str">
        <f t="shared" ca="1" si="122"/>
        <v/>
      </c>
      <c r="M812" s="401" t="str">
        <f ca="1">IFERROR(IF(COUNTIF($B$526:$B811,"&lt;0")=1,"",OFFSET($C810,-COUNTIF($B$526:$B811,"&lt;0")+3,0)),"")</f>
        <v>a17Dm000001PuaWIAS</v>
      </c>
      <c r="N812" s="401">
        <f ca="1">IFERROR(IF(AND(_xlfn.ISFORMULA(I812),NOT(_xlfn.ISFORMULA(I811))),1,OFFSET($F810,-COUNTIF($B$526:B811,"&lt;0")+3,0)),"")</f>
        <v>9</v>
      </c>
      <c r="O812" s="387">
        <f t="shared" ca="1" si="126"/>
        <v>0</v>
      </c>
      <c r="P812" s="387"/>
      <c r="Q812" s="387"/>
      <c r="R812" s="387"/>
      <c r="S812" s="387"/>
      <c r="T812" s="391"/>
    </row>
    <row r="813" spans="1:20">
      <c r="A813" s="387" t="b">
        <f t="shared" ca="1" si="116"/>
        <v>0</v>
      </c>
      <c r="B813" s="387">
        <f t="shared" ca="1" si="123"/>
        <v>51</v>
      </c>
      <c r="C813" s="404" t="str">
        <f t="shared" ca="1" si="117"/>
        <v>a17Dm000001Pub0IAC</v>
      </c>
      <c r="D813" s="401"/>
      <c r="E813" s="387">
        <f t="shared" ca="1" si="124"/>
        <v>285</v>
      </c>
      <c r="F813" s="402">
        <f ca="1">IF(COUNTA(D$527:D813)=1,"",OFFSET(F811,-COUNTA(D$527:D813)+3,0))</f>
        <v>9</v>
      </c>
      <c r="G813" s="391" t="str">
        <f t="shared" ca="1" si="118"/>
        <v/>
      </c>
      <c r="H813" s="387">
        <f t="shared" ca="1" si="125"/>
        <v>9</v>
      </c>
      <c r="I813" s="389" t="str">
        <f t="shared" ca="1" si="119"/>
        <v/>
      </c>
      <c r="J813" s="392" t="str">
        <f t="shared" ca="1" si="120"/>
        <v/>
      </c>
      <c r="K813" s="392" t="str">
        <f t="shared" ca="1" si="121"/>
        <v/>
      </c>
      <c r="L813" s="391" t="str">
        <f t="shared" ca="1" si="122"/>
        <v/>
      </c>
      <c r="M813" s="401" t="str">
        <f ca="1">IFERROR(IF(COUNTIF($B$526:$B812,"&lt;0")=1,"",OFFSET($C811,-COUNTIF($B$526:$B812,"&lt;0")+3,0)),"")</f>
        <v>a17Dm000001Pub0IAC</v>
      </c>
      <c r="N813" s="401">
        <f ca="1">IFERROR(IF(AND(_xlfn.ISFORMULA(I813),NOT(_xlfn.ISFORMULA(I812))),1,OFFSET($F811,-COUNTIF($B$526:B812,"&lt;0")+3,0)),"")</f>
        <v>9</v>
      </c>
      <c r="O813" s="387">
        <f t="shared" ca="1" si="126"/>
        <v>0</v>
      </c>
      <c r="P813" s="387"/>
      <c r="Q813" s="387"/>
      <c r="R813" s="387"/>
      <c r="S813" s="387"/>
      <c r="T813" s="391"/>
    </row>
    <row r="814" spans="1:20">
      <c r="A814" s="387" t="b">
        <f t="shared" ca="1" si="116"/>
        <v>0</v>
      </c>
      <c r="B814" s="387">
        <f t="shared" ca="1" si="123"/>
        <v>52</v>
      </c>
      <c r="C814" s="404" t="str">
        <f t="shared" ca="1" si="117"/>
        <v>a17Dm000001PubUIAS</v>
      </c>
      <c r="D814" s="401"/>
      <c r="E814" s="387">
        <f t="shared" ca="1" si="124"/>
        <v>286</v>
      </c>
      <c r="F814" s="402">
        <f ca="1">IF(COUNTA(D$527:D814)=1,"",OFFSET(F812,-COUNTA(D$527:D814)+3,0))</f>
        <v>9</v>
      </c>
      <c r="G814" s="391" t="str">
        <f t="shared" ca="1" si="118"/>
        <v/>
      </c>
      <c r="H814" s="387">
        <f t="shared" ca="1" si="125"/>
        <v>9</v>
      </c>
      <c r="I814" s="389" t="str">
        <f t="shared" ca="1" si="119"/>
        <v/>
      </c>
      <c r="J814" s="392" t="str">
        <f t="shared" ca="1" si="120"/>
        <v/>
      </c>
      <c r="K814" s="392" t="str">
        <f t="shared" ca="1" si="121"/>
        <v/>
      </c>
      <c r="L814" s="391" t="str">
        <f t="shared" ca="1" si="122"/>
        <v/>
      </c>
      <c r="M814" s="401" t="str">
        <f ca="1">IFERROR(IF(COUNTIF($B$526:$B813,"&lt;0")=1,"",OFFSET($C812,-COUNTIF($B$526:$B813,"&lt;0")+3,0)),"")</f>
        <v>a17Dm000001PubUIAS</v>
      </c>
      <c r="N814" s="401">
        <f ca="1">IFERROR(IF(AND(_xlfn.ISFORMULA(I814),NOT(_xlfn.ISFORMULA(I813))),1,OFFSET($F812,-COUNTIF($B$526:B813,"&lt;0")+3,0)),"")</f>
        <v>9</v>
      </c>
      <c r="O814" s="387">
        <f t="shared" ca="1" si="126"/>
        <v>0</v>
      </c>
      <c r="P814" s="387"/>
      <c r="Q814" s="387"/>
      <c r="R814" s="387"/>
      <c r="S814" s="387"/>
      <c r="T814" s="391"/>
    </row>
    <row r="815" spans="1:20">
      <c r="A815" s="387" t="b">
        <f t="shared" ca="1" si="116"/>
        <v>0</v>
      </c>
      <c r="B815" s="387">
        <f t="shared" ca="1" si="123"/>
        <v>53</v>
      </c>
      <c r="C815" s="404" t="str">
        <f t="shared" ca="1" si="117"/>
        <v>a17Dm000001PubyIAC</v>
      </c>
      <c r="D815" s="401"/>
      <c r="E815" s="387">
        <f t="shared" ca="1" si="124"/>
        <v>287</v>
      </c>
      <c r="F815" s="402">
        <f ca="1">IF(COUNTA(D$527:D815)=1,"",OFFSET(F813,-COUNTA(D$527:D815)+3,0))</f>
        <v>9</v>
      </c>
      <c r="G815" s="391" t="str">
        <f t="shared" ca="1" si="118"/>
        <v/>
      </c>
      <c r="H815" s="387">
        <f t="shared" ca="1" si="125"/>
        <v>9</v>
      </c>
      <c r="I815" s="389" t="str">
        <f t="shared" ca="1" si="119"/>
        <v/>
      </c>
      <c r="J815" s="392" t="str">
        <f t="shared" ca="1" si="120"/>
        <v/>
      </c>
      <c r="K815" s="392" t="str">
        <f t="shared" ca="1" si="121"/>
        <v/>
      </c>
      <c r="L815" s="391" t="str">
        <f t="shared" ca="1" si="122"/>
        <v/>
      </c>
      <c r="M815" s="401" t="str">
        <f ca="1">IFERROR(IF(COUNTIF($B$526:$B814,"&lt;0")=1,"",OFFSET($C813,-COUNTIF($B$526:$B814,"&lt;0")+3,0)),"")</f>
        <v>a17Dm000001PubyIAC</v>
      </c>
      <c r="N815" s="401">
        <f ca="1">IFERROR(IF(AND(_xlfn.ISFORMULA(I815),NOT(_xlfn.ISFORMULA(I814))),1,OFFSET($F813,-COUNTIF($B$526:B814,"&lt;0")+3,0)),"")</f>
        <v>9</v>
      </c>
      <c r="O815" s="387">
        <f t="shared" ca="1" si="126"/>
        <v>0</v>
      </c>
      <c r="P815" s="387"/>
      <c r="Q815" s="387"/>
      <c r="R815" s="387"/>
      <c r="S815" s="387"/>
      <c r="T815" s="391"/>
    </row>
    <row r="816" spans="1:20">
      <c r="A816" s="387" t="b">
        <f t="shared" ca="1" si="116"/>
        <v>0</v>
      </c>
      <c r="B816" s="387">
        <f t="shared" ca="1" si="123"/>
        <v>54</v>
      </c>
      <c r="C816" s="404" t="str">
        <f t="shared" ca="1" si="117"/>
        <v>a17Dm000001PucSIAS</v>
      </c>
      <c r="D816" s="401"/>
      <c r="E816" s="387">
        <f t="shared" ca="1" si="124"/>
        <v>288</v>
      </c>
      <c r="F816" s="402">
        <f ca="1">IF(COUNTA(D$527:D816)=1,"",OFFSET(F814,-COUNTA(D$527:D816)+3,0))</f>
        <v>9</v>
      </c>
      <c r="G816" s="391" t="str">
        <f t="shared" ca="1" si="118"/>
        <v/>
      </c>
      <c r="H816" s="387">
        <f t="shared" ca="1" si="125"/>
        <v>9</v>
      </c>
      <c r="I816" s="389" t="str">
        <f t="shared" ca="1" si="119"/>
        <v/>
      </c>
      <c r="J816" s="392" t="str">
        <f t="shared" ca="1" si="120"/>
        <v/>
      </c>
      <c r="K816" s="392" t="str">
        <f t="shared" ca="1" si="121"/>
        <v/>
      </c>
      <c r="L816" s="391" t="str">
        <f t="shared" ca="1" si="122"/>
        <v/>
      </c>
      <c r="M816" s="401" t="str">
        <f ca="1">IFERROR(IF(COUNTIF($B$526:$B815,"&lt;0")=1,"",OFFSET($C814,-COUNTIF($B$526:$B815,"&lt;0")+3,0)),"")</f>
        <v>a17Dm000001PucSIAS</v>
      </c>
      <c r="N816" s="401">
        <f ca="1">IFERROR(IF(AND(_xlfn.ISFORMULA(I816),NOT(_xlfn.ISFORMULA(I815))),1,OFFSET($F814,-COUNTIF($B$526:B815,"&lt;0")+3,0)),"")</f>
        <v>9</v>
      </c>
      <c r="O816" s="387">
        <f t="shared" ca="1" si="126"/>
        <v>0</v>
      </c>
      <c r="P816" s="387"/>
      <c r="Q816" s="387"/>
      <c r="R816" s="387"/>
      <c r="S816" s="387"/>
      <c r="T816" s="391"/>
    </row>
    <row r="817" spans="1:20">
      <c r="A817" s="387" t="b">
        <f t="shared" ca="1" si="116"/>
        <v>0</v>
      </c>
      <c r="B817" s="387">
        <f t="shared" ca="1" si="123"/>
        <v>55</v>
      </c>
      <c r="C817" s="404" t="str">
        <f t="shared" ca="1" si="117"/>
        <v>a17Dm000001Pua3IAC</v>
      </c>
      <c r="D817" s="401"/>
      <c r="E817" s="387">
        <f t="shared" ca="1" si="124"/>
        <v>289</v>
      </c>
      <c r="F817" s="402">
        <f ca="1">IF(COUNTA(D$527:D817)=1,"",OFFSET(F815,-COUNTA(D$527:D817)+3,0))</f>
        <v>10</v>
      </c>
      <c r="G817" s="391" t="str">
        <f t="shared" ca="1" si="118"/>
        <v/>
      </c>
      <c r="H817" s="387">
        <f t="shared" ca="1" si="125"/>
        <v>9</v>
      </c>
      <c r="I817" s="389" t="str">
        <f t="shared" ca="1" si="119"/>
        <v/>
      </c>
      <c r="J817" s="392" t="str">
        <f t="shared" ca="1" si="120"/>
        <v/>
      </c>
      <c r="K817" s="392" t="str">
        <f t="shared" ca="1" si="121"/>
        <v/>
      </c>
      <c r="L817" s="391" t="str">
        <f t="shared" ca="1" si="122"/>
        <v/>
      </c>
      <c r="M817" s="401" t="str">
        <f ca="1">IFERROR(IF(COUNTIF($B$526:$B816,"&lt;0")=1,"",OFFSET($C815,-COUNTIF($B$526:$B816,"&lt;0")+3,0)),"")</f>
        <v>a17Dm000001Pua3IAC</v>
      </c>
      <c r="N817" s="401">
        <f ca="1">IFERROR(IF(AND(_xlfn.ISFORMULA(I817),NOT(_xlfn.ISFORMULA(I816))),1,OFFSET($F815,-COUNTIF($B$526:B816,"&lt;0")+3,0)),"")</f>
        <v>10</v>
      </c>
      <c r="O817" s="387">
        <f t="shared" ca="1" si="126"/>
        <v>0</v>
      </c>
      <c r="P817" s="387"/>
      <c r="Q817" s="387"/>
      <c r="R817" s="387"/>
      <c r="S817" s="387"/>
      <c r="T817" s="391"/>
    </row>
    <row r="818" spans="1:20">
      <c r="A818" s="387" t="b">
        <f t="shared" ca="1" si="116"/>
        <v>0</v>
      </c>
      <c r="B818" s="387">
        <f t="shared" ca="1" si="123"/>
        <v>56</v>
      </c>
      <c r="C818" s="404" t="str">
        <f t="shared" ca="1" si="117"/>
        <v>a17Dm000001PuaXIAS</v>
      </c>
      <c r="D818" s="401"/>
      <c r="E818" s="387">
        <f t="shared" ca="1" si="124"/>
        <v>290</v>
      </c>
      <c r="F818" s="402">
        <f ca="1">IF(COUNTA(D$527:D818)=1,"",OFFSET(F816,-COUNTA(D$527:D818)+3,0))</f>
        <v>10</v>
      </c>
      <c r="G818" s="391" t="str">
        <f t="shared" ca="1" si="118"/>
        <v/>
      </c>
      <c r="H818" s="387">
        <f t="shared" ca="1" si="125"/>
        <v>9</v>
      </c>
      <c r="I818" s="389" t="str">
        <f t="shared" ca="1" si="119"/>
        <v/>
      </c>
      <c r="J818" s="392" t="str">
        <f t="shared" ca="1" si="120"/>
        <v/>
      </c>
      <c r="K818" s="392" t="str">
        <f t="shared" ca="1" si="121"/>
        <v/>
      </c>
      <c r="L818" s="391" t="str">
        <f t="shared" ca="1" si="122"/>
        <v/>
      </c>
      <c r="M818" s="401" t="str">
        <f ca="1">IFERROR(IF(COUNTIF($B$526:$B817,"&lt;0")=1,"",OFFSET($C816,-COUNTIF($B$526:$B817,"&lt;0")+3,0)),"")</f>
        <v>a17Dm000001PuaXIAS</v>
      </c>
      <c r="N818" s="401">
        <f ca="1">IFERROR(IF(AND(_xlfn.ISFORMULA(I818),NOT(_xlfn.ISFORMULA(I817))),1,OFFSET($F816,-COUNTIF($B$526:B817,"&lt;0")+3,0)),"")</f>
        <v>10</v>
      </c>
      <c r="O818" s="387">
        <f t="shared" ca="1" si="126"/>
        <v>0</v>
      </c>
      <c r="P818" s="387"/>
      <c r="Q818" s="387"/>
      <c r="R818" s="387"/>
      <c r="S818" s="387"/>
      <c r="T818" s="391"/>
    </row>
    <row r="819" spans="1:20">
      <c r="A819" s="387" t="b">
        <f t="shared" ca="1" si="116"/>
        <v>0</v>
      </c>
      <c r="B819" s="387">
        <f t="shared" ca="1" si="123"/>
        <v>57</v>
      </c>
      <c r="C819" s="404" t="str">
        <f t="shared" ca="1" si="117"/>
        <v>a17Dm000001Pub1IAC</v>
      </c>
      <c r="D819" s="401"/>
      <c r="E819" s="387">
        <f t="shared" ca="1" si="124"/>
        <v>291</v>
      </c>
      <c r="F819" s="402">
        <f ca="1">IF(COUNTA(D$527:D819)=1,"",OFFSET(F817,-COUNTA(D$527:D819)+3,0))</f>
        <v>10</v>
      </c>
      <c r="G819" s="391" t="str">
        <f t="shared" ca="1" si="118"/>
        <v/>
      </c>
      <c r="H819" s="387">
        <f t="shared" ca="1" si="125"/>
        <v>9</v>
      </c>
      <c r="I819" s="389" t="str">
        <f t="shared" ca="1" si="119"/>
        <v/>
      </c>
      <c r="J819" s="392" t="str">
        <f t="shared" ca="1" si="120"/>
        <v/>
      </c>
      <c r="K819" s="392" t="str">
        <f t="shared" ca="1" si="121"/>
        <v/>
      </c>
      <c r="L819" s="391" t="str">
        <f t="shared" ca="1" si="122"/>
        <v/>
      </c>
      <c r="M819" s="401" t="str">
        <f ca="1">IFERROR(IF(COUNTIF($B$526:$B818,"&lt;0")=1,"",OFFSET($C817,-COUNTIF($B$526:$B818,"&lt;0")+3,0)),"")</f>
        <v>a17Dm000001Pub1IAC</v>
      </c>
      <c r="N819" s="401">
        <f ca="1">IFERROR(IF(AND(_xlfn.ISFORMULA(I819),NOT(_xlfn.ISFORMULA(I818))),1,OFFSET($F817,-COUNTIF($B$526:B818,"&lt;0")+3,0)),"")</f>
        <v>10</v>
      </c>
      <c r="O819" s="387">
        <f t="shared" ca="1" si="126"/>
        <v>0</v>
      </c>
      <c r="P819" s="387"/>
      <c r="Q819" s="387"/>
      <c r="R819" s="387"/>
      <c r="S819" s="387"/>
      <c r="T819" s="391"/>
    </row>
    <row r="820" spans="1:20">
      <c r="A820" s="387" t="b">
        <f t="shared" ca="1" si="116"/>
        <v>0</v>
      </c>
      <c r="B820" s="387">
        <f t="shared" ca="1" si="123"/>
        <v>58</v>
      </c>
      <c r="C820" s="404" t="str">
        <f t="shared" ca="1" si="117"/>
        <v>a17Dm000001PubVIAS</v>
      </c>
      <c r="D820" s="401"/>
      <c r="E820" s="387">
        <f t="shared" ca="1" si="124"/>
        <v>292</v>
      </c>
      <c r="F820" s="402">
        <f ca="1">IF(COUNTA(D$527:D820)=1,"",OFFSET(F818,-COUNTA(D$527:D820)+3,0))</f>
        <v>10</v>
      </c>
      <c r="G820" s="391" t="str">
        <f t="shared" ca="1" si="118"/>
        <v/>
      </c>
      <c r="H820" s="387">
        <f t="shared" ca="1" si="125"/>
        <v>9</v>
      </c>
      <c r="I820" s="389" t="str">
        <f t="shared" ca="1" si="119"/>
        <v/>
      </c>
      <c r="J820" s="392" t="str">
        <f t="shared" ca="1" si="120"/>
        <v/>
      </c>
      <c r="K820" s="392" t="str">
        <f t="shared" ca="1" si="121"/>
        <v/>
      </c>
      <c r="L820" s="391" t="str">
        <f t="shared" ca="1" si="122"/>
        <v/>
      </c>
      <c r="M820" s="401" t="str">
        <f ca="1">IFERROR(IF(COUNTIF($B$526:$B819,"&lt;0")=1,"",OFFSET($C818,-COUNTIF($B$526:$B819,"&lt;0")+3,0)),"")</f>
        <v>a17Dm000001PubVIAS</v>
      </c>
      <c r="N820" s="401">
        <f ca="1">IFERROR(IF(AND(_xlfn.ISFORMULA(I820),NOT(_xlfn.ISFORMULA(I819))),1,OFFSET($F818,-COUNTIF($B$526:B819,"&lt;0")+3,0)),"")</f>
        <v>10</v>
      </c>
      <c r="O820" s="387">
        <f t="shared" ca="1" si="126"/>
        <v>0</v>
      </c>
      <c r="P820" s="387"/>
      <c r="Q820" s="387"/>
      <c r="R820" s="387"/>
      <c r="S820" s="387"/>
      <c r="T820" s="391"/>
    </row>
    <row r="821" spans="1:20">
      <c r="A821" s="387" t="b">
        <f t="shared" ca="1" si="116"/>
        <v>0</v>
      </c>
      <c r="B821" s="387">
        <f t="shared" ca="1" si="123"/>
        <v>59</v>
      </c>
      <c r="C821" s="404" t="str">
        <f t="shared" ca="1" si="117"/>
        <v>a17Dm000001PubzIAC</v>
      </c>
      <c r="D821" s="401"/>
      <c r="E821" s="387">
        <f t="shared" ca="1" si="124"/>
        <v>293</v>
      </c>
      <c r="F821" s="402">
        <f ca="1">IF(COUNTA(D$527:D821)=1,"",OFFSET(F819,-COUNTA(D$527:D821)+3,0))</f>
        <v>10</v>
      </c>
      <c r="G821" s="391" t="str">
        <f t="shared" ca="1" si="118"/>
        <v/>
      </c>
      <c r="H821" s="387">
        <f t="shared" ca="1" si="125"/>
        <v>9</v>
      </c>
      <c r="I821" s="389" t="str">
        <f t="shared" ca="1" si="119"/>
        <v/>
      </c>
      <c r="J821" s="392" t="str">
        <f t="shared" ca="1" si="120"/>
        <v/>
      </c>
      <c r="K821" s="392" t="str">
        <f t="shared" ca="1" si="121"/>
        <v/>
      </c>
      <c r="L821" s="391" t="str">
        <f t="shared" ca="1" si="122"/>
        <v/>
      </c>
      <c r="M821" s="401" t="str">
        <f ca="1">IFERROR(IF(COUNTIF($B$526:$B820,"&lt;0")=1,"",OFFSET($C819,-COUNTIF($B$526:$B820,"&lt;0")+3,0)),"")</f>
        <v>a17Dm000001PubzIAC</v>
      </c>
      <c r="N821" s="401">
        <f ca="1">IFERROR(IF(AND(_xlfn.ISFORMULA(I821),NOT(_xlfn.ISFORMULA(I820))),1,OFFSET($F819,-COUNTIF($B$526:B820,"&lt;0")+3,0)),"")</f>
        <v>10</v>
      </c>
      <c r="O821" s="387">
        <f t="shared" ca="1" si="126"/>
        <v>0</v>
      </c>
      <c r="P821" s="387"/>
      <c r="Q821" s="387"/>
      <c r="R821" s="387"/>
      <c r="S821" s="387"/>
      <c r="T821" s="391"/>
    </row>
    <row r="822" spans="1:20">
      <c r="A822" s="387" t="b">
        <f t="shared" ca="1" si="116"/>
        <v>0</v>
      </c>
      <c r="B822" s="387">
        <f t="shared" ca="1" si="123"/>
        <v>60</v>
      </c>
      <c r="C822" s="404" t="str">
        <f t="shared" ca="1" si="117"/>
        <v>a17Dm000001PucTIAS</v>
      </c>
      <c r="D822" s="401"/>
      <c r="E822" s="387">
        <f t="shared" ca="1" si="124"/>
        <v>294</v>
      </c>
      <c r="F822" s="402">
        <f ca="1">IF(COUNTA(D$527:D822)=1,"",OFFSET(F820,-COUNTA(D$527:D822)+3,0))</f>
        <v>10</v>
      </c>
      <c r="G822" s="391" t="str">
        <f t="shared" ca="1" si="118"/>
        <v/>
      </c>
      <c r="H822" s="387">
        <f t="shared" ca="1" si="125"/>
        <v>9</v>
      </c>
      <c r="I822" s="389" t="str">
        <f t="shared" ca="1" si="119"/>
        <v/>
      </c>
      <c r="J822" s="392" t="str">
        <f t="shared" ca="1" si="120"/>
        <v/>
      </c>
      <c r="K822" s="392" t="str">
        <f t="shared" ca="1" si="121"/>
        <v/>
      </c>
      <c r="L822" s="391" t="str">
        <f t="shared" ca="1" si="122"/>
        <v/>
      </c>
      <c r="M822" s="401" t="str">
        <f ca="1">IFERROR(IF(COUNTIF($B$526:$B821,"&lt;0")=1,"",OFFSET($C820,-COUNTIF($B$526:$B821,"&lt;0")+3,0)),"")</f>
        <v>a17Dm000001PucTIAS</v>
      </c>
      <c r="N822" s="401">
        <f ca="1">IFERROR(IF(AND(_xlfn.ISFORMULA(I822),NOT(_xlfn.ISFORMULA(I821))),1,OFFSET($F820,-COUNTIF($B$526:B821,"&lt;0")+3,0)),"")</f>
        <v>10</v>
      </c>
      <c r="O822" s="387">
        <f t="shared" ca="1" si="126"/>
        <v>0</v>
      </c>
      <c r="P822" s="387"/>
      <c r="Q822" s="387"/>
      <c r="R822" s="387"/>
      <c r="S822" s="387"/>
      <c r="T822" s="391"/>
    </row>
    <row r="823" spans="1:20">
      <c r="A823" s="387" t="b">
        <f t="shared" ca="1" si="116"/>
        <v>0</v>
      </c>
      <c r="B823" s="387">
        <f t="shared" ca="1" si="123"/>
        <v>61</v>
      </c>
      <c r="C823" s="404" t="str">
        <f t="shared" ca="1" si="117"/>
        <v>a17Dm000001Pua4IAC</v>
      </c>
      <c r="D823" s="401"/>
      <c r="E823" s="387">
        <f t="shared" ca="1" si="124"/>
        <v>295</v>
      </c>
      <c r="F823" s="402">
        <f ca="1">IF(COUNTA(D$527:D823)=1,"",OFFSET(F821,-COUNTA(D$527:D823)+3,0))</f>
        <v>11</v>
      </c>
      <c r="G823" s="391" t="str">
        <f t="shared" ca="1" si="118"/>
        <v/>
      </c>
      <c r="H823" s="387">
        <f t="shared" ca="1" si="125"/>
        <v>9</v>
      </c>
      <c r="I823" s="389" t="str">
        <f t="shared" ca="1" si="119"/>
        <v/>
      </c>
      <c r="J823" s="392" t="str">
        <f t="shared" ca="1" si="120"/>
        <v/>
      </c>
      <c r="K823" s="392" t="str">
        <f t="shared" ca="1" si="121"/>
        <v/>
      </c>
      <c r="L823" s="391" t="str">
        <f t="shared" ca="1" si="122"/>
        <v/>
      </c>
      <c r="M823" s="401" t="str">
        <f ca="1">IFERROR(IF(COUNTIF($B$526:$B822,"&lt;0")=1,"",OFFSET($C821,-COUNTIF($B$526:$B822,"&lt;0")+3,0)),"")</f>
        <v>a17Dm000001Pua4IAC</v>
      </c>
      <c r="N823" s="401">
        <f ca="1">IFERROR(IF(AND(_xlfn.ISFORMULA(I823),NOT(_xlfn.ISFORMULA(I822))),1,OFFSET($F821,-COUNTIF($B$526:B822,"&lt;0")+3,0)),"")</f>
        <v>11</v>
      </c>
      <c r="O823" s="387">
        <f t="shared" ca="1" si="126"/>
        <v>0</v>
      </c>
      <c r="P823" s="387"/>
      <c r="Q823" s="387"/>
      <c r="R823" s="387"/>
      <c r="S823" s="387"/>
      <c r="T823" s="391"/>
    </row>
    <row r="824" spans="1:20">
      <c r="A824" s="387" t="b">
        <f t="shared" ca="1" si="116"/>
        <v>0</v>
      </c>
      <c r="B824" s="387">
        <f t="shared" ca="1" si="123"/>
        <v>62</v>
      </c>
      <c r="C824" s="404" t="str">
        <f t="shared" ca="1" si="117"/>
        <v>a17Dm000001PuaYIAS</v>
      </c>
      <c r="D824" s="401"/>
      <c r="E824" s="387">
        <f t="shared" ca="1" si="124"/>
        <v>296</v>
      </c>
      <c r="F824" s="402">
        <f ca="1">IF(COUNTA(D$527:D824)=1,"",OFFSET(F822,-COUNTA(D$527:D824)+3,0))</f>
        <v>11</v>
      </c>
      <c r="G824" s="391" t="str">
        <f t="shared" ca="1" si="118"/>
        <v/>
      </c>
      <c r="H824" s="387">
        <f t="shared" ca="1" si="125"/>
        <v>9</v>
      </c>
      <c r="I824" s="389" t="str">
        <f t="shared" ca="1" si="119"/>
        <v/>
      </c>
      <c r="J824" s="392" t="str">
        <f t="shared" ca="1" si="120"/>
        <v/>
      </c>
      <c r="K824" s="392" t="str">
        <f t="shared" ca="1" si="121"/>
        <v/>
      </c>
      <c r="L824" s="391" t="str">
        <f t="shared" ca="1" si="122"/>
        <v/>
      </c>
      <c r="M824" s="401" t="str">
        <f ca="1">IFERROR(IF(COUNTIF($B$526:$B823,"&lt;0")=1,"",OFFSET($C822,-COUNTIF($B$526:$B823,"&lt;0")+3,0)),"")</f>
        <v>a17Dm000001PuaYIAS</v>
      </c>
      <c r="N824" s="401">
        <f ca="1">IFERROR(IF(AND(_xlfn.ISFORMULA(I824),NOT(_xlfn.ISFORMULA(I823))),1,OFFSET($F822,-COUNTIF($B$526:B823,"&lt;0")+3,0)),"")</f>
        <v>11</v>
      </c>
      <c r="O824" s="387">
        <f t="shared" ca="1" si="126"/>
        <v>0</v>
      </c>
      <c r="P824" s="387"/>
      <c r="Q824" s="387"/>
      <c r="R824" s="387"/>
      <c r="S824" s="387"/>
      <c r="T824" s="391"/>
    </row>
    <row r="825" spans="1:20">
      <c r="A825" s="387" t="b">
        <f t="shared" ca="1" si="116"/>
        <v>0</v>
      </c>
      <c r="B825" s="387">
        <f t="shared" ca="1" si="123"/>
        <v>63</v>
      </c>
      <c r="C825" s="404" t="str">
        <f t="shared" ca="1" si="117"/>
        <v>a17Dm000001Pub2IAC</v>
      </c>
      <c r="D825" s="401"/>
      <c r="E825" s="387">
        <f t="shared" ca="1" si="124"/>
        <v>297</v>
      </c>
      <c r="F825" s="402">
        <f ca="1">IF(COUNTA(D$527:D825)=1,"",OFFSET(F823,-COUNTA(D$527:D825)+3,0))</f>
        <v>11</v>
      </c>
      <c r="G825" s="391" t="str">
        <f t="shared" ca="1" si="118"/>
        <v/>
      </c>
      <c r="H825" s="387">
        <f t="shared" ca="1" si="125"/>
        <v>9</v>
      </c>
      <c r="I825" s="389" t="str">
        <f t="shared" ca="1" si="119"/>
        <v/>
      </c>
      <c r="J825" s="392" t="str">
        <f t="shared" ca="1" si="120"/>
        <v/>
      </c>
      <c r="K825" s="392" t="str">
        <f t="shared" ca="1" si="121"/>
        <v/>
      </c>
      <c r="L825" s="391" t="str">
        <f t="shared" ca="1" si="122"/>
        <v/>
      </c>
      <c r="M825" s="401" t="str">
        <f ca="1">IFERROR(IF(COUNTIF($B$526:$B824,"&lt;0")=1,"",OFFSET($C823,-COUNTIF($B$526:$B824,"&lt;0")+3,0)),"")</f>
        <v>a17Dm000001Pub2IAC</v>
      </c>
      <c r="N825" s="401">
        <f ca="1">IFERROR(IF(AND(_xlfn.ISFORMULA(I825),NOT(_xlfn.ISFORMULA(I824))),1,OFFSET($F823,-COUNTIF($B$526:B824,"&lt;0")+3,0)),"")</f>
        <v>11</v>
      </c>
      <c r="O825" s="387">
        <f t="shared" ca="1" si="126"/>
        <v>0</v>
      </c>
      <c r="P825" s="387"/>
      <c r="Q825" s="387"/>
      <c r="R825" s="387"/>
      <c r="S825" s="387"/>
      <c r="T825" s="391"/>
    </row>
    <row r="826" spans="1:20">
      <c r="A826" s="387" t="b">
        <f t="shared" ca="1" si="116"/>
        <v>0</v>
      </c>
      <c r="B826" s="387">
        <f t="shared" ca="1" si="123"/>
        <v>64</v>
      </c>
      <c r="C826" s="404" t="str">
        <f t="shared" ca="1" si="117"/>
        <v>a17Dm000001PubWIAS</v>
      </c>
      <c r="D826" s="401"/>
      <c r="E826" s="387">
        <f t="shared" ca="1" si="124"/>
        <v>298</v>
      </c>
      <c r="F826" s="402">
        <f ca="1">IF(COUNTA(D$527:D826)=1,"",OFFSET(F824,-COUNTA(D$527:D826)+3,0))</f>
        <v>11</v>
      </c>
      <c r="G826" s="391" t="str">
        <f t="shared" ca="1" si="118"/>
        <v/>
      </c>
      <c r="H826" s="387">
        <f t="shared" ca="1" si="125"/>
        <v>9</v>
      </c>
      <c r="I826" s="389" t="str">
        <f t="shared" ca="1" si="119"/>
        <v/>
      </c>
      <c r="J826" s="392" t="str">
        <f t="shared" ca="1" si="120"/>
        <v/>
      </c>
      <c r="K826" s="392" t="str">
        <f t="shared" ca="1" si="121"/>
        <v/>
      </c>
      <c r="L826" s="391" t="str">
        <f t="shared" ca="1" si="122"/>
        <v/>
      </c>
      <c r="M826" s="401" t="str">
        <f ca="1">IFERROR(IF(COUNTIF($B$526:$B825,"&lt;0")=1,"",OFFSET($C824,-COUNTIF($B$526:$B825,"&lt;0")+3,0)),"")</f>
        <v>a17Dm000001PubWIAS</v>
      </c>
      <c r="N826" s="401">
        <f ca="1">IFERROR(IF(AND(_xlfn.ISFORMULA(I826),NOT(_xlfn.ISFORMULA(I825))),1,OFFSET($F824,-COUNTIF($B$526:B825,"&lt;0")+3,0)),"")</f>
        <v>11</v>
      </c>
      <c r="O826" s="387">
        <f t="shared" ca="1" si="126"/>
        <v>0</v>
      </c>
      <c r="P826" s="387"/>
      <c r="Q826" s="387"/>
      <c r="R826" s="387"/>
      <c r="S826" s="387"/>
      <c r="T826" s="391"/>
    </row>
    <row r="827" spans="1:20">
      <c r="A827" s="387" t="b">
        <f t="shared" ref="A827:A890" ca="1" si="127">IF(OR(I827&lt;&gt;"",J827&lt;&gt;"",K827&lt;&gt;"",L827&lt;&gt;""),TRUE,FALSE)</f>
        <v>0</v>
      </c>
      <c r="B827" s="387">
        <f t="shared" ca="1" si="123"/>
        <v>65</v>
      </c>
      <c r="C827" s="404" t="str">
        <f t="shared" ref="C827:C890" ca="1" si="128">M827</f>
        <v>a17Dm000001Puc0IAC</v>
      </c>
      <c r="D827" s="401"/>
      <c r="E827" s="387">
        <f t="shared" ca="1" si="124"/>
        <v>299</v>
      </c>
      <c r="F827" s="402">
        <f ca="1">IF(COUNTA(D$527:D827)=1,"",OFFSET(F825,-COUNTA(D$527:D827)+3,0))</f>
        <v>11</v>
      </c>
      <c r="G827" s="391" t="str">
        <f t="shared" ref="G827:G890" ca="1" si="129">IFERROR(IF(INDIRECT("'Coverage Indicators - Section I'!G"&amp;$I302)="","",INDIRECT("'Coverage Indicators - Section I'!G"&amp;$I302)),"")</f>
        <v/>
      </c>
      <c r="H827" s="387">
        <f t="shared" ca="1" si="125"/>
        <v>9</v>
      </c>
      <c r="I827" s="389" t="str">
        <f t="shared" ref="I827:I890" ca="1" si="130">IFERROR(CHOOSE(E827,IFERROR(IF(INDIRECT("'Coverage Indicators - Section D'!O"&amp;H827)="","",INDIRECT("'Coverage Indicators - Section D'!O"&amp;H827)*100),""),IFERROR(IF(INDIRECT("'Coverage Indicators - Section D'!R"&amp;H827)="","",INDIRECT("'Coverage Indicators - Section D'!R"&amp;H827)*100),""),IFERROR(IF(INDIRECT("'Coverage Indicators - Section D'!U"&amp;H827)="","",INDIRECT("'Coverage Indicators - Section D'!U"&amp;H827)*100),""),IFERROR(IF(INDIRECT("'Coverage Indicators - Section D'!X"&amp;H827)="","",INDIRECT("'Coverage Indicators - Section D'!X"&amp;H827)*100),""),IFERROR(IF(INDIRECT("'Coverage Indicators - Section D'!AA"&amp;H827)="","",INDIRECT("'Coverage Indicators - Section D'!AA"&amp;H827)*100),""),IFERROR(IF(INDIRECT("'Coverage Indicators - Section D'!AD"&amp;H827)="","",INDIRECT("'Coverage Indicators - Section D'!AD"&amp;H827)*100),""),IFERROR(IF(INDIRECT("'Coverage Indicators - Section D'!AG"&amp;H827)="","",INDIRECT("'Coverage Indicators - Section D'!AG"&amp;H827)*100),""),IFERROR(IF(INDIRECT("'Coverage Indicators - Section D'!AJ"&amp;H827)="","",INDIRECT("'Coverage Indicators - Section D'!AJ"&amp;H827)*100),"")),"")</f>
        <v/>
      </c>
      <c r="J827" s="392" t="str">
        <f t="shared" ref="J827:J890" ca="1" si="131">IFERROR(CHOOSE(E827,IFERROR(IF(INDIRECT("'Coverage Indicators - Section D'!N"&amp;H827+1)="","",INDIRECT("'Coverage Indicators - Section D'!N"&amp;H827+1)),""),IFERROR(IF(INDIRECT("'Coverage Indicators - Section D'!Q"&amp;H827+1)="","",INDIRECT("'Coverage Indicators - Section D'!Q"&amp;H827+1)),""),IFERROR(IF(INDIRECT("'Coverage Indicators - Section D'!T"&amp;H827+1)="","",INDIRECT("'Coverage Indicators - Section D'!T"&amp;H827+1)),""),IFERROR(IF(INDIRECT("'Coverage Indicators - Section D'!W"&amp;H827+1)="","",INDIRECT("'Coverage Indicators - Section D'!W"&amp;H827+1)),""),IFERROR(IF(INDIRECT("'Coverage Indicators - Section D'!Z"&amp;H827+1)="","",INDIRECT("'Coverage Indicators - Section D'!Z"&amp;H827+1)),""),IFERROR(IF(INDIRECT("'Coverage Indicators - Section D'!AC"&amp;H827+1)="","",INDIRECT("'Coverage Indicators - Section D'!AC"&amp;H827+1)),""),IFERROR(IF(INDIRECT("'Coverage Indicators - Section D'!AF"&amp;H827+1)="","",INDIRECT("'Coverage Indicators - Section D'!AF"&amp;H827+1)),""),IFERROR(IF(INDIRECT("'Coverage Indicators - Section D'!AI"&amp;H827+1)="","",INDIRECT("'Coverage Indicators - Section D'!AI"&amp;H827+1)),"")),"")</f>
        <v/>
      </c>
      <c r="K827" s="392" t="str">
        <f t="shared" ref="K827:K890" ca="1" si="132">IFERROR(CHOOSE(E827,IFERROR(IF(INDIRECT("'Coverage Indicators - Section D'!N"&amp;H827)="","",INDIRECT("'Coverage Indicators - Section D'!N"&amp;H827)),""),IFERROR(IF(INDIRECT("'Coverage Indicators - Section D'!Q"&amp;H827)="","",INDIRECT("'Coverage Indicators - Section D'!Q"&amp;H827)),""),IFERROR(IF(INDIRECT("'Coverage Indicators - Section D'!T"&amp;H827)="","",INDIRECT("'Coverage Indicators - Section D'!T"&amp;H827)),""),IFERROR(IF(INDIRECT("'Coverage Indicators - Section D'!W"&amp;H827)="","",INDIRECT("'Coverage Indicators - Section D'!W"&amp;H827)),""),IFERROR(IF(INDIRECT("'Coverage Indicators - Section D'!Z"&amp;H827)="","",INDIRECT("'Coverage Indicators - Section D'!Z"&amp;H827)),""),IFERROR(IF(INDIRECT("'Coverage Indicators - Section D'!AC"&amp;H827)="","",INDIRECT("'Coverage Indicators - Section D'!AC"&amp;H827)),""),IFERROR(IF(INDIRECT("'Coverage Indicators - Section D'!AF"&amp;H827)="","",INDIRECT("'Coverage Indicators - Section D'!AF"&amp;H827)),""),IFERROR(IF(INDIRECT("'Coverage Indicators - Section D'!AI"&amp;H827)="","",INDIRECT("'Coverage Indicators - Section D'!AI"&amp;H827)),"")),"")</f>
        <v/>
      </c>
      <c r="L827" s="391" t="str">
        <f t="shared" ref="L827:L890" ca="1" si="133">IF(IFERROR(CHOOSE(E827,IFERROR(IF(INDIRECT("'Coverage Indicators - Section D'!P"&amp;H827)=0,"",INDIRECT("'Coverage Indicators - Section D'!P"&amp;H827)),""),IFERROR(IF(INDIRECT("'Coverage Indicators - Section D'!S"&amp;H827)=0,"",INDIRECT("'Coverage Indicators - Section D'!S"&amp;H827)),""),IFERROR(IF(INDIRECT("'Coverage Indicators - Section D'!V"&amp;H827)=0,"",INDIRECT("'Coverage Indicators - Section D'!V"&amp;H827)),""),IFERROR(IF(INDIRECT("'Coverage Indicators - Section D'!Y"&amp;H827)=0,"",INDIRECT("'Coverage Indicators - Section D'!Y"&amp;H827)),""),IFERROR(IF(INDIRECT("'Coverage Indicators - Section D'!AB"&amp;H827)=0,"",INDIRECT("'Coverage Indicators - Section D'!AB"&amp;H827)),""),IFERROR(IF(INDIRECT("'Coverage Indicators - Section D'!AE"&amp;H827)=0,"",INDIRECT("'Coverage Indicators - Section D'!AE"&amp;H827)),""),IFERROR(IF(INDIRECT("'Coverage Indicators - Section D'!AH"&amp;H827)=0,"",INDIRECT("'Coverage Indicators - Section D'!AH"&amp;H827)),""),IFERROR(IF(INDIRECT("'Coverage Indicators - Section D'!AK"&amp;H827)=0,"",INDIRECT("'Coverage Indicators - Section D'!AK"&amp;H827)),""),),"")=0,"",IFERROR(CHOOSE(E827,IFERROR(IF(INDIRECT("'Coverage Indicators - Section D'!P"&amp;H827)=0,"",INDIRECT("'Coverage Indicators - Section D'!P"&amp;H827)),""),IFERROR(IF(INDIRECT("'Coverage Indicators - Section D'!S"&amp;H827)=0,"",INDIRECT("'Coverage Indicators - Section D'!S"&amp;H827)),""),IFERROR(IF(INDIRECT("'Coverage Indicators - Section D'!V"&amp;H827)=0,"",INDIRECT("'Coverage Indicators - Section D'!V"&amp;H827)),""),IFERROR(IF(INDIRECT("'Coverage Indicators - Section D'!Y"&amp;H827)=0,"",INDIRECT("'Coverage Indicators - Section D'!Y"&amp;H827)),""),IFERROR(IF(INDIRECT("'Coverage Indicators - Section D'!AB"&amp;H827)=0,"",INDIRECT("'Coverage Indicators - Section D'!AB"&amp;H827)),""),IFERROR(IF(INDIRECT("'Coverage Indicators - Section D'!AE"&amp;H827)=0,"",INDIRECT("'Coverage Indicators - Section D'!AE"&amp;H827)),""),IFERROR(IF(INDIRECT("'Coverage Indicators - Section D'!AH"&amp;H827)=0,"",INDIRECT("'Coverage Indicators - Section D'!AH"&amp;H827)),""),IFERROR(IF(INDIRECT("'Coverage Indicators - Section D'!AK"&amp;H827)=0,"",INDIRECT("'Coverage Indicators - Section D'!AK"&amp;H827)),""),),""))</f>
        <v/>
      </c>
      <c r="M827" s="401" t="str">
        <f ca="1">IFERROR(IF(COUNTIF($B$526:$B826,"&lt;0")=1,"",OFFSET($C825,-COUNTIF($B$526:$B826,"&lt;0")+3,0)),"")</f>
        <v>a17Dm000001Puc0IAC</v>
      </c>
      <c r="N827" s="401">
        <f ca="1">IFERROR(IF(AND(_xlfn.ISFORMULA(I827),NOT(_xlfn.ISFORMULA(I826))),1,OFFSET($F825,-COUNTIF($B$526:B826,"&lt;0")+3,0)),"")</f>
        <v>11</v>
      </c>
      <c r="O827" s="387">
        <f t="shared" ca="1" si="126"/>
        <v>0</v>
      </c>
      <c r="P827" s="387"/>
      <c r="Q827" s="387"/>
      <c r="R827" s="387"/>
      <c r="S827" s="387"/>
      <c r="T827" s="391"/>
    </row>
    <row r="828" spans="1:20">
      <c r="A828" s="387" t="b">
        <f t="shared" ca="1" si="127"/>
        <v>0</v>
      </c>
      <c r="B828" s="387">
        <f t="shared" ca="1" si="123"/>
        <v>66</v>
      </c>
      <c r="C828" s="404" t="str">
        <f t="shared" ca="1" si="128"/>
        <v>a17Dm000001PucUIAS</v>
      </c>
      <c r="D828" s="401"/>
      <c r="E828" s="387">
        <f t="shared" ca="1" si="124"/>
        <v>300</v>
      </c>
      <c r="F828" s="402">
        <f ca="1">IF(COUNTA(D$527:D828)=1,"",OFFSET(F826,-COUNTA(D$527:D828)+3,0))</f>
        <v>11</v>
      </c>
      <c r="G828" s="391" t="str">
        <f t="shared" ca="1" si="129"/>
        <v/>
      </c>
      <c r="H828" s="387">
        <f t="shared" ca="1" si="125"/>
        <v>9</v>
      </c>
      <c r="I828" s="389" t="str">
        <f t="shared" ca="1" si="130"/>
        <v/>
      </c>
      <c r="J828" s="392" t="str">
        <f t="shared" ca="1" si="131"/>
        <v/>
      </c>
      <c r="K828" s="392" t="str">
        <f t="shared" ca="1" si="132"/>
        <v/>
      </c>
      <c r="L828" s="391" t="str">
        <f t="shared" ca="1" si="133"/>
        <v/>
      </c>
      <c r="M828" s="401" t="str">
        <f ca="1">IFERROR(IF(COUNTIF($B$526:$B827,"&lt;0")=1,"",OFFSET($C826,-COUNTIF($B$526:$B827,"&lt;0")+3,0)),"")</f>
        <v>a17Dm000001PucUIAS</v>
      </c>
      <c r="N828" s="401">
        <f ca="1">IFERROR(IF(AND(_xlfn.ISFORMULA(I828),NOT(_xlfn.ISFORMULA(I827))),1,OFFSET($F826,-COUNTIF($B$526:B827,"&lt;0")+3,0)),"")</f>
        <v>11</v>
      </c>
      <c r="O828" s="387">
        <f t="shared" ca="1" si="126"/>
        <v>0</v>
      </c>
      <c r="P828" s="387"/>
      <c r="Q828" s="387"/>
      <c r="R828" s="387"/>
      <c r="S828" s="387"/>
      <c r="T828" s="391"/>
    </row>
    <row r="829" spans="1:20">
      <c r="A829" s="387" t="b">
        <f t="shared" ca="1" si="127"/>
        <v>0</v>
      </c>
      <c r="B829" s="387">
        <f t="shared" ca="1" si="123"/>
        <v>67</v>
      </c>
      <c r="C829" s="404" t="str">
        <f t="shared" ca="1" si="128"/>
        <v>a17Dm000001Pua5IAC</v>
      </c>
      <c r="D829" s="401"/>
      <c r="E829" s="387">
        <f t="shared" ca="1" si="124"/>
        <v>301</v>
      </c>
      <c r="F829" s="402">
        <f ca="1">IF(COUNTA(D$527:D829)=1,"",OFFSET(F827,-COUNTA(D$527:D829)+3,0))</f>
        <v>12</v>
      </c>
      <c r="G829" s="391" t="str">
        <f t="shared" ca="1" si="129"/>
        <v/>
      </c>
      <c r="H829" s="387">
        <f t="shared" ca="1" si="125"/>
        <v>9</v>
      </c>
      <c r="I829" s="389" t="str">
        <f t="shared" ca="1" si="130"/>
        <v/>
      </c>
      <c r="J829" s="392" t="str">
        <f t="shared" ca="1" si="131"/>
        <v/>
      </c>
      <c r="K829" s="392" t="str">
        <f t="shared" ca="1" si="132"/>
        <v/>
      </c>
      <c r="L829" s="391" t="str">
        <f t="shared" ca="1" si="133"/>
        <v/>
      </c>
      <c r="M829" s="401" t="str">
        <f ca="1">IFERROR(IF(COUNTIF($B$526:$B828,"&lt;0")=1,"",OFFSET($C827,-COUNTIF($B$526:$B828,"&lt;0")+3,0)),"")</f>
        <v>a17Dm000001Pua5IAC</v>
      </c>
      <c r="N829" s="401">
        <f ca="1">IFERROR(IF(AND(_xlfn.ISFORMULA(I829),NOT(_xlfn.ISFORMULA(I828))),1,OFFSET($F827,-COUNTIF($B$526:B828,"&lt;0")+3,0)),"")</f>
        <v>12</v>
      </c>
      <c r="O829" s="387">
        <f t="shared" ca="1" si="126"/>
        <v>0</v>
      </c>
      <c r="P829" s="387"/>
      <c r="Q829" s="387"/>
      <c r="R829" s="387"/>
      <c r="S829" s="387"/>
      <c r="T829" s="391"/>
    </row>
    <row r="830" spans="1:20">
      <c r="A830" s="387" t="b">
        <f t="shared" ca="1" si="127"/>
        <v>0</v>
      </c>
      <c r="B830" s="387">
        <f t="shared" ca="1" si="123"/>
        <v>68</v>
      </c>
      <c r="C830" s="404" t="str">
        <f t="shared" ca="1" si="128"/>
        <v>a17Dm000001PuaZIAS</v>
      </c>
      <c r="D830" s="401"/>
      <c r="E830" s="387">
        <f t="shared" ca="1" si="124"/>
        <v>302</v>
      </c>
      <c r="F830" s="402">
        <f ca="1">IF(COUNTA(D$527:D830)=1,"",OFFSET(F828,-COUNTA(D$527:D830)+3,0))</f>
        <v>12</v>
      </c>
      <c r="G830" s="391" t="str">
        <f t="shared" ca="1" si="129"/>
        <v/>
      </c>
      <c r="H830" s="387">
        <f t="shared" ca="1" si="125"/>
        <v>9</v>
      </c>
      <c r="I830" s="389" t="str">
        <f t="shared" ca="1" si="130"/>
        <v/>
      </c>
      <c r="J830" s="392" t="str">
        <f t="shared" ca="1" si="131"/>
        <v/>
      </c>
      <c r="K830" s="392" t="str">
        <f t="shared" ca="1" si="132"/>
        <v/>
      </c>
      <c r="L830" s="391" t="str">
        <f t="shared" ca="1" si="133"/>
        <v/>
      </c>
      <c r="M830" s="401" t="str">
        <f ca="1">IFERROR(IF(COUNTIF($B$526:$B829,"&lt;0")=1,"",OFFSET($C828,-COUNTIF($B$526:$B829,"&lt;0")+3,0)),"")</f>
        <v>a17Dm000001PuaZIAS</v>
      </c>
      <c r="N830" s="401">
        <f ca="1">IFERROR(IF(AND(_xlfn.ISFORMULA(I830),NOT(_xlfn.ISFORMULA(I829))),1,OFFSET($F828,-COUNTIF($B$526:B829,"&lt;0")+3,0)),"")</f>
        <v>12</v>
      </c>
      <c r="O830" s="387">
        <f t="shared" ca="1" si="126"/>
        <v>0</v>
      </c>
      <c r="P830" s="387"/>
      <c r="Q830" s="387"/>
      <c r="R830" s="387"/>
      <c r="S830" s="387"/>
      <c r="T830" s="391"/>
    </row>
    <row r="831" spans="1:20">
      <c r="A831" s="387" t="b">
        <f t="shared" ca="1" si="127"/>
        <v>0</v>
      </c>
      <c r="B831" s="387">
        <f t="shared" ca="1" si="123"/>
        <v>69</v>
      </c>
      <c r="C831" s="404" t="str">
        <f t="shared" ca="1" si="128"/>
        <v>a17Dm000001Pub3IAC</v>
      </c>
      <c r="D831" s="401"/>
      <c r="E831" s="387">
        <f t="shared" ca="1" si="124"/>
        <v>303</v>
      </c>
      <c r="F831" s="402">
        <f ca="1">IF(COUNTA(D$527:D831)=1,"",OFFSET(F829,-COUNTA(D$527:D831)+3,0))</f>
        <v>12</v>
      </c>
      <c r="G831" s="391" t="str">
        <f t="shared" ca="1" si="129"/>
        <v/>
      </c>
      <c r="H831" s="387">
        <f t="shared" ca="1" si="125"/>
        <v>9</v>
      </c>
      <c r="I831" s="389" t="str">
        <f t="shared" ca="1" si="130"/>
        <v/>
      </c>
      <c r="J831" s="392" t="str">
        <f t="shared" ca="1" si="131"/>
        <v/>
      </c>
      <c r="K831" s="392" t="str">
        <f t="shared" ca="1" si="132"/>
        <v/>
      </c>
      <c r="L831" s="391" t="str">
        <f t="shared" ca="1" si="133"/>
        <v/>
      </c>
      <c r="M831" s="401" t="str">
        <f ca="1">IFERROR(IF(COUNTIF($B$526:$B830,"&lt;0")=1,"",OFFSET($C829,-COUNTIF($B$526:$B830,"&lt;0")+3,0)),"")</f>
        <v>a17Dm000001Pub3IAC</v>
      </c>
      <c r="N831" s="401">
        <f ca="1">IFERROR(IF(AND(_xlfn.ISFORMULA(I831),NOT(_xlfn.ISFORMULA(I830))),1,OFFSET($F829,-COUNTIF($B$526:B830,"&lt;0")+3,0)),"")</f>
        <v>12</v>
      </c>
      <c r="O831" s="387">
        <f t="shared" ca="1" si="126"/>
        <v>0</v>
      </c>
      <c r="P831" s="387"/>
      <c r="Q831" s="387"/>
      <c r="R831" s="387"/>
      <c r="S831" s="387"/>
      <c r="T831" s="391"/>
    </row>
    <row r="832" spans="1:20">
      <c r="A832" s="387" t="b">
        <f t="shared" ca="1" si="127"/>
        <v>0</v>
      </c>
      <c r="B832" s="387">
        <f t="shared" ca="1" si="123"/>
        <v>70</v>
      </c>
      <c r="C832" s="404" t="str">
        <f t="shared" ca="1" si="128"/>
        <v>a17Dm000001PubXIAS</v>
      </c>
      <c r="D832" s="401"/>
      <c r="E832" s="387">
        <f t="shared" ca="1" si="124"/>
        <v>304</v>
      </c>
      <c r="F832" s="402">
        <f ca="1">IF(COUNTA(D$527:D832)=1,"",OFFSET(F830,-COUNTA(D$527:D832)+3,0))</f>
        <v>12</v>
      </c>
      <c r="G832" s="391" t="str">
        <f t="shared" ca="1" si="129"/>
        <v/>
      </c>
      <c r="H832" s="387">
        <f t="shared" ca="1" si="125"/>
        <v>9</v>
      </c>
      <c r="I832" s="389" t="str">
        <f t="shared" ca="1" si="130"/>
        <v/>
      </c>
      <c r="J832" s="392" t="str">
        <f t="shared" ca="1" si="131"/>
        <v/>
      </c>
      <c r="K832" s="392" t="str">
        <f t="shared" ca="1" si="132"/>
        <v/>
      </c>
      <c r="L832" s="391" t="str">
        <f t="shared" ca="1" si="133"/>
        <v/>
      </c>
      <c r="M832" s="401" t="str">
        <f ca="1">IFERROR(IF(COUNTIF($B$526:$B831,"&lt;0")=1,"",OFFSET($C830,-COUNTIF($B$526:$B831,"&lt;0")+3,0)),"")</f>
        <v>a17Dm000001PubXIAS</v>
      </c>
      <c r="N832" s="401">
        <f ca="1">IFERROR(IF(AND(_xlfn.ISFORMULA(I832),NOT(_xlfn.ISFORMULA(I831))),1,OFFSET($F830,-COUNTIF($B$526:B831,"&lt;0")+3,0)),"")</f>
        <v>12</v>
      </c>
      <c r="O832" s="387">
        <f t="shared" ca="1" si="126"/>
        <v>0</v>
      </c>
      <c r="P832" s="387"/>
      <c r="Q832" s="387"/>
      <c r="R832" s="387"/>
      <c r="S832" s="387"/>
      <c r="T832" s="391"/>
    </row>
    <row r="833" spans="1:20">
      <c r="A833" s="387" t="b">
        <f t="shared" ca="1" si="127"/>
        <v>0</v>
      </c>
      <c r="B833" s="387">
        <f t="shared" ca="1" si="123"/>
        <v>71</v>
      </c>
      <c r="C833" s="404" t="str">
        <f t="shared" ca="1" si="128"/>
        <v>a17Dm000001Puc1IAC</v>
      </c>
      <c r="D833" s="401"/>
      <c r="E833" s="387">
        <f t="shared" ca="1" si="124"/>
        <v>305</v>
      </c>
      <c r="F833" s="402">
        <f ca="1">IF(COUNTA(D$527:D833)=1,"",OFFSET(F831,-COUNTA(D$527:D833)+3,0))</f>
        <v>12</v>
      </c>
      <c r="G833" s="391" t="str">
        <f t="shared" ca="1" si="129"/>
        <v/>
      </c>
      <c r="H833" s="387">
        <f t="shared" ca="1" si="125"/>
        <v>9</v>
      </c>
      <c r="I833" s="389" t="str">
        <f t="shared" ca="1" si="130"/>
        <v/>
      </c>
      <c r="J833" s="392" t="str">
        <f t="shared" ca="1" si="131"/>
        <v/>
      </c>
      <c r="K833" s="392" t="str">
        <f t="shared" ca="1" si="132"/>
        <v/>
      </c>
      <c r="L833" s="391" t="str">
        <f t="shared" ca="1" si="133"/>
        <v/>
      </c>
      <c r="M833" s="401" t="str">
        <f ca="1">IFERROR(IF(COUNTIF($B$526:$B832,"&lt;0")=1,"",OFFSET($C831,-COUNTIF($B$526:$B832,"&lt;0")+3,0)),"")</f>
        <v>a17Dm000001Puc1IAC</v>
      </c>
      <c r="N833" s="401">
        <f ca="1">IFERROR(IF(AND(_xlfn.ISFORMULA(I833),NOT(_xlfn.ISFORMULA(I832))),1,OFFSET($F831,-COUNTIF($B$526:B832,"&lt;0")+3,0)),"")</f>
        <v>12</v>
      </c>
      <c r="O833" s="387">
        <f t="shared" ca="1" si="126"/>
        <v>0</v>
      </c>
      <c r="P833" s="387"/>
      <c r="Q833" s="387"/>
      <c r="R833" s="387"/>
      <c r="S833" s="387"/>
      <c r="T833" s="391"/>
    </row>
    <row r="834" spans="1:20">
      <c r="A834" s="387" t="b">
        <f t="shared" ca="1" si="127"/>
        <v>0</v>
      </c>
      <c r="B834" s="387">
        <f t="shared" ca="1" si="123"/>
        <v>72</v>
      </c>
      <c r="C834" s="404" t="str">
        <f t="shared" ca="1" si="128"/>
        <v>a17Dm000001PucVIAS</v>
      </c>
      <c r="D834" s="401"/>
      <c r="E834" s="387">
        <f t="shared" ca="1" si="124"/>
        <v>306</v>
      </c>
      <c r="F834" s="402">
        <f ca="1">IF(COUNTA(D$527:D834)=1,"",OFFSET(F832,-COUNTA(D$527:D834)+3,0))</f>
        <v>12</v>
      </c>
      <c r="G834" s="391" t="str">
        <f t="shared" ca="1" si="129"/>
        <v/>
      </c>
      <c r="H834" s="387">
        <f t="shared" ca="1" si="125"/>
        <v>9</v>
      </c>
      <c r="I834" s="389" t="str">
        <f t="shared" ca="1" si="130"/>
        <v/>
      </c>
      <c r="J834" s="392" t="str">
        <f t="shared" ca="1" si="131"/>
        <v/>
      </c>
      <c r="K834" s="392" t="str">
        <f t="shared" ca="1" si="132"/>
        <v/>
      </c>
      <c r="L834" s="391" t="str">
        <f t="shared" ca="1" si="133"/>
        <v/>
      </c>
      <c r="M834" s="401" t="str">
        <f ca="1">IFERROR(IF(COUNTIF($B$526:$B833,"&lt;0")=1,"",OFFSET($C832,-COUNTIF($B$526:$B833,"&lt;0")+3,0)),"")</f>
        <v>a17Dm000001PucVIAS</v>
      </c>
      <c r="N834" s="401">
        <f ca="1">IFERROR(IF(AND(_xlfn.ISFORMULA(I834),NOT(_xlfn.ISFORMULA(I833))),1,OFFSET($F832,-COUNTIF($B$526:B833,"&lt;0")+3,0)),"")</f>
        <v>12</v>
      </c>
      <c r="O834" s="387">
        <f t="shared" ca="1" si="126"/>
        <v>0</v>
      </c>
      <c r="P834" s="387"/>
      <c r="Q834" s="387"/>
      <c r="R834" s="387"/>
      <c r="S834" s="387"/>
      <c r="T834" s="391"/>
    </row>
    <row r="835" spans="1:20">
      <c r="A835" s="387" t="b">
        <f t="shared" ca="1" si="127"/>
        <v>0</v>
      </c>
      <c r="B835" s="387">
        <f t="shared" ca="1" si="123"/>
        <v>73</v>
      </c>
      <c r="C835" s="404" t="str">
        <f t="shared" ca="1" si="128"/>
        <v>a17Dm000001Pua6IAC</v>
      </c>
      <c r="D835" s="401"/>
      <c r="E835" s="387">
        <f t="shared" ca="1" si="124"/>
        <v>307</v>
      </c>
      <c r="F835" s="402">
        <f ca="1">IF(COUNTA(D$527:D835)=1,"",OFFSET(F833,-COUNTA(D$527:D835)+3,0))</f>
        <v>13</v>
      </c>
      <c r="G835" s="391" t="str">
        <f t="shared" ca="1" si="129"/>
        <v/>
      </c>
      <c r="H835" s="387">
        <f t="shared" ca="1" si="125"/>
        <v>9</v>
      </c>
      <c r="I835" s="389" t="str">
        <f t="shared" ca="1" si="130"/>
        <v/>
      </c>
      <c r="J835" s="392" t="str">
        <f t="shared" ca="1" si="131"/>
        <v/>
      </c>
      <c r="K835" s="392" t="str">
        <f t="shared" ca="1" si="132"/>
        <v/>
      </c>
      <c r="L835" s="391" t="str">
        <f t="shared" ca="1" si="133"/>
        <v/>
      </c>
      <c r="M835" s="401" t="str">
        <f ca="1">IFERROR(IF(COUNTIF($B$526:$B834,"&lt;0")=1,"",OFFSET($C833,-COUNTIF($B$526:$B834,"&lt;0")+3,0)),"")</f>
        <v>a17Dm000001Pua6IAC</v>
      </c>
      <c r="N835" s="401">
        <f ca="1">IFERROR(IF(AND(_xlfn.ISFORMULA(I835),NOT(_xlfn.ISFORMULA(I834))),1,OFFSET($F833,-COUNTIF($B$526:B834,"&lt;0")+3,0)),"")</f>
        <v>13</v>
      </c>
      <c r="O835" s="387">
        <f t="shared" ca="1" si="126"/>
        <v>0</v>
      </c>
      <c r="P835" s="387"/>
      <c r="Q835" s="387"/>
      <c r="R835" s="387"/>
      <c r="S835" s="387"/>
      <c r="T835" s="391"/>
    </row>
    <row r="836" spans="1:20">
      <c r="A836" s="387" t="b">
        <f t="shared" ca="1" si="127"/>
        <v>0</v>
      </c>
      <c r="B836" s="387">
        <f t="shared" ca="1" si="123"/>
        <v>74</v>
      </c>
      <c r="C836" s="404" t="str">
        <f t="shared" ca="1" si="128"/>
        <v>a17Dm000001PuaaIAC</v>
      </c>
      <c r="D836" s="401"/>
      <c r="E836" s="387">
        <f t="shared" ca="1" si="124"/>
        <v>308</v>
      </c>
      <c r="F836" s="402">
        <f ca="1">IF(COUNTA(D$527:D836)=1,"",OFFSET(F834,-COUNTA(D$527:D836)+3,0))</f>
        <v>13</v>
      </c>
      <c r="G836" s="391" t="str">
        <f t="shared" ca="1" si="129"/>
        <v/>
      </c>
      <c r="H836" s="387">
        <f t="shared" ca="1" si="125"/>
        <v>9</v>
      </c>
      <c r="I836" s="389" t="str">
        <f t="shared" ca="1" si="130"/>
        <v/>
      </c>
      <c r="J836" s="392" t="str">
        <f t="shared" ca="1" si="131"/>
        <v/>
      </c>
      <c r="K836" s="392" t="str">
        <f t="shared" ca="1" si="132"/>
        <v/>
      </c>
      <c r="L836" s="391" t="str">
        <f t="shared" ca="1" si="133"/>
        <v/>
      </c>
      <c r="M836" s="401" t="str">
        <f ca="1">IFERROR(IF(COUNTIF($B$526:$B835,"&lt;0")=1,"",OFFSET($C834,-COUNTIF($B$526:$B835,"&lt;0")+3,0)),"")</f>
        <v>a17Dm000001PuaaIAC</v>
      </c>
      <c r="N836" s="401">
        <f ca="1">IFERROR(IF(AND(_xlfn.ISFORMULA(I836),NOT(_xlfn.ISFORMULA(I835))),1,OFFSET($F834,-COUNTIF($B$526:B835,"&lt;0")+3,0)),"")</f>
        <v>13</v>
      </c>
      <c r="O836" s="387">
        <f t="shared" ca="1" si="126"/>
        <v>0</v>
      </c>
      <c r="P836" s="387"/>
      <c r="Q836" s="387"/>
      <c r="R836" s="387"/>
      <c r="S836" s="387"/>
      <c r="T836" s="391"/>
    </row>
    <row r="837" spans="1:20">
      <c r="A837" s="387" t="b">
        <f t="shared" ca="1" si="127"/>
        <v>0</v>
      </c>
      <c r="B837" s="387">
        <f t="shared" ca="1" si="123"/>
        <v>75</v>
      </c>
      <c r="C837" s="404" t="str">
        <f t="shared" ca="1" si="128"/>
        <v>a17Dm000001Pub4IAC</v>
      </c>
      <c r="D837" s="401"/>
      <c r="E837" s="387">
        <f t="shared" ca="1" si="124"/>
        <v>309</v>
      </c>
      <c r="F837" s="402">
        <f ca="1">IF(COUNTA(D$527:D837)=1,"",OFFSET(F835,-COUNTA(D$527:D837)+3,0))</f>
        <v>13</v>
      </c>
      <c r="G837" s="391" t="str">
        <f t="shared" ca="1" si="129"/>
        <v/>
      </c>
      <c r="H837" s="387">
        <f t="shared" ca="1" si="125"/>
        <v>9</v>
      </c>
      <c r="I837" s="389" t="str">
        <f t="shared" ca="1" si="130"/>
        <v/>
      </c>
      <c r="J837" s="392" t="str">
        <f t="shared" ca="1" si="131"/>
        <v/>
      </c>
      <c r="K837" s="392" t="str">
        <f t="shared" ca="1" si="132"/>
        <v/>
      </c>
      <c r="L837" s="391" t="str">
        <f t="shared" ca="1" si="133"/>
        <v/>
      </c>
      <c r="M837" s="401" t="str">
        <f ca="1">IFERROR(IF(COUNTIF($B$526:$B836,"&lt;0")=1,"",OFFSET($C835,-COUNTIF($B$526:$B836,"&lt;0")+3,0)),"")</f>
        <v>a17Dm000001Pub4IAC</v>
      </c>
      <c r="N837" s="401">
        <f ca="1">IFERROR(IF(AND(_xlfn.ISFORMULA(I837),NOT(_xlfn.ISFORMULA(I836))),1,OFFSET($F835,-COUNTIF($B$526:B836,"&lt;0")+3,0)),"")</f>
        <v>13</v>
      </c>
      <c r="O837" s="387">
        <f t="shared" ca="1" si="126"/>
        <v>0</v>
      </c>
      <c r="P837" s="387"/>
      <c r="Q837" s="387"/>
      <c r="R837" s="387"/>
      <c r="S837" s="387"/>
      <c r="T837" s="391"/>
    </row>
    <row r="838" spans="1:20">
      <c r="A838" s="387" t="b">
        <f t="shared" ca="1" si="127"/>
        <v>0</v>
      </c>
      <c r="B838" s="387">
        <f t="shared" ca="1" si="123"/>
        <v>76</v>
      </c>
      <c r="C838" s="404" t="str">
        <f t="shared" ca="1" si="128"/>
        <v>a17Dm000001PubYIAS</v>
      </c>
      <c r="D838" s="401"/>
      <c r="E838" s="387">
        <f t="shared" ca="1" si="124"/>
        <v>310</v>
      </c>
      <c r="F838" s="402">
        <f ca="1">IF(COUNTA(D$527:D838)=1,"",OFFSET(F836,-COUNTA(D$527:D838)+3,0))</f>
        <v>13</v>
      </c>
      <c r="G838" s="391" t="str">
        <f t="shared" ca="1" si="129"/>
        <v/>
      </c>
      <c r="H838" s="387">
        <f t="shared" ca="1" si="125"/>
        <v>9</v>
      </c>
      <c r="I838" s="389" t="str">
        <f t="shared" ca="1" si="130"/>
        <v/>
      </c>
      <c r="J838" s="392" t="str">
        <f t="shared" ca="1" si="131"/>
        <v/>
      </c>
      <c r="K838" s="392" t="str">
        <f t="shared" ca="1" si="132"/>
        <v/>
      </c>
      <c r="L838" s="391" t="str">
        <f t="shared" ca="1" si="133"/>
        <v/>
      </c>
      <c r="M838" s="401" t="str">
        <f ca="1">IFERROR(IF(COUNTIF($B$526:$B837,"&lt;0")=1,"",OFFSET($C836,-COUNTIF($B$526:$B837,"&lt;0")+3,0)),"")</f>
        <v>a17Dm000001PubYIAS</v>
      </c>
      <c r="N838" s="401">
        <f ca="1">IFERROR(IF(AND(_xlfn.ISFORMULA(I838),NOT(_xlfn.ISFORMULA(I837))),1,OFFSET($F836,-COUNTIF($B$526:B837,"&lt;0")+3,0)),"")</f>
        <v>13</v>
      </c>
      <c r="O838" s="387">
        <f t="shared" ca="1" si="126"/>
        <v>0</v>
      </c>
      <c r="P838" s="387"/>
      <c r="Q838" s="387"/>
      <c r="R838" s="387"/>
      <c r="S838" s="387"/>
      <c r="T838" s="391"/>
    </row>
    <row r="839" spans="1:20">
      <c r="A839" s="387" t="b">
        <f t="shared" ca="1" si="127"/>
        <v>0</v>
      </c>
      <c r="B839" s="387">
        <f t="shared" ca="1" si="123"/>
        <v>77</v>
      </c>
      <c r="C839" s="404" t="str">
        <f t="shared" ca="1" si="128"/>
        <v>a17Dm000001Puc2IAC</v>
      </c>
      <c r="D839" s="401"/>
      <c r="E839" s="387">
        <f t="shared" ca="1" si="124"/>
        <v>311</v>
      </c>
      <c r="F839" s="402">
        <f ca="1">IF(COUNTA(D$527:D839)=1,"",OFFSET(F837,-COUNTA(D$527:D839)+3,0))</f>
        <v>13</v>
      </c>
      <c r="G839" s="391" t="str">
        <f t="shared" ca="1" si="129"/>
        <v/>
      </c>
      <c r="H839" s="387">
        <f t="shared" ca="1" si="125"/>
        <v>9</v>
      </c>
      <c r="I839" s="389" t="str">
        <f t="shared" ca="1" si="130"/>
        <v/>
      </c>
      <c r="J839" s="392" t="str">
        <f t="shared" ca="1" si="131"/>
        <v/>
      </c>
      <c r="K839" s="392" t="str">
        <f t="shared" ca="1" si="132"/>
        <v/>
      </c>
      <c r="L839" s="391" t="str">
        <f t="shared" ca="1" si="133"/>
        <v/>
      </c>
      <c r="M839" s="401" t="str">
        <f ca="1">IFERROR(IF(COUNTIF($B$526:$B838,"&lt;0")=1,"",OFFSET($C837,-COUNTIF($B$526:$B838,"&lt;0")+3,0)),"")</f>
        <v>a17Dm000001Puc2IAC</v>
      </c>
      <c r="N839" s="401">
        <f ca="1">IFERROR(IF(AND(_xlfn.ISFORMULA(I839),NOT(_xlfn.ISFORMULA(I838))),1,OFFSET($F837,-COUNTIF($B$526:B838,"&lt;0")+3,0)),"")</f>
        <v>13</v>
      </c>
      <c r="O839" s="387">
        <f t="shared" ca="1" si="126"/>
        <v>0</v>
      </c>
      <c r="P839" s="387"/>
      <c r="Q839" s="387"/>
      <c r="R839" s="387"/>
      <c r="S839" s="387"/>
      <c r="T839" s="391"/>
    </row>
    <row r="840" spans="1:20">
      <c r="A840" s="387" t="b">
        <f t="shared" ca="1" si="127"/>
        <v>0</v>
      </c>
      <c r="B840" s="387">
        <f t="shared" ca="1" si="123"/>
        <v>78</v>
      </c>
      <c r="C840" s="404" t="str">
        <f t="shared" ca="1" si="128"/>
        <v>a17Dm000001PucWIAS</v>
      </c>
      <c r="D840" s="401"/>
      <c r="E840" s="387">
        <f t="shared" ca="1" si="124"/>
        <v>312</v>
      </c>
      <c r="F840" s="402">
        <f ca="1">IF(COUNTA(D$527:D840)=1,"",OFFSET(F838,-COUNTA(D$527:D840)+3,0))</f>
        <v>13</v>
      </c>
      <c r="G840" s="391" t="str">
        <f t="shared" ca="1" si="129"/>
        <v/>
      </c>
      <c r="H840" s="387">
        <f t="shared" ca="1" si="125"/>
        <v>9</v>
      </c>
      <c r="I840" s="389" t="str">
        <f t="shared" ca="1" si="130"/>
        <v/>
      </c>
      <c r="J840" s="392" t="str">
        <f t="shared" ca="1" si="131"/>
        <v/>
      </c>
      <c r="K840" s="392" t="str">
        <f t="shared" ca="1" si="132"/>
        <v/>
      </c>
      <c r="L840" s="391" t="str">
        <f t="shared" ca="1" si="133"/>
        <v/>
      </c>
      <c r="M840" s="401" t="str">
        <f ca="1">IFERROR(IF(COUNTIF($B$526:$B839,"&lt;0")=1,"",OFFSET($C838,-COUNTIF($B$526:$B839,"&lt;0")+3,0)),"")</f>
        <v>a17Dm000001PucWIAS</v>
      </c>
      <c r="N840" s="401">
        <f ca="1">IFERROR(IF(AND(_xlfn.ISFORMULA(I840),NOT(_xlfn.ISFORMULA(I839))),1,OFFSET($F838,-COUNTIF($B$526:B839,"&lt;0")+3,0)),"")</f>
        <v>13</v>
      </c>
      <c r="O840" s="387">
        <f t="shared" ca="1" si="126"/>
        <v>0</v>
      </c>
      <c r="P840" s="387"/>
      <c r="Q840" s="387"/>
      <c r="R840" s="387"/>
      <c r="S840" s="387"/>
      <c r="T840" s="391"/>
    </row>
    <row r="841" spans="1:20">
      <c r="A841" s="387" t="b">
        <f t="shared" ca="1" si="127"/>
        <v>0</v>
      </c>
      <c r="B841" s="387">
        <f t="shared" ca="1" si="123"/>
        <v>79</v>
      </c>
      <c r="C841" s="404" t="str">
        <f t="shared" ca="1" si="128"/>
        <v>a17Dm000001Pua7IAC</v>
      </c>
      <c r="D841" s="401"/>
      <c r="E841" s="387">
        <f t="shared" ca="1" si="124"/>
        <v>313</v>
      </c>
      <c r="F841" s="402">
        <f ca="1">IF(COUNTA(D$527:D841)=1,"",OFFSET(F839,-COUNTA(D$527:D841)+3,0))</f>
        <v>14</v>
      </c>
      <c r="G841" s="391" t="str">
        <f t="shared" ca="1" si="129"/>
        <v/>
      </c>
      <c r="H841" s="387">
        <f t="shared" ca="1" si="125"/>
        <v>9</v>
      </c>
      <c r="I841" s="389" t="str">
        <f t="shared" ca="1" si="130"/>
        <v/>
      </c>
      <c r="J841" s="392" t="str">
        <f t="shared" ca="1" si="131"/>
        <v/>
      </c>
      <c r="K841" s="392" t="str">
        <f t="shared" ca="1" si="132"/>
        <v/>
      </c>
      <c r="L841" s="391" t="str">
        <f t="shared" ca="1" si="133"/>
        <v/>
      </c>
      <c r="M841" s="401" t="str">
        <f ca="1">IFERROR(IF(COUNTIF($B$526:$B840,"&lt;0")=1,"",OFFSET($C839,-COUNTIF($B$526:$B840,"&lt;0")+3,0)),"")</f>
        <v>a17Dm000001Pua7IAC</v>
      </c>
      <c r="N841" s="401">
        <f ca="1">IFERROR(IF(AND(_xlfn.ISFORMULA(I841),NOT(_xlfn.ISFORMULA(I840))),1,OFFSET($F839,-COUNTIF($B$526:B840,"&lt;0")+3,0)),"")</f>
        <v>14</v>
      </c>
      <c r="O841" s="387">
        <f t="shared" ca="1" si="126"/>
        <v>0</v>
      </c>
      <c r="P841" s="387"/>
      <c r="Q841" s="387"/>
      <c r="R841" s="387"/>
      <c r="S841" s="387"/>
      <c r="T841" s="391"/>
    </row>
    <row r="842" spans="1:20">
      <c r="A842" s="387" t="b">
        <f t="shared" ca="1" si="127"/>
        <v>0</v>
      </c>
      <c r="B842" s="387">
        <f t="shared" ca="1" si="123"/>
        <v>80</v>
      </c>
      <c r="C842" s="404" t="str">
        <f t="shared" ca="1" si="128"/>
        <v>a17Dm000001PuabIAC</v>
      </c>
      <c r="D842" s="401"/>
      <c r="E842" s="387">
        <f t="shared" ca="1" si="124"/>
        <v>314</v>
      </c>
      <c r="F842" s="402">
        <f ca="1">IF(COUNTA(D$527:D842)=1,"",OFFSET(F840,-COUNTA(D$527:D842)+3,0))</f>
        <v>14</v>
      </c>
      <c r="G842" s="391" t="str">
        <f t="shared" ca="1" si="129"/>
        <v/>
      </c>
      <c r="H842" s="387">
        <f t="shared" ca="1" si="125"/>
        <v>9</v>
      </c>
      <c r="I842" s="389" t="str">
        <f t="shared" ca="1" si="130"/>
        <v/>
      </c>
      <c r="J842" s="392" t="str">
        <f t="shared" ca="1" si="131"/>
        <v/>
      </c>
      <c r="K842" s="392" t="str">
        <f t="shared" ca="1" si="132"/>
        <v/>
      </c>
      <c r="L842" s="391" t="str">
        <f t="shared" ca="1" si="133"/>
        <v/>
      </c>
      <c r="M842" s="401" t="str">
        <f ca="1">IFERROR(IF(COUNTIF($B$526:$B841,"&lt;0")=1,"",OFFSET($C840,-COUNTIF($B$526:$B841,"&lt;0")+3,0)),"")</f>
        <v>a17Dm000001PuabIAC</v>
      </c>
      <c r="N842" s="401">
        <f ca="1">IFERROR(IF(AND(_xlfn.ISFORMULA(I842),NOT(_xlfn.ISFORMULA(I841))),1,OFFSET($F840,-COUNTIF($B$526:B841,"&lt;0")+3,0)),"")</f>
        <v>14</v>
      </c>
      <c r="O842" s="387">
        <f t="shared" ca="1" si="126"/>
        <v>0</v>
      </c>
      <c r="P842" s="387"/>
      <c r="Q842" s="387"/>
      <c r="R842" s="387"/>
      <c r="S842" s="387"/>
      <c r="T842" s="391"/>
    </row>
    <row r="843" spans="1:20">
      <c r="A843" s="387" t="b">
        <f t="shared" ca="1" si="127"/>
        <v>0</v>
      </c>
      <c r="B843" s="387">
        <f t="shared" ca="1" si="123"/>
        <v>81</v>
      </c>
      <c r="C843" s="404" t="str">
        <f t="shared" ca="1" si="128"/>
        <v>a17Dm000001Pub5IAC</v>
      </c>
      <c r="D843" s="401"/>
      <c r="E843" s="387">
        <f t="shared" ca="1" si="124"/>
        <v>315</v>
      </c>
      <c r="F843" s="402">
        <f ca="1">IF(COUNTA(D$527:D843)=1,"",OFFSET(F841,-COUNTA(D$527:D843)+3,0))</f>
        <v>14</v>
      </c>
      <c r="G843" s="391" t="str">
        <f t="shared" ca="1" si="129"/>
        <v/>
      </c>
      <c r="H843" s="387">
        <f t="shared" ca="1" si="125"/>
        <v>9</v>
      </c>
      <c r="I843" s="389" t="str">
        <f t="shared" ca="1" si="130"/>
        <v/>
      </c>
      <c r="J843" s="392" t="str">
        <f t="shared" ca="1" si="131"/>
        <v/>
      </c>
      <c r="K843" s="392" t="str">
        <f t="shared" ca="1" si="132"/>
        <v/>
      </c>
      <c r="L843" s="391" t="str">
        <f t="shared" ca="1" si="133"/>
        <v/>
      </c>
      <c r="M843" s="401" t="str">
        <f ca="1">IFERROR(IF(COUNTIF($B$526:$B842,"&lt;0")=1,"",OFFSET($C841,-COUNTIF($B$526:$B842,"&lt;0")+3,0)),"")</f>
        <v>a17Dm000001Pub5IAC</v>
      </c>
      <c r="N843" s="401">
        <f ca="1">IFERROR(IF(AND(_xlfn.ISFORMULA(I843),NOT(_xlfn.ISFORMULA(I842))),1,OFFSET($F841,-COUNTIF($B$526:B842,"&lt;0")+3,0)),"")</f>
        <v>14</v>
      </c>
      <c r="O843" s="387">
        <f t="shared" ca="1" si="126"/>
        <v>0</v>
      </c>
      <c r="P843" s="387"/>
      <c r="Q843" s="387"/>
      <c r="R843" s="387"/>
      <c r="S843" s="387"/>
      <c r="T843" s="391"/>
    </row>
    <row r="844" spans="1:20">
      <c r="A844" s="387" t="b">
        <f t="shared" ca="1" si="127"/>
        <v>0</v>
      </c>
      <c r="B844" s="387">
        <f t="shared" ca="1" si="123"/>
        <v>82</v>
      </c>
      <c r="C844" s="404" t="str">
        <f t="shared" ca="1" si="128"/>
        <v>a17Dm000001PubZIAS</v>
      </c>
      <c r="D844" s="401"/>
      <c r="E844" s="387">
        <f t="shared" ca="1" si="124"/>
        <v>316</v>
      </c>
      <c r="F844" s="402">
        <f ca="1">IF(COUNTA(D$527:D844)=1,"",OFFSET(F842,-COUNTA(D$527:D844)+3,0))</f>
        <v>14</v>
      </c>
      <c r="G844" s="391" t="str">
        <f t="shared" ca="1" si="129"/>
        <v/>
      </c>
      <c r="H844" s="387">
        <f t="shared" ca="1" si="125"/>
        <v>9</v>
      </c>
      <c r="I844" s="389" t="str">
        <f t="shared" ca="1" si="130"/>
        <v/>
      </c>
      <c r="J844" s="392" t="str">
        <f t="shared" ca="1" si="131"/>
        <v/>
      </c>
      <c r="K844" s="392" t="str">
        <f t="shared" ca="1" si="132"/>
        <v/>
      </c>
      <c r="L844" s="391" t="str">
        <f t="shared" ca="1" si="133"/>
        <v/>
      </c>
      <c r="M844" s="401" t="str">
        <f ca="1">IFERROR(IF(COUNTIF($B$526:$B843,"&lt;0")=1,"",OFFSET($C842,-COUNTIF($B$526:$B843,"&lt;0")+3,0)),"")</f>
        <v>a17Dm000001PubZIAS</v>
      </c>
      <c r="N844" s="401">
        <f ca="1">IFERROR(IF(AND(_xlfn.ISFORMULA(I844),NOT(_xlfn.ISFORMULA(I843))),1,OFFSET($F842,-COUNTIF($B$526:B843,"&lt;0")+3,0)),"")</f>
        <v>14</v>
      </c>
      <c r="O844" s="387">
        <f t="shared" ca="1" si="126"/>
        <v>0</v>
      </c>
      <c r="P844" s="387"/>
      <c r="Q844" s="387"/>
      <c r="R844" s="387"/>
      <c r="S844" s="387"/>
      <c r="T844" s="391"/>
    </row>
    <row r="845" spans="1:20">
      <c r="A845" s="387" t="b">
        <f t="shared" ca="1" si="127"/>
        <v>0</v>
      </c>
      <c r="B845" s="387">
        <f t="shared" ca="1" si="123"/>
        <v>83</v>
      </c>
      <c r="C845" s="404" t="str">
        <f t="shared" ca="1" si="128"/>
        <v>a17Dm000001Puc3IAC</v>
      </c>
      <c r="D845" s="401"/>
      <c r="E845" s="387">
        <f t="shared" ca="1" si="124"/>
        <v>317</v>
      </c>
      <c r="F845" s="402">
        <f ca="1">IF(COUNTA(D$527:D845)=1,"",OFFSET(F843,-COUNTA(D$527:D845)+3,0))</f>
        <v>14</v>
      </c>
      <c r="G845" s="391" t="str">
        <f t="shared" ca="1" si="129"/>
        <v/>
      </c>
      <c r="H845" s="387">
        <f t="shared" ca="1" si="125"/>
        <v>9</v>
      </c>
      <c r="I845" s="389" t="str">
        <f t="shared" ca="1" si="130"/>
        <v/>
      </c>
      <c r="J845" s="392" t="str">
        <f t="shared" ca="1" si="131"/>
        <v/>
      </c>
      <c r="K845" s="392" t="str">
        <f t="shared" ca="1" si="132"/>
        <v/>
      </c>
      <c r="L845" s="391" t="str">
        <f t="shared" ca="1" si="133"/>
        <v/>
      </c>
      <c r="M845" s="401" t="str">
        <f ca="1">IFERROR(IF(COUNTIF($B$526:$B844,"&lt;0")=1,"",OFFSET($C843,-COUNTIF($B$526:$B844,"&lt;0")+3,0)),"")</f>
        <v>a17Dm000001Puc3IAC</v>
      </c>
      <c r="N845" s="401">
        <f ca="1">IFERROR(IF(AND(_xlfn.ISFORMULA(I845),NOT(_xlfn.ISFORMULA(I844))),1,OFFSET($F843,-COUNTIF($B$526:B844,"&lt;0")+3,0)),"")</f>
        <v>14</v>
      </c>
      <c r="O845" s="387">
        <f t="shared" ca="1" si="126"/>
        <v>0</v>
      </c>
      <c r="P845" s="387"/>
      <c r="Q845" s="387"/>
      <c r="R845" s="387"/>
      <c r="S845" s="387"/>
      <c r="T845" s="391"/>
    </row>
    <row r="846" spans="1:20">
      <c r="A846" s="387" t="b">
        <f t="shared" ca="1" si="127"/>
        <v>0</v>
      </c>
      <c r="B846" s="387">
        <f t="shared" ca="1" si="123"/>
        <v>84</v>
      </c>
      <c r="C846" s="404" t="str">
        <f t="shared" ca="1" si="128"/>
        <v>a17Dm000001PucXIAS</v>
      </c>
      <c r="D846" s="401"/>
      <c r="E846" s="387">
        <f t="shared" ca="1" si="124"/>
        <v>318</v>
      </c>
      <c r="F846" s="402">
        <f ca="1">IF(COUNTA(D$527:D846)=1,"",OFFSET(F844,-COUNTA(D$527:D846)+3,0))</f>
        <v>14</v>
      </c>
      <c r="G846" s="391" t="str">
        <f t="shared" ca="1" si="129"/>
        <v/>
      </c>
      <c r="H846" s="387">
        <f t="shared" ca="1" si="125"/>
        <v>9</v>
      </c>
      <c r="I846" s="389" t="str">
        <f t="shared" ca="1" si="130"/>
        <v/>
      </c>
      <c r="J846" s="392" t="str">
        <f t="shared" ca="1" si="131"/>
        <v/>
      </c>
      <c r="K846" s="392" t="str">
        <f t="shared" ca="1" si="132"/>
        <v/>
      </c>
      <c r="L846" s="391" t="str">
        <f t="shared" ca="1" si="133"/>
        <v/>
      </c>
      <c r="M846" s="401" t="str">
        <f ca="1">IFERROR(IF(COUNTIF($B$526:$B845,"&lt;0")=1,"",OFFSET($C844,-COUNTIF($B$526:$B845,"&lt;0")+3,0)),"")</f>
        <v>a17Dm000001PucXIAS</v>
      </c>
      <c r="N846" s="401">
        <f ca="1">IFERROR(IF(AND(_xlfn.ISFORMULA(I846),NOT(_xlfn.ISFORMULA(I845))),1,OFFSET($F844,-COUNTIF($B$526:B845,"&lt;0")+3,0)),"")</f>
        <v>14</v>
      </c>
      <c r="O846" s="387">
        <f t="shared" ca="1" si="126"/>
        <v>0</v>
      </c>
      <c r="P846" s="387"/>
      <c r="Q846" s="387"/>
      <c r="R846" s="387"/>
      <c r="S846" s="387"/>
      <c r="T846" s="391"/>
    </row>
    <row r="847" spans="1:20">
      <c r="A847" s="387" t="b">
        <f t="shared" ca="1" si="127"/>
        <v>0</v>
      </c>
      <c r="B847" s="387">
        <f t="shared" ca="1" si="123"/>
        <v>85</v>
      </c>
      <c r="C847" s="404" t="str">
        <f t="shared" ca="1" si="128"/>
        <v>a17Dm000001Pua8IAC</v>
      </c>
      <c r="D847" s="401"/>
      <c r="E847" s="387">
        <f t="shared" ca="1" si="124"/>
        <v>319</v>
      </c>
      <c r="F847" s="402">
        <f ca="1">IF(COUNTA(D$527:D847)=1,"",OFFSET(F845,-COUNTA(D$527:D847)+3,0))</f>
        <v>15</v>
      </c>
      <c r="G847" s="391" t="str">
        <f t="shared" ca="1" si="129"/>
        <v/>
      </c>
      <c r="H847" s="387">
        <f t="shared" ca="1" si="125"/>
        <v>9</v>
      </c>
      <c r="I847" s="389" t="str">
        <f t="shared" ca="1" si="130"/>
        <v/>
      </c>
      <c r="J847" s="392" t="str">
        <f t="shared" ca="1" si="131"/>
        <v/>
      </c>
      <c r="K847" s="392" t="str">
        <f t="shared" ca="1" si="132"/>
        <v/>
      </c>
      <c r="L847" s="391" t="str">
        <f t="shared" ca="1" si="133"/>
        <v/>
      </c>
      <c r="M847" s="401" t="str">
        <f ca="1">IFERROR(IF(COUNTIF($B$526:$B846,"&lt;0")=1,"",OFFSET($C845,-COUNTIF($B$526:$B846,"&lt;0")+3,0)),"")</f>
        <v>a17Dm000001Pua8IAC</v>
      </c>
      <c r="N847" s="401">
        <f ca="1">IFERROR(IF(AND(_xlfn.ISFORMULA(I847),NOT(_xlfn.ISFORMULA(I846))),1,OFFSET($F845,-COUNTIF($B$526:B846,"&lt;0")+3,0)),"")</f>
        <v>15</v>
      </c>
      <c r="O847" s="387">
        <f t="shared" ca="1" si="126"/>
        <v>0</v>
      </c>
      <c r="P847" s="387"/>
      <c r="Q847" s="387"/>
      <c r="R847" s="387"/>
      <c r="S847" s="387"/>
      <c r="T847" s="391"/>
    </row>
    <row r="848" spans="1:20">
      <c r="A848" s="387" t="b">
        <f t="shared" ca="1" si="127"/>
        <v>0</v>
      </c>
      <c r="B848" s="387">
        <f t="shared" ca="1" si="123"/>
        <v>86</v>
      </c>
      <c r="C848" s="404" t="str">
        <f t="shared" ca="1" si="128"/>
        <v>a17Dm000001PuacIAC</v>
      </c>
      <c r="D848" s="401"/>
      <c r="E848" s="387">
        <f t="shared" ca="1" si="124"/>
        <v>320</v>
      </c>
      <c r="F848" s="402">
        <f ca="1">IF(COUNTA(D$527:D848)=1,"",OFFSET(F846,-COUNTA(D$527:D848)+3,0))</f>
        <v>15</v>
      </c>
      <c r="G848" s="391" t="str">
        <f t="shared" ca="1" si="129"/>
        <v/>
      </c>
      <c r="H848" s="387">
        <f t="shared" ca="1" si="125"/>
        <v>9</v>
      </c>
      <c r="I848" s="389" t="str">
        <f t="shared" ca="1" si="130"/>
        <v/>
      </c>
      <c r="J848" s="392" t="str">
        <f t="shared" ca="1" si="131"/>
        <v/>
      </c>
      <c r="K848" s="392" t="str">
        <f t="shared" ca="1" si="132"/>
        <v/>
      </c>
      <c r="L848" s="391" t="str">
        <f t="shared" ca="1" si="133"/>
        <v/>
      </c>
      <c r="M848" s="401" t="str">
        <f ca="1">IFERROR(IF(COUNTIF($B$526:$B847,"&lt;0")=1,"",OFFSET($C846,-COUNTIF($B$526:$B847,"&lt;0")+3,0)),"")</f>
        <v>a17Dm000001PuacIAC</v>
      </c>
      <c r="N848" s="401">
        <f ca="1">IFERROR(IF(AND(_xlfn.ISFORMULA(I848),NOT(_xlfn.ISFORMULA(I847))),1,OFFSET($F846,-COUNTIF($B$526:B847,"&lt;0")+3,0)),"")</f>
        <v>15</v>
      </c>
      <c r="O848" s="387">
        <f t="shared" ca="1" si="126"/>
        <v>0</v>
      </c>
      <c r="P848" s="387"/>
      <c r="Q848" s="387"/>
      <c r="R848" s="387"/>
      <c r="S848" s="387"/>
      <c r="T848" s="391"/>
    </row>
    <row r="849" spans="1:20">
      <c r="A849" s="387" t="b">
        <f t="shared" ca="1" si="127"/>
        <v>0</v>
      </c>
      <c r="B849" s="387">
        <f t="shared" ref="B849:B912" ca="1" si="134">B848+1</f>
        <v>87</v>
      </c>
      <c r="C849" s="404" t="str">
        <f t="shared" ca="1" si="128"/>
        <v>a17Dm000001Pub6IAC</v>
      </c>
      <c r="D849" s="401"/>
      <c r="E849" s="387">
        <f t="shared" ref="E849:E912" ca="1" si="135">IF(E848="countif",0,IF(E848=W$2,1,E848+1))</f>
        <v>321</v>
      </c>
      <c r="F849" s="402">
        <f ca="1">IF(COUNTA(D$527:D849)=1,"",OFFSET(F847,-COUNTA(D$527:D849)+3,0))</f>
        <v>15</v>
      </c>
      <c r="G849" s="391" t="str">
        <f t="shared" ca="1" si="129"/>
        <v/>
      </c>
      <c r="H849" s="387">
        <f t="shared" ref="H849:H912" ca="1" si="136">IF(B849=1,9,IF(E848=MAX(E847:E849),H847+2,H848))</f>
        <v>9</v>
      </c>
      <c r="I849" s="389" t="str">
        <f t="shared" ca="1" si="130"/>
        <v/>
      </c>
      <c r="J849" s="392" t="str">
        <f t="shared" ca="1" si="131"/>
        <v/>
      </c>
      <c r="K849" s="392" t="str">
        <f t="shared" ca="1" si="132"/>
        <v/>
      </c>
      <c r="L849" s="391" t="str">
        <f t="shared" ca="1" si="133"/>
        <v/>
      </c>
      <c r="M849" s="401" t="str">
        <f ca="1">IFERROR(IF(COUNTIF($B$526:$B848,"&lt;0")=1,"",OFFSET($C847,-COUNTIF($B$526:$B848,"&lt;0")+3,0)),"")</f>
        <v>a17Dm000001Pub6IAC</v>
      </c>
      <c r="N849" s="401">
        <f ca="1">IFERROR(IF(AND(_xlfn.ISFORMULA(I849),NOT(_xlfn.ISFORMULA(I848))),1,OFFSET($F847,-COUNTIF($B$526:B848,"&lt;0")+3,0)),"")</f>
        <v>15</v>
      </c>
      <c r="O849" s="387">
        <f t="shared" ref="O849:O912" ca="1" si="137">IF(NOT(_xlfn.ISFORMULA(I849)),O848+1,0)</f>
        <v>0</v>
      </c>
      <c r="P849" s="387"/>
      <c r="Q849" s="387"/>
      <c r="R849" s="387"/>
      <c r="S849" s="387"/>
      <c r="T849" s="391"/>
    </row>
    <row r="850" spans="1:20">
      <c r="A850" s="387" t="b">
        <f t="shared" ca="1" si="127"/>
        <v>0</v>
      </c>
      <c r="B850" s="387">
        <f t="shared" ca="1" si="134"/>
        <v>88</v>
      </c>
      <c r="C850" s="404" t="str">
        <f t="shared" ca="1" si="128"/>
        <v>a17Dm000001PubaIAC</v>
      </c>
      <c r="D850" s="401"/>
      <c r="E850" s="387">
        <f t="shared" ca="1" si="135"/>
        <v>322</v>
      </c>
      <c r="F850" s="402">
        <f ca="1">IF(COUNTA(D$527:D850)=1,"",OFFSET(F848,-COUNTA(D$527:D850)+3,0))</f>
        <v>15</v>
      </c>
      <c r="G850" s="391" t="str">
        <f t="shared" ca="1" si="129"/>
        <v/>
      </c>
      <c r="H850" s="387">
        <f t="shared" ca="1" si="136"/>
        <v>9</v>
      </c>
      <c r="I850" s="389" t="str">
        <f t="shared" ca="1" si="130"/>
        <v/>
      </c>
      <c r="J850" s="392" t="str">
        <f t="shared" ca="1" si="131"/>
        <v/>
      </c>
      <c r="K850" s="392" t="str">
        <f t="shared" ca="1" si="132"/>
        <v/>
      </c>
      <c r="L850" s="391" t="str">
        <f t="shared" ca="1" si="133"/>
        <v/>
      </c>
      <c r="M850" s="401" t="str">
        <f ca="1">IFERROR(IF(COUNTIF($B$526:$B849,"&lt;0")=1,"",OFFSET($C848,-COUNTIF($B$526:$B849,"&lt;0")+3,0)),"")</f>
        <v>a17Dm000001PubaIAC</v>
      </c>
      <c r="N850" s="401">
        <f ca="1">IFERROR(IF(AND(_xlfn.ISFORMULA(I850),NOT(_xlfn.ISFORMULA(I849))),1,OFFSET($F848,-COUNTIF($B$526:B849,"&lt;0")+3,0)),"")</f>
        <v>15</v>
      </c>
      <c r="O850" s="387">
        <f t="shared" ca="1" si="137"/>
        <v>0</v>
      </c>
      <c r="P850" s="387"/>
      <c r="Q850" s="387"/>
      <c r="R850" s="387"/>
      <c r="S850" s="387"/>
      <c r="T850" s="391"/>
    </row>
    <row r="851" spans="1:20">
      <c r="A851" s="387" t="b">
        <f t="shared" ca="1" si="127"/>
        <v>0</v>
      </c>
      <c r="B851" s="387">
        <f t="shared" ca="1" si="134"/>
        <v>89</v>
      </c>
      <c r="C851" s="404" t="str">
        <f t="shared" ca="1" si="128"/>
        <v>a17Dm000001Puc4IAC</v>
      </c>
      <c r="D851" s="401"/>
      <c r="E851" s="387">
        <f t="shared" ca="1" si="135"/>
        <v>323</v>
      </c>
      <c r="F851" s="402">
        <f ca="1">IF(COUNTA(D$527:D851)=1,"",OFFSET(F849,-COUNTA(D$527:D851)+3,0))</f>
        <v>15</v>
      </c>
      <c r="G851" s="391" t="str">
        <f t="shared" ca="1" si="129"/>
        <v/>
      </c>
      <c r="H851" s="387">
        <f t="shared" ca="1" si="136"/>
        <v>9</v>
      </c>
      <c r="I851" s="389" t="str">
        <f t="shared" ca="1" si="130"/>
        <v/>
      </c>
      <c r="J851" s="392" t="str">
        <f t="shared" ca="1" si="131"/>
        <v/>
      </c>
      <c r="K851" s="392" t="str">
        <f t="shared" ca="1" si="132"/>
        <v/>
      </c>
      <c r="L851" s="391" t="str">
        <f t="shared" ca="1" si="133"/>
        <v/>
      </c>
      <c r="M851" s="401" t="str">
        <f ca="1">IFERROR(IF(COUNTIF($B$526:$B850,"&lt;0")=1,"",OFFSET($C849,-COUNTIF($B$526:$B850,"&lt;0")+3,0)),"")</f>
        <v>a17Dm000001Puc4IAC</v>
      </c>
      <c r="N851" s="401">
        <f ca="1">IFERROR(IF(AND(_xlfn.ISFORMULA(I851),NOT(_xlfn.ISFORMULA(I850))),1,OFFSET($F849,-COUNTIF($B$526:B850,"&lt;0")+3,0)),"")</f>
        <v>15</v>
      </c>
      <c r="O851" s="387">
        <f t="shared" ca="1" si="137"/>
        <v>0</v>
      </c>
      <c r="P851" s="387"/>
      <c r="Q851" s="387"/>
      <c r="R851" s="387"/>
      <c r="S851" s="387"/>
      <c r="T851" s="391"/>
    </row>
    <row r="852" spans="1:20">
      <c r="A852" s="387" t="b">
        <f t="shared" ca="1" si="127"/>
        <v>0</v>
      </c>
      <c r="B852" s="387">
        <f t="shared" ca="1" si="134"/>
        <v>90</v>
      </c>
      <c r="C852" s="404" t="str">
        <f t="shared" ca="1" si="128"/>
        <v>a17Dm000001PucYIAS</v>
      </c>
      <c r="D852" s="401"/>
      <c r="E852" s="387">
        <f t="shared" ca="1" si="135"/>
        <v>324</v>
      </c>
      <c r="F852" s="402">
        <f ca="1">IF(COUNTA(D$527:D852)=1,"",OFFSET(F850,-COUNTA(D$527:D852)+3,0))</f>
        <v>15</v>
      </c>
      <c r="G852" s="391" t="str">
        <f t="shared" ca="1" si="129"/>
        <v/>
      </c>
      <c r="H852" s="387">
        <f t="shared" ca="1" si="136"/>
        <v>9</v>
      </c>
      <c r="I852" s="389" t="str">
        <f t="shared" ca="1" si="130"/>
        <v/>
      </c>
      <c r="J852" s="392" t="str">
        <f t="shared" ca="1" si="131"/>
        <v/>
      </c>
      <c r="K852" s="392" t="str">
        <f t="shared" ca="1" si="132"/>
        <v/>
      </c>
      <c r="L852" s="391" t="str">
        <f t="shared" ca="1" si="133"/>
        <v/>
      </c>
      <c r="M852" s="401" t="str">
        <f ca="1">IFERROR(IF(COUNTIF($B$526:$B851,"&lt;0")=1,"",OFFSET($C850,-COUNTIF($B$526:$B851,"&lt;0")+3,0)),"")</f>
        <v>a17Dm000001PucYIAS</v>
      </c>
      <c r="N852" s="401">
        <f ca="1">IFERROR(IF(AND(_xlfn.ISFORMULA(I852),NOT(_xlfn.ISFORMULA(I851))),1,OFFSET($F850,-COUNTIF($B$526:B851,"&lt;0")+3,0)),"")</f>
        <v>15</v>
      </c>
      <c r="O852" s="387">
        <f t="shared" ca="1" si="137"/>
        <v>0</v>
      </c>
      <c r="P852" s="387"/>
      <c r="Q852" s="387"/>
      <c r="R852" s="387"/>
      <c r="S852" s="387"/>
      <c r="T852" s="391"/>
    </row>
    <row r="853" spans="1:20">
      <c r="A853" s="387" t="b">
        <f t="shared" ca="1" si="127"/>
        <v>0</v>
      </c>
      <c r="B853" s="387">
        <f t="shared" ca="1" si="134"/>
        <v>91</v>
      </c>
      <c r="C853" s="404" t="str">
        <f t="shared" ca="1" si="128"/>
        <v>a17Dm000001Pua9IAC</v>
      </c>
      <c r="D853" s="401"/>
      <c r="E853" s="387">
        <f t="shared" ca="1" si="135"/>
        <v>325</v>
      </c>
      <c r="F853" s="402">
        <f ca="1">IF(COUNTA(D$527:D853)=1,"",OFFSET(F851,-COUNTA(D$527:D853)+3,0))</f>
        <v>16</v>
      </c>
      <c r="G853" s="391" t="str">
        <f t="shared" ca="1" si="129"/>
        <v/>
      </c>
      <c r="H853" s="387">
        <f t="shared" ca="1" si="136"/>
        <v>9</v>
      </c>
      <c r="I853" s="389" t="str">
        <f t="shared" ca="1" si="130"/>
        <v/>
      </c>
      <c r="J853" s="392" t="str">
        <f t="shared" ca="1" si="131"/>
        <v/>
      </c>
      <c r="K853" s="392" t="str">
        <f t="shared" ca="1" si="132"/>
        <v/>
      </c>
      <c r="L853" s="391" t="str">
        <f t="shared" ca="1" si="133"/>
        <v/>
      </c>
      <c r="M853" s="401" t="str">
        <f ca="1">IFERROR(IF(COUNTIF($B$526:$B852,"&lt;0")=1,"",OFFSET($C851,-COUNTIF($B$526:$B852,"&lt;0")+3,0)),"")</f>
        <v>a17Dm000001Pua9IAC</v>
      </c>
      <c r="N853" s="401">
        <f ca="1">IFERROR(IF(AND(_xlfn.ISFORMULA(I853),NOT(_xlfn.ISFORMULA(I852))),1,OFFSET($F851,-COUNTIF($B$526:B852,"&lt;0")+3,0)),"")</f>
        <v>16</v>
      </c>
      <c r="O853" s="387">
        <f t="shared" ca="1" si="137"/>
        <v>0</v>
      </c>
      <c r="P853" s="387"/>
      <c r="Q853" s="387"/>
      <c r="R853" s="387"/>
      <c r="S853" s="387"/>
      <c r="T853" s="391"/>
    </row>
    <row r="854" spans="1:20">
      <c r="A854" s="387" t="b">
        <f t="shared" ca="1" si="127"/>
        <v>0</v>
      </c>
      <c r="B854" s="387">
        <f t="shared" ca="1" si="134"/>
        <v>92</v>
      </c>
      <c r="C854" s="404" t="str">
        <f t="shared" ca="1" si="128"/>
        <v>a17Dm000001PuadIAC</v>
      </c>
      <c r="D854" s="401"/>
      <c r="E854" s="387">
        <f t="shared" ca="1" si="135"/>
        <v>326</v>
      </c>
      <c r="F854" s="402">
        <f ca="1">IF(COUNTA(D$527:D854)=1,"",OFFSET(F852,-COUNTA(D$527:D854)+3,0))</f>
        <v>16</v>
      </c>
      <c r="G854" s="391" t="str">
        <f t="shared" ca="1" si="129"/>
        <v/>
      </c>
      <c r="H854" s="387">
        <f t="shared" ca="1" si="136"/>
        <v>9</v>
      </c>
      <c r="I854" s="389" t="str">
        <f t="shared" ca="1" si="130"/>
        <v/>
      </c>
      <c r="J854" s="392" t="str">
        <f t="shared" ca="1" si="131"/>
        <v/>
      </c>
      <c r="K854" s="392" t="str">
        <f t="shared" ca="1" si="132"/>
        <v/>
      </c>
      <c r="L854" s="391" t="str">
        <f t="shared" ca="1" si="133"/>
        <v/>
      </c>
      <c r="M854" s="401" t="str">
        <f ca="1">IFERROR(IF(COUNTIF($B$526:$B853,"&lt;0")=1,"",OFFSET($C852,-COUNTIF($B$526:$B853,"&lt;0")+3,0)),"")</f>
        <v>a17Dm000001PuadIAC</v>
      </c>
      <c r="N854" s="401">
        <f ca="1">IFERROR(IF(AND(_xlfn.ISFORMULA(I854),NOT(_xlfn.ISFORMULA(I853))),1,OFFSET($F852,-COUNTIF($B$526:B853,"&lt;0")+3,0)),"")</f>
        <v>16</v>
      </c>
      <c r="O854" s="387">
        <f t="shared" ca="1" si="137"/>
        <v>0</v>
      </c>
      <c r="P854" s="387"/>
      <c r="Q854" s="387"/>
      <c r="R854" s="387"/>
      <c r="S854" s="387"/>
      <c r="T854" s="391"/>
    </row>
    <row r="855" spans="1:20">
      <c r="A855" s="387" t="b">
        <f t="shared" ca="1" si="127"/>
        <v>0</v>
      </c>
      <c r="B855" s="387">
        <f t="shared" ca="1" si="134"/>
        <v>93</v>
      </c>
      <c r="C855" s="404" t="str">
        <f t="shared" ca="1" si="128"/>
        <v>a17Dm000001Pub7IAC</v>
      </c>
      <c r="D855" s="401"/>
      <c r="E855" s="387">
        <f t="shared" ca="1" si="135"/>
        <v>327</v>
      </c>
      <c r="F855" s="402">
        <f ca="1">IF(COUNTA(D$527:D855)=1,"",OFFSET(F853,-COUNTA(D$527:D855)+3,0))</f>
        <v>16</v>
      </c>
      <c r="G855" s="391" t="str">
        <f t="shared" ca="1" si="129"/>
        <v/>
      </c>
      <c r="H855" s="387">
        <f t="shared" ca="1" si="136"/>
        <v>9</v>
      </c>
      <c r="I855" s="389" t="str">
        <f t="shared" ca="1" si="130"/>
        <v/>
      </c>
      <c r="J855" s="392" t="str">
        <f t="shared" ca="1" si="131"/>
        <v/>
      </c>
      <c r="K855" s="392" t="str">
        <f t="shared" ca="1" si="132"/>
        <v/>
      </c>
      <c r="L855" s="391" t="str">
        <f t="shared" ca="1" si="133"/>
        <v/>
      </c>
      <c r="M855" s="401" t="str">
        <f ca="1">IFERROR(IF(COUNTIF($B$526:$B854,"&lt;0")=1,"",OFFSET($C853,-COUNTIF($B$526:$B854,"&lt;0")+3,0)),"")</f>
        <v>a17Dm000001Pub7IAC</v>
      </c>
      <c r="N855" s="401">
        <f ca="1">IFERROR(IF(AND(_xlfn.ISFORMULA(I855),NOT(_xlfn.ISFORMULA(I854))),1,OFFSET($F853,-COUNTIF($B$526:B854,"&lt;0")+3,0)),"")</f>
        <v>16</v>
      </c>
      <c r="O855" s="387">
        <f t="shared" ca="1" si="137"/>
        <v>0</v>
      </c>
      <c r="P855" s="387"/>
      <c r="Q855" s="387"/>
      <c r="R855" s="387"/>
      <c r="S855" s="387"/>
      <c r="T855" s="391"/>
    </row>
    <row r="856" spans="1:20">
      <c r="A856" s="387" t="b">
        <f t="shared" ca="1" si="127"/>
        <v>0</v>
      </c>
      <c r="B856" s="387">
        <f t="shared" ca="1" si="134"/>
        <v>94</v>
      </c>
      <c r="C856" s="404" t="str">
        <f t="shared" ca="1" si="128"/>
        <v>a17Dm000001PubbIAC</v>
      </c>
      <c r="D856" s="401"/>
      <c r="E856" s="387">
        <f t="shared" ca="1" si="135"/>
        <v>328</v>
      </c>
      <c r="F856" s="402">
        <f ca="1">IF(COUNTA(D$527:D856)=1,"",OFFSET(F854,-COUNTA(D$527:D856)+3,0))</f>
        <v>16</v>
      </c>
      <c r="G856" s="391" t="str">
        <f t="shared" ca="1" si="129"/>
        <v/>
      </c>
      <c r="H856" s="387">
        <f t="shared" ca="1" si="136"/>
        <v>9</v>
      </c>
      <c r="I856" s="389" t="str">
        <f t="shared" ca="1" si="130"/>
        <v/>
      </c>
      <c r="J856" s="392" t="str">
        <f t="shared" ca="1" si="131"/>
        <v/>
      </c>
      <c r="K856" s="392" t="str">
        <f t="shared" ca="1" si="132"/>
        <v/>
      </c>
      <c r="L856" s="391" t="str">
        <f t="shared" ca="1" si="133"/>
        <v/>
      </c>
      <c r="M856" s="401" t="str">
        <f ca="1">IFERROR(IF(COUNTIF($B$526:$B855,"&lt;0")=1,"",OFFSET($C854,-COUNTIF($B$526:$B855,"&lt;0")+3,0)),"")</f>
        <v>a17Dm000001PubbIAC</v>
      </c>
      <c r="N856" s="401">
        <f ca="1">IFERROR(IF(AND(_xlfn.ISFORMULA(I856),NOT(_xlfn.ISFORMULA(I855))),1,OFFSET($F854,-COUNTIF($B$526:B855,"&lt;0")+3,0)),"")</f>
        <v>16</v>
      </c>
      <c r="O856" s="387">
        <f t="shared" ca="1" si="137"/>
        <v>0</v>
      </c>
      <c r="P856" s="387"/>
      <c r="Q856" s="387"/>
      <c r="R856" s="387"/>
      <c r="S856" s="387"/>
      <c r="T856" s="391"/>
    </row>
    <row r="857" spans="1:20">
      <c r="A857" s="387" t="b">
        <f t="shared" ca="1" si="127"/>
        <v>0</v>
      </c>
      <c r="B857" s="387">
        <f t="shared" ca="1" si="134"/>
        <v>95</v>
      </c>
      <c r="C857" s="404" t="str">
        <f t="shared" ca="1" si="128"/>
        <v>a17Dm000001Puc5IAC</v>
      </c>
      <c r="D857" s="401"/>
      <c r="E857" s="387">
        <f t="shared" ca="1" si="135"/>
        <v>329</v>
      </c>
      <c r="F857" s="402">
        <f ca="1">IF(COUNTA(D$527:D857)=1,"",OFFSET(F855,-COUNTA(D$527:D857)+3,0))</f>
        <v>16</v>
      </c>
      <c r="G857" s="391" t="str">
        <f t="shared" ca="1" si="129"/>
        <v/>
      </c>
      <c r="H857" s="387">
        <f t="shared" ca="1" si="136"/>
        <v>9</v>
      </c>
      <c r="I857" s="389" t="str">
        <f t="shared" ca="1" si="130"/>
        <v/>
      </c>
      <c r="J857" s="392" t="str">
        <f t="shared" ca="1" si="131"/>
        <v/>
      </c>
      <c r="K857" s="392" t="str">
        <f t="shared" ca="1" si="132"/>
        <v/>
      </c>
      <c r="L857" s="391" t="str">
        <f t="shared" ca="1" si="133"/>
        <v/>
      </c>
      <c r="M857" s="401" t="str">
        <f ca="1">IFERROR(IF(COUNTIF($B$526:$B856,"&lt;0")=1,"",OFFSET($C855,-COUNTIF($B$526:$B856,"&lt;0")+3,0)),"")</f>
        <v>a17Dm000001Puc5IAC</v>
      </c>
      <c r="N857" s="401">
        <f ca="1">IFERROR(IF(AND(_xlfn.ISFORMULA(I857),NOT(_xlfn.ISFORMULA(I856))),1,OFFSET($F855,-COUNTIF($B$526:B856,"&lt;0")+3,0)),"")</f>
        <v>16</v>
      </c>
      <c r="O857" s="387">
        <f t="shared" ca="1" si="137"/>
        <v>0</v>
      </c>
      <c r="P857" s="387"/>
      <c r="Q857" s="387"/>
      <c r="R857" s="387"/>
      <c r="S857" s="387"/>
      <c r="T857" s="391"/>
    </row>
    <row r="858" spans="1:20">
      <c r="A858" s="387" t="b">
        <f t="shared" ca="1" si="127"/>
        <v>0</v>
      </c>
      <c r="B858" s="387">
        <f t="shared" ca="1" si="134"/>
        <v>96</v>
      </c>
      <c r="C858" s="404" t="str">
        <f t="shared" ca="1" si="128"/>
        <v>a17Dm000001PucZIAS</v>
      </c>
      <c r="D858" s="401"/>
      <c r="E858" s="387">
        <f t="shared" ca="1" si="135"/>
        <v>330</v>
      </c>
      <c r="F858" s="402">
        <f ca="1">IF(COUNTA(D$527:D858)=1,"",OFFSET(F856,-COUNTA(D$527:D858)+3,0))</f>
        <v>16</v>
      </c>
      <c r="G858" s="391" t="str">
        <f t="shared" ca="1" si="129"/>
        <v/>
      </c>
      <c r="H858" s="387">
        <f t="shared" ca="1" si="136"/>
        <v>9</v>
      </c>
      <c r="I858" s="389" t="str">
        <f t="shared" ca="1" si="130"/>
        <v/>
      </c>
      <c r="J858" s="392" t="str">
        <f t="shared" ca="1" si="131"/>
        <v/>
      </c>
      <c r="K858" s="392" t="str">
        <f t="shared" ca="1" si="132"/>
        <v/>
      </c>
      <c r="L858" s="391" t="str">
        <f t="shared" ca="1" si="133"/>
        <v/>
      </c>
      <c r="M858" s="401" t="str">
        <f ca="1">IFERROR(IF(COUNTIF($B$526:$B857,"&lt;0")=1,"",OFFSET($C856,-COUNTIF($B$526:$B857,"&lt;0")+3,0)),"")</f>
        <v>a17Dm000001PucZIAS</v>
      </c>
      <c r="N858" s="401">
        <f ca="1">IFERROR(IF(AND(_xlfn.ISFORMULA(I858),NOT(_xlfn.ISFORMULA(I857))),1,OFFSET($F856,-COUNTIF($B$526:B857,"&lt;0")+3,0)),"")</f>
        <v>16</v>
      </c>
      <c r="O858" s="387">
        <f t="shared" ca="1" si="137"/>
        <v>0</v>
      </c>
      <c r="P858" s="387"/>
      <c r="Q858" s="387"/>
      <c r="R858" s="387"/>
      <c r="S858" s="387"/>
      <c r="T858" s="391"/>
    </row>
    <row r="859" spans="1:20">
      <c r="A859" s="387" t="b">
        <f t="shared" ca="1" si="127"/>
        <v>0</v>
      </c>
      <c r="B859" s="387">
        <f t="shared" ca="1" si="134"/>
        <v>97</v>
      </c>
      <c r="C859" s="404" t="str">
        <f t="shared" ca="1" si="128"/>
        <v>a17Dm000001PuaAIAS</v>
      </c>
      <c r="D859" s="401"/>
      <c r="E859" s="387">
        <f t="shared" ca="1" si="135"/>
        <v>331</v>
      </c>
      <c r="F859" s="402">
        <f ca="1">IF(COUNTA(D$527:D859)=1,"",OFFSET(F857,-COUNTA(D$527:D859)+3,0))</f>
        <v>17</v>
      </c>
      <c r="G859" s="391" t="str">
        <f t="shared" ca="1" si="129"/>
        <v/>
      </c>
      <c r="H859" s="387">
        <f t="shared" ca="1" si="136"/>
        <v>9</v>
      </c>
      <c r="I859" s="389" t="str">
        <f t="shared" ca="1" si="130"/>
        <v/>
      </c>
      <c r="J859" s="392" t="str">
        <f t="shared" ca="1" si="131"/>
        <v/>
      </c>
      <c r="K859" s="392" t="str">
        <f t="shared" ca="1" si="132"/>
        <v/>
      </c>
      <c r="L859" s="391" t="str">
        <f t="shared" ca="1" si="133"/>
        <v/>
      </c>
      <c r="M859" s="401" t="str">
        <f ca="1">IFERROR(IF(COUNTIF($B$526:$B858,"&lt;0")=1,"",OFFSET($C857,-COUNTIF($B$526:$B858,"&lt;0")+3,0)),"")</f>
        <v>a17Dm000001PuaAIAS</v>
      </c>
      <c r="N859" s="401">
        <f ca="1">IFERROR(IF(AND(_xlfn.ISFORMULA(I859),NOT(_xlfn.ISFORMULA(I858))),1,OFFSET($F857,-COUNTIF($B$526:B858,"&lt;0")+3,0)),"")</f>
        <v>17</v>
      </c>
      <c r="O859" s="387">
        <f t="shared" ca="1" si="137"/>
        <v>0</v>
      </c>
      <c r="P859" s="387"/>
      <c r="Q859" s="387"/>
      <c r="R859" s="387"/>
      <c r="S859" s="387"/>
      <c r="T859" s="391"/>
    </row>
    <row r="860" spans="1:20">
      <c r="A860" s="387" t="b">
        <f t="shared" ca="1" si="127"/>
        <v>0</v>
      </c>
      <c r="B860" s="387">
        <f t="shared" ca="1" si="134"/>
        <v>98</v>
      </c>
      <c r="C860" s="404" t="str">
        <f t="shared" ca="1" si="128"/>
        <v>a17Dm000001PuaeIAC</v>
      </c>
      <c r="D860" s="401"/>
      <c r="E860" s="387">
        <f t="shared" ca="1" si="135"/>
        <v>332</v>
      </c>
      <c r="F860" s="402">
        <f ca="1">IF(COUNTA(D$527:D860)=1,"",OFFSET(F858,-COUNTA(D$527:D860)+3,0))</f>
        <v>17</v>
      </c>
      <c r="G860" s="391" t="str">
        <f t="shared" ca="1" si="129"/>
        <v/>
      </c>
      <c r="H860" s="387">
        <f t="shared" ca="1" si="136"/>
        <v>9</v>
      </c>
      <c r="I860" s="389" t="str">
        <f t="shared" ca="1" si="130"/>
        <v/>
      </c>
      <c r="J860" s="392" t="str">
        <f t="shared" ca="1" si="131"/>
        <v/>
      </c>
      <c r="K860" s="392" t="str">
        <f t="shared" ca="1" si="132"/>
        <v/>
      </c>
      <c r="L860" s="391" t="str">
        <f t="shared" ca="1" si="133"/>
        <v/>
      </c>
      <c r="M860" s="401" t="str">
        <f ca="1">IFERROR(IF(COUNTIF($B$526:$B859,"&lt;0")=1,"",OFFSET($C858,-COUNTIF($B$526:$B859,"&lt;0")+3,0)),"")</f>
        <v>a17Dm000001PuaeIAC</v>
      </c>
      <c r="N860" s="401">
        <f ca="1">IFERROR(IF(AND(_xlfn.ISFORMULA(I860),NOT(_xlfn.ISFORMULA(I859))),1,OFFSET($F858,-COUNTIF($B$526:B859,"&lt;0")+3,0)),"")</f>
        <v>17</v>
      </c>
      <c r="O860" s="387">
        <f t="shared" ca="1" si="137"/>
        <v>0</v>
      </c>
      <c r="P860" s="387"/>
      <c r="Q860" s="387"/>
      <c r="R860" s="387"/>
      <c r="S860" s="387"/>
      <c r="T860" s="391"/>
    </row>
    <row r="861" spans="1:20">
      <c r="A861" s="387" t="b">
        <f t="shared" ca="1" si="127"/>
        <v>0</v>
      </c>
      <c r="B861" s="387">
        <f t="shared" ca="1" si="134"/>
        <v>99</v>
      </c>
      <c r="C861" s="404" t="str">
        <f t="shared" ca="1" si="128"/>
        <v>a17Dm000001Pub8IAC</v>
      </c>
      <c r="D861" s="401"/>
      <c r="E861" s="387">
        <f t="shared" ca="1" si="135"/>
        <v>333</v>
      </c>
      <c r="F861" s="402">
        <f ca="1">IF(COUNTA(D$527:D861)=1,"",OFFSET(F859,-COUNTA(D$527:D861)+3,0))</f>
        <v>17</v>
      </c>
      <c r="G861" s="391" t="str">
        <f t="shared" ca="1" si="129"/>
        <v/>
      </c>
      <c r="H861" s="387">
        <f t="shared" ca="1" si="136"/>
        <v>9</v>
      </c>
      <c r="I861" s="389" t="str">
        <f t="shared" ca="1" si="130"/>
        <v/>
      </c>
      <c r="J861" s="392" t="str">
        <f t="shared" ca="1" si="131"/>
        <v/>
      </c>
      <c r="K861" s="392" t="str">
        <f t="shared" ca="1" si="132"/>
        <v/>
      </c>
      <c r="L861" s="391" t="str">
        <f t="shared" ca="1" si="133"/>
        <v/>
      </c>
      <c r="M861" s="401" t="str">
        <f ca="1">IFERROR(IF(COUNTIF($B$526:$B860,"&lt;0")=1,"",OFFSET($C859,-COUNTIF($B$526:$B860,"&lt;0")+3,0)),"")</f>
        <v>a17Dm000001Pub8IAC</v>
      </c>
      <c r="N861" s="401">
        <f ca="1">IFERROR(IF(AND(_xlfn.ISFORMULA(I861),NOT(_xlfn.ISFORMULA(I860))),1,OFFSET($F859,-COUNTIF($B$526:B860,"&lt;0")+3,0)),"")</f>
        <v>17</v>
      </c>
      <c r="O861" s="387">
        <f t="shared" ca="1" si="137"/>
        <v>0</v>
      </c>
      <c r="P861" s="387"/>
      <c r="Q861" s="387"/>
      <c r="R861" s="387"/>
      <c r="S861" s="387"/>
      <c r="T861" s="391"/>
    </row>
    <row r="862" spans="1:20">
      <c r="A862" s="387" t="b">
        <f t="shared" ca="1" si="127"/>
        <v>0</v>
      </c>
      <c r="B862" s="387">
        <f t="shared" ca="1" si="134"/>
        <v>100</v>
      </c>
      <c r="C862" s="404" t="str">
        <f t="shared" ca="1" si="128"/>
        <v>a17Dm000001PubcIAC</v>
      </c>
      <c r="D862" s="401"/>
      <c r="E862" s="387">
        <f t="shared" ca="1" si="135"/>
        <v>334</v>
      </c>
      <c r="F862" s="402">
        <f ca="1">IF(COUNTA(D$527:D862)=1,"",OFFSET(F860,-COUNTA(D$527:D862)+3,0))</f>
        <v>17</v>
      </c>
      <c r="G862" s="391" t="str">
        <f t="shared" ca="1" si="129"/>
        <v/>
      </c>
      <c r="H862" s="387">
        <f t="shared" ca="1" si="136"/>
        <v>9</v>
      </c>
      <c r="I862" s="389" t="str">
        <f t="shared" ca="1" si="130"/>
        <v/>
      </c>
      <c r="J862" s="392" t="str">
        <f t="shared" ca="1" si="131"/>
        <v/>
      </c>
      <c r="K862" s="392" t="str">
        <f t="shared" ca="1" si="132"/>
        <v/>
      </c>
      <c r="L862" s="391" t="str">
        <f t="shared" ca="1" si="133"/>
        <v/>
      </c>
      <c r="M862" s="401" t="str">
        <f ca="1">IFERROR(IF(COUNTIF($B$526:$B861,"&lt;0")=1,"",OFFSET($C860,-COUNTIF($B$526:$B861,"&lt;0")+3,0)),"")</f>
        <v>a17Dm000001PubcIAC</v>
      </c>
      <c r="N862" s="401">
        <f ca="1">IFERROR(IF(AND(_xlfn.ISFORMULA(I862),NOT(_xlfn.ISFORMULA(I861))),1,OFFSET($F860,-COUNTIF($B$526:B861,"&lt;0")+3,0)),"")</f>
        <v>17</v>
      </c>
      <c r="O862" s="387">
        <f t="shared" ca="1" si="137"/>
        <v>0</v>
      </c>
      <c r="P862" s="387"/>
      <c r="Q862" s="387"/>
      <c r="R862" s="387"/>
      <c r="S862" s="387"/>
      <c r="T862" s="391"/>
    </row>
    <row r="863" spans="1:20">
      <c r="A863" s="387" t="b">
        <f t="shared" ca="1" si="127"/>
        <v>0</v>
      </c>
      <c r="B863" s="387">
        <f t="shared" ca="1" si="134"/>
        <v>101</v>
      </c>
      <c r="C863" s="404" t="str">
        <f t="shared" ca="1" si="128"/>
        <v>a17Dm000001Puc6IAC</v>
      </c>
      <c r="D863" s="401"/>
      <c r="E863" s="387">
        <f t="shared" ca="1" si="135"/>
        <v>335</v>
      </c>
      <c r="F863" s="402">
        <f ca="1">IF(COUNTA(D$527:D863)=1,"",OFFSET(F861,-COUNTA(D$527:D863)+3,0))</f>
        <v>17</v>
      </c>
      <c r="G863" s="391" t="str">
        <f t="shared" ca="1" si="129"/>
        <v/>
      </c>
      <c r="H863" s="387">
        <f t="shared" ca="1" si="136"/>
        <v>9</v>
      </c>
      <c r="I863" s="389" t="str">
        <f t="shared" ca="1" si="130"/>
        <v/>
      </c>
      <c r="J863" s="392" t="str">
        <f t="shared" ca="1" si="131"/>
        <v/>
      </c>
      <c r="K863" s="392" t="str">
        <f t="shared" ca="1" si="132"/>
        <v/>
      </c>
      <c r="L863" s="391" t="str">
        <f t="shared" ca="1" si="133"/>
        <v/>
      </c>
      <c r="M863" s="401" t="str">
        <f ca="1">IFERROR(IF(COUNTIF($B$526:$B862,"&lt;0")=1,"",OFFSET($C861,-COUNTIF($B$526:$B862,"&lt;0")+3,0)),"")</f>
        <v>a17Dm000001Puc6IAC</v>
      </c>
      <c r="N863" s="401">
        <f ca="1">IFERROR(IF(AND(_xlfn.ISFORMULA(I863),NOT(_xlfn.ISFORMULA(I862))),1,OFFSET($F861,-COUNTIF($B$526:B862,"&lt;0")+3,0)),"")</f>
        <v>17</v>
      </c>
      <c r="O863" s="387">
        <f t="shared" ca="1" si="137"/>
        <v>0</v>
      </c>
      <c r="P863" s="387"/>
      <c r="Q863" s="387"/>
      <c r="R863" s="387"/>
      <c r="S863" s="387"/>
      <c r="T863" s="391"/>
    </row>
    <row r="864" spans="1:20">
      <c r="A864" s="387" t="b">
        <f t="shared" ca="1" si="127"/>
        <v>0</v>
      </c>
      <c r="B864" s="387">
        <f t="shared" ca="1" si="134"/>
        <v>102</v>
      </c>
      <c r="C864" s="404" t="str">
        <f t="shared" ca="1" si="128"/>
        <v>a17Dm000001PucaIAC</v>
      </c>
      <c r="D864" s="401"/>
      <c r="E864" s="387">
        <f t="shared" ca="1" si="135"/>
        <v>336</v>
      </c>
      <c r="F864" s="402">
        <f ca="1">IF(COUNTA(D$527:D864)=1,"",OFFSET(F862,-COUNTA(D$527:D864)+3,0))</f>
        <v>17</v>
      </c>
      <c r="G864" s="391" t="str">
        <f t="shared" ca="1" si="129"/>
        <v/>
      </c>
      <c r="H864" s="387">
        <f t="shared" ca="1" si="136"/>
        <v>9</v>
      </c>
      <c r="I864" s="389" t="str">
        <f t="shared" ca="1" si="130"/>
        <v/>
      </c>
      <c r="J864" s="392" t="str">
        <f t="shared" ca="1" si="131"/>
        <v/>
      </c>
      <c r="K864" s="392" t="str">
        <f t="shared" ca="1" si="132"/>
        <v/>
      </c>
      <c r="L864" s="391" t="str">
        <f t="shared" ca="1" si="133"/>
        <v/>
      </c>
      <c r="M864" s="401" t="str">
        <f ca="1">IFERROR(IF(COUNTIF($B$526:$B863,"&lt;0")=1,"",OFFSET($C862,-COUNTIF($B$526:$B863,"&lt;0")+3,0)),"")</f>
        <v>a17Dm000001PucaIAC</v>
      </c>
      <c r="N864" s="401">
        <f ca="1">IFERROR(IF(AND(_xlfn.ISFORMULA(I864),NOT(_xlfn.ISFORMULA(I863))),1,OFFSET($F862,-COUNTIF($B$526:B863,"&lt;0")+3,0)),"")</f>
        <v>17</v>
      </c>
      <c r="O864" s="387">
        <f t="shared" ca="1" si="137"/>
        <v>0</v>
      </c>
      <c r="P864" s="387"/>
      <c r="Q864" s="387"/>
      <c r="R864" s="387"/>
      <c r="S864" s="387"/>
      <c r="T864" s="391"/>
    </row>
    <row r="865" spans="1:20">
      <c r="A865" s="387" t="b">
        <f t="shared" ca="1" si="127"/>
        <v>0</v>
      </c>
      <c r="B865" s="387">
        <f t="shared" ca="1" si="134"/>
        <v>103</v>
      </c>
      <c r="C865" s="404" t="str">
        <f t="shared" ca="1" si="128"/>
        <v>a17Dm000001PuaBIAS</v>
      </c>
      <c r="D865" s="401"/>
      <c r="E865" s="387">
        <f t="shared" ca="1" si="135"/>
        <v>337</v>
      </c>
      <c r="F865" s="402">
        <f ca="1">IF(COUNTA(D$527:D865)=1,"",OFFSET(F863,-COUNTA(D$527:D865)+3,0))</f>
        <v>18</v>
      </c>
      <c r="G865" s="391" t="str">
        <f t="shared" ca="1" si="129"/>
        <v/>
      </c>
      <c r="H865" s="387">
        <f t="shared" ca="1" si="136"/>
        <v>9</v>
      </c>
      <c r="I865" s="389" t="str">
        <f t="shared" ca="1" si="130"/>
        <v/>
      </c>
      <c r="J865" s="392" t="str">
        <f t="shared" ca="1" si="131"/>
        <v/>
      </c>
      <c r="K865" s="392" t="str">
        <f t="shared" ca="1" si="132"/>
        <v/>
      </c>
      <c r="L865" s="391" t="str">
        <f t="shared" ca="1" si="133"/>
        <v/>
      </c>
      <c r="M865" s="401" t="str">
        <f ca="1">IFERROR(IF(COUNTIF($B$526:$B864,"&lt;0")=1,"",OFFSET($C863,-COUNTIF($B$526:$B864,"&lt;0")+3,0)),"")</f>
        <v>a17Dm000001PuaBIAS</v>
      </c>
      <c r="N865" s="401">
        <f ca="1">IFERROR(IF(AND(_xlfn.ISFORMULA(I865),NOT(_xlfn.ISFORMULA(I864))),1,OFFSET($F863,-COUNTIF($B$526:B864,"&lt;0")+3,0)),"")</f>
        <v>18</v>
      </c>
      <c r="O865" s="387">
        <f t="shared" ca="1" si="137"/>
        <v>0</v>
      </c>
      <c r="P865" s="387"/>
      <c r="Q865" s="387"/>
      <c r="R865" s="387"/>
      <c r="S865" s="387"/>
      <c r="T865" s="391"/>
    </row>
    <row r="866" spans="1:20">
      <c r="A866" s="387" t="b">
        <f t="shared" ca="1" si="127"/>
        <v>0</v>
      </c>
      <c r="B866" s="387">
        <f t="shared" ca="1" si="134"/>
        <v>104</v>
      </c>
      <c r="C866" s="404" t="str">
        <f t="shared" ca="1" si="128"/>
        <v>a17Dm000001PuafIAC</v>
      </c>
      <c r="D866" s="401"/>
      <c r="E866" s="387">
        <f t="shared" ca="1" si="135"/>
        <v>338</v>
      </c>
      <c r="F866" s="402">
        <f ca="1">IF(COUNTA(D$527:D866)=1,"",OFFSET(F864,-COUNTA(D$527:D866)+3,0))</f>
        <v>18</v>
      </c>
      <c r="G866" s="391" t="str">
        <f t="shared" ca="1" si="129"/>
        <v/>
      </c>
      <c r="H866" s="387">
        <f t="shared" ca="1" si="136"/>
        <v>9</v>
      </c>
      <c r="I866" s="389" t="str">
        <f t="shared" ca="1" si="130"/>
        <v/>
      </c>
      <c r="J866" s="392" t="str">
        <f t="shared" ca="1" si="131"/>
        <v/>
      </c>
      <c r="K866" s="392" t="str">
        <f t="shared" ca="1" si="132"/>
        <v/>
      </c>
      <c r="L866" s="391" t="str">
        <f t="shared" ca="1" si="133"/>
        <v/>
      </c>
      <c r="M866" s="401" t="str">
        <f ca="1">IFERROR(IF(COUNTIF($B$526:$B865,"&lt;0")=1,"",OFFSET($C864,-COUNTIF($B$526:$B865,"&lt;0")+3,0)),"")</f>
        <v>a17Dm000001PuafIAC</v>
      </c>
      <c r="N866" s="401">
        <f ca="1">IFERROR(IF(AND(_xlfn.ISFORMULA(I866),NOT(_xlfn.ISFORMULA(I865))),1,OFFSET($F864,-COUNTIF($B$526:B865,"&lt;0")+3,0)),"")</f>
        <v>18</v>
      </c>
      <c r="O866" s="387">
        <f t="shared" ca="1" si="137"/>
        <v>0</v>
      </c>
      <c r="P866" s="387"/>
      <c r="Q866" s="387"/>
      <c r="R866" s="387"/>
      <c r="S866" s="387"/>
      <c r="T866" s="391"/>
    </row>
    <row r="867" spans="1:20">
      <c r="A867" s="387" t="b">
        <f t="shared" ca="1" si="127"/>
        <v>0</v>
      </c>
      <c r="B867" s="387">
        <f t="shared" ca="1" si="134"/>
        <v>105</v>
      </c>
      <c r="C867" s="404" t="str">
        <f t="shared" ca="1" si="128"/>
        <v>a17Dm000001Pub9IAC</v>
      </c>
      <c r="D867" s="401"/>
      <c r="E867" s="387">
        <f t="shared" ca="1" si="135"/>
        <v>339</v>
      </c>
      <c r="F867" s="402">
        <f ca="1">IF(COUNTA(D$527:D867)=1,"",OFFSET(F865,-COUNTA(D$527:D867)+3,0))</f>
        <v>18</v>
      </c>
      <c r="G867" s="391" t="str">
        <f t="shared" ca="1" si="129"/>
        <v/>
      </c>
      <c r="H867" s="387">
        <f t="shared" ca="1" si="136"/>
        <v>9</v>
      </c>
      <c r="I867" s="389" t="str">
        <f t="shared" ca="1" si="130"/>
        <v/>
      </c>
      <c r="J867" s="392" t="str">
        <f t="shared" ca="1" si="131"/>
        <v/>
      </c>
      <c r="K867" s="392" t="str">
        <f t="shared" ca="1" si="132"/>
        <v/>
      </c>
      <c r="L867" s="391" t="str">
        <f t="shared" ca="1" si="133"/>
        <v/>
      </c>
      <c r="M867" s="401" t="str">
        <f ca="1">IFERROR(IF(COUNTIF($B$526:$B866,"&lt;0")=1,"",OFFSET($C865,-COUNTIF($B$526:$B866,"&lt;0")+3,0)),"")</f>
        <v>a17Dm000001Pub9IAC</v>
      </c>
      <c r="N867" s="401">
        <f ca="1">IFERROR(IF(AND(_xlfn.ISFORMULA(I867),NOT(_xlfn.ISFORMULA(I866))),1,OFFSET($F865,-COUNTIF($B$526:B866,"&lt;0")+3,0)),"")</f>
        <v>18</v>
      </c>
      <c r="O867" s="387">
        <f t="shared" ca="1" si="137"/>
        <v>0</v>
      </c>
      <c r="P867" s="387"/>
      <c r="Q867" s="387"/>
      <c r="R867" s="387"/>
      <c r="S867" s="387"/>
      <c r="T867" s="391"/>
    </row>
    <row r="868" spans="1:20">
      <c r="A868" s="387" t="b">
        <f t="shared" ca="1" si="127"/>
        <v>0</v>
      </c>
      <c r="B868" s="387">
        <f t="shared" ca="1" si="134"/>
        <v>106</v>
      </c>
      <c r="C868" s="404" t="str">
        <f t="shared" ca="1" si="128"/>
        <v>a17Dm000001PubdIAC</v>
      </c>
      <c r="D868" s="401"/>
      <c r="E868" s="387">
        <f t="shared" ca="1" si="135"/>
        <v>340</v>
      </c>
      <c r="F868" s="402">
        <f ca="1">IF(COUNTA(D$527:D868)=1,"",OFFSET(F866,-COUNTA(D$527:D868)+3,0))</f>
        <v>18</v>
      </c>
      <c r="G868" s="391" t="str">
        <f t="shared" ca="1" si="129"/>
        <v/>
      </c>
      <c r="H868" s="387">
        <f t="shared" ca="1" si="136"/>
        <v>9</v>
      </c>
      <c r="I868" s="389" t="str">
        <f t="shared" ca="1" si="130"/>
        <v/>
      </c>
      <c r="J868" s="392" t="str">
        <f t="shared" ca="1" si="131"/>
        <v/>
      </c>
      <c r="K868" s="392" t="str">
        <f t="shared" ca="1" si="132"/>
        <v/>
      </c>
      <c r="L868" s="391" t="str">
        <f t="shared" ca="1" si="133"/>
        <v/>
      </c>
      <c r="M868" s="401" t="str">
        <f ca="1">IFERROR(IF(COUNTIF($B$526:$B867,"&lt;0")=1,"",OFFSET($C866,-COUNTIF($B$526:$B867,"&lt;0")+3,0)),"")</f>
        <v>a17Dm000001PubdIAC</v>
      </c>
      <c r="N868" s="401">
        <f ca="1">IFERROR(IF(AND(_xlfn.ISFORMULA(I868),NOT(_xlfn.ISFORMULA(I867))),1,OFFSET($F866,-COUNTIF($B$526:B867,"&lt;0")+3,0)),"")</f>
        <v>18</v>
      </c>
      <c r="O868" s="387">
        <f t="shared" ca="1" si="137"/>
        <v>0</v>
      </c>
      <c r="P868" s="387"/>
      <c r="Q868" s="387"/>
      <c r="R868" s="387"/>
      <c r="S868" s="387"/>
      <c r="T868" s="391"/>
    </row>
    <row r="869" spans="1:20">
      <c r="A869" s="387" t="b">
        <f t="shared" ca="1" si="127"/>
        <v>0</v>
      </c>
      <c r="B869" s="387">
        <f t="shared" ca="1" si="134"/>
        <v>107</v>
      </c>
      <c r="C869" s="404" t="str">
        <f t="shared" ca="1" si="128"/>
        <v>a17Dm000001Puc7IAC</v>
      </c>
      <c r="D869" s="401"/>
      <c r="E869" s="387">
        <f t="shared" ca="1" si="135"/>
        <v>341</v>
      </c>
      <c r="F869" s="402">
        <f ca="1">IF(COUNTA(D$527:D869)=1,"",OFFSET(F867,-COUNTA(D$527:D869)+3,0))</f>
        <v>18</v>
      </c>
      <c r="G869" s="391" t="str">
        <f t="shared" ca="1" si="129"/>
        <v/>
      </c>
      <c r="H869" s="387">
        <f t="shared" ca="1" si="136"/>
        <v>9</v>
      </c>
      <c r="I869" s="389" t="str">
        <f t="shared" ca="1" si="130"/>
        <v/>
      </c>
      <c r="J869" s="392" t="str">
        <f t="shared" ca="1" si="131"/>
        <v/>
      </c>
      <c r="K869" s="392" t="str">
        <f t="shared" ca="1" si="132"/>
        <v/>
      </c>
      <c r="L869" s="391" t="str">
        <f t="shared" ca="1" si="133"/>
        <v/>
      </c>
      <c r="M869" s="401" t="str">
        <f ca="1">IFERROR(IF(COUNTIF($B$526:$B868,"&lt;0")=1,"",OFFSET($C867,-COUNTIF($B$526:$B868,"&lt;0")+3,0)),"")</f>
        <v>a17Dm000001Puc7IAC</v>
      </c>
      <c r="N869" s="401">
        <f ca="1">IFERROR(IF(AND(_xlfn.ISFORMULA(I869),NOT(_xlfn.ISFORMULA(I868))),1,OFFSET($F867,-COUNTIF($B$526:B868,"&lt;0")+3,0)),"")</f>
        <v>18</v>
      </c>
      <c r="O869" s="387">
        <f t="shared" ca="1" si="137"/>
        <v>0</v>
      </c>
      <c r="P869" s="387"/>
      <c r="Q869" s="387"/>
      <c r="R869" s="387"/>
      <c r="S869" s="387"/>
      <c r="T869" s="391"/>
    </row>
    <row r="870" spans="1:20">
      <c r="A870" s="387" t="b">
        <f t="shared" ca="1" si="127"/>
        <v>0</v>
      </c>
      <c r="B870" s="387">
        <f t="shared" ca="1" si="134"/>
        <v>108</v>
      </c>
      <c r="C870" s="404" t="str">
        <f t="shared" ca="1" si="128"/>
        <v>a17Dm000001PucbIAC</v>
      </c>
      <c r="D870" s="401"/>
      <c r="E870" s="387">
        <f t="shared" ca="1" si="135"/>
        <v>342</v>
      </c>
      <c r="F870" s="402">
        <f ca="1">IF(COUNTA(D$527:D870)=1,"",OFFSET(F868,-COUNTA(D$527:D870)+3,0))</f>
        <v>18</v>
      </c>
      <c r="G870" s="391" t="str">
        <f t="shared" ca="1" si="129"/>
        <v/>
      </c>
      <c r="H870" s="387">
        <f t="shared" ca="1" si="136"/>
        <v>9</v>
      </c>
      <c r="I870" s="389" t="str">
        <f t="shared" ca="1" si="130"/>
        <v/>
      </c>
      <c r="J870" s="392" t="str">
        <f t="shared" ca="1" si="131"/>
        <v/>
      </c>
      <c r="K870" s="392" t="str">
        <f t="shared" ca="1" si="132"/>
        <v/>
      </c>
      <c r="L870" s="391" t="str">
        <f t="shared" ca="1" si="133"/>
        <v/>
      </c>
      <c r="M870" s="401" t="str">
        <f ca="1">IFERROR(IF(COUNTIF($B$526:$B869,"&lt;0")=1,"",OFFSET($C868,-COUNTIF($B$526:$B869,"&lt;0")+3,0)),"")</f>
        <v>a17Dm000001PucbIAC</v>
      </c>
      <c r="N870" s="401">
        <f ca="1">IFERROR(IF(AND(_xlfn.ISFORMULA(I870),NOT(_xlfn.ISFORMULA(I869))),1,OFFSET($F868,-COUNTIF($B$526:B869,"&lt;0")+3,0)),"")</f>
        <v>18</v>
      </c>
      <c r="O870" s="387">
        <f t="shared" ca="1" si="137"/>
        <v>0</v>
      </c>
      <c r="P870" s="387"/>
      <c r="Q870" s="387"/>
      <c r="R870" s="387"/>
      <c r="S870" s="387"/>
      <c r="T870" s="391"/>
    </row>
    <row r="871" spans="1:20">
      <c r="A871" s="387" t="b">
        <f t="shared" ca="1" si="127"/>
        <v>0</v>
      </c>
      <c r="B871" s="387">
        <f t="shared" ca="1" si="134"/>
        <v>109</v>
      </c>
      <c r="C871" s="404" t="str">
        <f t="shared" ca="1" si="128"/>
        <v>a17Dm000001PuaCIAS</v>
      </c>
      <c r="D871" s="401"/>
      <c r="E871" s="387">
        <f t="shared" ca="1" si="135"/>
        <v>343</v>
      </c>
      <c r="F871" s="402">
        <f ca="1">IF(COUNTA(D$527:D871)=1,"",OFFSET(F869,-COUNTA(D$527:D871)+3,0))</f>
        <v>19</v>
      </c>
      <c r="G871" s="391" t="str">
        <f t="shared" ca="1" si="129"/>
        <v/>
      </c>
      <c r="H871" s="387">
        <f t="shared" ca="1" si="136"/>
        <v>9</v>
      </c>
      <c r="I871" s="389" t="str">
        <f t="shared" ca="1" si="130"/>
        <v/>
      </c>
      <c r="J871" s="392" t="str">
        <f t="shared" ca="1" si="131"/>
        <v/>
      </c>
      <c r="K871" s="392" t="str">
        <f t="shared" ca="1" si="132"/>
        <v/>
      </c>
      <c r="L871" s="391" t="str">
        <f t="shared" ca="1" si="133"/>
        <v/>
      </c>
      <c r="M871" s="401" t="str">
        <f ca="1">IFERROR(IF(COUNTIF($B$526:$B870,"&lt;0")=1,"",OFFSET($C869,-COUNTIF($B$526:$B870,"&lt;0")+3,0)),"")</f>
        <v>a17Dm000001PuaCIAS</v>
      </c>
      <c r="N871" s="401">
        <f ca="1">IFERROR(IF(AND(_xlfn.ISFORMULA(I871),NOT(_xlfn.ISFORMULA(I870))),1,OFFSET($F869,-COUNTIF($B$526:B870,"&lt;0")+3,0)),"")</f>
        <v>19</v>
      </c>
      <c r="O871" s="387">
        <f t="shared" ca="1" si="137"/>
        <v>0</v>
      </c>
      <c r="P871" s="387"/>
      <c r="Q871" s="387"/>
      <c r="R871" s="387"/>
      <c r="S871" s="387"/>
      <c r="T871" s="391"/>
    </row>
    <row r="872" spans="1:20">
      <c r="A872" s="387" t="b">
        <f t="shared" ca="1" si="127"/>
        <v>0</v>
      </c>
      <c r="B872" s="387">
        <f t="shared" ca="1" si="134"/>
        <v>110</v>
      </c>
      <c r="C872" s="404" t="str">
        <f t="shared" ca="1" si="128"/>
        <v>a17Dm000001PuagIAC</v>
      </c>
      <c r="D872" s="401"/>
      <c r="E872" s="387">
        <f t="shared" ca="1" si="135"/>
        <v>344</v>
      </c>
      <c r="F872" s="402">
        <f ca="1">IF(COUNTA(D$527:D872)=1,"",OFFSET(F870,-COUNTA(D$527:D872)+3,0))</f>
        <v>19</v>
      </c>
      <c r="G872" s="391" t="str">
        <f t="shared" ca="1" si="129"/>
        <v/>
      </c>
      <c r="H872" s="387">
        <f t="shared" ca="1" si="136"/>
        <v>9</v>
      </c>
      <c r="I872" s="389" t="str">
        <f t="shared" ca="1" si="130"/>
        <v/>
      </c>
      <c r="J872" s="392" t="str">
        <f t="shared" ca="1" si="131"/>
        <v/>
      </c>
      <c r="K872" s="392" t="str">
        <f t="shared" ca="1" si="132"/>
        <v/>
      </c>
      <c r="L872" s="391" t="str">
        <f t="shared" ca="1" si="133"/>
        <v/>
      </c>
      <c r="M872" s="401" t="str">
        <f ca="1">IFERROR(IF(COUNTIF($B$526:$B871,"&lt;0")=1,"",OFFSET($C870,-COUNTIF($B$526:$B871,"&lt;0")+3,0)),"")</f>
        <v>a17Dm000001PuagIAC</v>
      </c>
      <c r="N872" s="401">
        <f ca="1">IFERROR(IF(AND(_xlfn.ISFORMULA(I872),NOT(_xlfn.ISFORMULA(I871))),1,OFFSET($F870,-COUNTIF($B$526:B871,"&lt;0")+3,0)),"")</f>
        <v>19</v>
      </c>
      <c r="O872" s="387">
        <f t="shared" ca="1" si="137"/>
        <v>0</v>
      </c>
      <c r="P872" s="387"/>
      <c r="Q872" s="387"/>
      <c r="R872" s="387"/>
      <c r="S872" s="387"/>
      <c r="T872" s="391"/>
    </row>
    <row r="873" spans="1:20">
      <c r="A873" s="387" t="b">
        <f t="shared" ca="1" si="127"/>
        <v>0</v>
      </c>
      <c r="B873" s="387">
        <f t="shared" ca="1" si="134"/>
        <v>111</v>
      </c>
      <c r="C873" s="404" t="str">
        <f t="shared" ca="1" si="128"/>
        <v>a17Dm000001PubAIAS</v>
      </c>
      <c r="D873" s="401"/>
      <c r="E873" s="387">
        <f t="shared" ca="1" si="135"/>
        <v>345</v>
      </c>
      <c r="F873" s="402">
        <f ca="1">IF(COUNTA(D$527:D873)=1,"",OFFSET(F871,-COUNTA(D$527:D873)+3,0))</f>
        <v>19</v>
      </c>
      <c r="G873" s="391" t="str">
        <f t="shared" ca="1" si="129"/>
        <v/>
      </c>
      <c r="H873" s="387">
        <f t="shared" ca="1" si="136"/>
        <v>9</v>
      </c>
      <c r="I873" s="389" t="str">
        <f t="shared" ca="1" si="130"/>
        <v/>
      </c>
      <c r="J873" s="392" t="str">
        <f t="shared" ca="1" si="131"/>
        <v/>
      </c>
      <c r="K873" s="392" t="str">
        <f t="shared" ca="1" si="132"/>
        <v/>
      </c>
      <c r="L873" s="391" t="str">
        <f t="shared" ca="1" si="133"/>
        <v/>
      </c>
      <c r="M873" s="401" t="str">
        <f ca="1">IFERROR(IF(COUNTIF($B$526:$B872,"&lt;0")=1,"",OFFSET($C871,-COUNTIF($B$526:$B872,"&lt;0")+3,0)),"")</f>
        <v>a17Dm000001PubAIAS</v>
      </c>
      <c r="N873" s="401">
        <f ca="1">IFERROR(IF(AND(_xlfn.ISFORMULA(I873),NOT(_xlfn.ISFORMULA(I872))),1,OFFSET($F871,-COUNTIF($B$526:B872,"&lt;0")+3,0)),"")</f>
        <v>19</v>
      </c>
      <c r="O873" s="387">
        <f t="shared" ca="1" si="137"/>
        <v>0</v>
      </c>
      <c r="P873" s="387"/>
      <c r="Q873" s="387"/>
      <c r="R873" s="387"/>
      <c r="S873" s="387"/>
      <c r="T873" s="391"/>
    </row>
    <row r="874" spans="1:20">
      <c r="A874" s="387" t="b">
        <f t="shared" ca="1" si="127"/>
        <v>0</v>
      </c>
      <c r="B874" s="387">
        <f t="shared" ca="1" si="134"/>
        <v>112</v>
      </c>
      <c r="C874" s="404" t="str">
        <f t="shared" ca="1" si="128"/>
        <v>a17Dm000001PubeIAC</v>
      </c>
      <c r="D874" s="401"/>
      <c r="E874" s="387">
        <f t="shared" ca="1" si="135"/>
        <v>346</v>
      </c>
      <c r="F874" s="402">
        <f ca="1">IF(COUNTA(D$527:D874)=1,"",OFFSET(F872,-COUNTA(D$527:D874)+3,0))</f>
        <v>19</v>
      </c>
      <c r="G874" s="391" t="str">
        <f t="shared" ca="1" si="129"/>
        <v/>
      </c>
      <c r="H874" s="387">
        <f t="shared" ca="1" si="136"/>
        <v>9</v>
      </c>
      <c r="I874" s="389" t="str">
        <f t="shared" ca="1" si="130"/>
        <v/>
      </c>
      <c r="J874" s="392" t="str">
        <f t="shared" ca="1" si="131"/>
        <v/>
      </c>
      <c r="K874" s="392" t="str">
        <f t="shared" ca="1" si="132"/>
        <v/>
      </c>
      <c r="L874" s="391" t="str">
        <f t="shared" ca="1" si="133"/>
        <v/>
      </c>
      <c r="M874" s="401" t="str">
        <f ca="1">IFERROR(IF(COUNTIF($B$526:$B873,"&lt;0")=1,"",OFFSET($C872,-COUNTIF($B$526:$B873,"&lt;0")+3,0)),"")</f>
        <v>a17Dm000001PubeIAC</v>
      </c>
      <c r="N874" s="401">
        <f ca="1">IFERROR(IF(AND(_xlfn.ISFORMULA(I874),NOT(_xlfn.ISFORMULA(I873))),1,OFFSET($F872,-COUNTIF($B$526:B873,"&lt;0")+3,0)),"")</f>
        <v>19</v>
      </c>
      <c r="O874" s="387">
        <f t="shared" ca="1" si="137"/>
        <v>0</v>
      </c>
      <c r="P874" s="387"/>
      <c r="Q874" s="387"/>
      <c r="R874" s="387"/>
      <c r="S874" s="387"/>
      <c r="T874" s="391"/>
    </row>
    <row r="875" spans="1:20">
      <c r="A875" s="387" t="b">
        <f t="shared" ca="1" si="127"/>
        <v>0</v>
      </c>
      <c r="B875" s="387">
        <f t="shared" ca="1" si="134"/>
        <v>113</v>
      </c>
      <c r="C875" s="404" t="str">
        <f t="shared" ca="1" si="128"/>
        <v>a17Dm000001Puc8IAC</v>
      </c>
      <c r="D875" s="401"/>
      <c r="E875" s="387">
        <f t="shared" ca="1" si="135"/>
        <v>347</v>
      </c>
      <c r="F875" s="402">
        <f ca="1">IF(COUNTA(D$527:D875)=1,"",OFFSET(F873,-COUNTA(D$527:D875)+3,0))</f>
        <v>19</v>
      </c>
      <c r="G875" s="391" t="str">
        <f t="shared" ca="1" si="129"/>
        <v/>
      </c>
      <c r="H875" s="387">
        <f t="shared" ca="1" si="136"/>
        <v>9</v>
      </c>
      <c r="I875" s="389" t="str">
        <f t="shared" ca="1" si="130"/>
        <v/>
      </c>
      <c r="J875" s="392" t="str">
        <f t="shared" ca="1" si="131"/>
        <v/>
      </c>
      <c r="K875" s="392" t="str">
        <f t="shared" ca="1" si="132"/>
        <v/>
      </c>
      <c r="L875" s="391" t="str">
        <f t="shared" ca="1" si="133"/>
        <v/>
      </c>
      <c r="M875" s="401" t="str">
        <f ca="1">IFERROR(IF(COUNTIF($B$526:$B874,"&lt;0")=1,"",OFFSET($C873,-COUNTIF($B$526:$B874,"&lt;0")+3,0)),"")</f>
        <v>a17Dm000001Puc8IAC</v>
      </c>
      <c r="N875" s="401">
        <f ca="1">IFERROR(IF(AND(_xlfn.ISFORMULA(I875),NOT(_xlfn.ISFORMULA(I874))),1,OFFSET($F873,-COUNTIF($B$526:B874,"&lt;0")+3,0)),"")</f>
        <v>19</v>
      </c>
      <c r="O875" s="387">
        <f t="shared" ca="1" si="137"/>
        <v>0</v>
      </c>
      <c r="P875" s="387"/>
      <c r="Q875" s="387"/>
      <c r="R875" s="387"/>
      <c r="S875" s="387"/>
      <c r="T875" s="391"/>
    </row>
    <row r="876" spans="1:20">
      <c r="A876" s="387" t="b">
        <f t="shared" ca="1" si="127"/>
        <v>0</v>
      </c>
      <c r="B876" s="387">
        <f t="shared" ca="1" si="134"/>
        <v>114</v>
      </c>
      <c r="C876" s="404" t="str">
        <f t="shared" ca="1" si="128"/>
        <v>a17Dm000001PuccIAC</v>
      </c>
      <c r="D876" s="401"/>
      <c r="E876" s="387">
        <f t="shared" ca="1" si="135"/>
        <v>348</v>
      </c>
      <c r="F876" s="402">
        <f ca="1">IF(COUNTA(D$527:D876)=1,"",OFFSET(F874,-COUNTA(D$527:D876)+3,0))</f>
        <v>19</v>
      </c>
      <c r="G876" s="391" t="str">
        <f t="shared" ca="1" si="129"/>
        <v/>
      </c>
      <c r="H876" s="387">
        <f t="shared" ca="1" si="136"/>
        <v>9</v>
      </c>
      <c r="I876" s="389" t="str">
        <f t="shared" ca="1" si="130"/>
        <v/>
      </c>
      <c r="J876" s="392" t="str">
        <f t="shared" ca="1" si="131"/>
        <v/>
      </c>
      <c r="K876" s="392" t="str">
        <f t="shared" ca="1" si="132"/>
        <v/>
      </c>
      <c r="L876" s="391" t="str">
        <f t="shared" ca="1" si="133"/>
        <v/>
      </c>
      <c r="M876" s="401" t="str">
        <f ca="1">IFERROR(IF(COUNTIF($B$526:$B875,"&lt;0")=1,"",OFFSET($C874,-COUNTIF($B$526:$B875,"&lt;0")+3,0)),"")</f>
        <v>a17Dm000001PuccIAC</v>
      </c>
      <c r="N876" s="401">
        <f ca="1">IFERROR(IF(AND(_xlfn.ISFORMULA(I876),NOT(_xlfn.ISFORMULA(I875))),1,OFFSET($F874,-COUNTIF($B$526:B875,"&lt;0")+3,0)),"")</f>
        <v>19</v>
      </c>
      <c r="O876" s="387">
        <f t="shared" ca="1" si="137"/>
        <v>0</v>
      </c>
      <c r="P876" s="387"/>
      <c r="Q876" s="387"/>
      <c r="R876" s="387"/>
      <c r="S876" s="387"/>
      <c r="T876" s="391"/>
    </row>
    <row r="877" spans="1:20">
      <c r="A877" s="387" t="b">
        <f t="shared" ca="1" si="127"/>
        <v>0</v>
      </c>
      <c r="B877" s="387">
        <f t="shared" ca="1" si="134"/>
        <v>115</v>
      </c>
      <c r="C877" s="404" t="str">
        <f t="shared" ca="1" si="128"/>
        <v>a17Dm000001PuaDIAS</v>
      </c>
      <c r="D877" s="401"/>
      <c r="E877" s="387">
        <f t="shared" ca="1" si="135"/>
        <v>349</v>
      </c>
      <c r="F877" s="402">
        <f ca="1">IF(COUNTA(D$527:D877)=1,"",OFFSET(F875,-COUNTA(D$527:D877)+3,0))</f>
        <v>20</v>
      </c>
      <c r="G877" s="391" t="str">
        <f t="shared" ca="1" si="129"/>
        <v/>
      </c>
      <c r="H877" s="387">
        <f t="shared" ca="1" si="136"/>
        <v>9</v>
      </c>
      <c r="I877" s="389" t="str">
        <f t="shared" ca="1" si="130"/>
        <v/>
      </c>
      <c r="J877" s="392" t="str">
        <f t="shared" ca="1" si="131"/>
        <v/>
      </c>
      <c r="K877" s="392" t="str">
        <f t="shared" ca="1" si="132"/>
        <v/>
      </c>
      <c r="L877" s="391" t="str">
        <f t="shared" ca="1" si="133"/>
        <v/>
      </c>
      <c r="M877" s="401" t="str">
        <f ca="1">IFERROR(IF(COUNTIF($B$526:$B876,"&lt;0")=1,"",OFFSET($C875,-COUNTIF($B$526:$B876,"&lt;0")+3,0)),"")</f>
        <v>a17Dm000001PuaDIAS</v>
      </c>
      <c r="N877" s="401">
        <f ca="1">IFERROR(IF(AND(_xlfn.ISFORMULA(I877),NOT(_xlfn.ISFORMULA(I876))),1,OFFSET($F875,-COUNTIF($B$526:B876,"&lt;0")+3,0)),"")</f>
        <v>20</v>
      </c>
      <c r="O877" s="387">
        <f t="shared" ca="1" si="137"/>
        <v>0</v>
      </c>
      <c r="P877" s="387"/>
      <c r="Q877" s="387"/>
      <c r="R877" s="387"/>
      <c r="S877" s="387"/>
      <c r="T877" s="391"/>
    </row>
    <row r="878" spans="1:20">
      <c r="A878" s="387" t="b">
        <f t="shared" ca="1" si="127"/>
        <v>0</v>
      </c>
      <c r="B878" s="387">
        <f t="shared" ca="1" si="134"/>
        <v>116</v>
      </c>
      <c r="C878" s="404" t="str">
        <f t="shared" ca="1" si="128"/>
        <v>a17Dm000001PuahIAC</v>
      </c>
      <c r="D878" s="401"/>
      <c r="E878" s="387">
        <f t="shared" ca="1" si="135"/>
        <v>350</v>
      </c>
      <c r="F878" s="402">
        <f ca="1">IF(COUNTA(D$527:D878)=1,"",OFFSET(F876,-COUNTA(D$527:D878)+3,0))</f>
        <v>20</v>
      </c>
      <c r="G878" s="391" t="str">
        <f t="shared" ca="1" si="129"/>
        <v/>
      </c>
      <c r="H878" s="387">
        <f t="shared" ca="1" si="136"/>
        <v>9</v>
      </c>
      <c r="I878" s="389" t="str">
        <f t="shared" ca="1" si="130"/>
        <v/>
      </c>
      <c r="J878" s="392" t="str">
        <f t="shared" ca="1" si="131"/>
        <v/>
      </c>
      <c r="K878" s="392" t="str">
        <f t="shared" ca="1" si="132"/>
        <v/>
      </c>
      <c r="L878" s="391" t="str">
        <f t="shared" ca="1" si="133"/>
        <v/>
      </c>
      <c r="M878" s="401" t="str">
        <f ca="1">IFERROR(IF(COUNTIF($B$526:$B877,"&lt;0")=1,"",OFFSET($C876,-COUNTIF($B$526:$B877,"&lt;0")+3,0)),"")</f>
        <v>a17Dm000001PuahIAC</v>
      </c>
      <c r="N878" s="401">
        <f ca="1">IFERROR(IF(AND(_xlfn.ISFORMULA(I878),NOT(_xlfn.ISFORMULA(I877))),1,OFFSET($F876,-COUNTIF($B$526:B877,"&lt;0")+3,0)),"")</f>
        <v>20</v>
      </c>
      <c r="O878" s="387">
        <f t="shared" ca="1" si="137"/>
        <v>0</v>
      </c>
      <c r="P878" s="387"/>
      <c r="Q878" s="387"/>
      <c r="R878" s="387"/>
      <c r="S878" s="387"/>
      <c r="T878" s="391"/>
    </row>
    <row r="879" spans="1:20">
      <c r="A879" s="387" t="b">
        <f t="shared" ca="1" si="127"/>
        <v>0</v>
      </c>
      <c r="B879" s="387">
        <f t="shared" ca="1" si="134"/>
        <v>117</v>
      </c>
      <c r="C879" s="404" t="str">
        <f t="shared" ca="1" si="128"/>
        <v>a17Dm000001PubBIAS</v>
      </c>
      <c r="D879" s="401"/>
      <c r="E879" s="387">
        <f t="shared" ca="1" si="135"/>
        <v>351</v>
      </c>
      <c r="F879" s="402">
        <f ca="1">IF(COUNTA(D$527:D879)=1,"",OFFSET(F877,-COUNTA(D$527:D879)+3,0))</f>
        <v>20</v>
      </c>
      <c r="G879" s="391" t="str">
        <f t="shared" ca="1" si="129"/>
        <v/>
      </c>
      <c r="H879" s="387">
        <f t="shared" ca="1" si="136"/>
        <v>9</v>
      </c>
      <c r="I879" s="389" t="str">
        <f t="shared" ca="1" si="130"/>
        <v/>
      </c>
      <c r="J879" s="392" t="str">
        <f t="shared" ca="1" si="131"/>
        <v/>
      </c>
      <c r="K879" s="392" t="str">
        <f t="shared" ca="1" si="132"/>
        <v/>
      </c>
      <c r="L879" s="391" t="str">
        <f t="shared" ca="1" si="133"/>
        <v/>
      </c>
      <c r="M879" s="401" t="str">
        <f ca="1">IFERROR(IF(COUNTIF($B$526:$B878,"&lt;0")=1,"",OFFSET($C877,-COUNTIF($B$526:$B878,"&lt;0")+3,0)),"")</f>
        <v>a17Dm000001PubBIAS</v>
      </c>
      <c r="N879" s="401">
        <f ca="1">IFERROR(IF(AND(_xlfn.ISFORMULA(I879),NOT(_xlfn.ISFORMULA(I878))),1,OFFSET($F877,-COUNTIF($B$526:B878,"&lt;0")+3,0)),"")</f>
        <v>20</v>
      </c>
      <c r="O879" s="387">
        <f t="shared" ca="1" si="137"/>
        <v>0</v>
      </c>
      <c r="P879" s="387"/>
      <c r="Q879" s="387"/>
      <c r="R879" s="387"/>
      <c r="S879" s="387"/>
      <c r="T879" s="391"/>
    </row>
    <row r="880" spans="1:20">
      <c r="A880" s="387" t="b">
        <f t="shared" ca="1" si="127"/>
        <v>0</v>
      </c>
      <c r="B880" s="387">
        <f t="shared" ca="1" si="134"/>
        <v>118</v>
      </c>
      <c r="C880" s="404" t="str">
        <f t="shared" ca="1" si="128"/>
        <v>a17Dm000001PubfIAC</v>
      </c>
      <c r="D880" s="401"/>
      <c r="E880" s="387">
        <f t="shared" ca="1" si="135"/>
        <v>352</v>
      </c>
      <c r="F880" s="402">
        <f ca="1">IF(COUNTA(D$527:D880)=1,"",OFFSET(F878,-COUNTA(D$527:D880)+3,0))</f>
        <v>20</v>
      </c>
      <c r="G880" s="391" t="str">
        <f t="shared" ca="1" si="129"/>
        <v/>
      </c>
      <c r="H880" s="387">
        <f t="shared" ca="1" si="136"/>
        <v>9</v>
      </c>
      <c r="I880" s="389" t="str">
        <f t="shared" ca="1" si="130"/>
        <v/>
      </c>
      <c r="J880" s="392" t="str">
        <f t="shared" ca="1" si="131"/>
        <v/>
      </c>
      <c r="K880" s="392" t="str">
        <f t="shared" ca="1" si="132"/>
        <v/>
      </c>
      <c r="L880" s="391" t="str">
        <f t="shared" ca="1" si="133"/>
        <v/>
      </c>
      <c r="M880" s="401" t="str">
        <f ca="1">IFERROR(IF(COUNTIF($B$526:$B879,"&lt;0")=1,"",OFFSET($C878,-COUNTIF($B$526:$B879,"&lt;0")+3,0)),"")</f>
        <v>a17Dm000001PubfIAC</v>
      </c>
      <c r="N880" s="401">
        <f ca="1">IFERROR(IF(AND(_xlfn.ISFORMULA(I880),NOT(_xlfn.ISFORMULA(I879))),1,OFFSET($F878,-COUNTIF($B$526:B879,"&lt;0")+3,0)),"")</f>
        <v>20</v>
      </c>
      <c r="O880" s="387">
        <f t="shared" ca="1" si="137"/>
        <v>0</v>
      </c>
      <c r="P880" s="387"/>
      <c r="Q880" s="387"/>
      <c r="R880" s="387"/>
      <c r="S880" s="387"/>
      <c r="T880" s="391"/>
    </row>
    <row r="881" spans="1:20">
      <c r="A881" s="387" t="b">
        <f t="shared" ca="1" si="127"/>
        <v>0</v>
      </c>
      <c r="B881" s="387">
        <f t="shared" ca="1" si="134"/>
        <v>119</v>
      </c>
      <c r="C881" s="404" t="str">
        <f t="shared" ca="1" si="128"/>
        <v>a17Dm000001Puc9IAC</v>
      </c>
      <c r="D881" s="401"/>
      <c r="E881" s="387">
        <f t="shared" ca="1" si="135"/>
        <v>353</v>
      </c>
      <c r="F881" s="402">
        <f ca="1">IF(COUNTA(D$527:D881)=1,"",OFFSET(F879,-COUNTA(D$527:D881)+3,0))</f>
        <v>20</v>
      </c>
      <c r="G881" s="391" t="str">
        <f t="shared" ca="1" si="129"/>
        <v/>
      </c>
      <c r="H881" s="387">
        <f t="shared" ca="1" si="136"/>
        <v>9</v>
      </c>
      <c r="I881" s="389" t="str">
        <f t="shared" ca="1" si="130"/>
        <v/>
      </c>
      <c r="J881" s="392" t="str">
        <f t="shared" ca="1" si="131"/>
        <v/>
      </c>
      <c r="K881" s="392" t="str">
        <f t="shared" ca="1" si="132"/>
        <v/>
      </c>
      <c r="L881" s="391" t="str">
        <f t="shared" ca="1" si="133"/>
        <v/>
      </c>
      <c r="M881" s="401" t="str">
        <f ca="1">IFERROR(IF(COUNTIF($B$526:$B880,"&lt;0")=1,"",OFFSET($C879,-COUNTIF($B$526:$B880,"&lt;0")+3,0)),"")</f>
        <v>a17Dm000001Puc9IAC</v>
      </c>
      <c r="N881" s="401">
        <f ca="1">IFERROR(IF(AND(_xlfn.ISFORMULA(I881),NOT(_xlfn.ISFORMULA(I880))),1,OFFSET($F879,-COUNTIF($B$526:B880,"&lt;0")+3,0)),"")</f>
        <v>20</v>
      </c>
      <c r="O881" s="387">
        <f t="shared" ca="1" si="137"/>
        <v>0</v>
      </c>
      <c r="P881" s="387"/>
      <c r="Q881" s="387"/>
      <c r="R881" s="387"/>
      <c r="S881" s="387"/>
      <c r="T881" s="391"/>
    </row>
    <row r="882" spans="1:20">
      <c r="A882" s="387" t="b">
        <f t="shared" ca="1" si="127"/>
        <v>0</v>
      </c>
      <c r="B882" s="387">
        <f t="shared" ca="1" si="134"/>
        <v>120</v>
      </c>
      <c r="C882" s="404" t="str">
        <f t="shared" ca="1" si="128"/>
        <v>a17Dm000001PucdIAC</v>
      </c>
      <c r="D882" s="401"/>
      <c r="E882" s="387">
        <f t="shared" ca="1" si="135"/>
        <v>354</v>
      </c>
      <c r="F882" s="402">
        <f ca="1">IF(COUNTA(D$527:D882)=1,"",OFFSET(F880,-COUNTA(D$527:D882)+3,0))</f>
        <v>20</v>
      </c>
      <c r="G882" s="391" t="str">
        <f t="shared" ca="1" si="129"/>
        <v/>
      </c>
      <c r="H882" s="387">
        <f t="shared" ca="1" si="136"/>
        <v>9</v>
      </c>
      <c r="I882" s="389" t="str">
        <f t="shared" ca="1" si="130"/>
        <v/>
      </c>
      <c r="J882" s="392" t="str">
        <f t="shared" ca="1" si="131"/>
        <v/>
      </c>
      <c r="K882" s="392" t="str">
        <f t="shared" ca="1" si="132"/>
        <v/>
      </c>
      <c r="L882" s="391" t="str">
        <f t="shared" ca="1" si="133"/>
        <v/>
      </c>
      <c r="M882" s="401" t="str">
        <f ca="1">IFERROR(IF(COUNTIF($B$526:$B881,"&lt;0")=1,"",OFFSET($C880,-COUNTIF($B$526:$B881,"&lt;0")+3,0)),"")</f>
        <v>a17Dm000001PucdIAC</v>
      </c>
      <c r="N882" s="401">
        <f ca="1">IFERROR(IF(AND(_xlfn.ISFORMULA(I882),NOT(_xlfn.ISFORMULA(I881))),1,OFFSET($F880,-COUNTIF($B$526:B881,"&lt;0")+3,0)),"")</f>
        <v>20</v>
      </c>
      <c r="O882" s="387">
        <f t="shared" ca="1" si="137"/>
        <v>0</v>
      </c>
      <c r="P882" s="387"/>
      <c r="Q882" s="387"/>
      <c r="R882" s="387"/>
      <c r="S882" s="387"/>
      <c r="T882" s="391"/>
    </row>
    <row r="883" spans="1:20">
      <c r="A883" s="387" t="b">
        <f t="shared" ca="1" si="127"/>
        <v>0</v>
      </c>
      <c r="B883" s="387">
        <f t="shared" ca="1" si="134"/>
        <v>121</v>
      </c>
      <c r="C883" s="404" t="str">
        <f t="shared" ca="1" si="128"/>
        <v>a17Dm000001PuaEIAS</v>
      </c>
      <c r="D883" s="401"/>
      <c r="E883" s="387">
        <f t="shared" ca="1" si="135"/>
        <v>355</v>
      </c>
      <c r="F883" s="402">
        <f ca="1">IF(COUNTA(D$527:D883)=1,"",OFFSET(F881,-COUNTA(D$527:D883)+3,0))</f>
        <v>21</v>
      </c>
      <c r="G883" s="391" t="str">
        <f t="shared" ca="1" si="129"/>
        <v/>
      </c>
      <c r="H883" s="387">
        <f t="shared" ca="1" si="136"/>
        <v>9</v>
      </c>
      <c r="I883" s="389" t="str">
        <f t="shared" ca="1" si="130"/>
        <v/>
      </c>
      <c r="J883" s="392" t="str">
        <f t="shared" ca="1" si="131"/>
        <v/>
      </c>
      <c r="K883" s="392" t="str">
        <f t="shared" ca="1" si="132"/>
        <v/>
      </c>
      <c r="L883" s="391" t="str">
        <f t="shared" ca="1" si="133"/>
        <v/>
      </c>
      <c r="M883" s="401" t="str">
        <f ca="1">IFERROR(IF(COUNTIF($B$526:$B882,"&lt;0")=1,"",OFFSET($C881,-COUNTIF($B$526:$B882,"&lt;0")+3,0)),"")</f>
        <v>a17Dm000001PuaEIAS</v>
      </c>
      <c r="N883" s="401">
        <f ca="1">IFERROR(IF(AND(_xlfn.ISFORMULA(I883),NOT(_xlfn.ISFORMULA(I882))),1,OFFSET($F881,-COUNTIF($B$526:B882,"&lt;0")+3,0)),"")</f>
        <v>21</v>
      </c>
      <c r="O883" s="387">
        <f t="shared" ca="1" si="137"/>
        <v>0</v>
      </c>
      <c r="P883" s="387"/>
      <c r="Q883" s="387"/>
      <c r="R883" s="387"/>
      <c r="S883" s="387"/>
      <c r="T883" s="391"/>
    </row>
    <row r="884" spans="1:20">
      <c r="A884" s="387" t="b">
        <f t="shared" ca="1" si="127"/>
        <v>0</v>
      </c>
      <c r="B884" s="387">
        <f t="shared" ca="1" si="134"/>
        <v>122</v>
      </c>
      <c r="C884" s="404" t="str">
        <f t="shared" ca="1" si="128"/>
        <v>a17Dm000001PuaiIAC</v>
      </c>
      <c r="D884" s="401"/>
      <c r="E884" s="387">
        <f t="shared" ca="1" si="135"/>
        <v>356</v>
      </c>
      <c r="F884" s="402">
        <f ca="1">IF(COUNTA(D$527:D884)=1,"",OFFSET(F882,-COUNTA(D$527:D884)+3,0))</f>
        <v>21</v>
      </c>
      <c r="G884" s="391" t="str">
        <f t="shared" ca="1" si="129"/>
        <v/>
      </c>
      <c r="H884" s="387">
        <f t="shared" ca="1" si="136"/>
        <v>9</v>
      </c>
      <c r="I884" s="389" t="str">
        <f t="shared" ca="1" si="130"/>
        <v/>
      </c>
      <c r="J884" s="392" t="str">
        <f t="shared" ca="1" si="131"/>
        <v/>
      </c>
      <c r="K884" s="392" t="str">
        <f t="shared" ca="1" si="132"/>
        <v/>
      </c>
      <c r="L884" s="391" t="str">
        <f t="shared" ca="1" si="133"/>
        <v/>
      </c>
      <c r="M884" s="401" t="str">
        <f ca="1">IFERROR(IF(COUNTIF($B$526:$B883,"&lt;0")=1,"",OFFSET($C882,-COUNTIF($B$526:$B883,"&lt;0")+3,0)),"")</f>
        <v>a17Dm000001PuaiIAC</v>
      </c>
      <c r="N884" s="401">
        <f ca="1">IFERROR(IF(AND(_xlfn.ISFORMULA(I884),NOT(_xlfn.ISFORMULA(I883))),1,OFFSET($F882,-COUNTIF($B$526:B883,"&lt;0")+3,0)),"")</f>
        <v>21</v>
      </c>
      <c r="O884" s="387">
        <f t="shared" ca="1" si="137"/>
        <v>0</v>
      </c>
      <c r="P884" s="387"/>
      <c r="Q884" s="387"/>
      <c r="R884" s="387"/>
      <c r="S884" s="387"/>
      <c r="T884" s="391"/>
    </row>
    <row r="885" spans="1:20">
      <c r="A885" s="387" t="b">
        <f t="shared" ca="1" si="127"/>
        <v>0</v>
      </c>
      <c r="B885" s="387">
        <f t="shared" ca="1" si="134"/>
        <v>123</v>
      </c>
      <c r="C885" s="404" t="str">
        <f t="shared" ca="1" si="128"/>
        <v>a17Dm000001PubCIAS</v>
      </c>
      <c r="D885" s="401"/>
      <c r="E885" s="387">
        <f t="shared" ca="1" si="135"/>
        <v>357</v>
      </c>
      <c r="F885" s="402">
        <f ca="1">IF(COUNTA(D$527:D885)=1,"",OFFSET(F883,-COUNTA(D$527:D885)+3,0))</f>
        <v>21</v>
      </c>
      <c r="G885" s="391" t="str">
        <f t="shared" ca="1" si="129"/>
        <v/>
      </c>
      <c r="H885" s="387">
        <f t="shared" ca="1" si="136"/>
        <v>9</v>
      </c>
      <c r="I885" s="389" t="str">
        <f t="shared" ca="1" si="130"/>
        <v/>
      </c>
      <c r="J885" s="392" t="str">
        <f t="shared" ca="1" si="131"/>
        <v/>
      </c>
      <c r="K885" s="392" t="str">
        <f t="shared" ca="1" si="132"/>
        <v/>
      </c>
      <c r="L885" s="391" t="str">
        <f t="shared" ca="1" si="133"/>
        <v/>
      </c>
      <c r="M885" s="401" t="str">
        <f ca="1">IFERROR(IF(COUNTIF($B$526:$B884,"&lt;0")=1,"",OFFSET($C883,-COUNTIF($B$526:$B884,"&lt;0")+3,0)),"")</f>
        <v>a17Dm000001PubCIAS</v>
      </c>
      <c r="N885" s="401">
        <f ca="1">IFERROR(IF(AND(_xlfn.ISFORMULA(I885),NOT(_xlfn.ISFORMULA(I884))),1,OFFSET($F883,-COUNTIF($B$526:B884,"&lt;0")+3,0)),"")</f>
        <v>21</v>
      </c>
      <c r="O885" s="387">
        <f t="shared" ca="1" si="137"/>
        <v>0</v>
      </c>
      <c r="P885" s="387"/>
      <c r="Q885" s="387"/>
      <c r="R885" s="387"/>
      <c r="S885" s="387"/>
      <c r="T885" s="391"/>
    </row>
    <row r="886" spans="1:20">
      <c r="A886" s="387" t="b">
        <f t="shared" ca="1" si="127"/>
        <v>0</v>
      </c>
      <c r="B886" s="387">
        <f t="shared" ca="1" si="134"/>
        <v>124</v>
      </c>
      <c r="C886" s="404" t="str">
        <f t="shared" ca="1" si="128"/>
        <v>a17Dm000001PubgIAC</v>
      </c>
      <c r="D886" s="401"/>
      <c r="E886" s="387">
        <f t="shared" ca="1" si="135"/>
        <v>358</v>
      </c>
      <c r="F886" s="402">
        <f ca="1">IF(COUNTA(D$527:D886)=1,"",OFFSET(F884,-COUNTA(D$527:D886)+3,0))</f>
        <v>21</v>
      </c>
      <c r="G886" s="391" t="str">
        <f t="shared" ca="1" si="129"/>
        <v/>
      </c>
      <c r="H886" s="387">
        <f t="shared" ca="1" si="136"/>
        <v>9</v>
      </c>
      <c r="I886" s="389" t="str">
        <f t="shared" ca="1" si="130"/>
        <v/>
      </c>
      <c r="J886" s="392" t="str">
        <f t="shared" ca="1" si="131"/>
        <v/>
      </c>
      <c r="K886" s="392" t="str">
        <f t="shared" ca="1" si="132"/>
        <v/>
      </c>
      <c r="L886" s="391" t="str">
        <f t="shared" ca="1" si="133"/>
        <v/>
      </c>
      <c r="M886" s="401" t="str">
        <f ca="1">IFERROR(IF(COUNTIF($B$526:$B885,"&lt;0")=1,"",OFFSET($C884,-COUNTIF($B$526:$B885,"&lt;0")+3,0)),"")</f>
        <v>a17Dm000001PubgIAC</v>
      </c>
      <c r="N886" s="401">
        <f ca="1">IFERROR(IF(AND(_xlfn.ISFORMULA(I886),NOT(_xlfn.ISFORMULA(I885))),1,OFFSET($F884,-COUNTIF($B$526:B885,"&lt;0")+3,0)),"")</f>
        <v>21</v>
      </c>
      <c r="O886" s="387">
        <f t="shared" ca="1" si="137"/>
        <v>0</v>
      </c>
      <c r="P886" s="387"/>
      <c r="Q886" s="387"/>
      <c r="R886" s="387"/>
      <c r="S886" s="387"/>
      <c r="T886" s="391"/>
    </row>
    <row r="887" spans="1:20">
      <c r="A887" s="387" t="b">
        <f t="shared" ca="1" si="127"/>
        <v>0</v>
      </c>
      <c r="B887" s="387">
        <f t="shared" ca="1" si="134"/>
        <v>125</v>
      </c>
      <c r="C887" s="404" t="str">
        <f t="shared" ca="1" si="128"/>
        <v>a17Dm000001PucAIAS</v>
      </c>
      <c r="D887" s="401"/>
      <c r="E887" s="387">
        <f t="shared" ca="1" si="135"/>
        <v>359</v>
      </c>
      <c r="F887" s="402">
        <f ca="1">IF(COUNTA(D$527:D887)=1,"",OFFSET(F885,-COUNTA(D$527:D887)+3,0))</f>
        <v>21</v>
      </c>
      <c r="G887" s="391" t="str">
        <f t="shared" ca="1" si="129"/>
        <v/>
      </c>
      <c r="H887" s="387">
        <f t="shared" ca="1" si="136"/>
        <v>9</v>
      </c>
      <c r="I887" s="389" t="str">
        <f t="shared" ca="1" si="130"/>
        <v/>
      </c>
      <c r="J887" s="392" t="str">
        <f t="shared" ca="1" si="131"/>
        <v/>
      </c>
      <c r="K887" s="392" t="str">
        <f t="shared" ca="1" si="132"/>
        <v/>
      </c>
      <c r="L887" s="391" t="str">
        <f t="shared" ca="1" si="133"/>
        <v/>
      </c>
      <c r="M887" s="401" t="str">
        <f ca="1">IFERROR(IF(COUNTIF($B$526:$B886,"&lt;0")=1,"",OFFSET($C885,-COUNTIF($B$526:$B886,"&lt;0")+3,0)),"")</f>
        <v>a17Dm000001PucAIAS</v>
      </c>
      <c r="N887" s="401">
        <f ca="1">IFERROR(IF(AND(_xlfn.ISFORMULA(I887),NOT(_xlfn.ISFORMULA(I886))),1,OFFSET($F885,-COUNTIF($B$526:B886,"&lt;0")+3,0)),"")</f>
        <v>21</v>
      </c>
      <c r="O887" s="387">
        <f t="shared" ca="1" si="137"/>
        <v>0</v>
      </c>
      <c r="P887" s="387"/>
      <c r="Q887" s="387"/>
      <c r="R887" s="387"/>
      <c r="S887" s="387"/>
      <c r="T887" s="391"/>
    </row>
    <row r="888" spans="1:20">
      <c r="A888" s="387" t="b">
        <f t="shared" ca="1" si="127"/>
        <v>0</v>
      </c>
      <c r="B888" s="387">
        <f t="shared" ca="1" si="134"/>
        <v>126</v>
      </c>
      <c r="C888" s="404" t="str">
        <f t="shared" ca="1" si="128"/>
        <v>a17Dm000001PuceIAC</v>
      </c>
      <c r="D888" s="401"/>
      <c r="E888" s="387">
        <f t="shared" ca="1" si="135"/>
        <v>360</v>
      </c>
      <c r="F888" s="402">
        <f ca="1">IF(COUNTA(D$527:D888)=1,"",OFFSET(F886,-COUNTA(D$527:D888)+3,0))</f>
        <v>21</v>
      </c>
      <c r="G888" s="391" t="str">
        <f t="shared" ca="1" si="129"/>
        <v/>
      </c>
      <c r="H888" s="387">
        <f t="shared" ca="1" si="136"/>
        <v>9</v>
      </c>
      <c r="I888" s="389" t="str">
        <f t="shared" ca="1" si="130"/>
        <v/>
      </c>
      <c r="J888" s="392" t="str">
        <f t="shared" ca="1" si="131"/>
        <v/>
      </c>
      <c r="K888" s="392" t="str">
        <f t="shared" ca="1" si="132"/>
        <v/>
      </c>
      <c r="L888" s="391" t="str">
        <f t="shared" ca="1" si="133"/>
        <v/>
      </c>
      <c r="M888" s="401" t="str">
        <f ca="1">IFERROR(IF(COUNTIF($B$526:$B887,"&lt;0")=1,"",OFFSET($C886,-COUNTIF($B$526:$B887,"&lt;0")+3,0)),"")</f>
        <v>a17Dm000001PuceIAC</v>
      </c>
      <c r="N888" s="401">
        <f ca="1">IFERROR(IF(AND(_xlfn.ISFORMULA(I888),NOT(_xlfn.ISFORMULA(I887))),1,OFFSET($F886,-COUNTIF($B$526:B887,"&lt;0")+3,0)),"")</f>
        <v>21</v>
      </c>
      <c r="O888" s="387">
        <f t="shared" ca="1" si="137"/>
        <v>0</v>
      </c>
      <c r="P888" s="387"/>
      <c r="Q888" s="387"/>
      <c r="R888" s="387"/>
      <c r="S888" s="387"/>
      <c r="T888" s="391"/>
    </row>
    <row r="889" spans="1:20">
      <c r="A889" s="387" t="b">
        <f t="shared" ca="1" si="127"/>
        <v>0</v>
      </c>
      <c r="B889" s="387">
        <f t="shared" ca="1" si="134"/>
        <v>127</v>
      </c>
      <c r="C889" s="404" t="str">
        <f t="shared" ca="1" si="128"/>
        <v>a17Dm000001PuaFIAS</v>
      </c>
      <c r="D889" s="401"/>
      <c r="E889" s="387">
        <f t="shared" ca="1" si="135"/>
        <v>361</v>
      </c>
      <c r="F889" s="402">
        <f ca="1">IF(COUNTA(D$527:D889)=1,"",OFFSET(F887,-COUNTA(D$527:D889)+3,0))</f>
        <v>22</v>
      </c>
      <c r="G889" s="391" t="str">
        <f t="shared" ca="1" si="129"/>
        <v/>
      </c>
      <c r="H889" s="387">
        <f t="shared" ca="1" si="136"/>
        <v>9</v>
      </c>
      <c r="I889" s="389" t="str">
        <f t="shared" ca="1" si="130"/>
        <v/>
      </c>
      <c r="J889" s="392" t="str">
        <f t="shared" ca="1" si="131"/>
        <v/>
      </c>
      <c r="K889" s="392" t="str">
        <f t="shared" ca="1" si="132"/>
        <v/>
      </c>
      <c r="L889" s="391" t="str">
        <f t="shared" ca="1" si="133"/>
        <v/>
      </c>
      <c r="M889" s="401" t="str">
        <f ca="1">IFERROR(IF(COUNTIF($B$526:$B888,"&lt;0")=1,"",OFFSET($C887,-COUNTIF($B$526:$B888,"&lt;0")+3,0)),"")</f>
        <v>a17Dm000001PuaFIAS</v>
      </c>
      <c r="N889" s="401">
        <f ca="1">IFERROR(IF(AND(_xlfn.ISFORMULA(I889),NOT(_xlfn.ISFORMULA(I888))),1,OFFSET($F887,-COUNTIF($B$526:B888,"&lt;0")+3,0)),"")</f>
        <v>22</v>
      </c>
      <c r="O889" s="387">
        <f t="shared" ca="1" si="137"/>
        <v>0</v>
      </c>
      <c r="P889" s="387"/>
      <c r="Q889" s="387"/>
      <c r="R889" s="387"/>
      <c r="S889" s="387"/>
      <c r="T889" s="391"/>
    </row>
    <row r="890" spans="1:20">
      <c r="A890" s="387" t="b">
        <f t="shared" ca="1" si="127"/>
        <v>0</v>
      </c>
      <c r="B890" s="387">
        <f t="shared" ca="1" si="134"/>
        <v>128</v>
      </c>
      <c r="C890" s="404" t="str">
        <f t="shared" ca="1" si="128"/>
        <v>a17Dm000001PuajIAC</v>
      </c>
      <c r="D890" s="401"/>
      <c r="E890" s="387">
        <f t="shared" ca="1" si="135"/>
        <v>362</v>
      </c>
      <c r="F890" s="402">
        <f ca="1">IF(COUNTA(D$527:D890)=1,"",OFFSET(F888,-COUNTA(D$527:D890)+3,0))</f>
        <v>22</v>
      </c>
      <c r="G890" s="391" t="str">
        <f t="shared" ca="1" si="129"/>
        <v/>
      </c>
      <c r="H890" s="387">
        <f t="shared" ca="1" si="136"/>
        <v>9</v>
      </c>
      <c r="I890" s="389" t="str">
        <f t="shared" ca="1" si="130"/>
        <v/>
      </c>
      <c r="J890" s="392" t="str">
        <f t="shared" ca="1" si="131"/>
        <v/>
      </c>
      <c r="K890" s="392" t="str">
        <f t="shared" ca="1" si="132"/>
        <v/>
      </c>
      <c r="L890" s="391" t="str">
        <f t="shared" ca="1" si="133"/>
        <v/>
      </c>
      <c r="M890" s="401" t="str">
        <f ca="1">IFERROR(IF(COUNTIF($B$526:$B889,"&lt;0")=1,"",OFFSET($C888,-COUNTIF($B$526:$B889,"&lt;0")+3,0)),"")</f>
        <v>a17Dm000001PuajIAC</v>
      </c>
      <c r="N890" s="401">
        <f ca="1">IFERROR(IF(AND(_xlfn.ISFORMULA(I890),NOT(_xlfn.ISFORMULA(I889))),1,OFFSET($F888,-COUNTIF($B$526:B889,"&lt;0")+3,0)),"")</f>
        <v>22</v>
      </c>
      <c r="O890" s="387">
        <f t="shared" ca="1" si="137"/>
        <v>0</v>
      </c>
      <c r="P890" s="387"/>
      <c r="Q890" s="387"/>
      <c r="R890" s="387"/>
      <c r="S890" s="387"/>
      <c r="T890" s="391"/>
    </row>
    <row r="891" spans="1:20">
      <c r="A891" s="387" t="b">
        <f t="shared" ref="A891:A954" ca="1" si="138">IF(OR(I891&lt;&gt;"",J891&lt;&gt;"",K891&lt;&gt;"",L891&lt;&gt;""),TRUE,FALSE)</f>
        <v>0</v>
      </c>
      <c r="B891" s="387">
        <f t="shared" ca="1" si="134"/>
        <v>129</v>
      </c>
      <c r="C891" s="404" t="str">
        <f t="shared" ref="C891:C954" ca="1" si="139">M891</f>
        <v>a17Dm000001PubDIAS</v>
      </c>
      <c r="D891" s="401"/>
      <c r="E891" s="387">
        <f t="shared" ca="1" si="135"/>
        <v>363</v>
      </c>
      <c r="F891" s="402">
        <f ca="1">IF(COUNTA(D$527:D891)=1,"",OFFSET(F889,-COUNTA(D$527:D891)+3,0))</f>
        <v>22</v>
      </c>
      <c r="G891" s="391" t="str">
        <f t="shared" ref="G891:G954" ca="1" si="140">IFERROR(IF(INDIRECT("'Coverage Indicators - Section I'!G"&amp;$I366)="","",INDIRECT("'Coverage Indicators - Section I'!G"&amp;$I366)),"")</f>
        <v/>
      </c>
      <c r="H891" s="387">
        <f t="shared" ca="1" si="136"/>
        <v>9</v>
      </c>
      <c r="I891" s="389" t="str">
        <f t="shared" ref="I891:I954" ca="1" si="141">IFERROR(CHOOSE(E891,IFERROR(IF(INDIRECT("'Coverage Indicators - Section D'!O"&amp;H891)="","",INDIRECT("'Coverage Indicators - Section D'!O"&amp;H891)*100),""),IFERROR(IF(INDIRECT("'Coverage Indicators - Section D'!R"&amp;H891)="","",INDIRECT("'Coverage Indicators - Section D'!R"&amp;H891)*100),""),IFERROR(IF(INDIRECT("'Coverage Indicators - Section D'!U"&amp;H891)="","",INDIRECT("'Coverage Indicators - Section D'!U"&amp;H891)*100),""),IFERROR(IF(INDIRECT("'Coverage Indicators - Section D'!X"&amp;H891)="","",INDIRECT("'Coverage Indicators - Section D'!X"&amp;H891)*100),""),IFERROR(IF(INDIRECT("'Coverage Indicators - Section D'!AA"&amp;H891)="","",INDIRECT("'Coverage Indicators - Section D'!AA"&amp;H891)*100),""),IFERROR(IF(INDIRECT("'Coverage Indicators - Section D'!AD"&amp;H891)="","",INDIRECT("'Coverage Indicators - Section D'!AD"&amp;H891)*100),""),IFERROR(IF(INDIRECT("'Coverage Indicators - Section D'!AG"&amp;H891)="","",INDIRECT("'Coverage Indicators - Section D'!AG"&amp;H891)*100),""),IFERROR(IF(INDIRECT("'Coverage Indicators - Section D'!AJ"&amp;H891)="","",INDIRECT("'Coverage Indicators - Section D'!AJ"&amp;H891)*100),"")),"")</f>
        <v/>
      </c>
      <c r="J891" s="392" t="str">
        <f t="shared" ref="J891:J954" ca="1" si="142">IFERROR(CHOOSE(E891,IFERROR(IF(INDIRECT("'Coverage Indicators - Section D'!N"&amp;H891+1)="","",INDIRECT("'Coverage Indicators - Section D'!N"&amp;H891+1)),""),IFERROR(IF(INDIRECT("'Coverage Indicators - Section D'!Q"&amp;H891+1)="","",INDIRECT("'Coverage Indicators - Section D'!Q"&amp;H891+1)),""),IFERROR(IF(INDIRECT("'Coverage Indicators - Section D'!T"&amp;H891+1)="","",INDIRECT("'Coverage Indicators - Section D'!T"&amp;H891+1)),""),IFERROR(IF(INDIRECT("'Coverage Indicators - Section D'!W"&amp;H891+1)="","",INDIRECT("'Coverage Indicators - Section D'!W"&amp;H891+1)),""),IFERROR(IF(INDIRECT("'Coverage Indicators - Section D'!Z"&amp;H891+1)="","",INDIRECT("'Coverage Indicators - Section D'!Z"&amp;H891+1)),""),IFERROR(IF(INDIRECT("'Coverage Indicators - Section D'!AC"&amp;H891+1)="","",INDIRECT("'Coverage Indicators - Section D'!AC"&amp;H891+1)),""),IFERROR(IF(INDIRECT("'Coverage Indicators - Section D'!AF"&amp;H891+1)="","",INDIRECT("'Coverage Indicators - Section D'!AF"&amp;H891+1)),""),IFERROR(IF(INDIRECT("'Coverage Indicators - Section D'!AI"&amp;H891+1)="","",INDIRECT("'Coverage Indicators - Section D'!AI"&amp;H891+1)),"")),"")</f>
        <v/>
      </c>
      <c r="K891" s="392" t="str">
        <f t="shared" ref="K891:K954" ca="1" si="143">IFERROR(CHOOSE(E891,IFERROR(IF(INDIRECT("'Coverage Indicators - Section D'!N"&amp;H891)="","",INDIRECT("'Coverage Indicators - Section D'!N"&amp;H891)),""),IFERROR(IF(INDIRECT("'Coverage Indicators - Section D'!Q"&amp;H891)="","",INDIRECT("'Coverage Indicators - Section D'!Q"&amp;H891)),""),IFERROR(IF(INDIRECT("'Coverage Indicators - Section D'!T"&amp;H891)="","",INDIRECT("'Coverage Indicators - Section D'!T"&amp;H891)),""),IFERROR(IF(INDIRECT("'Coverage Indicators - Section D'!W"&amp;H891)="","",INDIRECT("'Coverage Indicators - Section D'!W"&amp;H891)),""),IFERROR(IF(INDIRECT("'Coverage Indicators - Section D'!Z"&amp;H891)="","",INDIRECT("'Coverage Indicators - Section D'!Z"&amp;H891)),""),IFERROR(IF(INDIRECT("'Coverage Indicators - Section D'!AC"&amp;H891)="","",INDIRECT("'Coverage Indicators - Section D'!AC"&amp;H891)),""),IFERROR(IF(INDIRECT("'Coverage Indicators - Section D'!AF"&amp;H891)="","",INDIRECT("'Coverage Indicators - Section D'!AF"&amp;H891)),""),IFERROR(IF(INDIRECT("'Coverage Indicators - Section D'!AI"&amp;H891)="","",INDIRECT("'Coverage Indicators - Section D'!AI"&amp;H891)),"")),"")</f>
        <v/>
      </c>
      <c r="L891" s="391" t="str">
        <f t="shared" ref="L891:L954" ca="1" si="144">IF(IFERROR(CHOOSE(E891,IFERROR(IF(INDIRECT("'Coverage Indicators - Section D'!P"&amp;H891)=0,"",INDIRECT("'Coverage Indicators - Section D'!P"&amp;H891)),""),IFERROR(IF(INDIRECT("'Coverage Indicators - Section D'!S"&amp;H891)=0,"",INDIRECT("'Coverage Indicators - Section D'!S"&amp;H891)),""),IFERROR(IF(INDIRECT("'Coverage Indicators - Section D'!V"&amp;H891)=0,"",INDIRECT("'Coverage Indicators - Section D'!V"&amp;H891)),""),IFERROR(IF(INDIRECT("'Coverage Indicators - Section D'!Y"&amp;H891)=0,"",INDIRECT("'Coverage Indicators - Section D'!Y"&amp;H891)),""),IFERROR(IF(INDIRECT("'Coverage Indicators - Section D'!AB"&amp;H891)=0,"",INDIRECT("'Coverage Indicators - Section D'!AB"&amp;H891)),""),IFERROR(IF(INDIRECT("'Coverage Indicators - Section D'!AE"&amp;H891)=0,"",INDIRECT("'Coverage Indicators - Section D'!AE"&amp;H891)),""),IFERROR(IF(INDIRECT("'Coverage Indicators - Section D'!AH"&amp;H891)=0,"",INDIRECT("'Coverage Indicators - Section D'!AH"&amp;H891)),""),IFERROR(IF(INDIRECT("'Coverage Indicators - Section D'!AK"&amp;H891)=0,"",INDIRECT("'Coverage Indicators - Section D'!AK"&amp;H891)),""),),"")=0,"",IFERROR(CHOOSE(E891,IFERROR(IF(INDIRECT("'Coverage Indicators - Section D'!P"&amp;H891)=0,"",INDIRECT("'Coverage Indicators - Section D'!P"&amp;H891)),""),IFERROR(IF(INDIRECT("'Coverage Indicators - Section D'!S"&amp;H891)=0,"",INDIRECT("'Coverage Indicators - Section D'!S"&amp;H891)),""),IFERROR(IF(INDIRECT("'Coverage Indicators - Section D'!V"&amp;H891)=0,"",INDIRECT("'Coverage Indicators - Section D'!V"&amp;H891)),""),IFERROR(IF(INDIRECT("'Coverage Indicators - Section D'!Y"&amp;H891)=0,"",INDIRECT("'Coverage Indicators - Section D'!Y"&amp;H891)),""),IFERROR(IF(INDIRECT("'Coverage Indicators - Section D'!AB"&amp;H891)=0,"",INDIRECT("'Coverage Indicators - Section D'!AB"&amp;H891)),""),IFERROR(IF(INDIRECT("'Coverage Indicators - Section D'!AE"&amp;H891)=0,"",INDIRECT("'Coverage Indicators - Section D'!AE"&amp;H891)),""),IFERROR(IF(INDIRECT("'Coverage Indicators - Section D'!AH"&amp;H891)=0,"",INDIRECT("'Coverage Indicators - Section D'!AH"&amp;H891)),""),IFERROR(IF(INDIRECT("'Coverage Indicators - Section D'!AK"&amp;H891)=0,"",INDIRECT("'Coverage Indicators - Section D'!AK"&amp;H891)),""),),""))</f>
        <v/>
      </c>
      <c r="M891" s="401" t="str">
        <f ca="1">IFERROR(IF(COUNTIF($B$526:$B890,"&lt;0")=1,"",OFFSET($C889,-COUNTIF($B$526:$B890,"&lt;0")+3,0)),"")</f>
        <v>a17Dm000001PubDIAS</v>
      </c>
      <c r="N891" s="401">
        <f ca="1">IFERROR(IF(AND(_xlfn.ISFORMULA(I891),NOT(_xlfn.ISFORMULA(I890))),1,OFFSET($F889,-COUNTIF($B$526:B890,"&lt;0")+3,0)),"")</f>
        <v>22</v>
      </c>
      <c r="O891" s="387">
        <f t="shared" ca="1" si="137"/>
        <v>0</v>
      </c>
      <c r="P891" s="387"/>
      <c r="Q891" s="387"/>
      <c r="R891" s="387"/>
      <c r="S891" s="387"/>
      <c r="T891" s="391"/>
    </row>
    <row r="892" spans="1:20">
      <c r="A892" s="387" t="b">
        <f t="shared" ca="1" si="138"/>
        <v>0</v>
      </c>
      <c r="B892" s="387">
        <f t="shared" ca="1" si="134"/>
        <v>130</v>
      </c>
      <c r="C892" s="404" t="str">
        <f t="shared" ca="1" si="139"/>
        <v>a17Dm000001PubhIAC</v>
      </c>
      <c r="D892" s="401"/>
      <c r="E892" s="387">
        <f t="shared" ca="1" si="135"/>
        <v>364</v>
      </c>
      <c r="F892" s="402">
        <f ca="1">IF(COUNTA(D$527:D892)=1,"",OFFSET(F890,-COUNTA(D$527:D892)+3,0))</f>
        <v>22</v>
      </c>
      <c r="G892" s="391" t="str">
        <f t="shared" ca="1" si="140"/>
        <v/>
      </c>
      <c r="H892" s="387">
        <f t="shared" ca="1" si="136"/>
        <v>9</v>
      </c>
      <c r="I892" s="389" t="str">
        <f t="shared" ca="1" si="141"/>
        <v/>
      </c>
      <c r="J892" s="392" t="str">
        <f t="shared" ca="1" si="142"/>
        <v/>
      </c>
      <c r="K892" s="392" t="str">
        <f t="shared" ca="1" si="143"/>
        <v/>
      </c>
      <c r="L892" s="391" t="str">
        <f t="shared" ca="1" si="144"/>
        <v/>
      </c>
      <c r="M892" s="401" t="str">
        <f ca="1">IFERROR(IF(COUNTIF($B$526:$B891,"&lt;0")=1,"",OFFSET($C890,-COUNTIF($B$526:$B891,"&lt;0")+3,0)),"")</f>
        <v>a17Dm000001PubhIAC</v>
      </c>
      <c r="N892" s="401">
        <f ca="1">IFERROR(IF(AND(_xlfn.ISFORMULA(I892),NOT(_xlfn.ISFORMULA(I891))),1,OFFSET($F890,-COUNTIF($B$526:B891,"&lt;0")+3,0)),"")</f>
        <v>22</v>
      </c>
      <c r="O892" s="387">
        <f t="shared" ca="1" si="137"/>
        <v>0</v>
      </c>
      <c r="P892" s="387"/>
      <c r="Q892" s="387"/>
      <c r="R892" s="387"/>
      <c r="S892" s="387"/>
      <c r="T892" s="391"/>
    </row>
    <row r="893" spans="1:20">
      <c r="A893" s="387" t="b">
        <f t="shared" ca="1" si="138"/>
        <v>0</v>
      </c>
      <c r="B893" s="387">
        <f t="shared" ca="1" si="134"/>
        <v>131</v>
      </c>
      <c r="C893" s="404" t="str">
        <f t="shared" ca="1" si="139"/>
        <v>a17Dm000001PucBIAS</v>
      </c>
      <c r="D893" s="401"/>
      <c r="E893" s="387">
        <f t="shared" ca="1" si="135"/>
        <v>365</v>
      </c>
      <c r="F893" s="402">
        <f ca="1">IF(COUNTA(D$527:D893)=1,"",OFFSET(F891,-COUNTA(D$527:D893)+3,0))</f>
        <v>22</v>
      </c>
      <c r="G893" s="391" t="str">
        <f t="shared" ca="1" si="140"/>
        <v/>
      </c>
      <c r="H893" s="387">
        <f t="shared" ca="1" si="136"/>
        <v>9</v>
      </c>
      <c r="I893" s="389" t="str">
        <f t="shared" ca="1" si="141"/>
        <v/>
      </c>
      <c r="J893" s="392" t="str">
        <f t="shared" ca="1" si="142"/>
        <v/>
      </c>
      <c r="K893" s="392" t="str">
        <f t="shared" ca="1" si="143"/>
        <v/>
      </c>
      <c r="L893" s="391" t="str">
        <f t="shared" ca="1" si="144"/>
        <v/>
      </c>
      <c r="M893" s="401" t="str">
        <f ca="1">IFERROR(IF(COUNTIF($B$526:$B892,"&lt;0")=1,"",OFFSET($C891,-COUNTIF($B$526:$B892,"&lt;0")+3,0)),"")</f>
        <v>a17Dm000001PucBIAS</v>
      </c>
      <c r="N893" s="401">
        <f ca="1">IFERROR(IF(AND(_xlfn.ISFORMULA(I893),NOT(_xlfn.ISFORMULA(I892))),1,OFFSET($F891,-COUNTIF($B$526:B892,"&lt;0")+3,0)),"")</f>
        <v>22</v>
      </c>
      <c r="O893" s="387">
        <f t="shared" ca="1" si="137"/>
        <v>0</v>
      </c>
      <c r="P893" s="387"/>
      <c r="Q893" s="387"/>
      <c r="R893" s="387"/>
      <c r="S893" s="387"/>
      <c r="T893" s="391"/>
    </row>
    <row r="894" spans="1:20">
      <c r="A894" s="387" t="b">
        <f t="shared" ca="1" si="138"/>
        <v>0</v>
      </c>
      <c r="B894" s="387">
        <f t="shared" ca="1" si="134"/>
        <v>132</v>
      </c>
      <c r="C894" s="404" t="str">
        <f t="shared" ca="1" si="139"/>
        <v>a17Dm000001PucfIAC</v>
      </c>
      <c r="D894" s="401"/>
      <c r="E894" s="387">
        <f t="shared" ca="1" si="135"/>
        <v>366</v>
      </c>
      <c r="F894" s="402">
        <f ca="1">IF(COUNTA(D$527:D894)=1,"",OFFSET(F892,-COUNTA(D$527:D894)+3,0))</f>
        <v>22</v>
      </c>
      <c r="G894" s="391" t="str">
        <f t="shared" ca="1" si="140"/>
        <v/>
      </c>
      <c r="H894" s="387">
        <f t="shared" ca="1" si="136"/>
        <v>9</v>
      </c>
      <c r="I894" s="389" t="str">
        <f t="shared" ca="1" si="141"/>
        <v/>
      </c>
      <c r="J894" s="392" t="str">
        <f t="shared" ca="1" si="142"/>
        <v/>
      </c>
      <c r="K894" s="392" t="str">
        <f t="shared" ca="1" si="143"/>
        <v/>
      </c>
      <c r="L894" s="391" t="str">
        <f t="shared" ca="1" si="144"/>
        <v/>
      </c>
      <c r="M894" s="401" t="str">
        <f ca="1">IFERROR(IF(COUNTIF($B$526:$B893,"&lt;0")=1,"",OFFSET($C892,-COUNTIF($B$526:$B893,"&lt;0")+3,0)),"")</f>
        <v>a17Dm000001PucfIAC</v>
      </c>
      <c r="N894" s="401">
        <f ca="1">IFERROR(IF(AND(_xlfn.ISFORMULA(I894),NOT(_xlfn.ISFORMULA(I893))),1,OFFSET($F892,-COUNTIF($B$526:B893,"&lt;0")+3,0)),"")</f>
        <v>22</v>
      </c>
      <c r="O894" s="387">
        <f t="shared" ca="1" si="137"/>
        <v>0</v>
      </c>
      <c r="P894" s="387"/>
      <c r="Q894" s="387"/>
      <c r="R894" s="387"/>
      <c r="S894" s="387"/>
      <c r="T894" s="391"/>
    </row>
    <row r="895" spans="1:20">
      <c r="A895" s="387" t="b">
        <f t="shared" ca="1" si="138"/>
        <v>0</v>
      </c>
      <c r="B895" s="387">
        <f t="shared" ca="1" si="134"/>
        <v>133</v>
      </c>
      <c r="C895" s="404" t="str">
        <f t="shared" ca="1" si="139"/>
        <v>a17Dm000001PuaGIAS</v>
      </c>
      <c r="D895" s="401"/>
      <c r="E895" s="387">
        <f t="shared" ca="1" si="135"/>
        <v>367</v>
      </c>
      <c r="F895" s="402">
        <f ca="1">IF(COUNTA(D$527:D895)=1,"",OFFSET(F893,-COUNTA(D$527:D895)+3,0))</f>
        <v>23</v>
      </c>
      <c r="G895" s="391" t="str">
        <f t="shared" ca="1" si="140"/>
        <v/>
      </c>
      <c r="H895" s="387">
        <f t="shared" ca="1" si="136"/>
        <v>9</v>
      </c>
      <c r="I895" s="389" t="str">
        <f t="shared" ca="1" si="141"/>
        <v/>
      </c>
      <c r="J895" s="392" t="str">
        <f t="shared" ca="1" si="142"/>
        <v/>
      </c>
      <c r="K895" s="392" t="str">
        <f t="shared" ca="1" si="143"/>
        <v/>
      </c>
      <c r="L895" s="391" t="str">
        <f t="shared" ca="1" si="144"/>
        <v/>
      </c>
      <c r="M895" s="401" t="str">
        <f ca="1">IFERROR(IF(COUNTIF($B$526:$B894,"&lt;0")=1,"",OFFSET($C893,-COUNTIF($B$526:$B894,"&lt;0")+3,0)),"")</f>
        <v>a17Dm000001PuaGIAS</v>
      </c>
      <c r="N895" s="401">
        <f ca="1">IFERROR(IF(AND(_xlfn.ISFORMULA(I895),NOT(_xlfn.ISFORMULA(I894))),1,OFFSET($F893,-COUNTIF($B$526:B894,"&lt;0")+3,0)),"")</f>
        <v>23</v>
      </c>
      <c r="O895" s="387">
        <f t="shared" ca="1" si="137"/>
        <v>0</v>
      </c>
      <c r="P895" s="387"/>
      <c r="Q895" s="387"/>
      <c r="R895" s="387"/>
      <c r="S895" s="387"/>
      <c r="T895" s="391"/>
    </row>
    <row r="896" spans="1:20">
      <c r="A896" s="387" t="b">
        <f t="shared" ca="1" si="138"/>
        <v>0</v>
      </c>
      <c r="B896" s="387">
        <f t="shared" ca="1" si="134"/>
        <v>134</v>
      </c>
      <c r="C896" s="404" t="str">
        <f t="shared" ca="1" si="139"/>
        <v>a17Dm000001PuakIAC</v>
      </c>
      <c r="D896" s="401"/>
      <c r="E896" s="387">
        <f t="shared" ca="1" si="135"/>
        <v>368</v>
      </c>
      <c r="F896" s="402">
        <f ca="1">IF(COUNTA(D$527:D896)=1,"",OFFSET(F894,-COUNTA(D$527:D896)+3,0))</f>
        <v>23</v>
      </c>
      <c r="G896" s="391" t="str">
        <f t="shared" ca="1" si="140"/>
        <v/>
      </c>
      <c r="H896" s="387">
        <f t="shared" ca="1" si="136"/>
        <v>9</v>
      </c>
      <c r="I896" s="389" t="str">
        <f t="shared" ca="1" si="141"/>
        <v/>
      </c>
      <c r="J896" s="392" t="str">
        <f t="shared" ca="1" si="142"/>
        <v/>
      </c>
      <c r="K896" s="392" t="str">
        <f t="shared" ca="1" si="143"/>
        <v/>
      </c>
      <c r="L896" s="391" t="str">
        <f t="shared" ca="1" si="144"/>
        <v/>
      </c>
      <c r="M896" s="401" t="str">
        <f ca="1">IFERROR(IF(COUNTIF($B$526:$B895,"&lt;0")=1,"",OFFSET($C894,-COUNTIF($B$526:$B895,"&lt;0")+3,0)),"")</f>
        <v>a17Dm000001PuakIAC</v>
      </c>
      <c r="N896" s="401">
        <f ca="1">IFERROR(IF(AND(_xlfn.ISFORMULA(I896),NOT(_xlfn.ISFORMULA(I895))),1,OFFSET($F894,-COUNTIF($B$526:B895,"&lt;0")+3,0)),"")</f>
        <v>23</v>
      </c>
      <c r="O896" s="387">
        <f t="shared" ca="1" si="137"/>
        <v>0</v>
      </c>
      <c r="P896" s="387"/>
      <c r="Q896" s="387"/>
      <c r="R896" s="387"/>
      <c r="S896" s="387"/>
      <c r="T896" s="391"/>
    </row>
    <row r="897" spans="1:20">
      <c r="A897" s="387" t="b">
        <f t="shared" ca="1" si="138"/>
        <v>0</v>
      </c>
      <c r="B897" s="387">
        <f t="shared" ca="1" si="134"/>
        <v>135</v>
      </c>
      <c r="C897" s="404" t="str">
        <f t="shared" ca="1" si="139"/>
        <v>a17Dm000001PubEIAS</v>
      </c>
      <c r="D897" s="401"/>
      <c r="E897" s="387">
        <f t="shared" ca="1" si="135"/>
        <v>369</v>
      </c>
      <c r="F897" s="402">
        <f ca="1">IF(COUNTA(D$527:D897)=1,"",OFFSET(F895,-COUNTA(D$527:D897)+3,0))</f>
        <v>23</v>
      </c>
      <c r="G897" s="391" t="str">
        <f t="shared" ca="1" si="140"/>
        <v/>
      </c>
      <c r="H897" s="387">
        <f t="shared" ca="1" si="136"/>
        <v>9</v>
      </c>
      <c r="I897" s="389" t="str">
        <f t="shared" ca="1" si="141"/>
        <v/>
      </c>
      <c r="J897" s="392" t="str">
        <f t="shared" ca="1" si="142"/>
        <v/>
      </c>
      <c r="K897" s="392" t="str">
        <f t="shared" ca="1" si="143"/>
        <v/>
      </c>
      <c r="L897" s="391" t="str">
        <f t="shared" ca="1" si="144"/>
        <v/>
      </c>
      <c r="M897" s="401" t="str">
        <f ca="1">IFERROR(IF(COUNTIF($B$526:$B896,"&lt;0")=1,"",OFFSET($C895,-COUNTIF($B$526:$B896,"&lt;0")+3,0)),"")</f>
        <v>a17Dm000001PubEIAS</v>
      </c>
      <c r="N897" s="401">
        <f ca="1">IFERROR(IF(AND(_xlfn.ISFORMULA(I897),NOT(_xlfn.ISFORMULA(I896))),1,OFFSET($F895,-COUNTIF($B$526:B896,"&lt;0")+3,0)),"")</f>
        <v>23</v>
      </c>
      <c r="O897" s="387">
        <f t="shared" ca="1" si="137"/>
        <v>0</v>
      </c>
      <c r="P897" s="387"/>
      <c r="Q897" s="387"/>
      <c r="R897" s="387"/>
      <c r="S897" s="387"/>
      <c r="T897" s="391"/>
    </row>
    <row r="898" spans="1:20">
      <c r="A898" s="387" t="b">
        <f t="shared" ca="1" si="138"/>
        <v>0</v>
      </c>
      <c r="B898" s="387">
        <f t="shared" ca="1" si="134"/>
        <v>136</v>
      </c>
      <c r="C898" s="404" t="str">
        <f t="shared" ca="1" si="139"/>
        <v>a17Dm000001PubiIAC</v>
      </c>
      <c r="D898" s="401"/>
      <c r="E898" s="387">
        <f t="shared" ca="1" si="135"/>
        <v>370</v>
      </c>
      <c r="F898" s="402">
        <f ca="1">IF(COUNTA(D$527:D898)=1,"",OFFSET(F896,-COUNTA(D$527:D898)+3,0))</f>
        <v>23</v>
      </c>
      <c r="G898" s="391" t="str">
        <f t="shared" ca="1" si="140"/>
        <v/>
      </c>
      <c r="H898" s="387">
        <f t="shared" ca="1" si="136"/>
        <v>9</v>
      </c>
      <c r="I898" s="389" t="str">
        <f t="shared" ca="1" si="141"/>
        <v/>
      </c>
      <c r="J898" s="392" t="str">
        <f t="shared" ca="1" si="142"/>
        <v/>
      </c>
      <c r="K898" s="392" t="str">
        <f t="shared" ca="1" si="143"/>
        <v/>
      </c>
      <c r="L898" s="391" t="str">
        <f t="shared" ca="1" si="144"/>
        <v/>
      </c>
      <c r="M898" s="401" t="str">
        <f ca="1">IFERROR(IF(COUNTIF($B$526:$B897,"&lt;0")=1,"",OFFSET($C896,-COUNTIF($B$526:$B897,"&lt;0")+3,0)),"")</f>
        <v>a17Dm000001PubiIAC</v>
      </c>
      <c r="N898" s="401">
        <f ca="1">IFERROR(IF(AND(_xlfn.ISFORMULA(I898),NOT(_xlfn.ISFORMULA(I897))),1,OFFSET($F896,-COUNTIF($B$526:B897,"&lt;0")+3,0)),"")</f>
        <v>23</v>
      </c>
      <c r="O898" s="387">
        <f t="shared" ca="1" si="137"/>
        <v>0</v>
      </c>
      <c r="P898" s="387"/>
      <c r="Q898" s="387"/>
      <c r="R898" s="387"/>
      <c r="S898" s="387"/>
      <c r="T898" s="391"/>
    </row>
    <row r="899" spans="1:20">
      <c r="A899" s="387" t="b">
        <f t="shared" ca="1" si="138"/>
        <v>0</v>
      </c>
      <c r="B899" s="387">
        <f t="shared" ca="1" si="134"/>
        <v>137</v>
      </c>
      <c r="C899" s="404" t="str">
        <f t="shared" ca="1" si="139"/>
        <v>a17Dm000001PucCIAS</v>
      </c>
      <c r="D899" s="401"/>
      <c r="E899" s="387">
        <f t="shared" ca="1" si="135"/>
        <v>371</v>
      </c>
      <c r="F899" s="402">
        <f ca="1">IF(COUNTA(D$527:D899)=1,"",OFFSET(F897,-COUNTA(D$527:D899)+3,0))</f>
        <v>23</v>
      </c>
      <c r="G899" s="391" t="str">
        <f t="shared" ca="1" si="140"/>
        <v/>
      </c>
      <c r="H899" s="387">
        <f t="shared" ca="1" si="136"/>
        <v>9</v>
      </c>
      <c r="I899" s="389" t="str">
        <f t="shared" ca="1" si="141"/>
        <v/>
      </c>
      <c r="J899" s="392" t="str">
        <f t="shared" ca="1" si="142"/>
        <v/>
      </c>
      <c r="K899" s="392" t="str">
        <f t="shared" ca="1" si="143"/>
        <v/>
      </c>
      <c r="L899" s="391" t="str">
        <f t="shared" ca="1" si="144"/>
        <v/>
      </c>
      <c r="M899" s="401" t="str">
        <f ca="1">IFERROR(IF(COUNTIF($B$526:$B898,"&lt;0")=1,"",OFFSET($C897,-COUNTIF($B$526:$B898,"&lt;0")+3,0)),"")</f>
        <v>a17Dm000001PucCIAS</v>
      </c>
      <c r="N899" s="401">
        <f ca="1">IFERROR(IF(AND(_xlfn.ISFORMULA(I899),NOT(_xlfn.ISFORMULA(I898))),1,OFFSET($F897,-COUNTIF($B$526:B898,"&lt;0")+3,0)),"")</f>
        <v>23</v>
      </c>
      <c r="O899" s="387">
        <f t="shared" ca="1" si="137"/>
        <v>0</v>
      </c>
      <c r="P899" s="387"/>
      <c r="Q899" s="387"/>
      <c r="R899" s="387"/>
      <c r="S899" s="387"/>
      <c r="T899" s="391"/>
    </row>
    <row r="900" spans="1:20">
      <c r="A900" s="387" t="b">
        <f t="shared" ca="1" si="138"/>
        <v>0</v>
      </c>
      <c r="B900" s="387">
        <f t="shared" ca="1" si="134"/>
        <v>138</v>
      </c>
      <c r="C900" s="404" t="str">
        <f t="shared" ca="1" si="139"/>
        <v>a17Dm000001PucgIAC</v>
      </c>
      <c r="D900" s="401"/>
      <c r="E900" s="387">
        <f t="shared" ca="1" si="135"/>
        <v>372</v>
      </c>
      <c r="F900" s="402">
        <f ca="1">IF(COUNTA(D$527:D900)=1,"",OFFSET(F898,-COUNTA(D$527:D900)+3,0))</f>
        <v>23</v>
      </c>
      <c r="G900" s="391" t="str">
        <f t="shared" ca="1" si="140"/>
        <v/>
      </c>
      <c r="H900" s="387">
        <f t="shared" ca="1" si="136"/>
        <v>9</v>
      </c>
      <c r="I900" s="389" t="str">
        <f t="shared" ca="1" si="141"/>
        <v/>
      </c>
      <c r="J900" s="392" t="str">
        <f t="shared" ca="1" si="142"/>
        <v/>
      </c>
      <c r="K900" s="392" t="str">
        <f t="shared" ca="1" si="143"/>
        <v/>
      </c>
      <c r="L900" s="391" t="str">
        <f t="shared" ca="1" si="144"/>
        <v/>
      </c>
      <c r="M900" s="401" t="str">
        <f ca="1">IFERROR(IF(COUNTIF($B$526:$B899,"&lt;0")=1,"",OFFSET($C898,-COUNTIF($B$526:$B899,"&lt;0")+3,0)),"")</f>
        <v>a17Dm000001PucgIAC</v>
      </c>
      <c r="N900" s="401">
        <f ca="1">IFERROR(IF(AND(_xlfn.ISFORMULA(I900),NOT(_xlfn.ISFORMULA(I899))),1,OFFSET($F898,-COUNTIF($B$526:B899,"&lt;0")+3,0)),"")</f>
        <v>23</v>
      </c>
      <c r="O900" s="387">
        <f t="shared" ca="1" si="137"/>
        <v>0</v>
      </c>
      <c r="P900" s="387"/>
      <c r="Q900" s="387"/>
      <c r="R900" s="387"/>
      <c r="S900" s="387"/>
      <c r="T900" s="391"/>
    </row>
    <row r="901" spans="1:20">
      <c r="A901" s="387" t="b">
        <f t="shared" ca="1" si="138"/>
        <v>0</v>
      </c>
      <c r="B901" s="387">
        <f t="shared" ca="1" si="134"/>
        <v>139</v>
      </c>
      <c r="C901" s="404" t="str">
        <f t="shared" ca="1" si="139"/>
        <v>a17Dm000001PuaHIAS</v>
      </c>
      <c r="D901" s="401"/>
      <c r="E901" s="387">
        <f t="shared" ca="1" si="135"/>
        <v>373</v>
      </c>
      <c r="F901" s="402">
        <f ca="1">IF(COUNTA(D$527:D901)=1,"",OFFSET(F899,-COUNTA(D$527:D901)+3,0))</f>
        <v>24</v>
      </c>
      <c r="G901" s="391" t="str">
        <f t="shared" ca="1" si="140"/>
        <v/>
      </c>
      <c r="H901" s="387">
        <f t="shared" ca="1" si="136"/>
        <v>9</v>
      </c>
      <c r="I901" s="389" t="str">
        <f t="shared" ca="1" si="141"/>
        <v/>
      </c>
      <c r="J901" s="392" t="str">
        <f t="shared" ca="1" si="142"/>
        <v/>
      </c>
      <c r="K901" s="392" t="str">
        <f t="shared" ca="1" si="143"/>
        <v/>
      </c>
      <c r="L901" s="391" t="str">
        <f t="shared" ca="1" si="144"/>
        <v/>
      </c>
      <c r="M901" s="401" t="str">
        <f ca="1">IFERROR(IF(COUNTIF($B$526:$B900,"&lt;0")=1,"",OFFSET($C899,-COUNTIF($B$526:$B900,"&lt;0")+3,0)),"")</f>
        <v>a17Dm000001PuaHIAS</v>
      </c>
      <c r="N901" s="401">
        <f ca="1">IFERROR(IF(AND(_xlfn.ISFORMULA(I901),NOT(_xlfn.ISFORMULA(I900))),1,OFFSET($F899,-COUNTIF($B$526:B900,"&lt;0")+3,0)),"")</f>
        <v>24</v>
      </c>
      <c r="O901" s="387">
        <f t="shared" ca="1" si="137"/>
        <v>0</v>
      </c>
      <c r="P901" s="387"/>
      <c r="Q901" s="387"/>
      <c r="R901" s="387"/>
      <c r="S901" s="387"/>
      <c r="T901" s="391"/>
    </row>
    <row r="902" spans="1:20">
      <c r="A902" s="387" t="b">
        <f t="shared" ca="1" si="138"/>
        <v>0</v>
      </c>
      <c r="B902" s="387">
        <f t="shared" ca="1" si="134"/>
        <v>140</v>
      </c>
      <c r="C902" s="404" t="str">
        <f t="shared" ca="1" si="139"/>
        <v>a17Dm000001PualIAC</v>
      </c>
      <c r="D902" s="401"/>
      <c r="E902" s="387">
        <f t="shared" ca="1" si="135"/>
        <v>374</v>
      </c>
      <c r="F902" s="402">
        <f ca="1">IF(COUNTA(D$527:D902)=1,"",OFFSET(F900,-COUNTA(D$527:D902)+3,0))</f>
        <v>24</v>
      </c>
      <c r="G902" s="391" t="str">
        <f t="shared" ca="1" si="140"/>
        <v/>
      </c>
      <c r="H902" s="387">
        <f t="shared" ca="1" si="136"/>
        <v>9</v>
      </c>
      <c r="I902" s="389" t="str">
        <f t="shared" ca="1" si="141"/>
        <v/>
      </c>
      <c r="J902" s="392" t="str">
        <f t="shared" ca="1" si="142"/>
        <v/>
      </c>
      <c r="K902" s="392" t="str">
        <f t="shared" ca="1" si="143"/>
        <v/>
      </c>
      <c r="L902" s="391" t="str">
        <f t="shared" ca="1" si="144"/>
        <v/>
      </c>
      <c r="M902" s="401" t="str">
        <f ca="1">IFERROR(IF(COUNTIF($B$526:$B901,"&lt;0")=1,"",OFFSET($C900,-COUNTIF($B$526:$B901,"&lt;0")+3,0)),"")</f>
        <v>a17Dm000001PualIAC</v>
      </c>
      <c r="N902" s="401">
        <f ca="1">IFERROR(IF(AND(_xlfn.ISFORMULA(I902),NOT(_xlfn.ISFORMULA(I901))),1,OFFSET($F900,-COUNTIF($B$526:B901,"&lt;0")+3,0)),"")</f>
        <v>24</v>
      </c>
      <c r="O902" s="387">
        <f t="shared" ca="1" si="137"/>
        <v>0</v>
      </c>
      <c r="P902" s="387"/>
      <c r="Q902" s="387"/>
      <c r="R902" s="387"/>
      <c r="S902" s="387"/>
      <c r="T902" s="391"/>
    </row>
    <row r="903" spans="1:20">
      <c r="A903" s="387" t="b">
        <f t="shared" ca="1" si="138"/>
        <v>0</v>
      </c>
      <c r="B903" s="387">
        <f t="shared" ca="1" si="134"/>
        <v>141</v>
      </c>
      <c r="C903" s="404" t="str">
        <f t="shared" ca="1" si="139"/>
        <v>a17Dm000001PubFIAS</v>
      </c>
      <c r="D903" s="401"/>
      <c r="E903" s="387">
        <f t="shared" ca="1" si="135"/>
        <v>375</v>
      </c>
      <c r="F903" s="402">
        <f ca="1">IF(COUNTA(D$527:D903)=1,"",OFFSET(F901,-COUNTA(D$527:D903)+3,0))</f>
        <v>24</v>
      </c>
      <c r="G903" s="391" t="str">
        <f t="shared" ca="1" si="140"/>
        <v/>
      </c>
      <c r="H903" s="387">
        <f t="shared" ca="1" si="136"/>
        <v>9</v>
      </c>
      <c r="I903" s="389" t="str">
        <f t="shared" ca="1" si="141"/>
        <v/>
      </c>
      <c r="J903" s="392" t="str">
        <f t="shared" ca="1" si="142"/>
        <v/>
      </c>
      <c r="K903" s="392" t="str">
        <f t="shared" ca="1" si="143"/>
        <v/>
      </c>
      <c r="L903" s="391" t="str">
        <f t="shared" ca="1" si="144"/>
        <v/>
      </c>
      <c r="M903" s="401" t="str">
        <f ca="1">IFERROR(IF(COUNTIF($B$526:$B902,"&lt;0")=1,"",OFFSET($C901,-COUNTIF($B$526:$B902,"&lt;0")+3,0)),"")</f>
        <v>a17Dm000001PubFIAS</v>
      </c>
      <c r="N903" s="401">
        <f ca="1">IFERROR(IF(AND(_xlfn.ISFORMULA(I903),NOT(_xlfn.ISFORMULA(I902))),1,OFFSET($F901,-COUNTIF($B$526:B902,"&lt;0")+3,0)),"")</f>
        <v>24</v>
      </c>
      <c r="O903" s="387">
        <f t="shared" ca="1" si="137"/>
        <v>0</v>
      </c>
      <c r="P903" s="387"/>
      <c r="Q903" s="387"/>
      <c r="R903" s="387"/>
      <c r="S903" s="387"/>
      <c r="T903" s="391"/>
    </row>
    <row r="904" spans="1:20">
      <c r="A904" s="387" t="b">
        <f t="shared" ca="1" si="138"/>
        <v>0</v>
      </c>
      <c r="B904" s="387">
        <f t="shared" ca="1" si="134"/>
        <v>142</v>
      </c>
      <c r="C904" s="404" t="str">
        <f t="shared" ca="1" si="139"/>
        <v>a17Dm000001PubjIAC</v>
      </c>
      <c r="D904" s="401"/>
      <c r="E904" s="387">
        <f t="shared" ca="1" si="135"/>
        <v>376</v>
      </c>
      <c r="F904" s="402">
        <f ca="1">IF(COUNTA(D$527:D904)=1,"",OFFSET(F902,-COUNTA(D$527:D904)+3,0))</f>
        <v>24</v>
      </c>
      <c r="G904" s="391" t="str">
        <f t="shared" ca="1" si="140"/>
        <v/>
      </c>
      <c r="H904" s="387">
        <f t="shared" ca="1" si="136"/>
        <v>9</v>
      </c>
      <c r="I904" s="389" t="str">
        <f t="shared" ca="1" si="141"/>
        <v/>
      </c>
      <c r="J904" s="392" t="str">
        <f t="shared" ca="1" si="142"/>
        <v/>
      </c>
      <c r="K904" s="392" t="str">
        <f t="shared" ca="1" si="143"/>
        <v/>
      </c>
      <c r="L904" s="391" t="str">
        <f t="shared" ca="1" si="144"/>
        <v/>
      </c>
      <c r="M904" s="401" t="str">
        <f ca="1">IFERROR(IF(COUNTIF($B$526:$B903,"&lt;0")=1,"",OFFSET($C902,-COUNTIF($B$526:$B903,"&lt;0")+3,0)),"")</f>
        <v>a17Dm000001PubjIAC</v>
      </c>
      <c r="N904" s="401">
        <f ca="1">IFERROR(IF(AND(_xlfn.ISFORMULA(I904),NOT(_xlfn.ISFORMULA(I903))),1,OFFSET($F902,-COUNTIF($B$526:B903,"&lt;0")+3,0)),"")</f>
        <v>24</v>
      </c>
      <c r="O904" s="387">
        <f t="shared" ca="1" si="137"/>
        <v>0</v>
      </c>
      <c r="P904" s="387"/>
      <c r="Q904" s="387"/>
      <c r="R904" s="387"/>
      <c r="S904" s="387"/>
      <c r="T904" s="391"/>
    </row>
    <row r="905" spans="1:20">
      <c r="A905" s="387" t="b">
        <f t="shared" ca="1" si="138"/>
        <v>0</v>
      </c>
      <c r="B905" s="387">
        <f t="shared" ca="1" si="134"/>
        <v>143</v>
      </c>
      <c r="C905" s="404" t="str">
        <f t="shared" ca="1" si="139"/>
        <v>a17Dm000001PucDIAS</v>
      </c>
      <c r="D905" s="401"/>
      <c r="E905" s="387">
        <f t="shared" ca="1" si="135"/>
        <v>377</v>
      </c>
      <c r="F905" s="402">
        <f ca="1">IF(COUNTA(D$527:D905)=1,"",OFFSET(F903,-COUNTA(D$527:D905)+3,0))</f>
        <v>24</v>
      </c>
      <c r="G905" s="391" t="str">
        <f t="shared" ca="1" si="140"/>
        <v/>
      </c>
      <c r="H905" s="387">
        <f t="shared" ca="1" si="136"/>
        <v>9</v>
      </c>
      <c r="I905" s="389" t="str">
        <f t="shared" ca="1" si="141"/>
        <v/>
      </c>
      <c r="J905" s="392" t="str">
        <f t="shared" ca="1" si="142"/>
        <v/>
      </c>
      <c r="K905" s="392" t="str">
        <f t="shared" ca="1" si="143"/>
        <v/>
      </c>
      <c r="L905" s="391" t="str">
        <f t="shared" ca="1" si="144"/>
        <v/>
      </c>
      <c r="M905" s="401" t="str">
        <f ca="1">IFERROR(IF(COUNTIF($B$526:$B904,"&lt;0")=1,"",OFFSET($C903,-COUNTIF($B$526:$B904,"&lt;0")+3,0)),"")</f>
        <v>a17Dm000001PucDIAS</v>
      </c>
      <c r="N905" s="401">
        <f ca="1">IFERROR(IF(AND(_xlfn.ISFORMULA(I905),NOT(_xlfn.ISFORMULA(I904))),1,OFFSET($F903,-COUNTIF($B$526:B904,"&lt;0")+3,0)),"")</f>
        <v>24</v>
      </c>
      <c r="O905" s="387">
        <f t="shared" ca="1" si="137"/>
        <v>0</v>
      </c>
      <c r="P905" s="387"/>
      <c r="Q905" s="387"/>
      <c r="R905" s="387"/>
      <c r="S905" s="387"/>
      <c r="T905" s="391"/>
    </row>
    <row r="906" spans="1:20">
      <c r="A906" s="387" t="b">
        <f t="shared" ca="1" si="138"/>
        <v>0</v>
      </c>
      <c r="B906" s="387">
        <f t="shared" ca="1" si="134"/>
        <v>144</v>
      </c>
      <c r="C906" s="404" t="str">
        <f t="shared" ca="1" si="139"/>
        <v>a17Dm000001PuchIAC</v>
      </c>
      <c r="D906" s="401"/>
      <c r="E906" s="387">
        <f t="shared" ca="1" si="135"/>
        <v>378</v>
      </c>
      <c r="F906" s="402">
        <f ca="1">IF(COUNTA(D$527:D906)=1,"",OFFSET(F904,-COUNTA(D$527:D906)+3,0))</f>
        <v>24</v>
      </c>
      <c r="G906" s="391" t="str">
        <f t="shared" ca="1" si="140"/>
        <v/>
      </c>
      <c r="H906" s="387">
        <f t="shared" ca="1" si="136"/>
        <v>9</v>
      </c>
      <c r="I906" s="389" t="str">
        <f t="shared" ca="1" si="141"/>
        <v/>
      </c>
      <c r="J906" s="392" t="str">
        <f t="shared" ca="1" si="142"/>
        <v/>
      </c>
      <c r="K906" s="392" t="str">
        <f t="shared" ca="1" si="143"/>
        <v/>
      </c>
      <c r="L906" s="391" t="str">
        <f t="shared" ca="1" si="144"/>
        <v/>
      </c>
      <c r="M906" s="401" t="str">
        <f ca="1">IFERROR(IF(COUNTIF($B$526:$B905,"&lt;0")=1,"",OFFSET($C904,-COUNTIF($B$526:$B905,"&lt;0")+3,0)),"")</f>
        <v>a17Dm000001PuchIAC</v>
      </c>
      <c r="N906" s="401">
        <f ca="1">IFERROR(IF(AND(_xlfn.ISFORMULA(I906),NOT(_xlfn.ISFORMULA(I905))),1,OFFSET($F904,-COUNTIF($B$526:B905,"&lt;0")+3,0)),"")</f>
        <v>24</v>
      </c>
      <c r="O906" s="387">
        <f t="shared" ca="1" si="137"/>
        <v>0</v>
      </c>
      <c r="P906" s="387"/>
      <c r="Q906" s="387"/>
      <c r="R906" s="387"/>
      <c r="S906" s="387"/>
      <c r="T906" s="391"/>
    </row>
    <row r="907" spans="1:20">
      <c r="A907" s="387" t="b">
        <f t="shared" ca="1" si="138"/>
        <v>0</v>
      </c>
      <c r="B907" s="387">
        <f t="shared" ca="1" si="134"/>
        <v>145</v>
      </c>
      <c r="C907" s="404" t="str">
        <f t="shared" ca="1" si="139"/>
        <v>a17Dm000001PuaIIAS</v>
      </c>
      <c r="D907" s="401"/>
      <c r="E907" s="387">
        <f t="shared" ca="1" si="135"/>
        <v>379</v>
      </c>
      <c r="F907" s="402">
        <f ca="1">IF(COUNTA(D$527:D907)=1,"",OFFSET(F905,-COUNTA(D$527:D907)+3,0))</f>
        <v>25</v>
      </c>
      <c r="G907" s="391" t="str">
        <f t="shared" ca="1" si="140"/>
        <v/>
      </c>
      <c r="H907" s="387">
        <f t="shared" ca="1" si="136"/>
        <v>9</v>
      </c>
      <c r="I907" s="389" t="str">
        <f t="shared" ca="1" si="141"/>
        <v/>
      </c>
      <c r="J907" s="392" t="str">
        <f t="shared" ca="1" si="142"/>
        <v/>
      </c>
      <c r="K907" s="392" t="str">
        <f t="shared" ca="1" si="143"/>
        <v/>
      </c>
      <c r="L907" s="391" t="str">
        <f t="shared" ca="1" si="144"/>
        <v/>
      </c>
      <c r="M907" s="401" t="str">
        <f ca="1">IFERROR(IF(COUNTIF($B$526:$B906,"&lt;0")=1,"",OFFSET($C905,-COUNTIF($B$526:$B906,"&lt;0")+3,0)),"")</f>
        <v>a17Dm000001PuaIIAS</v>
      </c>
      <c r="N907" s="401">
        <f ca="1">IFERROR(IF(AND(_xlfn.ISFORMULA(I907),NOT(_xlfn.ISFORMULA(I906))),1,OFFSET($F905,-COUNTIF($B$526:B906,"&lt;0")+3,0)),"")</f>
        <v>25</v>
      </c>
      <c r="O907" s="387">
        <f t="shared" ca="1" si="137"/>
        <v>0</v>
      </c>
      <c r="P907" s="387"/>
      <c r="Q907" s="387"/>
      <c r="R907" s="387"/>
      <c r="S907" s="387"/>
      <c r="T907" s="391"/>
    </row>
    <row r="908" spans="1:20">
      <c r="A908" s="387" t="b">
        <f t="shared" ca="1" si="138"/>
        <v>0</v>
      </c>
      <c r="B908" s="387">
        <f t="shared" ca="1" si="134"/>
        <v>146</v>
      </c>
      <c r="C908" s="404" t="str">
        <f t="shared" ca="1" si="139"/>
        <v>a17Dm000001PuamIAC</v>
      </c>
      <c r="D908" s="401"/>
      <c r="E908" s="387">
        <f t="shared" ca="1" si="135"/>
        <v>380</v>
      </c>
      <c r="F908" s="402">
        <f ca="1">IF(COUNTA(D$527:D908)=1,"",OFFSET(F906,-COUNTA(D$527:D908)+3,0))</f>
        <v>25</v>
      </c>
      <c r="G908" s="391" t="str">
        <f t="shared" ca="1" si="140"/>
        <v/>
      </c>
      <c r="H908" s="387">
        <f t="shared" ca="1" si="136"/>
        <v>9</v>
      </c>
      <c r="I908" s="389" t="str">
        <f t="shared" ca="1" si="141"/>
        <v/>
      </c>
      <c r="J908" s="392" t="str">
        <f t="shared" ca="1" si="142"/>
        <v/>
      </c>
      <c r="K908" s="392" t="str">
        <f t="shared" ca="1" si="143"/>
        <v/>
      </c>
      <c r="L908" s="391" t="str">
        <f t="shared" ca="1" si="144"/>
        <v/>
      </c>
      <c r="M908" s="401" t="str">
        <f ca="1">IFERROR(IF(COUNTIF($B$526:$B907,"&lt;0")=1,"",OFFSET($C906,-COUNTIF($B$526:$B907,"&lt;0")+3,0)),"")</f>
        <v>a17Dm000001PuamIAC</v>
      </c>
      <c r="N908" s="401">
        <f ca="1">IFERROR(IF(AND(_xlfn.ISFORMULA(I908),NOT(_xlfn.ISFORMULA(I907))),1,OFFSET($F906,-COUNTIF($B$526:B907,"&lt;0")+3,0)),"")</f>
        <v>25</v>
      </c>
      <c r="O908" s="387">
        <f t="shared" ca="1" si="137"/>
        <v>0</v>
      </c>
      <c r="P908" s="387"/>
      <c r="Q908" s="387"/>
      <c r="R908" s="387"/>
      <c r="S908" s="387"/>
      <c r="T908" s="391"/>
    </row>
    <row r="909" spans="1:20">
      <c r="A909" s="387" t="b">
        <f t="shared" ca="1" si="138"/>
        <v>0</v>
      </c>
      <c r="B909" s="387">
        <f t="shared" ca="1" si="134"/>
        <v>147</v>
      </c>
      <c r="C909" s="404" t="str">
        <f t="shared" ca="1" si="139"/>
        <v>a17Dm000001PubGIAS</v>
      </c>
      <c r="D909" s="401"/>
      <c r="E909" s="387">
        <f t="shared" ca="1" si="135"/>
        <v>381</v>
      </c>
      <c r="F909" s="402">
        <f ca="1">IF(COUNTA(D$527:D909)=1,"",OFFSET(F907,-COUNTA(D$527:D909)+3,0))</f>
        <v>25</v>
      </c>
      <c r="G909" s="391" t="str">
        <f t="shared" ca="1" si="140"/>
        <v/>
      </c>
      <c r="H909" s="387">
        <f t="shared" ca="1" si="136"/>
        <v>9</v>
      </c>
      <c r="I909" s="389" t="str">
        <f t="shared" ca="1" si="141"/>
        <v/>
      </c>
      <c r="J909" s="392" t="str">
        <f t="shared" ca="1" si="142"/>
        <v/>
      </c>
      <c r="K909" s="392" t="str">
        <f t="shared" ca="1" si="143"/>
        <v/>
      </c>
      <c r="L909" s="391" t="str">
        <f t="shared" ca="1" si="144"/>
        <v/>
      </c>
      <c r="M909" s="401" t="str">
        <f ca="1">IFERROR(IF(COUNTIF($B$526:$B908,"&lt;0")=1,"",OFFSET($C907,-COUNTIF($B$526:$B908,"&lt;0")+3,0)),"")</f>
        <v>a17Dm000001PubGIAS</v>
      </c>
      <c r="N909" s="401">
        <f ca="1">IFERROR(IF(AND(_xlfn.ISFORMULA(I909),NOT(_xlfn.ISFORMULA(I908))),1,OFFSET($F907,-COUNTIF($B$526:B908,"&lt;0")+3,0)),"")</f>
        <v>25</v>
      </c>
      <c r="O909" s="387">
        <f t="shared" ca="1" si="137"/>
        <v>0</v>
      </c>
      <c r="P909" s="387"/>
      <c r="Q909" s="387"/>
      <c r="R909" s="387"/>
      <c r="S909" s="387"/>
      <c r="T909" s="391"/>
    </row>
    <row r="910" spans="1:20">
      <c r="A910" s="387" t="b">
        <f t="shared" ca="1" si="138"/>
        <v>0</v>
      </c>
      <c r="B910" s="387">
        <f t="shared" ca="1" si="134"/>
        <v>148</v>
      </c>
      <c r="C910" s="404" t="str">
        <f t="shared" ca="1" si="139"/>
        <v>a17Dm000001PubkIAC</v>
      </c>
      <c r="D910" s="401"/>
      <c r="E910" s="387">
        <f t="shared" ca="1" si="135"/>
        <v>382</v>
      </c>
      <c r="F910" s="402">
        <f ca="1">IF(COUNTA(D$527:D910)=1,"",OFFSET(F908,-COUNTA(D$527:D910)+3,0))</f>
        <v>25</v>
      </c>
      <c r="G910" s="391" t="str">
        <f t="shared" ca="1" si="140"/>
        <v/>
      </c>
      <c r="H910" s="387">
        <f t="shared" ca="1" si="136"/>
        <v>9</v>
      </c>
      <c r="I910" s="389" t="str">
        <f t="shared" ca="1" si="141"/>
        <v/>
      </c>
      <c r="J910" s="392" t="str">
        <f t="shared" ca="1" si="142"/>
        <v/>
      </c>
      <c r="K910" s="392" t="str">
        <f t="shared" ca="1" si="143"/>
        <v/>
      </c>
      <c r="L910" s="391" t="str">
        <f t="shared" ca="1" si="144"/>
        <v/>
      </c>
      <c r="M910" s="401" t="str">
        <f ca="1">IFERROR(IF(COUNTIF($B$526:$B909,"&lt;0")=1,"",OFFSET($C908,-COUNTIF($B$526:$B909,"&lt;0")+3,0)),"")</f>
        <v>a17Dm000001PubkIAC</v>
      </c>
      <c r="N910" s="401">
        <f ca="1">IFERROR(IF(AND(_xlfn.ISFORMULA(I910),NOT(_xlfn.ISFORMULA(I909))),1,OFFSET($F908,-COUNTIF($B$526:B909,"&lt;0")+3,0)),"")</f>
        <v>25</v>
      </c>
      <c r="O910" s="387">
        <f t="shared" ca="1" si="137"/>
        <v>0</v>
      </c>
      <c r="P910" s="387"/>
      <c r="Q910" s="387"/>
      <c r="R910" s="387"/>
      <c r="S910" s="387"/>
      <c r="T910" s="391"/>
    </row>
    <row r="911" spans="1:20">
      <c r="A911" s="387" t="b">
        <f t="shared" ca="1" si="138"/>
        <v>0</v>
      </c>
      <c r="B911" s="387">
        <f t="shared" ca="1" si="134"/>
        <v>149</v>
      </c>
      <c r="C911" s="404" t="str">
        <f t="shared" ca="1" si="139"/>
        <v>a17Dm000001PucEIAS</v>
      </c>
      <c r="D911" s="401"/>
      <c r="E911" s="387">
        <f t="shared" ca="1" si="135"/>
        <v>383</v>
      </c>
      <c r="F911" s="402">
        <f ca="1">IF(COUNTA(D$527:D911)=1,"",OFFSET(F909,-COUNTA(D$527:D911)+3,0))</f>
        <v>25</v>
      </c>
      <c r="G911" s="391" t="str">
        <f t="shared" ca="1" si="140"/>
        <v/>
      </c>
      <c r="H911" s="387">
        <f t="shared" ca="1" si="136"/>
        <v>9</v>
      </c>
      <c r="I911" s="389" t="str">
        <f t="shared" ca="1" si="141"/>
        <v/>
      </c>
      <c r="J911" s="392" t="str">
        <f t="shared" ca="1" si="142"/>
        <v/>
      </c>
      <c r="K911" s="392" t="str">
        <f t="shared" ca="1" si="143"/>
        <v/>
      </c>
      <c r="L911" s="391" t="str">
        <f t="shared" ca="1" si="144"/>
        <v/>
      </c>
      <c r="M911" s="401" t="str">
        <f ca="1">IFERROR(IF(COUNTIF($B$526:$B910,"&lt;0")=1,"",OFFSET($C909,-COUNTIF($B$526:$B910,"&lt;0")+3,0)),"")</f>
        <v>a17Dm000001PucEIAS</v>
      </c>
      <c r="N911" s="401">
        <f ca="1">IFERROR(IF(AND(_xlfn.ISFORMULA(I911),NOT(_xlfn.ISFORMULA(I910))),1,OFFSET($F909,-COUNTIF($B$526:B910,"&lt;0")+3,0)),"")</f>
        <v>25</v>
      </c>
      <c r="O911" s="387">
        <f t="shared" ca="1" si="137"/>
        <v>0</v>
      </c>
      <c r="P911" s="387"/>
      <c r="Q911" s="387"/>
      <c r="R911" s="387"/>
      <c r="S911" s="387"/>
      <c r="T911" s="391"/>
    </row>
    <row r="912" spans="1:20">
      <c r="A912" s="387" t="b">
        <f t="shared" ca="1" si="138"/>
        <v>0</v>
      </c>
      <c r="B912" s="387">
        <f t="shared" ca="1" si="134"/>
        <v>150</v>
      </c>
      <c r="C912" s="404" t="str">
        <f t="shared" ca="1" si="139"/>
        <v>a17Dm000001PuciIAC</v>
      </c>
      <c r="D912" s="401"/>
      <c r="E912" s="387">
        <f t="shared" ca="1" si="135"/>
        <v>384</v>
      </c>
      <c r="F912" s="402">
        <f ca="1">IF(COUNTA(D$527:D912)=1,"",OFFSET(F910,-COUNTA(D$527:D912)+3,0))</f>
        <v>25</v>
      </c>
      <c r="G912" s="391" t="str">
        <f t="shared" ca="1" si="140"/>
        <v/>
      </c>
      <c r="H912" s="387">
        <f t="shared" ca="1" si="136"/>
        <v>9</v>
      </c>
      <c r="I912" s="389" t="str">
        <f t="shared" ca="1" si="141"/>
        <v/>
      </c>
      <c r="J912" s="392" t="str">
        <f t="shared" ca="1" si="142"/>
        <v/>
      </c>
      <c r="K912" s="392" t="str">
        <f t="shared" ca="1" si="143"/>
        <v/>
      </c>
      <c r="L912" s="391" t="str">
        <f t="shared" ca="1" si="144"/>
        <v/>
      </c>
      <c r="M912" s="401" t="str">
        <f ca="1">IFERROR(IF(COUNTIF($B$526:$B911,"&lt;0")=1,"",OFFSET($C910,-COUNTIF($B$526:$B911,"&lt;0")+3,0)),"")</f>
        <v>a17Dm000001PuciIAC</v>
      </c>
      <c r="N912" s="401">
        <f ca="1">IFERROR(IF(AND(_xlfn.ISFORMULA(I912),NOT(_xlfn.ISFORMULA(I911))),1,OFFSET($F910,-COUNTIF($B$526:B911,"&lt;0")+3,0)),"")</f>
        <v>25</v>
      </c>
      <c r="O912" s="387">
        <f t="shared" ca="1" si="137"/>
        <v>0</v>
      </c>
      <c r="P912" s="387"/>
      <c r="Q912" s="387"/>
      <c r="R912" s="387"/>
      <c r="S912" s="387"/>
      <c r="T912" s="391"/>
    </row>
    <row r="913" spans="1:20">
      <c r="A913" s="387" t="b">
        <f t="shared" ca="1" si="138"/>
        <v>0</v>
      </c>
      <c r="B913" s="387">
        <f t="shared" ref="B913:B976" ca="1" si="145">B912+1</f>
        <v>151</v>
      </c>
      <c r="C913" s="404" t="str">
        <f t="shared" ca="1" si="139"/>
        <v>a17Dm000001PuaJIAS</v>
      </c>
      <c r="D913" s="401"/>
      <c r="E913" s="387">
        <f t="shared" ref="E913:E976" ca="1" si="146">IF(E912="countif",0,IF(E912=W$2,1,E912+1))</f>
        <v>385</v>
      </c>
      <c r="F913" s="402">
        <f ca="1">IF(COUNTA(D$527:D913)=1,"",OFFSET(F911,-COUNTA(D$527:D913)+3,0))</f>
        <v>26</v>
      </c>
      <c r="G913" s="391" t="str">
        <f t="shared" ca="1" si="140"/>
        <v/>
      </c>
      <c r="H913" s="387">
        <f t="shared" ref="H913:H976" ca="1" si="147">IF(B913=1,9,IF(E912=MAX(E911:E913),H911+2,H912))</f>
        <v>9</v>
      </c>
      <c r="I913" s="389" t="str">
        <f t="shared" ca="1" si="141"/>
        <v/>
      </c>
      <c r="J913" s="392" t="str">
        <f t="shared" ca="1" si="142"/>
        <v/>
      </c>
      <c r="K913" s="392" t="str">
        <f t="shared" ca="1" si="143"/>
        <v/>
      </c>
      <c r="L913" s="391" t="str">
        <f t="shared" ca="1" si="144"/>
        <v/>
      </c>
      <c r="M913" s="401" t="str">
        <f ca="1">IFERROR(IF(COUNTIF($B$526:$B912,"&lt;0")=1,"",OFFSET($C911,-COUNTIF($B$526:$B912,"&lt;0")+3,0)),"")</f>
        <v>a17Dm000001PuaJIAS</v>
      </c>
      <c r="N913" s="401">
        <f ca="1">IFERROR(IF(AND(_xlfn.ISFORMULA(I913),NOT(_xlfn.ISFORMULA(I912))),1,OFFSET($F911,-COUNTIF($B$526:B912,"&lt;0")+3,0)),"")</f>
        <v>26</v>
      </c>
      <c r="O913" s="387">
        <f t="shared" ref="O913:O976" ca="1" si="148">IF(NOT(_xlfn.ISFORMULA(I913)),O912+1,0)</f>
        <v>0</v>
      </c>
      <c r="P913" s="387"/>
      <c r="Q913" s="387"/>
      <c r="R913" s="387"/>
      <c r="S913" s="387"/>
      <c r="T913" s="391"/>
    </row>
    <row r="914" spans="1:20">
      <c r="A914" s="387" t="b">
        <f t="shared" ca="1" si="138"/>
        <v>0</v>
      </c>
      <c r="B914" s="387">
        <f t="shared" ca="1" si="145"/>
        <v>152</v>
      </c>
      <c r="C914" s="404" t="str">
        <f t="shared" ca="1" si="139"/>
        <v>a17Dm000001PuanIAC</v>
      </c>
      <c r="D914" s="401"/>
      <c r="E914" s="387">
        <f t="shared" ca="1" si="146"/>
        <v>386</v>
      </c>
      <c r="F914" s="402">
        <f ca="1">IF(COUNTA(D$527:D914)=1,"",OFFSET(F912,-COUNTA(D$527:D914)+3,0))</f>
        <v>26</v>
      </c>
      <c r="G914" s="391" t="str">
        <f t="shared" ca="1" si="140"/>
        <v/>
      </c>
      <c r="H914" s="387">
        <f t="shared" ca="1" si="147"/>
        <v>9</v>
      </c>
      <c r="I914" s="389" t="str">
        <f t="shared" ca="1" si="141"/>
        <v/>
      </c>
      <c r="J914" s="392" t="str">
        <f t="shared" ca="1" si="142"/>
        <v/>
      </c>
      <c r="K914" s="392" t="str">
        <f t="shared" ca="1" si="143"/>
        <v/>
      </c>
      <c r="L914" s="391" t="str">
        <f t="shared" ca="1" si="144"/>
        <v/>
      </c>
      <c r="M914" s="401" t="str">
        <f ca="1">IFERROR(IF(COUNTIF($B$526:$B913,"&lt;0")=1,"",OFFSET($C912,-COUNTIF($B$526:$B913,"&lt;0")+3,0)),"")</f>
        <v>a17Dm000001PuanIAC</v>
      </c>
      <c r="N914" s="401">
        <f ca="1">IFERROR(IF(AND(_xlfn.ISFORMULA(I914),NOT(_xlfn.ISFORMULA(I913))),1,OFFSET($F912,-COUNTIF($B$526:B913,"&lt;0")+3,0)),"")</f>
        <v>26</v>
      </c>
      <c r="O914" s="387">
        <f t="shared" ca="1" si="148"/>
        <v>0</v>
      </c>
      <c r="P914" s="387"/>
      <c r="Q914" s="387"/>
      <c r="R914" s="387"/>
      <c r="S914" s="387"/>
      <c r="T914" s="391"/>
    </row>
    <row r="915" spans="1:20">
      <c r="A915" s="387" t="b">
        <f t="shared" ca="1" si="138"/>
        <v>0</v>
      </c>
      <c r="B915" s="387">
        <f t="shared" ca="1" si="145"/>
        <v>153</v>
      </c>
      <c r="C915" s="404" t="str">
        <f t="shared" ca="1" si="139"/>
        <v>a17Dm000001PubHIAS</v>
      </c>
      <c r="D915" s="401"/>
      <c r="E915" s="387">
        <f t="shared" ca="1" si="146"/>
        <v>387</v>
      </c>
      <c r="F915" s="402">
        <f ca="1">IF(COUNTA(D$527:D915)=1,"",OFFSET(F913,-COUNTA(D$527:D915)+3,0))</f>
        <v>26</v>
      </c>
      <c r="G915" s="391" t="str">
        <f t="shared" ca="1" si="140"/>
        <v/>
      </c>
      <c r="H915" s="387">
        <f t="shared" ca="1" si="147"/>
        <v>9</v>
      </c>
      <c r="I915" s="389" t="str">
        <f t="shared" ca="1" si="141"/>
        <v/>
      </c>
      <c r="J915" s="392" t="str">
        <f t="shared" ca="1" si="142"/>
        <v/>
      </c>
      <c r="K915" s="392" t="str">
        <f t="shared" ca="1" si="143"/>
        <v/>
      </c>
      <c r="L915" s="391" t="str">
        <f t="shared" ca="1" si="144"/>
        <v/>
      </c>
      <c r="M915" s="401" t="str">
        <f ca="1">IFERROR(IF(COUNTIF($B$526:$B914,"&lt;0")=1,"",OFFSET($C913,-COUNTIF($B$526:$B914,"&lt;0")+3,0)),"")</f>
        <v>a17Dm000001PubHIAS</v>
      </c>
      <c r="N915" s="401">
        <f ca="1">IFERROR(IF(AND(_xlfn.ISFORMULA(I915),NOT(_xlfn.ISFORMULA(I914))),1,OFFSET($F913,-COUNTIF($B$526:B914,"&lt;0")+3,0)),"")</f>
        <v>26</v>
      </c>
      <c r="O915" s="387">
        <f t="shared" ca="1" si="148"/>
        <v>0</v>
      </c>
      <c r="P915" s="387"/>
      <c r="Q915" s="387"/>
      <c r="R915" s="387"/>
      <c r="S915" s="387"/>
      <c r="T915" s="391"/>
    </row>
    <row r="916" spans="1:20">
      <c r="A916" s="387" t="b">
        <f t="shared" ca="1" si="138"/>
        <v>0</v>
      </c>
      <c r="B916" s="387">
        <f t="shared" ca="1" si="145"/>
        <v>154</v>
      </c>
      <c r="C916" s="404" t="str">
        <f t="shared" ca="1" si="139"/>
        <v>a17Dm000001PublIAC</v>
      </c>
      <c r="D916" s="401"/>
      <c r="E916" s="387">
        <f t="shared" ca="1" si="146"/>
        <v>388</v>
      </c>
      <c r="F916" s="402">
        <f ca="1">IF(COUNTA(D$527:D916)=1,"",OFFSET(F914,-COUNTA(D$527:D916)+3,0))</f>
        <v>26</v>
      </c>
      <c r="G916" s="391" t="str">
        <f t="shared" ca="1" si="140"/>
        <v/>
      </c>
      <c r="H916" s="387">
        <f t="shared" ca="1" si="147"/>
        <v>9</v>
      </c>
      <c r="I916" s="389" t="str">
        <f t="shared" ca="1" si="141"/>
        <v/>
      </c>
      <c r="J916" s="392" t="str">
        <f t="shared" ca="1" si="142"/>
        <v/>
      </c>
      <c r="K916" s="392" t="str">
        <f t="shared" ca="1" si="143"/>
        <v/>
      </c>
      <c r="L916" s="391" t="str">
        <f t="shared" ca="1" si="144"/>
        <v/>
      </c>
      <c r="M916" s="401" t="str">
        <f ca="1">IFERROR(IF(COUNTIF($B$526:$B915,"&lt;0")=1,"",OFFSET($C914,-COUNTIF($B$526:$B915,"&lt;0")+3,0)),"")</f>
        <v>a17Dm000001PublIAC</v>
      </c>
      <c r="N916" s="401">
        <f ca="1">IFERROR(IF(AND(_xlfn.ISFORMULA(I916),NOT(_xlfn.ISFORMULA(I915))),1,OFFSET($F914,-COUNTIF($B$526:B915,"&lt;0")+3,0)),"")</f>
        <v>26</v>
      </c>
      <c r="O916" s="387">
        <f t="shared" ca="1" si="148"/>
        <v>0</v>
      </c>
      <c r="P916" s="387"/>
      <c r="Q916" s="387"/>
      <c r="R916" s="387"/>
      <c r="S916" s="387"/>
      <c r="T916" s="391"/>
    </row>
    <row r="917" spans="1:20">
      <c r="A917" s="387" t="b">
        <f t="shared" ca="1" si="138"/>
        <v>0</v>
      </c>
      <c r="B917" s="387">
        <f t="shared" ca="1" si="145"/>
        <v>155</v>
      </c>
      <c r="C917" s="404" t="str">
        <f t="shared" ca="1" si="139"/>
        <v>a17Dm000001PucFIAS</v>
      </c>
      <c r="D917" s="401"/>
      <c r="E917" s="387">
        <f t="shared" ca="1" si="146"/>
        <v>389</v>
      </c>
      <c r="F917" s="402">
        <f ca="1">IF(COUNTA(D$527:D917)=1,"",OFFSET(F915,-COUNTA(D$527:D917)+3,0))</f>
        <v>26</v>
      </c>
      <c r="G917" s="391" t="str">
        <f t="shared" ca="1" si="140"/>
        <v/>
      </c>
      <c r="H917" s="387">
        <f t="shared" ca="1" si="147"/>
        <v>9</v>
      </c>
      <c r="I917" s="389" t="str">
        <f t="shared" ca="1" si="141"/>
        <v/>
      </c>
      <c r="J917" s="392" t="str">
        <f t="shared" ca="1" si="142"/>
        <v/>
      </c>
      <c r="K917" s="392" t="str">
        <f t="shared" ca="1" si="143"/>
        <v/>
      </c>
      <c r="L917" s="391" t="str">
        <f t="shared" ca="1" si="144"/>
        <v/>
      </c>
      <c r="M917" s="401" t="str">
        <f ca="1">IFERROR(IF(COUNTIF($B$526:$B916,"&lt;0")=1,"",OFFSET($C915,-COUNTIF($B$526:$B916,"&lt;0")+3,0)),"")</f>
        <v>a17Dm000001PucFIAS</v>
      </c>
      <c r="N917" s="401">
        <f ca="1">IFERROR(IF(AND(_xlfn.ISFORMULA(I917),NOT(_xlfn.ISFORMULA(I916))),1,OFFSET($F915,-COUNTIF($B$526:B916,"&lt;0")+3,0)),"")</f>
        <v>26</v>
      </c>
      <c r="O917" s="387">
        <f t="shared" ca="1" si="148"/>
        <v>0</v>
      </c>
      <c r="P917" s="387"/>
      <c r="Q917" s="387"/>
      <c r="R917" s="387"/>
      <c r="S917" s="387"/>
      <c r="T917" s="391"/>
    </row>
    <row r="918" spans="1:20">
      <c r="A918" s="387" t="b">
        <f t="shared" ca="1" si="138"/>
        <v>0</v>
      </c>
      <c r="B918" s="387">
        <f t="shared" ca="1" si="145"/>
        <v>156</v>
      </c>
      <c r="C918" s="404" t="str">
        <f t="shared" ca="1" si="139"/>
        <v>a17Dm000001PucjIAC</v>
      </c>
      <c r="D918" s="401"/>
      <c r="E918" s="387">
        <f t="shared" ca="1" si="146"/>
        <v>390</v>
      </c>
      <c r="F918" s="402">
        <f ca="1">IF(COUNTA(D$527:D918)=1,"",OFFSET(F916,-COUNTA(D$527:D918)+3,0))</f>
        <v>26</v>
      </c>
      <c r="G918" s="391" t="str">
        <f t="shared" ca="1" si="140"/>
        <v/>
      </c>
      <c r="H918" s="387">
        <f t="shared" ca="1" si="147"/>
        <v>9</v>
      </c>
      <c r="I918" s="389" t="str">
        <f t="shared" ca="1" si="141"/>
        <v/>
      </c>
      <c r="J918" s="392" t="str">
        <f t="shared" ca="1" si="142"/>
        <v/>
      </c>
      <c r="K918" s="392" t="str">
        <f t="shared" ca="1" si="143"/>
        <v/>
      </c>
      <c r="L918" s="391" t="str">
        <f t="shared" ca="1" si="144"/>
        <v/>
      </c>
      <c r="M918" s="401" t="str">
        <f ca="1">IFERROR(IF(COUNTIF($B$526:$B917,"&lt;0")=1,"",OFFSET($C916,-COUNTIF($B$526:$B917,"&lt;0")+3,0)),"")</f>
        <v>a17Dm000001PucjIAC</v>
      </c>
      <c r="N918" s="401">
        <f ca="1">IFERROR(IF(AND(_xlfn.ISFORMULA(I918),NOT(_xlfn.ISFORMULA(I917))),1,OFFSET($F916,-COUNTIF($B$526:B917,"&lt;0")+3,0)),"")</f>
        <v>26</v>
      </c>
      <c r="O918" s="387">
        <f t="shared" ca="1" si="148"/>
        <v>0</v>
      </c>
      <c r="P918" s="387"/>
      <c r="Q918" s="387"/>
      <c r="R918" s="387"/>
      <c r="S918" s="387"/>
      <c r="T918" s="391"/>
    </row>
    <row r="919" spans="1:20">
      <c r="A919" s="387" t="b">
        <f t="shared" ca="1" si="138"/>
        <v>0</v>
      </c>
      <c r="B919" s="387">
        <f t="shared" ca="1" si="145"/>
        <v>157</v>
      </c>
      <c r="C919" s="404" t="str">
        <f t="shared" ca="1" si="139"/>
        <v>a17Dm000001PuaKIAS</v>
      </c>
      <c r="D919" s="401"/>
      <c r="E919" s="387">
        <f t="shared" ca="1" si="146"/>
        <v>391</v>
      </c>
      <c r="F919" s="402">
        <f ca="1">IF(COUNTA(D$527:D919)=1,"",OFFSET(F917,-COUNTA(D$527:D919)+3,0))</f>
        <v>27</v>
      </c>
      <c r="G919" s="391" t="str">
        <f t="shared" ca="1" si="140"/>
        <v/>
      </c>
      <c r="H919" s="387">
        <f t="shared" ca="1" si="147"/>
        <v>9</v>
      </c>
      <c r="I919" s="389" t="str">
        <f t="shared" ca="1" si="141"/>
        <v/>
      </c>
      <c r="J919" s="392" t="str">
        <f t="shared" ca="1" si="142"/>
        <v/>
      </c>
      <c r="K919" s="392" t="str">
        <f t="shared" ca="1" si="143"/>
        <v/>
      </c>
      <c r="L919" s="391" t="str">
        <f t="shared" ca="1" si="144"/>
        <v/>
      </c>
      <c r="M919" s="401" t="str">
        <f ca="1">IFERROR(IF(COUNTIF($B$526:$B918,"&lt;0")=1,"",OFFSET($C917,-COUNTIF($B$526:$B918,"&lt;0")+3,0)),"")</f>
        <v>a17Dm000001PuaKIAS</v>
      </c>
      <c r="N919" s="401">
        <f ca="1">IFERROR(IF(AND(_xlfn.ISFORMULA(I919),NOT(_xlfn.ISFORMULA(I918))),1,OFFSET($F917,-COUNTIF($B$526:B918,"&lt;0")+3,0)),"")</f>
        <v>27</v>
      </c>
      <c r="O919" s="387">
        <f t="shared" ca="1" si="148"/>
        <v>0</v>
      </c>
      <c r="P919" s="387"/>
      <c r="Q919" s="387"/>
      <c r="R919" s="387"/>
      <c r="S919" s="387"/>
      <c r="T919" s="391"/>
    </row>
    <row r="920" spans="1:20">
      <c r="A920" s="387" t="b">
        <f t="shared" ca="1" si="138"/>
        <v>0</v>
      </c>
      <c r="B920" s="387">
        <f t="shared" ca="1" si="145"/>
        <v>158</v>
      </c>
      <c r="C920" s="404" t="str">
        <f t="shared" ca="1" si="139"/>
        <v>a17Dm000001PuaoIAC</v>
      </c>
      <c r="D920" s="401"/>
      <c r="E920" s="387">
        <f t="shared" ca="1" si="146"/>
        <v>392</v>
      </c>
      <c r="F920" s="402">
        <f ca="1">IF(COUNTA(D$527:D920)=1,"",OFFSET(F918,-COUNTA(D$527:D920)+3,0))</f>
        <v>27</v>
      </c>
      <c r="G920" s="391" t="str">
        <f t="shared" ca="1" si="140"/>
        <v/>
      </c>
      <c r="H920" s="387">
        <f t="shared" ca="1" si="147"/>
        <v>9</v>
      </c>
      <c r="I920" s="389" t="str">
        <f t="shared" ca="1" si="141"/>
        <v/>
      </c>
      <c r="J920" s="392" t="str">
        <f t="shared" ca="1" si="142"/>
        <v/>
      </c>
      <c r="K920" s="392" t="str">
        <f t="shared" ca="1" si="143"/>
        <v/>
      </c>
      <c r="L920" s="391" t="str">
        <f t="shared" ca="1" si="144"/>
        <v/>
      </c>
      <c r="M920" s="401" t="str">
        <f ca="1">IFERROR(IF(COUNTIF($B$526:$B919,"&lt;0")=1,"",OFFSET($C918,-COUNTIF($B$526:$B919,"&lt;0")+3,0)),"")</f>
        <v>a17Dm000001PuaoIAC</v>
      </c>
      <c r="N920" s="401">
        <f ca="1">IFERROR(IF(AND(_xlfn.ISFORMULA(I920),NOT(_xlfn.ISFORMULA(I919))),1,OFFSET($F918,-COUNTIF($B$526:B919,"&lt;0")+3,0)),"")</f>
        <v>27</v>
      </c>
      <c r="O920" s="387">
        <f t="shared" ca="1" si="148"/>
        <v>0</v>
      </c>
      <c r="P920" s="387"/>
      <c r="Q920" s="387"/>
      <c r="R920" s="387"/>
      <c r="S920" s="387"/>
      <c r="T920" s="391"/>
    </row>
    <row r="921" spans="1:20">
      <c r="A921" s="387" t="b">
        <f t="shared" ca="1" si="138"/>
        <v>0</v>
      </c>
      <c r="B921" s="387">
        <f t="shared" ca="1" si="145"/>
        <v>159</v>
      </c>
      <c r="C921" s="404" t="str">
        <f t="shared" ca="1" si="139"/>
        <v>a17Dm000001PubIIAS</v>
      </c>
      <c r="D921" s="401"/>
      <c r="E921" s="387">
        <f t="shared" ca="1" si="146"/>
        <v>393</v>
      </c>
      <c r="F921" s="402">
        <f ca="1">IF(COUNTA(D$527:D921)=1,"",OFFSET(F919,-COUNTA(D$527:D921)+3,0))</f>
        <v>27</v>
      </c>
      <c r="G921" s="391" t="str">
        <f t="shared" ca="1" si="140"/>
        <v/>
      </c>
      <c r="H921" s="387">
        <f t="shared" ca="1" si="147"/>
        <v>9</v>
      </c>
      <c r="I921" s="389" t="str">
        <f t="shared" ca="1" si="141"/>
        <v/>
      </c>
      <c r="J921" s="392" t="str">
        <f t="shared" ca="1" si="142"/>
        <v/>
      </c>
      <c r="K921" s="392" t="str">
        <f t="shared" ca="1" si="143"/>
        <v/>
      </c>
      <c r="L921" s="391" t="str">
        <f t="shared" ca="1" si="144"/>
        <v/>
      </c>
      <c r="M921" s="401" t="str">
        <f ca="1">IFERROR(IF(COUNTIF($B$526:$B920,"&lt;0")=1,"",OFFSET($C919,-COUNTIF($B$526:$B920,"&lt;0")+3,0)),"")</f>
        <v>a17Dm000001PubIIAS</v>
      </c>
      <c r="N921" s="401">
        <f ca="1">IFERROR(IF(AND(_xlfn.ISFORMULA(I921),NOT(_xlfn.ISFORMULA(I920))),1,OFFSET($F919,-COUNTIF($B$526:B920,"&lt;0")+3,0)),"")</f>
        <v>27</v>
      </c>
      <c r="O921" s="387">
        <f t="shared" ca="1" si="148"/>
        <v>0</v>
      </c>
      <c r="P921" s="387"/>
      <c r="Q921" s="387"/>
      <c r="R921" s="387"/>
      <c r="S921" s="387"/>
      <c r="T921" s="391"/>
    </row>
    <row r="922" spans="1:20">
      <c r="A922" s="387" t="b">
        <f t="shared" ca="1" si="138"/>
        <v>0</v>
      </c>
      <c r="B922" s="387">
        <f t="shared" ca="1" si="145"/>
        <v>160</v>
      </c>
      <c r="C922" s="404" t="str">
        <f t="shared" ca="1" si="139"/>
        <v>a17Dm000001PubmIAC</v>
      </c>
      <c r="D922" s="401"/>
      <c r="E922" s="387">
        <f t="shared" ca="1" si="146"/>
        <v>394</v>
      </c>
      <c r="F922" s="402">
        <f ca="1">IF(COUNTA(D$527:D922)=1,"",OFFSET(F920,-COUNTA(D$527:D922)+3,0))</f>
        <v>27</v>
      </c>
      <c r="G922" s="391" t="str">
        <f t="shared" ca="1" si="140"/>
        <v/>
      </c>
      <c r="H922" s="387">
        <f t="shared" ca="1" si="147"/>
        <v>9</v>
      </c>
      <c r="I922" s="389" t="str">
        <f t="shared" ca="1" si="141"/>
        <v/>
      </c>
      <c r="J922" s="392" t="str">
        <f t="shared" ca="1" si="142"/>
        <v/>
      </c>
      <c r="K922" s="392" t="str">
        <f t="shared" ca="1" si="143"/>
        <v/>
      </c>
      <c r="L922" s="391" t="str">
        <f t="shared" ca="1" si="144"/>
        <v/>
      </c>
      <c r="M922" s="401" t="str">
        <f ca="1">IFERROR(IF(COUNTIF($B$526:$B921,"&lt;0")=1,"",OFFSET($C920,-COUNTIF($B$526:$B921,"&lt;0")+3,0)),"")</f>
        <v>a17Dm000001PubmIAC</v>
      </c>
      <c r="N922" s="401">
        <f ca="1">IFERROR(IF(AND(_xlfn.ISFORMULA(I922),NOT(_xlfn.ISFORMULA(I921))),1,OFFSET($F920,-COUNTIF($B$526:B921,"&lt;0")+3,0)),"")</f>
        <v>27</v>
      </c>
      <c r="O922" s="387">
        <f t="shared" ca="1" si="148"/>
        <v>0</v>
      </c>
      <c r="P922" s="387"/>
      <c r="Q922" s="387"/>
      <c r="R922" s="387"/>
      <c r="S922" s="387"/>
      <c r="T922" s="391"/>
    </row>
    <row r="923" spans="1:20">
      <c r="A923" s="387" t="b">
        <f t="shared" ca="1" si="138"/>
        <v>0</v>
      </c>
      <c r="B923" s="387">
        <f t="shared" ca="1" si="145"/>
        <v>161</v>
      </c>
      <c r="C923" s="404" t="str">
        <f t="shared" ca="1" si="139"/>
        <v>a17Dm000001PucGIAS</v>
      </c>
      <c r="D923" s="401"/>
      <c r="E923" s="387">
        <f t="shared" ca="1" si="146"/>
        <v>395</v>
      </c>
      <c r="F923" s="402">
        <f ca="1">IF(COUNTA(D$527:D923)=1,"",OFFSET(F921,-COUNTA(D$527:D923)+3,0))</f>
        <v>27</v>
      </c>
      <c r="G923" s="391" t="str">
        <f t="shared" ca="1" si="140"/>
        <v/>
      </c>
      <c r="H923" s="387">
        <f t="shared" ca="1" si="147"/>
        <v>9</v>
      </c>
      <c r="I923" s="389" t="str">
        <f t="shared" ca="1" si="141"/>
        <v/>
      </c>
      <c r="J923" s="392" t="str">
        <f t="shared" ca="1" si="142"/>
        <v/>
      </c>
      <c r="K923" s="392" t="str">
        <f t="shared" ca="1" si="143"/>
        <v/>
      </c>
      <c r="L923" s="391" t="str">
        <f t="shared" ca="1" si="144"/>
        <v/>
      </c>
      <c r="M923" s="401" t="str">
        <f ca="1">IFERROR(IF(COUNTIF($B$526:$B922,"&lt;0")=1,"",OFFSET($C921,-COUNTIF($B$526:$B922,"&lt;0")+3,0)),"")</f>
        <v>a17Dm000001PucGIAS</v>
      </c>
      <c r="N923" s="401">
        <f ca="1">IFERROR(IF(AND(_xlfn.ISFORMULA(I923),NOT(_xlfn.ISFORMULA(I922))),1,OFFSET($F921,-COUNTIF($B$526:B922,"&lt;0")+3,0)),"")</f>
        <v>27</v>
      </c>
      <c r="O923" s="387">
        <f t="shared" ca="1" si="148"/>
        <v>0</v>
      </c>
      <c r="P923" s="387"/>
      <c r="Q923" s="387"/>
      <c r="R923" s="387"/>
      <c r="S923" s="387"/>
      <c r="T923" s="391"/>
    </row>
    <row r="924" spans="1:20">
      <c r="A924" s="387" t="b">
        <f t="shared" ca="1" si="138"/>
        <v>0</v>
      </c>
      <c r="B924" s="387">
        <f t="shared" ca="1" si="145"/>
        <v>162</v>
      </c>
      <c r="C924" s="404" t="str">
        <f t="shared" ca="1" si="139"/>
        <v>a17Dm000001PuckIAC</v>
      </c>
      <c r="D924" s="401"/>
      <c r="E924" s="387">
        <f t="shared" ca="1" si="146"/>
        <v>396</v>
      </c>
      <c r="F924" s="402">
        <f ca="1">IF(COUNTA(D$527:D924)=1,"",OFFSET(F922,-COUNTA(D$527:D924)+3,0))</f>
        <v>27</v>
      </c>
      <c r="G924" s="391" t="str">
        <f t="shared" ca="1" si="140"/>
        <v/>
      </c>
      <c r="H924" s="387">
        <f t="shared" ca="1" si="147"/>
        <v>9</v>
      </c>
      <c r="I924" s="389" t="str">
        <f t="shared" ca="1" si="141"/>
        <v/>
      </c>
      <c r="J924" s="392" t="str">
        <f t="shared" ca="1" si="142"/>
        <v/>
      </c>
      <c r="K924" s="392" t="str">
        <f t="shared" ca="1" si="143"/>
        <v/>
      </c>
      <c r="L924" s="391" t="str">
        <f t="shared" ca="1" si="144"/>
        <v/>
      </c>
      <c r="M924" s="401" t="str">
        <f ca="1">IFERROR(IF(COUNTIF($B$526:$B923,"&lt;0")=1,"",OFFSET($C922,-COUNTIF($B$526:$B923,"&lt;0")+3,0)),"")</f>
        <v>a17Dm000001PuckIAC</v>
      </c>
      <c r="N924" s="401">
        <f ca="1">IFERROR(IF(AND(_xlfn.ISFORMULA(I924),NOT(_xlfn.ISFORMULA(I923))),1,OFFSET($F922,-COUNTIF($B$526:B923,"&lt;0")+3,0)),"")</f>
        <v>27</v>
      </c>
      <c r="O924" s="387">
        <f t="shared" ca="1" si="148"/>
        <v>0</v>
      </c>
      <c r="P924" s="387"/>
      <c r="Q924" s="387"/>
      <c r="R924" s="387"/>
      <c r="S924" s="387"/>
      <c r="T924" s="391"/>
    </row>
    <row r="925" spans="1:20">
      <c r="A925" s="387" t="b">
        <f t="shared" ca="1" si="138"/>
        <v>0</v>
      </c>
      <c r="B925" s="387">
        <f t="shared" ca="1" si="145"/>
        <v>163</v>
      </c>
      <c r="C925" s="404" t="str">
        <f t="shared" ca="1" si="139"/>
        <v>a17Dm000001PuaLIAS</v>
      </c>
      <c r="D925" s="401"/>
      <c r="E925" s="387">
        <f t="shared" ca="1" si="146"/>
        <v>397</v>
      </c>
      <c r="F925" s="402">
        <f ca="1">IF(COUNTA(D$527:D925)=1,"",OFFSET(F923,-COUNTA(D$527:D925)+3,0))</f>
        <v>28</v>
      </c>
      <c r="G925" s="391" t="str">
        <f t="shared" ca="1" si="140"/>
        <v/>
      </c>
      <c r="H925" s="387">
        <f t="shared" ca="1" si="147"/>
        <v>9</v>
      </c>
      <c r="I925" s="389" t="str">
        <f t="shared" ca="1" si="141"/>
        <v/>
      </c>
      <c r="J925" s="392" t="str">
        <f t="shared" ca="1" si="142"/>
        <v/>
      </c>
      <c r="K925" s="392" t="str">
        <f t="shared" ca="1" si="143"/>
        <v/>
      </c>
      <c r="L925" s="391" t="str">
        <f t="shared" ca="1" si="144"/>
        <v/>
      </c>
      <c r="M925" s="401" t="str">
        <f ca="1">IFERROR(IF(COUNTIF($B$526:$B924,"&lt;0")=1,"",OFFSET($C923,-COUNTIF($B$526:$B924,"&lt;0")+3,0)),"")</f>
        <v>a17Dm000001PuaLIAS</v>
      </c>
      <c r="N925" s="401">
        <f ca="1">IFERROR(IF(AND(_xlfn.ISFORMULA(I925),NOT(_xlfn.ISFORMULA(I924))),1,OFFSET($F923,-COUNTIF($B$526:B924,"&lt;0")+3,0)),"")</f>
        <v>28</v>
      </c>
      <c r="O925" s="387">
        <f t="shared" ca="1" si="148"/>
        <v>0</v>
      </c>
      <c r="P925" s="387"/>
      <c r="Q925" s="387"/>
      <c r="R925" s="387"/>
      <c r="S925" s="387"/>
      <c r="T925" s="391"/>
    </row>
    <row r="926" spans="1:20">
      <c r="A926" s="387" t="b">
        <f t="shared" ca="1" si="138"/>
        <v>0</v>
      </c>
      <c r="B926" s="387">
        <f t="shared" ca="1" si="145"/>
        <v>164</v>
      </c>
      <c r="C926" s="404" t="str">
        <f t="shared" ca="1" si="139"/>
        <v>a17Dm000001PuapIAC</v>
      </c>
      <c r="D926" s="401"/>
      <c r="E926" s="387">
        <f t="shared" ca="1" si="146"/>
        <v>398</v>
      </c>
      <c r="F926" s="402">
        <f ca="1">IF(COUNTA(D$527:D926)=1,"",OFFSET(F924,-COUNTA(D$527:D926)+3,0))</f>
        <v>28</v>
      </c>
      <c r="G926" s="391" t="str">
        <f t="shared" ca="1" si="140"/>
        <v/>
      </c>
      <c r="H926" s="387">
        <f t="shared" ca="1" si="147"/>
        <v>9</v>
      </c>
      <c r="I926" s="389" t="str">
        <f t="shared" ca="1" si="141"/>
        <v/>
      </c>
      <c r="J926" s="392" t="str">
        <f t="shared" ca="1" si="142"/>
        <v/>
      </c>
      <c r="K926" s="392" t="str">
        <f t="shared" ca="1" si="143"/>
        <v/>
      </c>
      <c r="L926" s="391" t="str">
        <f t="shared" ca="1" si="144"/>
        <v/>
      </c>
      <c r="M926" s="401" t="str">
        <f ca="1">IFERROR(IF(COUNTIF($B$526:$B925,"&lt;0")=1,"",OFFSET($C924,-COUNTIF($B$526:$B925,"&lt;0")+3,0)),"")</f>
        <v>a17Dm000001PuapIAC</v>
      </c>
      <c r="N926" s="401">
        <f ca="1">IFERROR(IF(AND(_xlfn.ISFORMULA(I926),NOT(_xlfn.ISFORMULA(I925))),1,OFFSET($F924,-COUNTIF($B$526:B925,"&lt;0")+3,0)),"")</f>
        <v>28</v>
      </c>
      <c r="O926" s="387">
        <f t="shared" ca="1" si="148"/>
        <v>0</v>
      </c>
      <c r="P926" s="387"/>
      <c r="Q926" s="387"/>
      <c r="R926" s="387"/>
      <c r="S926" s="387"/>
      <c r="T926" s="391"/>
    </row>
    <row r="927" spans="1:20">
      <c r="A927" s="387" t="b">
        <f t="shared" ca="1" si="138"/>
        <v>0</v>
      </c>
      <c r="B927" s="387">
        <f t="shared" ca="1" si="145"/>
        <v>165</v>
      </c>
      <c r="C927" s="404" t="str">
        <f t="shared" ca="1" si="139"/>
        <v>a17Dm000001PubJIAS</v>
      </c>
      <c r="D927" s="401"/>
      <c r="E927" s="387">
        <f t="shared" ca="1" si="146"/>
        <v>399</v>
      </c>
      <c r="F927" s="402">
        <f ca="1">IF(COUNTA(D$527:D927)=1,"",OFFSET(F925,-COUNTA(D$527:D927)+3,0))</f>
        <v>28</v>
      </c>
      <c r="G927" s="391" t="str">
        <f t="shared" ca="1" si="140"/>
        <v/>
      </c>
      <c r="H927" s="387">
        <f t="shared" ca="1" si="147"/>
        <v>9</v>
      </c>
      <c r="I927" s="389" t="str">
        <f t="shared" ca="1" si="141"/>
        <v/>
      </c>
      <c r="J927" s="392" t="str">
        <f t="shared" ca="1" si="142"/>
        <v/>
      </c>
      <c r="K927" s="392" t="str">
        <f t="shared" ca="1" si="143"/>
        <v/>
      </c>
      <c r="L927" s="391" t="str">
        <f t="shared" ca="1" si="144"/>
        <v/>
      </c>
      <c r="M927" s="401" t="str">
        <f ca="1">IFERROR(IF(COUNTIF($B$526:$B926,"&lt;0")=1,"",OFFSET($C925,-COUNTIF($B$526:$B926,"&lt;0")+3,0)),"")</f>
        <v>a17Dm000001PubJIAS</v>
      </c>
      <c r="N927" s="401">
        <f ca="1">IFERROR(IF(AND(_xlfn.ISFORMULA(I927),NOT(_xlfn.ISFORMULA(I926))),1,OFFSET($F925,-COUNTIF($B$526:B926,"&lt;0")+3,0)),"")</f>
        <v>28</v>
      </c>
      <c r="O927" s="387">
        <f t="shared" ca="1" si="148"/>
        <v>0</v>
      </c>
      <c r="P927" s="387"/>
      <c r="Q927" s="387"/>
      <c r="R927" s="387"/>
      <c r="S927" s="387"/>
      <c r="T927" s="391"/>
    </row>
    <row r="928" spans="1:20">
      <c r="A928" s="387" t="b">
        <f t="shared" ca="1" si="138"/>
        <v>0</v>
      </c>
      <c r="B928" s="387">
        <f t="shared" ca="1" si="145"/>
        <v>166</v>
      </c>
      <c r="C928" s="404" t="str">
        <f t="shared" ca="1" si="139"/>
        <v>a17Dm000001PubnIAC</v>
      </c>
      <c r="D928" s="401"/>
      <c r="E928" s="387">
        <f t="shared" ca="1" si="146"/>
        <v>400</v>
      </c>
      <c r="F928" s="402">
        <f ca="1">IF(COUNTA(D$527:D928)=1,"",OFFSET(F926,-COUNTA(D$527:D928)+3,0))</f>
        <v>28</v>
      </c>
      <c r="G928" s="391" t="str">
        <f t="shared" ca="1" si="140"/>
        <v/>
      </c>
      <c r="H928" s="387">
        <f t="shared" ca="1" si="147"/>
        <v>9</v>
      </c>
      <c r="I928" s="389" t="str">
        <f t="shared" ca="1" si="141"/>
        <v/>
      </c>
      <c r="J928" s="392" t="str">
        <f t="shared" ca="1" si="142"/>
        <v/>
      </c>
      <c r="K928" s="392" t="str">
        <f t="shared" ca="1" si="143"/>
        <v/>
      </c>
      <c r="L928" s="391" t="str">
        <f t="shared" ca="1" si="144"/>
        <v/>
      </c>
      <c r="M928" s="401" t="str">
        <f ca="1">IFERROR(IF(COUNTIF($B$526:$B927,"&lt;0")=1,"",OFFSET($C926,-COUNTIF($B$526:$B927,"&lt;0")+3,0)),"")</f>
        <v>a17Dm000001PubnIAC</v>
      </c>
      <c r="N928" s="401">
        <f ca="1">IFERROR(IF(AND(_xlfn.ISFORMULA(I928),NOT(_xlfn.ISFORMULA(I927))),1,OFFSET($F926,-COUNTIF($B$526:B927,"&lt;0")+3,0)),"")</f>
        <v>28</v>
      </c>
      <c r="O928" s="387">
        <f t="shared" ca="1" si="148"/>
        <v>0</v>
      </c>
      <c r="P928" s="387"/>
      <c r="Q928" s="387"/>
      <c r="R928" s="387"/>
      <c r="S928" s="387"/>
      <c r="T928" s="391"/>
    </row>
    <row r="929" spans="1:20">
      <c r="A929" s="387" t="b">
        <f t="shared" ca="1" si="138"/>
        <v>0</v>
      </c>
      <c r="B929" s="387">
        <f t="shared" ca="1" si="145"/>
        <v>167</v>
      </c>
      <c r="C929" s="404" t="str">
        <f t="shared" ca="1" si="139"/>
        <v>a17Dm000001PucHIAS</v>
      </c>
      <c r="D929" s="401"/>
      <c r="E929" s="387">
        <f t="shared" ca="1" si="146"/>
        <v>401</v>
      </c>
      <c r="F929" s="402">
        <f ca="1">IF(COUNTA(D$527:D929)=1,"",OFFSET(F927,-COUNTA(D$527:D929)+3,0))</f>
        <v>28</v>
      </c>
      <c r="G929" s="391" t="str">
        <f t="shared" ca="1" si="140"/>
        <v/>
      </c>
      <c r="H929" s="387">
        <f t="shared" ca="1" si="147"/>
        <v>9</v>
      </c>
      <c r="I929" s="389" t="str">
        <f t="shared" ca="1" si="141"/>
        <v/>
      </c>
      <c r="J929" s="392" t="str">
        <f t="shared" ca="1" si="142"/>
        <v/>
      </c>
      <c r="K929" s="392" t="str">
        <f t="shared" ca="1" si="143"/>
        <v/>
      </c>
      <c r="L929" s="391" t="str">
        <f t="shared" ca="1" si="144"/>
        <v/>
      </c>
      <c r="M929" s="401" t="str">
        <f ca="1">IFERROR(IF(COUNTIF($B$526:$B928,"&lt;0")=1,"",OFFSET($C927,-COUNTIF($B$526:$B928,"&lt;0")+3,0)),"")</f>
        <v>a17Dm000001PucHIAS</v>
      </c>
      <c r="N929" s="401">
        <f ca="1">IFERROR(IF(AND(_xlfn.ISFORMULA(I929),NOT(_xlfn.ISFORMULA(I928))),1,OFFSET($F927,-COUNTIF($B$526:B928,"&lt;0")+3,0)),"")</f>
        <v>28</v>
      </c>
      <c r="O929" s="387">
        <f t="shared" ca="1" si="148"/>
        <v>0</v>
      </c>
      <c r="P929" s="387"/>
      <c r="Q929" s="387"/>
      <c r="R929" s="387"/>
      <c r="S929" s="387"/>
      <c r="T929" s="391"/>
    </row>
    <row r="930" spans="1:20">
      <c r="A930" s="387" t="b">
        <f t="shared" ca="1" si="138"/>
        <v>0</v>
      </c>
      <c r="B930" s="387">
        <f t="shared" ca="1" si="145"/>
        <v>168</v>
      </c>
      <c r="C930" s="404" t="str">
        <f t="shared" ca="1" si="139"/>
        <v>a17Dm000001PuclIAC</v>
      </c>
      <c r="D930" s="401"/>
      <c r="E930" s="387">
        <f t="shared" ca="1" si="146"/>
        <v>402</v>
      </c>
      <c r="F930" s="402">
        <f ca="1">IF(COUNTA(D$527:D930)=1,"",OFFSET(F928,-COUNTA(D$527:D930)+3,0))</f>
        <v>28</v>
      </c>
      <c r="G930" s="391" t="str">
        <f t="shared" ca="1" si="140"/>
        <v/>
      </c>
      <c r="H930" s="387">
        <f t="shared" ca="1" si="147"/>
        <v>9</v>
      </c>
      <c r="I930" s="389" t="str">
        <f t="shared" ca="1" si="141"/>
        <v/>
      </c>
      <c r="J930" s="392" t="str">
        <f t="shared" ca="1" si="142"/>
        <v/>
      </c>
      <c r="K930" s="392" t="str">
        <f t="shared" ca="1" si="143"/>
        <v/>
      </c>
      <c r="L930" s="391" t="str">
        <f t="shared" ca="1" si="144"/>
        <v/>
      </c>
      <c r="M930" s="401" t="str">
        <f ca="1">IFERROR(IF(COUNTIF($B$526:$B929,"&lt;0")=1,"",OFFSET($C928,-COUNTIF($B$526:$B929,"&lt;0")+3,0)),"")</f>
        <v>a17Dm000001PuclIAC</v>
      </c>
      <c r="N930" s="401">
        <f ca="1">IFERROR(IF(AND(_xlfn.ISFORMULA(I930),NOT(_xlfn.ISFORMULA(I929))),1,OFFSET($F928,-COUNTIF($B$526:B929,"&lt;0")+3,0)),"")</f>
        <v>28</v>
      </c>
      <c r="O930" s="387">
        <f t="shared" ca="1" si="148"/>
        <v>0</v>
      </c>
      <c r="P930" s="387"/>
      <c r="Q930" s="387"/>
      <c r="R930" s="387"/>
      <c r="S930" s="387"/>
      <c r="T930" s="391"/>
    </row>
    <row r="931" spans="1:20">
      <c r="A931" s="387" t="b">
        <f t="shared" ca="1" si="138"/>
        <v>0</v>
      </c>
      <c r="B931" s="387">
        <f t="shared" ca="1" si="145"/>
        <v>169</v>
      </c>
      <c r="C931" s="404" t="str">
        <f t="shared" ca="1" si="139"/>
        <v>a17Dm000001PuaMIAS</v>
      </c>
      <c r="D931" s="401"/>
      <c r="E931" s="387">
        <f t="shared" ca="1" si="146"/>
        <v>403</v>
      </c>
      <c r="F931" s="402">
        <f ca="1">IF(COUNTA(D$527:D931)=1,"",OFFSET(F929,-COUNTA(D$527:D931)+3,0))</f>
        <v>29</v>
      </c>
      <c r="G931" s="391" t="str">
        <f t="shared" ca="1" si="140"/>
        <v/>
      </c>
      <c r="H931" s="387">
        <f t="shared" ca="1" si="147"/>
        <v>9</v>
      </c>
      <c r="I931" s="389" t="str">
        <f t="shared" ca="1" si="141"/>
        <v/>
      </c>
      <c r="J931" s="392" t="str">
        <f t="shared" ca="1" si="142"/>
        <v/>
      </c>
      <c r="K931" s="392" t="str">
        <f t="shared" ca="1" si="143"/>
        <v/>
      </c>
      <c r="L931" s="391" t="str">
        <f t="shared" ca="1" si="144"/>
        <v/>
      </c>
      <c r="M931" s="401" t="str">
        <f ca="1">IFERROR(IF(COUNTIF($B$526:$B930,"&lt;0")=1,"",OFFSET($C929,-COUNTIF($B$526:$B930,"&lt;0")+3,0)),"")</f>
        <v>a17Dm000001PuaMIAS</v>
      </c>
      <c r="N931" s="401">
        <f ca="1">IFERROR(IF(AND(_xlfn.ISFORMULA(I931),NOT(_xlfn.ISFORMULA(I930))),1,OFFSET($F929,-COUNTIF($B$526:B930,"&lt;0")+3,0)),"")</f>
        <v>29</v>
      </c>
      <c r="O931" s="387">
        <f t="shared" ca="1" si="148"/>
        <v>0</v>
      </c>
      <c r="P931" s="387"/>
      <c r="Q931" s="387"/>
      <c r="R931" s="387"/>
      <c r="S931" s="387"/>
      <c r="T931" s="391"/>
    </row>
    <row r="932" spans="1:20">
      <c r="A932" s="387" t="b">
        <f t="shared" ca="1" si="138"/>
        <v>0</v>
      </c>
      <c r="B932" s="387">
        <f t="shared" ca="1" si="145"/>
        <v>170</v>
      </c>
      <c r="C932" s="404" t="str">
        <f t="shared" ca="1" si="139"/>
        <v>a17Dm000001PuaqIAC</v>
      </c>
      <c r="D932" s="401"/>
      <c r="E932" s="387">
        <f t="shared" ca="1" si="146"/>
        <v>404</v>
      </c>
      <c r="F932" s="402">
        <f ca="1">IF(COUNTA(D$527:D932)=1,"",OFFSET(F930,-COUNTA(D$527:D932)+3,0))</f>
        <v>29</v>
      </c>
      <c r="G932" s="391" t="str">
        <f t="shared" ca="1" si="140"/>
        <v/>
      </c>
      <c r="H932" s="387">
        <f t="shared" ca="1" si="147"/>
        <v>9</v>
      </c>
      <c r="I932" s="389" t="str">
        <f t="shared" ca="1" si="141"/>
        <v/>
      </c>
      <c r="J932" s="392" t="str">
        <f t="shared" ca="1" si="142"/>
        <v/>
      </c>
      <c r="K932" s="392" t="str">
        <f t="shared" ca="1" si="143"/>
        <v/>
      </c>
      <c r="L932" s="391" t="str">
        <f t="shared" ca="1" si="144"/>
        <v/>
      </c>
      <c r="M932" s="401" t="str">
        <f ca="1">IFERROR(IF(COUNTIF($B$526:$B931,"&lt;0")=1,"",OFFSET($C930,-COUNTIF($B$526:$B931,"&lt;0")+3,0)),"")</f>
        <v>a17Dm000001PuaqIAC</v>
      </c>
      <c r="N932" s="401">
        <f ca="1">IFERROR(IF(AND(_xlfn.ISFORMULA(I932),NOT(_xlfn.ISFORMULA(I931))),1,OFFSET($F930,-COUNTIF($B$526:B931,"&lt;0")+3,0)),"")</f>
        <v>29</v>
      </c>
      <c r="O932" s="387">
        <f t="shared" ca="1" si="148"/>
        <v>0</v>
      </c>
      <c r="P932" s="387"/>
      <c r="Q932" s="387"/>
      <c r="R932" s="387"/>
      <c r="S932" s="387"/>
      <c r="T932" s="391"/>
    </row>
    <row r="933" spans="1:20">
      <c r="A933" s="387" t="b">
        <f t="shared" ca="1" si="138"/>
        <v>0</v>
      </c>
      <c r="B933" s="387">
        <f t="shared" ca="1" si="145"/>
        <v>171</v>
      </c>
      <c r="C933" s="404" t="str">
        <f t="shared" ca="1" si="139"/>
        <v>a17Dm000001PubKIAS</v>
      </c>
      <c r="D933" s="401"/>
      <c r="E933" s="387">
        <f t="shared" ca="1" si="146"/>
        <v>405</v>
      </c>
      <c r="F933" s="402">
        <f ca="1">IF(COUNTA(D$527:D933)=1,"",OFFSET(F931,-COUNTA(D$527:D933)+3,0))</f>
        <v>29</v>
      </c>
      <c r="G933" s="391" t="str">
        <f t="shared" ca="1" si="140"/>
        <v/>
      </c>
      <c r="H933" s="387">
        <f t="shared" ca="1" si="147"/>
        <v>9</v>
      </c>
      <c r="I933" s="389" t="str">
        <f t="shared" ca="1" si="141"/>
        <v/>
      </c>
      <c r="J933" s="392" t="str">
        <f t="shared" ca="1" si="142"/>
        <v/>
      </c>
      <c r="K933" s="392" t="str">
        <f t="shared" ca="1" si="143"/>
        <v/>
      </c>
      <c r="L933" s="391" t="str">
        <f t="shared" ca="1" si="144"/>
        <v/>
      </c>
      <c r="M933" s="401" t="str">
        <f ca="1">IFERROR(IF(COUNTIF($B$526:$B932,"&lt;0")=1,"",OFFSET($C931,-COUNTIF($B$526:$B932,"&lt;0")+3,0)),"")</f>
        <v>a17Dm000001PubKIAS</v>
      </c>
      <c r="N933" s="401">
        <f ca="1">IFERROR(IF(AND(_xlfn.ISFORMULA(I933),NOT(_xlfn.ISFORMULA(I932))),1,OFFSET($F931,-COUNTIF($B$526:B932,"&lt;0")+3,0)),"")</f>
        <v>29</v>
      </c>
      <c r="O933" s="387">
        <f t="shared" ca="1" si="148"/>
        <v>0</v>
      </c>
      <c r="P933" s="387"/>
      <c r="Q933" s="387"/>
      <c r="R933" s="387"/>
      <c r="S933" s="387"/>
      <c r="T933" s="391"/>
    </row>
    <row r="934" spans="1:20">
      <c r="A934" s="387" t="b">
        <f t="shared" ca="1" si="138"/>
        <v>0</v>
      </c>
      <c r="B934" s="387">
        <f t="shared" ca="1" si="145"/>
        <v>172</v>
      </c>
      <c r="C934" s="404" t="str">
        <f t="shared" ca="1" si="139"/>
        <v>a17Dm000001PuboIAC</v>
      </c>
      <c r="D934" s="401"/>
      <c r="E934" s="387">
        <f t="shared" ca="1" si="146"/>
        <v>406</v>
      </c>
      <c r="F934" s="402">
        <f ca="1">IF(COUNTA(D$527:D934)=1,"",OFFSET(F932,-COUNTA(D$527:D934)+3,0))</f>
        <v>29</v>
      </c>
      <c r="G934" s="391" t="str">
        <f t="shared" ca="1" si="140"/>
        <v/>
      </c>
      <c r="H934" s="387">
        <f t="shared" ca="1" si="147"/>
        <v>9</v>
      </c>
      <c r="I934" s="389" t="str">
        <f t="shared" ca="1" si="141"/>
        <v/>
      </c>
      <c r="J934" s="392" t="str">
        <f t="shared" ca="1" si="142"/>
        <v/>
      </c>
      <c r="K934" s="392" t="str">
        <f t="shared" ca="1" si="143"/>
        <v/>
      </c>
      <c r="L934" s="391" t="str">
        <f t="shared" ca="1" si="144"/>
        <v/>
      </c>
      <c r="M934" s="401" t="str">
        <f ca="1">IFERROR(IF(COUNTIF($B$526:$B933,"&lt;0")=1,"",OFFSET($C932,-COUNTIF($B$526:$B933,"&lt;0")+3,0)),"")</f>
        <v>a17Dm000001PuboIAC</v>
      </c>
      <c r="N934" s="401">
        <f ca="1">IFERROR(IF(AND(_xlfn.ISFORMULA(I934),NOT(_xlfn.ISFORMULA(I933))),1,OFFSET($F932,-COUNTIF($B$526:B933,"&lt;0")+3,0)),"")</f>
        <v>29</v>
      </c>
      <c r="O934" s="387">
        <f t="shared" ca="1" si="148"/>
        <v>0</v>
      </c>
      <c r="P934" s="387"/>
      <c r="Q934" s="387"/>
      <c r="R934" s="387"/>
      <c r="S934" s="387"/>
      <c r="T934" s="391"/>
    </row>
    <row r="935" spans="1:20">
      <c r="A935" s="387" t="b">
        <f t="shared" ca="1" si="138"/>
        <v>0</v>
      </c>
      <c r="B935" s="387">
        <f t="shared" ca="1" si="145"/>
        <v>173</v>
      </c>
      <c r="C935" s="404" t="str">
        <f t="shared" ca="1" si="139"/>
        <v>a17Dm000001PucIIAS</v>
      </c>
      <c r="D935" s="401"/>
      <c r="E935" s="387">
        <f t="shared" ca="1" si="146"/>
        <v>407</v>
      </c>
      <c r="F935" s="402">
        <f ca="1">IF(COUNTA(D$527:D935)=1,"",OFFSET(F933,-COUNTA(D$527:D935)+3,0))</f>
        <v>29</v>
      </c>
      <c r="G935" s="391" t="str">
        <f t="shared" ca="1" si="140"/>
        <v/>
      </c>
      <c r="H935" s="387">
        <f t="shared" ca="1" si="147"/>
        <v>9</v>
      </c>
      <c r="I935" s="389" t="str">
        <f t="shared" ca="1" si="141"/>
        <v/>
      </c>
      <c r="J935" s="392" t="str">
        <f t="shared" ca="1" si="142"/>
        <v/>
      </c>
      <c r="K935" s="392" t="str">
        <f t="shared" ca="1" si="143"/>
        <v/>
      </c>
      <c r="L935" s="391" t="str">
        <f t="shared" ca="1" si="144"/>
        <v/>
      </c>
      <c r="M935" s="401" t="str">
        <f ca="1">IFERROR(IF(COUNTIF($B$526:$B934,"&lt;0")=1,"",OFFSET($C933,-COUNTIF($B$526:$B934,"&lt;0")+3,0)),"")</f>
        <v>a17Dm000001PucIIAS</v>
      </c>
      <c r="N935" s="401">
        <f ca="1">IFERROR(IF(AND(_xlfn.ISFORMULA(I935),NOT(_xlfn.ISFORMULA(I934))),1,OFFSET($F933,-COUNTIF($B$526:B934,"&lt;0")+3,0)),"")</f>
        <v>29</v>
      </c>
      <c r="O935" s="387">
        <f t="shared" ca="1" si="148"/>
        <v>0</v>
      </c>
      <c r="P935" s="387"/>
      <c r="Q935" s="387"/>
      <c r="R935" s="387"/>
      <c r="S935" s="387"/>
      <c r="T935" s="391"/>
    </row>
    <row r="936" spans="1:20">
      <c r="A936" s="387" t="b">
        <f t="shared" ca="1" si="138"/>
        <v>0</v>
      </c>
      <c r="B936" s="387">
        <f t="shared" ca="1" si="145"/>
        <v>174</v>
      </c>
      <c r="C936" s="404" t="str">
        <f t="shared" ca="1" si="139"/>
        <v>a17Dm000001PucmIAC</v>
      </c>
      <c r="D936" s="401"/>
      <c r="E936" s="387">
        <f t="shared" ca="1" si="146"/>
        <v>408</v>
      </c>
      <c r="F936" s="402">
        <f ca="1">IF(COUNTA(D$527:D936)=1,"",OFFSET(F934,-COUNTA(D$527:D936)+3,0))</f>
        <v>29</v>
      </c>
      <c r="G936" s="391" t="str">
        <f t="shared" ca="1" si="140"/>
        <v/>
      </c>
      <c r="H936" s="387">
        <f t="shared" ca="1" si="147"/>
        <v>9</v>
      </c>
      <c r="I936" s="389" t="str">
        <f t="shared" ca="1" si="141"/>
        <v/>
      </c>
      <c r="J936" s="392" t="str">
        <f t="shared" ca="1" si="142"/>
        <v/>
      </c>
      <c r="K936" s="392" t="str">
        <f t="shared" ca="1" si="143"/>
        <v/>
      </c>
      <c r="L936" s="391" t="str">
        <f t="shared" ca="1" si="144"/>
        <v/>
      </c>
      <c r="M936" s="401" t="str">
        <f ca="1">IFERROR(IF(COUNTIF($B$526:$B935,"&lt;0")=1,"",OFFSET($C934,-COUNTIF($B$526:$B935,"&lt;0")+3,0)),"")</f>
        <v>a17Dm000001PucmIAC</v>
      </c>
      <c r="N936" s="401">
        <f ca="1">IFERROR(IF(AND(_xlfn.ISFORMULA(I936),NOT(_xlfn.ISFORMULA(I935))),1,OFFSET($F934,-COUNTIF($B$526:B935,"&lt;0")+3,0)),"")</f>
        <v>29</v>
      </c>
      <c r="O936" s="387">
        <f t="shared" ca="1" si="148"/>
        <v>0</v>
      </c>
      <c r="P936" s="387"/>
      <c r="Q936" s="387"/>
      <c r="R936" s="387"/>
      <c r="S936" s="387"/>
      <c r="T936" s="391"/>
    </row>
    <row r="937" spans="1:20">
      <c r="A937" s="387" t="b">
        <f t="shared" ca="1" si="138"/>
        <v>0</v>
      </c>
      <c r="B937" s="387">
        <f t="shared" ca="1" si="145"/>
        <v>175</v>
      </c>
      <c r="C937" s="404" t="str">
        <f t="shared" ca="1" si="139"/>
        <v>a17Dm000001PuaNIAS</v>
      </c>
      <c r="D937" s="401"/>
      <c r="E937" s="387">
        <f t="shared" ca="1" si="146"/>
        <v>409</v>
      </c>
      <c r="F937" s="402">
        <f ca="1">IF(COUNTA(D$527:D937)=1,"",OFFSET(F935,-COUNTA(D$527:D937)+3,0))</f>
        <v>30</v>
      </c>
      <c r="G937" s="391" t="str">
        <f t="shared" ca="1" si="140"/>
        <v/>
      </c>
      <c r="H937" s="387">
        <f t="shared" ca="1" si="147"/>
        <v>9</v>
      </c>
      <c r="I937" s="389" t="str">
        <f t="shared" ca="1" si="141"/>
        <v/>
      </c>
      <c r="J937" s="392" t="str">
        <f t="shared" ca="1" si="142"/>
        <v/>
      </c>
      <c r="K937" s="392" t="str">
        <f t="shared" ca="1" si="143"/>
        <v/>
      </c>
      <c r="L937" s="391" t="str">
        <f t="shared" ca="1" si="144"/>
        <v/>
      </c>
      <c r="M937" s="401" t="str">
        <f ca="1">IFERROR(IF(COUNTIF($B$526:$B936,"&lt;0")=1,"",OFFSET($C935,-COUNTIF($B$526:$B936,"&lt;0")+3,0)),"")</f>
        <v>a17Dm000001PuaNIAS</v>
      </c>
      <c r="N937" s="401">
        <f ca="1">IFERROR(IF(AND(_xlfn.ISFORMULA(I937),NOT(_xlfn.ISFORMULA(I936))),1,OFFSET($F935,-COUNTIF($B$526:B936,"&lt;0")+3,0)),"")</f>
        <v>30</v>
      </c>
      <c r="O937" s="387">
        <f t="shared" ca="1" si="148"/>
        <v>0</v>
      </c>
      <c r="P937" s="387"/>
      <c r="Q937" s="387"/>
      <c r="R937" s="387"/>
      <c r="S937" s="387"/>
      <c r="T937" s="391"/>
    </row>
    <row r="938" spans="1:20">
      <c r="A938" s="387" t="b">
        <f t="shared" ca="1" si="138"/>
        <v>0</v>
      </c>
      <c r="B938" s="387">
        <f t="shared" ca="1" si="145"/>
        <v>176</v>
      </c>
      <c r="C938" s="404" t="str">
        <f t="shared" ca="1" si="139"/>
        <v>a17Dm000001PuarIAC</v>
      </c>
      <c r="D938" s="401"/>
      <c r="E938" s="387">
        <f t="shared" ca="1" si="146"/>
        <v>410</v>
      </c>
      <c r="F938" s="402">
        <f ca="1">IF(COUNTA(D$527:D938)=1,"",OFFSET(F936,-COUNTA(D$527:D938)+3,0))</f>
        <v>30</v>
      </c>
      <c r="G938" s="391" t="str">
        <f t="shared" ca="1" si="140"/>
        <v/>
      </c>
      <c r="H938" s="387">
        <f t="shared" ca="1" si="147"/>
        <v>9</v>
      </c>
      <c r="I938" s="389" t="str">
        <f t="shared" ca="1" si="141"/>
        <v/>
      </c>
      <c r="J938" s="392" t="str">
        <f t="shared" ca="1" si="142"/>
        <v/>
      </c>
      <c r="K938" s="392" t="str">
        <f t="shared" ca="1" si="143"/>
        <v/>
      </c>
      <c r="L938" s="391" t="str">
        <f t="shared" ca="1" si="144"/>
        <v/>
      </c>
      <c r="M938" s="401" t="str">
        <f ca="1">IFERROR(IF(COUNTIF($B$526:$B937,"&lt;0")=1,"",OFFSET($C936,-COUNTIF($B$526:$B937,"&lt;0")+3,0)),"")</f>
        <v>a17Dm000001PuarIAC</v>
      </c>
      <c r="N938" s="401">
        <f ca="1">IFERROR(IF(AND(_xlfn.ISFORMULA(I938),NOT(_xlfn.ISFORMULA(I937))),1,OFFSET($F936,-COUNTIF($B$526:B937,"&lt;0")+3,0)),"")</f>
        <v>30</v>
      </c>
      <c r="O938" s="387">
        <f t="shared" ca="1" si="148"/>
        <v>0</v>
      </c>
      <c r="P938" s="387"/>
      <c r="Q938" s="387"/>
      <c r="R938" s="387"/>
      <c r="S938" s="387"/>
      <c r="T938" s="391"/>
    </row>
    <row r="939" spans="1:20">
      <c r="A939" s="387" t="b">
        <f t="shared" ca="1" si="138"/>
        <v>0</v>
      </c>
      <c r="B939" s="387">
        <f t="shared" ca="1" si="145"/>
        <v>177</v>
      </c>
      <c r="C939" s="404" t="str">
        <f t="shared" ca="1" si="139"/>
        <v>a17Dm000001PubLIAS</v>
      </c>
      <c r="D939" s="401"/>
      <c r="E939" s="387">
        <f t="shared" ca="1" si="146"/>
        <v>411</v>
      </c>
      <c r="F939" s="402">
        <f ca="1">IF(COUNTA(D$527:D939)=1,"",OFFSET(F937,-COUNTA(D$527:D939)+3,0))</f>
        <v>30</v>
      </c>
      <c r="G939" s="391" t="str">
        <f t="shared" ca="1" si="140"/>
        <v/>
      </c>
      <c r="H939" s="387">
        <f t="shared" ca="1" si="147"/>
        <v>9</v>
      </c>
      <c r="I939" s="389" t="str">
        <f t="shared" ca="1" si="141"/>
        <v/>
      </c>
      <c r="J939" s="392" t="str">
        <f t="shared" ca="1" si="142"/>
        <v/>
      </c>
      <c r="K939" s="392" t="str">
        <f t="shared" ca="1" si="143"/>
        <v/>
      </c>
      <c r="L939" s="391" t="str">
        <f t="shared" ca="1" si="144"/>
        <v/>
      </c>
      <c r="M939" s="401" t="str">
        <f ca="1">IFERROR(IF(COUNTIF($B$526:$B938,"&lt;0")=1,"",OFFSET($C937,-COUNTIF($B$526:$B938,"&lt;0")+3,0)),"")</f>
        <v>a17Dm000001PubLIAS</v>
      </c>
      <c r="N939" s="401">
        <f ca="1">IFERROR(IF(AND(_xlfn.ISFORMULA(I939),NOT(_xlfn.ISFORMULA(I938))),1,OFFSET($F937,-COUNTIF($B$526:B938,"&lt;0")+3,0)),"")</f>
        <v>30</v>
      </c>
      <c r="O939" s="387">
        <f t="shared" ca="1" si="148"/>
        <v>0</v>
      </c>
      <c r="P939" s="387"/>
      <c r="Q939" s="387"/>
      <c r="R939" s="387"/>
      <c r="S939" s="387"/>
      <c r="T939" s="391"/>
    </row>
    <row r="940" spans="1:20">
      <c r="A940" s="387" t="b">
        <f t="shared" ca="1" si="138"/>
        <v>0</v>
      </c>
      <c r="B940" s="387">
        <f t="shared" ca="1" si="145"/>
        <v>178</v>
      </c>
      <c r="C940" s="404" t="str">
        <f t="shared" ca="1" si="139"/>
        <v>a17Dm000001PubpIAC</v>
      </c>
      <c r="D940" s="401"/>
      <c r="E940" s="387">
        <f t="shared" ca="1" si="146"/>
        <v>412</v>
      </c>
      <c r="F940" s="402">
        <f ca="1">IF(COUNTA(D$527:D940)=1,"",OFFSET(F938,-COUNTA(D$527:D940)+3,0))</f>
        <v>30</v>
      </c>
      <c r="G940" s="391" t="str">
        <f t="shared" ca="1" si="140"/>
        <v/>
      </c>
      <c r="H940" s="387">
        <f t="shared" ca="1" si="147"/>
        <v>9</v>
      </c>
      <c r="I940" s="389" t="str">
        <f t="shared" ca="1" si="141"/>
        <v/>
      </c>
      <c r="J940" s="392" t="str">
        <f t="shared" ca="1" si="142"/>
        <v/>
      </c>
      <c r="K940" s="392" t="str">
        <f t="shared" ca="1" si="143"/>
        <v/>
      </c>
      <c r="L940" s="391" t="str">
        <f t="shared" ca="1" si="144"/>
        <v/>
      </c>
      <c r="M940" s="401" t="str">
        <f ca="1">IFERROR(IF(COUNTIF($B$526:$B939,"&lt;0")=1,"",OFFSET($C938,-COUNTIF($B$526:$B939,"&lt;0")+3,0)),"")</f>
        <v>a17Dm000001PubpIAC</v>
      </c>
      <c r="N940" s="401">
        <f ca="1">IFERROR(IF(AND(_xlfn.ISFORMULA(I940),NOT(_xlfn.ISFORMULA(I939))),1,OFFSET($F938,-COUNTIF($B$526:B939,"&lt;0")+3,0)),"")</f>
        <v>30</v>
      </c>
      <c r="O940" s="387">
        <f t="shared" ca="1" si="148"/>
        <v>0</v>
      </c>
      <c r="P940" s="387"/>
      <c r="Q940" s="387"/>
      <c r="R940" s="387"/>
      <c r="S940" s="387"/>
      <c r="T940" s="391"/>
    </row>
    <row r="941" spans="1:20">
      <c r="A941" s="387" t="b">
        <f t="shared" ca="1" si="138"/>
        <v>0</v>
      </c>
      <c r="B941" s="387">
        <f t="shared" ca="1" si="145"/>
        <v>179</v>
      </c>
      <c r="C941" s="404" t="str">
        <f t="shared" ca="1" si="139"/>
        <v>a17Dm000001PucJIAS</v>
      </c>
      <c r="D941" s="401"/>
      <c r="E941" s="387">
        <f t="shared" ca="1" si="146"/>
        <v>413</v>
      </c>
      <c r="F941" s="402">
        <f ca="1">IF(COUNTA(D$527:D941)=1,"",OFFSET(F939,-COUNTA(D$527:D941)+3,0))</f>
        <v>30</v>
      </c>
      <c r="G941" s="391" t="str">
        <f t="shared" ca="1" si="140"/>
        <v/>
      </c>
      <c r="H941" s="387">
        <f t="shared" ca="1" si="147"/>
        <v>9</v>
      </c>
      <c r="I941" s="389" t="str">
        <f t="shared" ca="1" si="141"/>
        <v/>
      </c>
      <c r="J941" s="392" t="str">
        <f t="shared" ca="1" si="142"/>
        <v/>
      </c>
      <c r="K941" s="392" t="str">
        <f t="shared" ca="1" si="143"/>
        <v/>
      </c>
      <c r="L941" s="391" t="str">
        <f t="shared" ca="1" si="144"/>
        <v/>
      </c>
      <c r="M941" s="401" t="str">
        <f ca="1">IFERROR(IF(COUNTIF($B$526:$B940,"&lt;0")=1,"",OFFSET($C939,-COUNTIF($B$526:$B940,"&lt;0")+3,0)),"")</f>
        <v>a17Dm000001PucJIAS</v>
      </c>
      <c r="N941" s="401">
        <f ca="1">IFERROR(IF(AND(_xlfn.ISFORMULA(I941),NOT(_xlfn.ISFORMULA(I940))),1,OFFSET($F939,-COUNTIF($B$526:B940,"&lt;0")+3,0)),"")</f>
        <v>30</v>
      </c>
      <c r="O941" s="387">
        <f t="shared" ca="1" si="148"/>
        <v>0</v>
      </c>
      <c r="P941" s="387"/>
      <c r="Q941" s="387"/>
      <c r="R941" s="387"/>
      <c r="S941" s="387"/>
      <c r="T941" s="391"/>
    </row>
    <row r="942" spans="1:20">
      <c r="A942" s="387" t="b">
        <f t="shared" ca="1" si="138"/>
        <v>0</v>
      </c>
      <c r="B942" s="387">
        <f t="shared" ca="1" si="145"/>
        <v>180</v>
      </c>
      <c r="C942" s="404" t="str">
        <f t="shared" ca="1" si="139"/>
        <v>a17Dm000001PucnIAC</v>
      </c>
      <c r="D942" s="401"/>
      <c r="E942" s="387">
        <f t="shared" ca="1" si="146"/>
        <v>414</v>
      </c>
      <c r="F942" s="402">
        <f ca="1">IF(COUNTA(D$527:D942)=1,"",OFFSET(F940,-COUNTA(D$527:D942)+3,0))</f>
        <v>30</v>
      </c>
      <c r="G942" s="391" t="str">
        <f t="shared" ca="1" si="140"/>
        <v/>
      </c>
      <c r="H942" s="387">
        <f t="shared" ca="1" si="147"/>
        <v>9</v>
      </c>
      <c r="I942" s="389" t="str">
        <f t="shared" ca="1" si="141"/>
        <v/>
      </c>
      <c r="J942" s="392" t="str">
        <f t="shared" ca="1" si="142"/>
        <v/>
      </c>
      <c r="K942" s="392" t="str">
        <f t="shared" ca="1" si="143"/>
        <v/>
      </c>
      <c r="L942" s="391" t="str">
        <f t="shared" ca="1" si="144"/>
        <v/>
      </c>
      <c r="M942" s="401" t="str">
        <f ca="1">IFERROR(IF(COUNTIF($B$526:$B941,"&lt;0")=1,"",OFFSET($C940,-COUNTIF($B$526:$B941,"&lt;0")+3,0)),"")</f>
        <v>a17Dm000001PucnIAC</v>
      </c>
      <c r="N942" s="401">
        <f ca="1">IFERROR(IF(AND(_xlfn.ISFORMULA(I942),NOT(_xlfn.ISFORMULA(I941))),1,OFFSET($F940,-COUNTIF($B$526:B941,"&lt;0")+3,0)),"")</f>
        <v>30</v>
      </c>
      <c r="O942" s="387">
        <f t="shared" ca="1" si="148"/>
        <v>0</v>
      </c>
      <c r="P942" s="387"/>
      <c r="Q942" s="387"/>
      <c r="R942" s="387"/>
      <c r="S942" s="387"/>
      <c r="T942" s="391"/>
    </row>
    <row r="943" spans="1:20">
      <c r="A943" s="387" t="b">
        <f t="shared" ca="1" si="138"/>
        <v>0</v>
      </c>
      <c r="B943" s="387">
        <f t="shared" ca="1" si="145"/>
        <v>181</v>
      </c>
      <c r="C943" s="404" t="str">
        <f t="shared" ca="1" si="139"/>
        <v>a17Dm000002dbLnIAI</v>
      </c>
      <c r="D943" s="401"/>
      <c r="E943" s="387">
        <f t="shared" ca="1" si="146"/>
        <v>415</v>
      </c>
      <c r="F943" s="402">
        <f ca="1">IF(COUNTA(D$527:D943)=1,"",OFFSET(F941,-COUNTA(D$527:D943)+3,0))</f>
        <v>31</v>
      </c>
      <c r="G943" s="391" t="str">
        <f t="shared" ca="1" si="140"/>
        <v/>
      </c>
      <c r="H943" s="387">
        <f t="shared" ca="1" si="147"/>
        <v>9</v>
      </c>
      <c r="I943" s="389" t="str">
        <f t="shared" ca="1" si="141"/>
        <v/>
      </c>
      <c r="J943" s="392" t="str">
        <f t="shared" ca="1" si="142"/>
        <v/>
      </c>
      <c r="K943" s="392" t="str">
        <f t="shared" ca="1" si="143"/>
        <v/>
      </c>
      <c r="L943" s="391" t="str">
        <f t="shared" ca="1" si="144"/>
        <v/>
      </c>
      <c r="M943" s="401" t="str">
        <f ca="1">IFERROR(IF(COUNTIF($B$526:$B942,"&lt;0")=1,"",OFFSET($C941,-COUNTIF($B$526:$B942,"&lt;0")+3,0)),"")</f>
        <v>a17Dm000002dbLnIAI</v>
      </c>
      <c r="N943" s="401">
        <f ca="1">IFERROR(IF(AND(_xlfn.ISFORMULA(I943),NOT(_xlfn.ISFORMULA(I942))),1,OFFSET($F941,-COUNTIF($B$526:B942,"&lt;0")+3,0)),"")</f>
        <v>31</v>
      </c>
      <c r="O943" s="387">
        <f t="shared" ca="1" si="148"/>
        <v>0</v>
      </c>
      <c r="P943" s="387"/>
      <c r="Q943" s="387"/>
      <c r="R943" s="387"/>
      <c r="S943" s="387"/>
      <c r="T943" s="391"/>
    </row>
    <row r="944" spans="1:20">
      <c r="A944" s="387" t="b">
        <f t="shared" ca="1" si="138"/>
        <v>0</v>
      </c>
      <c r="B944" s="387">
        <f t="shared" ca="1" si="145"/>
        <v>182</v>
      </c>
      <c r="C944" s="404" t="str">
        <f t="shared" ca="1" si="139"/>
        <v>a17Dm000002dbN2IAI</v>
      </c>
      <c r="D944" s="401"/>
      <c r="E944" s="387">
        <f t="shared" ca="1" si="146"/>
        <v>416</v>
      </c>
      <c r="F944" s="402">
        <f ca="1">IF(COUNTA(D$527:D944)=1,"",OFFSET(F942,-COUNTA(D$527:D944)+3,0))</f>
        <v>31</v>
      </c>
      <c r="G944" s="391" t="str">
        <f t="shared" ca="1" si="140"/>
        <v/>
      </c>
      <c r="H944" s="387">
        <f t="shared" ca="1" si="147"/>
        <v>9</v>
      </c>
      <c r="I944" s="389" t="str">
        <f t="shared" ca="1" si="141"/>
        <v/>
      </c>
      <c r="J944" s="392" t="str">
        <f t="shared" ca="1" si="142"/>
        <v/>
      </c>
      <c r="K944" s="392" t="str">
        <f t="shared" ca="1" si="143"/>
        <v/>
      </c>
      <c r="L944" s="391" t="str">
        <f t="shared" ca="1" si="144"/>
        <v/>
      </c>
      <c r="M944" s="401" t="str">
        <f ca="1">IFERROR(IF(COUNTIF($B$526:$B943,"&lt;0")=1,"",OFFSET($C942,-COUNTIF($B$526:$B943,"&lt;0")+3,0)),"")</f>
        <v>a17Dm000002dbN2IAI</v>
      </c>
      <c r="N944" s="401">
        <f ca="1">IFERROR(IF(AND(_xlfn.ISFORMULA(I944),NOT(_xlfn.ISFORMULA(I943))),1,OFFSET($F942,-COUNTIF($B$526:B943,"&lt;0")+3,0)),"")</f>
        <v>31</v>
      </c>
      <c r="O944" s="387">
        <f t="shared" ca="1" si="148"/>
        <v>0</v>
      </c>
      <c r="P944" s="387"/>
      <c r="Q944" s="387"/>
      <c r="R944" s="387"/>
      <c r="S944" s="387"/>
      <c r="T944" s="391"/>
    </row>
    <row r="945" spans="1:20">
      <c r="A945" s="387" t="b">
        <f t="shared" ca="1" si="138"/>
        <v>0</v>
      </c>
      <c r="B945" s="387">
        <f t="shared" ca="1" si="145"/>
        <v>183</v>
      </c>
      <c r="C945" s="404" t="str">
        <f t="shared" ca="1" si="139"/>
        <v>a17Dm000002dbT5IAI</v>
      </c>
      <c r="D945" s="401"/>
      <c r="E945" s="387">
        <f t="shared" ca="1" si="146"/>
        <v>417</v>
      </c>
      <c r="F945" s="402">
        <f ca="1">IF(COUNTA(D$527:D945)=1,"",OFFSET(F943,-COUNTA(D$527:D945)+3,0))</f>
        <v>31</v>
      </c>
      <c r="G945" s="391" t="str">
        <f t="shared" ca="1" si="140"/>
        <v/>
      </c>
      <c r="H945" s="387">
        <f t="shared" ca="1" si="147"/>
        <v>9</v>
      </c>
      <c r="I945" s="389" t="str">
        <f t="shared" ca="1" si="141"/>
        <v/>
      </c>
      <c r="J945" s="392" t="str">
        <f t="shared" ca="1" si="142"/>
        <v/>
      </c>
      <c r="K945" s="392" t="str">
        <f t="shared" ca="1" si="143"/>
        <v/>
      </c>
      <c r="L945" s="391" t="str">
        <f t="shared" ca="1" si="144"/>
        <v/>
      </c>
      <c r="M945" s="401" t="str">
        <f ca="1">IFERROR(IF(COUNTIF($B$526:$B944,"&lt;0")=1,"",OFFSET($C943,-COUNTIF($B$526:$B944,"&lt;0")+3,0)),"")</f>
        <v>a17Dm000002dbT5IAI</v>
      </c>
      <c r="N945" s="401">
        <f ca="1">IFERROR(IF(AND(_xlfn.ISFORMULA(I945),NOT(_xlfn.ISFORMULA(I944))),1,OFFSET($F943,-COUNTIF($B$526:B944,"&lt;0")+3,0)),"")</f>
        <v>31</v>
      </c>
      <c r="O945" s="387">
        <f t="shared" ca="1" si="148"/>
        <v>0</v>
      </c>
      <c r="P945" s="387"/>
      <c r="Q945" s="387"/>
      <c r="R945" s="387"/>
      <c r="S945" s="387"/>
      <c r="T945" s="391"/>
    </row>
    <row r="946" spans="1:20">
      <c r="A946" s="387" t="b">
        <f t="shared" ca="1" si="138"/>
        <v>0</v>
      </c>
      <c r="B946" s="387">
        <f t="shared" ca="1" si="145"/>
        <v>184</v>
      </c>
      <c r="C946" s="404" t="str">
        <f t="shared" ca="1" si="139"/>
        <v>a17Dm000002dbeaIAA</v>
      </c>
      <c r="D946" s="401"/>
      <c r="E946" s="387">
        <f t="shared" ca="1" si="146"/>
        <v>418</v>
      </c>
      <c r="F946" s="402">
        <f ca="1">IF(COUNTA(D$527:D946)=1,"",OFFSET(F944,-COUNTA(D$527:D946)+3,0))</f>
        <v>31</v>
      </c>
      <c r="G946" s="391" t="str">
        <f t="shared" ca="1" si="140"/>
        <v/>
      </c>
      <c r="H946" s="387">
        <f t="shared" ca="1" si="147"/>
        <v>9</v>
      </c>
      <c r="I946" s="389" t="str">
        <f t="shared" ca="1" si="141"/>
        <v/>
      </c>
      <c r="J946" s="392" t="str">
        <f t="shared" ca="1" si="142"/>
        <v/>
      </c>
      <c r="K946" s="392" t="str">
        <f t="shared" ca="1" si="143"/>
        <v/>
      </c>
      <c r="L946" s="391" t="str">
        <f t="shared" ca="1" si="144"/>
        <v/>
      </c>
      <c r="M946" s="401" t="str">
        <f ca="1">IFERROR(IF(COUNTIF($B$526:$B945,"&lt;0")=1,"",OFFSET($C944,-COUNTIF($B$526:$B945,"&lt;0")+3,0)),"")</f>
        <v>a17Dm000002dbeaIAA</v>
      </c>
      <c r="N946" s="401">
        <f ca="1">IFERROR(IF(AND(_xlfn.ISFORMULA(I946),NOT(_xlfn.ISFORMULA(I945))),1,OFFSET($F944,-COUNTIF($B$526:B945,"&lt;0")+3,0)),"")</f>
        <v>31</v>
      </c>
      <c r="O946" s="387">
        <f t="shared" ca="1" si="148"/>
        <v>0</v>
      </c>
      <c r="P946" s="387"/>
      <c r="Q946" s="387"/>
      <c r="R946" s="387"/>
      <c r="S946" s="387"/>
      <c r="T946" s="391"/>
    </row>
    <row r="947" spans="1:20">
      <c r="A947" s="387" t="b">
        <f t="shared" ca="1" si="138"/>
        <v>0</v>
      </c>
      <c r="B947" s="387">
        <f t="shared" ca="1" si="145"/>
        <v>185</v>
      </c>
      <c r="C947" s="404" t="str">
        <f t="shared" ca="1" si="139"/>
        <v>a17Dm000002dbfXIAQ</v>
      </c>
      <c r="D947" s="401"/>
      <c r="E947" s="387">
        <f t="shared" ca="1" si="146"/>
        <v>419</v>
      </c>
      <c r="F947" s="402">
        <f ca="1">IF(COUNTA(D$527:D947)=1,"",OFFSET(F945,-COUNTA(D$527:D947)+3,0))</f>
        <v>31</v>
      </c>
      <c r="G947" s="391" t="str">
        <f t="shared" ca="1" si="140"/>
        <v/>
      </c>
      <c r="H947" s="387">
        <f t="shared" ca="1" si="147"/>
        <v>9</v>
      </c>
      <c r="I947" s="389" t="str">
        <f t="shared" ca="1" si="141"/>
        <v/>
      </c>
      <c r="J947" s="392" t="str">
        <f t="shared" ca="1" si="142"/>
        <v/>
      </c>
      <c r="K947" s="392" t="str">
        <f t="shared" ca="1" si="143"/>
        <v/>
      </c>
      <c r="L947" s="391" t="str">
        <f t="shared" ca="1" si="144"/>
        <v/>
      </c>
      <c r="M947" s="401" t="str">
        <f ca="1">IFERROR(IF(COUNTIF($B$526:$B946,"&lt;0")=1,"",OFFSET($C945,-COUNTIF($B$526:$B946,"&lt;0")+3,0)),"")</f>
        <v>a17Dm000002dbfXIAQ</v>
      </c>
      <c r="N947" s="401">
        <f ca="1">IFERROR(IF(AND(_xlfn.ISFORMULA(I947),NOT(_xlfn.ISFORMULA(I946))),1,OFFSET($F945,-COUNTIF($B$526:B946,"&lt;0")+3,0)),"")</f>
        <v>31</v>
      </c>
      <c r="O947" s="387">
        <f t="shared" ca="1" si="148"/>
        <v>0</v>
      </c>
      <c r="P947" s="387"/>
      <c r="Q947" s="387"/>
      <c r="R947" s="387"/>
      <c r="S947" s="387"/>
      <c r="T947" s="391"/>
    </row>
    <row r="948" spans="1:20">
      <c r="A948" s="387" t="b">
        <f t="shared" ca="1" si="138"/>
        <v>0</v>
      </c>
      <c r="B948" s="387">
        <f t="shared" ca="1" si="145"/>
        <v>186</v>
      </c>
      <c r="C948" s="404" t="str">
        <f t="shared" ca="1" si="139"/>
        <v>a17Dm000002dbh3IAA</v>
      </c>
      <c r="D948" s="401"/>
      <c r="E948" s="387">
        <f t="shared" ca="1" si="146"/>
        <v>420</v>
      </c>
      <c r="F948" s="402">
        <f ca="1">IF(COUNTA(D$527:D948)=1,"",OFFSET(F946,-COUNTA(D$527:D948)+3,0))</f>
        <v>31</v>
      </c>
      <c r="G948" s="391" t="str">
        <f t="shared" ca="1" si="140"/>
        <v/>
      </c>
      <c r="H948" s="387">
        <f t="shared" ca="1" si="147"/>
        <v>9</v>
      </c>
      <c r="I948" s="389" t="str">
        <f t="shared" ca="1" si="141"/>
        <v/>
      </c>
      <c r="J948" s="392" t="str">
        <f t="shared" ca="1" si="142"/>
        <v/>
      </c>
      <c r="K948" s="392" t="str">
        <f t="shared" ca="1" si="143"/>
        <v/>
      </c>
      <c r="L948" s="391" t="str">
        <f t="shared" ca="1" si="144"/>
        <v/>
      </c>
      <c r="M948" s="401" t="str">
        <f ca="1">IFERROR(IF(COUNTIF($B$526:$B947,"&lt;0")=1,"",OFFSET($C946,-COUNTIF($B$526:$B947,"&lt;0")+3,0)),"")</f>
        <v>a17Dm000002dbh3IAA</v>
      </c>
      <c r="N948" s="401">
        <f ca="1">IFERROR(IF(AND(_xlfn.ISFORMULA(I948),NOT(_xlfn.ISFORMULA(I947))),1,OFFSET($F946,-COUNTIF($B$526:B947,"&lt;0")+3,0)),"")</f>
        <v>31</v>
      </c>
      <c r="O948" s="387">
        <f t="shared" ca="1" si="148"/>
        <v>0</v>
      </c>
      <c r="P948" s="387"/>
      <c r="Q948" s="387"/>
      <c r="R948" s="387"/>
      <c r="S948" s="387"/>
      <c r="T948" s="391"/>
    </row>
    <row r="949" spans="1:20">
      <c r="A949" s="387" t="b">
        <f t="shared" ca="1" si="138"/>
        <v>0</v>
      </c>
      <c r="B949" s="387">
        <f t="shared" ca="1" si="145"/>
        <v>187</v>
      </c>
      <c r="C949" s="404" t="str">
        <f t="shared" ca="1" si="139"/>
        <v>a17Dm000002dbLoIAI</v>
      </c>
      <c r="D949" s="401"/>
      <c r="E949" s="387">
        <f t="shared" ca="1" si="146"/>
        <v>421</v>
      </c>
      <c r="F949" s="402">
        <f ca="1">IF(COUNTA(D$527:D949)=1,"",OFFSET(F947,-COUNTA(D$527:D949)+3,0))</f>
        <v>32</v>
      </c>
      <c r="G949" s="391" t="str">
        <f t="shared" ca="1" si="140"/>
        <v/>
      </c>
      <c r="H949" s="387">
        <f t="shared" ca="1" si="147"/>
        <v>9</v>
      </c>
      <c r="I949" s="389" t="str">
        <f t="shared" ca="1" si="141"/>
        <v/>
      </c>
      <c r="J949" s="392" t="str">
        <f t="shared" ca="1" si="142"/>
        <v/>
      </c>
      <c r="K949" s="392" t="str">
        <f t="shared" ca="1" si="143"/>
        <v/>
      </c>
      <c r="L949" s="391" t="str">
        <f t="shared" ca="1" si="144"/>
        <v/>
      </c>
      <c r="M949" s="401" t="str">
        <f ca="1">IFERROR(IF(COUNTIF($B$526:$B948,"&lt;0")=1,"",OFFSET($C947,-COUNTIF($B$526:$B948,"&lt;0")+3,0)),"")</f>
        <v>a17Dm000002dbLoIAI</v>
      </c>
      <c r="N949" s="401">
        <f ca="1">IFERROR(IF(AND(_xlfn.ISFORMULA(I949),NOT(_xlfn.ISFORMULA(I948))),1,OFFSET($F947,-COUNTIF($B$526:B948,"&lt;0")+3,0)),"")</f>
        <v>32</v>
      </c>
      <c r="O949" s="387">
        <f t="shared" ca="1" si="148"/>
        <v>0</v>
      </c>
      <c r="P949" s="387"/>
      <c r="Q949" s="387"/>
      <c r="R949" s="387"/>
      <c r="S949" s="387"/>
      <c r="T949" s="391"/>
    </row>
    <row r="950" spans="1:20">
      <c r="A950" s="387" t="b">
        <f t="shared" ca="1" si="138"/>
        <v>0</v>
      </c>
      <c r="B950" s="387">
        <f t="shared" ca="1" si="145"/>
        <v>188</v>
      </c>
      <c r="C950" s="404" t="str">
        <f t="shared" ca="1" si="139"/>
        <v>a17Dm000002dbN3IAI</v>
      </c>
      <c r="D950" s="401"/>
      <c r="E950" s="387">
        <f t="shared" ca="1" si="146"/>
        <v>422</v>
      </c>
      <c r="F950" s="402">
        <f ca="1">IF(COUNTA(D$527:D950)=1,"",OFFSET(F948,-COUNTA(D$527:D950)+3,0))</f>
        <v>32</v>
      </c>
      <c r="G950" s="391" t="str">
        <f t="shared" ca="1" si="140"/>
        <v/>
      </c>
      <c r="H950" s="387">
        <f t="shared" ca="1" si="147"/>
        <v>9</v>
      </c>
      <c r="I950" s="389" t="str">
        <f t="shared" ca="1" si="141"/>
        <v/>
      </c>
      <c r="J950" s="392" t="str">
        <f t="shared" ca="1" si="142"/>
        <v/>
      </c>
      <c r="K950" s="392" t="str">
        <f t="shared" ca="1" si="143"/>
        <v/>
      </c>
      <c r="L950" s="391" t="str">
        <f t="shared" ca="1" si="144"/>
        <v/>
      </c>
      <c r="M950" s="401" t="str">
        <f ca="1">IFERROR(IF(COUNTIF($B$526:$B949,"&lt;0")=1,"",OFFSET($C948,-COUNTIF($B$526:$B949,"&lt;0")+3,0)),"")</f>
        <v>a17Dm000002dbN3IAI</v>
      </c>
      <c r="N950" s="401">
        <f ca="1">IFERROR(IF(AND(_xlfn.ISFORMULA(I950),NOT(_xlfn.ISFORMULA(I949))),1,OFFSET($F948,-COUNTIF($B$526:B949,"&lt;0")+3,0)),"")</f>
        <v>32</v>
      </c>
      <c r="O950" s="387">
        <f t="shared" ca="1" si="148"/>
        <v>0</v>
      </c>
      <c r="P950" s="387"/>
      <c r="Q950" s="387"/>
      <c r="R950" s="387"/>
      <c r="S950" s="387"/>
      <c r="T950" s="391"/>
    </row>
    <row r="951" spans="1:20">
      <c r="A951" s="387" t="b">
        <f t="shared" ca="1" si="138"/>
        <v>0</v>
      </c>
      <c r="B951" s="387">
        <f t="shared" ca="1" si="145"/>
        <v>189</v>
      </c>
      <c r="C951" s="404" t="str">
        <f t="shared" ca="1" si="139"/>
        <v>a17Dm000002dbT6IAI</v>
      </c>
      <c r="D951" s="401"/>
      <c r="E951" s="387">
        <f t="shared" ca="1" si="146"/>
        <v>423</v>
      </c>
      <c r="F951" s="402">
        <f ca="1">IF(COUNTA(D$527:D951)=1,"",OFFSET(F949,-COUNTA(D$527:D951)+3,0))</f>
        <v>32</v>
      </c>
      <c r="G951" s="391" t="str">
        <f t="shared" ca="1" si="140"/>
        <v/>
      </c>
      <c r="H951" s="387">
        <f t="shared" ca="1" si="147"/>
        <v>9</v>
      </c>
      <c r="I951" s="389" t="str">
        <f t="shared" ca="1" si="141"/>
        <v/>
      </c>
      <c r="J951" s="392" t="str">
        <f t="shared" ca="1" si="142"/>
        <v/>
      </c>
      <c r="K951" s="392" t="str">
        <f t="shared" ca="1" si="143"/>
        <v/>
      </c>
      <c r="L951" s="391" t="str">
        <f t="shared" ca="1" si="144"/>
        <v/>
      </c>
      <c r="M951" s="401" t="str">
        <f ca="1">IFERROR(IF(COUNTIF($B$526:$B950,"&lt;0")=1,"",OFFSET($C949,-COUNTIF($B$526:$B950,"&lt;0")+3,0)),"")</f>
        <v>a17Dm000002dbT6IAI</v>
      </c>
      <c r="N951" s="401">
        <f ca="1">IFERROR(IF(AND(_xlfn.ISFORMULA(I951),NOT(_xlfn.ISFORMULA(I950))),1,OFFSET($F949,-COUNTIF($B$526:B950,"&lt;0")+3,0)),"")</f>
        <v>32</v>
      </c>
      <c r="O951" s="387">
        <f t="shared" ca="1" si="148"/>
        <v>0</v>
      </c>
      <c r="P951" s="387"/>
      <c r="Q951" s="387"/>
      <c r="R951" s="387"/>
      <c r="S951" s="387"/>
      <c r="T951" s="391"/>
    </row>
    <row r="952" spans="1:20">
      <c r="A952" s="387" t="b">
        <f t="shared" ca="1" si="138"/>
        <v>0</v>
      </c>
      <c r="B952" s="387">
        <f t="shared" ca="1" si="145"/>
        <v>190</v>
      </c>
      <c r="C952" s="404" t="str">
        <f t="shared" ca="1" si="139"/>
        <v>a17Dm000002dbebIAA</v>
      </c>
      <c r="D952" s="401"/>
      <c r="E952" s="387">
        <f t="shared" ca="1" si="146"/>
        <v>424</v>
      </c>
      <c r="F952" s="402">
        <f ca="1">IF(COUNTA(D$527:D952)=1,"",OFFSET(F950,-COUNTA(D$527:D952)+3,0))</f>
        <v>32</v>
      </c>
      <c r="G952" s="391" t="str">
        <f t="shared" ca="1" si="140"/>
        <v/>
      </c>
      <c r="H952" s="387">
        <f t="shared" ca="1" si="147"/>
        <v>9</v>
      </c>
      <c r="I952" s="389" t="str">
        <f t="shared" ca="1" si="141"/>
        <v/>
      </c>
      <c r="J952" s="392" t="str">
        <f t="shared" ca="1" si="142"/>
        <v/>
      </c>
      <c r="K952" s="392" t="str">
        <f t="shared" ca="1" si="143"/>
        <v/>
      </c>
      <c r="L952" s="391" t="str">
        <f t="shared" ca="1" si="144"/>
        <v/>
      </c>
      <c r="M952" s="401" t="str">
        <f ca="1">IFERROR(IF(COUNTIF($B$526:$B951,"&lt;0")=1,"",OFFSET($C950,-COUNTIF($B$526:$B951,"&lt;0")+3,0)),"")</f>
        <v>a17Dm000002dbebIAA</v>
      </c>
      <c r="N952" s="401">
        <f ca="1">IFERROR(IF(AND(_xlfn.ISFORMULA(I952),NOT(_xlfn.ISFORMULA(I951))),1,OFFSET($F950,-COUNTIF($B$526:B951,"&lt;0")+3,0)),"")</f>
        <v>32</v>
      </c>
      <c r="O952" s="387">
        <f t="shared" ca="1" si="148"/>
        <v>0</v>
      </c>
      <c r="P952" s="387"/>
      <c r="Q952" s="387"/>
      <c r="R952" s="387"/>
      <c r="S952" s="387"/>
      <c r="T952" s="391"/>
    </row>
    <row r="953" spans="1:20">
      <c r="A953" s="387" t="b">
        <f t="shared" ca="1" si="138"/>
        <v>0</v>
      </c>
      <c r="B953" s="387">
        <f t="shared" ca="1" si="145"/>
        <v>191</v>
      </c>
      <c r="C953" s="404" t="str">
        <f t="shared" ca="1" si="139"/>
        <v>a17Dm000002dbfYIAQ</v>
      </c>
      <c r="D953" s="401"/>
      <c r="E953" s="387">
        <f t="shared" ca="1" si="146"/>
        <v>425</v>
      </c>
      <c r="F953" s="402">
        <f ca="1">IF(COUNTA(D$527:D953)=1,"",OFFSET(F951,-COUNTA(D$527:D953)+3,0))</f>
        <v>32</v>
      </c>
      <c r="G953" s="391" t="str">
        <f t="shared" ca="1" si="140"/>
        <v/>
      </c>
      <c r="H953" s="387">
        <f t="shared" ca="1" si="147"/>
        <v>9</v>
      </c>
      <c r="I953" s="389" t="str">
        <f t="shared" ca="1" si="141"/>
        <v/>
      </c>
      <c r="J953" s="392" t="str">
        <f t="shared" ca="1" si="142"/>
        <v/>
      </c>
      <c r="K953" s="392" t="str">
        <f t="shared" ca="1" si="143"/>
        <v/>
      </c>
      <c r="L953" s="391" t="str">
        <f t="shared" ca="1" si="144"/>
        <v/>
      </c>
      <c r="M953" s="401" t="str">
        <f ca="1">IFERROR(IF(COUNTIF($B$526:$B952,"&lt;0")=1,"",OFFSET($C951,-COUNTIF($B$526:$B952,"&lt;0")+3,0)),"")</f>
        <v>a17Dm000002dbfYIAQ</v>
      </c>
      <c r="N953" s="401">
        <f ca="1">IFERROR(IF(AND(_xlfn.ISFORMULA(I953),NOT(_xlfn.ISFORMULA(I952))),1,OFFSET($F951,-COUNTIF($B$526:B952,"&lt;0")+3,0)),"")</f>
        <v>32</v>
      </c>
      <c r="O953" s="387">
        <f t="shared" ca="1" si="148"/>
        <v>0</v>
      </c>
      <c r="P953" s="387"/>
      <c r="Q953" s="387"/>
      <c r="R953" s="387"/>
      <c r="S953" s="387"/>
      <c r="T953" s="391"/>
    </row>
    <row r="954" spans="1:20">
      <c r="A954" s="387" t="b">
        <f t="shared" ca="1" si="138"/>
        <v>0</v>
      </c>
      <c r="B954" s="387">
        <f t="shared" ca="1" si="145"/>
        <v>192</v>
      </c>
      <c r="C954" s="404" t="str">
        <f t="shared" ca="1" si="139"/>
        <v>a17Dm000002dbh4IAA</v>
      </c>
      <c r="D954" s="401"/>
      <c r="E954" s="387">
        <f t="shared" ca="1" si="146"/>
        <v>426</v>
      </c>
      <c r="F954" s="402">
        <f ca="1">IF(COUNTA(D$527:D954)=1,"",OFFSET(F952,-COUNTA(D$527:D954)+3,0))</f>
        <v>32</v>
      </c>
      <c r="G954" s="391" t="str">
        <f t="shared" ca="1" si="140"/>
        <v/>
      </c>
      <c r="H954" s="387">
        <f t="shared" ca="1" si="147"/>
        <v>9</v>
      </c>
      <c r="I954" s="389" t="str">
        <f t="shared" ca="1" si="141"/>
        <v/>
      </c>
      <c r="J954" s="392" t="str">
        <f t="shared" ca="1" si="142"/>
        <v/>
      </c>
      <c r="K954" s="392" t="str">
        <f t="shared" ca="1" si="143"/>
        <v/>
      </c>
      <c r="L954" s="391" t="str">
        <f t="shared" ca="1" si="144"/>
        <v/>
      </c>
      <c r="M954" s="401" t="str">
        <f ca="1">IFERROR(IF(COUNTIF($B$526:$B953,"&lt;0")=1,"",OFFSET($C952,-COUNTIF($B$526:$B953,"&lt;0")+3,0)),"")</f>
        <v>a17Dm000002dbh4IAA</v>
      </c>
      <c r="N954" s="401">
        <f ca="1">IFERROR(IF(AND(_xlfn.ISFORMULA(I954),NOT(_xlfn.ISFORMULA(I953))),1,OFFSET($F952,-COUNTIF($B$526:B953,"&lt;0")+3,0)),"")</f>
        <v>32</v>
      </c>
      <c r="O954" s="387">
        <f t="shared" ca="1" si="148"/>
        <v>0</v>
      </c>
      <c r="P954" s="387"/>
      <c r="Q954" s="387"/>
      <c r="R954" s="387"/>
      <c r="S954" s="387"/>
      <c r="T954" s="391"/>
    </row>
    <row r="955" spans="1:20">
      <c r="A955" s="387" t="b">
        <f t="shared" ref="A955:A996" ca="1" si="149">IF(OR(I955&lt;&gt;"",J955&lt;&gt;"",K955&lt;&gt;"",L955&lt;&gt;""),TRUE,FALSE)</f>
        <v>0</v>
      </c>
      <c r="B955" s="387">
        <f t="shared" ca="1" si="145"/>
        <v>193</v>
      </c>
      <c r="C955" s="404" t="str">
        <f t="shared" ref="C955:C996" ca="1" si="150">M955</f>
        <v>a17Dm000002dbLpIAI</v>
      </c>
      <c r="D955" s="401"/>
      <c r="E955" s="387">
        <f t="shared" ca="1" si="146"/>
        <v>427</v>
      </c>
      <c r="F955" s="402">
        <f ca="1">IF(COUNTA(D$527:D955)=1,"",OFFSET(F953,-COUNTA(D$527:D955)+3,0))</f>
        <v>33</v>
      </c>
      <c r="G955" s="391" t="str">
        <f t="shared" ref="G955:G996" ca="1" si="151">IFERROR(IF(INDIRECT("'Coverage Indicators - Section I'!G"&amp;$I430)="","",INDIRECT("'Coverage Indicators - Section I'!G"&amp;$I430)),"")</f>
        <v/>
      </c>
      <c r="H955" s="387">
        <f t="shared" ca="1" si="147"/>
        <v>9</v>
      </c>
      <c r="I955" s="389" t="str">
        <f t="shared" ref="I955:I996" ca="1" si="152">IFERROR(CHOOSE(E955,IFERROR(IF(INDIRECT("'Coverage Indicators - Section D'!O"&amp;H955)="","",INDIRECT("'Coverage Indicators - Section D'!O"&amp;H955)*100),""),IFERROR(IF(INDIRECT("'Coverage Indicators - Section D'!R"&amp;H955)="","",INDIRECT("'Coverage Indicators - Section D'!R"&amp;H955)*100),""),IFERROR(IF(INDIRECT("'Coverage Indicators - Section D'!U"&amp;H955)="","",INDIRECT("'Coverage Indicators - Section D'!U"&amp;H955)*100),""),IFERROR(IF(INDIRECT("'Coverage Indicators - Section D'!X"&amp;H955)="","",INDIRECT("'Coverage Indicators - Section D'!X"&amp;H955)*100),""),IFERROR(IF(INDIRECT("'Coverage Indicators - Section D'!AA"&amp;H955)="","",INDIRECT("'Coverage Indicators - Section D'!AA"&amp;H955)*100),""),IFERROR(IF(INDIRECT("'Coverage Indicators - Section D'!AD"&amp;H955)="","",INDIRECT("'Coverage Indicators - Section D'!AD"&amp;H955)*100),""),IFERROR(IF(INDIRECT("'Coverage Indicators - Section D'!AG"&amp;H955)="","",INDIRECT("'Coverage Indicators - Section D'!AG"&amp;H955)*100),""),IFERROR(IF(INDIRECT("'Coverage Indicators - Section D'!AJ"&amp;H955)="","",INDIRECT("'Coverage Indicators - Section D'!AJ"&amp;H955)*100),"")),"")</f>
        <v/>
      </c>
      <c r="J955" s="392" t="str">
        <f t="shared" ref="J955:J996" ca="1" si="153">IFERROR(CHOOSE(E955,IFERROR(IF(INDIRECT("'Coverage Indicators - Section D'!N"&amp;H955+1)="","",INDIRECT("'Coverage Indicators - Section D'!N"&amp;H955+1)),""),IFERROR(IF(INDIRECT("'Coverage Indicators - Section D'!Q"&amp;H955+1)="","",INDIRECT("'Coverage Indicators - Section D'!Q"&amp;H955+1)),""),IFERROR(IF(INDIRECT("'Coverage Indicators - Section D'!T"&amp;H955+1)="","",INDIRECT("'Coverage Indicators - Section D'!T"&amp;H955+1)),""),IFERROR(IF(INDIRECT("'Coverage Indicators - Section D'!W"&amp;H955+1)="","",INDIRECT("'Coverage Indicators - Section D'!W"&amp;H955+1)),""),IFERROR(IF(INDIRECT("'Coverage Indicators - Section D'!Z"&amp;H955+1)="","",INDIRECT("'Coverage Indicators - Section D'!Z"&amp;H955+1)),""),IFERROR(IF(INDIRECT("'Coverage Indicators - Section D'!AC"&amp;H955+1)="","",INDIRECT("'Coverage Indicators - Section D'!AC"&amp;H955+1)),""),IFERROR(IF(INDIRECT("'Coverage Indicators - Section D'!AF"&amp;H955+1)="","",INDIRECT("'Coverage Indicators - Section D'!AF"&amp;H955+1)),""),IFERROR(IF(INDIRECT("'Coverage Indicators - Section D'!AI"&amp;H955+1)="","",INDIRECT("'Coverage Indicators - Section D'!AI"&amp;H955+1)),"")),"")</f>
        <v/>
      </c>
      <c r="K955" s="392" t="str">
        <f t="shared" ref="K955:K996" ca="1" si="154">IFERROR(CHOOSE(E955,IFERROR(IF(INDIRECT("'Coverage Indicators - Section D'!N"&amp;H955)="","",INDIRECT("'Coverage Indicators - Section D'!N"&amp;H955)),""),IFERROR(IF(INDIRECT("'Coverage Indicators - Section D'!Q"&amp;H955)="","",INDIRECT("'Coverage Indicators - Section D'!Q"&amp;H955)),""),IFERROR(IF(INDIRECT("'Coverage Indicators - Section D'!T"&amp;H955)="","",INDIRECT("'Coverage Indicators - Section D'!T"&amp;H955)),""),IFERROR(IF(INDIRECT("'Coverage Indicators - Section D'!W"&amp;H955)="","",INDIRECT("'Coverage Indicators - Section D'!W"&amp;H955)),""),IFERROR(IF(INDIRECT("'Coverage Indicators - Section D'!Z"&amp;H955)="","",INDIRECT("'Coverage Indicators - Section D'!Z"&amp;H955)),""),IFERROR(IF(INDIRECT("'Coverage Indicators - Section D'!AC"&amp;H955)="","",INDIRECT("'Coverage Indicators - Section D'!AC"&amp;H955)),""),IFERROR(IF(INDIRECT("'Coverage Indicators - Section D'!AF"&amp;H955)="","",INDIRECT("'Coverage Indicators - Section D'!AF"&amp;H955)),""),IFERROR(IF(INDIRECT("'Coverage Indicators - Section D'!AI"&amp;H955)="","",INDIRECT("'Coverage Indicators - Section D'!AI"&amp;H955)),"")),"")</f>
        <v/>
      </c>
      <c r="L955" s="391" t="str">
        <f t="shared" ref="L955:L996" ca="1" si="155">IF(IFERROR(CHOOSE(E955,IFERROR(IF(INDIRECT("'Coverage Indicators - Section D'!P"&amp;H955)=0,"",INDIRECT("'Coverage Indicators - Section D'!P"&amp;H955)),""),IFERROR(IF(INDIRECT("'Coverage Indicators - Section D'!S"&amp;H955)=0,"",INDIRECT("'Coverage Indicators - Section D'!S"&amp;H955)),""),IFERROR(IF(INDIRECT("'Coverage Indicators - Section D'!V"&amp;H955)=0,"",INDIRECT("'Coverage Indicators - Section D'!V"&amp;H955)),""),IFERROR(IF(INDIRECT("'Coverage Indicators - Section D'!Y"&amp;H955)=0,"",INDIRECT("'Coverage Indicators - Section D'!Y"&amp;H955)),""),IFERROR(IF(INDIRECT("'Coverage Indicators - Section D'!AB"&amp;H955)=0,"",INDIRECT("'Coverage Indicators - Section D'!AB"&amp;H955)),""),IFERROR(IF(INDIRECT("'Coverage Indicators - Section D'!AE"&amp;H955)=0,"",INDIRECT("'Coverage Indicators - Section D'!AE"&amp;H955)),""),IFERROR(IF(INDIRECT("'Coverage Indicators - Section D'!AH"&amp;H955)=0,"",INDIRECT("'Coverage Indicators - Section D'!AH"&amp;H955)),""),IFERROR(IF(INDIRECT("'Coverage Indicators - Section D'!AK"&amp;H955)=0,"",INDIRECT("'Coverage Indicators - Section D'!AK"&amp;H955)),""),),"")=0,"",IFERROR(CHOOSE(E955,IFERROR(IF(INDIRECT("'Coverage Indicators - Section D'!P"&amp;H955)=0,"",INDIRECT("'Coverage Indicators - Section D'!P"&amp;H955)),""),IFERROR(IF(INDIRECT("'Coverage Indicators - Section D'!S"&amp;H955)=0,"",INDIRECT("'Coverage Indicators - Section D'!S"&amp;H955)),""),IFERROR(IF(INDIRECT("'Coverage Indicators - Section D'!V"&amp;H955)=0,"",INDIRECT("'Coverage Indicators - Section D'!V"&amp;H955)),""),IFERROR(IF(INDIRECT("'Coverage Indicators - Section D'!Y"&amp;H955)=0,"",INDIRECT("'Coverage Indicators - Section D'!Y"&amp;H955)),""),IFERROR(IF(INDIRECT("'Coverage Indicators - Section D'!AB"&amp;H955)=0,"",INDIRECT("'Coverage Indicators - Section D'!AB"&amp;H955)),""),IFERROR(IF(INDIRECT("'Coverage Indicators - Section D'!AE"&amp;H955)=0,"",INDIRECT("'Coverage Indicators - Section D'!AE"&amp;H955)),""),IFERROR(IF(INDIRECT("'Coverage Indicators - Section D'!AH"&amp;H955)=0,"",INDIRECT("'Coverage Indicators - Section D'!AH"&amp;H955)),""),IFERROR(IF(INDIRECT("'Coverage Indicators - Section D'!AK"&amp;H955)=0,"",INDIRECT("'Coverage Indicators - Section D'!AK"&amp;H955)),""),),""))</f>
        <v/>
      </c>
      <c r="M955" s="401" t="str">
        <f ca="1">IFERROR(IF(COUNTIF($B$526:$B954,"&lt;0")=1,"",OFFSET($C953,-COUNTIF($B$526:$B954,"&lt;0")+3,0)),"")</f>
        <v>a17Dm000002dbLpIAI</v>
      </c>
      <c r="N955" s="401">
        <f ca="1">IFERROR(IF(AND(_xlfn.ISFORMULA(I955),NOT(_xlfn.ISFORMULA(I954))),1,OFFSET($F953,-COUNTIF($B$526:B954,"&lt;0")+3,0)),"")</f>
        <v>33</v>
      </c>
      <c r="O955" s="387">
        <f t="shared" ca="1" si="148"/>
        <v>0</v>
      </c>
      <c r="P955" s="387"/>
      <c r="Q955" s="387"/>
      <c r="R955" s="387"/>
      <c r="S955" s="387"/>
      <c r="T955" s="391"/>
    </row>
    <row r="956" spans="1:20">
      <c r="A956" s="387" t="b">
        <f t="shared" ca="1" si="149"/>
        <v>0</v>
      </c>
      <c r="B956" s="387">
        <f t="shared" ca="1" si="145"/>
        <v>194</v>
      </c>
      <c r="C956" s="404" t="str">
        <f t="shared" ca="1" si="150"/>
        <v>a17Dm000002dbN4IAI</v>
      </c>
      <c r="D956" s="401"/>
      <c r="E956" s="387">
        <f t="shared" ca="1" si="146"/>
        <v>428</v>
      </c>
      <c r="F956" s="402">
        <f ca="1">IF(COUNTA(D$527:D956)=1,"",OFFSET(F954,-COUNTA(D$527:D956)+3,0))</f>
        <v>33</v>
      </c>
      <c r="G956" s="391" t="str">
        <f t="shared" ca="1" si="151"/>
        <v/>
      </c>
      <c r="H956" s="387">
        <f t="shared" ca="1" si="147"/>
        <v>9</v>
      </c>
      <c r="I956" s="389" t="str">
        <f t="shared" ca="1" si="152"/>
        <v/>
      </c>
      <c r="J956" s="392" t="str">
        <f t="shared" ca="1" si="153"/>
        <v/>
      </c>
      <c r="K956" s="392" t="str">
        <f t="shared" ca="1" si="154"/>
        <v/>
      </c>
      <c r="L956" s="391" t="str">
        <f t="shared" ca="1" si="155"/>
        <v/>
      </c>
      <c r="M956" s="401" t="str">
        <f ca="1">IFERROR(IF(COUNTIF($B$526:$B955,"&lt;0")=1,"",OFFSET($C954,-COUNTIF($B$526:$B955,"&lt;0")+3,0)),"")</f>
        <v>a17Dm000002dbN4IAI</v>
      </c>
      <c r="N956" s="401">
        <f ca="1">IFERROR(IF(AND(_xlfn.ISFORMULA(I956),NOT(_xlfn.ISFORMULA(I955))),1,OFFSET($F954,-COUNTIF($B$526:B955,"&lt;0")+3,0)),"")</f>
        <v>33</v>
      </c>
      <c r="O956" s="387">
        <f t="shared" ca="1" si="148"/>
        <v>0</v>
      </c>
      <c r="P956" s="387"/>
      <c r="Q956" s="387"/>
      <c r="R956" s="387"/>
      <c r="S956" s="387"/>
      <c r="T956" s="391"/>
    </row>
    <row r="957" spans="1:20">
      <c r="A957" s="387" t="b">
        <f t="shared" ca="1" si="149"/>
        <v>0</v>
      </c>
      <c r="B957" s="387">
        <f t="shared" ca="1" si="145"/>
        <v>195</v>
      </c>
      <c r="C957" s="404" t="str">
        <f t="shared" ca="1" si="150"/>
        <v>a17Dm000002dbT7IAI</v>
      </c>
      <c r="D957" s="401"/>
      <c r="E957" s="387">
        <f t="shared" ca="1" si="146"/>
        <v>429</v>
      </c>
      <c r="F957" s="402">
        <f ca="1">IF(COUNTA(D$527:D957)=1,"",OFFSET(F955,-COUNTA(D$527:D957)+3,0))</f>
        <v>33</v>
      </c>
      <c r="G957" s="391" t="str">
        <f t="shared" ca="1" si="151"/>
        <v/>
      </c>
      <c r="H957" s="387">
        <f t="shared" ca="1" si="147"/>
        <v>9</v>
      </c>
      <c r="I957" s="389" t="str">
        <f t="shared" ca="1" si="152"/>
        <v/>
      </c>
      <c r="J957" s="392" t="str">
        <f t="shared" ca="1" si="153"/>
        <v/>
      </c>
      <c r="K957" s="392" t="str">
        <f t="shared" ca="1" si="154"/>
        <v/>
      </c>
      <c r="L957" s="391" t="str">
        <f t="shared" ca="1" si="155"/>
        <v/>
      </c>
      <c r="M957" s="401" t="str">
        <f ca="1">IFERROR(IF(COUNTIF($B$526:$B956,"&lt;0")=1,"",OFFSET($C955,-COUNTIF($B$526:$B956,"&lt;0")+3,0)),"")</f>
        <v>a17Dm000002dbT7IAI</v>
      </c>
      <c r="N957" s="401">
        <f ca="1">IFERROR(IF(AND(_xlfn.ISFORMULA(I957),NOT(_xlfn.ISFORMULA(I956))),1,OFFSET($F955,-COUNTIF($B$526:B956,"&lt;0")+3,0)),"")</f>
        <v>33</v>
      </c>
      <c r="O957" s="387">
        <f t="shared" ca="1" si="148"/>
        <v>0</v>
      </c>
      <c r="P957" s="387"/>
      <c r="Q957" s="387"/>
      <c r="R957" s="387"/>
      <c r="S957" s="387"/>
      <c r="T957" s="391"/>
    </row>
    <row r="958" spans="1:20">
      <c r="A958" s="387" t="b">
        <f t="shared" ca="1" si="149"/>
        <v>0</v>
      </c>
      <c r="B958" s="387">
        <f t="shared" ca="1" si="145"/>
        <v>196</v>
      </c>
      <c r="C958" s="404" t="str">
        <f t="shared" ca="1" si="150"/>
        <v>a17Dm000002dbecIAA</v>
      </c>
      <c r="D958" s="401"/>
      <c r="E958" s="387">
        <f t="shared" ca="1" si="146"/>
        <v>430</v>
      </c>
      <c r="F958" s="402">
        <f ca="1">IF(COUNTA(D$527:D958)=1,"",OFFSET(F956,-COUNTA(D$527:D958)+3,0))</f>
        <v>33</v>
      </c>
      <c r="G958" s="391" t="str">
        <f t="shared" ca="1" si="151"/>
        <v/>
      </c>
      <c r="H958" s="387">
        <f t="shared" ca="1" si="147"/>
        <v>9</v>
      </c>
      <c r="I958" s="389" t="str">
        <f t="shared" ca="1" si="152"/>
        <v/>
      </c>
      <c r="J958" s="392" t="str">
        <f t="shared" ca="1" si="153"/>
        <v/>
      </c>
      <c r="K958" s="392" t="str">
        <f t="shared" ca="1" si="154"/>
        <v/>
      </c>
      <c r="L958" s="391" t="str">
        <f t="shared" ca="1" si="155"/>
        <v/>
      </c>
      <c r="M958" s="401" t="str">
        <f ca="1">IFERROR(IF(COUNTIF($B$526:$B957,"&lt;0")=1,"",OFFSET($C956,-COUNTIF($B$526:$B957,"&lt;0")+3,0)),"")</f>
        <v>a17Dm000002dbecIAA</v>
      </c>
      <c r="N958" s="401">
        <f ca="1">IFERROR(IF(AND(_xlfn.ISFORMULA(I958),NOT(_xlfn.ISFORMULA(I957))),1,OFFSET($F956,-COUNTIF($B$526:B957,"&lt;0")+3,0)),"")</f>
        <v>33</v>
      </c>
      <c r="O958" s="387">
        <f t="shared" ca="1" si="148"/>
        <v>0</v>
      </c>
      <c r="P958" s="387"/>
      <c r="Q958" s="387"/>
      <c r="R958" s="387"/>
      <c r="S958" s="387"/>
      <c r="T958" s="391"/>
    </row>
    <row r="959" spans="1:20">
      <c r="A959" s="387" t="b">
        <f t="shared" ca="1" si="149"/>
        <v>0</v>
      </c>
      <c r="B959" s="387">
        <f t="shared" ca="1" si="145"/>
        <v>197</v>
      </c>
      <c r="C959" s="404" t="str">
        <f t="shared" ca="1" si="150"/>
        <v>a17Dm000002dbfZIAQ</v>
      </c>
      <c r="D959" s="401"/>
      <c r="E959" s="387">
        <f t="shared" ca="1" si="146"/>
        <v>431</v>
      </c>
      <c r="F959" s="402">
        <f ca="1">IF(COUNTA(D$527:D959)=1,"",OFFSET(F957,-COUNTA(D$527:D959)+3,0))</f>
        <v>33</v>
      </c>
      <c r="G959" s="391" t="str">
        <f t="shared" ca="1" si="151"/>
        <v/>
      </c>
      <c r="H959" s="387">
        <f t="shared" ca="1" si="147"/>
        <v>9</v>
      </c>
      <c r="I959" s="389" t="str">
        <f t="shared" ca="1" si="152"/>
        <v/>
      </c>
      <c r="J959" s="392" t="str">
        <f t="shared" ca="1" si="153"/>
        <v/>
      </c>
      <c r="K959" s="392" t="str">
        <f t="shared" ca="1" si="154"/>
        <v/>
      </c>
      <c r="L959" s="391" t="str">
        <f t="shared" ca="1" si="155"/>
        <v/>
      </c>
      <c r="M959" s="401" t="str">
        <f ca="1">IFERROR(IF(COUNTIF($B$526:$B958,"&lt;0")=1,"",OFFSET($C957,-COUNTIF($B$526:$B958,"&lt;0")+3,0)),"")</f>
        <v>a17Dm000002dbfZIAQ</v>
      </c>
      <c r="N959" s="401">
        <f ca="1">IFERROR(IF(AND(_xlfn.ISFORMULA(I959),NOT(_xlfn.ISFORMULA(I958))),1,OFFSET($F957,-COUNTIF($B$526:B958,"&lt;0")+3,0)),"")</f>
        <v>33</v>
      </c>
      <c r="O959" s="387">
        <f t="shared" ca="1" si="148"/>
        <v>0</v>
      </c>
      <c r="P959" s="387"/>
      <c r="Q959" s="387"/>
      <c r="R959" s="387"/>
      <c r="S959" s="387"/>
      <c r="T959" s="391"/>
    </row>
    <row r="960" spans="1:20">
      <c r="A960" s="387" t="b">
        <f t="shared" ca="1" si="149"/>
        <v>0</v>
      </c>
      <c r="B960" s="387">
        <f t="shared" ca="1" si="145"/>
        <v>198</v>
      </c>
      <c r="C960" s="404" t="str">
        <f t="shared" ca="1" si="150"/>
        <v>a17Dm000002dbh5IAA</v>
      </c>
      <c r="D960" s="401"/>
      <c r="E960" s="387">
        <f t="shared" ca="1" si="146"/>
        <v>432</v>
      </c>
      <c r="F960" s="402">
        <f ca="1">IF(COUNTA(D$527:D960)=1,"",OFFSET(F958,-COUNTA(D$527:D960)+3,0))</f>
        <v>33</v>
      </c>
      <c r="G960" s="391" t="str">
        <f t="shared" ca="1" si="151"/>
        <v/>
      </c>
      <c r="H960" s="387">
        <f t="shared" ca="1" si="147"/>
        <v>9</v>
      </c>
      <c r="I960" s="389" t="str">
        <f t="shared" ca="1" si="152"/>
        <v/>
      </c>
      <c r="J960" s="392" t="str">
        <f t="shared" ca="1" si="153"/>
        <v/>
      </c>
      <c r="K960" s="392" t="str">
        <f t="shared" ca="1" si="154"/>
        <v/>
      </c>
      <c r="L960" s="391" t="str">
        <f t="shared" ca="1" si="155"/>
        <v/>
      </c>
      <c r="M960" s="401" t="str">
        <f ca="1">IFERROR(IF(COUNTIF($B$526:$B959,"&lt;0")=1,"",OFFSET($C958,-COUNTIF($B$526:$B959,"&lt;0")+3,0)),"")</f>
        <v>a17Dm000002dbh5IAA</v>
      </c>
      <c r="N960" s="401">
        <f ca="1">IFERROR(IF(AND(_xlfn.ISFORMULA(I960),NOT(_xlfn.ISFORMULA(I959))),1,OFFSET($F958,-COUNTIF($B$526:B959,"&lt;0")+3,0)),"")</f>
        <v>33</v>
      </c>
      <c r="O960" s="387">
        <f t="shared" ca="1" si="148"/>
        <v>0</v>
      </c>
      <c r="P960" s="387"/>
      <c r="Q960" s="387"/>
      <c r="R960" s="387"/>
      <c r="S960" s="387"/>
      <c r="T960" s="391"/>
    </row>
    <row r="961" spans="1:20">
      <c r="A961" s="387" t="b">
        <f t="shared" ca="1" si="149"/>
        <v>0</v>
      </c>
      <c r="B961" s="387">
        <f t="shared" ca="1" si="145"/>
        <v>199</v>
      </c>
      <c r="C961" s="404" t="str">
        <f t="shared" ca="1" si="150"/>
        <v>a17Dm000002dbLqIAI</v>
      </c>
      <c r="D961" s="401"/>
      <c r="E961" s="387">
        <f t="shared" ca="1" si="146"/>
        <v>433</v>
      </c>
      <c r="F961" s="402">
        <f ca="1">IF(COUNTA(D$527:D961)=1,"",OFFSET(F959,-COUNTA(D$527:D961)+3,0))</f>
        <v>34</v>
      </c>
      <c r="G961" s="391" t="str">
        <f t="shared" ca="1" si="151"/>
        <v/>
      </c>
      <c r="H961" s="387">
        <f t="shared" ca="1" si="147"/>
        <v>9</v>
      </c>
      <c r="I961" s="389" t="str">
        <f t="shared" ca="1" si="152"/>
        <v/>
      </c>
      <c r="J961" s="392" t="str">
        <f t="shared" ca="1" si="153"/>
        <v/>
      </c>
      <c r="K961" s="392" t="str">
        <f t="shared" ca="1" si="154"/>
        <v/>
      </c>
      <c r="L961" s="391" t="str">
        <f t="shared" ca="1" si="155"/>
        <v/>
      </c>
      <c r="M961" s="401" t="str">
        <f ca="1">IFERROR(IF(COUNTIF($B$526:$B960,"&lt;0")=1,"",OFFSET($C959,-COUNTIF($B$526:$B960,"&lt;0")+3,0)),"")</f>
        <v>a17Dm000002dbLqIAI</v>
      </c>
      <c r="N961" s="401">
        <f ca="1">IFERROR(IF(AND(_xlfn.ISFORMULA(I961),NOT(_xlfn.ISFORMULA(I960))),1,OFFSET($F959,-COUNTIF($B$526:B960,"&lt;0")+3,0)),"")</f>
        <v>34</v>
      </c>
      <c r="O961" s="387">
        <f t="shared" ca="1" si="148"/>
        <v>0</v>
      </c>
      <c r="P961" s="387"/>
      <c r="Q961" s="387"/>
      <c r="R961" s="387"/>
      <c r="S961" s="387"/>
      <c r="T961" s="391"/>
    </row>
    <row r="962" spans="1:20">
      <c r="A962" s="387" t="b">
        <f t="shared" ca="1" si="149"/>
        <v>0</v>
      </c>
      <c r="B962" s="387">
        <f t="shared" ca="1" si="145"/>
        <v>200</v>
      </c>
      <c r="C962" s="404" t="str">
        <f t="shared" ca="1" si="150"/>
        <v>a17Dm000002dbN5IAI</v>
      </c>
      <c r="D962" s="401"/>
      <c r="E962" s="387">
        <f t="shared" ca="1" si="146"/>
        <v>434</v>
      </c>
      <c r="F962" s="402">
        <f ca="1">IF(COUNTA(D$527:D962)=1,"",OFFSET(F960,-COUNTA(D$527:D962)+3,0))</f>
        <v>34</v>
      </c>
      <c r="G962" s="391" t="str">
        <f t="shared" ca="1" si="151"/>
        <v/>
      </c>
      <c r="H962" s="387">
        <f t="shared" ca="1" si="147"/>
        <v>9</v>
      </c>
      <c r="I962" s="389" t="str">
        <f t="shared" ca="1" si="152"/>
        <v/>
      </c>
      <c r="J962" s="392" t="str">
        <f t="shared" ca="1" si="153"/>
        <v/>
      </c>
      <c r="K962" s="392" t="str">
        <f t="shared" ca="1" si="154"/>
        <v/>
      </c>
      <c r="L962" s="391" t="str">
        <f t="shared" ca="1" si="155"/>
        <v/>
      </c>
      <c r="M962" s="401" t="str">
        <f ca="1">IFERROR(IF(COUNTIF($B$526:$B961,"&lt;0")=1,"",OFFSET($C960,-COUNTIF($B$526:$B961,"&lt;0")+3,0)),"")</f>
        <v>a17Dm000002dbN5IAI</v>
      </c>
      <c r="N962" s="401">
        <f ca="1">IFERROR(IF(AND(_xlfn.ISFORMULA(I962),NOT(_xlfn.ISFORMULA(I961))),1,OFFSET($F960,-COUNTIF($B$526:B961,"&lt;0")+3,0)),"")</f>
        <v>34</v>
      </c>
      <c r="O962" s="387">
        <f t="shared" ca="1" si="148"/>
        <v>0</v>
      </c>
      <c r="P962" s="387"/>
      <c r="Q962" s="387"/>
      <c r="R962" s="387"/>
      <c r="S962" s="387"/>
      <c r="T962" s="391"/>
    </row>
    <row r="963" spans="1:20">
      <c r="A963" s="387" t="b">
        <f t="shared" ca="1" si="149"/>
        <v>0</v>
      </c>
      <c r="B963" s="387">
        <f t="shared" ca="1" si="145"/>
        <v>201</v>
      </c>
      <c r="C963" s="404" t="str">
        <f t="shared" ca="1" si="150"/>
        <v>a17Dm000002dbT8IAI</v>
      </c>
      <c r="D963" s="401"/>
      <c r="E963" s="387">
        <f t="shared" ca="1" si="146"/>
        <v>435</v>
      </c>
      <c r="F963" s="402">
        <f ca="1">IF(COUNTA(D$527:D963)=1,"",OFFSET(F961,-COUNTA(D$527:D963)+3,0))</f>
        <v>34</v>
      </c>
      <c r="G963" s="391" t="str">
        <f t="shared" ca="1" si="151"/>
        <v/>
      </c>
      <c r="H963" s="387">
        <f t="shared" ca="1" si="147"/>
        <v>9</v>
      </c>
      <c r="I963" s="389" t="str">
        <f t="shared" ca="1" si="152"/>
        <v/>
      </c>
      <c r="J963" s="392" t="str">
        <f t="shared" ca="1" si="153"/>
        <v/>
      </c>
      <c r="K963" s="392" t="str">
        <f t="shared" ca="1" si="154"/>
        <v/>
      </c>
      <c r="L963" s="391" t="str">
        <f t="shared" ca="1" si="155"/>
        <v/>
      </c>
      <c r="M963" s="401" t="str">
        <f ca="1">IFERROR(IF(COUNTIF($B$526:$B962,"&lt;0")=1,"",OFFSET($C961,-COUNTIF($B$526:$B962,"&lt;0")+3,0)),"")</f>
        <v>a17Dm000002dbT8IAI</v>
      </c>
      <c r="N963" s="401">
        <f ca="1">IFERROR(IF(AND(_xlfn.ISFORMULA(I963),NOT(_xlfn.ISFORMULA(I962))),1,OFFSET($F961,-COUNTIF($B$526:B962,"&lt;0")+3,0)),"")</f>
        <v>34</v>
      </c>
      <c r="O963" s="387">
        <f t="shared" ca="1" si="148"/>
        <v>0</v>
      </c>
      <c r="P963" s="387"/>
      <c r="Q963" s="387"/>
      <c r="R963" s="387"/>
      <c r="S963" s="387"/>
      <c r="T963" s="391"/>
    </row>
    <row r="964" spans="1:20">
      <c r="A964" s="387" t="b">
        <f t="shared" ca="1" si="149"/>
        <v>0</v>
      </c>
      <c r="B964" s="387">
        <f t="shared" ca="1" si="145"/>
        <v>202</v>
      </c>
      <c r="C964" s="404" t="str">
        <f t="shared" ca="1" si="150"/>
        <v>a17Dm000002dbedIAA</v>
      </c>
      <c r="D964" s="401"/>
      <c r="E964" s="387">
        <f t="shared" ca="1" si="146"/>
        <v>436</v>
      </c>
      <c r="F964" s="402">
        <f ca="1">IF(COUNTA(D$527:D964)=1,"",OFFSET(F962,-COUNTA(D$527:D964)+3,0))</f>
        <v>34</v>
      </c>
      <c r="G964" s="391" t="str">
        <f t="shared" ca="1" si="151"/>
        <v/>
      </c>
      <c r="H964" s="387">
        <f t="shared" ca="1" si="147"/>
        <v>9</v>
      </c>
      <c r="I964" s="389" t="str">
        <f t="shared" ca="1" si="152"/>
        <v/>
      </c>
      <c r="J964" s="392" t="str">
        <f t="shared" ca="1" si="153"/>
        <v/>
      </c>
      <c r="K964" s="392" t="str">
        <f t="shared" ca="1" si="154"/>
        <v/>
      </c>
      <c r="L964" s="391" t="str">
        <f t="shared" ca="1" si="155"/>
        <v/>
      </c>
      <c r="M964" s="401" t="str">
        <f ca="1">IFERROR(IF(COUNTIF($B$526:$B963,"&lt;0")=1,"",OFFSET($C962,-COUNTIF($B$526:$B963,"&lt;0")+3,0)),"")</f>
        <v>a17Dm000002dbedIAA</v>
      </c>
      <c r="N964" s="401">
        <f ca="1">IFERROR(IF(AND(_xlfn.ISFORMULA(I964),NOT(_xlfn.ISFORMULA(I963))),1,OFFSET($F962,-COUNTIF($B$526:B963,"&lt;0")+3,0)),"")</f>
        <v>34</v>
      </c>
      <c r="O964" s="387">
        <f t="shared" ca="1" si="148"/>
        <v>0</v>
      </c>
      <c r="P964" s="387"/>
      <c r="Q964" s="387"/>
      <c r="R964" s="387"/>
      <c r="S964" s="387"/>
      <c r="T964" s="391"/>
    </row>
    <row r="965" spans="1:20">
      <c r="A965" s="387" t="b">
        <f t="shared" ca="1" si="149"/>
        <v>0</v>
      </c>
      <c r="B965" s="387">
        <f t="shared" ca="1" si="145"/>
        <v>203</v>
      </c>
      <c r="C965" s="404" t="str">
        <f t="shared" ca="1" si="150"/>
        <v>a17Dm000002dbfaIAA</v>
      </c>
      <c r="D965" s="401"/>
      <c r="E965" s="387">
        <f t="shared" ca="1" si="146"/>
        <v>437</v>
      </c>
      <c r="F965" s="402">
        <f ca="1">IF(COUNTA(D$527:D965)=1,"",OFFSET(F963,-COUNTA(D$527:D965)+3,0))</f>
        <v>34</v>
      </c>
      <c r="G965" s="391" t="str">
        <f t="shared" ca="1" si="151"/>
        <v/>
      </c>
      <c r="H965" s="387">
        <f t="shared" ca="1" si="147"/>
        <v>9</v>
      </c>
      <c r="I965" s="389" t="str">
        <f t="shared" ca="1" si="152"/>
        <v/>
      </c>
      <c r="J965" s="392" t="str">
        <f t="shared" ca="1" si="153"/>
        <v/>
      </c>
      <c r="K965" s="392" t="str">
        <f t="shared" ca="1" si="154"/>
        <v/>
      </c>
      <c r="L965" s="391" t="str">
        <f t="shared" ca="1" si="155"/>
        <v/>
      </c>
      <c r="M965" s="401" t="str">
        <f ca="1">IFERROR(IF(COUNTIF($B$526:$B964,"&lt;0")=1,"",OFFSET($C963,-COUNTIF($B$526:$B964,"&lt;0")+3,0)),"")</f>
        <v>a17Dm000002dbfaIAA</v>
      </c>
      <c r="N965" s="401">
        <f ca="1">IFERROR(IF(AND(_xlfn.ISFORMULA(I965),NOT(_xlfn.ISFORMULA(I964))),1,OFFSET($F963,-COUNTIF($B$526:B964,"&lt;0")+3,0)),"")</f>
        <v>34</v>
      </c>
      <c r="O965" s="387">
        <f t="shared" ca="1" si="148"/>
        <v>0</v>
      </c>
      <c r="P965" s="387"/>
      <c r="Q965" s="387"/>
      <c r="R965" s="387"/>
      <c r="S965" s="387"/>
      <c r="T965" s="391"/>
    </row>
    <row r="966" spans="1:20">
      <c r="A966" s="387" t="b">
        <f t="shared" ca="1" si="149"/>
        <v>0</v>
      </c>
      <c r="B966" s="387">
        <f t="shared" ca="1" si="145"/>
        <v>204</v>
      </c>
      <c r="C966" s="404" t="str">
        <f t="shared" ca="1" si="150"/>
        <v>a17Dm000002dbh6IAA</v>
      </c>
      <c r="D966" s="401"/>
      <c r="E966" s="387">
        <f t="shared" ca="1" si="146"/>
        <v>438</v>
      </c>
      <c r="F966" s="402">
        <f ca="1">IF(COUNTA(D$527:D966)=1,"",OFFSET(F964,-COUNTA(D$527:D966)+3,0))</f>
        <v>34</v>
      </c>
      <c r="G966" s="391" t="str">
        <f t="shared" ca="1" si="151"/>
        <v/>
      </c>
      <c r="H966" s="387">
        <f t="shared" ca="1" si="147"/>
        <v>9</v>
      </c>
      <c r="I966" s="389" t="str">
        <f t="shared" ca="1" si="152"/>
        <v/>
      </c>
      <c r="J966" s="392" t="str">
        <f t="shared" ca="1" si="153"/>
        <v/>
      </c>
      <c r="K966" s="392" t="str">
        <f t="shared" ca="1" si="154"/>
        <v/>
      </c>
      <c r="L966" s="391" t="str">
        <f t="shared" ca="1" si="155"/>
        <v/>
      </c>
      <c r="M966" s="401" t="str">
        <f ca="1">IFERROR(IF(COUNTIF($B$526:$B965,"&lt;0")=1,"",OFFSET($C964,-COUNTIF($B$526:$B965,"&lt;0")+3,0)),"")</f>
        <v>a17Dm000002dbh6IAA</v>
      </c>
      <c r="N966" s="401">
        <f ca="1">IFERROR(IF(AND(_xlfn.ISFORMULA(I966),NOT(_xlfn.ISFORMULA(I965))),1,OFFSET($F964,-COUNTIF($B$526:B965,"&lt;0")+3,0)),"")</f>
        <v>34</v>
      </c>
      <c r="O966" s="387">
        <f t="shared" ca="1" si="148"/>
        <v>0</v>
      </c>
      <c r="P966" s="387"/>
      <c r="Q966" s="387"/>
      <c r="R966" s="387"/>
      <c r="S966" s="387"/>
      <c r="T966" s="391"/>
    </row>
    <row r="967" spans="1:20">
      <c r="A967" s="387" t="b">
        <f t="shared" ca="1" si="149"/>
        <v>0</v>
      </c>
      <c r="B967" s="387">
        <f t="shared" ca="1" si="145"/>
        <v>205</v>
      </c>
      <c r="C967" s="404" t="str">
        <f t="shared" ca="1" si="150"/>
        <v>a17Dm000002dbLrIAI</v>
      </c>
      <c r="D967" s="401"/>
      <c r="E967" s="387">
        <f t="shared" ca="1" si="146"/>
        <v>439</v>
      </c>
      <c r="F967" s="402">
        <f ca="1">IF(COUNTA(D$527:D967)=1,"",OFFSET(F965,-COUNTA(D$527:D967)+3,0))</f>
        <v>35</v>
      </c>
      <c r="G967" s="391" t="str">
        <f t="shared" ca="1" si="151"/>
        <v/>
      </c>
      <c r="H967" s="387">
        <f t="shared" ca="1" si="147"/>
        <v>9</v>
      </c>
      <c r="I967" s="389" t="str">
        <f t="shared" ca="1" si="152"/>
        <v/>
      </c>
      <c r="J967" s="392" t="str">
        <f t="shared" ca="1" si="153"/>
        <v/>
      </c>
      <c r="K967" s="392" t="str">
        <f t="shared" ca="1" si="154"/>
        <v/>
      </c>
      <c r="L967" s="391" t="str">
        <f t="shared" ca="1" si="155"/>
        <v/>
      </c>
      <c r="M967" s="401" t="str">
        <f ca="1">IFERROR(IF(COUNTIF($B$526:$B966,"&lt;0")=1,"",OFFSET($C965,-COUNTIF($B$526:$B966,"&lt;0")+3,0)),"")</f>
        <v>a17Dm000002dbLrIAI</v>
      </c>
      <c r="N967" s="401">
        <f ca="1">IFERROR(IF(AND(_xlfn.ISFORMULA(I967),NOT(_xlfn.ISFORMULA(I966))),1,OFFSET($F965,-COUNTIF($B$526:B966,"&lt;0")+3,0)),"")</f>
        <v>35</v>
      </c>
      <c r="O967" s="387">
        <f t="shared" ca="1" si="148"/>
        <v>0</v>
      </c>
      <c r="P967" s="387"/>
      <c r="Q967" s="387"/>
      <c r="R967" s="387"/>
      <c r="S967" s="387"/>
      <c r="T967" s="391"/>
    </row>
    <row r="968" spans="1:20">
      <c r="A968" s="387" t="b">
        <f t="shared" ca="1" si="149"/>
        <v>0</v>
      </c>
      <c r="B968" s="387">
        <f t="shared" ca="1" si="145"/>
        <v>206</v>
      </c>
      <c r="C968" s="404" t="str">
        <f t="shared" ca="1" si="150"/>
        <v>a17Dm000002dbN6IAI</v>
      </c>
      <c r="D968" s="401"/>
      <c r="E968" s="387">
        <f t="shared" ca="1" si="146"/>
        <v>440</v>
      </c>
      <c r="F968" s="402">
        <f ca="1">IF(COUNTA(D$527:D968)=1,"",OFFSET(F966,-COUNTA(D$527:D968)+3,0))</f>
        <v>35</v>
      </c>
      <c r="G968" s="391" t="str">
        <f t="shared" ca="1" si="151"/>
        <v/>
      </c>
      <c r="H968" s="387">
        <f t="shared" ca="1" si="147"/>
        <v>9</v>
      </c>
      <c r="I968" s="389" t="str">
        <f t="shared" ca="1" si="152"/>
        <v/>
      </c>
      <c r="J968" s="392" t="str">
        <f t="shared" ca="1" si="153"/>
        <v/>
      </c>
      <c r="K968" s="392" t="str">
        <f t="shared" ca="1" si="154"/>
        <v/>
      </c>
      <c r="L968" s="391" t="str">
        <f t="shared" ca="1" si="155"/>
        <v/>
      </c>
      <c r="M968" s="401" t="str">
        <f ca="1">IFERROR(IF(COUNTIF($B$526:$B967,"&lt;0")=1,"",OFFSET($C966,-COUNTIF($B$526:$B967,"&lt;0")+3,0)),"")</f>
        <v>a17Dm000002dbN6IAI</v>
      </c>
      <c r="N968" s="401">
        <f ca="1">IFERROR(IF(AND(_xlfn.ISFORMULA(I968),NOT(_xlfn.ISFORMULA(I967))),1,OFFSET($F966,-COUNTIF($B$526:B967,"&lt;0")+3,0)),"")</f>
        <v>35</v>
      </c>
      <c r="O968" s="387">
        <f t="shared" ca="1" si="148"/>
        <v>0</v>
      </c>
      <c r="P968" s="387"/>
      <c r="Q968" s="387"/>
      <c r="R968" s="387"/>
      <c r="S968" s="387"/>
      <c r="T968" s="391"/>
    </row>
    <row r="969" spans="1:20">
      <c r="A969" s="387" t="b">
        <f t="shared" ca="1" si="149"/>
        <v>0</v>
      </c>
      <c r="B969" s="387">
        <f t="shared" ca="1" si="145"/>
        <v>207</v>
      </c>
      <c r="C969" s="404" t="str">
        <f t="shared" ca="1" si="150"/>
        <v>a17Dm000002dbT9IAI</v>
      </c>
      <c r="D969" s="401"/>
      <c r="E969" s="387">
        <f t="shared" ca="1" si="146"/>
        <v>441</v>
      </c>
      <c r="F969" s="402">
        <f ca="1">IF(COUNTA(D$527:D969)=1,"",OFFSET(F967,-COUNTA(D$527:D969)+3,0))</f>
        <v>35</v>
      </c>
      <c r="G969" s="391" t="str">
        <f t="shared" ca="1" si="151"/>
        <v/>
      </c>
      <c r="H969" s="387">
        <f t="shared" ca="1" si="147"/>
        <v>9</v>
      </c>
      <c r="I969" s="389" t="str">
        <f t="shared" ca="1" si="152"/>
        <v/>
      </c>
      <c r="J969" s="392" t="str">
        <f t="shared" ca="1" si="153"/>
        <v/>
      </c>
      <c r="K969" s="392" t="str">
        <f t="shared" ca="1" si="154"/>
        <v/>
      </c>
      <c r="L969" s="391" t="str">
        <f t="shared" ca="1" si="155"/>
        <v/>
      </c>
      <c r="M969" s="401" t="str">
        <f ca="1">IFERROR(IF(COUNTIF($B$526:$B968,"&lt;0")=1,"",OFFSET($C967,-COUNTIF($B$526:$B968,"&lt;0")+3,0)),"")</f>
        <v>a17Dm000002dbT9IAI</v>
      </c>
      <c r="N969" s="401">
        <f ca="1">IFERROR(IF(AND(_xlfn.ISFORMULA(I969),NOT(_xlfn.ISFORMULA(I968))),1,OFFSET($F967,-COUNTIF($B$526:B968,"&lt;0")+3,0)),"")</f>
        <v>35</v>
      </c>
      <c r="O969" s="387">
        <f t="shared" ca="1" si="148"/>
        <v>0</v>
      </c>
      <c r="P969" s="387"/>
      <c r="Q969" s="387"/>
      <c r="R969" s="387"/>
      <c r="S969" s="387"/>
      <c r="T969" s="391"/>
    </row>
    <row r="970" spans="1:20">
      <c r="A970" s="387" t="b">
        <f t="shared" ca="1" si="149"/>
        <v>0</v>
      </c>
      <c r="B970" s="387">
        <f t="shared" ca="1" si="145"/>
        <v>208</v>
      </c>
      <c r="C970" s="404" t="str">
        <f t="shared" ca="1" si="150"/>
        <v>a17Dm000002dbeeIAA</v>
      </c>
      <c r="D970" s="401"/>
      <c r="E970" s="387">
        <f t="shared" ca="1" si="146"/>
        <v>442</v>
      </c>
      <c r="F970" s="402">
        <f ca="1">IF(COUNTA(D$527:D970)=1,"",OFFSET(F968,-COUNTA(D$527:D970)+3,0))</f>
        <v>35</v>
      </c>
      <c r="G970" s="391" t="str">
        <f t="shared" ca="1" si="151"/>
        <v/>
      </c>
      <c r="H970" s="387">
        <f t="shared" ca="1" si="147"/>
        <v>9</v>
      </c>
      <c r="I970" s="389" t="str">
        <f t="shared" ca="1" si="152"/>
        <v/>
      </c>
      <c r="J970" s="392" t="str">
        <f t="shared" ca="1" si="153"/>
        <v/>
      </c>
      <c r="K970" s="392" t="str">
        <f t="shared" ca="1" si="154"/>
        <v/>
      </c>
      <c r="L970" s="391" t="str">
        <f t="shared" ca="1" si="155"/>
        <v/>
      </c>
      <c r="M970" s="401" t="str">
        <f ca="1">IFERROR(IF(COUNTIF($B$526:$B969,"&lt;0")=1,"",OFFSET($C968,-COUNTIF($B$526:$B969,"&lt;0")+3,0)),"")</f>
        <v>a17Dm000002dbeeIAA</v>
      </c>
      <c r="N970" s="401">
        <f ca="1">IFERROR(IF(AND(_xlfn.ISFORMULA(I970),NOT(_xlfn.ISFORMULA(I969))),1,OFFSET($F968,-COUNTIF($B$526:B969,"&lt;0")+3,0)),"")</f>
        <v>35</v>
      </c>
      <c r="O970" s="387">
        <f t="shared" ca="1" si="148"/>
        <v>0</v>
      </c>
      <c r="P970" s="387"/>
      <c r="Q970" s="387"/>
      <c r="R970" s="387"/>
      <c r="S970" s="387"/>
      <c r="T970" s="391"/>
    </row>
    <row r="971" spans="1:20">
      <c r="A971" s="387" t="b">
        <f t="shared" ca="1" si="149"/>
        <v>0</v>
      </c>
      <c r="B971" s="387">
        <f t="shared" ca="1" si="145"/>
        <v>209</v>
      </c>
      <c r="C971" s="404" t="str">
        <f t="shared" ca="1" si="150"/>
        <v>a17Dm000002dbfbIAA</v>
      </c>
      <c r="D971" s="401"/>
      <c r="E971" s="387">
        <f t="shared" ca="1" si="146"/>
        <v>443</v>
      </c>
      <c r="F971" s="402">
        <f ca="1">IF(COUNTA(D$527:D971)=1,"",OFFSET(F969,-COUNTA(D$527:D971)+3,0))</f>
        <v>35</v>
      </c>
      <c r="G971" s="391" t="str">
        <f t="shared" ca="1" si="151"/>
        <v/>
      </c>
      <c r="H971" s="387">
        <f t="shared" ca="1" si="147"/>
        <v>9</v>
      </c>
      <c r="I971" s="389" t="str">
        <f t="shared" ca="1" si="152"/>
        <v/>
      </c>
      <c r="J971" s="392" t="str">
        <f t="shared" ca="1" si="153"/>
        <v/>
      </c>
      <c r="K971" s="392" t="str">
        <f t="shared" ca="1" si="154"/>
        <v/>
      </c>
      <c r="L971" s="391" t="str">
        <f t="shared" ca="1" si="155"/>
        <v/>
      </c>
      <c r="M971" s="401" t="str">
        <f ca="1">IFERROR(IF(COUNTIF($B$526:$B970,"&lt;0")=1,"",OFFSET($C969,-COUNTIF($B$526:$B970,"&lt;0")+3,0)),"")</f>
        <v>a17Dm000002dbfbIAA</v>
      </c>
      <c r="N971" s="401">
        <f ca="1">IFERROR(IF(AND(_xlfn.ISFORMULA(I971),NOT(_xlfn.ISFORMULA(I970))),1,OFFSET($F969,-COUNTIF($B$526:B970,"&lt;0")+3,0)),"")</f>
        <v>35</v>
      </c>
      <c r="O971" s="387">
        <f t="shared" ca="1" si="148"/>
        <v>0</v>
      </c>
      <c r="P971" s="387"/>
      <c r="Q971" s="387"/>
      <c r="R971" s="387"/>
      <c r="S971" s="387"/>
      <c r="T971" s="391"/>
    </row>
    <row r="972" spans="1:20">
      <c r="A972" s="387" t="b">
        <f t="shared" ca="1" si="149"/>
        <v>0</v>
      </c>
      <c r="B972" s="387">
        <f t="shared" ca="1" si="145"/>
        <v>210</v>
      </c>
      <c r="C972" s="404" t="str">
        <f t="shared" ca="1" si="150"/>
        <v>a17Dm000002dbh7IAA</v>
      </c>
      <c r="D972" s="401"/>
      <c r="E972" s="387">
        <f t="shared" ca="1" si="146"/>
        <v>444</v>
      </c>
      <c r="F972" s="402">
        <f ca="1">IF(COUNTA(D$527:D972)=1,"",OFFSET(F970,-COUNTA(D$527:D972)+3,0))</f>
        <v>35</v>
      </c>
      <c r="G972" s="391" t="str">
        <f t="shared" ca="1" si="151"/>
        <v/>
      </c>
      <c r="H972" s="387">
        <f t="shared" ca="1" si="147"/>
        <v>9</v>
      </c>
      <c r="I972" s="389" t="str">
        <f t="shared" ca="1" si="152"/>
        <v/>
      </c>
      <c r="J972" s="392" t="str">
        <f t="shared" ca="1" si="153"/>
        <v/>
      </c>
      <c r="K972" s="392" t="str">
        <f t="shared" ca="1" si="154"/>
        <v/>
      </c>
      <c r="L972" s="391" t="str">
        <f t="shared" ca="1" si="155"/>
        <v/>
      </c>
      <c r="M972" s="401" t="str">
        <f ca="1">IFERROR(IF(COUNTIF($B$526:$B971,"&lt;0")=1,"",OFFSET($C970,-COUNTIF($B$526:$B971,"&lt;0")+3,0)),"")</f>
        <v>a17Dm000002dbh7IAA</v>
      </c>
      <c r="N972" s="401">
        <f ca="1">IFERROR(IF(AND(_xlfn.ISFORMULA(I972),NOT(_xlfn.ISFORMULA(I971))),1,OFFSET($F970,-COUNTIF($B$526:B971,"&lt;0")+3,0)),"")</f>
        <v>35</v>
      </c>
      <c r="O972" s="387">
        <f t="shared" ca="1" si="148"/>
        <v>0</v>
      </c>
      <c r="P972" s="387"/>
      <c r="Q972" s="387"/>
      <c r="R972" s="387"/>
      <c r="S972" s="387"/>
      <c r="T972" s="391"/>
    </row>
    <row r="973" spans="1:20">
      <c r="A973" s="387" t="b">
        <f t="shared" ca="1" si="149"/>
        <v>0</v>
      </c>
      <c r="B973" s="387">
        <f t="shared" ca="1" si="145"/>
        <v>211</v>
      </c>
      <c r="C973" s="404" t="str">
        <f t="shared" ca="1" si="150"/>
        <v>a17Dm000002dbLsIAI</v>
      </c>
      <c r="D973" s="401"/>
      <c r="E973" s="387">
        <f t="shared" ca="1" si="146"/>
        <v>445</v>
      </c>
      <c r="F973" s="402">
        <f ca="1">IF(COUNTA(D$527:D973)=1,"",OFFSET(F971,-COUNTA(D$527:D973)+3,0))</f>
        <v>36</v>
      </c>
      <c r="G973" s="391" t="str">
        <f t="shared" ca="1" si="151"/>
        <v/>
      </c>
      <c r="H973" s="387">
        <f t="shared" ca="1" si="147"/>
        <v>9</v>
      </c>
      <c r="I973" s="389" t="str">
        <f t="shared" ca="1" si="152"/>
        <v/>
      </c>
      <c r="J973" s="392" t="str">
        <f t="shared" ca="1" si="153"/>
        <v/>
      </c>
      <c r="K973" s="392" t="str">
        <f t="shared" ca="1" si="154"/>
        <v/>
      </c>
      <c r="L973" s="391" t="str">
        <f t="shared" ca="1" si="155"/>
        <v/>
      </c>
      <c r="M973" s="401" t="str">
        <f ca="1">IFERROR(IF(COUNTIF($B$526:$B972,"&lt;0")=1,"",OFFSET($C971,-COUNTIF($B$526:$B972,"&lt;0")+3,0)),"")</f>
        <v>a17Dm000002dbLsIAI</v>
      </c>
      <c r="N973" s="401">
        <f ca="1">IFERROR(IF(AND(_xlfn.ISFORMULA(I973),NOT(_xlfn.ISFORMULA(I972))),1,OFFSET($F971,-COUNTIF($B$526:B972,"&lt;0")+3,0)),"")</f>
        <v>36</v>
      </c>
      <c r="O973" s="387">
        <f t="shared" ca="1" si="148"/>
        <v>0</v>
      </c>
      <c r="P973" s="387"/>
      <c r="Q973" s="387"/>
      <c r="R973" s="387"/>
      <c r="S973" s="387"/>
      <c r="T973" s="391"/>
    </row>
    <row r="974" spans="1:20">
      <c r="A974" s="387" t="b">
        <f t="shared" ca="1" si="149"/>
        <v>0</v>
      </c>
      <c r="B974" s="387">
        <f t="shared" ca="1" si="145"/>
        <v>212</v>
      </c>
      <c r="C974" s="404" t="str">
        <f t="shared" ca="1" si="150"/>
        <v>a17Dm000002dbN7IAI</v>
      </c>
      <c r="D974" s="401"/>
      <c r="E974" s="387">
        <f t="shared" ca="1" si="146"/>
        <v>446</v>
      </c>
      <c r="F974" s="402">
        <f ca="1">IF(COUNTA(D$527:D974)=1,"",OFFSET(F972,-COUNTA(D$527:D974)+3,0))</f>
        <v>36</v>
      </c>
      <c r="G974" s="391" t="str">
        <f t="shared" ca="1" si="151"/>
        <v/>
      </c>
      <c r="H974" s="387">
        <f t="shared" ca="1" si="147"/>
        <v>9</v>
      </c>
      <c r="I974" s="389" t="str">
        <f t="shared" ca="1" si="152"/>
        <v/>
      </c>
      <c r="J974" s="392" t="str">
        <f t="shared" ca="1" si="153"/>
        <v/>
      </c>
      <c r="K974" s="392" t="str">
        <f t="shared" ca="1" si="154"/>
        <v/>
      </c>
      <c r="L974" s="391" t="str">
        <f t="shared" ca="1" si="155"/>
        <v/>
      </c>
      <c r="M974" s="401" t="str">
        <f ca="1">IFERROR(IF(COUNTIF($B$526:$B973,"&lt;0")=1,"",OFFSET($C972,-COUNTIF($B$526:$B973,"&lt;0")+3,0)),"")</f>
        <v>a17Dm000002dbN7IAI</v>
      </c>
      <c r="N974" s="401">
        <f ca="1">IFERROR(IF(AND(_xlfn.ISFORMULA(I974),NOT(_xlfn.ISFORMULA(I973))),1,OFFSET($F972,-COUNTIF($B$526:B973,"&lt;0")+3,0)),"")</f>
        <v>36</v>
      </c>
      <c r="O974" s="387">
        <f t="shared" ca="1" si="148"/>
        <v>0</v>
      </c>
      <c r="P974" s="387"/>
      <c r="Q974" s="387"/>
      <c r="R974" s="387"/>
      <c r="S974" s="387"/>
      <c r="T974" s="391"/>
    </row>
    <row r="975" spans="1:20">
      <c r="A975" s="387" t="b">
        <f t="shared" ca="1" si="149"/>
        <v>0</v>
      </c>
      <c r="B975" s="387">
        <f t="shared" ca="1" si="145"/>
        <v>213</v>
      </c>
      <c r="C975" s="404" t="str">
        <f t="shared" ca="1" si="150"/>
        <v>a17Dm000002dbTAIAY</v>
      </c>
      <c r="D975" s="401"/>
      <c r="E975" s="387">
        <f t="shared" ca="1" si="146"/>
        <v>447</v>
      </c>
      <c r="F975" s="402">
        <f ca="1">IF(COUNTA(D$527:D975)=1,"",OFFSET(F973,-COUNTA(D$527:D975)+3,0))</f>
        <v>36</v>
      </c>
      <c r="G975" s="391" t="str">
        <f t="shared" ca="1" si="151"/>
        <v/>
      </c>
      <c r="H975" s="387">
        <f t="shared" ca="1" si="147"/>
        <v>9</v>
      </c>
      <c r="I975" s="389" t="str">
        <f t="shared" ca="1" si="152"/>
        <v/>
      </c>
      <c r="J975" s="392" t="str">
        <f t="shared" ca="1" si="153"/>
        <v/>
      </c>
      <c r="K975" s="392" t="str">
        <f t="shared" ca="1" si="154"/>
        <v/>
      </c>
      <c r="L975" s="391" t="str">
        <f t="shared" ca="1" si="155"/>
        <v/>
      </c>
      <c r="M975" s="401" t="str">
        <f ca="1">IFERROR(IF(COUNTIF($B$526:$B974,"&lt;0")=1,"",OFFSET($C973,-COUNTIF($B$526:$B974,"&lt;0")+3,0)),"")</f>
        <v>a17Dm000002dbTAIAY</v>
      </c>
      <c r="N975" s="401">
        <f ca="1">IFERROR(IF(AND(_xlfn.ISFORMULA(I975),NOT(_xlfn.ISFORMULA(I974))),1,OFFSET($F973,-COUNTIF($B$526:B974,"&lt;0")+3,0)),"")</f>
        <v>36</v>
      </c>
      <c r="O975" s="387">
        <f t="shared" ca="1" si="148"/>
        <v>0</v>
      </c>
      <c r="P975" s="387"/>
      <c r="Q975" s="387"/>
      <c r="R975" s="387"/>
      <c r="S975" s="387"/>
      <c r="T975" s="391"/>
    </row>
    <row r="976" spans="1:20">
      <c r="A976" s="387" t="b">
        <f t="shared" ca="1" si="149"/>
        <v>0</v>
      </c>
      <c r="B976" s="387">
        <f t="shared" ca="1" si="145"/>
        <v>214</v>
      </c>
      <c r="C976" s="404" t="str">
        <f t="shared" ca="1" si="150"/>
        <v>a17Dm000002dbefIAA</v>
      </c>
      <c r="D976" s="401"/>
      <c r="E976" s="387">
        <f t="shared" ca="1" si="146"/>
        <v>448</v>
      </c>
      <c r="F976" s="402">
        <f ca="1">IF(COUNTA(D$527:D976)=1,"",OFFSET(F974,-COUNTA(D$527:D976)+3,0))</f>
        <v>36</v>
      </c>
      <c r="G976" s="391" t="str">
        <f t="shared" ca="1" si="151"/>
        <v/>
      </c>
      <c r="H976" s="387">
        <f t="shared" ca="1" si="147"/>
        <v>9</v>
      </c>
      <c r="I976" s="389" t="str">
        <f t="shared" ca="1" si="152"/>
        <v/>
      </c>
      <c r="J976" s="392" t="str">
        <f t="shared" ca="1" si="153"/>
        <v/>
      </c>
      <c r="K976" s="392" t="str">
        <f t="shared" ca="1" si="154"/>
        <v/>
      </c>
      <c r="L976" s="391" t="str">
        <f t="shared" ca="1" si="155"/>
        <v/>
      </c>
      <c r="M976" s="401" t="str">
        <f ca="1">IFERROR(IF(COUNTIF($B$526:$B975,"&lt;0")=1,"",OFFSET($C974,-COUNTIF($B$526:$B975,"&lt;0")+3,0)),"")</f>
        <v>a17Dm000002dbefIAA</v>
      </c>
      <c r="N976" s="401">
        <f ca="1">IFERROR(IF(AND(_xlfn.ISFORMULA(I976),NOT(_xlfn.ISFORMULA(I975))),1,OFFSET($F974,-COUNTIF($B$526:B975,"&lt;0")+3,0)),"")</f>
        <v>36</v>
      </c>
      <c r="O976" s="387">
        <f t="shared" ca="1" si="148"/>
        <v>0</v>
      </c>
      <c r="P976" s="387"/>
      <c r="Q976" s="387"/>
      <c r="R976" s="387"/>
      <c r="S976" s="387"/>
      <c r="T976" s="391"/>
    </row>
    <row r="977" spans="1:20">
      <c r="A977" s="387" t="b">
        <f t="shared" ca="1" si="149"/>
        <v>0</v>
      </c>
      <c r="B977" s="387">
        <f t="shared" ref="B977:B996" ca="1" si="156">B976+1</f>
        <v>215</v>
      </c>
      <c r="C977" s="404" t="str">
        <f t="shared" ca="1" si="150"/>
        <v>a17Dm000002dbfcIAA</v>
      </c>
      <c r="D977" s="401"/>
      <c r="E977" s="387">
        <f t="shared" ref="E977:E996" ca="1" si="157">IF(E976="countif",0,IF(E976=W$2,1,E976+1))</f>
        <v>449</v>
      </c>
      <c r="F977" s="402">
        <f ca="1">IF(COUNTA(D$527:D977)=1,"",OFFSET(F975,-COUNTA(D$527:D977)+3,0))</f>
        <v>36</v>
      </c>
      <c r="G977" s="391" t="str">
        <f t="shared" ca="1" si="151"/>
        <v/>
      </c>
      <c r="H977" s="387">
        <f t="shared" ref="H977:H996" ca="1" si="158">IF(B977=1,9,IF(E976=MAX(E975:E977),H975+2,H976))</f>
        <v>9</v>
      </c>
      <c r="I977" s="389" t="str">
        <f t="shared" ca="1" si="152"/>
        <v/>
      </c>
      <c r="J977" s="392" t="str">
        <f t="shared" ca="1" si="153"/>
        <v/>
      </c>
      <c r="K977" s="392" t="str">
        <f t="shared" ca="1" si="154"/>
        <v/>
      </c>
      <c r="L977" s="391" t="str">
        <f t="shared" ca="1" si="155"/>
        <v/>
      </c>
      <c r="M977" s="401" t="str">
        <f ca="1">IFERROR(IF(COUNTIF($B$526:$B976,"&lt;0")=1,"",OFFSET($C975,-COUNTIF($B$526:$B976,"&lt;0")+3,0)),"")</f>
        <v>a17Dm000002dbfcIAA</v>
      </c>
      <c r="N977" s="401">
        <f ca="1">IFERROR(IF(AND(_xlfn.ISFORMULA(I977),NOT(_xlfn.ISFORMULA(I976))),1,OFFSET($F975,-COUNTIF($B$526:B976,"&lt;0")+3,0)),"")</f>
        <v>36</v>
      </c>
      <c r="O977" s="387">
        <f t="shared" ref="O977:O996" ca="1" si="159">IF(NOT(_xlfn.ISFORMULA(I977)),O976+1,0)</f>
        <v>0</v>
      </c>
      <c r="P977" s="387"/>
      <c r="Q977" s="387"/>
      <c r="R977" s="387"/>
      <c r="S977" s="387"/>
      <c r="T977" s="391"/>
    </row>
    <row r="978" spans="1:20">
      <c r="A978" s="387" t="b">
        <f t="shared" ca="1" si="149"/>
        <v>0</v>
      </c>
      <c r="B978" s="387">
        <f t="shared" ca="1" si="156"/>
        <v>216</v>
      </c>
      <c r="C978" s="404" t="str">
        <f t="shared" ca="1" si="150"/>
        <v>a17Dm000002dbh8IAA</v>
      </c>
      <c r="D978" s="401"/>
      <c r="E978" s="387">
        <f t="shared" ca="1" si="157"/>
        <v>450</v>
      </c>
      <c r="F978" s="402">
        <f ca="1">IF(COUNTA(D$527:D978)=1,"",OFFSET(F976,-COUNTA(D$527:D978)+3,0))</f>
        <v>36</v>
      </c>
      <c r="G978" s="391" t="str">
        <f t="shared" ca="1" si="151"/>
        <v/>
      </c>
      <c r="H978" s="387">
        <f t="shared" ca="1" si="158"/>
        <v>9</v>
      </c>
      <c r="I978" s="389" t="str">
        <f t="shared" ca="1" si="152"/>
        <v/>
      </c>
      <c r="J978" s="392" t="str">
        <f t="shared" ca="1" si="153"/>
        <v/>
      </c>
      <c r="K978" s="392" t="str">
        <f t="shared" ca="1" si="154"/>
        <v/>
      </c>
      <c r="L978" s="391" t="str">
        <f t="shared" ca="1" si="155"/>
        <v/>
      </c>
      <c r="M978" s="401" t="str">
        <f ca="1">IFERROR(IF(COUNTIF($B$526:$B977,"&lt;0")=1,"",OFFSET($C976,-COUNTIF($B$526:$B977,"&lt;0")+3,0)),"")</f>
        <v>a17Dm000002dbh8IAA</v>
      </c>
      <c r="N978" s="401">
        <f ca="1">IFERROR(IF(AND(_xlfn.ISFORMULA(I978),NOT(_xlfn.ISFORMULA(I977))),1,OFFSET($F976,-COUNTIF($B$526:B977,"&lt;0")+3,0)),"")</f>
        <v>36</v>
      </c>
      <c r="O978" s="387">
        <f t="shared" ca="1" si="159"/>
        <v>0</v>
      </c>
      <c r="P978" s="387"/>
      <c r="Q978" s="387"/>
      <c r="R978" s="387"/>
      <c r="S978" s="387"/>
      <c r="T978" s="391"/>
    </row>
    <row r="979" spans="1:20">
      <c r="A979" s="387" t="b">
        <f t="shared" ca="1" si="149"/>
        <v>0</v>
      </c>
      <c r="B979" s="387">
        <f t="shared" ca="1" si="156"/>
        <v>217</v>
      </c>
      <c r="C979" s="404" t="str">
        <f t="shared" ca="1" si="150"/>
        <v>a17Dm000002dbLtIAI</v>
      </c>
      <c r="D979" s="401"/>
      <c r="E979" s="387">
        <f t="shared" ca="1" si="157"/>
        <v>451</v>
      </c>
      <c r="F979" s="402">
        <f ca="1">IF(COUNTA(D$527:D979)=1,"",OFFSET(F977,-COUNTA(D$527:D979)+3,0))</f>
        <v>37</v>
      </c>
      <c r="G979" s="391" t="str">
        <f t="shared" ca="1" si="151"/>
        <v/>
      </c>
      <c r="H979" s="387">
        <f t="shared" ca="1" si="158"/>
        <v>9</v>
      </c>
      <c r="I979" s="389" t="str">
        <f t="shared" ca="1" si="152"/>
        <v/>
      </c>
      <c r="J979" s="392" t="str">
        <f t="shared" ca="1" si="153"/>
        <v/>
      </c>
      <c r="K979" s="392" t="str">
        <f t="shared" ca="1" si="154"/>
        <v/>
      </c>
      <c r="L979" s="391" t="str">
        <f t="shared" ca="1" si="155"/>
        <v/>
      </c>
      <c r="M979" s="401" t="str">
        <f ca="1">IFERROR(IF(COUNTIF($B$526:$B978,"&lt;0")=1,"",OFFSET($C977,-COUNTIF($B$526:$B978,"&lt;0")+3,0)),"")</f>
        <v>a17Dm000002dbLtIAI</v>
      </c>
      <c r="N979" s="401">
        <f ca="1">IFERROR(IF(AND(_xlfn.ISFORMULA(I979),NOT(_xlfn.ISFORMULA(I978))),1,OFFSET($F977,-COUNTIF($B$526:B978,"&lt;0")+3,0)),"")</f>
        <v>37</v>
      </c>
      <c r="O979" s="387">
        <f t="shared" ca="1" si="159"/>
        <v>0</v>
      </c>
      <c r="P979" s="387"/>
      <c r="Q979" s="387"/>
      <c r="R979" s="387"/>
      <c r="S979" s="387"/>
      <c r="T979" s="391"/>
    </row>
    <row r="980" spans="1:20">
      <c r="A980" s="387" t="b">
        <f t="shared" ca="1" si="149"/>
        <v>0</v>
      </c>
      <c r="B980" s="387">
        <f t="shared" ca="1" si="156"/>
        <v>218</v>
      </c>
      <c r="C980" s="404" t="str">
        <f t="shared" ca="1" si="150"/>
        <v>a17Dm000002dbN8IAI</v>
      </c>
      <c r="D980" s="401"/>
      <c r="E980" s="387">
        <f t="shared" ca="1" si="157"/>
        <v>452</v>
      </c>
      <c r="F980" s="402">
        <f ca="1">IF(COUNTA(D$527:D980)=1,"",OFFSET(F978,-COUNTA(D$527:D980)+3,0))</f>
        <v>37</v>
      </c>
      <c r="G980" s="391" t="str">
        <f t="shared" ca="1" si="151"/>
        <v/>
      </c>
      <c r="H980" s="387">
        <f t="shared" ca="1" si="158"/>
        <v>9</v>
      </c>
      <c r="I980" s="389" t="str">
        <f t="shared" ca="1" si="152"/>
        <v/>
      </c>
      <c r="J980" s="392" t="str">
        <f t="shared" ca="1" si="153"/>
        <v/>
      </c>
      <c r="K980" s="392" t="str">
        <f t="shared" ca="1" si="154"/>
        <v/>
      </c>
      <c r="L980" s="391" t="str">
        <f t="shared" ca="1" si="155"/>
        <v/>
      </c>
      <c r="M980" s="401" t="str">
        <f ca="1">IFERROR(IF(COUNTIF($B$526:$B979,"&lt;0")=1,"",OFFSET($C978,-COUNTIF($B$526:$B979,"&lt;0")+3,0)),"")</f>
        <v>a17Dm000002dbN8IAI</v>
      </c>
      <c r="N980" s="401">
        <f ca="1">IFERROR(IF(AND(_xlfn.ISFORMULA(I980),NOT(_xlfn.ISFORMULA(I979))),1,OFFSET($F978,-COUNTIF($B$526:B979,"&lt;0")+3,0)),"")</f>
        <v>37</v>
      </c>
      <c r="O980" s="387">
        <f t="shared" ca="1" si="159"/>
        <v>0</v>
      </c>
      <c r="P980" s="387"/>
      <c r="Q980" s="387"/>
      <c r="R980" s="387"/>
      <c r="S980" s="387"/>
      <c r="T980" s="391"/>
    </row>
    <row r="981" spans="1:20">
      <c r="A981" s="387" t="b">
        <f t="shared" ca="1" si="149"/>
        <v>0</v>
      </c>
      <c r="B981" s="387">
        <f t="shared" ca="1" si="156"/>
        <v>219</v>
      </c>
      <c r="C981" s="404" t="str">
        <f t="shared" ca="1" si="150"/>
        <v>a17Dm000002dbTBIAY</v>
      </c>
      <c r="D981" s="401"/>
      <c r="E981" s="387">
        <f t="shared" ca="1" si="157"/>
        <v>453</v>
      </c>
      <c r="F981" s="402">
        <f ca="1">IF(COUNTA(D$527:D981)=1,"",OFFSET(F979,-COUNTA(D$527:D981)+3,0))</f>
        <v>37</v>
      </c>
      <c r="G981" s="391" t="str">
        <f t="shared" ca="1" si="151"/>
        <v/>
      </c>
      <c r="H981" s="387">
        <f t="shared" ca="1" si="158"/>
        <v>9</v>
      </c>
      <c r="I981" s="389" t="str">
        <f t="shared" ca="1" si="152"/>
        <v/>
      </c>
      <c r="J981" s="392" t="str">
        <f t="shared" ca="1" si="153"/>
        <v/>
      </c>
      <c r="K981" s="392" t="str">
        <f t="shared" ca="1" si="154"/>
        <v/>
      </c>
      <c r="L981" s="391" t="str">
        <f t="shared" ca="1" si="155"/>
        <v/>
      </c>
      <c r="M981" s="401" t="str">
        <f ca="1">IFERROR(IF(COUNTIF($B$526:$B980,"&lt;0")=1,"",OFFSET($C979,-COUNTIF($B$526:$B980,"&lt;0")+3,0)),"")</f>
        <v>a17Dm000002dbTBIAY</v>
      </c>
      <c r="N981" s="401">
        <f ca="1">IFERROR(IF(AND(_xlfn.ISFORMULA(I981),NOT(_xlfn.ISFORMULA(I980))),1,OFFSET($F979,-COUNTIF($B$526:B980,"&lt;0")+3,0)),"")</f>
        <v>37</v>
      </c>
      <c r="O981" s="387">
        <f t="shared" ca="1" si="159"/>
        <v>0</v>
      </c>
      <c r="P981" s="387"/>
      <c r="Q981" s="387"/>
      <c r="R981" s="387"/>
      <c r="S981" s="387"/>
      <c r="T981" s="391"/>
    </row>
    <row r="982" spans="1:20">
      <c r="A982" s="387" t="b">
        <f t="shared" ca="1" si="149"/>
        <v>0</v>
      </c>
      <c r="B982" s="387">
        <f t="shared" ca="1" si="156"/>
        <v>220</v>
      </c>
      <c r="C982" s="404" t="str">
        <f t="shared" ca="1" si="150"/>
        <v>a17Dm000002dbegIAA</v>
      </c>
      <c r="D982" s="401"/>
      <c r="E982" s="387">
        <f t="shared" ca="1" si="157"/>
        <v>454</v>
      </c>
      <c r="F982" s="402">
        <f ca="1">IF(COUNTA(D$527:D982)=1,"",OFFSET(F980,-COUNTA(D$527:D982)+3,0))</f>
        <v>37</v>
      </c>
      <c r="G982" s="391" t="str">
        <f t="shared" ca="1" si="151"/>
        <v/>
      </c>
      <c r="H982" s="387">
        <f t="shared" ca="1" si="158"/>
        <v>9</v>
      </c>
      <c r="I982" s="389" t="str">
        <f t="shared" ca="1" si="152"/>
        <v/>
      </c>
      <c r="J982" s="392" t="str">
        <f t="shared" ca="1" si="153"/>
        <v/>
      </c>
      <c r="K982" s="392" t="str">
        <f t="shared" ca="1" si="154"/>
        <v/>
      </c>
      <c r="L982" s="391" t="str">
        <f t="shared" ca="1" si="155"/>
        <v/>
      </c>
      <c r="M982" s="401" t="str">
        <f ca="1">IFERROR(IF(COUNTIF($B$526:$B981,"&lt;0")=1,"",OFFSET($C980,-COUNTIF($B$526:$B981,"&lt;0")+3,0)),"")</f>
        <v>a17Dm000002dbegIAA</v>
      </c>
      <c r="N982" s="401">
        <f ca="1">IFERROR(IF(AND(_xlfn.ISFORMULA(I982),NOT(_xlfn.ISFORMULA(I981))),1,OFFSET($F980,-COUNTIF($B$526:B981,"&lt;0")+3,0)),"")</f>
        <v>37</v>
      </c>
      <c r="O982" s="387">
        <f t="shared" ca="1" si="159"/>
        <v>0</v>
      </c>
      <c r="P982" s="387"/>
      <c r="Q982" s="387"/>
      <c r="R982" s="387"/>
      <c r="S982" s="387"/>
      <c r="T982" s="391"/>
    </row>
    <row r="983" spans="1:20">
      <c r="A983" s="387" t="b">
        <f t="shared" ca="1" si="149"/>
        <v>0</v>
      </c>
      <c r="B983" s="387">
        <f t="shared" ca="1" si="156"/>
        <v>221</v>
      </c>
      <c r="C983" s="404" t="str">
        <f t="shared" ca="1" si="150"/>
        <v>a17Dm000002dbfdIAA</v>
      </c>
      <c r="D983" s="401"/>
      <c r="E983" s="387">
        <f t="shared" ca="1" si="157"/>
        <v>455</v>
      </c>
      <c r="F983" s="402">
        <f ca="1">IF(COUNTA(D$527:D983)=1,"",OFFSET(F981,-COUNTA(D$527:D983)+3,0))</f>
        <v>37</v>
      </c>
      <c r="G983" s="391" t="str">
        <f t="shared" ca="1" si="151"/>
        <v/>
      </c>
      <c r="H983" s="387">
        <f t="shared" ca="1" si="158"/>
        <v>9</v>
      </c>
      <c r="I983" s="389" t="str">
        <f t="shared" ca="1" si="152"/>
        <v/>
      </c>
      <c r="J983" s="392" t="str">
        <f t="shared" ca="1" si="153"/>
        <v/>
      </c>
      <c r="K983" s="392" t="str">
        <f t="shared" ca="1" si="154"/>
        <v/>
      </c>
      <c r="L983" s="391" t="str">
        <f t="shared" ca="1" si="155"/>
        <v/>
      </c>
      <c r="M983" s="401" t="str">
        <f ca="1">IFERROR(IF(COUNTIF($B$526:$B982,"&lt;0")=1,"",OFFSET($C981,-COUNTIF($B$526:$B982,"&lt;0")+3,0)),"")</f>
        <v>a17Dm000002dbfdIAA</v>
      </c>
      <c r="N983" s="401">
        <f ca="1">IFERROR(IF(AND(_xlfn.ISFORMULA(I983),NOT(_xlfn.ISFORMULA(I982))),1,OFFSET($F981,-COUNTIF($B$526:B982,"&lt;0")+3,0)),"")</f>
        <v>37</v>
      </c>
      <c r="O983" s="387">
        <f t="shared" ca="1" si="159"/>
        <v>0</v>
      </c>
      <c r="P983" s="387"/>
      <c r="Q983" s="387"/>
      <c r="R983" s="387"/>
      <c r="S983" s="387"/>
      <c r="T983" s="391"/>
    </row>
    <row r="984" spans="1:20">
      <c r="A984" s="387" t="b">
        <f t="shared" ca="1" si="149"/>
        <v>0</v>
      </c>
      <c r="B984" s="387">
        <f t="shared" ca="1" si="156"/>
        <v>222</v>
      </c>
      <c r="C984" s="404" t="str">
        <f t="shared" ca="1" si="150"/>
        <v>a17Dm000002dbh9IAA</v>
      </c>
      <c r="D984" s="401"/>
      <c r="E984" s="387">
        <f t="shared" ca="1" si="157"/>
        <v>456</v>
      </c>
      <c r="F984" s="402">
        <f ca="1">IF(COUNTA(D$527:D984)=1,"",OFFSET(F982,-COUNTA(D$527:D984)+3,0))</f>
        <v>37</v>
      </c>
      <c r="G984" s="391" t="str">
        <f t="shared" ca="1" si="151"/>
        <v/>
      </c>
      <c r="H984" s="387">
        <f t="shared" ca="1" si="158"/>
        <v>9</v>
      </c>
      <c r="I984" s="389" t="str">
        <f t="shared" ca="1" si="152"/>
        <v/>
      </c>
      <c r="J984" s="392" t="str">
        <f t="shared" ca="1" si="153"/>
        <v/>
      </c>
      <c r="K984" s="392" t="str">
        <f t="shared" ca="1" si="154"/>
        <v/>
      </c>
      <c r="L984" s="391" t="str">
        <f t="shared" ca="1" si="155"/>
        <v/>
      </c>
      <c r="M984" s="401" t="str">
        <f ca="1">IFERROR(IF(COUNTIF($B$526:$B983,"&lt;0")=1,"",OFFSET($C982,-COUNTIF($B$526:$B983,"&lt;0")+3,0)),"")</f>
        <v>a17Dm000002dbh9IAA</v>
      </c>
      <c r="N984" s="401">
        <f ca="1">IFERROR(IF(AND(_xlfn.ISFORMULA(I984),NOT(_xlfn.ISFORMULA(I983))),1,OFFSET($F982,-COUNTIF($B$526:B983,"&lt;0")+3,0)),"")</f>
        <v>37</v>
      </c>
      <c r="O984" s="387">
        <f t="shared" ca="1" si="159"/>
        <v>0</v>
      </c>
      <c r="P984" s="387"/>
      <c r="Q984" s="387"/>
      <c r="R984" s="387"/>
      <c r="S984" s="387"/>
      <c r="T984" s="391"/>
    </row>
    <row r="985" spans="1:20">
      <c r="A985" s="387" t="b">
        <f t="shared" ca="1" si="149"/>
        <v>0</v>
      </c>
      <c r="B985" s="387">
        <f t="shared" ca="1" si="156"/>
        <v>223</v>
      </c>
      <c r="C985" s="404" t="str">
        <f t="shared" ca="1" si="150"/>
        <v>a17Dm000002dbLuIAI</v>
      </c>
      <c r="D985" s="401"/>
      <c r="E985" s="387">
        <f t="shared" ca="1" si="157"/>
        <v>457</v>
      </c>
      <c r="F985" s="402">
        <f ca="1">IF(COUNTA(D$527:D985)=1,"",OFFSET(F983,-COUNTA(D$527:D985)+3,0))</f>
        <v>38</v>
      </c>
      <c r="G985" s="391" t="str">
        <f t="shared" ca="1" si="151"/>
        <v/>
      </c>
      <c r="H985" s="387">
        <f t="shared" ca="1" si="158"/>
        <v>9</v>
      </c>
      <c r="I985" s="389" t="str">
        <f t="shared" ca="1" si="152"/>
        <v/>
      </c>
      <c r="J985" s="392" t="str">
        <f t="shared" ca="1" si="153"/>
        <v/>
      </c>
      <c r="K985" s="392" t="str">
        <f t="shared" ca="1" si="154"/>
        <v/>
      </c>
      <c r="L985" s="391" t="str">
        <f t="shared" ca="1" si="155"/>
        <v/>
      </c>
      <c r="M985" s="401" t="str">
        <f ca="1">IFERROR(IF(COUNTIF($B$526:$B984,"&lt;0")=1,"",OFFSET($C983,-COUNTIF($B$526:$B984,"&lt;0")+3,0)),"")</f>
        <v>a17Dm000002dbLuIAI</v>
      </c>
      <c r="N985" s="401">
        <f ca="1">IFERROR(IF(AND(_xlfn.ISFORMULA(I985),NOT(_xlfn.ISFORMULA(I984))),1,OFFSET($F983,-COUNTIF($B$526:B984,"&lt;0")+3,0)),"")</f>
        <v>38</v>
      </c>
      <c r="O985" s="387">
        <f t="shared" ca="1" si="159"/>
        <v>0</v>
      </c>
      <c r="P985" s="387"/>
      <c r="Q985" s="387"/>
      <c r="R985" s="387"/>
      <c r="S985" s="387"/>
      <c r="T985" s="391"/>
    </row>
    <row r="986" spans="1:20">
      <c r="A986" s="387" t="b">
        <f t="shared" ca="1" si="149"/>
        <v>0</v>
      </c>
      <c r="B986" s="387">
        <f t="shared" ca="1" si="156"/>
        <v>224</v>
      </c>
      <c r="C986" s="404" t="str">
        <f t="shared" ca="1" si="150"/>
        <v>a17Dm000002dbN9IAI</v>
      </c>
      <c r="D986" s="401"/>
      <c r="E986" s="387">
        <f t="shared" ca="1" si="157"/>
        <v>458</v>
      </c>
      <c r="F986" s="402">
        <f ca="1">IF(COUNTA(D$527:D986)=1,"",OFFSET(F984,-COUNTA(D$527:D986)+3,0))</f>
        <v>38</v>
      </c>
      <c r="G986" s="391" t="str">
        <f t="shared" ca="1" si="151"/>
        <v/>
      </c>
      <c r="H986" s="387">
        <f t="shared" ca="1" si="158"/>
        <v>9</v>
      </c>
      <c r="I986" s="389" t="str">
        <f t="shared" ca="1" si="152"/>
        <v/>
      </c>
      <c r="J986" s="392" t="str">
        <f t="shared" ca="1" si="153"/>
        <v/>
      </c>
      <c r="K986" s="392" t="str">
        <f t="shared" ca="1" si="154"/>
        <v/>
      </c>
      <c r="L986" s="391" t="str">
        <f t="shared" ca="1" si="155"/>
        <v/>
      </c>
      <c r="M986" s="401" t="str">
        <f ca="1">IFERROR(IF(COUNTIF($B$526:$B985,"&lt;0")=1,"",OFFSET($C984,-COUNTIF($B$526:$B985,"&lt;0")+3,0)),"")</f>
        <v>a17Dm000002dbN9IAI</v>
      </c>
      <c r="N986" s="401">
        <f ca="1">IFERROR(IF(AND(_xlfn.ISFORMULA(I986),NOT(_xlfn.ISFORMULA(I985))),1,OFFSET($F984,-COUNTIF($B$526:B985,"&lt;0")+3,0)),"")</f>
        <v>38</v>
      </c>
      <c r="O986" s="387">
        <f t="shared" ca="1" si="159"/>
        <v>0</v>
      </c>
      <c r="P986" s="387"/>
      <c r="Q986" s="387"/>
      <c r="R986" s="387"/>
      <c r="S986" s="387"/>
      <c r="T986" s="391"/>
    </row>
    <row r="987" spans="1:20">
      <c r="A987" s="387" t="b">
        <f t="shared" ca="1" si="149"/>
        <v>0</v>
      </c>
      <c r="B987" s="387">
        <f t="shared" ca="1" si="156"/>
        <v>225</v>
      </c>
      <c r="C987" s="404" t="str">
        <f t="shared" ca="1" si="150"/>
        <v>a17Dm000002dbTCIAY</v>
      </c>
      <c r="D987" s="401"/>
      <c r="E987" s="387">
        <f t="shared" ca="1" si="157"/>
        <v>459</v>
      </c>
      <c r="F987" s="402">
        <f ca="1">IF(COUNTA(D$527:D987)=1,"",OFFSET(F985,-COUNTA(D$527:D987)+3,0))</f>
        <v>38</v>
      </c>
      <c r="G987" s="391" t="str">
        <f t="shared" ca="1" si="151"/>
        <v/>
      </c>
      <c r="H987" s="387">
        <f t="shared" ca="1" si="158"/>
        <v>9</v>
      </c>
      <c r="I987" s="389" t="str">
        <f t="shared" ca="1" si="152"/>
        <v/>
      </c>
      <c r="J987" s="392" t="str">
        <f t="shared" ca="1" si="153"/>
        <v/>
      </c>
      <c r="K987" s="392" t="str">
        <f t="shared" ca="1" si="154"/>
        <v/>
      </c>
      <c r="L987" s="391" t="str">
        <f t="shared" ca="1" si="155"/>
        <v/>
      </c>
      <c r="M987" s="401" t="str">
        <f ca="1">IFERROR(IF(COUNTIF($B$526:$B986,"&lt;0")=1,"",OFFSET($C985,-COUNTIF($B$526:$B986,"&lt;0")+3,0)),"")</f>
        <v>a17Dm000002dbTCIAY</v>
      </c>
      <c r="N987" s="401">
        <f ca="1">IFERROR(IF(AND(_xlfn.ISFORMULA(I987),NOT(_xlfn.ISFORMULA(I986))),1,OFFSET($F985,-COUNTIF($B$526:B986,"&lt;0")+3,0)),"")</f>
        <v>38</v>
      </c>
      <c r="O987" s="387">
        <f t="shared" ca="1" si="159"/>
        <v>0</v>
      </c>
      <c r="P987" s="387"/>
      <c r="Q987" s="387"/>
      <c r="R987" s="387"/>
      <c r="S987" s="387"/>
      <c r="T987" s="391"/>
    </row>
    <row r="988" spans="1:20">
      <c r="A988" s="387" t="b">
        <f t="shared" ca="1" si="149"/>
        <v>0</v>
      </c>
      <c r="B988" s="387">
        <f t="shared" ca="1" si="156"/>
        <v>226</v>
      </c>
      <c r="C988" s="404" t="str">
        <f t="shared" ca="1" si="150"/>
        <v>a17Dm000002dbehIAA</v>
      </c>
      <c r="D988" s="401"/>
      <c r="E988" s="387">
        <f t="shared" ca="1" si="157"/>
        <v>460</v>
      </c>
      <c r="F988" s="402">
        <f ca="1">IF(COUNTA(D$527:D988)=1,"",OFFSET(F986,-COUNTA(D$527:D988)+3,0))</f>
        <v>38</v>
      </c>
      <c r="G988" s="391" t="str">
        <f t="shared" ca="1" si="151"/>
        <v/>
      </c>
      <c r="H988" s="387">
        <f t="shared" ca="1" si="158"/>
        <v>9</v>
      </c>
      <c r="I988" s="389" t="str">
        <f t="shared" ca="1" si="152"/>
        <v/>
      </c>
      <c r="J988" s="392" t="str">
        <f t="shared" ca="1" si="153"/>
        <v/>
      </c>
      <c r="K988" s="392" t="str">
        <f t="shared" ca="1" si="154"/>
        <v/>
      </c>
      <c r="L988" s="391" t="str">
        <f t="shared" ca="1" si="155"/>
        <v/>
      </c>
      <c r="M988" s="401" t="str">
        <f ca="1">IFERROR(IF(COUNTIF($B$526:$B987,"&lt;0")=1,"",OFFSET($C986,-COUNTIF($B$526:$B987,"&lt;0")+3,0)),"")</f>
        <v>a17Dm000002dbehIAA</v>
      </c>
      <c r="N988" s="401">
        <f ca="1">IFERROR(IF(AND(_xlfn.ISFORMULA(I988),NOT(_xlfn.ISFORMULA(I987))),1,OFFSET($F986,-COUNTIF($B$526:B987,"&lt;0")+3,0)),"")</f>
        <v>38</v>
      </c>
      <c r="O988" s="387">
        <f t="shared" ca="1" si="159"/>
        <v>0</v>
      </c>
      <c r="P988" s="387"/>
      <c r="Q988" s="387"/>
      <c r="R988" s="387"/>
      <c r="S988" s="387"/>
      <c r="T988" s="391"/>
    </row>
    <row r="989" spans="1:20">
      <c r="A989" s="387" t="b">
        <f t="shared" ca="1" si="149"/>
        <v>0</v>
      </c>
      <c r="B989" s="387">
        <f t="shared" ca="1" si="156"/>
        <v>227</v>
      </c>
      <c r="C989" s="404" t="str">
        <f t="shared" ca="1" si="150"/>
        <v>a17Dm000002dbfeIAA</v>
      </c>
      <c r="D989" s="401"/>
      <c r="E989" s="387">
        <f t="shared" ca="1" si="157"/>
        <v>461</v>
      </c>
      <c r="F989" s="402">
        <f ca="1">IF(COUNTA(D$527:D989)=1,"",OFFSET(F987,-COUNTA(D$527:D989)+3,0))</f>
        <v>38</v>
      </c>
      <c r="G989" s="391" t="str">
        <f t="shared" ca="1" si="151"/>
        <v/>
      </c>
      <c r="H989" s="387">
        <f t="shared" ca="1" si="158"/>
        <v>9</v>
      </c>
      <c r="I989" s="389" t="str">
        <f t="shared" ca="1" si="152"/>
        <v/>
      </c>
      <c r="J989" s="392" t="str">
        <f t="shared" ca="1" si="153"/>
        <v/>
      </c>
      <c r="K989" s="392" t="str">
        <f t="shared" ca="1" si="154"/>
        <v/>
      </c>
      <c r="L989" s="391" t="str">
        <f t="shared" ca="1" si="155"/>
        <v/>
      </c>
      <c r="M989" s="401" t="str">
        <f ca="1">IFERROR(IF(COUNTIF($B$526:$B988,"&lt;0")=1,"",OFFSET($C987,-COUNTIF($B$526:$B988,"&lt;0")+3,0)),"")</f>
        <v>a17Dm000002dbfeIAA</v>
      </c>
      <c r="N989" s="401">
        <f ca="1">IFERROR(IF(AND(_xlfn.ISFORMULA(I989),NOT(_xlfn.ISFORMULA(I988))),1,OFFSET($F987,-COUNTIF($B$526:B988,"&lt;0")+3,0)),"")</f>
        <v>38</v>
      </c>
      <c r="O989" s="387">
        <f t="shared" ca="1" si="159"/>
        <v>0</v>
      </c>
      <c r="P989" s="387"/>
      <c r="Q989" s="387"/>
      <c r="R989" s="387"/>
      <c r="S989" s="387"/>
      <c r="T989" s="391"/>
    </row>
    <row r="990" spans="1:20">
      <c r="A990" s="387" t="b">
        <f t="shared" ca="1" si="149"/>
        <v>0</v>
      </c>
      <c r="B990" s="387">
        <f t="shared" ca="1" si="156"/>
        <v>228</v>
      </c>
      <c r="C990" s="404" t="str">
        <f t="shared" ca="1" si="150"/>
        <v>a17Dm000002dbhAIAQ</v>
      </c>
      <c r="D990" s="401"/>
      <c r="E990" s="387">
        <f t="shared" ca="1" si="157"/>
        <v>462</v>
      </c>
      <c r="F990" s="402">
        <f ca="1">IF(COUNTA(D$527:D990)=1,"",OFFSET(F988,-COUNTA(D$527:D990)+3,0))</f>
        <v>38</v>
      </c>
      <c r="G990" s="391" t="str">
        <f t="shared" ca="1" si="151"/>
        <v/>
      </c>
      <c r="H990" s="387">
        <f t="shared" ca="1" si="158"/>
        <v>9</v>
      </c>
      <c r="I990" s="389" t="str">
        <f t="shared" ca="1" si="152"/>
        <v/>
      </c>
      <c r="J990" s="392" t="str">
        <f t="shared" ca="1" si="153"/>
        <v/>
      </c>
      <c r="K990" s="392" t="str">
        <f t="shared" ca="1" si="154"/>
        <v/>
      </c>
      <c r="L990" s="391" t="str">
        <f t="shared" ca="1" si="155"/>
        <v/>
      </c>
      <c r="M990" s="401" t="str">
        <f ca="1">IFERROR(IF(COUNTIF($B$526:$B989,"&lt;0")=1,"",OFFSET($C988,-COUNTIF($B$526:$B989,"&lt;0")+3,0)),"")</f>
        <v>a17Dm000002dbhAIAQ</v>
      </c>
      <c r="N990" s="401">
        <f ca="1">IFERROR(IF(AND(_xlfn.ISFORMULA(I990),NOT(_xlfn.ISFORMULA(I989))),1,OFFSET($F988,-COUNTIF($B$526:B989,"&lt;0")+3,0)),"")</f>
        <v>38</v>
      </c>
      <c r="O990" s="387">
        <f t="shared" ca="1" si="159"/>
        <v>0</v>
      </c>
      <c r="P990" s="387"/>
      <c r="Q990" s="387"/>
      <c r="R990" s="387"/>
      <c r="S990" s="387"/>
      <c r="T990" s="391"/>
    </row>
    <row r="991" spans="1:20">
      <c r="A991" s="387" t="b">
        <f t="shared" ca="1" si="149"/>
        <v>0</v>
      </c>
      <c r="B991" s="387">
        <f t="shared" ca="1" si="156"/>
        <v>229</v>
      </c>
      <c r="C991" s="404" t="str">
        <f t="shared" ca="1" si="150"/>
        <v>a17Dm000002dbLvIAI</v>
      </c>
      <c r="D991" s="401"/>
      <c r="E991" s="387">
        <f t="shared" ca="1" si="157"/>
        <v>463</v>
      </c>
      <c r="F991" s="402">
        <f ca="1">IF(COUNTA(D$527:D991)=1,"",OFFSET(F989,-COUNTA(D$527:D991)+3,0))</f>
        <v>39</v>
      </c>
      <c r="G991" s="391" t="str">
        <f t="shared" ca="1" si="151"/>
        <v/>
      </c>
      <c r="H991" s="387">
        <f t="shared" ca="1" si="158"/>
        <v>9</v>
      </c>
      <c r="I991" s="389" t="str">
        <f t="shared" ca="1" si="152"/>
        <v/>
      </c>
      <c r="J991" s="392" t="str">
        <f t="shared" ca="1" si="153"/>
        <v/>
      </c>
      <c r="K991" s="392" t="str">
        <f t="shared" ca="1" si="154"/>
        <v/>
      </c>
      <c r="L991" s="391" t="str">
        <f t="shared" ca="1" si="155"/>
        <v/>
      </c>
      <c r="M991" s="401" t="str">
        <f ca="1">IFERROR(IF(COUNTIF($B$526:$B990,"&lt;0")=1,"",OFFSET($C989,-COUNTIF($B$526:$B990,"&lt;0")+3,0)),"")</f>
        <v>a17Dm000002dbLvIAI</v>
      </c>
      <c r="N991" s="401">
        <f ca="1">IFERROR(IF(AND(_xlfn.ISFORMULA(I991),NOT(_xlfn.ISFORMULA(I990))),1,OFFSET($F989,-COUNTIF($B$526:B990,"&lt;0")+3,0)),"")</f>
        <v>39</v>
      </c>
      <c r="O991" s="387">
        <f t="shared" ca="1" si="159"/>
        <v>0</v>
      </c>
      <c r="P991" s="387"/>
      <c r="Q991" s="387"/>
      <c r="R991" s="387"/>
      <c r="S991" s="387"/>
      <c r="T991" s="391"/>
    </row>
    <row r="992" spans="1:20">
      <c r="A992" s="387" t="b">
        <f t="shared" ca="1" si="149"/>
        <v>0</v>
      </c>
      <c r="B992" s="387">
        <f t="shared" ca="1" si="156"/>
        <v>230</v>
      </c>
      <c r="C992" s="404" t="str">
        <f t="shared" ca="1" si="150"/>
        <v>a17Dm000002dbNAIAY</v>
      </c>
      <c r="D992" s="401"/>
      <c r="E992" s="387">
        <f t="shared" ca="1" si="157"/>
        <v>464</v>
      </c>
      <c r="F992" s="402">
        <f ca="1">IF(COUNTA(D$527:D992)=1,"",OFFSET(F990,-COUNTA(D$527:D992)+3,0))</f>
        <v>39</v>
      </c>
      <c r="G992" s="391" t="str">
        <f t="shared" ca="1" si="151"/>
        <v/>
      </c>
      <c r="H992" s="387">
        <f t="shared" ca="1" si="158"/>
        <v>9</v>
      </c>
      <c r="I992" s="389" t="str">
        <f t="shared" ca="1" si="152"/>
        <v/>
      </c>
      <c r="J992" s="392" t="str">
        <f t="shared" ca="1" si="153"/>
        <v/>
      </c>
      <c r="K992" s="392" t="str">
        <f t="shared" ca="1" si="154"/>
        <v/>
      </c>
      <c r="L992" s="391" t="str">
        <f t="shared" ca="1" si="155"/>
        <v/>
      </c>
      <c r="M992" s="401" t="str">
        <f ca="1">IFERROR(IF(COUNTIF($B$526:$B991,"&lt;0")=1,"",OFFSET($C990,-COUNTIF($B$526:$B991,"&lt;0")+3,0)),"")</f>
        <v>a17Dm000002dbNAIAY</v>
      </c>
      <c r="N992" s="401">
        <f ca="1">IFERROR(IF(AND(_xlfn.ISFORMULA(I992),NOT(_xlfn.ISFORMULA(I991))),1,OFFSET($F990,-COUNTIF($B$526:B991,"&lt;0")+3,0)),"")</f>
        <v>39</v>
      </c>
      <c r="O992" s="387">
        <f t="shared" ca="1" si="159"/>
        <v>0</v>
      </c>
      <c r="P992" s="387"/>
      <c r="Q992" s="387"/>
      <c r="R992" s="387"/>
      <c r="S992" s="387"/>
      <c r="T992" s="391"/>
    </row>
    <row r="993" spans="1:20">
      <c r="A993" s="387" t="b">
        <f t="shared" ca="1" si="149"/>
        <v>0</v>
      </c>
      <c r="B993" s="387">
        <f t="shared" ca="1" si="156"/>
        <v>231</v>
      </c>
      <c r="C993" s="404" t="str">
        <f t="shared" ca="1" si="150"/>
        <v>a17Dm000002dbTDIAY</v>
      </c>
      <c r="D993" s="401"/>
      <c r="E993" s="387">
        <f t="shared" ca="1" si="157"/>
        <v>465</v>
      </c>
      <c r="F993" s="402">
        <f ca="1">IF(COUNTA(D$527:D993)=1,"",OFFSET(F991,-COUNTA(D$527:D993)+3,0))</f>
        <v>39</v>
      </c>
      <c r="G993" s="391" t="str">
        <f t="shared" ca="1" si="151"/>
        <v/>
      </c>
      <c r="H993" s="387">
        <f t="shared" ca="1" si="158"/>
        <v>9</v>
      </c>
      <c r="I993" s="389" t="str">
        <f t="shared" ca="1" si="152"/>
        <v/>
      </c>
      <c r="J993" s="392" t="str">
        <f t="shared" ca="1" si="153"/>
        <v/>
      </c>
      <c r="K993" s="392" t="str">
        <f t="shared" ca="1" si="154"/>
        <v/>
      </c>
      <c r="L993" s="391" t="str">
        <f t="shared" ca="1" si="155"/>
        <v/>
      </c>
      <c r="M993" s="401" t="str">
        <f ca="1">IFERROR(IF(COUNTIF($B$526:$B992,"&lt;0")=1,"",OFFSET($C991,-COUNTIF($B$526:$B992,"&lt;0")+3,0)),"")</f>
        <v>a17Dm000002dbTDIAY</v>
      </c>
      <c r="N993" s="401">
        <f ca="1">IFERROR(IF(AND(_xlfn.ISFORMULA(I993),NOT(_xlfn.ISFORMULA(I992))),1,OFFSET($F991,-COUNTIF($B$526:B992,"&lt;0")+3,0)),"")</f>
        <v>39</v>
      </c>
      <c r="O993" s="387">
        <f t="shared" ca="1" si="159"/>
        <v>0</v>
      </c>
      <c r="P993" s="387"/>
      <c r="Q993" s="387"/>
      <c r="R993" s="387"/>
      <c r="S993" s="387"/>
      <c r="T993" s="391"/>
    </row>
    <row r="994" spans="1:20">
      <c r="A994" s="387" t="b">
        <f t="shared" ca="1" si="149"/>
        <v>0</v>
      </c>
      <c r="B994" s="387">
        <f t="shared" ca="1" si="156"/>
        <v>232</v>
      </c>
      <c r="C994" s="404" t="str">
        <f t="shared" ca="1" si="150"/>
        <v>a17Dm000002dbeiIAA</v>
      </c>
      <c r="D994" s="401"/>
      <c r="E994" s="387">
        <f t="shared" ca="1" si="157"/>
        <v>466</v>
      </c>
      <c r="F994" s="402">
        <f ca="1">IF(COUNTA(D$527:D994)=1,"",OFFSET(F992,-COUNTA(D$527:D994)+3,0))</f>
        <v>39</v>
      </c>
      <c r="G994" s="391" t="str">
        <f t="shared" ca="1" si="151"/>
        <v/>
      </c>
      <c r="H994" s="387">
        <f t="shared" ca="1" si="158"/>
        <v>9</v>
      </c>
      <c r="I994" s="389" t="str">
        <f t="shared" ca="1" si="152"/>
        <v/>
      </c>
      <c r="J994" s="392" t="str">
        <f t="shared" ca="1" si="153"/>
        <v/>
      </c>
      <c r="K994" s="392" t="str">
        <f t="shared" ca="1" si="154"/>
        <v/>
      </c>
      <c r="L994" s="391" t="str">
        <f t="shared" ca="1" si="155"/>
        <v/>
      </c>
      <c r="M994" s="401" t="str">
        <f ca="1">IFERROR(IF(COUNTIF($B$526:$B993,"&lt;0")=1,"",OFFSET($C992,-COUNTIF($B$526:$B993,"&lt;0")+3,0)),"")</f>
        <v>a17Dm000002dbeiIAA</v>
      </c>
      <c r="N994" s="401">
        <f ca="1">IFERROR(IF(AND(_xlfn.ISFORMULA(I994),NOT(_xlfn.ISFORMULA(I993))),1,OFFSET($F992,-COUNTIF($B$526:B993,"&lt;0")+3,0)),"")</f>
        <v>39</v>
      </c>
      <c r="O994" s="387">
        <f t="shared" ca="1" si="159"/>
        <v>0</v>
      </c>
      <c r="P994" s="387"/>
      <c r="Q994" s="387"/>
      <c r="R994" s="387"/>
      <c r="S994" s="387"/>
      <c r="T994" s="391"/>
    </row>
    <row r="995" spans="1:20">
      <c r="A995" s="387" t="b">
        <f t="shared" ca="1" si="149"/>
        <v>0</v>
      </c>
      <c r="B995" s="387">
        <f t="shared" ca="1" si="156"/>
        <v>233</v>
      </c>
      <c r="C995" s="404" t="str">
        <f t="shared" ca="1" si="150"/>
        <v>a17Dm000002dbffIAA</v>
      </c>
      <c r="D995" s="401"/>
      <c r="E995" s="387">
        <f t="shared" ca="1" si="157"/>
        <v>467</v>
      </c>
      <c r="F995" s="402">
        <f ca="1">IF(COUNTA(D$527:D995)=1,"",OFFSET(F993,-COUNTA(D$527:D995)+3,0))</f>
        <v>39</v>
      </c>
      <c r="G995" s="391" t="str">
        <f t="shared" ca="1" si="151"/>
        <v/>
      </c>
      <c r="H995" s="387">
        <f t="shared" ca="1" si="158"/>
        <v>9</v>
      </c>
      <c r="I995" s="389" t="str">
        <f t="shared" ca="1" si="152"/>
        <v/>
      </c>
      <c r="J995" s="392" t="str">
        <f t="shared" ca="1" si="153"/>
        <v/>
      </c>
      <c r="K995" s="392" t="str">
        <f t="shared" ca="1" si="154"/>
        <v/>
      </c>
      <c r="L995" s="391" t="str">
        <f t="shared" ca="1" si="155"/>
        <v/>
      </c>
      <c r="M995" s="401" t="str">
        <f ca="1">IFERROR(IF(COUNTIF($B$526:$B994,"&lt;0")=1,"",OFFSET($C993,-COUNTIF($B$526:$B994,"&lt;0")+3,0)),"")</f>
        <v>a17Dm000002dbffIAA</v>
      </c>
      <c r="N995" s="401">
        <f ca="1">IFERROR(IF(AND(_xlfn.ISFORMULA(I995),NOT(_xlfn.ISFORMULA(I994))),1,OFFSET($F993,-COUNTIF($B$526:B994,"&lt;0")+3,0)),"")</f>
        <v>39</v>
      </c>
      <c r="O995" s="387">
        <f t="shared" ca="1" si="159"/>
        <v>0</v>
      </c>
      <c r="P995" s="387"/>
      <c r="Q995" s="387"/>
      <c r="R995" s="387"/>
      <c r="S995" s="387"/>
      <c r="T995" s="391"/>
    </row>
    <row r="996" spans="1:20">
      <c r="A996" s="387" t="b">
        <f t="shared" ca="1" si="149"/>
        <v>0</v>
      </c>
      <c r="B996" s="387">
        <f t="shared" ca="1" si="156"/>
        <v>234</v>
      </c>
      <c r="C996" s="404" t="str">
        <f t="shared" ca="1" si="150"/>
        <v>a17Dm000002dbhBIAQ</v>
      </c>
      <c r="D996" s="401"/>
      <c r="E996" s="387">
        <f t="shared" ca="1" si="157"/>
        <v>468</v>
      </c>
      <c r="F996" s="402">
        <f ca="1">IF(COUNTA(D$527:D996)=1,"",OFFSET(F994,-COUNTA(D$527:D996)+3,0))</f>
        <v>39</v>
      </c>
      <c r="G996" s="391" t="str">
        <f t="shared" ca="1" si="151"/>
        <v/>
      </c>
      <c r="H996" s="387">
        <f t="shared" ca="1" si="158"/>
        <v>9</v>
      </c>
      <c r="I996" s="389" t="str">
        <f t="shared" ca="1" si="152"/>
        <v/>
      </c>
      <c r="J996" s="392" t="str">
        <f t="shared" ca="1" si="153"/>
        <v/>
      </c>
      <c r="K996" s="392" t="str">
        <f t="shared" ca="1" si="154"/>
        <v/>
      </c>
      <c r="L996" s="391" t="str">
        <f t="shared" ca="1" si="155"/>
        <v/>
      </c>
      <c r="M996" s="401" t="str">
        <f ca="1">IFERROR(IF(COUNTIF($B$526:$B995,"&lt;0")=1,"",OFFSET($C994,-COUNTIF($B$526:$B995,"&lt;0")+3,0)),"")</f>
        <v>a17Dm000002dbhBIAQ</v>
      </c>
      <c r="N996" s="401">
        <f ca="1">IFERROR(IF(AND(_xlfn.ISFORMULA(I996),NOT(_xlfn.ISFORMULA(I995))),1,OFFSET($F994,-COUNTIF($B$526:B995,"&lt;0")+3,0)),"")</f>
        <v>39</v>
      </c>
      <c r="O996" s="387">
        <f t="shared" ca="1" si="159"/>
        <v>0</v>
      </c>
      <c r="P996" s="387"/>
      <c r="Q996" s="387"/>
      <c r="R996" s="387"/>
      <c r="S996" s="387"/>
      <c r="T996" s="391"/>
    </row>
    <row r="998" spans="1:20">
      <c r="A998" s="385" t="s">
        <v>2929</v>
      </c>
      <c r="J998" s="386" t="str">
        <f ca="1">IF(ROW()&gt;'Impact Indicator Target Update'!A17,"",INDIRECT("'Impact Indicators - Section B'!A"&amp;'Impact Indicator Target Update'!D17))</f>
        <v/>
      </c>
    </row>
    <row r="999" spans="1:20">
      <c r="A999" s="385"/>
    </row>
    <row r="1001" spans="1:20">
      <c r="A1001" s="385" t="s">
        <v>2267</v>
      </c>
    </row>
    <row r="1002" spans="1:20">
      <c r="A1002" s="387" t="s">
        <v>328</v>
      </c>
      <c r="B1002" s="387"/>
      <c r="C1002" s="387" t="s">
        <v>318</v>
      </c>
      <c r="D1002" s="387" t="s">
        <v>2268</v>
      </c>
      <c r="E1002" s="387" t="s">
        <v>105</v>
      </c>
      <c r="F1002" s="387"/>
      <c r="G1002" s="387" t="s">
        <v>2317</v>
      </c>
      <c r="H1002" s="387" t="s">
        <v>2316</v>
      </c>
      <c r="I1002" s="387" t="s">
        <v>768</v>
      </c>
      <c r="J1002" s="387" t="s">
        <v>199</v>
      </c>
      <c r="K1002" s="387" t="s">
        <v>2930</v>
      </c>
      <c r="L1002" s="387" t="s">
        <v>176</v>
      </c>
      <c r="M1002" s="387" t="s">
        <v>2931</v>
      </c>
      <c r="N1002" s="387"/>
      <c r="O1002" s="387" t="s">
        <v>2932</v>
      </c>
      <c r="P1002" s="387" t="s">
        <v>2259</v>
      </c>
    </row>
    <row r="1003" spans="1:20" hidden="1">
      <c r="A1003" s="387" t="b">
        <f ca="1">IF(M1003&lt;&gt;"",TRUE,FALSE)</f>
        <v>0</v>
      </c>
      <c r="B1003" s="387"/>
      <c r="C1003" s="401" t="str">
        <f ca="1">IF(COUNTA(O$1002:O1003)=1,"",OFFSET(C1003,-COUNTA(O$1002:O1003)+1,0))</f>
        <v/>
      </c>
      <c r="D1003" s="392"/>
      <c r="E1003" s="389" t="str">
        <f ca="1">IFERROR(IF(VLOOKUP(C1003,' Disaggregation - Section E '!A$313:J614,7,0)="","",VLOOKUP(C1003,' Disaggregation - Section E '!A$313:J614,7,0)*100),"")</f>
        <v/>
      </c>
      <c r="F1003" s="387"/>
      <c r="G1003" s="390" t="str">
        <f ca="1">IFERROR(IF(VLOOKUP(C1003,' Disaggregation - Section E '!A$313:J614,6,0)="","",VLOOKUP(C1003,' Disaggregation - Section E '!A$313:J614,6,0)),"")</f>
        <v/>
      </c>
      <c r="H1003" s="390" t="str">
        <f ca="1">IFERROR(IF(INDEX(' Disaggregation - Section E '!F$313:F614,MATCH(C1003,' Disaggregation - Section E '!A$313:A614,0)+1,1)&lt;&gt;0,INDEX(' Disaggregation - Section E '!F$313:F614,MATCH(C1003,' Disaggregation - Section E '!A$313:A614,0)+1,1),""),"")</f>
        <v/>
      </c>
      <c r="I1003" s="391" t="str">
        <f ca="1">IFERROR(IF(VLOOKUP(C1003,' Disaggregation - Section E '!A$313:J614,8,0)=0,"",VLOOKUP(C1003,' Disaggregation - Section E '!A$313:J614,8,0)),"")</f>
        <v/>
      </c>
      <c r="J1003" s="391" t="str">
        <f ca="1">IFERROR(IF(VLOOKUP(C1003,' Disaggregation - Section E '!A$313:J614,9,0)="","",VLOOKUP(C1003,' Disaggregation - Section E '!A$313:J614,9,0)),"")</f>
        <v/>
      </c>
      <c r="K1003" s="387" t="str">
        <f ca="1">IFERROR(VLOOKUP(C1003,' Disaggregation - Section E '!A$313:J614,3,0),"")</f>
        <v/>
      </c>
      <c r="L1003" s="391" t="str">
        <f ca="1">IFERROR(IF(VLOOKUP(C1003,' Disaggregation - Section E '!A$313:J614,10,0)="","",VLOOKUP(C1003,' Disaggregation - Section E '!A$313:J614,10,0)),"")</f>
        <v/>
      </c>
      <c r="M1003" s="388" t="str">
        <f ca="1">IFERROR(IF(VLOOKUP(C1003,' Disaggregation - Section E '!A$313:O318,15,0)=0,"",VLOOKUP(C1003,' Disaggregation - Section E '!A$313:O614,15,0)),"")</f>
        <v/>
      </c>
      <c r="N1003" s="387"/>
      <c r="O1003" s="387"/>
      <c r="P1003" s="387" t="str">
        <f ca="1">IFERROR(IF(VLOOKUP(C1003,' Disaggregation - Section E '!A$313:R318,18,0)=0,"",VLOOKUP(C1003,' Disaggregation - Section E '!A$313:R614,18,0)),"")</f>
        <v/>
      </c>
    </row>
    <row r="1004" spans="1:20">
      <c r="A1004" s="387" t="b">
        <v>1</v>
      </c>
      <c r="B1004" s="387"/>
      <c r="C1004" s="401" t="s">
        <v>2933</v>
      </c>
      <c r="D1004" s="392">
        <v>1</v>
      </c>
      <c r="E1004" s="389">
        <v>61.471803278688498</v>
      </c>
      <c r="F1004" s="387"/>
      <c r="G1004" s="390">
        <v>187489</v>
      </c>
      <c r="H1004" s="390">
        <v>305000</v>
      </c>
      <c r="I1004" s="391" t="s">
        <v>2328</v>
      </c>
      <c r="J1004" s="391" t="s">
        <v>780</v>
      </c>
      <c r="K1004" s="387" t="str">
        <f ca="1">IFERROR(VLOOKUP(C1004,' Disaggregation - Section E '!A$313:J615,3,0),"")</f>
        <v>TB O-5 TB treatment coverage: Percentage of patients with new and relapse TB that were notified and treated among the estimated number of incident TB in the same year (all forms of TB - bacteriologically confirmed plus clinically diagnosed</v>
      </c>
      <c r="L1004" s="391"/>
      <c r="M1004" s="388" t="s">
        <v>2934</v>
      </c>
      <c r="N1004" s="387"/>
      <c r="O1004" s="387" t="s">
        <v>2482</v>
      </c>
      <c r="P1004" s="387" t="s">
        <v>2935</v>
      </c>
    </row>
    <row r="1005" spans="1:20">
      <c r="A1005" s="387" t="b">
        <v>1</v>
      </c>
      <c r="B1005" s="387"/>
      <c r="C1005" s="401" t="s">
        <v>2936</v>
      </c>
      <c r="D1005" s="392">
        <v>1</v>
      </c>
      <c r="E1005" s="389">
        <v>8.8259016393442593</v>
      </c>
      <c r="F1005" s="387"/>
      <c r="G1005" s="390">
        <v>26919</v>
      </c>
      <c r="H1005" s="390">
        <v>305000</v>
      </c>
      <c r="I1005" s="391" t="s">
        <v>2328</v>
      </c>
      <c r="J1005" s="391" t="s">
        <v>780</v>
      </c>
      <c r="K1005" s="387" t="str">
        <f ca="1">IFERROR(VLOOKUP(C1005,' Disaggregation - Section E '!A$313:J616,3,0),"")</f>
        <v>TB O-5 TB treatment coverage: Percentage of patients with new and relapse TB that were notified and treated among the estimated number of incident TB in the same year (all forms of TB - bacteriologically confirmed plus clinically diagnosed</v>
      </c>
      <c r="L1005" s="391"/>
      <c r="M1005" s="388" t="s">
        <v>2937</v>
      </c>
      <c r="N1005" s="387"/>
      <c r="O1005" s="387" t="s">
        <v>2482</v>
      </c>
      <c r="P1005" s="387" t="s">
        <v>2938</v>
      </c>
    </row>
    <row r="1006" spans="1:20">
      <c r="A1006" s="387" t="b">
        <v>1</v>
      </c>
      <c r="B1006" s="387"/>
      <c r="C1006" s="401" t="s">
        <v>2939</v>
      </c>
      <c r="D1006" s="392">
        <v>1</v>
      </c>
      <c r="E1006" s="389">
        <v>39.792459016393401</v>
      </c>
      <c r="F1006" s="387"/>
      <c r="G1006" s="390">
        <v>121367</v>
      </c>
      <c r="H1006" s="390">
        <v>305000</v>
      </c>
      <c r="I1006" s="391" t="s">
        <v>2328</v>
      </c>
      <c r="J1006" s="391" t="s">
        <v>780</v>
      </c>
      <c r="K1006" s="387" t="str">
        <f ca="1">IFERROR(VLOOKUP(C1006,' Disaggregation - Section E '!A$313:J617,3,0),"")</f>
        <v>TB O-5 TB treatment coverage: Percentage of patients with new and relapse TB that were notified and treated among the estimated number of incident TB in the same year (all forms of TB - bacteriologically confirmed plus clinically diagnosed</v>
      </c>
      <c r="L1006" s="391"/>
      <c r="M1006" s="388" t="s">
        <v>2940</v>
      </c>
      <c r="N1006" s="387"/>
      <c r="O1006" s="387" t="s">
        <v>2482</v>
      </c>
      <c r="P1006" s="387" t="s">
        <v>2941</v>
      </c>
    </row>
    <row r="1007" spans="1:20">
      <c r="A1007" s="387" t="b">
        <v>1</v>
      </c>
      <c r="B1007" s="387"/>
      <c r="C1007" s="401" t="s">
        <v>2942</v>
      </c>
      <c r="D1007" s="392">
        <v>1</v>
      </c>
      <c r="E1007" s="389">
        <v>30.505245901639299</v>
      </c>
      <c r="F1007" s="387"/>
      <c r="G1007" s="390">
        <v>93041</v>
      </c>
      <c r="H1007" s="390">
        <v>305000</v>
      </c>
      <c r="I1007" s="391" t="s">
        <v>2328</v>
      </c>
      <c r="J1007" s="391" t="s">
        <v>780</v>
      </c>
      <c r="K1007" s="387" t="str">
        <f ca="1">IFERROR(VLOOKUP(C1007,' Disaggregation - Section E '!A$313:J618,3,0),"")</f>
        <v>TB O-5 TB treatment coverage: Percentage of patients with new and relapse TB that were notified and treated among the estimated number of incident TB in the same year (all forms of TB - bacteriologically confirmed plus clinically diagnosed</v>
      </c>
      <c r="L1007" s="391"/>
      <c r="M1007" s="388" t="s">
        <v>2943</v>
      </c>
      <c r="N1007" s="387"/>
      <c r="O1007" s="387" t="s">
        <v>2482</v>
      </c>
      <c r="P1007" s="387" t="s">
        <v>2944</v>
      </c>
    </row>
    <row r="1008" spans="1:20">
      <c r="A1008" s="387" t="b">
        <v>0</v>
      </c>
      <c r="B1008" s="387"/>
      <c r="C1008" s="401" t="s">
        <v>2945</v>
      </c>
      <c r="D1008" s="392">
        <v>1</v>
      </c>
      <c r="E1008" s="389"/>
      <c r="F1008" s="387"/>
      <c r="G1008" s="390"/>
      <c r="H1008" s="390"/>
      <c r="I1008" s="391"/>
      <c r="J1008" s="391"/>
      <c r="K1008" s="387" t="str">
        <f ca="1">IFERROR(VLOOKUP(C1008,' Disaggregation - Section E '!A$313:J619,3,0),"")</f>
        <v>TB O-5 TB treatment coverage: Percentage of patients with new and relapse TB that were notified and treated among the estimated number of incident TB in the same year (all forms of TB - bacteriologically confirmed plus clinically diagnosed</v>
      </c>
      <c r="L1008" s="391"/>
      <c r="M1008" s="388"/>
      <c r="N1008" s="387"/>
      <c r="O1008" s="387" t="s">
        <v>2482</v>
      </c>
      <c r="P1008" s="387"/>
    </row>
    <row r="1009" spans="1:16">
      <c r="A1009" s="387" t="b">
        <v>0</v>
      </c>
      <c r="B1009" s="387"/>
      <c r="C1009" s="401" t="s">
        <v>2946</v>
      </c>
      <c r="D1009" s="392">
        <v>1</v>
      </c>
      <c r="E1009" s="389"/>
      <c r="F1009" s="387"/>
      <c r="G1009" s="390"/>
      <c r="H1009" s="390"/>
      <c r="I1009" s="391"/>
      <c r="J1009" s="391"/>
      <c r="K1009" s="387" t="str">
        <f ca="1">IFERROR(VLOOKUP(C1009,' Disaggregation - Section E '!A$313:J620,3,0),"")</f>
        <v>TB O-5 TB treatment coverage: Percentage of patients with new and relapse TB that were notified and treated among the estimated number of incident TB in the same year (all forms of TB - bacteriologically confirmed plus clinically diagnosed</v>
      </c>
      <c r="L1009" s="391"/>
      <c r="M1009" s="388"/>
      <c r="N1009" s="387"/>
      <c r="O1009" s="387" t="s">
        <v>2482</v>
      </c>
      <c r="P1009" s="387"/>
    </row>
    <row r="1010" spans="1:16">
      <c r="A1010" s="387" t="b">
        <v>0</v>
      </c>
      <c r="B1010" s="387"/>
      <c r="C1010" s="401" t="s">
        <v>2947</v>
      </c>
      <c r="D1010" s="392">
        <v>1</v>
      </c>
      <c r="E1010" s="389"/>
      <c r="F1010" s="387"/>
      <c r="G1010" s="390"/>
      <c r="H1010" s="390"/>
      <c r="I1010" s="391"/>
      <c r="J1010" s="391"/>
      <c r="K1010" s="387" t="str">
        <f ca="1">IFERROR(VLOOKUP(C1010,' Disaggregation - Section E '!A$313:J621,3,0),"")</f>
        <v>TB O-5 TB treatment coverage: Percentage of patients with new and relapse TB that were notified and treated among the estimated number of incident TB in the same year (all forms of TB - bacteriologically confirmed plus clinically diagnosed</v>
      </c>
      <c r="L1010" s="391"/>
      <c r="M1010" s="388"/>
      <c r="N1010" s="387"/>
      <c r="O1010" s="387" t="s">
        <v>2482</v>
      </c>
      <c r="P1010" s="387"/>
    </row>
    <row r="1011" spans="1:16">
      <c r="A1011" s="387" t="b">
        <v>0</v>
      </c>
      <c r="B1011" s="387"/>
      <c r="C1011" s="401" t="s">
        <v>2948</v>
      </c>
      <c r="D1011" s="392">
        <v>1</v>
      </c>
      <c r="E1011" s="389"/>
      <c r="F1011" s="387"/>
      <c r="G1011" s="390"/>
      <c r="H1011" s="390"/>
      <c r="I1011" s="391"/>
      <c r="J1011" s="391"/>
      <c r="K1011" s="387" t="str">
        <f ca="1">IFERROR(VLOOKUP(C1011,' Disaggregation - Section E '!A$313:J622,3,0),"")</f>
        <v>TB O-5 TB treatment coverage: Percentage of patients with new and relapse TB that were notified and treated among the estimated number of incident TB in the same year (all forms of TB - bacteriologically confirmed plus clinically diagnosed</v>
      </c>
      <c r="L1011" s="391"/>
      <c r="M1011" s="388"/>
      <c r="N1011" s="387"/>
      <c r="O1011" s="387" t="s">
        <v>2482</v>
      </c>
      <c r="P1011" s="387"/>
    </row>
    <row r="1012" spans="1:16">
      <c r="A1012" s="387" t="b">
        <v>0</v>
      </c>
      <c r="B1012" s="387"/>
      <c r="C1012" s="401" t="s">
        <v>2949</v>
      </c>
      <c r="D1012" s="392">
        <v>1</v>
      </c>
      <c r="E1012" s="389"/>
      <c r="F1012" s="387"/>
      <c r="G1012" s="390"/>
      <c r="H1012" s="390"/>
      <c r="I1012" s="391"/>
      <c r="J1012" s="391"/>
      <c r="K1012" s="387" t="str">
        <f ca="1">IFERROR(VLOOKUP(C1012,' Disaggregation - Section E '!A$313:J623,3,0),"")</f>
        <v>TB O-5 TB treatment coverage: Percentage of patients with new and relapse TB that were notified and treated among the estimated number of incident TB in the same year (all forms of TB - bacteriologically confirmed plus clinically diagnosed</v>
      </c>
      <c r="L1012" s="391"/>
      <c r="M1012" s="388"/>
      <c r="N1012" s="387"/>
      <c r="O1012" s="387" t="s">
        <v>2482</v>
      </c>
      <c r="P1012" s="387"/>
    </row>
    <row r="1013" spans="1:16">
      <c r="A1013" s="387" t="b">
        <v>0</v>
      </c>
      <c r="B1013" s="387"/>
      <c r="C1013" s="401" t="s">
        <v>2950</v>
      </c>
      <c r="D1013" s="392">
        <v>1</v>
      </c>
      <c r="E1013" s="389"/>
      <c r="F1013" s="387"/>
      <c r="G1013" s="390"/>
      <c r="H1013" s="390"/>
      <c r="I1013" s="391"/>
      <c r="J1013" s="391"/>
      <c r="K1013" s="387" t="str">
        <f ca="1">IFERROR(VLOOKUP(C1013,' Disaggregation - Section E '!A$313:J624,3,0),"")</f>
        <v>TB O-5 TB treatment coverage: Percentage of patients with new and relapse TB that were notified and treated among the estimated number of incident TB in the same year (all forms of TB - bacteriologically confirmed plus clinically diagnosed</v>
      </c>
      <c r="L1013" s="391"/>
      <c r="M1013" s="388"/>
      <c r="N1013" s="387"/>
      <c r="O1013" s="387" t="s">
        <v>2482</v>
      </c>
      <c r="P1013" s="387"/>
    </row>
    <row r="1014" spans="1:16">
      <c r="A1014" s="387" t="b">
        <v>0</v>
      </c>
      <c r="B1014" s="387"/>
      <c r="C1014" s="401" t="s">
        <v>2951</v>
      </c>
      <c r="D1014" s="392">
        <v>2</v>
      </c>
      <c r="E1014" s="389"/>
      <c r="F1014" s="387"/>
      <c r="G1014" s="390"/>
      <c r="H1014" s="390"/>
      <c r="I1014" s="391"/>
      <c r="J1014" s="391"/>
      <c r="K1014" s="387" t="str">
        <f ca="1">IFERROR(VLOOKUP(C1014,' Disaggregation - Section E '!A$313:J625,3,0),"")</f>
        <v>TB O-2a Treatment success rate of all forms of TB - bacteriologically confirmed plus clinically diagnosed, new and relapse</v>
      </c>
      <c r="L1014" s="391"/>
      <c r="M1014" s="388"/>
      <c r="N1014" s="387"/>
      <c r="O1014" s="387" t="s">
        <v>2489</v>
      </c>
      <c r="P1014" s="387"/>
    </row>
    <row r="1015" spans="1:16">
      <c r="A1015" s="387" t="b">
        <v>0</v>
      </c>
      <c r="B1015" s="387"/>
      <c r="C1015" s="401" t="s">
        <v>2952</v>
      </c>
      <c r="D1015" s="392">
        <v>2</v>
      </c>
      <c r="E1015" s="389"/>
      <c r="F1015" s="387"/>
      <c r="G1015" s="390"/>
      <c r="H1015" s="390"/>
      <c r="I1015" s="391"/>
      <c r="J1015" s="391"/>
      <c r="K1015" s="387" t="str">
        <f ca="1">IFERROR(VLOOKUP(C1015,' Disaggregation - Section E '!A$313:J626,3,0),"")</f>
        <v>TB O-2a Treatment success rate of all forms of TB - bacteriologically confirmed plus clinically diagnosed, new and relapse</v>
      </c>
      <c r="L1015" s="391"/>
      <c r="M1015" s="388"/>
      <c r="N1015" s="387"/>
      <c r="O1015" s="387" t="s">
        <v>2489</v>
      </c>
      <c r="P1015" s="387"/>
    </row>
    <row r="1016" spans="1:16">
      <c r="A1016" s="387" t="b">
        <v>0</v>
      </c>
      <c r="B1016" s="387"/>
      <c r="C1016" s="401" t="s">
        <v>2953</v>
      </c>
      <c r="D1016" s="392">
        <v>2</v>
      </c>
      <c r="E1016" s="389"/>
      <c r="F1016" s="387"/>
      <c r="G1016" s="390"/>
      <c r="H1016" s="390"/>
      <c r="I1016" s="391"/>
      <c r="J1016" s="391"/>
      <c r="K1016" s="387" t="str">
        <f ca="1">IFERROR(VLOOKUP(C1016,' Disaggregation - Section E '!A$313:J627,3,0),"")</f>
        <v>TB O-2a Treatment success rate of all forms of TB - bacteriologically confirmed plus clinically diagnosed, new and relapse</v>
      </c>
      <c r="L1016" s="391"/>
      <c r="M1016" s="388"/>
      <c r="N1016" s="387"/>
      <c r="O1016" s="387" t="s">
        <v>2489</v>
      </c>
      <c r="P1016" s="387"/>
    </row>
    <row r="1017" spans="1:16">
      <c r="A1017" s="387" t="b">
        <v>0</v>
      </c>
      <c r="B1017" s="387"/>
      <c r="C1017" s="401" t="s">
        <v>2954</v>
      </c>
      <c r="D1017" s="392">
        <v>2</v>
      </c>
      <c r="E1017" s="389"/>
      <c r="F1017" s="387"/>
      <c r="G1017" s="390"/>
      <c r="H1017" s="390"/>
      <c r="I1017" s="391"/>
      <c r="J1017" s="391"/>
      <c r="K1017" s="387" t="str">
        <f ca="1">IFERROR(VLOOKUP(C1017,' Disaggregation - Section E '!A$313:J628,3,0),"")</f>
        <v>TB O-2a Treatment success rate of all forms of TB - bacteriologically confirmed plus clinically diagnosed, new and relapse</v>
      </c>
      <c r="L1017" s="391"/>
      <c r="M1017" s="388"/>
      <c r="N1017" s="387"/>
      <c r="O1017" s="387" t="s">
        <v>2489</v>
      </c>
      <c r="P1017" s="387"/>
    </row>
    <row r="1018" spans="1:16">
      <c r="A1018" s="387" t="b">
        <v>0</v>
      </c>
      <c r="B1018" s="387"/>
      <c r="C1018" s="401" t="s">
        <v>2955</v>
      </c>
      <c r="D1018" s="392">
        <v>2</v>
      </c>
      <c r="E1018" s="389"/>
      <c r="F1018" s="387"/>
      <c r="G1018" s="390"/>
      <c r="H1018" s="390"/>
      <c r="I1018" s="391"/>
      <c r="J1018" s="391"/>
      <c r="K1018" s="387" t="str">
        <f ca="1">IFERROR(VLOOKUP(C1018,' Disaggregation - Section E '!A$313:J629,3,0),"")</f>
        <v>TB O-2a Treatment success rate of all forms of TB - bacteriologically confirmed plus clinically diagnosed, new and relapse</v>
      </c>
      <c r="L1018" s="391"/>
      <c r="M1018" s="388"/>
      <c r="N1018" s="387"/>
      <c r="O1018" s="387" t="s">
        <v>2489</v>
      </c>
      <c r="P1018" s="387"/>
    </row>
    <row r="1019" spans="1:16">
      <c r="A1019" s="387" t="b">
        <v>0</v>
      </c>
      <c r="B1019" s="387"/>
      <c r="C1019" s="401" t="s">
        <v>2956</v>
      </c>
      <c r="D1019" s="392">
        <v>2</v>
      </c>
      <c r="E1019" s="389"/>
      <c r="F1019" s="387"/>
      <c r="G1019" s="390"/>
      <c r="H1019" s="390"/>
      <c r="I1019" s="391"/>
      <c r="J1019" s="391"/>
      <c r="K1019" s="387" t="str">
        <f ca="1">IFERROR(VLOOKUP(C1019,' Disaggregation - Section E '!A$313:J630,3,0),"")</f>
        <v>TB O-2a Treatment success rate of all forms of TB - bacteriologically confirmed plus clinically diagnosed, new and relapse</v>
      </c>
      <c r="L1019" s="391"/>
      <c r="M1019" s="388"/>
      <c r="N1019" s="387"/>
      <c r="O1019" s="387" t="s">
        <v>2489</v>
      </c>
      <c r="P1019" s="387"/>
    </row>
    <row r="1020" spans="1:16">
      <c r="A1020" s="387" t="b">
        <v>0</v>
      </c>
      <c r="B1020" s="387"/>
      <c r="C1020" s="401" t="s">
        <v>2957</v>
      </c>
      <c r="D1020" s="392">
        <v>2</v>
      </c>
      <c r="E1020" s="389"/>
      <c r="F1020" s="387"/>
      <c r="G1020" s="390"/>
      <c r="H1020" s="390"/>
      <c r="I1020" s="391"/>
      <c r="J1020" s="391"/>
      <c r="K1020" s="387" t="str">
        <f ca="1">IFERROR(VLOOKUP(C1020,' Disaggregation - Section E '!A$313:J631,3,0),"")</f>
        <v>TB O-2a Treatment success rate of all forms of TB - bacteriologically confirmed plus clinically diagnosed, new and relapse</v>
      </c>
      <c r="L1020" s="391"/>
      <c r="M1020" s="388"/>
      <c r="N1020" s="387"/>
      <c r="O1020" s="387" t="s">
        <v>2489</v>
      </c>
      <c r="P1020" s="387"/>
    </row>
    <row r="1021" spans="1:16">
      <c r="A1021" s="387" t="b">
        <v>0</v>
      </c>
      <c r="B1021" s="387"/>
      <c r="C1021" s="401" t="s">
        <v>2958</v>
      </c>
      <c r="D1021" s="392">
        <v>2</v>
      </c>
      <c r="E1021" s="389"/>
      <c r="F1021" s="387"/>
      <c r="G1021" s="390"/>
      <c r="H1021" s="390"/>
      <c r="I1021" s="391"/>
      <c r="J1021" s="391"/>
      <c r="K1021" s="387" t="str">
        <f ca="1">IFERROR(VLOOKUP(C1021,' Disaggregation - Section E '!A$313:J632,3,0),"")</f>
        <v>TB O-2a Treatment success rate of all forms of TB - bacteriologically confirmed plus clinically diagnosed, new and relapse</v>
      </c>
      <c r="L1021" s="391"/>
      <c r="M1021" s="388"/>
      <c r="N1021" s="387"/>
      <c r="O1021" s="387" t="s">
        <v>2489</v>
      </c>
      <c r="P1021" s="387"/>
    </row>
    <row r="1022" spans="1:16">
      <c r="A1022" s="387" t="b">
        <v>0</v>
      </c>
      <c r="B1022" s="387"/>
      <c r="C1022" s="401" t="s">
        <v>2959</v>
      </c>
      <c r="D1022" s="392">
        <v>2</v>
      </c>
      <c r="E1022" s="389"/>
      <c r="F1022" s="387"/>
      <c r="G1022" s="390"/>
      <c r="H1022" s="390"/>
      <c r="I1022" s="391"/>
      <c r="J1022" s="391"/>
      <c r="K1022" s="387" t="str">
        <f ca="1">IFERROR(VLOOKUP(C1022,' Disaggregation - Section E '!A$313:J633,3,0),"")</f>
        <v>TB O-2a Treatment success rate of all forms of TB - bacteriologically confirmed plus clinically diagnosed, new and relapse</v>
      </c>
      <c r="L1022" s="391"/>
      <c r="M1022" s="388"/>
      <c r="N1022" s="387"/>
      <c r="O1022" s="387" t="s">
        <v>2489</v>
      </c>
      <c r="P1022" s="387"/>
    </row>
    <row r="1023" spans="1:16">
      <c r="A1023" s="387" t="b">
        <v>0</v>
      </c>
      <c r="B1023" s="387"/>
      <c r="C1023" s="401" t="s">
        <v>2960</v>
      </c>
      <c r="D1023" s="392">
        <v>2</v>
      </c>
      <c r="E1023" s="389"/>
      <c r="F1023" s="387"/>
      <c r="G1023" s="390"/>
      <c r="H1023" s="390"/>
      <c r="I1023" s="391"/>
      <c r="J1023" s="391"/>
      <c r="K1023" s="387" t="str">
        <f ca="1">IFERROR(VLOOKUP(C1023,' Disaggregation - Section E '!A$313:J634,3,0),"")</f>
        <v>TB O-2a Treatment success rate of all forms of TB - bacteriologically confirmed plus clinically diagnosed, new and relapse</v>
      </c>
      <c r="L1023" s="391"/>
      <c r="M1023" s="388"/>
      <c r="N1023" s="387"/>
      <c r="O1023" s="387" t="s">
        <v>2489</v>
      </c>
      <c r="P1023" s="387"/>
    </row>
    <row r="1024" spans="1:16">
      <c r="A1024" s="387" t="b">
        <v>0</v>
      </c>
      <c r="B1024" s="387"/>
      <c r="C1024" s="401" t="s">
        <v>2961</v>
      </c>
      <c r="D1024" s="392">
        <v>3</v>
      </c>
      <c r="E1024" s="389"/>
      <c r="F1024" s="387"/>
      <c r="G1024" s="390"/>
      <c r="H1024" s="390"/>
      <c r="I1024" s="391"/>
      <c r="J1024" s="391"/>
      <c r="K1024" s="387" t="str">
        <f ca="1">IFERROR(VLOOKUP(C1024,' Disaggregation - Section E '!A$313:J635,3,0),"")</f>
        <v>TB O-6 Treatment coverage of RR-TB and/or MDR-TB: Percentage of notified people with bacteriologically confirmed, drug resistant RR-TB and/or MDR-TB as a proportion of all estimated people with RR-TB and/or MDR-TB</v>
      </c>
      <c r="L1024" s="391"/>
      <c r="M1024" s="388"/>
      <c r="N1024" s="387"/>
      <c r="O1024" s="387" t="s">
        <v>2496</v>
      </c>
      <c r="P1024" s="387"/>
    </row>
    <row r="1025" spans="1:16">
      <c r="A1025" s="387" t="b">
        <v>0</v>
      </c>
      <c r="B1025" s="387"/>
      <c r="C1025" s="401" t="s">
        <v>2962</v>
      </c>
      <c r="D1025" s="392">
        <v>3</v>
      </c>
      <c r="E1025" s="389"/>
      <c r="F1025" s="387"/>
      <c r="G1025" s="390"/>
      <c r="H1025" s="390"/>
      <c r="I1025" s="391"/>
      <c r="J1025" s="391"/>
      <c r="K1025" s="387" t="str">
        <f ca="1">IFERROR(VLOOKUP(C1025,' Disaggregation - Section E '!A$313:J636,3,0),"")</f>
        <v>TB O-6 Treatment coverage of RR-TB and/or MDR-TB: Percentage of notified people with bacteriologically confirmed, drug resistant RR-TB and/or MDR-TB as a proportion of all estimated people with RR-TB and/or MDR-TB</v>
      </c>
      <c r="L1025" s="391"/>
      <c r="M1025" s="388"/>
      <c r="N1025" s="387"/>
      <c r="O1025" s="387" t="s">
        <v>2496</v>
      </c>
      <c r="P1025" s="387"/>
    </row>
    <row r="1026" spans="1:16">
      <c r="A1026" s="387" t="b">
        <v>0</v>
      </c>
      <c r="B1026" s="387"/>
      <c r="C1026" s="401" t="s">
        <v>2963</v>
      </c>
      <c r="D1026" s="392">
        <v>3</v>
      </c>
      <c r="E1026" s="389"/>
      <c r="F1026" s="387"/>
      <c r="G1026" s="390"/>
      <c r="H1026" s="390"/>
      <c r="I1026" s="391"/>
      <c r="J1026" s="391"/>
      <c r="K1026" s="387" t="str">
        <f ca="1">IFERROR(VLOOKUP(C1026,' Disaggregation - Section E '!A$313:J637,3,0),"")</f>
        <v>TB O-6 Treatment coverage of RR-TB and/or MDR-TB: Percentage of notified people with bacteriologically confirmed, drug resistant RR-TB and/or MDR-TB as a proportion of all estimated people with RR-TB and/or MDR-TB</v>
      </c>
      <c r="L1026" s="391"/>
      <c r="M1026" s="388"/>
      <c r="N1026" s="387"/>
      <c r="O1026" s="387" t="s">
        <v>2496</v>
      </c>
      <c r="P1026" s="387"/>
    </row>
    <row r="1027" spans="1:16">
      <c r="A1027" s="387" t="b">
        <v>0</v>
      </c>
      <c r="B1027" s="387"/>
      <c r="C1027" s="401" t="s">
        <v>2964</v>
      </c>
      <c r="D1027" s="392">
        <v>3</v>
      </c>
      <c r="E1027" s="389"/>
      <c r="F1027" s="387"/>
      <c r="G1027" s="390"/>
      <c r="H1027" s="390"/>
      <c r="I1027" s="391"/>
      <c r="J1027" s="391"/>
      <c r="K1027" s="387" t="str">
        <f ca="1">IFERROR(VLOOKUP(C1027,' Disaggregation - Section E '!A$313:J638,3,0),"")</f>
        <v>TB O-6 Treatment coverage of RR-TB and/or MDR-TB: Percentage of notified people with bacteriologically confirmed, drug resistant RR-TB and/or MDR-TB as a proportion of all estimated people with RR-TB and/or MDR-TB</v>
      </c>
      <c r="L1027" s="391"/>
      <c r="M1027" s="388"/>
      <c r="N1027" s="387"/>
      <c r="O1027" s="387" t="s">
        <v>2496</v>
      </c>
      <c r="P1027" s="387"/>
    </row>
    <row r="1028" spans="1:16">
      <c r="A1028" s="387" t="b">
        <v>0</v>
      </c>
      <c r="B1028" s="387"/>
      <c r="C1028" s="401" t="s">
        <v>2965</v>
      </c>
      <c r="D1028" s="392">
        <v>3</v>
      </c>
      <c r="E1028" s="389"/>
      <c r="F1028" s="387"/>
      <c r="G1028" s="390"/>
      <c r="H1028" s="390"/>
      <c r="I1028" s="391"/>
      <c r="J1028" s="391"/>
      <c r="K1028" s="387" t="str">
        <f ca="1">IFERROR(VLOOKUP(C1028,' Disaggregation - Section E '!A$313:J639,3,0),"")</f>
        <v>TB O-6 Treatment coverage of RR-TB and/or MDR-TB: Percentage of notified people with bacteriologically confirmed, drug resistant RR-TB and/or MDR-TB as a proportion of all estimated people with RR-TB and/or MDR-TB</v>
      </c>
      <c r="L1028" s="391"/>
      <c r="M1028" s="388"/>
      <c r="N1028" s="387"/>
      <c r="O1028" s="387" t="s">
        <v>2496</v>
      </c>
      <c r="P1028" s="387"/>
    </row>
    <row r="1029" spans="1:16">
      <c r="A1029" s="387" t="b">
        <v>0</v>
      </c>
      <c r="B1029" s="387"/>
      <c r="C1029" s="401" t="s">
        <v>2966</v>
      </c>
      <c r="D1029" s="392">
        <v>3</v>
      </c>
      <c r="E1029" s="389"/>
      <c r="F1029" s="387"/>
      <c r="G1029" s="390"/>
      <c r="H1029" s="390"/>
      <c r="I1029" s="391"/>
      <c r="J1029" s="391"/>
      <c r="K1029" s="387" t="str">
        <f ca="1">IFERROR(VLOOKUP(C1029,' Disaggregation - Section E '!A$313:J640,3,0),"")</f>
        <v>TB O-6 Treatment coverage of RR-TB and/or MDR-TB: Percentage of notified people with bacteriologically confirmed, drug resistant RR-TB and/or MDR-TB as a proportion of all estimated people with RR-TB and/or MDR-TB</v>
      </c>
      <c r="L1029" s="391"/>
      <c r="M1029" s="388"/>
      <c r="N1029" s="387"/>
      <c r="O1029" s="387" t="s">
        <v>2496</v>
      </c>
      <c r="P1029" s="387"/>
    </row>
    <row r="1030" spans="1:16">
      <c r="A1030" s="387" t="b">
        <v>0</v>
      </c>
      <c r="B1030" s="387"/>
      <c r="C1030" s="401" t="s">
        <v>2967</v>
      </c>
      <c r="D1030" s="392">
        <v>3</v>
      </c>
      <c r="E1030" s="389"/>
      <c r="F1030" s="387"/>
      <c r="G1030" s="390"/>
      <c r="H1030" s="390"/>
      <c r="I1030" s="391"/>
      <c r="J1030" s="391"/>
      <c r="K1030" s="387" t="str">
        <f ca="1">IFERROR(VLOOKUP(C1030,' Disaggregation - Section E '!A$313:J641,3,0),"")</f>
        <v>TB O-6 Treatment coverage of RR-TB and/or MDR-TB: Percentage of notified people with bacteriologically confirmed, drug resistant RR-TB and/or MDR-TB as a proportion of all estimated people with RR-TB and/or MDR-TB</v>
      </c>
      <c r="L1030" s="391"/>
      <c r="M1030" s="388"/>
      <c r="N1030" s="387"/>
      <c r="O1030" s="387" t="s">
        <v>2496</v>
      </c>
      <c r="P1030" s="387"/>
    </row>
    <row r="1031" spans="1:16">
      <c r="A1031" s="387" t="b">
        <v>0</v>
      </c>
      <c r="B1031" s="387"/>
      <c r="C1031" s="401" t="s">
        <v>2968</v>
      </c>
      <c r="D1031" s="392">
        <v>3</v>
      </c>
      <c r="E1031" s="389"/>
      <c r="F1031" s="387"/>
      <c r="G1031" s="390"/>
      <c r="H1031" s="390"/>
      <c r="I1031" s="391"/>
      <c r="J1031" s="391"/>
      <c r="K1031" s="387" t="str">
        <f ca="1">IFERROR(VLOOKUP(C1031,' Disaggregation - Section E '!A$313:J642,3,0),"")</f>
        <v>TB O-6 Treatment coverage of RR-TB and/or MDR-TB: Percentage of notified people with bacteriologically confirmed, drug resistant RR-TB and/or MDR-TB as a proportion of all estimated people with RR-TB and/or MDR-TB</v>
      </c>
      <c r="L1031" s="391"/>
      <c r="M1031" s="388"/>
      <c r="N1031" s="387"/>
      <c r="O1031" s="387" t="s">
        <v>2496</v>
      </c>
      <c r="P1031" s="387"/>
    </row>
    <row r="1032" spans="1:16">
      <c r="A1032" s="387" t="b">
        <v>0</v>
      </c>
      <c r="B1032" s="387"/>
      <c r="C1032" s="401" t="s">
        <v>2969</v>
      </c>
      <c r="D1032" s="392">
        <v>3</v>
      </c>
      <c r="E1032" s="389"/>
      <c r="F1032" s="387"/>
      <c r="G1032" s="390"/>
      <c r="H1032" s="390"/>
      <c r="I1032" s="391"/>
      <c r="J1032" s="391"/>
      <c r="K1032" s="387" t="str">
        <f ca="1">IFERROR(VLOOKUP(C1032,' Disaggregation - Section E '!A$313:J643,3,0),"")</f>
        <v>TB O-6 Treatment coverage of RR-TB and/or MDR-TB: Percentage of notified people with bacteriologically confirmed, drug resistant RR-TB and/or MDR-TB as a proportion of all estimated people with RR-TB and/or MDR-TB</v>
      </c>
      <c r="L1032" s="391"/>
      <c r="M1032" s="388"/>
      <c r="N1032" s="387"/>
      <c r="O1032" s="387" t="s">
        <v>2496</v>
      </c>
      <c r="P1032" s="387"/>
    </row>
    <row r="1033" spans="1:16">
      <c r="A1033" s="387" t="b">
        <v>0</v>
      </c>
      <c r="B1033" s="387"/>
      <c r="C1033" s="401" t="s">
        <v>2970</v>
      </c>
      <c r="D1033" s="392">
        <v>3</v>
      </c>
      <c r="E1033" s="389"/>
      <c r="F1033" s="387"/>
      <c r="G1033" s="390"/>
      <c r="H1033" s="390"/>
      <c r="I1033" s="391"/>
      <c r="J1033" s="391"/>
      <c r="K1033" s="387" t="str">
        <f ca="1">IFERROR(VLOOKUP(C1033,' Disaggregation - Section E '!A$313:J644,3,0),"")</f>
        <v>TB O-6 Treatment coverage of RR-TB and/or MDR-TB: Percentage of notified people with bacteriologically confirmed, drug resistant RR-TB and/or MDR-TB as a proportion of all estimated people with RR-TB and/or MDR-TB</v>
      </c>
      <c r="L1033" s="391"/>
      <c r="M1033" s="388"/>
      <c r="N1033" s="387"/>
      <c r="O1033" s="387" t="s">
        <v>2496</v>
      </c>
      <c r="P1033" s="387"/>
    </row>
    <row r="1034" spans="1:16">
      <c r="A1034" s="387" t="b">
        <v>0</v>
      </c>
      <c r="B1034" s="387"/>
      <c r="C1034" s="401" t="s">
        <v>2971</v>
      </c>
      <c r="D1034" s="392">
        <v>4</v>
      </c>
      <c r="E1034" s="389"/>
      <c r="F1034" s="387"/>
      <c r="G1034" s="390"/>
      <c r="H1034" s="390"/>
      <c r="I1034" s="391"/>
      <c r="J1034" s="391"/>
      <c r="K1034" s="387" t="str">
        <f ca="1">IFERROR(VLOOKUP(C1034,' Disaggregation - Section E '!A$313:J645,3,0),"")</f>
        <v>TB O-4 Treatment success rate of RR-TB and/or MDR-TB: Percentage of patients with RR and/or MDR-TB successfully treated</v>
      </c>
      <c r="L1034" s="391"/>
      <c r="M1034" s="388"/>
      <c r="N1034" s="387"/>
      <c r="O1034" s="387" t="s">
        <v>2503</v>
      </c>
      <c r="P1034" s="387"/>
    </row>
    <row r="1035" spans="1:16">
      <c r="A1035" s="387" t="b">
        <v>0</v>
      </c>
      <c r="B1035" s="387"/>
      <c r="C1035" s="401" t="s">
        <v>2972</v>
      </c>
      <c r="D1035" s="392">
        <v>4</v>
      </c>
      <c r="E1035" s="389"/>
      <c r="F1035" s="387"/>
      <c r="G1035" s="390"/>
      <c r="H1035" s="390"/>
      <c r="I1035" s="391"/>
      <c r="J1035" s="391"/>
      <c r="K1035" s="387" t="str">
        <f ca="1">IFERROR(VLOOKUP(C1035,' Disaggregation - Section E '!A$313:J646,3,0),"")</f>
        <v>TB O-4 Treatment success rate of RR-TB and/or MDR-TB: Percentage of patients with RR and/or MDR-TB successfully treated</v>
      </c>
      <c r="L1035" s="391"/>
      <c r="M1035" s="388"/>
      <c r="N1035" s="387"/>
      <c r="O1035" s="387" t="s">
        <v>2503</v>
      </c>
      <c r="P1035" s="387"/>
    </row>
    <row r="1036" spans="1:16">
      <c r="A1036" s="387" t="b">
        <v>0</v>
      </c>
      <c r="B1036" s="387"/>
      <c r="C1036" s="401" t="s">
        <v>2973</v>
      </c>
      <c r="D1036" s="392">
        <v>4</v>
      </c>
      <c r="E1036" s="389"/>
      <c r="F1036" s="387"/>
      <c r="G1036" s="390"/>
      <c r="H1036" s="390"/>
      <c r="I1036" s="391"/>
      <c r="J1036" s="391"/>
      <c r="K1036" s="387" t="str">
        <f ca="1">IFERROR(VLOOKUP(C1036,' Disaggregation - Section E '!A$313:J647,3,0),"")</f>
        <v>TB O-4 Treatment success rate of RR-TB and/or MDR-TB: Percentage of patients with RR and/or MDR-TB successfully treated</v>
      </c>
      <c r="L1036" s="391"/>
      <c r="M1036" s="388"/>
      <c r="N1036" s="387"/>
      <c r="O1036" s="387" t="s">
        <v>2503</v>
      </c>
      <c r="P1036" s="387"/>
    </row>
    <row r="1037" spans="1:16">
      <c r="A1037" s="387" t="b">
        <v>0</v>
      </c>
      <c r="B1037" s="387"/>
      <c r="C1037" s="401" t="s">
        <v>2974</v>
      </c>
      <c r="D1037" s="392">
        <v>4</v>
      </c>
      <c r="E1037" s="389"/>
      <c r="F1037" s="387"/>
      <c r="G1037" s="390"/>
      <c r="H1037" s="390"/>
      <c r="I1037" s="391"/>
      <c r="J1037" s="391"/>
      <c r="K1037" s="387" t="str">
        <f ca="1">IFERROR(VLOOKUP(C1037,' Disaggregation - Section E '!A$313:J648,3,0),"")</f>
        <v>TB O-4 Treatment success rate of RR-TB and/or MDR-TB: Percentage of patients with RR and/or MDR-TB successfully treated</v>
      </c>
      <c r="L1037" s="391"/>
      <c r="M1037" s="388"/>
      <c r="N1037" s="387"/>
      <c r="O1037" s="387" t="s">
        <v>2503</v>
      </c>
      <c r="P1037" s="387"/>
    </row>
    <row r="1038" spans="1:16">
      <c r="A1038" s="387" t="b">
        <v>0</v>
      </c>
      <c r="B1038" s="387"/>
      <c r="C1038" s="401" t="s">
        <v>2975</v>
      </c>
      <c r="D1038" s="392">
        <v>4</v>
      </c>
      <c r="E1038" s="389"/>
      <c r="F1038" s="387"/>
      <c r="G1038" s="390"/>
      <c r="H1038" s="390"/>
      <c r="I1038" s="391"/>
      <c r="J1038" s="391"/>
      <c r="K1038" s="387" t="str">
        <f ca="1">IFERROR(VLOOKUP(C1038,' Disaggregation - Section E '!A$313:J649,3,0),"")</f>
        <v>TB O-4 Treatment success rate of RR-TB and/or MDR-TB: Percentage of patients with RR and/or MDR-TB successfully treated</v>
      </c>
      <c r="L1038" s="391"/>
      <c r="M1038" s="388"/>
      <c r="N1038" s="387"/>
      <c r="O1038" s="387" t="s">
        <v>2503</v>
      </c>
      <c r="P1038" s="387"/>
    </row>
    <row r="1039" spans="1:16">
      <c r="A1039" s="387" t="b">
        <v>0</v>
      </c>
      <c r="B1039" s="387"/>
      <c r="C1039" s="401" t="s">
        <v>2976</v>
      </c>
      <c r="D1039" s="392">
        <v>4</v>
      </c>
      <c r="E1039" s="389"/>
      <c r="F1039" s="387"/>
      <c r="G1039" s="390"/>
      <c r="H1039" s="390"/>
      <c r="I1039" s="391"/>
      <c r="J1039" s="391"/>
      <c r="K1039" s="387" t="str">
        <f ca="1">IFERROR(VLOOKUP(C1039,' Disaggregation - Section E '!A$313:J650,3,0),"")</f>
        <v>TB O-4 Treatment success rate of RR-TB and/or MDR-TB: Percentage of patients with RR and/or MDR-TB successfully treated</v>
      </c>
      <c r="L1039" s="391"/>
      <c r="M1039" s="388"/>
      <c r="N1039" s="387"/>
      <c r="O1039" s="387" t="s">
        <v>2503</v>
      </c>
      <c r="P1039" s="387"/>
    </row>
    <row r="1040" spans="1:16">
      <c r="A1040" s="387" t="b">
        <v>0</v>
      </c>
      <c r="B1040" s="387"/>
      <c r="C1040" s="401" t="s">
        <v>2977</v>
      </c>
      <c r="D1040" s="392">
        <v>4</v>
      </c>
      <c r="E1040" s="389"/>
      <c r="F1040" s="387"/>
      <c r="G1040" s="390"/>
      <c r="H1040" s="390"/>
      <c r="I1040" s="391"/>
      <c r="J1040" s="391"/>
      <c r="K1040" s="387" t="str">
        <f ca="1">IFERROR(VLOOKUP(C1040,' Disaggregation - Section E '!A$313:J651,3,0),"")</f>
        <v>TB O-4 Treatment success rate of RR-TB and/or MDR-TB: Percentage of patients with RR and/or MDR-TB successfully treated</v>
      </c>
      <c r="L1040" s="391"/>
      <c r="M1040" s="388"/>
      <c r="N1040" s="387"/>
      <c r="O1040" s="387" t="s">
        <v>2503</v>
      </c>
      <c r="P1040" s="387"/>
    </row>
    <row r="1041" spans="1:16">
      <c r="A1041" s="387" t="b">
        <v>0</v>
      </c>
      <c r="B1041" s="387"/>
      <c r="C1041" s="401" t="s">
        <v>2978</v>
      </c>
      <c r="D1041" s="392">
        <v>4</v>
      </c>
      <c r="E1041" s="389"/>
      <c r="F1041" s="387"/>
      <c r="G1041" s="390"/>
      <c r="H1041" s="390"/>
      <c r="I1041" s="391"/>
      <c r="J1041" s="391"/>
      <c r="K1041" s="387" t="str">
        <f ca="1">IFERROR(VLOOKUP(C1041,' Disaggregation - Section E '!A$313:J652,3,0),"")</f>
        <v>TB O-4 Treatment success rate of RR-TB and/or MDR-TB: Percentage of patients with RR and/or MDR-TB successfully treated</v>
      </c>
      <c r="L1041" s="391"/>
      <c r="M1041" s="388"/>
      <c r="N1041" s="387"/>
      <c r="O1041" s="387" t="s">
        <v>2503</v>
      </c>
      <c r="P1041" s="387"/>
    </row>
    <row r="1042" spans="1:16">
      <c r="A1042" s="387" t="b">
        <v>0</v>
      </c>
      <c r="B1042" s="387"/>
      <c r="C1042" s="401" t="s">
        <v>2979</v>
      </c>
      <c r="D1042" s="392">
        <v>4</v>
      </c>
      <c r="E1042" s="389"/>
      <c r="F1042" s="387"/>
      <c r="G1042" s="390"/>
      <c r="H1042" s="390"/>
      <c r="I1042" s="391"/>
      <c r="J1042" s="391"/>
      <c r="K1042" s="387" t="str">
        <f ca="1">IFERROR(VLOOKUP(C1042,' Disaggregation - Section E '!A$313:J653,3,0),"")</f>
        <v>TB O-4 Treatment success rate of RR-TB and/or MDR-TB: Percentage of patients with RR and/or MDR-TB successfully treated</v>
      </c>
      <c r="L1042" s="391"/>
      <c r="M1042" s="388"/>
      <c r="N1042" s="387"/>
      <c r="O1042" s="387" t="s">
        <v>2503</v>
      </c>
      <c r="P1042" s="387"/>
    </row>
    <row r="1043" spans="1:16">
      <c r="A1043" s="387" t="b">
        <v>0</v>
      </c>
      <c r="B1043" s="387"/>
      <c r="C1043" s="401" t="s">
        <v>2980</v>
      </c>
      <c r="D1043" s="392">
        <v>4</v>
      </c>
      <c r="E1043" s="389"/>
      <c r="F1043" s="387"/>
      <c r="G1043" s="390"/>
      <c r="H1043" s="390"/>
      <c r="I1043" s="391"/>
      <c r="J1043" s="391"/>
      <c r="K1043" s="387" t="str">
        <f ca="1">IFERROR(VLOOKUP(C1043,' Disaggregation - Section E '!A$313:J654,3,0),"")</f>
        <v>TB O-4 Treatment success rate of RR-TB and/or MDR-TB: Percentage of patients with RR and/or MDR-TB successfully treated</v>
      </c>
      <c r="L1043" s="391"/>
      <c r="M1043" s="388"/>
      <c r="N1043" s="387"/>
      <c r="O1043" s="387" t="s">
        <v>2503</v>
      </c>
      <c r="P1043" s="387"/>
    </row>
    <row r="1044" spans="1:16">
      <c r="A1044" s="387" t="b">
        <v>0</v>
      </c>
      <c r="B1044" s="387"/>
      <c r="C1044" s="401" t="s">
        <v>2981</v>
      </c>
      <c r="D1044" s="392">
        <v>5</v>
      </c>
      <c r="E1044" s="389"/>
      <c r="F1044" s="387"/>
      <c r="G1044" s="390"/>
      <c r="H1044" s="390"/>
      <c r="I1044" s="391"/>
      <c r="J1044" s="391"/>
      <c r="K1044" s="387" t="str">
        <f ca="1">IFERROR(VLOOKUP(C1044,' Disaggregation - Section E '!A$313:J655,3,0),"")</f>
        <v>HIV O-4a Percentage of men reporting using a condom the last time they had anal sex with a male partner</v>
      </c>
      <c r="L1044" s="391"/>
      <c r="M1044" s="388"/>
      <c r="N1044" s="387"/>
      <c r="O1044" s="387" t="s">
        <v>2510</v>
      </c>
      <c r="P1044" s="387"/>
    </row>
    <row r="1045" spans="1:16">
      <c r="A1045" s="387" t="b">
        <v>0</v>
      </c>
      <c r="B1045" s="387"/>
      <c r="C1045" s="401" t="s">
        <v>2982</v>
      </c>
      <c r="D1045" s="392">
        <v>5</v>
      </c>
      <c r="E1045" s="389"/>
      <c r="F1045" s="387"/>
      <c r="G1045" s="390"/>
      <c r="H1045" s="390"/>
      <c r="I1045" s="391"/>
      <c r="J1045" s="391"/>
      <c r="K1045" s="387" t="str">
        <f ca="1">IFERROR(VLOOKUP(C1045,' Disaggregation - Section E '!A$313:J656,3,0),"")</f>
        <v>HIV O-4a Percentage of men reporting using a condom the last time they had anal sex with a male partner</v>
      </c>
      <c r="L1045" s="391"/>
      <c r="M1045" s="388"/>
      <c r="N1045" s="387"/>
      <c r="O1045" s="387" t="s">
        <v>2510</v>
      </c>
      <c r="P1045" s="387"/>
    </row>
    <row r="1046" spans="1:16">
      <c r="A1046" s="387" t="b">
        <v>0</v>
      </c>
      <c r="B1046" s="387"/>
      <c r="C1046" s="401" t="s">
        <v>2983</v>
      </c>
      <c r="D1046" s="392">
        <v>5</v>
      </c>
      <c r="E1046" s="389"/>
      <c r="F1046" s="387"/>
      <c r="G1046" s="390"/>
      <c r="H1046" s="390"/>
      <c r="I1046" s="391"/>
      <c r="J1046" s="391"/>
      <c r="K1046" s="387" t="str">
        <f ca="1">IFERROR(VLOOKUP(C1046,' Disaggregation - Section E '!A$313:J657,3,0),"")</f>
        <v>HIV O-4a Percentage of men reporting using a condom the last time they had anal sex with a male partner</v>
      </c>
      <c r="L1046" s="391"/>
      <c r="M1046" s="388"/>
      <c r="N1046" s="387"/>
      <c r="O1046" s="387" t="s">
        <v>2510</v>
      </c>
      <c r="P1046" s="387"/>
    </row>
    <row r="1047" spans="1:16">
      <c r="A1047" s="387" t="b">
        <v>0</v>
      </c>
      <c r="B1047" s="387"/>
      <c r="C1047" s="401" t="s">
        <v>2984</v>
      </c>
      <c r="D1047" s="392">
        <v>5</v>
      </c>
      <c r="E1047" s="389"/>
      <c r="F1047" s="387"/>
      <c r="G1047" s="390"/>
      <c r="H1047" s="390"/>
      <c r="I1047" s="391"/>
      <c r="J1047" s="391"/>
      <c r="K1047" s="387" t="str">
        <f ca="1">IFERROR(VLOOKUP(C1047,' Disaggregation - Section E '!A$313:J658,3,0),"")</f>
        <v>HIV O-4a Percentage of men reporting using a condom the last time they had anal sex with a male partner</v>
      </c>
      <c r="L1047" s="391"/>
      <c r="M1047" s="388"/>
      <c r="N1047" s="387"/>
      <c r="O1047" s="387" t="s">
        <v>2510</v>
      </c>
      <c r="P1047" s="387"/>
    </row>
    <row r="1048" spans="1:16">
      <c r="A1048" s="387" t="b">
        <v>0</v>
      </c>
      <c r="B1048" s="387"/>
      <c r="C1048" s="401" t="s">
        <v>2985</v>
      </c>
      <c r="D1048" s="392">
        <v>5</v>
      </c>
      <c r="E1048" s="389"/>
      <c r="F1048" s="387"/>
      <c r="G1048" s="390"/>
      <c r="H1048" s="390"/>
      <c r="I1048" s="391"/>
      <c r="J1048" s="391"/>
      <c r="K1048" s="387" t="str">
        <f ca="1">IFERROR(VLOOKUP(C1048,' Disaggregation - Section E '!A$313:J659,3,0),"")</f>
        <v>HIV O-4a Percentage of men reporting using a condom the last time they had anal sex with a male partner</v>
      </c>
      <c r="L1048" s="391"/>
      <c r="M1048" s="388"/>
      <c r="N1048" s="387"/>
      <c r="O1048" s="387" t="s">
        <v>2510</v>
      </c>
      <c r="P1048" s="387"/>
    </row>
    <row r="1049" spans="1:16">
      <c r="A1049" s="387" t="b">
        <v>0</v>
      </c>
      <c r="B1049" s="387"/>
      <c r="C1049" s="401" t="s">
        <v>2986</v>
      </c>
      <c r="D1049" s="392">
        <v>5</v>
      </c>
      <c r="E1049" s="389"/>
      <c r="F1049" s="387"/>
      <c r="G1049" s="390"/>
      <c r="H1049" s="390"/>
      <c r="I1049" s="391"/>
      <c r="J1049" s="391"/>
      <c r="K1049" s="387" t="str">
        <f ca="1">IFERROR(VLOOKUP(C1049,' Disaggregation - Section E '!A$313:J660,3,0),"")</f>
        <v>HIV O-4a Percentage of men reporting using a condom the last time they had anal sex with a male partner</v>
      </c>
      <c r="L1049" s="391"/>
      <c r="M1049" s="388"/>
      <c r="N1049" s="387"/>
      <c r="O1049" s="387" t="s">
        <v>2510</v>
      </c>
      <c r="P1049" s="387"/>
    </row>
    <row r="1050" spans="1:16">
      <c r="A1050" s="387" t="b">
        <v>0</v>
      </c>
      <c r="B1050" s="387"/>
      <c r="C1050" s="401" t="s">
        <v>2987</v>
      </c>
      <c r="D1050" s="392">
        <v>5</v>
      </c>
      <c r="E1050" s="389"/>
      <c r="F1050" s="387"/>
      <c r="G1050" s="390"/>
      <c r="H1050" s="390"/>
      <c r="I1050" s="391"/>
      <c r="J1050" s="391"/>
      <c r="K1050" s="387" t="str">
        <f ca="1">IFERROR(VLOOKUP(C1050,' Disaggregation - Section E '!A$313:J661,3,0),"")</f>
        <v>HIV O-4a Percentage of men reporting using a condom the last time they had anal sex with a male partner</v>
      </c>
      <c r="L1050" s="391"/>
      <c r="M1050" s="388"/>
      <c r="N1050" s="387"/>
      <c r="O1050" s="387" t="s">
        <v>2510</v>
      </c>
      <c r="P1050" s="387"/>
    </row>
    <row r="1051" spans="1:16">
      <c r="A1051" s="387" t="b">
        <v>0</v>
      </c>
      <c r="B1051" s="387"/>
      <c r="C1051" s="401" t="s">
        <v>2988</v>
      </c>
      <c r="D1051" s="392">
        <v>5</v>
      </c>
      <c r="E1051" s="389"/>
      <c r="F1051" s="387"/>
      <c r="G1051" s="390"/>
      <c r="H1051" s="390"/>
      <c r="I1051" s="391"/>
      <c r="J1051" s="391"/>
      <c r="K1051" s="387" t="str">
        <f ca="1">IFERROR(VLOOKUP(C1051,' Disaggregation - Section E '!A$313:J662,3,0),"")</f>
        <v>HIV O-4a Percentage of men reporting using a condom the last time they had anal sex with a male partner</v>
      </c>
      <c r="L1051" s="391"/>
      <c r="M1051" s="388"/>
      <c r="N1051" s="387"/>
      <c r="O1051" s="387" t="s">
        <v>2510</v>
      </c>
      <c r="P1051" s="387"/>
    </row>
    <row r="1052" spans="1:16">
      <c r="A1052" s="387" t="b">
        <v>0</v>
      </c>
      <c r="B1052" s="387"/>
      <c r="C1052" s="401" t="s">
        <v>2989</v>
      </c>
      <c r="D1052" s="392">
        <v>5</v>
      </c>
      <c r="E1052" s="389"/>
      <c r="F1052" s="387"/>
      <c r="G1052" s="390"/>
      <c r="H1052" s="390"/>
      <c r="I1052" s="391"/>
      <c r="J1052" s="391"/>
      <c r="K1052" s="387" t="str">
        <f ca="1">IFERROR(VLOOKUP(C1052,' Disaggregation - Section E '!A$313:J663,3,0),"")</f>
        <v>HIV O-4a Percentage of men reporting using a condom the last time they had anal sex with a male partner</v>
      </c>
      <c r="L1052" s="391"/>
      <c r="M1052" s="388"/>
      <c r="N1052" s="387"/>
      <c r="O1052" s="387" t="s">
        <v>2510</v>
      </c>
      <c r="P1052" s="387"/>
    </row>
    <row r="1053" spans="1:16">
      <c r="A1053" s="387" t="b">
        <v>0</v>
      </c>
      <c r="B1053" s="387"/>
      <c r="C1053" s="401" t="s">
        <v>2990</v>
      </c>
      <c r="D1053" s="392">
        <v>5</v>
      </c>
      <c r="E1053" s="389"/>
      <c r="F1053" s="387"/>
      <c r="G1053" s="390"/>
      <c r="H1053" s="390"/>
      <c r="I1053" s="391"/>
      <c r="J1053" s="391"/>
      <c r="K1053" s="387" t="str">
        <f ca="1">IFERROR(VLOOKUP(C1053,' Disaggregation - Section E '!A$313:J664,3,0),"")</f>
        <v>HIV O-4a Percentage of men reporting using a condom the last time they had anal sex with a male partner</v>
      </c>
      <c r="L1053" s="391"/>
      <c r="M1053" s="388"/>
      <c r="N1053" s="387"/>
      <c r="O1053" s="387" t="s">
        <v>2510</v>
      </c>
      <c r="P1053" s="387"/>
    </row>
    <row r="1054" spans="1:16">
      <c r="A1054" s="387" t="b">
        <v>0</v>
      </c>
      <c r="B1054" s="387"/>
      <c r="C1054" s="401" t="s">
        <v>2991</v>
      </c>
      <c r="D1054" s="392">
        <v>6</v>
      </c>
      <c r="E1054" s="389"/>
      <c r="F1054" s="387"/>
      <c r="G1054" s="390"/>
      <c r="H1054" s="390"/>
      <c r="I1054" s="391"/>
      <c r="J1054" s="391"/>
      <c r="K1054" s="387" t="str">
        <f ca="1">IFERROR(VLOOKUP(C1054,' Disaggregation - Section E '!A$313:J665,3,0),"")</f>
        <v>HIV O-4.1b Percentage of transgender people reporting using a condom during their most recent sexual intercourse or anal sex</v>
      </c>
      <c r="L1054" s="391"/>
      <c r="M1054" s="388"/>
      <c r="N1054" s="387"/>
      <c r="O1054" s="387" t="s">
        <v>2517</v>
      </c>
      <c r="P1054" s="387"/>
    </row>
    <row r="1055" spans="1:16">
      <c r="A1055" s="387" t="b">
        <v>0</v>
      </c>
      <c r="B1055" s="387"/>
      <c r="C1055" s="401" t="s">
        <v>2992</v>
      </c>
      <c r="D1055" s="392">
        <v>6</v>
      </c>
      <c r="E1055" s="389"/>
      <c r="F1055" s="387"/>
      <c r="G1055" s="390"/>
      <c r="H1055" s="390"/>
      <c r="I1055" s="391"/>
      <c r="J1055" s="391"/>
      <c r="K1055" s="387" t="str">
        <f ca="1">IFERROR(VLOOKUP(C1055,' Disaggregation - Section E '!A$313:J666,3,0),"")</f>
        <v>HIV O-4.1b Percentage of transgender people reporting using a condom during their most recent sexual intercourse or anal sex</v>
      </c>
      <c r="L1055" s="391"/>
      <c r="M1055" s="388"/>
      <c r="N1055" s="387"/>
      <c r="O1055" s="387" t="s">
        <v>2517</v>
      </c>
      <c r="P1055" s="387"/>
    </row>
    <row r="1056" spans="1:16">
      <c r="A1056" s="387" t="b">
        <v>0</v>
      </c>
      <c r="B1056" s="387"/>
      <c r="C1056" s="401" t="s">
        <v>2993</v>
      </c>
      <c r="D1056" s="392">
        <v>6</v>
      </c>
      <c r="E1056" s="389"/>
      <c r="F1056" s="387"/>
      <c r="G1056" s="390"/>
      <c r="H1056" s="390"/>
      <c r="I1056" s="391"/>
      <c r="J1056" s="391"/>
      <c r="K1056" s="387" t="str">
        <f ca="1">IFERROR(VLOOKUP(C1056,' Disaggregation - Section E '!A$313:J667,3,0),"")</f>
        <v>HIV O-4.1b Percentage of transgender people reporting using a condom during their most recent sexual intercourse or anal sex</v>
      </c>
      <c r="L1056" s="391"/>
      <c r="M1056" s="388"/>
      <c r="N1056" s="387"/>
      <c r="O1056" s="387" t="s">
        <v>2517</v>
      </c>
      <c r="P1056" s="387"/>
    </row>
    <row r="1057" spans="1:16">
      <c r="A1057" s="387" t="b">
        <v>0</v>
      </c>
      <c r="B1057" s="387"/>
      <c r="C1057" s="401" t="s">
        <v>2994</v>
      </c>
      <c r="D1057" s="392">
        <v>6</v>
      </c>
      <c r="E1057" s="389"/>
      <c r="F1057" s="387"/>
      <c r="G1057" s="390"/>
      <c r="H1057" s="390"/>
      <c r="I1057" s="391"/>
      <c r="J1057" s="391"/>
      <c r="K1057" s="387" t="str">
        <f ca="1">IFERROR(VLOOKUP(C1057,' Disaggregation - Section E '!A$313:J668,3,0),"")</f>
        <v>HIV O-4.1b Percentage of transgender people reporting using a condom during their most recent sexual intercourse or anal sex</v>
      </c>
      <c r="L1057" s="391"/>
      <c r="M1057" s="388"/>
      <c r="N1057" s="387"/>
      <c r="O1057" s="387" t="s">
        <v>2517</v>
      </c>
      <c r="P1057" s="387"/>
    </row>
    <row r="1058" spans="1:16">
      <c r="A1058" s="387" t="b">
        <v>0</v>
      </c>
      <c r="B1058" s="387"/>
      <c r="C1058" s="401" t="s">
        <v>2995</v>
      </c>
      <c r="D1058" s="392">
        <v>6</v>
      </c>
      <c r="E1058" s="389"/>
      <c r="F1058" s="387"/>
      <c r="G1058" s="390"/>
      <c r="H1058" s="390"/>
      <c r="I1058" s="391"/>
      <c r="J1058" s="391"/>
      <c r="K1058" s="387" t="str">
        <f ca="1">IFERROR(VLOOKUP(C1058,' Disaggregation - Section E '!A$313:J669,3,0),"")</f>
        <v>HIV O-4.1b Percentage of transgender people reporting using a condom during their most recent sexual intercourse or anal sex</v>
      </c>
      <c r="L1058" s="391"/>
      <c r="M1058" s="388"/>
      <c r="N1058" s="387"/>
      <c r="O1058" s="387" t="s">
        <v>2517</v>
      </c>
      <c r="P1058" s="387"/>
    </row>
    <row r="1059" spans="1:16">
      <c r="A1059" s="387" t="b">
        <v>0</v>
      </c>
      <c r="B1059" s="387"/>
      <c r="C1059" s="401" t="s">
        <v>2996</v>
      </c>
      <c r="D1059" s="392">
        <v>6</v>
      </c>
      <c r="E1059" s="389"/>
      <c r="F1059" s="387"/>
      <c r="G1059" s="390"/>
      <c r="H1059" s="390"/>
      <c r="I1059" s="391"/>
      <c r="J1059" s="391"/>
      <c r="K1059" s="387" t="str">
        <f ca="1">IFERROR(VLOOKUP(C1059,' Disaggregation - Section E '!A$313:J670,3,0),"")</f>
        <v>HIV O-4.1b Percentage of transgender people reporting using a condom during their most recent sexual intercourse or anal sex</v>
      </c>
      <c r="L1059" s="391"/>
      <c r="M1059" s="388"/>
      <c r="N1059" s="387"/>
      <c r="O1059" s="387" t="s">
        <v>2517</v>
      </c>
      <c r="P1059" s="387"/>
    </row>
    <row r="1060" spans="1:16">
      <c r="A1060" s="387" t="b">
        <v>0</v>
      </c>
      <c r="B1060" s="387"/>
      <c r="C1060" s="401" t="s">
        <v>2997</v>
      </c>
      <c r="D1060" s="392">
        <v>6</v>
      </c>
      <c r="E1060" s="389"/>
      <c r="F1060" s="387"/>
      <c r="G1060" s="390"/>
      <c r="H1060" s="390"/>
      <c r="I1060" s="391"/>
      <c r="J1060" s="391"/>
      <c r="K1060" s="387" t="str">
        <f ca="1">IFERROR(VLOOKUP(C1060,' Disaggregation - Section E '!A$313:J671,3,0),"")</f>
        <v>HIV O-4.1b Percentage of transgender people reporting using a condom during their most recent sexual intercourse or anal sex</v>
      </c>
      <c r="L1060" s="391"/>
      <c r="M1060" s="388"/>
      <c r="N1060" s="387"/>
      <c r="O1060" s="387" t="s">
        <v>2517</v>
      </c>
      <c r="P1060" s="387"/>
    </row>
    <row r="1061" spans="1:16">
      <c r="A1061" s="387" t="b">
        <v>0</v>
      </c>
      <c r="B1061" s="387"/>
      <c r="C1061" s="401" t="s">
        <v>2998</v>
      </c>
      <c r="D1061" s="392">
        <v>6</v>
      </c>
      <c r="E1061" s="389"/>
      <c r="F1061" s="387"/>
      <c r="G1061" s="390"/>
      <c r="H1061" s="390"/>
      <c r="I1061" s="391"/>
      <c r="J1061" s="391"/>
      <c r="K1061" s="387" t="str">
        <f ca="1">IFERROR(VLOOKUP(C1061,' Disaggregation - Section E '!A$313:J672,3,0),"")</f>
        <v>HIV O-4.1b Percentage of transgender people reporting using a condom during their most recent sexual intercourse or anal sex</v>
      </c>
      <c r="L1061" s="391"/>
      <c r="M1061" s="388"/>
      <c r="N1061" s="387"/>
      <c r="O1061" s="387" t="s">
        <v>2517</v>
      </c>
      <c r="P1061" s="387"/>
    </row>
    <row r="1062" spans="1:16">
      <c r="A1062" s="387" t="b">
        <v>0</v>
      </c>
      <c r="B1062" s="387"/>
      <c r="C1062" s="401" t="s">
        <v>2999</v>
      </c>
      <c r="D1062" s="392">
        <v>6</v>
      </c>
      <c r="E1062" s="389"/>
      <c r="F1062" s="387"/>
      <c r="G1062" s="390"/>
      <c r="H1062" s="390"/>
      <c r="I1062" s="391"/>
      <c r="J1062" s="391"/>
      <c r="K1062" s="387" t="str">
        <f ca="1">IFERROR(VLOOKUP(C1062,' Disaggregation - Section E '!A$313:J673,3,0),"")</f>
        <v>HIV O-4.1b Percentage of transgender people reporting using a condom during their most recent sexual intercourse or anal sex</v>
      </c>
      <c r="L1062" s="391"/>
      <c r="M1062" s="388"/>
      <c r="N1062" s="387"/>
      <c r="O1062" s="387" t="s">
        <v>2517</v>
      </c>
      <c r="P1062" s="387"/>
    </row>
    <row r="1063" spans="1:16">
      <c r="A1063" s="387" t="b">
        <v>0</v>
      </c>
      <c r="B1063" s="387"/>
      <c r="C1063" s="401" t="s">
        <v>3000</v>
      </c>
      <c r="D1063" s="392">
        <v>6</v>
      </c>
      <c r="E1063" s="389"/>
      <c r="F1063" s="387"/>
      <c r="G1063" s="390"/>
      <c r="H1063" s="390"/>
      <c r="I1063" s="391"/>
      <c r="J1063" s="391"/>
      <c r="K1063" s="387" t="str">
        <f ca="1">IFERROR(VLOOKUP(C1063,' Disaggregation - Section E '!A$313:J674,3,0),"")</f>
        <v>HIV O-4.1b Percentage of transgender people reporting using a condom during their most recent sexual intercourse or anal sex</v>
      </c>
      <c r="L1063" s="391"/>
      <c r="M1063" s="388"/>
      <c r="N1063" s="387"/>
      <c r="O1063" s="387" t="s">
        <v>2517</v>
      </c>
      <c r="P1063" s="387"/>
    </row>
    <row r="1064" spans="1:16">
      <c r="A1064" s="387" t="b">
        <v>0</v>
      </c>
      <c r="B1064" s="387"/>
      <c r="C1064" s="401" t="s">
        <v>3001</v>
      </c>
      <c r="D1064" s="392">
        <v>7</v>
      </c>
      <c r="E1064" s="389"/>
      <c r="F1064" s="387"/>
      <c r="G1064" s="390"/>
      <c r="H1064" s="390"/>
      <c r="I1064" s="391"/>
      <c r="J1064" s="391"/>
      <c r="K1064" s="387" t="str">
        <f ca="1">IFERROR(VLOOKUP(C1064,' Disaggregation - Section E '!A$313:J675,3,0),"")</f>
        <v>HIV O-5 Percentage of sex workers reporting using a condom with their most recent client</v>
      </c>
      <c r="L1064" s="391"/>
      <c r="M1064" s="388"/>
      <c r="N1064" s="387"/>
      <c r="O1064" s="387" t="s">
        <v>2524</v>
      </c>
      <c r="P1064" s="387"/>
    </row>
    <row r="1065" spans="1:16">
      <c r="A1065" s="387" t="b">
        <v>0</v>
      </c>
      <c r="B1065" s="387"/>
      <c r="C1065" s="401" t="s">
        <v>3002</v>
      </c>
      <c r="D1065" s="392">
        <v>7</v>
      </c>
      <c r="E1065" s="389"/>
      <c r="F1065" s="387"/>
      <c r="G1065" s="390"/>
      <c r="H1065" s="390"/>
      <c r="I1065" s="391"/>
      <c r="J1065" s="391"/>
      <c r="K1065" s="387" t="str">
        <f ca="1">IFERROR(VLOOKUP(C1065,' Disaggregation - Section E '!A$313:J676,3,0),"")</f>
        <v>HIV O-5 Percentage of sex workers reporting using a condom with their most recent client</v>
      </c>
      <c r="L1065" s="391"/>
      <c r="M1065" s="388"/>
      <c r="N1065" s="387"/>
      <c r="O1065" s="387" t="s">
        <v>2524</v>
      </c>
      <c r="P1065" s="387"/>
    </row>
    <row r="1066" spans="1:16">
      <c r="A1066" s="387" t="b">
        <v>0</v>
      </c>
      <c r="B1066" s="387"/>
      <c r="C1066" s="401" t="s">
        <v>3003</v>
      </c>
      <c r="D1066" s="392">
        <v>7</v>
      </c>
      <c r="E1066" s="389"/>
      <c r="F1066" s="387"/>
      <c r="G1066" s="390"/>
      <c r="H1066" s="390"/>
      <c r="I1066" s="391"/>
      <c r="J1066" s="391"/>
      <c r="K1066" s="387" t="str">
        <f ca="1">IFERROR(VLOOKUP(C1066,' Disaggregation - Section E '!A$313:J677,3,0),"")</f>
        <v>HIV O-5 Percentage of sex workers reporting using a condom with their most recent client</v>
      </c>
      <c r="L1066" s="391"/>
      <c r="M1066" s="388"/>
      <c r="N1066" s="387"/>
      <c r="O1066" s="387" t="s">
        <v>2524</v>
      </c>
      <c r="P1066" s="387"/>
    </row>
    <row r="1067" spans="1:16">
      <c r="A1067" s="387" t="b">
        <v>0</v>
      </c>
      <c r="B1067" s="387"/>
      <c r="C1067" s="401" t="s">
        <v>3004</v>
      </c>
      <c r="D1067" s="392">
        <v>7</v>
      </c>
      <c r="E1067" s="389"/>
      <c r="F1067" s="387"/>
      <c r="G1067" s="390"/>
      <c r="H1067" s="390"/>
      <c r="I1067" s="391"/>
      <c r="J1067" s="391"/>
      <c r="K1067" s="387" t="str">
        <f ca="1">IFERROR(VLOOKUP(C1067,' Disaggregation - Section E '!A$313:J678,3,0),"")</f>
        <v>HIV O-5 Percentage of sex workers reporting using a condom with their most recent client</v>
      </c>
      <c r="L1067" s="391"/>
      <c r="M1067" s="388"/>
      <c r="N1067" s="387"/>
      <c r="O1067" s="387" t="s">
        <v>2524</v>
      </c>
      <c r="P1067" s="387"/>
    </row>
    <row r="1068" spans="1:16">
      <c r="A1068" s="387" t="b">
        <v>0</v>
      </c>
      <c r="B1068" s="387"/>
      <c r="C1068" s="401" t="s">
        <v>3005</v>
      </c>
      <c r="D1068" s="392">
        <v>7</v>
      </c>
      <c r="E1068" s="389"/>
      <c r="F1068" s="387"/>
      <c r="G1068" s="390"/>
      <c r="H1068" s="390"/>
      <c r="I1068" s="391"/>
      <c r="J1068" s="391"/>
      <c r="K1068" s="387" t="str">
        <f ca="1">IFERROR(VLOOKUP(C1068,' Disaggregation - Section E '!A$313:J679,3,0),"")</f>
        <v>HIV O-5 Percentage of sex workers reporting using a condom with their most recent client</v>
      </c>
      <c r="L1068" s="391"/>
      <c r="M1068" s="388"/>
      <c r="N1068" s="387"/>
      <c r="O1068" s="387" t="s">
        <v>2524</v>
      </c>
      <c r="P1068" s="387"/>
    </row>
    <row r="1069" spans="1:16">
      <c r="A1069" s="387" t="b">
        <v>0</v>
      </c>
      <c r="B1069" s="387"/>
      <c r="C1069" s="401" t="s">
        <v>3006</v>
      </c>
      <c r="D1069" s="392">
        <v>7</v>
      </c>
      <c r="E1069" s="389"/>
      <c r="F1069" s="387"/>
      <c r="G1069" s="390"/>
      <c r="H1069" s="390"/>
      <c r="I1069" s="391"/>
      <c r="J1069" s="391"/>
      <c r="K1069" s="387" t="str">
        <f ca="1">IFERROR(VLOOKUP(C1069,' Disaggregation - Section E '!A$313:J680,3,0),"")</f>
        <v>HIV O-5 Percentage of sex workers reporting using a condom with their most recent client</v>
      </c>
      <c r="L1069" s="391"/>
      <c r="M1069" s="388"/>
      <c r="N1069" s="387"/>
      <c r="O1069" s="387" t="s">
        <v>2524</v>
      </c>
      <c r="P1069" s="387"/>
    </row>
    <row r="1070" spans="1:16">
      <c r="A1070" s="387" t="b">
        <v>0</v>
      </c>
      <c r="B1070" s="387"/>
      <c r="C1070" s="401" t="s">
        <v>3007</v>
      </c>
      <c r="D1070" s="392">
        <v>7</v>
      </c>
      <c r="E1070" s="389"/>
      <c r="F1070" s="387"/>
      <c r="G1070" s="390"/>
      <c r="H1070" s="390"/>
      <c r="I1070" s="391"/>
      <c r="J1070" s="391"/>
      <c r="K1070" s="387" t="str">
        <f ca="1">IFERROR(VLOOKUP(C1070,' Disaggregation - Section E '!A$313:J681,3,0),"")</f>
        <v>HIV O-5 Percentage of sex workers reporting using a condom with their most recent client</v>
      </c>
      <c r="L1070" s="391"/>
      <c r="M1070" s="388"/>
      <c r="N1070" s="387"/>
      <c r="O1070" s="387" t="s">
        <v>2524</v>
      </c>
      <c r="P1070" s="387"/>
    </row>
    <row r="1071" spans="1:16">
      <c r="A1071" s="387" t="b">
        <v>0</v>
      </c>
      <c r="B1071" s="387"/>
      <c r="C1071" s="401" t="s">
        <v>3008</v>
      </c>
      <c r="D1071" s="392">
        <v>7</v>
      </c>
      <c r="E1071" s="389"/>
      <c r="F1071" s="387"/>
      <c r="G1071" s="390"/>
      <c r="H1071" s="390"/>
      <c r="I1071" s="391"/>
      <c r="J1071" s="391"/>
      <c r="K1071" s="387" t="str">
        <f ca="1">IFERROR(VLOOKUP(C1071,' Disaggregation - Section E '!A$313:J682,3,0),"")</f>
        <v>HIV O-5 Percentage of sex workers reporting using a condom with their most recent client</v>
      </c>
      <c r="L1071" s="391"/>
      <c r="M1071" s="388"/>
      <c r="N1071" s="387"/>
      <c r="O1071" s="387" t="s">
        <v>2524</v>
      </c>
      <c r="P1071" s="387"/>
    </row>
    <row r="1072" spans="1:16">
      <c r="A1072" s="387" t="b">
        <v>0</v>
      </c>
      <c r="B1072" s="387"/>
      <c r="C1072" s="401" t="s">
        <v>3009</v>
      </c>
      <c r="D1072" s="392">
        <v>7</v>
      </c>
      <c r="E1072" s="389"/>
      <c r="F1072" s="387"/>
      <c r="G1072" s="390"/>
      <c r="H1072" s="390"/>
      <c r="I1072" s="391"/>
      <c r="J1072" s="391"/>
      <c r="K1072" s="387" t="str">
        <f ca="1">IFERROR(VLOOKUP(C1072,' Disaggregation - Section E '!A$313:J683,3,0),"")</f>
        <v>HIV O-5 Percentage of sex workers reporting using a condom with their most recent client</v>
      </c>
      <c r="L1072" s="391"/>
      <c r="M1072" s="388"/>
      <c r="N1072" s="387"/>
      <c r="O1072" s="387" t="s">
        <v>2524</v>
      </c>
      <c r="P1072" s="387"/>
    </row>
    <row r="1073" spans="1:16">
      <c r="A1073" s="387" t="b">
        <v>0</v>
      </c>
      <c r="B1073" s="387"/>
      <c r="C1073" s="401" t="s">
        <v>3010</v>
      </c>
      <c r="D1073" s="392">
        <v>7</v>
      </c>
      <c r="E1073" s="389"/>
      <c r="F1073" s="387"/>
      <c r="G1073" s="390"/>
      <c r="H1073" s="390"/>
      <c r="I1073" s="391"/>
      <c r="J1073" s="391"/>
      <c r="K1073" s="387" t="str">
        <f ca="1">IFERROR(VLOOKUP(C1073,' Disaggregation - Section E '!A$313:J684,3,0),"")</f>
        <v>HIV O-5 Percentage of sex workers reporting using a condom with their most recent client</v>
      </c>
      <c r="L1073" s="391"/>
      <c r="M1073" s="388"/>
      <c r="N1073" s="387"/>
      <c r="O1073" s="387" t="s">
        <v>2524</v>
      </c>
      <c r="P1073" s="387"/>
    </row>
    <row r="1074" spans="1:16">
      <c r="A1074" s="387" t="b">
        <v>0</v>
      </c>
      <c r="B1074" s="387"/>
      <c r="C1074" s="401" t="s">
        <v>3011</v>
      </c>
      <c r="D1074" s="392">
        <v>8</v>
      </c>
      <c r="E1074" s="389"/>
      <c r="F1074" s="387"/>
      <c r="G1074" s="390"/>
      <c r="H1074" s="390"/>
      <c r="I1074" s="391"/>
      <c r="J1074" s="391"/>
      <c r="K1074" s="387" t="str">
        <f ca="1">IFERROR(VLOOKUP(C1074,' Disaggregation - Section E '!A$313:J685,3,0),"")</f>
        <v>HIV O-6 Percentage of people who inject drugs reporting using sterile injecting equipment the last time they injected</v>
      </c>
      <c r="L1074" s="391"/>
      <c r="M1074" s="388"/>
      <c r="N1074" s="387"/>
      <c r="O1074" s="387" t="s">
        <v>2531</v>
      </c>
      <c r="P1074" s="387"/>
    </row>
    <row r="1075" spans="1:16">
      <c r="A1075" s="387" t="b">
        <v>0</v>
      </c>
      <c r="B1075" s="387"/>
      <c r="C1075" s="401" t="s">
        <v>3012</v>
      </c>
      <c r="D1075" s="392">
        <v>8</v>
      </c>
      <c r="E1075" s="389"/>
      <c r="F1075" s="387"/>
      <c r="G1075" s="390"/>
      <c r="H1075" s="390"/>
      <c r="I1075" s="391"/>
      <c r="J1075" s="391"/>
      <c r="K1075" s="387" t="str">
        <f ca="1">IFERROR(VLOOKUP(C1075,' Disaggregation - Section E '!A$313:J686,3,0),"")</f>
        <v>HIV O-6 Percentage of people who inject drugs reporting using sterile injecting equipment the last time they injected</v>
      </c>
      <c r="L1075" s="391"/>
      <c r="M1075" s="388"/>
      <c r="N1075" s="387"/>
      <c r="O1075" s="387" t="s">
        <v>2531</v>
      </c>
      <c r="P1075" s="387"/>
    </row>
    <row r="1076" spans="1:16">
      <c r="A1076" s="387" t="b">
        <v>0</v>
      </c>
      <c r="B1076" s="387"/>
      <c r="C1076" s="401" t="s">
        <v>3013</v>
      </c>
      <c r="D1076" s="392">
        <v>8</v>
      </c>
      <c r="E1076" s="389"/>
      <c r="F1076" s="387"/>
      <c r="G1076" s="390"/>
      <c r="H1076" s="390"/>
      <c r="I1076" s="391"/>
      <c r="J1076" s="391"/>
      <c r="K1076" s="387" t="str">
        <f ca="1">IFERROR(VLOOKUP(C1076,' Disaggregation - Section E '!A$313:J687,3,0),"")</f>
        <v>HIV O-6 Percentage of people who inject drugs reporting using sterile injecting equipment the last time they injected</v>
      </c>
      <c r="L1076" s="391"/>
      <c r="M1076" s="388"/>
      <c r="N1076" s="387"/>
      <c r="O1076" s="387" t="s">
        <v>2531</v>
      </c>
      <c r="P1076" s="387"/>
    </row>
    <row r="1077" spans="1:16">
      <c r="A1077" s="387" t="b">
        <v>0</v>
      </c>
      <c r="B1077" s="387"/>
      <c r="C1077" s="401" t="s">
        <v>3014</v>
      </c>
      <c r="D1077" s="392">
        <v>8</v>
      </c>
      <c r="E1077" s="389"/>
      <c r="F1077" s="387"/>
      <c r="G1077" s="390"/>
      <c r="H1077" s="390"/>
      <c r="I1077" s="391"/>
      <c r="J1077" s="391"/>
      <c r="K1077" s="387" t="str">
        <f ca="1">IFERROR(VLOOKUP(C1077,' Disaggregation - Section E '!A$313:J688,3,0),"")</f>
        <v>HIV O-6 Percentage of people who inject drugs reporting using sterile injecting equipment the last time they injected</v>
      </c>
      <c r="L1077" s="391"/>
      <c r="M1077" s="388"/>
      <c r="N1077" s="387"/>
      <c r="O1077" s="387" t="s">
        <v>2531</v>
      </c>
      <c r="P1077" s="387"/>
    </row>
    <row r="1078" spans="1:16">
      <c r="A1078" s="387" t="b">
        <v>0</v>
      </c>
      <c r="B1078" s="387"/>
      <c r="C1078" s="401" t="s">
        <v>3015</v>
      </c>
      <c r="D1078" s="392">
        <v>8</v>
      </c>
      <c r="E1078" s="389"/>
      <c r="F1078" s="387"/>
      <c r="G1078" s="390"/>
      <c r="H1078" s="390"/>
      <c r="I1078" s="391"/>
      <c r="J1078" s="391"/>
      <c r="K1078" s="387" t="str">
        <f ca="1">IFERROR(VLOOKUP(C1078,' Disaggregation - Section E '!A$313:J689,3,0),"")</f>
        <v>HIV O-6 Percentage of people who inject drugs reporting using sterile injecting equipment the last time they injected</v>
      </c>
      <c r="L1078" s="391"/>
      <c r="M1078" s="388"/>
      <c r="N1078" s="387"/>
      <c r="O1078" s="387" t="s">
        <v>2531</v>
      </c>
      <c r="P1078" s="387"/>
    </row>
    <row r="1079" spans="1:16">
      <c r="A1079" s="387" t="b">
        <v>0</v>
      </c>
      <c r="B1079" s="387"/>
      <c r="C1079" s="401" t="s">
        <v>3016</v>
      </c>
      <c r="D1079" s="392">
        <v>8</v>
      </c>
      <c r="E1079" s="389"/>
      <c r="F1079" s="387"/>
      <c r="G1079" s="390"/>
      <c r="H1079" s="390"/>
      <c r="I1079" s="391"/>
      <c r="J1079" s="391"/>
      <c r="K1079" s="387" t="str">
        <f ca="1">IFERROR(VLOOKUP(C1079,' Disaggregation - Section E '!A$313:J690,3,0),"")</f>
        <v>HIV O-6 Percentage of people who inject drugs reporting using sterile injecting equipment the last time they injected</v>
      </c>
      <c r="L1079" s="391"/>
      <c r="M1079" s="388"/>
      <c r="N1079" s="387"/>
      <c r="O1079" s="387" t="s">
        <v>2531</v>
      </c>
      <c r="P1079" s="387"/>
    </row>
    <row r="1080" spans="1:16">
      <c r="A1080" s="387" t="b">
        <v>0</v>
      </c>
      <c r="B1080" s="387"/>
      <c r="C1080" s="401" t="s">
        <v>3017</v>
      </c>
      <c r="D1080" s="392">
        <v>8</v>
      </c>
      <c r="E1080" s="389"/>
      <c r="F1080" s="387"/>
      <c r="G1080" s="390"/>
      <c r="H1080" s="390"/>
      <c r="I1080" s="391"/>
      <c r="J1080" s="391"/>
      <c r="K1080" s="387" t="str">
        <f ca="1">IFERROR(VLOOKUP(C1080,' Disaggregation - Section E '!A$313:J691,3,0),"")</f>
        <v>HIV O-6 Percentage of people who inject drugs reporting using sterile injecting equipment the last time they injected</v>
      </c>
      <c r="L1080" s="391"/>
      <c r="M1080" s="388"/>
      <c r="N1080" s="387"/>
      <c r="O1080" s="387" t="s">
        <v>2531</v>
      </c>
      <c r="P1080" s="387"/>
    </row>
    <row r="1081" spans="1:16">
      <c r="A1081" s="387" t="b">
        <v>0</v>
      </c>
      <c r="B1081" s="387"/>
      <c r="C1081" s="401" t="s">
        <v>3018</v>
      </c>
      <c r="D1081" s="392">
        <v>8</v>
      </c>
      <c r="E1081" s="389"/>
      <c r="F1081" s="387"/>
      <c r="G1081" s="390"/>
      <c r="H1081" s="390"/>
      <c r="I1081" s="391"/>
      <c r="J1081" s="391"/>
      <c r="K1081" s="387" t="str">
        <f ca="1">IFERROR(VLOOKUP(C1081,' Disaggregation - Section E '!A$313:J692,3,0),"")</f>
        <v>HIV O-6 Percentage of people who inject drugs reporting using sterile injecting equipment the last time they injected</v>
      </c>
      <c r="L1081" s="391"/>
      <c r="M1081" s="388"/>
      <c r="N1081" s="387"/>
      <c r="O1081" s="387" t="s">
        <v>2531</v>
      </c>
      <c r="P1081" s="387"/>
    </row>
    <row r="1082" spans="1:16">
      <c r="A1082" s="387" t="b">
        <v>0</v>
      </c>
      <c r="B1082" s="387"/>
      <c r="C1082" s="401" t="s">
        <v>3019</v>
      </c>
      <c r="D1082" s="392">
        <v>8</v>
      </c>
      <c r="E1082" s="389"/>
      <c r="F1082" s="387"/>
      <c r="G1082" s="390"/>
      <c r="H1082" s="390"/>
      <c r="I1082" s="391"/>
      <c r="J1082" s="391"/>
      <c r="K1082" s="387" t="str">
        <f ca="1">IFERROR(VLOOKUP(C1082,' Disaggregation - Section E '!A$313:J693,3,0),"")</f>
        <v>HIV O-6 Percentage of people who inject drugs reporting using sterile injecting equipment the last time they injected</v>
      </c>
      <c r="L1082" s="391"/>
      <c r="M1082" s="388"/>
      <c r="N1082" s="387"/>
      <c r="O1082" s="387" t="s">
        <v>2531</v>
      </c>
      <c r="P1082" s="387"/>
    </row>
    <row r="1083" spans="1:16">
      <c r="A1083" s="387" t="b">
        <v>0</v>
      </c>
      <c r="B1083" s="387"/>
      <c r="C1083" s="401" t="s">
        <v>3020</v>
      </c>
      <c r="D1083" s="392">
        <v>8</v>
      </c>
      <c r="E1083" s="389"/>
      <c r="F1083" s="387"/>
      <c r="G1083" s="390"/>
      <c r="H1083" s="390"/>
      <c r="I1083" s="391"/>
      <c r="J1083" s="391"/>
      <c r="K1083" s="387" t="str">
        <f ca="1">IFERROR(VLOOKUP(C1083,' Disaggregation - Section E '!A$313:J694,3,0),"")</f>
        <v>HIV O-6 Percentage of people who inject drugs reporting using sterile injecting equipment the last time they injected</v>
      </c>
      <c r="L1083" s="391"/>
      <c r="M1083" s="388"/>
      <c r="N1083" s="387"/>
      <c r="O1083" s="387" t="s">
        <v>2531</v>
      </c>
      <c r="P1083" s="387"/>
    </row>
    <row r="1084" spans="1:16">
      <c r="A1084" s="387" t="b">
        <v>1</v>
      </c>
      <c r="B1084" s="387"/>
      <c r="C1084" s="401" t="s">
        <v>3021</v>
      </c>
      <c r="D1084" s="392">
        <v>9</v>
      </c>
      <c r="E1084" s="389">
        <v>90.8092250190535</v>
      </c>
      <c r="F1084" s="387"/>
      <c r="G1084" s="390">
        <v>434899</v>
      </c>
      <c r="H1084" s="390">
        <v>478915</v>
      </c>
      <c r="I1084" s="391" t="s">
        <v>2328</v>
      </c>
      <c r="J1084" s="391" t="s">
        <v>2270</v>
      </c>
      <c r="K1084" s="387" t="str">
        <f ca="1">IFERROR(VLOOKUP(C1084,' Disaggregation - Section E '!A$313:J695,3,0),"")</f>
        <v>HIV O-11 Percentage of people living with HIV who know their HIV status at the end of the reporting period</v>
      </c>
      <c r="L1084" s="391"/>
      <c r="M1084" s="388" t="s">
        <v>3022</v>
      </c>
      <c r="N1084" s="387"/>
      <c r="O1084" s="387" t="s">
        <v>2538</v>
      </c>
      <c r="P1084" s="387" t="s">
        <v>3023</v>
      </c>
    </row>
    <row r="1085" spans="1:16">
      <c r="A1085" s="387" t="b">
        <v>1</v>
      </c>
      <c r="B1085" s="387"/>
      <c r="C1085" s="401" t="s">
        <v>3024</v>
      </c>
      <c r="D1085" s="392">
        <v>9</v>
      </c>
      <c r="E1085" s="389">
        <v>39.687509934195901</v>
      </c>
      <c r="F1085" s="387"/>
      <c r="G1085" s="390">
        <v>24969</v>
      </c>
      <c r="H1085" s="390">
        <v>62914</v>
      </c>
      <c r="I1085" s="391" t="s">
        <v>2328</v>
      </c>
      <c r="J1085" s="391" t="s">
        <v>2270</v>
      </c>
      <c r="K1085" s="387" t="str">
        <f ca="1">IFERROR(VLOOKUP(C1085,' Disaggregation - Section E '!A$313:J696,3,0),"")</f>
        <v>HIV O-11 Percentage of people living with HIV who know their HIV status at the end of the reporting period</v>
      </c>
      <c r="L1085" s="391"/>
      <c r="M1085" s="388" t="s">
        <v>3025</v>
      </c>
      <c r="N1085" s="387"/>
      <c r="O1085" s="387" t="s">
        <v>2538</v>
      </c>
      <c r="P1085" s="387" t="s">
        <v>3026</v>
      </c>
    </row>
    <row r="1086" spans="1:16">
      <c r="A1086" s="387" t="b">
        <v>1</v>
      </c>
      <c r="B1086" s="387"/>
      <c r="C1086" s="401" t="s">
        <v>3027</v>
      </c>
      <c r="D1086" s="392">
        <v>9</v>
      </c>
      <c r="E1086" s="389">
        <v>32.571243590948498</v>
      </c>
      <c r="F1086" s="387"/>
      <c r="G1086" s="390">
        <v>155956</v>
      </c>
      <c r="H1086" s="390">
        <v>478815</v>
      </c>
      <c r="I1086" s="391" t="s">
        <v>2328</v>
      </c>
      <c r="J1086" s="391" t="s">
        <v>2270</v>
      </c>
      <c r="K1086" s="387" t="str">
        <f ca="1">IFERROR(VLOOKUP(C1086,' Disaggregation - Section E '!A$313:J697,3,0),"")</f>
        <v>HIV O-11 Percentage of people living with HIV who know their HIV status at the end of the reporting period</v>
      </c>
      <c r="L1086" s="391"/>
      <c r="M1086" s="388" t="s">
        <v>3028</v>
      </c>
      <c r="N1086" s="387"/>
      <c r="O1086" s="387" t="s">
        <v>2538</v>
      </c>
      <c r="P1086" s="387" t="s">
        <v>3029</v>
      </c>
    </row>
    <row r="1087" spans="1:16">
      <c r="A1087" s="387" t="b">
        <v>1</v>
      </c>
      <c r="B1087" s="387"/>
      <c r="C1087" s="401" t="s">
        <v>3030</v>
      </c>
      <c r="D1087" s="392">
        <v>9</v>
      </c>
      <c r="E1087" s="389">
        <v>58.2445736717372</v>
      </c>
      <c r="F1087" s="387"/>
      <c r="G1087" s="390">
        <v>278942</v>
      </c>
      <c r="H1087" s="390">
        <v>478915</v>
      </c>
      <c r="I1087" s="391" t="s">
        <v>2328</v>
      </c>
      <c r="J1087" s="391" t="s">
        <v>2270</v>
      </c>
      <c r="K1087" s="387" t="str">
        <f ca="1">IFERROR(VLOOKUP(C1087,' Disaggregation - Section E '!A$313:J698,3,0),"")</f>
        <v>HIV O-11 Percentage of people living with HIV who know their HIV status at the end of the reporting period</v>
      </c>
      <c r="L1087" s="391"/>
      <c r="M1087" s="388" t="s">
        <v>3031</v>
      </c>
      <c r="N1087" s="387"/>
      <c r="O1087" s="387" t="s">
        <v>2538</v>
      </c>
      <c r="P1087" s="387" t="s">
        <v>3032</v>
      </c>
    </row>
    <row r="1088" spans="1:16">
      <c r="A1088" s="387" t="b">
        <v>0</v>
      </c>
      <c r="B1088" s="387"/>
      <c r="C1088" s="401" t="s">
        <v>3033</v>
      </c>
      <c r="D1088" s="392">
        <v>9</v>
      </c>
      <c r="E1088" s="389"/>
      <c r="F1088" s="387"/>
      <c r="G1088" s="390"/>
      <c r="H1088" s="390"/>
      <c r="I1088" s="391"/>
      <c r="J1088" s="391"/>
      <c r="K1088" s="387" t="str">
        <f ca="1">IFERROR(VLOOKUP(C1088,' Disaggregation - Section E '!A$313:J699,3,0),"")</f>
        <v>HIV O-11 Percentage of people living with HIV who know their HIV status at the end of the reporting period</v>
      </c>
      <c r="L1088" s="391"/>
      <c r="M1088" s="388"/>
      <c r="N1088" s="387"/>
      <c r="O1088" s="387" t="s">
        <v>2538</v>
      </c>
      <c r="P1088" s="387"/>
    </row>
    <row r="1089" spans="1:16">
      <c r="A1089" s="387" t="b">
        <v>0</v>
      </c>
      <c r="B1089" s="387"/>
      <c r="C1089" s="401" t="s">
        <v>3034</v>
      </c>
      <c r="D1089" s="392">
        <v>9</v>
      </c>
      <c r="E1089" s="389"/>
      <c r="F1089" s="387"/>
      <c r="G1089" s="390"/>
      <c r="H1089" s="390"/>
      <c r="I1089" s="391"/>
      <c r="J1089" s="391"/>
      <c r="K1089" s="387" t="str">
        <f ca="1">IFERROR(VLOOKUP(C1089,' Disaggregation - Section E '!A$313:J700,3,0),"")</f>
        <v>HIV O-11 Percentage of people living with HIV who know their HIV status at the end of the reporting period</v>
      </c>
      <c r="L1089" s="391"/>
      <c r="M1089" s="388"/>
      <c r="N1089" s="387"/>
      <c r="O1089" s="387" t="s">
        <v>2538</v>
      </c>
      <c r="P1089" s="387"/>
    </row>
    <row r="1090" spans="1:16">
      <c r="A1090" s="387" t="b">
        <v>0</v>
      </c>
      <c r="B1090" s="387"/>
      <c r="C1090" s="401" t="s">
        <v>3035</v>
      </c>
      <c r="D1090" s="392">
        <v>9</v>
      </c>
      <c r="E1090" s="389"/>
      <c r="F1090" s="387"/>
      <c r="G1090" s="390"/>
      <c r="H1090" s="390"/>
      <c r="I1090" s="391"/>
      <c r="J1090" s="391"/>
      <c r="K1090" s="387" t="str">
        <f ca="1">IFERROR(VLOOKUP(C1090,' Disaggregation - Section E '!A$313:J701,3,0),"")</f>
        <v>HIV O-11 Percentage of people living with HIV who know their HIV status at the end of the reporting period</v>
      </c>
      <c r="L1090" s="391"/>
      <c r="M1090" s="388"/>
      <c r="N1090" s="387"/>
      <c r="O1090" s="387" t="s">
        <v>2538</v>
      </c>
      <c r="P1090" s="387"/>
    </row>
    <row r="1091" spans="1:16">
      <c r="A1091" s="387" t="b">
        <v>0</v>
      </c>
      <c r="B1091" s="387"/>
      <c r="C1091" s="401" t="s">
        <v>3036</v>
      </c>
      <c r="D1091" s="392">
        <v>9</v>
      </c>
      <c r="E1091" s="389"/>
      <c r="F1091" s="387"/>
      <c r="G1091" s="390"/>
      <c r="H1091" s="390"/>
      <c r="I1091" s="391"/>
      <c r="J1091" s="391"/>
      <c r="K1091" s="387" t="str">
        <f ca="1">IFERROR(VLOOKUP(C1091,' Disaggregation - Section E '!A$313:J702,3,0),"")</f>
        <v>HIV O-11 Percentage of people living with HIV who know their HIV status at the end of the reporting period</v>
      </c>
      <c r="L1091" s="391"/>
      <c r="M1091" s="388"/>
      <c r="N1091" s="387"/>
      <c r="O1091" s="387" t="s">
        <v>2538</v>
      </c>
      <c r="P1091" s="387"/>
    </row>
    <row r="1092" spans="1:16">
      <c r="A1092" s="387" t="b">
        <v>0</v>
      </c>
      <c r="B1092" s="387"/>
      <c r="C1092" s="401" t="s">
        <v>3037</v>
      </c>
      <c r="D1092" s="392">
        <v>9</v>
      </c>
      <c r="E1092" s="389"/>
      <c r="F1092" s="387"/>
      <c r="G1092" s="390"/>
      <c r="H1092" s="390"/>
      <c r="I1092" s="391"/>
      <c r="J1092" s="391"/>
      <c r="K1092" s="387" t="str">
        <f ca="1">IFERROR(VLOOKUP(C1092,' Disaggregation - Section E '!A$313:J703,3,0),"")</f>
        <v>HIV O-11 Percentage of people living with HIV who know their HIV status at the end of the reporting period</v>
      </c>
      <c r="L1092" s="391"/>
      <c r="M1092" s="388"/>
      <c r="N1092" s="387"/>
      <c r="O1092" s="387" t="s">
        <v>2538</v>
      </c>
      <c r="P1092" s="387"/>
    </row>
    <row r="1093" spans="1:16">
      <c r="A1093" s="387" t="b">
        <v>0</v>
      </c>
      <c r="B1093" s="387"/>
      <c r="C1093" s="401" t="s">
        <v>3038</v>
      </c>
      <c r="D1093" s="392">
        <v>9</v>
      </c>
      <c r="E1093" s="389"/>
      <c r="F1093" s="387"/>
      <c r="G1093" s="390"/>
      <c r="H1093" s="390"/>
      <c r="I1093" s="391"/>
      <c r="J1093" s="391"/>
      <c r="K1093" s="387" t="str">
        <f ca="1">IFERROR(VLOOKUP(C1093,' Disaggregation - Section E '!A$313:J704,3,0),"")</f>
        <v>HIV O-11 Percentage of people living with HIV who know their HIV status at the end of the reporting period</v>
      </c>
      <c r="L1093" s="391"/>
      <c r="M1093" s="388"/>
      <c r="N1093" s="387"/>
      <c r="O1093" s="387" t="s">
        <v>2538</v>
      </c>
      <c r="P1093" s="387"/>
    </row>
    <row r="1094" spans="1:16">
      <c r="A1094" s="387" t="b">
        <v>1</v>
      </c>
      <c r="B1094" s="387"/>
      <c r="C1094" s="401" t="s">
        <v>3039</v>
      </c>
      <c r="D1094" s="392">
        <v>10</v>
      </c>
      <c r="E1094" s="389"/>
      <c r="F1094" s="387"/>
      <c r="G1094" s="390"/>
      <c r="H1094" s="390"/>
      <c r="I1094" s="391"/>
      <c r="J1094" s="391"/>
      <c r="K1094" s="387" t="str">
        <f ca="1">IFERROR(VLOOKUP(C1094,' Disaggregation - Section E '!A$313:J705,3,0),"")</f>
        <v>HIV O-12 Percentage of people living with HIV and on ART who are virologically suppressed</v>
      </c>
      <c r="L1094" s="391"/>
      <c r="M1094" s="388" t="s">
        <v>3040</v>
      </c>
      <c r="N1094" s="387"/>
      <c r="O1094" s="387" t="s">
        <v>2545</v>
      </c>
      <c r="P1094" s="387" t="s">
        <v>3041</v>
      </c>
    </row>
    <row r="1095" spans="1:16">
      <c r="A1095" s="387" t="b">
        <v>1</v>
      </c>
      <c r="B1095" s="387"/>
      <c r="C1095" s="401" t="s">
        <v>3042</v>
      </c>
      <c r="D1095" s="392">
        <v>10</v>
      </c>
      <c r="E1095" s="389"/>
      <c r="F1095" s="387"/>
      <c r="G1095" s="390"/>
      <c r="H1095" s="390"/>
      <c r="I1095" s="391"/>
      <c r="J1095" s="391"/>
      <c r="K1095" s="387" t="str">
        <f ca="1">IFERROR(VLOOKUP(C1095,' Disaggregation - Section E '!A$313:J706,3,0),"")</f>
        <v>HIV O-12 Percentage of people living with HIV and on ART who are virologically suppressed</v>
      </c>
      <c r="L1095" s="391"/>
      <c r="M1095" s="388" t="s">
        <v>3043</v>
      </c>
      <c r="N1095" s="387"/>
      <c r="O1095" s="387" t="s">
        <v>2545</v>
      </c>
      <c r="P1095" s="387" t="s">
        <v>3044</v>
      </c>
    </row>
    <row r="1096" spans="1:16">
      <c r="A1096" s="387" t="b">
        <v>1</v>
      </c>
      <c r="B1096" s="387"/>
      <c r="C1096" s="401" t="s">
        <v>3045</v>
      </c>
      <c r="D1096" s="392">
        <v>10</v>
      </c>
      <c r="E1096" s="389"/>
      <c r="F1096" s="387"/>
      <c r="G1096" s="390"/>
      <c r="H1096" s="390"/>
      <c r="I1096" s="391"/>
      <c r="J1096" s="391"/>
      <c r="K1096" s="387" t="str">
        <f ca="1">IFERROR(VLOOKUP(C1096,' Disaggregation - Section E '!A$313:J707,3,0),"")</f>
        <v>HIV O-12 Percentage of people living with HIV and on ART who are virologically suppressed</v>
      </c>
      <c r="L1096" s="391"/>
      <c r="M1096" s="388" t="s">
        <v>3046</v>
      </c>
      <c r="N1096" s="387"/>
      <c r="O1096" s="387" t="s">
        <v>2545</v>
      </c>
      <c r="P1096" s="387" t="s">
        <v>3047</v>
      </c>
    </row>
    <row r="1097" spans="1:16">
      <c r="A1097" s="387" t="b">
        <v>1</v>
      </c>
      <c r="B1097" s="387"/>
      <c r="C1097" s="401" t="s">
        <v>3048</v>
      </c>
      <c r="D1097" s="392">
        <v>10</v>
      </c>
      <c r="E1097" s="389"/>
      <c r="F1097" s="387"/>
      <c r="G1097" s="390"/>
      <c r="H1097" s="390"/>
      <c r="I1097" s="391"/>
      <c r="J1097" s="391"/>
      <c r="K1097" s="387" t="str">
        <f ca="1">IFERROR(VLOOKUP(C1097,' Disaggregation - Section E '!A$313:J708,3,0),"")</f>
        <v>HIV O-12 Percentage of people living with HIV and on ART who are virologically suppressed</v>
      </c>
      <c r="L1097" s="391"/>
      <c r="M1097" s="388" t="s">
        <v>3049</v>
      </c>
      <c r="N1097" s="387"/>
      <c r="O1097" s="387" t="s">
        <v>2545</v>
      </c>
      <c r="P1097" s="387" t="s">
        <v>3050</v>
      </c>
    </row>
    <row r="1098" spans="1:16">
      <c r="A1098" s="387" t="b">
        <v>0</v>
      </c>
      <c r="B1098" s="387"/>
      <c r="C1098" s="401" t="s">
        <v>3051</v>
      </c>
      <c r="D1098" s="392">
        <v>10</v>
      </c>
      <c r="E1098" s="389"/>
      <c r="F1098" s="387"/>
      <c r="G1098" s="390"/>
      <c r="H1098" s="390"/>
      <c r="I1098" s="391"/>
      <c r="J1098" s="391"/>
      <c r="K1098" s="387" t="str">
        <f ca="1">IFERROR(VLOOKUP(C1098,' Disaggregation - Section E '!A$313:J709,3,0),"")</f>
        <v>HIV O-12 Percentage of people living with HIV and on ART who are virologically suppressed</v>
      </c>
      <c r="L1098" s="391"/>
      <c r="M1098" s="388"/>
      <c r="N1098" s="387"/>
      <c r="O1098" s="387" t="s">
        <v>2545</v>
      </c>
      <c r="P1098" s="387"/>
    </row>
    <row r="1099" spans="1:16">
      <c r="A1099" s="387" t="b">
        <v>0</v>
      </c>
      <c r="B1099" s="387"/>
      <c r="C1099" s="401" t="s">
        <v>3052</v>
      </c>
      <c r="D1099" s="392">
        <v>10</v>
      </c>
      <c r="E1099" s="389"/>
      <c r="F1099" s="387"/>
      <c r="G1099" s="390"/>
      <c r="H1099" s="390"/>
      <c r="I1099" s="391"/>
      <c r="J1099" s="391"/>
      <c r="K1099" s="387" t="str">
        <f ca="1">IFERROR(VLOOKUP(C1099,' Disaggregation - Section E '!A$313:J710,3,0),"")</f>
        <v>HIV O-12 Percentage of people living with HIV and on ART who are virologically suppressed</v>
      </c>
      <c r="L1099" s="391"/>
      <c r="M1099" s="388"/>
      <c r="N1099" s="387"/>
      <c r="O1099" s="387" t="s">
        <v>2545</v>
      </c>
      <c r="P1099" s="387"/>
    </row>
    <row r="1100" spans="1:16">
      <c r="A1100" s="387" t="b">
        <v>0</v>
      </c>
      <c r="B1100" s="387"/>
      <c r="C1100" s="401" t="s">
        <v>3053</v>
      </c>
      <c r="D1100" s="392">
        <v>10</v>
      </c>
      <c r="E1100" s="389"/>
      <c r="F1100" s="387"/>
      <c r="G1100" s="390"/>
      <c r="H1100" s="390"/>
      <c r="I1100" s="391"/>
      <c r="J1100" s="391"/>
      <c r="K1100" s="387" t="str">
        <f ca="1">IFERROR(VLOOKUP(C1100,' Disaggregation - Section E '!A$313:J711,3,0),"")</f>
        <v>HIV O-12 Percentage of people living with HIV and on ART who are virologically suppressed</v>
      </c>
      <c r="L1100" s="391"/>
      <c r="M1100" s="388"/>
      <c r="N1100" s="387"/>
      <c r="O1100" s="387" t="s">
        <v>2545</v>
      </c>
      <c r="P1100" s="387"/>
    </row>
    <row r="1101" spans="1:16">
      <c r="A1101" s="387" t="b">
        <v>0</v>
      </c>
      <c r="B1101" s="387"/>
      <c r="C1101" s="401" t="s">
        <v>3054</v>
      </c>
      <c r="D1101" s="392">
        <v>10</v>
      </c>
      <c r="E1101" s="389"/>
      <c r="F1101" s="387"/>
      <c r="G1101" s="390"/>
      <c r="H1101" s="390"/>
      <c r="I1101" s="391"/>
      <c r="J1101" s="391"/>
      <c r="K1101" s="387" t="str">
        <f ca="1">IFERROR(VLOOKUP(C1101,' Disaggregation - Section E '!A$313:J712,3,0),"")</f>
        <v>HIV O-12 Percentage of people living with HIV and on ART who are virologically suppressed</v>
      </c>
      <c r="L1101" s="391"/>
      <c r="M1101" s="388"/>
      <c r="N1101" s="387"/>
      <c r="O1101" s="387" t="s">
        <v>2545</v>
      </c>
      <c r="P1101" s="387"/>
    </row>
    <row r="1102" spans="1:16">
      <c r="A1102" s="387" t="b">
        <v>0</v>
      </c>
      <c r="B1102" s="387"/>
      <c r="C1102" s="401" t="s">
        <v>3055</v>
      </c>
      <c r="D1102" s="392">
        <v>10</v>
      </c>
      <c r="E1102" s="389"/>
      <c r="F1102" s="387"/>
      <c r="G1102" s="390"/>
      <c r="H1102" s="390"/>
      <c r="I1102" s="391"/>
      <c r="J1102" s="391"/>
      <c r="K1102" s="387" t="str">
        <f ca="1">IFERROR(VLOOKUP(C1102,' Disaggregation - Section E '!A$313:J713,3,0),"")</f>
        <v>HIV O-12 Percentage of people living with HIV and on ART who are virologically suppressed</v>
      </c>
      <c r="L1102" s="391"/>
      <c r="M1102" s="388"/>
      <c r="N1102" s="387"/>
      <c r="O1102" s="387" t="s">
        <v>2545</v>
      </c>
      <c r="P1102" s="387"/>
    </row>
    <row r="1103" spans="1:16">
      <c r="A1103" s="387" t="b">
        <v>0</v>
      </c>
      <c r="B1103" s="387"/>
      <c r="C1103" s="401" t="s">
        <v>3056</v>
      </c>
      <c r="D1103" s="392">
        <v>10</v>
      </c>
      <c r="E1103" s="389"/>
      <c r="F1103" s="387"/>
      <c r="G1103" s="390"/>
      <c r="H1103" s="390"/>
      <c r="I1103" s="391"/>
      <c r="J1103" s="391"/>
      <c r="K1103" s="387" t="str">
        <f ca="1">IFERROR(VLOOKUP(C1103,' Disaggregation - Section E '!A$313:J714,3,0),"")</f>
        <v>HIV O-12 Percentage of people living with HIV and on ART who are virologically suppressed</v>
      </c>
      <c r="L1103" s="391"/>
      <c r="M1103" s="388"/>
      <c r="N1103" s="387"/>
      <c r="O1103" s="387" t="s">
        <v>2545</v>
      </c>
      <c r="P1103" s="387"/>
    </row>
    <row r="1104" spans="1:16">
      <c r="A1104" s="387" t="b">
        <v>1</v>
      </c>
      <c r="B1104" s="387"/>
      <c r="C1104" s="401" t="s">
        <v>3057</v>
      </c>
      <c r="D1104" s="392">
        <v>11</v>
      </c>
      <c r="E1104" s="389"/>
      <c r="F1104" s="387"/>
      <c r="G1104" s="390"/>
      <c r="H1104" s="390"/>
      <c r="I1104" s="391"/>
      <c r="J1104" s="391"/>
      <c r="K1104" s="387" t="str">
        <f ca="1">IFERROR(VLOOKUP(C1104,' Disaggregation - Section E '!A$313:J715,3,0),"")</f>
        <v>HIV O-16a Percentage of men who have sex with men who avoid health care because of stigma and discrimination</v>
      </c>
      <c r="L1104" s="391"/>
      <c r="M1104" s="388" t="s">
        <v>3058</v>
      </c>
      <c r="N1104" s="387"/>
      <c r="O1104" s="387" t="s">
        <v>2552</v>
      </c>
      <c r="P1104" s="387" t="s">
        <v>3059</v>
      </c>
    </row>
    <row r="1105" spans="1:16">
      <c r="A1105" s="387" t="b">
        <v>1</v>
      </c>
      <c r="B1105" s="387"/>
      <c r="C1105" s="401" t="s">
        <v>3060</v>
      </c>
      <c r="D1105" s="392">
        <v>11</v>
      </c>
      <c r="E1105" s="389"/>
      <c r="F1105" s="387"/>
      <c r="G1105" s="390"/>
      <c r="H1105" s="390"/>
      <c r="I1105" s="391"/>
      <c r="J1105" s="391"/>
      <c r="K1105" s="387" t="str">
        <f ca="1">IFERROR(VLOOKUP(C1105,' Disaggregation - Section E '!A$313:J716,3,0),"")</f>
        <v>HIV O-16a Percentage of men who have sex with men who avoid health care because of stigma and discrimination</v>
      </c>
      <c r="L1105" s="391"/>
      <c r="M1105" s="388" t="s">
        <v>3061</v>
      </c>
      <c r="N1105" s="387"/>
      <c r="O1105" s="387" t="s">
        <v>2552</v>
      </c>
      <c r="P1105" s="387" t="s">
        <v>3062</v>
      </c>
    </row>
    <row r="1106" spans="1:16">
      <c r="A1106" s="387" t="b">
        <v>0</v>
      </c>
      <c r="B1106" s="387"/>
      <c r="C1106" s="401" t="s">
        <v>3063</v>
      </c>
      <c r="D1106" s="392">
        <v>11</v>
      </c>
      <c r="E1106" s="389"/>
      <c r="F1106" s="387"/>
      <c r="G1106" s="390"/>
      <c r="H1106" s="390"/>
      <c r="I1106" s="391"/>
      <c r="J1106" s="391"/>
      <c r="K1106" s="387" t="str">
        <f ca="1">IFERROR(VLOOKUP(C1106,' Disaggregation - Section E '!A$313:J717,3,0),"")</f>
        <v>HIV O-16a Percentage of men who have sex with men who avoid health care because of stigma and discrimination</v>
      </c>
      <c r="L1106" s="391"/>
      <c r="M1106" s="388"/>
      <c r="N1106" s="387"/>
      <c r="O1106" s="387" t="s">
        <v>2552</v>
      </c>
      <c r="P1106" s="387"/>
    </row>
    <row r="1107" spans="1:16">
      <c r="A1107" s="387" t="b">
        <v>0</v>
      </c>
      <c r="B1107" s="387"/>
      <c r="C1107" s="401" t="s">
        <v>3064</v>
      </c>
      <c r="D1107" s="392">
        <v>11</v>
      </c>
      <c r="E1107" s="389"/>
      <c r="F1107" s="387"/>
      <c r="G1107" s="390"/>
      <c r="H1107" s="390"/>
      <c r="I1107" s="391"/>
      <c r="J1107" s="391"/>
      <c r="K1107" s="387" t="str">
        <f ca="1">IFERROR(VLOOKUP(C1107,' Disaggregation - Section E '!A$313:J718,3,0),"")</f>
        <v>HIV O-16a Percentage of men who have sex with men who avoid health care because of stigma and discrimination</v>
      </c>
      <c r="L1107" s="391"/>
      <c r="M1107" s="388"/>
      <c r="N1107" s="387"/>
      <c r="O1107" s="387" t="s">
        <v>2552</v>
      </c>
      <c r="P1107" s="387"/>
    </row>
    <row r="1108" spans="1:16">
      <c r="A1108" s="387" t="b">
        <v>0</v>
      </c>
      <c r="B1108" s="387"/>
      <c r="C1108" s="401" t="s">
        <v>3065</v>
      </c>
      <c r="D1108" s="392">
        <v>11</v>
      </c>
      <c r="E1108" s="389"/>
      <c r="F1108" s="387"/>
      <c r="G1108" s="390"/>
      <c r="H1108" s="390"/>
      <c r="I1108" s="391"/>
      <c r="J1108" s="391"/>
      <c r="K1108" s="387" t="str">
        <f ca="1">IFERROR(VLOOKUP(C1108,' Disaggregation - Section E '!A$313:J719,3,0),"")</f>
        <v>HIV O-16a Percentage of men who have sex with men who avoid health care because of stigma and discrimination</v>
      </c>
      <c r="L1108" s="391"/>
      <c r="M1108" s="388"/>
      <c r="N1108" s="387"/>
      <c r="O1108" s="387" t="s">
        <v>2552</v>
      </c>
      <c r="P1108" s="387"/>
    </row>
    <row r="1109" spans="1:16">
      <c r="A1109" s="387" t="b">
        <v>0</v>
      </c>
      <c r="B1109" s="387"/>
      <c r="C1109" s="401" t="s">
        <v>3066</v>
      </c>
      <c r="D1109" s="392">
        <v>11</v>
      </c>
      <c r="E1109" s="389"/>
      <c r="F1109" s="387"/>
      <c r="G1109" s="390"/>
      <c r="H1109" s="390"/>
      <c r="I1109" s="391"/>
      <c r="J1109" s="391"/>
      <c r="K1109" s="387" t="str">
        <f ca="1">IFERROR(VLOOKUP(C1109,' Disaggregation - Section E '!A$313:J720,3,0),"")</f>
        <v>HIV O-16a Percentage of men who have sex with men who avoid health care because of stigma and discrimination</v>
      </c>
      <c r="L1109" s="391"/>
      <c r="M1109" s="388"/>
      <c r="N1109" s="387"/>
      <c r="O1109" s="387" t="s">
        <v>2552</v>
      </c>
      <c r="P1109" s="387"/>
    </row>
    <row r="1110" spans="1:16">
      <c r="A1110" s="387" t="b">
        <v>0</v>
      </c>
      <c r="B1110" s="387"/>
      <c r="C1110" s="401" t="s">
        <v>3067</v>
      </c>
      <c r="D1110" s="392">
        <v>11</v>
      </c>
      <c r="E1110" s="389"/>
      <c r="F1110" s="387"/>
      <c r="G1110" s="390"/>
      <c r="H1110" s="390"/>
      <c r="I1110" s="391"/>
      <c r="J1110" s="391"/>
      <c r="K1110" s="387" t="str">
        <f ca="1">IFERROR(VLOOKUP(C1110,' Disaggregation - Section E '!A$313:J721,3,0),"")</f>
        <v>HIV O-16a Percentage of men who have sex with men who avoid health care because of stigma and discrimination</v>
      </c>
      <c r="L1110" s="391"/>
      <c r="M1110" s="388"/>
      <c r="N1110" s="387"/>
      <c r="O1110" s="387" t="s">
        <v>2552</v>
      </c>
      <c r="P1110" s="387"/>
    </row>
    <row r="1111" spans="1:16">
      <c r="A1111" s="387" t="b">
        <v>0</v>
      </c>
      <c r="B1111" s="387"/>
      <c r="C1111" s="401" t="s">
        <v>3068</v>
      </c>
      <c r="D1111" s="392">
        <v>11</v>
      </c>
      <c r="E1111" s="389"/>
      <c r="F1111" s="387"/>
      <c r="G1111" s="390"/>
      <c r="H1111" s="390"/>
      <c r="I1111" s="391"/>
      <c r="J1111" s="391"/>
      <c r="K1111" s="387" t="str">
        <f ca="1">IFERROR(VLOOKUP(C1111,' Disaggregation - Section E '!A$313:J722,3,0),"")</f>
        <v>HIV O-16a Percentage of men who have sex with men who avoid health care because of stigma and discrimination</v>
      </c>
      <c r="L1111" s="391"/>
      <c r="M1111" s="388"/>
      <c r="N1111" s="387"/>
      <c r="O1111" s="387" t="s">
        <v>2552</v>
      </c>
      <c r="P1111" s="387"/>
    </row>
    <row r="1112" spans="1:16">
      <c r="A1112" s="387" t="b">
        <v>0</v>
      </c>
      <c r="B1112" s="387"/>
      <c r="C1112" s="401" t="s">
        <v>3069</v>
      </c>
      <c r="D1112" s="392">
        <v>11</v>
      </c>
      <c r="E1112" s="389"/>
      <c r="F1112" s="387"/>
      <c r="G1112" s="390"/>
      <c r="H1112" s="390"/>
      <c r="I1112" s="391"/>
      <c r="J1112" s="391"/>
      <c r="K1112" s="387" t="str">
        <f ca="1">IFERROR(VLOOKUP(C1112,' Disaggregation - Section E '!A$313:J723,3,0),"")</f>
        <v>HIV O-16a Percentage of men who have sex with men who avoid health care because of stigma and discrimination</v>
      </c>
      <c r="L1112" s="391"/>
      <c r="M1112" s="388"/>
      <c r="N1112" s="387"/>
      <c r="O1112" s="387" t="s">
        <v>2552</v>
      </c>
      <c r="P1112" s="387"/>
    </row>
    <row r="1113" spans="1:16">
      <c r="A1113" s="387" t="b">
        <v>0</v>
      </c>
      <c r="B1113" s="387"/>
      <c r="C1113" s="401" t="s">
        <v>3070</v>
      </c>
      <c r="D1113" s="392">
        <v>11</v>
      </c>
      <c r="E1113" s="389"/>
      <c r="F1113" s="387"/>
      <c r="G1113" s="390"/>
      <c r="H1113" s="390"/>
      <c r="I1113" s="391"/>
      <c r="J1113" s="391"/>
      <c r="K1113" s="387" t="str">
        <f ca="1">IFERROR(VLOOKUP(C1113,' Disaggregation - Section E '!A$313:J724,3,0),"")</f>
        <v>HIV O-16a Percentage of men who have sex with men who avoid health care because of stigma and discrimination</v>
      </c>
      <c r="L1113" s="391"/>
      <c r="M1113" s="388"/>
      <c r="N1113" s="387"/>
      <c r="O1113" s="387" t="s">
        <v>2552</v>
      </c>
      <c r="P1113" s="387"/>
    </row>
    <row r="1114" spans="1:16">
      <c r="A1114" s="387" t="b">
        <v>1</v>
      </c>
      <c r="B1114" s="387"/>
      <c r="C1114" s="401" t="s">
        <v>3071</v>
      </c>
      <c r="D1114" s="392">
        <v>12</v>
      </c>
      <c r="E1114" s="389"/>
      <c r="F1114" s="387"/>
      <c r="G1114" s="390"/>
      <c r="H1114" s="390"/>
      <c r="I1114" s="391"/>
      <c r="J1114" s="391"/>
      <c r="K1114" s="387" t="str">
        <f ca="1">IFERROR(VLOOKUP(C1114,' Disaggregation - Section E '!A$313:J725,3,0),"")</f>
        <v>HIV O-16b Percentage of transgender people who avoid health care because of stigma and discrimination</v>
      </c>
      <c r="L1114" s="391"/>
      <c r="M1114" s="388" t="s">
        <v>3072</v>
      </c>
      <c r="N1114" s="387"/>
      <c r="O1114" s="387" t="s">
        <v>2559</v>
      </c>
      <c r="P1114" s="387" t="s">
        <v>3073</v>
      </c>
    </row>
    <row r="1115" spans="1:16">
      <c r="A1115" s="387" t="b">
        <v>1</v>
      </c>
      <c r="B1115" s="387"/>
      <c r="C1115" s="401" t="s">
        <v>3074</v>
      </c>
      <c r="D1115" s="392">
        <v>12</v>
      </c>
      <c r="E1115" s="389"/>
      <c r="F1115" s="387"/>
      <c r="G1115" s="390"/>
      <c r="H1115" s="390"/>
      <c r="I1115" s="391"/>
      <c r="J1115" s="391"/>
      <c r="K1115" s="387" t="str">
        <f ca="1">IFERROR(VLOOKUP(C1115,' Disaggregation - Section E '!A$313:J726,3,0),"")</f>
        <v>HIV O-16b Percentage of transgender people who avoid health care because of stigma and discrimination</v>
      </c>
      <c r="L1115" s="391"/>
      <c r="M1115" s="388" t="s">
        <v>3075</v>
      </c>
      <c r="N1115" s="387"/>
      <c r="O1115" s="387" t="s">
        <v>2559</v>
      </c>
      <c r="P1115" s="387" t="s">
        <v>3076</v>
      </c>
    </row>
    <row r="1116" spans="1:16">
      <c r="A1116" s="387" t="b">
        <v>0</v>
      </c>
      <c r="B1116" s="387"/>
      <c r="C1116" s="401" t="s">
        <v>3077</v>
      </c>
      <c r="D1116" s="392">
        <v>12</v>
      </c>
      <c r="E1116" s="389"/>
      <c r="F1116" s="387"/>
      <c r="G1116" s="390"/>
      <c r="H1116" s="390"/>
      <c r="I1116" s="391"/>
      <c r="J1116" s="391"/>
      <c r="K1116" s="387" t="str">
        <f ca="1">IFERROR(VLOOKUP(C1116,' Disaggregation - Section E '!A$313:J727,3,0),"")</f>
        <v>HIV O-16b Percentage of transgender people who avoid health care because of stigma and discrimination</v>
      </c>
      <c r="L1116" s="391"/>
      <c r="M1116" s="388"/>
      <c r="N1116" s="387"/>
      <c r="O1116" s="387" t="s">
        <v>2559</v>
      </c>
      <c r="P1116" s="387"/>
    </row>
    <row r="1117" spans="1:16">
      <c r="A1117" s="387" t="b">
        <v>0</v>
      </c>
      <c r="B1117" s="387"/>
      <c r="C1117" s="401" t="s">
        <v>3078</v>
      </c>
      <c r="D1117" s="392">
        <v>12</v>
      </c>
      <c r="E1117" s="389"/>
      <c r="F1117" s="387"/>
      <c r="G1117" s="390"/>
      <c r="H1117" s="390"/>
      <c r="I1117" s="391"/>
      <c r="J1117" s="391"/>
      <c r="K1117" s="387" t="str">
        <f ca="1">IFERROR(VLOOKUP(C1117,' Disaggregation - Section E '!A$313:J728,3,0),"")</f>
        <v>HIV O-16b Percentage of transgender people who avoid health care because of stigma and discrimination</v>
      </c>
      <c r="L1117" s="391"/>
      <c r="M1117" s="388"/>
      <c r="N1117" s="387"/>
      <c r="O1117" s="387" t="s">
        <v>2559</v>
      </c>
      <c r="P1117" s="387"/>
    </row>
    <row r="1118" spans="1:16">
      <c r="A1118" s="387" t="b">
        <v>0</v>
      </c>
      <c r="B1118" s="387"/>
      <c r="C1118" s="401" t="s">
        <v>3079</v>
      </c>
      <c r="D1118" s="392">
        <v>12</v>
      </c>
      <c r="E1118" s="389"/>
      <c r="F1118" s="387"/>
      <c r="G1118" s="390"/>
      <c r="H1118" s="390"/>
      <c r="I1118" s="391"/>
      <c r="J1118" s="391"/>
      <c r="K1118" s="387" t="str">
        <f ca="1">IFERROR(VLOOKUP(C1118,' Disaggregation - Section E '!A$313:J729,3,0),"")</f>
        <v>HIV O-16b Percentage of transgender people who avoid health care because of stigma and discrimination</v>
      </c>
      <c r="L1118" s="391"/>
      <c r="M1118" s="388"/>
      <c r="N1118" s="387"/>
      <c r="O1118" s="387" t="s">
        <v>2559</v>
      </c>
      <c r="P1118" s="387"/>
    </row>
    <row r="1119" spans="1:16">
      <c r="A1119" s="387" t="b">
        <v>0</v>
      </c>
      <c r="B1119" s="387"/>
      <c r="C1119" s="401" t="s">
        <v>3080</v>
      </c>
      <c r="D1119" s="392">
        <v>12</v>
      </c>
      <c r="E1119" s="389"/>
      <c r="F1119" s="387"/>
      <c r="G1119" s="390"/>
      <c r="H1119" s="390"/>
      <c r="I1119" s="391"/>
      <c r="J1119" s="391"/>
      <c r="K1119" s="387" t="str">
        <f ca="1">IFERROR(VLOOKUP(C1119,' Disaggregation - Section E '!A$313:J730,3,0),"")</f>
        <v>HIV O-16b Percentage of transgender people who avoid health care because of stigma and discrimination</v>
      </c>
      <c r="L1119" s="391"/>
      <c r="M1119" s="388"/>
      <c r="N1119" s="387"/>
      <c r="O1119" s="387" t="s">
        <v>2559</v>
      </c>
      <c r="P1119" s="387"/>
    </row>
    <row r="1120" spans="1:16">
      <c r="A1120" s="387" t="b">
        <v>0</v>
      </c>
      <c r="B1120" s="387"/>
      <c r="C1120" s="401" t="s">
        <v>3081</v>
      </c>
      <c r="D1120" s="392">
        <v>12</v>
      </c>
      <c r="E1120" s="389"/>
      <c r="F1120" s="387"/>
      <c r="G1120" s="390"/>
      <c r="H1120" s="390"/>
      <c r="I1120" s="391"/>
      <c r="J1120" s="391"/>
      <c r="K1120" s="387" t="str">
        <f ca="1">IFERROR(VLOOKUP(C1120,' Disaggregation - Section E '!A$313:J731,3,0),"")</f>
        <v>HIV O-16b Percentage of transgender people who avoid health care because of stigma and discrimination</v>
      </c>
      <c r="L1120" s="391"/>
      <c r="M1120" s="388"/>
      <c r="N1120" s="387"/>
      <c r="O1120" s="387" t="s">
        <v>2559</v>
      </c>
      <c r="P1120" s="387"/>
    </row>
    <row r="1121" spans="1:16">
      <c r="A1121" s="387" t="b">
        <v>0</v>
      </c>
      <c r="B1121" s="387"/>
      <c r="C1121" s="401" t="s">
        <v>3082</v>
      </c>
      <c r="D1121" s="392">
        <v>12</v>
      </c>
      <c r="E1121" s="389"/>
      <c r="F1121" s="387"/>
      <c r="G1121" s="390"/>
      <c r="H1121" s="390"/>
      <c r="I1121" s="391"/>
      <c r="J1121" s="391"/>
      <c r="K1121" s="387" t="str">
        <f ca="1">IFERROR(VLOOKUP(C1121,' Disaggregation - Section E '!A$313:J732,3,0),"")</f>
        <v>HIV O-16b Percentage of transgender people who avoid health care because of stigma and discrimination</v>
      </c>
      <c r="L1121" s="391"/>
      <c r="M1121" s="388"/>
      <c r="N1121" s="387"/>
      <c r="O1121" s="387" t="s">
        <v>2559</v>
      </c>
      <c r="P1121" s="387"/>
    </row>
    <row r="1122" spans="1:16">
      <c r="A1122" s="387" t="b">
        <v>0</v>
      </c>
      <c r="B1122" s="387"/>
      <c r="C1122" s="401" t="s">
        <v>3083</v>
      </c>
      <c r="D1122" s="392">
        <v>12</v>
      </c>
      <c r="E1122" s="389"/>
      <c r="F1122" s="387"/>
      <c r="G1122" s="390"/>
      <c r="H1122" s="390"/>
      <c r="I1122" s="391"/>
      <c r="J1122" s="391"/>
      <c r="K1122" s="387" t="str">
        <f ca="1">IFERROR(VLOOKUP(C1122,' Disaggregation - Section E '!A$313:J733,3,0),"")</f>
        <v>HIV O-16b Percentage of transgender people who avoid health care because of stigma and discrimination</v>
      </c>
      <c r="L1122" s="391"/>
      <c r="M1122" s="388"/>
      <c r="N1122" s="387"/>
      <c r="O1122" s="387" t="s">
        <v>2559</v>
      </c>
      <c r="P1122" s="387"/>
    </row>
    <row r="1123" spans="1:16">
      <c r="A1123" s="387" t="b">
        <v>0</v>
      </c>
      <c r="B1123" s="387"/>
      <c r="C1123" s="401" t="s">
        <v>3084</v>
      </c>
      <c r="D1123" s="392">
        <v>12</v>
      </c>
      <c r="E1123" s="389"/>
      <c r="F1123" s="387"/>
      <c r="G1123" s="390"/>
      <c r="H1123" s="390"/>
      <c r="I1123" s="391"/>
      <c r="J1123" s="391"/>
      <c r="K1123" s="387" t="str">
        <f ca="1">IFERROR(VLOOKUP(C1123,' Disaggregation - Section E '!A$313:J734,3,0),"")</f>
        <v>HIV O-16b Percentage of transgender people who avoid health care because of stigma and discrimination</v>
      </c>
      <c r="L1123" s="391"/>
      <c r="M1123" s="388"/>
      <c r="N1123" s="387"/>
      <c r="O1123" s="387" t="s">
        <v>2559</v>
      </c>
      <c r="P1123" s="387"/>
    </row>
    <row r="1124" spans="1:16">
      <c r="A1124" s="387" t="b">
        <v>1</v>
      </c>
      <c r="B1124" s="387"/>
      <c r="C1124" s="401" t="s">
        <v>3085</v>
      </c>
      <c r="D1124" s="392">
        <v>13</v>
      </c>
      <c r="E1124" s="389"/>
      <c r="F1124" s="387"/>
      <c r="G1124" s="390"/>
      <c r="H1124" s="390"/>
      <c r="I1124" s="391"/>
      <c r="J1124" s="391"/>
      <c r="K1124" s="387" t="str">
        <f ca="1">IFERROR(VLOOKUP(C1124,' Disaggregation - Section E '!A$313:J735,3,0),"")</f>
        <v>HIV O-16c Percentage of sex workers who avoid health care because of stigma and discrimination</v>
      </c>
      <c r="L1124" s="391"/>
      <c r="M1124" s="388" t="s">
        <v>3086</v>
      </c>
      <c r="N1124" s="387"/>
      <c r="O1124" s="387" t="s">
        <v>2566</v>
      </c>
      <c r="P1124" s="387" t="s">
        <v>3087</v>
      </c>
    </row>
    <row r="1125" spans="1:16">
      <c r="A1125" s="387" t="b">
        <v>1</v>
      </c>
      <c r="B1125" s="387"/>
      <c r="C1125" s="401" t="s">
        <v>3088</v>
      </c>
      <c r="D1125" s="392">
        <v>13</v>
      </c>
      <c r="E1125" s="389"/>
      <c r="F1125" s="387"/>
      <c r="G1125" s="390"/>
      <c r="H1125" s="390"/>
      <c r="I1125" s="391"/>
      <c r="J1125" s="391"/>
      <c r="K1125" s="387" t="str">
        <f ca="1">IFERROR(VLOOKUP(C1125,' Disaggregation - Section E '!A$313:J736,3,0),"")</f>
        <v>HIV O-16c Percentage of sex workers who avoid health care because of stigma and discrimination</v>
      </c>
      <c r="L1125" s="391"/>
      <c r="M1125" s="388" t="s">
        <v>3089</v>
      </c>
      <c r="N1125" s="387"/>
      <c r="O1125" s="387" t="s">
        <v>2566</v>
      </c>
      <c r="P1125" s="387" t="s">
        <v>3090</v>
      </c>
    </row>
    <row r="1126" spans="1:16">
      <c r="A1126" s="387" t="b">
        <v>1</v>
      </c>
      <c r="B1126" s="387"/>
      <c r="C1126" s="401" t="s">
        <v>3091</v>
      </c>
      <c r="D1126" s="392">
        <v>13</v>
      </c>
      <c r="E1126" s="389"/>
      <c r="F1126" s="387"/>
      <c r="G1126" s="390"/>
      <c r="H1126" s="390"/>
      <c r="I1126" s="391"/>
      <c r="J1126" s="391"/>
      <c r="K1126" s="387" t="str">
        <f ca="1">IFERROR(VLOOKUP(C1126,' Disaggregation - Section E '!A$313:J737,3,0),"")</f>
        <v>HIV O-16c Percentage of sex workers who avoid health care because of stigma and discrimination</v>
      </c>
      <c r="L1126" s="391"/>
      <c r="M1126" s="388" t="s">
        <v>3092</v>
      </c>
      <c r="N1126" s="387"/>
      <c r="O1126" s="387" t="s">
        <v>2566</v>
      </c>
      <c r="P1126" s="387" t="s">
        <v>3093</v>
      </c>
    </row>
    <row r="1127" spans="1:16">
      <c r="A1127" s="387" t="b">
        <v>1</v>
      </c>
      <c r="B1127" s="387"/>
      <c r="C1127" s="401" t="s">
        <v>3094</v>
      </c>
      <c r="D1127" s="392">
        <v>13</v>
      </c>
      <c r="E1127" s="389"/>
      <c r="F1127" s="387"/>
      <c r="G1127" s="390"/>
      <c r="H1127" s="390"/>
      <c r="I1127" s="391"/>
      <c r="J1127" s="391"/>
      <c r="K1127" s="387" t="str">
        <f ca="1">IFERROR(VLOOKUP(C1127,' Disaggregation - Section E '!A$313:J738,3,0),"")</f>
        <v>HIV O-16c Percentage of sex workers who avoid health care because of stigma and discrimination</v>
      </c>
      <c r="L1127" s="391"/>
      <c r="M1127" s="388" t="s">
        <v>3095</v>
      </c>
      <c r="N1127" s="387"/>
      <c r="O1127" s="387" t="s">
        <v>2566</v>
      </c>
      <c r="P1127" s="387" t="s">
        <v>3096</v>
      </c>
    </row>
    <row r="1128" spans="1:16">
      <c r="A1128" s="387" t="b">
        <v>1</v>
      </c>
      <c r="B1128" s="387"/>
      <c r="C1128" s="401" t="s">
        <v>3097</v>
      </c>
      <c r="D1128" s="392">
        <v>13</v>
      </c>
      <c r="E1128" s="389"/>
      <c r="F1128" s="387"/>
      <c r="G1128" s="390"/>
      <c r="H1128" s="390"/>
      <c r="I1128" s="391"/>
      <c r="J1128" s="391"/>
      <c r="K1128" s="387" t="str">
        <f ca="1">IFERROR(VLOOKUP(C1128,' Disaggregation - Section E '!A$313:J739,3,0),"")</f>
        <v>HIV O-16c Percentage of sex workers who avoid health care because of stigma and discrimination</v>
      </c>
      <c r="L1128" s="391"/>
      <c r="M1128" s="388" t="s">
        <v>3098</v>
      </c>
      <c r="N1128" s="387"/>
      <c r="O1128" s="387" t="s">
        <v>2566</v>
      </c>
      <c r="P1128" s="387" t="s">
        <v>3099</v>
      </c>
    </row>
    <row r="1129" spans="1:16">
      <c r="A1129" s="387" t="b">
        <v>0</v>
      </c>
      <c r="B1129" s="387"/>
      <c r="C1129" s="401" t="s">
        <v>3100</v>
      </c>
      <c r="D1129" s="392">
        <v>13</v>
      </c>
      <c r="E1129" s="389"/>
      <c r="F1129" s="387"/>
      <c r="G1129" s="390"/>
      <c r="H1129" s="390"/>
      <c r="I1129" s="391"/>
      <c r="J1129" s="391"/>
      <c r="K1129" s="387" t="str">
        <f ca="1">IFERROR(VLOOKUP(C1129,' Disaggregation - Section E '!A$313:J740,3,0),"")</f>
        <v>HIV O-16c Percentage of sex workers who avoid health care because of stigma and discrimination</v>
      </c>
      <c r="L1129" s="391"/>
      <c r="M1129" s="388"/>
      <c r="N1129" s="387"/>
      <c r="O1129" s="387" t="s">
        <v>2566</v>
      </c>
      <c r="P1129" s="387"/>
    </row>
    <row r="1130" spans="1:16">
      <c r="A1130" s="387" t="b">
        <v>0</v>
      </c>
      <c r="B1130" s="387"/>
      <c r="C1130" s="401" t="s">
        <v>3101</v>
      </c>
      <c r="D1130" s="392">
        <v>13</v>
      </c>
      <c r="E1130" s="389"/>
      <c r="F1130" s="387"/>
      <c r="G1130" s="390"/>
      <c r="H1130" s="390"/>
      <c r="I1130" s="391"/>
      <c r="J1130" s="391"/>
      <c r="K1130" s="387" t="str">
        <f ca="1">IFERROR(VLOOKUP(C1130,' Disaggregation - Section E '!A$313:J741,3,0),"")</f>
        <v>HIV O-16c Percentage of sex workers who avoid health care because of stigma and discrimination</v>
      </c>
      <c r="L1130" s="391"/>
      <c r="M1130" s="388"/>
      <c r="N1130" s="387"/>
      <c r="O1130" s="387" t="s">
        <v>2566</v>
      </c>
      <c r="P1130" s="387"/>
    </row>
    <row r="1131" spans="1:16">
      <c r="A1131" s="387" t="b">
        <v>0</v>
      </c>
      <c r="B1131" s="387"/>
      <c r="C1131" s="401" t="s">
        <v>3102</v>
      </c>
      <c r="D1131" s="392">
        <v>13</v>
      </c>
      <c r="E1131" s="389"/>
      <c r="F1131" s="387"/>
      <c r="G1131" s="390"/>
      <c r="H1131" s="390"/>
      <c r="I1131" s="391"/>
      <c r="J1131" s="391"/>
      <c r="K1131" s="387" t="str">
        <f ca="1">IFERROR(VLOOKUP(C1131,' Disaggregation - Section E '!A$313:J742,3,0),"")</f>
        <v>HIV O-16c Percentage of sex workers who avoid health care because of stigma and discrimination</v>
      </c>
      <c r="L1131" s="391"/>
      <c r="M1131" s="388"/>
      <c r="N1131" s="387"/>
      <c r="O1131" s="387" t="s">
        <v>2566</v>
      </c>
      <c r="P1131" s="387"/>
    </row>
    <row r="1132" spans="1:16">
      <c r="A1132" s="387" t="b">
        <v>0</v>
      </c>
      <c r="B1132" s="387"/>
      <c r="C1132" s="401" t="s">
        <v>3103</v>
      </c>
      <c r="D1132" s="392">
        <v>13</v>
      </c>
      <c r="E1132" s="389"/>
      <c r="F1132" s="387"/>
      <c r="G1132" s="390"/>
      <c r="H1132" s="390"/>
      <c r="I1132" s="391"/>
      <c r="J1132" s="391"/>
      <c r="K1132" s="387" t="str">
        <f ca="1">IFERROR(VLOOKUP(C1132,' Disaggregation - Section E '!A$313:J743,3,0),"")</f>
        <v>HIV O-16c Percentage of sex workers who avoid health care because of stigma and discrimination</v>
      </c>
      <c r="L1132" s="391"/>
      <c r="M1132" s="388"/>
      <c r="N1132" s="387"/>
      <c r="O1132" s="387" t="s">
        <v>2566</v>
      </c>
      <c r="P1132" s="387"/>
    </row>
    <row r="1133" spans="1:16">
      <c r="A1133" s="387" t="b">
        <v>0</v>
      </c>
      <c r="B1133" s="387"/>
      <c r="C1133" s="401" t="s">
        <v>3104</v>
      </c>
      <c r="D1133" s="392">
        <v>13</v>
      </c>
      <c r="E1133" s="389"/>
      <c r="F1133" s="387"/>
      <c r="G1133" s="390"/>
      <c r="H1133" s="390"/>
      <c r="I1133" s="391"/>
      <c r="J1133" s="391"/>
      <c r="K1133" s="387" t="str">
        <f ca="1">IFERROR(VLOOKUP(C1133,' Disaggregation - Section E '!A$313:J744,3,0),"")</f>
        <v>HIV O-16c Percentage of sex workers who avoid health care because of stigma and discrimination</v>
      </c>
      <c r="L1133" s="391"/>
      <c r="M1133" s="388"/>
      <c r="N1133" s="387"/>
      <c r="O1133" s="387" t="s">
        <v>2566</v>
      </c>
      <c r="P1133" s="387"/>
    </row>
    <row r="1134" spans="1:16">
      <c r="A1134" s="387" t="b">
        <v>1</v>
      </c>
      <c r="B1134" s="387"/>
      <c r="C1134" s="401" t="s">
        <v>3105</v>
      </c>
      <c r="D1134" s="392">
        <v>14</v>
      </c>
      <c r="E1134" s="389"/>
      <c r="F1134" s="387"/>
      <c r="G1134" s="390"/>
      <c r="H1134" s="390"/>
      <c r="I1134" s="391"/>
      <c r="J1134" s="391"/>
      <c r="K1134" s="387" t="str">
        <f ca="1">IFERROR(VLOOKUP(C1134,' Disaggregation - Section E '!A$313:J745,3,0),"")</f>
        <v>HIV O-16d Percentage of people who inject drugs who avoid health care because of stigma and discrimination</v>
      </c>
      <c r="L1134" s="391"/>
      <c r="M1134" s="388" t="s">
        <v>3106</v>
      </c>
      <c r="N1134" s="387"/>
      <c r="O1134" s="387" t="s">
        <v>2573</v>
      </c>
      <c r="P1134" s="387" t="s">
        <v>3107</v>
      </c>
    </row>
    <row r="1135" spans="1:16">
      <c r="A1135" s="387" t="b">
        <v>1</v>
      </c>
      <c r="B1135" s="387"/>
      <c r="C1135" s="401" t="s">
        <v>3108</v>
      </c>
      <c r="D1135" s="392">
        <v>14</v>
      </c>
      <c r="E1135" s="389"/>
      <c r="F1135" s="387"/>
      <c r="G1135" s="390"/>
      <c r="H1135" s="390"/>
      <c r="I1135" s="391"/>
      <c r="J1135" s="391"/>
      <c r="K1135" s="387" t="str">
        <f ca="1">IFERROR(VLOOKUP(C1135,' Disaggregation - Section E '!A$313:J746,3,0),"")</f>
        <v>HIV O-16d Percentage of people who inject drugs who avoid health care because of stigma and discrimination</v>
      </c>
      <c r="L1135" s="391"/>
      <c r="M1135" s="388" t="s">
        <v>3109</v>
      </c>
      <c r="N1135" s="387"/>
      <c r="O1135" s="387" t="s">
        <v>2573</v>
      </c>
      <c r="P1135" s="387" t="s">
        <v>3110</v>
      </c>
    </row>
    <row r="1136" spans="1:16">
      <c r="A1136" s="387" t="b">
        <v>1</v>
      </c>
      <c r="B1136" s="387"/>
      <c r="C1136" s="401" t="s">
        <v>3111</v>
      </c>
      <c r="D1136" s="392">
        <v>14</v>
      </c>
      <c r="E1136" s="389"/>
      <c r="F1136" s="387"/>
      <c r="G1136" s="390"/>
      <c r="H1136" s="390"/>
      <c r="I1136" s="391"/>
      <c r="J1136" s="391"/>
      <c r="K1136" s="387" t="str">
        <f ca="1">IFERROR(VLOOKUP(C1136,' Disaggregation - Section E '!A$313:J747,3,0),"")</f>
        <v>HIV O-16d Percentage of people who inject drugs who avoid health care because of stigma and discrimination</v>
      </c>
      <c r="L1136" s="391"/>
      <c r="M1136" s="388" t="s">
        <v>3112</v>
      </c>
      <c r="N1136" s="387"/>
      <c r="O1136" s="387" t="s">
        <v>2573</v>
      </c>
      <c r="P1136" s="387" t="s">
        <v>3113</v>
      </c>
    </row>
    <row r="1137" spans="1:16">
      <c r="A1137" s="387" t="b">
        <v>1</v>
      </c>
      <c r="B1137" s="387"/>
      <c r="C1137" s="401" t="s">
        <v>3114</v>
      </c>
      <c r="D1137" s="392">
        <v>14</v>
      </c>
      <c r="E1137" s="389"/>
      <c r="F1137" s="387"/>
      <c r="G1137" s="390"/>
      <c r="H1137" s="390"/>
      <c r="I1137" s="391"/>
      <c r="J1137" s="391"/>
      <c r="K1137" s="387" t="str">
        <f ca="1">IFERROR(VLOOKUP(C1137,' Disaggregation - Section E '!A$313:J748,3,0),"")</f>
        <v>HIV O-16d Percentage of people who inject drugs who avoid health care because of stigma and discrimination</v>
      </c>
      <c r="L1137" s="391"/>
      <c r="M1137" s="388" t="s">
        <v>3115</v>
      </c>
      <c r="N1137" s="387"/>
      <c r="O1137" s="387" t="s">
        <v>2573</v>
      </c>
      <c r="P1137" s="387" t="s">
        <v>3116</v>
      </c>
    </row>
    <row r="1138" spans="1:16">
      <c r="A1138" s="387" t="b">
        <v>1</v>
      </c>
      <c r="B1138" s="387"/>
      <c r="C1138" s="401" t="s">
        <v>3117</v>
      </c>
      <c r="D1138" s="392">
        <v>14</v>
      </c>
      <c r="E1138" s="389"/>
      <c r="F1138" s="387"/>
      <c r="G1138" s="390"/>
      <c r="H1138" s="390"/>
      <c r="I1138" s="391"/>
      <c r="J1138" s="391"/>
      <c r="K1138" s="387" t="str">
        <f ca="1">IFERROR(VLOOKUP(C1138,' Disaggregation - Section E '!A$313:J749,3,0),"")</f>
        <v>HIV O-16d Percentage of people who inject drugs who avoid health care because of stigma and discrimination</v>
      </c>
      <c r="L1138" s="391"/>
      <c r="M1138" s="388" t="s">
        <v>3118</v>
      </c>
      <c r="N1138" s="387"/>
      <c r="O1138" s="387" t="s">
        <v>2573</v>
      </c>
      <c r="P1138" s="387" t="s">
        <v>3119</v>
      </c>
    </row>
    <row r="1139" spans="1:16">
      <c r="A1139" s="387" t="b">
        <v>0</v>
      </c>
      <c r="B1139" s="387"/>
      <c r="C1139" s="401" t="s">
        <v>3120</v>
      </c>
      <c r="D1139" s="392">
        <v>14</v>
      </c>
      <c r="E1139" s="389"/>
      <c r="F1139" s="387"/>
      <c r="G1139" s="390"/>
      <c r="H1139" s="390"/>
      <c r="I1139" s="391"/>
      <c r="J1139" s="391"/>
      <c r="K1139" s="387" t="str">
        <f ca="1">IFERROR(VLOOKUP(C1139,' Disaggregation - Section E '!A$313:J750,3,0),"")</f>
        <v>HIV O-16d Percentage of people who inject drugs who avoid health care because of stigma and discrimination</v>
      </c>
      <c r="L1139" s="391"/>
      <c r="M1139" s="388"/>
      <c r="N1139" s="387"/>
      <c r="O1139" s="387" t="s">
        <v>2573</v>
      </c>
      <c r="P1139" s="387"/>
    </row>
    <row r="1140" spans="1:16">
      <c r="A1140" s="387" t="b">
        <v>0</v>
      </c>
      <c r="B1140" s="387"/>
      <c r="C1140" s="401" t="s">
        <v>3121</v>
      </c>
      <c r="D1140" s="392">
        <v>14</v>
      </c>
      <c r="E1140" s="389"/>
      <c r="F1140" s="387"/>
      <c r="G1140" s="390"/>
      <c r="H1140" s="390"/>
      <c r="I1140" s="391"/>
      <c r="J1140" s="391"/>
      <c r="K1140" s="387" t="str">
        <f ca="1">IFERROR(VLOOKUP(C1140,' Disaggregation - Section E '!A$313:J751,3,0),"")</f>
        <v>HIV O-16d Percentage of people who inject drugs who avoid health care because of stigma and discrimination</v>
      </c>
      <c r="L1140" s="391"/>
      <c r="M1140" s="388"/>
      <c r="N1140" s="387"/>
      <c r="O1140" s="387" t="s">
        <v>2573</v>
      </c>
      <c r="P1140" s="387"/>
    </row>
    <row r="1141" spans="1:16">
      <c r="A1141" s="387" t="b">
        <v>0</v>
      </c>
      <c r="B1141" s="387"/>
      <c r="C1141" s="401" t="s">
        <v>3122</v>
      </c>
      <c r="D1141" s="392">
        <v>14</v>
      </c>
      <c r="E1141" s="389"/>
      <c r="F1141" s="387"/>
      <c r="G1141" s="390"/>
      <c r="H1141" s="390"/>
      <c r="I1141" s="391"/>
      <c r="J1141" s="391"/>
      <c r="K1141" s="387" t="str">
        <f ca="1">IFERROR(VLOOKUP(C1141,' Disaggregation - Section E '!A$313:J752,3,0),"")</f>
        <v>HIV O-16d Percentage of people who inject drugs who avoid health care because of stigma and discrimination</v>
      </c>
      <c r="L1141" s="391"/>
      <c r="M1141" s="388"/>
      <c r="N1141" s="387"/>
      <c r="O1141" s="387" t="s">
        <v>2573</v>
      </c>
      <c r="P1141" s="387"/>
    </row>
    <row r="1142" spans="1:16">
      <c r="A1142" s="387" t="b">
        <v>0</v>
      </c>
      <c r="B1142" s="387"/>
      <c r="C1142" s="401" t="s">
        <v>3123</v>
      </c>
      <c r="D1142" s="392">
        <v>14</v>
      </c>
      <c r="E1142" s="389"/>
      <c r="F1142" s="387"/>
      <c r="G1142" s="390"/>
      <c r="H1142" s="390"/>
      <c r="I1142" s="391"/>
      <c r="J1142" s="391"/>
      <c r="K1142" s="387" t="str">
        <f ca="1">IFERROR(VLOOKUP(C1142,' Disaggregation - Section E '!A$313:J753,3,0),"")</f>
        <v>HIV O-16d Percentage of people who inject drugs who avoid health care because of stigma and discrimination</v>
      </c>
      <c r="L1142" s="391"/>
      <c r="M1142" s="388"/>
      <c r="N1142" s="387"/>
      <c r="O1142" s="387" t="s">
        <v>2573</v>
      </c>
      <c r="P1142" s="387"/>
    </row>
    <row r="1143" spans="1:16">
      <c r="A1143" s="387" t="b">
        <v>0</v>
      </c>
      <c r="B1143" s="387"/>
      <c r="C1143" s="401" t="s">
        <v>3124</v>
      </c>
      <c r="D1143" s="392">
        <v>14</v>
      </c>
      <c r="E1143" s="389"/>
      <c r="F1143" s="387"/>
      <c r="G1143" s="390"/>
      <c r="H1143" s="390"/>
      <c r="I1143" s="391"/>
      <c r="J1143" s="391"/>
      <c r="K1143" s="387" t="str">
        <f ca="1">IFERROR(VLOOKUP(C1143,' Disaggregation - Section E '!A$313:J754,3,0),"")</f>
        <v>HIV O-16d Percentage of people who inject drugs who avoid health care because of stigma and discrimination</v>
      </c>
      <c r="L1143" s="391"/>
      <c r="M1143" s="388"/>
      <c r="N1143" s="387"/>
      <c r="O1143" s="387" t="s">
        <v>2573</v>
      </c>
      <c r="P1143" s="387"/>
    </row>
    <row r="1144" spans="1:16">
      <c r="A1144" s="387" t="b">
        <v>0</v>
      </c>
      <c r="B1144" s="387"/>
      <c r="C1144" s="401" t="s">
        <v>3125</v>
      </c>
      <c r="D1144" s="392">
        <v>15</v>
      </c>
      <c r="E1144" s="389"/>
      <c r="F1144" s="387"/>
      <c r="G1144" s="390"/>
      <c r="H1144" s="390"/>
      <c r="I1144" s="391"/>
      <c r="J1144" s="391"/>
      <c r="K1144" s="387" t="str">
        <f ca="1">IFERROR(VLOOKUP(C1144,' Disaggregation - Section E '!A$313:J755,3,0),"")</f>
        <v>Number of female patients with all forms of TB notified (i.e., bacteriologically confirmed + clinically diagnosed); *includes only those with new and relapse TB.</v>
      </c>
      <c r="L1144" s="391"/>
      <c r="M1144" s="388"/>
      <c r="N1144" s="387"/>
      <c r="O1144" s="387" t="s">
        <v>2580</v>
      </c>
      <c r="P1144" s="387"/>
    </row>
    <row r="1145" spans="1:16">
      <c r="A1145" s="387" t="b">
        <v>0</v>
      </c>
      <c r="B1145" s="387"/>
      <c r="C1145" s="401" t="s">
        <v>3126</v>
      </c>
      <c r="D1145" s="392">
        <v>15</v>
      </c>
      <c r="E1145" s="389"/>
      <c r="F1145" s="387"/>
      <c r="G1145" s="390"/>
      <c r="H1145" s="390"/>
      <c r="I1145" s="391"/>
      <c r="J1145" s="391"/>
      <c r="K1145" s="387" t="str">
        <f ca="1">IFERROR(VLOOKUP(C1145,' Disaggregation - Section E '!A$313:J756,3,0),"")</f>
        <v>Number of female patients with all forms of TB notified (i.e., bacteriologically confirmed + clinically diagnosed); *includes only those with new and relapse TB.</v>
      </c>
      <c r="L1145" s="391"/>
      <c r="M1145" s="388"/>
      <c r="N1145" s="387"/>
      <c r="O1145" s="387" t="s">
        <v>2580</v>
      </c>
      <c r="P1145" s="387"/>
    </row>
    <row r="1146" spans="1:16">
      <c r="A1146" s="387" t="b">
        <v>0</v>
      </c>
      <c r="B1146" s="387"/>
      <c r="C1146" s="401" t="s">
        <v>3127</v>
      </c>
      <c r="D1146" s="392">
        <v>15</v>
      </c>
      <c r="E1146" s="389"/>
      <c r="F1146" s="387"/>
      <c r="G1146" s="390"/>
      <c r="H1146" s="390"/>
      <c r="I1146" s="391"/>
      <c r="J1146" s="391"/>
      <c r="K1146" s="387" t="str">
        <f ca="1">IFERROR(VLOOKUP(C1146,' Disaggregation - Section E '!A$313:J757,3,0),"")</f>
        <v>Number of female patients with all forms of TB notified (i.e., bacteriologically confirmed + clinically diagnosed); *includes only those with new and relapse TB.</v>
      </c>
      <c r="L1146" s="391"/>
      <c r="M1146" s="388"/>
      <c r="N1146" s="387"/>
      <c r="O1146" s="387" t="s">
        <v>2580</v>
      </c>
      <c r="P1146" s="387"/>
    </row>
    <row r="1147" spans="1:16">
      <c r="A1147" s="387" t="b">
        <v>0</v>
      </c>
      <c r="B1147" s="387"/>
      <c r="C1147" s="401" t="s">
        <v>3128</v>
      </c>
      <c r="D1147" s="392">
        <v>15</v>
      </c>
      <c r="E1147" s="389"/>
      <c r="F1147" s="387"/>
      <c r="G1147" s="390"/>
      <c r="H1147" s="390"/>
      <c r="I1147" s="391"/>
      <c r="J1147" s="391"/>
      <c r="K1147" s="387" t="str">
        <f ca="1">IFERROR(VLOOKUP(C1147,' Disaggregation - Section E '!A$313:J758,3,0),"")</f>
        <v>Number of female patients with all forms of TB notified (i.e., bacteriologically confirmed + clinically diagnosed); *includes only those with new and relapse TB.</v>
      </c>
      <c r="L1147" s="391"/>
      <c r="M1147" s="388"/>
      <c r="N1147" s="387"/>
      <c r="O1147" s="387" t="s">
        <v>2580</v>
      </c>
      <c r="P1147" s="387"/>
    </row>
    <row r="1148" spans="1:16">
      <c r="A1148" s="387" t="b">
        <v>0</v>
      </c>
      <c r="B1148" s="387"/>
      <c r="C1148" s="401" t="s">
        <v>3129</v>
      </c>
      <c r="D1148" s="392">
        <v>15</v>
      </c>
      <c r="E1148" s="389"/>
      <c r="F1148" s="387"/>
      <c r="G1148" s="390"/>
      <c r="H1148" s="390"/>
      <c r="I1148" s="391"/>
      <c r="J1148" s="391"/>
      <c r="K1148" s="387" t="str">
        <f ca="1">IFERROR(VLOOKUP(C1148,' Disaggregation - Section E '!A$313:J759,3,0),"")</f>
        <v>Number of female patients with all forms of TB notified (i.e., bacteriologically confirmed + clinically diagnosed); *includes only those with new and relapse TB.</v>
      </c>
      <c r="L1148" s="391"/>
      <c r="M1148" s="388"/>
      <c r="N1148" s="387"/>
      <c r="O1148" s="387" t="s">
        <v>2580</v>
      </c>
      <c r="P1148" s="387"/>
    </row>
    <row r="1149" spans="1:16">
      <c r="A1149" s="387" t="b">
        <v>0</v>
      </c>
      <c r="B1149" s="387"/>
      <c r="C1149" s="401" t="s">
        <v>3130</v>
      </c>
      <c r="D1149" s="392">
        <v>15</v>
      </c>
      <c r="E1149" s="389"/>
      <c r="F1149" s="387"/>
      <c r="G1149" s="390"/>
      <c r="H1149" s="390"/>
      <c r="I1149" s="391"/>
      <c r="J1149" s="391"/>
      <c r="K1149" s="387" t="str">
        <f ca="1">IFERROR(VLOOKUP(C1149,' Disaggregation - Section E '!A$313:J760,3,0),"")</f>
        <v>Number of female patients with all forms of TB notified (i.e., bacteriologically confirmed + clinically diagnosed); *includes only those with new and relapse TB.</v>
      </c>
      <c r="L1149" s="391"/>
      <c r="M1149" s="388"/>
      <c r="N1149" s="387"/>
      <c r="O1149" s="387" t="s">
        <v>2580</v>
      </c>
      <c r="P1149" s="387"/>
    </row>
    <row r="1150" spans="1:16">
      <c r="A1150" s="387" t="b">
        <v>0</v>
      </c>
      <c r="B1150" s="387"/>
      <c r="C1150" s="401" t="s">
        <v>3131</v>
      </c>
      <c r="D1150" s="392">
        <v>15</v>
      </c>
      <c r="E1150" s="389"/>
      <c r="F1150" s="387"/>
      <c r="G1150" s="390"/>
      <c r="H1150" s="390"/>
      <c r="I1150" s="391"/>
      <c r="J1150" s="391"/>
      <c r="K1150" s="387" t="str">
        <f ca="1">IFERROR(VLOOKUP(C1150,' Disaggregation - Section E '!A$313:J761,3,0),"")</f>
        <v>Number of female patients with all forms of TB notified (i.e., bacteriologically confirmed + clinically diagnosed); *includes only those with new and relapse TB.</v>
      </c>
      <c r="L1150" s="391"/>
      <c r="M1150" s="388"/>
      <c r="N1150" s="387"/>
      <c r="O1150" s="387" t="s">
        <v>2580</v>
      </c>
      <c r="P1150" s="387"/>
    </row>
    <row r="1151" spans="1:16">
      <c r="A1151" s="387" t="b">
        <v>0</v>
      </c>
      <c r="B1151" s="387"/>
      <c r="C1151" s="401" t="s">
        <v>3132</v>
      </c>
      <c r="D1151" s="392">
        <v>15</v>
      </c>
      <c r="E1151" s="389"/>
      <c r="F1151" s="387"/>
      <c r="G1151" s="390"/>
      <c r="H1151" s="390"/>
      <c r="I1151" s="391"/>
      <c r="J1151" s="391"/>
      <c r="K1151" s="387" t="str">
        <f ca="1">IFERROR(VLOOKUP(C1151,' Disaggregation - Section E '!A$313:J762,3,0),"")</f>
        <v>Number of female patients with all forms of TB notified (i.e., bacteriologically confirmed + clinically diagnosed); *includes only those with new and relapse TB.</v>
      </c>
      <c r="L1151" s="391"/>
      <c r="M1151" s="388"/>
      <c r="N1151" s="387"/>
      <c r="O1151" s="387" t="s">
        <v>2580</v>
      </c>
      <c r="P1151" s="387"/>
    </row>
    <row r="1152" spans="1:16">
      <c r="A1152" s="387" t="b">
        <v>0</v>
      </c>
      <c r="B1152" s="387"/>
      <c r="C1152" s="401" t="s">
        <v>3133</v>
      </c>
      <c r="D1152" s="392">
        <v>15</v>
      </c>
      <c r="E1152" s="389"/>
      <c r="F1152" s="387"/>
      <c r="G1152" s="390"/>
      <c r="H1152" s="390"/>
      <c r="I1152" s="391"/>
      <c r="J1152" s="391"/>
      <c r="K1152" s="387" t="str">
        <f ca="1">IFERROR(VLOOKUP(C1152,' Disaggregation - Section E '!A$313:J763,3,0),"")</f>
        <v>Number of female patients with all forms of TB notified (i.e., bacteriologically confirmed + clinically diagnosed); *includes only those with new and relapse TB.</v>
      </c>
      <c r="L1152" s="391"/>
      <c r="M1152" s="388"/>
      <c r="N1152" s="387"/>
      <c r="O1152" s="387" t="s">
        <v>2580</v>
      </c>
      <c r="P1152" s="387"/>
    </row>
    <row r="1153" spans="1:16">
      <c r="A1153" s="387" t="b">
        <v>0</v>
      </c>
      <c r="B1153" s="387"/>
      <c r="C1153" s="401" t="s">
        <v>3134</v>
      </c>
      <c r="D1153" s="392">
        <v>15</v>
      </c>
      <c r="E1153" s="389"/>
      <c r="F1153" s="387"/>
      <c r="G1153" s="390"/>
      <c r="H1153" s="390"/>
      <c r="I1153" s="391"/>
      <c r="J1153" s="391"/>
      <c r="K1153" s="387" t="str">
        <f ca="1">IFERROR(VLOOKUP(C1153,' Disaggregation - Section E '!A$313:J764,3,0),"")</f>
        <v>Number of female patients with all forms of TB notified (i.e., bacteriologically confirmed + clinically diagnosed); *includes only those with new and relapse TB.</v>
      </c>
      <c r="L1153" s="391"/>
      <c r="M1153" s="388"/>
      <c r="N1153" s="387"/>
      <c r="O1153" s="387" t="s">
        <v>2580</v>
      </c>
      <c r="P1153" s="387"/>
    </row>
    <row r="1154" spans="1:16">
      <c r="A1154" s="387" t="b">
        <f t="shared" ref="A1154:A1217" ca="1" si="160">IF(M1154&lt;&gt;"",TRUE,FALSE)</f>
        <v>1</v>
      </c>
      <c r="B1154" s="387"/>
      <c r="C1154" s="404" t="str">
        <f ca="1">IF(COUNTA(O$1002:O1154)=1,"",OFFSET(C1154,-COUNTA(O$1002:O1154)+1,0))</f>
        <v>a1VDm000000Pg9nMAC</v>
      </c>
      <c r="D1154" s="392"/>
      <c r="E1154" s="389">
        <f ca="1">IFERROR(IF(VLOOKUP(C1154,' Disaggregation - Section E '!A$313:J765,7,0)="","",VLOOKUP(C1154,' Disaggregation - Section E '!A$313:J765,7,0)*100),"")</f>
        <v>61.471803278688519</v>
      </c>
      <c r="F1154" s="387"/>
      <c r="G1154" s="390">
        <f ca="1">IFERROR(IF(VLOOKUP(C1154,' Disaggregation - Section E '!A$313:J765,6,0)="","",VLOOKUP(C1154,' Disaggregation - Section E '!A$313:J765,6,0)),"")</f>
        <v>187489</v>
      </c>
      <c r="H1154" s="390">
        <f ca="1">IFERROR(IF(INDEX(' Disaggregation - Section E '!F$313:F765,MATCH(C1154,' Disaggregation - Section E '!A$313:A765,0)+1,1)&lt;&gt;0,INDEX(' Disaggregation - Section E '!F$313:F765,MATCH(C1154,' Disaggregation - Section E '!A$313:A765,0)+1,1),""),"")</f>
        <v>305000</v>
      </c>
      <c r="I1154" s="391">
        <f ca="1">IFERROR(IF(VLOOKUP(C1154,' Disaggregation - Section E '!A$313:J765,8,0)=0,"",VLOOKUP(C1154,' Disaggregation - Section E '!A$313:J765,8,0)),"")</f>
        <v>2021</v>
      </c>
      <c r="J1154" s="391" t="str">
        <f ca="1">IFERROR(IF(VLOOKUP(C1154,' Disaggregation - Section E '!A$313:J765,9,0)="","",VLOOKUP(C1154,' Disaggregation - Section E '!A$313:J765,9,0)),"")</f>
        <v>WHO TB Global Report 2022</v>
      </c>
      <c r="K1154" s="387" t="str">
        <f ca="1">IFERROR(VLOOKUP(C1154,' Disaggregation - Section E '!A$313:J765,3,0),"")</f>
        <v>TB O-5 TB treatment coverage: Percentage of patients with new and relapse TB that were notified and treated among the estimated number of incident TB in the same year (all forms of TB - bacteriologically confirmed plus clinically diagnosed</v>
      </c>
      <c r="L1154" s="391" t="str">
        <f ca="1">IFERROR(IF(VLOOKUP(C1154,' Disaggregation - Section E '!A$313:J765,10,0)="","",VLOOKUP(C1154,' Disaggregation - Section E '!A$313:J765,10,0)),"")</f>
        <v/>
      </c>
      <c r="M1154" s="388" t="str">
        <f ca="1">IFERROR(IF(VLOOKUP(C1154,' Disaggregation - Section E '!A$313:O469,15,0)=0,"",VLOOKUP(C1154,' Disaggregation - Section E '!A$313:O765,15,0)),"")</f>
        <v>IDR-01140</v>
      </c>
      <c r="N1154" s="387"/>
      <c r="O1154" s="387"/>
      <c r="P1154" s="387" t="str">
        <f ca="1">IFERROR(IF(VLOOKUP(C1154,' Disaggregation - Section E '!A$313:R469,18,0)=0,"",VLOOKUP(C1154,' Disaggregation - Section E '!A$313:R765,18,0)),"")</f>
        <v>a1LDm000000Cb18MAC</v>
      </c>
    </row>
    <row r="1155" spans="1:16">
      <c r="A1155" s="387" t="b">
        <f t="shared" ca="1" si="160"/>
        <v>1</v>
      </c>
      <c r="B1155" s="387"/>
      <c r="C1155" s="404" t="str">
        <f ca="1">IF(COUNTA(O$1002:O1155)=1,"",OFFSET(C1155,-COUNTA(O$1002:O1155)+1,0))</f>
        <v>a1VDm000000Pg9oMAC</v>
      </c>
      <c r="D1155" s="392"/>
      <c r="E1155" s="389">
        <f ca="1">IFERROR(IF(VLOOKUP(C1155,' Disaggregation - Section E '!A$313:J766,7,0)="","",VLOOKUP(C1155,' Disaggregation - Section E '!A$313:J766,7,0)*100),"")</f>
        <v>8.8259016393442629</v>
      </c>
      <c r="F1155" s="387"/>
      <c r="G1155" s="390">
        <f ca="1">IFERROR(IF(VLOOKUP(C1155,' Disaggregation - Section E '!A$313:J766,6,0)="","",VLOOKUP(C1155,' Disaggregation - Section E '!A$313:J766,6,0)),"")</f>
        <v>26919</v>
      </c>
      <c r="H1155" s="390">
        <f ca="1">IFERROR(IF(INDEX(' Disaggregation - Section E '!F$313:F766,MATCH(C1155,' Disaggregation - Section E '!A$313:A766,0)+1,1)&lt;&gt;0,INDEX(' Disaggregation - Section E '!F$313:F766,MATCH(C1155,' Disaggregation - Section E '!A$313:A766,0)+1,1),""),"")</f>
        <v>305000</v>
      </c>
      <c r="I1155" s="391">
        <f ca="1">IFERROR(IF(VLOOKUP(C1155,' Disaggregation - Section E '!A$313:J766,8,0)=0,"",VLOOKUP(C1155,' Disaggregation - Section E '!A$313:J766,8,0)),"")</f>
        <v>2021</v>
      </c>
      <c r="J1155" s="391" t="str">
        <f ca="1">IFERROR(IF(VLOOKUP(C1155,' Disaggregation - Section E '!A$313:J766,9,0)="","",VLOOKUP(C1155,' Disaggregation - Section E '!A$313:J766,9,0)),"")</f>
        <v>WHO TB Global Report 2022</v>
      </c>
      <c r="K1155" s="387" t="str">
        <f ca="1">IFERROR(VLOOKUP(C1155,' Disaggregation - Section E '!A$313:J766,3,0),"")</f>
        <v>TB O-5 TB treatment coverage: Percentage of patients with new and relapse TB that were notified and treated among the estimated number of incident TB in the same year (all forms of TB - bacteriologically confirmed plus clinically diagnosed</v>
      </c>
      <c r="L1155" s="391" t="str">
        <f ca="1">IFERROR(IF(VLOOKUP(C1155,' Disaggregation - Section E '!A$313:J766,10,0)="","",VLOOKUP(C1155,' Disaggregation - Section E '!A$313:J766,10,0)),"")</f>
        <v/>
      </c>
      <c r="M1155" s="388" t="str">
        <f ca="1">IFERROR(IF(VLOOKUP(C1155,' Disaggregation - Section E '!A$313:O470,15,0)=0,"",VLOOKUP(C1155,' Disaggregation - Section E '!A$313:O766,15,0)),"")</f>
        <v>IDR-01139</v>
      </c>
      <c r="N1155" s="387"/>
      <c r="O1155" s="387"/>
      <c r="P1155" s="387" t="str">
        <f ca="1">IFERROR(IF(VLOOKUP(C1155,' Disaggregation - Section E '!A$313:R470,18,0)=0,"",VLOOKUP(C1155,' Disaggregation - Section E '!A$313:R766,18,0)),"")</f>
        <v>a1LDm000000Cb17MAC</v>
      </c>
    </row>
    <row r="1156" spans="1:16">
      <c r="A1156" s="387" t="b">
        <f t="shared" ca="1" si="160"/>
        <v>1</v>
      </c>
      <c r="B1156" s="387"/>
      <c r="C1156" s="404" t="str">
        <f ca="1">IF(COUNTA(O$1002:O1156)=1,"",OFFSET(C1156,-COUNTA(O$1002:O1156)+1,0))</f>
        <v>a1VDm000000Pg9pMAC</v>
      </c>
      <c r="D1156" s="392"/>
      <c r="E1156" s="389">
        <f ca="1">IFERROR(IF(VLOOKUP(C1156,' Disaggregation - Section E '!A$313:J767,7,0)="","",VLOOKUP(C1156,' Disaggregation - Section E '!A$313:J767,7,0)*100),"")</f>
        <v>39.792459016393444</v>
      </c>
      <c r="F1156" s="387"/>
      <c r="G1156" s="390">
        <f ca="1">IFERROR(IF(VLOOKUP(C1156,' Disaggregation - Section E '!A$313:J767,6,0)="","",VLOOKUP(C1156,' Disaggregation - Section E '!A$313:J767,6,0)),"")</f>
        <v>121367</v>
      </c>
      <c r="H1156" s="390">
        <f ca="1">IFERROR(IF(INDEX(' Disaggregation - Section E '!F$313:F767,MATCH(C1156,' Disaggregation - Section E '!A$313:A767,0)+1,1)&lt;&gt;0,INDEX(' Disaggregation - Section E '!F$313:F767,MATCH(C1156,' Disaggregation - Section E '!A$313:A767,0)+1,1),""),"")</f>
        <v>305000</v>
      </c>
      <c r="I1156" s="391">
        <f ca="1">IFERROR(IF(VLOOKUP(C1156,' Disaggregation - Section E '!A$313:J767,8,0)=0,"",VLOOKUP(C1156,' Disaggregation - Section E '!A$313:J767,8,0)),"")</f>
        <v>2021</v>
      </c>
      <c r="J1156" s="391" t="str">
        <f ca="1">IFERROR(IF(VLOOKUP(C1156,' Disaggregation - Section E '!A$313:J767,9,0)="","",VLOOKUP(C1156,' Disaggregation - Section E '!A$313:J767,9,0)),"")</f>
        <v>WHO TB Global Report 2022</v>
      </c>
      <c r="K1156" s="387" t="str">
        <f ca="1">IFERROR(VLOOKUP(C1156,' Disaggregation - Section E '!A$313:J767,3,0),"")</f>
        <v>TB O-5 TB treatment coverage: Percentage of patients with new and relapse TB that were notified and treated among the estimated number of incident TB in the same year (all forms of TB - bacteriologically confirmed plus clinically diagnosed</v>
      </c>
      <c r="L1156" s="391" t="str">
        <f ca="1">IFERROR(IF(VLOOKUP(C1156,' Disaggregation - Section E '!A$313:J767,10,0)="","",VLOOKUP(C1156,' Disaggregation - Section E '!A$313:J767,10,0)),"")</f>
        <v/>
      </c>
      <c r="M1156" s="388" t="str">
        <f ca="1">IFERROR(IF(VLOOKUP(C1156,' Disaggregation - Section E '!A$313:O471,15,0)=0,"",VLOOKUP(C1156,' Disaggregation - Section E '!A$313:O767,15,0)),"")</f>
        <v>IDR-01138</v>
      </c>
      <c r="N1156" s="387"/>
      <c r="O1156" s="387"/>
      <c r="P1156" s="387" t="str">
        <f ca="1">IFERROR(IF(VLOOKUP(C1156,' Disaggregation - Section E '!A$313:R471,18,0)=0,"",VLOOKUP(C1156,' Disaggregation - Section E '!A$313:R767,18,0)),"")</f>
        <v>a1LDm000000Cb16MAC</v>
      </c>
    </row>
    <row r="1157" spans="1:16">
      <c r="A1157" s="387" t="b">
        <f t="shared" ca="1" si="160"/>
        <v>1</v>
      </c>
      <c r="B1157" s="387"/>
      <c r="C1157" s="404" t="str">
        <f ca="1">IF(COUNTA(O$1002:O1157)=1,"",OFFSET(C1157,-COUNTA(O$1002:O1157)+1,0))</f>
        <v>a1VDm000000Pg9qMAC</v>
      </c>
      <c r="D1157" s="392"/>
      <c r="E1157" s="389">
        <f ca="1">IFERROR(IF(VLOOKUP(C1157,' Disaggregation - Section E '!A$313:J768,7,0)="","",VLOOKUP(C1157,' Disaggregation - Section E '!A$313:J768,7,0)*100),"")</f>
        <v>30.505245901639345</v>
      </c>
      <c r="F1157" s="387"/>
      <c r="G1157" s="390">
        <f ca="1">IFERROR(IF(VLOOKUP(C1157,' Disaggregation - Section E '!A$313:J768,6,0)="","",VLOOKUP(C1157,' Disaggregation - Section E '!A$313:J768,6,0)),"")</f>
        <v>93041</v>
      </c>
      <c r="H1157" s="390">
        <f ca="1">IFERROR(IF(INDEX(' Disaggregation - Section E '!F$313:F768,MATCH(C1157,' Disaggregation - Section E '!A$313:A768,0)+1,1)&lt;&gt;0,INDEX(' Disaggregation - Section E '!F$313:F768,MATCH(C1157,' Disaggregation - Section E '!A$313:A768,0)+1,1),""),"")</f>
        <v>305000</v>
      </c>
      <c r="I1157" s="391">
        <f ca="1">IFERROR(IF(VLOOKUP(C1157,' Disaggregation - Section E '!A$313:J768,8,0)=0,"",VLOOKUP(C1157,' Disaggregation - Section E '!A$313:J768,8,0)),"")</f>
        <v>2021</v>
      </c>
      <c r="J1157" s="391" t="str">
        <f ca="1">IFERROR(IF(VLOOKUP(C1157,' Disaggregation - Section E '!A$313:J768,9,0)="","",VLOOKUP(C1157,' Disaggregation - Section E '!A$313:J768,9,0)),"")</f>
        <v>WHO TB Global Report 2022</v>
      </c>
      <c r="K1157" s="387" t="str">
        <f ca="1">IFERROR(VLOOKUP(C1157,' Disaggregation - Section E '!A$313:J768,3,0),"")</f>
        <v>TB O-5 TB treatment coverage: Percentage of patients with new and relapse TB that were notified and treated among the estimated number of incident TB in the same year (all forms of TB - bacteriologically confirmed plus clinically diagnosed</v>
      </c>
      <c r="L1157" s="391" t="str">
        <f ca="1">IFERROR(IF(VLOOKUP(C1157,' Disaggregation - Section E '!A$313:J768,10,0)="","",VLOOKUP(C1157,' Disaggregation - Section E '!A$313:J768,10,0)),"")</f>
        <v/>
      </c>
      <c r="M1157" s="388" t="str">
        <f ca="1">IFERROR(IF(VLOOKUP(C1157,' Disaggregation - Section E '!A$313:O472,15,0)=0,"",VLOOKUP(C1157,' Disaggregation - Section E '!A$313:O768,15,0)),"")</f>
        <v>IDR-01137</v>
      </c>
      <c r="N1157" s="387"/>
      <c r="O1157" s="387"/>
      <c r="P1157" s="387" t="str">
        <f ca="1">IFERROR(IF(VLOOKUP(C1157,' Disaggregation - Section E '!A$313:R472,18,0)=0,"",VLOOKUP(C1157,' Disaggregation - Section E '!A$313:R768,18,0)),"")</f>
        <v>a1LDm000000Cb15MAC</v>
      </c>
    </row>
    <row r="1158" spans="1:16">
      <c r="A1158" s="387" t="b">
        <f t="shared" ca="1" si="160"/>
        <v>0</v>
      </c>
      <c r="B1158" s="387"/>
      <c r="C1158" s="404" t="str">
        <f ca="1">IF(COUNTA(O$1002:O1158)=1,"",OFFSET(C1158,-COUNTA(O$1002:O1158)+1,0))</f>
        <v>a1VDm000000Pg9rMAC</v>
      </c>
      <c r="D1158" s="392"/>
      <c r="E1158" s="389" t="str">
        <f ca="1">IFERROR(IF(VLOOKUP(C1158,' Disaggregation - Section E '!A$313:J769,7,0)="","",VLOOKUP(C1158,' Disaggregation - Section E '!A$313:J769,7,0)*100),"")</f>
        <v/>
      </c>
      <c r="F1158" s="387"/>
      <c r="G1158" s="390" t="str">
        <f ca="1">IFERROR(IF(VLOOKUP(C1158,' Disaggregation - Section E '!A$313:J769,6,0)="","",VLOOKUP(C1158,' Disaggregation - Section E '!A$313:J769,6,0)),"")</f>
        <v/>
      </c>
      <c r="H1158" s="390" t="str">
        <f ca="1">IFERROR(IF(INDEX(' Disaggregation - Section E '!F$313:F769,MATCH(C1158,' Disaggregation - Section E '!A$313:A769,0)+1,1)&lt;&gt;0,INDEX(' Disaggregation - Section E '!F$313:F769,MATCH(C1158,' Disaggregation - Section E '!A$313:A769,0)+1,1),""),"")</f>
        <v/>
      </c>
      <c r="I1158" s="391" t="str">
        <f ca="1">IFERROR(IF(VLOOKUP(C1158,' Disaggregation - Section E '!A$313:J769,8,0)=0,"",VLOOKUP(C1158,' Disaggregation - Section E '!A$313:J769,8,0)),"")</f>
        <v/>
      </c>
      <c r="J1158" s="391" t="str">
        <f ca="1">IFERROR(IF(VLOOKUP(C1158,' Disaggregation - Section E '!A$313:J769,9,0)="","",VLOOKUP(C1158,' Disaggregation - Section E '!A$313:J769,9,0)),"")</f>
        <v/>
      </c>
      <c r="K1158" s="387" t="str">
        <f ca="1">IFERROR(VLOOKUP(C1158,' Disaggregation - Section E '!A$313:J769,3,0),"")</f>
        <v>TB O-5 TB treatment coverage: Percentage of patients with new and relapse TB that were notified and treated among the estimated number of incident TB in the same year (all forms of TB - bacteriologically confirmed plus clinically diagnosed</v>
      </c>
      <c r="L1158" s="391" t="str">
        <f ca="1">IFERROR(IF(VLOOKUP(C1158,' Disaggregation - Section E '!A$313:J769,10,0)="","",VLOOKUP(C1158,' Disaggregation - Section E '!A$313:J769,10,0)),"")</f>
        <v/>
      </c>
      <c r="M1158" s="388" t="str">
        <f ca="1">IFERROR(IF(VLOOKUP(C1158,' Disaggregation - Section E '!A$313:O473,15,0)=0,"",VLOOKUP(C1158,' Disaggregation - Section E '!A$313:O769,15,0)),"")</f>
        <v/>
      </c>
      <c r="N1158" s="387"/>
      <c r="O1158" s="387"/>
      <c r="P1158" s="387" t="str">
        <f ca="1">IFERROR(IF(VLOOKUP(C1158,' Disaggregation - Section E '!A$313:R473,18,0)=0,"",VLOOKUP(C1158,' Disaggregation - Section E '!A$313:R769,18,0)),"")</f>
        <v/>
      </c>
    </row>
    <row r="1159" spans="1:16">
      <c r="A1159" s="387" t="b">
        <f t="shared" ca="1" si="160"/>
        <v>0</v>
      </c>
      <c r="B1159" s="387"/>
      <c r="C1159" s="404" t="str">
        <f ca="1">IF(COUNTA(O$1002:O1159)=1,"",OFFSET(C1159,-COUNTA(O$1002:O1159)+1,0))</f>
        <v>a1VDm000000Pg9sMAC</v>
      </c>
      <c r="D1159" s="392"/>
      <c r="E1159" s="389" t="str">
        <f ca="1">IFERROR(IF(VLOOKUP(C1159,' Disaggregation - Section E '!A$313:J770,7,0)="","",VLOOKUP(C1159,' Disaggregation - Section E '!A$313:J770,7,0)*100),"")</f>
        <v/>
      </c>
      <c r="F1159" s="387"/>
      <c r="G1159" s="390" t="str">
        <f ca="1">IFERROR(IF(VLOOKUP(C1159,' Disaggregation - Section E '!A$313:J770,6,0)="","",VLOOKUP(C1159,' Disaggregation - Section E '!A$313:J770,6,0)),"")</f>
        <v/>
      </c>
      <c r="H1159" s="390" t="str">
        <f ca="1">IFERROR(IF(INDEX(' Disaggregation - Section E '!F$313:F770,MATCH(C1159,' Disaggregation - Section E '!A$313:A770,0)+1,1)&lt;&gt;0,INDEX(' Disaggregation - Section E '!F$313:F770,MATCH(C1159,' Disaggregation - Section E '!A$313:A770,0)+1,1),""),"")</f>
        <v/>
      </c>
      <c r="I1159" s="391" t="str">
        <f ca="1">IFERROR(IF(VLOOKUP(C1159,' Disaggregation - Section E '!A$313:J770,8,0)=0,"",VLOOKUP(C1159,' Disaggregation - Section E '!A$313:J770,8,0)),"")</f>
        <v/>
      </c>
      <c r="J1159" s="391" t="str">
        <f ca="1">IFERROR(IF(VLOOKUP(C1159,' Disaggregation - Section E '!A$313:J770,9,0)="","",VLOOKUP(C1159,' Disaggregation - Section E '!A$313:J770,9,0)),"")</f>
        <v/>
      </c>
      <c r="K1159" s="387" t="str">
        <f ca="1">IFERROR(VLOOKUP(C1159,' Disaggregation - Section E '!A$313:J770,3,0),"")</f>
        <v>TB O-5 TB treatment coverage: Percentage of patients with new and relapse TB that were notified and treated among the estimated number of incident TB in the same year (all forms of TB - bacteriologically confirmed plus clinically diagnosed</v>
      </c>
      <c r="L1159" s="391" t="str">
        <f ca="1">IFERROR(IF(VLOOKUP(C1159,' Disaggregation - Section E '!A$313:J770,10,0)="","",VLOOKUP(C1159,' Disaggregation - Section E '!A$313:J770,10,0)),"")</f>
        <v/>
      </c>
      <c r="M1159" s="388" t="str">
        <f ca="1">IFERROR(IF(VLOOKUP(C1159,' Disaggregation - Section E '!A$313:O474,15,0)=0,"",VLOOKUP(C1159,' Disaggregation - Section E '!A$313:O770,15,0)),"")</f>
        <v/>
      </c>
      <c r="N1159" s="387"/>
      <c r="O1159" s="387"/>
      <c r="P1159" s="387" t="str">
        <f ca="1">IFERROR(IF(VLOOKUP(C1159,' Disaggregation - Section E '!A$313:R474,18,0)=0,"",VLOOKUP(C1159,' Disaggregation - Section E '!A$313:R770,18,0)),"")</f>
        <v/>
      </c>
    </row>
    <row r="1160" spans="1:16">
      <c r="A1160" s="387" t="b">
        <f t="shared" ca="1" si="160"/>
        <v>0</v>
      </c>
      <c r="B1160" s="387"/>
      <c r="C1160" s="404" t="str">
        <f ca="1">IF(COUNTA(O$1002:O1160)=1,"",OFFSET(C1160,-COUNTA(O$1002:O1160)+1,0))</f>
        <v>a1VDm000000Pg9tMAC</v>
      </c>
      <c r="D1160" s="392"/>
      <c r="E1160" s="389" t="str">
        <f ca="1">IFERROR(IF(VLOOKUP(C1160,' Disaggregation - Section E '!A$313:J771,7,0)="","",VLOOKUP(C1160,' Disaggregation - Section E '!A$313:J771,7,0)*100),"")</f>
        <v/>
      </c>
      <c r="F1160" s="387"/>
      <c r="G1160" s="390" t="str">
        <f ca="1">IFERROR(IF(VLOOKUP(C1160,' Disaggregation - Section E '!A$313:J771,6,0)="","",VLOOKUP(C1160,' Disaggregation - Section E '!A$313:J771,6,0)),"")</f>
        <v/>
      </c>
      <c r="H1160" s="390" t="str">
        <f ca="1">IFERROR(IF(INDEX(' Disaggregation - Section E '!F$313:F771,MATCH(C1160,' Disaggregation - Section E '!A$313:A771,0)+1,1)&lt;&gt;0,INDEX(' Disaggregation - Section E '!F$313:F771,MATCH(C1160,' Disaggregation - Section E '!A$313:A771,0)+1,1),""),"")</f>
        <v/>
      </c>
      <c r="I1160" s="391" t="str">
        <f ca="1">IFERROR(IF(VLOOKUP(C1160,' Disaggregation - Section E '!A$313:J771,8,0)=0,"",VLOOKUP(C1160,' Disaggregation - Section E '!A$313:J771,8,0)),"")</f>
        <v/>
      </c>
      <c r="J1160" s="391" t="str">
        <f ca="1">IFERROR(IF(VLOOKUP(C1160,' Disaggregation - Section E '!A$313:J771,9,0)="","",VLOOKUP(C1160,' Disaggregation - Section E '!A$313:J771,9,0)),"")</f>
        <v/>
      </c>
      <c r="K1160" s="387" t="str">
        <f ca="1">IFERROR(VLOOKUP(C1160,' Disaggregation - Section E '!A$313:J771,3,0),"")</f>
        <v>TB O-5 TB treatment coverage: Percentage of patients with new and relapse TB that were notified and treated among the estimated number of incident TB in the same year (all forms of TB - bacteriologically confirmed plus clinically diagnosed</v>
      </c>
      <c r="L1160" s="391" t="str">
        <f ca="1">IFERROR(IF(VLOOKUP(C1160,' Disaggregation - Section E '!A$313:J771,10,0)="","",VLOOKUP(C1160,' Disaggregation - Section E '!A$313:J771,10,0)),"")</f>
        <v/>
      </c>
      <c r="M1160" s="388" t="str">
        <f ca="1">IFERROR(IF(VLOOKUP(C1160,' Disaggregation - Section E '!A$313:O475,15,0)=0,"",VLOOKUP(C1160,' Disaggregation - Section E '!A$313:O771,15,0)),"")</f>
        <v/>
      </c>
      <c r="N1160" s="387"/>
      <c r="O1160" s="387"/>
      <c r="P1160" s="387" t="str">
        <f ca="1">IFERROR(IF(VLOOKUP(C1160,' Disaggregation - Section E '!A$313:R475,18,0)=0,"",VLOOKUP(C1160,' Disaggregation - Section E '!A$313:R771,18,0)),"")</f>
        <v/>
      </c>
    </row>
    <row r="1161" spans="1:16">
      <c r="A1161" s="387" t="b">
        <f t="shared" ca="1" si="160"/>
        <v>0</v>
      </c>
      <c r="B1161" s="387"/>
      <c r="C1161" s="404" t="str">
        <f ca="1">IF(COUNTA(O$1002:O1161)=1,"",OFFSET(C1161,-COUNTA(O$1002:O1161)+1,0))</f>
        <v>a1VDm000000Pg9uMAC</v>
      </c>
      <c r="D1161" s="392"/>
      <c r="E1161" s="389" t="str">
        <f ca="1">IFERROR(IF(VLOOKUP(C1161,' Disaggregation - Section E '!A$313:J772,7,0)="","",VLOOKUP(C1161,' Disaggregation - Section E '!A$313:J772,7,0)*100),"")</f>
        <v/>
      </c>
      <c r="F1161" s="387"/>
      <c r="G1161" s="390" t="str">
        <f ca="1">IFERROR(IF(VLOOKUP(C1161,' Disaggregation - Section E '!A$313:J772,6,0)="","",VLOOKUP(C1161,' Disaggregation - Section E '!A$313:J772,6,0)),"")</f>
        <v/>
      </c>
      <c r="H1161" s="390" t="str">
        <f ca="1">IFERROR(IF(INDEX(' Disaggregation - Section E '!F$313:F772,MATCH(C1161,' Disaggregation - Section E '!A$313:A772,0)+1,1)&lt;&gt;0,INDEX(' Disaggregation - Section E '!F$313:F772,MATCH(C1161,' Disaggregation - Section E '!A$313:A772,0)+1,1),""),"")</f>
        <v/>
      </c>
      <c r="I1161" s="391" t="str">
        <f ca="1">IFERROR(IF(VLOOKUP(C1161,' Disaggregation - Section E '!A$313:J772,8,0)=0,"",VLOOKUP(C1161,' Disaggregation - Section E '!A$313:J772,8,0)),"")</f>
        <v/>
      </c>
      <c r="J1161" s="391" t="str">
        <f ca="1">IFERROR(IF(VLOOKUP(C1161,' Disaggregation - Section E '!A$313:J772,9,0)="","",VLOOKUP(C1161,' Disaggregation - Section E '!A$313:J772,9,0)),"")</f>
        <v/>
      </c>
      <c r="K1161" s="387" t="str">
        <f ca="1">IFERROR(VLOOKUP(C1161,' Disaggregation - Section E '!A$313:J772,3,0),"")</f>
        <v>TB O-5 TB treatment coverage: Percentage of patients with new and relapse TB that were notified and treated among the estimated number of incident TB in the same year (all forms of TB - bacteriologically confirmed plus clinically diagnosed</v>
      </c>
      <c r="L1161" s="391" t="str">
        <f ca="1">IFERROR(IF(VLOOKUP(C1161,' Disaggregation - Section E '!A$313:J772,10,0)="","",VLOOKUP(C1161,' Disaggregation - Section E '!A$313:J772,10,0)),"")</f>
        <v/>
      </c>
      <c r="M1161" s="388" t="str">
        <f ca="1">IFERROR(IF(VLOOKUP(C1161,' Disaggregation - Section E '!A$313:O476,15,0)=0,"",VLOOKUP(C1161,' Disaggregation - Section E '!A$313:O772,15,0)),"")</f>
        <v/>
      </c>
      <c r="N1161" s="387"/>
      <c r="O1161" s="387"/>
      <c r="P1161" s="387" t="str">
        <f ca="1">IFERROR(IF(VLOOKUP(C1161,' Disaggregation - Section E '!A$313:R476,18,0)=0,"",VLOOKUP(C1161,' Disaggregation - Section E '!A$313:R772,18,0)),"")</f>
        <v/>
      </c>
    </row>
    <row r="1162" spans="1:16">
      <c r="A1162" s="387" t="b">
        <f t="shared" ca="1" si="160"/>
        <v>0</v>
      </c>
      <c r="B1162" s="387"/>
      <c r="C1162" s="404" t="str">
        <f ca="1">IF(COUNTA(O$1002:O1162)=1,"",OFFSET(C1162,-COUNTA(O$1002:O1162)+1,0))</f>
        <v>a1VDm000000Pg9vMAC</v>
      </c>
      <c r="D1162" s="392"/>
      <c r="E1162" s="389" t="str">
        <f ca="1">IFERROR(IF(VLOOKUP(C1162,' Disaggregation - Section E '!A$313:J773,7,0)="","",VLOOKUP(C1162,' Disaggregation - Section E '!A$313:J773,7,0)*100),"")</f>
        <v/>
      </c>
      <c r="F1162" s="387"/>
      <c r="G1162" s="390" t="str">
        <f ca="1">IFERROR(IF(VLOOKUP(C1162,' Disaggregation - Section E '!A$313:J773,6,0)="","",VLOOKUP(C1162,' Disaggregation - Section E '!A$313:J773,6,0)),"")</f>
        <v/>
      </c>
      <c r="H1162" s="390" t="str">
        <f ca="1">IFERROR(IF(INDEX(' Disaggregation - Section E '!F$313:F773,MATCH(C1162,' Disaggregation - Section E '!A$313:A773,0)+1,1)&lt;&gt;0,INDEX(' Disaggregation - Section E '!F$313:F773,MATCH(C1162,' Disaggregation - Section E '!A$313:A773,0)+1,1),""),"")</f>
        <v/>
      </c>
      <c r="I1162" s="391" t="str">
        <f ca="1">IFERROR(IF(VLOOKUP(C1162,' Disaggregation - Section E '!A$313:J773,8,0)=0,"",VLOOKUP(C1162,' Disaggregation - Section E '!A$313:J773,8,0)),"")</f>
        <v/>
      </c>
      <c r="J1162" s="391" t="str">
        <f ca="1">IFERROR(IF(VLOOKUP(C1162,' Disaggregation - Section E '!A$313:J773,9,0)="","",VLOOKUP(C1162,' Disaggregation - Section E '!A$313:J773,9,0)),"")</f>
        <v/>
      </c>
      <c r="K1162" s="387" t="str">
        <f ca="1">IFERROR(VLOOKUP(C1162,' Disaggregation - Section E '!A$313:J773,3,0),"")</f>
        <v>TB O-5 TB treatment coverage: Percentage of patients with new and relapse TB that were notified and treated among the estimated number of incident TB in the same year (all forms of TB - bacteriologically confirmed plus clinically diagnosed</v>
      </c>
      <c r="L1162" s="391" t="str">
        <f ca="1">IFERROR(IF(VLOOKUP(C1162,' Disaggregation - Section E '!A$313:J773,10,0)="","",VLOOKUP(C1162,' Disaggregation - Section E '!A$313:J773,10,0)),"")</f>
        <v/>
      </c>
      <c r="M1162" s="388" t="str">
        <f ca="1">IFERROR(IF(VLOOKUP(C1162,' Disaggregation - Section E '!A$313:O477,15,0)=0,"",VLOOKUP(C1162,' Disaggregation - Section E '!A$313:O773,15,0)),"")</f>
        <v/>
      </c>
      <c r="N1162" s="387"/>
      <c r="O1162" s="387"/>
      <c r="P1162" s="387" t="str">
        <f ca="1">IFERROR(IF(VLOOKUP(C1162,' Disaggregation - Section E '!A$313:R477,18,0)=0,"",VLOOKUP(C1162,' Disaggregation - Section E '!A$313:R773,18,0)),"")</f>
        <v/>
      </c>
    </row>
    <row r="1163" spans="1:16">
      <c r="A1163" s="387" t="b">
        <f t="shared" ca="1" si="160"/>
        <v>0</v>
      </c>
      <c r="B1163" s="387"/>
      <c r="C1163" s="404" t="str">
        <f ca="1">IF(COUNTA(O$1002:O1163)=1,"",OFFSET(C1163,-COUNTA(O$1002:O1163)+1,0))</f>
        <v>a1VDm000000Pg9wMAC</v>
      </c>
      <c r="D1163" s="392"/>
      <c r="E1163" s="389" t="str">
        <f ca="1">IFERROR(IF(VLOOKUP(C1163,' Disaggregation - Section E '!A$313:J774,7,0)="","",VLOOKUP(C1163,' Disaggregation - Section E '!A$313:J774,7,0)*100),"")</f>
        <v/>
      </c>
      <c r="F1163" s="387"/>
      <c r="G1163" s="390" t="str">
        <f ca="1">IFERROR(IF(VLOOKUP(C1163,' Disaggregation - Section E '!A$313:J774,6,0)="","",VLOOKUP(C1163,' Disaggregation - Section E '!A$313:J774,6,0)),"")</f>
        <v/>
      </c>
      <c r="H1163" s="390" t="str">
        <f ca="1">IFERROR(IF(INDEX(' Disaggregation - Section E '!F$313:F774,MATCH(C1163,' Disaggregation - Section E '!A$313:A774,0)+1,1)&lt;&gt;0,INDEX(' Disaggregation - Section E '!F$313:F774,MATCH(C1163,' Disaggregation - Section E '!A$313:A774,0)+1,1),""),"")</f>
        <v/>
      </c>
      <c r="I1163" s="391" t="str">
        <f ca="1">IFERROR(IF(VLOOKUP(C1163,' Disaggregation - Section E '!A$313:J774,8,0)=0,"",VLOOKUP(C1163,' Disaggregation - Section E '!A$313:J774,8,0)),"")</f>
        <v/>
      </c>
      <c r="J1163" s="391" t="str">
        <f ca="1">IFERROR(IF(VLOOKUP(C1163,' Disaggregation - Section E '!A$313:J774,9,0)="","",VLOOKUP(C1163,' Disaggregation - Section E '!A$313:J774,9,0)),"")</f>
        <v/>
      </c>
      <c r="K1163" s="387" t="str">
        <f ca="1">IFERROR(VLOOKUP(C1163,' Disaggregation - Section E '!A$313:J774,3,0),"")</f>
        <v>TB O-5 TB treatment coverage: Percentage of patients with new and relapse TB that were notified and treated among the estimated number of incident TB in the same year (all forms of TB - bacteriologically confirmed plus clinically diagnosed</v>
      </c>
      <c r="L1163" s="391" t="str">
        <f ca="1">IFERROR(IF(VLOOKUP(C1163,' Disaggregation - Section E '!A$313:J774,10,0)="","",VLOOKUP(C1163,' Disaggregation - Section E '!A$313:J774,10,0)),"")</f>
        <v/>
      </c>
      <c r="M1163" s="388" t="str">
        <f ca="1">IFERROR(IF(VLOOKUP(C1163,' Disaggregation - Section E '!A$313:O478,15,0)=0,"",VLOOKUP(C1163,' Disaggregation - Section E '!A$313:O774,15,0)),"")</f>
        <v/>
      </c>
      <c r="N1163" s="387"/>
      <c r="O1163" s="387"/>
      <c r="P1163" s="387" t="str">
        <f ca="1">IFERROR(IF(VLOOKUP(C1163,' Disaggregation - Section E '!A$313:R478,18,0)=0,"",VLOOKUP(C1163,' Disaggregation - Section E '!A$313:R774,18,0)),"")</f>
        <v/>
      </c>
    </row>
    <row r="1164" spans="1:16">
      <c r="A1164" s="387" t="b">
        <f t="shared" ca="1" si="160"/>
        <v>0</v>
      </c>
      <c r="B1164" s="387"/>
      <c r="C1164" s="404" t="str">
        <f ca="1">IF(COUNTA(O$1002:O1164)=1,"",OFFSET(C1164,-COUNTA(O$1002:O1164)+1,0))</f>
        <v>a1VDm000000Pg9xMAC</v>
      </c>
      <c r="D1164" s="392"/>
      <c r="E1164" s="389" t="str">
        <f ca="1">IFERROR(IF(VLOOKUP(C1164,' Disaggregation - Section E '!A$313:J775,7,0)="","",VLOOKUP(C1164,' Disaggregation - Section E '!A$313:J775,7,0)*100),"")</f>
        <v/>
      </c>
      <c r="F1164" s="387"/>
      <c r="G1164" s="390" t="str">
        <f ca="1">IFERROR(IF(VLOOKUP(C1164,' Disaggregation - Section E '!A$313:J775,6,0)="","",VLOOKUP(C1164,' Disaggregation - Section E '!A$313:J775,6,0)),"")</f>
        <v/>
      </c>
      <c r="H1164" s="390" t="str">
        <f ca="1">IFERROR(IF(INDEX(' Disaggregation - Section E '!F$313:F775,MATCH(C1164,' Disaggregation - Section E '!A$313:A775,0)+1,1)&lt;&gt;0,INDEX(' Disaggregation - Section E '!F$313:F775,MATCH(C1164,' Disaggregation - Section E '!A$313:A775,0)+1,1),""),"")</f>
        <v/>
      </c>
      <c r="I1164" s="391" t="str">
        <f ca="1">IFERROR(IF(VLOOKUP(C1164,' Disaggregation - Section E '!A$313:J775,8,0)=0,"",VLOOKUP(C1164,' Disaggregation - Section E '!A$313:J775,8,0)),"")</f>
        <v/>
      </c>
      <c r="J1164" s="391" t="str">
        <f ca="1">IFERROR(IF(VLOOKUP(C1164,' Disaggregation - Section E '!A$313:J775,9,0)="","",VLOOKUP(C1164,' Disaggregation - Section E '!A$313:J775,9,0)),"")</f>
        <v/>
      </c>
      <c r="K1164" s="387" t="str">
        <f ca="1">IFERROR(VLOOKUP(C1164,' Disaggregation - Section E '!A$313:J775,3,0),"")</f>
        <v>TB O-2a Treatment success rate of all forms of TB - bacteriologically confirmed plus clinically diagnosed, new and relapse</v>
      </c>
      <c r="L1164" s="391" t="str">
        <f ca="1">IFERROR(IF(VLOOKUP(C1164,' Disaggregation - Section E '!A$313:J775,10,0)="","",VLOOKUP(C1164,' Disaggregation - Section E '!A$313:J775,10,0)),"")</f>
        <v/>
      </c>
      <c r="M1164" s="388" t="str">
        <f ca="1">IFERROR(IF(VLOOKUP(C1164,' Disaggregation - Section E '!A$313:O479,15,0)=0,"",VLOOKUP(C1164,' Disaggregation - Section E '!A$313:O775,15,0)),"")</f>
        <v/>
      </c>
      <c r="N1164" s="387"/>
      <c r="O1164" s="387"/>
      <c r="P1164" s="387" t="str">
        <f ca="1">IFERROR(IF(VLOOKUP(C1164,' Disaggregation - Section E '!A$313:R479,18,0)=0,"",VLOOKUP(C1164,' Disaggregation - Section E '!A$313:R775,18,0)),"")</f>
        <v/>
      </c>
    </row>
    <row r="1165" spans="1:16">
      <c r="A1165" s="387" t="b">
        <f t="shared" ca="1" si="160"/>
        <v>0</v>
      </c>
      <c r="B1165" s="387"/>
      <c r="C1165" s="404" t="str">
        <f ca="1">IF(COUNTA(O$1002:O1165)=1,"",OFFSET(C1165,-COUNTA(O$1002:O1165)+1,0))</f>
        <v>a1VDm000000Pg9yMAC</v>
      </c>
      <c r="D1165" s="392"/>
      <c r="E1165" s="389" t="str">
        <f ca="1">IFERROR(IF(VLOOKUP(C1165,' Disaggregation - Section E '!A$313:J776,7,0)="","",VLOOKUP(C1165,' Disaggregation - Section E '!A$313:J776,7,0)*100),"")</f>
        <v/>
      </c>
      <c r="F1165" s="387"/>
      <c r="G1165" s="390" t="str">
        <f ca="1">IFERROR(IF(VLOOKUP(C1165,' Disaggregation - Section E '!A$313:J776,6,0)="","",VLOOKUP(C1165,' Disaggregation - Section E '!A$313:J776,6,0)),"")</f>
        <v/>
      </c>
      <c r="H1165" s="390" t="str">
        <f ca="1">IFERROR(IF(INDEX(' Disaggregation - Section E '!F$313:F776,MATCH(C1165,' Disaggregation - Section E '!A$313:A776,0)+1,1)&lt;&gt;0,INDEX(' Disaggregation - Section E '!F$313:F776,MATCH(C1165,' Disaggregation - Section E '!A$313:A776,0)+1,1),""),"")</f>
        <v/>
      </c>
      <c r="I1165" s="391" t="str">
        <f ca="1">IFERROR(IF(VLOOKUP(C1165,' Disaggregation - Section E '!A$313:J776,8,0)=0,"",VLOOKUP(C1165,' Disaggregation - Section E '!A$313:J776,8,0)),"")</f>
        <v/>
      </c>
      <c r="J1165" s="391" t="str">
        <f ca="1">IFERROR(IF(VLOOKUP(C1165,' Disaggregation - Section E '!A$313:J776,9,0)="","",VLOOKUP(C1165,' Disaggregation - Section E '!A$313:J776,9,0)),"")</f>
        <v/>
      </c>
      <c r="K1165" s="387" t="str">
        <f ca="1">IFERROR(VLOOKUP(C1165,' Disaggregation - Section E '!A$313:J776,3,0),"")</f>
        <v>TB O-2a Treatment success rate of all forms of TB - bacteriologically confirmed plus clinically diagnosed, new and relapse</v>
      </c>
      <c r="L1165" s="391" t="str">
        <f ca="1">IFERROR(IF(VLOOKUP(C1165,' Disaggregation - Section E '!A$313:J776,10,0)="","",VLOOKUP(C1165,' Disaggregation - Section E '!A$313:J776,10,0)),"")</f>
        <v/>
      </c>
      <c r="M1165" s="388" t="str">
        <f ca="1">IFERROR(IF(VLOOKUP(C1165,' Disaggregation - Section E '!A$313:O480,15,0)=0,"",VLOOKUP(C1165,' Disaggregation - Section E '!A$313:O776,15,0)),"")</f>
        <v/>
      </c>
      <c r="N1165" s="387"/>
      <c r="O1165" s="387"/>
      <c r="P1165" s="387" t="str">
        <f ca="1">IFERROR(IF(VLOOKUP(C1165,' Disaggregation - Section E '!A$313:R480,18,0)=0,"",VLOOKUP(C1165,' Disaggregation - Section E '!A$313:R776,18,0)),"")</f>
        <v/>
      </c>
    </row>
    <row r="1166" spans="1:16">
      <c r="A1166" s="387" t="b">
        <f t="shared" ca="1" si="160"/>
        <v>0</v>
      </c>
      <c r="B1166" s="387"/>
      <c r="C1166" s="404" t="str">
        <f ca="1">IF(COUNTA(O$1002:O1166)=1,"",OFFSET(C1166,-COUNTA(O$1002:O1166)+1,0))</f>
        <v>a1VDm000000Pg9zMAC</v>
      </c>
      <c r="D1166" s="392"/>
      <c r="E1166" s="389" t="str">
        <f ca="1">IFERROR(IF(VLOOKUP(C1166,' Disaggregation - Section E '!A$313:J777,7,0)="","",VLOOKUP(C1166,' Disaggregation - Section E '!A$313:J777,7,0)*100),"")</f>
        <v/>
      </c>
      <c r="F1166" s="387"/>
      <c r="G1166" s="390" t="str">
        <f ca="1">IFERROR(IF(VLOOKUP(C1166,' Disaggregation - Section E '!A$313:J777,6,0)="","",VLOOKUP(C1166,' Disaggregation - Section E '!A$313:J777,6,0)),"")</f>
        <v/>
      </c>
      <c r="H1166" s="390" t="str">
        <f ca="1">IFERROR(IF(INDEX(' Disaggregation - Section E '!F$313:F777,MATCH(C1166,' Disaggregation - Section E '!A$313:A777,0)+1,1)&lt;&gt;0,INDEX(' Disaggregation - Section E '!F$313:F777,MATCH(C1166,' Disaggregation - Section E '!A$313:A777,0)+1,1),""),"")</f>
        <v/>
      </c>
      <c r="I1166" s="391" t="str">
        <f ca="1">IFERROR(IF(VLOOKUP(C1166,' Disaggregation - Section E '!A$313:J777,8,0)=0,"",VLOOKUP(C1166,' Disaggregation - Section E '!A$313:J777,8,0)),"")</f>
        <v/>
      </c>
      <c r="J1166" s="391" t="str">
        <f ca="1">IFERROR(IF(VLOOKUP(C1166,' Disaggregation - Section E '!A$313:J777,9,0)="","",VLOOKUP(C1166,' Disaggregation - Section E '!A$313:J777,9,0)),"")</f>
        <v/>
      </c>
      <c r="K1166" s="387" t="str">
        <f ca="1">IFERROR(VLOOKUP(C1166,' Disaggregation - Section E '!A$313:J777,3,0),"")</f>
        <v>TB O-2a Treatment success rate of all forms of TB - bacteriologically confirmed plus clinically diagnosed, new and relapse</v>
      </c>
      <c r="L1166" s="391" t="str">
        <f ca="1">IFERROR(IF(VLOOKUP(C1166,' Disaggregation - Section E '!A$313:J777,10,0)="","",VLOOKUP(C1166,' Disaggregation - Section E '!A$313:J777,10,0)),"")</f>
        <v/>
      </c>
      <c r="M1166" s="388" t="str">
        <f ca="1">IFERROR(IF(VLOOKUP(C1166,' Disaggregation - Section E '!A$313:O481,15,0)=0,"",VLOOKUP(C1166,' Disaggregation - Section E '!A$313:O777,15,0)),"")</f>
        <v/>
      </c>
      <c r="N1166" s="387"/>
      <c r="O1166" s="387"/>
      <c r="P1166" s="387" t="str">
        <f ca="1">IFERROR(IF(VLOOKUP(C1166,' Disaggregation - Section E '!A$313:R481,18,0)=0,"",VLOOKUP(C1166,' Disaggregation - Section E '!A$313:R777,18,0)),"")</f>
        <v/>
      </c>
    </row>
    <row r="1167" spans="1:16">
      <c r="A1167" s="387" t="b">
        <f t="shared" ca="1" si="160"/>
        <v>0</v>
      </c>
      <c r="B1167" s="387"/>
      <c r="C1167" s="404" t="str">
        <f ca="1">IF(COUNTA(O$1002:O1167)=1,"",OFFSET(C1167,-COUNTA(O$1002:O1167)+1,0))</f>
        <v>a1VDm000000PgA0MAK</v>
      </c>
      <c r="D1167" s="392"/>
      <c r="E1167" s="389" t="str">
        <f ca="1">IFERROR(IF(VLOOKUP(C1167,' Disaggregation - Section E '!A$313:J778,7,0)="","",VLOOKUP(C1167,' Disaggregation - Section E '!A$313:J778,7,0)*100),"")</f>
        <v/>
      </c>
      <c r="F1167" s="387"/>
      <c r="G1167" s="390" t="str">
        <f ca="1">IFERROR(IF(VLOOKUP(C1167,' Disaggregation - Section E '!A$313:J778,6,0)="","",VLOOKUP(C1167,' Disaggregation - Section E '!A$313:J778,6,0)),"")</f>
        <v/>
      </c>
      <c r="H1167" s="390" t="str">
        <f ca="1">IFERROR(IF(INDEX(' Disaggregation - Section E '!F$313:F778,MATCH(C1167,' Disaggregation - Section E '!A$313:A778,0)+1,1)&lt;&gt;0,INDEX(' Disaggregation - Section E '!F$313:F778,MATCH(C1167,' Disaggregation - Section E '!A$313:A778,0)+1,1),""),"")</f>
        <v/>
      </c>
      <c r="I1167" s="391" t="str">
        <f ca="1">IFERROR(IF(VLOOKUP(C1167,' Disaggregation - Section E '!A$313:J778,8,0)=0,"",VLOOKUP(C1167,' Disaggregation - Section E '!A$313:J778,8,0)),"")</f>
        <v/>
      </c>
      <c r="J1167" s="391" t="str">
        <f ca="1">IFERROR(IF(VLOOKUP(C1167,' Disaggregation - Section E '!A$313:J778,9,0)="","",VLOOKUP(C1167,' Disaggregation - Section E '!A$313:J778,9,0)),"")</f>
        <v/>
      </c>
      <c r="K1167" s="387" t="str">
        <f ca="1">IFERROR(VLOOKUP(C1167,' Disaggregation - Section E '!A$313:J778,3,0),"")</f>
        <v>TB O-2a Treatment success rate of all forms of TB - bacteriologically confirmed plus clinically diagnosed, new and relapse</v>
      </c>
      <c r="L1167" s="391" t="str">
        <f ca="1">IFERROR(IF(VLOOKUP(C1167,' Disaggregation - Section E '!A$313:J778,10,0)="","",VLOOKUP(C1167,' Disaggregation - Section E '!A$313:J778,10,0)),"")</f>
        <v/>
      </c>
      <c r="M1167" s="388" t="str">
        <f ca="1">IFERROR(IF(VLOOKUP(C1167,' Disaggregation - Section E '!A$313:O482,15,0)=0,"",VLOOKUP(C1167,' Disaggregation - Section E '!A$313:O778,15,0)),"")</f>
        <v/>
      </c>
      <c r="N1167" s="387"/>
      <c r="O1167" s="387"/>
      <c r="P1167" s="387" t="str">
        <f ca="1">IFERROR(IF(VLOOKUP(C1167,' Disaggregation - Section E '!A$313:R482,18,0)=0,"",VLOOKUP(C1167,' Disaggregation - Section E '!A$313:R778,18,0)),"")</f>
        <v/>
      </c>
    </row>
    <row r="1168" spans="1:16">
      <c r="A1168" s="387" t="b">
        <f t="shared" ca="1" si="160"/>
        <v>0</v>
      </c>
      <c r="B1168" s="387"/>
      <c r="C1168" s="404" t="str">
        <f ca="1">IF(COUNTA(O$1002:O1168)=1,"",OFFSET(C1168,-COUNTA(O$1002:O1168)+1,0))</f>
        <v>a1VDm000000PgA1MAK</v>
      </c>
      <c r="D1168" s="392"/>
      <c r="E1168" s="389" t="str">
        <f ca="1">IFERROR(IF(VLOOKUP(C1168,' Disaggregation - Section E '!A$313:J779,7,0)="","",VLOOKUP(C1168,' Disaggregation - Section E '!A$313:J779,7,0)*100),"")</f>
        <v/>
      </c>
      <c r="F1168" s="387"/>
      <c r="G1168" s="390" t="str">
        <f ca="1">IFERROR(IF(VLOOKUP(C1168,' Disaggregation - Section E '!A$313:J779,6,0)="","",VLOOKUP(C1168,' Disaggregation - Section E '!A$313:J779,6,0)),"")</f>
        <v/>
      </c>
      <c r="H1168" s="390" t="str">
        <f ca="1">IFERROR(IF(INDEX(' Disaggregation - Section E '!F$313:F779,MATCH(C1168,' Disaggregation - Section E '!A$313:A779,0)+1,1)&lt;&gt;0,INDEX(' Disaggregation - Section E '!F$313:F779,MATCH(C1168,' Disaggregation - Section E '!A$313:A779,0)+1,1),""),"")</f>
        <v/>
      </c>
      <c r="I1168" s="391" t="str">
        <f ca="1">IFERROR(IF(VLOOKUP(C1168,' Disaggregation - Section E '!A$313:J779,8,0)=0,"",VLOOKUP(C1168,' Disaggregation - Section E '!A$313:J779,8,0)),"")</f>
        <v/>
      </c>
      <c r="J1168" s="391" t="str">
        <f ca="1">IFERROR(IF(VLOOKUP(C1168,' Disaggregation - Section E '!A$313:J779,9,0)="","",VLOOKUP(C1168,' Disaggregation - Section E '!A$313:J779,9,0)),"")</f>
        <v/>
      </c>
      <c r="K1168" s="387" t="str">
        <f ca="1">IFERROR(VLOOKUP(C1168,' Disaggregation - Section E '!A$313:J779,3,0),"")</f>
        <v>TB O-2a Treatment success rate of all forms of TB - bacteriologically confirmed plus clinically diagnosed, new and relapse</v>
      </c>
      <c r="L1168" s="391" t="str">
        <f ca="1">IFERROR(IF(VLOOKUP(C1168,' Disaggregation - Section E '!A$313:J779,10,0)="","",VLOOKUP(C1168,' Disaggregation - Section E '!A$313:J779,10,0)),"")</f>
        <v/>
      </c>
      <c r="M1168" s="388" t="str">
        <f ca="1">IFERROR(IF(VLOOKUP(C1168,' Disaggregation - Section E '!A$313:O483,15,0)=0,"",VLOOKUP(C1168,' Disaggregation - Section E '!A$313:O779,15,0)),"")</f>
        <v/>
      </c>
      <c r="N1168" s="387"/>
      <c r="O1168" s="387"/>
      <c r="P1168" s="387" t="str">
        <f ca="1">IFERROR(IF(VLOOKUP(C1168,' Disaggregation - Section E '!A$313:R483,18,0)=0,"",VLOOKUP(C1168,' Disaggregation - Section E '!A$313:R779,18,0)),"")</f>
        <v/>
      </c>
    </row>
    <row r="1169" spans="1:16">
      <c r="A1169" s="387" t="b">
        <f t="shared" ca="1" si="160"/>
        <v>0</v>
      </c>
      <c r="B1169" s="387"/>
      <c r="C1169" s="404" t="str">
        <f ca="1">IF(COUNTA(O$1002:O1169)=1,"",OFFSET(C1169,-COUNTA(O$1002:O1169)+1,0))</f>
        <v>a1VDm000000PgA2MAK</v>
      </c>
      <c r="D1169" s="392"/>
      <c r="E1169" s="389" t="str">
        <f ca="1">IFERROR(IF(VLOOKUP(C1169,' Disaggregation - Section E '!A$313:J780,7,0)="","",VLOOKUP(C1169,' Disaggregation - Section E '!A$313:J780,7,0)*100),"")</f>
        <v/>
      </c>
      <c r="F1169" s="387"/>
      <c r="G1169" s="390" t="str">
        <f ca="1">IFERROR(IF(VLOOKUP(C1169,' Disaggregation - Section E '!A$313:J780,6,0)="","",VLOOKUP(C1169,' Disaggregation - Section E '!A$313:J780,6,0)),"")</f>
        <v/>
      </c>
      <c r="H1169" s="390" t="str">
        <f ca="1">IFERROR(IF(INDEX(' Disaggregation - Section E '!F$313:F780,MATCH(C1169,' Disaggregation - Section E '!A$313:A780,0)+1,1)&lt;&gt;0,INDEX(' Disaggregation - Section E '!F$313:F780,MATCH(C1169,' Disaggregation - Section E '!A$313:A780,0)+1,1),""),"")</f>
        <v/>
      </c>
      <c r="I1169" s="391" t="str">
        <f ca="1">IFERROR(IF(VLOOKUP(C1169,' Disaggregation - Section E '!A$313:J780,8,0)=0,"",VLOOKUP(C1169,' Disaggregation - Section E '!A$313:J780,8,0)),"")</f>
        <v/>
      </c>
      <c r="J1169" s="391" t="str">
        <f ca="1">IFERROR(IF(VLOOKUP(C1169,' Disaggregation - Section E '!A$313:J780,9,0)="","",VLOOKUP(C1169,' Disaggregation - Section E '!A$313:J780,9,0)),"")</f>
        <v/>
      </c>
      <c r="K1169" s="387" t="str">
        <f ca="1">IFERROR(VLOOKUP(C1169,' Disaggregation - Section E '!A$313:J780,3,0),"")</f>
        <v>TB O-2a Treatment success rate of all forms of TB - bacteriologically confirmed plus clinically diagnosed, new and relapse</v>
      </c>
      <c r="L1169" s="391" t="str">
        <f ca="1">IFERROR(IF(VLOOKUP(C1169,' Disaggregation - Section E '!A$313:J780,10,0)="","",VLOOKUP(C1169,' Disaggregation - Section E '!A$313:J780,10,0)),"")</f>
        <v/>
      </c>
      <c r="M1169" s="388" t="str">
        <f ca="1">IFERROR(IF(VLOOKUP(C1169,' Disaggregation - Section E '!A$313:O484,15,0)=0,"",VLOOKUP(C1169,' Disaggregation - Section E '!A$313:O780,15,0)),"")</f>
        <v/>
      </c>
      <c r="N1169" s="387"/>
      <c r="O1169" s="387"/>
      <c r="P1169" s="387" t="str">
        <f ca="1">IFERROR(IF(VLOOKUP(C1169,' Disaggregation - Section E '!A$313:R484,18,0)=0,"",VLOOKUP(C1169,' Disaggregation - Section E '!A$313:R780,18,0)),"")</f>
        <v/>
      </c>
    </row>
    <row r="1170" spans="1:16">
      <c r="A1170" s="387" t="b">
        <f t="shared" ca="1" si="160"/>
        <v>0</v>
      </c>
      <c r="B1170" s="387"/>
      <c r="C1170" s="404" t="str">
        <f ca="1">IF(COUNTA(O$1002:O1170)=1,"",OFFSET(C1170,-COUNTA(O$1002:O1170)+1,0))</f>
        <v>a1VDm000000PgA3MAK</v>
      </c>
      <c r="D1170" s="392"/>
      <c r="E1170" s="389" t="str">
        <f ca="1">IFERROR(IF(VLOOKUP(C1170,' Disaggregation - Section E '!A$313:J781,7,0)="","",VLOOKUP(C1170,' Disaggregation - Section E '!A$313:J781,7,0)*100),"")</f>
        <v/>
      </c>
      <c r="F1170" s="387"/>
      <c r="G1170" s="390" t="str">
        <f ca="1">IFERROR(IF(VLOOKUP(C1170,' Disaggregation - Section E '!A$313:J781,6,0)="","",VLOOKUP(C1170,' Disaggregation - Section E '!A$313:J781,6,0)),"")</f>
        <v/>
      </c>
      <c r="H1170" s="390" t="str">
        <f ca="1">IFERROR(IF(INDEX(' Disaggregation - Section E '!F$313:F781,MATCH(C1170,' Disaggregation - Section E '!A$313:A781,0)+1,1)&lt;&gt;0,INDEX(' Disaggregation - Section E '!F$313:F781,MATCH(C1170,' Disaggregation - Section E '!A$313:A781,0)+1,1),""),"")</f>
        <v/>
      </c>
      <c r="I1170" s="391" t="str">
        <f ca="1">IFERROR(IF(VLOOKUP(C1170,' Disaggregation - Section E '!A$313:J781,8,0)=0,"",VLOOKUP(C1170,' Disaggregation - Section E '!A$313:J781,8,0)),"")</f>
        <v/>
      </c>
      <c r="J1170" s="391" t="str">
        <f ca="1">IFERROR(IF(VLOOKUP(C1170,' Disaggregation - Section E '!A$313:J781,9,0)="","",VLOOKUP(C1170,' Disaggregation - Section E '!A$313:J781,9,0)),"")</f>
        <v/>
      </c>
      <c r="K1170" s="387" t="str">
        <f ca="1">IFERROR(VLOOKUP(C1170,' Disaggregation - Section E '!A$313:J781,3,0),"")</f>
        <v>TB O-2a Treatment success rate of all forms of TB - bacteriologically confirmed plus clinically diagnosed, new and relapse</v>
      </c>
      <c r="L1170" s="391" t="str">
        <f ca="1">IFERROR(IF(VLOOKUP(C1170,' Disaggregation - Section E '!A$313:J781,10,0)="","",VLOOKUP(C1170,' Disaggregation - Section E '!A$313:J781,10,0)),"")</f>
        <v/>
      </c>
      <c r="M1170" s="388" t="str">
        <f ca="1">IFERROR(IF(VLOOKUP(C1170,' Disaggregation - Section E '!A$313:O485,15,0)=0,"",VLOOKUP(C1170,' Disaggregation - Section E '!A$313:O781,15,0)),"")</f>
        <v/>
      </c>
      <c r="N1170" s="387"/>
      <c r="O1170" s="387"/>
      <c r="P1170" s="387" t="str">
        <f ca="1">IFERROR(IF(VLOOKUP(C1170,' Disaggregation - Section E '!A$313:R485,18,0)=0,"",VLOOKUP(C1170,' Disaggregation - Section E '!A$313:R781,18,0)),"")</f>
        <v/>
      </c>
    </row>
    <row r="1171" spans="1:16">
      <c r="A1171" s="387" t="b">
        <f t="shared" ca="1" si="160"/>
        <v>0</v>
      </c>
      <c r="B1171" s="387"/>
      <c r="C1171" s="404" t="str">
        <f ca="1">IF(COUNTA(O$1002:O1171)=1,"",OFFSET(C1171,-COUNTA(O$1002:O1171)+1,0))</f>
        <v>a1VDm000000PgA4MAK</v>
      </c>
      <c r="D1171" s="392"/>
      <c r="E1171" s="389" t="str">
        <f ca="1">IFERROR(IF(VLOOKUP(C1171,' Disaggregation - Section E '!A$313:J782,7,0)="","",VLOOKUP(C1171,' Disaggregation - Section E '!A$313:J782,7,0)*100),"")</f>
        <v/>
      </c>
      <c r="F1171" s="387"/>
      <c r="G1171" s="390" t="str">
        <f ca="1">IFERROR(IF(VLOOKUP(C1171,' Disaggregation - Section E '!A$313:J782,6,0)="","",VLOOKUP(C1171,' Disaggregation - Section E '!A$313:J782,6,0)),"")</f>
        <v/>
      </c>
      <c r="H1171" s="390" t="str">
        <f ca="1">IFERROR(IF(INDEX(' Disaggregation - Section E '!F$313:F782,MATCH(C1171,' Disaggregation - Section E '!A$313:A782,0)+1,1)&lt;&gt;0,INDEX(' Disaggregation - Section E '!F$313:F782,MATCH(C1171,' Disaggregation - Section E '!A$313:A782,0)+1,1),""),"")</f>
        <v/>
      </c>
      <c r="I1171" s="391" t="str">
        <f ca="1">IFERROR(IF(VLOOKUP(C1171,' Disaggregation - Section E '!A$313:J782,8,0)=0,"",VLOOKUP(C1171,' Disaggregation - Section E '!A$313:J782,8,0)),"")</f>
        <v/>
      </c>
      <c r="J1171" s="391" t="str">
        <f ca="1">IFERROR(IF(VLOOKUP(C1171,' Disaggregation - Section E '!A$313:J782,9,0)="","",VLOOKUP(C1171,' Disaggregation - Section E '!A$313:J782,9,0)),"")</f>
        <v/>
      </c>
      <c r="K1171" s="387" t="str">
        <f ca="1">IFERROR(VLOOKUP(C1171,' Disaggregation - Section E '!A$313:J782,3,0),"")</f>
        <v>TB O-2a Treatment success rate of all forms of TB - bacteriologically confirmed plus clinically diagnosed, new and relapse</v>
      </c>
      <c r="L1171" s="391" t="str">
        <f ca="1">IFERROR(IF(VLOOKUP(C1171,' Disaggregation - Section E '!A$313:J782,10,0)="","",VLOOKUP(C1171,' Disaggregation - Section E '!A$313:J782,10,0)),"")</f>
        <v/>
      </c>
      <c r="M1171" s="388" t="str">
        <f ca="1">IFERROR(IF(VLOOKUP(C1171,' Disaggregation - Section E '!A$313:O486,15,0)=0,"",VLOOKUP(C1171,' Disaggregation - Section E '!A$313:O782,15,0)),"")</f>
        <v/>
      </c>
      <c r="N1171" s="387"/>
      <c r="O1171" s="387"/>
      <c r="P1171" s="387" t="str">
        <f ca="1">IFERROR(IF(VLOOKUP(C1171,' Disaggregation - Section E '!A$313:R486,18,0)=0,"",VLOOKUP(C1171,' Disaggregation - Section E '!A$313:R782,18,0)),"")</f>
        <v/>
      </c>
    </row>
    <row r="1172" spans="1:16">
      <c r="A1172" s="387" t="b">
        <f t="shared" ca="1" si="160"/>
        <v>0</v>
      </c>
      <c r="B1172" s="387"/>
      <c r="C1172" s="404" t="str">
        <f ca="1">IF(COUNTA(O$1002:O1172)=1,"",OFFSET(C1172,-COUNTA(O$1002:O1172)+1,0))</f>
        <v>a1VDm000000PgA5MAK</v>
      </c>
      <c r="D1172" s="392"/>
      <c r="E1172" s="389" t="str">
        <f ca="1">IFERROR(IF(VLOOKUP(C1172,' Disaggregation - Section E '!A$313:J783,7,0)="","",VLOOKUP(C1172,' Disaggregation - Section E '!A$313:J783,7,0)*100),"")</f>
        <v/>
      </c>
      <c r="F1172" s="387"/>
      <c r="G1172" s="390" t="str">
        <f ca="1">IFERROR(IF(VLOOKUP(C1172,' Disaggregation - Section E '!A$313:J783,6,0)="","",VLOOKUP(C1172,' Disaggregation - Section E '!A$313:J783,6,0)),"")</f>
        <v/>
      </c>
      <c r="H1172" s="390" t="str">
        <f ca="1">IFERROR(IF(INDEX(' Disaggregation - Section E '!F$313:F783,MATCH(C1172,' Disaggregation - Section E '!A$313:A783,0)+1,1)&lt;&gt;0,INDEX(' Disaggregation - Section E '!F$313:F783,MATCH(C1172,' Disaggregation - Section E '!A$313:A783,0)+1,1),""),"")</f>
        <v/>
      </c>
      <c r="I1172" s="391" t="str">
        <f ca="1">IFERROR(IF(VLOOKUP(C1172,' Disaggregation - Section E '!A$313:J783,8,0)=0,"",VLOOKUP(C1172,' Disaggregation - Section E '!A$313:J783,8,0)),"")</f>
        <v/>
      </c>
      <c r="J1172" s="391" t="str">
        <f ca="1">IFERROR(IF(VLOOKUP(C1172,' Disaggregation - Section E '!A$313:J783,9,0)="","",VLOOKUP(C1172,' Disaggregation - Section E '!A$313:J783,9,0)),"")</f>
        <v/>
      </c>
      <c r="K1172" s="387" t="str">
        <f ca="1">IFERROR(VLOOKUP(C1172,' Disaggregation - Section E '!A$313:J783,3,0),"")</f>
        <v>TB O-2a Treatment success rate of all forms of TB - bacteriologically confirmed plus clinically diagnosed, new and relapse</v>
      </c>
      <c r="L1172" s="391" t="str">
        <f ca="1">IFERROR(IF(VLOOKUP(C1172,' Disaggregation - Section E '!A$313:J783,10,0)="","",VLOOKUP(C1172,' Disaggregation - Section E '!A$313:J783,10,0)),"")</f>
        <v/>
      </c>
      <c r="M1172" s="388" t="str">
        <f ca="1">IFERROR(IF(VLOOKUP(C1172,' Disaggregation - Section E '!A$313:O487,15,0)=0,"",VLOOKUP(C1172,' Disaggregation - Section E '!A$313:O783,15,0)),"")</f>
        <v/>
      </c>
      <c r="N1172" s="387"/>
      <c r="O1172" s="387"/>
      <c r="P1172" s="387" t="str">
        <f ca="1">IFERROR(IF(VLOOKUP(C1172,' Disaggregation - Section E '!A$313:R487,18,0)=0,"",VLOOKUP(C1172,' Disaggregation - Section E '!A$313:R783,18,0)),"")</f>
        <v/>
      </c>
    </row>
    <row r="1173" spans="1:16">
      <c r="A1173" s="387" t="b">
        <f t="shared" ca="1" si="160"/>
        <v>0</v>
      </c>
      <c r="B1173" s="387"/>
      <c r="C1173" s="404" t="str">
        <f ca="1">IF(COUNTA(O$1002:O1173)=1,"",OFFSET(C1173,-COUNTA(O$1002:O1173)+1,0))</f>
        <v>a1VDm000000PgA6MAK</v>
      </c>
      <c r="D1173" s="392"/>
      <c r="E1173" s="389" t="str">
        <f ca="1">IFERROR(IF(VLOOKUP(C1173,' Disaggregation - Section E '!A$313:J784,7,0)="","",VLOOKUP(C1173,' Disaggregation - Section E '!A$313:J784,7,0)*100),"")</f>
        <v/>
      </c>
      <c r="F1173" s="387"/>
      <c r="G1173" s="390" t="str">
        <f ca="1">IFERROR(IF(VLOOKUP(C1173,' Disaggregation - Section E '!A$313:J784,6,0)="","",VLOOKUP(C1173,' Disaggregation - Section E '!A$313:J784,6,0)),"")</f>
        <v/>
      </c>
      <c r="H1173" s="390" t="str">
        <f ca="1">IFERROR(IF(INDEX(' Disaggregation - Section E '!F$313:F784,MATCH(C1173,' Disaggregation - Section E '!A$313:A784,0)+1,1)&lt;&gt;0,INDEX(' Disaggregation - Section E '!F$313:F784,MATCH(C1173,' Disaggregation - Section E '!A$313:A784,0)+1,1),""),"")</f>
        <v/>
      </c>
      <c r="I1173" s="391" t="str">
        <f ca="1">IFERROR(IF(VLOOKUP(C1173,' Disaggregation - Section E '!A$313:J784,8,0)=0,"",VLOOKUP(C1173,' Disaggregation - Section E '!A$313:J784,8,0)),"")</f>
        <v/>
      </c>
      <c r="J1173" s="391" t="str">
        <f ca="1">IFERROR(IF(VLOOKUP(C1173,' Disaggregation - Section E '!A$313:J784,9,0)="","",VLOOKUP(C1173,' Disaggregation - Section E '!A$313:J784,9,0)),"")</f>
        <v/>
      </c>
      <c r="K1173" s="387" t="str">
        <f ca="1">IFERROR(VLOOKUP(C1173,' Disaggregation - Section E '!A$313:J784,3,0),"")</f>
        <v>TB O-2a Treatment success rate of all forms of TB - bacteriologically confirmed plus clinically diagnosed, new and relapse</v>
      </c>
      <c r="L1173" s="391" t="str">
        <f ca="1">IFERROR(IF(VLOOKUP(C1173,' Disaggregation - Section E '!A$313:J784,10,0)="","",VLOOKUP(C1173,' Disaggregation - Section E '!A$313:J784,10,0)),"")</f>
        <v/>
      </c>
      <c r="M1173" s="388" t="str">
        <f ca="1">IFERROR(IF(VLOOKUP(C1173,' Disaggregation - Section E '!A$313:O488,15,0)=0,"",VLOOKUP(C1173,' Disaggregation - Section E '!A$313:O784,15,0)),"")</f>
        <v/>
      </c>
      <c r="N1173" s="387"/>
      <c r="O1173" s="387"/>
      <c r="P1173" s="387" t="str">
        <f ca="1">IFERROR(IF(VLOOKUP(C1173,' Disaggregation - Section E '!A$313:R488,18,0)=0,"",VLOOKUP(C1173,' Disaggregation - Section E '!A$313:R784,18,0)),"")</f>
        <v/>
      </c>
    </row>
    <row r="1174" spans="1:16">
      <c r="A1174" s="387" t="b">
        <f t="shared" ca="1" si="160"/>
        <v>0</v>
      </c>
      <c r="B1174" s="387"/>
      <c r="C1174" s="404" t="str">
        <f ca="1">IF(COUNTA(O$1002:O1174)=1,"",OFFSET(C1174,-COUNTA(O$1002:O1174)+1,0))</f>
        <v>a1VDm000000PgA7MAK</v>
      </c>
      <c r="D1174" s="392"/>
      <c r="E1174" s="389" t="str">
        <f ca="1">IFERROR(IF(VLOOKUP(C1174,' Disaggregation - Section E '!A$313:J785,7,0)="","",VLOOKUP(C1174,' Disaggregation - Section E '!A$313:J785,7,0)*100),"")</f>
        <v/>
      </c>
      <c r="F1174" s="387"/>
      <c r="G1174" s="390" t="str">
        <f ca="1">IFERROR(IF(VLOOKUP(C1174,' Disaggregation - Section E '!A$313:J785,6,0)="","",VLOOKUP(C1174,' Disaggregation - Section E '!A$313:J785,6,0)),"")</f>
        <v/>
      </c>
      <c r="H1174" s="390" t="str">
        <f ca="1">IFERROR(IF(INDEX(' Disaggregation - Section E '!F$313:F785,MATCH(C1174,' Disaggregation - Section E '!A$313:A785,0)+1,1)&lt;&gt;0,INDEX(' Disaggregation - Section E '!F$313:F785,MATCH(C1174,' Disaggregation - Section E '!A$313:A785,0)+1,1),""),"")</f>
        <v/>
      </c>
      <c r="I1174" s="391" t="str">
        <f ca="1">IFERROR(IF(VLOOKUP(C1174,' Disaggregation - Section E '!A$313:J785,8,0)=0,"",VLOOKUP(C1174,' Disaggregation - Section E '!A$313:J785,8,0)),"")</f>
        <v/>
      </c>
      <c r="J1174" s="391" t="str">
        <f ca="1">IFERROR(IF(VLOOKUP(C1174,' Disaggregation - Section E '!A$313:J785,9,0)="","",VLOOKUP(C1174,' Disaggregation - Section E '!A$313:J785,9,0)),"")</f>
        <v/>
      </c>
      <c r="K1174" s="387" t="str">
        <f ca="1">IFERROR(VLOOKUP(C1174,' Disaggregation - Section E '!A$313:J785,3,0),"")</f>
        <v>TB O-6 Treatment coverage of RR-TB and/or MDR-TB: Percentage of notified people with bacteriologically confirmed, drug resistant RR-TB and/or MDR-TB as a proportion of all estimated people with RR-TB and/or MDR-TB</v>
      </c>
      <c r="L1174" s="391" t="str">
        <f ca="1">IFERROR(IF(VLOOKUP(C1174,' Disaggregation - Section E '!A$313:J785,10,0)="","",VLOOKUP(C1174,' Disaggregation - Section E '!A$313:J785,10,0)),"")</f>
        <v/>
      </c>
      <c r="M1174" s="388" t="str">
        <f ca="1">IFERROR(IF(VLOOKUP(C1174,' Disaggregation - Section E '!A$313:O489,15,0)=0,"",VLOOKUP(C1174,' Disaggregation - Section E '!A$313:O785,15,0)),"")</f>
        <v/>
      </c>
      <c r="N1174" s="387"/>
      <c r="O1174" s="387"/>
      <c r="P1174" s="387" t="str">
        <f ca="1">IFERROR(IF(VLOOKUP(C1174,' Disaggregation - Section E '!A$313:R489,18,0)=0,"",VLOOKUP(C1174,' Disaggregation - Section E '!A$313:R785,18,0)),"")</f>
        <v/>
      </c>
    </row>
    <row r="1175" spans="1:16">
      <c r="A1175" s="387" t="b">
        <f t="shared" ca="1" si="160"/>
        <v>0</v>
      </c>
      <c r="B1175" s="387"/>
      <c r="C1175" s="404" t="str">
        <f ca="1">IF(COUNTA(O$1002:O1175)=1,"",OFFSET(C1175,-COUNTA(O$1002:O1175)+1,0))</f>
        <v>a1VDm000000PgA8MAK</v>
      </c>
      <c r="D1175" s="392"/>
      <c r="E1175" s="389" t="str">
        <f ca="1">IFERROR(IF(VLOOKUP(C1175,' Disaggregation - Section E '!A$313:J786,7,0)="","",VLOOKUP(C1175,' Disaggregation - Section E '!A$313:J786,7,0)*100),"")</f>
        <v/>
      </c>
      <c r="F1175" s="387"/>
      <c r="G1175" s="390" t="str">
        <f ca="1">IFERROR(IF(VLOOKUP(C1175,' Disaggregation - Section E '!A$313:J786,6,0)="","",VLOOKUP(C1175,' Disaggregation - Section E '!A$313:J786,6,0)),"")</f>
        <v/>
      </c>
      <c r="H1175" s="390" t="str">
        <f ca="1">IFERROR(IF(INDEX(' Disaggregation - Section E '!F$313:F786,MATCH(C1175,' Disaggregation - Section E '!A$313:A786,0)+1,1)&lt;&gt;0,INDEX(' Disaggregation - Section E '!F$313:F786,MATCH(C1175,' Disaggregation - Section E '!A$313:A786,0)+1,1),""),"")</f>
        <v/>
      </c>
      <c r="I1175" s="391" t="str">
        <f ca="1">IFERROR(IF(VLOOKUP(C1175,' Disaggregation - Section E '!A$313:J786,8,0)=0,"",VLOOKUP(C1175,' Disaggregation - Section E '!A$313:J786,8,0)),"")</f>
        <v/>
      </c>
      <c r="J1175" s="391" t="str">
        <f ca="1">IFERROR(IF(VLOOKUP(C1175,' Disaggregation - Section E '!A$313:J786,9,0)="","",VLOOKUP(C1175,' Disaggregation - Section E '!A$313:J786,9,0)),"")</f>
        <v/>
      </c>
      <c r="K1175" s="387" t="str">
        <f ca="1">IFERROR(VLOOKUP(C1175,' Disaggregation - Section E '!A$313:J786,3,0),"")</f>
        <v>TB O-6 Treatment coverage of RR-TB and/or MDR-TB: Percentage of notified people with bacteriologically confirmed, drug resistant RR-TB and/or MDR-TB as a proportion of all estimated people with RR-TB and/or MDR-TB</v>
      </c>
      <c r="L1175" s="391" t="str">
        <f ca="1">IFERROR(IF(VLOOKUP(C1175,' Disaggregation - Section E '!A$313:J786,10,0)="","",VLOOKUP(C1175,' Disaggregation - Section E '!A$313:J786,10,0)),"")</f>
        <v/>
      </c>
      <c r="M1175" s="388" t="str">
        <f ca="1">IFERROR(IF(VLOOKUP(C1175,' Disaggregation - Section E '!A$313:O490,15,0)=0,"",VLOOKUP(C1175,' Disaggregation - Section E '!A$313:O786,15,0)),"")</f>
        <v/>
      </c>
      <c r="N1175" s="387"/>
      <c r="O1175" s="387"/>
      <c r="P1175" s="387" t="str">
        <f ca="1">IFERROR(IF(VLOOKUP(C1175,' Disaggregation - Section E '!A$313:R490,18,0)=0,"",VLOOKUP(C1175,' Disaggregation - Section E '!A$313:R786,18,0)),"")</f>
        <v/>
      </c>
    </row>
    <row r="1176" spans="1:16">
      <c r="A1176" s="387" t="b">
        <f t="shared" ca="1" si="160"/>
        <v>0</v>
      </c>
      <c r="B1176" s="387"/>
      <c r="C1176" s="404" t="str">
        <f ca="1">IF(COUNTA(O$1002:O1176)=1,"",OFFSET(C1176,-COUNTA(O$1002:O1176)+1,0))</f>
        <v>a1VDm000000PgA9MAK</v>
      </c>
      <c r="D1176" s="392"/>
      <c r="E1176" s="389" t="str">
        <f ca="1">IFERROR(IF(VLOOKUP(C1176,' Disaggregation - Section E '!A$313:J787,7,0)="","",VLOOKUP(C1176,' Disaggregation - Section E '!A$313:J787,7,0)*100),"")</f>
        <v/>
      </c>
      <c r="F1176" s="387"/>
      <c r="G1176" s="390" t="str">
        <f ca="1">IFERROR(IF(VLOOKUP(C1176,' Disaggregation - Section E '!A$313:J787,6,0)="","",VLOOKUP(C1176,' Disaggregation - Section E '!A$313:J787,6,0)),"")</f>
        <v/>
      </c>
      <c r="H1176" s="390" t="str">
        <f ca="1">IFERROR(IF(INDEX(' Disaggregation - Section E '!F$313:F787,MATCH(C1176,' Disaggregation - Section E '!A$313:A787,0)+1,1)&lt;&gt;0,INDEX(' Disaggregation - Section E '!F$313:F787,MATCH(C1176,' Disaggregation - Section E '!A$313:A787,0)+1,1),""),"")</f>
        <v/>
      </c>
      <c r="I1176" s="391" t="str">
        <f ca="1">IFERROR(IF(VLOOKUP(C1176,' Disaggregation - Section E '!A$313:J787,8,0)=0,"",VLOOKUP(C1176,' Disaggregation - Section E '!A$313:J787,8,0)),"")</f>
        <v/>
      </c>
      <c r="J1176" s="391" t="str">
        <f ca="1">IFERROR(IF(VLOOKUP(C1176,' Disaggregation - Section E '!A$313:J787,9,0)="","",VLOOKUP(C1176,' Disaggregation - Section E '!A$313:J787,9,0)),"")</f>
        <v/>
      </c>
      <c r="K1176" s="387" t="str">
        <f ca="1">IFERROR(VLOOKUP(C1176,' Disaggregation - Section E '!A$313:J787,3,0),"")</f>
        <v>TB O-6 Treatment coverage of RR-TB and/or MDR-TB: Percentage of notified people with bacteriologically confirmed, drug resistant RR-TB and/or MDR-TB as a proportion of all estimated people with RR-TB and/or MDR-TB</v>
      </c>
      <c r="L1176" s="391" t="str">
        <f ca="1">IFERROR(IF(VLOOKUP(C1176,' Disaggregation - Section E '!A$313:J787,10,0)="","",VLOOKUP(C1176,' Disaggregation - Section E '!A$313:J787,10,0)),"")</f>
        <v/>
      </c>
      <c r="M1176" s="388" t="str">
        <f ca="1">IFERROR(IF(VLOOKUP(C1176,' Disaggregation - Section E '!A$313:O491,15,0)=0,"",VLOOKUP(C1176,' Disaggregation - Section E '!A$313:O787,15,0)),"")</f>
        <v/>
      </c>
      <c r="N1176" s="387"/>
      <c r="O1176" s="387"/>
      <c r="P1176" s="387" t="str">
        <f ca="1">IFERROR(IF(VLOOKUP(C1176,' Disaggregation - Section E '!A$313:R491,18,0)=0,"",VLOOKUP(C1176,' Disaggregation - Section E '!A$313:R787,18,0)),"")</f>
        <v/>
      </c>
    </row>
    <row r="1177" spans="1:16">
      <c r="A1177" s="387" t="b">
        <f t="shared" ca="1" si="160"/>
        <v>0</v>
      </c>
      <c r="B1177" s="387"/>
      <c r="C1177" s="404" t="str">
        <f ca="1">IF(COUNTA(O$1002:O1177)=1,"",OFFSET(C1177,-COUNTA(O$1002:O1177)+1,0))</f>
        <v>a1VDm000000PgAAMA0</v>
      </c>
      <c r="D1177" s="392"/>
      <c r="E1177" s="389" t="str">
        <f ca="1">IFERROR(IF(VLOOKUP(C1177,' Disaggregation - Section E '!A$313:J788,7,0)="","",VLOOKUP(C1177,' Disaggregation - Section E '!A$313:J788,7,0)*100),"")</f>
        <v/>
      </c>
      <c r="F1177" s="387"/>
      <c r="G1177" s="390" t="str">
        <f ca="1">IFERROR(IF(VLOOKUP(C1177,' Disaggregation - Section E '!A$313:J788,6,0)="","",VLOOKUP(C1177,' Disaggregation - Section E '!A$313:J788,6,0)),"")</f>
        <v/>
      </c>
      <c r="H1177" s="390" t="str">
        <f ca="1">IFERROR(IF(INDEX(' Disaggregation - Section E '!F$313:F788,MATCH(C1177,' Disaggregation - Section E '!A$313:A788,0)+1,1)&lt;&gt;0,INDEX(' Disaggregation - Section E '!F$313:F788,MATCH(C1177,' Disaggregation - Section E '!A$313:A788,0)+1,1),""),"")</f>
        <v/>
      </c>
      <c r="I1177" s="391" t="str">
        <f ca="1">IFERROR(IF(VLOOKUP(C1177,' Disaggregation - Section E '!A$313:J788,8,0)=0,"",VLOOKUP(C1177,' Disaggregation - Section E '!A$313:J788,8,0)),"")</f>
        <v/>
      </c>
      <c r="J1177" s="391" t="str">
        <f ca="1">IFERROR(IF(VLOOKUP(C1177,' Disaggregation - Section E '!A$313:J788,9,0)="","",VLOOKUP(C1177,' Disaggregation - Section E '!A$313:J788,9,0)),"")</f>
        <v/>
      </c>
      <c r="K1177" s="387" t="str">
        <f ca="1">IFERROR(VLOOKUP(C1177,' Disaggregation - Section E '!A$313:J788,3,0),"")</f>
        <v>TB O-6 Treatment coverage of RR-TB and/or MDR-TB: Percentage of notified people with bacteriologically confirmed, drug resistant RR-TB and/or MDR-TB as a proportion of all estimated people with RR-TB and/or MDR-TB</v>
      </c>
      <c r="L1177" s="391" t="str">
        <f ca="1">IFERROR(IF(VLOOKUP(C1177,' Disaggregation - Section E '!A$313:J788,10,0)="","",VLOOKUP(C1177,' Disaggregation - Section E '!A$313:J788,10,0)),"")</f>
        <v/>
      </c>
      <c r="M1177" s="388" t="str">
        <f ca="1">IFERROR(IF(VLOOKUP(C1177,' Disaggregation - Section E '!A$313:O492,15,0)=0,"",VLOOKUP(C1177,' Disaggregation - Section E '!A$313:O788,15,0)),"")</f>
        <v/>
      </c>
      <c r="N1177" s="387"/>
      <c r="O1177" s="387"/>
      <c r="P1177" s="387" t="str">
        <f ca="1">IFERROR(IF(VLOOKUP(C1177,' Disaggregation - Section E '!A$313:R492,18,0)=0,"",VLOOKUP(C1177,' Disaggregation - Section E '!A$313:R788,18,0)),"")</f>
        <v/>
      </c>
    </row>
    <row r="1178" spans="1:16">
      <c r="A1178" s="387" t="b">
        <f t="shared" ca="1" si="160"/>
        <v>0</v>
      </c>
      <c r="B1178" s="387"/>
      <c r="C1178" s="404" t="str">
        <f ca="1">IF(COUNTA(O$1002:O1178)=1,"",OFFSET(C1178,-COUNTA(O$1002:O1178)+1,0))</f>
        <v>a1VDm000000PgABMA0</v>
      </c>
      <c r="D1178" s="392"/>
      <c r="E1178" s="389" t="str">
        <f ca="1">IFERROR(IF(VLOOKUP(C1178,' Disaggregation - Section E '!A$313:J789,7,0)="","",VLOOKUP(C1178,' Disaggregation - Section E '!A$313:J789,7,0)*100),"")</f>
        <v/>
      </c>
      <c r="F1178" s="387"/>
      <c r="G1178" s="390" t="str">
        <f ca="1">IFERROR(IF(VLOOKUP(C1178,' Disaggregation - Section E '!A$313:J789,6,0)="","",VLOOKUP(C1178,' Disaggregation - Section E '!A$313:J789,6,0)),"")</f>
        <v/>
      </c>
      <c r="H1178" s="390" t="str">
        <f ca="1">IFERROR(IF(INDEX(' Disaggregation - Section E '!F$313:F789,MATCH(C1178,' Disaggregation - Section E '!A$313:A789,0)+1,1)&lt;&gt;0,INDEX(' Disaggregation - Section E '!F$313:F789,MATCH(C1178,' Disaggregation - Section E '!A$313:A789,0)+1,1),""),"")</f>
        <v/>
      </c>
      <c r="I1178" s="391" t="str">
        <f ca="1">IFERROR(IF(VLOOKUP(C1178,' Disaggregation - Section E '!A$313:J789,8,0)=0,"",VLOOKUP(C1178,' Disaggregation - Section E '!A$313:J789,8,0)),"")</f>
        <v/>
      </c>
      <c r="J1178" s="391" t="str">
        <f ca="1">IFERROR(IF(VLOOKUP(C1178,' Disaggregation - Section E '!A$313:J789,9,0)="","",VLOOKUP(C1178,' Disaggregation - Section E '!A$313:J789,9,0)),"")</f>
        <v/>
      </c>
      <c r="K1178" s="387" t="str">
        <f ca="1">IFERROR(VLOOKUP(C1178,' Disaggregation - Section E '!A$313:J789,3,0),"")</f>
        <v>TB O-6 Treatment coverage of RR-TB and/or MDR-TB: Percentage of notified people with bacteriologically confirmed, drug resistant RR-TB and/or MDR-TB as a proportion of all estimated people with RR-TB and/or MDR-TB</v>
      </c>
      <c r="L1178" s="391" t="str">
        <f ca="1">IFERROR(IF(VLOOKUP(C1178,' Disaggregation - Section E '!A$313:J789,10,0)="","",VLOOKUP(C1178,' Disaggregation - Section E '!A$313:J789,10,0)),"")</f>
        <v/>
      </c>
      <c r="M1178" s="388" t="str">
        <f ca="1">IFERROR(IF(VLOOKUP(C1178,' Disaggregation - Section E '!A$313:O493,15,0)=0,"",VLOOKUP(C1178,' Disaggregation - Section E '!A$313:O789,15,0)),"")</f>
        <v/>
      </c>
      <c r="N1178" s="387"/>
      <c r="O1178" s="387"/>
      <c r="P1178" s="387" t="str">
        <f ca="1">IFERROR(IF(VLOOKUP(C1178,' Disaggregation - Section E '!A$313:R493,18,0)=0,"",VLOOKUP(C1178,' Disaggregation - Section E '!A$313:R789,18,0)),"")</f>
        <v/>
      </c>
    </row>
    <row r="1179" spans="1:16">
      <c r="A1179" s="387" t="b">
        <f t="shared" ca="1" si="160"/>
        <v>0</v>
      </c>
      <c r="B1179" s="387"/>
      <c r="C1179" s="404" t="str">
        <f ca="1">IF(COUNTA(O$1002:O1179)=1,"",OFFSET(C1179,-COUNTA(O$1002:O1179)+1,0))</f>
        <v>a1VDm000000PgACMA0</v>
      </c>
      <c r="D1179" s="392"/>
      <c r="E1179" s="389" t="str">
        <f ca="1">IFERROR(IF(VLOOKUP(C1179,' Disaggregation - Section E '!A$313:J790,7,0)="","",VLOOKUP(C1179,' Disaggregation - Section E '!A$313:J790,7,0)*100),"")</f>
        <v/>
      </c>
      <c r="F1179" s="387"/>
      <c r="G1179" s="390" t="str">
        <f ca="1">IFERROR(IF(VLOOKUP(C1179,' Disaggregation - Section E '!A$313:J790,6,0)="","",VLOOKUP(C1179,' Disaggregation - Section E '!A$313:J790,6,0)),"")</f>
        <v/>
      </c>
      <c r="H1179" s="390" t="str">
        <f ca="1">IFERROR(IF(INDEX(' Disaggregation - Section E '!F$313:F790,MATCH(C1179,' Disaggregation - Section E '!A$313:A790,0)+1,1)&lt;&gt;0,INDEX(' Disaggregation - Section E '!F$313:F790,MATCH(C1179,' Disaggregation - Section E '!A$313:A790,0)+1,1),""),"")</f>
        <v/>
      </c>
      <c r="I1179" s="391" t="str">
        <f ca="1">IFERROR(IF(VLOOKUP(C1179,' Disaggregation - Section E '!A$313:J790,8,0)=0,"",VLOOKUP(C1179,' Disaggregation - Section E '!A$313:J790,8,0)),"")</f>
        <v/>
      </c>
      <c r="J1179" s="391" t="str">
        <f ca="1">IFERROR(IF(VLOOKUP(C1179,' Disaggregation - Section E '!A$313:J790,9,0)="","",VLOOKUP(C1179,' Disaggregation - Section E '!A$313:J790,9,0)),"")</f>
        <v/>
      </c>
      <c r="K1179" s="387" t="str">
        <f ca="1">IFERROR(VLOOKUP(C1179,' Disaggregation - Section E '!A$313:J790,3,0),"")</f>
        <v>TB O-6 Treatment coverage of RR-TB and/or MDR-TB: Percentage of notified people with bacteriologically confirmed, drug resistant RR-TB and/or MDR-TB as a proportion of all estimated people with RR-TB and/or MDR-TB</v>
      </c>
      <c r="L1179" s="391" t="str">
        <f ca="1">IFERROR(IF(VLOOKUP(C1179,' Disaggregation - Section E '!A$313:J790,10,0)="","",VLOOKUP(C1179,' Disaggregation - Section E '!A$313:J790,10,0)),"")</f>
        <v/>
      </c>
      <c r="M1179" s="388" t="str">
        <f ca="1">IFERROR(IF(VLOOKUP(C1179,' Disaggregation - Section E '!A$313:O494,15,0)=0,"",VLOOKUP(C1179,' Disaggregation - Section E '!A$313:O790,15,0)),"")</f>
        <v/>
      </c>
      <c r="N1179" s="387"/>
      <c r="O1179" s="387"/>
      <c r="P1179" s="387" t="str">
        <f ca="1">IFERROR(IF(VLOOKUP(C1179,' Disaggregation - Section E '!A$313:R494,18,0)=0,"",VLOOKUP(C1179,' Disaggregation - Section E '!A$313:R790,18,0)),"")</f>
        <v/>
      </c>
    </row>
    <row r="1180" spans="1:16">
      <c r="A1180" s="387" t="b">
        <f t="shared" ca="1" si="160"/>
        <v>0</v>
      </c>
      <c r="B1180" s="387"/>
      <c r="C1180" s="404" t="str">
        <f ca="1">IF(COUNTA(O$1002:O1180)=1,"",OFFSET(C1180,-COUNTA(O$1002:O1180)+1,0))</f>
        <v>a1VDm000000PgADMA0</v>
      </c>
      <c r="D1180" s="392"/>
      <c r="E1180" s="389" t="str">
        <f ca="1">IFERROR(IF(VLOOKUP(C1180,' Disaggregation - Section E '!A$313:J791,7,0)="","",VLOOKUP(C1180,' Disaggregation - Section E '!A$313:J791,7,0)*100),"")</f>
        <v/>
      </c>
      <c r="F1180" s="387"/>
      <c r="G1180" s="390" t="str">
        <f ca="1">IFERROR(IF(VLOOKUP(C1180,' Disaggregation - Section E '!A$313:J791,6,0)="","",VLOOKUP(C1180,' Disaggregation - Section E '!A$313:J791,6,0)),"")</f>
        <v/>
      </c>
      <c r="H1180" s="390" t="str">
        <f ca="1">IFERROR(IF(INDEX(' Disaggregation - Section E '!F$313:F791,MATCH(C1180,' Disaggregation - Section E '!A$313:A791,0)+1,1)&lt;&gt;0,INDEX(' Disaggregation - Section E '!F$313:F791,MATCH(C1180,' Disaggregation - Section E '!A$313:A791,0)+1,1),""),"")</f>
        <v/>
      </c>
      <c r="I1180" s="391" t="str">
        <f ca="1">IFERROR(IF(VLOOKUP(C1180,' Disaggregation - Section E '!A$313:J791,8,0)=0,"",VLOOKUP(C1180,' Disaggregation - Section E '!A$313:J791,8,0)),"")</f>
        <v/>
      </c>
      <c r="J1180" s="391" t="str">
        <f ca="1">IFERROR(IF(VLOOKUP(C1180,' Disaggregation - Section E '!A$313:J791,9,0)="","",VLOOKUP(C1180,' Disaggregation - Section E '!A$313:J791,9,0)),"")</f>
        <v/>
      </c>
      <c r="K1180" s="387" t="str">
        <f ca="1">IFERROR(VLOOKUP(C1180,' Disaggregation - Section E '!A$313:J791,3,0),"")</f>
        <v>TB O-6 Treatment coverage of RR-TB and/or MDR-TB: Percentage of notified people with bacteriologically confirmed, drug resistant RR-TB and/or MDR-TB as a proportion of all estimated people with RR-TB and/or MDR-TB</v>
      </c>
      <c r="L1180" s="391" t="str">
        <f ca="1">IFERROR(IF(VLOOKUP(C1180,' Disaggregation - Section E '!A$313:J791,10,0)="","",VLOOKUP(C1180,' Disaggregation - Section E '!A$313:J791,10,0)),"")</f>
        <v/>
      </c>
      <c r="M1180" s="388" t="str">
        <f ca="1">IFERROR(IF(VLOOKUP(C1180,' Disaggregation - Section E '!A$313:O495,15,0)=0,"",VLOOKUP(C1180,' Disaggregation - Section E '!A$313:O791,15,0)),"")</f>
        <v/>
      </c>
      <c r="N1180" s="387"/>
      <c r="O1180" s="387"/>
      <c r="P1180" s="387" t="str">
        <f ca="1">IFERROR(IF(VLOOKUP(C1180,' Disaggregation - Section E '!A$313:R495,18,0)=0,"",VLOOKUP(C1180,' Disaggregation - Section E '!A$313:R791,18,0)),"")</f>
        <v/>
      </c>
    </row>
    <row r="1181" spans="1:16">
      <c r="A1181" s="387" t="b">
        <f t="shared" ca="1" si="160"/>
        <v>0</v>
      </c>
      <c r="B1181" s="387"/>
      <c r="C1181" s="404" t="str">
        <f ca="1">IF(COUNTA(O$1002:O1181)=1,"",OFFSET(C1181,-COUNTA(O$1002:O1181)+1,0))</f>
        <v>a1VDm000000PgAEMA0</v>
      </c>
      <c r="D1181" s="392"/>
      <c r="E1181" s="389" t="str">
        <f ca="1">IFERROR(IF(VLOOKUP(C1181,' Disaggregation - Section E '!A$313:J792,7,0)="","",VLOOKUP(C1181,' Disaggregation - Section E '!A$313:J792,7,0)*100),"")</f>
        <v/>
      </c>
      <c r="F1181" s="387"/>
      <c r="G1181" s="390" t="str">
        <f ca="1">IFERROR(IF(VLOOKUP(C1181,' Disaggregation - Section E '!A$313:J792,6,0)="","",VLOOKUP(C1181,' Disaggregation - Section E '!A$313:J792,6,0)),"")</f>
        <v/>
      </c>
      <c r="H1181" s="390" t="str">
        <f ca="1">IFERROR(IF(INDEX(' Disaggregation - Section E '!F$313:F792,MATCH(C1181,' Disaggregation - Section E '!A$313:A792,0)+1,1)&lt;&gt;0,INDEX(' Disaggregation - Section E '!F$313:F792,MATCH(C1181,' Disaggregation - Section E '!A$313:A792,0)+1,1),""),"")</f>
        <v/>
      </c>
      <c r="I1181" s="391" t="str">
        <f ca="1">IFERROR(IF(VLOOKUP(C1181,' Disaggregation - Section E '!A$313:J792,8,0)=0,"",VLOOKUP(C1181,' Disaggregation - Section E '!A$313:J792,8,0)),"")</f>
        <v/>
      </c>
      <c r="J1181" s="391" t="str">
        <f ca="1">IFERROR(IF(VLOOKUP(C1181,' Disaggregation - Section E '!A$313:J792,9,0)="","",VLOOKUP(C1181,' Disaggregation - Section E '!A$313:J792,9,0)),"")</f>
        <v/>
      </c>
      <c r="K1181" s="387" t="str">
        <f ca="1">IFERROR(VLOOKUP(C1181,' Disaggregation - Section E '!A$313:J792,3,0),"")</f>
        <v>TB O-6 Treatment coverage of RR-TB and/or MDR-TB: Percentage of notified people with bacteriologically confirmed, drug resistant RR-TB and/or MDR-TB as a proportion of all estimated people with RR-TB and/or MDR-TB</v>
      </c>
      <c r="L1181" s="391" t="str">
        <f ca="1">IFERROR(IF(VLOOKUP(C1181,' Disaggregation - Section E '!A$313:J792,10,0)="","",VLOOKUP(C1181,' Disaggregation - Section E '!A$313:J792,10,0)),"")</f>
        <v/>
      </c>
      <c r="M1181" s="388" t="str">
        <f ca="1">IFERROR(IF(VLOOKUP(C1181,' Disaggregation - Section E '!A$313:O496,15,0)=0,"",VLOOKUP(C1181,' Disaggregation - Section E '!A$313:O792,15,0)),"")</f>
        <v/>
      </c>
      <c r="N1181" s="387"/>
      <c r="O1181" s="387"/>
      <c r="P1181" s="387" t="str">
        <f ca="1">IFERROR(IF(VLOOKUP(C1181,' Disaggregation - Section E '!A$313:R496,18,0)=0,"",VLOOKUP(C1181,' Disaggregation - Section E '!A$313:R792,18,0)),"")</f>
        <v/>
      </c>
    </row>
    <row r="1182" spans="1:16">
      <c r="A1182" s="387" t="b">
        <f t="shared" ca="1" si="160"/>
        <v>0</v>
      </c>
      <c r="B1182" s="387"/>
      <c r="C1182" s="404" t="str">
        <f ca="1">IF(COUNTA(O$1002:O1182)=1,"",OFFSET(C1182,-COUNTA(O$1002:O1182)+1,0))</f>
        <v>a1VDm000000PgAFMA0</v>
      </c>
      <c r="D1182" s="392"/>
      <c r="E1182" s="389" t="str">
        <f ca="1">IFERROR(IF(VLOOKUP(C1182,' Disaggregation - Section E '!A$313:J793,7,0)="","",VLOOKUP(C1182,' Disaggregation - Section E '!A$313:J793,7,0)*100),"")</f>
        <v/>
      </c>
      <c r="F1182" s="387"/>
      <c r="G1182" s="390" t="str">
        <f ca="1">IFERROR(IF(VLOOKUP(C1182,' Disaggregation - Section E '!A$313:J793,6,0)="","",VLOOKUP(C1182,' Disaggregation - Section E '!A$313:J793,6,0)),"")</f>
        <v/>
      </c>
      <c r="H1182" s="390" t="str">
        <f ca="1">IFERROR(IF(INDEX(' Disaggregation - Section E '!F$313:F793,MATCH(C1182,' Disaggregation - Section E '!A$313:A793,0)+1,1)&lt;&gt;0,INDEX(' Disaggregation - Section E '!F$313:F793,MATCH(C1182,' Disaggregation - Section E '!A$313:A793,0)+1,1),""),"")</f>
        <v/>
      </c>
      <c r="I1182" s="391" t="str">
        <f ca="1">IFERROR(IF(VLOOKUP(C1182,' Disaggregation - Section E '!A$313:J793,8,0)=0,"",VLOOKUP(C1182,' Disaggregation - Section E '!A$313:J793,8,0)),"")</f>
        <v/>
      </c>
      <c r="J1182" s="391" t="str">
        <f ca="1">IFERROR(IF(VLOOKUP(C1182,' Disaggregation - Section E '!A$313:J793,9,0)="","",VLOOKUP(C1182,' Disaggregation - Section E '!A$313:J793,9,0)),"")</f>
        <v/>
      </c>
      <c r="K1182" s="387" t="str">
        <f ca="1">IFERROR(VLOOKUP(C1182,' Disaggregation - Section E '!A$313:J793,3,0),"")</f>
        <v>TB O-6 Treatment coverage of RR-TB and/or MDR-TB: Percentage of notified people with bacteriologically confirmed, drug resistant RR-TB and/or MDR-TB as a proportion of all estimated people with RR-TB and/or MDR-TB</v>
      </c>
      <c r="L1182" s="391" t="str">
        <f ca="1">IFERROR(IF(VLOOKUP(C1182,' Disaggregation - Section E '!A$313:J793,10,0)="","",VLOOKUP(C1182,' Disaggregation - Section E '!A$313:J793,10,0)),"")</f>
        <v/>
      </c>
      <c r="M1182" s="388" t="str">
        <f ca="1">IFERROR(IF(VLOOKUP(C1182,' Disaggregation - Section E '!A$313:O497,15,0)=0,"",VLOOKUP(C1182,' Disaggregation - Section E '!A$313:O793,15,0)),"")</f>
        <v/>
      </c>
      <c r="N1182" s="387"/>
      <c r="O1182" s="387"/>
      <c r="P1182" s="387" t="str">
        <f ca="1">IFERROR(IF(VLOOKUP(C1182,' Disaggregation - Section E '!A$313:R497,18,0)=0,"",VLOOKUP(C1182,' Disaggregation - Section E '!A$313:R793,18,0)),"")</f>
        <v/>
      </c>
    </row>
    <row r="1183" spans="1:16">
      <c r="A1183" s="387" t="b">
        <f t="shared" ca="1" si="160"/>
        <v>0</v>
      </c>
      <c r="B1183" s="387"/>
      <c r="C1183" s="404" t="str">
        <f ca="1">IF(COUNTA(O$1002:O1183)=1,"",OFFSET(C1183,-COUNTA(O$1002:O1183)+1,0))</f>
        <v>a1VDm000000PgAGMA0</v>
      </c>
      <c r="D1183" s="392"/>
      <c r="E1183" s="389" t="str">
        <f ca="1">IFERROR(IF(VLOOKUP(C1183,' Disaggregation - Section E '!A$313:J794,7,0)="","",VLOOKUP(C1183,' Disaggregation - Section E '!A$313:J794,7,0)*100),"")</f>
        <v/>
      </c>
      <c r="F1183" s="387"/>
      <c r="G1183" s="390" t="str">
        <f ca="1">IFERROR(IF(VLOOKUP(C1183,' Disaggregation - Section E '!A$313:J794,6,0)="","",VLOOKUP(C1183,' Disaggregation - Section E '!A$313:J794,6,0)),"")</f>
        <v/>
      </c>
      <c r="H1183" s="390" t="str">
        <f ca="1">IFERROR(IF(INDEX(' Disaggregation - Section E '!F$313:F794,MATCH(C1183,' Disaggregation - Section E '!A$313:A794,0)+1,1)&lt;&gt;0,INDEX(' Disaggregation - Section E '!F$313:F794,MATCH(C1183,' Disaggregation - Section E '!A$313:A794,0)+1,1),""),"")</f>
        <v/>
      </c>
      <c r="I1183" s="391" t="str">
        <f ca="1">IFERROR(IF(VLOOKUP(C1183,' Disaggregation - Section E '!A$313:J794,8,0)=0,"",VLOOKUP(C1183,' Disaggregation - Section E '!A$313:J794,8,0)),"")</f>
        <v/>
      </c>
      <c r="J1183" s="391" t="str">
        <f ca="1">IFERROR(IF(VLOOKUP(C1183,' Disaggregation - Section E '!A$313:J794,9,0)="","",VLOOKUP(C1183,' Disaggregation - Section E '!A$313:J794,9,0)),"")</f>
        <v/>
      </c>
      <c r="K1183" s="387" t="str">
        <f ca="1">IFERROR(VLOOKUP(C1183,' Disaggregation - Section E '!A$313:J794,3,0),"")</f>
        <v>TB O-6 Treatment coverage of RR-TB and/or MDR-TB: Percentage of notified people with bacteriologically confirmed, drug resistant RR-TB and/or MDR-TB as a proportion of all estimated people with RR-TB and/or MDR-TB</v>
      </c>
      <c r="L1183" s="391" t="str">
        <f ca="1">IFERROR(IF(VLOOKUP(C1183,' Disaggregation - Section E '!A$313:J794,10,0)="","",VLOOKUP(C1183,' Disaggregation - Section E '!A$313:J794,10,0)),"")</f>
        <v/>
      </c>
      <c r="M1183" s="388" t="str">
        <f ca="1">IFERROR(IF(VLOOKUP(C1183,' Disaggregation - Section E '!A$313:O498,15,0)=0,"",VLOOKUP(C1183,' Disaggregation - Section E '!A$313:O794,15,0)),"")</f>
        <v/>
      </c>
      <c r="N1183" s="387"/>
      <c r="O1183" s="387"/>
      <c r="P1183" s="387" t="str">
        <f ca="1">IFERROR(IF(VLOOKUP(C1183,' Disaggregation - Section E '!A$313:R498,18,0)=0,"",VLOOKUP(C1183,' Disaggregation - Section E '!A$313:R794,18,0)),"")</f>
        <v/>
      </c>
    </row>
    <row r="1184" spans="1:16">
      <c r="A1184" s="387" t="b">
        <f t="shared" ca="1" si="160"/>
        <v>0</v>
      </c>
      <c r="B1184" s="387"/>
      <c r="C1184" s="404" t="str">
        <f ca="1">IF(COUNTA(O$1002:O1184)=1,"",OFFSET(C1184,-COUNTA(O$1002:O1184)+1,0))</f>
        <v>a1VDm000000PgAHMA0</v>
      </c>
      <c r="D1184" s="392"/>
      <c r="E1184" s="389" t="str">
        <f ca="1">IFERROR(IF(VLOOKUP(C1184,' Disaggregation - Section E '!A$313:J795,7,0)="","",VLOOKUP(C1184,' Disaggregation - Section E '!A$313:J795,7,0)*100),"")</f>
        <v/>
      </c>
      <c r="F1184" s="387"/>
      <c r="G1184" s="390" t="str">
        <f ca="1">IFERROR(IF(VLOOKUP(C1184,' Disaggregation - Section E '!A$313:J795,6,0)="","",VLOOKUP(C1184,' Disaggregation - Section E '!A$313:J795,6,0)),"")</f>
        <v/>
      </c>
      <c r="H1184" s="390" t="str">
        <f ca="1">IFERROR(IF(INDEX(' Disaggregation - Section E '!F$313:F795,MATCH(C1184,' Disaggregation - Section E '!A$313:A795,0)+1,1)&lt;&gt;0,INDEX(' Disaggregation - Section E '!F$313:F795,MATCH(C1184,' Disaggregation - Section E '!A$313:A795,0)+1,1),""),"")</f>
        <v/>
      </c>
      <c r="I1184" s="391" t="str">
        <f ca="1">IFERROR(IF(VLOOKUP(C1184,' Disaggregation - Section E '!A$313:J795,8,0)=0,"",VLOOKUP(C1184,' Disaggregation - Section E '!A$313:J795,8,0)),"")</f>
        <v/>
      </c>
      <c r="J1184" s="391" t="str">
        <f ca="1">IFERROR(IF(VLOOKUP(C1184,' Disaggregation - Section E '!A$313:J795,9,0)="","",VLOOKUP(C1184,' Disaggregation - Section E '!A$313:J795,9,0)),"")</f>
        <v/>
      </c>
      <c r="K1184" s="387" t="str">
        <f ca="1">IFERROR(VLOOKUP(C1184,' Disaggregation - Section E '!A$313:J795,3,0),"")</f>
        <v>TB O-4 Treatment success rate of RR-TB and/or MDR-TB: Percentage of patients with RR and/or MDR-TB successfully treated</v>
      </c>
      <c r="L1184" s="391" t="str">
        <f ca="1">IFERROR(IF(VLOOKUP(C1184,' Disaggregation - Section E '!A$313:J795,10,0)="","",VLOOKUP(C1184,' Disaggregation - Section E '!A$313:J795,10,0)),"")</f>
        <v/>
      </c>
      <c r="M1184" s="388" t="str">
        <f ca="1">IFERROR(IF(VLOOKUP(C1184,' Disaggregation - Section E '!A$313:O499,15,0)=0,"",VLOOKUP(C1184,' Disaggregation - Section E '!A$313:O795,15,0)),"")</f>
        <v/>
      </c>
      <c r="N1184" s="387"/>
      <c r="O1184" s="387"/>
      <c r="P1184" s="387" t="str">
        <f ca="1">IFERROR(IF(VLOOKUP(C1184,' Disaggregation - Section E '!A$313:R499,18,0)=0,"",VLOOKUP(C1184,' Disaggregation - Section E '!A$313:R795,18,0)),"")</f>
        <v/>
      </c>
    </row>
    <row r="1185" spans="1:16">
      <c r="A1185" s="387" t="b">
        <f t="shared" ca="1" si="160"/>
        <v>0</v>
      </c>
      <c r="B1185" s="387"/>
      <c r="C1185" s="404" t="str">
        <f ca="1">IF(COUNTA(O$1002:O1185)=1,"",OFFSET(C1185,-COUNTA(O$1002:O1185)+1,0))</f>
        <v>a1VDm000000PgAIMA0</v>
      </c>
      <c r="D1185" s="392"/>
      <c r="E1185" s="389" t="str">
        <f ca="1">IFERROR(IF(VLOOKUP(C1185,' Disaggregation - Section E '!A$313:J796,7,0)="","",VLOOKUP(C1185,' Disaggregation - Section E '!A$313:J796,7,0)*100),"")</f>
        <v/>
      </c>
      <c r="F1185" s="387"/>
      <c r="G1185" s="390" t="str">
        <f ca="1">IFERROR(IF(VLOOKUP(C1185,' Disaggregation - Section E '!A$313:J796,6,0)="","",VLOOKUP(C1185,' Disaggregation - Section E '!A$313:J796,6,0)),"")</f>
        <v/>
      </c>
      <c r="H1185" s="390" t="str">
        <f ca="1">IFERROR(IF(INDEX(' Disaggregation - Section E '!F$313:F796,MATCH(C1185,' Disaggregation - Section E '!A$313:A796,0)+1,1)&lt;&gt;0,INDEX(' Disaggregation - Section E '!F$313:F796,MATCH(C1185,' Disaggregation - Section E '!A$313:A796,0)+1,1),""),"")</f>
        <v/>
      </c>
      <c r="I1185" s="391" t="str">
        <f ca="1">IFERROR(IF(VLOOKUP(C1185,' Disaggregation - Section E '!A$313:J796,8,0)=0,"",VLOOKUP(C1185,' Disaggregation - Section E '!A$313:J796,8,0)),"")</f>
        <v/>
      </c>
      <c r="J1185" s="391" t="str">
        <f ca="1">IFERROR(IF(VLOOKUP(C1185,' Disaggregation - Section E '!A$313:J796,9,0)="","",VLOOKUP(C1185,' Disaggregation - Section E '!A$313:J796,9,0)),"")</f>
        <v/>
      </c>
      <c r="K1185" s="387" t="str">
        <f ca="1">IFERROR(VLOOKUP(C1185,' Disaggregation - Section E '!A$313:J796,3,0),"")</f>
        <v>TB O-4 Treatment success rate of RR-TB and/or MDR-TB: Percentage of patients with RR and/or MDR-TB successfully treated</v>
      </c>
      <c r="L1185" s="391" t="str">
        <f ca="1">IFERROR(IF(VLOOKUP(C1185,' Disaggregation - Section E '!A$313:J796,10,0)="","",VLOOKUP(C1185,' Disaggregation - Section E '!A$313:J796,10,0)),"")</f>
        <v/>
      </c>
      <c r="M1185" s="388" t="str">
        <f ca="1">IFERROR(IF(VLOOKUP(C1185,' Disaggregation - Section E '!A$313:O500,15,0)=0,"",VLOOKUP(C1185,' Disaggregation - Section E '!A$313:O796,15,0)),"")</f>
        <v/>
      </c>
      <c r="N1185" s="387"/>
      <c r="O1185" s="387"/>
      <c r="P1185" s="387" t="str">
        <f ca="1">IFERROR(IF(VLOOKUP(C1185,' Disaggregation - Section E '!A$313:R500,18,0)=0,"",VLOOKUP(C1185,' Disaggregation - Section E '!A$313:R796,18,0)),"")</f>
        <v/>
      </c>
    </row>
    <row r="1186" spans="1:16">
      <c r="A1186" s="387" t="b">
        <f t="shared" ca="1" si="160"/>
        <v>0</v>
      </c>
      <c r="B1186" s="387"/>
      <c r="C1186" s="404" t="str">
        <f ca="1">IF(COUNTA(O$1002:O1186)=1,"",OFFSET(C1186,-COUNTA(O$1002:O1186)+1,0))</f>
        <v>a1VDm000000PgAJMA0</v>
      </c>
      <c r="D1186" s="392"/>
      <c r="E1186" s="389" t="str">
        <f ca="1">IFERROR(IF(VLOOKUP(C1186,' Disaggregation - Section E '!A$313:J797,7,0)="","",VLOOKUP(C1186,' Disaggregation - Section E '!A$313:J797,7,0)*100),"")</f>
        <v/>
      </c>
      <c r="F1186" s="387"/>
      <c r="G1186" s="390" t="str">
        <f ca="1">IFERROR(IF(VLOOKUP(C1186,' Disaggregation - Section E '!A$313:J797,6,0)="","",VLOOKUP(C1186,' Disaggregation - Section E '!A$313:J797,6,0)),"")</f>
        <v/>
      </c>
      <c r="H1186" s="390" t="str">
        <f ca="1">IFERROR(IF(INDEX(' Disaggregation - Section E '!F$313:F797,MATCH(C1186,' Disaggregation - Section E '!A$313:A797,0)+1,1)&lt;&gt;0,INDEX(' Disaggregation - Section E '!F$313:F797,MATCH(C1186,' Disaggregation - Section E '!A$313:A797,0)+1,1),""),"")</f>
        <v/>
      </c>
      <c r="I1186" s="391" t="str">
        <f ca="1">IFERROR(IF(VLOOKUP(C1186,' Disaggregation - Section E '!A$313:J797,8,0)=0,"",VLOOKUP(C1186,' Disaggregation - Section E '!A$313:J797,8,0)),"")</f>
        <v/>
      </c>
      <c r="J1186" s="391" t="str">
        <f ca="1">IFERROR(IF(VLOOKUP(C1186,' Disaggregation - Section E '!A$313:J797,9,0)="","",VLOOKUP(C1186,' Disaggregation - Section E '!A$313:J797,9,0)),"")</f>
        <v/>
      </c>
      <c r="K1186" s="387" t="str">
        <f ca="1">IFERROR(VLOOKUP(C1186,' Disaggregation - Section E '!A$313:J797,3,0),"")</f>
        <v>TB O-4 Treatment success rate of RR-TB and/or MDR-TB: Percentage of patients with RR and/or MDR-TB successfully treated</v>
      </c>
      <c r="L1186" s="391" t="str">
        <f ca="1">IFERROR(IF(VLOOKUP(C1186,' Disaggregation - Section E '!A$313:J797,10,0)="","",VLOOKUP(C1186,' Disaggregation - Section E '!A$313:J797,10,0)),"")</f>
        <v/>
      </c>
      <c r="M1186" s="388" t="str">
        <f ca="1">IFERROR(IF(VLOOKUP(C1186,' Disaggregation - Section E '!A$313:O501,15,0)=0,"",VLOOKUP(C1186,' Disaggregation - Section E '!A$313:O797,15,0)),"")</f>
        <v/>
      </c>
      <c r="N1186" s="387"/>
      <c r="O1186" s="387"/>
      <c r="P1186" s="387" t="str">
        <f ca="1">IFERROR(IF(VLOOKUP(C1186,' Disaggregation - Section E '!A$313:R501,18,0)=0,"",VLOOKUP(C1186,' Disaggregation - Section E '!A$313:R797,18,0)),"")</f>
        <v/>
      </c>
    </row>
    <row r="1187" spans="1:16">
      <c r="A1187" s="387" t="b">
        <f t="shared" ca="1" si="160"/>
        <v>0</v>
      </c>
      <c r="B1187" s="387"/>
      <c r="C1187" s="404" t="str">
        <f ca="1">IF(COUNTA(O$1002:O1187)=1,"",OFFSET(C1187,-COUNTA(O$1002:O1187)+1,0))</f>
        <v>a1VDm000000PgAKMA0</v>
      </c>
      <c r="D1187" s="392"/>
      <c r="E1187" s="389" t="str">
        <f ca="1">IFERROR(IF(VLOOKUP(C1187,' Disaggregation - Section E '!A$313:J798,7,0)="","",VLOOKUP(C1187,' Disaggregation - Section E '!A$313:J798,7,0)*100),"")</f>
        <v/>
      </c>
      <c r="F1187" s="387"/>
      <c r="G1187" s="390" t="str">
        <f ca="1">IFERROR(IF(VLOOKUP(C1187,' Disaggregation - Section E '!A$313:J798,6,0)="","",VLOOKUP(C1187,' Disaggregation - Section E '!A$313:J798,6,0)),"")</f>
        <v/>
      </c>
      <c r="H1187" s="390" t="str">
        <f ca="1">IFERROR(IF(INDEX(' Disaggregation - Section E '!F$313:F798,MATCH(C1187,' Disaggregation - Section E '!A$313:A798,0)+1,1)&lt;&gt;0,INDEX(' Disaggregation - Section E '!F$313:F798,MATCH(C1187,' Disaggregation - Section E '!A$313:A798,0)+1,1),""),"")</f>
        <v/>
      </c>
      <c r="I1187" s="391" t="str">
        <f ca="1">IFERROR(IF(VLOOKUP(C1187,' Disaggregation - Section E '!A$313:J798,8,0)=0,"",VLOOKUP(C1187,' Disaggregation - Section E '!A$313:J798,8,0)),"")</f>
        <v/>
      </c>
      <c r="J1187" s="391" t="str">
        <f ca="1">IFERROR(IF(VLOOKUP(C1187,' Disaggregation - Section E '!A$313:J798,9,0)="","",VLOOKUP(C1187,' Disaggregation - Section E '!A$313:J798,9,0)),"")</f>
        <v/>
      </c>
      <c r="K1187" s="387" t="str">
        <f ca="1">IFERROR(VLOOKUP(C1187,' Disaggregation - Section E '!A$313:J798,3,0),"")</f>
        <v>TB O-4 Treatment success rate of RR-TB and/or MDR-TB: Percentage of patients with RR and/or MDR-TB successfully treated</v>
      </c>
      <c r="L1187" s="391" t="str">
        <f ca="1">IFERROR(IF(VLOOKUP(C1187,' Disaggregation - Section E '!A$313:J798,10,0)="","",VLOOKUP(C1187,' Disaggregation - Section E '!A$313:J798,10,0)),"")</f>
        <v/>
      </c>
      <c r="M1187" s="388" t="str">
        <f ca="1">IFERROR(IF(VLOOKUP(C1187,' Disaggregation - Section E '!A$313:O502,15,0)=0,"",VLOOKUP(C1187,' Disaggregation - Section E '!A$313:O798,15,0)),"")</f>
        <v/>
      </c>
      <c r="N1187" s="387"/>
      <c r="O1187" s="387"/>
      <c r="P1187" s="387" t="str">
        <f ca="1">IFERROR(IF(VLOOKUP(C1187,' Disaggregation - Section E '!A$313:R502,18,0)=0,"",VLOOKUP(C1187,' Disaggregation - Section E '!A$313:R798,18,0)),"")</f>
        <v/>
      </c>
    </row>
    <row r="1188" spans="1:16">
      <c r="A1188" s="387" t="b">
        <f t="shared" ca="1" si="160"/>
        <v>0</v>
      </c>
      <c r="B1188" s="387"/>
      <c r="C1188" s="404" t="str">
        <f ca="1">IF(COUNTA(O$1002:O1188)=1,"",OFFSET(C1188,-COUNTA(O$1002:O1188)+1,0))</f>
        <v>a1VDm000000PgALMA0</v>
      </c>
      <c r="D1188" s="392"/>
      <c r="E1188" s="389" t="str">
        <f ca="1">IFERROR(IF(VLOOKUP(C1188,' Disaggregation - Section E '!A$313:J799,7,0)="","",VLOOKUP(C1188,' Disaggregation - Section E '!A$313:J799,7,0)*100),"")</f>
        <v/>
      </c>
      <c r="F1188" s="387"/>
      <c r="G1188" s="390" t="str">
        <f ca="1">IFERROR(IF(VLOOKUP(C1188,' Disaggregation - Section E '!A$313:J799,6,0)="","",VLOOKUP(C1188,' Disaggregation - Section E '!A$313:J799,6,0)),"")</f>
        <v/>
      </c>
      <c r="H1188" s="390" t="str">
        <f ca="1">IFERROR(IF(INDEX(' Disaggregation - Section E '!F$313:F799,MATCH(C1188,' Disaggregation - Section E '!A$313:A799,0)+1,1)&lt;&gt;0,INDEX(' Disaggregation - Section E '!F$313:F799,MATCH(C1188,' Disaggregation - Section E '!A$313:A799,0)+1,1),""),"")</f>
        <v/>
      </c>
      <c r="I1188" s="391" t="str">
        <f ca="1">IFERROR(IF(VLOOKUP(C1188,' Disaggregation - Section E '!A$313:J799,8,0)=0,"",VLOOKUP(C1188,' Disaggregation - Section E '!A$313:J799,8,0)),"")</f>
        <v/>
      </c>
      <c r="J1188" s="391" t="str">
        <f ca="1">IFERROR(IF(VLOOKUP(C1188,' Disaggregation - Section E '!A$313:J799,9,0)="","",VLOOKUP(C1188,' Disaggregation - Section E '!A$313:J799,9,0)),"")</f>
        <v/>
      </c>
      <c r="K1188" s="387" t="str">
        <f ca="1">IFERROR(VLOOKUP(C1188,' Disaggregation - Section E '!A$313:J799,3,0),"")</f>
        <v>TB O-4 Treatment success rate of RR-TB and/or MDR-TB: Percentage of patients with RR and/or MDR-TB successfully treated</v>
      </c>
      <c r="L1188" s="391" t="str">
        <f ca="1">IFERROR(IF(VLOOKUP(C1188,' Disaggregation - Section E '!A$313:J799,10,0)="","",VLOOKUP(C1188,' Disaggregation - Section E '!A$313:J799,10,0)),"")</f>
        <v/>
      </c>
      <c r="M1188" s="388" t="str">
        <f ca="1">IFERROR(IF(VLOOKUP(C1188,' Disaggregation - Section E '!A$313:O503,15,0)=0,"",VLOOKUP(C1188,' Disaggregation - Section E '!A$313:O799,15,0)),"")</f>
        <v/>
      </c>
      <c r="N1188" s="387"/>
      <c r="O1188" s="387"/>
      <c r="P1188" s="387" t="str">
        <f ca="1">IFERROR(IF(VLOOKUP(C1188,' Disaggregation - Section E '!A$313:R503,18,0)=0,"",VLOOKUP(C1188,' Disaggregation - Section E '!A$313:R799,18,0)),"")</f>
        <v/>
      </c>
    </row>
    <row r="1189" spans="1:16">
      <c r="A1189" s="387" t="b">
        <f t="shared" ca="1" si="160"/>
        <v>0</v>
      </c>
      <c r="B1189" s="387"/>
      <c r="C1189" s="404" t="str">
        <f ca="1">IF(COUNTA(O$1002:O1189)=1,"",OFFSET(C1189,-COUNTA(O$1002:O1189)+1,0))</f>
        <v>a1VDm000000PgAMMA0</v>
      </c>
      <c r="D1189" s="392"/>
      <c r="E1189" s="389" t="str">
        <f ca="1">IFERROR(IF(VLOOKUP(C1189,' Disaggregation - Section E '!A$313:J800,7,0)="","",VLOOKUP(C1189,' Disaggregation - Section E '!A$313:J800,7,0)*100),"")</f>
        <v/>
      </c>
      <c r="F1189" s="387"/>
      <c r="G1189" s="390" t="str">
        <f ca="1">IFERROR(IF(VLOOKUP(C1189,' Disaggregation - Section E '!A$313:J800,6,0)="","",VLOOKUP(C1189,' Disaggregation - Section E '!A$313:J800,6,0)),"")</f>
        <v/>
      </c>
      <c r="H1189" s="390" t="str">
        <f ca="1">IFERROR(IF(INDEX(' Disaggregation - Section E '!F$313:F800,MATCH(C1189,' Disaggregation - Section E '!A$313:A800,0)+1,1)&lt;&gt;0,INDEX(' Disaggregation - Section E '!F$313:F800,MATCH(C1189,' Disaggregation - Section E '!A$313:A800,0)+1,1),""),"")</f>
        <v/>
      </c>
      <c r="I1189" s="391" t="str">
        <f ca="1">IFERROR(IF(VLOOKUP(C1189,' Disaggregation - Section E '!A$313:J800,8,0)=0,"",VLOOKUP(C1189,' Disaggregation - Section E '!A$313:J800,8,0)),"")</f>
        <v/>
      </c>
      <c r="J1189" s="391" t="str">
        <f ca="1">IFERROR(IF(VLOOKUP(C1189,' Disaggregation - Section E '!A$313:J800,9,0)="","",VLOOKUP(C1189,' Disaggregation - Section E '!A$313:J800,9,0)),"")</f>
        <v/>
      </c>
      <c r="K1189" s="387" t="str">
        <f ca="1">IFERROR(VLOOKUP(C1189,' Disaggregation - Section E '!A$313:J800,3,0),"")</f>
        <v>TB O-4 Treatment success rate of RR-TB and/or MDR-TB: Percentage of patients with RR and/or MDR-TB successfully treated</v>
      </c>
      <c r="L1189" s="391" t="str">
        <f ca="1">IFERROR(IF(VLOOKUP(C1189,' Disaggregation - Section E '!A$313:J800,10,0)="","",VLOOKUP(C1189,' Disaggregation - Section E '!A$313:J800,10,0)),"")</f>
        <v/>
      </c>
      <c r="M1189" s="388" t="str">
        <f ca="1">IFERROR(IF(VLOOKUP(C1189,' Disaggregation - Section E '!A$313:O504,15,0)=0,"",VLOOKUP(C1189,' Disaggregation - Section E '!A$313:O800,15,0)),"")</f>
        <v/>
      </c>
      <c r="N1189" s="387"/>
      <c r="O1189" s="387"/>
      <c r="P1189" s="387" t="str">
        <f ca="1">IFERROR(IF(VLOOKUP(C1189,' Disaggregation - Section E '!A$313:R504,18,0)=0,"",VLOOKUP(C1189,' Disaggregation - Section E '!A$313:R800,18,0)),"")</f>
        <v/>
      </c>
    </row>
    <row r="1190" spans="1:16">
      <c r="A1190" s="387" t="b">
        <f t="shared" ca="1" si="160"/>
        <v>0</v>
      </c>
      <c r="B1190" s="387"/>
      <c r="C1190" s="404" t="str">
        <f ca="1">IF(COUNTA(O$1002:O1190)=1,"",OFFSET(C1190,-COUNTA(O$1002:O1190)+1,0))</f>
        <v>a1VDm000000PgANMA0</v>
      </c>
      <c r="D1190" s="392"/>
      <c r="E1190" s="389" t="str">
        <f ca="1">IFERROR(IF(VLOOKUP(C1190,' Disaggregation - Section E '!A$313:J801,7,0)="","",VLOOKUP(C1190,' Disaggregation - Section E '!A$313:J801,7,0)*100),"")</f>
        <v/>
      </c>
      <c r="F1190" s="387"/>
      <c r="G1190" s="390" t="str">
        <f ca="1">IFERROR(IF(VLOOKUP(C1190,' Disaggregation - Section E '!A$313:J801,6,0)="","",VLOOKUP(C1190,' Disaggregation - Section E '!A$313:J801,6,0)),"")</f>
        <v/>
      </c>
      <c r="H1190" s="390" t="str">
        <f ca="1">IFERROR(IF(INDEX(' Disaggregation - Section E '!F$313:F801,MATCH(C1190,' Disaggregation - Section E '!A$313:A801,0)+1,1)&lt;&gt;0,INDEX(' Disaggregation - Section E '!F$313:F801,MATCH(C1190,' Disaggregation - Section E '!A$313:A801,0)+1,1),""),"")</f>
        <v/>
      </c>
      <c r="I1190" s="391" t="str">
        <f ca="1">IFERROR(IF(VLOOKUP(C1190,' Disaggregation - Section E '!A$313:J801,8,0)=0,"",VLOOKUP(C1190,' Disaggregation - Section E '!A$313:J801,8,0)),"")</f>
        <v/>
      </c>
      <c r="J1190" s="391" t="str">
        <f ca="1">IFERROR(IF(VLOOKUP(C1190,' Disaggregation - Section E '!A$313:J801,9,0)="","",VLOOKUP(C1190,' Disaggregation - Section E '!A$313:J801,9,0)),"")</f>
        <v/>
      </c>
      <c r="K1190" s="387" t="str">
        <f ca="1">IFERROR(VLOOKUP(C1190,' Disaggregation - Section E '!A$313:J801,3,0),"")</f>
        <v>TB O-4 Treatment success rate of RR-TB and/or MDR-TB: Percentage of patients with RR and/or MDR-TB successfully treated</v>
      </c>
      <c r="L1190" s="391" t="str">
        <f ca="1">IFERROR(IF(VLOOKUP(C1190,' Disaggregation - Section E '!A$313:J801,10,0)="","",VLOOKUP(C1190,' Disaggregation - Section E '!A$313:J801,10,0)),"")</f>
        <v/>
      </c>
      <c r="M1190" s="388" t="str">
        <f ca="1">IFERROR(IF(VLOOKUP(C1190,' Disaggregation - Section E '!A$313:O505,15,0)=0,"",VLOOKUP(C1190,' Disaggregation - Section E '!A$313:O801,15,0)),"")</f>
        <v/>
      </c>
      <c r="N1190" s="387"/>
      <c r="O1190" s="387"/>
      <c r="P1190" s="387" t="str">
        <f ca="1">IFERROR(IF(VLOOKUP(C1190,' Disaggregation - Section E '!A$313:R505,18,0)=0,"",VLOOKUP(C1190,' Disaggregation - Section E '!A$313:R801,18,0)),"")</f>
        <v/>
      </c>
    </row>
    <row r="1191" spans="1:16">
      <c r="A1191" s="387" t="b">
        <f t="shared" ca="1" si="160"/>
        <v>0</v>
      </c>
      <c r="B1191" s="387"/>
      <c r="C1191" s="404" t="str">
        <f ca="1">IF(COUNTA(O$1002:O1191)=1,"",OFFSET(C1191,-COUNTA(O$1002:O1191)+1,0))</f>
        <v>a1VDm000000PgAOMA0</v>
      </c>
      <c r="D1191" s="392"/>
      <c r="E1191" s="389" t="str">
        <f ca="1">IFERROR(IF(VLOOKUP(C1191,' Disaggregation - Section E '!A$313:J802,7,0)="","",VLOOKUP(C1191,' Disaggregation - Section E '!A$313:J802,7,0)*100),"")</f>
        <v/>
      </c>
      <c r="F1191" s="387"/>
      <c r="G1191" s="390" t="str">
        <f ca="1">IFERROR(IF(VLOOKUP(C1191,' Disaggregation - Section E '!A$313:J802,6,0)="","",VLOOKUP(C1191,' Disaggregation - Section E '!A$313:J802,6,0)),"")</f>
        <v/>
      </c>
      <c r="H1191" s="390" t="str">
        <f ca="1">IFERROR(IF(INDEX(' Disaggregation - Section E '!F$313:F802,MATCH(C1191,' Disaggregation - Section E '!A$313:A802,0)+1,1)&lt;&gt;0,INDEX(' Disaggregation - Section E '!F$313:F802,MATCH(C1191,' Disaggregation - Section E '!A$313:A802,0)+1,1),""),"")</f>
        <v/>
      </c>
      <c r="I1191" s="391" t="str">
        <f ca="1">IFERROR(IF(VLOOKUP(C1191,' Disaggregation - Section E '!A$313:J802,8,0)=0,"",VLOOKUP(C1191,' Disaggregation - Section E '!A$313:J802,8,0)),"")</f>
        <v/>
      </c>
      <c r="J1191" s="391" t="str">
        <f ca="1">IFERROR(IF(VLOOKUP(C1191,' Disaggregation - Section E '!A$313:J802,9,0)="","",VLOOKUP(C1191,' Disaggregation - Section E '!A$313:J802,9,0)),"")</f>
        <v/>
      </c>
      <c r="K1191" s="387" t="str">
        <f ca="1">IFERROR(VLOOKUP(C1191,' Disaggregation - Section E '!A$313:J802,3,0),"")</f>
        <v>TB O-4 Treatment success rate of RR-TB and/or MDR-TB: Percentage of patients with RR and/or MDR-TB successfully treated</v>
      </c>
      <c r="L1191" s="391" t="str">
        <f ca="1">IFERROR(IF(VLOOKUP(C1191,' Disaggregation - Section E '!A$313:J802,10,0)="","",VLOOKUP(C1191,' Disaggregation - Section E '!A$313:J802,10,0)),"")</f>
        <v/>
      </c>
      <c r="M1191" s="388" t="str">
        <f ca="1">IFERROR(IF(VLOOKUP(C1191,' Disaggregation - Section E '!A$313:O506,15,0)=0,"",VLOOKUP(C1191,' Disaggregation - Section E '!A$313:O802,15,0)),"")</f>
        <v/>
      </c>
      <c r="N1191" s="387"/>
      <c r="O1191" s="387"/>
      <c r="P1191" s="387" t="str">
        <f ca="1">IFERROR(IF(VLOOKUP(C1191,' Disaggregation - Section E '!A$313:R506,18,0)=0,"",VLOOKUP(C1191,' Disaggregation - Section E '!A$313:R802,18,0)),"")</f>
        <v/>
      </c>
    </row>
    <row r="1192" spans="1:16">
      <c r="A1192" s="387" t="b">
        <f t="shared" ca="1" si="160"/>
        <v>0</v>
      </c>
      <c r="B1192" s="387"/>
      <c r="C1192" s="404" t="str">
        <f ca="1">IF(COUNTA(O$1002:O1192)=1,"",OFFSET(C1192,-COUNTA(O$1002:O1192)+1,0))</f>
        <v>a1VDm000000PgAPMA0</v>
      </c>
      <c r="D1192" s="392"/>
      <c r="E1192" s="389" t="str">
        <f ca="1">IFERROR(IF(VLOOKUP(C1192,' Disaggregation - Section E '!A$313:J803,7,0)="","",VLOOKUP(C1192,' Disaggregation - Section E '!A$313:J803,7,0)*100),"")</f>
        <v/>
      </c>
      <c r="F1192" s="387"/>
      <c r="G1192" s="390" t="str">
        <f ca="1">IFERROR(IF(VLOOKUP(C1192,' Disaggregation - Section E '!A$313:J803,6,0)="","",VLOOKUP(C1192,' Disaggregation - Section E '!A$313:J803,6,0)),"")</f>
        <v/>
      </c>
      <c r="H1192" s="390" t="str">
        <f ca="1">IFERROR(IF(INDEX(' Disaggregation - Section E '!F$313:F803,MATCH(C1192,' Disaggregation - Section E '!A$313:A803,0)+1,1)&lt;&gt;0,INDEX(' Disaggregation - Section E '!F$313:F803,MATCH(C1192,' Disaggregation - Section E '!A$313:A803,0)+1,1),""),"")</f>
        <v/>
      </c>
      <c r="I1192" s="391" t="str">
        <f ca="1">IFERROR(IF(VLOOKUP(C1192,' Disaggregation - Section E '!A$313:J803,8,0)=0,"",VLOOKUP(C1192,' Disaggregation - Section E '!A$313:J803,8,0)),"")</f>
        <v/>
      </c>
      <c r="J1192" s="391" t="str">
        <f ca="1">IFERROR(IF(VLOOKUP(C1192,' Disaggregation - Section E '!A$313:J803,9,0)="","",VLOOKUP(C1192,' Disaggregation - Section E '!A$313:J803,9,0)),"")</f>
        <v/>
      </c>
      <c r="K1192" s="387" t="str">
        <f ca="1">IFERROR(VLOOKUP(C1192,' Disaggregation - Section E '!A$313:J803,3,0),"")</f>
        <v>TB O-4 Treatment success rate of RR-TB and/or MDR-TB: Percentage of patients with RR and/or MDR-TB successfully treated</v>
      </c>
      <c r="L1192" s="391" t="str">
        <f ca="1">IFERROR(IF(VLOOKUP(C1192,' Disaggregation - Section E '!A$313:J803,10,0)="","",VLOOKUP(C1192,' Disaggregation - Section E '!A$313:J803,10,0)),"")</f>
        <v/>
      </c>
      <c r="M1192" s="388" t="str">
        <f ca="1">IFERROR(IF(VLOOKUP(C1192,' Disaggregation - Section E '!A$313:O507,15,0)=0,"",VLOOKUP(C1192,' Disaggregation - Section E '!A$313:O803,15,0)),"")</f>
        <v/>
      </c>
      <c r="N1192" s="387"/>
      <c r="O1192" s="387"/>
      <c r="P1192" s="387" t="str">
        <f ca="1">IFERROR(IF(VLOOKUP(C1192,' Disaggregation - Section E '!A$313:R507,18,0)=0,"",VLOOKUP(C1192,' Disaggregation - Section E '!A$313:R803,18,0)),"")</f>
        <v/>
      </c>
    </row>
    <row r="1193" spans="1:16">
      <c r="A1193" s="387" t="b">
        <f t="shared" ca="1" si="160"/>
        <v>0</v>
      </c>
      <c r="B1193" s="387"/>
      <c r="C1193" s="404" t="str">
        <f ca="1">IF(COUNTA(O$1002:O1193)=1,"",OFFSET(C1193,-COUNTA(O$1002:O1193)+1,0))</f>
        <v>a1VDm000000PgAQMA0</v>
      </c>
      <c r="D1193" s="392"/>
      <c r="E1193" s="389" t="str">
        <f ca="1">IFERROR(IF(VLOOKUP(C1193,' Disaggregation - Section E '!A$313:J804,7,0)="","",VLOOKUP(C1193,' Disaggregation - Section E '!A$313:J804,7,0)*100),"")</f>
        <v/>
      </c>
      <c r="F1193" s="387"/>
      <c r="G1193" s="390" t="str">
        <f ca="1">IFERROR(IF(VLOOKUP(C1193,' Disaggregation - Section E '!A$313:J804,6,0)="","",VLOOKUP(C1193,' Disaggregation - Section E '!A$313:J804,6,0)),"")</f>
        <v/>
      </c>
      <c r="H1193" s="390" t="str">
        <f ca="1">IFERROR(IF(INDEX(' Disaggregation - Section E '!F$313:F804,MATCH(C1193,' Disaggregation - Section E '!A$313:A804,0)+1,1)&lt;&gt;0,INDEX(' Disaggregation - Section E '!F$313:F804,MATCH(C1193,' Disaggregation - Section E '!A$313:A804,0)+1,1),""),"")</f>
        <v/>
      </c>
      <c r="I1193" s="391" t="str">
        <f ca="1">IFERROR(IF(VLOOKUP(C1193,' Disaggregation - Section E '!A$313:J804,8,0)=0,"",VLOOKUP(C1193,' Disaggregation - Section E '!A$313:J804,8,0)),"")</f>
        <v/>
      </c>
      <c r="J1193" s="391" t="str">
        <f ca="1">IFERROR(IF(VLOOKUP(C1193,' Disaggregation - Section E '!A$313:J804,9,0)="","",VLOOKUP(C1193,' Disaggregation - Section E '!A$313:J804,9,0)),"")</f>
        <v/>
      </c>
      <c r="K1193" s="387" t="str">
        <f ca="1">IFERROR(VLOOKUP(C1193,' Disaggregation - Section E '!A$313:J804,3,0),"")</f>
        <v>TB O-4 Treatment success rate of RR-TB and/or MDR-TB: Percentage of patients with RR and/or MDR-TB successfully treated</v>
      </c>
      <c r="L1193" s="391" t="str">
        <f ca="1">IFERROR(IF(VLOOKUP(C1193,' Disaggregation - Section E '!A$313:J804,10,0)="","",VLOOKUP(C1193,' Disaggregation - Section E '!A$313:J804,10,0)),"")</f>
        <v/>
      </c>
      <c r="M1193" s="388" t="str">
        <f ca="1">IFERROR(IF(VLOOKUP(C1193,' Disaggregation - Section E '!A$313:O508,15,0)=0,"",VLOOKUP(C1193,' Disaggregation - Section E '!A$313:O804,15,0)),"")</f>
        <v/>
      </c>
      <c r="N1193" s="387"/>
      <c r="O1193" s="387"/>
      <c r="P1193" s="387" t="str">
        <f ca="1">IFERROR(IF(VLOOKUP(C1193,' Disaggregation - Section E '!A$313:R508,18,0)=0,"",VLOOKUP(C1193,' Disaggregation - Section E '!A$313:R804,18,0)),"")</f>
        <v/>
      </c>
    </row>
    <row r="1194" spans="1:16">
      <c r="A1194" s="387" t="b">
        <f t="shared" ca="1" si="160"/>
        <v>0</v>
      </c>
      <c r="B1194" s="387"/>
      <c r="C1194" s="404" t="str">
        <f ca="1">IF(COUNTA(O$1002:O1194)=1,"",OFFSET(C1194,-COUNTA(O$1002:O1194)+1,0))</f>
        <v>a1VDm000000PgARMA0</v>
      </c>
      <c r="D1194" s="392"/>
      <c r="E1194" s="389" t="str">
        <f ca="1">IFERROR(IF(VLOOKUP(C1194,' Disaggregation - Section E '!A$313:J805,7,0)="","",VLOOKUP(C1194,' Disaggregation - Section E '!A$313:J805,7,0)*100),"")</f>
        <v/>
      </c>
      <c r="F1194" s="387"/>
      <c r="G1194" s="390" t="str">
        <f ca="1">IFERROR(IF(VLOOKUP(C1194,' Disaggregation - Section E '!A$313:J805,6,0)="","",VLOOKUP(C1194,' Disaggregation - Section E '!A$313:J805,6,0)),"")</f>
        <v/>
      </c>
      <c r="H1194" s="390" t="str">
        <f ca="1">IFERROR(IF(INDEX(' Disaggregation - Section E '!F$313:F805,MATCH(C1194,' Disaggregation - Section E '!A$313:A805,0)+1,1)&lt;&gt;0,INDEX(' Disaggregation - Section E '!F$313:F805,MATCH(C1194,' Disaggregation - Section E '!A$313:A805,0)+1,1),""),"")</f>
        <v/>
      </c>
      <c r="I1194" s="391" t="str">
        <f ca="1">IFERROR(IF(VLOOKUP(C1194,' Disaggregation - Section E '!A$313:J805,8,0)=0,"",VLOOKUP(C1194,' Disaggregation - Section E '!A$313:J805,8,0)),"")</f>
        <v/>
      </c>
      <c r="J1194" s="391" t="str">
        <f ca="1">IFERROR(IF(VLOOKUP(C1194,' Disaggregation - Section E '!A$313:J805,9,0)="","",VLOOKUP(C1194,' Disaggregation - Section E '!A$313:J805,9,0)),"")</f>
        <v/>
      </c>
      <c r="K1194" s="387" t="str">
        <f ca="1">IFERROR(VLOOKUP(C1194,' Disaggregation - Section E '!A$313:J805,3,0),"")</f>
        <v>HIV O-4a Percentage of men reporting using a condom the last time they had anal sex with a male partner</v>
      </c>
      <c r="L1194" s="391" t="str">
        <f ca="1">IFERROR(IF(VLOOKUP(C1194,' Disaggregation - Section E '!A$313:J805,10,0)="","",VLOOKUP(C1194,' Disaggregation - Section E '!A$313:J805,10,0)),"")</f>
        <v/>
      </c>
      <c r="M1194" s="388" t="str">
        <f ca="1">IFERROR(IF(VLOOKUP(C1194,' Disaggregation - Section E '!A$313:O509,15,0)=0,"",VLOOKUP(C1194,' Disaggregation - Section E '!A$313:O805,15,0)),"")</f>
        <v/>
      </c>
      <c r="N1194" s="387"/>
      <c r="O1194" s="387"/>
      <c r="P1194" s="387" t="str">
        <f ca="1">IFERROR(IF(VLOOKUP(C1194,' Disaggregation - Section E '!A$313:R509,18,0)=0,"",VLOOKUP(C1194,' Disaggregation - Section E '!A$313:R805,18,0)),"")</f>
        <v/>
      </c>
    </row>
    <row r="1195" spans="1:16">
      <c r="A1195" s="387" t="b">
        <f t="shared" ca="1" si="160"/>
        <v>0</v>
      </c>
      <c r="B1195" s="387"/>
      <c r="C1195" s="404" t="str">
        <f ca="1">IF(COUNTA(O$1002:O1195)=1,"",OFFSET(C1195,-COUNTA(O$1002:O1195)+1,0))</f>
        <v>a1VDm000000PgASMA0</v>
      </c>
      <c r="D1195" s="392"/>
      <c r="E1195" s="389" t="str">
        <f ca="1">IFERROR(IF(VLOOKUP(C1195,' Disaggregation - Section E '!A$313:J806,7,0)="","",VLOOKUP(C1195,' Disaggregation - Section E '!A$313:J806,7,0)*100),"")</f>
        <v/>
      </c>
      <c r="F1195" s="387"/>
      <c r="G1195" s="390" t="str">
        <f ca="1">IFERROR(IF(VLOOKUP(C1195,' Disaggregation - Section E '!A$313:J806,6,0)="","",VLOOKUP(C1195,' Disaggregation - Section E '!A$313:J806,6,0)),"")</f>
        <v/>
      </c>
      <c r="H1195" s="390" t="str">
        <f ca="1">IFERROR(IF(INDEX(' Disaggregation - Section E '!F$313:F806,MATCH(C1195,' Disaggregation - Section E '!A$313:A806,0)+1,1)&lt;&gt;0,INDEX(' Disaggregation - Section E '!F$313:F806,MATCH(C1195,' Disaggregation - Section E '!A$313:A806,0)+1,1),""),"")</f>
        <v/>
      </c>
      <c r="I1195" s="391" t="str">
        <f ca="1">IFERROR(IF(VLOOKUP(C1195,' Disaggregation - Section E '!A$313:J806,8,0)=0,"",VLOOKUP(C1195,' Disaggregation - Section E '!A$313:J806,8,0)),"")</f>
        <v/>
      </c>
      <c r="J1195" s="391" t="str">
        <f ca="1">IFERROR(IF(VLOOKUP(C1195,' Disaggregation - Section E '!A$313:J806,9,0)="","",VLOOKUP(C1195,' Disaggregation - Section E '!A$313:J806,9,0)),"")</f>
        <v/>
      </c>
      <c r="K1195" s="387" t="str">
        <f ca="1">IFERROR(VLOOKUP(C1195,' Disaggregation - Section E '!A$313:J806,3,0),"")</f>
        <v>HIV O-4a Percentage of men reporting using a condom the last time they had anal sex with a male partner</v>
      </c>
      <c r="L1195" s="391" t="str">
        <f ca="1">IFERROR(IF(VLOOKUP(C1195,' Disaggregation - Section E '!A$313:J806,10,0)="","",VLOOKUP(C1195,' Disaggregation - Section E '!A$313:J806,10,0)),"")</f>
        <v/>
      </c>
      <c r="M1195" s="388" t="str">
        <f ca="1">IFERROR(IF(VLOOKUP(C1195,' Disaggregation - Section E '!A$313:O510,15,0)=0,"",VLOOKUP(C1195,' Disaggregation - Section E '!A$313:O806,15,0)),"")</f>
        <v/>
      </c>
      <c r="N1195" s="387"/>
      <c r="O1195" s="387"/>
      <c r="P1195" s="387" t="str">
        <f ca="1">IFERROR(IF(VLOOKUP(C1195,' Disaggregation - Section E '!A$313:R510,18,0)=0,"",VLOOKUP(C1195,' Disaggregation - Section E '!A$313:R806,18,0)),"")</f>
        <v/>
      </c>
    </row>
    <row r="1196" spans="1:16">
      <c r="A1196" s="387" t="b">
        <f t="shared" ca="1" si="160"/>
        <v>0</v>
      </c>
      <c r="B1196" s="387"/>
      <c r="C1196" s="404" t="str">
        <f ca="1">IF(COUNTA(O$1002:O1196)=1,"",OFFSET(C1196,-COUNTA(O$1002:O1196)+1,0))</f>
        <v>a1VDm000000PgATMA0</v>
      </c>
      <c r="D1196" s="392"/>
      <c r="E1196" s="389" t="str">
        <f ca="1">IFERROR(IF(VLOOKUP(C1196,' Disaggregation - Section E '!A$313:J807,7,0)="","",VLOOKUP(C1196,' Disaggregation - Section E '!A$313:J807,7,0)*100),"")</f>
        <v/>
      </c>
      <c r="F1196" s="387"/>
      <c r="G1196" s="390" t="str">
        <f ca="1">IFERROR(IF(VLOOKUP(C1196,' Disaggregation - Section E '!A$313:J807,6,0)="","",VLOOKUP(C1196,' Disaggregation - Section E '!A$313:J807,6,0)),"")</f>
        <v/>
      </c>
      <c r="H1196" s="390" t="str">
        <f ca="1">IFERROR(IF(INDEX(' Disaggregation - Section E '!F$313:F807,MATCH(C1196,' Disaggregation - Section E '!A$313:A807,0)+1,1)&lt;&gt;0,INDEX(' Disaggregation - Section E '!F$313:F807,MATCH(C1196,' Disaggregation - Section E '!A$313:A807,0)+1,1),""),"")</f>
        <v/>
      </c>
      <c r="I1196" s="391" t="str">
        <f ca="1">IFERROR(IF(VLOOKUP(C1196,' Disaggregation - Section E '!A$313:J807,8,0)=0,"",VLOOKUP(C1196,' Disaggregation - Section E '!A$313:J807,8,0)),"")</f>
        <v/>
      </c>
      <c r="J1196" s="391" t="str">
        <f ca="1">IFERROR(IF(VLOOKUP(C1196,' Disaggregation - Section E '!A$313:J807,9,0)="","",VLOOKUP(C1196,' Disaggregation - Section E '!A$313:J807,9,0)),"")</f>
        <v/>
      </c>
      <c r="K1196" s="387" t="str">
        <f ca="1">IFERROR(VLOOKUP(C1196,' Disaggregation - Section E '!A$313:J807,3,0),"")</f>
        <v>HIV O-4a Percentage of men reporting using a condom the last time they had anal sex with a male partner</v>
      </c>
      <c r="L1196" s="391" t="str">
        <f ca="1">IFERROR(IF(VLOOKUP(C1196,' Disaggregation - Section E '!A$313:J807,10,0)="","",VLOOKUP(C1196,' Disaggregation - Section E '!A$313:J807,10,0)),"")</f>
        <v/>
      </c>
      <c r="M1196" s="388" t="str">
        <f ca="1">IFERROR(IF(VLOOKUP(C1196,' Disaggregation - Section E '!A$313:O511,15,0)=0,"",VLOOKUP(C1196,' Disaggregation - Section E '!A$313:O807,15,0)),"")</f>
        <v/>
      </c>
      <c r="N1196" s="387"/>
      <c r="O1196" s="387"/>
      <c r="P1196" s="387" t="str">
        <f ca="1">IFERROR(IF(VLOOKUP(C1196,' Disaggregation - Section E '!A$313:R511,18,0)=0,"",VLOOKUP(C1196,' Disaggregation - Section E '!A$313:R807,18,0)),"")</f>
        <v/>
      </c>
    </row>
    <row r="1197" spans="1:16">
      <c r="A1197" s="387" t="b">
        <f t="shared" ca="1" si="160"/>
        <v>0</v>
      </c>
      <c r="B1197" s="387"/>
      <c r="C1197" s="404" t="str">
        <f ca="1">IF(COUNTA(O$1002:O1197)=1,"",OFFSET(C1197,-COUNTA(O$1002:O1197)+1,0))</f>
        <v>a1VDm000000PgAUMA0</v>
      </c>
      <c r="D1197" s="392"/>
      <c r="E1197" s="389" t="str">
        <f ca="1">IFERROR(IF(VLOOKUP(C1197,' Disaggregation - Section E '!A$313:J808,7,0)="","",VLOOKUP(C1197,' Disaggregation - Section E '!A$313:J808,7,0)*100),"")</f>
        <v/>
      </c>
      <c r="F1197" s="387"/>
      <c r="G1197" s="390" t="str">
        <f ca="1">IFERROR(IF(VLOOKUP(C1197,' Disaggregation - Section E '!A$313:J808,6,0)="","",VLOOKUP(C1197,' Disaggregation - Section E '!A$313:J808,6,0)),"")</f>
        <v/>
      </c>
      <c r="H1197" s="390" t="str">
        <f ca="1">IFERROR(IF(INDEX(' Disaggregation - Section E '!F$313:F808,MATCH(C1197,' Disaggregation - Section E '!A$313:A808,0)+1,1)&lt;&gt;0,INDEX(' Disaggregation - Section E '!F$313:F808,MATCH(C1197,' Disaggregation - Section E '!A$313:A808,0)+1,1),""),"")</f>
        <v/>
      </c>
      <c r="I1197" s="391" t="str">
        <f ca="1">IFERROR(IF(VLOOKUP(C1197,' Disaggregation - Section E '!A$313:J808,8,0)=0,"",VLOOKUP(C1197,' Disaggregation - Section E '!A$313:J808,8,0)),"")</f>
        <v/>
      </c>
      <c r="J1197" s="391" t="str">
        <f ca="1">IFERROR(IF(VLOOKUP(C1197,' Disaggregation - Section E '!A$313:J808,9,0)="","",VLOOKUP(C1197,' Disaggregation - Section E '!A$313:J808,9,0)),"")</f>
        <v/>
      </c>
      <c r="K1197" s="387" t="str">
        <f ca="1">IFERROR(VLOOKUP(C1197,' Disaggregation - Section E '!A$313:J808,3,0),"")</f>
        <v>HIV O-4a Percentage of men reporting using a condom the last time they had anal sex with a male partner</v>
      </c>
      <c r="L1197" s="391" t="str">
        <f ca="1">IFERROR(IF(VLOOKUP(C1197,' Disaggregation - Section E '!A$313:J808,10,0)="","",VLOOKUP(C1197,' Disaggregation - Section E '!A$313:J808,10,0)),"")</f>
        <v/>
      </c>
      <c r="M1197" s="388" t="str">
        <f ca="1">IFERROR(IF(VLOOKUP(C1197,' Disaggregation - Section E '!A$313:O512,15,0)=0,"",VLOOKUP(C1197,' Disaggregation - Section E '!A$313:O808,15,0)),"")</f>
        <v/>
      </c>
      <c r="N1197" s="387"/>
      <c r="O1197" s="387"/>
      <c r="P1197" s="387" t="str">
        <f ca="1">IFERROR(IF(VLOOKUP(C1197,' Disaggregation - Section E '!A$313:R512,18,0)=0,"",VLOOKUP(C1197,' Disaggregation - Section E '!A$313:R808,18,0)),"")</f>
        <v/>
      </c>
    </row>
    <row r="1198" spans="1:16">
      <c r="A1198" s="387" t="b">
        <f t="shared" ca="1" si="160"/>
        <v>0</v>
      </c>
      <c r="B1198" s="387"/>
      <c r="C1198" s="404" t="str">
        <f ca="1">IF(COUNTA(O$1002:O1198)=1,"",OFFSET(C1198,-COUNTA(O$1002:O1198)+1,0))</f>
        <v>a1VDm000000PgAVMA0</v>
      </c>
      <c r="D1198" s="392"/>
      <c r="E1198" s="389" t="str">
        <f ca="1">IFERROR(IF(VLOOKUP(C1198,' Disaggregation - Section E '!A$313:J809,7,0)="","",VLOOKUP(C1198,' Disaggregation - Section E '!A$313:J809,7,0)*100),"")</f>
        <v/>
      </c>
      <c r="F1198" s="387"/>
      <c r="G1198" s="390" t="str">
        <f ca="1">IFERROR(IF(VLOOKUP(C1198,' Disaggregation - Section E '!A$313:J809,6,0)="","",VLOOKUP(C1198,' Disaggregation - Section E '!A$313:J809,6,0)),"")</f>
        <v/>
      </c>
      <c r="H1198" s="390" t="str">
        <f ca="1">IFERROR(IF(INDEX(' Disaggregation - Section E '!F$313:F809,MATCH(C1198,' Disaggregation - Section E '!A$313:A809,0)+1,1)&lt;&gt;0,INDEX(' Disaggregation - Section E '!F$313:F809,MATCH(C1198,' Disaggregation - Section E '!A$313:A809,0)+1,1),""),"")</f>
        <v/>
      </c>
      <c r="I1198" s="391" t="str">
        <f ca="1">IFERROR(IF(VLOOKUP(C1198,' Disaggregation - Section E '!A$313:J809,8,0)=0,"",VLOOKUP(C1198,' Disaggregation - Section E '!A$313:J809,8,0)),"")</f>
        <v/>
      </c>
      <c r="J1198" s="391" t="str">
        <f ca="1">IFERROR(IF(VLOOKUP(C1198,' Disaggregation - Section E '!A$313:J809,9,0)="","",VLOOKUP(C1198,' Disaggregation - Section E '!A$313:J809,9,0)),"")</f>
        <v/>
      </c>
      <c r="K1198" s="387" t="str">
        <f ca="1">IFERROR(VLOOKUP(C1198,' Disaggregation - Section E '!A$313:J809,3,0),"")</f>
        <v>HIV O-4a Percentage of men reporting using a condom the last time they had anal sex with a male partner</v>
      </c>
      <c r="L1198" s="391" t="str">
        <f ca="1">IFERROR(IF(VLOOKUP(C1198,' Disaggregation - Section E '!A$313:J809,10,0)="","",VLOOKUP(C1198,' Disaggregation - Section E '!A$313:J809,10,0)),"")</f>
        <v/>
      </c>
      <c r="M1198" s="388" t="str">
        <f ca="1">IFERROR(IF(VLOOKUP(C1198,' Disaggregation - Section E '!A$313:O513,15,0)=0,"",VLOOKUP(C1198,' Disaggregation - Section E '!A$313:O809,15,0)),"")</f>
        <v/>
      </c>
      <c r="N1198" s="387"/>
      <c r="O1198" s="387"/>
      <c r="P1198" s="387" t="str">
        <f ca="1">IFERROR(IF(VLOOKUP(C1198,' Disaggregation - Section E '!A$313:R513,18,0)=0,"",VLOOKUP(C1198,' Disaggregation - Section E '!A$313:R809,18,0)),"")</f>
        <v/>
      </c>
    </row>
    <row r="1199" spans="1:16">
      <c r="A1199" s="387" t="b">
        <f t="shared" ca="1" si="160"/>
        <v>0</v>
      </c>
      <c r="B1199" s="387"/>
      <c r="C1199" s="404" t="str">
        <f ca="1">IF(COUNTA(O$1002:O1199)=1,"",OFFSET(C1199,-COUNTA(O$1002:O1199)+1,0))</f>
        <v>a1VDm000000PgAWMA0</v>
      </c>
      <c r="D1199" s="392"/>
      <c r="E1199" s="389" t="str">
        <f ca="1">IFERROR(IF(VLOOKUP(C1199,' Disaggregation - Section E '!A$313:J810,7,0)="","",VLOOKUP(C1199,' Disaggregation - Section E '!A$313:J810,7,0)*100),"")</f>
        <v/>
      </c>
      <c r="F1199" s="387"/>
      <c r="G1199" s="390" t="str">
        <f ca="1">IFERROR(IF(VLOOKUP(C1199,' Disaggregation - Section E '!A$313:J810,6,0)="","",VLOOKUP(C1199,' Disaggregation - Section E '!A$313:J810,6,0)),"")</f>
        <v/>
      </c>
      <c r="H1199" s="390" t="str">
        <f ca="1">IFERROR(IF(INDEX(' Disaggregation - Section E '!F$313:F810,MATCH(C1199,' Disaggregation - Section E '!A$313:A810,0)+1,1)&lt;&gt;0,INDEX(' Disaggregation - Section E '!F$313:F810,MATCH(C1199,' Disaggregation - Section E '!A$313:A810,0)+1,1),""),"")</f>
        <v/>
      </c>
      <c r="I1199" s="391" t="str">
        <f ca="1">IFERROR(IF(VLOOKUP(C1199,' Disaggregation - Section E '!A$313:J810,8,0)=0,"",VLOOKUP(C1199,' Disaggregation - Section E '!A$313:J810,8,0)),"")</f>
        <v/>
      </c>
      <c r="J1199" s="391" t="str">
        <f ca="1">IFERROR(IF(VLOOKUP(C1199,' Disaggregation - Section E '!A$313:J810,9,0)="","",VLOOKUP(C1199,' Disaggregation - Section E '!A$313:J810,9,0)),"")</f>
        <v/>
      </c>
      <c r="K1199" s="387" t="str">
        <f ca="1">IFERROR(VLOOKUP(C1199,' Disaggregation - Section E '!A$313:J810,3,0),"")</f>
        <v>HIV O-4a Percentage of men reporting using a condom the last time they had anal sex with a male partner</v>
      </c>
      <c r="L1199" s="391" t="str">
        <f ca="1">IFERROR(IF(VLOOKUP(C1199,' Disaggregation - Section E '!A$313:J810,10,0)="","",VLOOKUP(C1199,' Disaggregation - Section E '!A$313:J810,10,0)),"")</f>
        <v/>
      </c>
      <c r="M1199" s="388" t="str">
        <f ca="1">IFERROR(IF(VLOOKUP(C1199,' Disaggregation - Section E '!A$313:O514,15,0)=0,"",VLOOKUP(C1199,' Disaggregation - Section E '!A$313:O810,15,0)),"")</f>
        <v/>
      </c>
      <c r="N1199" s="387"/>
      <c r="O1199" s="387"/>
      <c r="P1199" s="387" t="str">
        <f ca="1">IFERROR(IF(VLOOKUP(C1199,' Disaggregation - Section E '!A$313:R514,18,0)=0,"",VLOOKUP(C1199,' Disaggregation - Section E '!A$313:R810,18,0)),"")</f>
        <v/>
      </c>
    </row>
    <row r="1200" spans="1:16">
      <c r="A1200" s="387" t="b">
        <f t="shared" ca="1" si="160"/>
        <v>0</v>
      </c>
      <c r="B1200" s="387"/>
      <c r="C1200" s="404" t="str">
        <f ca="1">IF(COUNTA(O$1002:O1200)=1,"",OFFSET(C1200,-COUNTA(O$1002:O1200)+1,0))</f>
        <v>a1VDm000000PgAXMA0</v>
      </c>
      <c r="D1200" s="392"/>
      <c r="E1200" s="389" t="str">
        <f ca="1">IFERROR(IF(VLOOKUP(C1200,' Disaggregation - Section E '!A$313:J811,7,0)="","",VLOOKUP(C1200,' Disaggregation - Section E '!A$313:J811,7,0)*100),"")</f>
        <v/>
      </c>
      <c r="F1200" s="387"/>
      <c r="G1200" s="390" t="str">
        <f ca="1">IFERROR(IF(VLOOKUP(C1200,' Disaggregation - Section E '!A$313:J811,6,0)="","",VLOOKUP(C1200,' Disaggregation - Section E '!A$313:J811,6,0)),"")</f>
        <v/>
      </c>
      <c r="H1200" s="390" t="str">
        <f ca="1">IFERROR(IF(INDEX(' Disaggregation - Section E '!F$313:F811,MATCH(C1200,' Disaggregation - Section E '!A$313:A811,0)+1,1)&lt;&gt;0,INDEX(' Disaggregation - Section E '!F$313:F811,MATCH(C1200,' Disaggregation - Section E '!A$313:A811,0)+1,1),""),"")</f>
        <v/>
      </c>
      <c r="I1200" s="391" t="str">
        <f ca="1">IFERROR(IF(VLOOKUP(C1200,' Disaggregation - Section E '!A$313:J811,8,0)=0,"",VLOOKUP(C1200,' Disaggregation - Section E '!A$313:J811,8,0)),"")</f>
        <v/>
      </c>
      <c r="J1200" s="391" t="str">
        <f ca="1">IFERROR(IF(VLOOKUP(C1200,' Disaggregation - Section E '!A$313:J811,9,0)="","",VLOOKUP(C1200,' Disaggregation - Section E '!A$313:J811,9,0)),"")</f>
        <v/>
      </c>
      <c r="K1200" s="387" t="str">
        <f ca="1">IFERROR(VLOOKUP(C1200,' Disaggregation - Section E '!A$313:J811,3,0),"")</f>
        <v>HIV O-4a Percentage of men reporting using a condom the last time they had anal sex with a male partner</v>
      </c>
      <c r="L1200" s="391" t="str">
        <f ca="1">IFERROR(IF(VLOOKUP(C1200,' Disaggregation - Section E '!A$313:J811,10,0)="","",VLOOKUP(C1200,' Disaggregation - Section E '!A$313:J811,10,0)),"")</f>
        <v/>
      </c>
      <c r="M1200" s="388" t="str">
        <f ca="1">IFERROR(IF(VLOOKUP(C1200,' Disaggregation - Section E '!A$313:O515,15,0)=0,"",VLOOKUP(C1200,' Disaggregation - Section E '!A$313:O811,15,0)),"")</f>
        <v/>
      </c>
      <c r="N1200" s="387"/>
      <c r="O1200" s="387"/>
      <c r="P1200" s="387" t="str">
        <f ca="1">IFERROR(IF(VLOOKUP(C1200,' Disaggregation - Section E '!A$313:R515,18,0)=0,"",VLOOKUP(C1200,' Disaggregation - Section E '!A$313:R811,18,0)),"")</f>
        <v/>
      </c>
    </row>
    <row r="1201" spans="1:16">
      <c r="A1201" s="387" t="b">
        <f t="shared" ca="1" si="160"/>
        <v>0</v>
      </c>
      <c r="B1201" s="387"/>
      <c r="C1201" s="404" t="str">
        <f ca="1">IF(COUNTA(O$1002:O1201)=1,"",OFFSET(C1201,-COUNTA(O$1002:O1201)+1,0))</f>
        <v>a1VDm000000PgAYMA0</v>
      </c>
      <c r="D1201" s="392"/>
      <c r="E1201" s="389" t="str">
        <f ca="1">IFERROR(IF(VLOOKUP(C1201,' Disaggregation - Section E '!A$313:J812,7,0)="","",VLOOKUP(C1201,' Disaggregation - Section E '!A$313:J812,7,0)*100),"")</f>
        <v/>
      </c>
      <c r="F1201" s="387"/>
      <c r="G1201" s="390" t="str">
        <f ca="1">IFERROR(IF(VLOOKUP(C1201,' Disaggregation - Section E '!A$313:J812,6,0)="","",VLOOKUP(C1201,' Disaggregation - Section E '!A$313:J812,6,0)),"")</f>
        <v/>
      </c>
      <c r="H1201" s="390" t="str">
        <f ca="1">IFERROR(IF(INDEX(' Disaggregation - Section E '!F$313:F812,MATCH(C1201,' Disaggregation - Section E '!A$313:A812,0)+1,1)&lt;&gt;0,INDEX(' Disaggregation - Section E '!F$313:F812,MATCH(C1201,' Disaggregation - Section E '!A$313:A812,0)+1,1),""),"")</f>
        <v/>
      </c>
      <c r="I1201" s="391" t="str">
        <f ca="1">IFERROR(IF(VLOOKUP(C1201,' Disaggregation - Section E '!A$313:J812,8,0)=0,"",VLOOKUP(C1201,' Disaggregation - Section E '!A$313:J812,8,0)),"")</f>
        <v/>
      </c>
      <c r="J1201" s="391" t="str">
        <f ca="1">IFERROR(IF(VLOOKUP(C1201,' Disaggregation - Section E '!A$313:J812,9,0)="","",VLOOKUP(C1201,' Disaggregation - Section E '!A$313:J812,9,0)),"")</f>
        <v/>
      </c>
      <c r="K1201" s="387" t="str">
        <f ca="1">IFERROR(VLOOKUP(C1201,' Disaggregation - Section E '!A$313:J812,3,0),"")</f>
        <v>HIV O-4a Percentage of men reporting using a condom the last time they had anal sex with a male partner</v>
      </c>
      <c r="L1201" s="391" t="str">
        <f ca="1">IFERROR(IF(VLOOKUP(C1201,' Disaggregation - Section E '!A$313:J812,10,0)="","",VLOOKUP(C1201,' Disaggregation - Section E '!A$313:J812,10,0)),"")</f>
        <v/>
      </c>
      <c r="M1201" s="388" t="str">
        <f ca="1">IFERROR(IF(VLOOKUP(C1201,' Disaggregation - Section E '!A$313:O516,15,0)=0,"",VLOOKUP(C1201,' Disaggregation - Section E '!A$313:O812,15,0)),"")</f>
        <v/>
      </c>
      <c r="N1201" s="387"/>
      <c r="O1201" s="387"/>
      <c r="P1201" s="387" t="str">
        <f ca="1">IFERROR(IF(VLOOKUP(C1201,' Disaggregation - Section E '!A$313:R516,18,0)=0,"",VLOOKUP(C1201,' Disaggregation - Section E '!A$313:R812,18,0)),"")</f>
        <v/>
      </c>
    </row>
    <row r="1202" spans="1:16">
      <c r="A1202" s="387" t="b">
        <f t="shared" ca="1" si="160"/>
        <v>0</v>
      </c>
      <c r="B1202" s="387"/>
      <c r="C1202" s="404" t="str">
        <f ca="1">IF(COUNTA(O$1002:O1202)=1,"",OFFSET(C1202,-COUNTA(O$1002:O1202)+1,0))</f>
        <v>a1VDm000000PgAZMA0</v>
      </c>
      <c r="D1202" s="392"/>
      <c r="E1202" s="389" t="str">
        <f ca="1">IFERROR(IF(VLOOKUP(C1202,' Disaggregation - Section E '!A$313:J813,7,0)="","",VLOOKUP(C1202,' Disaggregation - Section E '!A$313:J813,7,0)*100),"")</f>
        <v/>
      </c>
      <c r="F1202" s="387"/>
      <c r="G1202" s="390" t="str">
        <f ca="1">IFERROR(IF(VLOOKUP(C1202,' Disaggregation - Section E '!A$313:J813,6,0)="","",VLOOKUP(C1202,' Disaggregation - Section E '!A$313:J813,6,0)),"")</f>
        <v/>
      </c>
      <c r="H1202" s="390" t="str">
        <f ca="1">IFERROR(IF(INDEX(' Disaggregation - Section E '!F$313:F813,MATCH(C1202,' Disaggregation - Section E '!A$313:A813,0)+1,1)&lt;&gt;0,INDEX(' Disaggregation - Section E '!F$313:F813,MATCH(C1202,' Disaggregation - Section E '!A$313:A813,0)+1,1),""),"")</f>
        <v/>
      </c>
      <c r="I1202" s="391" t="str">
        <f ca="1">IFERROR(IF(VLOOKUP(C1202,' Disaggregation - Section E '!A$313:J813,8,0)=0,"",VLOOKUP(C1202,' Disaggregation - Section E '!A$313:J813,8,0)),"")</f>
        <v/>
      </c>
      <c r="J1202" s="391" t="str">
        <f ca="1">IFERROR(IF(VLOOKUP(C1202,' Disaggregation - Section E '!A$313:J813,9,0)="","",VLOOKUP(C1202,' Disaggregation - Section E '!A$313:J813,9,0)),"")</f>
        <v/>
      </c>
      <c r="K1202" s="387" t="str">
        <f ca="1">IFERROR(VLOOKUP(C1202,' Disaggregation - Section E '!A$313:J813,3,0),"")</f>
        <v>HIV O-4a Percentage of men reporting using a condom the last time they had anal sex with a male partner</v>
      </c>
      <c r="L1202" s="391" t="str">
        <f ca="1">IFERROR(IF(VLOOKUP(C1202,' Disaggregation - Section E '!A$313:J813,10,0)="","",VLOOKUP(C1202,' Disaggregation - Section E '!A$313:J813,10,0)),"")</f>
        <v/>
      </c>
      <c r="M1202" s="388" t="str">
        <f ca="1">IFERROR(IF(VLOOKUP(C1202,' Disaggregation - Section E '!A$313:O517,15,0)=0,"",VLOOKUP(C1202,' Disaggregation - Section E '!A$313:O813,15,0)),"")</f>
        <v/>
      </c>
      <c r="N1202" s="387"/>
      <c r="O1202" s="387"/>
      <c r="P1202" s="387" t="str">
        <f ca="1">IFERROR(IF(VLOOKUP(C1202,' Disaggregation - Section E '!A$313:R517,18,0)=0,"",VLOOKUP(C1202,' Disaggregation - Section E '!A$313:R813,18,0)),"")</f>
        <v/>
      </c>
    </row>
    <row r="1203" spans="1:16">
      <c r="A1203" s="387" t="b">
        <f t="shared" ca="1" si="160"/>
        <v>0</v>
      </c>
      <c r="B1203" s="387"/>
      <c r="C1203" s="404" t="str">
        <f ca="1">IF(COUNTA(O$1002:O1203)=1,"",OFFSET(C1203,-COUNTA(O$1002:O1203)+1,0))</f>
        <v>a1VDm000000PgAaMAK</v>
      </c>
      <c r="D1203" s="392"/>
      <c r="E1203" s="389" t="str">
        <f ca="1">IFERROR(IF(VLOOKUP(C1203,' Disaggregation - Section E '!A$313:J814,7,0)="","",VLOOKUP(C1203,' Disaggregation - Section E '!A$313:J814,7,0)*100),"")</f>
        <v/>
      </c>
      <c r="F1203" s="387"/>
      <c r="G1203" s="390" t="str">
        <f ca="1">IFERROR(IF(VLOOKUP(C1203,' Disaggregation - Section E '!A$313:J814,6,0)="","",VLOOKUP(C1203,' Disaggregation - Section E '!A$313:J814,6,0)),"")</f>
        <v/>
      </c>
      <c r="H1203" s="390" t="str">
        <f ca="1">IFERROR(IF(INDEX(' Disaggregation - Section E '!F$313:F814,MATCH(C1203,' Disaggregation - Section E '!A$313:A814,0)+1,1)&lt;&gt;0,INDEX(' Disaggregation - Section E '!F$313:F814,MATCH(C1203,' Disaggregation - Section E '!A$313:A814,0)+1,1),""),"")</f>
        <v/>
      </c>
      <c r="I1203" s="391" t="str">
        <f ca="1">IFERROR(IF(VLOOKUP(C1203,' Disaggregation - Section E '!A$313:J814,8,0)=0,"",VLOOKUP(C1203,' Disaggregation - Section E '!A$313:J814,8,0)),"")</f>
        <v/>
      </c>
      <c r="J1203" s="391" t="str">
        <f ca="1">IFERROR(IF(VLOOKUP(C1203,' Disaggregation - Section E '!A$313:J814,9,0)="","",VLOOKUP(C1203,' Disaggregation - Section E '!A$313:J814,9,0)),"")</f>
        <v/>
      </c>
      <c r="K1203" s="387" t="str">
        <f ca="1">IFERROR(VLOOKUP(C1203,' Disaggregation - Section E '!A$313:J814,3,0),"")</f>
        <v>HIV O-4a Percentage of men reporting using a condom the last time they had anal sex with a male partner</v>
      </c>
      <c r="L1203" s="391" t="str">
        <f ca="1">IFERROR(IF(VLOOKUP(C1203,' Disaggregation - Section E '!A$313:J814,10,0)="","",VLOOKUP(C1203,' Disaggregation - Section E '!A$313:J814,10,0)),"")</f>
        <v/>
      </c>
      <c r="M1203" s="388" t="str">
        <f ca="1">IFERROR(IF(VLOOKUP(C1203,' Disaggregation - Section E '!A$313:O518,15,0)=0,"",VLOOKUP(C1203,' Disaggregation - Section E '!A$313:O814,15,0)),"")</f>
        <v/>
      </c>
      <c r="N1203" s="387"/>
      <c r="O1203" s="387"/>
      <c r="P1203" s="387" t="str">
        <f ca="1">IFERROR(IF(VLOOKUP(C1203,' Disaggregation - Section E '!A$313:R518,18,0)=0,"",VLOOKUP(C1203,' Disaggregation - Section E '!A$313:R814,18,0)),"")</f>
        <v/>
      </c>
    </row>
    <row r="1204" spans="1:16">
      <c r="A1204" s="387" t="b">
        <f t="shared" ca="1" si="160"/>
        <v>0</v>
      </c>
      <c r="B1204" s="387"/>
      <c r="C1204" s="404" t="str">
        <f ca="1">IF(COUNTA(O$1002:O1204)=1,"",OFFSET(C1204,-COUNTA(O$1002:O1204)+1,0))</f>
        <v>a1VDm000000PgAbMAK</v>
      </c>
      <c r="D1204" s="392"/>
      <c r="E1204" s="389" t="str">
        <f ca="1">IFERROR(IF(VLOOKUP(C1204,' Disaggregation - Section E '!A$313:J815,7,0)="","",VLOOKUP(C1204,' Disaggregation - Section E '!A$313:J815,7,0)*100),"")</f>
        <v/>
      </c>
      <c r="F1204" s="387"/>
      <c r="G1204" s="390" t="str">
        <f ca="1">IFERROR(IF(VLOOKUP(C1204,' Disaggregation - Section E '!A$313:J815,6,0)="","",VLOOKUP(C1204,' Disaggregation - Section E '!A$313:J815,6,0)),"")</f>
        <v/>
      </c>
      <c r="H1204" s="390" t="str">
        <f ca="1">IFERROR(IF(INDEX(' Disaggregation - Section E '!F$313:F815,MATCH(C1204,' Disaggregation - Section E '!A$313:A815,0)+1,1)&lt;&gt;0,INDEX(' Disaggregation - Section E '!F$313:F815,MATCH(C1204,' Disaggregation - Section E '!A$313:A815,0)+1,1),""),"")</f>
        <v/>
      </c>
      <c r="I1204" s="391" t="str">
        <f ca="1">IFERROR(IF(VLOOKUP(C1204,' Disaggregation - Section E '!A$313:J815,8,0)=0,"",VLOOKUP(C1204,' Disaggregation - Section E '!A$313:J815,8,0)),"")</f>
        <v/>
      </c>
      <c r="J1204" s="391" t="str">
        <f ca="1">IFERROR(IF(VLOOKUP(C1204,' Disaggregation - Section E '!A$313:J815,9,0)="","",VLOOKUP(C1204,' Disaggregation - Section E '!A$313:J815,9,0)),"")</f>
        <v/>
      </c>
      <c r="K1204" s="387" t="str">
        <f ca="1">IFERROR(VLOOKUP(C1204,' Disaggregation - Section E '!A$313:J815,3,0),"")</f>
        <v>HIV O-4.1b Percentage of transgender people reporting using a condom during their most recent sexual intercourse or anal sex</v>
      </c>
      <c r="L1204" s="391" t="str">
        <f ca="1">IFERROR(IF(VLOOKUP(C1204,' Disaggregation - Section E '!A$313:J815,10,0)="","",VLOOKUP(C1204,' Disaggregation - Section E '!A$313:J815,10,0)),"")</f>
        <v/>
      </c>
      <c r="M1204" s="388" t="str">
        <f ca="1">IFERROR(IF(VLOOKUP(C1204,' Disaggregation - Section E '!A$313:O519,15,0)=0,"",VLOOKUP(C1204,' Disaggregation - Section E '!A$313:O815,15,0)),"")</f>
        <v/>
      </c>
      <c r="N1204" s="387"/>
      <c r="O1204" s="387"/>
      <c r="P1204" s="387" t="str">
        <f ca="1">IFERROR(IF(VLOOKUP(C1204,' Disaggregation - Section E '!A$313:R519,18,0)=0,"",VLOOKUP(C1204,' Disaggregation - Section E '!A$313:R815,18,0)),"")</f>
        <v/>
      </c>
    </row>
    <row r="1205" spans="1:16">
      <c r="A1205" s="387" t="b">
        <f t="shared" ca="1" si="160"/>
        <v>0</v>
      </c>
      <c r="B1205" s="387"/>
      <c r="C1205" s="404" t="str">
        <f ca="1">IF(COUNTA(O$1002:O1205)=1,"",OFFSET(C1205,-COUNTA(O$1002:O1205)+1,0))</f>
        <v>a1VDm000000PgAcMAK</v>
      </c>
      <c r="D1205" s="392"/>
      <c r="E1205" s="389" t="str">
        <f ca="1">IFERROR(IF(VLOOKUP(C1205,' Disaggregation - Section E '!A$313:J816,7,0)="","",VLOOKUP(C1205,' Disaggregation - Section E '!A$313:J816,7,0)*100),"")</f>
        <v/>
      </c>
      <c r="F1205" s="387"/>
      <c r="G1205" s="390" t="str">
        <f ca="1">IFERROR(IF(VLOOKUP(C1205,' Disaggregation - Section E '!A$313:J816,6,0)="","",VLOOKUP(C1205,' Disaggregation - Section E '!A$313:J816,6,0)),"")</f>
        <v/>
      </c>
      <c r="H1205" s="390" t="str">
        <f ca="1">IFERROR(IF(INDEX(' Disaggregation - Section E '!F$313:F816,MATCH(C1205,' Disaggregation - Section E '!A$313:A816,0)+1,1)&lt;&gt;0,INDEX(' Disaggregation - Section E '!F$313:F816,MATCH(C1205,' Disaggregation - Section E '!A$313:A816,0)+1,1),""),"")</f>
        <v/>
      </c>
      <c r="I1205" s="391" t="str">
        <f ca="1">IFERROR(IF(VLOOKUP(C1205,' Disaggregation - Section E '!A$313:J816,8,0)=0,"",VLOOKUP(C1205,' Disaggregation - Section E '!A$313:J816,8,0)),"")</f>
        <v/>
      </c>
      <c r="J1205" s="391" t="str">
        <f ca="1">IFERROR(IF(VLOOKUP(C1205,' Disaggregation - Section E '!A$313:J816,9,0)="","",VLOOKUP(C1205,' Disaggregation - Section E '!A$313:J816,9,0)),"")</f>
        <v/>
      </c>
      <c r="K1205" s="387" t="str">
        <f ca="1">IFERROR(VLOOKUP(C1205,' Disaggregation - Section E '!A$313:J816,3,0),"")</f>
        <v>HIV O-4.1b Percentage of transgender people reporting using a condom during their most recent sexual intercourse or anal sex</v>
      </c>
      <c r="L1205" s="391" t="str">
        <f ca="1">IFERROR(IF(VLOOKUP(C1205,' Disaggregation - Section E '!A$313:J816,10,0)="","",VLOOKUP(C1205,' Disaggregation - Section E '!A$313:J816,10,0)),"")</f>
        <v/>
      </c>
      <c r="M1205" s="388" t="str">
        <f ca="1">IFERROR(IF(VLOOKUP(C1205,' Disaggregation - Section E '!A$313:O520,15,0)=0,"",VLOOKUP(C1205,' Disaggregation - Section E '!A$313:O816,15,0)),"")</f>
        <v/>
      </c>
      <c r="N1205" s="387"/>
      <c r="O1205" s="387"/>
      <c r="P1205" s="387" t="str">
        <f ca="1">IFERROR(IF(VLOOKUP(C1205,' Disaggregation - Section E '!A$313:R520,18,0)=0,"",VLOOKUP(C1205,' Disaggregation - Section E '!A$313:R816,18,0)),"")</f>
        <v/>
      </c>
    </row>
    <row r="1206" spans="1:16">
      <c r="A1206" s="387" t="b">
        <f t="shared" ca="1" si="160"/>
        <v>0</v>
      </c>
      <c r="B1206" s="387"/>
      <c r="C1206" s="404" t="str">
        <f ca="1">IF(COUNTA(O$1002:O1206)=1,"",OFFSET(C1206,-COUNTA(O$1002:O1206)+1,0))</f>
        <v>a1VDm000000PgAdMAK</v>
      </c>
      <c r="D1206" s="392"/>
      <c r="E1206" s="389" t="str">
        <f ca="1">IFERROR(IF(VLOOKUP(C1206,' Disaggregation - Section E '!A$313:J817,7,0)="","",VLOOKUP(C1206,' Disaggregation - Section E '!A$313:J817,7,0)*100),"")</f>
        <v/>
      </c>
      <c r="F1206" s="387"/>
      <c r="G1206" s="390" t="str">
        <f ca="1">IFERROR(IF(VLOOKUP(C1206,' Disaggregation - Section E '!A$313:J817,6,0)="","",VLOOKUP(C1206,' Disaggregation - Section E '!A$313:J817,6,0)),"")</f>
        <v/>
      </c>
      <c r="H1206" s="390" t="str">
        <f ca="1">IFERROR(IF(INDEX(' Disaggregation - Section E '!F$313:F817,MATCH(C1206,' Disaggregation - Section E '!A$313:A817,0)+1,1)&lt;&gt;0,INDEX(' Disaggregation - Section E '!F$313:F817,MATCH(C1206,' Disaggregation - Section E '!A$313:A817,0)+1,1),""),"")</f>
        <v/>
      </c>
      <c r="I1206" s="391" t="str">
        <f ca="1">IFERROR(IF(VLOOKUP(C1206,' Disaggregation - Section E '!A$313:J817,8,0)=0,"",VLOOKUP(C1206,' Disaggregation - Section E '!A$313:J817,8,0)),"")</f>
        <v/>
      </c>
      <c r="J1206" s="391" t="str">
        <f ca="1">IFERROR(IF(VLOOKUP(C1206,' Disaggregation - Section E '!A$313:J817,9,0)="","",VLOOKUP(C1206,' Disaggregation - Section E '!A$313:J817,9,0)),"")</f>
        <v/>
      </c>
      <c r="K1206" s="387" t="str">
        <f ca="1">IFERROR(VLOOKUP(C1206,' Disaggregation - Section E '!A$313:J817,3,0),"")</f>
        <v>HIV O-4.1b Percentage of transgender people reporting using a condom during their most recent sexual intercourse or anal sex</v>
      </c>
      <c r="L1206" s="391" t="str">
        <f ca="1">IFERROR(IF(VLOOKUP(C1206,' Disaggregation - Section E '!A$313:J817,10,0)="","",VLOOKUP(C1206,' Disaggregation - Section E '!A$313:J817,10,0)),"")</f>
        <v/>
      </c>
      <c r="M1206" s="388" t="str">
        <f ca="1">IFERROR(IF(VLOOKUP(C1206,' Disaggregation - Section E '!A$313:O521,15,0)=0,"",VLOOKUP(C1206,' Disaggregation - Section E '!A$313:O817,15,0)),"")</f>
        <v/>
      </c>
      <c r="N1206" s="387"/>
      <c r="O1206" s="387"/>
      <c r="P1206" s="387" t="str">
        <f ca="1">IFERROR(IF(VLOOKUP(C1206,' Disaggregation - Section E '!A$313:R521,18,0)=0,"",VLOOKUP(C1206,' Disaggregation - Section E '!A$313:R817,18,0)),"")</f>
        <v/>
      </c>
    </row>
    <row r="1207" spans="1:16">
      <c r="A1207" s="387" t="b">
        <f t="shared" ca="1" si="160"/>
        <v>0</v>
      </c>
      <c r="B1207" s="387"/>
      <c r="C1207" s="404" t="str">
        <f ca="1">IF(COUNTA(O$1002:O1207)=1,"",OFFSET(C1207,-COUNTA(O$1002:O1207)+1,0))</f>
        <v>a1VDm000000PgAeMAK</v>
      </c>
      <c r="D1207" s="392"/>
      <c r="E1207" s="389" t="str">
        <f ca="1">IFERROR(IF(VLOOKUP(C1207,' Disaggregation - Section E '!A$313:J818,7,0)="","",VLOOKUP(C1207,' Disaggregation - Section E '!A$313:J818,7,0)*100),"")</f>
        <v/>
      </c>
      <c r="F1207" s="387"/>
      <c r="G1207" s="390" t="str">
        <f ca="1">IFERROR(IF(VLOOKUP(C1207,' Disaggregation - Section E '!A$313:J818,6,0)="","",VLOOKUP(C1207,' Disaggregation - Section E '!A$313:J818,6,0)),"")</f>
        <v/>
      </c>
      <c r="H1207" s="390" t="str">
        <f ca="1">IFERROR(IF(INDEX(' Disaggregation - Section E '!F$313:F818,MATCH(C1207,' Disaggregation - Section E '!A$313:A818,0)+1,1)&lt;&gt;0,INDEX(' Disaggregation - Section E '!F$313:F818,MATCH(C1207,' Disaggregation - Section E '!A$313:A818,0)+1,1),""),"")</f>
        <v/>
      </c>
      <c r="I1207" s="391" t="str">
        <f ca="1">IFERROR(IF(VLOOKUP(C1207,' Disaggregation - Section E '!A$313:J818,8,0)=0,"",VLOOKUP(C1207,' Disaggregation - Section E '!A$313:J818,8,0)),"")</f>
        <v/>
      </c>
      <c r="J1207" s="391" t="str">
        <f ca="1">IFERROR(IF(VLOOKUP(C1207,' Disaggregation - Section E '!A$313:J818,9,0)="","",VLOOKUP(C1207,' Disaggregation - Section E '!A$313:J818,9,0)),"")</f>
        <v/>
      </c>
      <c r="K1207" s="387" t="str">
        <f ca="1">IFERROR(VLOOKUP(C1207,' Disaggregation - Section E '!A$313:J818,3,0),"")</f>
        <v>HIV O-4.1b Percentage of transgender people reporting using a condom during their most recent sexual intercourse or anal sex</v>
      </c>
      <c r="L1207" s="391" t="str">
        <f ca="1">IFERROR(IF(VLOOKUP(C1207,' Disaggregation - Section E '!A$313:J818,10,0)="","",VLOOKUP(C1207,' Disaggregation - Section E '!A$313:J818,10,0)),"")</f>
        <v/>
      </c>
      <c r="M1207" s="388" t="str">
        <f ca="1">IFERROR(IF(VLOOKUP(C1207,' Disaggregation - Section E '!A$313:O522,15,0)=0,"",VLOOKUP(C1207,' Disaggregation - Section E '!A$313:O818,15,0)),"")</f>
        <v/>
      </c>
      <c r="N1207" s="387"/>
      <c r="O1207" s="387"/>
      <c r="P1207" s="387" t="str">
        <f ca="1">IFERROR(IF(VLOOKUP(C1207,' Disaggregation - Section E '!A$313:R522,18,0)=0,"",VLOOKUP(C1207,' Disaggregation - Section E '!A$313:R818,18,0)),"")</f>
        <v/>
      </c>
    </row>
    <row r="1208" spans="1:16">
      <c r="A1208" s="387" t="b">
        <f t="shared" ca="1" si="160"/>
        <v>0</v>
      </c>
      <c r="B1208" s="387"/>
      <c r="C1208" s="404" t="str">
        <f ca="1">IF(COUNTA(O$1002:O1208)=1,"",OFFSET(C1208,-COUNTA(O$1002:O1208)+1,0))</f>
        <v>a1VDm000000PgAfMAK</v>
      </c>
      <c r="D1208" s="392"/>
      <c r="E1208" s="389" t="str">
        <f ca="1">IFERROR(IF(VLOOKUP(C1208,' Disaggregation - Section E '!A$313:J819,7,0)="","",VLOOKUP(C1208,' Disaggregation - Section E '!A$313:J819,7,0)*100),"")</f>
        <v/>
      </c>
      <c r="F1208" s="387"/>
      <c r="G1208" s="390" t="str">
        <f ca="1">IFERROR(IF(VLOOKUP(C1208,' Disaggregation - Section E '!A$313:J819,6,0)="","",VLOOKUP(C1208,' Disaggregation - Section E '!A$313:J819,6,0)),"")</f>
        <v/>
      </c>
      <c r="H1208" s="390" t="str">
        <f ca="1">IFERROR(IF(INDEX(' Disaggregation - Section E '!F$313:F819,MATCH(C1208,' Disaggregation - Section E '!A$313:A819,0)+1,1)&lt;&gt;0,INDEX(' Disaggregation - Section E '!F$313:F819,MATCH(C1208,' Disaggregation - Section E '!A$313:A819,0)+1,1),""),"")</f>
        <v/>
      </c>
      <c r="I1208" s="391" t="str">
        <f ca="1">IFERROR(IF(VLOOKUP(C1208,' Disaggregation - Section E '!A$313:J819,8,0)=0,"",VLOOKUP(C1208,' Disaggregation - Section E '!A$313:J819,8,0)),"")</f>
        <v/>
      </c>
      <c r="J1208" s="391" t="str">
        <f ca="1">IFERROR(IF(VLOOKUP(C1208,' Disaggregation - Section E '!A$313:J819,9,0)="","",VLOOKUP(C1208,' Disaggregation - Section E '!A$313:J819,9,0)),"")</f>
        <v/>
      </c>
      <c r="K1208" s="387" t="str">
        <f ca="1">IFERROR(VLOOKUP(C1208,' Disaggregation - Section E '!A$313:J819,3,0),"")</f>
        <v>HIV O-4.1b Percentage of transgender people reporting using a condom during their most recent sexual intercourse or anal sex</v>
      </c>
      <c r="L1208" s="391" t="str">
        <f ca="1">IFERROR(IF(VLOOKUP(C1208,' Disaggregation - Section E '!A$313:J819,10,0)="","",VLOOKUP(C1208,' Disaggregation - Section E '!A$313:J819,10,0)),"")</f>
        <v/>
      </c>
      <c r="M1208" s="388" t="str">
        <f ca="1">IFERROR(IF(VLOOKUP(C1208,' Disaggregation - Section E '!A$313:O523,15,0)=0,"",VLOOKUP(C1208,' Disaggregation - Section E '!A$313:O819,15,0)),"")</f>
        <v/>
      </c>
      <c r="N1208" s="387"/>
      <c r="O1208" s="387"/>
      <c r="P1208" s="387" t="str">
        <f ca="1">IFERROR(IF(VLOOKUP(C1208,' Disaggregation - Section E '!A$313:R523,18,0)=0,"",VLOOKUP(C1208,' Disaggregation - Section E '!A$313:R819,18,0)),"")</f>
        <v/>
      </c>
    </row>
    <row r="1209" spans="1:16">
      <c r="A1209" s="387" t="b">
        <f t="shared" ca="1" si="160"/>
        <v>0</v>
      </c>
      <c r="B1209" s="387"/>
      <c r="C1209" s="404" t="str">
        <f ca="1">IF(COUNTA(O$1002:O1209)=1,"",OFFSET(C1209,-COUNTA(O$1002:O1209)+1,0))</f>
        <v>a1VDm000000PgAgMAK</v>
      </c>
      <c r="D1209" s="392"/>
      <c r="E1209" s="389" t="str">
        <f ca="1">IFERROR(IF(VLOOKUP(C1209,' Disaggregation - Section E '!A$313:J820,7,0)="","",VLOOKUP(C1209,' Disaggregation - Section E '!A$313:J820,7,0)*100),"")</f>
        <v/>
      </c>
      <c r="F1209" s="387"/>
      <c r="G1209" s="390" t="str">
        <f ca="1">IFERROR(IF(VLOOKUP(C1209,' Disaggregation - Section E '!A$313:J820,6,0)="","",VLOOKUP(C1209,' Disaggregation - Section E '!A$313:J820,6,0)),"")</f>
        <v/>
      </c>
      <c r="H1209" s="390" t="str">
        <f ca="1">IFERROR(IF(INDEX(' Disaggregation - Section E '!F$313:F820,MATCH(C1209,' Disaggregation - Section E '!A$313:A820,0)+1,1)&lt;&gt;0,INDEX(' Disaggregation - Section E '!F$313:F820,MATCH(C1209,' Disaggregation - Section E '!A$313:A820,0)+1,1),""),"")</f>
        <v/>
      </c>
      <c r="I1209" s="391" t="str">
        <f ca="1">IFERROR(IF(VLOOKUP(C1209,' Disaggregation - Section E '!A$313:J820,8,0)=0,"",VLOOKUP(C1209,' Disaggregation - Section E '!A$313:J820,8,0)),"")</f>
        <v/>
      </c>
      <c r="J1209" s="391" t="str">
        <f ca="1">IFERROR(IF(VLOOKUP(C1209,' Disaggregation - Section E '!A$313:J820,9,0)="","",VLOOKUP(C1209,' Disaggregation - Section E '!A$313:J820,9,0)),"")</f>
        <v/>
      </c>
      <c r="K1209" s="387" t="str">
        <f ca="1">IFERROR(VLOOKUP(C1209,' Disaggregation - Section E '!A$313:J820,3,0),"")</f>
        <v>HIV O-4.1b Percentage of transgender people reporting using a condom during their most recent sexual intercourse or anal sex</v>
      </c>
      <c r="L1209" s="391" t="str">
        <f ca="1">IFERROR(IF(VLOOKUP(C1209,' Disaggregation - Section E '!A$313:J820,10,0)="","",VLOOKUP(C1209,' Disaggregation - Section E '!A$313:J820,10,0)),"")</f>
        <v/>
      </c>
      <c r="M1209" s="388" t="str">
        <f ca="1">IFERROR(IF(VLOOKUP(C1209,' Disaggregation - Section E '!A$313:O524,15,0)=0,"",VLOOKUP(C1209,' Disaggregation - Section E '!A$313:O820,15,0)),"")</f>
        <v/>
      </c>
      <c r="N1209" s="387"/>
      <c r="O1209" s="387"/>
      <c r="P1209" s="387" t="str">
        <f ca="1">IFERROR(IF(VLOOKUP(C1209,' Disaggregation - Section E '!A$313:R524,18,0)=0,"",VLOOKUP(C1209,' Disaggregation - Section E '!A$313:R820,18,0)),"")</f>
        <v/>
      </c>
    </row>
    <row r="1210" spans="1:16">
      <c r="A1210" s="387" t="b">
        <f t="shared" ca="1" si="160"/>
        <v>0</v>
      </c>
      <c r="B1210" s="387"/>
      <c r="C1210" s="404" t="str">
        <f ca="1">IF(COUNTA(O$1002:O1210)=1,"",OFFSET(C1210,-COUNTA(O$1002:O1210)+1,0))</f>
        <v>a1VDm000000PgAhMAK</v>
      </c>
      <c r="D1210" s="392"/>
      <c r="E1210" s="389" t="str">
        <f ca="1">IFERROR(IF(VLOOKUP(C1210,' Disaggregation - Section E '!A$313:J821,7,0)="","",VLOOKUP(C1210,' Disaggregation - Section E '!A$313:J821,7,0)*100),"")</f>
        <v/>
      </c>
      <c r="F1210" s="387"/>
      <c r="G1210" s="390" t="str">
        <f ca="1">IFERROR(IF(VLOOKUP(C1210,' Disaggregation - Section E '!A$313:J821,6,0)="","",VLOOKUP(C1210,' Disaggregation - Section E '!A$313:J821,6,0)),"")</f>
        <v/>
      </c>
      <c r="H1210" s="390" t="str">
        <f ca="1">IFERROR(IF(INDEX(' Disaggregation - Section E '!F$313:F821,MATCH(C1210,' Disaggregation - Section E '!A$313:A821,0)+1,1)&lt;&gt;0,INDEX(' Disaggregation - Section E '!F$313:F821,MATCH(C1210,' Disaggregation - Section E '!A$313:A821,0)+1,1),""),"")</f>
        <v/>
      </c>
      <c r="I1210" s="391" t="str">
        <f ca="1">IFERROR(IF(VLOOKUP(C1210,' Disaggregation - Section E '!A$313:J821,8,0)=0,"",VLOOKUP(C1210,' Disaggregation - Section E '!A$313:J821,8,0)),"")</f>
        <v/>
      </c>
      <c r="J1210" s="391" t="str">
        <f ca="1">IFERROR(IF(VLOOKUP(C1210,' Disaggregation - Section E '!A$313:J821,9,0)="","",VLOOKUP(C1210,' Disaggregation - Section E '!A$313:J821,9,0)),"")</f>
        <v/>
      </c>
      <c r="K1210" s="387" t="str">
        <f ca="1">IFERROR(VLOOKUP(C1210,' Disaggregation - Section E '!A$313:J821,3,0),"")</f>
        <v>HIV O-4.1b Percentage of transgender people reporting using a condom during their most recent sexual intercourse or anal sex</v>
      </c>
      <c r="L1210" s="391" t="str">
        <f ca="1">IFERROR(IF(VLOOKUP(C1210,' Disaggregation - Section E '!A$313:J821,10,0)="","",VLOOKUP(C1210,' Disaggregation - Section E '!A$313:J821,10,0)),"")</f>
        <v/>
      </c>
      <c r="M1210" s="388" t="str">
        <f ca="1">IFERROR(IF(VLOOKUP(C1210,' Disaggregation - Section E '!A$313:O525,15,0)=0,"",VLOOKUP(C1210,' Disaggregation - Section E '!A$313:O821,15,0)),"")</f>
        <v/>
      </c>
      <c r="N1210" s="387"/>
      <c r="O1210" s="387"/>
      <c r="P1210" s="387" t="str">
        <f ca="1">IFERROR(IF(VLOOKUP(C1210,' Disaggregation - Section E '!A$313:R525,18,0)=0,"",VLOOKUP(C1210,' Disaggregation - Section E '!A$313:R821,18,0)),"")</f>
        <v/>
      </c>
    </row>
    <row r="1211" spans="1:16">
      <c r="A1211" s="387" t="b">
        <f t="shared" ca="1" si="160"/>
        <v>0</v>
      </c>
      <c r="B1211" s="387"/>
      <c r="C1211" s="404" t="str">
        <f ca="1">IF(COUNTA(O$1002:O1211)=1,"",OFFSET(C1211,-COUNTA(O$1002:O1211)+1,0))</f>
        <v>a1VDm000000PgAiMAK</v>
      </c>
      <c r="D1211" s="392"/>
      <c r="E1211" s="389" t="str">
        <f ca="1">IFERROR(IF(VLOOKUP(C1211,' Disaggregation - Section E '!A$313:J822,7,0)="","",VLOOKUP(C1211,' Disaggregation - Section E '!A$313:J822,7,0)*100),"")</f>
        <v/>
      </c>
      <c r="F1211" s="387"/>
      <c r="G1211" s="390" t="str">
        <f ca="1">IFERROR(IF(VLOOKUP(C1211,' Disaggregation - Section E '!A$313:J822,6,0)="","",VLOOKUP(C1211,' Disaggregation - Section E '!A$313:J822,6,0)),"")</f>
        <v/>
      </c>
      <c r="H1211" s="390" t="str">
        <f ca="1">IFERROR(IF(INDEX(' Disaggregation - Section E '!F$313:F822,MATCH(C1211,' Disaggregation - Section E '!A$313:A822,0)+1,1)&lt;&gt;0,INDEX(' Disaggregation - Section E '!F$313:F822,MATCH(C1211,' Disaggregation - Section E '!A$313:A822,0)+1,1),""),"")</f>
        <v/>
      </c>
      <c r="I1211" s="391" t="str">
        <f ca="1">IFERROR(IF(VLOOKUP(C1211,' Disaggregation - Section E '!A$313:J822,8,0)=0,"",VLOOKUP(C1211,' Disaggregation - Section E '!A$313:J822,8,0)),"")</f>
        <v/>
      </c>
      <c r="J1211" s="391" t="str">
        <f ca="1">IFERROR(IF(VLOOKUP(C1211,' Disaggregation - Section E '!A$313:J822,9,0)="","",VLOOKUP(C1211,' Disaggregation - Section E '!A$313:J822,9,0)),"")</f>
        <v/>
      </c>
      <c r="K1211" s="387" t="str">
        <f ca="1">IFERROR(VLOOKUP(C1211,' Disaggregation - Section E '!A$313:J822,3,0),"")</f>
        <v>HIV O-4.1b Percentage of transgender people reporting using a condom during their most recent sexual intercourse or anal sex</v>
      </c>
      <c r="L1211" s="391" t="str">
        <f ca="1">IFERROR(IF(VLOOKUP(C1211,' Disaggregation - Section E '!A$313:J822,10,0)="","",VLOOKUP(C1211,' Disaggregation - Section E '!A$313:J822,10,0)),"")</f>
        <v/>
      </c>
      <c r="M1211" s="388" t="str">
        <f ca="1">IFERROR(IF(VLOOKUP(C1211,' Disaggregation - Section E '!A$313:O526,15,0)=0,"",VLOOKUP(C1211,' Disaggregation - Section E '!A$313:O822,15,0)),"")</f>
        <v/>
      </c>
      <c r="N1211" s="387"/>
      <c r="O1211" s="387"/>
      <c r="P1211" s="387" t="str">
        <f ca="1">IFERROR(IF(VLOOKUP(C1211,' Disaggregation - Section E '!A$313:R526,18,0)=0,"",VLOOKUP(C1211,' Disaggregation - Section E '!A$313:R822,18,0)),"")</f>
        <v/>
      </c>
    </row>
    <row r="1212" spans="1:16">
      <c r="A1212" s="387" t="b">
        <f t="shared" ca="1" si="160"/>
        <v>0</v>
      </c>
      <c r="B1212" s="387"/>
      <c r="C1212" s="404" t="str">
        <f ca="1">IF(COUNTA(O$1002:O1212)=1,"",OFFSET(C1212,-COUNTA(O$1002:O1212)+1,0))</f>
        <v>a1VDm000000PgAjMAK</v>
      </c>
      <c r="D1212" s="392"/>
      <c r="E1212" s="389" t="str">
        <f ca="1">IFERROR(IF(VLOOKUP(C1212,' Disaggregation - Section E '!A$313:J823,7,0)="","",VLOOKUP(C1212,' Disaggregation - Section E '!A$313:J823,7,0)*100),"")</f>
        <v/>
      </c>
      <c r="F1212" s="387"/>
      <c r="G1212" s="390" t="str">
        <f ca="1">IFERROR(IF(VLOOKUP(C1212,' Disaggregation - Section E '!A$313:J823,6,0)="","",VLOOKUP(C1212,' Disaggregation - Section E '!A$313:J823,6,0)),"")</f>
        <v/>
      </c>
      <c r="H1212" s="390" t="str">
        <f ca="1">IFERROR(IF(INDEX(' Disaggregation - Section E '!F$313:F823,MATCH(C1212,' Disaggregation - Section E '!A$313:A823,0)+1,1)&lt;&gt;0,INDEX(' Disaggregation - Section E '!F$313:F823,MATCH(C1212,' Disaggregation - Section E '!A$313:A823,0)+1,1),""),"")</f>
        <v/>
      </c>
      <c r="I1212" s="391" t="str">
        <f ca="1">IFERROR(IF(VLOOKUP(C1212,' Disaggregation - Section E '!A$313:J823,8,0)=0,"",VLOOKUP(C1212,' Disaggregation - Section E '!A$313:J823,8,0)),"")</f>
        <v/>
      </c>
      <c r="J1212" s="391" t="str">
        <f ca="1">IFERROR(IF(VLOOKUP(C1212,' Disaggregation - Section E '!A$313:J823,9,0)="","",VLOOKUP(C1212,' Disaggregation - Section E '!A$313:J823,9,0)),"")</f>
        <v/>
      </c>
      <c r="K1212" s="387" t="str">
        <f ca="1">IFERROR(VLOOKUP(C1212,' Disaggregation - Section E '!A$313:J823,3,0),"")</f>
        <v>HIV O-4.1b Percentage of transgender people reporting using a condom during their most recent sexual intercourse or anal sex</v>
      </c>
      <c r="L1212" s="391" t="str">
        <f ca="1">IFERROR(IF(VLOOKUP(C1212,' Disaggregation - Section E '!A$313:J823,10,0)="","",VLOOKUP(C1212,' Disaggregation - Section E '!A$313:J823,10,0)),"")</f>
        <v/>
      </c>
      <c r="M1212" s="388" t="str">
        <f ca="1">IFERROR(IF(VLOOKUP(C1212,' Disaggregation - Section E '!A$313:O527,15,0)=0,"",VLOOKUP(C1212,' Disaggregation - Section E '!A$313:O823,15,0)),"")</f>
        <v/>
      </c>
      <c r="N1212" s="387"/>
      <c r="O1212" s="387"/>
      <c r="P1212" s="387" t="str">
        <f ca="1">IFERROR(IF(VLOOKUP(C1212,' Disaggregation - Section E '!A$313:R527,18,0)=0,"",VLOOKUP(C1212,' Disaggregation - Section E '!A$313:R823,18,0)),"")</f>
        <v/>
      </c>
    </row>
    <row r="1213" spans="1:16">
      <c r="A1213" s="387" t="b">
        <f t="shared" ca="1" si="160"/>
        <v>0</v>
      </c>
      <c r="B1213" s="387"/>
      <c r="C1213" s="404" t="str">
        <f ca="1">IF(COUNTA(O$1002:O1213)=1,"",OFFSET(C1213,-COUNTA(O$1002:O1213)+1,0))</f>
        <v>a1VDm000000PgAkMAK</v>
      </c>
      <c r="D1213" s="392"/>
      <c r="E1213" s="389" t="str">
        <f ca="1">IFERROR(IF(VLOOKUP(C1213,' Disaggregation - Section E '!A$313:J824,7,0)="","",VLOOKUP(C1213,' Disaggregation - Section E '!A$313:J824,7,0)*100),"")</f>
        <v/>
      </c>
      <c r="F1213" s="387"/>
      <c r="G1213" s="390" t="str">
        <f ca="1">IFERROR(IF(VLOOKUP(C1213,' Disaggregation - Section E '!A$313:J824,6,0)="","",VLOOKUP(C1213,' Disaggregation - Section E '!A$313:J824,6,0)),"")</f>
        <v/>
      </c>
      <c r="H1213" s="390" t="str">
        <f ca="1">IFERROR(IF(INDEX(' Disaggregation - Section E '!F$313:F824,MATCH(C1213,' Disaggregation - Section E '!A$313:A824,0)+1,1)&lt;&gt;0,INDEX(' Disaggregation - Section E '!F$313:F824,MATCH(C1213,' Disaggregation - Section E '!A$313:A824,0)+1,1),""),"")</f>
        <v/>
      </c>
      <c r="I1213" s="391" t="str">
        <f ca="1">IFERROR(IF(VLOOKUP(C1213,' Disaggregation - Section E '!A$313:J824,8,0)=0,"",VLOOKUP(C1213,' Disaggregation - Section E '!A$313:J824,8,0)),"")</f>
        <v/>
      </c>
      <c r="J1213" s="391" t="str">
        <f ca="1">IFERROR(IF(VLOOKUP(C1213,' Disaggregation - Section E '!A$313:J824,9,0)="","",VLOOKUP(C1213,' Disaggregation - Section E '!A$313:J824,9,0)),"")</f>
        <v/>
      </c>
      <c r="K1213" s="387" t="str">
        <f ca="1">IFERROR(VLOOKUP(C1213,' Disaggregation - Section E '!A$313:J824,3,0),"")</f>
        <v>HIV O-4.1b Percentage of transgender people reporting using a condom during their most recent sexual intercourse or anal sex</v>
      </c>
      <c r="L1213" s="391" t="str">
        <f ca="1">IFERROR(IF(VLOOKUP(C1213,' Disaggregation - Section E '!A$313:J824,10,0)="","",VLOOKUP(C1213,' Disaggregation - Section E '!A$313:J824,10,0)),"")</f>
        <v/>
      </c>
      <c r="M1213" s="388" t="str">
        <f ca="1">IFERROR(IF(VLOOKUP(C1213,' Disaggregation - Section E '!A$313:O528,15,0)=0,"",VLOOKUP(C1213,' Disaggregation - Section E '!A$313:O824,15,0)),"")</f>
        <v/>
      </c>
      <c r="N1213" s="387"/>
      <c r="O1213" s="387"/>
      <c r="P1213" s="387" t="str">
        <f ca="1">IFERROR(IF(VLOOKUP(C1213,' Disaggregation - Section E '!A$313:R528,18,0)=0,"",VLOOKUP(C1213,' Disaggregation - Section E '!A$313:R824,18,0)),"")</f>
        <v/>
      </c>
    </row>
    <row r="1214" spans="1:16">
      <c r="A1214" s="387" t="b">
        <f t="shared" ca="1" si="160"/>
        <v>0</v>
      </c>
      <c r="B1214" s="387"/>
      <c r="C1214" s="404" t="str">
        <f ca="1">IF(COUNTA(O$1002:O1214)=1,"",OFFSET(C1214,-COUNTA(O$1002:O1214)+1,0))</f>
        <v>a1VDm000000PgAlMAK</v>
      </c>
      <c r="D1214" s="392"/>
      <c r="E1214" s="389" t="str">
        <f ca="1">IFERROR(IF(VLOOKUP(C1214,' Disaggregation - Section E '!A$313:J825,7,0)="","",VLOOKUP(C1214,' Disaggregation - Section E '!A$313:J825,7,0)*100),"")</f>
        <v/>
      </c>
      <c r="F1214" s="387"/>
      <c r="G1214" s="390" t="str">
        <f ca="1">IFERROR(IF(VLOOKUP(C1214,' Disaggregation - Section E '!A$313:J825,6,0)="","",VLOOKUP(C1214,' Disaggregation - Section E '!A$313:J825,6,0)),"")</f>
        <v/>
      </c>
      <c r="H1214" s="390" t="str">
        <f ca="1">IFERROR(IF(INDEX(' Disaggregation - Section E '!F$313:F825,MATCH(C1214,' Disaggregation - Section E '!A$313:A825,0)+1,1)&lt;&gt;0,INDEX(' Disaggregation - Section E '!F$313:F825,MATCH(C1214,' Disaggregation - Section E '!A$313:A825,0)+1,1),""),"")</f>
        <v/>
      </c>
      <c r="I1214" s="391" t="str">
        <f ca="1">IFERROR(IF(VLOOKUP(C1214,' Disaggregation - Section E '!A$313:J825,8,0)=0,"",VLOOKUP(C1214,' Disaggregation - Section E '!A$313:J825,8,0)),"")</f>
        <v/>
      </c>
      <c r="J1214" s="391" t="str">
        <f ca="1">IFERROR(IF(VLOOKUP(C1214,' Disaggregation - Section E '!A$313:J825,9,0)="","",VLOOKUP(C1214,' Disaggregation - Section E '!A$313:J825,9,0)),"")</f>
        <v/>
      </c>
      <c r="K1214" s="387" t="str">
        <f ca="1">IFERROR(VLOOKUP(C1214,' Disaggregation - Section E '!A$313:J825,3,0),"")</f>
        <v>HIV O-5 Percentage of sex workers reporting using a condom with their most recent client</v>
      </c>
      <c r="L1214" s="391" t="str">
        <f ca="1">IFERROR(IF(VLOOKUP(C1214,' Disaggregation - Section E '!A$313:J825,10,0)="","",VLOOKUP(C1214,' Disaggregation - Section E '!A$313:J825,10,0)),"")</f>
        <v/>
      </c>
      <c r="M1214" s="388" t="str">
        <f ca="1">IFERROR(IF(VLOOKUP(C1214,' Disaggregation - Section E '!A$313:O529,15,0)=0,"",VLOOKUP(C1214,' Disaggregation - Section E '!A$313:O825,15,0)),"")</f>
        <v/>
      </c>
      <c r="N1214" s="387"/>
      <c r="O1214" s="387"/>
      <c r="P1214" s="387" t="str">
        <f ca="1">IFERROR(IF(VLOOKUP(C1214,' Disaggregation - Section E '!A$313:R529,18,0)=0,"",VLOOKUP(C1214,' Disaggregation - Section E '!A$313:R825,18,0)),"")</f>
        <v/>
      </c>
    </row>
    <row r="1215" spans="1:16">
      <c r="A1215" s="387" t="b">
        <f t="shared" ca="1" si="160"/>
        <v>0</v>
      </c>
      <c r="B1215" s="387"/>
      <c r="C1215" s="404" t="str">
        <f ca="1">IF(COUNTA(O$1002:O1215)=1,"",OFFSET(C1215,-COUNTA(O$1002:O1215)+1,0))</f>
        <v>a1VDm000000PgAmMAK</v>
      </c>
      <c r="D1215" s="392"/>
      <c r="E1215" s="389" t="str">
        <f ca="1">IFERROR(IF(VLOOKUP(C1215,' Disaggregation - Section E '!A$313:J826,7,0)="","",VLOOKUP(C1215,' Disaggregation - Section E '!A$313:J826,7,0)*100),"")</f>
        <v/>
      </c>
      <c r="F1215" s="387"/>
      <c r="G1215" s="390" t="str">
        <f ca="1">IFERROR(IF(VLOOKUP(C1215,' Disaggregation - Section E '!A$313:J826,6,0)="","",VLOOKUP(C1215,' Disaggregation - Section E '!A$313:J826,6,0)),"")</f>
        <v/>
      </c>
      <c r="H1215" s="390" t="str">
        <f ca="1">IFERROR(IF(INDEX(' Disaggregation - Section E '!F$313:F826,MATCH(C1215,' Disaggregation - Section E '!A$313:A826,0)+1,1)&lt;&gt;0,INDEX(' Disaggregation - Section E '!F$313:F826,MATCH(C1215,' Disaggregation - Section E '!A$313:A826,0)+1,1),""),"")</f>
        <v/>
      </c>
      <c r="I1215" s="391" t="str">
        <f ca="1">IFERROR(IF(VLOOKUP(C1215,' Disaggregation - Section E '!A$313:J826,8,0)=0,"",VLOOKUP(C1215,' Disaggregation - Section E '!A$313:J826,8,0)),"")</f>
        <v/>
      </c>
      <c r="J1215" s="391" t="str">
        <f ca="1">IFERROR(IF(VLOOKUP(C1215,' Disaggregation - Section E '!A$313:J826,9,0)="","",VLOOKUP(C1215,' Disaggregation - Section E '!A$313:J826,9,0)),"")</f>
        <v/>
      </c>
      <c r="K1215" s="387" t="str">
        <f ca="1">IFERROR(VLOOKUP(C1215,' Disaggregation - Section E '!A$313:J826,3,0),"")</f>
        <v>HIV O-5 Percentage of sex workers reporting using a condom with their most recent client</v>
      </c>
      <c r="L1215" s="391" t="str">
        <f ca="1">IFERROR(IF(VLOOKUP(C1215,' Disaggregation - Section E '!A$313:J826,10,0)="","",VLOOKUP(C1215,' Disaggregation - Section E '!A$313:J826,10,0)),"")</f>
        <v/>
      </c>
      <c r="M1215" s="388" t="str">
        <f ca="1">IFERROR(IF(VLOOKUP(C1215,' Disaggregation - Section E '!A$313:O530,15,0)=0,"",VLOOKUP(C1215,' Disaggregation - Section E '!A$313:O826,15,0)),"")</f>
        <v/>
      </c>
      <c r="N1215" s="387"/>
      <c r="O1215" s="387"/>
      <c r="P1215" s="387" t="str">
        <f ca="1">IFERROR(IF(VLOOKUP(C1215,' Disaggregation - Section E '!A$313:R530,18,0)=0,"",VLOOKUP(C1215,' Disaggregation - Section E '!A$313:R826,18,0)),"")</f>
        <v/>
      </c>
    </row>
    <row r="1216" spans="1:16">
      <c r="A1216" s="387" t="b">
        <f t="shared" ca="1" si="160"/>
        <v>0</v>
      </c>
      <c r="B1216" s="387"/>
      <c r="C1216" s="404" t="str">
        <f ca="1">IF(COUNTA(O$1002:O1216)=1,"",OFFSET(C1216,-COUNTA(O$1002:O1216)+1,0))</f>
        <v>a1VDm000000PgAnMAK</v>
      </c>
      <c r="D1216" s="392"/>
      <c r="E1216" s="389" t="str">
        <f ca="1">IFERROR(IF(VLOOKUP(C1216,' Disaggregation - Section E '!A$313:J827,7,0)="","",VLOOKUP(C1216,' Disaggregation - Section E '!A$313:J827,7,0)*100),"")</f>
        <v/>
      </c>
      <c r="F1216" s="387"/>
      <c r="G1216" s="390" t="str">
        <f ca="1">IFERROR(IF(VLOOKUP(C1216,' Disaggregation - Section E '!A$313:J827,6,0)="","",VLOOKUP(C1216,' Disaggregation - Section E '!A$313:J827,6,0)),"")</f>
        <v/>
      </c>
      <c r="H1216" s="390" t="str">
        <f ca="1">IFERROR(IF(INDEX(' Disaggregation - Section E '!F$313:F827,MATCH(C1216,' Disaggregation - Section E '!A$313:A827,0)+1,1)&lt;&gt;0,INDEX(' Disaggregation - Section E '!F$313:F827,MATCH(C1216,' Disaggregation - Section E '!A$313:A827,0)+1,1),""),"")</f>
        <v/>
      </c>
      <c r="I1216" s="391" t="str">
        <f ca="1">IFERROR(IF(VLOOKUP(C1216,' Disaggregation - Section E '!A$313:J827,8,0)=0,"",VLOOKUP(C1216,' Disaggregation - Section E '!A$313:J827,8,0)),"")</f>
        <v/>
      </c>
      <c r="J1216" s="391" t="str">
        <f ca="1">IFERROR(IF(VLOOKUP(C1216,' Disaggregation - Section E '!A$313:J827,9,0)="","",VLOOKUP(C1216,' Disaggregation - Section E '!A$313:J827,9,0)),"")</f>
        <v/>
      </c>
      <c r="K1216" s="387" t="str">
        <f ca="1">IFERROR(VLOOKUP(C1216,' Disaggregation - Section E '!A$313:J827,3,0),"")</f>
        <v>HIV O-5 Percentage of sex workers reporting using a condom with their most recent client</v>
      </c>
      <c r="L1216" s="391" t="str">
        <f ca="1">IFERROR(IF(VLOOKUP(C1216,' Disaggregation - Section E '!A$313:J827,10,0)="","",VLOOKUP(C1216,' Disaggregation - Section E '!A$313:J827,10,0)),"")</f>
        <v/>
      </c>
      <c r="M1216" s="388" t="str">
        <f ca="1">IFERROR(IF(VLOOKUP(C1216,' Disaggregation - Section E '!A$313:O531,15,0)=0,"",VLOOKUP(C1216,' Disaggregation - Section E '!A$313:O827,15,0)),"")</f>
        <v/>
      </c>
      <c r="N1216" s="387"/>
      <c r="O1216" s="387"/>
      <c r="P1216" s="387" t="str">
        <f ca="1">IFERROR(IF(VLOOKUP(C1216,' Disaggregation - Section E '!A$313:R531,18,0)=0,"",VLOOKUP(C1216,' Disaggregation - Section E '!A$313:R827,18,0)),"")</f>
        <v/>
      </c>
    </row>
    <row r="1217" spans="1:16">
      <c r="A1217" s="387" t="b">
        <f t="shared" ca="1" si="160"/>
        <v>0</v>
      </c>
      <c r="B1217" s="387"/>
      <c r="C1217" s="404" t="str">
        <f ca="1">IF(COUNTA(O$1002:O1217)=1,"",OFFSET(C1217,-COUNTA(O$1002:O1217)+1,0))</f>
        <v>a1VDm000000PgAoMAK</v>
      </c>
      <c r="D1217" s="392"/>
      <c r="E1217" s="389" t="str">
        <f ca="1">IFERROR(IF(VLOOKUP(C1217,' Disaggregation - Section E '!A$313:J828,7,0)="","",VLOOKUP(C1217,' Disaggregation - Section E '!A$313:J828,7,0)*100),"")</f>
        <v/>
      </c>
      <c r="F1217" s="387"/>
      <c r="G1217" s="390" t="str">
        <f ca="1">IFERROR(IF(VLOOKUP(C1217,' Disaggregation - Section E '!A$313:J828,6,0)="","",VLOOKUP(C1217,' Disaggregation - Section E '!A$313:J828,6,0)),"")</f>
        <v/>
      </c>
      <c r="H1217" s="390" t="str">
        <f ca="1">IFERROR(IF(INDEX(' Disaggregation - Section E '!F$313:F828,MATCH(C1217,' Disaggregation - Section E '!A$313:A828,0)+1,1)&lt;&gt;0,INDEX(' Disaggregation - Section E '!F$313:F828,MATCH(C1217,' Disaggregation - Section E '!A$313:A828,0)+1,1),""),"")</f>
        <v/>
      </c>
      <c r="I1217" s="391" t="str">
        <f ca="1">IFERROR(IF(VLOOKUP(C1217,' Disaggregation - Section E '!A$313:J828,8,0)=0,"",VLOOKUP(C1217,' Disaggregation - Section E '!A$313:J828,8,0)),"")</f>
        <v/>
      </c>
      <c r="J1217" s="391" t="str">
        <f ca="1">IFERROR(IF(VLOOKUP(C1217,' Disaggregation - Section E '!A$313:J828,9,0)="","",VLOOKUP(C1217,' Disaggregation - Section E '!A$313:J828,9,0)),"")</f>
        <v/>
      </c>
      <c r="K1217" s="387" t="str">
        <f ca="1">IFERROR(VLOOKUP(C1217,' Disaggregation - Section E '!A$313:J828,3,0),"")</f>
        <v>HIV O-5 Percentage of sex workers reporting using a condom with their most recent client</v>
      </c>
      <c r="L1217" s="391" t="str">
        <f ca="1">IFERROR(IF(VLOOKUP(C1217,' Disaggregation - Section E '!A$313:J828,10,0)="","",VLOOKUP(C1217,' Disaggregation - Section E '!A$313:J828,10,0)),"")</f>
        <v/>
      </c>
      <c r="M1217" s="388" t="str">
        <f ca="1">IFERROR(IF(VLOOKUP(C1217,' Disaggregation - Section E '!A$313:O532,15,0)=0,"",VLOOKUP(C1217,' Disaggregation - Section E '!A$313:O828,15,0)),"")</f>
        <v/>
      </c>
      <c r="N1217" s="387"/>
      <c r="O1217" s="387"/>
      <c r="P1217" s="387" t="str">
        <f ca="1">IFERROR(IF(VLOOKUP(C1217,' Disaggregation - Section E '!A$313:R532,18,0)=0,"",VLOOKUP(C1217,' Disaggregation - Section E '!A$313:R828,18,0)),"")</f>
        <v/>
      </c>
    </row>
    <row r="1218" spans="1:16">
      <c r="A1218" s="387" t="b">
        <f t="shared" ref="A1218:A1281" ca="1" si="161">IF(M1218&lt;&gt;"",TRUE,FALSE)</f>
        <v>0</v>
      </c>
      <c r="B1218" s="387"/>
      <c r="C1218" s="404" t="str">
        <f ca="1">IF(COUNTA(O$1002:O1218)=1,"",OFFSET(C1218,-COUNTA(O$1002:O1218)+1,0))</f>
        <v>a1VDm000000PgApMAK</v>
      </c>
      <c r="D1218" s="392"/>
      <c r="E1218" s="389" t="str">
        <f ca="1">IFERROR(IF(VLOOKUP(C1218,' Disaggregation - Section E '!A$313:J829,7,0)="","",VLOOKUP(C1218,' Disaggregation - Section E '!A$313:J829,7,0)*100),"")</f>
        <v/>
      </c>
      <c r="F1218" s="387"/>
      <c r="G1218" s="390" t="str">
        <f ca="1">IFERROR(IF(VLOOKUP(C1218,' Disaggregation - Section E '!A$313:J829,6,0)="","",VLOOKUP(C1218,' Disaggregation - Section E '!A$313:J829,6,0)),"")</f>
        <v/>
      </c>
      <c r="H1218" s="390" t="str">
        <f ca="1">IFERROR(IF(INDEX(' Disaggregation - Section E '!F$313:F829,MATCH(C1218,' Disaggregation - Section E '!A$313:A829,0)+1,1)&lt;&gt;0,INDEX(' Disaggregation - Section E '!F$313:F829,MATCH(C1218,' Disaggregation - Section E '!A$313:A829,0)+1,1),""),"")</f>
        <v/>
      </c>
      <c r="I1218" s="391" t="str">
        <f ca="1">IFERROR(IF(VLOOKUP(C1218,' Disaggregation - Section E '!A$313:J829,8,0)=0,"",VLOOKUP(C1218,' Disaggregation - Section E '!A$313:J829,8,0)),"")</f>
        <v/>
      </c>
      <c r="J1218" s="391" t="str">
        <f ca="1">IFERROR(IF(VLOOKUP(C1218,' Disaggregation - Section E '!A$313:J829,9,0)="","",VLOOKUP(C1218,' Disaggregation - Section E '!A$313:J829,9,0)),"")</f>
        <v/>
      </c>
      <c r="K1218" s="387" t="str">
        <f ca="1">IFERROR(VLOOKUP(C1218,' Disaggregation - Section E '!A$313:J829,3,0),"")</f>
        <v>HIV O-5 Percentage of sex workers reporting using a condom with their most recent client</v>
      </c>
      <c r="L1218" s="391" t="str">
        <f ca="1">IFERROR(IF(VLOOKUP(C1218,' Disaggregation - Section E '!A$313:J829,10,0)="","",VLOOKUP(C1218,' Disaggregation - Section E '!A$313:J829,10,0)),"")</f>
        <v/>
      </c>
      <c r="M1218" s="388" t="str">
        <f ca="1">IFERROR(IF(VLOOKUP(C1218,' Disaggregation - Section E '!A$313:O533,15,0)=0,"",VLOOKUP(C1218,' Disaggregation - Section E '!A$313:O829,15,0)),"")</f>
        <v/>
      </c>
      <c r="N1218" s="387"/>
      <c r="O1218" s="387"/>
      <c r="P1218" s="387" t="str">
        <f ca="1">IFERROR(IF(VLOOKUP(C1218,' Disaggregation - Section E '!A$313:R533,18,0)=0,"",VLOOKUP(C1218,' Disaggregation - Section E '!A$313:R829,18,0)),"")</f>
        <v/>
      </c>
    </row>
    <row r="1219" spans="1:16">
      <c r="A1219" s="387" t="b">
        <f t="shared" ca="1" si="161"/>
        <v>0</v>
      </c>
      <c r="B1219" s="387"/>
      <c r="C1219" s="404" t="str">
        <f ca="1">IF(COUNTA(O$1002:O1219)=1,"",OFFSET(C1219,-COUNTA(O$1002:O1219)+1,0))</f>
        <v>a1VDm000000PgAqMAK</v>
      </c>
      <c r="D1219" s="392"/>
      <c r="E1219" s="389" t="str">
        <f ca="1">IFERROR(IF(VLOOKUP(C1219,' Disaggregation - Section E '!A$313:J830,7,0)="","",VLOOKUP(C1219,' Disaggregation - Section E '!A$313:J830,7,0)*100),"")</f>
        <v/>
      </c>
      <c r="F1219" s="387"/>
      <c r="G1219" s="390" t="str">
        <f ca="1">IFERROR(IF(VLOOKUP(C1219,' Disaggregation - Section E '!A$313:J830,6,0)="","",VLOOKUP(C1219,' Disaggregation - Section E '!A$313:J830,6,0)),"")</f>
        <v/>
      </c>
      <c r="H1219" s="390" t="str">
        <f ca="1">IFERROR(IF(INDEX(' Disaggregation - Section E '!F$313:F830,MATCH(C1219,' Disaggregation - Section E '!A$313:A830,0)+1,1)&lt;&gt;0,INDEX(' Disaggregation - Section E '!F$313:F830,MATCH(C1219,' Disaggregation - Section E '!A$313:A830,0)+1,1),""),"")</f>
        <v/>
      </c>
      <c r="I1219" s="391" t="str">
        <f ca="1">IFERROR(IF(VLOOKUP(C1219,' Disaggregation - Section E '!A$313:J830,8,0)=0,"",VLOOKUP(C1219,' Disaggregation - Section E '!A$313:J830,8,0)),"")</f>
        <v/>
      </c>
      <c r="J1219" s="391" t="str">
        <f ca="1">IFERROR(IF(VLOOKUP(C1219,' Disaggregation - Section E '!A$313:J830,9,0)="","",VLOOKUP(C1219,' Disaggregation - Section E '!A$313:J830,9,0)),"")</f>
        <v/>
      </c>
      <c r="K1219" s="387" t="str">
        <f ca="1">IFERROR(VLOOKUP(C1219,' Disaggregation - Section E '!A$313:J830,3,0),"")</f>
        <v>HIV O-5 Percentage of sex workers reporting using a condom with their most recent client</v>
      </c>
      <c r="L1219" s="391" t="str">
        <f ca="1">IFERROR(IF(VLOOKUP(C1219,' Disaggregation - Section E '!A$313:J830,10,0)="","",VLOOKUP(C1219,' Disaggregation - Section E '!A$313:J830,10,0)),"")</f>
        <v/>
      </c>
      <c r="M1219" s="388" t="str">
        <f ca="1">IFERROR(IF(VLOOKUP(C1219,' Disaggregation - Section E '!A$313:O534,15,0)=0,"",VLOOKUP(C1219,' Disaggregation - Section E '!A$313:O830,15,0)),"")</f>
        <v/>
      </c>
      <c r="N1219" s="387"/>
      <c r="O1219" s="387"/>
      <c r="P1219" s="387" t="str">
        <f ca="1">IFERROR(IF(VLOOKUP(C1219,' Disaggregation - Section E '!A$313:R534,18,0)=0,"",VLOOKUP(C1219,' Disaggregation - Section E '!A$313:R830,18,0)),"")</f>
        <v/>
      </c>
    </row>
    <row r="1220" spans="1:16">
      <c r="A1220" s="387" t="b">
        <f t="shared" ca="1" si="161"/>
        <v>0</v>
      </c>
      <c r="B1220" s="387"/>
      <c r="C1220" s="404" t="str">
        <f ca="1">IF(COUNTA(O$1002:O1220)=1,"",OFFSET(C1220,-COUNTA(O$1002:O1220)+1,0))</f>
        <v>a1VDm000000PgArMAK</v>
      </c>
      <c r="D1220" s="392"/>
      <c r="E1220" s="389" t="str">
        <f ca="1">IFERROR(IF(VLOOKUP(C1220,' Disaggregation - Section E '!A$313:J831,7,0)="","",VLOOKUP(C1220,' Disaggregation - Section E '!A$313:J831,7,0)*100),"")</f>
        <v/>
      </c>
      <c r="F1220" s="387"/>
      <c r="G1220" s="390" t="str">
        <f ca="1">IFERROR(IF(VLOOKUP(C1220,' Disaggregation - Section E '!A$313:J831,6,0)="","",VLOOKUP(C1220,' Disaggregation - Section E '!A$313:J831,6,0)),"")</f>
        <v/>
      </c>
      <c r="H1220" s="390" t="str">
        <f ca="1">IFERROR(IF(INDEX(' Disaggregation - Section E '!F$313:F831,MATCH(C1220,' Disaggregation - Section E '!A$313:A831,0)+1,1)&lt;&gt;0,INDEX(' Disaggregation - Section E '!F$313:F831,MATCH(C1220,' Disaggregation - Section E '!A$313:A831,0)+1,1),""),"")</f>
        <v/>
      </c>
      <c r="I1220" s="391" t="str">
        <f ca="1">IFERROR(IF(VLOOKUP(C1220,' Disaggregation - Section E '!A$313:J831,8,0)=0,"",VLOOKUP(C1220,' Disaggregation - Section E '!A$313:J831,8,0)),"")</f>
        <v/>
      </c>
      <c r="J1220" s="391" t="str">
        <f ca="1">IFERROR(IF(VLOOKUP(C1220,' Disaggregation - Section E '!A$313:J831,9,0)="","",VLOOKUP(C1220,' Disaggregation - Section E '!A$313:J831,9,0)),"")</f>
        <v/>
      </c>
      <c r="K1220" s="387" t="str">
        <f ca="1">IFERROR(VLOOKUP(C1220,' Disaggregation - Section E '!A$313:J831,3,0),"")</f>
        <v>HIV O-5 Percentage of sex workers reporting using a condom with their most recent client</v>
      </c>
      <c r="L1220" s="391" t="str">
        <f ca="1">IFERROR(IF(VLOOKUP(C1220,' Disaggregation - Section E '!A$313:J831,10,0)="","",VLOOKUP(C1220,' Disaggregation - Section E '!A$313:J831,10,0)),"")</f>
        <v/>
      </c>
      <c r="M1220" s="388" t="str">
        <f ca="1">IFERROR(IF(VLOOKUP(C1220,' Disaggregation - Section E '!A$313:O535,15,0)=0,"",VLOOKUP(C1220,' Disaggregation - Section E '!A$313:O831,15,0)),"")</f>
        <v/>
      </c>
      <c r="N1220" s="387"/>
      <c r="O1220" s="387"/>
      <c r="P1220" s="387" t="str">
        <f ca="1">IFERROR(IF(VLOOKUP(C1220,' Disaggregation - Section E '!A$313:R535,18,0)=0,"",VLOOKUP(C1220,' Disaggregation - Section E '!A$313:R831,18,0)),"")</f>
        <v/>
      </c>
    </row>
    <row r="1221" spans="1:16">
      <c r="A1221" s="387" t="b">
        <f t="shared" ca="1" si="161"/>
        <v>0</v>
      </c>
      <c r="B1221" s="387"/>
      <c r="C1221" s="404" t="str">
        <f ca="1">IF(COUNTA(O$1002:O1221)=1,"",OFFSET(C1221,-COUNTA(O$1002:O1221)+1,0))</f>
        <v>a1VDm000000PgAsMAK</v>
      </c>
      <c r="D1221" s="392"/>
      <c r="E1221" s="389" t="str">
        <f ca="1">IFERROR(IF(VLOOKUP(C1221,' Disaggregation - Section E '!A$313:J832,7,0)="","",VLOOKUP(C1221,' Disaggregation - Section E '!A$313:J832,7,0)*100),"")</f>
        <v/>
      </c>
      <c r="F1221" s="387"/>
      <c r="G1221" s="390" t="str">
        <f ca="1">IFERROR(IF(VLOOKUP(C1221,' Disaggregation - Section E '!A$313:J832,6,0)="","",VLOOKUP(C1221,' Disaggregation - Section E '!A$313:J832,6,0)),"")</f>
        <v/>
      </c>
      <c r="H1221" s="390" t="str">
        <f ca="1">IFERROR(IF(INDEX(' Disaggregation - Section E '!F$313:F832,MATCH(C1221,' Disaggregation - Section E '!A$313:A832,0)+1,1)&lt;&gt;0,INDEX(' Disaggregation - Section E '!F$313:F832,MATCH(C1221,' Disaggregation - Section E '!A$313:A832,0)+1,1),""),"")</f>
        <v/>
      </c>
      <c r="I1221" s="391" t="str">
        <f ca="1">IFERROR(IF(VLOOKUP(C1221,' Disaggregation - Section E '!A$313:J832,8,0)=0,"",VLOOKUP(C1221,' Disaggregation - Section E '!A$313:J832,8,0)),"")</f>
        <v/>
      </c>
      <c r="J1221" s="391" t="str">
        <f ca="1">IFERROR(IF(VLOOKUP(C1221,' Disaggregation - Section E '!A$313:J832,9,0)="","",VLOOKUP(C1221,' Disaggregation - Section E '!A$313:J832,9,0)),"")</f>
        <v/>
      </c>
      <c r="K1221" s="387" t="str">
        <f ca="1">IFERROR(VLOOKUP(C1221,' Disaggregation - Section E '!A$313:J832,3,0),"")</f>
        <v>HIV O-5 Percentage of sex workers reporting using a condom with their most recent client</v>
      </c>
      <c r="L1221" s="391" t="str">
        <f ca="1">IFERROR(IF(VLOOKUP(C1221,' Disaggregation - Section E '!A$313:J832,10,0)="","",VLOOKUP(C1221,' Disaggregation - Section E '!A$313:J832,10,0)),"")</f>
        <v/>
      </c>
      <c r="M1221" s="388" t="str">
        <f ca="1">IFERROR(IF(VLOOKUP(C1221,' Disaggregation - Section E '!A$313:O536,15,0)=0,"",VLOOKUP(C1221,' Disaggregation - Section E '!A$313:O832,15,0)),"")</f>
        <v/>
      </c>
      <c r="N1221" s="387"/>
      <c r="O1221" s="387"/>
      <c r="P1221" s="387" t="str">
        <f ca="1">IFERROR(IF(VLOOKUP(C1221,' Disaggregation - Section E '!A$313:R536,18,0)=0,"",VLOOKUP(C1221,' Disaggregation - Section E '!A$313:R832,18,0)),"")</f>
        <v/>
      </c>
    </row>
    <row r="1222" spans="1:16">
      <c r="A1222" s="387" t="b">
        <f t="shared" ca="1" si="161"/>
        <v>0</v>
      </c>
      <c r="B1222" s="387"/>
      <c r="C1222" s="404" t="str">
        <f ca="1">IF(COUNTA(O$1002:O1222)=1,"",OFFSET(C1222,-COUNTA(O$1002:O1222)+1,0))</f>
        <v>a1VDm000000PgAtMAK</v>
      </c>
      <c r="D1222" s="392"/>
      <c r="E1222" s="389" t="str">
        <f ca="1">IFERROR(IF(VLOOKUP(C1222,' Disaggregation - Section E '!A$313:J833,7,0)="","",VLOOKUP(C1222,' Disaggregation - Section E '!A$313:J833,7,0)*100),"")</f>
        <v/>
      </c>
      <c r="F1222" s="387"/>
      <c r="G1222" s="390" t="str">
        <f ca="1">IFERROR(IF(VLOOKUP(C1222,' Disaggregation - Section E '!A$313:J833,6,0)="","",VLOOKUP(C1222,' Disaggregation - Section E '!A$313:J833,6,0)),"")</f>
        <v/>
      </c>
      <c r="H1222" s="390" t="str">
        <f ca="1">IFERROR(IF(INDEX(' Disaggregation - Section E '!F$313:F833,MATCH(C1222,' Disaggregation - Section E '!A$313:A833,0)+1,1)&lt;&gt;0,INDEX(' Disaggregation - Section E '!F$313:F833,MATCH(C1222,' Disaggregation - Section E '!A$313:A833,0)+1,1),""),"")</f>
        <v/>
      </c>
      <c r="I1222" s="391" t="str">
        <f ca="1">IFERROR(IF(VLOOKUP(C1222,' Disaggregation - Section E '!A$313:J833,8,0)=0,"",VLOOKUP(C1222,' Disaggregation - Section E '!A$313:J833,8,0)),"")</f>
        <v/>
      </c>
      <c r="J1222" s="391" t="str">
        <f ca="1">IFERROR(IF(VLOOKUP(C1222,' Disaggregation - Section E '!A$313:J833,9,0)="","",VLOOKUP(C1222,' Disaggregation - Section E '!A$313:J833,9,0)),"")</f>
        <v/>
      </c>
      <c r="K1222" s="387" t="str">
        <f ca="1">IFERROR(VLOOKUP(C1222,' Disaggregation - Section E '!A$313:J833,3,0),"")</f>
        <v>HIV O-5 Percentage of sex workers reporting using a condom with their most recent client</v>
      </c>
      <c r="L1222" s="391" t="str">
        <f ca="1">IFERROR(IF(VLOOKUP(C1222,' Disaggregation - Section E '!A$313:J833,10,0)="","",VLOOKUP(C1222,' Disaggregation - Section E '!A$313:J833,10,0)),"")</f>
        <v/>
      </c>
      <c r="M1222" s="388" t="str">
        <f ca="1">IFERROR(IF(VLOOKUP(C1222,' Disaggregation - Section E '!A$313:O537,15,0)=0,"",VLOOKUP(C1222,' Disaggregation - Section E '!A$313:O833,15,0)),"")</f>
        <v/>
      </c>
      <c r="N1222" s="387"/>
      <c r="O1222" s="387"/>
      <c r="P1222" s="387" t="str">
        <f ca="1">IFERROR(IF(VLOOKUP(C1222,' Disaggregation - Section E '!A$313:R537,18,0)=0,"",VLOOKUP(C1222,' Disaggregation - Section E '!A$313:R833,18,0)),"")</f>
        <v/>
      </c>
    </row>
    <row r="1223" spans="1:16">
      <c r="A1223" s="387" t="b">
        <f t="shared" ca="1" si="161"/>
        <v>0</v>
      </c>
      <c r="B1223" s="387"/>
      <c r="C1223" s="404" t="str">
        <f ca="1">IF(COUNTA(O$1002:O1223)=1,"",OFFSET(C1223,-COUNTA(O$1002:O1223)+1,0))</f>
        <v>a1VDm000000PgAuMAK</v>
      </c>
      <c r="D1223" s="392"/>
      <c r="E1223" s="389" t="str">
        <f ca="1">IFERROR(IF(VLOOKUP(C1223,' Disaggregation - Section E '!A$313:J834,7,0)="","",VLOOKUP(C1223,' Disaggregation - Section E '!A$313:J834,7,0)*100),"")</f>
        <v/>
      </c>
      <c r="F1223" s="387"/>
      <c r="G1223" s="390" t="str">
        <f ca="1">IFERROR(IF(VLOOKUP(C1223,' Disaggregation - Section E '!A$313:J834,6,0)="","",VLOOKUP(C1223,' Disaggregation - Section E '!A$313:J834,6,0)),"")</f>
        <v/>
      </c>
      <c r="H1223" s="390" t="str">
        <f ca="1">IFERROR(IF(INDEX(' Disaggregation - Section E '!F$313:F834,MATCH(C1223,' Disaggregation - Section E '!A$313:A834,0)+1,1)&lt;&gt;0,INDEX(' Disaggregation - Section E '!F$313:F834,MATCH(C1223,' Disaggregation - Section E '!A$313:A834,0)+1,1),""),"")</f>
        <v/>
      </c>
      <c r="I1223" s="391" t="str">
        <f ca="1">IFERROR(IF(VLOOKUP(C1223,' Disaggregation - Section E '!A$313:J834,8,0)=0,"",VLOOKUP(C1223,' Disaggregation - Section E '!A$313:J834,8,0)),"")</f>
        <v/>
      </c>
      <c r="J1223" s="391" t="str">
        <f ca="1">IFERROR(IF(VLOOKUP(C1223,' Disaggregation - Section E '!A$313:J834,9,0)="","",VLOOKUP(C1223,' Disaggregation - Section E '!A$313:J834,9,0)),"")</f>
        <v/>
      </c>
      <c r="K1223" s="387" t="str">
        <f ca="1">IFERROR(VLOOKUP(C1223,' Disaggregation - Section E '!A$313:J834,3,0),"")</f>
        <v>HIV O-5 Percentage of sex workers reporting using a condom with their most recent client</v>
      </c>
      <c r="L1223" s="391" t="str">
        <f ca="1">IFERROR(IF(VLOOKUP(C1223,' Disaggregation - Section E '!A$313:J834,10,0)="","",VLOOKUP(C1223,' Disaggregation - Section E '!A$313:J834,10,0)),"")</f>
        <v/>
      </c>
      <c r="M1223" s="388" t="str">
        <f ca="1">IFERROR(IF(VLOOKUP(C1223,' Disaggregation - Section E '!A$313:O538,15,0)=0,"",VLOOKUP(C1223,' Disaggregation - Section E '!A$313:O834,15,0)),"")</f>
        <v/>
      </c>
      <c r="N1223" s="387"/>
      <c r="O1223" s="387"/>
      <c r="P1223" s="387" t="str">
        <f ca="1">IFERROR(IF(VLOOKUP(C1223,' Disaggregation - Section E '!A$313:R538,18,0)=0,"",VLOOKUP(C1223,' Disaggregation - Section E '!A$313:R834,18,0)),"")</f>
        <v/>
      </c>
    </row>
    <row r="1224" spans="1:16">
      <c r="A1224" s="387" t="b">
        <f t="shared" ca="1" si="161"/>
        <v>0</v>
      </c>
      <c r="B1224" s="387"/>
      <c r="C1224" s="404" t="str">
        <f ca="1">IF(COUNTA(O$1002:O1224)=1,"",OFFSET(C1224,-COUNTA(O$1002:O1224)+1,0))</f>
        <v>a1VDm000000PgAvMAK</v>
      </c>
      <c r="D1224" s="392"/>
      <c r="E1224" s="389" t="str">
        <f ca="1">IFERROR(IF(VLOOKUP(C1224,' Disaggregation - Section E '!A$313:J835,7,0)="","",VLOOKUP(C1224,' Disaggregation - Section E '!A$313:J835,7,0)*100),"")</f>
        <v/>
      </c>
      <c r="F1224" s="387"/>
      <c r="G1224" s="390" t="str">
        <f ca="1">IFERROR(IF(VLOOKUP(C1224,' Disaggregation - Section E '!A$313:J835,6,0)="","",VLOOKUP(C1224,' Disaggregation - Section E '!A$313:J835,6,0)),"")</f>
        <v/>
      </c>
      <c r="H1224" s="390" t="str">
        <f ca="1">IFERROR(IF(INDEX(' Disaggregation - Section E '!F$313:F835,MATCH(C1224,' Disaggregation - Section E '!A$313:A835,0)+1,1)&lt;&gt;0,INDEX(' Disaggregation - Section E '!F$313:F835,MATCH(C1224,' Disaggregation - Section E '!A$313:A835,0)+1,1),""),"")</f>
        <v/>
      </c>
      <c r="I1224" s="391" t="str">
        <f ca="1">IFERROR(IF(VLOOKUP(C1224,' Disaggregation - Section E '!A$313:J835,8,0)=0,"",VLOOKUP(C1224,' Disaggregation - Section E '!A$313:J835,8,0)),"")</f>
        <v/>
      </c>
      <c r="J1224" s="391" t="str">
        <f ca="1">IFERROR(IF(VLOOKUP(C1224,' Disaggregation - Section E '!A$313:J835,9,0)="","",VLOOKUP(C1224,' Disaggregation - Section E '!A$313:J835,9,0)),"")</f>
        <v/>
      </c>
      <c r="K1224" s="387" t="str">
        <f ca="1">IFERROR(VLOOKUP(C1224,' Disaggregation - Section E '!A$313:J835,3,0),"")</f>
        <v>HIV O-6 Percentage of people who inject drugs reporting using sterile injecting equipment the last time they injected</v>
      </c>
      <c r="L1224" s="391" t="str">
        <f ca="1">IFERROR(IF(VLOOKUP(C1224,' Disaggregation - Section E '!A$313:J835,10,0)="","",VLOOKUP(C1224,' Disaggregation - Section E '!A$313:J835,10,0)),"")</f>
        <v/>
      </c>
      <c r="M1224" s="388" t="str">
        <f ca="1">IFERROR(IF(VLOOKUP(C1224,' Disaggregation - Section E '!A$313:O539,15,0)=0,"",VLOOKUP(C1224,' Disaggregation - Section E '!A$313:O835,15,0)),"")</f>
        <v/>
      </c>
      <c r="N1224" s="387"/>
      <c r="O1224" s="387"/>
      <c r="P1224" s="387" t="str">
        <f ca="1">IFERROR(IF(VLOOKUP(C1224,' Disaggregation - Section E '!A$313:R539,18,0)=0,"",VLOOKUP(C1224,' Disaggregation - Section E '!A$313:R835,18,0)),"")</f>
        <v/>
      </c>
    </row>
    <row r="1225" spans="1:16">
      <c r="A1225" s="387" t="b">
        <f t="shared" ca="1" si="161"/>
        <v>0</v>
      </c>
      <c r="B1225" s="387"/>
      <c r="C1225" s="404" t="str">
        <f ca="1">IF(COUNTA(O$1002:O1225)=1,"",OFFSET(C1225,-COUNTA(O$1002:O1225)+1,0))</f>
        <v>a1VDm000000PgAwMAK</v>
      </c>
      <c r="D1225" s="392"/>
      <c r="E1225" s="389" t="str">
        <f ca="1">IFERROR(IF(VLOOKUP(C1225,' Disaggregation - Section E '!A$313:J836,7,0)="","",VLOOKUP(C1225,' Disaggregation - Section E '!A$313:J836,7,0)*100),"")</f>
        <v/>
      </c>
      <c r="F1225" s="387"/>
      <c r="G1225" s="390" t="str">
        <f ca="1">IFERROR(IF(VLOOKUP(C1225,' Disaggregation - Section E '!A$313:J836,6,0)="","",VLOOKUP(C1225,' Disaggregation - Section E '!A$313:J836,6,0)),"")</f>
        <v/>
      </c>
      <c r="H1225" s="390" t="str">
        <f ca="1">IFERROR(IF(INDEX(' Disaggregation - Section E '!F$313:F836,MATCH(C1225,' Disaggregation - Section E '!A$313:A836,0)+1,1)&lt;&gt;0,INDEX(' Disaggregation - Section E '!F$313:F836,MATCH(C1225,' Disaggregation - Section E '!A$313:A836,0)+1,1),""),"")</f>
        <v/>
      </c>
      <c r="I1225" s="391" t="str">
        <f ca="1">IFERROR(IF(VLOOKUP(C1225,' Disaggregation - Section E '!A$313:J836,8,0)=0,"",VLOOKUP(C1225,' Disaggregation - Section E '!A$313:J836,8,0)),"")</f>
        <v/>
      </c>
      <c r="J1225" s="391" t="str">
        <f ca="1">IFERROR(IF(VLOOKUP(C1225,' Disaggregation - Section E '!A$313:J836,9,0)="","",VLOOKUP(C1225,' Disaggregation - Section E '!A$313:J836,9,0)),"")</f>
        <v/>
      </c>
      <c r="K1225" s="387" t="str">
        <f ca="1">IFERROR(VLOOKUP(C1225,' Disaggregation - Section E '!A$313:J836,3,0),"")</f>
        <v>HIV O-6 Percentage of people who inject drugs reporting using sterile injecting equipment the last time they injected</v>
      </c>
      <c r="L1225" s="391" t="str">
        <f ca="1">IFERROR(IF(VLOOKUP(C1225,' Disaggregation - Section E '!A$313:J836,10,0)="","",VLOOKUP(C1225,' Disaggregation - Section E '!A$313:J836,10,0)),"")</f>
        <v/>
      </c>
      <c r="M1225" s="388" t="str">
        <f ca="1">IFERROR(IF(VLOOKUP(C1225,' Disaggregation - Section E '!A$313:O540,15,0)=0,"",VLOOKUP(C1225,' Disaggregation - Section E '!A$313:O836,15,0)),"")</f>
        <v/>
      </c>
      <c r="N1225" s="387"/>
      <c r="O1225" s="387"/>
      <c r="P1225" s="387" t="str">
        <f ca="1">IFERROR(IF(VLOOKUP(C1225,' Disaggregation - Section E '!A$313:R540,18,0)=0,"",VLOOKUP(C1225,' Disaggregation - Section E '!A$313:R836,18,0)),"")</f>
        <v/>
      </c>
    </row>
    <row r="1226" spans="1:16">
      <c r="A1226" s="387" t="b">
        <f t="shared" ca="1" si="161"/>
        <v>0</v>
      </c>
      <c r="B1226" s="387"/>
      <c r="C1226" s="404" t="str">
        <f ca="1">IF(COUNTA(O$1002:O1226)=1,"",OFFSET(C1226,-COUNTA(O$1002:O1226)+1,0))</f>
        <v>a1VDm000000PgAxMAK</v>
      </c>
      <c r="D1226" s="392"/>
      <c r="E1226" s="389" t="str">
        <f ca="1">IFERROR(IF(VLOOKUP(C1226,' Disaggregation - Section E '!A$313:J837,7,0)="","",VLOOKUP(C1226,' Disaggregation - Section E '!A$313:J837,7,0)*100),"")</f>
        <v/>
      </c>
      <c r="F1226" s="387"/>
      <c r="G1226" s="390" t="str">
        <f ca="1">IFERROR(IF(VLOOKUP(C1226,' Disaggregation - Section E '!A$313:J837,6,0)="","",VLOOKUP(C1226,' Disaggregation - Section E '!A$313:J837,6,0)),"")</f>
        <v/>
      </c>
      <c r="H1226" s="390" t="str">
        <f ca="1">IFERROR(IF(INDEX(' Disaggregation - Section E '!F$313:F837,MATCH(C1226,' Disaggregation - Section E '!A$313:A837,0)+1,1)&lt;&gt;0,INDEX(' Disaggregation - Section E '!F$313:F837,MATCH(C1226,' Disaggregation - Section E '!A$313:A837,0)+1,1),""),"")</f>
        <v/>
      </c>
      <c r="I1226" s="391" t="str">
        <f ca="1">IFERROR(IF(VLOOKUP(C1226,' Disaggregation - Section E '!A$313:J837,8,0)=0,"",VLOOKUP(C1226,' Disaggregation - Section E '!A$313:J837,8,0)),"")</f>
        <v/>
      </c>
      <c r="J1226" s="391" t="str">
        <f ca="1">IFERROR(IF(VLOOKUP(C1226,' Disaggregation - Section E '!A$313:J837,9,0)="","",VLOOKUP(C1226,' Disaggregation - Section E '!A$313:J837,9,0)),"")</f>
        <v/>
      </c>
      <c r="K1226" s="387" t="str">
        <f ca="1">IFERROR(VLOOKUP(C1226,' Disaggregation - Section E '!A$313:J837,3,0),"")</f>
        <v>HIV O-6 Percentage of people who inject drugs reporting using sterile injecting equipment the last time they injected</v>
      </c>
      <c r="L1226" s="391" t="str">
        <f ca="1">IFERROR(IF(VLOOKUP(C1226,' Disaggregation - Section E '!A$313:J837,10,0)="","",VLOOKUP(C1226,' Disaggregation - Section E '!A$313:J837,10,0)),"")</f>
        <v/>
      </c>
      <c r="M1226" s="388" t="str">
        <f ca="1">IFERROR(IF(VLOOKUP(C1226,' Disaggregation - Section E '!A$313:O541,15,0)=0,"",VLOOKUP(C1226,' Disaggregation - Section E '!A$313:O837,15,0)),"")</f>
        <v/>
      </c>
      <c r="N1226" s="387"/>
      <c r="O1226" s="387"/>
      <c r="P1226" s="387" t="str">
        <f ca="1">IFERROR(IF(VLOOKUP(C1226,' Disaggregation - Section E '!A$313:R541,18,0)=0,"",VLOOKUP(C1226,' Disaggregation - Section E '!A$313:R837,18,0)),"")</f>
        <v/>
      </c>
    </row>
    <row r="1227" spans="1:16">
      <c r="A1227" s="387" t="b">
        <f t="shared" ca="1" si="161"/>
        <v>0</v>
      </c>
      <c r="B1227" s="387"/>
      <c r="C1227" s="404" t="str">
        <f ca="1">IF(COUNTA(O$1002:O1227)=1,"",OFFSET(C1227,-COUNTA(O$1002:O1227)+1,0))</f>
        <v>a1VDm000000PgAyMAK</v>
      </c>
      <c r="D1227" s="392"/>
      <c r="E1227" s="389" t="str">
        <f ca="1">IFERROR(IF(VLOOKUP(C1227,' Disaggregation - Section E '!A$313:J838,7,0)="","",VLOOKUP(C1227,' Disaggregation - Section E '!A$313:J838,7,0)*100),"")</f>
        <v/>
      </c>
      <c r="F1227" s="387"/>
      <c r="G1227" s="390" t="str">
        <f ca="1">IFERROR(IF(VLOOKUP(C1227,' Disaggregation - Section E '!A$313:J838,6,0)="","",VLOOKUP(C1227,' Disaggregation - Section E '!A$313:J838,6,0)),"")</f>
        <v/>
      </c>
      <c r="H1227" s="390" t="str">
        <f ca="1">IFERROR(IF(INDEX(' Disaggregation - Section E '!F$313:F838,MATCH(C1227,' Disaggregation - Section E '!A$313:A838,0)+1,1)&lt;&gt;0,INDEX(' Disaggregation - Section E '!F$313:F838,MATCH(C1227,' Disaggregation - Section E '!A$313:A838,0)+1,1),""),"")</f>
        <v/>
      </c>
      <c r="I1227" s="391" t="str">
        <f ca="1">IFERROR(IF(VLOOKUP(C1227,' Disaggregation - Section E '!A$313:J838,8,0)=0,"",VLOOKUP(C1227,' Disaggregation - Section E '!A$313:J838,8,0)),"")</f>
        <v/>
      </c>
      <c r="J1227" s="391" t="str">
        <f ca="1">IFERROR(IF(VLOOKUP(C1227,' Disaggregation - Section E '!A$313:J838,9,0)="","",VLOOKUP(C1227,' Disaggregation - Section E '!A$313:J838,9,0)),"")</f>
        <v/>
      </c>
      <c r="K1227" s="387" t="str">
        <f ca="1">IFERROR(VLOOKUP(C1227,' Disaggregation - Section E '!A$313:J838,3,0),"")</f>
        <v>HIV O-6 Percentage of people who inject drugs reporting using sterile injecting equipment the last time they injected</v>
      </c>
      <c r="L1227" s="391" t="str">
        <f ca="1">IFERROR(IF(VLOOKUP(C1227,' Disaggregation - Section E '!A$313:J838,10,0)="","",VLOOKUP(C1227,' Disaggregation - Section E '!A$313:J838,10,0)),"")</f>
        <v/>
      </c>
      <c r="M1227" s="388" t="str">
        <f ca="1">IFERROR(IF(VLOOKUP(C1227,' Disaggregation - Section E '!A$313:O542,15,0)=0,"",VLOOKUP(C1227,' Disaggregation - Section E '!A$313:O838,15,0)),"")</f>
        <v/>
      </c>
      <c r="N1227" s="387"/>
      <c r="O1227" s="387"/>
      <c r="P1227" s="387" t="str">
        <f ca="1">IFERROR(IF(VLOOKUP(C1227,' Disaggregation - Section E '!A$313:R542,18,0)=0,"",VLOOKUP(C1227,' Disaggregation - Section E '!A$313:R838,18,0)),"")</f>
        <v/>
      </c>
    </row>
    <row r="1228" spans="1:16">
      <c r="A1228" s="387" t="b">
        <f t="shared" ca="1" si="161"/>
        <v>0</v>
      </c>
      <c r="B1228" s="387"/>
      <c r="C1228" s="404" t="str">
        <f ca="1">IF(COUNTA(O$1002:O1228)=1,"",OFFSET(C1228,-COUNTA(O$1002:O1228)+1,0))</f>
        <v>a1VDm000000PgAzMAK</v>
      </c>
      <c r="D1228" s="392"/>
      <c r="E1228" s="389" t="str">
        <f ca="1">IFERROR(IF(VLOOKUP(C1228,' Disaggregation - Section E '!A$313:J839,7,0)="","",VLOOKUP(C1228,' Disaggregation - Section E '!A$313:J839,7,0)*100),"")</f>
        <v/>
      </c>
      <c r="F1228" s="387"/>
      <c r="G1228" s="390" t="str">
        <f ca="1">IFERROR(IF(VLOOKUP(C1228,' Disaggregation - Section E '!A$313:J839,6,0)="","",VLOOKUP(C1228,' Disaggregation - Section E '!A$313:J839,6,0)),"")</f>
        <v/>
      </c>
      <c r="H1228" s="390" t="str">
        <f ca="1">IFERROR(IF(INDEX(' Disaggregation - Section E '!F$313:F839,MATCH(C1228,' Disaggregation - Section E '!A$313:A839,0)+1,1)&lt;&gt;0,INDEX(' Disaggregation - Section E '!F$313:F839,MATCH(C1228,' Disaggregation - Section E '!A$313:A839,0)+1,1),""),"")</f>
        <v/>
      </c>
      <c r="I1228" s="391" t="str">
        <f ca="1">IFERROR(IF(VLOOKUP(C1228,' Disaggregation - Section E '!A$313:J839,8,0)=0,"",VLOOKUP(C1228,' Disaggregation - Section E '!A$313:J839,8,0)),"")</f>
        <v/>
      </c>
      <c r="J1228" s="391" t="str">
        <f ca="1">IFERROR(IF(VLOOKUP(C1228,' Disaggregation - Section E '!A$313:J839,9,0)="","",VLOOKUP(C1228,' Disaggregation - Section E '!A$313:J839,9,0)),"")</f>
        <v/>
      </c>
      <c r="K1228" s="387" t="str">
        <f ca="1">IFERROR(VLOOKUP(C1228,' Disaggregation - Section E '!A$313:J839,3,0),"")</f>
        <v>HIV O-6 Percentage of people who inject drugs reporting using sterile injecting equipment the last time they injected</v>
      </c>
      <c r="L1228" s="391" t="str">
        <f ca="1">IFERROR(IF(VLOOKUP(C1228,' Disaggregation - Section E '!A$313:J839,10,0)="","",VLOOKUP(C1228,' Disaggregation - Section E '!A$313:J839,10,0)),"")</f>
        <v/>
      </c>
      <c r="M1228" s="388" t="str">
        <f ca="1">IFERROR(IF(VLOOKUP(C1228,' Disaggregation - Section E '!A$313:O543,15,0)=0,"",VLOOKUP(C1228,' Disaggregation - Section E '!A$313:O839,15,0)),"")</f>
        <v/>
      </c>
      <c r="N1228" s="387"/>
      <c r="O1228" s="387"/>
      <c r="P1228" s="387" t="str">
        <f ca="1">IFERROR(IF(VLOOKUP(C1228,' Disaggregation - Section E '!A$313:R543,18,0)=0,"",VLOOKUP(C1228,' Disaggregation - Section E '!A$313:R839,18,0)),"")</f>
        <v/>
      </c>
    </row>
    <row r="1229" spans="1:16">
      <c r="A1229" s="387" t="b">
        <f t="shared" ca="1" si="161"/>
        <v>0</v>
      </c>
      <c r="B1229" s="387"/>
      <c r="C1229" s="404" t="str">
        <f ca="1">IF(COUNTA(O$1002:O1229)=1,"",OFFSET(C1229,-COUNTA(O$1002:O1229)+1,0))</f>
        <v>a1VDm000000PgB0MAK</v>
      </c>
      <c r="D1229" s="392"/>
      <c r="E1229" s="389" t="str">
        <f ca="1">IFERROR(IF(VLOOKUP(C1229,' Disaggregation - Section E '!A$313:J840,7,0)="","",VLOOKUP(C1229,' Disaggregation - Section E '!A$313:J840,7,0)*100),"")</f>
        <v/>
      </c>
      <c r="F1229" s="387"/>
      <c r="G1229" s="390" t="str">
        <f ca="1">IFERROR(IF(VLOOKUP(C1229,' Disaggregation - Section E '!A$313:J840,6,0)="","",VLOOKUP(C1229,' Disaggregation - Section E '!A$313:J840,6,0)),"")</f>
        <v/>
      </c>
      <c r="H1229" s="390" t="str">
        <f ca="1">IFERROR(IF(INDEX(' Disaggregation - Section E '!F$313:F840,MATCH(C1229,' Disaggregation - Section E '!A$313:A840,0)+1,1)&lt;&gt;0,INDEX(' Disaggregation - Section E '!F$313:F840,MATCH(C1229,' Disaggregation - Section E '!A$313:A840,0)+1,1),""),"")</f>
        <v/>
      </c>
      <c r="I1229" s="391" t="str">
        <f ca="1">IFERROR(IF(VLOOKUP(C1229,' Disaggregation - Section E '!A$313:J840,8,0)=0,"",VLOOKUP(C1229,' Disaggregation - Section E '!A$313:J840,8,0)),"")</f>
        <v/>
      </c>
      <c r="J1229" s="391" t="str">
        <f ca="1">IFERROR(IF(VLOOKUP(C1229,' Disaggregation - Section E '!A$313:J840,9,0)="","",VLOOKUP(C1229,' Disaggregation - Section E '!A$313:J840,9,0)),"")</f>
        <v/>
      </c>
      <c r="K1229" s="387" t="str">
        <f ca="1">IFERROR(VLOOKUP(C1229,' Disaggregation - Section E '!A$313:J840,3,0),"")</f>
        <v>HIV O-6 Percentage of people who inject drugs reporting using sterile injecting equipment the last time they injected</v>
      </c>
      <c r="L1229" s="391" t="str">
        <f ca="1">IFERROR(IF(VLOOKUP(C1229,' Disaggregation - Section E '!A$313:J840,10,0)="","",VLOOKUP(C1229,' Disaggregation - Section E '!A$313:J840,10,0)),"")</f>
        <v/>
      </c>
      <c r="M1229" s="388" t="str">
        <f ca="1">IFERROR(IF(VLOOKUP(C1229,' Disaggregation - Section E '!A$313:O544,15,0)=0,"",VLOOKUP(C1229,' Disaggregation - Section E '!A$313:O840,15,0)),"")</f>
        <v/>
      </c>
      <c r="N1229" s="387"/>
      <c r="O1229" s="387"/>
      <c r="P1229" s="387" t="str">
        <f ca="1">IFERROR(IF(VLOOKUP(C1229,' Disaggregation - Section E '!A$313:R544,18,0)=0,"",VLOOKUP(C1229,' Disaggregation - Section E '!A$313:R840,18,0)),"")</f>
        <v/>
      </c>
    </row>
    <row r="1230" spans="1:16">
      <c r="A1230" s="387" t="b">
        <f t="shared" ca="1" si="161"/>
        <v>0</v>
      </c>
      <c r="B1230" s="387"/>
      <c r="C1230" s="404" t="str">
        <f ca="1">IF(COUNTA(O$1002:O1230)=1,"",OFFSET(C1230,-COUNTA(O$1002:O1230)+1,0))</f>
        <v>a1VDm000000PgB1MAK</v>
      </c>
      <c r="D1230" s="392"/>
      <c r="E1230" s="389" t="str">
        <f ca="1">IFERROR(IF(VLOOKUP(C1230,' Disaggregation - Section E '!A$313:J841,7,0)="","",VLOOKUP(C1230,' Disaggregation - Section E '!A$313:J841,7,0)*100),"")</f>
        <v/>
      </c>
      <c r="F1230" s="387"/>
      <c r="G1230" s="390" t="str">
        <f ca="1">IFERROR(IF(VLOOKUP(C1230,' Disaggregation - Section E '!A$313:J841,6,0)="","",VLOOKUP(C1230,' Disaggregation - Section E '!A$313:J841,6,0)),"")</f>
        <v/>
      </c>
      <c r="H1230" s="390" t="str">
        <f ca="1">IFERROR(IF(INDEX(' Disaggregation - Section E '!F$313:F841,MATCH(C1230,' Disaggregation - Section E '!A$313:A841,0)+1,1)&lt;&gt;0,INDEX(' Disaggregation - Section E '!F$313:F841,MATCH(C1230,' Disaggregation - Section E '!A$313:A841,0)+1,1),""),"")</f>
        <v/>
      </c>
      <c r="I1230" s="391" t="str">
        <f ca="1">IFERROR(IF(VLOOKUP(C1230,' Disaggregation - Section E '!A$313:J841,8,0)=0,"",VLOOKUP(C1230,' Disaggregation - Section E '!A$313:J841,8,0)),"")</f>
        <v/>
      </c>
      <c r="J1230" s="391" t="str">
        <f ca="1">IFERROR(IF(VLOOKUP(C1230,' Disaggregation - Section E '!A$313:J841,9,0)="","",VLOOKUP(C1230,' Disaggregation - Section E '!A$313:J841,9,0)),"")</f>
        <v/>
      </c>
      <c r="K1230" s="387" t="str">
        <f ca="1">IFERROR(VLOOKUP(C1230,' Disaggregation - Section E '!A$313:J841,3,0),"")</f>
        <v>HIV O-6 Percentage of people who inject drugs reporting using sterile injecting equipment the last time they injected</v>
      </c>
      <c r="L1230" s="391" t="str">
        <f ca="1">IFERROR(IF(VLOOKUP(C1230,' Disaggregation - Section E '!A$313:J841,10,0)="","",VLOOKUP(C1230,' Disaggregation - Section E '!A$313:J841,10,0)),"")</f>
        <v/>
      </c>
      <c r="M1230" s="388" t="str">
        <f ca="1">IFERROR(IF(VLOOKUP(C1230,' Disaggregation - Section E '!A$313:O545,15,0)=0,"",VLOOKUP(C1230,' Disaggregation - Section E '!A$313:O841,15,0)),"")</f>
        <v/>
      </c>
      <c r="N1230" s="387"/>
      <c r="O1230" s="387"/>
      <c r="P1230" s="387" t="str">
        <f ca="1">IFERROR(IF(VLOOKUP(C1230,' Disaggregation - Section E '!A$313:R545,18,0)=0,"",VLOOKUP(C1230,' Disaggregation - Section E '!A$313:R841,18,0)),"")</f>
        <v/>
      </c>
    </row>
    <row r="1231" spans="1:16">
      <c r="A1231" s="387" t="b">
        <f t="shared" ca="1" si="161"/>
        <v>0</v>
      </c>
      <c r="B1231" s="387"/>
      <c r="C1231" s="404" t="str">
        <f ca="1">IF(COUNTA(O$1002:O1231)=1,"",OFFSET(C1231,-COUNTA(O$1002:O1231)+1,0))</f>
        <v>a1VDm000000PgB2MAK</v>
      </c>
      <c r="D1231" s="392"/>
      <c r="E1231" s="389" t="str">
        <f ca="1">IFERROR(IF(VLOOKUP(C1231,' Disaggregation - Section E '!A$313:J842,7,0)="","",VLOOKUP(C1231,' Disaggregation - Section E '!A$313:J842,7,0)*100),"")</f>
        <v/>
      </c>
      <c r="F1231" s="387"/>
      <c r="G1231" s="390" t="str">
        <f ca="1">IFERROR(IF(VLOOKUP(C1231,' Disaggregation - Section E '!A$313:J842,6,0)="","",VLOOKUP(C1231,' Disaggregation - Section E '!A$313:J842,6,0)),"")</f>
        <v/>
      </c>
      <c r="H1231" s="390" t="str">
        <f ca="1">IFERROR(IF(INDEX(' Disaggregation - Section E '!F$313:F842,MATCH(C1231,' Disaggregation - Section E '!A$313:A842,0)+1,1)&lt;&gt;0,INDEX(' Disaggregation - Section E '!F$313:F842,MATCH(C1231,' Disaggregation - Section E '!A$313:A842,0)+1,1),""),"")</f>
        <v/>
      </c>
      <c r="I1231" s="391" t="str">
        <f ca="1">IFERROR(IF(VLOOKUP(C1231,' Disaggregation - Section E '!A$313:J842,8,0)=0,"",VLOOKUP(C1231,' Disaggregation - Section E '!A$313:J842,8,0)),"")</f>
        <v/>
      </c>
      <c r="J1231" s="391" t="str">
        <f ca="1">IFERROR(IF(VLOOKUP(C1231,' Disaggregation - Section E '!A$313:J842,9,0)="","",VLOOKUP(C1231,' Disaggregation - Section E '!A$313:J842,9,0)),"")</f>
        <v/>
      </c>
      <c r="K1231" s="387" t="str">
        <f ca="1">IFERROR(VLOOKUP(C1231,' Disaggregation - Section E '!A$313:J842,3,0),"")</f>
        <v>HIV O-6 Percentage of people who inject drugs reporting using sterile injecting equipment the last time they injected</v>
      </c>
      <c r="L1231" s="391" t="str">
        <f ca="1">IFERROR(IF(VLOOKUP(C1231,' Disaggregation - Section E '!A$313:J842,10,0)="","",VLOOKUP(C1231,' Disaggregation - Section E '!A$313:J842,10,0)),"")</f>
        <v/>
      </c>
      <c r="M1231" s="388" t="str">
        <f ca="1">IFERROR(IF(VLOOKUP(C1231,' Disaggregation - Section E '!A$313:O546,15,0)=0,"",VLOOKUP(C1231,' Disaggregation - Section E '!A$313:O842,15,0)),"")</f>
        <v/>
      </c>
      <c r="N1231" s="387"/>
      <c r="O1231" s="387"/>
      <c r="P1231" s="387" t="str">
        <f ca="1">IFERROR(IF(VLOOKUP(C1231,' Disaggregation - Section E '!A$313:R546,18,0)=0,"",VLOOKUP(C1231,' Disaggregation - Section E '!A$313:R842,18,0)),"")</f>
        <v/>
      </c>
    </row>
    <row r="1232" spans="1:16">
      <c r="A1232" s="387" t="b">
        <f t="shared" ca="1" si="161"/>
        <v>0</v>
      </c>
      <c r="B1232" s="387"/>
      <c r="C1232" s="404" t="str">
        <f ca="1">IF(COUNTA(O$1002:O1232)=1,"",OFFSET(C1232,-COUNTA(O$1002:O1232)+1,0))</f>
        <v>a1VDm000000PgB3MAK</v>
      </c>
      <c r="D1232" s="392"/>
      <c r="E1232" s="389" t="str">
        <f ca="1">IFERROR(IF(VLOOKUP(C1232,' Disaggregation - Section E '!A$313:J843,7,0)="","",VLOOKUP(C1232,' Disaggregation - Section E '!A$313:J843,7,0)*100),"")</f>
        <v/>
      </c>
      <c r="F1232" s="387"/>
      <c r="G1232" s="390" t="str">
        <f ca="1">IFERROR(IF(VLOOKUP(C1232,' Disaggregation - Section E '!A$313:J843,6,0)="","",VLOOKUP(C1232,' Disaggregation - Section E '!A$313:J843,6,0)),"")</f>
        <v/>
      </c>
      <c r="H1232" s="390" t="str">
        <f ca="1">IFERROR(IF(INDEX(' Disaggregation - Section E '!F$313:F843,MATCH(C1232,' Disaggregation - Section E '!A$313:A843,0)+1,1)&lt;&gt;0,INDEX(' Disaggregation - Section E '!F$313:F843,MATCH(C1232,' Disaggregation - Section E '!A$313:A843,0)+1,1),""),"")</f>
        <v/>
      </c>
      <c r="I1232" s="391" t="str">
        <f ca="1">IFERROR(IF(VLOOKUP(C1232,' Disaggregation - Section E '!A$313:J843,8,0)=0,"",VLOOKUP(C1232,' Disaggregation - Section E '!A$313:J843,8,0)),"")</f>
        <v/>
      </c>
      <c r="J1232" s="391" t="str">
        <f ca="1">IFERROR(IF(VLOOKUP(C1232,' Disaggregation - Section E '!A$313:J843,9,0)="","",VLOOKUP(C1232,' Disaggregation - Section E '!A$313:J843,9,0)),"")</f>
        <v/>
      </c>
      <c r="K1232" s="387" t="str">
        <f ca="1">IFERROR(VLOOKUP(C1232,' Disaggregation - Section E '!A$313:J843,3,0),"")</f>
        <v>HIV O-6 Percentage of people who inject drugs reporting using sterile injecting equipment the last time they injected</v>
      </c>
      <c r="L1232" s="391" t="str">
        <f ca="1">IFERROR(IF(VLOOKUP(C1232,' Disaggregation - Section E '!A$313:J843,10,0)="","",VLOOKUP(C1232,' Disaggregation - Section E '!A$313:J843,10,0)),"")</f>
        <v/>
      </c>
      <c r="M1232" s="388" t="str">
        <f ca="1">IFERROR(IF(VLOOKUP(C1232,' Disaggregation - Section E '!A$313:O547,15,0)=0,"",VLOOKUP(C1232,' Disaggregation - Section E '!A$313:O843,15,0)),"")</f>
        <v/>
      </c>
      <c r="N1232" s="387"/>
      <c r="O1232" s="387"/>
      <c r="P1232" s="387" t="str">
        <f ca="1">IFERROR(IF(VLOOKUP(C1232,' Disaggregation - Section E '!A$313:R547,18,0)=0,"",VLOOKUP(C1232,' Disaggregation - Section E '!A$313:R843,18,0)),"")</f>
        <v/>
      </c>
    </row>
    <row r="1233" spans="1:16">
      <c r="A1233" s="387" t="b">
        <f t="shared" ca="1" si="161"/>
        <v>0</v>
      </c>
      <c r="B1233" s="387"/>
      <c r="C1233" s="404" t="str">
        <f ca="1">IF(COUNTA(O$1002:O1233)=1,"",OFFSET(C1233,-COUNTA(O$1002:O1233)+1,0))</f>
        <v>a1VDm000000PgB4MAK</v>
      </c>
      <c r="D1233" s="392"/>
      <c r="E1233" s="389" t="str">
        <f ca="1">IFERROR(IF(VLOOKUP(C1233,' Disaggregation - Section E '!A$313:J844,7,0)="","",VLOOKUP(C1233,' Disaggregation - Section E '!A$313:J844,7,0)*100),"")</f>
        <v/>
      </c>
      <c r="F1233" s="387"/>
      <c r="G1233" s="390" t="str">
        <f ca="1">IFERROR(IF(VLOOKUP(C1233,' Disaggregation - Section E '!A$313:J844,6,0)="","",VLOOKUP(C1233,' Disaggregation - Section E '!A$313:J844,6,0)),"")</f>
        <v/>
      </c>
      <c r="H1233" s="390" t="str">
        <f ca="1">IFERROR(IF(INDEX(' Disaggregation - Section E '!F$313:F844,MATCH(C1233,' Disaggregation - Section E '!A$313:A844,0)+1,1)&lt;&gt;0,INDEX(' Disaggregation - Section E '!F$313:F844,MATCH(C1233,' Disaggregation - Section E '!A$313:A844,0)+1,1),""),"")</f>
        <v/>
      </c>
      <c r="I1233" s="391" t="str">
        <f ca="1">IFERROR(IF(VLOOKUP(C1233,' Disaggregation - Section E '!A$313:J844,8,0)=0,"",VLOOKUP(C1233,' Disaggregation - Section E '!A$313:J844,8,0)),"")</f>
        <v/>
      </c>
      <c r="J1233" s="391" t="str">
        <f ca="1">IFERROR(IF(VLOOKUP(C1233,' Disaggregation - Section E '!A$313:J844,9,0)="","",VLOOKUP(C1233,' Disaggregation - Section E '!A$313:J844,9,0)),"")</f>
        <v/>
      </c>
      <c r="K1233" s="387" t="str">
        <f ca="1">IFERROR(VLOOKUP(C1233,' Disaggregation - Section E '!A$313:J844,3,0),"")</f>
        <v>HIV O-6 Percentage of people who inject drugs reporting using sterile injecting equipment the last time they injected</v>
      </c>
      <c r="L1233" s="391" t="str">
        <f ca="1">IFERROR(IF(VLOOKUP(C1233,' Disaggregation - Section E '!A$313:J844,10,0)="","",VLOOKUP(C1233,' Disaggregation - Section E '!A$313:J844,10,0)),"")</f>
        <v/>
      </c>
      <c r="M1233" s="388" t="str">
        <f ca="1">IFERROR(IF(VLOOKUP(C1233,' Disaggregation - Section E '!A$313:O548,15,0)=0,"",VLOOKUP(C1233,' Disaggregation - Section E '!A$313:O844,15,0)),"")</f>
        <v/>
      </c>
      <c r="N1233" s="387"/>
      <c r="O1233" s="387"/>
      <c r="P1233" s="387" t="str">
        <f ca="1">IFERROR(IF(VLOOKUP(C1233,' Disaggregation - Section E '!A$313:R548,18,0)=0,"",VLOOKUP(C1233,' Disaggregation - Section E '!A$313:R844,18,0)),"")</f>
        <v/>
      </c>
    </row>
    <row r="1234" spans="1:16">
      <c r="A1234" s="387" t="b">
        <f t="shared" ca="1" si="161"/>
        <v>1</v>
      </c>
      <c r="B1234" s="387"/>
      <c r="C1234" s="404" t="str">
        <f ca="1">IF(COUNTA(O$1002:O1234)=1,"",OFFSET(C1234,-COUNTA(O$1002:O1234)+1,0))</f>
        <v>a1VDm000000PgB5MAK</v>
      </c>
      <c r="D1234" s="392"/>
      <c r="E1234" s="389">
        <f ca="1">IFERROR(IF(VLOOKUP(C1234,' Disaggregation - Section E '!A$313:J845,7,0)="","",VLOOKUP(C1234,' Disaggregation - Section E '!A$313:J845,7,0)*100),"")</f>
        <v>90.809225019053486</v>
      </c>
      <c r="F1234" s="387"/>
      <c r="G1234" s="390">
        <f ca="1">IFERROR(IF(VLOOKUP(C1234,' Disaggregation - Section E '!A$313:J845,6,0)="","",VLOOKUP(C1234,' Disaggregation - Section E '!A$313:J845,6,0)),"")</f>
        <v>434899</v>
      </c>
      <c r="H1234" s="390">
        <f ca="1">IFERROR(IF(INDEX(' Disaggregation - Section E '!F$313:F845,MATCH(C1234,' Disaggregation - Section E '!A$313:A845,0)+1,1)&lt;&gt;0,INDEX(' Disaggregation - Section E '!F$313:F845,MATCH(C1234,' Disaggregation - Section E '!A$313:A845,0)+1,1),""),"")</f>
        <v>478915</v>
      </c>
      <c r="I1234" s="391">
        <f ca="1">IFERROR(IF(VLOOKUP(C1234,' Disaggregation - Section E '!A$313:J845,8,0)=0,"",VLOOKUP(C1234,' Disaggregation - Section E '!A$313:J845,8,0)),"")</f>
        <v>2021</v>
      </c>
      <c r="J1234" s="391" t="str">
        <f ca="1">IFERROR(IF(VLOOKUP(C1234,' Disaggregation - Section E '!A$313:J845,9,0)="","",VLOOKUP(C1234,' Disaggregation - Section E '!A$313:J845,9,0)),"")</f>
        <v>Spectrum 6.19</v>
      </c>
      <c r="K1234" s="387" t="str">
        <f ca="1">IFERROR(VLOOKUP(C1234,' Disaggregation - Section E '!A$313:J845,3,0),"")</f>
        <v>HIV O-11 Percentage of people living with HIV who know their HIV status at the end of the reporting period</v>
      </c>
      <c r="L1234" s="391" t="str">
        <f ca="1">IFERROR(IF(VLOOKUP(C1234,' Disaggregation - Section E '!A$313:J845,10,0)="","",VLOOKUP(C1234,' Disaggregation - Section E '!A$313:J845,10,0)),"")</f>
        <v/>
      </c>
      <c r="M1234" s="388" t="str">
        <f ca="1">IFERROR(IF(VLOOKUP(C1234,' Disaggregation - Section E '!A$313:O549,15,0)=0,"",VLOOKUP(C1234,' Disaggregation - Section E '!A$313:O845,15,0)),"")</f>
        <v>IDR-01103</v>
      </c>
      <c r="N1234" s="387"/>
      <c r="O1234" s="387"/>
      <c r="P1234" s="387" t="str">
        <f ca="1">IFERROR(IF(VLOOKUP(C1234,' Disaggregation - Section E '!A$313:R549,18,0)=0,"",VLOOKUP(C1234,' Disaggregation - Section E '!A$313:R845,18,0)),"")</f>
        <v>a1LDm000000Cb0XMAS</v>
      </c>
    </row>
    <row r="1235" spans="1:16">
      <c r="A1235" s="387" t="b">
        <f t="shared" ca="1" si="161"/>
        <v>1</v>
      </c>
      <c r="B1235" s="387"/>
      <c r="C1235" s="404" t="str">
        <f ca="1">IF(COUNTA(O$1002:O1235)=1,"",OFFSET(C1235,-COUNTA(O$1002:O1235)+1,0))</f>
        <v>a1VDm000000PgB6MAK</v>
      </c>
      <c r="D1235" s="392"/>
      <c r="E1235" s="389">
        <f ca="1">IFERROR(IF(VLOOKUP(C1235,' Disaggregation - Section E '!A$313:J846,7,0)="","",VLOOKUP(C1235,' Disaggregation - Section E '!A$313:J846,7,0)*100),"")</f>
        <v>39.687509934195887</v>
      </c>
      <c r="F1235" s="387"/>
      <c r="G1235" s="390">
        <f ca="1">IFERROR(IF(VLOOKUP(C1235,' Disaggregation - Section E '!A$313:J846,6,0)="","",VLOOKUP(C1235,' Disaggregation - Section E '!A$313:J846,6,0)),"")</f>
        <v>24969</v>
      </c>
      <c r="H1235" s="390">
        <f ca="1">IFERROR(IF(INDEX(' Disaggregation - Section E '!F$313:F846,MATCH(C1235,' Disaggregation - Section E '!A$313:A846,0)+1,1)&lt;&gt;0,INDEX(' Disaggregation - Section E '!F$313:F846,MATCH(C1235,' Disaggregation - Section E '!A$313:A846,0)+1,1),""),"")</f>
        <v>62914</v>
      </c>
      <c r="I1235" s="391">
        <f ca="1">IFERROR(IF(VLOOKUP(C1235,' Disaggregation - Section E '!A$313:J846,8,0)=0,"",VLOOKUP(C1235,' Disaggregation - Section E '!A$313:J846,8,0)),"")</f>
        <v>2021</v>
      </c>
      <c r="J1235" s="391" t="str">
        <f ca="1">IFERROR(IF(VLOOKUP(C1235,' Disaggregation - Section E '!A$313:J846,9,0)="","",VLOOKUP(C1235,' Disaggregation - Section E '!A$313:J846,9,0)),"")</f>
        <v>Spectrum 6.19</v>
      </c>
      <c r="K1235" s="387" t="str">
        <f ca="1">IFERROR(VLOOKUP(C1235,' Disaggregation - Section E '!A$313:J846,3,0),"")</f>
        <v>HIV O-11 Percentage of people living with HIV who know their HIV status at the end of the reporting period</v>
      </c>
      <c r="L1235" s="391" t="str">
        <f ca="1">IFERROR(IF(VLOOKUP(C1235,' Disaggregation - Section E '!A$313:J846,10,0)="","",VLOOKUP(C1235,' Disaggregation - Section E '!A$313:J846,10,0)),"")</f>
        <v/>
      </c>
      <c r="M1235" s="388" t="str">
        <f ca="1">IFERROR(IF(VLOOKUP(C1235,' Disaggregation - Section E '!A$313:O550,15,0)=0,"",VLOOKUP(C1235,' Disaggregation - Section E '!A$313:O846,15,0)),"")</f>
        <v>IDR-01102</v>
      </c>
      <c r="N1235" s="387"/>
      <c r="O1235" s="387"/>
      <c r="P1235" s="387" t="str">
        <f ca="1">IFERROR(IF(VLOOKUP(C1235,' Disaggregation - Section E '!A$313:R550,18,0)=0,"",VLOOKUP(C1235,' Disaggregation - Section E '!A$313:R846,18,0)),"")</f>
        <v>a1LDm000000Cb0WMAS</v>
      </c>
    </row>
    <row r="1236" spans="1:16">
      <c r="A1236" s="387" t="b">
        <f t="shared" ca="1" si="161"/>
        <v>1</v>
      </c>
      <c r="B1236" s="387"/>
      <c r="C1236" s="404" t="str">
        <f ca="1">IF(COUNTA(O$1002:O1236)=1,"",OFFSET(C1236,-COUNTA(O$1002:O1236)+1,0))</f>
        <v>a1VDm000000PgB7MAK</v>
      </c>
      <c r="D1236" s="392"/>
      <c r="E1236" s="389">
        <f ca="1">IFERROR(IF(VLOOKUP(C1236,' Disaggregation - Section E '!A$313:J847,7,0)="","",VLOOKUP(C1236,' Disaggregation - Section E '!A$313:J847,7,0)*100),"")</f>
        <v>32.571243590948491</v>
      </c>
      <c r="F1236" s="387"/>
      <c r="G1236" s="390">
        <f ca="1">IFERROR(IF(VLOOKUP(C1236,' Disaggregation - Section E '!A$313:J847,6,0)="","",VLOOKUP(C1236,' Disaggregation - Section E '!A$313:J847,6,0)),"")</f>
        <v>155956</v>
      </c>
      <c r="H1236" s="390">
        <f ca="1">IFERROR(IF(INDEX(' Disaggregation - Section E '!F$313:F847,MATCH(C1236,' Disaggregation - Section E '!A$313:A847,0)+1,1)&lt;&gt;0,INDEX(' Disaggregation - Section E '!F$313:F847,MATCH(C1236,' Disaggregation - Section E '!A$313:A847,0)+1,1),""),"")</f>
        <v>478815</v>
      </c>
      <c r="I1236" s="391">
        <f ca="1">IFERROR(IF(VLOOKUP(C1236,' Disaggregation - Section E '!A$313:J847,8,0)=0,"",VLOOKUP(C1236,' Disaggregation - Section E '!A$313:J847,8,0)),"")</f>
        <v>2021</v>
      </c>
      <c r="J1236" s="391" t="str">
        <f ca="1">IFERROR(IF(VLOOKUP(C1236,' Disaggregation - Section E '!A$313:J847,9,0)="","",VLOOKUP(C1236,' Disaggregation - Section E '!A$313:J847,9,0)),"")</f>
        <v>Spectrum 6.19</v>
      </c>
      <c r="K1236" s="387" t="str">
        <f ca="1">IFERROR(VLOOKUP(C1236,' Disaggregation - Section E '!A$313:J847,3,0),"")</f>
        <v>HIV O-11 Percentage of people living with HIV who know their HIV status at the end of the reporting period</v>
      </c>
      <c r="L1236" s="391" t="str">
        <f ca="1">IFERROR(IF(VLOOKUP(C1236,' Disaggregation - Section E '!A$313:J847,10,0)="","",VLOOKUP(C1236,' Disaggregation - Section E '!A$313:J847,10,0)),"")</f>
        <v/>
      </c>
      <c r="M1236" s="388" t="str">
        <f ca="1">IFERROR(IF(VLOOKUP(C1236,' Disaggregation - Section E '!A$313:O551,15,0)=0,"",VLOOKUP(C1236,' Disaggregation - Section E '!A$313:O847,15,0)),"")</f>
        <v>IDR-01101</v>
      </c>
      <c r="N1236" s="387"/>
      <c r="O1236" s="387"/>
      <c r="P1236" s="387" t="str">
        <f ca="1">IFERROR(IF(VLOOKUP(C1236,' Disaggregation - Section E '!A$313:R551,18,0)=0,"",VLOOKUP(C1236,' Disaggregation - Section E '!A$313:R847,18,0)),"")</f>
        <v>a1LDm000000Cb0VMAS</v>
      </c>
    </row>
    <row r="1237" spans="1:16">
      <c r="A1237" s="387" t="b">
        <f t="shared" ca="1" si="161"/>
        <v>1</v>
      </c>
      <c r="B1237" s="387"/>
      <c r="C1237" s="404" t="str">
        <f ca="1">IF(COUNTA(O$1002:O1237)=1,"",OFFSET(C1237,-COUNTA(O$1002:O1237)+1,0))</f>
        <v>a1VDm000000PgB8MAK</v>
      </c>
      <c r="D1237" s="392"/>
      <c r="E1237" s="389">
        <f ca="1">IFERROR(IF(VLOOKUP(C1237,' Disaggregation - Section E '!A$313:J848,7,0)="","",VLOOKUP(C1237,' Disaggregation - Section E '!A$313:J848,7,0)*100),"")</f>
        <v>58.244573671737157</v>
      </c>
      <c r="F1237" s="387"/>
      <c r="G1237" s="390">
        <f ca="1">IFERROR(IF(VLOOKUP(C1237,' Disaggregation - Section E '!A$313:J848,6,0)="","",VLOOKUP(C1237,' Disaggregation - Section E '!A$313:J848,6,0)),"")</f>
        <v>278942</v>
      </c>
      <c r="H1237" s="390">
        <f ca="1">IFERROR(IF(INDEX(' Disaggregation - Section E '!F$313:F848,MATCH(C1237,' Disaggregation - Section E '!A$313:A848,0)+1,1)&lt;&gt;0,INDEX(' Disaggregation - Section E '!F$313:F848,MATCH(C1237,' Disaggregation - Section E '!A$313:A848,0)+1,1),""),"")</f>
        <v>478915</v>
      </c>
      <c r="I1237" s="391">
        <f ca="1">IFERROR(IF(VLOOKUP(C1237,' Disaggregation - Section E '!A$313:J848,8,0)=0,"",VLOOKUP(C1237,' Disaggregation - Section E '!A$313:J848,8,0)),"")</f>
        <v>2021</v>
      </c>
      <c r="J1237" s="391" t="str">
        <f ca="1">IFERROR(IF(VLOOKUP(C1237,' Disaggregation - Section E '!A$313:J848,9,0)="","",VLOOKUP(C1237,' Disaggregation - Section E '!A$313:J848,9,0)),"")</f>
        <v>Spectrum 6.19</v>
      </c>
      <c r="K1237" s="387" t="str">
        <f ca="1">IFERROR(VLOOKUP(C1237,' Disaggregation - Section E '!A$313:J848,3,0),"")</f>
        <v>HIV O-11 Percentage of people living with HIV who know their HIV status at the end of the reporting period</v>
      </c>
      <c r="L1237" s="391" t="str">
        <f ca="1">IFERROR(IF(VLOOKUP(C1237,' Disaggregation - Section E '!A$313:J848,10,0)="","",VLOOKUP(C1237,' Disaggregation - Section E '!A$313:J848,10,0)),"")</f>
        <v/>
      </c>
      <c r="M1237" s="388" t="str">
        <f ca="1">IFERROR(IF(VLOOKUP(C1237,' Disaggregation - Section E '!A$313:O552,15,0)=0,"",VLOOKUP(C1237,' Disaggregation - Section E '!A$313:O848,15,0)),"")</f>
        <v>IDR-01100</v>
      </c>
      <c r="N1237" s="387"/>
      <c r="O1237" s="387"/>
      <c r="P1237" s="387" t="str">
        <f ca="1">IFERROR(IF(VLOOKUP(C1237,' Disaggregation - Section E '!A$313:R552,18,0)=0,"",VLOOKUP(C1237,' Disaggregation - Section E '!A$313:R848,18,0)),"")</f>
        <v>a1LDm000000Cb0UMAS</v>
      </c>
    </row>
    <row r="1238" spans="1:16">
      <c r="A1238" s="387" t="b">
        <f t="shared" ca="1" si="161"/>
        <v>0</v>
      </c>
      <c r="B1238" s="387"/>
      <c r="C1238" s="404" t="str">
        <f ca="1">IF(COUNTA(O$1002:O1238)=1,"",OFFSET(C1238,-COUNTA(O$1002:O1238)+1,0))</f>
        <v>a1VDm000000PgB9MAK</v>
      </c>
      <c r="D1238" s="392"/>
      <c r="E1238" s="389" t="str">
        <f ca="1">IFERROR(IF(VLOOKUP(C1238,' Disaggregation - Section E '!A$313:J849,7,0)="","",VLOOKUP(C1238,' Disaggregation - Section E '!A$313:J849,7,0)*100),"")</f>
        <v/>
      </c>
      <c r="F1238" s="387"/>
      <c r="G1238" s="390" t="str">
        <f ca="1">IFERROR(IF(VLOOKUP(C1238,' Disaggregation - Section E '!A$313:J849,6,0)="","",VLOOKUP(C1238,' Disaggregation - Section E '!A$313:J849,6,0)),"")</f>
        <v/>
      </c>
      <c r="H1238" s="390" t="str">
        <f ca="1">IFERROR(IF(INDEX(' Disaggregation - Section E '!F$313:F849,MATCH(C1238,' Disaggregation - Section E '!A$313:A849,0)+1,1)&lt;&gt;0,INDEX(' Disaggregation - Section E '!F$313:F849,MATCH(C1238,' Disaggregation - Section E '!A$313:A849,0)+1,1),""),"")</f>
        <v/>
      </c>
      <c r="I1238" s="391" t="str">
        <f ca="1">IFERROR(IF(VLOOKUP(C1238,' Disaggregation - Section E '!A$313:J849,8,0)=0,"",VLOOKUP(C1238,' Disaggregation - Section E '!A$313:J849,8,0)),"")</f>
        <v/>
      </c>
      <c r="J1238" s="391" t="str">
        <f ca="1">IFERROR(IF(VLOOKUP(C1238,' Disaggregation - Section E '!A$313:J849,9,0)="","",VLOOKUP(C1238,' Disaggregation - Section E '!A$313:J849,9,0)),"")</f>
        <v/>
      </c>
      <c r="K1238" s="387" t="str">
        <f ca="1">IFERROR(VLOOKUP(C1238,' Disaggregation - Section E '!A$313:J849,3,0),"")</f>
        <v>HIV O-11 Percentage of people living with HIV who know their HIV status at the end of the reporting period</v>
      </c>
      <c r="L1238" s="391" t="str">
        <f ca="1">IFERROR(IF(VLOOKUP(C1238,' Disaggregation - Section E '!A$313:J849,10,0)="","",VLOOKUP(C1238,' Disaggregation - Section E '!A$313:J849,10,0)),"")</f>
        <v/>
      </c>
      <c r="M1238" s="388" t="str">
        <f ca="1">IFERROR(IF(VLOOKUP(C1238,' Disaggregation - Section E '!A$313:O553,15,0)=0,"",VLOOKUP(C1238,' Disaggregation - Section E '!A$313:O849,15,0)),"")</f>
        <v/>
      </c>
      <c r="N1238" s="387"/>
      <c r="O1238" s="387"/>
      <c r="P1238" s="387" t="str">
        <f ca="1">IFERROR(IF(VLOOKUP(C1238,' Disaggregation - Section E '!A$313:R553,18,0)=0,"",VLOOKUP(C1238,' Disaggregation - Section E '!A$313:R849,18,0)),"")</f>
        <v/>
      </c>
    </row>
    <row r="1239" spans="1:16">
      <c r="A1239" s="387" t="b">
        <f t="shared" ca="1" si="161"/>
        <v>0</v>
      </c>
      <c r="B1239" s="387"/>
      <c r="C1239" s="404" t="str">
        <f ca="1">IF(COUNTA(O$1002:O1239)=1,"",OFFSET(C1239,-COUNTA(O$1002:O1239)+1,0))</f>
        <v>a1VDm000000PgBAMA0</v>
      </c>
      <c r="D1239" s="392"/>
      <c r="E1239" s="389" t="str">
        <f ca="1">IFERROR(IF(VLOOKUP(C1239,' Disaggregation - Section E '!A$313:J850,7,0)="","",VLOOKUP(C1239,' Disaggregation - Section E '!A$313:J850,7,0)*100),"")</f>
        <v/>
      </c>
      <c r="F1239" s="387"/>
      <c r="G1239" s="390" t="str">
        <f ca="1">IFERROR(IF(VLOOKUP(C1239,' Disaggregation - Section E '!A$313:J850,6,0)="","",VLOOKUP(C1239,' Disaggregation - Section E '!A$313:J850,6,0)),"")</f>
        <v/>
      </c>
      <c r="H1239" s="390" t="str">
        <f ca="1">IFERROR(IF(INDEX(' Disaggregation - Section E '!F$313:F850,MATCH(C1239,' Disaggregation - Section E '!A$313:A850,0)+1,1)&lt;&gt;0,INDEX(' Disaggregation - Section E '!F$313:F850,MATCH(C1239,' Disaggregation - Section E '!A$313:A850,0)+1,1),""),"")</f>
        <v/>
      </c>
      <c r="I1239" s="391" t="str">
        <f ca="1">IFERROR(IF(VLOOKUP(C1239,' Disaggregation - Section E '!A$313:J850,8,0)=0,"",VLOOKUP(C1239,' Disaggregation - Section E '!A$313:J850,8,0)),"")</f>
        <v/>
      </c>
      <c r="J1239" s="391" t="str">
        <f ca="1">IFERROR(IF(VLOOKUP(C1239,' Disaggregation - Section E '!A$313:J850,9,0)="","",VLOOKUP(C1239,' Disaggregation - Section E '!A$313:J850,9,0)),"")</f>
        <v/>
      </c>
      <c r="K1239" s="387" t="str">
        <f ca="1">IFERROR(VLOOKUP(C1239,' Disaggregation - Section E '!A$313:J850,3,0),"")</f>
        <v>HIV O-11 Percentage of people living with HIV who know their HIV status at the end of the reporting period</v>
      </c>
      <c r="L1239" s="391" t="str">
        <f ca="1">IFERROR(IF(VLOOKUP(C1239,' Disaggregation - Section E '!A$313:J850,10,0)="","",VLOOKUP(C1239,' Disaggregation - Section E '!A$313:J850,10,0)),"")</f>
        <v/>
      </c>
      <c r="M1239" s="388" t="str">
        <f ca="1">IFERROR(IF(VLOOKUP(C1239,' Disaggregation - Section E '!A$313:O554,15,0)=0,"",VLOOKUP(C1239,' Disaggregation - Section E '!A$313:O850,15,0)),"")</f>
        <v/>
      </c>
      <c r="N1239" s="387"/>
      <c r="O1239" s="387"/>
      <c r="P1239" s="387" t="str">
        <f ca="1">IFERROR(IF(VLOOKUP(C1239,' Disaggregation - Section E '!A$313:R554,18,0)=0,"",VLOOKUP(C1239,' Disaggregation - Section E '!A$313:R850,18,0)),"")</f>
        <v/>
      </c>
    </row>
    <row r="1240" spans="1:16">
      <c r="A1240" s="387" t="b">
        <f t="shared" ca="1" si="161"/>
        <v>0</v>
      </c>
      <c r="B1240" s="387"/>
      <c r="C1240" s="404" t="str">
        <f ca="1">IF(COUNTA(O$1002:O1240)=1,"",OFFSET(C1240,-COUNTA(O$1002:O1240)+1,0))</f>
        <v>a1VDm000000PgBBMA0</v>
      </c>
      <c r="D1240" s="392"/>
      <c r="E1240" s="389" t="str">
        <f ca="1">IFERROR(IF(VLOOKUP(C1240,' Disaggregation - Section E '!A$313:J851,7,0)="","",VLOOKUP(C1240,' Disaggregation - Section E '!A$313:J851,7,0)*100),"")</f>
        <v/>
      </c>
      <c r="F1240" s="387"/>
      <c r="G1240" s="390" t="str">
        <f ca="1">IFERROR(IF(VLOOKUP(C1240,' Disaggregation - Section E '!A$313:J851,6,0)="","",VLOOKUP(C1240,' Disaggregation - Section E '!A$313:J851,6,0)),"")</f>
        <v/>
      </c>
      <c r="H1240" s="390" t="str">
        <f ca="1">IFERROR(IF(INDEX(' Disaggregation - Section E '!F$313:F851,MATCH(C1240,' Disaggregation - Section E '!A$313:A851,0)+1,1)&lt;&gt;0,INDEX(' Disaggregation - Section E '!F$313:F851,MATCH(C1240,' Disaggregation - Section E '!A$313:A851,0)+1,1),""),"")</f>
        <v/>
      </c>
      <c r="I1240" s="391" t="str">
        <f ca="1">IFERROR(IF(VLOOKUP(C1240,' Disaggregation - Section E '!A$313:J851,8,0)=0,"",VLOOKUP(C1240,' Disaggregation - Section E '!A$313:J851,8,0)),"")</f>
        <v/>
      </c>
      <c r="J1240" s="391" t="str">
        <f ca="1">IFERROR(IF(VLOOKUP(C1240,' Disaggregation - Section E '!A$313:J851,9,0)="","",VLOOKUP(C1240,' Disaggregation - Section E '!A$313:J851,9,0)),"")</f>
        <v/>
      </c>
      <c r="K1240" s="387" t="str">
        <f ca="1">IFERROR(VLOOKUP(C1240,' Disaggregation - Section E '!A$313:J851,3,0),"")</f>
        <v>HIV O-11 Percentage of people living with HIV who know their HIV status at the end of the reporting period</v>
      </c>
      <c r="L1240" s="391" t="str">
        <f ca="1">IFERROR(IF(VLOOKUP(C1240,' Disaggregation - Section E '!A$313:J851,10,0)="","",VLOOKUP(C1240,' Disaggregation - Section E '!A$313:J851,10,0)),"")</f>
        <v/>
      </c>
      <c r="M1240" s="388" t="str">
        <f ca="1">IFERROR(IF(VLOOKUP(C1240,' Disaggregation - Section E '!A$313:O555,15,0)=0,"",VLOOKUP(C1240,' Disaggregation - Section E '!A$313:O851,15,0)),"")</f>
        <v/>
      </c>
      <c r="N1240" s="387"/>
      <c r="O1240" s="387"/>
      <c r="P1240" s="387" t="str">
        <f ca="1">IFERROR(IF(VLOOKUP(C1240,' Disaggregation - Section E '!A$313:R555,18,0)=0,"",VLOOKUP(C1240,' Disaggregation - Section E '!A$313:R851,18,0)),"")</f>
        <v/>
      </c>
    </row>
    <row r="1241" spans="1:16">
      <c r="A1241" s="387" t="b">
        <f t="shared" ca="1" si="161"/>
        <v>0</v>
      </c>
      <c r="B1241" s="387"/>
      <c r="C1241" s="404" t="str">
        <f ca="1">IF(COUNTA(O$1002:O1241)=1,"",OFFSET(C1241,-COUNTA(O$1002:O1241)+1,0))</f>
        <v>a1VDm000000PgBCMA0</v>
      </c>
      <c r="D1241" s="392"/>
      <c r="E1241" s="389" t="str">
        <f ca="1">IFERROR(IF(VLOOKUP(C1241,' Disaggregation - Section E '!A$313:J852,7,0)="","",VLOOKUP(C1241,' Disaggregation - Section E '!A$313:J852,7,0)*100),"")</f>
        <v/>
      </c>
      <c r="F1241" s="387"/>
      <c r="G1241" s="390" t="str">
        <f ca="1">IFERROR(IF(VLOOKUP(C1241,' Disaggregation - Section E '!A$313:J852,6,0)="","",VLOOKUP(C1241,' Disaggregation - Section E '!A$313:J852,6,0)),"")</f>
        <v/>
      </c>
      <c r="H1241" s="390" t="str">
        <f ca="1">IFERROR(IF(INDEX(' Disaggregation - Section E '!F$313:F852,MATCH(C1241,' Disaggregation - Section E '!A$313:A852,0)+1,1)&lt;&gt;0,INDEX(' Disaggregation - Section E '!F$313:F852,MATCH(C1241,' Disaggregation - Section E '!A$313:A852,0)+1,1),""),"")</f>
        <v/>
      </c>
      <c r="I1241" s="391" t="str">
        <f ca="1">IFERROR(IF(VLOOKUP(C1241,' Disaggregation - Section E '!A$313:J852,8,0)=0,"",VLOOKUP(C1241,' Disaggregation - Section E '!A$313:J852,8,0)),"")</f>
        <v/>
      </c>
      <c r="J1241" s="391" t="str">
        <f ca="1">IFERROR(IF(VLOOKUP(C1241,' Disaggregation - Section E '!A$313:J852,9,0)="","",VLOOKUP(C1241,' Disaggregation - Section E '!A$313:J852,9,0)),"")</f>
        <v/>
      </c>
      <c r="K1241" s="387" t="str">
        <f ca="1">IFERROR(VLOOKUP(C1241,' Disaggregation - Section E '!A$313:J852,3,0),"")</f>
        <v>HIV O-11 Percentage of people living with HIV who know their HIV status at the end of the reporting period</v>
      </c>
      <c r="L1241" s="391" t="str">
        <f ca="1">IFERROR(IF(VLOOKUP(C1241,' Disaggregation - Section E '!A$313:J852,10,0)="","",VLOOKUP(C1241,' Disaggregation - Section E '!A$313:J852,10,0)),"")</f>
        <v/>
      </c>
      <c r="M1241" s="388" t="str">
        <f ca="1">IFERROR(IF(VLOOKUP(C1241,' Disaggregation - Section E '!A$313:O556,15,0)=0,"",VLOOKUP(C1241,' Disaggregation - Section E '!A$313:O852,15,0)),"")</f>
        <v/>
      </c>
      <c r="N1241" s="387"/>
      <c r="O1241" s="387"/>
      <c r="P1241" s="387" t="str">
        <f ca="1">IFERROR(IF(VLOOKUP(C1241,' Disaggregation - Section E '!A$313:R556,18,0)=0,"",VLOOKUP(C1241,' Disaggregation - Section E '!A$313:R852,18,0)),"")</f>
        <v/>
      </c>
    </row>
    <row r="1242" spans="1:16">
      <c r="A1242" s="387" t="b">
        <f t="shared" ca="1" si="161"/>
        <v>0</v>
      </c>
      <c r="B1242" s="387"/>
      <c r="C1242" s="404" t="str">
        <f ca="1">IF(COUNTA(O$1002:O1242)=1,"",OFFSET(C1242,-COUNTA(O$1002:O1242)+1,0))</f>
        <v>a1VDm000000PgBDMA0</v>
      </c>
      <c r="D1242" s="392"/>
      <c r="E1242" s="389" t="str">
        <f ca="1">IFERROR(IF(VLOOKUP(C1242,' Disaggregation - Section E '!A$313:J853,7,0)="","",VLOOKUP(C1242,' Disaggregation - Section E '!A$313:J853,7,0)*100),"")</f>
        <v/>
      </c>
      <c r="F1242" s="387"/>
      <c r="G1242" s="390" t="str">
        <f ca="1">IFERROR(IF(VLOOKUP(C1242,' Disaggregation - Section E '!A$313:J853,6,0)="","",VLOOKUP(C1242,' Disaggregation - Section E '!A$313:J853,6,0)),"")</f>
        <v/>
      </c>
      <c r="H1242" s="390" t="str">
        <f ca="1">IFERROR(IF(INDEX(' Disaggregation - Section E '!F$313:F853,MATCH(C1242,' Disaggregation - Section E '!A$313:A853,0)+1,1)&lt;&gt;0,INDEX(' Disaggregation - Section E '!F$313:F853,MATCH(C1242,' Disaggregation - Section E '!A$313:A853,0)+1,1),""),"")</f>
        <v/>
      </c>
      <c r="I1242" s="391" t="str">
        <f ca="1">IFERROR(IF(VLOOKUP(C1242,' Disaggregation - Section E '!A$313:J853,8,0)=0,"",VLOOKUP(C1242,' Disaggregation - Section E '!A$313:J853,8,0)),"")</f>
        <v/>
      </c>
      <c r="J1242" s="391" t="str">
        <f ca="1">IFERROR(IF(VLOOKUP(C1242,' Disaggregation - Section E '!A$313:J853,9,0)="","",VLOOKUP(C1242,' Disaggregation - Section E '!A$313:J853,9,0)),"")</f>
        <v/>
      </c>
      <c r="K1242" s="387" t="str">
        <f ca="1">IFERROR(VLOOKUP(C1242,' Disaggregation - Section E '!A$313:J853,3,0),"")</f>
        <v>HIV O-11 Percentage of people living with HIV who know their HIV status at the end of the reporting period</v>
      </c>
      <c r="L1242" s="391" t="str">
        <f ca="1">IFERROR(IF(VLOOKUP(C1242,' Disaggregation - Section E '!A$313:J853,10,0)="","",VLOOKUP(C1242,' Disaggregation - Section E '!A$313:J853,10,0)),"")</f>
        <v/>
      </c>
      <c r="M1242" s="388" t="str">
        <f ca="1">IFERROR(IF(VLOOKUP(C1242,' Disaggregation - Section E '!A$313:O557,15,0)=0,"",VLOOKUP(C1242,' Disaggregation - Section E '!A$313:O853,15,0)),"")</f>
        <v/>
      </c>
      <c r="N1242" s="387"/>
      <c r="O1242" s="387"/>
      <c r="P1242" s="387" t="str">
        <f ca="1">IFERROR(IF(VLOOKUP(C1242,' Disaggregation - Section E '!A$313:R557,18,0)=0,"",VLOOKUP(C1242,' Disaggregation - Section E '!A$313:R853,18,0)),"")</f>
        <v/>
      </c>
    </row>
    <row r="1243" spans="1:16">
      <c r="A1243" s="387" t="b">
        <f t="shared" ca="1" si="161"/>
        <v>0</v>
      </c>
      <c r="B1243" s="387"/>
      <c r="C1243" s="404" t="str">
        <f ca="1">IF(COUNTA(O$1002:O1243)=1,"",OFFSET(C1243,-COUNTA(O$1002:O1243)+1,0))</f>
        <v>a1VDm000000PgBEMA0</v>
      </c>
      <c r="D1243" s="392"/>
      <c r="E1243" s="389" t="str">
        <f ca="1">IFERROR(IF(VLOOKUP(C1243,' Disaggregation - Section E '!A$313:J854,7,0)="","",VLOOKUP(C1243,' Disaggregation - Section E '!A$313:J854,7,0)*100),"")</f>
        <v/>
      </c>
      <c r="F1243" s="387"/>
      <c r="G1243" s="390" t="str">
        <f ca="1">IFERROR(IF(VLOOKUP(C1243,' Disaggregation - Section E '!A$313:J854,6,0)="","",VLOOKUP(C1243,' Disaggregation - Section E '!A$313:J854,6,0)),"")</f>
        <v/>
      </c>
      <c r="H1243" s="390" t="str">
        <f ca="1">IFERROR(IF(INDEX(' Disaggregation - Section E '!F$313:F854,MATCH(C1243,' Disaggregation - Section E '!A$313:A854,0)+1,1)&lt;&gt;0,INDEX(' Disaggregation - Section E '!F$313:F854,MATCH(C1243,' Disaggregation - Section E '!A$313:A854,0)+1,1),""),"")</f>
        <v/>
      </c>
      <c r="I1243" s="391" t="str">
        <f ca="1">IFERROR(IF(VLOOKUP(C1243,' Disaggregation - Section E '!A$313:J854,8,0)=0,"",VLOOKUP(C1243,' Disaggregation - Section E '!A$313:J854,8,0)),"")</f>
        <v/>
      </c>
      <c r="J1243" s="391" t="str">
        <f ca="1">IFERROR(IF(VLOOKUP(C1243,' Disaggregation - Section E '!A$313:J854,9,0)="","",VLOOKUP(C1243,' Disaggregation - Section E '!A$313:J854,9,0)),"")</f>
        <v/>
      </c>
      <c r="K1243" s="387" t="str">
        <f ca="1">IFERROR(VLOOKUP(C1243,' Disaggregation - Section E '!A$313:J854,3,0),"")</f>
        <v>HIV O-11 Percentage of people living with HIV who know their HIV status at the end of the reporting period</v>
      </c>
      <c r="L1243" s="391" t="str">
        <f ca="1">IFERROR(IF(VLOOKUP(C1243,' Disaggregation - Section E '!A$313:J854,10,0)="","",VLOOKUP(C1243,' Disaggregation - Section E '!A$313:J854,10,0)),"")</f>
        <v/>
      </c>
      <c r="M1243" s="388" t="str">
        <f ca="1">IFERROR(IF(VLOOKUP(C1243,' Disaggregation - Section E '!A$313:O558,15,0)=0,"",VLOOKUP(C1243,' Disaggregation - Section E '!A$313:O854,15,0)),"")</f>
        <v/>
      </c>
      <c r="N1243" s="387"/>
      <c r="O1243" s="387"/>
      <c r="P1243" s="387" t="str">
        <f ca="1">IFERROR(IF(VLOOKUP(C1243,' Disaggregation - Section E '!A$313:R558,18,0)=0,"",VLOOKUP(C1243,' Disaggregation - Section E '!A$313:R854,18,0)),"")</f>
        <v/>
      </c>
    </row>
    <row r="1244" spans="1:16">
      <c r="A1244" s="387" t="b">
        <f t="shared" ca="1" si="161"/>
        <v>1</v>
      </c>
      <c r="B1244" s="387"/>
      <c r="C1244" s="404" t="str">
        <f ca="1">IF(COUNTA(O$1002:O1244)=1,"",OFFSET(C1244,-COUNTA(O$1002:O1244)+1,0))</f>
        <v>a1VDm000000PgBFMA0</v>
      </c>
      <c r="D1244" s="392"/>
      <c r="E1244" s="389" t="str">
        <f ca="1">IFERROR(IF(VLOOKUP(C1244,' Disaggregation - Section E '!A$313:J855,7,0)="","",VLOOKUP(C1244,' Disaggregation - Section E '!A$313:J855,7,0)*100),"")</f>
        <v/>
      </c>
      <c r="F1244" s="387"/>
      <c r="G1244" s="390" t="str">
        <f ca="1">IFERROR(IF(VLOOKUP(C1244,' Disaggregation - Section E '!A$313:J855,6,0)="","",VLOOKUP(C1244,' Disaggregation - Section E '!A$313:J855,6,0)),"")</f>
        <v/>
      </c>
      <c r="H1244" s="390" t="str">
        <f ca="1">IFERROR(IF(INDEX(' Disaggregation - Section E '!F$313:F855,MATCH(C1244,' Disaggregation - Section E '!A$313:A855,0)+1,1)&lt;&gt;0,INDEX(' Disaggregation - Section E '!F$313:F855,MATCH(C1244,' Disaggregation - Section E '!A$313:A855,0)+1,1),""),"")</f>
        <v/>
      </c>
      <c r="I1244" s="391" t="str">
        <f ca="1">IFERROR(IF(VLOOKUP(C1244,' Disaggregation - Section E '!A$313:J855,8,0)=0,"",VLOOKUP(C1244,' Disaggregation - Section E '!A$313:J855,8,0)),"")</f>
        <v/>
      </c>
      <c r="J1244" s="391" t="str">
        <f ca="1">IFERROR(IF(VLOOKUP(C1244,' Disaggregation - Section E '!A$313:J855,9,0)="","",VLOOKUP(C1244,' Disaggregation - Section E '!A$313:J855,9,0)),"")</f>
        <v/>
      </c>
      <c r="K1244" s="387" t="str">
        <f ca="1">IFERROR(VLOOKUP(C1244,' Disaggregation - Section E '!A$313:J855,3,0),"")</f>
        <v>HIV O-12 Percentage of people living with HIV and on ART who are virologically suppressed</v>
      </c>
      <c r="L1244" s="391" t="str">
        <f ca="1">IFERROR(IF(VLOOKUP(C1244,' Disaggregation - Section E '!A$313:J855,10,0)="","",VLOOKUP(C1244,' Disaggregation - Section E '!A$313:J855,10,0)),"")</f>
        <v/>
      </c>
      <c r="M1244" s="388" t="str">
        <f ca="1">IFERROR(IF(VLOOKUP(C1244,' Disaggregation - Section E '!A$313:O559,15,0)=0,"",VLOOKUP(C1244,' Disaggregation - Section E '!A$313:O855,15,0)),"")</f>
        <v>IDR-01111</v>
      </c>
      <c r="N1244" s="387"/>
      <c r="O1244" s="387"/>
      <c r="P1244" s="387" t="str">
        <f ca="1">IFERROR(IF(VLOOKUP(C1244,' Disaggregation - Section E '!A$313:R559,18,0)=0,"",VLOOKUP(C1244,' Disaggregation - Section E '!A$313:R855,18,0)),"")</f>
        <v>a1LDm000000Cb0fMAC</v>
      </c>
    </row>
    <row r="1245" spans="1:16">
      <c r="A1245" s="387" t="b">
        <f t="shared" ca="1" si="161"/>
        <v>1</v>
      </c>
      <c r="B1245" s="387"/>
      <c r="C1245" s="404" t="str">
        <f ca="1">IF(COUNTA(O$1002:O1245)=1,"",OFFSET(C1245,-COUNTA(O$1002:O1245)+1,0))</f>
        <v>a1VDm000000PgBGMA0</v>
      </c>
      <c r="D1245" s="392"/>
      <c r="E1245" s="389" t="str">
        <f ca="1">IFERROR(IF(VLOOKUP(C1245,' Disaggregation - Section E '!A$313:J856,7,0)="","",VLOOKUP(C1245,' Disaggregation - Section E '!A$313:J856,7,0)*100),"")</f>
        <v/>
      </c>
      <c r="F1245" s="387"/>
      <c r="G1245" s="390" t="str">
        <f ca="1">IFERROR(IF(VLOOKUP(C1245,' Disaggregation - Section E '!A$313:J856,6,0)="","",VLOOKUP(C1245,' Disaggregation - Section E '!A$313:J856,6,0)),"")</f>
        <v/>
      </c>
      <c r="H1245" s="390" t="str">
        <f ca="1">IFERROR(IF(INDEX(' Disaggregation - Section E '!F$313:F856,MATCH(C1245,' Disaggregation - Section E '!A$313:A856,0)+1,1)&lt;&gt;0,INDEX(' Disaggregation - Section E '!F$313:F856,MATCH(C1245,' Disaggregation - Section E '!A$313:A856,0)+1,1),""),"")</f>
        <v/>
      </c>
      <c r="I1245" s="391" t="str">
        <f ca="1">IFERROR(IF(VLOOKUP(C1245,' Disaggregation - Section E '!A$313:J856,8,0)=0,"",VLOOKUP(C1245,' Disaggregation - Section E '!A$313:J856,8,0)),"")</f>
        <v/>
      </c>
      <c r="J1245" s="391" t="str">
        <f ca="1">IFERROR(IF(VLOOKUP(C1245,' Disaggregation - Section E '!A$313:J856,9,0)="","",VLOOKUP(C1245,' Disaggregation - Section E '!A$313:J856,9,0)),"")</f>
        <v/>
      </c>
      <c r="K1245" s="387" t="str">
        <f ca="1">IFERROR(VLOOKUP(C1245,' Disaggregation - Section E '!A$313:J856,3,0),"")</f>
        <v>HIV O-12 Percentage of people living with HIV and on ART who are virologically suppressed</v>
      </c>
      <c r="L1245" s="391" t="str">
        <f ca="1">IFERROR(IF(VLOOKUP(C1245,' Disaggregation - Section E '!A$313:J856,10,0)="","",VLOOKUP(C1245,' Disaggregation - Section E '!A$313:J856,10,0)),"")</f>
        <v/>
      </c>
      <c r="M1245" s="388" t="str">
        <f ca="1">IFERROR(IF(VLOOKUP(C1245,' Disaggregation - Section E '!A$313:O560,15,0)=0,"",VLOOKUP(C1245,' Disaggregation - Section E '!A$313:O856,15,0)),"")</f>
        <v>IDR-01110</v>
      </c>
      <c r="N1245" s="387"/>
      <c r="O1245" s="387"/>
      <c r="P1245" s="387" t="str">
        <f ca="1">IFERROR(IF(VLOOKUP(C1245,' Disaggregation - Section E '!A$313:R560,18,0)=0,"",VLOOKUP(C1245,' Disaggregation - Section E '!A$313:R856,18,0)),"")</f>
        <v>a1LDm000000Cb0eMAC</v>
      </c>
    </row>
    <row r="1246" spans="1:16">
      <c r="A1246" s="387" t="b">
        <f t="shared" ca="1" si="161"/>
        <v>1</v>
      </c>
      <c r="B1246" s="387"/>
      <c r="C1246" s="404" t="str">
        <f ca="1">IF(COUNTA(O$1002:O1246)=1,"",OFFSET(C1246,-COUNTA(O$1002:O1246)+1,0))</f>
        <v>a1VDm000000PgBHMA0</v>
      </c>
      <c r="D1246" s="392"/>
      <c r="E1246" s="389" t="str">
        <f ca="1">IFERROR(IF(VLOOKUP(C1246,' Disaggregation - Section E '!A$313:J857,7,0)="","",VLOOKUP(C1246,' Disaggregation - Section E '!A$313:J857,7,0)*100),"")</f>
        <v/>
      </c>
      <c r="F1246" s="387"/>
      <c r="G1246" s="390" t="str">
        <f ca="1">IFERROR(IF(VLOOKUP(C1246,' Disaggregation - Section E '!A$313:J857,6,0)="","",VLOOKUP(C1246,' Disaggregation - Section E '!A$313:J857,6,0)),"")</f>
        <v/>
      </c>
      <c r="H1246" s="390" t="str">
        <f ca="1">IFERROR(IF(INDEX(' Disaggregation - Section E '!F$313:F857,MATCH(C1246,' Disaggregation - Section E '!A$313:A857,0)+1,1)&lt;&gt;0,INDEX(' Disaggregation - Section E '!F$313:F857,MATCH(C1246,' Disaggregation - Section E '!A$313:A857,0)+1,1),""),"")</f>
        <v/>
      </c>
      <c r="I1246" s="391" t="str">
        <f ca="1">IFERROR(IF(VLOOKUP(C1246,' Disaggregation - Section E '!A$313:J857,8,0)=0,"",VLOOKUP(C1246,' Disaggregation - Section E '!A$313:J857,8,0)),"")</f>
        <v/>
      </c>
      <c r="J1246" s="391" t="str">
        <f ca="1">IFERROR(IF(VLOOKUP(C1246,' Disaggregation - Section E '!A$313:J857,9,0)="","",VLOOKUP(C1246,' Disaggregation - Section E '!A$313:J857,9,0)),"")</f>
        <v/>
      </c>
      <c r="K1246" s="387" t="str">
        <f ca="1">IFERROR(VLOOKUP(C1246,' Disaggregation - Section E '!A$313:J857,3,0),"")</f>
        <v>HIV O-12 Percentage of people living with HIV and on ART who are virologically suppressed</v>
      </c>
      <c r="L1246" s="391" t="str">
        <f ca="1">IFERROR(IF(VLOOKUP(C1246,' Disaggregation - Section E '!A$313:J857,10,0)="","",VLOOKUP(C1246,' Disaggregation - Section E '!A$313:J857,10,0)),"")</f>
        <v/>
      </c>
      <c r="M1246" s="388" t="str">
        <f ca="1">IFERROR(IF(VLOOKUP(C1246,' Disaggregation - Section E '!A$313:O561,15,0)=0,"",VLOOKUP(C1246,' Disaggregation - Section E '!A$313:O857,15,0)),"")</f>
        <v>IDR-01109</v>
      </c>
      <c r="N1246" s="387"/>
      <c r="O1246" s="387"/>
      <c r="P1246" s="387" t="str">
        <f ca="1">IFERROR(IF(VLOOKUP(C1246,' Disaggregation - Section E '!A$313:R561,18,0)=0,"",VLOOKUP(C1246,' Disaggregation - Section E '!A$313:R857,18,0)),"")</f>
        <v>a1LDm000000Cb0dMAC</v>
      </c>
    </row>
    <row r="1247" spans="1:16">
      <c r="A1247" s="387" t="b">
        <f t="shared" ca="1" si="161"/>
        <v>1</v>
      </c>
      <c r="B1247" s="387"/>
      <c r="C1247" s="404" t="str">
        <f ca="1">IF(COUNTA(O$1002:O1247)=1,"",OFFSET(C1247,-COUNTA(O$1002:O1247)+1,0))</f>
        <v>a1VDm000000PgBIMA0</v>
      </c>
      <c r="D1247" s="392"/>
      <c r="E1247" s="389" t="str">
        <f ca="1">IFERROR(IF(VLOOKUP(C1247,' Disaggregation - Section E '!A$313:J858,7,0)="","",VLOOKUP(C1247,' Disaggregation - Section E '!A$313:J858,7,0)*100),"")</f>
        <v/>
      </c>
      <c r="F1247" s="387"/>
      <c r="G1247" s="390" t="str">
        <f ca="1">IFERROR(IF(VLOOKUP(C1247,' Disaggregation - Section E '!A$313:J858,6,0)="","",VLOOKUP(C1247,' Disaggregation - Section E '!A$313:J858,6,0)),"")</f>
        <v/>
      </c>
      <c r="H1247" s="390" t="str">
        <f ca="1">IFERROR(IF(INDEX(' Disaggregation - Section E '!F$313:F858,MATCH(C1247,' Disaggregation - Section E '!A$313:A858,0)+1,1)&lt;&gt;0,INDEX(' Disaggregation - Section E '!F$313:F858,MATCH(C1247,' Disaggregation - Section E '!A$313:A858,0)+1,1),""),"")</f>
        <v/>
      </c>
      <c r="I1247" s="391" t="str">
        <f ca="1">IFERROR(IF(VLOOKUP(C1247,' Disaggregation - Section E '!A$313:J858,8,0)=0,"",VLOOKUP(C1247,' Disaggregation - Section E '!A$313:J858,8,0)),"")</f>
        <v/>
      </c>
      <c r="J1247" s="391" t="str">
        <f ca="1">IFERROR(IF(VLOOKUP(C1247,' Disaggregation - Section E '!A$313:J858,9,0)="","",VLOOKUP(C1247,' Disaggregation - Section E '!A$313:J858,9,0)),"")</f>
        <v/>
      </c>
      <c r="K1247" s="387" t="str">
        <f ca="1">IFERROR(VLOOKUP(C1247,' Disaggregation - Section E '!A$313:J858,3,0),"")</f>
        <v>HIV O-12 Percentage of people living with HIV and on ART who are virologically suppressed</v>
      </c>
      <c r="L1247" s="391" t="str">
        <f ca="1">IFERROR(IF(VLOOKUP(C1247,' Disaggregation - Section E '!A$313:J858,10,0)="","",VLOOKUP(C1247,' Disaggregation - Section E '!A$313:J858,10,0)),"")</f>
        <v/>
      </c>
      <c r="M1247" s="388" t="str">
        <f ca="1">IFERROR(IF(VLOOKUP(C1247,' Disaggregation - Section E '!A$313:O562,15,0)=0,"",VLOOKUP(C1247,' Disaggregation - Section E '!A$313:O858,15,0)),"")</f>
        <v>IDR-01108</v>
      </c>
      <c r="N1247" s="387"/>
      <c r="O1247" s="387"/>
      <c r="P1247" s="387" t="str">
        <f ca="1">IFERROR(IF(VLOOKUP(C1247,' Disaggregation - Section E '!A$313:R562,18,0)=0,"",VLOOKUP(C1247,' Disaggregation - Section E '!A$313:R858,18,0)),"")</f>
        <v>a1LDm000000Cb0cMAC</v>
      </c>
    </row>
    <row r="1248" spans="1:16">
      <c r="A1248" s="387" t="b">
        <f t="shared" ca="1" si="161"/>
        <v>0</v>
      </c>
      <c r="B1248" s="387"/>
      <c r="C1248" s="404" t="str">
        <f ca="1">IF(COUNTA(O$1002:O1248)=1,"",OFFSET(C1248,-COUNTA(O$1002:O1248)+1,0))</f>
        <v>a1VDm000000PgBJMA0</v>
      </c>
      <c r="D1248" s="392"/>
      <c r="E1248" s="389" t="str">
        <f ca="1">IFERROR(IF(VLOOKUP(C1248,' Disaggregation - Section E '!A$313:J859,7,0)="","",VLOOKUP(C1248,' Disaggregation - Section E '!A$313:J859,7,0)*100),"")</f>
        <v/>
      </c>
      <c r="F1248" s="387"/>
      <c r="G1248" s="390" t="str">
        <f ca="1">IFERROR(IF(VLOOKUP(C1248,' Disaggregation - Section E '!A$313:J859,6,0)="","",VLOOKUP(C1248,' Disaggregation - Section E '!A$313:J859,6,0)),"")</f>
        <v/>
      </c>
      <c r="H1248" s="390" t="str">
        <f ca="1">IFERROR(IF(INDEX(' Disaggregation - Section E '!F$313:F859,MATCH(C1248,' Disaggregation - Section E '!A$313:A859,0)+1,1)&lt;&gt;0,INDEX(' Disaggregation - Section E '!F$313:F859,MATCH(C1248,' Disaggregation - Section E '!A$313:A859,0)+1,1),""),"")</f>
        <v/>
      </c>
      <c r="I1248" s="391" t="str">
        <f ca="1">IFERROR(IF(VLOOKUP(C1248,' Disaggregation - Section E '!A$313:J859,8,0)=0,"",VLOOKUP(C1248,' Disaggregation - Section E '!A$313:J859,8,0)),"")</f>
        <v/>
      </c>
      <c r="J1248" s="391" t="str">
        <f ca="1">IFERROR(IF(VLOOKUP(C1248,' Disaggregation - Section E '!A$313:J859,9,0)="","",VLOOKUP(C1248,' Disaggregation - Section E '!A$313:J859,9,0)),"")</f>
        <v/>
      </c>
      <c r="K1248" s="387" t="str">
        <f ca="1">IFERROR(VLOOKUP(C1248,' Disaggregation - Section E '!A$313:J859,3,0),"")</f>
        <v>HIV O-12 Percentage of people living with HIV and on ART who are virologically suppressed</v>
      </c>
      <c r="L1248" s="391" t="str">
        <f ca="1">IFERROR(IF(VLOOKUP(C1248,' Disaggregation - Section E '!A$313:J859,10,0)="","",VLOOKUP(C1248,' Disaggregation - Section E '!A$313:J859,10,0)),"")</f>
        <v/>
      </c>
      <c r="M1248" s="388" t="str">
        <f ca="1">IFERROR(IF(VLOOKUP(C1248,' Disaggregation - Section E '!A$313:O563,15,0)=0,"",VLOOKUP(C1248,' Disaggregation - Section E '!A$313:O859,15,0)),"")</f>
        <v/>
      </c>
      <c r="N1248" s="387"/>
      <c r="O1248" s="387"/>
      <c r="P1248" s="387" t="str">
        <f ca="1">IFERROR(IF(VLOOKUP(C1248,' Disaggregation - Section E '!A$313:R563,18,0)=0,"",VLOOKUP(C1248,' Disaggregation - Section E '!A$313:R859,18,0)),"")</f>
        <v/>
      </c>
    </row>
    <row r="1249" spans="1:16">
      <c r="A1249" s="387" t="b">
        <f t="shared" ca="1" si="161"/>
        <v>0</v>
      </c>
      <c r="B1249" s="387"/>
      <c r="C1249" s="404" t="str">
        <f ca="1">IF(COUNTA(O$1002:O1249)=1,"",OFFSET(C1249,-COUNTA(O$1002:O1249)+1,0))</f>
        <v>a1VDm000000PgBKMA0</v>
      </c>
      <c r="D1249" s="392"/>
      <c r="E1249" s="389" t="str">
        <f ca="1">IFERROR(IF(VLOOKUP(C1249,' Disaggregation - Section E '!A$313:J860,7,0)="","",VLOOKUP(C1249,' Disaggregation - Section E '!A$313:J860,7,0)*100),"")</f>
        <v/>
      </c>
      <c r="F1249" s="387"/>
      <c r="G1249" s="390" t="str">
        <f ca="1">IFERROR(IF(VLOOKUP(C1249,' Disaggregation - Section E '!A$313:J860,6,0)="","",VLOOKUP(C1249,' Disaggregation - Section E '!A$313:J860,6,0)),"")</f>
        <v/>
      </c>
      <c r="H1249" s="390" t="str">
        <f ca="1">IFERROR(IF(INDEX(' Disaggregation - Section E '!F$313:F860,MATCH(C1249,' Disaggregation - Section E '!A$313:A860,0)+1,1)&lt;&gt;0,INDEX(' Disaggregation - Section E '!F$313:F860,MATCH(C1249,' Disaggregation - Section E '!A$313:A860,0)+1,1),""),"")</f>
        <v/>
      </c>
      <c r="I1249" s="391" t="str">
        <f ca="1">IFERROR(IF(VLOOKUP(C1249,' Disaggregation - Section E '!A$313:J860,8,0)=0,"",VLOOKUP(C1249,' Disaggregation - Section E '!A$313:J860,8,0)),"")</f>
        <v/>
      </c>
      <c r="J1249" s="391" t="str">
        <f ca="1">IFERROR(IF(VLOOKUP(C1249,' Disaggregation - Section E '!A$313:J860,9,0)="","",VLOOKUP(C1249,' Disaggregation - Section E '!A$313:J860,9,0)),"")</f>
        <v/>
      </c>
      <c r="K1249" s="387" t="str">
        <f ca="1">IFERROR(VLOOKUP(C1249,' Disaggregation - Section E '!A$313:J860,3,0),"")</f>
        <v>HIV O-12 Percentage of people living with HIV and on ART who are virologically suppressed</v>
      </c>
      <c r="L1249" s="391" t="str">
        <f ca="1">IFERROR(IF(VLOOKUP(C1249,' Disaggregation - Section E '!A$313:J860,10,0)="","",VLOOKUP(C1249,' Disaggregation - Section E '!A$313:J860,10,0)),"")</f>
        <v/>
      </c>
      <c r="M1249" s="388" t="str">
        <f ca="1">IFERROR(IF(VLOOKUP(C1249,' Disaggregation - Section E '!A$313:O564,15,0)=0,"",VLOOKUP(C1249,' Disaggregation - Section E '!A$313:O860,15,0)),"")</f>
        <v/>
      </c>
      <c r="N1249" s="387"/>
      <c r="O1249" s="387"/>
      <c r="P1249" s="387" t="str">
        <f ca="1">IFERROR(IF(VLOOKUP(C1249,' Disaggregation - Section E '!A$313:R564,18,0)=0,"",VLOOKUP(C1249,' Disaggregation - Section E '!A$313:R860,18,0)),"")</f>
        <v/>
      </c>
    </row>
    <row r="1250" spans="1:16">
      <c r="A1250" s="387" t="b">
        <f t="shared" ca="1" si="161"/>
        <v>0</v>
      </c>
      <c r="B1250" s="387"/>
      <c r="C1250" s="404" t="str">
        <f ca="1">IF(COUNTA(O$1002:O1250)=1,"",OFFSET(C1250,-COUNTA(O$1002:O1250)+1,0))</f>
        <v>a1VDm000000PgBLMA0</v>
      </c>
      <c r="D1250" s="392"/>
      <c r="E1250" s="389" t="str">
        <f ca="1">IFERROR(IF(VLOOKUP(C1250,' Disaggregation - Section E '!A$313:J861,7,0)="","",VLOOKUP(C1250,' Disaggregation - Section E '!A$313:J861,7,0)*100),"")</f>
        <v/>
      </c>
      <c r="F1250" s="387"/>
      <c r="G1250" s="390" t="str">
        <f ca="1">IFERROR(IF(VLOOKUP(C1250,' Disaggregation - Section E '!A$313:J861,6,0)="","",VLOOKUP(C1250,' Disaggregation - Section E '!A$313:J861,6,0)),"")</f>
        <v/>
      </c>
      <c r="H1250" s="390" t="str">
        <f ca="1">IFERROR(IF(INDEX(' Disaggregation - Section E '!F$313:F861,MATCH(C1250,' Disaggregation - Section E '!A$313:A861,0)+1,1)&lt;&gt;0,INDEX(' Disaggregation - Section E '!F$313:F861,MATCH(C1250,' Disaggregation - Section E '!A$313:A861,0)+1,1),""),"")</f>
        <v/>
      </c>
      <c r="I1250" s="391" t="str">
        <f ca="1">IFERROR(IF(VLOOKUP(C1250,' Disaggregation - Section E '!A$313:J861,8,0)=0,"",VLOOKUP(C1250,' Disaggregation - Section E '!A$313:J861,8,0)),"")</f>
        <v/>
      </c>
      <c r="J1250" s="391" t="str">
        <f ca="1">IFERROR(IF(VLOOKUP(C1250,' Disaggregation - Section E '!A$313:J861,9,0)="","",VLOOKUP(C1250,' Disaggregation - Section E '!A$313:J861,9,0)),"")</f>
        <v/>
      </c>
      <c r="K1250" s="387" t="str">
        <f ca="1">IFERROR(VLOOKUP(C1250,' Disaggregation - Section E '!A$313:J861,3,0),"")</f>
        <v>HIV O-12 Percentage of people living with HIV and on ART who are virologically suppressed</v>
      </c>
      <c r="L1250" s="391" t="str">
        <f ca="1">IFERROR(IF(VLOOKUP(C1250,' Disaggregation - Section E '!A$313:J861,10,0)="","",VLOOKUP(C1250,' Disaggregation - Section E '!A$313:J861,10,0)),"")</f>
        <v/>
      </c>
      <c r="M1250" s="388" t="str">
        <f ca="1">IFERROR(IF(VLOOKUP(C1250,' Disaggregation - Section E '!A$313:O565,15,0)=0,"",VLOOKUP(C1250,' Disaggregation - Section E '!A$313:O861,15,0)),"")</f>
        <v/>
      </c>
      <c r="N1250" s="387"/>
      <c r="O1250" s="387"/>
      <c r="P1250" s="387" t="str">
        <f ca="1">IFERROR(IF(VLOOKUP(C1250,' Disaggregation - Section E '!A$313:R565,18,0)=0,"",VLOOKUP(C1250,' Disaggregation - Section E '!A$313:R861,18,0)),"")</f>
        <v/>
      </c>
    </row>
    <row r="1251" spans="1:16">
      <c r="A1251" s="387" t="b">
        <f t="shared" ca="1" si="161"/>
        <v>0</v>
      </c>
      <c r="B1251" s="387"/>
      <c r="C1251" s="404" t="str">
        <f ca="1">IF(COUNTA(O$1002:O1251)=1,"",OFFSET(C1251,-COUNTA(O$1002:O1251)+1,0))</f>
        <v>a1VDm000000PgBMMA0</v>
      </c>
      <c r="D1251" s="392"/>
      <c r="E1251" s="389" t="str">
        <f ca="1">IFERROR(IF(VLOOKUP(C1251,' Disaggregation - Section E '!A$313:J862,7,0)="","",VLOOKUP(C1251,' Disaggregation - Section E '!A$313:J862,7,0)*100),"")</f>
        <v/>
      </c>
      <c r="F1251" s="387"/>
      <c r="G1251" s="390" t="str">
        <f ca="1">IFERROR(IF(VLOOKUP(C1251,' Disaggregation - Section E '!A$313:J862,6,0)="","",VLOOKUP(C1251,' Disaggregation - Section E '!A$313:J862,6,0)),"")</f>
        <v/>
      </c>
      <c r="H1251" s="390" t="str">
        <f ca="1">IFERROR(IF(INDEX(' Disaggregation - Section E '!F$313:F862,MATCH(C1251,' Disaggregation - Section E '!A$313:A862,0)+1,1)&lt;&gt;0,INDEX(' Disaggregation - Section E '!F$313:F862,MATCH(C1251,' Disaggregation - Section E '!A$313:A862,0)+1,1),""),"")</f>
        <v/>
      </c>
      <c r="I1251" s="391" t="str">
        <f ca="1">IFERROR(IF(VLOOKUP(C1251,' Disaggregation - Section E '!A$313:J862,8,0)=0,"",VLOOKUP(C1251,' Disaggregation - Section E '!A$313:J862,8,0)),"")</f>
        <v/>
      </c>
      <c r="J1251" s="391" t="str">
        <f ca="1">IFERROR(IF(VLOOKUP(C1251,' Disaggregation - Section E '!A$313:J862,9,0)="","",VLOOKUP(C1251,' Disaggregation - Section E '!A$313:J862,9,0)),"")</f>
        <v/>
      </c>
      <c r="K1251" s="387" t="str">
        <f ca="1">IFERROR(VLOOKUP(C1251,' Disaggregation - Section E '!A$313:J862,3,0),"")</f>
        <v>HIV O-12 Percentage of people living with HIV and on ART who are virologically suppressed</v>
      </c>
      <c r="L1251" s="391" t="str">
        <f ca="1">IFERROR(IF(VLOOKUP(C1251,' Disaggregation - Section E '!A$313:J862,10,0)="","",VLOOKUP(C1251,' Disaggregation - Section E '!A$313:J862,10,0)),"")</f>
        <v/>
      </c>
      <c r="M1251" s="388" t="str">
        <f ca="1">IFERROR(IF(VLOOKUP(C1251,' Disaggregation - Section E '!A$313:O566,15,0)=0,"",VLOOKUP(C1251,' Disaggregation - Section E '!A$313:O862,15,0)),"")</f>
        <v/>
      </c>
      <c r="N1251" s="387"/>
      <c r="O1251" s="387"/>
      <c r="P1251" s="387" t="str">
        <f ca="1">IFERROR(IF(VLOOKUP(C1251,' Disaggregation - Section E '!A$313:R566,18,0)=0,"",VLOOKUP(C1251,' Disaggregation - Section E '!A$313:R862,18,0)),"")</f>
        <v/>
      </c>
    </row>
    <row r="1252" spans="1:16">
      <c r="A1252" s="387" t="b">
        <f t="shared" ca="1" si="161"/>
        <v>0</v>
      </c>
      <c r="B1252" s="387"/>
      <c r="C1252" s="404" t="str">
        <f ca="1">IF(COUNTA(O$1002:O1252)=1,"",OFFSET(C1252,-COUNTA(O$1002:O1252)+1,0))</f>
        <v>a1VDm000000PgBNMA0</v>
      </c>
      <c r="D1252" s="392"/>
      <c r="E1252" s="389" t="str">
        <f ca="1">IFERROR(IF(VLOOKUP(C1252,' Disaggregation - Section E '!A$313:J863,7,0)="","",VLOOKUP(C1252,' Disaggregation - Section E '!A$313:J863,7,0)*100),"")</f>
        <v/>
      </c>
      <c r="F1252" s="387"/>
      <c r="G1252" s="390" t="str">
        <f ca="1">IFERROR(IF(VLOOKUP(C1252,' Disaggregation - Section E '!A$313:J863,6,0)="","",VLOOKUP(C1252,' Disaggregation - Section E '!A$313:J863,6,0)),"")</f>
        <v/>
      </c>
      <c r="H1252" s="390" t="str">
        <f ca="1">IFERROR(IF(INDEX(' Disaggregation - Section E '!F$313:F863,MATCH(C1252,' Disaggregation - Section E '!A$313:A863,0)+1,1)&lt;&gt;0,INDEX(' Disaggregation - Section E '!F$313:F863,MATCH(C1252,' Disaggregation - Section E '!A$313:A863,0)+1,1),""),"")</f>
        <v/>
      </c>
      <c r="I1252" s="391" t="str">
        <f ca="1">IFERROR(IF(VLOOKUP(C1252,' Disaggregation - Section E '!A$313:J863,8,0)=0,"",VLOOKUP(C1252,' Disaggregation - Section E '!A$313:J863,8,0)),"")</f>
        <v/>
      </c>
      <c r="J1252" s="391" t="str">
        <f ca="1">IFERROR(IF(VLOOKUP(C1252,' Disaggregation - Section E '!A$313:J863,9,0)="","",VLOOKUP(C1252,' Disaggregation - Section E '!A$313:J863,9,0)),"")</f>
        <v/>
      </c>
      <c r="K1252" s="387" t="str">
        <f ca="1">IFERROR(VLOOKUP(C1252,' Disaggregation - Section E '!A$313:J863,3,0),"")</f>
        <v>HIV O-12 Percentage of people living with HIV and on ART who are virologically suppressed</v>
      </c>
      <c r="L1252" s="391" t="str">
        <f ca="1">IFERROR(IF(VLOOKUP(C1252,' Disaggregation - Section E '!A$313:J863,10,0)="","",VLOOKUP(C1252,' Disaggregation - Section E '!A$313:J863,10,0)),"")</f>
        <v/>
      </c>
      <c r="M1252" s="388" t="str">
        <f ca="1">IFERROR(IF(VLOOKUP(C1252,' Disaggregation - Section E '!A$313:O567,15,0)=0,"",VLOOKUP(C1252,' Disaggregation - Section E '!A$313:O863,15,0)),"")</f>
        <v/>
      </c>
      <c r="N1252" s="387"/>
      <c r="O1252" s="387"/>
      <c r="P1252" s="387" t="str">
        <f ca="1">IFERROR(IF(VLOOKUP(C1252,' Disaggregation - Section E '!A$313:R567,18,0)=0,"",VLOOKUP(C1252,' Disaggregation - Section E '!A$313:R863,18,0)),"")</f>
        <v/>
      </c>
    </row>
    <row r="1253" spans="1:16">
      <c r="A1253" s="387" t="b">
        <f t="shared" ca="1" si="161"/>
        <v>0</v>
      </c>
      <c r="B1253" s="387"/>
      <c r="C1253" s="404" t="str">
        <f ca="1">IF(COUNTA(O$1002:O1253)=1,"",OFFSET(C1253,-COUNTA(O$1002:O1253)+1,0))</f>
        <v>a1VDm000000PgBOMA0</v>
      </c>
      <c r="D1253" s="392"/>
      <c r="E1253" s="389" t="str">
        <f ca="1">IFERROR(IF(VLOOKUP(C1253,' Disaggregation - Section E '!A$313:J864,7,0)="","",VLOOKUP(C1253,' Disaggregation - Section E '!A$313:J864,7,0)*100),"")</f>
        <v/>
      </c>
      <c r="F1253" s="387"/>
      <c r="G1253" s="390" t="str">
        <f ca="1">IFERROR(IF(VLOOKUP(C1253,' Disaggregation - Section E '!A$313:J864,6,0)="","",VLOOKUP(C1253,' Disaggregation - Section E '!A$313:J864,6,0)),"")</f>
        <v/>
      </c>
      <c r="H1253" s="390" t="str">
        <f ca="1">IFERROR(IF(INDEX(' Disaggregation - Section E '!F$313:F864,MATCH(C1253,' Disaggregation - Section E '!A$313:A864,0)+1,1)&lt;&gt;0,INDEX(' Disaggregation - Section E '!F$313:F864,MATCH(C1253,' Disaggregation - Section E '!A$313:A864,0)+1,1),""),"")</f>
        <v/>
      </c>
      <c r="I1253" s="391" t="str">
        <f ca="1">IFERROR(IF(VLOOKUP(C1253,' Disaggregation - Section E '!A$313:J864,8,0)=0,"",VLOOKUP(C1253,' Disaggregation - Section E '!A$313:J864,8,0)),"")</f>
        <v/>
      </c>
      <c r="J1253" s="391" t="str">
        <f ca="1">IFERROR(IF(VLOOKUP(C1253,' Disaggregation - Section E '!A$313:J864,9,0)="","",VLOOKUP(C1253,' Disaggregation - Section E '!A$313:J864,9,0)),"")</f>
        <v/>
      </c>
      <c r="K1253" s="387" t="str">
        <f ca="1">IFERROR(VLOOKUP(C1253,' Disaggregation - Section E '!A$313:J864,3,0),"")</f>
        <v>HIV O-12 Percentage of people living with HIV and on ART who are virologically suppressed</v>
      </c>
      <c r="L1253" s="391" t="str">
        <f ca="1">IFERROR(IF(VLOOKUP(C1253,' Disaggregation - Section E '!A$313:J864,10,0)="","",VLOOKUP(C1253,' Disaggregation - Section E '!A$313:J864,10,0)),"")</f>
        <v/>
      </c>
      <c r="M1253" s="388" t="str">
        <f ca="1">IFERROR(IF(VLOOKUP(C1253,' Disaggregation - Section E '!A$313:O568,15,0)=0,"",VLOOKUP(C1253,' Disaggregation - Section E '!A$313:O864,15,0)),"")</f>
        <v/>
      </c>
      <c r="N1253" s="387"/>
      <c r="O1253" s="387"/>
      <c r="P1253" s="387" t="str">
        <f ca="1">IFERROR(IF(VLOOKUP(C1253,' Disaggregation - Section E '!A$313:R568,18,0)=0,"",VLOOKUP(C1253,' Disaggregation - Section E '!A$313:R864,18,0)),"")</f>
        <v/>
      </c>
    </row>
    <row r="1254" spans="1:16">
      <c r="A1254" s="387" t="b">
        <f t="shared" ca="1" si="161"/>
        <v>1</v>
      </c>
      <c r="B1254" s="387"/>
      <c r="C1254" s="404" t="str">
        <f ca="1">IF(COUNTA(O$1002:O1254)=1,"",OFFSET(C1254,-COUNTA(O$1002:O1254)+1,0))</f>
        <v>a1VDm000000PgBPMA0</v>
      </c>
      <c r="D1254" s="392"/>
      <c r="E1254" s="389" t="str">
        <f ca="1">IFERROR(IF(VLOOKUP(C1254,' Disaggregation - Section E '!A$313:J865,7,0)="","",VLOOKUP(C1254,' Disaggregation - Section E '!A$313:J865,7,0)*100),"")</f>
        <v/>
      </c>
      <c r="F1254" s="387"/>
      <c r="G1254" s="390" t="str">
        <f ca="1">IFERROR(IF(VLOOKUP(C1254,' Disaggregation - Section E '!A$313:J865,6,0)="","",VLOOKUP(C1254,' Disaggregation - Section E '!A$313:J865,6,0)),"")</f>
        <v/>
      </c>
      <c r="H1254" s="390" t="str">
        <f ca="1">IFERROR(IF(INDEX(' Disaggregation - Section E '!F$313:F865,MATCH(C1254,' Disaggregation - Section E '!A$313:A865,0)+1,1)&lt;&gt;0,INDEX(' Disaggregation - Section E '!F$313:F865,MATCH(C1254,' Disaggregation - Section E '!A$313:A865,0)+1,1),""),"")</f>
        <v/>
      </c>
      <c r="I1254" s="391" t="str">
        <f ca="1">IFERROR(IF(VLOOKUP(C1254,' Disaggregation - Section E '!A$313:J865,8,0)=0,"",VLOOKUP(C1254,' Disaggregation - Section E '!A$313:J865,8,0)),"")</f>
        <v/>
      </c>
      <c r="J1254" s="391" t="str">
        <f ca="1">IFERROR(IF(VLOOKUP(C1254,' Disaggregation - Section E '!A$313:J865,9,0)="","",VLOOKUP(C1254,' Disaggregation - Section E '!A$313:J865,9,0)),"")</f>
        <v/>
      </c>
      <c r="K1254" s="387" t="str">
        <f ca="1">IFERROR(VLOOKUP(C1254,' Disaggregation - Section E '!A$313:J865,3,0),"")</f>
        <v>HIV O-16a Percentage of men who have sex with men who avoid health care because of stigma and discrimination</v>
      </c>
      <c r="L1254" s="391" t="str">
        <f ca="1">IFERROR(IF(VLOOKUP(C1254,' Disaggregation - Section E '!A$313:J865,10,0)="","",VLOOKUP(C1254,' Disaggregation - Section E '!A$313:J865,10,0)),"")</f>
        <v/>
      </c>
      <c r="M1254" s="388" t="str">
        <f ca="1">IFERROR(IF(VLOOKUP(C1254,' Disaggregation - Section E '!A$313:O569,15,0)=0,"",VLOOKUP(C1254,' Disaggregation - Section E '!A$313:O865,15,0)),"")</f>
        <v>IDR-01124</v>
      </c>
      <c r="N1254" s="387"/>
      <c r="O1254" s="387"/>
      <c r="P1254" s="387" t="str">
        <f ca="1">IFERROR(IF(VLOOKUP(C1254,' Disaggregation - Section E '!A$313:R569,18,0)=0,"",VLOOKUP(C1254,' Disaggregation - Section E '!A$313:R865,18,0)),"")</f>
        <v>a1LDm000000Cb0sMAC</v>
      </c>
    </row>
    <row r="1255" spans="1:16">
      <c r="A1255" s="387" t="b">
        <f t="shared" ca="1" si="161"/>
        <v>1</v>
      </c>
      <c r="B1255" s="387"/>
      <c r="C1255" s="404" t="str">
        <f ca="1">IF(COUNTA(O$1002:O1255)=1,"",OFFSET(C1255,-COUNTA(O$1002:O1255)+1,0))</f>
        <v>a1VDm000000PgBQMA0</v>
      </c>
      <c r="D1255" s="392"/>
      <c r="E1255" s="389" t="str">
        <f ca="1">IFERROR(IF(VLOOKUP(C1255,' Disaggregation - Section E '!A$313:J866,7,0)="","",VLOOKUP(C1255,' Disaggregation - Section E '!A$313:J866,7,0)*100),"")</f>
        <v/>
      </c>
      <c r="F1255" s="387"/>
      <c r="G1255" s="390" t="str">
        <f ca="1">IFERROR(IF(VLOOKUP(C1255,' Disaggregation - Section E '!A$313:J866,6,0)="","",VLOOKUP(C1255,' Disaggregation - Section E '!A$313:J866,6,0)),"")</f>
        <v/>
      </c>
      <c r="H1255" s="390" t="str">
        <f ca="1">IFERROR(IF(INDEX(' Disaggregation - Section E '!F$313:F866,MATCH(C1255,' Disaggregation - Section E '!A$313:A866,0)+1,1)&lt;&gt;0,INDEX(' Disaggregation - Section E '!F$313:F866,MATCH(C1255,' Disaggregation - Section E '!A$313:A866,0)+1,1),""),"")</f>
        <v/>
      </c>
      <c r="I1255" s="391" t="str">
        <f ca="1">IFERROR(IF(VLOOKUP(C1255,' Disaggregation - Section E '!A$313:J866,8,0)=0,"",VLOOKUP(C1255,' Disaggregation - Section E '!A$313:J866,8,0)),"")</f>
        <v/>
      </c>
      <c r="J1255" s="391" t="str">
        <f ca="1">IFERROR(IF(VLOOKUP(C1255,' Disaggregation - Section E '!A$313:J866,9,0)="","",VLOOKUP(C1255,' Disaggregation - Section E '!A$313:J866,9,0)),"")</f>
        <v/>
      </c>
      <c r="K1255" s="387" t="str">
        <f ca="1">IFERROR(VLOOKUP(C1255,' Disaggregation - Section E '!A$313:J866,3,0),"")</f>
        <v>HIV O-16a Percentage of men who have sex with men who avoid health care because of stigma and discrimination</v>
      </c>
      <c r="L1255" s="391" t="str">
        <f ca="1">IFERROR(IF(VLOOKUP(C1255,' Disaggregation - Section E '!A$313:J866,10,0)="","",VLOOKUP(C1255,' Disaggregation - Section E '!A$313:J866,10,0)),"")</f>
        <v/>
      </c>
      <c r="M1255" s="388" t="str">
        <f ca="1">IFERROR(IF(VLOOKUP(C1255,' Disaggregation - Section E '!A$313:O570,15,0)=0,"",VLOOKUP(C1255,' Disaggregation - Section E '!A$313:O866,15,0)),"")</f>
        <v>IDR-01123</v>
      </c>
      <c r="N1255" s="387"/>
      <c r="O1255" s="387"/>
      <c r="P1255" s="387" t="str">
        <f ca="1">IFERROR(IF(VLOOKUP(C1255,' Disaggregation - Section E '!A$313:R570,18,0)=0,"",VLOOKUP(C1255,' Disaggregation - Section E '!A$313:R866,18,0)),"")</f>
        <v>a1LDm000000Cb0rMAC</v>
      </c>
    </row>
    <row r="1256" spans="1:16">
      <c r="A1256" s="387" t="b">
        <f t="shared" ca="1" si="161"/>
        <v>0</v>
      </c>
      <c r="B1256" s="387"/>
      <c r="C1256" s="404" t="str">
        <f ca="1">IF(COUNTA(O$1002:O1256)=1,"",OFFSET(C1256,-COUNTA(O$1002:O1256)+1,0))</f>
        <v>a1VDm000000PgBRMA0</v>
      </c>
      <c r="D1256" s="392"/>
      <c r="E1256" s="389" t="str">
        <f ca="1">IFERROR(IF(VLOOKUP(C1256,' Disaggregation - Section E '!A$313:J867,7,0)="","",VLOOKUP(C1256,' Disaggregation - Section E '!A$313:J867,7,0)*100),"")</f>
        <v/>
      </c>
      <c r="F1256" s="387"/>
      <c r="G1256" s="390" t="str">
        <f ca="1">IFERROR(IF(VLOOKUP(C1256,' Disaggregation - Section E '!A$313:J867,6,0)="","",VLOOKUP(C1256,' Disaggregation - Section E '!A$313:J867,6,0)),"")</f>
        <v/>
      </c>
      <c r="H1256" s="390" t="str">
        <f ca="1">IFERROR(IF(INDEX(' Disaggregation - Section E '!F$313:F867,MATCH(C1256,' Disaggregation - Section E '!A$313:A867,0)+1,1)&lt;&gt;0,INDEX(' Disaggregation - Section E '!F$313:F867,MATCH(C1256,' Disaggregation - Section E '!A$313:A867,0)+1,1),""),"")</f>
        <v/>
      </c>
      <c r="I1256" s="391" t="str">
        <f ca="1">IFERROR(IF(VLOOKUP(C1256,' Disaggregation - Section E '!A$313:J867,8,0)=0,"",VLOOKUP(C1256,' Disaggregation - Section E '!A$313:J867,8,0)),"")</f>
        <v/>
      </c>
      <c r="J1256" s="391" t="str">
        <f ca="1">IFERROR(IF(VLOOKUP(C1256,' Disaggregation - Section E '!A$313:J867,9,0)="","",VLOOKUP(C1256,' Disaggregation - Section E '!A$313:J867,9,0)),"")</f>
        <v/>
      </c>
      <c r="K1256" s="387" t="str">
        <f ca="1">IFERROR(VLOOKUP(C1256,' Disaggregation - Section E '!A$313:J867,3,0),"")</f>
        <v>HIV O-16a Percentage of men who have sex with men who avoid health care because of stigma and discrimination</v>
      </c>
      <c r="L1256" s="391" t="str">
        <f ca="1">IFERROR(IF(VLOOKUP(C1256,' Disaggregation - Section E '!A$313:J867,10,0)="","",VLOOKUP(C1256,' Disaggregation - Section E '!A$313:J867,10,0)),"")</f>
        <v/>
      </c>
      <c r="M1256" s="388" t="str">
        <f ca="1">IFERROR(IF(VLOOKUP(C1256,' Disaggregation - Section E '!A$313:O571,15,0)=0,"",VLOOKUP(C1256,' Disaggregation - Section E '!A$313:O867,15,0)),"")</f>
        <v/>
      </c>
      <c r="N1256" s="387"/>
      <c r="O1256" s="387"/>
      <c r="P1256" s="387" t="str">
        <f ca="1">IFERROR(IF(VLOOKUP(C1256,' Disaggregation - Section E '!A$313:R571,18,0)=0,"",VLOOKUP(C1256,' Disaggregation - Section E '!A$313:R867,18,0)),"")</f>
        <v/>
      </c>
    </row>
    <row r="1257" spans="1:16">
      <c r="A1257" s="387" t="b">
        <f t="shared" ca="1" si="161"/>
        <v>0</v>
      </c>
      <c r="B1257" s="387"/>
      <c r="C1257" s="404" t="str">
        <f ca="1">IF(COUNTA(O$1002:O1257)=1,"",OFFSET(C1257,-COUNTA(O$1002:O1257)+1,0))</f>
        <v>a1VDm000000PgBSMA0</v>
      </c>
      <c r="D1257" s="392"/>
      <c r="E1257" s="389" t="str">
        <f ca="1">IFERROR(IF(VLOOKUP(C1257,' Disaggregation - Section E '!A$313:J868,7,0)="","",VLOOKUP(C1257,' Disaggregation - Section E '!A$313:J868,7,0)*100),"")</f>
        <v/>
      </c>
      <c r="F1257" s="387"/>
      <c r="G1257" s="390" t="str">
        <f ca="1">IFERROR(IF(VLOOKUP(C1257,' Disaggregation - Section E '!A$313:J868,6,0)="","",VLOOKUP(C1257,' Disaggregation - Section E '!A$313:J868,6,0)),"")</f>
        <v/>
      </c>
      <c r="H1257" s="390" t="str">
        <f ca="1">IFERROR(IF(INDEX(' Disaggregation - Section E '!F$313:F868,MATCH(C1257,' Disaggregation - Section E '!A$313:A868,0)+1,1)&lt;&gt;0,INDEX(' Disaggregation - Section E '!F$313:F868,MATCH(C1257,' Disaggregation - Section E '!A$313:A868,0)+1,1),""),"")</f>
        <v/>
      </c>
      <c r="I1257" s="391" t="str">
        <f ca="1">IFERROR(IF(VLOOKUP(C1257,' Disaggregation - Section E '!A$313:J868,8,0)=0,"",VLOOKUP(C1257,' Disaggregation - Section E '!A$313:J868,8,0)),"")</f>
        <v/>
      </c>
      <c r="J1257" s="391" t="str">
        <f ca="1">IFERROR(IF(VLOOKUP(C1257,' Disaggregation - Section E '!A$313:J868,9,0)="","",VLOOKUP(C1257,' Disaggregation - Section E '!A$313:J868,9,0)),"")</f>
        <v/>
      </c>
      <c r="K1257" s="387" t="str">
        <f ca="1">IFERROR(VLOOKUP(C1257,' Disaggregation - Section E '!A$313:J868,3,0),"")</f>
        <v>HIV O-16a Percentage of men who have sex with men who avoid health care because of stigma and discrimination</v>
      </c>
      <c r="L1257" s="391" t="str">
        <f ca="1">IFERROR(IF(VLOOKUP(C1257,' Disaggregation - Section E '!A$313:J868,10,0)="","",VLOOKUP(C1257,' Disaggregation - Section E '!A$313:J868,10,0)),"")</f>
        <v/>
      </c>
      <c r="M1257" s="388" t="str">
        <f ca="1">IFERROR(IF(VLOOKUP(C1257,' Disaggregation - Section E '!A$313:O572,15,0)=0,"",VLOOKUP(C1257,' Disaggregation - Section E '!A$313:O868,15,0)),"")</f>
        <v/>
      </c>
      <c r="N1257" s="387"/>
      <c r="O1257" s="387"/>
      <c r="P1257" s="387" t="str">
        <f ca="1">IFERROR(IF(VLOOKUP(C1257,' Disaggregation - Section E '!A$313:R572,18,0)=0,"",VLOOKUP(C1257,' Disaggregation - Section E '!A$313:R868,18,0)),"")</f>
        <v/>
      </c>
    </row>
    <row r="1258" spans="1:16">
      <c r="A1258" s="387" t="b">
        <f t="shared" ca="1" si="161"/>
        <v>0</v>
      </c>
      <c r="B1258" s="387"/>
      <c r="C1258" s="404" t="str">
        <f ca="1">IF(COUNTA(O$1002:O1258)=1,"",OFFSET(C1258,-COUNTA(O$1002:O1258)+1,0))</f>
        <v>a1VDm000000PgBTMA0</v>
      </c>
      <c r="D1258" s="392"/>
      <c r="E1258" s="389" t="str">
        <f ca="1">IFERROR(IF(VLOOKUP(C1258,' Disaggregation - Section E '!A$313:J869,7,0)="","",VLOOKUP(C1258,' Disaggregation - Section E '!A$313:J869,7,0)*100),"")</f>
        <v/>
      </c>
      <c r="F1258" s="387"/>
      <c r="G1258" s="390" t="str">
        <f ca="1">IFERROR(IF(VLOOKUP(C1258,' Disaggregation - Section E '!A$313:J869,6,0)="","",VLOOKUP(C1258,' Disaggregation - Section E '!A$313:J869,6,0)),"")</f>
        <v/>
      </c>
      <c r="H1258" s="390" t="str">
        <f ca="1">IFERROR(IF(INDEX(' Disaggregation - Section E '!F$313:F869,MATCH(C1258,' Disaggregation - Section E '!A$313:A869,0)+1,1)&lt;&gt;0,INDEX(' Disaggregation - Section E '!F$313:F869,MATCH(C1258,' Disaggregation - Section E '!A$313:A869,0)+1,1),""),"")</f>
        <v/>
      </c>
      <c r="I1258" s="391" t="str">
        <f ca="1">IFERROR(IF(VLOOKUP(C1258,' Disaggregation - Section E '!A$313:J869,8,0)=0,"",VLOOKUP(C1258,' Disaggregation - Section E '!A$313:J869,8,0)),"")</f>
        <v/>
      </c>
      <c r="J1258" s="391" t="str">
        <f ca="1">IFERROR(IF(VLOOKUP(C1258,' Disaggregation - Section E '!A$313:J869,9,0)="","",VLOOKUP(C1258,' Disaggregation - Section E '!A$313:J869,9,0)),"")</f>
        <v/>
      </c>
      <c r="K1258" s="387" t="str">
        <f ca="1">IFERROR(VLOOKUP(C1258,' Disaggregation - Section E '!A$313:J869,3,0),"")</f>
        <v>HIV O-16a Percentage of men who have sex with men who avoid health care because of stigma and discrimination</v>
      </c>
      <c r="L1258" s="391" t="str">
        <f ca="1">IFERROR(IF(VLOOKUP(C1258,' Disaggregation - Section E '!A$313:J869,10,0)="","",VLOOKUP(C1258,' Disaggregation - Section E '!A$313:J869,10,0)),"")</f>
        <v/>
      </c>
      <c r="M1258" s="388" t="str">
        <f ca="1">IFERROR(IF(VLOOKUP(C1258,' Disaggregation - Section E '!A$313:O573,15,0)=0,"",VLOOKUP(C1258,' Disaggregation - Section E '!A$313:O869,15,0)),"")</f>
        <v/>
      </c>
      <c r="N1258" s="387"/>
      <c r="O1258" s="387"/>
      <c r="P1258" s="387" t="str">
        <f ca="1">IFERROR(IF(VLOOKUP(C1258,' Disaggregation - Section E '!A$313:R573,18,0)=0,"",VLOOKUP(C1258,' Disaggregation - Section E '!A$313:R869,18,0)),"")</f>
        <v/>
      </c>
    </row>
    <row r="1259" spans="1:16">
      <c r="A1259" s="387" t="b">
        <f t="shared" ca="1" si="161"/>
        <v>0</v>
      </c>
      <c r="B1259" s="387"/>
      <c r="C1259" s="404" t="str">
        <f ca="1">IF(COUNTA(O$1002:O1259)=1,"",OFFSET(C1259,-COUNTA(O$1002:O1259)+1,0))</f>
        <v>a1VDm000000PgBUMA0</v>
      </c>
      <c r="D1259" s="392"/>
      <c r="E1259" s="389" t="str">
        <f ca="1">IFERROR(IF(VLOOKUP(C1259,' Disaggregation - Section E '!A$313:J870,7,0)="","",VLOOKUP(C1259,' Disaggregation - Section E '!A$313:J870,7,0)*100),"")</f>
        <v/>
      </c>
      <c r="F1259" s="387"/>
      <c r="G1259" s="390" t="str">
        <f ca="1">IFERROR(IF(VLOOKUP(C1259,' Disaggregation - Section E '!A$313:J870,6,0)="","",VLOOKUP(C1259,' Disaggregation - Section E '!A$313:J870,6,0)),"")</f>
        <v/>
      </c>
      <c r="H1259" s="390" t="str">
        <f ca="1">IFERROR(IF(INDEX(' Disaggregation - Section E '!F$313:F870,MATCH(C1259,' Disaggregation - Section E '!A$313:A870,0)+1,1)&lt;&gt;0,INDEX(' Disaggregation - Section E '!F$313:F870,MATCH(C1259,' Disaggregation - Section E '!A$313:A870,0)+1,1),""),"")</f>
        <v/>
      </c>
      <c r="I1259" s="391" t="str">
        <f ca="1">IFERROR(IF(VLOOKUP(C1259,' Disaggregation - Section E '!A$313:J870,8,0)=0,"",VLOOKUP(C1259,' Disaggregation - Section E '!A$313:J870,8,0)),"")</f>
        <v/>
      </c>
      <c r="J1259" s="391" t="str">
        <f ca="1">IFERROR(IF(VLOOKUP(C1259,' Disaggregation - Section E '!A$313:J870,9,0)="","",VLOOKUP(C1259,' Disaggregation - Section E '!A$313:J870,9,0)),"")</f>
        <v/>
      </c>
      <c r="K1259" s="387" t="str">
        <f ca="1">IFERROR(VLOOKUP(C1259,' Disaggregation - Section E '!A$313:J870,3,0),"")</f>
        <v>HIV O-16a Percentage of men who have sex with men who avoid health care because of stigma and discrimination</v>
      </c>
      <c r="L1259" s="391" t="str">
        <f ca="1">IFERROR(IF(VLOOKUP(C1259,' Disaggregation - Section E '!A$313:J870,10,0)="","",VLOOKUP(C1259,' Disaggregation - Section E '!A$313:J870,10,0)),"")</f>
        <v/>
      </c>
      <c r="M1259" s="388" t="str">
        <f ca="1">IFERROR(IF(VLOOKUP(C1259,' Disaggregation - Section E '!A$313:O574,15,0)=0,"",VLOOKUP(C1259,' Disaggregation - Section E '!A$313:O870,15,0)),"")</f>
        <v/>
      </c>
      <c r="N1259" s="387"/>
      <c r="O1259" s="387"/>
      <c r="P1259" s="387" t="str">
        <f ca="1">IFERROR(IF(VLOOKUP(C1259,' Disaggregation - Section E '!A$313:R574,18,0)=0,"",VLOOKUP(C1259,' Disaggregation - Section E '!A$313:R870,18,0)),"")</f>
        <v/>
      </c>
    </row>
    <row r="1260" spans="1:16">
      <c r="A1260" s="387" t="b">
        <f t="shared" ca="1" si="161"/>
        <v>0</v>
      </c>
      <c r="B1260" s="387"/>
      <c r="C1260" s="404" t="str">
        <f ca="1">IF(COUNTA(O$1002:O1260)=1,"",OFFSET(C1260,-COUNTA(O$1002:O1260)+1,0))</f>
        <v>a1VDm000000PgBVMA0</v>
      </c>
      <c r="D1260" s="392"/>
      <c r="E1260" s="389" t="str">
        <f ca="1">IFERROR(IF(VLOOKUP(C1260,' Disaggregation - Section E '!A$313:J871,7,0)="","",VLOOKUP(C1260,' Disaggregation - Section E '!A$313:J871,7,0)*100),"")</f>
        <v/>
      </c>
      <c r="F1260" s="387"/>
      <c r="G1260" s="390" t="str">
        <f ca="1">IFERROR(IF(VLOOKUP(C1260,' Disaggregation - Section E '!A$313:J871,6,0)="","",VLOOKUP(C1260,' Disaggregation - Section E '!A$313:J871,6,0)),"")</f>
        <v/>
      </c>
      <c r="H1260" s="390" t="str">
        <f ca="1">IFERROR(IF(INDEX(' Disaggregation - Section E '!F$313:F871,MATCH(C1260,' Disaggregation - Section E '!A$313:A871,0)+1,1)&lt;&gt;0,INDEX(' Disaggregation - Section E '!F$313:F871,MATCH(C1260,' Disaggregation - Section E '!A$313:A871,0)+1,1),""),"")</f>
        <v/>
      </c>
      <c r="I1260" s="391" t="str">
        <f ca="1">IFERROR(IF(VLOOKUP(C1260,' Disaggregation - Section E '!A$313:J871,8,0)=0,"",VLOOKUP(C1260,' Disaggregation - Section E '!A$313:J871,8,0)),"")</f>
        <v/>
      </c>
      <c r="J1260" s="391" t="str">
        <f ca="1">IFERROR(IF(VLOOKUP(C1260,' Disaggregation - Section E '!A$313:J871,9,0)="","",VLOOKUP(C1260,' Disaggregation - Section E '!A$313:J871,9,0)),"")</f>
        <v/>
      </c>
      <c r="K1260" s="387" t="str">
        <f ca="1">IFERROR(VLOOKUP(C1260,' Disaggregation - Section E '!A$313:J871,3,0),"")</f>
        <v>HIV O-16a Percentage of men who have sex with men who avoid health care because of stigma and discrimination</v>
      </c>
      <c r="L1260" s="391" t="str">
        <f ca="1">IFERROR(IF(VLOOKUP(C1260,' Disaggregation - Section E '!A$313:J871,10,0)="","",VLOOKUP(C1260,' Disaggregation - Section E '!A$313:J871,10,0)),"")</f>
        <v/>
      </c>
      <c r="M1260" s="388" t="str">
        <f ca="1">IFERROR(IF(VLOOKUP(C1260,' Disaggregation - Section E '!A$313:O575,15,0)=0,"",VLOOKUP(C1260,' Disaggregation - Section E '!A$313:O871,15,0)),"")</f>
        <v/>
      </c>
      <c r="N1260" s="387"/>
      <c r="O1260" s="387"/>
      <c r="P1260" s="387" t="str">
        <f ca="1">IFERROR(IF(VLOOKUP(C1260,' Disaggregation - Section E '!A$313:R575,18,0)=0,"",VLOOKUP(C1260,' Disaggregation - Section E '!A$313:R871,18,0)),"")</f>
        <v/>
      </c>
    </row>
    <row r="1261" spans="1:16">
      <c r="A1261" s="387" t="b">
        <f t="shared" ca="1" si="161"/>
        <v>0</v>
      </c>
      <c r="B1261" s="387"/>
      <c r="C1261" s="404" t="str">
        <f ca="1">IF(COUNTA(O$1002:O1261)=1,"",OFFSET(C1261,-COUNTA(O$1002:O1261)+1,0))</f>
        <v>a1VDm000000PgBWMA0</v>
      </c>
      <c r="D1261" s="392"/>
      <c r="E1261" s="389" t="str">
        <f ca="1">IFERROR(IF(VLOOKUP(C1261,' Disaggregation - Section E '!A$313:J872,7,0)="","",VLOOKUP(C1261,' Disaggregation - Section E '!A$313:J872,7,0)*100),"")</f>
        <v/>
      </c>
      <c r="F1261" s="387"/>
      <c r="G1261" s="390" t="str">
        <f ca="1">IFERROR(IF(VLOOKUP(C1261,' Disaggregation - Section E '!A$313:J872,6,0)="","",VLOOKUP(C1261,' Disaggregation - Section E '!A$313:J872,6,0)),"")</f>
        <v/>
      </c>
      <c r="H1261" s="390" t="str">
        <f ca="1">IFERROR(IF(INDEX(' Disaggregation - Section E '!F$313:F872,MATCH(C1261,' Disaggregation - Section E '!A$313:A872,0)+1,1)&lt;&gt;0,INDEX(' Disaggregation - Section E '!F$313:F872,MATCH(C1261,' Disaggregation - Section E '!A$313:A872,0)+1,1),""),"")</f>
        <v/>
      </c>
      <c r="I1261" s="391" t="str">
        <f ca="1">IFERROR(IF(VLOOKUP(C1261,' Disaggregation - Section E '!A$313:J872,8,0)=0,"",VLOOKUP(C1261,' Disaggregation - Section E '!A$313:J872,8,0)),"")</f>
        <v/>
      </c>
      <c r="J1261" s="391" t="str">
        <f ca="1">IFERROR(IF(VLOOKUP(C1261,' Disaggregation - Section E '!A$313:J872,9,0)="","",VLOOKUP(C1261,' Disaggregation - Section E '!A$313:J872,9,0)),"")</f>
        <v/>
      </c>
      <c r="K1261" s="387" t="str">
        <f ca="1">IFERROR(VLOOKUP(C1261,' Disaggregation - Section E '!A$313:J872,3,0),"")</f>
        <v>HIV O-16a Percentage of men who have sex with men who avoid health care because of stigma and discrimination</v>
      </c>
      <c r="L1261" s="391" t="str">
        <f ca="1">IFERROR(IF(VLOOKUP(C1261,' Disaggregation - Section E '!A$313:J872,10,0)="","",VLOOKUP(C1261,' Disaggregation - Section E '!A$313:J872,10,0)),"")</f>
        <v/>
      </c>
      <c r="M1261" s="388" t="str">
        <f ca="1">IFERROR(IF(VLOOKUP(C1261,' Disaggregation - Section E '!A$313:O576,15,0)=0,"",VLOOKUP(C1261,' Disaggregation - Section E '!A$313:O872,15,0)),"")</f>
        <v/>
      </c>
      <c r="N1261" s="387"/>
      <c r="O1261" s="387"/>
      <c r="P1261" s="387" t="str">
        <f ca="1">IFERROR(IF(VLOOKUP(C1261,' Disaggregation - Section E '!A$313:R576,18,0)=0,"",VLOOKUP(C1261,' Disaggregation - Section E '!A$313:R872,18,0)),"")</f>
        <v/>
      </c>
    </row>
    <row r="1262" spans="1:16">
      <c r="A1262" s="387" t="b">
        <f t="shared" ca="1" si="161"/>
        <v>0</v>
      </c>
      <c r="B1262" s="387"/>
      <c r="C1262" s="404" t="str">
        <f ca="1">IF(COUNTA(O$1002:O1262)=1,"",OFFSET(C1262,-COUNTA(O$1002:O1262)+1,0))</f>
        <v>a1VDm000000PgBXMA0</v>
      </c>
      <c r="D1262" s="392"/>
      <c r="E1262" s="389" t="str">
        <f ca="1">IFERROR(IF(VLOOKUP(C1262,' Disaggregation - Section E '!A$313:J873,7,0)="","",VLOOKUP(C1262,' Disaggregation - Section E '!A$313:J873,7,0)*100),"")</f>
        <v/>
      </c>
      <c r="F1262" s="387"/>
      <c r="G1262" s="390" t="str">
        <f ca="1">IFERROR(IF(VLOOKUP(C1262,' Disaggregation - Section E '!A$313:J873,6,0)="","",VLOOKUP(C1262,' Disaggregation - Section E '!A$313:J873,6,0)),"")</f>
        <v/>
      </c>
      <c r="H1262" s="390" t="str">
        <f ca="1">IFERROR(IF(INDEX(' Disaggregation - Section E '!F$313:F873,MATCH(C1262,' Disaggregation - Section E '!A$313:A873,0)+1,1)&lt;&gt;0,INDEX(' Disaggregation - Section E '!F$313:F873,MATCH(C1262,' Disaggregation - Section E '!A$313:A873,0)+1,1),""),"")</f>
        <v/>
      </c>
      <c r="I1262" s="391" t="str">
        <f ca="1">IFERROR(IF(VLOOKUP(C1262,' Disaggregation - Section E '!A$313:J873,8,0)=0,"",VLOOKUP(C1262,' Disaggregation - Section E '!A$313:J873,8,0)),"")</f>
        <v/>
      </c>
      <c r="J1262" s="391" t="str">
        <f ca="1">IFERROR(IF(VLOOKUP(C1262,' Disaggregation - Section E '!A$313:J873,9,0)="","",VLOOKUP(C1262,' Disaggregation - Section E '!A$313:J873,9,0)),"")</f>
        <v/>
      </c>
      <c r="K1262" s="387" t="str">
        <f ca="1">IFERROR(VLOOKUP(C1262,' Disaggregation - Section E '!A$313:J873,3,0),"")</f>
        <v>HIV O-16a Percentage of men who have sex with men who avoid health care because of stigma and discrimination</v>
      </c>
      <c r="L1262" s="391" t="str">
        <f ca="1">IFERROR(IF(VLOOKUP(C1262,' Disaggregation - Section E '!A$313:J873,10,0)="","",VLOOKUP(C1262,' Disaggregation - Section E '!A$313:J873,10,0)),"")</f>
        <v/>
      </c>
      <c r="M1262" s="388" t="str">
        <f ca="1">IFERROR(IF(VLOOKUP(C1262,' Disaggregation - Section E '!A$313:O577,15,0)=0,"",VLOOKUP(C1262,' Disaggregation - Section E '!A$313:O873,15,0)),"")</f>
        <v/>
      </c>
      <c r="N1262" s="387"/>
      <c r="O1262" s="387"/>
      <c r="P1262" s="387" t="str">
        <f ca="1">IFERROR(IF(VLOOKUP(C1262,' Disaggregation - Section E '!A$313:R577,18,0)=0,"",VLOOKUP(C1262,' Disaggregation - Section E '!A$313:R873,18,0)),"")</f>
        <v/>
      </c>
    </row>
    <row r="1263" spans="1:16">
      <c r="A1263" s="387" t="b">
        <f t="shared" ca="1" si="161"/>
        <v>0</v>
      </c>
      <c r="B1263" s="387"/>
      <c r="C1263" s="404" t="str">
        <f ca="1">IF(COUNTA(O$1002:O1263)=1,"",OFFSET(C1263,-COUNTA(O$1002:O1263)+1,0))</f>
        <v>a1VDm000000PgBYMA0</v>
      </c>
      <c r="D1263" s="392"/>
      <c r="E1263" s="389" t="str">
        <f ca="1">IFERROR(IF(VLOOKUP(C1263,' Disaggregation - Section E '!A$313:J874,7,0)="","",VLOOKUP(C1263,' Disaggregation - Section E '!A$313:J874,7,0)*100),"")</f>
        <v/>
      </c>
      <c r="F1263" s="387"/>
      <c r="G1263" s="390" t="str">
        <f ca="1">IFERROR(IF(VLOOKUP(C1263,' Disaggregation - Section E '!A$313:J874,6,0)="","",VLOOKUP(C1263,' Disaggregation - Section E '!A$313:J874,6,0)),"")</f>
        <v/>
      </c>
      <c r="H1263" s="390" t="str">
        <f ca="1">IFERROR(IF(INDEX(' Disaggregation - Section E '!F$313:F874,MATCH(C1263,' Disaggregation - Section E '!A$313:A874,0)+1,1)&lt;&gt;0,INDEX(' Disaggregation - Section E '!F$313:F874,MATCH(C1263,' Disaggregation - Section E '!A$313:A874,0)+1,1),""),"")</f>
        <v/>
      </c>
      <c r="I1263" s="391" t="str">
        <f ca="1">IFERROR(IF(VLOOKUP(C1263,' Disaggregation - Section E '!A$313:J874,8,0)=0,"",VLOOKUP(C1263,' Disaggregation - Section E '!A$313:J874,8,0)),"")</f>
        <v/>
      </c>
      <c r="J1263" s="391" t="str">
        <f ca="1">IFERROR(IF(VLOOKUP(C1263,' Disaggregation - Section E '!A$313:J874,9,0)="","",VLOOKUP(C1263,' Disaggregation - Section E '!A$313:J874,9,0)),"")</f>
        <v/>
      </c>
      <c r="K1263" s="387" t="str">
        <f ca="1">IFERROR(VLOOKUP(C1263,' Disaggregation - Section E '!A$313:J874,3,0),"")</f>
        <v>HIV O-16a Percentage of men who have sex with men who avoid health care because of stigma and discrimination</v>
      </c>
      <c r="L1263" s="391" t="str">
        <f ca="1">IFERROR(IF(VLOOKUP(C1263,' Disaggregation - Section E '!A$313:J874,10,0)="","",VLOOKUP(C1263,' Disaggregation - Section E '!A$313:J874,10,0)),"")</f>
        <v/>
      </c>
      <c r="M1263" s="388" t="str">
        <f ca="1">IFERROR(IF(VLOOKUP(C1263,' Disaggregation - Section E '!A$313:O578,15,0)=0,"",VLOOKUP(C1263,' Disaggregation - Section E '!A$313:O874,15,0)),"")</f>
        <v/>
      </c>
      <c r="N1263" s="387"/>
      <c r="O1263" s="387"/>
      <c r="P1263" s="387" t="str">
        <f ca="1">IFERROR(IF(VLOOKUP(C1263,' Disaggregation - Section E '!A$313:R578,18,0)=0,"",VLOOKUP(C1263,' Disaggregation - Section E '!A$313:R874,18,0)),"")</f>
        <v/>
      </c>
    </row>
    <row r="1264" spans="1:16">
      <c r="A1264" s="387" t="b">
        <f t="shared" ca="1" si="161"/>
        <v>1</v>
      </c>
      <c r="B1264" s="387"/>
      <c r="C1264" s="404" t="str">
        <f ca="1">IF(COUNTA(O$1002:O1264)=1,"",OFFSET(C1264,-COUNTA(O$1002:O1264)+1,0))</f>
        <v>a1VDm000000PgBZMA0</v>
      </c>
      <c r="D1264" s="392"/>
      <c r="E1264" s="389" t="str">
        <f ca="1">IFERROR(IF(VLOOKUP(C1264,' Disaggregation - Section E '!A$313:J875,7,0)="","",VLOOKUP(C1264,' Disaggregation - Section E '!A$313:J875,7,0)*100),"")</f>
        <v/>
      </c>
      <c r="F1264" s="387"/>
      <c r="G1264" s="390" t="str">
        <f ca="1">IFERROR(IF(VLOOKUP(C1264,' Disaggregation - Section E '!A$313:J875,6,0)="","",VLOOKUP(C1264,' Disaggregation - Section E '!A$313:J875,6,0)),"")</f>
        <v/>
      </c>
      <c r="H1264" s="390" t="str">
        <f ca="1">IFERROR(IF(INDEX(' Disaggregation - Section E '!F$313:F875,MATCH(C1264,' Disaggregation - Section E '!A$313:A875,0)+1,1)&lt;&gt;0,INDEX(' Disaggregation - Section E '!F$313:F875,MATCH(C1264,' Disaggregation - Section E '!A$313:A875,0)+1,1),""),"")</f>
        <v/>
      </c>
      <c r="I1264" s="391" t="str">
        <f ca="1">IFERROR(IF(VLOOKUP(C1264,' Disaggregation - Section E '!A$313:J875,8,0)=0,"",VLOOKUP(C1264,' Disaggregation - Section E '!A$313:J875,8,0)),"")</f>
        <v/>
      </c>
      <c r="J1264" s="391" t="str">
        <f ca="1">IFERROR(IF(VLOOKUP(C1264,' Disaggregation - Section E '!A$313:J875,9,0)="","",VLOOKUP(C1264,' Disaggregation - Section E '!A$313:J875,9,0)),"")</f>
        <v/>
      </c>
      <c r="K1264" s="387" t="str">
        <f ca="1">IFERROR(VLOOKUP(C1264,' Disaggregation - Section E '!A$313:J875,3,0),"")</f>
        <v>HIV O-16b Percentage of transgender people who avoid health care because of stigma and discrimination</v>
      </c>
      <c r="L1264" s="391" t="str">
        <f ca="1">IFERROR(IF(VLOOKUP(C1264,' Disaggregation - Section E '!A$313:J875,10,0)="","",VLOOKUP(C1264,' Disaggregation - Section E '!A$313:J875,10,0)),"")</f>
        <v/>
      </c>
      <c r="M1264" s="388" t="str">
        <f ca="1">IFERROR(IF(VLOOKUP(C1264,' Disaggregation - Section E '!A$313:O579,15,0)=0,"",VLOOKUP(C1264,' Disaggregation - Section E '!A$313:O875,15,0)),"")</f>
        <v>IDR-01126</v>
      </c>
      <c r="N1264" s="387"/>
      <c r="O1264" s="387"/>
      <c r="P1264" s="387" t="str">
        <f ca="1">IFERROR(IF(VLOOKUP(C1264,' Disaggregation - Section E '!A$313:R579,18,0)=0,"",VLOOKUP(C1264,' Disaggregation - Section E '!A$313:R875,18,0)),"")</f>
        <v>a1LDm000000Cb0uMAC</v>
      </c>
    </row>
    <row r="1265" spans="1:16">
      <c r="A1265" s="387" t="b">
        <f t="shared" ca="1" si="161"/>
        <v>1</v>
      </c>
      <c r="B1265" s="387"/>
      <c r="C1265" s="404" t="str">
        <f ca="1">IF(COUNTA(O$1002:O1265)=1,"",OFFSET(C1265,-COUNTA(O$1002:O1265)+1,0))</f>
        <v>a1VDm000000PgBaMAK</v>
      </c>
      <c r="D1265" s="392"/>
      <c r="E1265" s="389" t="str">
        <f ca="1">IFERROR(IF(VLOOKUP(C1265,' Disaggregation - Section E '!A$313:J876,7,0)="","",VLOOKUP(C1265,' Disaggregation - Section E '!A$313:J876,7,0)*100),"")</f>
        <v/>
      </c>
      <c r="F1265" s="387"/>
      <c r="G1265" s="390" t="str">
        <f ca="1">IFERROR(IF(VLOOKUP(C1265,' Disaggregation - Section E '!A$313:J876,6,0)="","",VLOOKUP(C1265,' Disaggregation - Section E '!A$313:J876,6,0)),"")</f>
        <v/>
      </c>
      <c r="H1265" s="390" t="str">
        <f ca="1">IFERROR(IF(INDEX(' Disaggregation - Section E '!F$313:F876,MATCH(C1265,' Disaggregation - Section E '!A$313:A876,0)+1,1)&lt;&gt;0,INDEX(' Disaggregation - Section E '!F$313:F876,MATCH(C1265,' Disaggregation - Section E '!A$313:A876,0)+1,1),""),"")</f>
        <v/>
      </c>
      <c r="I1265" s="391" t="str">
        <f ca="1">IFERROR(IF(VLOOKUP(C1265,' Disaggregation - Section E '!A$313:J876,8,0)=0,"",VLOOKUP(C1265,' Disaggregation - Section E '!A$313:J876,8,0)),"")</f>
        <v/>
      </c>
      <c r="J1265" s="391" t="str">
        <f ca="1">IFERROR(IF(VLOOKUP(C1265,' Disaggregation - Section E '!A$313:J876,9,0)="","",VLOOKUP(C1265,' Disaggregation - Section E '!A$313:J876,9,0)),"")</f>
        <v/>
      </c>
      <c r="K1265" s="387" t="str">
        <f ca="1">IFERROR(VLOOKUP(C1265,' Disaggregation - Section E '!A$313:J876,3,0),"")</f>
        <v>HIV O-16b Percentage of transgender people who avoid health care because of stigma and discrimination</v>
      </c>
      <c r="L1265" s="391" t="str">
        <f ca="1">IFERROR(IF(VLOOKUP(C1265,' Disaggregation - Section E '!A$313:J876,10,0)="","",VLOOKUP(C1265,' Disaggregation - Section E '!A$313:J876,10,0)),"")</f>
        <v/>
      </c>
      <c r="M1265" s="388" t="str">
        <f ca="1">IFERROR(IF(VLOOKUP(C1265,' Disaggregation - Section E '!A$313:O580,15,0)=0,"",VLOOKUP(C1265,' Disaggregation - Section E '!A$313:O876,15,0)),"")</f>
        <v>IDR-01125</v>
      </c>
      <c r="N1265" s="387"/>
      <c r="O1265" s="387"/>
      <c r="P1265" s="387" t="str">
        <f ca="1">IFERROR(IF(VLOOKUP(C1265,' Disaggregation - Section E '!A$313:R580,18,0)=0,"",VLOOKUP(C1265,' Disaggregation - Section E '!A$313:R876,18,0)),"")</f>
        <v>a1LDm000000Cb0tMAC</v>
      </c>
    </row>
    <row r="1266" spans="1:16">
      <c r="A1266" s="387" t="b">
        <f t="shared" ca="1" si="161"/>
        <v>0</v>
      </c>
      <c r="B1266" s="387"/>
      <c r="C1266" s="404" t="str">
        <f ca="1">IF(COUNTA(O$1002:O1266)=1,"",OFFSET(C1266,-COUNTA(O$1002:O1266)+1,0))</f>
        <v>a1VDm000000PgBbMAK</v>
      </c>
      <c r="D1266" s="392"/>
      <c r="E1266" s="389" t="str">
        <f ca="1">IFERROR(IF(VLOOKUP(C1266,' Disaggregation - Section E '!A$313:J877,7,0)="","",VLOOKUP(C1266,' Disaggregation - Section E '!A$313:J877,7,0)*100),"")</f>
        <v/>
      </c>
      <c r="F1266" s="387"/>
      <c r="G1266" s="390" t="str">
        <f ca="1">IFERROR(IF(VLOOKUP(C1266,' Disaggregation - Section E '!A$313:J877,6,0)="","",VLOOKUP(C1266,' Disaggregation - Section E '!A$313:J877,6,0)),"")</f>
        <v/>
      </c>
      <c r="H1266" s="390" t="str">
        <f ca="1">IFERROR(IF(INDEX(' Disaggregation - Section E '!F$313:F877,MATCH(C1266,' Disaggregation - Section E '!A$313:A877,0)+1,1)&lt;&gt;0,INDEX(' Disaggregation - Section E '!F$313:F877,MATCH(C1266,' Disaggregation - Section E '!A$313:A877,0)+1,1),""),"")</f>
        <v/>
      </c>
      <c r="I1266" s="391" t="str">
        <f ca="1">IFERROR(IF(VLOOKUP(C1266,' Disaggregation - Section E '!A$313:J877,8,0)=0,"",VLOOKUP(C1266,' Disaggregation - Section E '!A$313:J877,8,0)),"")</f>
        <v/>
      </c>
      <c r="J1266" s="391" t="str">
        <f ca="1">IFERROR(IF(VLOOKUP(C1266,' Disaggregation - Section E '!A$313:J877,9,0)="","",VLOOKUP(C1266,' Disaggregation - Section E '!A$313:J877,9,0)),"")</f>
        <v/>
      </c>
      <c r="K1266" s="387" t="str">
        <f ca="1">IFERROR(VLOOKUP(C1266,' Disaggregation - Section E '!A$313:J877,3,0),"")</f>
        <v>HIV O-16b Percentage of transgender people who avoid health care because of stigma and discrimination</v>
      </c>
      <c r="L1266" s="391" t="str">
        <f ca="1">IFERROR(IF(VLOOKUP(C1266,' Disaggregation - Section E '!A$313:J877,10,0)="","",VLOOKUP(C1266,' Disaggregation - Section E '!A$313:J877,10,0)),"")</f>
        <v/>
      </c>
      <c r="M1266" s="388" t="str">
        <f ca="1">IFERROR(IF(VLOOKUP(C1266,' Disaggregation - Section E '!A$313:O581,15,0)=0,"",VLOOKUP(C1266,' Disaggregation - Section E '!A$313:O877,15,0)),"")</f>
        <v/>
      </c>
      <c r="N1266" s="387"/>
      <c r="O1266" s="387"/>
      <c r="P1266" s="387" t="str">
        <f ca="1">IFERROR(IF(VLOOKUP(C1266,' Disaggregation - Section E '!A$313:R581,18,0)=0,"",VLOOKUP(C1266,' Disaggregation - Section E '!A$313:R877,18,0)),"")</f>
        <v/>
      </c>
    </row>
    <row r="1267" spans="1:16">
      <c r="A1267" s="387" t="b">
        <f t="shared" ca="1" si="161"/>
        <v>0</v>
      </c>
      <c r="B1267" s="387"/>
      <c r="C1267" s="404" t="str">
        <f ca="1">IF(COUNTA(O$1002:O1267)=1,"",OFFSET(C1267,-COUNTA(O$1002:O1267)+1,0))</f>
        <v>a1VDm000000PgBcMAK</v>
      </c>
      <c r="D1267" s="392"/>
      <c r="E1267" s="389" t="str">
        <f ca="1">IFERROR(IF(VLOOKUP(C1267,' Disaggregation - Section E '!A$313:J878,7,0)="","",VLOOKUP(C1267,' Disaggregation - Section E '!A$313:J878,7,0)*100),"")</f>
        <v/>
      </c>
      <c r="F1267" s="387"/>
      <c r="G1267" s="390" t="str">
        <f ca="1">IFERROR(IF(VLOOKUP(C1267,' Disaggregation - Section E '!A$313:J878,6,0)="","",VLOOKUP(C1267,' Disaggregation - Section E '!A$313:J878,6,0)),"")</f>
        <v/>
      </c>
      <c r="H1267" s="390" t="str">
        <f ca="1">IFERROR(IF(INDEX(' Disaggregation - Section E '!F$313:F878,MATCH(C1267,' Disaggregation - Section E '!A$313:A878,0)+1,1)&lt;&gt;0,INDEX(' Disaggregation - Section E '!F$313:F878,MATCH(C1267,' Disaggregation - Section E '!A$313:A878,0)+1,1),""),"")</f>
        <v/>
      </c>
      <c r="I1267" s="391" t="str">
        <f ca="1">IFERROR(IF(VLOOKUP(C1267,' Disaggregation - Section E '!A$313:J878,8,0)=0,"",VLOOKUP(C1267,' Disaggregation - Section E '!A$313:J878,8,0)),"")</f>
        <v/>
      </c>
      <c r="J1267" s="391" t="str">
        <f ca="1">IFERROR(IF(VLOOKUP(C1267,' Disaggregation - Section E '!A$313:J878,9,0)="","",VLOOKUP(C1267,' Disaggregation - Section E '!A$313:J878,9,0)),"")</f>
        <v/>
      </c>
      <c r="K1267" s="387" t="str">
        <f ca="1">IFERROR(VLOOKUP(C1267,' Disaggregation - Section E '!A$313:J878,3,0),"")</f>
        <v>HIV O-16b Percentage of transgender people who avoid health care because of stigma and discrimination</v>
      </c>
      <c r="L1267" s="391" t="str">
        <f ca="1">IFERROR(IF(VLOOKUP(C1267,' Disaggregation - Section E '!A$313:J878,10,0)="","",VLOOKUP(C1267,' Disaggregation - Section E '!A$313:J878,10,0)),"")</f>
        <v/>
      </c>
      <c r="M1267" s="388" t="str">
        <f ca="1">IFERROR(IF(VLOOKUP(C1267,' Disaggregation - Section E '!A$313:O582,15,0)=0,"",VLOOKUP(C1267,' Disaggregation - Section E '!A$313:O878,15,0)),"")</f>
        <v/>
      </c>
      <c r="N1267" s="387"/>
      <c r="O1267" s="387"/>
      <c r="P1267" s="387" t="str">
        <f ca="1">IFERROR(IF(VLOOKUP(C1267,' Disaggregation - Section E '!A$313:R582,18,0)=0,"",VLOOKUP(C1267,' Disaggregation - Section E '!A$313:R878,18,0)),"")</f>
        <v/>
      </c>
    </row>
    <row r="1268" spans="1:16">
      <c r="A1268" s="387" t="b">
        <f t="shared" ca="1" si="161"/>
        <v>0</v>
      </c>
      <c r="B1268" s="387"/>
      <c r="C1268" s="404" t="str">
        <f ca="1">IF(COUNTA(O$1002:O1268)=1,"",OFFSET(C1268,-COUNTA(O$1002:O1268)+1,0))</f>
        <v>a1VDm000000PgBdMAK</v>
      </c>
      <c r="D1268" s="392"/>
      <c r="E1268" s="389" t="str">
        <f ca="1">IFERROR(IF(VLOOKUP(C1268,' Disaggregation - Section E '!A$313:J879,7,0)="","",VLOOKUP(C1268,' Disaggregation - Section E '!A$313:J879,7,0)*100),"")</f>
        <v/>
      </c>
      <c r="F1268" s="387"/>
      <c r="G1268" s="390" t="str">
        <f ca="1">IFERROR(IF(VLOOKUP(C1268,' Disaggregation - Section E '!A$313:J879,6,0)="","",VLOOKUP(C1268,' Disaggregation - Section E '!A$313:J879,6,0)),"")</f>
        <v/>
      </c>
      <c r="H1268" s="390" t="str">
        <f ca="1">IFERROR(IF(INDEX(' Disaggregation - Section E '!F$313:F879,MATCH(C1268,' Disaggregation - Section E '!A$313:A879,0)+1,1)&lt;&gt;0,INDEX(' Disaggregation - Section E '!F$313:F879,MATCH(C1268,' Disaggregation - Section E '!A$313:A879,0)+1,1),""),"")</f>
        <v/>
      </c>
      <c r="I1268" s="391" t="str">
        <f ca="1">IFERROR(IF(VLOOKUP(C1268,' Disaggregation - Section E '!A$313:J879,8,0)=0,"",VLOOKUP(C1268,' Disaggregation - Section E '!A$313:J879,8,0)),"")</f>
        <v/>
      </c>
      <c r="J1268" s="391" t="str">
        <f ca="1">IFERROR(IF(VLOOKUP(C1268,' Disaggregation - Section E '!A$313:J879,9,0)="","",VLOOKUP(C1268,' Disaggregation - Section E '!A$313:J879,9,0)),"")</f>
        <v/>
      </c>
      <c r="K1268" s="387" t="str">
        <f ca="1">IFERROR(VLOOKUP(C1268,' Disaggregation - Section E '!A$313:J879,3,0),"")</f>
        <v>HIV O-16b Percentage of transgender people who avoid health care because of stigma and discrimination</v>
      </c>
      <c r="L1268" s="391" t="str">
        <f ca="1">IFERROR(IF(VLOOKUP(C1268,' Disaggregation - Section E '!A$313:J879,10,0)="","",VLOOKUP(C1268,' Disaggregation - Section E '!A$313:J879,10,0)),"")</f>
        <v/>
      </c>
      <c r="M1268" s="388" t="str">
        <f ca="1">IFERROR(IF(VLOOKUP(C1268,' Disaggregation - Section E '!A$313:O583,15,0)=0,"",VLOOKUP(C1268,' Disaggregation - Section E '!A$313:O879,15,0)),"")</f>
        <v/>
      </c>
      <c r="N1268" s="387"/>
      <c r="O1268" s="387"/>
      <c r="P1268" s="387" t="str">
        <f ca="1">IFERROR(IF(VLOOKUP(C1268,' Disaggregation - Section E '!A$313:R583,18,0)=0,"",VLOOKUP(C1268,' Disaggregation - Section E '!A$313:R879,18,0)),"")</f>
        <v/>
      </c>
    </row>
    <row r="1269" spans="1:16">
      <c r="A1269" s="387" t="b">
        <f t="shared" ca="1" si="161"/>
        <v>0</v>
      </c>
      <c r="B1269" s="387"/>
      <c r="C1269" s="404" t="str">
        <f ca="1">IF(COUNTA(O$1002:O1269)=1,"",OFFSET(C1269,-COUNTA(O$1002:O1269)+1,0))</f>
        <v>a1VDm000000PgBeMAK</v>
      </c>
      <c r="D1269" s="392"/>
      <c r="E1269" s="389" t="str">
        <f ca="1">IFERROR(IF(VLOOKUP(C1269,' Disaggregation - Section E '!A$313:J880,7,0)="","",VLOOKUP(C1269,' Disaggregation - Section E '!A$313:J880,7,0)*100),"")</f>
        <v/>
      </c>
      <c r="F1269" s="387"/>
      <c r="G1269" s="390" t="str">
        <f ca="1">IFERROR(IF(VLOOKUP(C1269,' Disaggregation - Section E '!A$313:J880,6,0)="","",VLOOKUP(C1269,' Disaggregation - Section E '!A$313:J880,6,0)),"")</f>
        <v/>
      </c>
      <c r="H1269" s="390" t="str">
        <f ca="1">IFERROR(IF(INDEX(' Disaggregation - Section E '!F$313:F880,MATCH(C1269,' Disaggregation - Section E '!A$313:A880,0)+1,1)&lt;&gt;0,INDEX(' Disaggregation - Section E '!F$313:F880,MATCH(C1269,' Disaggregation - Section E '!A$313:A880,0)+1,1),""),"")</f>
        <v/>
      </c>
      <c r="I1269" s="391" t="str">
        <f ca="1">IFERROR(IF(VLOOKUP(C1269,' Disaggregation - Section E '!A$313:J880,8,0)=0,"",VLOOKUP(C1269,' Disaggregation - Section E '!A$313:J880,8,0)),"")</f>
        <v/>
      </c>
      <c r="J1269" s="391" t="str">
        <f ca="1">IFERROR(IF(VLOOKUP(C1269,' Disaggregation - Section E '!A$313:J880,9,0)="","",VLOOKUP(C1269,' Disaggregation - Section E '!A$313:J880,9,0)),"")</f>
        <v/>
      </c>
      <c r="K1269" s="387" t="str">
        <f ca="1">IFERROR(VLOOKUP(C1269,' Disaggregation - Section E '!A$313:J880,3,0),"")</f>
        <v>HIV O-16b Percentage of transgender people who avoid health care because of stigma and discrimination</v>
      </c>
      <c r="L1269" s="391" t="str">
        <f ca="1">IFERROR(IF(VLOOKUP(C1269,' Disaggregation - Section E '!A$313:J880,10,0)="","",VLOOKUP(C1269,' Disaggregation - Section E '!A$313:J880,10,0)),"")</f>
        <v/>
      </c>
      <c r="M1269" s="388" t="str">
        <f ca="1">IFERROR(IF(VLOOKUP(C1269,' Disaggregation - Section E '!A$313:O584,15,0)=0,"",VLOOKUP(C1269,' Disaggregation - Section E '!A$313:O880,15,0)),"")</f>
        <v/>
      </c>
      <c r="N1269" s="387"/>
      <c r="O1269" s="387"/>
      <c r="P1269" s="387" t="str">
        <f ca="1">IFERROR(IF(VLOOKUP(C1269,' Disaggregation - Section E '!A$313:R584,18,0)=0,"",VLOOKUP(C1269,' Disaggregation - Section E '!A$313:R880,18,0)),"")</f>
        <v/>
      </c>
    </row>
    <row r="1270" spans="1:16">
      <c r="A1270" s="387" t="b">
        <f t="shared" ca="1" si="161"/>
        <v>0</v>
      </c>
      <c r="B1270" s="387"/>
      <c r="C1270" s="404" t="str">
        <f ca="1">IF(COUNTA(O$1002:O1270)=1,"",OFFSET(C1270,-COUNTA(O$1002:O1270)+1,0))</f>
        <v>a1VDm000000PgBfMAK</v>
      </c>
      <c r="D1270" s="392"/>
      <c r="E1270" s="389" t="str">
        <f ca="1">IFERROR(IF(VLOOKUP(C1270,' Disaggregation - Section E '!A$313:J881,7,0)="","",VLOOKUP(C1270,' Disaggregation - Section E '!A$313:J881,7,0)*100),"")</f>
        <v/>
      </c>
      <c r="F1270" s="387"/>
      <c r="G1270" s="390" t="str">
        <f ca="1">IFERROR(IF(VLOOKUP(C1270,' Disaggregation - Section E '!A$313:J881,6,0)="","",VLOOKUP(C1270,' Disaggregation - Section E '!A$313:J881,6,0)),"")</f>
        <v/>
      </c>
      <c r="H1270" s="390" t="str">
        <f ca="1">IFERROR(IF(INDEX(' Disaggregation - Section E '!F$313:F881,MATCH(C1270,' Disaggregation - Section E '!A$313:A881,0)+1,1)&lt;&gt;0,INDEX(' Disaggregation - Section E '!F$313:F881,MATCH(C1270,' Disaggregation - Section E '!A$313:A881,0)+1,1),""),"")</f>
        <v/>
      </c>
      <c r="I1270" s="391" t="str">
        <f ca="1">IFERROR(IF(VLOOKUP(C1270,' Disaggregation - Section E '!A$313:J881,8,0)=0,"",VLOOKUP(C1270,' Disaggregation - Section E '!A$313:J881,8,0)),"")</f>
        <v/>
      </c>
      <c r="J1270" s="391" t="str">
        <f ca="1">IFERROR(IF(VLOOKUP(C1270,' Disaggregation - Section E '!A$313:J881,9,0)="","",VLOOKUP(C1270,' Disaggregation - Section E '!A$313:J881,9,0)),"")</f>
        <v/>
      </c>
      <c r="K1270" s="387" t="str">
        <f ca="1">IFERROR(VLOOKUP(C1270,' Disaggregation - Section E '!A$313:J881,3,0),"")</f>
        <v>HIV O-16b Percentage of transgender people who avoid health care because of stigma and discrimination</v>
      </c>
      <c r="L1270" s="391" t="str">
        <f ca="1">IFERROR(IF(VLOOKUP(C1270,' Disaggregation - Section E '!A$313:J881,10,0)="","",VLOOKUP(C1270,' Disaggregation - Section E '!A$313:J881,10,0)),"")</f>
        <v/>
      </c>
      <c r="M1270" s="388" t="str">
        <f ca="1">IFERROR(IF(VLOOKUP(C1270,' Disaggregation - Section E '!A$313:O585,15,0)=0,"",VLOOKUP(C1270,' Disaggregation - Section E '!A$313:O881,15,0)),"")</f>
        <v/>
      </c>
      <c r="N1270" s="387"/>
      <c r="O1270" s="387"/>
      <c r="P1270" s="387" t="str">
        <f ca="1">IFERROR(IF(VLOOKUP(C1270,' Disaggregation - Section E '!A$313:R585,18,0)=0,"",VLOOKUP(C1270,' Disaggregation - Section E '!A$313:R881,18,0)),"")</f>
        <v/>
      </c>
    </row>
    <row r="1271" spans="1:16">
      <c r="A1271" s="387" t="b">
        <f t="shared" ca="1" si="161"/>
        <v>0</v>
      </c>
      <c r="B1271" s="387"/>
      <c r="C1271" s="404" t="str">
        <f ca="1">IF(COUNTA(O$1002:O1271)=1,"",OFFSET(C1271,-COUNTA(O$1002:O1271)+1,0))</f>
        <v>a1VDm000000PgBgMAK</v>
      </c>
      <c r="D1271" s="392"/>
      <c r="E1271" s="389" t="str">
        <f ca="1">IFERROR(IF(VLOOKUP(C1271,' Disaggregation - Section E '!A$313:J882,7,0)="","",VLOOKUP(C1271,' Disaggregation - Section E '!A$313:J882,7,0)*100),"")</f>
        <v/>
      </c>
      <c r="F1271" s="387"/>
      <c r="G1271" s="390" t="str">
        <f ca="1">IFERROR(IF(VLOOKUP(C1271,' Disaggregation - Section E '!A$313:J882,6,0)="","",VLOOKUP(C1271,' Disaggregation - Section E '!A$313:J882,6,0)),"")</f>
        <v/>
      </c>
      <c r="H1271" s="390" t="str">
        <f ca="1">IFERROR(IF(INDEX(' Disaggregation - Section E '!F$313:F882,MATCH(C1271,' Disaggregation - Section E '!A$313:A882,0)+1,1)&lt;&gt;0,INDEX(' Disaggregation - Section E '!F$313:F882,MATCH(C1271,' Disaggregation - Section E '!A$313:A882,0)+1,1),""),"")</f>
        <v/>
      </c>
      <c r="I1271" s="391" t="str">
        <f ca="1">IFERROR(IF(VLOOKUP(C1271,' Disaggregation - Section E '!A$313:J882,8,0)=0,"",VLOOKUP(C1271,' Disaggregation - Section E '!A$313:J882,8,0)),"")</f>
        <v/>
      </c>
      <c r="J1271" s="391" t="str">
        <f ca="1">IFERROR(IF(VLOOKUP(C1271,' Disaggregation - Section E '!A$313:J882,9,0)="","",VLOOKUP(C1271,' Disaggregation - Section E '!A$313:J882,9,0)),"")</f>
        <v/>
      </c>
      <c r="K1271" s="387" t="str">
        <f ca="1">IFERROR(VLOOKUP(C1271,' Disaggregation - Section E '!A$313:J882,3,0),"")</f>
        <v>HIV O-16b Percentage of transgender people who avoid health care because of stigma and discrimination</v>
      </c>
      <c r="L1271" s="391" t="str">
        <f ca="1">IFERROR(IF(VLOOKUP(C1271,' Disaggregation - Section E '!A$313:J882,10,0)="","",VLOOKUP(C1271,' Disaggregation - Section E '!A$313:J882,10,0)),"")</f>
        <v/>
      </c>
      <c r="M1271" s="388" t="str">
        <f ca="1">IFERROR(IF(VLOOKUP(C1271,' Disaggregation - Section E '!A$313:O586,15,0)=0,"",VLOOKUP(C1271,' Disaggregation - Section E '!A$313:O882,15,0)),"")</f>
        <v/>
      </c>
      <c r="N1271" s="387"/>
      <c r="O1271" s="387"/>
      <c r="P1271" s="387" t="str">
        <f ca="1">IFERROR(IF(VLOOKUP(C1271,' Disaggregation - Section E '!A$313:R586,18,0)=0,"",VLOOKUP(C1271,' Disaggregation - Section E '!A$313:R882,18,0)),"")</f>
        <v/>
      </c>
    </row>
    <row r="1272" spans="1:16">
      <c r="A1272" s="387" t="b">
        <f t="shared" ca="1" si="161"/>
        <v>0</v>
      </c>
      <c r="B1272" s="387"/>
      <c r="C1272" s="404" t="str">
        <f ca="1">IF(COUNTA(O$1002:O1272)=1,"",OFFSET(C1272,-COUNTA(O$1002:O1272)+1,0))</f>
        <v>a1VDm000000PgBhMAK</v>
      </c>
      <c r="D1272" s="392"/>
      <c r="E1272" s="389" t="str">
        <f ca="1">IFERROR(IF(VLOOKUP(C1272,' Disaggregation - Section E '!A$313:J883,7,0)="","",VLOOKUP(C1272,' Disaggregation - Section E '!A$313:J883,7,0)*100),"")</f>
        <v/>
      </c>
      <c r="F1272" s="387"/>
      <c r="G1272" s="390" t="str">
        <f ca="1">IFERROR(IF(VLOOKUP(C1272,' Disaggregation - Section E '!A$313:J883,6,0)="","",VLOOKUP(C1272,' Disaggregation - Section E '!A$313:J883,6,0)),"")</f>
        <v/>
      </c>
      <c r="H1272" s="390" t="str">
        <f ca="1">IFERROR(IF(INDEX(' Disaggregation - Section E '!F$313:F883,MATCH(C1272,' Disaggregation - Section E '!A$313:A883,0)+1,1)&lt;&gt;0,INDEX(' Disaggregation - Section E '!F$313:F883,MATCH(C1272,' Disaggregation - Section E '!A$313:A883,0)+1,1),""),"")</f>
        <v/>
      </c>
      <c r="I1272" s="391" t="str">
        <f ca="1">IFERROR(IF(VLOOKUP(C1272,' Disaggregation - Section E '!A$313:J883,8,0)=0,"",VLOOKUP(C1272,' Disaggregation - Section E '!A$313:J883,8,0)),"")</f>
        <v/>
      </c>
      <c r="J1272" s="391" t="str">
        <f ca="1">IFERROR(IF(VLOOKUP(C1272,' Disaggregation - Section E '!A$313:J883,9,0)="","",VLOOKUP(C1272,' Disaggregation - Section E '!A$313:J883,9,0)),"")</f>
        <v/>
      </c>
      <c r="K1272" s="387" t="str">
        <f ca="1">IFERROR(VLOOKUP(C1272,' Disaggregation - Section E '!A$313:J883,3,0),"")</f>
        <v>HIV O-16b Percentage of transgender people who avoid health care because of stigma and discrimination</v>
      </c>
      <c r="L1272" s="391" t="str">
        <f ca="1">IFERROR(IF(VLOOKUP(C1272,' Disaggregation - Section E '!A$313:J883,10,0)="","",VLOOKUP(C1272,' Disaggregation - Section E '!A$313:J883,10,0)),"")</f>
        <v/>
      </c>
      <c r="M1272" s="388" t="str">
        <f ca="1">IFERROR(IF(VLOOKUP(C1272,' Disaggregation - Section E '!A$313:O587,15,0)=0,"",VLOOKUP(C1272,' Disaggregation - Section E '!A$313:O883,15,0)),"")</f>
        <v/>
      </c>
      <c r="N1272" s="387"/>
      <c r="O1272" s="387"/>
      <c r="P1272" s="387" t="str">
        <f ca="1">IFERROR(IF(VLOOKUP(C1272,' Disaggregation - Section E '!A$313:R587,18,0)=0,"",VLOOKUP(C1272,' Disaggregation - Section E '!A$313:R883,18,0)),"")</f>
        <v/>
      </c>
    </row>
    <row r="1273" spans="1:16">
      <c r="A1273" s="387" t="b">
        <f t="shared" ca="1" si="161"/>
        <v>0</v>
      </c>
      <c r="B1273" s="387"/>
      <c r="C1273" s="404" t="str">
        <f ca="1">IF(COUNTA(O$1002:O1273)=1,"",OFFSET(C1273,-COUNTA(O$1002:O1273)+1,0))</f>
        <v>a1VDm000000PgBiMAK</v>
      </c>
      <c r="D1273" s="392"/>
      <c r="E1273" s="389" t="str">
        <f ca="1">IFERROR(IF(VLOOKUP(C1273,' Disaggregation - Section E '!A$313:J884,7,0)="","",VLOOKUP(C1273,' Disaggregation - Section E '!A$313:J884,7,0)*100),"")</f>
        <v/>
      </c>
      <c r="F1273" s="387"/>
      <c r="G1273" s="390" t="str">
        <f ca="1">IFERROR(IF(VLOOKUP(C1273,' Disaggregation - Section E '!A$313:J884,6,0)="","",VLOOKUP(C1273,' Disaggregation - Section E '!A$313:J884,6,0)),"")</f>
        <v/>
      </c>
      <c r="H1273" s="390" t="str">
        <f ca="1">IFERROR(IF(INDEX(' Disaggregation - Section E '!F$313:F884,MATCH(C1273,' Disaggregation - Section E '!A$313:A884,0)+1,1)&lt;&gt;0,INDEX(' Disaggregation - Section E '!F$313:F884,MATCH(C1273,' Disaggregation - Section E '!A$313:A884,0)+1,1),""),"")</f>
        <v/>
      </c>
      <c r="I1273" s="391" t="str">
        <f ca="1">IFERROR(IF(VLOOKUP(C1273,' Disaggregation - Section E '!A$313:J884,8,0)=0,"",VLOOKUP(C1273,' Disaggregation - Section E '!A$313:J884,8,0)),"")</f>
        <v/>
      </c>
      <c r="J1273" s="391" t="str">
        <f ca="1">IFERROR(IF(VLOOKUP(C1273,' Disaggregation - Section E '!A$313:J884,9,0)="","",VLOOKUP(C1273,' Disaggregation - Section E '!A$313:J884,9,0)),"")</f>
        <v/>
      </c>
      <c r="K1273" s="387" t="str">
        <f ca="1">IFERROR(VLOOKUP(C1273,' Disaggregation - Section E '!A$313:J884,3,0),"")</f>
        <v>HIV O-16b Percentage of transgender people who avoid health care because of stigma and discrimination</v>
      </c>
      <c r="L1273" s="391" t="str">
        <f ca="1">IFERROR(IF(VLOOKUP(C1273,' Disaggregation - Section E '!A$313:J884,10,0)="","",VLOOKUP(C1273,' Disaggregation - Section E '!A$313:J884,10,0)),"")</f>
        <v/>
      </c>
      <c r="M1273" s="388" t="str">
        <f ca="1">IFERROR(IF(VLOOKUP(C1273,' Disaggregation - Section E '!A$313:O588,15,0)=0,"",VLOOKUP(C1273,' Disaggregation - Section E '!A$313:O884,15,0)),"")</f>
        <v/>
      </c>
      <c r="N1273" s="387"/>
      <c r="O1273" s="387"/>
      <c r="P1273" s="387" t="str">
        <f ca="1">IFERROR(IF(VLOOKUP(C1273,' Disaggregation - Section E '!A$313:R588,18,0)=0,"",VLOOKUP(C1273,' Disaggregation - Section E '!A$313:R884,18,0)),"")</f>
        <v/>
      </c>
    </row>
    <row r="1274" spans="1:16">
      <c r="A1274" s="387" t="b">
        <f t="shared" ca="1" si="161"/>
        <v>1</v>
      </c>
      <c r="B1274" s="387"/>
      <c r="C1274" s="404" t="str">
        <f ca="1">IF(COUNTA(O$1002:O1274)=1,"",OFFSET(C1274,-COUNTA(O$1002:O1274)+1,0))</f>
        <v>a1VDm000000PgBjMAK</v>
      </c>
      <c r="D1274" s="392"/>
      <c r="E1274" s="389" t="str">
        <f ca="1">IFERROR(IF(VLOOKUP(C1274,' Disaggregation - Section E '!A$313:J885,7,0)="","",VLOOKUP(C1274,' Disaggregation - Section E '!A$313:J885,7,0)*100),"")</f>
        <v/>
      </c>
      <c r="F1274" s="387"/>
      <c r="G1274" s="390" t="str">
        <f ca="1">IFERROR(IF(VLOOKUP(C1274,' Disaggregation - Section E '!A$313:J885,6,0)="","",VLOOKUP(C1274,' Disaggregation - Section E '!A$313:J885,6,0)),"")</f>
        <v/>
      </c>
      <c r="H1274" s="390" t="str">
        <f ca="1">IFERROR(IF(INDEX(' Disaggregation - Section E '!F$313:F885,MATCH(C1274,' Disaggregation - Section E '!A$313:A885,0)+1,1)&lt;&gt;0,INDEX(' Disaggregation - Section E '!F$313:F885,MATCH(C1274,' Disaggregation - Section E '!A$313:A885,0)+1,1),""),"")</f>
        <v/>
      </c>
      <c r="I1274" s="391" t="str">
        <f ca="1">IFERROR(IF(VLOOKUP(C1274,' Disaggregation - Section E '!A$313:J885,8,0)=0,"",VLOOKUP(C1274,' Disaggregation - Section E '!A$313:J885,8,0)),"")</f>
        <v/>
      </c>
      <c r="J1274" s="391" t="str">
        <f ca="1">IFERROR(IF(VLOOKUP(C1274,' Disaggregation - Section E '!A$313:J885,9,0)="","",VLOOKUP(C1274,' Disaggregation - Section E '!A$313:J885,9,0)),"")</f>
        <v/>
      </c>
      <c r="K1274" s="387" t="str">
        <f ca="1">IFERROR(VLOOKUP(C1274,' Disaggregation - Section E '!A$313:J885,3,0),"")</f>
        <v>HIV O-16c Percentage of sex workers who avoid health care because of stigma and discrimination</v>
      </c>
      <c r="L1274" s="391" t="str">
        <f ca="1">IFERROR(IF(VLOOKUP(C1274,' Disaggregation - Section E '!A$313:J885,10,0)="","",VLOOKUP(C1274,' Disaggregation - Section E '!A$313:J885,10,0)),"")</f>
        <v/>
      </c>
      <c r="M1274" s="388" t="str">
        <f ca="1">IFERROR(IF(VLOOKUP(C1274,' Disaggregation - Section E '!A$313:O589,15,0)=0,"",VLOOKUP(C1274,' Disaggregation - Section E '!A$313:O885,15,0)),"")</f>
        <v>IDR-01131</v>
      </c>
      <c r="N1274" s="387"/>
      <c r="O1274" s="387"/>
      <c r="P1274" s="387" t="str">
        <f ca="1">IFERROR(IF(VLOOKUP(C1274,' Disaggregation - Section E '!A$313:R589,18,0)=0,"",VLOOKUP(C1274,' Disaggregation - Section E '!A$313:R885,18,0)),"")</f>
        <v>a1LDm000000Cb0zMAC</v>
      </c>
    </row>
    <row r="1275" spans="1:16">
      <c r="A1275" s="387" t="b">
        <f t="shared" ca="1" si="161"/>
        <v>1</v>
      </c>
      <c r="B1275" s="387"/>
      <c r="C1275" s="404" t="str">
        <f ca="1">IF(COUNTA(O$1002:O1275)=1,"",OFFSET(C1275,-COUNTA(O$1002:O1275)+1,0))</f>
        <v>a1VDm000000PgBkMAK</v>
      </c>
      <c r="D1275" s="392"/>
      <c r="E1275" s="389" t="str">
        <f ca="1">IFERROR(IF(VLOOKUP(C1275,' Disaggregation - Section E '!A$313:J886,7,0)="","",VLOOKUP(C1275,' Disaggregation - Section E '!A$313:J886,7,0)*100),"")</f>
        <v/>
      </c>
      <c r="F1275" s="387"/>
      <c r="G1275" s="390" t="str">
        <f ca="1">IFERROR(IF(VLOOKUP(C1275,' Disaggregation - Section E '!A$313:J886,6,0)="","",VLOOKUP(C1275,' Disaggregation - Section E '!A$313:J886,6,0)),"")</f>
        <v/>
      </c>
      <c r="H1275" s="390" t="str">
        <f ca="1">IFERROR(IF(INDEX(' Disaggregation - Section E '!F$313:F886,MATCH(C1275,' Disaggregation - Section E '!A$313:A886,0)+1,1)&lt;&gt;0,INDEX(' Disaggregation - Section E '!F$313:F886,MATCH(C1275,' Disaggregation - Section E '!A$313:A886,0)+1,1),""),"")</f>
        <v/>
      </c>
      <c r="I1275" s="391" t="str">
        <f ca="1">IFERROR(IF(VLOOKUP(C1275,' Disaggregation - Section E '!A$313:J886,8,0)=0,"",VLOOKUP(C1275,' Disaggregation - Section E '!A$313:J886,8,0)),"")</f>
        <v/>
      </c>
      <c r="J1275" s="391" t="str">
        <f ca="1">IFERROR(IF(VLOOKUP(C1275,' Disaggregation - Section E '!A$313:J886,9,0)="","",VLOOKUP(C1275,' Disaggregation - Section E '!A$313:J886,9,0)),"")</f>
        <v/>
      </c>
      <c r="K1275" s="387" t="str">
        <f ca="1">IFERROR(VLOOKUP(C1275,' Disaggregation - Section E '!A$313:J886,3,0),"")</f>
        <v>HIV O-16c Percentage of sex workers who avoid health care because of stigma and discrimination</v>
      </c>
      <c r="L1275" s="391" t="str">
        <f ca="1">IFERROR(IF(VLOOKUP(C1275,' Disaggregation - Section E '!A$313:J886,10,0)="","",VLOOKUP(C1275,' Disaggregation - Section E '!A$313:J886,10,0)),"")</f>
        <v/>
      </c>
      <c r="M1275" s="388" t="str">
        <f ca="1">IFERROR(IF(VLOOKUP(C1275,' Disaggregation - Section E '!A$313:O590,15,0)=0,"",VLOOKUP(C1275,' Disaggregation - Section E '!A$313:O886,15,0)),"")</f>
        <v>IDR-01130</v>
      </c>
      <c r="N1275" s="387"/>
      <c r="O1275" s="387"/>
      <c r="P1275" s="387" t="str">
        <f ca="1">IFERROR(IF(VLOOKUP(C1275,' Disaggregation - Section E '!A$313:R590,18,0)=0,"",VLOOKUP(C1275,' Disaggregation - Section E '!A$313:R886,18,0)),"")</f>
        <v>a1LDm000000Cb0yMAC</v>
      </c>
    </row>
    <row r="1276" spans="1:16">
      <c r="A1276" s="387" t="b">
        <f t="shared" ca="1" si="161"/>
        <v>1</v>
      </c>
      <c r="B1276" s="387"/>
      <c r="C1276" s="404" t="str">
        <f ca="1">IF(COUNTA(O$1002:O1276)=1,"",OFFSET(C1276,-COUNTA(O$1002:O1276)+1,0))</f>
        <v>a1VDm000000PgBlMAK</v>
      </c>
      <c r="D1276" s="392"/>
      <c r="E1276" s="389" t="str">
        <f ca="1">IFERROR(IF(VLOOKUP(C1276,' Disaggregation - Section E '!A$313:J887,7,0)="","",VLOOKUP(C1276,' Disaggregation - Section E '!A$313:J887,7,0)*100),"")</f>
        <v/>
      </c>
      <c r="F1276" s="387"/>
      <c r="G1276" s="390" t="str">
        <f ca="1">IFERROR(IF(VLOOKUP(C1276,' Disaggregation - Section E '!A$313:J887,6,0)="","",VLOOKUP(C1276,' Disaggregation - Section E '!A$313:J887,6,0)),"")</f>
        <v/>
      </c>
      <c r="H1276" s="390" t="str">
        <f ca="1">IFERROR(IF(INDEX(' Disaggregation - Section E '!F$313:F887,MATCH(C1276,' Disaggregation - Section E '!A$313:A887,0)+1,1)&lt;&gt;0,INDEX(' Disaggregation - Section E '!F$313:F887,MATCH(C1276,' Disaggregation - Section E '!A$313:A887,0)+1,1),""),"")</f>
        <v/>
      </c>
      <c r="I1276" s="391" t="str">
        <f ca="1">IFERROR(IF(VLOOKUP(C1276,' Disaggregation - Section E '!A$313:J887,8,0)=0,"",VLOOKUP(C1276,' Disaggregation - Section E '!A$313:J887,8,0)),"")</f>
        <v/>
      </c>
      <c r="J1276" s="391" t="str">
        <f ca="1">IFERROR(IF(VLOOKUP(C1276,' Disaggregation - Section E '!A$313:J887,9,0)="","",VLOOKUP(C1276,' Disaggregation - Section E '!A$313:J887,9,0)),"")</f>
        <v/>
      </c>
      <c r="K1276" s="387" t="str">
        <f ca="1">IFERROR(VLOOKUP(C1276,' Disaggregation - Section E '!A$313:J887,3,0),"")</f>
        <v>HIV O-16c Percentage of sex workers who avoid health care because of stigma and discrimination</v>
      </c>
      <c r="L1276" s="391" t="str">
        <f ca="1">IFERROR(IF(VLOOKUP(C1276,' Disaggregation - Section E '!A$313:J887,10,0)="","",VLOOKUP(C1276,' Disaggregation - Section E '!A$313:J887,10,0)),"")</f>
        <v/>
      </c>
      <c r="M1276" s="388" t="str">
        <f ca="1">IFERROR(IF(VLOOKUP(C1276,' Disaggregation - Section E '!A$313:O591,15,0)=0,"",VLOOKUP(C1276,' Disaggregation - Section E '!A$313:O887,15,0)),"")</f>
        <v>IDR-01129</v>
      </c>
      <c r="N1276" s="387"/>
      <c r="O1276" s="387"/>
      <c r="P1276" s="387" t="str">
        <f ca="1">IFERROR(IF(VLOOKUP(C1276,' Disaggregation - Section E '!A$313:R591,18,0)=0,"",VLOOKUP(C1276,' Disaggregation - Section E '!A$313:R887,18,0)),"")</f>
        <v>a1LDm000000Cb0xMAC</v>
      </c>
    </row>
    <row r="1277" spans="1:16">
      <c r="A1277" s="387" t="b">
        <f t="shared" ca="1" si="161"/>
        <v>1</v>
      </c>
      <c r="B1277" s="387"/>
      <c r="C1277" s="404" t="str">
        <f ca="1">IF(COUNTA(O$1002:O1277)=1,"",OFFSET(C1277,-COUNTA(O$1002:O1277)+1,0))</f>
        <v>a1VDm000000PgBmMAK</v>
      </c>
      <c r="D1277" s="392"/>
      <c r="E1277" s="389" t="str">
        <f ca="1">IFERROR(IF(VLOOKUP(C1277,' Disaggregation - Section E '!A$313:J888,7,0)="","",VLOOKUP(C1277,' Disaggregation - Section E '!A$313:J888,7,0)*100),"")</f>
        <v/>
      </c>
      <c r="F1277" s="387"/>
      <c r="G1277" s="390" t="str">
        <f ca="1">IFERROR(IF(VLOOKUP(C1277,' Disaggregation - Section E '!A$313:J888,6,0)="","",VLOOKUP(C1277,' Disaggregation - Section E '!A$313:J888,6,0)),"")</f>
        <v/>
      </c>
      <c r="H1277" s="390" t="str">
        <f ca="1">IFERROR(IF(INDEX(' Disaggregation - Section E '!F$313:F888,MATCH(C1277,' Disaggregation - Section E '!A$313:A888,0)+1,1)&lt;&gt;0,INDEX(' Disaggregation - Section E '!F$313:F888,MATCH(C1277,' Disaggregation - Section E '!A$313:A888,0)+1,1),""),"")</f>
        <v/>
      </c>
      <c r="I1277" s="391" t="str">
        <f ca="1">IFERROR(IF(VLOOKUP(C1277,' Disaggregation - Section E '!A$313:J888,8,0)=0,"",VLOOKUP(C1277,' Disaggregation - Section E '!A$313:J888,8,0)),"")</f>
        <v/>
      </c>
      <c r="J1277" s="391" t="str">
        <f ca="1">IFERROR(IF(VLOOKUP(C1277,' Disaggregation - Section E '!A$313:J888,9,0)="","",VLOOKUP(C1277,' Disaggregation - Section E '!A$313:J888,9,0)),"")</f>
        <v/>
      </c>
      <c r="K1277" s="387" t="str">
        <f ca="1">IFERROR(VLOOKUP(C1277,' Disaggregation - Section E '!A$313:J888,3,0),"")</f>
        <v>HIV O-16c Percentage of sex workers who avoid health care because of stigma and discrimination</v>
      </c>
      <c r="L1277" s="391" t="str">
        <f ca="1">IFERROR(IF(VLOOKUP(C1277,' Disaggregation - Section E '!A$313:J888,10,0)="","",VLOOKUP(C1277,' Disaggregation - Section E '!A$313:J888,10,0)),"")</f>
        <v/>
      </c>
      <c r="M1277" s="388" t="str">
        <f ca="1">IFERROR(IF(VLOOKUP(C1277,' Disaggregation - Section E '!A$313:O592,15,0)=0,"",VLOOKUP(C1277,' Disaggregation - Section E '!A$313:O888,15,0)),"")</f>
        <v>IDR-01128</v>
      </c>
      <c r="N1277" s="387"/>
      <c r="O1277" s="387"/>
      <c r="P1277" s="387" t="str">
        <f ca="1">IFERROR(IF(VLOOKUP(C1277,' Disaggregation - Section E '!A$313:R592,18,0)=0,"",VLOOKUP(C1277,' Disaggregation - Section E '!A$313:R888,18,0)),"")</f>
        <v>a1LDm000000Cb0wMAC</v>
      </c>
    </row>
    <row r="1278" spans="1:16">
      <c r="A1278" s="387" t="b">
        <f t="shared" ca="1" si="161"/>
        <v>1</v>
      </c>
      <c r="B1278" s="387"/>
      <c r="C1278" s="404" t="str">
        <f ca="1">IF(COUNTA(O$1002:O1278)=1,"",OFFSET(C1278,-COUNTA(O$1002:O1278)+1,0))</f>
        <v>a1VDm000000PgBnMAK</v>
      </c>
      <c r="D1278" s="392"/>
      <c r="E1278" s="389" t="str">
        <f ca="1">IFERROR(IF(VLOOKUP(C1278,' Disaggregation - Section E '!A$313:J889,7,0)="","",VLOOKUP(C1278,' Disaggregation - Section E '!A$313:J889,7,0)*100),"")</f>
        <v/>
      </c>
      <c r="F1278" s="387"/>
      <c r="G1278" s="390" t="str">
        <f ca="1">IFERROR(IF(VLOOKUP(C1278,' Disaggregation - Section E '!A$313:J889,6,0)="","",VLOOKUP(C1278,' Disaggregation - Section E '!A$313:J889,6,0)),"")</f>
        <v/>
      </c>
      <c r="H1278" s="390" t="str">
        <f ca="1">IFERROR(IF(INDEX(' Disaggregation - Section E '!F$313:F889,MATCH(C1278,' Disaggregation - Section E '!A$313:A889,0)+1,1)&lt;&gt;0,INDEX(' Disaggregation - Section E '!F$313:F889,MATCH(C1278,' Disaggregation - Section E '!A$313:A889,0)+1,1),""),"")</f>
        <v/>
      </c>
      <c r="I1278" s="391" t="str">
        <f ca="1">IFERROR(IF(VLOOKUP(C1278,' Disaggregation - Section E '!A$313:J889,8,0)=0,"",VLOOKUP(C1278,' Disaggregation - Section E '!A$313:J889,8,0)),"")</f>
        <v/>
      </c>
      <c r="J1278" s="391" t="str">
        <f ca="1">IFERROR(IF(VLOOKUP(C1278,' Disaggregation - Section E '!A$313:J889,9,0)="","",VLOOKUP(C1278,' Disaggregation - Section E '!A$313:J889,9,0)),"")</f>
        <v/>
      </c>
      <c r="K1278" s="387" t="str">
        <f ca="1">IFERROR(VLOOKUP(C1278,' Disaggregation - Section E '!A$313:J889,3,0),"")</f>
        <v>HIV O-16c Percentage of sex workers who avoid health care because of stigma and discrimination</v>
      </c>
      <c r="L1278" s="391" t="str">
        <f ca="1">IFERROR(IF(VLOOKUP(C1278,' Disaggregation - Section E '!A$313:J889,10,0)="","",VLOOKUP(C1278,' Disaggregation - Section E '!A$313:J889,10,0)),"")</f>
        <v/>
      </c>
      <c r="M1278" s="388" t="str">
        <f ca="1">IFERROR(IF(VLOOKUP(C1278,' Disaggregation - Section E '!A$313:O593,15,0)=0,"",VLOOKUP(C1278,' Disaggregation - Section E '!A$313:O889,15,0)),"")</f>
        <v>IDR-01127</v>
      </c>
      <c r="N1278" s="387"/>
      <c r="O1278" s="387"/>
      <c r="P1278" s="387" t="str">
        <f ca="1">IFERROR(IF(VLOOKUP(C1278,' Disaggregation - Section E '!A$313:R593,18,0)=0,"",VLOOKUP(C1278,' Disaggregation - Section E '!A$313:R889,18,0)),"")</f>
        <v>a1LDm000000Cb0vMAC</v>
      </c>
    </row>
    <row r="1279" spans="1:16">
      <c r="A1279" s="387" t="b">
        <f t="shared" ca="1" si="161"/>
        <v>0</v>
      </c>
      <c r="B1279" s="387"/>
      <c r="C1279" s="404" t="str">
        <f ca="1">IF(COUNTA(O$1002:O1279)=1,"",OFFSET(C1279,-COUNTA(O$1002:O1279)+1,0))</f>
        <v>a1VDm000000PgBoMAK</v>
      </c>
      <c r="D1279" s="392"/>
      <c r="E1279" s="389" t="str">
        <f ca="1">IFERROR(IF(VLOOKUP(C1279,' Disaggregation - Section E '!A$313:J890,7,0)="","",VLOOKUP(C1279,' Disaggregation - Section E '!A$313:J890,7,0)*100),"")</f>
        <v/>
      </c>
      <c r="F1279" s="387"/>
      <c r="G1279" s="390" t="str">
        <f ca="1">IFERROR(IF(VLOOKUP(C1279,' Disaggregation - Section E '!A$313:J890,6,0)="","",VLOOKUP(C1279,' Disaggregation - Section E '!A$313:J890,6,0)),"")</f>
        <v/>
      </c>
      <c r="H1279" s="390" t="str">
        <f ca="1">IFERROR(IF(INDEX(' Disaggregation - Section E '!F$313:F890,MATCH(C1279,' Disaggregation - Section E '!A$313:A890,0)+1,1)&lt;&gt;0,INDEX(' Disaggregation - Section E '!F$313:F890,MATCH(C1279,' Disaggregation - Section E '!A$313:A890,0)+1,1),""),"")</f>
        <v/>
      </c>
      <c r="I1279" s="391" t="str">
        <f ca="1">IFERROR(IF(VLOOKUP(C1279,' Disaggregation - Section E '!A$313:J890,8,0)=0,"",VLOOKUP(C1279,' Disaggregation - Section E '!A$313:J890,8,0)),"")</f>
        <v/>
      </c>
      <c r="J1279" s="391" t="str">
        <f ca="1">IFERROR(IF(VLOOKUP(C1279,' Disaggregation - Section E '!A$313:J890,9,0)="","",VLOOKUP(C1279,' Disaggregation - Section E '!A$313:J890,9,0)),"")</f>
        <v/>
      </c>
      <c r="K1279" s="387" t="str">
        <f ca="1">IFERROR(VLOOKUP(C1279,' Disaggregation - Section E '!A$313:J890,3,0),"")</f>
        <v>HIV O-16c Percentage of sex workers who avoid health care because of stigma and discrimination</v>
      </c>
      <c r="L1279" s="391" t="str">
        <f ca="1">IFERROR(IF(VLOOKUP(C1279,' Disaggregation - Section E '!A$313:J890,10,0)="","",VLOOKUP(C1279,' Disaggregation - Section E '!A$313:J890,10,0)),"")</f>
        <v/>
      </c>
      <c r="M1279" s="388" t="str">
        <f ca="1">IFERROR(IF(VLOOKUP(C1279,' Disaggregation - Section E '!A$313:O594,15,0)=0,"",VLOOKUP(C1279,' Disaggregation - Section E '!A$313:O890,15,0)),"")</f>
        <v/>
      </c>
      <c r="N1279" s="387"/>
      <c r="O1279" s="387"/>
      <c r="P1279" s="387" t="str">
        <f ca="1">IFERROR(IF(VLOOKUP(C1279,' Disaggregation - Section E '!A$313:R594,18,0)=0,"",VLOOKUP(C1279,' Disaggregation - Section E '!A$313:R890,18,0)),"")</f>
        <v/>
      </c>
    </row>
    <row r="1280" spans="1:16">
      <c r="A1280" s="387" t="b">
        <f t="shared" ca="1" si="161"/>
        <v>0</v>
      </c>
      <c r="B1280" s="387"/>
      <c r="C1280" s="404" t="str">
        <f ca="1">IF(COUNTA(O$1002:O1280)=1,"",OFFSET(C1280,-COUNTA(O$1002:O1280)+1,0))</f>
        <v>a1VDm000000PgBpMAK</v>
      </c>
      <c r="D1280" s="392"/>
      <c r="E1280" s="389" t="str">
        <f ca="1">IFERROR(IF(VLOOKUP(C1280,' Disaggregation - Section E '!A$313:J891,7,0)="","",VLOOKUP(C1280,' Disaggregation - Section E '!A$313:J891,7,0)*100),"")</f>
        <v/>
      </c>
      <c r="F1280" s="387"/>
      <c r="G1280" s="390" t="str">
        <f ca="1">IFERROR(IF(VLOOKUP(C1280,' Disaggregation - Section E '!A$313:J891,6,0)="","",VLOOKUP(C1280,' Disaggregation - Section E '!A$313:J891,6,0)),"")</f>
        <v/>
      </c>
      <c r="H1280" s="390" t="str">
        <f ca="1">IFERROR(IF(INDEX(' Disaggregation - Section E '!F$313:F891,MATCH(C1280,' Disaggregation - Section E '!A$313:A891,0)+1,1)&lt;&gt;0,INDEX(' Disaggregation - Section E '!F$313:F891,MATCH(C1280,' Disaggregation - Section E '!A$313:A891,0)+1,1),""),"")</f>
        <v/>
      </c>
      <c r="I1280" s="391" t="str">
        <f ca="1">IFERROR(IF(VLOOKUP(C1280,' Disaggregation - Section E '!A$313:J891,8,0)=0,"",VLOOKUP(C1280,' Disaggregation - Section E '!A$313:J891,8,0)),"")</f>
        <v/>
      </c>
      <c r="J1280" s="391" t="str">
        <f ca="1">IFERROR(IF(VLOOKUP(C1280,' Disaggregation - Section E '!A$313:J891,9,0)="","",VLOOKUP(C1280,' Disaggregation - Section E '!A$313:J891,9,0)),"")</f>
        <v/>
      </c>
      <c r="K1280" s="387" t="str">
        <f ca="1">IFERROR(VLOOKUP(C1280,' Disaggregation - Section E '!A$313:J891,3,0),"")</f>
        <v>HIV O-16c Percentage of sex workers who avoid health care because of stigma and discrimination</v>
      </c>
      <c r="L1280" s="391" t="str">
        <f ca="1">IFERROR(IF(VLOOKUP(C1280,' Disaggregation - Section E '!A$313:J891,10,0)="","",VLOOKUP(C1280,' Disaggregation - Section E '!A$313:J891,10,0)),"")</f>
        <v/>
      </c>
      <c r="M1280" s="388" t="str">
        <f ca="1">IFERROR(IF(VLOOKUP(C1280,' Disaggregation - Section E '!A$313:O595,15,0)=0,"",VLOOKUP(C1280,' Disaggregation - Section E '!A$313:O891,15,0)),"")</f>
        <v/>
      </c>
      <c r="N1280" s="387"/>
      <c r="O1280" s="387"/>
      <c r="P1280" s="387" t="str">
        <f ca="1">IFERROR(IF(VLOOKUP(C1280,' Disaggregation - Section E '!A$313:R595,18,0)=0,"",VLOOKUP(C1280,' Disaggregation - Section E '!A$313:R891,18,0)),"")</f>
        <v/>
      </c>
    </row>
    <row r="1281" spans="1:16">
      <c r="A1281" s="387" t="b">
        <f t="shared" ca="1" si="161"/>
        <v>0</v>
      </c>
      <c r="B1281" s="387"/>
      <c r="C1281" s="404" t="str">
        <f ca="1">IF(COUNTA(O$1002:O1281)=1,"",OFFSET(C1281,-COUNTA(O$1002:O1281)+1,0))</f>
        <v>a1VDm000000PgBqMAK</v>
      </c>
      <c r="D1281" s="392"/>
      <c r="E1281" s="389" t="str">
        <f ca="1">IFERROR(IF(VLOOKUP(C1281,' Disaggregation - Section E '!A$313:J892,7,0)="","",VLOOKUP(C1281,' Disaggregation - Section E '!A$313:J892,7,0)*100),"")</f>
        <v/>
      </c>
      <c r="F1281" s="387"/>
      <c r="G1281" s="390" t="str">
        <f ca="1">IFERROR(IF(VLOOKUP(C1281,' Disaggregation - Section E '!A$313:J892,6,0)="","",VLOOKUP(C1281,' Disaggregation - Section E '!A$313:J892,6,0)),"")</f>
        <v/>
      </c>
      <c r="H1281" s="390" t="str">
        <f ca="1">IFERROR(IF(INDEX(' Disaggregation - Section E '!F$313:F892,MATCH(C1281,' Disaggregation - Section E '!A$313:A892,0)+1,1)&lt;&gt;0,INDEX(' Disaggregation - Section E '!F$313:F892,MATCH(C1281,' Disaggregation - Section E '!A$313:A892,0)+1,1),""),"")</f>
        <v/>
      </c>
      <c r="I1281" s="391" t="str">
        <f ca="1">IFERROR(IF(VLOOKUP(C1281,' Disaggregation - Section E '!A$313:J892,8,0)=0,"",VLOOKUP(C1281,' Disaggregation - Section E '!A$313:J892,8,0)),"")</f>
        <v/>
      </c>
      <c r="J1281" s="391" t="str">
        <f ca="1">IFERROR(IF(VLOOKUP(C1281,' Disaggregation - Section E '!A$313:J892,9,0)="","",VLOOKUP(C1281,' Disaggregation - Section E '!A$313:J892,9,0)),"")</f>
        <v/>
      </c>
      <c r="K1281" s="387" t="str">
        <f ca="1">IFERROR(VLOOKUP(C1281,' Disaggregation - Section E '!A$313:J892,3,0),"")</f>
        <v>HIV O-16c Percentage of sex workers who avoid health care because of stigma and discrimination</v>
      </c>
      <c r="L1281" s="391" t="str">
        <f ca="1">IFERROR(IF(VLOOKUP(C1281,' Disaggregation - Section E '!A$313:J892,10,0)="","",VLOOKUP(C1281,' Disaggregation - Section E '!A$313:J892,10,0)),"")</f>
        <v/>
      </c>
      <c r="M1281" s="388" t="str">
        <f ca="1">IFERROR(IF(VLOOKUP(C1281,' Disaggregation - Section E '!A$313:O596,15,0)=0,"",VLOOKUP(C1281,' Disaggregation - Section E '!A$313:O892,15,0)),"")</f>
        <v/>
      </c>
      <c r="N1281" s="387"/>
      <c r="O1281" s="387"/>
      <c r="P1281" s="387" t="str">
        <f ca="1">IFERROR(IF(VLOOKUP(C1281,' Disaggregation - Section E '!A$313:R596,18,0)=0,"",VLOOKUP(C1281,' Disaggregation - Section E '!A$313:R892,18,0)),"")</f>
        <v/>
      </c>
    </row>
    <row r="1282" spans="1:16">
      <c r="A1282" s="387" t="b">
        <f t="shared" ref="A1282:A1303" ca="1" si="162">IF(M1282&lt;&gt;"",TRUE,FALSE)</f>
        <v>0</v>
      </c>
      <c r="B1282" s="387"/>
      <c r="C1282" s="404" t="str">
        <f ca="1">IF(COUNTA(O$1002:O1282)=1,"",OFFSET(C1282,-COUNTA(O$1002:O1282)+1,0))</f>
        <v>a1VDm000000PgBrMAK</v>
      </c>
      <c r="D1282" s="392"/>
      <c r="E1282" s="389" t="str">
        <f ca="1">IFERROR(IF(VLOOKUP(C1282,' Disaggregation - Section E '!A$313:J893,7,0)="","",VLOOKUP(C1282,' Disaggregation - Section E '!A$313:J893,7,0)*100),"")</f>
        <v/>
      </c>
      <c r="F1282" s="387"/>
      <c r="G1282" s="390" t="str">
        <f ca="1">IFERROR(IF(VLOOKUP(C1282,' Disaggregation - Section E '!A$313:J893,6,0)="","",VLOOKUP(C1282,' Disaggregation - Section E '!A$313:J893,6,0)),"")</f>
        <v/>
      </c>
      <c r="H1282" s="390" t="str">
        <f ca="1">IFERROR(IF(INDEX(' Disaggregation - Section E '!F$313:F893,MATCH(C1282,' Disaggregation - Section E '!A$313:A893,0)+1,1)&lt;&gt;0,INDEX(' Disaggregation - Section E '!F$313:F893,MATCH(C1282,' Disaggregation - Section E '!A$313:A893,0)+1,1),""),"")</f>
        <v/>
      </c>
      <c r="I1282" s="391" t="str">
        <f ca="1">IFERROR(IF(VLOOKUP(C1282,' Disaggregation - Section E '!A$313:J893,8,0)=0,"",VLOOKUP(C1282,' Disaggregation - Section E '!A$313:J893,8,0)),"")</f>
        <v/>
      </c>
      <c r="J1282" s="391" t="str">
        <f ca="1">IFERROR(IF(VLOOKUP(C1282,' Disaggregation - Section E '!A$313:J893,9,0)="","",VLOOKUP(C1282,' Disaggregation - Section E '!A$313:J893,9,0)),"")</f>
        <v/>
      </c>
      <c r="K1282" s="387" t="str">
        <f ca="1">IFERROR(VLOOKUP(C1282,' Disaggregation - Section E '!A$313:J893,3,0),"")</f>
        <v>HIV O-16c Percentage of sex workers who avoid health care because of stigma and discrimination</v>
      </c>
      <c r="L1282" s="391" t="str">
        <f ca="1">IFERROR(IF(VLOOKUP(C1282,' Disaggregation - Section E '!A$313:J893,10,0)="","",VLOOKUP(C1282,' Disaggregation - Section E '!A$313:J893,10,0)),"")</f>
        <v/>
      </c>
      <c r="M1282" s="388" t="str">
        <f ca="1">IFERROR(IF(VLOOKUP(C1282,' Disaggregation - Section E '!A$313:O597,15,0)=0,"",VLOOKUP(C1282,' Disaggregation - Section E '!A$313:O893,15,0)),"")</f>
        <v/>
      </c>
      <c r="N1282" s="387"/>
      <c r="O1282" s="387"/>
      <c r="P1282" s="387" t="str">
        <f ca="1">IFERROR(IF(VLOOKUP(C1282,' Disaggregation - Section E '!A$313:R597,18,0)=0,"",VLOOKUP(C1282,' Disaggregation - Section E '!A$313:R893,18,0)),"")</f>
        <v/>
      </c>
    </row>
    <row r="1283" spans="1:16">
      <c r="A1283" s="387" t="b">
        <f t="shared" ca="1" si="162"/>
        <v>0</v>
      </c>
      <c r="B1283" s="387"/>
      <c r="C1283" s="404" t="str">
        <f ca="1">IF(COUNTA(O$1002:O1283)=1,"",OFFSET(C1283,-COUNTA(O$1002:O1283)+1,0))</f>
        <v>a1VDm000000PgBsMAK</v>
      </c>
      <c r="D1283" s="392"/>
      <c r="E1283" s="389" t="str">
        <f ca="1">IFERROR(IF(VLOOKUP(C1283,' Disaggregation - Section E '!A$313:J894,7,0)="","",VLOOKUP(C1283,' Disaggregation - Section E '!A$313:J894,7,0)*100),"")</f>
        <v/>
      </c>
      <c r="F1283" s="387"/>
      <c r="G1283" s="390" t="str">
        <f ca="1">IFERROR(IF(VLOOKUP(C1283,' Disaggregation - Section E '!A$313:J894,6,0)="","",VLOOKUP(C1283,' Disaggregation - Section E '!A$313:J894,6,0)),"")</f>
        <v/>
      </c>
      <c r="H1283" s="390" t="str">
        <f ca="1">IFERROR(IF(INDEX(' Disaggregation - Section E '!F$313:F894,MATCH(C1283,' Disaggregation - Section E '!A$313:A894,0)+1,1)&lt;&gt;0,INDEX(' Disaggregation - Section E '!F$313:F894,MATCH(C1283,' Disaggregation - Section E '!A$313:A894,0)+1,1),""),"")</f>
        <v/>
      </c>
      <c r="I1283" s="391" t="str">
        <f ca="1">IFERROR(IF(VLOOKUP(C1283,' Disaggregation - Section E '!A$313:J894,8,0)=0,"",VLOOKUP(C1283,' Disaggregation - Section E '!A$313:J894,8,0)),"")</f>
        <v/>
      </c>
      <c r="J1283" s="391" t="str">
        <f ca="1">IFERROR(IF(VLOOKUP(C1283,' Disaggregation - Section E '!A$313:J894,9,0)="","",VLOOKUP(C1283,' Disaggregation - Section E '!A$313:J894,9,0)),"")</f>
        <v/>
      </c>
      <c r="K1283" s="387" t="str">
        <f ca="1">IFERROR(VLOOKUP(C1283,' Disaggregation - Section E '!A$313:J894,3,0),"")</f>
        <v>HIV O-16c Percentage of sex workers who avoid health care because of stigma and discrimination</v>
      </c>
      <c r="L1283" s="391" t="str">
        <f ca="1">IFERROR(IF(VLOOKUP(C1283,' Disaggregation - Section E '!A$313:J894,10,0)="","",VLOOKUP(C1283,' Disaggregation - Section E '!A$313:J894,10,0)),"")</f>
        <v/>
      </c>
      <c r="M1283" s="388" t="str">
        <f ca="1">IFERROR(IF(VLOOKUP(C1283,' Disaggregation - Section E '!A$313:O598,15,0)=0,"",VLOOKUP(C1283,' Disaggregation - Section E '!A$313:O894,15,0)),"")</f>
        <v/>
      </c>
      <c r="N1283" s="387"/>
      <c r="O1283" s="387"/>
      <c r="P1283" s="387" t="str">
        <f ca="1">IFERROR(IF(VLOOKUP(C1283,' Disaggregation - Section E '!A$313:R598,18,0)=0,"",VLOOKUP(C1283,' Disaggregation - Section E '!A$313:R894,18,0)),"")</f>
        <v/>
      </c>
    </row>
    <row r="1284" spans="1:16">
      <c r="A1284" s="387" t="b">
        <f t="shared" ca="1" si="162"/>
        <v>1</v>
      </c>
      <c r="B1284" s="387"/>
      <c r="C1284" s="404" t="str">
        <f ca="1">IF(COUNTA(O$1002:O1284)=1,"",OFFSET(C1284,-COUNTA(O$1002:O1284)+1,0))</f>
        <v>a1VDm000000PgBtMAK</v>
      </c>
      <c r="D1284" s="392"/>
      <c r="E1284" s="389" t="str">
        <f ca="1">IFERROR(IF(VLOOKUP(C1284,' Disaggregation - Section E '!A$313:J895,7,0)="","",VLOOKUP(C1284,' Disaggregation - Section E '!A$313:J895,7,0)*100),"")</f>
        <v/>
      </c>
      <c r="F1284" s="387"/>
      <c r="G1284" s="390" t="str">
        <f ca="1">IFERROR(IF(VLOOKUP(C1284,' Disaggregation - Section E '!A$313:J895,6,0)="","",VLOOKUP(C1284,' Disaggregation - Section E '!A$313:J895,6,0)),"")</f>
        <v/>
      </c>
      <c r="H1284" s="390" t="str">
        <f ca="1">IFERROR(IF(INDEX(' Disaggregation - Section E '!F$313:F895,MATCH(C1284,' Disaggregation - Section E '!A$313:A895,0)+1,1)&lt;&gt;0,INDEX(' Disaggregation - Section E '!F$313:F895,MATCH(C1284,' Disaggregation - Section E '!A$313:A895,0)+1,1),""),"")</f>
        <v/>
      </c>
      <c r="I1284" s="391" t="str">
        <f ca="1">IFERROR(IF(VLOOKUP(C1284,' Disaggregation - Section E '!A$313:J895,8,0)=0,"",VLOOKUP(C1284,' Disaggregation - Section E '!A$313:J895,8,0)),"")</f>
        <v/>
      </c>
      <c r="J1284" s="391" t="str">
        <f ca="1">IFERROR(IF(VLOOKUP(C1284,' Disaggregation - Section E '!A$313:J895,9,0)="","",VLOOKUP(C1284,' Disaggregation - Section E '!A$313:J895,9,0)),"")</f>
        <v/>
      </c>
      <c r="K1284" s="387" t="str">
        <f ca="1">IFERROR(VLOOKUP(C1284,' Disaggregation - Section E '!A$313:J895,3,0),"")</f>
        <v>HIV O-16d Percentage of people who inject drugs who avoid health care because of stigma and discrimination</v>
      </c>
      <c r="L1284" s="391" t="str">
        <f ca="1">IFERROR(IF(VLOOKUP(C1284,' Disaggregation - Section E '!A$313:J895,10,0)="","",VLOOKUP(C1284,' Disaggregation - Section E '!A$313:J895,10,0)),"")</f>
        <v/>
      </c>
      <c r="M1284" s="388" t="str">
        <f ca="1">IFERROR(IF(VLOOKUP(C1284,' Disaggregation - Section E '!A$313:O599,15,0)=0,"",VLOOKUP(C1284,' Disaggregation - Section E '!A$313:O895,15,0)),"")</f>
        <v>IDR-01136</v>
      </c>
      <c r="N1284" s="387"/>
      <c r="O1284" s="387"/>
      <c r="P1284" s="387" t="str">
        <f ca="1">IFERROR(IF(VLOOKUP(C1284,' Disaggregation - Section E '!A$313:R599,18,0)=0,"",VLOOKUP(C1284,' Disaggregation - Section E '!A$313:R895,18,0)),"")</f>
        <v>a1LDm000000Cb14MAC</v>
      </c>
    </row>
    <row r="1285" spans="1:16">
      <c r="A1285" s="387" t="b">
        <f t="shared" ca="1" si="162"/>
        <v>1</v>
      </c>
      <c r="B1285" s="387"/>
      <c r="C1285" s="404" t="str">
        <f ca="1">IF(COUNTA(O$1002:O1285)=1,"",OFFSET(C1285,-COUNTA(O$1002:O1285)+1,0))</f>
        <v>a1VDm000000PgBuMAK</v>
      </c>
      <c r="D1285" s="392"/>
      <c r="E1285" s="389" t="str">
        <f ca="1">IFERROR(IF(VLOOKUP(C1285,' Disaggregation - Section E '!A$313:J896,7,0)="","",VLOOKUP(C1285,' Disaggregation - Section E '!A$313:J896,7,0)*100),"")</f>
        <v/>
      </c>
      <c r="F1285" s="387"/>
      <c r="G1285" s="390" t="str">
        <f ca="1">IFERROR(IF(VLOOKUP(C1285,' Disaggregation - Section E '!A$313:J896,6,0)="","",VLOOKUP(C1285,' Disaggregation - Section E '!A$313:J896,6,0)),"")</f>
        <v/>
      </c>
      <c r="H1285" s="390" t="str">
        <f ca="1">IFERROR(IF(INDEX(' Disaggregation - Section E '!F$313:F896,MATCH(C1285,' Disaggregation - Section E '!A$313:A896,0)+1,1)&lt;&gt;0,INDEX(' Disaggregation - Section E '!F$313:F896,MATCH(C1285,' Disaggregation - Section E '!A$313:A896,0)+1,1),""),"")</f>
        <v/>
      </c>
      <c r="I1285" s="391" t="str">
        <f ca="1">IFERROR(IF(VLOOKUP(C1285,' Disaggregation - Section E '!A$313:J896,8,0)=0,"",VLOOKUP(C1285,' Disaggregation - Section E '!A$313:J896,8,0)),"")</f>
        <v/>
      </c>
      <c r="J1285" s="391" t="str">
        <f ca="1">IFERROR(IF(VLOOKUP(C1285,' Disaggregation - Section E '!A$313:J896,9,0)="","",VLOOKUP(C1285,' Disaggregation - Section E '!A$313:J896,9,0)),"")</f>
        <v/>
      </c>
      <c r="K1285" s="387" t="str">
        <f ca="1">IFERROR(VLOOKUP(C1285,' Disaggregation - Section E '!A$313:J896,3,0),"")</f>
        <v>HIV O-16d Percentage of people who inject drugs who avoid health care because of stigma and discrimination</v>
      </c>
      <c r="L1285" s="391" t="str">
        <f ca="1">IFERROR(IF(VLOOKUP(C1285,' Disaggregation - Section E '!A$313:J896,10,0)="","",VLOOKUP(C1285,' Disaggregation - Section E '!A$313:J896,10,0)),"")</f>
        <v/>
      </c>
      <c r="M1285" s="388" t="str">
        <f ca="1">IFERROR(IF(VLOOKUP(C1285,' Disaggregation - Section E '!A$313:O600,15,0)=0,"",VLOOKUP(C1285,' Disaggregation - Section E '!A$313:O896,15,0)),"")</f>
        <v>IDR-01135</v>
      </c>
      <c r="N1285" s="387"/>
      <c r="O1285" s="387"/>
      <c r="P1285" s="387" t="str">
        <f ca="1">IFERROR(IF(VLOOKUP(C1285,' Disaggregation - Section E '!A$313:R600,18,0)=0,"",VLOOKUP(C1285,' Disaggregation - Section E '!A$313:R896,18,0)),"")</f>
        <v>a1LDm000000Cb13MAC</v>
      </c>
    </row>
    <row r="1286" spans="1:16">
      <c r="A1286" s="387" t="b">
        <f t="shared" ca="1" si="162"/>
        <v>1</v>
      </c>
      <c r="B1286" s="387"/>
      <c r="C1286" s="404" t="str">
        <f ca="1">IF(COUNTA(O$1002:O1286)=1,"",OFFSET(C1286,-COUNTA(O$1002:O1286)+1,0))</f>
        <v>a1VDm000000PgBvMAK</v>
      </c>
      <c r="D1286" s="392"/>
      <c r="E1286" s="389" t="str">
        <f ca="1">IFERROR(IF(VLOOKUP(C1286,' Disaggregation - Section E '!A$313:J897,7,0)="","",VLOOKUP(C1286,' Disaggregation - Section E '!A$313:J897,7,0)*100),"")</f>
        <v/>
      </c>
      <c r="F1286" s="387"/>
      <c r="G1286" s="390" t="str">
        <f ca="1">IFERROR(IF(VLOOKUP(C1286,' Disaggregation - Section E '!A$313:J897,6,0)="","",VLOOKUP(C1286,' Disaggregation - Section E '!A$313:J897,6,0)),"")</f>
        <v/>
      </c>
      <c r="H1286" s="390" t="str">
        <f ca="1">IFERROR(IF(INDEX(' Disaggregation - Section E '!F$313:F897,MATCH(C1286,' Disaggregation - Section E '!A$313:A897,0)+1,1)&lt;&gt;0,INDEX(' Disaggregation - Section E '!F$313:F897,MATCH(C1286,' Disaggregation - Section E '!A$313:A897,0)+1,1),""),"")</f>
        <v/>
      </c>
      <c r="I1286" s="391" t="str">
        <f ca="1">IFERROR(IF(VLOOKUP(C1286,' Disaggregation - Section E '!A$313:J897,8,0)=0,"",VLOOKUP(C1286,' Disaggregation - Section E '!A$313:J897,8,0)),"")</f>
        <v/>
      </c>
      <c r="J1286" s="391" t="str">
        <f ca="1">IFERROR(IF(VLOOKUP(C1286,' Disaggregation - Section E '!A$313:J897,9,0)="","",VLOOKUP(C1286,' Disaggregation - Section E '!A$313:J897,9,0)),"")</f>
        <v/>
      </c>
      <c r="K1286" s="387" t="str">
        <f ca="1">IFERROR(VLOOKUP(C1286,' Disaggregation - Section E '!A$313:J897,3,0),"")</f>
        <v>HIV O-16d Percentage of people who inject drugs who avoid health care because of stigma and discrimination</v>
      </c>
      <c r="L1286" s="391" t="str">
        <f ca="1">IFERROR(IF(VLOOKUP(C1286,' Disaggregation - Section E '!A$313:J897,10,0)="","",VLOOKUP(C1286,' Disaggregation - Section E '!A$313:J897,10,0)),"")</f>
        <v/>
      </c>
      <c r="M1286" s="388" t="str">
        <f ca="1">IFERROR(IF(VLOOKUP(C1286,' Disaggregation - Section E '!A$313:O601,15,0)=0,"",VLOOKUP(C1286,' Disaggregation - Section E '!A$313:O897,15,0)),"")</f>
        <v>IDR-01134</v>
      </c>
      <c r="N1286" s="387"/>
      <c r="O1286" s="387"/>
      <c r="P1286" s="387" t="str">
        <f ca="1">IFERROR(IF(VLOOKUP(C1286,' Disaggregation - Section E '!A$313:R601,18,0)=0,"",VLOOKUP(C1286,' Disaggregation - Section E '!A$313:R897,18,0)),"")</f>
        <v>a1LDm000000Cb12MAC</v>
      </c>
    </row>
    <row r="1287" spans="1:16">
      <c r="A1287" s="387" t="b">
        <f t="shared" ca="1" si="162"/>
        <v>1</v>
      </c>
      <c r="B1287" s="387"/>
      <c r="C1287" s="404" t="str">
        <f ca="1">IF(COUNTA(O$1002:O1287)=1,"",OFFSET(C1287,-COUNTA(O$1002:O1287)+1,0))</f>
        <v>a1VDm000000PgBwMAK</v>
      </c>
      <c r="D1287" s="392"/>
      <c r="E1287" s="389" t="str">
        <f ca="1">IFERROR(IF(VLOOKUP(C1287,' Disaggregation - Section E '!A$313:J898,7,0)="","",VLOOKUP(C1287,' Disaggregation - Section E '!A$313:J898,7,0)*100),"")</f>
        <v/>
      </c>
      <c r="F1287" s="387"/>
      <c r="G1287" s="390" t="str">
        <f ca="1">IFERROR(IF(VLOOKUP(C1287,' Disaggregation - Section E '!A$313:J898,6,0)="","",VLOOKUP(C1287,' Disaggregation - Section E '!A$313:J898,6,0)),"")</f>
        <v/>
      </c>
      <c r="H1287" s="390" t="str">
        <f ca="1">IFERROR(IF(INDEX(' Disaggregation - Section E '!F$313:F898,MATCH(C1287,' Disaggregation - Section E '!A$313:A898,0)+1,1)&lt;&gt;0,INDEX(' Disaggregation - Section E '!F$313:F898,MATCH(C1287,' Disaggregation - Section E '!A$313:A898,0)+1,1),""),"")</f>
        <v/>
      </c>
      <c r="I1287" s="391" t="str">
        <f ca="1">IFERROR(IF(VLOOKUP(C1287,' Disaggregation - Section E '!A$313:J898,8,0)=0,"",VLOOKUP(C1287,' Disaggregation - Section E '!A$313:J898,8,0)),"")</f>
        <v/>
      </c>
      <c r="J1287" s="391" t="str">
        <f ca="1">IFERROR(IF(VLOOKUP(C1287,' Disaggregation - Section E '!A$313:J898,9,0)="","",VLOOKUP(C1287,' Disaggregation - Section E '!A$313:J898,9,0)),"")</f>
        <v/>
      </c>
      <c r="K1287" s="387" t="str">
        <f ca="1">IFERROR(VLOOKUP(C1287,' Disaggregation - Section E '!A$313:J898,3,0),"")</f>
        <v>HIV O-16d Percentage of people who inject drugs who avoid health care because of stigma and discrimination</v>
      </c>
      <c r="L1287" s="391" t="str">
        <f ca="1">IFERROR(IF(VLOOKUP(C1287,' Disaggregation - Section E '!A$313:J898,10,0)="","",VLOOKUP(C1287,' Disaggregation - Section E '!A$313:J898,10,0)),"")</f>
        <v/>
      </c>
      <c r="M1287" s="388" t="str">
        <f ca="1">IFERROR(IF(VLOOKUP(C1287,' Disaggregation - Section E '!A$313:O602,15,0)=0,"",VLOOKUP(C1287,' Disaggregation - Section E '!A$313:O898,15,0)),"")</f>
        <v>IDR-01133</v>
      </c>
      <c r="N1287" s="387"/>
      <c r="O1287" s="387"/>
      <c r="P1287" s="387" t="str">
        <f ca="1">IFERROR(IF(VLOOKUP(C1287,' Disaggregation - Section E '!A$313:R602,18,0)=0,"",VLOOKUP(C1287,' Disaggregation - Section E '!A$313:R898,18,0)),"")</f>
        <v>a1LDm000000Cb11MAC</v>
      </c>
    </row>
    <row r="1288" spans="1:16">
      <c r="A1288" s="387" t="b">
        <f t="shared" ca="1" si="162"/>
        <v>1</v>
      </c>
      <c r="B1288" s="387"/>
      <c r="C1288" s="404" t="str">
        <f ca="1">IF(COUNTA(O$1002:O1288)=1,"",OFFSET(C1288,-COUNTA(O$1002:O1288)+1,0))</f>
        <v>a1VDm000000PgBxMAK</v>
      </c>
      <c r="D1288" s="392"/>
      <c r="E1288" s="389" t="str">
        <f ca="1">IFERROR(IF(VLOOKUP(C1288,' Disaggregation - Section E '!A$313:J899,7,0)="","",VLOOKUP(C1288,' Disaggregation - Section E '!A$313:J899,7,0)*100),"")</f>
        <v/>
      </c>
      <c r="F1288" s="387"/>
      <c r="G1288" s="390" t="str">
        <f ca="1">IFERROR(IF(VLOOKUP(C1288,' Disaggregation - Section E '!A$313:J899,6,0)="","",VLOOKUP(C1288,' Disaggregation - Section E '!A$313:J899,6,0)),"")</f>
        <v/>
      </c>
      <c r="H1288" s="390" t="str">
        <f ca="1">IFERROR(IF(INDEX(' Disaggregation - Section E '!F$313:F899,MATCH(C1288,' Disaggregation - Section E '!A$313:A899,0)+1,1)&lt;&gt;0,INDEX(' Disaggregation - Section E '!F$313:F899,MATCH(C1288,' Disaggregation - Section E '!A$313:A899,0)+1,1),""),"")</f>
        <v/>
      </c>
      <c r="I1288" s="391" t="str">
        <f ca="1">IFERROR(IF(VLOOKUP(C1288,' Disaggregation - Section E '!A$313:J899,8,0)=0,"",VLOOKUP(C1288,' Disaggregation - Section E '!A$313:J899,8,0)),"")</f>
        <v/>
      </c>
      <c r="J1288" s="391" t="str">
        <f ca="1">IFERROR(IF(VLOOKUP(C1288,' Disaggregation - Section E '!A$313:J899,9,0)="","",VLOOKUP(C1288,' Disaggregation - Section E '!A$313:J899,9,0)),"")</f>
        <v/>
      </c>
      <c r="K1288" s="387" t="str">
        <f ca="1">IFERROR(VLOOKUP(C1288,' Disaggregation - Section E '!A$313:J899,3,0),"")</f>
        <v>HIV O-16d Percentage of people who inject drugs who avoid health care because of stigma and discrimination</v>
      </c>
      <c r="L1288" s="391" t="str">
        <f ca="1">IFERROR(IF(VLOOKUP(C1288,' Disaggregation - Section E '!A$313:J899,10,0)="","",VLOOKUP(C1288,' Disaggregation - Section E '!A$313:J899,10,0)),"")</f>
        <v/>
      </c>
      <c r="M1288" s="388" t="str">
        <f ca="1">IFERROR(IF(VLOOKUP(C1288,' Disaggregation - Section E '!A$313:O603,15,0)=0,"",VLOOKUP(C1288,' Disaggregation - Section E '!A$313:O899,15,0)),"")</f>
        <v>IDR-01132</v>
      </c>
      <c r="N1288" s="387"/>
      <c r="O1288" s="387"/>
      <c r="P1288" s="387" t="str">
        <f ca="1">IFERROR(IF(VLOOKUP(C1288,' Disaggregation - Section E '!A$313:R603,18,0)=0,"",VLOOKUP(C1288,' Disaggregation - Section E '!A$313:R899,18,0)),"")</f>
        <v>a1LDm000000Cb10MAC</v>
      </c>
    </row>
    <row r="1289" spans="1:16">
      <c r="A1289" s="387" t="b">
        <f t="shared" ca="1" si="162"/>
        <v>0</v>
      </c>
      <c r="B1289" s="387"/>
      <c r="C1289" s="404" t="str">
        <f ca="1">IF(COUNTA(O$1002:O1289)=1,"",OFFSET(C1289,-COUNTA(O$1002:O1289)+1,0))</f>
        <v>a1VDm000000PgByMAK</v>
      </c>
      <c r="D1289" s="392"/>
      <c r="E1289" s="389" t="str">
        <f ca="1">IFERROR(IF(VLOOKUP(C1289,' Disaggregation - Section E '!A$313:J900,7,0)="","",VLOOKUP(C1289,' Disaggregation - Section E '!A$313:J900,7,0)*100),"")</f>
        <v/>
      </c>
      <c r="F1289" s="387"/>
      <c r="G1289" s="390" t="str">
        <f ca="1">IFERROR(IF(VLOOKUP(C1289,' Disaggregation - Section E '!A$313:J900,6,0)="","",VLOOKUP(C1289,' Disaggregation - Section E '!A$313:J900,6,0)),"")</f>
        <v/>
      </c>
      <c r="H1289" s="390" t="str">
        <f ca="1">IFERROR(IF(INDEX(' Disaggregation - Section E '!F$313:F900,MATCH(C1289,' Disaggregation - Section E '!A$313:A900,0)+1,1)&lt;&gt;0,INDEX(' Disaggregation - Section E '!F$313:F900,MATCH(C1289,' Disaggregation - Section E '!A$313:A900,0)+1,1),""),"")</f>
        <v/>
      </c>
      <c r="I1289" s="391" t="str">
        <f ca="1">IFERROR(IF(VLOOKUP(C1289,' Disaggregation - Section E '!A$313:J900,8,0)=0,"",VLOOKUP(C1289,' Disaggregation - Section E '!A$313:J900,8,0)),"")</f>
        <v/>
      </c>
      <c r="J1289" s="391" t="str">
        <f ca="1">IFERROR(IF(VLOOKUP(C1289,' Disaggregation - Section E '!A$313:J900,9,0)="","",VLOOKUP(C1289,' Disaggregation - Section E '!A$313:J900,9,0)),"")</f>
        <v/>
      </c>
      <c r="K1289" s="387" t="str">
        <f ca="1">IFERROR(VLOOKUP(C1289,' Disaggregation - Section E '!A$313:J900,3,0),"")</f>
        <v>HIV O-16d Percentage of people who inject drugs who avoid health care because of stigma and discrimination</v>
      </c>
      <c r="L1289" s="391" t="str">
        <f ca="1">IFERROR(IF(VLOOKUP(C1289,' Disaggregation - Section E '!A$313:J900,10,0)="","",VLOOKUP(C1289,' Disaggregation - Section E '!A$313:J900,10,0)),"")</f>
        <v/>
      </c>
      <c r="M1289" s="388" t="str">
        <f ca="1">IFERROR(IF(VLOOKUP(C1289,' Disaggregation - Section E '!A$313:O604,15,0)=0,"",VLOOKUP(C1289,' Disaggregation - Section E '!A$313:O900,15,0)),"")</f>
        <v/>
      </c>
      <c r="N1289" s="387"/>
      <c r="O1289" s="387"/>
      <c r="P1289" s="387" t="str">
        <f ca="1">IFERROR(IF(VLOOKUP(C1289,' Disaggregation - Section E '!A$313:R604,18,0)=0,"",VLOOKUP(C1289,' Disaggregation - Section E '!A$313:R900,18,0)),"")</f>
        <v/>
      </c>
    </row>
    <row r="1290" spans="1:16">
      <c r="A1290" s="387" t="b">
        <f t="shared" ca="1" si="162"/>
        <v>0</v>
      </c>
      <c r="B1290" s="387"/>
      <c r="C1290" s="404" t="str">
        <f ca="1">IF(COUNTA(O$1002:O1290)=1,"",OFFSET(C1290,-COUNTA(O$1002:O1290)+1,0))</f>
        <v>a1VDm000000PgBzMAK</v>
      </c>
      <c r="D1290" s="392"/>
      <c r="E1290" s="389" t="str">
        <f ca="1">IFERROR(IF(VLOOKUP(C1290,' Disaggregation - Section E '!A$313:J901,7,0)="","",VLOOKUP(C1290,' Disaggregation - Section E '!A$313:J901,7,0)*100),"")</f>
        <v/>
      </c>
      <c r="F1290" s="387"/>
      <c r="G1290" s="390" t="str">
        <f ca="1">IFERROR(IF(VLOOKUP(C1290,' Disaggregation - Section E '!A$313:J901,6,0)="","",VLOOKUP(C1290,' Disaggregation - Section E '!A$313:J901,6,0)),"")</f>
        <v/>
      </c>
      <c r="H1290" s="390" t="str">
        <f ca="1">IFERROR(IF(INDEX(' Disaggregation - Section E '!F$313:F901,MATCH(C1290,' Disaggregation - Section E '!A$313:A901,0)+1,1)&lt;&gt;0,INDEX(' Disaggregation - Section E '!F$313:F901,MATCH(C1290,' Disaggregation - Section E '!A$313:A901,0)+1,1),""),"")</f>
        <v/>
      </c>
      <c r="I1290" s="391" t="str">
        <f ca="1">IFERROR(IF(VLOOKUP(C1290,' Disaggregation - Section E '!A$313:J901,8,0)=0,"",VLOOKUP(C1290,' Disaggregation - Section E '!A$313:J901,8,0)),"")</f>
        <v/>
      </c>
      <c r="J1290" s="391" t="str">
        <f ca="1">IFERROR(IF(VLOOKUP(C1290,' Disaggregation - Section E '!A$313:J901,9,0)="","",VLOOKUP(C1290,' Disaggregation - Section E '!A$313:J901,9,0)),"")</f>
        <v/>
      </c>
      <c r="K1290" s="387" t="str">
        <f ca="1">IFERROR(VLOOKUP(C1290,' Disaggregation - Section E '!A$313:J901,3,0),"")</f>
        <v>HIV O-16d Percentage of people who inject drugs who avoid health care because of stigma and discrimination</v>
      </c>
      <c r="L1290" s="391" t="str">
        <f ca="1">IFERROR(IF(VLOOKUP(C1290,' Disaggregation - Section E '!A$313:J901,10,0)="","",VLOOKUP(C1290,' Disaggregation - Section E '!A$313:J901,10,0)),"")</f>
        <v/>
      </c>
      <c r="M1290" s="388" t="str">
        <f ca="1">IFERROR(IF(VLOOKUP(C1290,' Disaggregation - Section E '!A$313:O605,15,0)=0,"",VLOOKUP(C1290,' Disaggregation - Section E '!A$313:O901,15,0)),"")</f>
        <v/>
      </c>
      <c r="N1290" s="387"/>
      <c r="O1290" s="387"/>
      <c r="P1290" s="387" t="str">
        <f ca="1">IFERROR(IF(VLOOKUP(C1290,' Disaggregation - Section E '!A$313:R605,18,0)=0,"",VLOOKUP(C1290,' Disaggregation - Section E '!A$313:R901,18,0)),"")</f>
        <v/>
      </c>
    </row>
    <row r="1291" spans="1:16">
      <c r="A1291" s="387" t="b">
        <f t="shared" ca="1" si="162"/>
        <v>0</v>
      </c>
      <c r="B1291" s="387"/>
      <c r="C1291" s="404" t="str">
        <f ca="1">IF(COUNTA(O$1002:O1291)=1,"",OFFSET(C1291,-COUNTA(O$1002:O1291)+1,0))</f>
        <v>a1VDm000000PgC0MAK</v>
      </c>
      <c r="D1291" s="392"/>
      <c r="E1291" s="389" t="str">
        <f ca="1">IFERROR(IF(VLOOKUP(C1291,' Disaggregation - Section E '!A$313:J902,7,0)="","",VLOOKUP(C1291,' Disaggregation - Section E '!A$313:J902,7,0)*100),"")</f>
        <v/>
      </c>
      <c r="F1291" s="387"/>
      <c r="G1291" s="390" t="str">
        <f ca="1">IFERROR(IF(VLOOKUP(C1291,' Disaggregation - Section E '!A$313:J902,6,0)="","",VLOOKUP(C1291,' Disaggregation - Section E '!A$313:J902,6,0)),"")</f>
        <v/>
      </c>
      <c r="H1291" s="390" t="str">
        <f ca="1">IFERROR(IF(INDEX(' Disaggregation - Section E '!F$313:F902,MATCH(C1291,' Disaggregation - Section E '!A$313:A902,0)+1,1)&lt;&gt;0,INDEX(' Disaggregation - Section E '!F$313:F902,MATCH(C1291,' Disaggregation - Section E '!A$313:A902,0)+1,1),""),"")</f>
        <v/>
      </c>
      <c r="I1291" s="391" t="str">
        <f ca="1">IFERROR(IF(VLOOKUP(C1291,' Disaggregation - Section E '!A$313:J902,8,0)=0,"",VLOOKUP(C1291,' Disaggregation - Section E '!A$313:J902,8,0)),"")</f>
        <v/>
      </c>
      <c r="J1291" s="391" t="str">
        <f ca="1">IFERROR(IF(VLOOKUP(C1291,' Disaggregation - Section E '!A$313:J902,9,0)="","",VLOOKUP(C1291,' Disaggregation - Section E '!A$313:J902,9,0)),"")</f>
        <v/>
      </c>
      <c r="K1291" s="387" t="str">
        <f ca="1">IFERROR(VLOOKUP(C1291,' Disaggregation - Section E '!A$313:J902,3,0),"")</f>
        <v>HIV O-16d Percentage of people who inject drugs who avoid health care because of stigma and discrimination</v>
      </c>
      <c r="L1291" s="391" t="str">
        <f ca="1">IFERROR(IF(VLOOKUP(C1291,' Disaggregation - Section E '!A$313:J902,10,0)="","",VLOOKUP(C1291,' Disaggregation - Section E '!A$313:J902,10,0)),"")</f>
        <v/>
      </c>
      <c r="M1291" s="388" t="str">
        <f ca="1">IFERROR(IF(VLOOKUP(C1291,' Disaggregation - Section E '!A$313:O606,15,0)=0,"",VLOOKUP(C1291,' Disaggregation - Section E '!A$313:O902,15,0)),"")</f>
        <v/>
      </c>
      <c r="N1291" s="387"/>
      <c r="O1291" s="387"/>
      <c r="P1291" s="387" t="str">
        <f ca="1">IFERROR(IF(VLOOKUP(C1291,' Disaggregation - Section E '!A$313:R606,18,0)=0,"",VLOOKUP(C1291,' Disaggregation - Section E '!A$313:R902,18,0)),"")</f>
        <v/>
      </c>
    </row>
    <row r="1292" spans="1:16">
      <c r="A1292" s="387" t="b">
        <f t="shared" ca="1" si="162"/>
        <v>0</v>
      </c>
      <c r="B1292" s="387"/>
      <c r="C1292" s="404" t="str">
        <f ca="1">IF(COUNTA(O$1002:O1292)=1,"",OFFSET(C1292,-COUNTA(O$1002:O1292)+1,0))</f>
        <v>a1VDm000000PgC1MAK</v>
      </c>
      <c r="D1292" s="392"/>
      <c r="E1292" s="389" t="str">
        <f ca="1">IFERROR(IF(VLOOKUP(C1292,' Disaggregation - Section E '!A$313:J903,7,0)="","",VLOOKUP(C1292,' Disaggregation - Section E '!A$313:J903,7,0)*100),"")</f>
        <v/>
      </c>
      <c r="F1292" s="387"/>
      <c r="G1292" s="390" t="str">
        <f ca="1">IFERROR(IF(VLOOKUP(C1292,' Disaggregation - Section E '!A$313:J903,6,0)="","",VLOOKUP(C1292,' Disaggregation - Section E '!A$313:J903,6,0)),"")</f>
        <v/>
      </c>
      <c r="H1292" s="390" t="str">
        <f ca="1">IFERROR(IF(INDEX(' Disaggregation - Section E '!F$313:F903,MATCH(C1292,' Disaggregation - Section E '!A$313:A903,0)+1,1)&lt;&gt;0,INDEX(' Disaggregation - Section E '!F$313:F903,MATCH(C1292,' Disaggregation - Section E '!A$313:A903,0)+1,1),""),"")</f>
        <v/>
      </c>
      <c r="I1292" s="391" t="str">
        <f ca="1">IFERROR(IF(VLOOKUP(C1292,' Disaggregation - Section E '!A$313:J903,8,0)=0,"",VLOOKUP(C1292,' Disaggregation - Section E '!A$313:J903,8,0)),"")</f>
        <v/>
      </c>
      <c r="J1292" s="391" t="str">
        <f ca="1">IFERROR(IF(VLOOKUP(C1292,' Disaggregation - Section E '!A$313:J903,9,0)="","",VLOOKUP(C1292,' Disaggregation - Section E '!A$313:J903,9,0)),"")</f>
        <v/>
      </c>
      <c r="K1292" s="387" t="str">
        <f ca="1">IFERROR(VLOOKUP(C1292,' Disaggregation - Section E '!A$313:J903,3,0),"")</f>
        <v>HIV O-16d Percentage of people who inject drugs who avoid health care because of stigma and discrimination</v>
      </c>
      <c r="L1292" s="391" t="str">
        <f ca="1">IFERROR(IF(VLOOKUP(C1292,' Disaggregation - Section E '!A$313:J903,10,0)="","",VLOOKUP(C1292,' Disaggregation - Section E '!A$313:J903,10,0)),"")</f>
        <v/>
      </c>
      <c r="M1292" s="388" t="str">
        <f ca="1">IFERROR(IF(VLOOKUP(C1292,' Disaggregation - Section E '!A$313:O607,15,0)=0,"",VLOOKUP(C1292,' Disaggregation - Section E '!A$313:O903,15,0)),"")</f>
        <v/>
      </c>
      <c r="N1292" s="387"/>
      <c r="O1292" s="387"/>
      <c r="P1292" s="387" t="str">
        <f ca="1">IFERROR(IF(VLOOKUP(C1292,' Disaggregation - Section E '!A$313:R607,18,0)=0,"",VLOOKUP(C1292,' Disaggregation - Section E '!A$313:R903,18,0)),"")</f>
        <v/>
      </c>
    </row>
    <row r="1293" spans="1:16">
      <c r="A1293" s="387" t="b">
        <f t="shared" ca="1" si="162"/>
        <v>0</v>
      </c>
      <c r="B1293" s="387"/>
      <c r="C1293" s="404" t="str">
        <f ca="1">IF(COUNTA(O$1002:O1293)=1,"",OFFSET(C1293,-COUNTA(O$1002:O1293)+1,0))</f>
        <v>a1VDm000000PgC2MAK</v>
      </c>
      <c r="D1293" s="392"/>
      <c r="E1293" s="389" t="str">
        <f ca="1">IFERROR(IF(VLOOKUP(C1293,' Disaggregation - Section E '!A$313:J904,7,0)="","",VLOOKUP(C1293,' Disaggregation - Section E '!A$313:J904,7,0)*100),"")</f>
        <v/>
      </c>
      <c r="F1293" s="387"/>
      <c r="G1293" s="390" t="str">
        <f ca="1">IFERROR(IF(VLOOKUP(C1293,' Disaggregation - Section E '!A$313:J904,6,0)="","",VLOOKUP(C1293,' Disaggregation - Section E '!A$313:J904,6,0)),"")</f>
        <v/>
      </c>
      <c r="H1293" s="390" t="str">
        <f ca="1">IFERROR(IF(INDEX(' Disaggregation - Section E '!F$313:F904,MATCH(C1293,' Disaggregation - Section E '!A$313:A904,0)+1,1)&lt;&gt;0,INDEX(' Disaggregation - Section E '!F$313:F904,MATCH(C1293,' Disaggregation - Section E '!A$313:A904,0)+1,1),""),"")</f>
        <v/>
      </c>
      <c r="I1293" s="391" t="str">
        <f ca="1">IFERROR(IF(VLOOKUP(C1293,' Disaggregation - Section E '!A$313:J904,8,0)=0,"",VLOOKUP(C1293,' Disaggregation - Section E '!A$313:J904,8,0)),"")</f>
        <v/>
      </c>
      <c r="J1293" s="391" t="str">
        <f ca="1">IFERROR(IF(VLOOKUP(C1293,' Disaggregation - Section E '!A$313:J904,9,0)="","",VLOOKUP(C1293,' Disaggregation - Section E '!A$313:J904,9,0)),"")</f>
        <v/>
      </c>
      <c r="K1293" s="387" t="str">
        <f ca="1">IFERROR(VLOOKUP(C1293,' Disaggregation - Section E '!A$313:J904,3,0),"")</f>
        <v>HIV O-16d Percentage of people who inject drugs who avoid health care because of stigma and discrimination</v>
      </c>
      <c r="L1293" s="391" t="str">
        <f ca="1">IFERROR(IF(VLOOKUP(C1293,' Disaggregation - Section E '!A$313:J904,10,0)="","",VLOOKUP(C1293,' Disaggregation - Section E '!A$313:J904,10,0)),"")</f>
        <v/>
      </c>
      <c r="M1293" s="388" t="str">
        <f ca="1">IFERROR(IF(VLOOKUP(C1293,' Disaggregation - Section E '!A$313:O608,15,0)=0,"",VLOOKUP(C1293,' Disaggregation - Section E '!A$313:O904,15,0)),"")</f>
        <v/>
      </c>
      <c r="N1293" s="387"/>
      <c r="O1293" s="387"/>
      <c r="P1293" s="387" t="str">
        <f ca="1">IFERROR(IF(VLOOKUP(C1293,' Disaggregation - Section E '!A$313:R608,18,0)=0,"",VLOOKUP(C1293,' Disaggregation - Section E '!A$313:R904,18,0)),"")</f>
        <v/>
      </c>
    </row>
    <row r="1294" spans="1:16">
      <c r="A1294" s="387" t="b">
        <f t="shared" ca="1" si="162"/>
        <v>0</v>
      </c>
      <c r="B1294" s="387"/>
      <c r="C1294" s="404" t="str">
        <f ca="1">IF(COUNTA(O$1002:O1294)=1,"",OFFSET(C1294,-COUNTA(O$1002:O1294)+1,0))</f>
        <v>a1VDm000000PgC3MAK</v>
      </c>
      <c r="D1294" s="392"/>
      <c r="E1294" s="389" t="str">
        <f ca="1">IFERROR(IF(VLOOKUP(C1294,' Disaggregation - Section E '!A$313:J905,7,0)="","",VLOOKUP(C1294,' Disaggregation - Section E '!A$313:J905,7,0)*100),"")</f>
        <v/>
      </c>
      <c r="F1294" s="387"/>
      <c r="G1294" s="390" t="str">
        <f ca="1">IFERROR(IF(VLOOKUP(C1294,' Disaggregation - Section E '!A$313:J905,6,0)="","",VLOOKUP(C1294,' Disaggregation - Section E '!A$313:J905,6,0)),"")</f>
        <v/>
      </c>
      <c r="H1294" s="390" t="str">
        <f ca="1">IFERROR(IF(INDEX(' Disaggregation - Section E '!F$313:F905,MATCH(C1294,' Disaggregation - Section E '!A$313:A905,0)+1,1)&lt;&gt;0,INDEX(' Disaggregation - Section E '!F$313:F905,MATCH(C1294,' Disaggregation - Section E '!A$313:A905,0)+1,1),""),"")</f>
        <v/>
      </c>
      <c r="I1294" s="391" t="str">
        <f ca="1">IFERROR(IF(VLOOKUP(C1294,' Disaggregation - Section E '!A$313:J905,8,0)=0,"",VLOOKUP(C1294,' Disaggregation - Section E '!A$313:J905,8,0)),"")</f>
        <v/>
      </c>
      <c r="J1294" s="391" t="str">
        <f ca="1">IFERROR(IF(VLOOKUP(C1294,' Disaggregation - Section E '!A$313:J905,9,0)="","",VLOOKUP(C1294,' Disaggregation - Section E '!A$313:J905,9,0)),"")</f>
        <v/>
      </c>
      <c r="K1294" s="387" t="str">
        <f ca="1">IFERROR(VLOOKUP(C1294,' Disaggregation - Section E '!A$313:J905,3,0),"")</f>
        <v>Number of female patients with all forms of TB notified (i.e., bacteriologically confirmed + clinically diagnosed); *includes only those with new and relapse TB.</v>
      </c>
      <c r="L1294" s="391" t="str">
        <f ca="1">IFERROR(IF(VLOOKUP(C1294,' Disaggregation - Section E '!A$313:J905,10,0)="","",VLOOKUP(C1294,' Disaggregation - Section E '!A$313:J905,10,0)),"")</f>
        <v/>
      </c>
      <c r="M1294" s="388" t="str">
        <f ca="1">IFERROR(IF(VLOOKUP(C1294,' Disaggregation - Section E '!A$313:O609,15,0)=0,"",VLOOKUP(C1294,' Disaggregation - Section E '!A$313:O905,15,0)),"")</f>
        <v/>
      </c>
      <c r="N1294" s="387"/>
      <c r="O1294" s="387"/>
      <c r="P1294" s="387" t="str">
        <f ca="1">IFERROR(IF(VLOOKUP(C1294,' Disaggregation - Section E '!A$313:R609,18,0)=0,"",VLOOKUP(C1294,' Disaggregation - Section E '!A$313:R905,18,0)),"")</f>
        <v/>
      </c>
    </row>
    <row r="1295" spans="1:16">
      <c r="A1295" s="387" t="b">
        <f t="shared" ca="1" si="162"/>
        <v>0</v>
      </c>
      <c r="B1295" s="387"/>
      <c r="C1295" s="404" t="str">
        <f ca="1">IF(COUNTA(O$1002:O1295)=1,"",OFFSET(C1295,-COUNTA(O$1002:O1295)+1,0))</f>
        <v>a1VDm000000PgC4MAK</v>
      </c>
      <c r="D1295" s="392"/>
      <c r="E1295" s="389" t="str">
        <f ca="1">IFERROR(IF(VLOOKUP(C1295,' Disaggregation - Section E '!A$313:J906,7,0)="","",VLOOKUP(C1295,' Disaggregation - Section E '!A$313:J906,7,0)*100),"")</f>
        <v/>
      </c>
      <c r="F1295" s="387"/>
      <c r="G1295" s="390" t="str">
        <f ca="1">IFERROR(IF(VLOOKUP(C1295,' Disaggregation - Section E '!A$313:J906,6,0)="","",VLOOKUP(C1295,' Disaggregation - Section E '!A$313:J906,6,0)),"")</f>
        <v/>
      </c>
      <c r="H1295" s="390" t="str">
        <f ca="1">IFERROR(IF(INDEX(' Disaggregation - Section E '!F$313:F906,MATCH(C1295,' Disaggregation - Section E '!A$313:A906,0)+1,1)&lt;&gt;0,INDEX(' Disaggregation - Section E '!F$313:F906,MATCH(C1295,' Disaggregation - Section E '!A$313:A906,0)+1,1),""),"")</f>
        <v/>
      </c>
      <c r="I1295" s="391" t="str">
        <f ca="1">IFERROR(IF(VLOOKUP(C1295,' Disaggregation - Section E '!A$313:J906,8,0)=0,"",VLOOKUP(C1295,' Disaggregation - Section E '!A$313:J906,8,0)),"")</f>
        <v/>
      </c>
      <c r="J1295" s="391" t="str">
        <f ca="1">IFERROR(IF(VLOOKUP(C1295,' Disaggregation - Section E '!A$313:J906,9,0)="","",VLOOKUP(C1295,' Disaggregation - Section E '!A$313:J906,9,0)),"")</f>
        <v/>
      </c>
      <c r="K1295" s="387" t="str">
        <f ca="1">IFERROR(VLOOKUP(C1295,' Disaggregation - Section E '!A$313:J906,3,0),"")</f>
        <v>Number of female patients with all forms of TB notified (i.e., bacteriologically confirmed + clinically diagnosed); *includes only those with new and relapse TB.</v>
      </c>
      <c r="L1295" s="391" t="str">
        <f ca="1">IFERROR(IF(VLOOKUP(C1295,' Disaggregation - Section E '!A$313:J906,10,0)="","",VLOOKUP(C1295,' Disaggregation - Section E '!A$313:J906,10,0)),"")</f>
        <v/>
      </c>
      <c r="M1295" s="388" t="str">
        <f ca="1">IFERROR(IF(VLOOKUP(C1295,' Disaggregation - Section E '!A$313:O610,15,0)=0,"",VLOOKUP(C1295,' Disaggregation - Section E '!A$313:O906,15,0)),"")</f>
        <v/>
      </c>
      <c r="N1295" s="387"/>
      <c r="O1295" s="387"/>
      <c r="P1295" s="387" t="str">
        <f ca="1">IFERROR(IF(VLOOKUP(C1295,' Disaggregation - Section E '!A$313:R610,18,0)=0,"",VLOOKUP(C1295,' Disaggregation - Section E '!A$313:R906,18,0)),"")</f>
        <v/>
      </c>
    </row>
    <row r="1296" spans="1:16">
      <c r="A1296" s="387" t="b">
        <f t="shared" ca="1" si="162"/>
        <v>0</v>
      </c>
      <c r="B1296" s="387"/>
      <c r="C1296" s="404" t="str">
        <f ca="1">IF(COUNTA(O$1002:O1296)=1,"",OFFSET(C1296,-COUNTA(O$1002:O1296)+1,0))</f>
        <v>a1VDm000000PgC5MAK</v>
      </c>
      <c r="D1296" s="392"/>
      <c r="E1296" s="389" t="str">
        <f ca="1">IFERROR(IF(VLOOKUP(C1296,' Disaggregation - Section E '!A$313:J907,7,0)="","",VLOOKUP(C1296,' Disaggregation - Section E '!A$313:J907,7,0)*100),"")</f>
        <v/>
      </c>
      <c r="F1296" s="387"/>
      <c r="G1296" s="390" t="str">
        <f ca="1">IFERROR(IF(VLOOKUP(C1296,' Disaggregation - Section E '!A$313:J907,6,0)="","",VLOOKUP(C1296,' Disaggregation - Section E '!A$313:J907,6,0)),"")</f>
        <v/>
      </c>
      <c r="H1296" s="390" t="str">
        <f ca="1">IFERROR(IF(INDEX(' Disaggregation - Section E '!F$313:F907,MATCH(C1296,' Disaggregation - Section E '!A$313:A907,0)+1,1)&lt;&gt;0,INDEX(' Disaggregation - Section E '!F$313:F907,MATCH(C1296,' Disaggregation - Section E '!A$313:A907,0)+1,1),""),"")</f>
        <v/>
      </c>
      <c r="I1296" s="391" t="str">
        <f ca="1">IFERROR(IF(VLOOKUP(C1296,' Disaggregation - Section E '!A$313:J907,8,0)=0,"",VLOOKUP(C1296,' Disaggregation - Section E '!A$313:J907,8,0)),"")</f>
        <v/>
      </c>
      <c r="J1296" s="391" t="str">
        <f ca="1">IFERROR(IF(VLOOKUP(C1296,' Disaggregation - Section E '!A$313:J907,9,0)="","",VLOOKUP(C1296,' Disaggregation - Section E '!A$313:J907,9,0)),"")</f>
        <v/>
      </c>
      <c r="K1296" s="387" t="str">
        <f ca="1">IFERROR(VLOOKUP(C1296,' Disaggregation - Section E '!A$313:J907,3,0),"")</f>
        <v>Number of female patients with all forms of TB notified (i.e., bacteriologically confirmed + clinically diagnosed); *includes only those with new and relapse TB.</v>
      </c>
      <c r="L1296" s="391" t="str">
        <f ca="1">IFERROR(IF(VLOOKUP(C1296,' Disaggregation - Section E '!A$313:J907,10,0)="","",VLOOKUP(C1296,' Disaggregation - Section E '!A$313:J907,10,0)),"")</f>
        <v/>
      </c>
      <c r="M1296" s="388" t="str">
        <f ca="1">IFERROR(IF(VLOOKUP(C1296,' Disaggregation - Section E '!A$313:O611,15,0)=0,"",VLOOKUP(C1296,' Disaggregation - Section E '!A$313:O907,15,0)),"")</f>
        <v/>
      </c>
      <c r="N1296" s="387"/>
      <c r="O1296" s="387"/>
      <c r="P1296" s="387" t="str">
        <f ca="1">IFERROR(IF(VLOOKUP(C1296,' Disaggregation - Section E '!A$313:R611,18,0)=0,"",VLOOKUP(C1296,' Disaggregation - Section E '!A$313:R907,18,0)),"")</f>
        <v/>
      </c>
    </row>
    <row r="1297" spans="1:16">
      <c r="A1297" s="387" t="b">
        <f t="shared" ca="1" si="162"/>
        <v>0</v>
      </c>
      <c r="B1297" s="387"/>
      <c r="C1297" s="404" t="str">
        <f ca="1">IF(COUNTA(O$1002:O1297)=1,"",OFFSET(C1297,-COUNTA(O$1002:O1297)+1,0))</f>
        <v>a1VDm000000PgC6MAK</v>
      </c>
      <c r="D1297" s="392"/>
      <c r="E1297" s="389" t="str">
        <f ca="1">IFERROR(IF(VLOOKUP(C1297,' Disaggregation - Section E '!A$313:J908,7,0)="","",VLOOKUP(C1297,' Disaggregation - Section E '!A$313:J908,7,0)*100),"")</f>
        <v/>
      </c>
      <c r="F1297" s="387"/>
      <c r="G1297" s="390" t="str">
        <f ca="1">IFERROR(IF(VLOOKUP(C1297,' Disaggregation - Section E '!A$313:J908,6,0)="","",VLOOKUP(C1297,' Disaggregation - Section E '!A$313:J908,6,0)),"")</f>
        <v/>
      </c>
      <c r="H1297" s="390" t="str">
        <f ca="1">IFERROR(IF(INDEX(' Disaggregation - Section E '!F$313:F908,MATCH(C1297,' Disaggregation - Section E '!A$313:A908,0)+1,1)&lt;&gt;0,INDEX(' Disaggregation - Section E '!F$313:F908,MATCH(C1297,' Disaggregation - Section E '!A$313:A908,0)+1,1),""),"")</f>
        <v/>
      </c>
      <c r="I1297" s="391" t="str">
        <f ca="1">IFERROR(IF(VLOOKUP(C1297,' Disaggregation - Section E '!A$313:J908,8,0)=0,"",VLOOKUP(C1297,' Disaggregation - Section E '!A$313:J908,8,0)),"")</f>
        <v/>
      </c>
      <c r="J1297" s="391" t="str">
        <f ca="1">IFERROR(IF(VLOOKUP(C1297,' Disaggregation - Section E '!A$313:J908,9,0)="","",VLOOKUP(C1297,' Disaggregation - Section E '!A$313:J908,9,0)),"")</f>
        <v/>
      </c>
      <c r="K1297" s="387" t="str">
        <f ca="1">IFERROR(VLOOKUP(C1297,' Disaggregation - Section E '!A$313:J908,3,0),"")</f>
        <v>Number of female patients with all forms of TB notified (i.e., bacteriologically confirmed + clinically diagnosed); *includes only those with new and relapse TB.</v>
      </c>
      <c r="L1297" s="391" t="str">
        <f ca="1">IFERROR(IF(VLOOKUP(C1297,' Disaggregation - Section E '!A$313:J908,10,0)="","",VLOOKUP(C1297,' Disaggregation - Section E '!A$313:J908,10,0)),"")</f>
        <v/>
      </c>
      <c r="M1297" s="388" t="str">
        <f ca="1">IFERROR(IF(VLOOKUP(C1297,' Disaggregation - Section E '!A$313:O612,15,0)=0,"",VLOOKUP(C1297,' Disaggregation - Section E '!A$313:O908,15,0)),"")</f>
        <v/>
      </c>
      <c r="N1297" s="387"/>
      <c r="O1297" s="387"/>
      <c r="P1297" s="387" t="str">
        <f ca="1">IFERROR(IF(VLOOKUP(C1297,' Disaggregation - Section E '!A$313:R612,18,0)=0,"",VLOOKUP(C1297,' Disaggregation - Section E '!A$313:R908,18,0)),"")</f>
        <v/>
      </c>
    </row>
    <row r="1298" spans="1:16">
      <c r="A1298" s="387" t="b">
        <f t="shared" ca="1" si="162"/>
        <v>0</v>
      </c>
      <c r="B1298" s="387"/>
      <c r="C1298" s="404" t="str">
        <f ca="1">IF(COUNTA(O$1002:O1298)=1,"",OFFSET(C1298,-COUNTA(O$1002:O1298)+1,0))</f>
        <v>a1VDm000000PgC7MAK</v>
      </c>
      <c r="D1298" s="392"/>
      <c r="E1298" s="389" t="str">
        <f ca="1">IFERROR(IF(VLOOKUP(C1298,' Disaggregation - Section E '!A$313:J909,7,0)="","",VLOOKUP(C1298,' Disaggregation - Section E '!A$313:J909,7,0)*100),"")</f>
        <v/>
      </c>
      <c r="F1298" s="387"/>
      <c r="G1298" s="390" t="str">
        <f ca="1">IFERROR(IF(VLOOKUP(C1298,' Disaggregation - Section E '!A$313:J909,6,0)="","",VLOOKUP(C1298,' Disaggregation - Section E '!A$313:J909,6,0)),"")</f>
        <v/>
      </c>
      <c r="H1298" s="390" t="str">
        <f ca="1">IFERROR(IF(INDEX(' Disaggregation - Section E '!F$313:F909,MATCH(C1298,' Disaggregation - Section E '!A$313:A909,0)+1,1)&lt;&gt;0,INDEX(' Disaggregation - Section E '!F$313:F909,MATCH(C1298,' Disaggregation - Section E '!A$313:A909,0)+1,1),""),"")</f>
        <v/>
      </c>
      <c r="I1298" s="391" t="str">
        <f ca="1">IFERROR(IF(VLOOKUP(C1298,' Disaggregation - Section E '!A$313:J909,8,0)=0,"",VLOOKUP(C1298,' Disaggregation - Section E '!A$313:J909,8,0)),"")</f>
        <v/>
      </c>
      <c r="J1298" s="391" t="str">
        <f ca="1">IFERROR(IF(VLOOKUP(C1298,' Disaggregation - Section E '!A$313:J909,9,0)="","",VLOOKUP(C1298,' Disaggregation - Section E '!A$313:J909,9,0)),"")</f>
        <v/>
      </c>
      <c r="K1298" s="387" t="str">
        <f ca="1">IFERROR(VLOOKUP(C1298,' Disaggregation - Section E '!A$313:J909,3,0),"")</f>
        <v>Number of female patients with all forms of TB notified (i.e., bacteriologically confirmed + clinically diagnosed); *includes only those with new and relapse TB.</v>
      </c>
      <c r="L1298" s="391" t="str">
        <f ca="1">IFERROR(IF(VLOOKUP(C1298,' Disaggregation - Section E '!A$313:J909,10,0)="","",VLOOKUP(C1298,' Disaggregation - Section E '!A$313:J909,10,0)),"")</f>
        <v/>
      </c>
      <c r="M1298" s="388" t="str">
        <f ca="1">IFERROR(IF(VLOOKUP(C1298,' Disaggregation - Section E '!A$313:O613,15,0)=0,"",VLOOKUP(C1298,' Disaggregation - Section E '!A$313:O909,15,0)),"")</f>
        <v/>
      </c>
      <c r="N1298" s="387"/>
      <c r="O1298" s="387"/>
      <c r="P1298" s="387" t="str">
        <f ca="1">IFERROR(IF(VLOOKUP(C1298,' Disaggregation - Section E '!A$313:R613,18,0)=0,"",VLOOKUP(C1298,' Disaggregation - Section E '!A$313:R909,18,0)),"")</f>
        <v/>
      </c>
    </row>
    <row r="1299" spans="1:16">
      <c r="A1299" s="387" t="b">
        <f t="shared" ca="1" si="162"/>
        <v>0</v>
      </c>
      <c r="B1299" s="387"/>
      <c r="C1299" s="404" t="str">
        <f ca="1">IF(COUNTA(O$1002:O1299)=1,"",OFFSET(C1299,-COUNTA(O$1002:O1299)+1,0))</f>
        <v>a1VDm000000PgC8MAK</v>
      </c>
      <c r="D1299" s="392"/>
      <c r="E1299" s="389" t="str">
        <f ca="1">IFERROR(IF(VLOOKUP(C1299,' Disaggregation - Section E '!A$313:J910,7,0)="","",VLOOKUP(C1299,' Disaggregation - Section E '!A$313:J910,7,0)*100),"")</f>
        <v/>
      </c>
      <c r="F1299" s="387"/>
      <c r="G1299" s="390" t="str">
        <f ca="1">IFERROR(IF(VLOOKUP(C1299,' Disaggregation - Section E '!A$313:J910,6,0)="","",VLOOKUP(C1299,' Disaggregation - Section E '!A$313:J910,6,0)),"")</f>
        <v/>
      </c>
      <c r="H1299" s="390" t="str">
        <f ca="1">IFERROR(IF(INDEX(' Disaggregation - Section E '!F$313:F910,MATCH(C1299,' Disaggregation - Section E '!A$313:A910,0)+1,1)&lt;&gt;0,INDEX(' Disaggregation - Section E '!F$313:F910,MATCH(C1299,' Disaggregation - Section E '!A$313:A910,0)+1,1),""),"")</f>
        <v/>
      </c>
      <c r="I1299" s="391" t="str">
        <f ca="1">IFERROR(IF(VLOOKUP(C1299,' Disaggregation - Section E '!A$313:J910,8,0)=0,"",VLOOKUP(C1299,' Disaggregation - Section E '!A$313:J910,8,0)),"")</f>
        <v/>
      </c>
      <c r="J1299" s="391" t="str">
        <f ca="1">IFERROR(IF(VLOOKUP(C1299,' Disaggregation - Section E '!A$313:J910,9,0)="","",VLOOKUP(C1299,' Disaggregation - Section E '!A$313:J910,9,0)),"")</f>
        <v/>
      </c>
      <c r="K1299" s="387" t="str">
        <f ca="1">IFERROR(VLOOKUP(C1299,' Disaggregation - Section E '!A$313:J910,3,0),"")</f>
        <v>Number of female patients with all forms of TB notified (i.e., bacteriologically confirmed + clinically diagnosed); *includes only those with new and relapse TB.</v>
      </c>
      <c r="L1299" s="391" t="str">
        <f ca="1">IFERROR(IF(VLOOKUP(C1299,' Disaggregation - Section E '!A$313:J910,10,0)="","",VLOOKUP(C1299,' Disaggregation - Section E '!A$313:J910,10,0)),"")</f>
        <v/>
      </c>
      <c r="M1299" s="388" t="str">
        <f ca="1">IFERROR(IF(VLOOKUP(C1299,' Disaggregation - Section E '!A$313:O614,15,0)=0,"",VLOOKUP(C1299,' Disaggregation - Section E '!A$313:O910,15,0)),"")</f>
        <v/>
      </c>
      <c r="N1299" s="387"/>
      <c r="O1299" s="387"/>
      <c r="P1299" s="387" t="str">
        <f ca="1">IFERROR(IF(VLOOKUP(C1299,' Disaggregation - Section E '!A$313:R614,18,0)=0,"",VLOOKUP(C1299,' Disaggregation - Section E '!A$313:R910,18,0)),"")</f>
        <v/>
      </c>
    </row>
    <row r="1300" spans="1:16">
      <c r="A1300" s="387" t="b">
        <f t="shared" ca="1" si="162"/>
        <v>0</v>
      </c>
      <c r="B1300" s="387"/>
      <c r="C1300" s="404" t="str">
        <f ca="1">IF(COUNTA(O$1002:O1300)=1,"",OFFSET(C1300,-COUNTA(O$1002:O1300)+1,0))</f>
        <v>a1VDm000000PgC9MAK</v>
      </c>
      <c r="D1300" s="392"/>
      <c r="E1300" s="389" t="str">
        <f ca="1">IFERROR(IF(VLOOKUP(C1300,' Disaggregation - Section E '!A$313:J911,7,0)="","",VLOOKUP(C1300,' Disaggregation - Section E '!A$313:J911,7,0)*100),"")</f>
        <v/>
      </c>
      <c r="F1300" s="387"/>
      <c r="G1300" s="390" t="str">
        <f ca="1">IFERROR(IF(VLOOKUP(C1300,' Disaggregation - Section E '!A$313:J911,6,0)="","",VLOOKUP(C1300,' Disaggregation - Section E '!A$313:J911,6,0)),"")</f>
        <v/>
      </c>
      <c r="H1300" s="390" t="str">
        <f ca="1">IFERROR(IF(INDEX(' Disaggregation - Section E '!F$313:F911,MATCH(C1300,' Disaggregation - Section E '!A$313:A911,0)+1,1)&lt;&gt;0,INDEX(' Disaggregation - Section E '!F$313:F911,MATCH(C1300,' Disaggregation - Section E '!A$313:A911,0)+1,1),""),"")</f>
        <v/>
      </c>
      <c r="I1300" s="391" t="str">
        <f ca="1">IFERROR(IF(VLOOKUP(C1300,' Disaggregation - Section E '!A$313:J911,8,0)=0,"",VLOOKUP(C1300,' Disaggregation - Section E '!A$313:J911,8,0)),"")</f>
        <v/>
      </c>
      <c r="J1300" s="391" t="str">
        <f ca="1">IFERROR(IF(VLOOKUP(C1300,' Disaggregation - Section E '!A$313:J911,9,0)="","",VLOOKUP(C1300,' Disaggregation - Section E '!A$313:J911,9,0)),"")</f>
        <v/>
      </c>
      <c r="K1300" s="387" t="str">
        <f ca="1">IFERROR(VLOOKUP(C1300,' Disaggregation - Section E '!A$313:J911,3,0),"")</f>
        <v>Number of female patients with all forms of TB notified (i.e., bacteriologically confirmed + clinically diagnosed); *includes only those with new and relapse TB.</v>
      </c>
      <c r="L1300" s="391" t="str">
        <f ca="1">IFERROR(IF(VLOOKUP(C1300,' Disaggregation - Section E '!A$313:J911,10,0)="","",VLOOKUP(C1300,' Disaggregation - Section E '!A$313:J911,10,0)),"")</f>
        <v/>
      </c>
      <c r="M1300" s="388" t="str">
        <f ca="1">IFERROR(IF(VLOOKUP(C1300,' Disaggregation - Section E '!A$313:O615,15,0)=0,"",VLOOKUP(C1300,' Disaggregation - Section E '!A$313:O911,15,0)),"")</f>
        <v/>
      </c>
      <c r="N1300" s="387"/>
      <c r="O1300" s="387"/>
      <c r="P1300" s="387" t="str">
        <f ca="1">IFERROR(IF(VLOOKUP(C1300,' Disaggregation - Section E '!A$313:R615,18,0)=0,"",VLOOKUP(C1300,' Disaggregation - Section E '!A$313:R911,18,0)),"")</f>
        <v/>
      </c>
    </row>
    <row r="1301" spans="1:16">
      <c r="A1301" s="387" t="b">
        <f t="shared" ca="1" si="162"/>
        <v>0</v>
      </c>
      <c r="B1301" s="387"/>
      <c r="C1301" s="404" t="str">
        <f ca="1">IF(COUNTA(O$1002:O1301)=1,"",OFFSET(C1301,-COUNTA(O$1002:O1301)+1,0))</f>
        <v>a1VDm000000PgCAMA0</v>
      </c>
      <c r="D1301" s="392"/>
      <c r="E1301" s="389" t="str">
        <f ca="1">IFERROR(IF(VLOOKUP(C1301,' Disaggregation - Section E '!A$313:J912,7,0)="","",VLOOKUP(C1301,' Disaggregation - Section E '!A$313:J912,7,0)*100),"")</f>
        <v/>
      </c>
      <c r="F1301" s="387"/>
      <c r="G1301" s="390" t="str">
        <f ca="1">IFERROR(IF(VLOOKUP(C1301,' Disaggregation - Section E '!A$313:J912,6,0)="","",VLOOKUP(C1301,' Disaggregation - Section E '!A$313:J912,6,0)),"")</f>
        <v/>
      </c>
      <c r="H1301" s="390" t="str">
        <f ca="1">IFERROR(IF(INDEX(' Disaggregation - Section E '!F$313:F912,MATCH(C1301,' Disaggregation - Section E '!A$313:A912,0)+1,1)&lt;&gt;0,INDEX(' Disaggregation - Section E '!F$313:F912,MATCH(C1301,' Disaggregation - Section E '!A$313:A912,0)+1,1),""),"")</f>
        <v/>
      </c>
      <c r="I1301" s="391" t="str">
        <f ca="1">IFERROR(IF(VLOOKUP(C1301,' Disaggregation - Section E '!A$313:J912,8,0)=0,"",VLOOKUP(C1301,' Disaggregation - Section E '!A$313:J912,8,0)),"")</f>
        <v/>
      </c>
      <c r="J1301" s="391" t="str">
        <f ca="1">IFERROR(IF(VLOOKUP(C1301,' Disaggregation - Section E '!A$313:J912,9,0)="","",VLOOKUP(C1301,' Disaggregation - Section E '!A$313:J912,9,0)),"")</f>
        <v/>
      </c>
      <c r="K1301" s="387" t="str">
        <f ca="1">IFERROR(VLOOKUP(C1301,' Disaggregation - Section E '!A$313:J912,3,0),"")</f>
        <v>Number of female patients with all forms of TB notified (i.e., bacteriologically confirmed + clinically diagnosed); *includes only those with new and relapse TB.</v>
      </c>
      <c r="L1301" s="391" t="str">
        <f ca="1">IFERROR(IF(VLOOKUP(C1301,' Disaggregation - Section E '!A$313:J912,10,0)="","",VLOOKUP(C1301,' Disaggregation - Section E '!A$313:J912,10,0)),"")</f>
        <v/>
      </c>
      <c r="M1301" s="388" t="str">
        <f ca="1">IFERROR(IF(VLOOKUP(C1301,' Disaggregation - Section E '!A$313:O616,15,0)=0,"",VLOOKUP(C1301,' Disaggregation - Section E '!A$313:O912,15,0)),"")</f>
        <v/>
      </c>
      <c r="N1301" s="387"/>
      <c r="O1301" s="387"/>
      <c r="P1301" s="387" t="str">
        <f ca="1">IFERROR(IF(VLOOKUP(C1301,' Disaggregation - Section E '!A$313:R616,18,0)=0,"",VLOOKUP(C1301,' Disaggregation - Section E '!A$313:R912,18,0)),"")</f>
        <v/>
      </c>
    </row>
    <row r="1302" spans="1:16">
      <c r="A1302" s="387" t="b">
        <f t="shared" ca="1" si="162"/>
        <v>0</v>
      </c>
      <c r="B1302" s="387"/>
      <c r="C1302" s="404" t="str">
        <f ca="1">IF(COUNTA(O$1002:O1302)=1,"",OFFSET(C1302,-COUNTA(O$1002:O1302)+1,0))</f>
        <v>a1VDm000000PgCBMA0</v>
      </c>
      <c r="D1302" s="392"/>
      <c r="E1302" s="389" t="str">
        <f ca="1">IFERROR(IF(VLOOKUP(C1302,' Disaggregation - Section E '!A$313:J913,7,0)="","",VLOOKUP(C1302,' Disaggregation - Section E '!A$313:J913,7,0)*100),"")</f>
        <v/>
      </c>
      <c r="F1302" s="387"/>
      <c r="G1302" s="390" t="str">
        <f ca="1">IFERROR(IF(VLOOKUP(C1302,' Disaggregation - Section E '!A$313:J913,6,0)="","",VLOOKUP(C1302,' Disaggregation - Section E '!A$313:J913,6,0)),"")</f>
        <v/>
      </c>
      <c r="H1302" s="390" t="str">
        <f ca="1">IFERROR(IF(INDEX(' Disaggregation - Section E '!F$313:F913,MATCH(C1302,' Disaggregation - Section E '!A$313:A913,0)+1,1)&lt;&gt;0,INDEX(' Disaggregation - Section E '!F$313:F913,MATCH(C1302,' Disaggregation - Section E '!A$313:A913,0)+1,1),""),"")</f>
        <v/>
      </c>
      <c r="I1302" s="391" t="str">
        <f ca="1">IFERROR(IF(VLOOKUP(C1302,' Disaggregation - Section E '!A$313:J913,8,0)=0,"",VLOOKUP(C1302,' Disaggregation - Section E '!A$313:J913,8,0)),"")</f>
        <v/>
      </c>
      <c r="J1302" s="391" t="str">
        <f ca="1">IFERROR(IF(VLOOKUP(C1302,' Disaggregation - Section E '!A$313:J913,9,0)="","",VLOOKUP(C1302,' Disaggregation - Section E '!A$313:J913,9,0)),"")</f>
        <v/>
      </c>
      <c r="K1302" s="387" t="str">
        <f ca="1">IFERROR(VLOOKUP(C1302,' Disaggregation - Section E '!A$313:J913,3,0),"")</f>
        <v>Number of female patients with all forms of TB notified (i.e., bacteriologically confirmed + clinically diagnosed); *includes only those with new and relapse TB.</v>
      </c>
      <c r="L1302" s="391" t="str">
        <f ca="1">IFERROR(IF(VLOOKUP(C1302,' Disaggregation - Section E '!A$313:J913,10,0)="","",VLOOKUP(C1302,' Disaggregation - Section E '!A$313:J913,10,0)),"")</f>
        <v/>
      </c>
      <c r="M1302" s="388" t="str">
        <f ca="1">IFERROR(IF(VLOOKUP(C1302,' Disaggregation - Section E '!A$313:O617,15,0)=0,"",VLOOKUP(C1302,' Disaggregation - Section E '!A$313:O913,15,0)),"")</f>
        <v/>
      </c>
      <c r="N1302" s="387"/>
      <c r="O1302" s="387"/>
      <c r="P1302" s="387" t="str">
        <f ca="1">IFERROR(IF(VLOOKUP(C1302,' Disaggregation - Section E '!A$313:R617,18,0)=0,"",VLOOKUP(C1302,' Disaggregation - Section E '!A$313:R913,18,0)),"")</f>
        <v/>
      </c>
    </row>
    <row r="1303" spans="1:16">
      <c r="A1303" s="387" t="b">
        <f t="shared" ca="1" si="162"/>
        <v>0</v>
      </c>
      <c r="B1303" s="387"/>
      <c r="C1303" s="404" t="str">
        <f ca="1">IF(COUNTA(O$1002:O1303)=1,"",OFFSET(C1303,-COUNTA(O$1002:O1303)+1,0))</f>
        <v>a1VDm000000PgCCMA0</v>
      </c>
      <c r="D1303" s="392"/>
      <c r="E1303" s="389" t="str">
        <f ca="1">IFERROR(IF(VLOOKUP(C1303,' Disaggregation - Section E '!A$313:J914,7,0)="","",VLOOKUP(C1303,' Disaggregation - Section E '!A$313:J914,7,0)*100),"")</f>
        <v/>
      </c>
      <c r="F1303" s="387"/>
      <c r="G1303" s="390" t="str">
        <f ca="1">IFERROR(IF(VLOOKUP(C1303,' Disaggregation - Section E '!A$313:J914,6,0)="","",VLOOKUP(C1303,' Disaggregation - Section E '!A$313:J914,6,0)),"")</f>
        <v/>
      </c>
      <c r="H1303" s="390" t="str">
        <f ca="1">IFERROR(IF(INDEX(' Disaggregation - Section E '!F$313:F914,MATCH(C1303,' Disaggregation - Section E '!A$313:A914,0)+1,1)&lt;&gt;0,INDEX(' Disaggregation - Section E '!F$313:F914,MATCH(C1303,' Disaggregation - Section E '!A$313:A914,0)+1,1),""),"")</f>
        <v/>
      </c>
      <c r="I1303" s="391" t="str">
        <f ca="1">IFERROR(IF(VLOOKUP(C1303,' Disaggregation - Section E '!A$313:J914,8,0)=0,"",VLOOKUP(C1303,' Disaggregation - Section E '!A$313:J914,8,0)),"")</f>
        <v/>
      </c>
      <c r="J1303" s="391" t="str">
        <f ca="1">IFERROR(IF(VLOOKUP(C1303,' Disaggregation - Section E '!A$313:J914,9,0)="","",VLOOKUP(C1303,' Disaggregation - Section E '!A$313:J914,9,0)),"")</f>
        <v/>
      </c>
      <c r="K1303" s="387" t="str">
        <f ca="1">IFERROR(VLOOKUP(C1303,' Disaggregation - Section E '!A$313:J914,3,0),"")</f>
        <v>Number of female patients with all forms of TB notified (i.e., bacteriologically confirmed + clinically diagnosed); *includes only those with new and relapse TB.</v>
      </c>
      <c r="L1303" s="391" t="str">
        <f ca="1">IFERROR(IF(VLOOKUP(C1303,' Disaggregation - Section E '!A$313:J914,10,0)="","",VLOOKUP(C1303,' Disaggregation - Section E '!A$313:J914,10,0)),"")</f>
        <v/>
      </c>
      <c r="M1303" s="388" t="str">
        <f ca="1">IFERROR(IF(VLOOKUP(C1303,' Disaggregation - Section E '!A$313:O618,15,0)=0,"",VLOOKUP(C1303,' Disaggregation - Section E '!A$313:O914,15,0)),"")</f>
        <v/>
      </c>
      <c r="N1303" s="387"/>
      <c r="O1303" s="387"/>
      <c r="P1303" s="387" t="str">
        <f ca="1">IFERROR(IF(VLOOKUP(C1303,' Disaggregation - Section E '!A$313:R618,18,0)=0,"",VLOOKUP(C1303,' Disaggregation - Section E '!A$313:R914,18,0)),"")</f>
        <v/>
      </c>
    </row>
    <row r="1305" spans="1:16">
      <c r="A1305" s="385" t="s">
        <v>2253</v>
      </c>
    </row>
    <row r="1306" spans="1:16">
      <c r="A1306" s="387" t="s">
        <v>328</v>
      </c>
      <c r="B1306" s="387"/>
      <c r="C1306" s="387" t="s">
        <v>318</v>
      </c>
      <c r="D1306" s="387" t="s">
        <v>764</v>
      </c>
      <c r="E1306" s="387" t="s">
        <v>105</v>
      </c>
      <c r="F1306" s="387" t="s">
        <v>2257</v>
      </c>
      <c r="G1306" s="387" t="s">
        <v>2317</v>
      </c>
      <c r="H1306" s="387" t="s">
        <v>2316</v>
      </c>
      <c r="I1306" s="387" t="s">
        <v>768</v>
      </c>
      <c r="J1306" s="387" t="s">
        <v>199</v>
      </c>
      <c r="K1306" s="387" t="s">
        <v>2930</v>
      </c>
      <c r="L1306" s="387" t="s">
        <v>176</v>
      </c>
      <c r="M1306" s="387" t="s">
        <v>2931</v>
      </c>
      <c r="N1306" s="387"/>
      <c r="O1306" s="387" t="s">
        <v>3135</v>
      </c>
      <c r="P1306" s="387" t="s">
        <v>2259</v>
      </c>
    </row>
    <row r="1307" spans="1:16" hidden="1">
      <c r="A1307" s="387" t="b">
        <f ca="1">IF(M1307&lt;&gt;"",TRUE,FALSE)</f>
        <v>0</v>
      </c>
      <c r="B1307" s="387"/>
      <c r="C1307" s="401" t="str">
        <f ca="1">IF(COUNTA(O$1306:O1307)=1,"",OFFSET(B1307,-COUNTA(O$1306:O1307)+1,1))</f>
        <v/>
      </c>
      <c r="D1307" s="392"/>
      <c r="E1307" s="389" t="str">
        <f ca="1">IFERROR(IF(VLOOKUP(C1307,' Disaggregation - Section E '!A$7:J308,7,0)="","",VLOOKUP(C1307,' Disaggregation - Section E '!A$7:J12,7,0)*100),"")</f>
        <v/>
      </c>
      <c r="F1307" s="391" t="str">
        <f ca="1">IFERROR(IF(VLOOKUP(C1307,' Disaggregation - Section E '!A$7:J308,5,0)=0,"",VLOOKUP(C1307,' Disaggregation - Section E '!A$7:J308,5,0)),"")</f>
        <v/>
      </c>
      <c r="G1307" s="390" t="str">
        <f ca="1">IFERROR(IF(VLOOKUP(C1307,' Disaggregation - Section E '!A$7:J308,6,0)="","",VLOOKUP(C1307,' Disaggregation - Section E '!A$7:J308,6,0)),"")</f>
        <v/>
      </c>
      <c r="H1307" s="390" t="str">
        <f ca="1">IFERROR(IF(INDEX(' Disaggregation - Section E '!F$7:F308,MATCH(C1307,' Disaggregation - Section E '!A$7:A308,0)+1,1)&lt;&gt;0,INDEX(' Disaggregation - Section E '!F$7:F308,MATCH(C1307,' Disaggregation - Section E '!A$7:A308,0)+1,1),""),"")</f>
        <v/>
      </c>
      <c r="I1307" s="391" t="str">
        <f ca="1">IFERROR(IF(VLOOKUP(C1307,' Disaggregation - Section E '!A$7:J308,8,0)=0,"",VLOOKUP(C1307,' Disaggregation - Section E '!A$7:J308,8,0)),"")</f>
        <v/>
      </c>
      <c r="J1307" s="391" t="str">
        <f ca="1">IFERROR(IF(VLOOKUP(C1307,' Disaggregation - Section E '!A$7:J308,9,0)="","",VLOOKUP(C1307,' Disaggregation - Section E '!A$7:J308,9,0)),"")</f>
        <v/>
      </c>
      <c r="K1307" s="387" t="str">
        <f ca="1">IFERROR(VLOOKUP(C1307,' Disaggregation - Section E '!A$7:J308,3,0),"")</f>
        <v/>
      </c>
      <c r="L1307" s="391" t="str">
        <f ca="1">IFERROR(IF(VLOOKUP(C1307,' Disaggregation - Section E '!A$7:J308,10,0)="","",VLOOKUP(C1307,' Disaggregation - Section E '!A$7:J308,10,0)),"")</f>
        <v/>
      </c>
      <c r="M1307" s="387" t="str">
        <f ca="1">IFERROR(IF(VLOOKUP(C1307,' Disaggregation - Section E '!A$7:O308,15,0)=0,"",VLOOKUP(C1307,' Disaggregation - Section E '!A$7:O308,15,0)),"")</f>
        <v/>
      </c>
      <c r="N1307" s="387"/>
      <c r="O1307" s="387"/>
      <c r="P1307" s="387" t="str">
        <f ca="1">IFERROR(IF(VLOOKUP(C1307,' Disaggregation - Section E '!A$7:R308,18,0)=0,"",VLOOKUP(C1307,' Disaggregation - Section E '!A$7:R308,18,0)),"")</f>
        <v/>
      </c>
    </row>
    <row r="1308" spans="1:16">
      <c r="A1308" s="387" t="b">
        <v>0</v>
      </c>
      <c r="B1308" s="387"/>
      <c r="C1308" s="401" t="s">
        <v>3136</v>
      </c>
      <c r="D1308" s="392">
        <v>1</v>
      </c>
      <c r="E1308" s="389"/>
      <c r="F1308" s="391"/>
      <c r="G1308" s="390"/>
      <c r="H1308" s="390"/>
      <c r="I1308" s="391"/>
      <c r="J1308" s="391"/>
      <c r="K1308" s="387" t="str">
        <f ca="1">IFERROR(VLOOKUP(C1308,' Disaggregation - Section E '!A$7:J309,3,0),"")</f>
        <v/>
      </c>
      <c r="L1308" s="391"/>
      <c r="M1308" s="387"/>
      <c r="N1308" s="387"/>
      <c r="O1308" s="387" t="s">
        <v>2350</v>
      </c>
      <c r="P1308" s="387"/>
    </row>
    <row r="1309" spans="1:16">
      <c r="A1309" s="387" t="b">
        <v>0</v>
      </c>
      <c r="B1309" s="387"/>
      <c r="C1309" s="401" t="s">
        <v>3137</v>
      </c>
      <c r="D1309" s="392">
        <v>1</v>
      </c>
      <c r="E1309" s="389"/>
      <c r="F1309" s="391"/>
      <c r="G1309" s="390"/>
      <c r="H1309" s="390"/>
      <c r="I1309" s="391"/>
      <c r="J1309" s="391"/>
      <c r="K1309" s="387" t="str">
        <f ca="1">IFERROR(VLOOKUP(C1309,' Disaggregation - Section E '!A$7:J310,3,0),"")</f>
        <v/>
      </c>
      <c r="L1309" s="391"/>
      <c r="M1309" s="387"/>
      <c r="N1309" s="387"/>
      <c r="O1309" s="387" t="s">
        <v>2350</v>
      </c>
      <c r="P1309" s="387"/>
    </row>
    <row r="1310" spans="1:16">
      <c r="A1310" s="387" t="b">
        <v>0</v>
      </c>
      <c r="B1310" s="387"/>
      <c r="C1310" s="401" t="s">
        <v>3138</v>
      </c>
      <c r="D1310" s="392">
        <v>1</v>
      </c>
      <c r="E1310" s="389"/>
      <c r="F1310" s="391"/>
      <c r="G1310" s="390"/>
      <c r="H1310" s="390"/>
      <c r="I1310" s="391"/>
      <c r="J1310" s="391"/>
      <c r="K1310" s="387" t="str">
        <f ca="1">IFERROR(VLOOKUP(C1310,' Disaggregation - Section E '!A$7:J311,3,0),"")</f>
        <v/>
      </c>
      <c r="L1310" s="391"/>
      <c r="M1310" s="387"/>
      <c r="N1310" s="387"/>
      <c r="O1310" s="387" t="s">
        <v>2350</v>
      </c>
      <c r="P1310" s="387"/>
    </row>
    <row r="1311" spans="1:16">
      <c r="A1311" s="387" t="b">
        <v>0</v>
      </c>
      <c r="B1311" s="387"/>
      <c r="C1311" s="401" t="s">
        <v>3139</v>
      </c>
      <c r="D1311" s="392">
        <v>1</v>
      </c>
      <c r="E1311" s="389"/>
      <c r="F1311" s="391"/>
      <c r="G1311" s="390"/>
      <c r="H1311" s="390"/>
      <c r="I1311" s="391"/>
      <c r="J1311" s="391"/>
      <c r="K1311" s="387" t="str">
        <f ca="1">IFERROR(VLOOKUP(C1311,' Disaggregation - Section E '!A$7:J312,3,0),"")</f>
        <v/>
      </c>
      <c r="L1311" s="391"/>
      <c r="M1311" s="387"/>
      <c r="N1311" s="387"/>
      <c r="O1311" s="387" t="s">
        <v>2350</v>
      </c>
      <c r="P1311" s="387"/>
    </row>
    <row r="1312" spans="1:16">
      <c r="A1312" s="387" t="b">
        <v>0</v>
      </c>
      <c r="B1312" s="387"/>
      <c r="C1312" s="401" t="s">
        <v>3140</v>
      </c>
      <c r="D1312" s="392">
        <v>1</v>
      </c>
      <c r="E1312" s="389"/>
      <c r="F1312" s="391"/>
      <c r="G1312" s="390"/>
      <c r="H1312" s="390"/>
      <c r="I1312" s="391"/>
      <c r="J1312" s="391"/>
      <c r="K1312" s="387" t="str">
        <f ca="1">IFERROR(VLOOKUP(C1312,' Disaggregation - Section E '!A$7:J313,3,0),"")</f>
        <v/>
      </c>
      <c r="L1312" s="391"/>
      <c r="M1312" s="387"/>
      <c r="N1312" s="387"/>
      <c r="O1312" s="387" t="s">
        <v>2350</v>
      </c>
      <c r="P1312" s="387"/>
    </row>
    <row r="1313" spans="1:16">
      <c r="A1313" s="387" t="b">
        <v>0</v>
      </c>
      <c r="B1313" s="387"/>
      <c r="C1313" s="401" t="s">
        <v>3141</v>
      </c>
      <c r="D1313" s="392">
        <v>1</v>
      </c>
      <c r="E1313" s="389"/>
      <c r="F1313" s="391"/>
      <c r="G1313" s="390"/>
      <c r="H1313" s="390"/>
      <c r="I1313" s="391"/>
      <c r="J1313" s="391"/>
      <c r="K1313" s="387" t="str">
        <f ca="1">IFERROR(VLOOKUP(C1313,' Disaggregation - Section E '!A$7:J314,3,0),"")</f>
        <v/>
      </c>
      <c r="L1313" s="391"/>
      <c r="M1313" s="387"/>
      <c r="N1313" s="387"/>
      <c r="O1313" s="387" t="s">
        <v>2350</v>
      </c>
      <c r="P1313" s="387"/>
    </row>
    <row r="1314" spans="1:16">
      <c r="A1314" s="387" t="b">
        <v>0</v>
      </c>
      <c r="B1314" s="387"/>
      <c r="C1314" s="401" t="s">
        <v>3142</v>
      </c>
      <c r="D1314" s="392">
        <v>1</v>
      </c>
      <c r="E1314" s="389"/>
      <c r="F1314" s="391"/>
      <c r="G1314" s="390"/>
      <c r="H1314" s="390"/>
      <c r="I1314" s="391"/>
      <c r="J1314" s="391"/>
      <c r="K1314" s="387" t="str">
        <f ca="1">IFERROR(VLOOKUP(C1314,' Disaggregation - Section E '!A$7:J315,3,0),"")</f>
        <v/>
      </c>
      <c r="L1314" s="391"/>
      <c r="M1314" s="387"/>
      <c r="N1314" s="387"/>
      <c r="O1314" s="387" t="s">
        <v>2350</v>
      </c>
      <c r="P1314" s="387"/>
    </row>
    <row r="1315" spans="1:16">
      <c r="A1315" s="387" t="b">
        <v>0</v>
      </c>
      <c r="B1315" s="387"/>
      <c r="C1315" s="401" t="s">
        <v>3143</v>
      </c>
      <c r="D1315" s="392">
        <v>1</v>
      </c>
      <c r="E1315" s="389"/>
      <c r="F1315" s="391"/>
      <c r="G1315" s="390"/>
      <c r="H1315" s="390"/>
      <c r="I1315" s="391"/>
      <c r="J1315" s="391"/>
      <c r="K1315" s="387" t="str">
        <f ca="1">IFERROR(VLOOKUP(C1315,' Disaggregation - Section E '!A$7:J316,3,0),"")</f>
        <v/>
      </c>
      <c r="L1315" s="391"/>
      <c r="M1315" s="387"/>
      <c r="N1315" s="387"/>
      <c r="O1315" s="387" t="s">
        <v>2350</v>
      </c>
      <c r="P1315" s="387"/>
    </row>
    <row r="1316" spans="1:16">
      <c r="A1316" s="387" t="b">
        <v>0</v>
      </c>
      <c r="B1316" s="387"/>
      <c r="C1316" s="401" t="s">
        <v>3144</v>
      </c>
      <c r="D1316" s="392">
        <v>1</v>
      </c>
      <c r="E1316" s="389"/>
      <c r="F1316" s="391"/>
      <c r="G1316" s="390"/>
      <c r="H1316" s="390"/>
      <c r="I1316" s="391"/>
      <c r="J1316" s="391"/>
      <c r="K1316" s="387" t="str">
        <f ca="1">IFERROR(VLOOKUP(C1316,' Disaggregation - Section E '!A$7:J317,3,0),"")</f>
        <v/>
      </c>
      <c r="L1316" s="391"/>
      <c r="M1316" s="387"/>
      <c r="N1316" s="387"/>
      <c r="O1316" s="387" t="s">
        <v>2350</v>
      </c>
      <c r="P1316" s="387"/>
    </row>
    <row r="1317" spans="1:16">
      <c r="A1317" s="387" t="b">
        <v>0</v>
      </c>
      <c r="B1317" s="387"/>
      <c r="C1317" s="401" t="s">
        <v>3145</v>
      </c>
      <c r="D1317" s="392">
        <v>1</v>
      </c>
      <c r="E1317" s="389"/>
      <c r="F1317" s="391"/>
      <c r="G1317" s="390"/>
      <c r="H1317" s="390"/>
      <c r="I1317" s="391"/>
      <c r="J1317" s="391"/>
      <c r="K1317" s="387" t="str">
        <f ca="1">IFERROR(VLOOKUP(C1317,' Disaggregation - Section E '!A$7:J318,3,0),"")</f>
        <v/>
      </c>
      <c r="L1317" s="391"/>
      <c r="M1317" s="387"/>
      <c r="N1317" s="387"/>
      <c r="O1317" s="387" t="s">
        <v>2350</v>
      </c>
      <c r="P1317" s="387"/>
    </row>
    <row r="1318" spans="1:16">
      <c r="A1318" s="387" t="b">
        <v>0</v>
      </c>
      <c r="B1318" s="387"/>
      <c r="C1318" s="401" t="s">
        <v>3146</v>
      </c>
      <c r="D1318" s="392">
        <v>2</v>
      </c>
      <c r="E1318" s="389"/>
      <c r="F1318" s="391"/>
      <c r="G1318" s="390"/>
      <c r="H1318" s="390"/>
      <c r="I1318" s="391"/>
      <c r="J1318" s="391"/>
      <c r="K1318" s="387" t="str">
        <f ca="1">IFERROR(VLOOKUP(C1318,' Disaggregation - Section E '!A$7:J319,3,0),"")</f>
        <v/>
      </c>
      <c r="L1318" s="391"/>
      <c r="M1318" s="387"/>
      <c r="N1318" s="387"/>
      <c r="O1318" s="387" t="s">
        <v>2360</v>
      </c>
      <c r="P1318" s="387"/>
    </row>
    <row r="1319" spans="1:16">
      <c r="A1319" s="387" t="b">
        <v>0</v>
      </c>
      <c r="B1319" s="387"/>
      <c r="C1319" s="401" t="s">
        <v>3147</v>
      </c>
      <c r="D1319" s="392">
        <v>2</v>
      </c>
      <c r="E1319" s="389"/>
      <c r="F1319" s="391"/>
      <c r="G1319" s="390"/>
      <c r="H1319" s="390"/>
      <c r="I1319" s="391"/>
      <c r="J1319" s="391"/>
      <c r="K1319" s="387" t="str">
        <f ca="1">IFERROR(VLOOKUP(C1319,' Disaggregation - Section E '!A$7:J320,3,0),"")</f>
        <v/>
      </c>
      <c r="L1319" s="391"/>
      <c r="M1319" s="387"/>
      <c r="N1319" s="387"/>
      <c r="O1319" s="387" t="s">
        <v>2360</v>
      </c>
      <c r="P1319" s="387"/>
    </row>
    <row r="1320" spans="1:16">
      <c r="A1320" s="387" t="b">
        <v>0</v>
      </c>
      <c r="B1320" s="387"/>
      <c r="C1320" s="401" t="s">
        <v>3148</v>
      </c>
      <c r="D1320" s="392">
        <v>2</v>
      </c>
      <c r="E1320" s="389"/>
      <c r="F1320" s="391"/>
      <c r="G1320" s="390"/>
      <c r="H1320" s="390"/>
      <c r="I1320" s="391"/>
      <c r="J1320" s="391"/>
      <c r="K1320" s="387" t="str">
        <f ca="1">IFERROR(VLOOKUP(C1320,' Disaggregation - Section E '!A$7:J321,3,0),"")</f>
        <v/>
      </c>
      <c r="L1320" s="391"/>
      <c r="M1320" s="387"/>
      <c r="N1320" s="387"/>
      <c r="O1320" s="387" t="s">
        <v>2360</v>
      </c>
      <c r="P1320" s="387"/>
    </row>
    <row r="1321" spans="1:16">
      <c r="A1321" s="387" t="b">
        <v>0</v>
      </c>
      <c r="B1321" s="387"/>
      <c r="C1321" s="401" t="s">
        <v>3149</v>
      </c>
      <c r="D1321" s="392">
        <v>2</v>
      </c>
      <c r="E1321" s="389"/>
      <c r="F1321" s="391"/>
      <c r="G1321" s="390"/>
      <c r="H1321" s="390"/>
      <c r="I1321" s="391"/>
      <c r="J1321" s="391"/>
      <c r="K1321" s="387" t="str">
        <f ca="1">IFERROR(VLOOKUP(C1321,' Disaggregation - Section E '!A$7:J322,3,0),"")</f>
        <v/>
      </c>
      <c r="L1321" s="391"/>
      <c r="M1321" s="387"/>
      <c r="N1321" s="387"/>
      <c r="O1321" s="387" t="s">
        <v>2360</v>
      </c>
      <c r="P1321" s="387"/>
    </row>
    <row r="1322" spans="1:16">
      <c r="A1322" s="387" t="b">
        <v>0</v>
      </c>
      <c r="B1322" s="387"/>
      <c r="C1322" s="401" t="s">
        <v>3150</v>
      </c>
      <c r="D1322" s="392">
        <v>2</v>
      </c>
      <c r="E1322" s="389"/>
      <c r="F1322" s="391"/>
      <c r="G1322" s="390"/>
      <c r="H1322" s="390"/>
      <c r="I1322" s="391"/>
      <c r="J1322" s="391"/>
      <c r="K1322" s="387" t="str">
        <f ca="1">IFERROR(VLOOKUP(C1322,' Disaggregation - Section E '!A$7:J323,3,0),"")</f>
        <v/>
      </c>
      <c r="L1322" s="391"/>
      <c r="M1322" s="387"/>
      <c r="N1322" s="387"/>
      <c r="O1322" s="387" t="s">
        <v>2360</v>
      </c>
      <c r="P1322" s="387"/>
    </row>
    <row r="1323" spans="1:16">
      <c r="A1323" s="387" t="b">
        <v>0</v>
      </c>
      <c r="B1323" s="387"/>
      <c r="C1323" s="401" t="s">
        <v>3151</v>
      </c>
      <c r="D1323" s="392">
        <v>2</v>
      </c>
      <c r="E1323" s="389"/>
      <c r="F1323" s="391"/>
      <c r="G1323" s="390"/>
      <c r="H1323" s="390"/>
      <c r="I1323" s="391"/>
      <c r="J1323" s="391"/>
      <c r="K1323" s="387" t="str">
        <f ca="1">IFERROR(VLOOKUP(C1323,' Disaggregation - Section E '!A$7:J324,3,0),"")</f>
        <v/>
      </c>
      <c r="L1323" s="391"/>
      <c r="M1323" s="387"/>
      <c r="N1323" s="387"/>
      <c r="O1323" s="387" t="s">
        <v>2360</v>
      </c>
      <c r="P1323" s="387"/>
    </row>
    <row r="1324" spans="1:16">
      <c r="A1324" s="387" t="b">
        <v>0</v>
      </c>
      <c r="B1324" s="387"/>
      <c r="C1324" s="401" t="s">
        <v>3152</v>
      </c>
      <c r="D1324" s="392">
        <v>2</v>
      </c>
      <c r="E1324" s="389"/>
      <c r="F1324" s="391"/>
      <c r="G1324" s="390"/>
      <c r="H1324" s="390"/>
      <c r="I1324" s="391"/>
      <c r="J1324" s="391"/>
      <c r="K1324" s="387" t="str">
        <f ca="1">IFERROR(VLOOKUP(C1324,' Disaggregation - Section E '!A$7:J325,3,0),"")</f>
        <v/>
      </c>
      <c r="L1324" s="391"/>
      <c r="M1324" s="387"/>
      <c r="N1324" s="387"/>
      <c r="O1324" s="387" t="s">
        <v>2360</v>
      </c>
      <c r="P1324" s="387"/>
    </row>
    <row r="1325" spans="1:16">
      <c r="A1325" s="387" t="b">
        <v>0</v>
      </c>
      <c r="B1325" s="387"/>
      <c r="C1325" s="401" t="s">
        <v>3153</v>
      </c>
      <c r="D1325" s="392">
        <v>2</v>
      </c>
      <c r="E1325" s="389"/>
      <c r="F1325" s="391"/>
      <c r="G1325" s="390"/>
      <c r="H1325" s="390"/>
      <c r="I1325" s="391"/>
      <c r="J1325" s="391"/>
      <c r="K1325" s="387" t="str">
        <f ca="1">IFERROR(VLOOKUP(C1325,' Disaggregation - Section E '!A$7:J326,3,0),"")</f>
        <v/>
      </c>
      <c r="L1325" s="391"/>
      <c r="M1325" s="387"/>
      <c r="N1325" s="387"/>
      <c r="O1325" s="387" t="s">
        <v>2360</v>
      </c>
      <c r="P1325" s="387"/>
    </row>
    <row r="1326" spans="1:16">
      <c r="A1326" s="387" t="b">
        <v>0</v>
      </c>
      <c r="B1326" s="387"/>
      <c r="C1326" s="401" t="s">
        <v>3154</v>
      </c>
      <c r="D1326" s="392">
        <v>2</v>
      </c>
      <c r="E1326" s="389"/>
      <c r="F1326" s="391"/>
      <c r="G1326" s="390"/>
      <c r="H1326" s="390"/>
      <c r="I1326" s="391"/>
      <c r="J1326" s="391"/>
      <c r="K1326" s="387" t="str">
        <f ca="1">IFERROR(VLOOKUP(C1326,' Disaggregation - Section E '!A$7:J327,3,0),"")</f>
        <v/>
      </c>
      <c r="L1326" s="391"/>
      <c r="M1326" s="387"/>
      <c r="N1326" s="387"/>
      <c r="O1326" s="387" t="s">
        <v>2360</v>
      </c>
      <c r="P1326" s="387"/>
    </row>
    <row r="1327" spans="1:16">
      <c r="A1327" s="387" t="b">
        <v>0</v>
      </c>
      <c r="B1327" s="387"/>
      <c r="C1327" s="401" t="s">
        <v>3155</v>
      </c>
      <c r="D1327" s="392">
        <v>2</v>
      </c>
      <c r="E1327" s="389"/>
      <c r="F1327" s="391"/>
      <c r="G1327" s="390"/>
      <c r="H1327" s="390"/>
      <c r="I1327" s="391"/>
      <c r="J1327" s="391"/>
      <c r="K1327" s="387" t="str">
        <f ca="1">IFERROR(VLOOKUP(C1327,' Disaggregation - Section E '!A$7:J328,3,0),"")</f>
        <v/>
      </c>
      <c r="L1327" s="391"/>
      <c r="M1327" s="387"/>
      <c r="N1327" s="387"/>
      <c r="O1327" s="387" t="s">
        <v>2360</v>
      </c>
      <c r="P1327" s="387"/>
    </row>
    <row r="1328" spans="1:16">
      <c r="A1328" s="387" t="b">
        <v>0</v>
      </c>
      <c r="B1328" s="387"/>
      <c r="C1328" s="401" t="s">
        <v>3156</v>
      </c>
      <c r="D1328" s="392">
        <v>3</v>
      </c>
      <c r="E1328" s="389"/>
      <c r="F1328" s="391"/>
      <c r="G1328" s="390"/>
      <c r="H1328" s="390"/>
      <c r="I1328" s="391"/>
      <c r="J1328" s="391"/>
      <c r="K1328" s="387" t="str">
        <f ca="1">IFERROR(VLOOKUP(C1328,' Disaggregation - Section E '!A$7:J329,3,0),"")</f>
        <v/>
      </c>
      <c r="L1328" s="391"/>
      <c r="M1328" s="387"/>
      <c r="N1328" s="387"/>
      <c r="O1328" s="387" t="s">
        <v>2367</v>
      </c>
      <c r="P1328" s="387"/>
    </row>
    <row r="1329" spans="1:16">
      <c r="A1329" s="387" t="b">
        <v>0</v>
      </c>
      <c r="B1329" s="387"/>
      <c r="C1329" s="401" t="s">
        <v>3157</v>
      </c>
      <c r="D1329" s="392">
        <v>3</v>
      </c>
      <c r="E1329" s="389"/>
      <c r="F1329" s="391"/>
      <c r="G1329" s="390"/>
      <c r="H1329" s="390"/>
      <c r="I1329" s="391"/>
      <c r="J1329" s="391"/>
      <c r="K1329" s="387" t="str">
        <f ca="1">IFERROR(VLOOKUP(C1329,' Disaggregation - Section E '!A$7:J330,3,0),"")</f>
        <v/>
      </c>
      <c r="L1329" s="391"/>
      <c r="M1329" s="387"/>
      <c r="N1329" s="387"/>
      <c r="O1329" s="387" t="s">
        <v>2367</v>
      </c>
      <c r="P1329" s="387"/>
    </row>
    <row r="1330" spans="1:16">
      <c r="A1330" s="387" t="b">
        <v>0</v>
      </c>
      <c r="B1330" s="387"/>
      <c r="C1330" s="401" t="s">
        <v>3158</v>
      </c>
      <c r="D1330" s="392">
        <v>3</v>
      </c>
      <c r="E1330" s="389"/>
      <c r="F1330" s="391"/>
      <c r="G1330" s="390"/>
      <c r="H1330" s="390"/>
      <c r="I1330" s="391"/>
      <c r="J1330" s="391"/>
      <c r="K1330" s="387" t="str">
        <f ca="1">IFERROR(VLOOKUP(C1330,' Disaggregation - Section E '!A$7:J331,3,0),"")</f>
        <v/>
      </c>
      <c r="L1330" s="391"/>
      <c r="M1330" s="387"/>
      <c r="N1330" s="387"/>
      <c r="O1330" s="387" t="s">
        <v>2367</v>
      </c>
      <c r="P1330" s="387"/>
    </row>
    <row r="1331" spans="1:16">
      <c r="A1331" s="387" t="b">
        <v>0</v>
      </c>
      <c r="B1331" s="387"/>
      <c r="C1331" s="401" t="s">
        <v>3159</v>
      </c>
      <c r="D1331" s="392">
        <v>3</v>
      </c>
      <c r="E1331" s="389"/>
      <c r="F1331" s="391"/>
      <c r="G1331" s="390"/>
      <c r="H1331" s="390"/>
      <c r="I1331" s="391"/>
      <c r="J1331" s="391"/>
      <c r="K1331" s="387" t="str">
        <f ca="1">IFERROR(VLOOKUP(C1331,' Disaggregation - Section E '!A$7:J332,3,0),"")</f>
        <v/>
      </c>
      <c r="L1331" s="391"/>
      <c r="M1331" s="387"/>
      <c r="N1331" s="387"/>
      <c r="O1331" s="387" t="s">
        <v>2367</v>
      </c>
      <c r="P1331" s="387"/>
    </row>
    <row r="1332" spans="1:16">
      <c r="A1332" s="387" t="b">
        <v>0</v>
      </c>
      <c r="B1332" s="387"/>
      <c r="C1332" s="401" t="s">
        <v>3160</v>
      </c>
      <c r="D1332" s="392">
        <v>3</v>
      </c>
      <c r="E1332" s="389"/>
      <c r="F1332" s="391"/>
      <c r="G1332" s="390"/>
      <c r="H1332" s="390"/>
      <c r="I1332" s="391"/>
      <c r="J1332" s="391"/>
      <c r="K1332" s="387" t="str">
        <f ca="1">IFERROR(VLOOKUP(C1332,' Disaggregation - Section E '!A$7:J333,3,0),"")</f>
        <v/>
      </c>
      <c r="L1332" s="391"/>
      <c r="M1332" s="387"/>
      <c r="N1332" s="387"/>
      <c r="O1332" s="387" t="s">
        <v>2367</v>
      </c>
      <c r="P1332" s="387"/>
    </row>
    <row r="1333" spans="1:16">
      <c r="A1333" s="387" t="b">
        <v>0</v>
      </c>
      <c r="B1333" s="387"/>
      <c r="C1333" s="401" t="s">
        <v>3161</v>
      </c>
      <c r="D1333" s="392">
        <v>3</v>
      </c>
      <c r="E1333" s="389"/>
      <c r="F1333" s="391"/>
      <c r="G1333" s="390"/>
      <c r="H1333" s="390"/>
      <c r="I1333" s="391"/>
      <c r="J1333" s="391"/>
      <c r="K1333" s="387" t="str">
        <f ca="1">IFERROR(VLOOKUP(C1333,' Disaggregation - Section E '!A$7:J334,3,0),"")</f>
        <v/>
      </c>
      <c r="L1333" s="391"/>
      <c r="M1333" s="387"/>
      <c r="N1333" s="387"/>
      <c r="O1333" s="387" t="s">
        <v>2367</v>
      </c>
      <c r="P1333" s="387"/>
    </row>
    <row r="1334" spans="1:16">
      <c r="A1334" s="387" t="b">
        <v>0</v>
      </c>
      <c r="B1334" s="387"/>
      <c r="C1334" s="401" t="s">
        <v>3162</v>
      </c>
      <c r="D1334" s="392">
        <v>3</v>
      </c>
      <c r="E1334" s="389"/>
      <c r="F1334" s="391"/>
      <c r="G1334" s="390"/>
      <c r="H1334" s="390"/>
      <c r="I1334" s="391"/>
      <c r="J1334" s="391"/>
      <c r="K1334" s="387" t="str">
        <f ca="1">IFERROR(VLOOKUP(C1334,' Disaggregation - Section E '!A$7:J335,3,0),"")</f>
        <v/>
      </c>
      <c r="L1334" s="391"/>
      <c r="M1334" s="387"/>
      <c r="N1334" s="387"/>
      <c r="O1334" s="387" t="s">
        <v>2367</v>
      </c>
      <c r="P1334" s="387"/>
    </row>
    <row r="1335" spans="1:16">
      <c r="A1335" s="387" t="b">
        <v>0</v>
      </c>
      <c r="B1335" s="387"/>
      <c r="C1335" s="401" t="s">
        <v>3163</v>
      </c>
      <c r="D1335" s="392">
        <v>3</v>
      </c>
      <c r="E1335" s="389"/>
      <c r="F1335" s="391"/>
      <c r="G1335" s="390"/>
      <c r="H1335" s="390"/>
      <c r="I1335" s="391"/>
      <c r="J1335" s="391"/>
      <c r="K1335" s="387" t="str">
        <f ca="1">IFERROR(VLOOKUP(C1335,' Disaggregation - Section E '!A$7:J336,3,0),"")</f>
        <v/>
      </c>
      <c r="L1335" s="391"/>
      <c r="M1335" s="387"/>
      <c r="N1335" s="387"/>
      <c r="O1335" s="387" t="s">
        <v>2367</v>
      </c>
      <c r="P1335" s="387"/>
    </row>
    <row r="1336" spans="1:16">
      <c r="A1336" s="387" t="b">
        <v>0</v>
      </c>
      <c r="B1336" s="387"/>
      <c r="C1336" s="401" t="s">
        <v>3164</v>
      </c>
      <c r="D1336" s="392">
        <v>3</v>
      </c>
      <c r="E1336" s="389"/>
      <c r="F1336" s="391"/>
      <c r="G1336" s="390"/>
      <c r="H1336" s="390"/>
      <c r="I1336" s="391"/>
      <c r="J1336" s="391"/>
      <c r="K1336" s="387" t="str">
        <f ca="1">IFERROR(VLOOKUP(C1336,' Disaggregation - Section E '!A$7:J337,3,0),"")</f>
        <v/>
      </c>
      <c r="L1336" s="391"/>
      <c r="M1336" s="387"/>
      <c r="N1336" s="387"/>
      <c r="O1336" s="387" t="s">
        <v>2367</v>
      </c>
      <c r="P1336" s="387"/>
    </row>
    <row r="1337" spans="1:16">
      <c r="A1337" s="387" t="b">
        <v>0</v>
      </c>
      <c r="B1337" s="387"/>
      <c r="C1337" s="401" t="s">
        <v>3165</v>
      </c>
      <c r="D1337" s="392">
        <v>3</v>
      </c>
      <c r="E1337" s="389"/>
      <c r="F1337" s="391"/>
      <c r="G1337" s="390"/>
      <c r="H1337" s="390"/>
      <c r="I1337" s="391"/>
      <c r="J1337" s="391"/>
      <c r="K1337" s="387" t="str">
        <f ca="1">IFERROR(VLOOKUP(C1337,' Disaggregation - Section E '!A$7:J338,3,0),"")</f>
        <v/>
      </c>
      <c r="L1337" s="391"/>
      <c r="M1337" s="387"/>
      <c r="N1337" s="387"/>
      <c r="O1337" s="387" t="s">
        <v>2367</v>
      </c>
      <c r="P1337" s="387"/>
    </row>
    <row r="1338" spans="1:16">
      <c r="A1338" s="387" t="b">
        <v>1</v>
      </c>
      <c r="B1338" s="387"/>
      <c r="C1338" s="401" t="s">
        <v>3166</v>
      </c>
      <c r="D1338" s="392">
        <v>4</v>
      </c>
      <c r="E1338" s="389"/>
      <c r="F1338" s="391" t="s">
        <v>3167</v>
      </c>
      <c r="G1338" s="390"/>
      <c r="H1338" s="390"/>
      <c r="I1338" s="391"/>
      <c r="J1338" s="391"/>
      <c r="K1338" s="387" t="str">
        <f ca="1">IFERROR(VLOOKUP(C1338,' Disaggregation - Section E '!A$7:J339,3,0),"")</f>
        <v>HIV I-9a Percentage of men who have sex with men who are living with HIV</v>
      </c>
      <c r="L1338" s="391" t="s">
        <v>2260</v>
      </c>
      <c r="M1338" s="387" t="s">
        <v>3168</v>
      </c>
      <c r="N1338" s="387"/>
      <c r="O1338" s="387" t="s">
        <v>2374</v>
      </c>
      <c r="P1338" s="387" t="s">
        <v>3169</v>
      </c>
    </row>
    <row r="1339" spans="1:16">
      <c r="A1339" s="387" t="b">
        <v>1</v>
      </c>
      <c r="B1339" s="387"/>
      <c r="C1339" s="401" t="s">
        <v>3170</v>
      </c>
      <c r="D1339" s="392">
        <v>4</v>
      </c>
      <c r="E1339" s="389"/>
      <c r="F1339" s="391" t="s">
        <v>3171</v>
      </c>
      <c r="G1339" s="390"/>
      <c r="H1339" s="390"/>
      <c r="I1339" s="391"/>
      <c r="J1339" s="391"/>
      <c r="K1339" s="387" t="str">
        <f ca="1">IFERROR(VLOOKUP(C1339,' Disaggregation - Section E '!A$7:J340,3,0),"")</f>
        <v>HIV I-9a Percentage of men who have sex with men who are living with HIV</v>
      </c>
      <c r="L1339" s="391" t="s">
        <v>2260</v>
      </c>
      <c r="M1339" s="387" t="s">
        <v>3172</v>
      </c>
      <c r="N1339" s="387"/>
      <c r="O1339" s="387" t="s">
        <v>2374</v>
      </c>
      <c r="P1339" s="387" t="s">
        <v>3173</v>
      </c>
    </row>
    <row r="1340" spans="1:16">
      <c r="A1340" s="387" t="b">
        <v>0</v>
      </c>
      <c r="B1340" s="387"/>
      <c r="C1340" s="401" t="s">
        <v>3174</v>
      </c>
      <c r="D1340" s="392">
        <v>4</v>
      </c>
      <c r="E1340" s="389"/>
      <c r="F1340" s="391"/>
      <c r="G1340" s="390"/>
      <c r="H1340" s="390"/>
      <c r="I1340" s="391"/>
      <c r="J1340" s="391"/>
      <c r="K1340" s="387" t="str">
        <f ca="1">IFERROR(VLOOKUP(C1340,' Disaggregation - Section E '!A$7:J341,3,0),"")</f>
        <v>HIV I-9a Percentage of men who have sex with men who are living with HIV</v>
      </c>
      <c r="L1340" s="391"/>
      <c r="M1340" s="387"/>
      <c r="N1340" s="387"/>
      <c r="O1340" s="387" t="s">
        <v>2374</v>
      </c>
      <c r="P1340" s="387"/>
    </row>
    <row r="1341" spans="1:16">
      <c r="A1341" s="387" t="b">
        <v>0</v>
      </c>
      <c r="B1341" s="387"/>
      <c r="C1341" s="401" t="s">
        <v>3175</v>
      </c>
      <c r="D1341" s="392">
        <v>4</v>
      </c>
      <c r="E1341" s="389"/>
      <c r="F1341" s="391"/>
      <c r="G1341" s="390"/>
      <c r="H1341" s="390"/>
      <c r="I1341" s="391"/>
      <c r="J1341" s="391"/>
      <c r="K1341" s="387" t="str">
        <f ca="1">IFERROR(VLOOKUP(C1341,' Disaggregation - Section E '!A$7:J342,3,0),"")</f>
        <v>HIV I-9a Percentage of men who have sex with men who are living with HIV</v>
      </c>
      <c r="L1341" s="391"/>
      <c r="M1341" s="387"/>
      <c r="N1341" s="387"/>
      <c r="O1341" s="387" t="s">
        <v>2374</v>
      </c>
      <c r="P1341" s="387"/>
    </row>
    <row r="1342" spans="1:16">
      <c r="A1342" s="387" t="b">
        <v>0</v>
      </c>
      <c r="B1342" s="387"/>
      <c r="C1342" s="401" t="s">
        <v>3176</v>
      </c>
      <c r="D1342" s="392">
        <v>4</v>
      </c>
      <c r="E1342" s="389"/>
      <c r="F1342" s="391"/>
      <c r="G1342" s="390"/>
      <c r="H1342" s="390"/>
      <c r="I1342" s="391"/>
      <c r="J1342" s="391"/>
      <c r="K1342" s="387" t="str">
        <f ca="1">IFERROR(VLOOKUP(C1342,' Disaggregation - Section E '!A$7:J343,3,0),"")</f>
        <v>HIV I-9a Percentage of men who have sex with men who are living with HIV</v>
      </c>
      <c r="L1342" s="391"/>
      <c r="M1342" s="387"/>
      <c r="N1342" s="387"/>
      <c r="O1342" s="387" t="s">
        <v>2374</v>
      </c>
      <c r="P1342" s="387"/>
    </row>
    <row r="1343" spans="1:16">
      <c r="A1343" s="387" t="b">
        <v>0</v>
      </c>
      <c r="B1343" s="387"/>
      <c r="C1343" s="401" t="s">
        <v>3177</v>
      </c>
      <c r="D1343" s="392">
        <v>4</v>
      </c>
      <c r="E1343" s="389"/>
      <c r="F1343" s="391"/>
      <c r="G1343" s="390"/>
      <c r="H1343" s="390"/>
      <c r="I1343" s="391"/>
      <c r="J1343" s="391"/>
      <c r="K1343" s="387" t="str">
        <f ca="1">IFERROR(VLOOKUP(C1343,' Disaggregation - Section E '!A$7:J344,3,0),"")</f>
        <v>HIV I-9a Percentage of men who have sex with men who are living with HIV</v>
      </c>
      <c r="L1343" s="391"/>
      <c r="M1343" s="387"/>
      <c r="N1343" s="387"/>
      <c r="O1343" s="387" t="s">
        <v>2374</v>
      </c>
      <c r="P1343" s="387"/>
    </row>
    <row r="1344" spans="1:16">
      <c r="A1344" s="387" t="b">
        <v>0</v>
      </c>
      <c r="B1344" s="387"/>
      <c r="C1344" s="401" t="s">
        <v>3178</v>
      </c>
      <c r="D1344" s="392">
        <v>4</v>
      </c>
      <c r="E1344" s="389"/>
      <c r="F1344" s="391"/>
      <c r="G1344" s="390"/>
      <c r="H1344" s="390"/>
      <c r="I1344" s="391"/>
      <c r="J1344" s="391"/>
      <c r="K1344" s="387" t="str">
        <f ca="1">IFERROR(VLOOKUP(C1344,' Disaggregation - Section E '!A$7:J345,3,0),"")</f>
        <v>HIV I-9a Percentage of men who have sex with men who are living with HIV</v>
      </c>
      <c r="L1344" s="391"/>
      <c r="M1344" s="387"/>
      <c r="N1344" s="387"/>
      <c r="O1344" s="387" t="s">
        <v>2374</v>
      </c>
      <c r="P1344" s="387"/>
    </row>
    <row r="1345" spans="1:16">
      <c r="A1345" s="387" t="b">
        <v>0</v>
      </c>
      <c r="B1345" s="387"/>
      <c r="C1345" s="401" t="s">
        <v>3179</v>
      </c>
      <c r="D1345" s="392">
        <v>4</v>
      </c>
      <c r="E1345" s="389"/>
      <c r="F1345" s="391"/>
      <c r="G1345" s="390"/>
      <c r="H1345" s="390"/>
      <c r="I1345" s="391"/>
      <c r="J1345" s="391"/>
      <c r="K1345" s="387" t="str">
        <f ca="1">IFERROR(VLOOKUP(C1345,' Disaggregation - Section E '!A$7:J346,3,0),"")</f>
        <v>HIV I-9a Percentage of men who have sex with men who are living with HIV</v>
      </c>
      <c r="L1345" s="391"/>
      <c r="M1345" s="387"/>
      <c r="N1345" s="387"/>
      <c r="O1345" s="387" t="s">
        <v>2374</v>
      </c>
      <c r="P1345" s="387"/>
    </row>
    <row r="1346" spans="1:16">
      <c r="A1346" s="387" t="b">
        <v>0</v>
      </c>
      <c r="B1346" s="387"/>
      <c r="C1346" s="401" t="s">
        <v>3180</v>
      </c>
      <c r="D1346" s="392">
        <v>4</v>
      </c>
      <c r="E1346" s="389"/>
      <c r="F1346" s="391"/>
      <c r="G1346" s="390"/>
      <c r="H1346" s="390"/>
      <c r="I1346" s="391"/>
      <c r="J1346" s="391"/>
      <c r="K1346" s="387" t="str">
        <f ca="1">IFERROR(VLOOKUP(C1346,' Disaggregation - Section E '!A$7:J347,3,0),"")</f>
        <v>HIV I-9a Percentage of men who have sex with men who are living with HIV</v>
      </c>
      <c r="L1346" s="391"/>
      <c r="M1346" s="387"/>
      <c r="N1346" s="387"/>
      <c r="O1346" s="387" t="s">
        <v>2374</v>
      </c>
      <c r="P1346" s="387"/>
    </row>
    <row r="1347" spans="1:16">
      <c r="A1347" s="387" t="b">
        <v>0</v>
      </c>
      <c r="B1347" s="387"/>
      <c r="C1347" s="401" t="s">
        <v>3181</v>
      </c>
      <c r="D1347" s="392">
        <v>4</v>
      </c>
      <c r="E1347" s="389"/>
      <c r="F1347" s="391"/>
      <c r="G1347" s="390"/>
      <c r="H1347" s="390"/>
      <c r="I1347" s="391"/>
      <c r="J1347" s="391"/>
      <c r="K1347" s="387" t="str">
        <f ca="1">IFERROR(VLOOKUP(C1347,' Disaggregation - Section E '!A$7:J348,3,0),"")</f>
        <v>HIV I-9a Percentage of men who have sex with men who are living with HIV</v>
      </c>
      <c r="L1347" s="391"/>
      <c r="M1347" s="387"/>
      <c r="N1347" s="387"/>
      <c r="O1347" s="387" t="s">
        <v>2374</v>
      </c>
      <c r="P1347" s="387"/>
    </row>
    <row r="1348" spans="1:16">
      <c r="A1348" s="387" t="b">
        <v>1</v>
      </c>
      <c r="B1348" s="387"/>
      <c r="C1348" s="401" t="s">
        <v>3182</v>
      </c>
      <c r="D1348" s="392">
        <v>5</v>
      </c>
      <c r="E1348" s="389"/>
      <c r="F1348" s="391" t="s">
        <v>3167</v>
      </c>
      <c r="G1348" s="390"/>
      <c r="H1348" s="390"/>
      <c r="I1348" s="391"/>
      <c r="J1348" s="391"/>
      <c r="K1348" s="387" t="str">
        <f ca="1">IFERROR(VLOOKUP(C1348,' Disaggregation - Section E '!A$7:J349,3,0),"")</f>
        <v>HIV I-10 Percentage of sex workers who are living with HIV</v>
      </c>
      <c r="L1348" s="391" t="s">
        <v>2260</v>
      </c>
      <c r="M1348" s="387" t="s">
        <v>3183</v>
      </c>
      <c r="N1348" s="387"/>
      <c r="O1348" s="387" t="s">
        <v>2381</v>
      </c>
      <c r="P1348" s="387" t="s">
        <v>3184</v>
      </c>
    </row>
    <row r="1349" spans="1:16">
      <c r="A1349" s="387" t="b">
        <v>1</v>
      </c>
      <c r="B1349" s="387"/>
      <c r="C1349" s="401" t="s">
        <v>3185</v>
      </c>
      <c r="D1349" s="392">
        <v>5</v>
      </c>
      <c r="E1349" s="389"/>
      <c r="F1349" s="391" t="s">
        <v>3171</v>
      </c>
      <c r="G1349" s="390"/>
      <c r="H1349" s="390"/>
      <c r="I1349" s="391"/>
      <c r="J1349" s="391"/>
      <c r="K1349" s="387" t="str">
        <f ca="1">IFERROR(VLOOKUP(C1349,' Disaggregation - Section E '!A$7:J350,3,0),"")</f>
        <v>HIV I-10 Percentage of sex workers who are living with HIV</v>
      </c>
      <c r="L1349" s="391" t="s">
        <v>2260</v>
      </c>
      <c r="M1349" s="387" t="s">
        <v>3186</v>
      </c>
      <c r="N1349" s="387"/>
      <c r="O1349" s="387" t="s">
        <v>2381</v>
      </c>
      <c r="P1349" s="387" t="s">
        <v>3187</v>
      </c>
    </row>
    <row r="1350" spans="1:16">
      <c r="A1350" s="387" t="b">
        <v>1</v>
      </c>
      <c r="B1350" s="387"/>
      <c r="C1350" s="401" t="s">
        <v>3188</v>
      </c>
      <c r="D1350" s="392">
        <v>5</v>
      </c>
      <c r="E1350" s="389"/>
      <c r="F1350" s="391" t="s">
        <v>3189</v>
      </c>
      <c r="G1350" s="390"/>
      <c r="H1350" s="390"/>
      <c r="I1350" s="391"/>
      <c r="J1350" s="391"/>
      <c r="K1350" s="387" t="str">
        <f ca="1">IFERROR(VLOOKUP(C1350,' Disaggregation - Section E '!A$7:J351,3,0),"")</f>
        <v>HIV I-10 Percentage of sex workers who are living with HIV</v>
      </c>
      <c r="L1350" s="391" t="s">
        <v>2261</v>
      </c>
      <c r="M1350" s="387" t="s">
        <v>3190</v>
      </c>
      <c r="N1350" s="387"/>
      <c r="O1350" s="387" t="s">
        <v>2381</v>
      </c>
      <c r="P1350" s="387" t="s">
        <v>3191</v>
      </c>
    </row>
    <row r="1351" spans="1:16">
      <c r="A1351" s="387" t="b">
        <v>1</v>
      </c>
      <c r="B1351" s="387"/>
      <c r="C1351" s="401" t="s">
        <v>3192</v>
      </c>
      <c r="D1351" s="392">
        <v>5</v>
      </c>
      <c r="E1351" s="389"/>
      <c r="F1351" s="391" t="s">
        <v>3193</v>
      </c>
      <c r="G1351" s="390"/>
      <c r="H1351" s="390"/>
      <c r="I1351" s="391"/>
      <c r="J1351" s="391"/>
      <c r="K1351" s="387" t="str">
        <f ca="1">IFERROR(VLOOKUP(C1351,' Disaggregation - Section E '!A$7:J352,3,0),"")</f>
        <v>HIV I-10 Percentage of sex workers who are living with HIV</v>
      </c>
      <c r="L1351" s="391" t="s">
        <v>2262</v>
      </c>
      <c r="M1351" s="387" t="s">
        <v>3194</v>
      </c>
      <c r="N1351" s="387"/>
      <c r="O1351" s="387" t="s">
        <v>2381</v>
      </c>
      <c r="P1351" s="387" t="s">
        <v>3195</v>
      </c>
    </row>
    <row r="1352" spans="1:16">
      <c r="A1352" s="387" t="b">
        <v>1</v>
      </c>
      <c r="B1352" s="387"/>
      <c r="C1352" s="401" t="s">
        <v>3196</v>
      </c>
      <c r="D1352" s="392">
        <v>5</v>
      </c>
      <c r="E1352" s="389"/>
      <c r="F1352" s="391" t="s">
        <v>3197</v>
      </c>
      <c r="G1352" s="390"/>
      <c r="H1352" s="390"/>
      <c r="I1352" s="391"/>
      <c r="J1352" s="391"/>
      <c r="K1352" s="387" t="str">
        <f ca="1">IFERROR(VLOOKUP(C1352,' Disaggregation - Section E '!A$7:J353,3,0),"")</f>
        <v>HIV I-10 Percentage of sex workers who are living with HIV</v>
      </c>
      <c r="L1352" s="391" t="s">
        <v>2262</v>
      </c>
      <c r="M1352" s="387" t="s">
        <v>3198</v>
      </c>
      <c r="N1352" s="387"/>
      <c r="O1352" s="387" t="s">
        <v>2381</v>
      </c>
      <c r="P1352" s="387" t="s">
        <v>3199</v>
      </c>
    </row>
    <row r="1353" spans="1:16">
      <c r="A1353" s="387" t="b">
        <v>0</v>
      </c>
      <c r="B1353" s="387"/>
      <c r="C1353" s="401" t="s">
        <v>3200</v>
      </c>
      <c r="D1353" s="392">
        <v>5</v>
      </c>
      <c r="E1353" s="389"/>
      <c r="F1353" s="391"/>
      <c r="G1353" s="390"/>
      <c r="H1353" s="390"/>
      <c r="I1353" s="391"/>
      <c r="J1353" s="391"/>
      <c r="K1353" s="387" t="str">
        <f ca="1">IFERROR(VLOOKUP(C1353,' Disaggregation - Section E '!A$7:J354,3,0),"")</f>
        <v>HIV I-10 Percentage of sex workers who are living with HIV</v>
      </c>
      <c r="L1353" s="391"/>
      <c r="M1353" s="387"/>
      <c r="N1353" s="387"/>
      <c r="O1353" s="387" t="s">
        <v>2381</v>
      </c>
      <c r="P1353" s="387"/>
    </row>
    <row r="1354" spans="1:16">
      <c r="A1354" s="387" t="b">
        <v>0</v>
      </c>
      <c r="B1354" s="387"/>
      <c r="C1354" s="401" t="s">
        <v>3201</v>
      </c>
      <c r="D1354" s="392">
        <v>5</v>
      </c>
      <c r="E1354" s="389"/>
      <c r="F1354" s="391"/>
      <c r="G1354" s="390"/>
      <c r="H1354" s="390"/>
      <c r="I1354" s="391"/>
      <c r="J1354" s="391"/>
      <c r="K1354" s="387" t="str">
        <f ca="1">IFERROR(VLOOKUP(C1354,' Disaggregation - Section E '!A$7:J355,3,0),"")</f>
        <v>HIV I-10 Percentage of sex workers who are living with HIV</v>
      </c>
      <c r="L1354" s="391"/>
      <c r="M1354" s="387"/>
      <c r="N1354" s="387"/>
      <c r="O1354" s="387" t="s">
        <v>2381</v>
      </c>
      <c r="P1354" s="387"/>
    </row>
    <row r="1355" spans="1:16">
      <c r="A1355" s="387" t="b">
        <v>0</v>
      </c>
      <c r="B1355" s="387"/>
      <c r="C1355" s="401" t="s">
        <v>3202</v>
      </c>
      <c r="D1355" s="392">
        <v>5</v>
      </c>
      <c r="E1355" s="389"/>
      <c r="F1355" s="391"/>
      <c r="G1355" s="390"/>
      <c r="H1355" s="390"/>
      <c r="I1355" s="391"/>
      <c r="J1355" s="391"/>
      <c r="K1355" s="387" t="str">
        <f ca="1">IFERROR(VLOOKUP(C1355,' Disaggregation - Section E '!A$7:J356,3,0),"")</f>
        <v>HIV I-10 Percentage of sex workers who are living with HIV</v>
      </c>
      <c r="L1355" s="391"/>
      <c r="M1355" s="387"/>
      <c r="N1355" s="387"/>
      <c r="O1355" s="387" t="s">
        <v>2381</v>
      </c>
      <c r="P1355" s="387"/>
    </row>
    <row r="1356" spans="1:16">
      <c r="A1356" s="387" t="b">
        <v>0</v>
      </c>
      <c r="B1356" s="387"/>
      <c r="C1356" s="401" t="s">
        <v>3203</v>
      </c>
      <c r="D1356" s="392">
        <v>5</v>
      </c>
      <c r="E1356" s="389"/>
      <c r="F1356" s="391"/>
      <c r="G1356" s="390"/>
      <c r="H1356" s="390"/>
      <c r="I1356" s="391"/>
      <c r="J1356" s="391"/>
      <c r="K1356" s="387" t="str">
        <f ca="1">IFERROR(VLOOKUP(C1356,' Disaggregation - Section E '!A$7:J357,3,0),"")</f>
        <v>HIV I-10 Percentage of sex workers who are living with HIV</v>
      </c>
      <c r="L1356" s="391"/>
      <c r="M1356" s="387"/>
      <c r="N1356" s="387"/>
      <c r="O1356" s="387" t="s">
        <v>2381</v>
      </c>
      <c r="P1356" s="387"/>
    </row>
    <row r="1357" spans="1:16">
      <c r="A1357" s="387" t="b">
        <v>0</v>
      </c>
      <c r="B1357" s="387"/>
      <c r="C1357" s="401" t="s">
        <v>3204</v>
      </c>
      <c r="D1357" s="392">
        <v>5</v>
      </c>
      <c r="E1357" s="389"/>
      <c r="F1357" s="391"/>
      <c r="G1357" s="390"/>
      <c r="H1357" s="390"/>
      <c r="I1357" s="391"/>
      <c r="J1357" s="391"/>
      <c r="K1357" s="387" t="str">
        <f ca="1">IFERROR(VLOOKUP(C1357,' Disaggregation - Section E '!A$7:J358,3,0),"")</f>
        <v>HIV I-10 Percentage of sex workers who are living with HIV</v>
      </c>
      <c r="L1357" s="391"/>
      <c r="M1357" s="387"/>
      <c r="N1357" s="387"/>
      <c r="O1357" s="387" t="s">
        <v>2381</v>
      </c>
      <c r="P1357" s="387"/>
    </row>
    <row r="1358" spans="1:16">
      <c r="A1358" s="387" t="b">
        <v>1</v>
      </c>
      <c r="B1358" s="387"/>
      <c r="C1358" s="401" t="s">
        <v>3205</v>
      </c>
      <c r="D1358" s="392">
        <v>6</v>
      </c>
      <c r="E1358" s="389"/>
      <c r="F1358" s="391" t="s">
        <v>3167</v>
      </c>
      <c r="G1358" s="390"/>
      <c r="H1358" s="390"/>
      <c r="I1358" s="391"/>
      <c r="J1358" s="391"/>
      <c r="K1358" s="387" t="str">
        <f ca="1">IFERROR(VLOOKUP(C1358,' Disaggregation - Section E '!A$7:J359,3,0),"")</f>
        <v>HIV I-9b Percentage of transgender people who are living with HIV</v>
      </c>
      <c r="L1358" s="391" t="s">
        <v>2260</v>
      </c>
      <c r="M1358" s="387" t="s">
        <v>3206</v>
      </c>
      <c r="N1358" s="387"/>
      <c r="O1358" s="387" t="s">
        <v>2388</v>
      </c>
      <c r="P1358" s="387" t="s">
        <v>3207</v>
      </c>
    </row>
    <row r="1359" spans="1:16">
      <c r="A1359" s="387" t="b">
        <v>1</v>
      </c>
      <c r="B1359" s="387"/>
      <c r="C1359" s="401" t="s">
        <v>3208</v>
      </c>
      <c r="D1359" s="392">
        <v>6</v>
      </c>
      <c r="E1359" s="389"/>
      <c r="F1359" s="391" t="s">
        <v>3171</v>
      </c>
      <c r="G1359" s="390"/>
      <c r="H1359" s="390"/>
      <c r="I1359" s="391"/>
      <c r="J1359" s="391"/>
      <c r="K1359" s="387" t="str">
        <f ca="1">IFERROR(VLOOKUP(C1359,' Disaggregation - Section E '!A$7:J360,3,0),"")</f>
        <v>HIV I-9b Percentage of transgender people who are living with HIV</v>
      </c>
      <c r="L1359" s="391" t="s">
        <v>2260</v>
      </c>
      <c r="M1359" s="387" t="s">
        <v>3209</v>
      </c>
      <c r="N1359" s="387"/>
      <c r="O1359" s="387" t="s">
        <v>2388</v>
      </c>
      <c r="P1359" s="387" t="s">
        <v>3210</v>
      </c>
    </row>
    <row r="1360" spans="1:16">
      <c r="A1360" s="387" t="b">
        <v>0</v>
      </c>
      <c r="B1360" s="387"/>
      <c r="C1360" s="401" t="s">
        <v>3211</v>
      </c>
      <c r="D1360" s="392">
        <v>6</v>
      </c>
      <c r="E1360" s="389"/>
      <c r="F1360" s="391"/>
      <c r="G1360" s="390"/>
      <c r="H1360" s="390"/>
      <c r="I1360" s="391"/>
      <c r="J1360" s="391"/>
      <c r="K1360" s="387" t="str">
        <f ca="1">IFERROR(VLOOKUP(C1360,' Disaggregation - Section E '!A$7:J361,3,0),"")</f>
        <v>HIV I-9b Percentage of transgender people who are living with HIV</v>
      </c>
      <c r="L1360" s="391"/>
      <c r="M1360" s="387"/>
      <c r="N1360" s="387"/>
      <c r="O1360" s="387" t="s">
        <v>2388</v>
      </c>
      <c r="P1360" s="387"/>
    </row>
    <row r="1361" spans="1:16">
      <c r="A1361" s="387" t="b">
        <v>0</v>
      </c>
      <c r="B1361" s="387"/>
      <c r="C1361" s="401" t="s">
        <v>3212</v>
      </c>
      <c r="D1361" s="392">
        <v>6</v>
      </c>
      <c r="E1361" s="389"/>
      <c r="F1361" s="391"/>
      <c r="G1361" s="390"/>
      <c r="H1361" s="390"/>
      <c r="I1361" s="391"/>
      <c r="J1361" s="391"/>
      <c r="K1361" s="387" t="str">
        <f ca="1">IFERROR(VLOOKUP(C1361,' Disaggregation - Section E '!A$7:J362,3,0),"")</f>
        <v>HIV I-9b Percentage of transgender people who are living with HIV</v>
      </c>
      <c r="L1361" s="391"/>
      <c r="M1361" s="387"/>
      <c r="N1361" s="387"/>
      <c r="O1361" s="387" t="s">
        <v>2388</v>
      </c>
      <c r="P1361" s="387"/>
    </row>
    <row r="1362" spans="1:16">
      <c r="A1362" s="387" t="b">
        <v>0</v>
      </c>
      <c r="B1362" s="387"/>
      <c r="C1362" s="401" t="s">
        <v>3213</v>
      </c>
      <c r="D1362" s="392">
        <v>6</v>
      </c>
      <c r="E1362" s="389"/>
      <c r="F1362" s="391"/>
      <c r="G1362" s="390"/>
      <c r="H1362" s="390"/>
      <c r="I1362" s="391"/>
      <c r="J1362" s="391"/>
      <c r="K1362" s="387" t="str">
        <f ca="1">IFERROR(VLOOKUP(C1362,' Disaggregation - Section E '!A$7:J363,3,0),"")</f>
        <v>HIV I-9b Percentage of transgender people who are living with HIV</v>
      </c>
      <c r="L1362" s="391"/>
      <c r="M1362" s="387"/>
      <c r="N1362" s="387"/>
      <c r="O1362" s="387" t="s">
        <v>2388</v>
      </c>
      <c r="P1362" s="387"/>
    </row>
    <row r="1363" spans="1:16">
      <c r="A1363" s="387" t="b">
        <v>0</v>
      </c>
      <c r="B1363" s="387"/>
      <c r="C1363" s="401" t="s">
        <v>3214</v>
      </c>
      <c r="D1363" s="392">
        <v>6</v>
      </c>
      <c r="E1363" s="389"/>
      <c r="F1363" s="391"/>
      <c r="G1363" s="390"/>
      <c r="H1363" s="390"/>
      <c r="I1363" s="391"/>
      <c r="J1363" s="391"/>
      <c r="K1363" s="387" t="str">
        <f ca="1">IFERROR(VLOOKUP(C1363,' Disaggregation - Section E '!A$7:J364,3,0),"")</f>
        <v>HIV I-9b Percentage of transgender people who are living with HIV</v>
      </c>
      <c r="L1363" s="391"/>
      <c r="M1363" s="387"/>
      <c r="N1363" s="387"/>
      <c r="O1363" s="387" t="s">
        <v>2388</v>
      </c>
      <c r="P1363" s="387"/>
    </row>
    <row r="1364" spans="1:16">
      <c r="A1364" s="387" t="b">
        <v>0</v>
      </c>
      <c r="B1364" s="387"/>
      <c r="C1364" s="401" t="s">
        <v>3215</v>
      </c>
      <c r="D1364" s="392">
        <v>6</v>
      </c>
      <c r="E1364" s="389"/>
      <c r="F1364" s="391"/>
      <c r="G1364" s="390"/>
      <c r="H1364" s="390"/>
      <c r="I1364" s="391"/>
      <c r="J1364" s="391"/>
      <c r="K1364" s="387" t="str">
        <f ca="1">IFERROR(VLOOKUP(C1364,' Disaggregation - Section E '!A$7:J365,3,0),"")</f>
        <v>HIV I-9b Percentage of transgender people who are living with HIV</v>
      </c>
      <c r="L1364" s="391"/>
      <c r="M1364" s="387"/>
      <c r="N1364" s="387"/>
      <c r="O1364" s="387" t="s">
        <v>2388</v>
      </c>
      <c r="P1364" s="387"/>
    </row>
    <row r="1365" spans="1:16">
      <c r="A1365" s="387" t="b">
        <v>0</v>
      </c>
      <c r="B1365" s="387"/>
      <c r="C1365" s="401" t="s">
        <v>3216</v>
      </c>
      <c r="D1365" s="392">
        <v>6</v>
      </c>
      <c r="E1365" s="389"/>
      <c r="F1365" s="391"/>
      <c r="G1365" s="390"/>
      <c r="H1365" s="390"/>
      <c r="I1365" s="391"/>
      <c r="J1365" s="391"/>
      <c r="K1365" s="387" t="str">
        <f ca="1">IFERROR(VLOOKUP(C1365,' Disaggregation - Section E '!A$7:J366,3,0),"")</f>
        <v>HIV I-9b Percentage of transgender people who are living with HIV</v>
      </c>
      <c r="L1365" s="391"/>
      <c r="M1365" s="387"/>
      <c r="N1365" s="387"/>
      <c r="O1365" s="387" t="s">
        <v>2388</v>
      </c>
      <c r="P1365" s="387"/>
    </row>
    <row r="1366" spans="1:16">
      <c r="A1366" s="387" t="b">
        <v>0</v>
      </c>
      <c r="B1366" s="387"/>
      <c r="C1366" s="401" t="s">
        <v>3217</v>
      </c>
      <c r="D1366" s="392">
        <v>6</v>
      </c>
      <c r="E1366" s="389"/>
      <c r="F1366" s="391"/>
      <c r="G1366" s="390"/>
      <c r="H1366" s="390"/>
      <c r="I1366" s="391"/>
      <c r="J1366" s="391"/>
      <c r="K1366" s="387" t="str">
        <f ca="1">IFERROR(VLOOKUP(C1366,' Disaggregation - Section E '!A$7:J367,3,0),"")</f>
        <v>HIV I-9b Percentage of transgender people who are living with HIV</v>
      </c>
      <c r="L1366" s="391"/>
      <c r="M1366" s="387"/>
      <c r="N1366" s="387"/>
      <c r="O1366" s="387" t="s">
        <v>2388</v>
      </c>
      <c r="P1366" s="387"/>
    </row>
    <row r="1367" spans="1:16">
      <c r="A1367" s="387" t="b">
        <v>0</v>
      </c>
      <c r="B1367" s="387"/>
      <c r="C1367" s="401" t="s">
        <v>3218</v>
      </c>
      <c r="D1367" s="392">
        <v>6</v>
      </c>
      <c r="E1367" s="389"/>
      <c r="F1367" s="391"/>
      <c r="G1367" s="390"/>
      <c r="H1367" s="390"/>
      <c r="I1367" s="391"/>
      <c r="J1367" s="391"/>
      <c r="K1367" s="387" t="str">
        <f ca="1">IFERROR(VLOOKUP(C1367,' Disaggregation - Section E '!A$7:J368,3,0),"")</f>
        <v>HIV I-9b Percentage of transgender people who are living with HIV</v>
      </c>
      <c r="L1367" s="391"/>
      <c r="M1367" s="387"/>
      <c r="N1367" s="387"/>
      <c r="O1367" s="387" t="s">
        <v>2388</v>
      </c>
      <c r="P1367" s="387"/>
    </row>
    <row r="1368" spans="1:16">
      <c r="A1368" s="387" t="b">
        <v>1</v>
      </c>
      <c r="B1368" s="387"/>
      <c r="C1368" s="401" t="s">
        <v>3219</v>
      </c>
      <c r="D1368" s="392">
        <v>7</v>
      </c>
      <c r="E1368" s="389"/>
      <c r="F1368" s="391" t="s">
        <v>3167</v>
      </c>
      <c r="G1368" s="390"/>
      <c r="H1368" s="390"/>
      <c r="I1368" s="391"/>
      <c r="J1368" s="391"/>
      <c r="K1368" s="387" t="str">
        <f ca="1">IFERROR(VLOOKUP(C1368,' Disaggregation - Section E '!A$7:J369,3,0),"")</f>
        <v>HIV I-11 Percentage of people who inject drugs who are living with HIV</v>
      </c>
      <c r="L1368" s="391" t="s">
        <v>2260</v>
      </c>
      <c r="M1368" s="387" t="s">
        <v>3220</v>
      </c>
      <c r="N1368" s="387"/>
      <c r="O1368" s="387" t="s">
        <v>2395</v>
      </c>
      <c r="P1368" s="387" t="s">
        <v>3221</v>
      </c>
    </row>
    <row r="1369" spans="1:16">
      <c r="A1369" s="387" t="b">
        <v>1</v>
      </c>
      <c r="B1369" s="387"/>
      <c r="C1369" s="401" t="s">
        <v>3222</v>
      </c>
      <c r="D1369" s="392">
        <v>7</v>
      </c>
      <c r="E1369" s="389"/>
      <c r="F1369" s="391" t="s">
        <v>3171</v>
      </c>
      <c r="G1369" s="390"/>
      <c r="H1369" s="390"/>
      <c r="I1369" s="391"/>
      <c r="J1369" s="391"/>
      <c r="K1369" s="387" t="str">
        <f ca="1">IFERROR(VLOOKUP(C1369,' Disaggregation - Section E '!A$7:J370,3,0),"")</f>
        <v>HIV I-11 Percentage of people who inject drugs who are living with HIV</v>
      </c>
      <c r="L1369" s="391" t="s">
        <v>2260</v>
      </c>
      <c r="M1369" s="387" t="s">
        <v>3223</v>
      </c>
      <c r="N1369" s="387"/>
      <c r="O1369" s="387" t="s">
        <v>2395</v>
      </c>
      <c r="P1369" s="387" t="s">
        <v>3224</v>
      </c>
    </row>
    <row r="1370" spans="1:16">
      <c r="A1370" s="387" t="b">
        <v>1</v>
      </c>
      <c r="B1370" s="387"/>
      <c r="C1370" s="401" t="s">
        <v>3225</v>
      </c>
      <c r="D1370" s="392">
        <v>7</v>
      </c>
      <c r="E1370" s="389"/>
      <c r="F1370" s="391" t="s">
        <v>3189</v>
      </c>
      <c r="G1370" s="390"/>
      <c r="H1370" s="390"/>
      <c r="I1370" s="391"/>
      <c r="J1370" s="391"/>
      <c r="K1370" s="387" t="str">
        <f ca="1">IFERROR(VLOOKUP(C1370,' Disaggregation - Section E '!A$7:J371,3,0),"")</f>
        <v>HIV I-11 Percentage of people who inject drugs who are living with HIV</v>
      </c>
      <c r="L1370" s="391" t="s">
        <v>2261</v>
      </c>
      <c r="M1370" s="387" t="s">
        <v>3226</v>
      </c>
      <c r="N1370" s="387"/>
      <c r="O1370" s="387" t="s">
        <v>2395</v>
      </c>
      <c r="P1370" s="387" t="s">
        <v>3227</v>
      </c>
    </row>
    <row r="1371" spans="1:16">
      <c r="A1371" s="387" t="b">
        <v>1</v>
      </c>
      <c r="B1371" s="387"/>
      <c r="C1371" s="401" t="s">
        <v>3228</v>
      </c>
      <c r="D1371" s="392">
        <v>7</v>
      </c>
      <c r="E1371" s="389"/>
      <c r="F1371" s="391" t="s">
        <v>3193</v>
      </c>
      <c r="G1371" s="390"/>
      <c r="H1371" s="390"/>
      <c r="I1371" s="391"/>
      <c r="J1371" s="391"/>
      <c r="K1371" s="387" t="str">
        <f ca="1">IFERROR(VLOOKUP(C1371,' Disaggregation - Section E '!A$7:J372,3,0),"")</f>
        <v>HIV I-11 Percentage of people who inject drugs who are living with HIV</v>
      </c>
      <c r="L1371" s="391" t="s">
        <v>2262</v>
      </c>
      <c r="M1371" s="387" t="s">
        <v>3229</v>
      </c>
      <c r="N1371" s="387"/>
      <c r="O1371" s="387" t="s">
        <v>2395</v>
      </c>
      <c r="P1371" s="387" t="s">
        <v>3230</v>
      </c>
    </row>
    <row r="1372" spans="1:16">
      <c r="A1372" s="387" t="b">
        <v>1</v>
      </c>
      <c r="B1372" s="387"/>
      <c r="C1372" s="401" t="s">
        <v>3231</v>
      </c>
      <c r="D1372" s="392">
        <v>7</v>
      </c>
      <c r="E1372" s="389"/>
      <c r="F1372" s="391" t="s">
        <v>3197</v>
      </c>
      <c r="G1372" s="390"/>
      <c r="H1372" s="390"/>
      <c r="I1372" s="391"/>
      <c r="J1372" s="391"/>
      <c r="K1372" s="387" t="str">
        <f ca="1">IFERROR(VLOOKUP(C1372,' Disaggregation - Section E '!A$7:J373,3,0),"")</f>
        <v>HIV I-11 Percentage of people who inject drugs who are living with HIV</v>
      </c>
      <c r="L1372" s="391" t="s">
        <v>2262</v>
      </c>
      <c r="M1372" s="387" t="s">
        <v>3232</v>
      </c>
      <c r="N1372" s="387"/>
      <c r="O1372" s="387" t="s">
        <v>2395</v>
      </c>
      <c r="P1372" s="387" t="s">
        <v>3233</v>
      </c>
    </row>
    <row r="1373" spans="1:16">
      <c r="A1373" s="387" t="b">
        <v>0</v>
      </c>
      <c r="B1373" s="387"/>
      <c r="C1373" s="401" t="s">
        <v>3234</v>
      </c>
      <c r="D1373" s="392">
        <v>7</v>
      </c>
      <c r="E1373" s="389"/>
      <c r="F1373" s="391"/>
      <c r="G1373" s="390"/>
      <c r="H1373" s="390"/>
      <c r="I1373" s="391"/>
      <c r="J1373" s="391"/>
      <c r="K1373" s="387" t="str">
        <f ca="1">IFERROR(VLOOKUP(C1373,' Disaggregation - Section E '!A$7:J374,3,0),"")</f>
        <v>HIV I-11 Percentage of people who inject drugs who are living with HIV</v>
      </c>
      <c r="L1373" s="391"/>
      <c r="M1373" s="387"/>
      <c r="N1373" s="387"/>
      <c r="O1373" s="387" t="s">
        <v>2395</v>
      </c>
      <c r="P1373" s="387"/>
    </row>
    <row r="1374" spans="1:16">
      <c r="A1374" s="387" t="b">
        <v>0</v>
      </c>
      <c r="B1374" s="387"/>
      <c r="C1374" s="401" t="s">
        <v>3235</v>
      </c>
      <c r="D1374" s="392">
        <v>7</v>
      </c>
      <c r="E1374" s="389"/>
      <c r="F1374" s="391"/>
      <c r="G1374" s="390"/>
      <c r="H1374" s="390"/>
      <c r="I1374" s="391"/>
      <c r="J1374" s="391"/>
      <c r="K1374" s="387" t="str">
        <f ca="1">IFERROR(VLOOKUP(C1374,' Disaggregation - Section E '!A$7:J375,3,0),"")</f>
        <v>HIV I-11 Percentage of people who inject drugs who are living with HIV</v>
      </c>
      <c r="L1374" s="391"/>
      <c r="M1374" s="387"/>
      <c r="N1374" s="387"/>
      <c r="O1374" s="387" t="s">
        <v>2395</v>
      </c>
      <c r="P1374" s="387"/>
    </row>
    <row r="1375" spans="1:16">
      <c r="A1375" s="387" t="b">
        <v>0</v>
      </c>
      <c r="B1375" s="387"/>
      <c r="C1375" s="401" t="s">
        <v>3236</v>
      </c>
      <c r="D1375" s="392">
        <v>7</v>
      </c>
      <c r="E1375" s="389"/>
      <c r="F1375" s="391"/>
      <c r="G1375" s="390"/>
      <c r="H1375" s="390"/>
      <c r="I1375" s="391"/>
      <c r="J1375" s="391"/>
      <c r="K1375" s="387" t="str">
        <f ca="1">IFERROR(VLOOKUP(C1375,' Disaggregation - Section E '!A$7:J376,3,0),"")</f>
        <v>HIV I-11 Percentage of people who inject drugs who are living with HIV</v>
      </c>
      <c r="L1375" s="391"/>
      <c r="M1375" s="387"/>
      <c r="N1375" s="387"/>
      <c r="O1375" s="387" t="s">
        <v>2395</v>
      </c>
      <c r="P1375" s="387"/>
    </row>
    <row r="1376" spans="1:16">
      <c r="A1376" s="387" t="b">
        <v>0</v>
      </c>
      <c r="B1376" s="387"/>
      <c r="C1376" s="401" t="s">
        <v>3237</v>
      </c>
      <c r="D1376" s="392">
        <v>7</v>
      </c>
      <c r="E1376" s="389"/>
      <c r="F1376" s="391"/>
      <c r="G1376" s="390"/>
      <c r="H1376" s="390"/>
      <c r="I1376" s="391"/>
      <c r="J1376" s="391"/>
      <c r="K1376" s="387" t="str">
        <f ca="1">IFERROR(VLOOKUP(C1376,' Disaggregation - Section E '!A$7:J377,3,0),"")</f>
        <v>HIV I-11 Percentage of people who inject drugs who are living with HIV</v>
      </c>
      <c r="L1376" s="391"/>
      <c r="M1376" s="387"/>
      <c r="N1376" s="387"/>
      <c r="O1376" s="387" t="s">
        <v>2395</v>
      </c>
      <c r="P1376" s="387"/>
    </row>
    <row r="1377" spans="1:16">
      <c r="A1377" s="387" t="b">
        <v>0</v>
      </c>
      <c r="B1377" s="387"/>
      <c r="C1377" s="401" t="s">
        <v>3238</v>
      </c>
      <c r="D1377" s="392">
        <v>7</v>
      </c>
      <c r="E1377" s="389"/>
      <c r="F1377" s="391"/>
      <c r="G1377" s="390"/>
      <c r="H1377" s="390"/>
      <c r="I1377" s="391"/>
      <c r="J1377" s="391"/>
      <c r="K1377" s="387" t="str">
        <f ca="1">IFERROR(VLOOKUP(C1377,' Disaggregation - Section E '!A$7:J378,3,0),"")</f>
        <v>HIV I-11 Percentage of people who inject drugs who are living with HIV</v>
      </c>
      <c r="L1377" s="391"/>
      <c r="M1377" s="387"/>
      <c r="N1377" s="387"/>
      <c r="O1377" s="387" t="s">
        <v>2395</v>
      </c>
      <c r="P1377" s="387"/>
    </row>
    <row r="1378" spans="1:16">
      <c r="A1378" s="387" t="b">
        <v>1</v>
      </c>
      <c r="B1378" s="387"/>
      <c r="C1378" s="401" t="s">
        <v>3239</v>
      </c>
      <c r="D1378" s="392">
        <v>8</v>
      </c>
      <c r="E1378" s="389">
        <v>0.66</v>
      </c>
      <c r="F1378" s="391" t="s">
        <v>3240</v>
      </c>
      <c r="G1378" s="390"/>
      <c r="H1378" s="390"/>
      <c r="I1378" s="391" t="s">
        <v>2337</v>
      </c>
      <c r="J1378" s="391" t="s">
        <v>798</v>
      </c>
      <c r="K1378" s="387" t="str">
        <f ca="1">IFERROR(VLOOKUP(C1378,' Disaggregation - Section E '!A$7:J379,3,0),"")</f>
        <v>HIV I-13 Percentage of people living with HIV</v>
      </c>
      <c r="L1378" s="391" t="s">
        <v>2263</v>
      </c>
      <c r="M1378" s="387" t="s">
        <v>3241</v>
      </c>
      <c r="N1378" s="387"/>
      <c r="O1378" s="387" t="s">
        <v>2402</v>
      </c>
      <c r="P1378" s="387" t="s">
        <v>3242</v>
      </c>
    </row>
    <row r="1379" spans="1:16">
      <c r="A1379" s="387" t="b">
        <v>1</v>
      </c>
      <c r="B1379" s="387"/>
      <c r="C1379" s="401" t="s">
        <v>3243</v>
      </c>
      <c r="D1379" s="392">
        <v>8</v>
      </c>
      <c r="E1379" s="389"/>
      <c r="F1379" s="391" t="s">
        <v>3244</v>
      </c>
      <c r="G1379" s="390"/>
      <c r="H1379" s="390"/>
      <c r="I1379" s="391"/>
      <c r="J1379" s="391"/>
      <c r="K1379" s="387" t="str">
        <f ca="1">IFERROR(VLOOKUP(C1379,' Disaggregation - Section E '!A$7:J380,3,0),"")</f>
        <v>HIV I-13 Percentage of people living with HIV</v>
      </c>
      <c r="L1379" s="391" t="s">
        <v>2264</v>
      </c>
      <c r="M1379" s="387" t="s">
        <v>3245</v>
      </c>
      <c r="N1379" s="387"/>
      <c r="O1379" s="387" t="s">
        <v>2402</v>
      </c>
      <c r="P1379" s="387" t="s">
        <v>3246</v>
      </c>
    </row>
    <row r="1380" spans="1:16">
      <c r="A1380" s="387" t="b">
        <v>1</v>
      </c>
      <c r="B1380" s="387"/>
      <c r="C1380" s="401" t="s">
        <v>3247</v>
      </c>
      <c r="D1380" s="392">
        <v>8</v>
      </c>
      <c r="E1380" s="389"/>
      <c r="F1380" s="391" t="s">
        <v>3248</v>
      </c>
      <c r="G1380" s="390"/>
      <c r="H1380" s="390"/>
      <c r="I1380" s="391"/>
      <c r="J1380" s="391"/>
      <c r="K1380" s="387" t="str">
        <f ca="1">IFERROR(VLOOKUP(C1380,' Disaggregation - Section E '!A$7:J381,3,0),"")</f>
        <v>HIV I-13 Percentage of people living with HIV</v>
      </c>
      <c r="L1380" s="391" t="s">
        <v>2264</v>
      </c>
      <c r="M1380" s="387" t="s">
        <v>3249</v>
      </c>
      <c r="N1380" s="387"/>
      <c r="O1380" s="387" t="s">
        <v>2402</v>
      </c>
      <c r="P1380" s="387" t="s">
        <v>3250</v>
      </c>
    </row>
    <row r="1381" spans="1:16">
      <c r="A1381" s="387" t="b">
        <v>1</v>
      </c>
      <c r="B1381" s="387"/>
      <c r="C1381" s="401" t="s">
        <v>3251</v>
      </c>
      <c r="D1381" s="392">
        <v>8</v>
      </c>
      <c r="E1381" s="389"/>
      <c r="F1381" s="391" t="s">
        <v>3252</v>
      </c>
      <c r="G1381" s="390"/>
      <c r="H1381" s="390"/>
      <c r="I1381" s="391"/>
      <c r="J1381" s="391"/>
      <c r="K1381" s="387" t="str">
        <f ca="1">IFERROR(VLOOKUP(C1381,' Disaggregation - Section E '!A$7:J382,3,0),"")</f>
        <v>HIV I-13 Percentage of people living with HIV</v>
      </c>
      <c r="L1381" s="391" t="s">
        <v>2264</v>
      </c>
      <c r="M1381" s="387" t="s">
        <v>3253</v>
      </c>
      <c r="N1381" s="387"/>
      <c r="O1381" s="387" t="s">
        <v>2402</v>
      </c>
      <c r="P1381" s="387" t="s">
        <v>3254</v>
      </c>
    </row>
    <row r="1382" spans="1:16">
      <c r="A1382" s="387" t="b">
        <v>1</v>
      </c>
      <c r="B1382" s="387"/>
      <c r="C1382" s="401" t="s">
        <v>3255</v>
      </c>
      <c r="D1382" s="392">
        <v>8</v>
      </c>
      <c r="E1382" s="389"/>
      <c r="F1382" s="391" t="s">
        <v>3193</v>
      </c>
      <c r="G1382" s="390"/>
      <c r="H1382" s="390"/>
      <c r="I1382" s="391"/>
      <c r="J1382" s="391"/>
      <c r="K1382" s="387" t="str">
        <f ca="1">IFERROR(VLOOKUP(C1382,' Disaggregation - Section E '!A$7:J383,3,0),"")</f>
        <v>HIV I-13 Percentage of people living with HIV</v>
      </c>
      <c r="L1382" s="391" t="s">
        <v>2264</v>
      </c>
      <c r="M1382" s="387" t="s">
        <v>3256</v>
      </c>
      <c r="N1382" s="387"/>
      <c r="O1382" s="387" t="s">
        <v>2402</v>
      </c>
      <c r="P1382" s="387" t="s">
        <v>3257</v>
      </c>
    </row>
    <row r="1383" spans="1:16">
      <c r="A1383" s="387" t="b">
        <v>1</v>
      </c>
      <c r="B1383" s="387"/>
      <c r="C1383" s="401" t="s">
        <v>3258</v>
      </c>
      <c r="D1383" s="392">
        <v>8</v>
      </c>
      <c r="E1383" s="389"/>
      <c r="F1383" s="391" t="s">
        <v>3259</v>
      </c>
      <c r="G1383" s="390"/>
      <c r="H1383" s="390"/>
      <c r="I1383" s="391"/>
      <c r="J1383" s="391"/>
      <c r="K1383" s="387" t="str">
        <f ca="1">IFERROR(VLOOKUP(C1383,' Disaggregation - Section E '!A$7:J384,3,0),"")</f>
        <v>HIV I-13 Percentage of people living with HIV</v>
      </c>
      <c r="L1383" s="391" t="s">
        <v>2265</v>
      </c>
      <c r="M1383" s="387" t="s">
        <v>3260</v>
      </c>
      <c r="N1383" s="387"/>
      <c r="O1383" s="387" t="s">
        <v>2402</v>
      </c>
      <c r="P1383" s="387" t="s">
        <v>3261</v>
      </c>
    </row>
    <row r="1384" spans="1:16">
      <c r="A1384" s="387" t="b">
        <v>1</v>
      </c>
      <c r="B1384" s="387"/>
      <c r="C1384" s="401" t="s">
        <v>3262</v>
      </c>
      <c r="D1384" s="392">
        <v>8</v>
      </c>
      <c r="E1384" s="389"/>
      <c r="F1384" s="391" t="s">
        <v>3263</v>
      </c>
      <c r="G1384" s="390"/>
      <c r="H1384" s="390"/>
      <c r="I1384" s="391"/>
      <c r="J1384" s="391"/>
      <c r="K1384" s="387" t="str">
        <f ca="1">IFERROR(VLOOKUP(C1384,' Disaggregation - Section E '!A$7:J385,3,0),"")</f>
        <v>HIV I-13 Percentage of people living with HIV</v>
      </c>
      <c r="L1384" s="391" t="s">
        <v>2264</v>
      </c>
      <c r="M1384" s="387" t="s">
        <v>3264</v>
      </c>
      <c r="N1384" s="387"/>
      <c r="O1384" s="387" t="s">
        <v>2402</v>
      </c>
      <c r="P1384" s="387" t="s">
        <v>3265</v>
      </c>
    </row>
    <row r="1385" spans="1:16">
      <c r="A1385" s="387" t="b">
        <v>1</v>
      </c>
      <c r="B1385" s="387"/>
      <c r="C1385" s="401" t="s">
        <v>3266</v>
      </c>
      <c r="D1385" s="392">
        <v>8</v>
      </c>
      <c r="E1385" s="389"/>
      <c r="F1385" s="391" t="s">
        <v>3197</v>
      </c>
      <c r="G1385" s="390"/>
      <c r="H1385" s="390"/>
      <c r="I1385" s="391"/>
      <c r="J1385" s="391"/>
      <c r="K1385" s="387" t="str">
        <f ca="1">IFERROR(VLOOKUP(C1385,' Disaggregation - Section E '!A$7:J386,3,0),"")</f>
        <v>HIV I-13 Percentage of people living with HIV</v>
      </c>
      <c r="L1385" s="391" t="s">
        <v>2264</v>
      </c>
      <c r="M1385" s="387" t="s">
        <v>3267</v>
      </c>
      <c r="N1385" s="387"/>
      <c r="O1385" s="387" t="s">
        <v>2402</v>
      </c>
      <c r="P1385" s="387" t="s">
        <v>3268</v>
      </c>
    </row>
    <row r="1386" spans="1:16">
      <c r="A1386" s="387" t="b">
        <v>0</v>
      </c>
      <c r="B1386" s="387"/>
      <c r="C1386" s="401" t="s">
        <v>3269</v>
      </c>
      <c r="D1386" s="392">
        <v>8</v>
      </c>
      <c r="E1386" s="389"/>
      <c r="F1386" s="391"/>
      <c r="G1386" s="390"/>
      <c r="H1386" s="390"/>
      <c r="I1386" s="391"/>
      <c r="J1386" s="391"/>
      <c r="K1386" s="387" t="str">
        <f ca="1">IFERROR(VLOOKUP(C1386,' Disaggregation - Section E '!A$7:J387,3,0),"")</f>
        <v>HIV I-13 Percentage of people living with HIV</v>
      </c>
      <c r="L1386" s="391"/>
      <c r="M1386" s="387"/>
      <c r="N1386" s="387"/>
      <c r="O1386" s="387" t="s">
        <v>2402</v>
      </c>
      <c r="P1386" s="387"/>
    </row>
    <row r="1387" spans="1:16">
      <c r="A1387" s="387" t="b">
        <v>0</v>
      </c>
      <c r="B1387" s="387"/>
      <c r="C1387" s="401" t="s">
        <v>3270</v>
      </c>
      <c r="D1387" s="392">
        <v>8</v>
      </c>
      <c r="E1387" s="389"/>
      <c r="F1387" s="391"/>
      <c r="G1387" s="390"/>
      <c r="H1387" s="390"/>
      <c r="I1387" s="391"/>
      <c r="J1387" s="391"/>
      <c r="K1387" s="387" t="str">
        <f ca="1">IFERROR(VLOOKUP(C1387,' Disaggregation - Section E '!A$7:J388,3,0),"")</f>
        <v>HIV I-13 Percentage of people living with HIV</v>
      </c>
      <c r="L1387" s="391"/>
      <c r="M1387" s="387"/>
      <c r="N1387" s="387"/>
      <c r="O1387" s="387" t="s">
        <v>2402</v>
      </c>
      <c r="P1387" s="387"/>
    </row>
    <row r="1388" spans="1:16">
      <c r="A1388" s="387" t="b">
        <v>0</v>
      </c>
      <c r="B1388" s="387"/>
      <c r="C1388" s="401" t="s">
        <v>3271</v>
      </c>
      <c r="D1388" s="392">
        <v>9</v>
      </c>
      <c r="E1388" s="389"/>
      <c r="F1388" s="391"/>
      <c r="G1388" s="390"/>
      <c r="H1388" s="390"/>
      <c r="I1388" s="391"/>
      <c r="J1388" s="391"/>
      <c r="K1388" s="387" t="str">
        <f ca="1">IFERROR(VLOOKUP(C1388,' Disaggregation - Section E '!A$7:J389,3,0),"")</f>
        <v>HIV I-14 Number of new HIV infections per 1000 uninfected population</v>
      </c>
      <c r="L1388" s="391"/>
      <c r="M1388" s="387"/>
      <c r="N1388" s="387"/>
      <c r="O1388" s="387" t="s">
        <v>2409</v>
      </c>
      <c r="P1388" s="387"/>
    </row>
    <row r="1389" spans="1:16">
      <c r="A1389" s="387" t="b">
        <v>0</v>
      </c>
      <c r="B1389" s="387"/>
      <c r="C1389" s="401" t="s">
        <v>3272</v>
      </c>
      <c r="D1389" s="392">
        <v>9</v>
      </c>
      <c r="E1389" s="389"/>
      <c r="F1389" s="391"/>
      <c r="G1389" s="390"/>
      <c r="H1389" s="390"/>
      <c r="I1389" s="391"/>
      <c r="J1389" s="391"/>
      <c r="K1389" s="387" t="str">
        <f ca="1">IFERROR(VLOOKUP(C1389,' Disaggregation - Section E '!A$7:J390,3,0),"")</f>
        <v>HIV I-14 Number of new HIV infections per 1000 uninfected population</v>
      </c>
      <c r="L1389" s="391"/>
      <c r="M1389" s="387"/>
      <c r="N1389" s="387"/>
      <c r="O1389" s="387" t="s">
        <v>2409</v>
      </c>
      <c r="P1389" s="387"/>
    </row>
    <row r="1390" spans="1:16">
      <c r="A1390" s="387" t="b">
        <v>0</v>
      </c>
      <c r="B1390" s="387"/>
      <c r="C1390" s="401" t="s">
        <v>3273</v>
      </c>
      <c r="D1390" s="392">
        <v>9</v>
      </c>
      <c r="E1390" s="389"/>
      <c r="F1390" s="391"/>
      <c r="G1390" s="390"/>
      <c r="H1390" s="390"/>
      <c r="I1390" s="391"/>
      <c r="J1390" s="391"/>
      <c r="K1390" s="387" t="str">
        <f ca="1">IFERROR(VLOOKUP(C1390,' Disaggregation - Section E '!A$7:J391,3,0),"")</f>
        <v>HIV I-14 Number of new HIV infections per 1000 uninfected population</v>
      </c>
      <c r="L1390" s="391"/>
      <c r="M1390" s="387"/>
      <c r="N1390" s="387"/>
      <c r="O1390" s="387" t="s">
        <v>2409</v>
      </c>
      <c r="P1390" s="387"/>
    </row>
    <row r="1391" spans="1:16">
      <c r="A1391" s="387" t="b">
        <v>0</v>
      </c>
      <c r="B1391" s="387"/>
      <c r="C1391" s="401" t="s">
        <v>3274</v>
      </c>
      <c r="D1391" s="392">
        <v>9</v>
      </c>
      <c r="E1391" s="389"/>
      <c r="F1391" s="391"/>
      <c r="G1391" s="390"/>
      <c r="H1391" s="390"/>
      <c r="I1391" s="391"/>
      <c r="J1391" s="391"/>
      <c r="K1391" s="387" t="str">
        <f ca="1">IFERROR(VLOOKUP(C1391,' Disaggregation - Section E '!A$7:J392,3,0),"")</f>
        <v>HIV I-14 Number of new HIV infections per 1000 uninfected population</v>
      </c>
      <c r="L1391" s="391"/>
      <c r="M1391" s="387"/>
      <c r="N1391" s="387"/>
      <c r="O1391" s="387" t="s">
        <v>2409</v>
      </c>
      <c r="P1391" s="387"/>
    </row>
    <row r="1392" spans="1:16">
      <c r="A1392" s="387" t="b">
        <v>0</v>
      </c>
      <c r="B1392" s="387"/>
      <c r="C1392" s="401" t="s">
        <v>3275</v>
      </c>
      <c r="D1392" s="392">
        <v>9</v>
      </c>
      <c r="E1392" s="389"/>
      <c r="F1392" s="391"/>
      <c r="G1392" s="390"/>
      <c r="H1392" s="390"/>
      <c r="I1392" s="391"/>
      <c r="J1392" s="391"/>
      <c r="K1392" s="387" t="str">
        <f ca="1">IFERROR(VLOOKUP(C1392,' Disaggregation - Section E '!A$7:J393,3,0),"")</f>
        <v>HIV I-14 Number of new HIV infections per 1000 uninfected population</v>
      </c>
      <c r="L1392" s="391"/>
      <c r="M1392" s="387"/>
      <c r="N1392" s="387"/>
      <c r="O1392" s="387" t="s">
        <v>2409</v>
      </c>
      <c r="P1392" s="387"/>
    </row>
    <row r="1393" spans="1:16">
      <c r="A1393" s="387" t="b">
        <v>0</v>
      </c>
      <c r="B1393" s="387"/>
      <c r="C1393" s="401" t="s">
        <v>3276</v>
      </c>
      <c r="D1393" s="392">
        <v>9</v>
      </c>
      <c r="E1393" s="389"/>
      <c r="F1393" s="391"/>
      <c r="G1393" s="390"/>
      <c r="H1393" s="390"/>
      <c r="I1393" s="391"/>
      <c r="J1393" s="391"/>
      <c r="K1393" s="387" t="str">
        <f ca="1">IFERROR(VLOOKUP(C1393,' Disaggregation - Section E '!A$7:J394,3,0),"")</f>
        <v>HIV I-14 Number of new HIV infections per 1000 uninfected population</v>
      </c>
      <c r="L1393" s="391"/>
      <c r="M1393" s="387"/>
      <c r="N1393" s="387"/>
      <c r="O1393" s="387" t="s">
        <v>2409</v>
      </c>
      <c r="P1393" s="387"/>
    </row>
    <row r="1394" spans="1:16">
      <c r="A1394" s="387" t="b">
        <v>0</v>
      </c>
      <c r="B1394" s="387"/>
      <c r="C1394" s="401" t="s">
        <v>3277</v>
      </c>
      <c r="D1394" s="392">
        <v>9</v>
      </c>
      <c r="E1394" s="389"/>
      <c r="F1394" s="391"/>
      <c r="G1394" s="390"/>
      <c r="H1394" s="390"/>
      <c r="I1394" s="391"/>
      <c r="J1394" s="391"/>
      <c r="K1394" s="387" t="str">
        <f ca="1">IFERROR(VLOOKUP(C1394,' Disaggregation - Section E '!A$7:J395,3,0),"")</f>
        <v>HIV I-14 Number of new HIV infections per 1000 uninfected population</v>
      </c>
      <c r="L1394" s="391"/>
      <c r="M1394" s="387"/>
      <c r="N1394" s="387"/>
      <c r="O1394" s="387" t="s">
        <v>2409</v>
      </c>
      <c r="P1394" s="387"/>
    </row>
    <row r="1395" spans="1:16">
      <c r="A1395" s="387" t="b">
        <v>0</v>
      </c>
      <c r="B1395" s="387"/>
      <c r="C1395" s="401" t="s">
        <v>3278</v>
      </c>
      <c r="D1395" s="392">
        <v>9</v>
      </c>
      <c r="E1395" s="389"/>
      <c r="F1395" s="391"/>
      <c r="G1395" s="390"/>
      <c r="H1395" s="390"/>
      <c r="I1395" s="391"/>
      <c r="J1395" s="391"/>
      <c r="K1395" s="387" t="str">
        <f ca="1">IFERROR(VLOOKUP(C1395,' Disaggregation - Section E '!A$7:J396,3,0),"")</f>
        <v>HIV I-14 Number of new HIV infections per 1000 uninfected population</v>
      </c>
      <c r="L1395" s="391"/>
      <c r="M1395" s="387"/>
      <c r="N1395" s="387"/>
      <c r="O1395" s="387" t="s">
        <v>2409</v>
      </c>
      <c r="P1395" s="387"/>
    </row>
    <row r="1396" spans="1:16">
      <c r="A1396" s="387" t="b">
        <v>0</v>
      </c>
      <c r="B1396" s="387"/>
      <c r="C1396" s="401" t="s">
        <v>3279</v>
      </c>
      <c r="D1396" s="392">
        <v>9</v>
      </c>
      <c r="E1396" s="389"/>
      <c r="F1396" s="391"/>
      <c r="G1396" s="390"/>
      <c r="H1396" s="390"/>
      <c r="I1396" s="391"/>
      <c r="J1396" s="391"/>
      <c r="K1396" s="387" t="str">
        <f ca="1">IFERROR(VLOOKUP(C1396,' Disaggregation - Section E '!A$7:J397,3,0),"")</f>
        <v>HIV I-14 Number of new HIV infections per 1000 uninfected population</v>
      </c>
      <c r="L1396" s="391"/>
      <c r="M1396" s="387"/>
      <c r="N1396" s="387"/>
      <c r="O1396" s="387" t="s">
        <v>2409</v>
      </c>
      <c r="P1396" s="387"/>
    </row>
    <row r="1397" spans="1:16">
      <c r="A1397" s="387" t="b">
        <v>0</v>
      </c>
      <c r="B1397" s="387"/>
      <c r="C1397" s="401" t="s">
        <v>3280</v>
      </c>
      <c r="D1397" s="392">
        <v>9</v>
      </c>
      <c r="E1397" s="389"/>
      <c r="F1397" s="391"/>
      <c r="G1397" s="390"/>
      <c r="H1397" s="390"/>
      <c r="I1397" s="391"/>
      <c r="J1397" s="391"/>
      <c r="K1397" s="387" t="str">
        <f ca="1">IFERROR(VLOOKUP(C1397,' Disaggregation - Section E '!A$7:J398,3,0),"")</f>
        <v>HIV I-14 Number of new HIV infections per 1000 uninfected population</v>
      </c>
      <c r="L1397" s="391"/>
      <c r="M1397" s="387"/>
      <c r="N1397" s="387"/>
      <c r="O1397" s="387" t="s">
        <v>2409</v>
      </c>
      <c r="P1397" s="387"/>
    </row>
    <row r="1398" spans="1:16">
      <c r="A1398" s="387" t="b">
        <v>0</v>
      </c>
      <c r="B1398" s="387"/>
      <c r="C1398" s="401" t="s">
        <v>3281</v>
      </c>
      <c r="D1398" s="392">
        <v>10</v>
      </c>
      <c r="E1398" s="389"/>
      <c r="F1398" s="391"/>
      <c r="G1398" s="390"/>
      <c r="H1398" s="390"/>
      <c r="I1398" s="391"/>
      <c r="J1398" s="391"/>
      <c r="K1398" s="387" t="str">
        <f ca="1">IFERROR(VLOOKUP(C1398,' Disaggregation - Section E '!A$7:J399,3,0),"")</f>
        <v>HIV I-4 Number of AIDS-related deaths per 100,000 population</v>
      </c>
      <c r="L1398" s="391"/>
      <c r="M1398" s="387"/>
      <c r="N1398" s="387"/>
      <c r="O1398" s="387" t="s">
        <v>2416</v>
      </c>
      <c r="P1398" s="387"/>
    </row>
    <row r="1399" spans="1:16">
      <c r="A1399" s="387" t="b">
        <v>0</v>
      </c>
      <c r="B1399" s="387"/>
      <c r="C1399" s="401" t="s">
        <v>3282</v>
      </c>
      <c r="D1399" s="392">
        <v>10</v>
      </c>
      <c r="E1399" s="389"/>
      <c r="F1399" s="391"/>
      <c r="G1399" s="390"/>
      <c r="H1399" s="390"/>
      <c r="I1399" s="391"/>
      <c r="J1399" s="391"/>
      <c r="K1399" s="387" t="str">
        <f ca="1">IFERROR(VLOOKUP(C1399,' Disaggregation - Section E '!A$7:J400,3,0),"")</f>
        <v>HIV I-4 Number of AIDS-related deaths per 100,000 population</v>
      </c>
      <c r="L1399" s="391"/>
      <c r="M1399" s="387"/>
      <c r="N1399" s="387"/>
      <c r="O1399" s="387" t="s">
        <v>2416</v>
      </c>
      <c r="P1399" s="387"/>
    </row>
    <row r="1400" spans="1:16">
      <c r="A1400" s="387" t="b">
        <v>0</v>
      </c>
      <c r="B1400" s="387"/>
      <c r="C1400" s="401" t="s">
        <v>3283</v>
      </c>
      <c r="D1400" s="392">
        <v>10</v>
      </c>
      <c r="E1400" s="389"/>
      <c r="F1400" s="391"/>
      <c r="G1400" s="390"/>
      <c r="H1400" s="390"/>
      <c r="I1400" s="391"/>
      <c r="J1400" s="391"/>
      <c r="K1400" s="387" t="str">
        <f ca="1">IFERROR(VLOOKUP(C1400,' Disaggregation - Section E '!A$7:J401,3,0),"")</f>
        <v>HIV I-4 Number of AIDS-related deaths per 100,000 population</v>
      </c>
      <c r="L1400" s="391"/>
      <c r="M1400" s="387"/>
      <c r="N1400" s="387"/>
      <c r="O1400" s="387" t="s">
        <v>2416</v>
      </c>
      <c r="P1400" s="387"/>
    </row>
    <row r="1401" spans="1:16">
      <c r="A1401" s="387" t="b">
        <v>0</v>
      </c>
      <c r="B1401" s="387"/>
      <c r="C1401" s="401" t="s">
        <v>3284</v>
      </c>
      <c r="D1401" s="392">
        <v>10</v>
      </c>
      <c r="E1401" s="389"/>
      <c r="F1401" s="391"/>
      <c r="G1401" s="390"/>
      <c r="H1401" s="390"/>
      <c r="I1401" s="391"/>
      <c r="J1401" s="391"/>
      <c r="K1401" s="387" t="str">
        <f ca="1">IFERROR(VLOOKUP(C1401,' Disaggregation - Section E '!A$7:J402,3,0),"")</f>
        <v>HIV I-4 Number of AIDS-related deaths per 100,000 population</v>
      </c>
      <c r="L1401" s="391"/>
      <c r="M1401" s="387"/>
      <c r="N1401" s="387"/>
      <c r="O1401" s="387" t="s">
        <v>2416</v>
      </c>
      <c r="P1401" s="387"/>
    </row>
    <row r="1402" spans="1:16">
      <c r="A1402" s="387" t="b">
        <v>0</v>
      </c>
      <c r="B1402" s="387"/>
      <c r="C1402" s="401" t="s">
        <v>3285</v>
      </c>
      <c r="D1402" s="392">
        <v>10</v>
      </c>
      <c r="E1402" s="389"/>
      <c r="F1402" s="391"/>
      <c r="G1402" s="390"/>
      <c r="H1402" s="390"/>
      <c r="I1402" s="391"/>
      <c r="J1402" s="391"/>
      <c r="K1402" s="387" t="str">
        <f ca="1">IFERROR(VLOOKUP(C1402,' Disaggregation - Section E '!A$7:J403,3,0),"")</f>
        <v>HIV I-4 Number of AIDS-related deaths per 100,000 population</v>
      </c>
      <c r="L1402" s="391"/>
      <c r="M1402" s="387"/>
      <c r="N1402" s="387"/>
      <c r="O1402" s="387" t="s">
        <v>2416</v>
      </c>
      <c r="P1402" s="387"/>
    </row>
    <row r="1403" spans="1:16">
      <c r="A1403" s="387" t="b">
        <v>0</v>
      </c>
      <c r="B1403" s="387"/>
      <c r="C1403" s="401" t="s">
        <v>3286</v>
      </c>
      <c r="D1403" s="392">
        <v>10</v>
      </c>
      <c r="E1403" s="389"/>
      <c r="F1403" s="391"/>
      <c r="G1403" s="390"/>
      <c r="H1403" s="390"/>
      <c r="I1403" s="391"/>
      <c r="J1403" s="391"/>
      <c r="K1403" s="387" t="str">
        <f ca="1">IFERROR(VLOOKUP(C1403,' Disaggregation - Section E '!A$7:J404,3,0),"")</f>
        <v>HIV I-4 Number of AIDS-related deaths per 100,000 population</v>
      </c>
      <c r="L1403" s="391"/>
      <c r="M1403" s="387"/>
      <c r="N1403" s="387"/>
      <c r="O1403" s="387" t="s">
        <v>2416</v>
      </c>
      <c r="P1403" s="387"/>
    </row>
    <row r="1404" spans="1:16">
      <c r="A1404" s="387" t="b">
        <v>0</v>
      </c>
      <c r="B1404" s="387"/>
      <c r="C1404" s="401" t="s">
        <v>3287</v>
      </c>
      <c r="D1404" s="392">
        <v>10</v>
      </c>
      <c r="E1404" s="389"/>
      <c r="F1404" s="391"/>
      <c r="G1404" s="390"/>
      <c r="H1404" s="390"/>
      <c r="I1404" s="391"/>
      <c r="J1404" s="391"/>
      <c r="K1404" s="387" t="str">
        <f ca="1">IFERROR(VLOOKUP(C1404,' Disaggregation - Section E '!A$7:J405,3,0),"")</f>
        <v>HIV I-4 Number of AIDS-related deaths per 100,000 population</v>
      </c>
      <c r="L1404" s="391"/>
      <c r="M1404" s="387"/>
      <c r="N1404" s="387"/>
      <c r="O1404" s="387" t="s">
        <v>2416</v>
      </c>
      <c r="P1404" s="387"/>
    </row>
    <row r="1405" spans="1:16">
      <c r="A1405" s="387" t="b">
        <v>0</v>
      </c>
      <c r="B1405" s="387"/>
      <c r="C1405" s="401" t="s">
        <v>3288</v>
      </c>
      <c r="D1405" s="392">
        <v>10</v>
      </c>
      <c r="E1405" s="389"/>
      <c r="F1405" s="391"/>
      <c r="G1405" s="390"/>
      <c r="H1405" s="390"/>
      <c r="I1405" s="391"/>
      <c r="J1405" s="391"/>
      <c r="K1405" s="387" t="str">
        <f ca="1">IFERROR(VLOOKUP(C1405,' Disaggregation - Section E '!A$7:J406,3,0),"")</f>
        <v>HIV I-4 Number of AIDS-related deaths per 100,000 population</v>
      </c>
      <c r="L1405" s="391"/>
      <c r="M1405" s="387"/>
      <c r="N1405" s="387"/>
      <c r="O1405" s="387" t="s">
        <v>2416</v>
      </c>
      <c r="P1405" s="387"/>
    </row>
    <row r="1406" spans="1:16">
      <c r="A1406" s="387" t="b">
        <v>0</v>
      </c>
      <c r="B1406" s="387"/>
      <c r="C1406" s="401" t="s">
        <v>3289</v>
      </c>
      <c r="D1406" s="392">
        <v>10</v>
      </c>
      <c r="E1406" s="389"/>
      <c r="F1406" s="391"/>
      <c r="G1406" s="390"/>
      <c r="H1406" s="390"/>
      <c r="I1406" s="391"/>
      <c r="J1406" s="391"/>
      <c r="K1406" s="387" t="str">
        <f ca="1">IFERROR(VLOOKUP(C1406,' Disaggregation - Section E '!A$7:J407,3,0),"")</f>
        <v>HIV I-4 Number of AIDS-related deaths per 100,000 population</v>
      </c>
      <c r="L1406" s="391"/>
      <c r="M1406" s="387"/>
      <c r="N1406" s="387"/>
      <c r="O1406" s="387" t="s">
        <v>2416</v>
      </c>
      <c r="P1406" s="387"/>
    </row>
    <row r="1407" spans="1:16">
      <c r="A1407" s="387" t="b">
        <v>0</v>
      </c>
      <c r="B1407" s="387"/>
      <c r="C1407" s="401" t="s">
        <v>3290</v>
      </c>
      <c r="D1407" s="392">
        <v>10</v>
      </c>
      <c r="E1407" s="389"/>
      <c r="F1407" s="391"/>
      <c r="G1407" s="390"/>
      <c r="H1407" s="390"/>
      <c r="I1407" s="391"/>
      <c r="J1407" s="391"/>
      <c r="K1407" s="387" t="str">
        <f ca="1">IFERROR(VLOOKUP(C1407,' Disaggregation - Section E '!A$7:J408,3,0),"")</f>
        <v>HIV I-4 Number of AIDS-related deaths per 100,000 population</v>
      </c>
      <c r="L1407" s="391"/>
      <c r="M1407" s="387"/>
      <c r="N1407" s="387"/>
      <c r="O1407" s="387" t="s">
        <v>2416</v>
      </c>
      <c r="P1407" s="387"/>
    </row>
    <row r="1408" spans="1:16">
      <c r="A1408" s="387" t="b">
        <v>0</v>
      </c>
      <c r="B1408" s="387"/>
      <c r="C1408" s="401" t="s">
        <v>3291</v>
      </c>
      <c r="D1408" s="392">
        <v>11</v>
      </c>
      <c r="E1408" s="389"/>
      <c r="F1408" s="391"/>
      <c r="G1408" s="390"/>
      <c r="H1408" s="390"/>
      <c r="I1408" s="391"/>
      <c r="J1408" s="391"/>
      <c r="K1408" s="387" t="str">
        <f ca="1">IFERROR(VLOOKUP(C1408,' Disaggregation - Section E '!A$7:J409,3,0),"")</f>
        <v/>
      </c>
      <c r="L1408" s="391"/>
      <c r="M1408" s="387"/>
      <c r="N1408" s="387"/>
      <c r="O1408" s="387" t="s">
        <v>2423</v>
      </c>
      <c r="P1408" s="387"/>
    </row>
    <row r="1409" spans="1:16">
      <c r="A1409" s="387" t="b">
        <v>0</v>
      </c>
      <c r="B1409" s="387"/>
      <c r="C1409" s="401" t="s">
        <v>3292</v>
      </c>
      <c r="D1409" s="392">
        <v>11</v>
      </c>
      <c r="E1409" s="389"/>
      <c r="F1409" s="391"/>
      <c r="G1409" s="390"/>
      <c r="H1409" s="390"/>
      <c r="I1409" s="391"/>
      <c r="J1409" s="391"/>
      <c r="K1409" s="387" t="str">
        <f ca="1">IFERROR(VLOOKUP(C1409,' Disaggregation - Section E '!A$7:J410,3,0),"")</f>
        <v/>
      </c>
      <c r="L1409" s="391"/>
      <c r="M1409" s="387"/>
      <c r="N1409" s="387"/>
      <c r="O1409" s="387" t="s">
        <v>2423</v>
      </c>
      <c r="P1409" s="387"/>
    </row>
    <row r="1410" spans="1:16">
      <c r="A1410" s="387" t="b">
        <v>0</v>
      </c>
      <c r="B1410" s="387"/>
      <c r="C1410" s="401" t="s">
        <v>3293</v>
      </c>
      <c r="D1410" s="392">
        <v>11</v>
      </c>
      <c r="E1410" s="389"/>
      <c r="F1410" s="391"/>
      <c r="G1410" s="390"/>
      <c r="H1410" s="390"/>
      <c r="I1410" s="391"/>
      <c r="J1410" s="391"/>
      <c r="K1410" s="387" t="str">
        <f ca="1">IFERROR(VLOOKUP(C1410,' Disaggregation - Section E '!A$7:J411,3,0),"")</f>
        <v/>
      </c>
      <c r="L1410" s="391"/>
      <c r="M1410" s="387"/>
      <c r="N1410" s="387"/>
      <c r="O1410" s="387" t="s">
        <v>2423</v>
      </c>
      <c r="P1410" s="387"/>
    </row>
    <row r="1411" spans="1:16">
      <c r="A1411" s="387" t="b">
        <v>0</v>
      </c>
      <c r="B1411" s="387"/>
      <c r="C1411" s="401" t="s">
        <v>3294</v>
      </c>
      <c r="D1411" s="392">
        <v>11</v>
      </c>
      <c r="E1411" s="389"/>
      <c r="F1411" s="391"/>
      <c r="G1411" s="390"/>
      <c r="H1411" s="390"/>
      <c r="I1411" s="391"/>
      <c r="J1411" s="391"/>
      <c r="K1411" s="387" t="str">
        <f ca="1">IFERROR(VLOOKUP(C1411,' Disaggregation - Section E '!A$7:J412,3,0),"")</f>
        <v/>
      </c>
      <c r="L1411" s="391"/>
      <c r="M1411" s="387"/>
      <c r="N1411" s="387"/>
      <c r="O1411" s="387" t="s">
        <v>2423</v>
      </c>
      <c r="P1411" s="387"/>
    </row>
    <row r="1412" spans="1:16">
      <c r="A1412" s="387" t="b">
        <v>0</v>
      </c>
      <c r="B1412" s="387"/>
      <c r="C1412" s="401" t="s">
        <v>3295</v>
      </c>
      <c r="D1412" s="392">
        <v>11</v>
      </c>
      <c r="E1412" s="389"/>
      <c r="F1412" s="391"/>
      <c r="G1412" s="390"/>
      <c r="H1412" s="390"/>
      <c r="I1412" s="391"/>
      <c r="J1412" s="391"/>
      <c r="K1412" s="387" t="str">
        <f ca="1">IFERROR(VLOOKUP(C1412,' Disaggregation - Section E '!A$7:J413,3,0),"")</f>
        <v/>
      </c>
      <c r="L1412" s="391"/>
      <c r="M1412" s="387"/>
      <c r="N1412" s="387"/>
      <c r="O1412" s="387" t="s">
        <v>2423</v>
      </c>
      <c r="P1412" s="387"/>
    </row>
    <row r="1413" spans="1:16">
      <c r="A1413" s="387" t="b">
        <v>0</v>
      </c>
      <c r="B1413" s="387"/>
      <c r="C1413" s="401" t="s">
        <v>3296</v>
      </c>
      <c r="D1413" s="392">
        <v>11</v>
      </c>
      <c r="E1413" s="389"/>
      <c r="F1413" s="391"/>
      <c r="G1413" s="390"/>
      <c r="H1413" s="390"/>
      <c r="I1413" s="391"/>
      <c r="J1413" s="391"/>
      <c r="K1413" s="387" t="str">
        <f ca="1">IFERROR(VLOOKUP(C1413,' Disaggregation - Section E '!A$7:J414,3,0),"")</f>
        <v/>
      </c>
      <c r="L1413" s="391"/>
      <c r="M1413" s="387"/>
      <c r="N1413" s="387"/>
      <c r="O1413" s="387" t="s">
        <v>2423</v>
      </c>
      <c r="P1413" s="387"/>
    </row>
    <row r="1414" spans="1:16">
      <c r="A1414" s="387" t="b">
        <v>0</v>
      </c>
      <c r="B1414" s="387"/>
      <c r="C1414" s="401" t="s">
        <v>3297</v>
      </c>
      <c r="D1414" s="392">
        <v>11</v>
      </c>
      <c r="E1414" s="389"/>
      <c r="F1414" s="391"/>
      <c r="G1414" s="390"/>
      <c r="H1414" s="390"/>
      <c r="I1414" s="391"/>
      <c r="J1414" s="391"/>
      <c r="K1414" s="387" t="str">
        <f ca="1">IFERROR(VLOOKUP(C1414,' Disaggregation - Section E '!A$7:J415,3,0),"")</f>
        <v/>
      </c>
      <c r="L1414" s="391"/>
      <c r="M1414" s="387"/>
      <c r="N1414" s="387"/>
      <c r="O1414" s="387" t="s">
        <v>2423</v>
      </c>
      <c r="P1414" s="387"/>
    </row>
    <row r="1415" spans="1:16">
      <c r="A1415" s="387" t="b">
        <v>0</v>
      </c>
      <c r="B1415" s="387"/>
      <c r="C1415" s="401" t="s">
        <v>3298</v>
      </c>
      <c r="D1415" s="392">
        <v>11</v>
      </c>
      <c r="E1415" s="389"/>
      <c r="F1415" s="391"/>
      <c r="G1415" s="390"/>
      <c r="H1415" s="390"/>
      <c r="I1415" s="391"/>
      <c r="J1415" s="391"/>
      <c r="K1415" s="387" t="str">
        <f ca="1">IFERROR(VLOOKUP(C1415,' Disaggregation - Section E '!A$7:J416,3,0),"")</f>
        <v/>
      </c>
      <c r="L1415" s="391"/>
      <c r="M1415" s="387"/>
      <c r="N1415" s="387"/>
      <c r="O1415" s="387" t="s">
        <v>2423</v>
      </c>
      <c r="P1415" s="387"/>
    </row>
    <row r="1416" spans="1:16">
      <c r="A1416" s="387" t="b">
        <v>0</v>
      </c>
      <c r="B1416" s="387"/>
      <c r="C1416" s="401" t="s">
        <v>3299</v>
      </c>
      <c r="D1416" s="392">
        <v>11</v>
      </c>
      <c r="E1416" s="389"/>
      <c r="F1416" s="391"/>
      <c r="G1416" s="390"/>
      <c r="H1416" s="390"/>
      <c r="I1416" s="391"/>
      <c r="J1416" s="391"/>
      <c r="K1416" s="387" t="str">
        <f ca="1">IFERROR(VLOOKUP(C1416,' Disaggregation - Section E '!A$7:J417,3,0),"")</f>
        <v/>
      </c>
      <c r="L1416" s="391"/>
      <c r="M1416" s="387"/>
      <c r="N1416" s="387"/>
      <c r="O1416" s="387" t="s">
        <v>2423</v>
      </c>
      <c r="P1416" s="387"/>
    </row>
    <row r="1417" spans="1:16">
      <c r="A1417" s="387" t="b">
        <v>0</v>
      </c>
      <c r="B1417" s="387"/>
      <c r="C1417" s="401" t="s">
        <v>3300</v>
      </c>
      <c r="D1417" s="392">
        <v>11</v>
      </c>
      <c r="E1417" s="389"/>
      <c r="F1417" s="391"/>
      <c r="G1417" s="390"/>
      <c r="H1417" s="390"/>
      <c r="I1417" s="391"/>
      <c r="J1417" s="391"/>
      <c r="K1417" s="387" t="str">
        <f ca="1">IFERROR(VLOOKUP(C1417,' Disaggregation - Section E '!A$7:J418,3,0),"")</f>
        <v/>
      </c>
      <c r="L1417" s="391"/>
      <c r="M1417" s="387"/>
      <c r="N1417" s="387"/>
      <c r="O1417" s="387" t="s">
        <v>2423</v>
      </c>
      <c r="P1417" s="387"/>
    </row>
    <row r="1418" spans="1:16">
      <c r="A1418" s="387" t="b">
        <v>0</v>
      </c>
      <c r="B1418" s="387"/>
      <c r="C1418" s="401" t="s">
        <v>3301</v>
      </c>
      <c r="D1418" s="392">
        <v>12</v>
      </c>
      <c r="E1418" s="389"/>
      <c r="F1418" s="391"/>
      <c r="G1418" s="390"/>
      <c r="H1418" s="390"/>
      <c r="I1418" s="391"/>
      <c r="J1418" s="391"/>
      <c r="K1418" s="387" t="str">
        <f ca="1">IFERROR(VLOOKUP(C1418,' Disaggregation - Section E '!A$7:J419,3,0),"")</f>
        <v/>
      </c>
      <c r="L1418" s="391"/>
      <c r="M1418" s="387"/>
      <c r="N1418" s="387"/>
      <c r="O1418" s="387" t="s">
        <v>2430</v>
      </c>
      <c r="P1418" s="387"/>
    </row>
    <row r="1419" spans="1:16">
      <c r="A1419" s="387" t="b">
        <v>0</v>
      </c>
      <c r="B1419" s="387"/>
      <c r="C1419" s="401" t="s">
        <v>3302</v>
      </c>
      <c r="D1419" s="392">
        <v>12</v>
      </c>
      <c r="E1419" s="389"/>
      <c r="F1419" s="391"/>
      <c r="G1419" s="390"/>
      <c r="H1419" s="390"/>
      <c r="I1419" s="391"/>
      <c r="J1419" s="391"/>
      <c r="K1419" s="387" t="str">
        <f ca="1">IFERROR(VLOOKUP(C1419,' Disaggregation - Section E '!A$7:J420,3,0),"")</f>
        <v/>
      </c>
      <c r="L1419" s="391"/>
      <c r="M1419" s="387"/>
      <c r="N1419" s="387"/>
      <c r="O1419" s="387" t="s">
        <v>2430</v>
      </c>
      <c r="P1419" s="387"/>
    </row>
    <row r="1420" spans="1:16">
      <c r="A1420" s="387" t="b">
        <v>0</v>
      </c>
      <c r="B1420" s="387"/>
      <c r="C1420" s="401" t="s">
        <v>3303</v>
      </c>
      <c r="D1420" s="392">
        <v>12</v>
      </c>
      <c r="E1420" s="389"/>
      <c r="F1420" s="391"/>
      <c r="G1420" s="390"/>
      <c r="H1420" s="390"/>
      <c r="I1420" s="391"/>
      <c r="J1420" s="391"/>
      <c r="K1420" s="387" t="str">
        <f ca="1">IFERROR(VLOOKUP(C1420,' Disaggregation - Section E '!A$7:J421,3,0),"")</f>
        <v/>
      </c>
      <c r="L1420" s="391"/>
      <c r="M1420" s="387"/>
      <c r="N1420" s="387"/>
      <c r="O1420" s="387" t="s">
        <v>2430</v>
      </c>
      <c r="P1420" s="387"/>
    </row>
    <row r="1421" spans="1:16">
      <c r="A1421" s="387" t="b">
        <v>0</v>
      </c>
      <c r="B1421" s="387"/>
      <c r="C1421" s="401" t="s">
        <v>3304</v>
      </c>
      <c r="D1421" s="392">
        <v>12</v>
      </c>
      <c r="E1421" s="389"/>
      <c r="F1421" s="391"/>
      <c r="G1421" s="390"/>
      <c r="H1421" s="390"/>
      <c r="I1421" s="391"/>
      <c r="J1421" s="391"/>
      <c r="K1421" s="387" t="str">
        <f ca="1">IFERROR(VLOOKUP(C1421,' Disaggregation - Section E '!A$7:J422,3,0),"")</f>
        <v/>
      </c>
      <c r="L1421" s="391"/>
      <c r="M1421" s="387"/>
      <c r="N1421" s="387"/>
      <c r="O1421" s="387" t="s">
        <v>2430</v>
      </c>
      <c r="P1421" s="387"/>
    </row>
    <row r="1422" spans="1:16">
      <c r="A1422" s="387" t="b">
        <v>0</v>
      </c>
      <c r="B1422" s="387"/>
      <c r="C1422" s="401" t="s">
        <v>3305</v>
      </c>
      <c r="D1422" s="392">
        <v>12</v>
      </c>
      <c r="E1422" s="389"/>
      <c r="F1422" s="391"/>
      <c r="G1422" s="390"/>
      <c r="H1422" s="390"/>
      <c r="I1422" s="391"/>
      <c r="J1422" s="391"/>
      <c r="K1422" s="387" t="str">
        <f ca="1">IFERROR(VLOOKUP(C1422,' Disaggregation - Section E '!A$7:J423,3,0),"")</f>
        <v/>
      </c>
      <c r="L1422" s="391"/>
      <c r="M1422" s="387"/>
      <c r="N1422" s="387"/>
      <c r="O1422" s="387" t="s">
        <v>2430</v>
      </c>
      <c r="P1422" s="387"/>
    </row>
    <row r="1423" spans="1:16">
      <c r="A1423" s="387" t="b">
        <v>0</v>
      </c>
      <c r="B1423" s="387"/>
      <c r="C1423" s="401" t="s">
        <v>3306</v>
      </c>
      <c r="D1423" s="392">
        <v>12</v>
      </c>
      <c r="E1423" s="389"/>
      <c r="F1423" s="391"/>
      <c r="G1423" s="390"/>
      <c r="H1423" s="390"/>
      <c r="I1423" s="391"/>
      <c r="J1423" s="391"/>
      <c r="K1423" s="387" t="str">
        <f ca="1">IFERROR(VLOOKUP(C1423,' Disaggregation - Section E '!A$7:J424,3,0),"")</f>
        <v/>
      </c>
      <c r="L1423" s="391"/>
      <c r="M1423" s="387"/>
      <c r="N1423" s="387"/>
      <c r="O1423" s="387" t="s">
        <v>2430</v>
      </c>
      <c r="P1423" s="387"/>
    </row>
    <row r="1424" spans="1:16">
      <c r="A1424" s="387" t="b">
        <v>0</v>
      </c>
      <c r="B1424" s="387"/>
      <c r="C1424" s="401" t="s">
        <v>3307</v>
      </c>
      <c r="D1424" s="392">
        <v>12</v>
      </c>
      <c r="E1424" s="389"/>
      <c r="F1424" s="391"/>
      <c r="G1424" s="390"/>
      <c r="H1424" s="390"/>
      <c r="I1424" s="391"/>
      <c r="J1424" s="391"/>
      <c r="K1424" s="387" t="str">
        <f ca="1">IFERROR(VLOOKUP(C1424,' Disaggregation - Section E '!A$7:J425,3,0),"")</f>
        <v/>
      </c>
      <c r="L1424" s="391"/>
      <c r="M1424" s="387"/>
      <c r="N1424" s="387"/>
      <c r="O1424" s="387" t="s">
        <v>2430</v>
      </c>
      <c r="P1424" s="387"/>
    </row>
    <row r="1425" spans="1:16">
      <c r="A1425" s="387" t="b">
        <v>0</v>
      </c>
      <c r="B1425" s="387"/>
      <c r="C1425" s="401" t="s">
        <v>3308</v>
      </c>
      <c r="D1425" s="392">
        <v>12</v>
      </c>
      <c r="E1425" s="389"/>
      <c r="F1425" s="391"/>
      <c r="G1425" s="390"/>
      <c r="H1425" s="390"/>
      <c r="I1425" s="391"/>
      <c r="J1425" s="391"/>
      <c r="K1425" s="387" t="str">
        <f ca="1">IFERROR(VLOOKUP(C1425,' Disaggregation - Section E '!A$7:J426,3,0),"")</f>
        <v/>
      </c>
      <c r="L1425" s="391"/>
      <c r="M1425" s="387"/>
      <c r="N1425" s="387"/>
      <c r="O1425" s="387" t="s">
        <v>2430</v>
      </c>
      <c r="P1425" s="387"/>
    </row>
    <row r="1426" spans="1:16">
      <c r="A1426" s="387" t="b">
        <v>0</v>
      </c>
      <c r="B1426" s="387"/>
      <c r="C1426" s="401" t="s">
        <v>3309</v>
      </c>
      <c r="D1426" s="392">
        <v>12</v>
      </c>
      <c r="E1426" s="389"/>
      <c r="F1426" s="391"/>
      <c r="G1426" s="390"/>
      <c r="H1426" s="390"/>
      <c r="I1426" s="391"/>
      <c r="J1426" s="391"/>
      <c r="K1426" s="387" t="str">
        <f ca="1">IFERROR(VLOOKUP(C1426,' Disaggregation - Section E '!A$7:J427,3,0),"")</f>
        <v/>
      </c>
      <c r="L1426" s="391"/>
      <c r="M1426" s="387"/>
      <c r="N1426" s="387"/>
      <c r="O1426" s="387" t="s">
        <v>2430</v>
      </c>
      <c r="P1426" s="387"/>
    </row>
    <row r="1427" spans="1:16">
      <c r="A1427" s="387" t="b">
        <v>0</v>
      </c>
      <c r="B1427" s="387"/>
      <c r="C1427" s="401" t="s">
        <v>3310</v>
      </c>
      <c r="D1427" s="392">
        <v>12</v>
      </c>
      <c r="E1427" s="389"/>
      <c r="F1427" s="391"/>
      <c r="G1427" s="390"/>
      <c r="H1427" s="390"/>
      <c r="I1427" s="391"/>
      <c r="J1427" s="391"/>
      <c r="K1427" s="387" t="str">
        <f ca="1">IFERROR(VLOOKUP(C1427,' Disaggregation - Section E '!A$7:J428,3,0),"")</f>
        <v/>
      </c>
      <c r="L1427" s="391"/>
      <c r="M1427" s="387"/>
      <c r="N1427" s="387"/>
      <c r="O1427" s="387" t="s">
        <v>2430</v>
      </c>
      <c r="P1427" s="387"/>
    </row>
    <row r="1428" spans="1:16">
      <c r="A1428" s="387" t="b">
        <v>0</v>
      </c>
      <c r="B1428" s="387"/>
      <c r="C1428" s="401" t="s">
        <v>3311</v>
      </c>
      <c r="D1428" s="392">
        <v>13</v>
      </c>
      <c r="E1428" s="389"/>
      <c r="F1428" s="391"/>
      <c r="G1428" s="390"/>
      <c r="H1428" s="390"/>
      <c r="I1428" s="391"/>
      <c r="J1428" s="391"/>
      <c r="K1428" s="387" t="str">
        <f ca="1">IFERROR(VLOOKUP(C1428,' Disaggregation - Section E '!A$7:J429,3,0),"")</f>
        <v/>
      </c>
      <c r="L1428" s="391"/>
      <c r="M1428" s="387"/>
      <c r="N1428" s="387"/>
      <c r="O1428" s="387" t="s">
        <v>2437</v>
      </c>
      <c r="P1428" s="387"/>
    </row>
    <row r="1429" spans="1:16">
      <c r="A1429" s="387" t="b">
        <v>0</v>
      </c>
      <c r="B1429" s="387"/>
      <c r="C1429" s="401" t="s">
        <v>3312</v>
      </c>
      <c r="D1429" s="392">
        <v>13</v>
      </c>
      <c r="E1429" s="389"/>
      <c r="F1429" s="391"/>
      <c r="G1429" s="390"/>
      <c r="H1429" s="390"/>
      <c r="I1429" s="391"/>
      <c r="J1429" s="391"/>
      <c r="K1429" s="387" t="str">
        <f ca="1">IFERROR(VLOOKUP(C1429,' Disaggregation - Section E '!A$7:J430,3,0),"")</f>
        <v/>
      </c>
      <c r="L1429" s="391"/>
      <c r="M1429" s="387"/>
      <c r="N1429" s="387"/>
      <c r="O1429" s="387" t="s">
        <v>2437</v>
      </c>
      <c r="P1429" s="387"/>
    </row>
    <row r="1430" spans="1:16">
      <c r="A1430" s="387" t="b">
        <v>0</v>
      </c>
      <c r="B1430" s="387"/>
      <c r="C1430" s="401" t="s">
        <v>3313</v>
      </c>
      <c r="D1430" s="392">
        <v>13</v>
      </c>
      <c r="E1430" s="389"/>
      <c r="F1430" s="391"/>
      <c r="G1430" s="390"/>
      <c r="H1430" s="390"/>
      <c r="I1430" s="391"/>
      <c r="J1430" s="391"/>
      <c r="K1430" s="387" t="str">
        <f ca="1">IFERROR(VLOOKUP(C1430,' Disaggregation - Section E '!A$7:J431,3,0),"")</f>
        <v/>
      </c>
      <c r="L1430" s="391"/>
      <c r="M1430" s="387"/>
      <c r="N1430" s="387"/>
      <c r="O1430" s="387" t="s">
        <v>2437</v>
      </c>
      <c r="P1430" s="387"/>
    </row>
    <row r="1431" spans="1:16">
      <c r="A1431" s="387" t="b">
        <v>0</v>
      </c>
      <c r="B1431" s="387"/>
      <c r="C1431" s="401" t="s">
        <v>3314</v>
      </c>
      <c r="D1431" s="392">
        <v>13</v>
      </c>
      <c r="E1431" s="389"/>
      <c r="F1431" s="391"/>
      <c r="G1431" s="390"/>
      <c r="H1431" s="390"/>
      <c r="I1431" s="391"/>
      <c r="J1431" s="391"/>
      <c r="K1431" s="387" t="str">
        <f ca="1">IFERROR(VLOOKUP(C1431,' Disaggregation - Section E '!A$7:J432,3,0),"")</f>
        <v/>
      </c>
      <c r="L1431" s="391"/>
      <c r="M1431" s="387"/>
      <c r="N1431" s="387"/>
      <c r="O1431" s="387" t="s">
        <v>2437</v>
      </c>
      <c r="P1431" s="387"/>
    </row>
    <row r="1432" spans="1:16">
      <c r="A1432" s="387" t="b">
        <v>0</v>
      </c>
      <c r="B1432" s="387"/>
      <c r="C1432" s="401" t="s">
        <v>3315</v>
      </c>
      <c r="D1432" s="392">
        <v>13</v>
      </c>
      <c r="E1432" s="389"/>
      <c r="F1432" s="391"/>
      <c r="G1432" s="390"/>
      <c r="H1432" s="390"/>
      <c r="I1432" s="391"/>
      <c r="J1432" s="391"/>
      <c r="K1432" s="387" t="str">
        <f ca="1">IFERROR(VLOOKUP(C1432,' Disaggregation - Section E '!A$7:J433,3,0),"")</f>
        <v/>
      </c>
      <c r="L1432" s="391"/>
      <c r="M1432" s="387"/>
      <c r="N1432" s="387"/>
      <c r="O1432" s="387" t="s">
        <v>2437</v>
      </c>
      <c r="P1432" s="387"/>
    </row>
    <row r="1433" spans="1:16">
      <c r="A1433" s="387" t="b">
        <v>0</v>
      </c>
      <c r="B1433" s="387"/>
      <c r="C1433" s="401" t="s">
        <v>3316</v>
      </c>
      <c r="D1433" s="392">
        <v>13</v>
      </c>
      <c r="E1433" s="389"/>
      <c r="F1433" s="391"/>
      <c r="G1433" s="390"/>
      <c r="H1433" s="390"/>
      <c r="I1433" s="391"/>
      <c r="J1433" s="391"/>
      <c r="K1433" s="387" t="str">
        <f ca="1">IFERROR(VLOOKUP(C1433,' Disaggregation - Section E '!A$7:J434,3,0),"")</f>
        <v/>
      </c>
      <c r="L1433" s="391"/>
      <c r="M1433" s="387"/>
      <c r="N1433" s="387"/>
      <c r="O1433" s="387" t="s">
        <v>2437</v>
      </c>
      <c r="P1433" s="387"/>
    </row>
    <row r="1434" spans="1:16">
      <c r="A1434" s="387" t="b">
        <v>0</v>
      </c>
      <c r="B1434" s="387"/>
      <c r="C1434" s="401" t="s">
        <v>3317</v>
      </c>
      <c r="D1434" s="392">
        <v>13</v>
      </c>
      <c r="E1434" s="389"/>
      <c r="F1434" s="391"/>
      <c r="G1434" s="390"/>
      <c r="H1434" s="390"/>
      <c r="I1434" s="391"/>
      <c r="J1434" s="391"/>
      <c r="K1434" s="387" t="str">
        <f ca="1">IFERROR(VLOOKUP(C1434,' Disaggregation - Section E '!A$7:J435,3,0),"")</f>
        <v/>
      </c>
      <c r="L1434" s="391"/>
      <c r="M1434" s="387"/>
      <c r="N1434" s="387"/>
      <c r="O1434" s="387" t="s">
        <v>2437</v>
      </c>
      <c r="P1434" s="387"/>
    </row>
    <row r="1435" spans="1:16">
      <c r="A1435" s="387" t="b">
        <v>0</v>
      </c>
      <c r="B1435" s="387"/>
      <c r="C1435" s="401" t="s">
        <v>3318</v>
      </c>
      <c r="D1435" s="392">
        <v>13</v>
      </c>
      <c r="E1435" s="389"/>
      <c r="F1435" s="391"/>
      <c r="G1435" s="390"/>
      <c r="H1435" s="390"/>
      <c r="I1435" s="391"/>
      <c r="J1435" s="391"/>
      <c r="K1435" s="387" t="str">
        <f ca="1">IFERROR(VLOOKUP(C1435,' Disaggregation - Section E '!A$7:J436,3,0),"")</f>
        <v/>
      </c>
      <c r="L1435" s="391"/>
      <c r="M1435" s="387"/>
      <c r="N1435" s="387"/>
      <c r="O1435" s="387" t="s">
        <v>2437</v>
      </c>
      <c r="P1435" s="387"/>
    </row>
    <row r="1436" spans="1:16">
      <c r="A1436" s="387" t="b">
        <v>0</v>
      </c>
      <c r="B1436" s="387"/>
      <c r="C1436" s="401" t="s">
        <v>3319</v>
      </c>
      <c r="D1436" s="392">
        <v>13</v>
      </c>
      <c r="E1436" s="389"/>
      <c r="F1436" s="391"/>
      <c r="G1436" s="390"/>
      <c r="H1436" s="390"/>
      <c r="I1436" s="391"/>
      <c r="J1436" s="391"/>
      <c r="K1436" s="387" t="str">
        <f ca="1">IFERROR(VLOOKUP(C1436,' Disaggregation - Section E '!A$7:J437,3,0),"")</f>
        <v/>
      </c>
      <c r="L1436" s="391"/>
      <c r="M1436" s="387"/>
      <c r="N1436" s="387"/>
      <c r="O1436" s="387" t="s">
        <v>2437</v>
      </c>
      <c r="P1436" s="387"/>
    </row>
    <row r="1437" spans="1:16">
      <c r="A1437" s="387" t="b">
        <v>0</v>
      </c>
      <c r="B1437" s="387"/>
      <c r="C1437" s="401" t="s">
        <v>3320</v>
      </c>
      <c r="D1437" s="392">
        <v>13</v>
      </c>
      <c r="E1437" s="389"/>
      <c r="F1437" s="391"/>
      <c r="G1437" s="390"/>
      <c r="H1437" s="390"/>
      <c r="I1437" s="391"/>
      <c r="J1437" s="391"/>
      <c r="K1437" s="387" t="str">
        <f ca="1">IFERROR(VLOOKUP(C1437,' Disaggregation - Section E '!A$7:J438,3,0),"")</f>
        <v/>
      </c>
      <c r="L1437" s="391"/>
      <c r="M1437" s="387"/>
      <c r="N1437" s="387"/>
      <c r="O1437" s="387" t="s">
        <v>2437</v>
      </c>
      <c r="P1437" s="387"/>
    </row>
    <row r="1438" spans="1:16">
      <c r="A1438" s="387" t="b">
        <v>0</v>
      </c>
      <c r="B1438" s="387"/>
      <c r="C1438" s="401" t="s">
        <v>3321</v>
      </c>
      <c r="D1438" s="392">
        <v>14</v>
      </c>
      <c r="E1438" s="389"/>
      <c r="F1438" s="391"/>
      <c r="G1438" s="390"/>
      <c r="H1438" s="390"/>
      <c r="I1438" s="391"/>
      <c r="J1438" s="391"/>
      <c r="K1438" s="387" t="str">
        <f ca="1">IFERROR(VLOOKUP(C1438,' Disaggregation - Section E '!A$7:J439,3,0),"")</f>
        <v/>
      </c>
      <c r="L1438" s="391"/>
      <c r="M1438" s="387"/>
      <c r="N1438" s="387"/>
      <c r="O1438" s="387" t="s">
        <v>2444</v>
      </c>
      <c r="P1438" s="387"/>
    </row>
    <row r="1439" spans="1:16">
      <c r="A1439" s="387" t="b">
        <v>0</v>
      </c>
      <c r="B1439" s="387"/>
      <c r="C1439" s="401" t="s">
        <v>3322</v>
      </c>
      <c r="D1439" s="392">
        <v>14</v>
      </c>
      <c r="E1439" s="389"/>
      <c r="F1439" s="391"/>
      <c r="G1439" s="390"/>
      <c r="H1439" s="390"/>
      <c r="I1439" s="391"/>
      <c r="J1439" s="391"/>
      <c r="K1439" s="387" t="str">
        <f ca="1">IFERROR(VLOOKUP(C1439,' Disaggregation - Section E '!A$7:J440,3,0),"")</f>
        <v/>
      </c>
      <c r="L1439" s="391"/>
      <c r="M1439" s="387"/>
      <c r="N1439" s="387"/>
      <c r="O1439" s="387" t="s">
        <v>2444</v>
      </c>
      <c r="P1439" s="387"/>
    </row>
    <row r="1440" spans="1:16">
      <c r="A1440" s="387" t="b">
        <v>0</v>
      </c>
      <c r="B1440" s="387"/>
      <c r="C1440" s="401" t="s">
        <v>3323</v>
      </c>
      <c r="D1440" s="392">
        <v>14</v>
      </c>
      <c r="E1440" s="389"/>
      <c r="F1440" s="391"/>
      <c r="G1440" s="390"/>
      <c r="H1440" s="390"/>
      <c r="I1440" s="391"/>
      <c r="J1440" s="391"/>
      <c r="K1440" s="387" t="str">
        <f ca="1">IFERROR(VLOOKUP(C1440,' Disaggregation - Section E '!A$7:J441,3,0),"")</f>
        <v/>
      </c>
      <c r="L1440" s="391"/>
      <c r="M1440" s="387"/>
      <c r="N1440" s="387"/>
      <c r="O1440" s="387" t="s">
        <v>2444</v>
      </c>
      <c r="P1440" s="387"/>
    </row>
    <row r="1441" spans="1:16">
      <c r="A1441" s="387" t="b">
        <v>0</v>
      </c>
      <c r="B1441" s="387"/>
      <c r="C1441" s="401" t="s">
        <v>3324</v>
      </c>
      <c r="D1441" s="392">
        <v>14</v>
      </c>
      <c r="E1441" s="389"/>
      <c r="F1441" s="391"/>
      <c r="G1441" s="390"/>
      <c r="H1441" s="390"/>
      <c r="I1441" s="391"/>
      <c r="J1441" s="391"/>
      <c r="K1441" s="387" t="str">
        <f ca="1">IFERROR(VLOOKUP(C1441,' Disaggregation - Section E '!A$7:J442,3,0),"")</f>
        <v/>
      </c>
      <c r="L1441" s="391"/>
      <c r="M1441" s="387"/>
      <c r="N1441" s="387"/>
      <c r="O1441" s="387" t="s">
        <v>2444</v>
      </c>
      <c r="P1441" s="387"/>
    </row>
    <row r="1442" spans="1:16">
      <c r="A1442" s="387" t="b">
        <v>0</v>
      </c>
      <c r="B1442" s="387"/>
      <c r="C1442" s="401" t="s">
        <v>3325</v>
      </c>
      <c r="D1442" s="392">
        <v>14</v>
      </c>
      <c r="E1442" s="389"/>
      <c r="F1442" s="391"/>
      <c r="G1442" s="390"/>
      <c r="H1442" s="390"/>
      <c r="I1442" s="391"/>
      <c r="J1442" s="391"/>
      <c r="K1442" s="387" t="str">
        <f ca="1">IFERROR(VLOOKUP(C1442,' Disaggregation - Section E '!A$7:J443,3,0),"")</f>
        <v/>
      </c>
      <c r="L1442" s="391"/>
      <c r="M1442" s="387"/>
      <c r="N1442" s="387"/>
      <c r="O1442" s="387" t="s">
        <v>2444</v>
      </c>
      <c r="P1442" s="387"/>
    </row>
    <row r="1443" spans="1:16">
      <c r="A1443" s="387" t="b">
        <v>0</v>
      </c>
      <c r="B1443" s="387"/>
      <c r="C1443" s="401" t="s">
        <v>3326</v>
      </c>
      <c r="D1443" s="392">
        <v>14</v>
      </c>
      <c r="E1443" s="389"/>
      <c r="F1443" s="391"/>
      <c r="G1443" s="390"/>
      <c r="H1443" s="390"/>
      <c r="I1443" s="391"/>
      <c r="J1443" s="391"/>
      <c r="K1443" s="387" t="str">
        <f ca="1">IFERROR(VLOOKUP(C1443,' Disaggregation - Section E '!A$7:J444,3,0),"")</f>
        <v/>
      </c>
      <c r="L1443" s="391"/>
      <c r="M1443" s="387"/>
      <c r="N1443" s="387"/>
      <c r="O1443" s="387" t="s">
        <v>2444</v>
      </c>
      <c r="P1443" s="387"/>
    </row>
    <row r="1444" spans="1:16">
      <c r="A1444" s="387" t="b">
        <v>0</v>
      </c>
      <c r="B1444" s="387"/>
      <c r="C1444" s="401" t="s">
        <v>3327</v>
      </c>
      <c r="D1444" s="392">
        <v>14</v>
      </c>
      <c r="E1444" s="389"/>
      <c r="F1444" s="391"/>
      <c r="G1444" s="390"/>
      <c r="H1444" s="390"/>
      <c r="I1444" s="391"/>
      <c r="J1444" s="391"/>
      <c r="K1444" s="387" t="str">
        <f ca="1">IFERROR(VLOOKUP(C1444,' Disaggregation - Section E '!A$7:J445,3,0),"")</f>
        <v/>
      </c>
      <c r="L1444" s="391"/>
      <c r="M1444" s="387"/>
      <c r="N1444" s="387"/>
      <c r="O1444" s="387" t="s">
        <v>2444</v>
      </c>
      <c r="P1444" s="387"/>
    </row>
    <row r="1445" spans="1:16">
      <c r="A1445" s="387" t="b">
        <v>0</v>
      </c>
      <c r="B1445" s="387"/>
      <c r="C1445" s="401" t="s">
        <v>3328</v>
      </c>
      <c r="D1445" s="392">
        <v>14</v>
      </c>
      <c r="E1445" s="389"/>
      <c r="F1445" s="391"/>
      <c r="G1445" s="390"/>
      <c r="H1445" s="390"/>
      <c r="I1445" s="391"/>
      <c r="J1445" s="391"/>
      <c r="K1445" s="387" t="str">
        <f ca="1">IFERROR(VLOOKUP(C1445,' Disaggregation - Section E '!A$7:J446,3,0),"")</f>
        <v/>
      </c>
      <c r="L1445" s="391"/>
      <c r="M1445" s="387"/>
      <c r="N1445" s="387"/>
      <c r="O1445" s="387" t="s">
        <v>2444</v>
      </c>
      <c r="P1445" s="387"/>
    </row>
    <row r="1446" spans="1:16">
      <c r="A1446" s="387" t="b">
        <v>0</v>
      </c>
      <c r="B1446" s="387"/>
      <c r="C1446" s="401" t="s">
        <v>3329</v>
      </c>
      <c r="D1446" s="392">
        <v>14</v>
      </c>
      <c r="E1446" s="389"/>
      <c r="F1446" s="391"/>
      <c r="G1446" s="390"/>
      <c r="H1446" s="390"/>
      <c r="I1446" s="391"/>
      <c r="J1446" s="391"/>
      <c r="K1446" s="387" t="str">
        <f ca="1">IFERROR(VLOOKUP(C1446,' Disaggregation - Section E '!A$7:J447,3,0),"")</f>
        <v/>
      </c>
      <c r="L1446" s="391"/>
      <c r="M1446" s="387"/>
      <c r="N1446" s="387"/>
      <c r="O1446" s="387" t="s">
        <v>2444</v>
      </c>
      <c r="P1446" s="387"/>
    </row>
    <row r="1447" spans="1:16">
      <c r="A1447" s="387" t="b">
        <v>0</v>
      </c>
      <c r="B1447" s="387"/>
      <c r="C1447" s="401" t="s">
        <v>3330</v>
      </c>
      <c r="D1447" s="392">
        <v>14</v>
      </c>
      <c r="E1447" s="389"/>
      <c r="F1447" s="391"/>
      <c r="G1447" s="390"/>
      <c r="H1447" s="390"/>
      <c r="I1447" s="391"/>
      <c r="J1447" s="391"/>
      <c r="K1447" s="387" t="str">
        <f ca="1">IFERROR(VLOOKUP(C1447,' Disaggregation - Section E '!A$7:J448,3,0),"")</f>
        <v/>
      </c>
      <c r="L1447" s="391"/>
      <c r="M1447" s="387"/>
      <c r="N1447" s="387"/>
      <c r="O1447" s="387" t="s">
        <v>2444</v>
      </c>
      <c r="P1447" s="387"/>
    </row>
    <row r="1448" spans="1:16">
      <c r="A1448" s="387" t="b">
        <v>0</v>
      </c>
      <c r="B1448" s="387"/>
      <c r="C1448" s="401" t="s">
        <v>3331</v>
      </c>
      <c r="D1448" s="392">
        <v>15</v>
      </c>
      <c r="E1448" s="389"/>
      <c r="F1448" s="391"/>
      <c r="G1448" s="390"/>
      <c r="H1448" s="390"/>
      <c r="I1448" s="391"/>
      <c r="J1448" s="391"/>
      <c r="K1448" s="387" t="str">
        <f ca="1">IFERROR(VLOOKUP(C1448,' Disaggregation - Section E '!A$7:J449,3,0),"")</f>
        <v/>
      </c>
      <c r="L1448" s="391"/>
      <c r="M1448" s="387"/>
      <c r="N1448" s="387"/>
      <c r="O1448" s="387" t="s">
        <v>2451</v>
      </c>
      <c r="P1448" s="387"/>
    </row>
    <row r="1449" spans="1:16">
      <c r="A1449" s="387" t="b">
        <v>0</v>
      </c>
      <c r="B1449" s="387"/>
      <c r="C1449" s="401" t="s">
        <v>3332</v>
      </c>
      <c r="D1449" s="392">
        <v>15</v>
      </c>
      <c r="E1449" s="389"/>
      <c r="F1449" s="391"/>
      <c r="G1449" s="390"/>
      <c r="H1449" s="390"/>
      <c r="I1449" s="391"/>
      <c r="J1449" s="391"/>
      <c r="K1449" s="387" t="str">
        <f ca="1">IFERROR(VLOOKUP(C1449,' Disaggregation - Section E '!A$7:J450,3,0),"")</f>
        <v/>
      </c>
      <c r="L1449" s="391"/>
      <c r="M1449" s="387"/>
      <c r="N1449" s="387"/>
      <c r="O1449" s="387" t="s">
        <v>2451</v>
      </c>
      <c r="P1449" s="387"/>
    </row>
    <row r="1450" spans="1:16">
      <c r="A1450" s="387" t="b">
        <v>0</v>
      </c>
      <c r="B1450" s="387"/>
      <c r="C1450" s="401" t="s">
        <v>3333</v>
      </c>
      <c r="D1450" s="392">
        <v>15</v>
      </c>
      <c r="E1450" s="389"/>
      <c r="F1450" s="391"/>
      <c r="G1450" s="390"/>
      <c r="H1450" s="390"/>
      <c r="I1450" s="391"/>
      <c r="J1450" s="391"/>
      <c r="K1450" s="387" t="str">
        <f ca="1">IFERROR(VLOOKUP(C1450,' Disaggregation - Section E '!A$7:J451,3,0),"")</f>
        <v/>
      </c>
      <c r="L1450" s="391"/>
      <c r="M1450" s="387"/>
      <c r="N1450" s="387"/>
      <c r="O1450" s="387" t="s">
        <v>2451</v>
      </c>
      <c r="P1450" s="387"/>
    </row>
    <row r="1451" spans="1:16">
      <c r="A1451" s="387" t="b">
        <v>0</v>
      </c>
      <c r="B1451" s="387"/>
      <c r="C1451" s="401" t="s">
        <v>3334</v>
      </c>
      <c r="D1451" s="392">
        <v>15</v>
      </c>
      <c r="E1451" s="389"/>
      <c r="F1451" s="391"/>
      <c r="G1451" s="390"/>
      <c r="H1451" s="390"/>
      <c r="I1451" s="391"/>
      <c r="J1451" s="391"/>
      <c r="K1451" s="387" t="str">
        <f ca="1">IFERROR(VLOOKUP(C1451,' Disaggregation - Section E '!A$7:J452,3,0),"")</f>
        <v/>
      </c>
      <c r="L1451" s="391"/>
      <c r="M1451" s="387"/>
      <c r="N1451" s="387"/>
      <c r="O1451" s="387" t="s">
        <v>2451</v>
      </c>
      <c r="P1451" s="387"/>
    </row>
    <row r="1452" spans="1:16">
      <c r="A1452" s="387" t="b">
        <v>0</v>
      </c>
      <c r="B1452" s="387"/>
      <c r="C1452" s="401" t="s">
        <v>3335</v>
      </c>
      <c r="D1452" s="392">
        <v>15</v>
      </c>
      <c r="E1452" s="389"/>
      <c r="F1452" s="391"/>
      <c r="G1452" s="390"/>
      <c r="H1452" s="390"/>
      <c r="I1452" s="391"/>
      <c r="J1452" s="391"/>
      <c r="K1452" s="387" t="str">
        <f ca="1">IFERROR(VLOOKUP(C1452,' Disaggregation - Section E '!A$7:J453,3,0),"")</f>
        <v/>
      </c>
      <c r="L1452" s="391"/>
      <c r="M1452" s="387"/>
      <c r="N1452" s="387"/>
      <c r="O1452" s="387" t="s">
        <v>2451</v>
      </c>
      <c r="P1452" s="387"/>
    </row>
    <row r="1453" spans="1:16">
      <c r="A1453" s="387" t="b">
        <v>0</v>
      </c>
      <c r="B1453" s="387"/>
      <c r="C1453" s="401" t="s">
        <v>3336</v>
      </c>
      <c r="D1453" s="392">
        <v>15</v>
      </c>
      <c r="E1453" s="389"/>
      <c r="F1453" s="391"/>
      <c r="G1453" s="390"/>
      <c r="H1453" s="390"/>
      <c r="I1453" s="391"/>
      <c r="J1453" s="391"/>
      <c r="K1453" s="387" t="str">
        <f ca="1">IFERROR(VLOOKUP(C1453,' Disaggregation - Section E '!A$7:J454,3,0),"")</f>
        <v/>
      </c>
      <c r="L1453" s="391"/>
      <c r="M1453" s="387"/>
      <c r="N1453" s="387"/>
      <c r="O1453" s="387" t="s">
        <v>2451</v>
      </c>
      <c r="P1453" s="387"/>
    </row>
    <row r="1454" spans="1:16">
      <c r="A1454" s="387" t="b">
        <v>0</v>
      </c>
      <c r="B1454" s="387"/>
      <c r="C1454" s="401" t="s">
        <v>3337</v>
      </c>
      <c r="D1454" s="392">
        <v>15</v>
      </c>
      <c r="E1454" s="389"/>
      <c r="F1454" s="391"/>
      <c r="G1454" s="390"/>
      <c r="H1454" s="390"/>
      <c r="I1454" s="391"/>
      <c r="J1454" s="391"/>
      <c r="K1454" s="387" t="str">
        <f ca="1">IFERROR(VLOOKUP(C1454,' Disaggregation - Section E '!A$7:J455,3,0),"")</f>
        <v/>
      </c>
      <c r="L1454" s="391"/>
      <c r="M1454" s="387"/>
      <c r="N1454" s="387"/>
      <c r="O1454" s="387" t="s">
        <v>2451</v>
      </c>
      <c r="P1454" s="387"/>
    </row>
    <row r="1455" spans="1:16">
      <c r="A1455" s="387" t="b">
        <v>0</v>
      </c>
      <c r="B1455" s="387"/>
      <c r="C1455" s="401" t="s">
        <v>3338</v>
      </c>
      <c r="D1455" s="392">
        <v>15</v>
      </c>
      <c r="E1455" s="389"/>
      <c r="F1455" s="391"/>
      <c r="G1455" s="390"/>
      <c r="H1455" s="390"/>
      <c r="I1455" s="391"/>
      <c r="J1455" s="391"/>
      <c r="K1455" s="387" t="str">
        <f ca="1">IFERROR(VLOOKUP(C1455,' Disaggregation - Section E '!A$7:J456,3,0),"")</f>
        <v/>
      </c>
      <c r="L1455" s="391"/>
      <c r="M1455" s="387"/>
      <c r="N1455" s="387"/>
      <c r="O1455" s="387" t="s">
        <v>2451</v>
      </c>
      <c r="P1455" s="387"/>
    </row>
    <row r="1456" spans="1:16">
      <c r="A1456" s="387" t="b">
        <v>0</v>
      </c>
      <c r="B1456" s="387"/>
      <c r="C1456" s="401" t="s">
        <v>3339</v>
      </c>
      <c r="D1456" s="392">
        <v>15</v>
      </c>
      <c r="E1456" s="389"/>
      <c r="F1456" s="391"/>
      <c r="G1456" s="390"/>
      <c r="H1456" s="390"/>
      <c r="I1456" s="391"/>
      <c r="J1456" s="391"/>
      <c r="K1456" s="387" t="str">
        <f ca="1">IFERROR(VLOOKUP(C1456,' Disaggregation - Section E '!A$7:J457,3,0),"")</f>
        <v/>
      </c>
      <c r="L1456" s="391"/>
      <c r="M1456" s="387"/>
      <c r="N1456" s="387"/>
      <c r="O1456" s="387" t="s">
        <v>2451</v>
      </c>
      <c r="P1456" s="387"/>
    </row>
    <row r="1457" spans="1:16">
      <c r="A1457" s="387" t="b">
        <v>0</v>
      </c>
      <c r="B1457" s="387"/>
      <c r="C1457" s="401" t="s">
        <v>3340</v>
      </c>
      <c r="D1457" s="392">
        <v>15</v>
      </c>
      <c r="E1457" s="389"/>
      <c r="F1457" s="391"/>
      <c r="G1457" s="390"/>
      <c r="H1457" s="390"/>
      <c r="I1457" s="391"/>
      <c r="J1457" s="391"/>
      <c r="K1457" s="387" t="str">
        <f ca="1">IFERROR(VLOOKUP(C1457,' Disaggregation - Section E '!A$7:J458,3,0),"")</f>
        <v/>
      </c>
      <c r="L1457" s="391"/>
      <c r="M1457" s="387"/>
      <c r="N1457" s="387"/>
      <c r="O1457" s="387" t="s">
        <v>2451</v>
      </c>
      <c r="P1457" s="387"/>
    </row>
    <row r="1458" spans="1:16">
      <c r="A1458" s="387" t="b">
        <f t="shared" ref="A1458:A1521" ca="1" si="163">IF(M1458&lt;&gt;"",TRUE,FALSE)</f>
        <v>0</v>
      </c>
      <c r="B1458" s="387"/>
      <c r="C1458" s="404" t="str">
        <f ca="1">IF(COUNTA(O$1306:O1458)=1,"",OFFSET(B1458,-COUNTA(O$1306:O1458)+1,1))</f>
        <v>a1GDm000000XyPxMAK</v>
      </c>
      <c r="D1458" s="392"/>
      <c r="E1458" s="389" t="str">
        <f ca="1">IFERROR(IF(VLOOKUP(C1458,' Disaggregation - Section E '!A$7:J459,7,0)="","",VLOOKUP(C1458,' Disaggregation - Section E '!A$7:J163,7,0)*100),"")</f>
        <v/>
      </c>
      <c r="F1458" s="391" t="str">
        <f ca="1">IFERROR(IF(VLOOKUP(C1458,' Disaggregation - Section E '!A$7:J459,5,0)=0,"",VLOOKUP(C1458,' Disaggregation - Section E '!A$7:J459,5,0)),"")</f>
        <v/>
      </c>
      <c r="G1458" s="390" t="str">
        <f ca="1">IFERROR(IF(VLOOKUP(C1458,' Disaggregation - Section E '!A$7:J459,6,0)="","",VLOOKUP(C1458,' Disaggregation - Section E '!A$7:J459,6,0)),"")</f>
        <v/>
      </c>
      <c r="H1458" s="390" t="str">
        <f ca="1">IFERROR(IF(INDEX(' Disaggregation - Section E '!F$7:F459,MATCH(C1458,' Disaggregation - Section E '!A$7:A459,0)+1,1)&lt;&gt;0,INDEX(' Disaggregation - Section E '!F$7:F459,MATCH(C1458,' Disaggregation - Section E '!A$7:A459,0)+1,1),""),"")</f>
        <v/>
      </c>
      <c r="I1458" s="391" t="str">
        <f ca="1">IFERROR(IF(VLOOKUP(C1458,' Disaggregation - Section E '!A$7:J459,8,0)=0,"",VLOOKUP(C1458,' Disaggregation - Section E '!A$7:J459,8,0)),"")</f>
        <v/>
      </c>
      <c r="J1458" s="391" t="str">
        <f ca="1">IFERROR(IF(VLOOKUP(C1458,' Disaggregation - Section E '!A$7:J459,9,0)="","",VLOOKUP(C1458,' Disaggregation - Section E '!A$7:J459,9,0)),"")</f>
        <v/>
      </c>
      <c r="K1458" s="387" t="str">
        <f ca="1">IFERROR(VLOOKUP(C1458,' Disaggregation - Section E '!A$7:J459,3,0),"")</f>
        <v/>
      </c>
      <c r="L1458" s="391" t="str">
        <f ca="1">IFERROR(IF(VLOOKUP(C1458,' Disaggregation - Section E '!A$7:J459,10,0)="","",VLOOKUP(C1458,' Disaggregation - Section E '!A$7:J459,10,0)),"")</f>
        <v/>
      </c>
      <c r="M1458" s="387" t="str">
        <f ca="1">IFERROR(IF(VLOOKUP(C1458,' Disaggregation - Section E '!A$7:O459,15,0)=0,"",VLOOKUP(C1458,' Disaggregation - Section E '!A$7:O459,15,0)),"")</f>
        <v/>
      </c>
      <c r="N1458" s="387"/>
      <c r="O1458" s="387"/>
      <c r="P1458" s="387" t="str">
        <f ca="1">IFERROR(IF(VLOOKUP(C1458,' Disaggregation - Section E '!A$7:R459,18,0)=0,"",VLOOKUP(C1458,' Disaggregation - Section E '!A$7:R459,18,0)),"")</f>
        <v/>
      </c>
    </row>
    <row r="1459" spans="1:16">
      <c r="A1459" s="387" t="b">
        <f t="shared" ca="1" si="163"/>
        <v>0</v>
      </c>
      <c r="B1459" s="387"/>
      <c r="C1459" s="404" t="str">
        <f ca="1">IF(COUNTA(O$1306:O1459)=1,"",OFFSET(B1459,-COUNTA(O$1306:O1459)+1,1))</f>
        <v>a1GDm000000XyPyMAK</v>
      </c>
      <c r="D1459" s="392"/>
      <c r="E1459" s="389" t="str">
        <f ca="1">IFERROR(IF(VLOOKUP(C1459,' Disaggregation - Section E '!A$7:J460,7,0)="","",VLOOKUP(C1459,' Disaggregation - Section E '!A$7:J164,7,0)*100),"")</f>
        <v/>
      </c>
      <c r="F1459" s="391" t="str">
        <f ca="1">IFERROR(IF(VLOOKUP(C1459,' Disaggregation - Section E '!A$7:J460,5,0)=0,"",VLOOKUP(C1459,' Disaggregation - Section E '!A$7:J460,5,0)),"")</f>
        <v/>
      </c>
      <c r="G1459" s="390" t="str">
        <f ca="1">IFERROR(IF(VLOOKUP(C1459,' Disaggregation - Section E '!A$7:J460,6,0)="","",VLOOKUP(C1459,' Disaggregation - Section E '!A$7:J460,6,0)),"")</f>
        <v/>
      </c>
      <c r="H1459" s="390" t="str">
        <f ca="1">IFERROR(IF(INDEX(' Disaggregation - Section E '!F$7:F460,MATCH(C1459,' Disaggregation - Section E '!A$7:A460,0)+1,1)&lt;&gt;0,INDEX(' Disaggregation - Section E '!F$7:F460,MATCH(C1459,' Disaggregation - Section E '!A$7:A460,0)+1,1),""),"")</f>
        <v/>
      </c>
      <c r="I1459" s="391" t="str">
        <f ca="1">IFERROR(IF(VLOOKUP(C1459,' Disaggregation - Section E '!A$7:J460,8,0)=0,"",VLOOKUP(C1459,' Disaggregation - Section E '!A$7:J460,8,0)),"")</f>
        <v/>
      </c>
      <c r="J1459" s="391" t="str">
        <f ca="1">IFERROR(IF(VLOOKUP(C1459,' Disaggregation - Section E '!A$7:J460,9,0)="","",VLOOKUP(C1459,' Disaggregation - Section E '!A$7:J460,9,0)),"")</f>
        <v/>
      </c>
      <c r="K1459" s="387" t="str">
        <f ca="1">IFERROR(VLOOKUP(C1459,' Disaggregation - Section E '!A$7:J460,3,0),"")</f>
        <v/>
      </c>
      <c r="L1459" s="391" t="str">
        <f ca="1">IFERROR(IF(VLOOKUP(C1459,' Disaggregation - Section E '!A$7:J460,10,0)="","",VLOOKUP(C1459,' Disaggregation - Section E '!A$7:J460,10,0)),"")</f>
        <v/>
      </c>
      <c r="M1459" s="387" t="str">
        <f ca="1">IFERROR(IF(VLOOKUP(C1459,' Disaggregation - Section E '!A$7:O460,15,0)=0,"",VLOOKUP(C1459,' Disaggregation - Section E '!A$7:O460,15,0)),"")</f>
        <v/>
      </c>
      <c r="N1459" s="387"/>
      <c r="O1459" s="387"/>
      <c r="P1459" s="387" t="str">
        <f ca="1">IFERROR(IF(VLOOKUP(C1459,' Disaggregation - Section E '!A$7:R460,18,0)=0,"",VLOOKUP(C1459,' Disaggregation - Section E '!A$7:R460,18,0)),"")</f>
        <v/>
      </c>
    </row>
    <row r="1460" spans="1:16">
      <c r="A1460" s="387" t="b">
        <f t="shared" ca="1" si="163"/>
        <v>0</v>
      </c>
      <c r="B1460" s="387"/>
      <c r="C1460" s="404" t="str">
        <f ca="1">IF(COUNTA(O$1306:O1460)=1,"",OFFSET(B1460,-COUNTA(O$1306:O1460)+1,1))</f>
        <v>a1GDm000000XyPzMAK</v>
      </c>
      <c r="D1460" s="392"/>
      <c r="E1460" s="389" t="str">
        <f ca="1">IFERROR(IF(VLOOKUP(C1460,' Disaggregation - Section E '!A$7:J461,7,0)="","",VLOOKUP(C1460,' Disaggregation - Section E '!A$7:J165,7,0)*100),"")</f>
        <v/>
      </c>
      <c r="F1460" s="391" t="str">
        <f ca="1">IFERROR(IF(VLOOKUP(C1460,' Disaggregation - Section E '!A$7:J461,5,0)=0,"",VLOOKUP(C1460,' Disaggregation - Section E '!A$7:J461,5,0)),"")</f>
        <v/>
      </c>
      <c r="G1460" s="390" t="str">
        <f ca="1">IFERROR(IF(VLOOKUP(C1460,' Disaggregation - Section E '!A$7:J461,6,0)="","",VLOOKUP(C1460,' Disaggregation - Section E '!A$7:J461,6,0)),"")</f>
        <v/>
      </c>
      <c r="H1460" s="390" t="str">
        <f ca="1">IFERROR(IF(INDEX(' Disaggregation - Section E '!F$7:F461,MATCH(C1460,' Disaggregation - Section E '!A$7:A461,0)+1,1)&lt;&gt;0,INDEX(' Disaggregation - Section E '!F$7:F461,MATCH(C1460,' Disaggregation - Section E '!A$7:A461,0)+1,1),""),"")</f>
        <v/>
      </c>
      <c r="I1460" s="391" t="str">
        <f ca="1">IFERROR(IF(VLOOKUP(C1460,' Disaggregation - Section E '!A$7:J461,8,0)=0,"",VLOOKUP(C1460,' Disaggregation - Section E '!A$7:J461,8,0)),"")</f>
        <v/>
      </c>
      <c r="J1460" s="391" t="str">
        <f ca="1">IFERROR(IF(VLOOKUP(C1460,' Disaggregation - Section E '!A$7:J461,9,0)="","",VLOOKUP(C1460,' Disaggregation - Section E '!A$7:J461,9,0)),"")</f>
        <v/>
      </c>
      <c r="K1460" s="387" t="str">
        <f ca="1">IFERROR(VLOOKUP(C1460,' Disaggregation - Section E '!A$7:J461,3,0),"")</f>
        <v/>
      </c>
      <c r="L1460" s="391" t="str">
        <f ca="1">IFERROR(IF(VLOOKUP(C1460,' Disaggregation - Section E '!A$7:J461,10,0)="","",VLOOKUP(C1460,' Disaggregation - Section E '!A$7:J461,10,0)),"")</f>
        <v/>
      </c>
      <c r="M1460" s="387" t="str">
        <f ca="1">IFERROR(IF(VLOOKUP(C1460,' Disaggregation - Section E '!A$7:O461,15,0)=0,"",VLOOKUP(C1460,' Disaggregation - Section E '!A$7:O461,15,0)),"")</f>
        <v/>
      </c>
      <c r="N1460" s="387"/>
      <c r="O1460" s="387"/>
      <c r="P1460" s="387" t="str">
        <f ca="1">IFERROR(IF(VLOOKUP(C1460,' Disaggregation - Section E '!A$7:R461,18,0)=0,"",VLOOKUP(C1460,' Disaggregation - Section E '!A$7:R461,18,0)),"")</f>
        <v/>
      </c>
    </row>
    <row r="1461" spans="1:16">
      <c r="A1461" s="387" t="b">
        <f t="shared" ca="1" si="163"/>
        <v>0</v>
      </c>
      <c r="B1461" s="387"/>
      <c r="C1461" s="404" t="str">
        <f ca="1">IF(COUNTA(O$1306:O1461)=1,"",OFFSET(B1461,-COUNTA(O$1306:O1461)+1,1))</f>
        <v>a1GDm000000XyQ0MAK</v>
      </c>
      <c r="D1461" s="392"/>
      <c r="E1461" s="389" t="str">
        <f ca="1">IFERROR(IF(VLOOKUP(C1461,' Disaggregation - Section E '!A$7:J462,7,0)="","",VLOOKUP(C1461,' Disaggregation - Section E '!A$7:J166,7,0)*100),"")</f>
        <v/>
      </c>
      <c r="F1461" s="391" t="str">
        <f ca="1">IFERROR(IF(VLOOKUP(C1461,' Disaggregation - Section E '!A$7:J462,5,0)=0,"",VLOOKUP(C1461,' Disaggregation - Section E '!A$7:J462,5,0)),"")</f>
        <v/>
      </c>
      <c r="G1461" s="390" t="str">
        <f ca="1">IFERROR(IF(VLOOKUP(C1461,' Disaggregation - Section E '!A$7:J462,6,0)="","",VLOOKUP(C1461,' Disaggregation - Section E '!A$7:J462,6,0)),"")</f>
        <v/>
      </c>
      <c r="H1461" s="390" t="str">
        <f ca="1">IFERROR(IF(INDEX(' Disaggregation - Section E '!F$7:F462,MATCH(C1461,' Disaggregation - Section E '!A$7:A462,0)+1,1)&lt;&gt;0,INDEX(' Disaggregation - Section E '!F$7:F462,MATCH(C1461,' Disaggregation - Section E '!A$7:A462,0)+1,1),""),"")</f>
        <v/>
      </c>
      <c r="I1461" s="391" t="str">
        <f ca="1">IFERROR(IF(VLOOKUP(C1461,' Disaggregation - Section E '!A$7:J462,8,0)=0,"",VLOOKUP(C1461,' Disaggregation - Section E '!A$7:J462,8,0)),"")</f>
        <v/>
      </c>
      <c r="J1461" s="391" t="str">
        <f ca="1">IFERROR(IF(VLOOKUP(C1461,' Disaggregation - Section E '!A$7:J462,9,0)="","",VLOOKUP(C1461,' Disaggregation - Section E '!A$7:J462,9,0)),"")</f>
        <v/>
      </c>
      <c r="K1461" s="387" t="str">
        <f ca="1">IFERROR(VLOOKUP(C1461,' Disaggregation - Section E '!A$7:J462,3,0),"")</f>
        <v/>
      </c>
      <c r="L1461" s="391" t="str">
        <f ca="1">IFERROR(IF(VLOOKUP(C1461,' Disaggregation - Section E '!A$7:J462,10,0)="","",VLOOKUP(C1461,' Disaggregation - Section E '!A$7:J462,10,0)),"")</f>
        <v/>
      </c>
      <c r="M1461" s="387" t="str">
        <f ca="1">IFERROR(IF(VLOOKUP(C1461,' Disaggregation - Section E '!A$7:O462,15,0)=0,"",VLOOKUP(C1461,' Disaggregation - Section E '!A$7:O462,15,0)),"")</f>
        <v/>
      </c>
      <c r="N1461" s="387"/>
      <c r="O1461" s="387"/>
      <c r="P1461" s="387" t="str">
        <f ca="1">IFERROR(IF(VLOOKUP(C1461,' Disaggregation - Section E '!A$7:R462,18,0)=0,"",VLOOKUP(C1461,' Disaggregation - Section E '!A$7:R462,18,0)),"")</f>
        <v/>
      </c>
    </row>
    <row r="1462" spans="1:16">
      <c r="A1462" s="387" t="b">
        <f t="shared" ca="1" si="163"/>
        <v>0</v>
      </c>
      <c r="B1462" s="387"/>
      <c r="C1462" s="404" t="str">
        <f ca="1">IF(COUNTA(O$1306:O1462)=1,"",OFFSET(B1462,-COUNTA(O$1306:O1462)+1,1))</f>
        <v>a1GDm000000XyQ1MAK</v>
      </c>
      <c r="D1462" s="392"/>
      <c r="E1462" s="389" t="str">
        <f ca="1">IFERROR(IF(VLOOKUP(C1462,' Disaggregation - Section E '!A$7:J463,7,0)="","",VLOOKUP(C1462,' Disaggregation - Section E '!A$7:J167,7,0)*100),"")</f>
        <v/>
      </c>
      <c r="F1462" s="391" t="str">
        <f ca="1">IFERROR(IF(VLOOKUP(C1462,' Disaggregation - Section E '!A$7:J463,5,0)=0,"",VLOOKUP(C1462,' Disaggregation - Section E '!A$7:J463,5,0)),"")</f>
        <v/>
      </c>
      <c r="G1462" s="390" t="str">
        <f ca="1">IFERROR(IF(VLOOKUP(C1462,' Disaggregation - Section E '!A$7:J463,6,0)="","",VLOOKUP(C1462,' Disaggregation - Section E '!A$7:J463,6,0)),"")</f>
        <v/>
      </c>
      <c r="H1462" s="390" t="str">
        <f ca="1">IFERROR(IF(INDEX(' Disaggregation - Section E '!F$7:F463,MATCH(C1462,' Disaggregation - Section E '!A$7:A463,0)+1,1)&lt;&gt;0,INDEX(' Disaggregation - Section E '!F$7:F463,MATCH(C1462,' Disaggregation - Section E '!A$7:A463,0)+1,1),""),"")</f>
        <v/>
      </c>
      <c r="I1462" s="391" t="str">
        <f ca="1">IFERROR(IF(VLOOKUP(C1462,' Disaggregation - Section E '!A$7:J463,8,0)=0,"",VLOOKUP(C1462,' Disaggregation - Section E '!A$7:J463,8,0)),"")</f>
        <v/>
      </c>
      <c r="J1462" s="391" t="str">
        <f ca="1">IFERROR(IF(VLOOKUP(C1462,' Disaggregation - Section E '!A$7:J463,9,0)="","",VLOOKUP(C1462,' Disaggregation - Section E '!A$7:J463,9,0)),"")</f>
        <v/>
      </c>
      <c r="K1462" s="387" t="str">
        <f ca="1">IFERROR(VLOOKUP(C1462,' Disaggregation - Section E '!A$7:J463,3,0),"")</f>
        <v/>
      </c>
      <c r="L1462" s="391" t="str">
        <f ca="1">IFERROR(IF(VLOOKUP(C1462,' Disaggregation - Section E '!A$7:J463,10,0)="","",VLOOKUP(C1462,' Disaggregation - Section E '!A$7:J463,10,0)),"")</f>
        <v/>
      </c>
      <c r="M1462" s="387" t="str">
        <f ca="1">IFERROR(IF(VLOOKUP(C1462,' Disaggregation - Section E '!A$7:O463,15,0)=0,"",VLOOKUP(C1462,' Disaggregation - Section E '!A$7:O463,15,0)),"")</f>
        <v/>
      </c>
      <c r="N1462" s="387"/>
      <c r="O1462" s="387"/>
      <c r="P1462" s="387" t="str">
        <f ca="1">IFERROR(IF(VLOOKUP(C1462,' Disaggregation - Section E '!A$7:R463,18,0)=0,"",VLOOKUP(C1462,' Disaggregation - Section E '!A$7:R463,18,0)),"")</f>
        <v/>
      </c>
    </row>
    <row r="1463" spans="1:16">
      <c r="A1463" s="387" t="b">
        <f t="shared" ca="1" si="163"/>
        <v>0</v>
      </c>
      <c r="B1463" s="387"/>
      <c r="C1463" s="404" t="str">
        <f ca="1">IF(COUNTA(O$1306:O1463)=1,"",OFFSET(B1463,-COUNTA(O$1306:O1463)+1,1))</f>
        <v>a1GDm000000XyQ2MAK</v>
      </c>
      <c r="D1463" s="392"/>
      <c r="E1463" s="389" t="str">
        <f ca="1">IFERROR(IF(VLOOKUP(C1463,' Disaggregation - Section E '!A$7:J464,7,0)="","",VLOOKUP(C1463,' Disaggregation - Section E '!A$7:J168,7,0)*100),"")</f>
        <v/>
      </c>
      <c r="F1463" s="391" t="str">
        <f ca="1">IFERROR(IF(VLOOKUP(C1463,' Disaggregation - Section E '!A$7:J464,5,0)=0,"",VLOOKUP(C1463,' Disaggregation - Section E '!A$7:J464,5,0)),"")</f>
        <v/>
      </c>
      <c r="G1463" s="390" t="str">
        <f ca="1">IFERROR(IF(VLOOKUP(C1463,' Disaggregation - Section E '!A$7:J464,6,0)="","",VLOOKUP(C1463,' Disaggregation - Section E '!A$7:J464,6,0)),"")</f>
        <v/>
      </c>
      <c r="H1463" s="390" t="str">
        <f ca="1">IFERROR(IF(INDEX(' Disaggregation - Section E '!F$7:F464,MATCH(C1463,' Disaggregation - Section E '!A$7:A464,0)+1,1)&lt;&gt;0,INDEX(' Disaggregation - Section E '!F$7:F464,MATCH(C1463,' Disaggregation - Section E '!A$7:A464,0)+1,1),""),"")</f>
        <v/>
      </c>
      <c r="I1463" s="391" t="str">
        <f ca="1">IFERROR(IF(VLOOKUP(C1463,' Disaggregation - Section E '!A$7:J464,8,0)=0,"",VLOOKUP(C1463,' Disaggregation - Section E '!A$7:J464,8,0)),"")</f>
        <v/>
      </c>
      <c r="J1463" s="391" t="str">
        <f ca="1">IFERROR(IF(VLOOKUP(C1463,' Disaggregation - Section E '!A$7:J464,9,0)="","",VLOOKUP(C1463,' Disaggregation - Section E '!A$7:J464,9,0)),"")</f>
        <v/>
      </c>
      <c r="K1463" s="387" t="str">
        <f ca="1">IFERROR(VLOOKUP(C1463,' Disaggregation - Section E '!A$7:J464,3,0),"")</f>
        <v/>
      </c>
      <c r="L1463" s="391" t="str">
        <f ca="1">IFERROR(IF(VLOOKUP(C1463,' Disaggregation - Section E '!A$7:J464,10,0)="","",VLOOKUP(C1463,' Disaggregation - Section E '!A$7:J464,10,0)),"")</f>
        <v/>
      </c>
      <c r="M1463" s="387" t="str">
        <f ca="1">IFERROR(IF(VLOOKUP(C1463,' Disaggregation - Section E '!A$7:O464,15,0)=0,"",VLOOKUP(C1463,' Disaggregation - Section E '!A$7:O464,15,0)),"")</f>
        <v/>
      </c>
      <c r="N1463" s="387"/>
      <c r="O1463" s="387"/>
      <c r="P1463" s="387" t="str">
        <f ca="1">IFERROR(IF(VLOOKUP(C1463,' Disaggregation - Section E '!A$7:R464,18,0)=0,"",VLOOKUP(C1463,' Disaggregation - Section E '!A$7:R464,18,0)),"")</f>
        <v/>
      </c>
    </row>
    <row r="1464" spans="1:16">
      <c r="A1464" s="387" t="b">
        <f t="shared" ca="1" si="163"/>
        <v>0</v>
      </c>
      <c r="B1464" s="387"/>
      <c r="C1464" s="404" t="str">
        <f ca="1">IF(COUNTA(O$1306:O1464)=1,"",OFFSET(B1464,-COUNTA(O$1306:O1464)+1,1))</f>
        <v>a1GDm000000XyQ3MAK</v>
      </c>
      <c r="D1464" s="392"/>
      <c r="E1464" s="389" t="str">
        <f ca="1">IFERROR(IF(VLOOKUP(C1464,' Disaggregation - Section E '!A$7:J465,7,0)="","",VLOOKUP(C1464,' Disaggregation - Section E '!A$7:J169,7,0)*100),"")</f>
        <v/>
      </c>
      <c r="F1464" s="391" t="str">
        <f ca="1">IFERROR(IF(VLOOKUP(C1464,' Disaggregation - Section E '!A$7:J465,5,0)=0,"",VLOOKUP(C1464,' Disaggregation - Section E '!A$7:J465,5,0)),"")</f>
        <v/>
      </c>
      <c r="G1464" s="390" t="str">
        <f ca="1">IFERROR(IF(VLOOKUP(C1464,' Disaggregation - Section E '!A$7:J465,6,0)="","",VLOOKUP(C1464,' Disaggregation - Section E '!A$7:J465,6,0)),"")</f>
        <v/>
      </c>
      <c r="H1464" s="390" t="str">
        <f ca="1">IFERROR(IF(INDEX(' Disaggregation - Section E '!F$7:F465,MATCH(C1464,' Disaggregation - Section E '!A$7:A465,0)+1,1)&lt;&gt;0,INDEX(' Disaggregation - Section E '!F$7:F465,MATCH(C1464,' Disaggregation - Section E '!A$7:A465,0)+1,1),""),"")</f>
        <v/>
      </c>
      <c r="I1464" s="391" t="str">
        <f ca="1">IFERROR(IF(VLOOKUP(C1464,' Disaggregation - Section E '!A$7:J465,8,0)=0,"",VLOOKUP(C1464,' Disaggregation - Section E '!A$7:J465,8,0)),"")</f>
        <v/>
      </c>
      <c r="J1464" s="391" t="str">
        <f ca="1">IFERROR(IF(VLOOKUP(C1464,' Disaggregation - Section E '!A$7:J465,9,0)="","",VLOOKUP(C1464,' Disaggregation - Section E '!A$7:J465,9,0)),"")</f>
        <v/>
      </c>
      <c r="K1464" s="387" t="str">
        <f ca="1">IFERROR(VLOOKUP(C1464,' Disaggregation - Section E '!A$7:J465,3,0),"")</f>
        <v/>
      </c>
      <c r="L1464" s="391" t="str">
        <f ca="1">IFERROR(IF(VLOOKUP(C1464,' Disaggregation - Section E '!A$7:J465,10,0)="","",VLOOKUP(C1464,' Disaggregation - Section E '!A$7:J465,10,0)),"")</f>
        <v/>
      </c>
      <c r="M1464" s="387" t="str">
        <f ca="1">IFERROR(IF(VLOOKUP(C1464,' Disaggregation - Section E '!A$7:O465,15,0)=0,"",VLOOKUP(C1464,' Disaggregation - Section E '!A$7:O465,15,0)),"")</f>
        <v/>
      </c>
      <c r="N1464" s="387"/>
      <c r="O1464" s="387"/>
      <c r="P1464" s="387" t="str">
        <f ca="1">IFERROR(IF(VLOOKUP(C1464,' Disaggregation - Section E '!A$7:R465,18,0)=0,"",VLOOKUP(C1464,' Disaggregation - Section E '!A$7:R465,18,0)),"")</f>
        <v/>
      </c>
    </row>
    <row r="1465" spans="1:16">
      <c r="A1465" s="387" t="b">
        <f t="shared" ca="1" si="163"/>
        <v>0</v>
      </c>
      <c r="B1465" s="387"/>
      <c r="C1465" s="404" t="str">
        <f ca="1">IF(COUNTA(O$1306:O1465)=1,"",OFFSET(B1465,-COUNTA(O$1306:O1465)+1,1))</f>
        <v>a1GDm000000XyQ4MAK</v>
      </c>
      <c r="D1465" s="392"/>
      <c r="E1465" s="389" t="str">
        <f ca="1">IFERROR(IF(VLOOKUP(C1465,' Disaggregation - Section E '!A$7:J466,7,0)="","",VLOOKUP(C1465,' Disaggregation - Section E '!A$7:J170,7,0)*100),"")</f>
        <v/>
      </c>
      <c r="F1465" s="391" t="str">
        <f ca="1">IFERROR(IF(VLOOKUP(C1465,' Disaggregation - Section E '!A$7:J466,5,0)=0,"",VLOOKUP(C1465,' Disaggregation - Section E '!A$7:J466,5,0)),"")</f>
        <v/>
      </c>
      <c r="G1465" s="390" t="str">
        <f ca="1">IFERROR(IF(VLOOKUP(C1465,' Disaggregation - Section E '!A$7:J466,6,0)="","",VLOOKUP(C1465,' Disaggregation - Section E '!A$7:J466,6,0)),"")</f>
        <v/>
      </c>
      <c r="H1465" s="390" t="str">
        <f ca="1">IFERROR(IF(INDEX(' Disaggregation - Section E '!F$7:F466,MATCH(C1465,' Disaggregation - Section E '!A$7:A466,0)+1,1)&lt;&gt;0,INDEX(' Disaggregation - Section E '!F$7:F466,MATCH(C1465,' Disaggregation - Section E '!A$7:A466,0)+1,1),""),"")</f>
        <v/>
      </c>
      <c r="I1465" s="391" t="str">
        <f ca="1">IFERROR(IF(VLOOKUP(C1465,' Disaggregation - Section E '!A$7:J466,8,0)=0,"",VLOOKUP(C1465,' Disaggregation - Section E '!A$7:J466,8,0)),"")</f>
        <v/>
      </c>
      <c r="J1465" s="391" t="str">
        <f ca="1">IFERROR(IF(VLOOKUP(C1465,' Disaggregation - Section E '!A$7:J466,9,0)="","",VLOOKUP(C1465,' Disaggregation - Section E '!A$7:J466,9,0)),"")</f>
        <v/>
      </c>
      <c r="K1465" s="387" t="str">
        <f ca="1">IFERROR(VLOOKUP(C1465,' Disaggregation - Section E '!A$7:J466,3,0),"")</f>
        <v/>
      </c>
      <c r="L1465" s="391" t="str">
        <f ca="1">IFERROR(IF(VLOOKUP(C1465,' Disaggregation - Section E '!A$7:J466,10,0)="","",VLOOKUP(C1465,' Disaggregation - Section E '!A$7:J466,10,0)),"")</f>
        <v/>
      </c>
      <c r="M1465" s="387" t="str">
        <f ca="1">IFERROR(IF(VLOOKUP(C1465,' Disaggregation - Section E '!A$7:O466,15,0)=0,"",VLOOKUP(C1465,' Disaggregation - Section E '!A$7:O466,15,0)),"")</f>
        <v/>
      </c>
      <c r="N1465" s="387"/>
      <c r="O1465" s="387"/>
      <c r="P1465" s="387" t="str">
        <f ca="1">IFERROR(IF(VLOOKUP(C1465,' Disaggregation - Section E '!A$7:R466,18,0)=0,"",VLOOKUP(C1465,' Disaggregation - Section E '!A$7:R466,18,0)),"")</f>
        <v/>
      </c>
    </row>
    <row r="1466" spans="1:16">
      <c r="A1466" s="387" t="b">
        <f t="shared" ca="1" si="163"/>
        <v>0</v>
      </c>
      <c r="B1466" s="387"/>
      <c r="C1466" s="404" t="str">
        <f ca="1">IF(COUNTA(O$1306:O1466)=1,"",OFFSET(B1466,-COUNTA(O$1306:O1466)+1,1))</f>
        <v>a1GDm000000XyQ5MAK</v>
      </c>
      <c r="D1466" s="392"/>
      <c r="E1466" s="389" t="str">
        <f ca="1">IFERROR(IF(VLOOKUP(C1466,' Disaggregation - Section E '!A$7:J467,7,0)="","",VLOOKUP(C1466,' Disaggregation - Section E '!A$7:J171,7,0)*100),"")</f>
        <v/>
      </c>
      <c r="F1466" s="391" t="str">
        <f ca="1">IFERROR(IF(VLOOKUP(C1466,' Disaggregation - Section E '!A$7:J467,5,0)=0,"",VLOOKUP(C1466,' Disaggregation - Section E '!A$7:J467,5,0)),"")</f>
        <v/>
      </c>
      <c r="G1466" s="390" t="str">
        <f ca="1">IFERROR(IF(VLOOKUP(C1466,' Disaggregation - Section E '!A$7:J467,6,0)="","",VLOOKUP(C1466,' Disaggregation - Section E '!A$7:J467,6,0)),"")</f>
        <v/>
      </c>
      <c r="H1466" s="390" t="str">
        <f ca="1">IFERROR(IF(INDEX(' Disaggregation - Section E '!F$7:F467,MATCH(C1466,' Disaggregation - Section E '!A$7:A467,0)+1,1)&lt;&gt;0,INDEX(' Disaggregation - Section E '!F$7:F467,MATCH(C1466,' Disaggregation - Section E '!A$7:A467,0)+1,1),""),"")</f>
        <v/>
      </c>
      <c r="I1466" s="391" t="str">
        <f ca="1">IFERROR(IF(VLOOKUP(C1466,' Disaggregation - Section E '!A$7:J467,8,0)=0,"",VLOOKUP(C1466,' Disaggregation - Section E '!A$7:J467,8,0)),"")</f>
        <v/>
      </c>
      <c r="J1466" s="391" t="str">
        <f ca="1">IFERROR(IF(VLOOKUP(C1466,' Disaggregation - Section E '!A$7:J467,9,0)="","",VLOOKUP(C1466,' Disaggregation - Section E '!A$7:J467,9,0)),"")</f>
        <v/>
      </c>
      <c r="K1466" s="387" t="str">
        <f ca="1">IFERROR(VLOOKUP(C1466,' Disaggregation - Section E '!A$7:J467,3,0),"")</f>
        <v/>
      </c>
      <c r="L1466" s="391" t="str">
        <f ca="1">IFERROR(IF(VLOOKUP(C1466,' Disaggregation - Section E '!A$7:J467,10,0)="","",VLOOKUP(C1466,' Disaggregation - Section E '!A$7:J467,10,0)),"")</f>
        <v/>
      </c>
      <c r="M1466" s="387" t="str">
        <f ca="1">IFERROR(IF(VLOOKUP(C1466,' Disaggregation - Section E '!A$7:O467,15,0)=0,"",VLOOKUP(C1466,' Disaggregation - Section E '!A$7:O467,15,0)),"")</f>
        <v/>
      </c>
      <c r="N1466" s="387"/>
      <c r="O1466" s="387"/>
      <c r="P1466" s="387" t="str">
        <f ca="1">IFERROR(IF(VLOOKUP(C1466,' Disaggregation - Section E '!A$7:R467,18,0)=0,"",VLOOKUP(C1466,' Disaggregation - Section E '!A$7:R467,18,0)),"")</f>
        <v/>
      </c>
    </row>
    <row r="1467" spans="1:16">
      <c r="A1467" s="387" t="b">
        <f t="shared" ca="1" si="163"/>
        <v>0</v>
      </c>
      <c r="B1467" s="387"/>
      <c r="C1467" s="404" t="str">
        <f ca="1">IF(COUNTA(O$1306:O1467)=1,"",OFFSET(B1467,-COUNTA(O$1306:O1467)+1,1))</f>
        <v>a1GDm000000XyQ6MAK</v>
      </c>
      <c r="D1467" s="392"/>
      <c r="E1467" s="389" t="str">
        <f ca="1">IFERROR(IF(VLOOKUP(C1467,' Disaggregation - Section E '!A$7:J468,7,0)="","",VLOOKUP(C1467,' Disaggregation - Section E '!A$7:J172,7,0)*100),"")</f>
        <v/>
      </c>
      <c r="F1467" s="391" t="str">
        <f ca="1">IFERROR(IF(VLOOKUP(C1467,' Disaggregation - Section E '!A$7:J468,5,0)=0,"",VLOOKUP(C1467,' Disaggregation - Section E '!A$7:J468,5,0)),"")</f>
        <v/>
      </c>
      <c r="G1467" s="390" t="str">
        <f ca="1">IFERROR(IF(VLOOKUP(C1467,' Disaggregation - Section E '!A$7:J468,6,0)="","",VLOOKUP(C1467,' Disaggregation - Section E '!A$7:J468,6,0)),"")</f>
        <v/>
      </c>
      <c r="H1467" s="390" t="str">
        <f ca="1">IFERROR(IF(INDEX(' Disaggregation - Section E '!F$7:F468,MATCH(C1467,' Disaggregation - Section E '!A$7:A468,0)+1,1)&lt;&gt;0,INDEX(' Disaggregation - Section E '!F$7:F468,MATCH(C1467,' Disaggregation - Section E '!A$7:A468,0)+1,1),""),"")</f>
        <v/>
      </c>
      <c r="I1467" s="391" t="str">
        <f ca="1">IFERROR(IF(VLOOKUP(C1467,' Disaggregation - Section E '!A$7:J468,8,0)=0,"",VLOOKUP(C1467,' Disaggregation - Section E '!A$7:J468,8,0)),"")</f>
        <v/>
      </c>
      <c r="J1467" s="391" t="str">
        <f ca="1">IFERROR(IF(VLOOKUP(C1467,' Disaggregation - Section E '!A$7:J468,9,0)="","",VLOOKUP(C1467,' Disaggregation - Section E '!A$7:J468,9,0)),"")</f>
        <v/>
      </c>
      <c r="K1467" s="387" t="str">
        <f ca="1">IFERROR(VLOOKUP(C1467,' Disaggregation - Section E '!A$7:J468,3,0),"")</f>
        <v/>
      </c>
      <c r="L1467" s="391" t="str">
        <f ca="1">IFERROR(IF(VLOOKUP(C1467,' Disaggregation - Section E '!A$7:J468,10,0)="","",VLOOKUP(C1467,' Disaggregation - Section E '!A$7:J468,10,0)),"")</f>
        <v/>
      </c>
      <c r="M1467" s="387" t="str">
        <f ca="1">IFERROR(IF(VLOOKUP(C1467,' Disaggregation - Section E '!A$7:O468,15,0)=0,"",VLOOKUP(C1467,' Disaggregation - Section E '!A$7:O468,15,0)),"")</f>
        <v/>
      </c>
      <c r="N1467" s="387"/>
      <c r="O1467" s="387"/>
      <c r="P1467" s="387" t="str">
        <f ca="1">IFERROR(IF(VLOOKUP(C1467,' Disaggregation - Section E '!A$7:R468,18,0)=0,"",VLOOKUP(C1467,' Disaggregation - Section E '!A$7:R468,18,0)),"")</f>
        <v/>
      </c>
    </row>
    <row r="1468" spans="1:16">
      <c r="A1468" s="387" t="b">
        <f t="shared" ca="1" si="163"/>
        <v>0</v>
      </c>
      <c r="B1468" s="387"/>
      <c r="C1468" s="404" t="str">
        <f ca="1">IF(COUNTA(O$1306:O1468)=1,"",OFFSET(B1468,-COUNTA(O$1306:O1468)+1,1))</f>
        <v>a1GDm000000XyQ7MAK</v>
      </c>
      <c r="D1468" s="392"/>
      <c r="E1468" s="389" t="str">
        <f ca="1">IFERROR(IF(VLOOKUP(C1468,' Disaggregation - Section E '!A$7:J469,7,0)="","",VLOOKUP(C1468,' Disaggregation - Section E '!A$7:J173,7,0)*100),"")</f>
        <v/>
      </c>
      <c r="F1468" s="391" t="str">
        <f ca="1">IFERROR(IF(VLOOKUP(C1468,' Disaggregation - Section E '!A$7:J469,5,0)=0,"",VLOOKUP(C1468,' Disaggregation - Section E '!A$7:J469,5,0)),"")</f>
        <v/>
      </c>
      <c r="G1468" s="390" t="str">
        <f ca="1">IFERROR(IF(VLOOKUP(C1468,' Disaggregation - Section E '!A$7:J469,6,0)="","",VLOOKUP(C1468,' Disaggregation - Section E '!A$7:J469,6,0)),"")</f>
        <v/>
      </c>
      <c r="H1468" s="390" t="str">
        <f ca="1">IFERROR(IF(INDEX(' Disaggregation - Section E '!F$7:F469,MATCH(C1468,' Disaggregation - Section E '!A$7:A469,0)+1,1)&lt;&gt;0,INDEX(' Disaggregation - Section E '!F$7:F469,MATCH(C1468,' Disaggregation - Section E '!A$7:A469,0)+1,1),""),"")</f>
        <v/>
      </c>
      <c r="I1468" s="391" t="str">
        <f ca="1">IFERROR(IF(VLOOKUP(C1468,' Disaggregation - Section E '!A$7:J469,8,0)=0,"",VLOOKUP(C1468,' Disaggregation - Section E '!A$7:J469,8,0)),"")</f>
        <v/>
      </c>
      <c r="J1468" s="391" t="str">
        <f ca="1">IFERROR(IF(VLOOKUP(C1468,' Disaggregation - Section E '!A$7:J469,9,0)="","",VLOOKUP(C1468,' Disaggregation - Section E '!A$7:J469,9,0)),"")</f>
        <v/>
      </c>
      <c r="K1468" s="387" t="str">
        <f ca="1">IFERROR(VLOOKUP(C1468,' Disaggregation - Section E '!A$7:J469,3,0),"")</f>
        <v/>
      </c>
      <c r="L1468" s="391" t="str">
        <f ca="1">IFERROR(IF(VLOOKUP(C1468,' Disaggregation - Section E '!A$7:J469,10,0)="","",VLOOKUP(C1468,' Disaggregation - Section E '!A$7:J469,10,0)),"")</f>
        <v/>
      </c>
      <c r="M1468" s="387" t="str">
        <f ca="1">IFERROR(IF(VLOOKUP(C1468,' Disaggregation - Section E '!A$7:O469,15,0)=0,"",VLOOKUP(C1468,' Disaggregation - Section E '!A$7:O469,15,0)),"")</f>
        <v/>
      </c>
      <c r="N1468" s="387"/>
      <c r="O1468" s="387"/>
      <c r="P1468" s="387" t="str">
        <f ca="1">IFERROR(IF(VLOOKUP(C1468,' Disaggregation - Section E '!A$7:R469,18,0)=0,"",VLOOKUP(C1468,' Disaggregation - Section E '!A$7:R469,18,0)),"")</f>
        <v/>
      </c>
    </row>
    <row r="1469" spans="1:16">
      <c r="A1469" s="387" t="b">
        <f t="shared" ca="1" si="163"/>
        <v>0</v>
      </c>
      <c r="B1469" s="387"/>
      <c r="C1469" s="404" t="str">
        <f ca="1">IF(COUNTA(O$1306:O1469)=1,"",OFFSET(B1469,-COUNTA(O$1306:O1469)+1,1))</f>
        <v>a1GDm000000XyQ8MAK</v>
      </c>
      <c r="D1469" s="392"/>
      <c r="E1469" s="389" t="str">
        <f ca="1">IFERROR(IF(VLOOKUP(C1469,' Disaggregation - Section E '!A$7:J470,7,0)="","",VLOOKUP(C1469,' Disaggregation - Section E '!A$7:J174,7,0)*100),"")</f>
        <v/>
      </c>
      <c r="F1469" s="391" t="str">
        <f ca="1">IFERROR(IF(VLOOKUP(C1469,' Disaggregation - Section E '!A$7:J470,5,0)=0,"",VLOOKUP(C1469,' Disaggregation - Section E '!A$7:J470,5,0)),"")</f>
        <v/>
      </c>
      <c r="G1469" s="390" t="str">
        <f ca="1">IFERROR(IF(VLOOKUP(C1469,' Disaggregation - Section E '!A$7:J470,6,0)="","",VLOOKUP(C1469,' Disaggregation - Section E '!A$7:J470,6,0)),"")</f>
        <v/>
      </c>
      <c r="H1469" s="390" t="str">
        <f ca="1">IFERROR(IF(INDEX(' Disaggregation - Section E '!F$7:F470,MATCH(C1469,' Disaggregation - Section E '!A$7:A470,0)+1,1)&lt;&gt;0,INDEX(' Disaggregation - Section E '!F$7:F470,MATCH(C1469,' Disaggregation - Section E '!A$7:A470,0)+1,1),""),"")</f>
        <v/>
      </c>
      <c r="I1469" s="391" t="str">
        <f ca="1">IFERROR(IF(VLOOKUP(C1469,' Disaggregation - Section E '!A$7:J470,8,0)=0,"",VLOOKUP(C1469,' Disaggregation - Section E '!A$7:J470,8,0)),"")</f>
        <v/>
      </c>
      <c r="J1469" s="391" t="str">
        <f ca="1">IFERROR(IF(VLOOKUP(C1469,' Disaggregation - Section E '!A$7:J470,9,0)="","",VLOOKUP(C1469,' Disaggregation - Section E '!A$7:J470,9,0)),"")</f>
        <v/>
      </c>
      <c r="K1469" s="387" t="str">
        <f ca="1">IFERROR(VLOOKUP(C1469,' Disaggregation - Section E '!A$7:J470,3,0),"")</f>
        <v/>
      </c>
      <c r="L1469" s="391" t="str">
        <f ca="1">IFERROR(IF(VLOOKUP(C1469,' Disaggregation - Section E '!A$7:J470,10,0)="","",VLOOKUP(C1469,' Disaggregation - Section E '!A$7:J470,10,0)),"")</f>
        <v/>
      </c>
      <c r="M1469" s="387" t="str">
        <f ca="1">IFERROR(IF(VLOOKUP(C1469,' Disaggregation - Section E '!A$7:O470,15,0)=0,"",VLOOKUP(C1469,' Disaggregation - Section E '!A$7:O470,15,0)),"")</f>
        <v/>
      </c>
      <c r="N1469" s="387"/>
      <c r="O1469" s="387"/>
      <c r="P1469" s="387" t="str">
        <f ca="1">IFERROR(IF(VLOOKUP(C1469,' Disaggregation - Section E '!A$7:R470,18,0)=0,"",VLOOKUP(C1469,' Disaggregation - Section E '!A$7:R470,18,0)),"")</f>
        <v/>
      </c>
    </row>
    <row r="1470" spans="1:16">
      <c r="A1470" s="387" t="b">
        <f t="shared" ca="1" si="163"/>
        <v>0</v>
      </c>
      <c r="B1470" s="387"/>
      <c r="C1470" s="404" t="str">
        <f ca="1">IF(COUNTA(O$1306:O1470)=1,"",OFFSET(B1470,-COUNTA(O$1306:O1470)+1,1))</f>
        <v>a1GDm000000XyQ9MAK</v>
      </c>
      <c r="D1470" s="392"/>
      <c r="E1470" s="389" t="str">
        <f ca="1">IFERROR(IF(VLOOKUP(C1470,' Disaggregation - Section E '!A$7:J471,7,0)="","",VLOOKUP(C1470,' Disaggregation - Section E '!A$7:J175,7,0)*100),"")</f>
        <v/>
      </c>
      <c r="F1470" s="391" t="str">
        <f ca="1">IFERROR(IF(VLOOKUP(C1470,' Disaggregation - Section E '!A$7:J471,5,0)=0,"",VLOOKUP(C1470,' Disaggregation - Section E '!A$7:J471,5,0)),"")</f>
        <v/>
      </c>
      <c r="G1470" s="390" t="str">
        <f ca="1">IFERROR(IF(VLOOKUP(C1470,' Disaggregation - Section E '!A$7:J471,6,0)="","",VLOOKUP(C1470,' Disaggregation - Section E '!A$7:J471,6,0)),"")</f>
        <v/>
      </c>
      <c r="H1470" s="390" t="str">
        <f ca="1">IFERROR(IF(INDEX(' Disaggregation - Section E '!F$7:F471,MATCH(C1470,' Disaggregation - Section E '!A$7:A471,0)+1,1)&lt;&gt;0,INDEX(' Disaggregation - Section E '!F$7:F471,MATCH(C1470,' Disaggregation - Section E '!A$7:A471,0)+1,1),""),"")</f>
        <v/>
      </c>
      <c r="I1470" s="391" t="str">
        <f ca="1">IFERROR(IF(VLOOKUP(C1470,' Disaggregation - Section E '!A$7:J471,8,0)=0,"",VLOOKUP(C1470,' Disaggregation - Section E '!A$7:J471,8,0)),"")</f>
        <v/>
      </c>
      <c r="J1470" s="391" t="str">
        <f ca="1">IFERROR(IF(VLOOKUP(C1470,' Disaggregation - Section E '!A$7:J471,9,0)="","",VLOOKUP(C1470,' Disaggregation - Section E '!A$7:J471,9,0)),"")</f>
        <v/>
      </c>
      <c r="K1470" s="387" t="str">
        <f ca="1">IFERROR(VLOOKUP(C1470,' Disaggregation - Section E '!A$7:J471,3,0),"")</f>
        <v/>
      </c>
      <c r="L1470" s="391" t="str">
        <f ca="1">IFERROR(IF(VLOOKUP(C1470,' Disaggregation - Section E '!A$7:J471,10,0)="","",VLOOKUP(C1470,' Disaggregation - Section E '!A$7:J471,10,0)),"")</f>
        <v/>
      </c>
      <c r="M1470" s="387" t="str">
        <f ca="1">IFERROR(IF(VLOOKUP(C1470,' Disaggregation - Section E '!A$7:O471,15,0)=0,"",VLOOKUP(C1470,' Disaggregation - Section E '!A$7:O471,15,0)),"")</f>
        <v/>
      </c>
      <c r="N1470" s="387"/>
      <c r="O1470" s="387"/>
      <c r="P1470" s="387" t="str">
        <f ca="1">IFERROR(IF(VLOOKUP(C1470,' Disaggregation - Section E '!A$7:R471,18,0)=0,"",VLOOKUP(C1470,' Disaggregation - Section E '!A$7:R471,18,0)),"")</f>
        <v/>
      </c>
    </row>
    <row r="1471" spans="1:16">
      <c r="A1471" s="387" t="b">
        <f t="shared" ca="1" si="163"/>
        <v>0</v>
      </c>
      <c r="B1471" s="387"/>
      <c r="C1471" s="404" t="str">
        <f ca="1">IF(COUNTA(O$1306:O1471)=1,"",OFFSET(B1471,-COUNTA(O$1306:O1471)+1,1))</f>
        <v>a1GDm000000XyQAMA0</v>
      </c>
      <c r="D1471" s="392"/>
      <c r="E1471" s="389" t="str">
        <f ca="1">IFERROR(IF(VLOOKUP(C1471,' Disaggregation - Section E '!A$7:J472,7,0)="","",VLOOKUP(C1471,' Disaggregation - Section E '!A$7:J176,7,0)*100),"")</f>
        <v/>
      </c>
      <c r="F1471" s="391" t="str">
        <f ca="1">IFERROR(IF(VLOOKUP(C1471,' Disaggregation - Section E '!A$7:J472,5,0)=0,"",VLOOKUP(C1471,' Disaggregation - Section E '!A$7:J472,5,0)),"")</f>
        <v/>
      </c>
      <c r="G1471" s="390" t="str">
        <f ca="1">IFERROR(IF(VLOOKUP(C1471,' Disaggregation - Section E '!A$7:J472,6,0)="","",VLOOKUP(C1471,' Disaggregation - Section E '!A$7:J472,6,0)),"")</f>
        <v/>
      </c>
      <c r="H1471" s="390" t="str">
        <f ca="1">IFERROR(IF(INDEX(' Disaggregation - Section E '!F$7:F472,MATCH(C1471,' Disaggregation - Section E '!A$7:A472,0)+1,1)&lt;&gt;0,INDEX(' Disaggregation - Section E '!F$7:F472,MATCH(C1471,' Disaggregation - Section E '!A$7:A472,0)+1,1),""),"")</f>
        <v/>
      </c>
      <c r="I1471" s="391" t="str">
        <f ca="1">IFERROR(IF(VLOOKUP(C1471,' Disaggregation - Section E '!A$7:J472,8,0)=0,"",VLOOKUP(C1471,' Disaggregation - Section E '!A$7:J472,8,0)),"")</f>
        <v/>
      </c>
      <c r="J1471" s="391" t="str">
        <f ca="1">IFERROR(IF(VLOOKUP(C1471,' Disaggregation - Section E '!A$7:J472,9,0)="","",VLOOKUP(C1471,' Disaggregation - Section E '!A$7:J472,9,0)),"")</f>
        <v/>
      </c>
      <c r="K1471" s="387" t="str">
        <f ca="1">IFERROR(VLOOKUP(C1471,' Disaggregation - Section E '!A$7:J472,3,0),"")</f>
        <v/>
      </c>
      <c r="L1471" s="391" t="str">
        <f ca="1">IFERROR(IF(VLOOKUP(C1471,' Disaggregation - Section E '!A$7:J472,10,0)="","",VLOOKUP(C1471,' Disaggregation - Section E '!A$7:J472,10,0)),"")</f>
        <v/>
      </c>
      <c r="M1471" s="387" t="str">
        <f ca="1">IFERROR(IF(VLOOKUP(C1471,' Disaggregation - Section E '!A$7:O472,15,0)=0,"",VLOOKUP(C1471,' Disaggregation - Section E '!A$7:O472,15,0)),"")</f>
        <v/>
      </c>
      <c r="N1471" s="387"/>
      <c r="O1471" s="387"/>
      <c r="P1471" s="387" t="str">
        <f ca="1">IFERROR(IF(VLOOKUP(C1471,' Disaggregation - Section E '!A$7:R472,18,0)=0,"",VLOOKUP(C1471,' Disaggregation - Section E '!A$7:R472,18,0)),"")</f>
        <v/>
      </c>
    </row>
    <row r="1472" spans="1:16">
      <c r="A1472" s="387" t="b">
        <f t="shared" ca="1" si="163"/>
        <v>0</v>
      </c>
      <c r="B1472" s="387"/>
      <c r="C1472" s="404" t="str">
        <f ca="1">IF(COUNTA(O$1306:O1472)=1,"",OFFSET(B1472,-COUNTA(O$1306:O1472)+1,1))</f>
        <v>a1GDm000000XyQBMA0</v>
      </c>
      <c r="D1472" s="392"/>
      <c r="E1472" s="389" t="str">
        <f ca="1">IFERROR(IF(VLOOKUP(C1472,' Disaggregation - Section E '!A$7:J473,7,0)="","",VLOOKUP(C1472,' Disaggregation - Section E '!A$7:J177,7,0)*100),"")</f>
        <v/>
      </c>
      <c r="F1472" s="391" t="str">
        <f ca="1">IFERROR(IF(VLOOKUP(C1472,' Disaggregation - Section E '!A$7:J473,5,0)=0,"",VLOOKUP(C1472,' Disaggregation - Section E '!A$7:J473,5,0)),"")</f>
        <v/>
      </c>
      <c r="G1472" s="390" t="str">
        <f ca="1">IFERROR(IF(VLOOKUP(C1472,' Disaggregation - Section E '!A$7:J473,6,0)="","",VLOOKUP(C1472,' Disaggregation - Section E '!A$7:J473,6,0)),"")</f>
        <v/>
      </c>
      <c r="H1472" s="390" t="str">
        <f ca="1">IFERROR(IF(INDEX(' Disaggregation - Section E '!F$7:F473,MATCH(C1472,' Disaggregation - Section E '!A$7:A473,0)+1,1)&lt;&gt;0,INDEX(' Disaggregation - Section E '!F$7:F473,MATCH(C1472,' Disaggregation - Section E '!A$7:A473,0)+1,1),""),"")</f>
        <v/>
      </c>
      <c r="I1472" s="391" t="str">
        <f ca="1">IFERROR(IF(VLOOKUP(C1472,' Disaggregation - Section E '!A$7:J473,8,0)=0,"",VLOOKUP(C1472,' Disaggregation - Section E '!A$7:J473,8,0)),"")</f>
        <v/>
      </c>
      <c r="J1472" s="391" t="str">
        <f ca="1">IFERROR(IF(VLOOKUP(C1472,' Disaggregation - Section E '!A$7:J473,9,0)="","",VLOOKUP(C1472,' Disaggregation - Section E '!A$7:J473,9,0)),"")</f>
        <v/>
      </c>
      <c r="K1472" s="387" t="str">
        <f ca="1">IFERROR(VLOOKUP(C1472,' Disaggregation - Section E '!A$7:J473,3,0),"")</f>
        <v/>
      </c>
      <c r="L1472" s="391" t="str">
        <f ca="1">IFERROR(IF(VLOOKUP(C1472,' Disaggregation - Section E '!A$7:J473,10,0)="","",VLOOKUP(C1472,' Disaggregation - Section E '!A$7:J473,10,0)),"")</f>
        <v/>
      </c>
      <c r="M1472" s="387" t="str">
        <f ca="1">IFERROR(IF(VLOOKUP(C1472,' Disaggregation - Section E '!A$7:O473,15,0)=0,"",VLOOKUP(C1472,' Disaggregation - Section E '!A$7:O473,15,0)),"")</f>
        <v/>
      </c>
      <c r="N1472" s="387"/>
      <c r="O1472" s="387"/>
      <c r="P1472" s="387" t="str">
        <f ca="1">IFERROR(IF(VLOOKUP(C1472,' Disaggregation - Section E '!A$7:R473,18,0)=0,"",VLOOKUP(C1472,' Disaggregation - Section E '!A$7:R473,18,0)),"")</f>
        <v/>
      </c>
    </row>
    <row r="1473" spans="1:16">
      <c r="A1473" s="387" t="b">
        <f t="shared" ca="1" si="163"/>
        <v>0</v>
      </c>
      <c r="B1473" s="387"/>
      <c r="C1473" s="404" t="str">
        <f ca="1">IF(COUNTA(O$1306:O1473)=1,"",OFFSET(B1473,-COUNTA(O$1306:O1473)+1,1))</f>
        <v>a1GDm000000XyQCMA0</v>
      </c>
      <c r="D1473" s="392"/>
      <c r="E1473" s="389" t="str">
        <f ca="1">IFERROR(IF(VLOOKUP(C1473,' Disaggregation - Section E '!A$7:J474,7,0)="","",VLOOKUP(C1473,' Disaggregation - Section E '!A$7:J178,7,0)*100),"")</f>
        <v/>
      </c>
      <c r="F1473" s="391" t="str">
        <f ca="1">IFERROR(IF(VLOOKUP(C1473,' Disaggregation - Section E '!A$7:J474,5,0)=0,"",VLOOKUP(C1473,' Disaggregation - Section E '!A$7:J474,5,0)),"")</f>
        <v/>
      </c>
      <c r="G1473" s="390" t="str">
        <f ca="1">IFERROR(IF(VLOOKUP(C1473,' Disaggregation - Section E '!A$7:J474,6,0)="","",VLOOKUP(C1473,' Disaggregation - Section E '!A$7:J474,6,0)),"")</f>
        <v/>
      </c>
      <c r="H1473" s="390" t="str">
        <f ca="1">IFERROR(IF(INDEX(' Disaggregation - Section E '!F$7:F474,MATCH(C1473,' Disaggregation - Section E '!A$7:A474,0)+1,1)&lt;&gt;0,INDEX(' Disaggregation - Section E '!F$7:F474,MATCH(C1473,' Disaggregation - Section E '!A$7:A474,0)+1,1),""),"")</f>
        <v/>
      </c>
      <c r="I1473" s="391" t="str">
        <f ca="1">IFERROR(IF(VLOOKUP(C1473,' Disaggregation - Section E '!A$7:J474,8,0)=0,"",VLOOKUP(C1473,' Disaggregation - Section E '!A$7:J474,8,0)),"")</f>
        <v/>
      </c>
      <c r="J1473" s="391" t="str">
        <f ca="1">IFERROR(IF(VLOOKUP(C1473,' Disaggregation - Section E '!A$7:J474,9,0)="","",VLOOKUP(C1473,' Disaggregation - Section E '!A$7:J474,9,0)),"")</f>
        <v/>
      </c>
      <c r="K1473" s="387" t="str">
        <f ca="1">IFERROR(VLOOKUP(C1473,' Disaggregation - Section E '!A$7:J474,3,0),"")</f>
        <v/>
      </c>
      <c r="L1473" s="391" t="str">
        <f ca="1">IFERROR(IF(VLOOKUP(C1473,' Disaggregation - Section E '!A$7:J474,10,0)="","",VLOOKUP(C1473,' Disaggregation - Section E '!A$7:J474,10,0)),"")</f>
        <v/>
      </c>
      <c r="M1473" s="387" t="str">
        <f ca="1">IFERROR(IF(VLOOKUP(C1473,' Disaggregation - Section E '!A$7:O474,15,0)=0,"",VLOOKUP(C1473,' Disaggregation - Section E '!A$7:O474,15,0)),"")</f>
        <v/>
      </c>
      <c r="N1473" s="387"/>
      <c r="O1473" s="387"/>
      <c r="P1473" s="387" t="str">
        <f ca="1">IFERROR(IF(VLOOKUP(C1473,' Disaggregation - Section E '!A$7:R474,18,0)=0,"",VLOOKUP(C1473,' Disaggregation - Section E '!A$7:R474,18,0)),"")</f>
        <v/>
      </c>
    </row>
    <row r="1474" spans="1:16">
      <c r="A1474" s="387" t="b">
        <f t="shared" ca="1" si="163"/>
        <v>0</v>
      </c>
      <c r="B1474" s="387"/>
      <c r="C1474" s="404" t="str">
        <f ca="1">IF(COUNTA(O$1306:O1474)=1,"",OFFSET(B1474,-COUNTA(O$1306:O1474)+1,1))</f>
        <v>a1GDm000000XyQDMA0</v>
      </c>
      <c r="D1474" s="392"/>
      <c r="E1474" s="389" t="str">
        <f ca="1">IFERROR(IF(VLOOKUP(C1474,' Disaggregation - Section E '!A$7:J475,7,0)="","",VLOOKUP(C1474,' Disaggregation - Section E '!A$7:J179,7,0)*100),"")</f>
        <v/>
      </c>
      <c r="F1474" s="391" t="str">
        <f ca="1">IFERROR(IF(VLOOKUP(C1474,' Disaggregation - Section E '!A$7:J475,5,0)=0,"",VLOOKUP(C1474,' Disaggregation - Section E '!A$7:J475,5,0)),"")</f>
        <v/>
      </c>
      <c r="G1474" s="390" t="str">
        <f ca="1">IFERROR(IF(VLOOKUP(C1474,' Disaggregation - Section E '!A$7:J475,6,0)="","",VLOOKUP(C1474,' Disaggregation - Section E '!A$7:J475,6,0)),"")</f>
        <v/>
      </c>
      <c r="H1474" s="390" t="str">
        <f ca="1">IFERROR(IF(INDEX(' Disaggregation - Section E '!F$7:F475,MATCH(C1474,' Disaggregation - Section E '!A$7:A475,0)+1,1)&lt;&gt;0,INDEX(' Disaggregation - Section E '!F$7:F475,MATCH(C1474,' Disaggregation - Section E '!A$7:A475,0)+1,1),""),"")</f>
        <v/>
      </c>
      <c r="I1474" s="391" t="str">
        <f ca="1">IFERROR(IF(VLOOKUP(C1474,' Disaggregation - Section E '!A$7:J475,8,0)=0,"",VLOOKUP(C1474,' Disaggregation - Section E '!A$7:J475,8,0)),"")</f>
        <v/>
      </c>
      <c r="J1474" s="391" t="str">
        <f ca="1">IFERROR(IF(VLOOKUP(C1474,' Disaggregation - Section E '!A$7:J475,9,0)="","",VLOOKUP(C1474,' Disaggregation - Section E '!A$7:J475,9,0)),"")</f>
        <v/>
      </c>
      <c r="K1474" s="387" t="str">
        <f ca="1">IFERROR(VLOOKUP(C1474,' Disaggregation - Section E '!A$7:J475,3,0),"")</f>
        <v/>
      </c>
      <c r="L1474" s="391" t="str">
        <f ca="1">IFERROR(IF(VLOOKUP(C1474,' Disaggregation - Section E '!A$7:J475,10,0)="","",VLOOKUP(C1474,' Disaggregation - Section E '!A$7:J475,10,0)),"")</f>
        <v/>
      </c>
      <c r="M1474" s="387" t="str">
        <f ca="1">IFERROR(IF(VLOOKUP(C1474,' Disaggregation - Section E '!A$7:O475,15,0)=0,"",VLOOKUP(C1474,' Disaggregation - Section E '!A$7:O475,15,0)),"")</f>
        <v/>
      </c>
      <c r="N1474" s="387"/>
      <c r="O1474" s="387"/>
      <c r="P1474" s="387" t="str">
        <f ca="1">IFERROR(IF(VLOOKUP(C1474,' Disaggregation - Section E '!A$7:R475,18,0)=0,"",VLOOKUP(C1474,' Disaggregation - Section E '!A$7:R475,18,0)),"")</f>
        <v/>
      </c>
    </row>
    <row r="1475" spans="1:16">
      <c r="A1475" s="387" t="b">
        <f t="shared" ca="1" si="163"/>
        <v>0</v>
      </c>
      <c r="B1475" s="387"/>
      <c r="C1475" s="404" t="str">
        <f ca="1">IF(COUNTA(O$1306:O1475)=1,"",OFFSET(B1475,-COUNTA(O$1306:O1475)+1,1))</f>
        <v>a1GDm000000XyQEMA0</v>
      </c>
      <c r="D1475" s="392"/>
      <c r="E1475" s="389" t="str">
        <f ca="1">IFERROR(IF(VLOOKUP(C1475,' Disaggregation - Section E '!A$7:J476,7,0)="","",VLOOKUP(C1475,' Disaggregation - Section E '!A$7:J180,7,0)*100),"")</f>
        <v/>
      </c>
      <c r="F1475" s="391" t="str">
        <f ca="1">IFERROR(IF(VLOOKUP(C1475,' Disaggregation - Section E '!A$7:J476,5,0)=0,"",VLOOKUP(C1475,' Disaggregation - Section E '!A$7:J476,5,0)),"")</f>
        <v/>
      </c>
      <c r="G1475" s="390" t="str">
        <f ca="1">IFERROR(IF(VLOOKUP(C1475,' Disaggregation - Section E '!A$7:J476,6,0)="","",VLOOKUP(C1475,' Disaggregation - Section E '!A$7:J476,6,0)),"")</f>
        <v/>
      </c>
      <c r="H1475" s="390" t="str">
        <f ca="1">IFERROR(IF(INDEX(' Disaggregation - Section E '!F$7:F476,MATCH(C1475,' Disaggregation - Section E '!A$7:A476,0)+1,1)&lt;&gt;0,INDEX(' Disaggregation - Section E '!F$7:F476,MATCH(C1475,' Disaggregation - Section E '!A$7:A476,0)+1,1),""),"")</f>
        <v/>
      </c>
      <c r="I1475" s="391" t="str">
        <f ca="1">IFERROR(IF(VLOOKUP(C1475,' Disaggregation - Section E '!A$7:J476,8,0)=0,"",VLOOKUP(C1475,' Disaggregation - Section E '!A$7:J476,8,0)),"")</f>
        <v/>
      </c>
      <c r="J1475" s="391" t="str">
        <f ca="1">IFERROR(IF(VLOOKUP(C1475,' Disaggregation - Section E '!A$7:J476,9,0)="","",VLOOKUP(C1475,' Disaggregation - Section E '!A$7:J476,9,0)),"")</f>
        <v/>
      </c>
      <c r="K1475" s="387" t="str">
        <f ca="1">IFERROR(VLOOKUP(C1475,' Disaggregation - Section E '!A$7:J476,3,0),"")</f>
        <v/>
      </c>
      <c r="L1475" s="391" t="str">
        <f ca="1">IFERROR(IF(VLOOKUP(C1475,' Disaggregation - Section E '!A$7:J476,10,0)="","",VLOOKUP(C1475,' Disaggregation - Section E '!A$7:J476,10,0)),"")</f>
        <v/>
      </c>
      <c r="M1475" s="387" t="str">
        <f ca="1">IFERROR(IF(VLOOKUP(C1475,' Disaggregation - Section E '!A$7:O476,15,0)=0,"",VLOOKUP(C1475,' Disaggregation - Section E '!A$7:O476,15,0)),"")</f>
        <v/>
      </c>
      <c r="N1475" s="387"/>
      <c r="O1475" s="387"/>
      <c r="P1475" s="387" t="str">
        <f ca="1">IFERROR(IF(VLOOKUP(C1475,' Disaggregation - Section E '!A$7:R476,18,0)=0,"",VLOOKUP(C1475,' Disaggregation - Section E '!A$7:R476,18,0)),"")</f>
        <v/>
      </c>
    </row>
    <row r="1476" spans="1:16">
      <c r="A1476" s="387" t="b">
        <f t="shared" ca="1" si="163"/>
        <v>0</v>
      </c>
      <c r="B1476" s="387"/>
      <c r="C1476" s="404" t="str">
        <f ca="1">IF(COUNTA(O$1306:O1476)=1,"",OFFSET(B1476,-COUNTA(O$1306:O1476)+1,1))</f>
        <v>a1GDm000000XyQFMA0</v>
      </c>
      <c r="D1476" s="392"/>
      <c r="E1476" s="389" t="str">
        <f ca="1">IFERROR(IF(VLOOKUP(C1476,' Disaggregation - Section E '!A$7:J477,7,0)="","",VLOOKUP(C1476,' Disaggregation - Section E '!A$7:J181,7,0)*100),"")</f>
        <v/>
      </c>
      <c r="F1476" s="391" t="str">
        <f ca="1">IFERROR(IF(VLOOKUP(C1476,' Disaggregation - Section E '!A$7:J477,5,0)=0,"",VLOOKUP(C1476,' Disaggregation - Section E '!A$7:J477,5,0)),"")</f>
        <v/>
      </c>
      <c r="G1476" s="390" t="str">
        <f ca="1">IFERROR(IF(VLOOKUP(C1476,' Disaggregation - Section E '!A$7:J477,6,0)="","",VLOOKUP(C1476,' Disaggregation - Section E '!A$7:J477,6,0)),"")</f>
        <v/>
      </c>
      <c r="H1476" s="390" t="str">
        <f ca="1">IFERROR(IF(INDEX(' Disaggregation - Section E '!F$7:F477,MATCH(C1476,' Disaggregation - Section E '!A$7:A477,0)+1,1)&lt;&gt;0,INDEX(' Disaggregation - Section E '!F$7:F477,MATCH(C1476,' Disaggregation - Section E '!A$7:A477,0)+1,1),""),"")</f>
        <v/>
      </c>
      <c r="I1476" s="391" t="str">
        <f ca="1">IFERROR(IF(VLOOKUP(C1476,' Disaggregation - Section E '!A$7:J477,8,0)=0,"",VLOOKUP(C1476,' Disaggregation - Section E '!A$7:J477,8,0)),"")</f>
        <v/>
      </c>
      <c r="J1476" s="391" t="str">
        <f ca="1">IFERROR(IF(VLOOKUP(C1476,' Disaggregation - Section E '!A$7:J477,9,0)="","",VLOOKUP(C1476,' Disaggregation - Section E '!A$7:J477,9,0)),"")</f>
        <v/>
      </c>
      <c r="K1476" s="387" t="str">
        <f ca="1">IFERROR(VLOOKUP(C1476,' Disaggregation - Section E '!A$7:J477,3,0),"")</f>
        <v/>
      </c>
      <c r="L1476" s="391" t="str">
        <f ca="1">IFERROR(IF(VLOOKUP(C1476,' Disaggregation - Section E '!A$7:J477,10,0)="","",VLOOKUP(C1476,' Disaggregation - Section E '!A$7:J477,10,0)),"")</f>
        <v/>
      </c>
      <c r="M1476" s="387" t="str">
        <f ca="1">IFERROR(IF(VLOOKUP(C1476,' Disaggregation - Section E '!A$7:O477,15,0)=0,"",VLOOKUP(C1476,' Disaggregation - Section E '!A$7:O477,15,0)),"")</f>
        <v/>
      </c>
      <c r="N1476" s="387"/>
      <c r="O1476" s="387"/>
      <c r="P1476" s="387" t="str">
        <f ca="1">IFERROR(IF(VLOOKUP(C1476,' Disaggregation - Section E '!A$7:R477,18,0)=0,"",VLOOKUP(C1476,' Disaggregation - Section E '!A$7:R477,18,0)),"")</f>
        <v/>
      </c>
    </row>
    <row r="1477" spans="1:16">
      <c r="A1477" s="387" t="b">
        <f t="shared" ca="1" si="163"/>
        <v>0</v>
      </c>
      <c r="B1477" s="387"/>
      <c r="C1477" s="404" t="str">
        <f ca="1">IF(COUNTA(O$1306:O1477)=1,"",OFFSET(B1477,-COUNTA(O$1306:O1477)+1,1))</f>
        <v>a1GDm000000XyQGMA0</v>
      </c>
      <c r="D1477" s="392"/>
      <c r="E1477" s="389" t="str">
        <f ca="1">IFERROR(IF(VLOOKUP(C1477,' Disaggregation - Section E '!A$7:J478,7,0)="","",VLOOKUP(C1477,' Disaggregation - Section E '!A$7:J182,7,0)*100),"")</f>
        <v/>
      </c>
      <c r="F1477" s="391" t="str">
        <f ca="1">IFERROR(IF(VLOOKUP(C1477,' Disaggregation - Section E '!A$7:J478,5,0)=0,"",VLOOKUP(C1477,' Disaggregation - Section E '!A$7:J478,5,0)),"")</f>
        <v/>
      </c>
      <c r="G1477" s="390" t="str">
        <f ca="1">IFERROR(IF(VLOOKUP(C1477,' Disaggregation - Section E '!A$7:J478,6,0)="","",VLOOKUP(C1477,' Disaggregation - Section E '!A$7:J478,6,0)),"")</f>
        <v/>
      </c>
      <c r="H1477" s="390" t="str">
        <f ca="1">IFERROR(IF(INDEX(' Disaggregation - Section E '!F$7:F478,MATCH(C1477,' Disaggregation - Section E '!A$7:A478,0)+1,1)&lt;&gt;0,INDEX(' Disaggregation - Section E '!F$7:F478,MATCH(C1477,' Disaggregation - Section E '!A$7:A478,0)+1,1),""),"")</f>
        <v/>
      </c>
      <c r="I1477" s="391" t="str">
        <f ca="1">IFERROR(IF(VLOOKUP(C1477,' Disaggregation - Section E '!A$7:J478,8,0)=0,"",VLOOKUP(C1477,' Disaggregation - Section E '!A$7:J478,8,0)),"")</f>
        <v/>
      </c>
      <c r="J1477" s="391" t="str">
        <f ca="1">IFERROR(IF(VLOOKUP(C1477,' Disaggregation - Section E '!A$7:J478,9,0)="","",VLOOKUP(C1477,' Disaggregation - Section E '!A$7:J478,9,0)),"")</f>
        <v/>
      </c>
      <c r="K1477" s="387" t="str">
        <f ca="1">IFERROR(VLOOKUP(C1477,' Disaggregation - Section E '!A$7:J478,3,0),"")</f>
        <v/>
      </c>
      <c r="L1477" s="391" t="str">
        <f ca="1">IFERROR(IF(VLOOKUP(C1477,' Disaggregation - Section E '!A$7:J478,10,0)="","",VLOOKUP(C1477,' Disaggregation - Section E '!A$7:J478,10,0)),"")</f>
        <v/>
      </c>
      <c r="M1477" s="387" t="str">
        <f ca="1">IFERROR(IF(VLOOKUP(C1477,' Disaggregation - Section E '!A$7:O478,15,0)=0,"",VLOOKUP(C1477,' Disaggregation - Section E '!A$7:O478,15,0)),"")</f>
        <v/>
      </c>
      <c r="N1477" s="387"/>
      <c r="O1477" s="387"/>
      <c r="P1477" s="387" t="str">
        <f ca="1">IFERROR(IF(VLOOKUP(C1477,' Disaggregation - Section E '!A$7:R478,18,0)=0,"",VLOOKUP(C1477,' Disaggregation - Section E '!A$7:R478,18,0)),"")</f>
        <v/>
      </c>
    </row>
    <row r="1478" spans="1:16">
      <c r="A1478" s="387" t="b">
        <f t="shared" ca="1" si="163"/>
        <v>0</v>
      </c>
      <c r="B1478" s="387"/>
      <c r="C1478" s="404" t="str">
        <f ca="1">IF(COUNTA(O$1306:O1478)=1,"",OFFSET(B1478,-COUNTA(O$1306:O1478)+1,1))</f>
        <v>a1GDm000000XyQHMA0</v>
      </c>
      <c r="D1478" s="392"/>
      <c r="E1478" s="389" t="str">
        <f ca="1">IFERROR(IF(VLOOKUP(C1478,' Disaggregation - Section E '!A$7:J479,7,0)="","",VLOOKUP(C1478,' Disaggregation - Section E '!A$7:J183,7,0)*100),"")</f>
        <v/>
      </c>
      <c r="F1478" s="391" t="str">
        <f ca="1">IFERROR(IF(VLOOKUP(C1478,' Disaggregation - Section E '!A$7:J479,5,0)=0,"",VLOOKUP(C1478,' Disaggregation - Section E '!A$7:J479,5,0)),"")</f>
        <v/>
      </c>
      <c r="G1478" s="390" t="str">
        <f ca="1">IFERROR(IF(VLOOKUP(C1478,' Disaggregation - Section E '!A$7:J479,6,0)="","",VLOOKUP(C1478,' Disaggregation - Section E '!A$7:J479,6,0)),"")</f>
        <v/>
      </c>
      <c r="H1478" s="390" t="str">
        <f ca="1">IFERROR(IF(INDEX(' Disaggregation - Section E '!F$7:F479,MATCH(C1478,' Disaggregation - Section E '!A$7:A479,0)+1,1)&lt;&gt;0,INDEX(' Disaggregation - Section E '!F$7:F479,MATCH(C1478,' Disaggregation - Section E '!A$7:A479,0)+1,1),""),"")</f>
        <v/>
      </c>
      <c r="I1478" s="391" t="str">
        <f ca="1">IFERROR(IF(VLOOKUP(C1478,' Disaggregation - Section E '!A$7:J479,8,0)=0,"",VLOOKUP(C1478,' Disaggregation - Section E '!A$7:J479,8,0)),"")</f>
        <v/>
      </c>
      <c r="J1478" s="391" t="str">
        <f ca="1">IFERROR(IF(VLOOKUP(C1478,' Disaggregation - Section E '!A$7:J479,9,0)="","",VLOOKUP(C1478,' Disaggregation - Section E '!A$7:J479,9,0)),"")</f>
        <v/>
      </c>
      <c r="K1478" s="387" t="str">
        <f ca="1">IFERROR(VLOOKUP(C1478,' Disaggregation - Section E '!A$7:J479,3,0),"")</f>
        <v/>
      </c>
      <c r="L1478" s="391" t="str">
        <f ca="1">IFERROR(IF(VLOOKUP(C1478,' Disaggregation - Section E '!A$7:J479,10,0)="","",VLOOKUP(C1478,' Disaggregation - Section E '!A$7:J479,10,0)),"")</f>
        <v/>
      </c>
      <c r="M1478" s="387" t="str">
        <f ca="1">IFERROR(IF(VLOOKUP(C1478,' Disaggregation - Section E '!A$7:O479,15,0)=0,"",VLOOKUP(C1478,' Disaggregation - Section E '!A$7:O479,15,0)),"")</f>
        <v/>
      </c>
      <c r="N1478" s="387"/>
      <c r="O1478" s="387"/>
      <c r="P1478" s="387" t="str">
        <f ca="1">IFERROR(IF(VLOOKUP(C1478,' Disaggregation - Section E '!A$7:R479,18,0)=0,"",VLOOKUP(C1478,' Disaggregation - Section E '!A$7:R479,18,0)),"")</f>
        <v/>
      </c>
    </row>
    <row r="1479" spans="1:16">
      <c r="A1479" s="387" t="b">
        <f t="shared" ca="1" si="163"/>
        <v>0</v>
      </c>
      <c r="B1479" s="387"/>
      <c r="C1479" s="404" t="str">
        <f ca="1">IF(COUNTA(O$1306:O1479)=1,"",OFFSET(B1479,-COUNTA(O$1306:O1479)+1,1))</f>
        <v>a1GDm000000XyQIMA0</v>
      </c>
      <c r="D1479" s="392"/>
      <c r="E1479" s="389" t="str">
        <f ca="1">IFERROR(IF(VLOOKUP(C1479,' Disaggregation - Section E '!A$7:J480,7,0)="","",VLOOKUP(C1479,' Disaggregation - Section E '!A$7:J184,7,0)*100),"")</f>
        <v/>
      </c>
      <c r="F1479" s="391" t="str">
        <f ca="1">IFERROR(IF(VLOOKUP(C1479,' Disaggregation - Section E '!A$7:J480,5,0)=0,"",VLOOKUP(C1479,' Disaggregation - Section E '!A$7:J480,5,0)),"")</f>
        <v/>
      </c>
      <c r="G1479" s="390" t="str">
        <f ca="1">IFERROR(IF(VLOOKUP(C1479,' Disaggregation - Section E '!A$7:J480,6,0)="","",VLOOKUP(C1479,' Disaggregation - Section E '!A$7:J480,6,0)),"")</f>
        <v/>
      </c>
      <c r="H1479" s="390" t="str">
        <f ca="1">IFERROR(IF(INDEX(' Disaggregation - Section E '!F$7:F480,MATCH(C1479,' Disaggregation - Section E '!A$7:A480,0)+1,1)&lt;&gt;0,INDEX(' Disaggregation - Section E '!F$7:F480,MATCH(C1479,' Disaggregation - Section E '!A$7:A480,0)+1,1),""),"")</f>
        <v/>
      </c>
      <c r="I1479" s="391" t="str">
        <f ca="1">IFERROR(IF(VLOOKUP(C1479,' Disaggregation - Section E '!A$7:J480,8,0)=0,"",VLOOKUP(C1479,' Disaggregation - Section E '!A$7:J480,8,0)),"")</f>
        <v/>
      </c>
      <c r="J1479" s="391" t="str">
        <f ca="1">IFERROR(IF(VLOOKUP(C1479,' Disaggregation - Section E '!A$7:J480,9,0)="","",VLOOKUP(C1479,' Disaggregation - Section E '!A$7:J480,9,0)),"")</f>
        <v/>
      </c>
      <c r="K1479" s="387" t="str">
        <f ca="1">IFERROR(VLOOKUP(C1479,' Disaggregation - Section E '!A$7:J480,3,0),"")</f>
        <v/>
      </c>
      <c r="L1479" s="391" t="str">
        <f ca="1">IFERROR(IF(VLOOKUP(C1479,' Disaggregation - Section E '!A$7:J480,10,0)="","",VLOOKUP(C1479,' Disaggregation - Section E '!A$7:J480,10,0)),"")</f>
        <v/>
      </c>
      <c r="M1479" s="387" t="str">
        <f ca="1">IFERROR(IF(VLOOKUP(C1479,' Disaggregation - Section E '!A$7:O480,15,0)=0,"",VLOOKUP(C1479,' Disaggregation - Section E '!A$7:O480,15,0)),"")</f>
        <v/>
      </c>
      <c r="N1479" s="387"/>
      <c r="O1479" s="387"/>
      <c r="P1479" s="387" t="str">
        <f ca="1">IFERROR(IF(VLOOKUP(C1479,' Disaggregation - Section E '!A$7:R480,18,0)=0,"",VLOOKUP(C1479,' Disaggregation - Section E '!A$7:R480,18,0)),"")</f>
        <v/>
      </c>
    </row>
    <row r="1480" spans="1:16">
      <c r="A1480" s="387" t="b">
        <f t="shared" ca="1" si="163"/>
        <v>0</v>
      </c>
      <c r="B1480" s="387"/>
      <c r="C1480" s="404" t="str">
        <f ca="1">IF(COUNTA(O$1306:O1480)=1,"",OFFSET(B1480,-COUNTA(O$1306:O1480)+1,1))</f>
        <v>a1GDm000000XyQJMA0</v>
      </c>
      <c r="D1480" s="392"/>
      <c r="E1480" s="389" t="str">
        <f ca="1">IFERROR(IF(VLOOKUP(C1480,' Disaggregation - Section E '!A$7:J481,7,0)="","",VLOOKUP(C1480,' Disaggregation - Section E '!A$7:J185,7,0)*100),"")</f>
        <v/>
      </c>
      <c r="F1480" s="391" t="str">
        <f ca="1">IFERROR(IF(VLOOKUP(C1480,' Disaggregation - Section E '!A$7:J481,5,0)=0,"",VLOOKUP(C1480,' Disaggregation - Section E '!A$7:J481,5,0)),"")</f>
        <v/>
      </c>
      <c r="G1480" s="390" t="str">
        <f ca="1">IFERROR(IF(VLOOKUP(C1480,' Disaggregation - Section E '!A$7:J481,6,0)="","",VLOOKUP(C1480,' Disaggregation - Section E '!A$7:J481,6,0)),"")</f>
        <v/>
      </c>
      <c r="H1480" s="390" t="str">
        <f ca="1">IFERROR(IF(INDEX(' Disaggregation - Section E '!F$7:F481,MATCH(C1480,' Disaggregation - Section E '!A$7:A481,0)+1,1)&lt;&gt;0,INDEX(' Disaggregation - Section E '!F$7:F481,MATCH(C1480,' Disaggregation - Section E '!A$7:A481,0)+1,1),""),"")</f>
        <v/>
      </c>
      <c r="I1480" s="391" t="str">
        <f ca="1">IFERROR(IF(VLOOKUP(C1480,' Disaggregation - Section E '!A$7:J481,8,0)=0,"",VLOOKUP(C1480,' Disaggregation - Section E '!A$7:J481,8,0)),"")</f>
        <v/>
      </c>
      <c r="J1480" s="391" t="str">
        <f ca="1">IFERROR(IF(VLOOKUP(C1480,' Disaggregation - Section E '!A$7:J481,9,0)="","",VLOOKUP(C1480,' Disaggregation - Section E '!A$7:J481,9,0)),"")</f>
        <v/>
      </c>
      <c r="K1480" s="387" t="str">
        <f ca="1">IFERROR(VLOOKUP(C1480,' Disaggregation - Section E '!A$7:J481,3,0),"")</f>
        <v/>
      </c>
      <c r="L1480" s="391" t="str">
        <f ca="1">IFERROR(IF(VLOOKUP(C1480,' Disaggregation - Section E '!A$7:J481,10,0)="","",VLOOKUP(C1480,' Disaggregation - Section E '!A$7:J481,10,0)),"")</f>
        <v/>
      </c>
      <c r="M1480" s="387" t="str">
        <f ca="1">IFERROR(IF(VLOOKUP(C1480,' Disaggregation - Section E '!A$7:O481,15,0)=0,"",VLOOKUP(C1480,' Disaggregation - Section E '!A$7:O481,15,0)),"")</f>
        <v/>
      </c>
      <c r="N1480" s="387"/>
      <c r="O1480" s="387"/>
      <c r="P1480" s="387" t="str">
        <f ca="1">IFERROR(IF(VLOOKUP(C1480,' Disaggregation - Section E '!A$7:R481,18,0)=0,"",VLOOKUP(C1480,' Disaggregation - Section E '!A$7:R481,18,0)),"")</f>
        <v/>
      </c>
    </row>
    <row r="1481" spans="1:16">
      <c r="A1481" s="387" t="b">
        <f t="shared" ca="1" si="163"/>
        <v>0</v>
      </c>
      <c r="B1481" s="387"/>
      <c r="C1481" s="404" t="str">
        <f ca="1">IF(COUNTA(O$1306:O1481)=1,"",OFFSET(B1481,-COUNTA(O$1306:O1481)+1,1))</f>
        <v>a1GDm000000XyQKMA0</v>
      </c>
      <c r="D1481" s="392"/>
      <c r="E1481" s="389" t="str">
        <f ca="1">IFERROR(IF(VLOOKUP(C1481,' Disaggregation - Section E '!A$7:J482,7,0)="","",VLOOKUP(C1481,' Disaggregation - Section E '!A$7:J186,7,0)*100),"")</f>
        <v/>
      </c>
      <c r="F1481" s="391" t="str">
        <f ca="1">IFERROR(IF(VLOOKUP(C1481,' Disaggregation - Section E '!A$7:J482,5,0)=0,"",VLOOKUP(C1481,' Disaggregation - Section E '!A$7:J482,5,0)),"")</f>
        <v/>
      </c>
      <c r="G1481" s="390" t="str">
        <f ca="1">IFERROR(IF(VLOOKUP(C1481,' Disaggregation - Section E '!A$7:J482,6,0)="","",VLOOKUP(C1481,' Disaggregation - Section E '!A$7:J482,6,0)),"")</f>
        <v/>
      </c>
      <c r="H1481" s="390" t="str">
        <f ca="1">IFERROR(IF(INDEX(' Disaggregation - Section E '!F$7:F482,MATCH(C1481,' Disaggregation - Section E '!A$7:A482,0)+1,1)&lt;&gt;0,INDEX(' Disaggregation - Section E '!F$7:F482,MATCH(C1481,' Disaggregation - Section E '!A$7:A482,0)+1,1),""),"")</f>
        <v/>
      </c>
      <c r="I1481" s="391" t="str">
        <f ca="1">IFERROR(IF(VLOOKUP(C1481,' Disaggregation - Section E '!A$7:J482,8,0)=0,"",VLOOKUP(C1481,' Disaggregation - Section E '!A$7:J482,8,0)),"")</f>
        <v/>
      </c>
      <c r="J1481" s="391" t="str">
        <f ca="1">IFERROR(IF(VLOOKUP(C1481,' Disaggregation - Section E '!A$7:J482,9,0)="","",VLOOKUP(C1481,' Disaggregation - Section E '!A$7:J482,9,0)),"")</f>
        <v/>
      </c>
      <c r="K1481" s="387" t="str">
        <f ca="1">IFERROR(VLOOKUP(C1481,' Disaggregation - Section E '!A$7:J482,3,0),"")</f>
        <v/>
      </c>
      <c r="L1481" s="391" t="str">
        <f ca="1">IFERROR(IF(VLOOKUP(C1481,' Disaggregation - Section E '!A$7:J482,10,0)="","",VLOOKUP(C1481,' Disaggregation - Section E '!A$7:J482,10,0)),"")</f>
        <v/>
      </c>
      <c r="M1481" s="387" t="str">
        <f ca="1">IFERROR(IF(VLOOKUP(C1481,' Disaggregation - Section E '!A$7:O482,15,0)=0,"",VLOOKUP(C1481,' Disaggregation - Section E '!A$7:O482,15,0)),"")</f>
        <v/>
      </c>
      <c r="N1481" s="387"/>
      <c r="O1481" s="387"/>
      <c r="P1481" s="387" t="str">
        <f ca="1">IFERROR(IF(VLOOKUP(C1481,' Disaggregation - Section E '!A$7:R482,18,0)=0,"",VLOOKUP(C1481,' Disaggregation - Section E '!A$7:R482,18,0)),"")</f>
        <v/>
      </c>
    </row>
    <row r="1482" spans="1:16">
      <c r="A1482" s="387" t="b">
        <f t="shared" ca="1" si="163"/>
        <v>0</v>
      </c>
      <c r="B1482" s="387"/>
      <c r="C1482" s="404" t="str">
        <f ca="1">IF(COUNTA(O$1306:O1482)=1,"",OFFSET(B1482,-COUNTA(O$1306:O1482)+1,1))</f>
        <v>a1GDm000000XyQLMA0</v>
      </c>
      <c r="D1482" s="392"/>
      <c r="E1482" s="389" t="str">
        <f ca="1">IFERROR(IF(VLOOKUP(C1482,' Disaggregation - Section E '!A$7:J483,7,0)="","",VLOOKUP(C1482,' Disaggregation - Section E '!A$7:J187,7,0)*100),"")</f>
        <v/>
      </c>
      <c r="F1482" s="391" t="str">
        <f ca="1">IFERROR(IF(VLOOKUP(C1482,' Disaggregation - Section E '!A$7:J483,5,0)=0,"",VLOOKUP(C1482,' Disaggregation - Section E '!A$7:J483,5,0)),"")</f>
        <v/>
      </c>
      <c r="G1482" s="390" t="str">
        <f ca="1">IFERROR(IF(VLOOKUP(C1482,' Disaggregation - Section E '!A$7:J483,6,0)="","",VLOOKUP(C1482,' Disaggregation - Section E '!A$7:J483,6,0)),"")</f>
        <v/>
      </c>
      <c r="H1482" s="390" t="str">
        <f ca="1">IFERROR(IF(INDEX(' Disaggregation - Section E '!F$7:F483,MATCH(C1482,' Disaggregation - Section E '!A$7:A483,0)+1,1)&lt;&gt;0,INDEX(' Disaggregation - Section E '!F$7:F483,MATCH(C1482,' Disaggregation - Section E '!A$7:A483,0)+1,1),""),"")</f>
        <v/>
      </c>
      <c r="I1482" s="391" t="str">
        <f ca="1">IFERROR(IF(VLOOKUP(C1482,' Disaggregation - Section E '!A$7:J483,8,0)=0,"",VLOOKUP(C1482,' Disaggregation - Section E '!A$7:J483,8,0)),"")</f>
        <v/>
      </c>
      <c r="J1482" s="391" t="str">
        <f ca="1">IFERROR(IF(VLOOKUP(C1482,' Disaggregation - Section E '!A$7:J483,9,0)="","",VLOOKUP(C1482,' Disaggregation - Section E '!A$7:J483,9,0)),"")</f>
        <v/>
      </c>
      <c r="K1482" s="387" t="str">
        <f ca="1">IFERROR(VLOOKUP(C1482,' Disaggregation - Section E '!A$7:J483,3,0),"")</f>
        <v/>
      </c>
      <c r="L1482" s="391" t="str">
        <f ca="1">IFERROR(IF(VLOOKUP(C1482,' Disaggregation - Section E '!A$7:J483,10,0)="","",VLOOKUP(C1482,' Disaggregation - Section E '!A$7:J483,10,0)),"")</f>
        <v/>
      </c>
      <c r="M1482" s="387" t="str">
        <f ca="1">IFERROR(IF(VLOOKUP(C1482,' Disaggregation - Section E '!A$7:O483,15,0)=0,"",VLOOKUP(C1482,' Disaggregation - Section E '!A$7:O483,15,0)),"")</f>
        <v/>
      </c>
      <c r="N1482" s="387"/>
      <c r="O1482" s="387"/>
      <c r="P1482" s="387" t="str">
        <f ca="1">IFERROR(IF(VLOOKUP(C1482,' Disaggregation - Section E '!A$7:R483,18,0)=0,"",VLOOKUP(C1482,' Disaggregation - Section E '!A$7:R483,18,0)),"")</f>
        <v/>
      </c>
    </row>
    <row r="1483" spans="1:16">
      <c r="A1483" s="387" t="b">
        <f t="shared" ca="1" si="163"/>
        <v>0</v>
      </c>
      <c r="B1483" s="387"/>
      <c r="C1483" s="404" t="str">
        <f ca="1">IF(COUNTA(O$1306:O1483)=1,"",OFFSET(B1483,-COUNTA(O$1306:O1483)+1,1))</f>
        <v>a1GDm000000XyQMMA0</v>
      </c>
      <c r="D1483" s="392"/>
      <c r="E1483" s="389" t="str">
        <f ca="1">IFERROR(IF(VLOOKUP(C1483,' Disaggregation - Section E '!A$7:J484,7,0)="","",VLOOKUP(C1483,' Disaggregation - Section E '!A$7:J188,7,0)*100),"")</f>
        <v/>
      </c>
      <c r="F1483" s="391" t="str">
        <f ca="1">IFERROR(IF(VLOOKUP(C1483,' Disaggregation - Section E '!A$7:J484,5,0)=0,"",VLOOKUP(C1483,' Disaggregation - Section E '!A$7:J484,5,0)),"")</f>
        <v/>
      </c>
      <c r="G1483" s="390" t="str">
        <f ca="1">IFERROR(IF(VLOOKUP(C1483,' Disaggregation - Section E '!A$7:J484,6,0)="","",VLOOKUP(C1483,' Disaggregation - Section E '!A$7:J484,6,0)),"")</f>
        <v/>
      </c>
      <c r="H1483" s="390" t="str">
        <f ca="1">IFERROR(IF(INDEX(' Disaggregation - Section E '!F$7:F484,MATCH(C1483,' Disaggregation - Section E '!A$7:A484,0)+1,1)&lt;&gt;0,INDEX(' Disaggregation - Section E '!F$7:F484,MATCH(C1483,' Disaggregation - Section E '!A$7:A484,0)+1,1),""),"")</f>
        <v/>
      </c>
      <c r="I1483" s="391" t="str">
        <f ca="1">IFERROR(IF(VLOOKUP(C1483,' Disaggregation - Section E '!A$7:J484,8,0)=0,"",VLOOKUP(C1483,' Disaggregation - Section E '!A$7:J484,8,0)),"")</f>
        <v/>
      </c>
      <c r="J1483" s="391" t="str">
        <f ca="1">IFERROR(IF(VLOOKUP(C1483,' Disaggregation - Section E '!A$7:J484,9,0)="","",VLOOKUP(C1483,' Disaggregation - Section E '!A$7:J484,9,0)),"")</f>
        <v/>
      </c>
      <c r="K1483" s="387" t="str">
        <f ca="1">IFERROR(VLOOKUP(C1483,' Disaggregation - Section E '!A$7:J484,3,0),"")</f>
        <v/>
      </c>
      <c r="L1483" s="391" t="str">
        <f ca="1">IFERROR(IF(VLOOKUP(C1483,' Disaggregation - Section E '!A$7:J484,10,0)="","",VLOOKUP(C1483,' Disaggregation - Section E '!A$7:J484,10,0)),"")</f>
        <v/>
      </c>
      <c r="M1483" s="387" t="str">
        <f ca="1">IFERROR(IF(VLOOKUP(C1483,' Disaggregation - Section E '!A$7:O484,15,0)=0,"",VLOOKUP(C1483,' Disaggregation - Section E '!A$7:O484,15,0)),"")</f>
        <v/>
      </c>
      <c r="N1483" s="387"/>
      <c r="O1483" s="387"/>
      <c r="P1483" s="387" t="str">
        <f ca="1">IFERROR(IF(VLOOKUP(C1483,' Disaggregation - Section E '!A$7:R484,18,0)=0,"",VLOOKUP(C1483,' Disaggregation - Section E '!A$7:R484,18,0)),"")</f>
        <v/>
      </c>
    </row>
    <row r="1484" spans="1:16">
      <c r="A1484" s="387" t="b">
        <f t="shared" ca="1" si="163"/>
        <v>0</v>
      </c>
      <c r="B1484" s="387"/>
      <c r="C1484" s="404" t="str">
        <f ca="1">IF(COUNTA(O$1306:O1484)=1,"",OFFSET(B1484,-COUNTA(O$1306:O1484)+1,1))</f>
        <v>a1GDm000000XyQNMA0</v>
      </c>
      <c r="D1484" s="392"/>
      <c r="E1484" s="389" t="str">
        <f ca="1">IFERROR(IF(VLOOKUP(C1484,' Disaggregation - Section E '!A$7:J485,7,0)="","",VLOOKUP(C1484,' Disaggregation - Section E '!A$7:J189,7,0)*100),"")</f>
        <v/>
      </c>
      <c r="F1484" s="391" t="str">
        <f ca="1">IFERROR(IF(VLOOKUP(C1484,' Disaggregation - Section E '!A$7:J485,5,0)=0,"",VLOOKUP(C1484,' Disaggregation - Section E '!A$7:J485,5,0)),"")</f>
        <v/>
      </c>
      <c r="G1484" s="390" t="str">
        <f ca="1">IFERROR(IF(VLOOKUP(C1484,' Disaggregation - Section E '!A$7:J485,6,0)="","",VLOOKUP(C1484,' Disaggregation - Section E '!A$7:J485,6,0)),"")</f>
        <v/>
      </c>
      <c r="H1484" s="390" t="str">
        <f ca="1">IFERROR(IF(INDEX(' Disaggregation - Section E '!F$7:F485,MATCH(C1484,' Disaggregation - Section E '!A$7:A485,0)+1,1)&lt;&gt;0,INDEX(' Disaggregation - Section E '!F$7:F485,MATCH(C1484,' Disaggregation - Section E '!A$7:A485,0)+1,1),""),"")</f>
        <v/>
      </c>
      <c r="I1484" s="391" t="str">
        <f ca="1">IFERROR(IF(VLOOKUP(C1484,' Disaggregation - Section E '!A$7:J485,8,0)=0,"",VLOOKUP(C1484,' Disaggregation - Section E '!A$7:J485,8,0)),"")</f>
        <v/>
      </c>
      <c r="J1484" s="391" t="str">
        <f ca="1">IFERROR(IF(VLOOKUP(C1484,' Disaggregation - Section E '!A$7:J485,9,0)="","",VLOOKUP(C1484,' Disaggregation - Section E '!A$7:J485,9,0)),"")</f>
        <v/>
      </c>
      <c r="K1484" s="387" t="str">
        <f ca="1">IFERROR(VLOOKUP(C1484,' Disaggregation - Section E '!A$7:J485,3,0),"")</f>
        <v/>
      </c>
      <c r="L1484" s="391" t="str">
        <f ca="1">IFERROR(IF(VLOOKUP(C1484,' Disaggregation - Section E '!A$7:J485,10,0)="","",VLOOKUP(C1484,' Disaggregation - Section E '!A$7:J485,10,0)),"")</f>
        <v/>
      </c>
      <c r="M1484" s="387" t="str">
        <f ca="1">IFERROR(IF(VLOOKUP(C1484,' Disaggregation - Section E '!A$7:O485,15,0)=0,"",VLOOKUP(C1484,' Disaggregation - Section E '!A$7:O485,15,0)),"")</f>
        <v/>
      </c>
      <c r="N1484" s="387"/>
      <c r="O1484" s="387"/>
      <c r="P1484" s="387" t="str">
        <f ca="1">IFERROR(IF(VLOOKUP(C1484,' Disaggregation - Section E '!A$7:R485,18,0)=0,"",VLOOKUP(C1484,' Disaggregation - Section E '!A$7:R485,18,0)),"")</f>
        <v/>
      </c>
    </row>
    <row r="1485" spans="1:16">
      <c r="A1485" s="387" t="b">
        <f t="shared" ca="1" si="163"/>
        <v>0</v>
      </c>
      <c r="B1485" s="387"/>
      <c r="C1485" s="404" t="str">
        <f ca="1">IF(COUNTA(O$1306:O1485)=1,"",OFFSET(B1485,-COUNTA(O$1306:O1485)+1,1))</f>
        <v>a1GDm000000XyQOMA0</v>
      </c>
      <c r="D1485" s="392"/>
      <c r="E1485" s="389" t="str">
        <f ca="1">IFERROR(IF(VLOOKUP(C1485,' Disaggregation - Section E '!A$7:J486,7,0)="","",VLOOKUP(C1485,' Disaggregation - Section E '!A$7:J190,7,0)*100),"")</f>
        <v/>
      </c>
      <c r="F1485" s="391" t="str">
        <f ca="1">IFERROR(IF(VLOOKUP(C1485,' Disaggregation - Section E '!A$7:J486,5,0)=0,"",VLOOKUP(C1485,' Disaggregation - Section E '!A$7:J486,5,0)),"")</f>
        <v/>
      </c>
      <c r="G1485" s="390" t="str">
        <f ca="1">IFERROR(IF(VLOOKUP(C1485,' Disaggregation - Section E '!A$7:J486,6,0)="","",VLOOKUP(C1485,' Disaggregation - Section E '!A$7:J486,6,0)),"")</f>
        <v/>
      </c>
      <c r="H1485" s="390" t="str">
        <f ca="1">IFERROR(IF(INDEX(' Disaggregation - Section E '!F$7:F486,MATCH(C1485,' Disaggregation - Section E '!A$7:A486,0)+1,1)&lt;&gt;0,INDEX(' Disaggregation - Section E '!F$7:F486,MATCH(C1485,' Disaggregation - Section E '!A$7:A486,0)+1,1),""),"")</f>
        <v/>
      </c>
      <c r="I1485" s="391" t="str">
        <f ca="1">IFERROR(IF(VLOOKUP(C1485,' Disaggregation - Section E '!A$7:J486,8,0)=0,"",VLOOKUP(C1485,' Disaggregation - Section E '!A$7:J486,8,0)),"")</f>
        <v/>
      </c>
      <c r="J1485" s="391" t="str">
        <f ca="1">IFERROR(IF(VLOOKUP(C1485,' Disaggregation - Section E '!A$7:J486,9,0)="","",VLOOKUP(C1485,' Disaggregation - Section E '!A$7:J486,9,0)),"")</f>
        <v/>
      </c>
      <c r="K1485" s="387" t="str">
        <f ca="1">IFERROR(VLOOKUP(C1485,' Disaggregation - Section E '!A$7:J486,3,0),"")</f>
        <v/>
      </c>
      <c r="L1485" s="391" t="str">
        <f ca="1">IFERROR(IF(VLOOKUP(C1485,' Disaggregation - Section E '!A$7:J486,10,0)="","",VLOOKUP(C1485,' Disaggregation - Section E '!A$7:J486,10,0)),"")</f>
        <v/>
      </c>
      <c r="M1485" s="387" t="str">
        <f ca="1">IFERROR(IF(VLOOKUP(C1485,' Disaggregation - Section E '!A$7:O486,15,0)=0,"",VLOOKUP(C1485,' Disaggregation - Section E '!A$7:O486,15,0)),"")</f>
        <v/>
      </c>
      <c r="N1485" s="387"/>
      <c r="O1485" s="387"/>
      <c r="P1485" s="387" t="str">
        <f ca="1">IFERROR(IF(VLOOKUP(C1485,' Disaggregation - Section E '!A$7:R486,18,0)=0,"",VLOOKUP(C1485,' Disaggregation - Section E '!A$7:R486,18,0)),"")</f>
        <v/>
      </c>
    </row>
    <row r="1486" spans="1:16">
      <c r="A1486" s="387" t="b">
        <f t="shared" ca="1" si="163"/>
        <v>0</v>
      </c>
      <c r="B1486" s="387"/>
      <c r="C1486" s="404" t="str">
        <f ca="1">IF(COUNTA(O$1306:O1486)=1,"",OFFSET(B1486,-COUNTA(O$1306:O1486)+1,1))</f>
        <v>a1GDm000000XyQPMA0</v>
      </c>
      <c r="D1486" s="392"/>
      <c r="E1486" s="389" t="str">
        <f ca="1">IFERROR(IF(VLOOKUP(C1486,' Disaggregation - Section E '!A$7:J487,7,0)="","",VLOOKUP(C1486,' Disaggregation - Section E '!A$7:J191,7,0)*100),"")</f>
        <v/>
      </c>
      <c r="F1486" s="391" t="str">
        <f ca="1">IFERROR(IF(VLOOKUP(C1486,' Disaggregation - Section E '!A$7:J487,5,0)=0,"",VLOOKUP(C1486,' Disaggregation - Section E '!A$7:J487,5,0)),"")</f>
        <v/>
      </c>
      <c r="G1486" s="390" t="str">
        <f ca="1">IFERROR(IF(VLOOKUP(C1486,' Disaggregation - Section E '!A$7:J487,6,0)="","",VLOOKUP(C1486,' Disaggregation - Section E '!A$7:J487,6,0)),"")</f>
        <v/>
      </c>
      <c r="H1486" s="390" t="str">
        <f ca="1">IFERROR(IF(INDEX(' Disaggregation - Section E '!F$7:F487,MATCH(C1486,' Disaggregation - Section E '!A$7:A487,0)+1,1)&lt;&gt;0,INDEX(' Disaggregation - Section E '!F$7:F487,MATCH(C1486,' Disaggregation - Section E '!A$7:A487,0)+1,1),""),"")</f>
        <v/>
      </c>
      <c r="I1486" s="391" t="str">
        <f ca="1">IFERROR(IF(VLOOKUP(C1486,' Disaggregation - Section E '!A$7:J487,8,0)=0,"",VLOOKUP(C1486,' Disaggregation - Section E '!A$7:J487,8,0)),"")</f>
        <v/>
      </c>
      <c r="J1486" s="391" t="str">
        <f ca="1">IFERROR(IF(VLOOKUP(C1486,' Disaggregation - Section E '!A$7:J487,9,0)="","",VLOOKUP(C1486,' Disaggregation - Section E '!A$7:J487,9,0)),"")</f>
        <v/>
      </c>
      <c r="K1486" s="387" t="str">
        <f ca="1">IFERROR(VLOOKUP(C1486,' Disaggregation - Section E '!A$7:J487,3,0),"")</f>
        <v/>
      </c>
      <c r="L1486" s="391" t="str">
        <f ca="1">IFERROR(IF(VLOOKUP(C1486,' Disaggregation - Section E '!A$7:J487,10,0)="","",VLOOKUP(C1486,' Disaggregation - Section E '!A$7:J487,10,0)),"")</f>
        <v/>
      </c>
      <c r="M1486" s="387" t="str">
        <f ca="1">IFERROR(IF(VLOOKUP(C1486,' Disaggregation - Section E '!A$7:O487,15,0)=0,"",VLOOKUP(C1486,' Disaggregation - Section E '!A$7:O487,15,0)),"")</f>
        <v/>
      </c>
      <c r="N1486" s="387"/>
      <c r="O1486" s="387"/>
      <c r="P1486" s="387" t="str">
        <f ca="1">IFERROR(IF(VLOOKUP(C1486,' Disaggregation - Section E '!A$7:R487,18,0)=0,"",VLOOKUP(C1486,' Disaggregation - Section E '!A$7:R487,18,0)),"")</f>
        <v/>
      </c>
    </row>
    <row r="1487" spans="1:16">
      <c r="A1487" s="387" t="b">
        <f t="shared" ca="1" si="163"/>
        <v>0</v>
      </c>
      <c r="B1487" s="387"/>
      <c r="C1487" s="404" t="str">
        <f ca="1">IF(COUNTA(O$1306:O1487)=1,"",OFFSET(B1487,-COUNTA(O$1306:O1487)+1,1))</f>
        <v>a1GDm000000XyQQMA0</v>
      </c>
      <c r="D1487" s="392"/>
      <c r="E1487" s="389" t="str">
        <f ca="1">IFERROR(IF(VLOOKUP(C1487,' Disaggregation - Section E '!A$7:J488,7,0)="","",VLOOKUP(C1487,' Disaggregation - Section E '!A$7:J192,7,0)*100),"")</f>
        <v/>
      </c>
      <c r="F1487" s="391" t="str">
        <f ca="1">IFERROR(IF(VLOOKUP(C1487,' Disaggregation - Section E '!A$7:J488,5,0)=0,"",VLOOKUP(C1487,' Disaggregation - Section E '!A$7:J488,5,0)),"")</f>
        <v/>
      </c>
      <c r="G1487" s="390" t="str">
        <f ca="1">IFERROR(IF(VLOOKUP(C1487,' Disaggregation - Section E '!A$7:J488,6,0)="","",VLOOKUP(C1487,' Disaggregation - Section E '!A$7:J488,6,0)),"")</f>
        <v/>
      </c>
      <c r="H1487" s="390" t="str">
        <f ca="1">IFERROR(IF(INDEX(' Disaggregation - Section E '!F$7:F488,MATCH(C1487,' Disaggregation - Section E '!A$7:A488,0)+1,1)&lt;&gt;0,INDEX(' Disaggregation - Section E '!F$7:F488,MATCH(C1487,' Disaggregation - Section E '!A$7:A488,0)+1,1),""),"")</f>
        <v/>
      </c>
      <c r="I1487" s="391" t="str">
        <f ca="1">IFERROR(IF(VLOOKUP(C1487,' Disaggregation - Section E '!A$7:J488,8,0)=0,"",VLOOKUP(C1487,' Disaggregation - Section E '!A$7:J488,8,0)),"")</f>
        <v/>
      </c>
      <c r="J1487" s="391" t="str">
        <f ca="1">IFERROR(IF(VLOOKUP(C1487,' Disaggregation - Section E '!A$7:J488,9,0)="","",VLOOKUP(C1487,' Disaggregation - Section E '!A$7:J488,9,0)),"")</f>
        <v/>
      </c>
      <c r="K1487" s="387" t="str">
        <f ca="1">IFERROR(VLOOKUP(C1487,' Disaggregation - Section E '!A$7:J488,3,0),"")</f>
        <v/>
      </c>
      <c r="L1487" s="391" t="str">
        <f ca="1">IFERROR(IF(VLOOKUP(C1487,' Disaggregation - Section E '!A$7:J488,10,0)="","",VLOOKUP(C1487,' Disaggregation - Section E '!A$7:J488,10,0)),"")</f>
        <v/>
      </c>
      <c r="M1487" s="387" t="str">
        <f ca="1">IFERROR(IF(VLOOKUP(C1487,' Disaggregation - Section E '!A$7:O488,15,0)=0,"",VLOOKUP(C1487,' Disaggregation - Section E '!A$7:O488,15,0)),"")</f>
        <v/>
      </c>
      <c r="N1487" s="387"/>
      <c r="O1487" s="387"/>
      <c r="P1487" s="387" t="str">
        <f ca="1">IFERROR(IF(VLOOKUP(C1487,' Disaggregation - Section E '!A$7:R488,18,0)=0,"",VLOOKUP(C1487,' Disaggregation - Section E '!A$7:R488,18,0)),"")</f>
        <v/>
      </c>
    </row>
    <row r="1488" spans="1:16">
      <c r="A1488" s="387" t="b">
        <f t="shared" ca="1" si="163"/>
        <v>1</v>
      </c>
      <c r="B1488" s="387"/>
      <c r="C1488" s="404" t="str">
        <f ca="1">IF(COUNTA(O$1306:O1488)=1,"",OFFSET(B1488,-COUNTA(O$1306:O1488)+1,1))</f>
        <v>a1GDm000000XyQRMA0</v>
      </c>
      <c r="D1488" s="392"/>
      <c r="E1488" s="389" t="str">
        <f ca="1">IFERROR(IF(VLOOKUP(C1488,' Disaggregation - Section E '!A$7:J489,7,0)="","",VLOOKUP(C1488,' Disaggregation - Section E '!A$7:J193,7,0)*100),"")</f>
        <v/>
      </c>
      <c r="F1488" s="391" t="str">
        <f ca="1">IFERROR(IF(VLOOKUP(C1488,' Disaggregation - Section E '!A$7:J489,5,0)=0,"",VLOOKUP(C1488,' Disaggregation - Section E '!A$7:J489,5,0)),"")</f>
        <v>25+</v>
      </c>
      <c r="G1488" s="390" t="str">
        <f ca="1">IFERROR(IF(VLOOKUP(C1488,' Disaggregation - Section E '!A$7:J489,6,0)="","",VLOOKUP(C1488,' Disaggregation - Section E '!A$7:J489,6,0)),"")</f>
        <v/>
      </c>
      <c r="H1488" s="390" t="str">
        <f ca="1">IFERROR(IF(INDEX(' Disaggregation - Section E '!F$7:F489,MATCH(C1488,' Disaggregation - Section E '!A$7:A489,0)+1,1)&lt;&gt;0,INDEX(' Disaggregation - Section E '!F$7:F489,MATCH(C1488,' Disaggregation - Section E '!A$7:A489,0)+1,1),""),"")</f>
        <v/>
      </c>
      <c r="I1488" s="391" t="str">
        <f ca="1">IFERROR(IF(VLOOKUP(C1488,' Disaggregation - Section E '!A$7:J489,8,0)=0,"",VLOOKUP(C1488,' Disaggregation - Section E '!A$7:J489,8,0)),"")</f>
        <v/>
      </c>
      <c r="J1488" s="391" t="str">
        <f ca="1">IFERROR(IF(VLOOKUP(C1488,' Disaggregation - Section E '!A$7:J489,9,0)="","",VLOOKUP(C1488,' Disaggregation - Section E '!A$7:J489,9,0)),"")</f>
        <v/>
      </c>
      <c r="K1488" s="387" t="str">
        <f ca="1">IFERROR(VLOOKUP(C1488,' Disaggregation - Section E '!A$7:J489,3,0),"")</f>
        <v>HIV I-9a Percentage of men who have sex with men who are living with HIV</v>
      </c>
      <c r="L1488" s="391" t="str">
        <f ca="1">IFERROR(IF(VLOOKUP(C1488,' Disaggregation - Section E '!A$7:J489,10,0)="","",VLOOKUP(C1488,' Disaggregation - Section E '!A$7:J489,10,0)),"")</f>
        <v>Baseline data is not available. The IBBS survey planned for 2025 will incorporate this disaggregation +25</v>
      </c>
      <c r="M1488" s="387" t="str">
        <f ca="1">IFERROR(IF(VLOOKUP(C1488,' Disaggregation - Section E '!A$7:O489,15,0)=0,"",VLOOKUP(C1488,' Disaggregation - Section E '!A$7:O489,15,0)),"")</f>
        <v>IDR-01048</v>
      </c>
      <c r="N1488" s="387"/>
      <c r="O1488" s="387"/>
      <c r="P1488" s="387" t="str">
        <f ca="1">IFERROR(IF(VLOOKUP(C1488,' Disaggregation - Section E '!A$7:R489,18,0)=0,"",VLOOKUP(C1488,' Disaggregation - Section E '!A$7:R489,18,0)),"")</f>
        <v>a1LDm000000CazeMAC</v>
      </c>
    </row>
    <row r="1489" spans="1:16">
      <c r="A1489" s="387" t="b">
        <f t="shared" ca="1" si="163"/>
        <v>1</v>
      </c>
      <c r="B1489" s="387"/>
      <c r="C1489" s="404" t="str">
        <f ca="1">IF(COUNTA(O$1306:O1489)=1,"",OFFSET(B1489,-COUNTA(O$1306:O1489)+1,1))</f>
        <v>a1GDm000000XyQSMA0</v>
      </c>
      <c r="D1489" s="392"/>
      <c r="E1489" s="389" t="str">
        <f ca="1">IFERROR(IF(VLOOKUP(C1489,' Disaggregation - Section E '!A$7:J490,7,0)="","",VLOOKUP(C1489,' Disaggregation - Section E '!A$7:J194,7,0)*100),"")</f>
        <v/>
      </c>
      <c r="F1489" s="391" t="str">
        <f ca="1">IFERROR(IF(VLOOKUP(C1489,' Disaggregation - Section E '!A$7:J490,5,0)=0,"",VLOOKUP(C1489,' Disaggregation - Section E '!A$7:J490,5,0)),"")</f>
        <v>&lt;25</v>
      </c>
      <c r="G1489" s="390" t="str">
        <f ca="1">IFERROR(IF(VLOOKUP(C1489,' Disaggregation - Section E '!A$7:J490,6,0)="","",VLOOKUP(C1489,' Disaggregation - Section E '!A$7:J490,6,0)),"")</f>
        <v/>
      </c>
      <c r="H1489" s="390" t="str">
        <f ca="1">IFERROR(IF(INDEX(' Disaggregation - Section E '!F$7:F490,MATCH(C1489,' Disaggregation - Section E '!A$7:A490,0)+1,1)&lt;&gt;0,INDEX(' Disaggregation - Section E '!F$7:F490,MATCH(C1489,' Disaggregation - Section E '!A$7:A490,0)+1,1),""),"")</f>
        <v/>
      </c>
      <c r="I1489" s="391" t="str">
        <f ca="1">IFERROR(IF(VLOOKUP(C1489,' Disaggregation - Section E '!A$7:J490,8,0)=0,"",VLOOKUP(C1489,' Disaggregation - Section E '!A$7:J490,8,0)),"")</f>
        <v/>
      </c>
      <c r="J1489" s="391" t="str">
        <f ca="1">IFERROR(IF(VLOOKUP(C1489,' Disaggregation - Section E '!A$7:J490,9,0)="","",VLOOKUP(C1489,' Disaggregation - Section E '!A$7:J490,9,0)),"")</f>
        <v/>
      </c>
      <c r="K1489" s="387" t="str">
        <f ca="1">IFERROR(VLOOKUP(C1489,' Disaggregation - Section E '!A$7:J490,3,0),"")</f>
        <v>HIV I-9a Percentage of men who have sex with men who are living with HIV</v>
      </c>
      <c r="L1489" s="391" t="str">
        <f ca="1">IFERROR(IF(VLOOKUP(C1489,' Disaggregation - Section E '!A$7:J490,10,0)="","",VLOOKUP(C1489,' Disaggregation - Section E '!A$7:J490,10,0)),"")</f>
        <v>Baseline data is not available. The IBBS survey planned for 2025 will incorporate this disaggregation +25</v>
      </c>
      <c r="M1489" s="387" t="str">
        <f ca="1">IFERROR(IF(VLOOKUP(C1489,' Disaggregation - Section E '!A$7:O490,15,0)=0,"",VLOOKUP(C1489,' Disaggregation - Section E '!A$7:O490,15,0)),"")</f>
        <v>IDR-01047</v>
      </c>
      <c r="N1489" s="387"/>
      <c r="O1489" s="387"/>
      <c r="P1489" s="387" t="str">
        <f ca="1">IFERROR(IF(VLOOKUP(C1489,' Disaggregation - Section E '!A$7:R490,18,0)=0,"",VLOOKUP(C1489,' Disaggregation - Section E '!A$7:R490,18,0)),"")</f>
        <v>a1LDm000000CazdMAC</v>
      </c>
    </row>
    <row r="1490" spans="1:16">
      <c r="A1490" s="387" t="b">
        <f t="shared" ca="1" si="163"/>
        <v>0</v>
      </c>
      <c r="B1490" s="387"/>
      <c r="C1490" s="404" t="str">
        <f ca="1">IF(COUNTA(O$1306:O1490)=1,"",OFFSET(B1490,-COUNTA(O$1306:O1490)+1,1))</f>
        <v>a1GDm000000XyQTMA0</v>
      </c>
      <c r="D1490" s="392"/>
      <c r="E1490" s="389" t="str">
        <f ca="1">IFERROR(IF(VLOOKUP(C1490,' Disaggregation - Section E '!A$7:J491,7,0)="","",VLOOKUP(C1490,' Disaggregation - Section E '!A$7:J195,7,0)*100),"")</f>
        <v/>
      </c>
      <c r="F1490" s="391" t="str">
        <f ca="1">IFERROR(IF(VLOOKUP(C1490,' Disaggregation - Section E '!A$7:J491,5,0)=0,"",VLOOKUP(C1490,' Disaggregation - Section E '!A$7:J491,5,0)),"")</f>
        <v/>
      </c>
      <c r="G1490" s="390" t="str">
        <f ca="1">IFERROR(IF(VLOOKUP(C1490,' Disaggregation - Section E '!A$7:J491,6,0)="","",VLOOKUP(C1490,' Disaggregation - Section E '!A$7:J491,6,0)),"")</f>
        <v/>
      </c>
      <c r="H1490" s="390" t="str">
        <f ca="1">IFERROR(IF(INDEX(' Disaggregation - Section E '!F$7:F491,MATCH(C1490,' Disaggregation - Section E '!A$7:A491,0)+1,1)&lt;&gt;0,INDEX(' Disaggregation - Section E '!F$7:F491,MATCH(C1490,' Disaggregation - Section E '!A$7:A491,0)+1,1),""),"")</f>
        <v/>
      </c>
      <c r="I1490" s="391" t="str">
        <f ca="1">IFERROR(IF(VLOOKUP(C1490,' Disaggregation - Section E '!A$7:J491,8,0)=0,"",VLOOKUP(C1490,' Disaggregation - Section E '!A$7:J491,8,0)),"")</f>
        <v/>
      </c>
      <c r="J1490" s="391" t="str">
        <f ca="1">IFERROR(IF(VLOOKUP(C1490,' Disaggregation - Section E '!A$7:J491,9,0)="","",VLOOKUP(C1490,' Disaggregation - Section E '!A$7:J491,9,0)),"")</f>
        <v/>
      </c>
      <c r="K1490" s="387" t="str">
        <f ca="1">IFERROR(VLOOKUP(C1490,' Disaggregation - Section E '!A$7:J491,3,0),"")</f>
        <v>HIV I-9a Percentage of men who have sex with men who are living with HIV</v>
      </c>
      <c r="L1490" s="391" t="str">
        <f ca="1">IFERROR(IF(VLOOKUP(C1490,' Disaggregation - Section E '!A$7:J491,10,0)="","",VLOOKUP(C1490,' Disaggregation - Section E '!A$7:J491,10,0)),"")</f>
        <v/>
      </c>
      <c r="M1490" s="387" t="str">
        <f ca="1">IFERROR(IF(VLOOKUP(C1490,' Disaggregation - Section E '!A$7:O491,15,0)=0,"",VLOOKUP(C1490,' Disaggregation - Section E '!A$7:O491,15,0)),"")</f>
        <v/>
      </c>
      <c r="N1490" s="387"/>
      <c r="O1490" s="387"/>
      <c r="P1490" s="387" t="str">
        <f ca="1">IFERROR(IF(VLOOKUP(C1490,' Disaggregation - Section E '!A$7:R491,18,0)=0,"",VLOOKUP(C1490,' Disaggregation - Section E '!A$7:R491,18,0)),"")</f>
        <v/>
      </c>
    </row>
    <row r="1491" spans="1:16">
      <c r="A1491" s="387" t="b">
        <f t="shared" ca="1" si="163"/>
        <v>0</v>
      </c>
      <c r="B1491" s="387"/>
      <c r="C1491" s="404" t="str">
        <f ca="1">IF(COUNTA(O$1306:O1491)=1,"",OFFSET(B1491,-COUNTA(O$1306:O1491)+1,1))</f>
        <v>a1GDm000000XyQUMA0</v>
      </c>
      <c r="D1491" s="392"/>
      <c r="E1491" s="389" t="str">
        <f ca="1">IFERROR(IF(VLOOKUP(C1491,' Disaggregation - Section E '!A$7:J492,7,0)="","",VLOOKUP(C1491,' Disaggregation - Section E '!A$7:J196,7,0)*100),"")</f>
        <v/>
      </c>
      <c r="F1491" s="391" t="str">
        <f ca="1">IFERROR(IF(VLOOKUP(C1491,' Disaggregation - Section E '!A$7:J492,5,0)=0,"",VLOOKUP(C1491,' Disaggregation - Section E '!A$7:J492,5,0)),"")</f>
        <v/>
      </c>
      <c r="G1491" s="390" t="str">
        <f ca="1">IFERROR(IF(VLOOKUP(C1491,' Disaggregation - Section E '!A$7:J492,6,0)="","",VLOOKUP(C1491,' Disaggregation - Section E '!A$7:J492,6,0)),"")</f>
        <v/>
      </c>
      <c r="H1491" s="390" t="str">
        <f ca="1">IFERROR(IF(INDEX(' Disaggregation - Section E '!F$7:F492,MATCH(C1491,' Disaggregation - Section E '!A$7:A492,0)+1,1)&lt;&gt;0,INDEX(' Disaggregation - Section E '!F$7:F492,MATCH(C1491,' Disaggregation - Section E '!A$7:A492,0)+1,1),""),"")</f>
        <v/>
      </c>
      <c r="I1491" s="391" t="str">
        <f ca="1">IFERROR(IF(VLOOKUP(C1491,' Disaggregation - Section E '!A$7:J492,8,0)=0,"",VLOOKUP(C1491,' Disaggregation - Section E '!A$7:J492,8,0)),"")</f>
        <v/>
      </c>
      <c r="J1491" s="391" t="str">
        <f ca="1">IFERROR(IF(VLOOKUP(C1491,' Disaggregation - Section E '!A$7:J492,9,0)="","",VLOOKUP(C1491,' Disaggregation - Section E '!A$7:J492,9,0)),"")</f>
        <v/>
      </c>
      <c r="K1491" s="387" t="str">
        <f ca="1">IFERROR(VLOOKUP(C1491,' Disaggregation - Section E '!A$7:J492,3,0),"")</f>
        <v>HIV I-9a Percentage of men who have sex with men who are living with HIV</v>
      </c>
      <c r="L1491" s="391" t="str">
        <f ca="1">IFERROR(IF(VLOOKUP(C1491,' Disaggregation - Section E '!A$7:J492,10,0)="","",VLOOKUP(C1491,' Disaggregation - Section E '!A$7:J492,10,0)),"")</f>
        <v/>
      </c>
      <c r="M1491" s="387" t="str">
        <f ca="1">IFERROR(IF(VLOOKUP(C1491,' Disaggregation - Section E '!A$7:O492,15,0)=0,"",VLOOKUP(C1491,' Disaggregation - Section E '!A$7:O492,15,0)),"")</f>
        <v/>
      </c>
      <c r="N1491" s="387"/>
      <c r="O1491" s="387"/>
      <c r="P1491" s="387" t="str">
        <f ca="1">IFERROR(IF(VLOOKUP(C1491,' Disaggregation - Section E '!A$7:R492,18,0)=0,"",VLOOKUP(C1491,' Disaggregation - Section E '!A$7:R492,18,0)),"")</f>
        <v/>
      </c>
    </row>
    <row r="1492" spans="1:16">
      <c r="A1492" s="387" t="b">
        <f t="shared" ca="1" si="163"/>
        <v>0</v>
      </c>
      <c r="B1492" s="387"/>
      <c r="C1492" s="404" t="str">
        <f ca="1">IF(COUNTA(O$1306:O1492)=1,"",OFFSET(B1492,-COUNTA(O$1306:O1492)+1,1))</f>
        <v>a1GDm000000XyQVMA0</v>
      </c>
      <c r="D1492" s="392"/>
      <c r="E1492" s="389" t="str">
        <f ca="1">IFERROR(IF(VLOOKUP(C1492,' Disaggregation - Section E '!A$7:J493,7,0)="","",VLOOKUP(C1492,' Disaggregation - Section E '!A$7:J197,7,0)*100),"")</f>
        <v/>
      </c>
      <c r="F1492" s="391" t="str">
        <f ca="1">IFERROR(IF(VLOOKUP(C1492,' Disaggregation - Section E '!A$7:J493,5,0)=0,"",VLOOKUP(C1492,' Disaggregation - Section E '!A$7:J493,5,0)),"")</f>
        <v/>
      </c>
      <c r="G1492" s="390" t="str">
        <f ca="1">IFERROR(IF(VLOOKUP(C1492,' Disaggregation - Section E '!A$7:J493,6,0)="","",VLOOKUP(C1492,' Disaggregation - Section E '!A$7:J493,6,0)),"")</f>
        <v/>
      </c>
      <c r="H1492" s="390" t="str">
        <f ca="1">IFERROR(IF(INDEX(' Disaggregation - Section E '!F$7:F493,MATCH(C1492,' Disaggregation - Section E '!A$7:A493,0)+1,1)&lt;&gt;0,INDEX(' Disaggregation - Section E '!F$7:F493,MATCH(C1492,' Disaggregation - Section E '!A$7:A493,0)+1,1),""),"")</f>
        <v/>
      </c>
      <c r="I1492" s="391" t="str">
        <f ca="1">IFERROR(IF(VLOOKUP(C1492,' Disaggregation - Section E '!A$7:J493,8,0)=0,"",VLOOKUP(C1492,' Disaggregation - Section E '!A$7:J493,8,0)),"")</f>
        <v/>
      </c>
      <c r="J1492" s="391" t="str">
        <f ca="1">IFERROR(IF(VLOOKUP(C1492,' Disaggregation - Section E '!A$7:J493,9,0)="","",VLOOKUP(C1492,' Disaggregation - Section E '!A$7:J493,9,0)),"")</f>
        <v/>
      </c>
      <c r="K1492" s="387" t="str">
        <f ca="1">IFERROR(VLOOKUP(C1492,' Disaggregation - Section E '!A$7:J493,3,0),"")</f>
        <v>HIV I-9a Percentage of men who have sex with men who are living with HIV</v>
      </c>
      <c r="L1492" s="391" t="str">
        <f ca="1">IFERROR(IF(VLOOKUP(C1492,' Disaggregation - Section E '!A$7:J493,10,0)="","",VLOOKUP(C1492,' Disaggregation - Section E '!A$7:J493,10,0)),"")</f>
        <v/>
      </c>
      <c r="M1492" s="387" t="str">
        <f ca="1">IFERROR(IF(VLOOKUP(C1492,' Disaggregation - Section E '!A$7:O493,15,0)=0,"",VLOOKUP(C1492,' Disaggregation - Section E '!A$7:O493,15,0)),"")</f>
        <v/>
      </c>
      <c r="N1492" s="387"/>
      <c r="O1492" s="387"/>
      <c r="P1492" s="387" t="str">
        <f ca="1">IFERROR(IF(VLOOKUP(C1492,' Disaggregation - Section E '!A$7:R493,18,0)=0,"",VLOOKUP(C1492,' Disaggregation - Section E '!A$7:R493,18,0)),"")</f>
        <v/>
      </c>
    </row>
    <row r="1493" spans="1:16">
      <c r="A1493" s="387" t="b">
        <f t="shared" ca="1" si="163"/>
        <v>0</v>
      </c>
      <c r="B1493" s="387"/>
      <c r="C1493" s="404" t="str">
        <f ca="1">IF(COUNTA(O$1306:O1493)=1,"",OFFSET(B1493,-COUNTA(O$1306:O1493)+1,1))</f>
        <v>a1GDm000000XyQWMA0</v>
      </c>
      <c r="D1493" s="392"/>
      <c r="E1493" s="389" t="str">
        <f ca="1">IFERROR(IF(VLOOKUP(C1493,' Disaggregation - Section E '!A$7:J494,7,0)="","",VLOOKUP(C1493,' Disaggregation - Section E '!A$7:J198,7,0)*100),"")</f>
        <v/>
      </c>
      <c r="F1493" s="391" t="str">
        <f ca="1">IFERROR(IF(VLOOKUP(C1493,' Disaggregation - Section E '!A$7:J494,5,0)=0,"",VLOOKUP(C1493,' Disaggregation - Section E '!A$7:J494,5,0)),"")</f>
        <v/>
      </c>
      <c r="G1493" s="390" t="str">
        <f ca="1">IFERROR(IF(VLOOKUP(C1493,' Disaggregation - Section E '!A$7:J494,6,0)="","",VLOOKUP(C1493,' Disaggregation - Section E '!A$7:J494,6,0)),"")</f>
        <v/>
      </c>
      <c r="H1493" s="390" t="str">
        <f ca="1">IFERROR(IF(INDEX(' Disaggregation - Section E '!F$7:F494,MATCH(C1493,' Disaggregation - Section E '!A$7:A494,0)+1,1)&lt;&gt;0,INDEX(' Disaggregation - Section E '!F$7:F494,MATCH(C1493,' Disaggregation - Section E '!A$7:A494,0)+1,1),""),"")</f>
        <v/>
      </c>
      <c r="I1493" s="391" t="str">
        <f ca="1">IFERROR(IF(VLOOKUP(C1493,' Disaggregation - Section E '!A$7:J494,8,0)=0,"",VLOOKUP(C1493,' Disaggregation - Section E '!A$7:J494,8,0)),"")</f>
        <v/>
      </c>
      <c r="J1493" s="391" t="str">
        <f ca="1">IFERROR(IF(VLOOKUP(C1493,' Disaggregation - Section E '!A$7:J494,9,0)="","",VLOOKUP(C1493,' Disaggregation - Section E '!A$7:J494,9,0)),"")</f>
        <v/>
      </c>
      <c r="K1493" s="387" t="str">
        <f ca="1">IFERROR(VLOOKUP(C1493,' Disaggregation - Section E '!A$7:J494,3,0),"")</f>
        <v>HIV I-9a Percentage of men who have sex with men who are living with HIV</v>
      </c>
      <c r="L1493" s="391" t="str">
        <f ca="1">IFERROR(IF(VLOOKUP(C1493,' Disaggregation - Section E '!A$7:J494,10,0)="","",VLOOKUP(C1493,' Disaggregation - Section E '!A$7:J494,10,0)),"")</f>
        <v/>
      </c>
      <c r="M1493" s="387" t="str">
        <f ca="1">IFERROR(IF(VLOOKUP(C1493,' Disaggregation - Section E '!A$7:O494,15,0)=0,"",VLOOKUP(C1493,' Disaggregation - Section E '!A$7:O494,15,0)),"")</f>
        <v/>
      </c>
      <c r="N1493" s="387"/>
      <c r="O1493" s="387"/>
      <c r="P1493" s="387" t="str">
        <f ca="1">IFERROR(IF(VLOOKUP(C1493,' Disaggregation - Section E '!A$7:R494,18,0)=0,"",VLOOKUP(C1493,' Disaggregation - Section E '!A$7:R494,18,0)),"")</f>
        <v/>
      </c>
    </row>
    <row r="1494" spans="1:16">
      <c r="A1494" s="387" t="b">
        <f t="shared" ca="1" si="163"/>
        <v>0</v>
      </c>
      <c r="B1494" s="387"/>
      <c r="C1494" s="404" t="str">
        <f ca="1">IF(COUNTA(O$1306:O1494)=1,"",OFFSET(B1494,-COUNTA(O$1306:O1494)+1,1))</f>
        <v>a1GDm000000XyQXMA0</v>
      </c>
      <c r="D1494" s="392"/>
      <c r="E1494" s="389" t="str">
        <f ca="1">IFERROR(IF(VLOOKUP(C1494,' Disaggregation - Section E '!A$7:J495,7,0)="","",VLOOKUP(C1494,' Disaggregation - Section E '!A$7:J199,7,0)*100),"")</f>
        <v/>
      </c>
      <c r="F1494" s="391" t="str">
        <f ca="1">IFERROR(IF(VLOOKUP(C1494,' Disaggregation - Section E '!A$7:J495,5,0)=0,"",VLOOKUP(C1494,' Disaggregation - Section E '!A$7:J495,5,0)),"")</f>
        <v/>
      </c>
      <c r="G1494" s="390" t="str">
        <f ca="1">IFERROR(IF(VLOOKUP(C1494,' Disaggregation - Section E '!A$7:J495,6,0)="","",VLOOKUP(C1494,' Disaggregation - Section E '!A$7:J495,6,0)),"")</f>
        <v/>
      </c>
      <c r="H1494" s="390" t="str">
        <f ca="1">IFERROR(IF(INDEX(' Disaggregation - Section E '!F$7:F495,MATCH(C1494,' Disaggregation - Section E '!A$7:A495,0)+1,1)&lt;&gt;0,INDEX(' Disaggregation - Section E '!F$7:F495,MATCH(C1494,' Disaggregation - Section E '!A$7:A495,0)+1,1),""),"")</f>
        <v/>
      </c>
      <c r="I1494" s="391" t="str">
        <f ca="1">IFERROR(IF(VLOOKUP(C1494,' Disaggregation - Section E '!A$7:J495,8,0)=0,"",VLOOKUP(C1494,' Disaggregation - Section E '!A$7:J495,8,0)),"")</f>
        <v/>
      </c>
      <c r="J1494" s="391" t="str">
        <f ca="1">IFERROR(IF(VLOOKUP(C1494,' Disaggregation - Section E '!A$7:J495,9,0)="","",VLOOKUP(C1494,' Disaggregation - Section E '!A$7:J495,9,0)),"")</f>
        <v/>
      </c>
      <c r="K1494" s="387" t="str">
        <f ca="1">IFERROR(VLOOKUP(C1494,' Disaggregation - Section E '!A$7:J495,3,0),"")</f>
        <v>HIV I-9a Percentage of men who have sex with men who are living with HIV</v>
      </c>
      <c r="L1494" s="391" t="str">
        <f ca="1">IFERROR(IF(VLOOKUP(C1494,' Disaggregation - Section E '!A$7:J495,10,0)="","",VLOOKUP(C1494,' Disaggregation - Section E '!A$7:J495,10,0)),"")</f>
        <v/>
      </c>
      <c r="M1494" s="387" t="str">
        <f ca="1">IFERROR(IF(VLOOKUP(C1494,' Disaggregation - Section E '!A$7:O495,15,0)=0,"",VLOOKUP(C1494,' Disaggregation - Section E '!A$7:O495,15,0)),"")</f>
        <v/>
      </c>
      <c r="N1494" s="387"/>
      <c r="O1494" s="387"/>
      <c r="P1494" s="387" t="str">
        <f ca="1">IFERROR(IF(VLOOKUP(C1494,' Disaggregation - Section E '!A$7:R495,18,0)=0,"",VLOOKUP(C1494,' Disaggregation - Section E '!A$7:R495,18,0)),"")</f>
        <v/>
      </c>
    </row>
    <row r="1495" spans="1:16">
      <c r="A1495" s="387" t="b">
        <f t="shared" ca="1" si="163"/>
        <v>0</v>
      </c>
      <c r="B1495" s="387"/>
      <c r="C1495" s="404" t="str">
        <f ca="1">IF(COUNTA(O$1306:O1495)=1,"",OFFSET(B1495,-COUNTA(O$1306:O1495)+1,1))</f>
        <v>a1GDm000000XyQYMA0</v>
      </c>
      <c r="D1495" s="392"/>
      <c r="E1495" s="389" t="str">
        <f ca="1">IFERROR(IF(VLOOKUP(C1495,' Disaggregation - Section E '!A$7:J496,7,0)="","",VLOOKUP(C1495,' Disaggregation - Section E '!A$7:J200,7,0)*100),"")</f>
        <v/>
      </c>
      <c r="F1495" s="391" t="str">
        <f ca="1">IFERROR(IF(VLOOKUP(C1495,' Disaggregation - Section E '!A$7:J496,5,0)=0,"",VLOOKUP(C1495,' Disaggregation - Section E '!A$7:J496,5,0)),"")</f>
        <v/>
      </c>
      <c r="G1495" s="390" t="str">
        <f ca="1">IFERROR(IF(VLOOKUP(C1495,' Disaggregation - Section E '!A$7:J496,6,0)="","",VLOOKUP(C1495,' Disaggregation - Section E '!A$7:J496,6,0)),"")</f>
        <v/>
      </c>
      <c r="H1495" s="390" t="str">
        <f ca="1">IFERROR(IF(INDEX(' Disaggregation - Section E '!F$7:F496,MATCH(C1495,' Disaggregation - Section E '!A$7:A496,0)+1,1)&lt;&gt;0,INDEX(' Disaggregation - Section E '!F$7:F496,MATCH(C1495,' Disaggregation - Section E '!A$7:A496,0)+1,1),""),"")</f>
        <v/>
      </c>
      <c r="I1495" s="391" t="str">
        <f ca="1">IFERROR(IF(VLOOKUP(C1495,' Disaggregation - Section E '!A$7:J496,8,0)=0,"",VLOOKUP(C1495,' Disaggregation - Section E '!A$7:J496,8,0)),"")</f>
        <v/>
      </c>
      <c r="J1495" s="391" t="str">
        <f ca="1">IFERROR(IF(VLOOKUP(C1495,' Disaggregation - Section E '!A$7:J496,9,0)="","",VLOOKUP(C1495,' Disaggregation - Section E '!A$7:J496,9,0)),"")</f>
        <v/>
      </c>
      <c r="K1495" s="387" t="str">
        <f ca="1">IFERROR(VLOOKUP(C1495,' Disaggregation - Section E '!A$7:J496,3,0),"")</f>
        <v>HIV I-9a Percentage of men who have sex with men who are living with HIV</v>
      </c>
      <c r="L1495" s="391" t="str">
        <f ca="1">IFERROR(IF(VLOOKUP(C1495,' Disaggregation - Section E '!A$7:J496,10,0)="","",VLOOKUP(C1495,' Disaggregation - Section E '!A$7:J496,10,0)),"")</f>
        <v/>
      </c>
      <c r="M1495" s="387" t="str">
        <f ca="1">IFERROR(IF(VLOOKUP(C1495,' Disaggregation - Section E '!A$7:O496,15,0)=0,"",VLOOKUP(C1495,' Disaggregation - Section E '!A$7:O496,15,0)),"")</f>
        <v/>
      </c>
      <c r="N1495" s="387"/>
      <c r="O1495" s="387"/>
      <c r="P1495" s="387" t="str">
        <f ca="1">IFERROR(IF(VLOOKUP(C1495,' Disaggregation - Section E '!A$7:R496,18,0)=0,"",VLOOKUP(C1495,' Disaggregation - Section E '!A$7:R496,18,0)),"")</f>
        <v/>
      </c>
    </row>
    <row r="1496" spans="1:16">
      <c r="A1496" s="387" t="b">
        <f t="shared" ca="1" si="163"/>
        <v>0</v>
      </c>
      <c r="B1496" s="387"/>
      <c r="C1496" s="404" t="str">
        <f ca="1">IF(COUNTA(O$1306:O1496)=1,"",OFFSET(B1496,-COUNTA(O$1306:O1496)+1,1))</f>
        <v>a1GDm000000XyQZMA0</v>
      </c>
      <c r="D1496" s="392"/>
      <c r="E1496" s="389" t="str">
        <f ca="1">IFERROR(IF(VLOOKUP(C1496,' Disaggregation - Section E '!A$7:J497,7,0)="","",VLOOKUP(C1496,' Disaggregation - Section E '!A$7:J201,7,0)*100),"")</f>
        <v/>
      </c>
      <c r="F1496" s="391" t="str">
        <f ca="1">IFERROR(IF(VLOOKUP(C1496,' Disaggregation - Section E '!A$7:J497,5,0)=0,"",VLOOKUP(C1496,' Disaggregation - Section E '!A$7:J497,5,0)),"")</f>
        <v/>
      </c>
      <c r="G1496" s="390" t="str">
        <f ca="1">IFERROR(IF(VLOOKUP(C1496,' Disaggregation - Section E '!A$7:J497,6,0)="","",VLOOKUP(C1496,' Disaggregation - Section E '!A$7:J497,6,0)),"")</f>
        <v/>
      </c>
      <c r="H1496" s="390" t="str">
        <f ca="1">IFERROR(IF(INDEX(' Disaggregation - Section E '!F$7:F497,MATCH(C1496,' Disaggregation - Section E '!A$7:A497,0)+1,1)&lt;&gt;0,INDEX(' Disaggregation - Section E '!F$7:F497,MATCH(C1496,' Disaggregation - Section E '!A$7:A497,0)+1,1),""),"")</f>
        <v/>
      </c>
      <c r="I1496" s="391" t="str">
        <f ca="1">IFERROR(IF(VLOOKUP(C1496,' Disaggregation - Section E '!A$7:J497,8,0)=0,"",VLOOKUP(C1496,' Disaggregation - Section E '!A$7:J497,8,0)),"")</f>
        <v/>
      </c>
      <c r="J1496" s="391" t="str">
        <f ca="1">IFERROR(IF(VLOOKUP(C1496,' Disaggregation - Section E '!A$7:J497,9,0)="","",VLOOKUP(C1496,' Disaggregation - Section E '!A$7:J497,9,0)),"")</f>
        <v/>
      </c>
      <c r="K1496" s="387" t="str">
        <f ca="1">IFERROR(VLOOKUP(C1496,' Disaggregation - Section E '!A$7:J497,3,0),"")</f>
        <v>HIV I-9a Percentage of men who have sex with men who are living with HIV</v>
      </c>
      <c r="L1496" s="391" t="str">
        <f ca="1">IFERROR(IF(VLOOKUP(C1496,' Disaggregation - Section E '!A$7:J497,10,0)="","",VLOOKUP(C1496,' Disaggregation - Section E '!A$7:J497,10,0)),"")</f>
        <v/>
      </c>
      <c r="M1496" s="387" t="str">
        <f ca="1">IFERROR(IF(VLOOKUP(C1496,' Disaggregation - Section E '!A$7:O497,15,0)=0,"",VLOOKUP(C1496,' Disaggregation - Section E '!A$7:O497,15,0)),"")</f>
        <v/>
      </c>
      <c r="N1496" s="387"/>
      <c r="O1496" s="387"/>
      <c r="P1496" s="387" t="str">
        <f ca="1">IFERROR(IF(VLOOKUP(C1496,' Disaggregation - Section E '!A$7:R497,18,0)=0,"",VLOOKUP(C1496,' Disaggregation - Section E '!A$7:R497,18,0)),"")</f>
        <v/>
      </c>
    </row>
    <row r="1497" spans="1:16">
      <c r="A1497" s="387" t="b">
        <f t="shared" ca="1" si="163"/>
        <v>0</v>
      </c>
      <c r="B1497" s="387"/>
      <c r="C1497" s="404" t="str">
        <f ca="1">IF(COUNTA(O$1306:O1497)=1,"",OFFSET(B1497,-COUNTA(O$1306:O1497)+1,1))</f>
        <v>a1GDm000000XyQaMAK</v>
      </c>
      <c r="D1497" s="392"/>
      <c r="E1497" s="389" t="str">
        <f ca="1">IFERROR(IF(VLOOKUP(C1497,' Disaggregation - Section E '!A$7:J498,7,0)="","",VLOOKUP(C1497,' Disaggregation - Section E '!A$7:J202,7,0)*100),"")</f>
        <v/>
      </c>
      <c r="F1497" s="391" t="str">
        <f ca="1">IFERROR(IF(VLOOKUP(C1497,' Disaggregation - Section E '!A$7:J498,5,0)=0,"",VLOOKUP(C1497,' Disaggregation - Section E '!A$7:J498,5,0)),"")</f>
        <v/>
      </c>
      <c r="G1497" s="390" t="str">
        <f ca="1">IFERROR(IF(VLOOKUP(C1497,' Disaggregation - Section E '!A$7:J498,6,0)="","",VLOOKUP(C1497,' Disaggregation - Section E '!A$7:J498,6,0)),"")</f>
        <v/>
      </c>
      <c r="H1497" s="390" t="str">
        <f ca="1">IFERROR(IF(INDEX(' Disaggregation - Section E '!F$7:F498,MATCH(C1497,' Disaggregation - Section E '!A$7:A498,0)+1,1)&lt;&gt;0,INDEX(' Disaggregation - Section E '!F$7:F498,MATCH(C1497,' Disaggregation - Section E '!A$7:A498,0)+1,1),""),"")</f>
        <v/>
      </c>
      <c r="I1497" s="391" t="str">
        <f ca="1">IFERROR(IF(VLOOKUP(C1497,' Disaggregation - Section E '!A$7:J498,8,0)=0,"",VLOOKUP(C1497,' Disaggregation - Section E '!A$7:J498,8,0)),"")</f>
        <v/>
      </c>
      <c r="J1497" s="391" t="str">
        <f ca="1">IFERROR(IF(VLOOKUP(C1497,' Disaggregation - Section E '!A$7:J498,9,0)="","",VLOOKUP(C1497,' Disaggregation - Section E '!A$7:J498,9,0)),"")</f>
        <v/>
      </c>
      <c r="K1497" s="387" t="str">
        <f ca="1">IFERROR(VLOOKUP(C1497,' Disaggregation - Section E '!A$7:J498,3,0),"")</f>
        <v>HIV I-9a Percentage of men who have sex with men who are living with HIV</v>
      </c>
      <c r="L1497" s="391" t="str">
        <f ca="1">IFERROR(IF(VLOOKUP(C1497,' Disaggregation - Section E '!A$7:J498,10,0)="","",VLOOKUP(C1497,' Disaggregation - Section E '!A$7:J498,10,0)),"")</f>
        <v/>
      </c>
      <c r="M1497" s="387" t="str">
        <f ca="1">IFERROR(IF(VLOOKUP(C1497,' Disaggregation - Section E '!A$7:O498,15,0)=0,"",VLOOKUP(C1497,' Disaggregation - Section E '!A$7:O498,15,0)),"")</f>
        <v/>
      </c>
      <c r="N1497" s="387"/>
      <c r="O1497" s="387"/>
      <c r="P1497" s="387" t="str">
        <f ca="1">IFERROR(IF(VLOOKUP(C1497,' Disaggregation - Section E '!A$7:R498,18,0)=0,"",VLOOKUP(C1497,' Disaggregation - Section E '!A$7:R498,18,0)),"")</f>
        <v/>
      </c>
    </row>
    <row r="1498" spans="1:16">
      <c r="A1498" s="387" t="b">
        <f t="shared" ca="1" si="163"/>
        <v>1</v>
      </c>
      <c r="B1498" s="387"/>
      <c r="C1498" s="404" t="str">
        <f ca="1">IF(COUNTA(O$1306:O1498)=1,"",OFFSET(B1498,-COUNTA(O$1306:O1498)+1,1))</f>
        <v>a1GDm000000XyQbMAK</v>
      </c>
      <c r="D1498" s="392"/>
      <c r="E1498" s="389" t="str">
        <f ca="1">IFERROR(IF(VLOOKUP(C1498,' Disaggregation - Section E '!A$7:J499,7,0)="","",VLOOKUP(C1498,' Disaggregation - Section E '!A$7:J203,7,0)*100),"")</f>
        <v/>
      </c>
      <c r="F1498" s="391" t="str">
        <f ca="1">IFERROR(IF(VLOOKUP(C1498,' Disaggregation - Section E '!A$7:J499,5,0)=0,"",VLOOKUP(C1498,' Disaggregation - Section E '!A$7:J499,5,0)),"")</f>
        <v>25+</v>
      </c>
      <c r="G1498" s="390" t="str">
        <f ca="1">IFERROR(IF(VLOOKUP(C1498,' Disaggregation - Section E '!A$7:J499,6,0)="","",VLOOKUP(C1498,' Disaggregation - Section E '!A$7:J499,6,0)),"")</f>
        <v/>
      </c>
      <c r="H1498" s="390" t="str">
        <f ca="1">IFERROR(IF(INDEX(' Disaggregation - Section E '!F$7:F499,MATCH(C1498,' Disaggregation - Section E '!A$7:A499,0)+1,1)&lt;&gt;0,INDEX(' Disaggregation - Section E '!F$7:F499,MATCH(C1498,' Disaggregation - Section E '!A$7:A499,0)+1,1),""),"")</f>
        <v/>
      </c>
      <c r="I1498" s="391" t="str">
        <f ca="1">IFERROR(IF(VLOOKUP(C1498,' Disaggregation - Section E '!A$7:J499,8,0)=0,"",VLOOKUP(C1498,' Disaggregation - Section E '!A$7:J499,8,0)),"")</f>
        <v/>
      </c>
      <c r="J1498" s="391" t="str">
        <f ca="1">IFERROR(IF(VLOOKUP(C1498,' Disaggregation - Section E '!A$7:J499,9,0)="","",VLOOKUP(C1498,' Disaggregation - Section E '!A$7:J499,9,0)),"")</f>
        <v/>
      </c>
      <c r="K1498" s="387" t="str">
        <f ca="1">IFERROR(VLOOKUP(C1498,' Disaggregation - Section E '!A$7:J499,3,0),"")</f>
        <v>HIV I-10 Percentage of sex workers who are living with HIV</v>
      </c>
      <c r="L1498" s="391" t="str">
        <f ca="1">IFERROR(IF(VLOOKUP(C1498,' Disaggregation - Section E '!A$7:J499,10,0)="","",VLOOKUP(C1498,' Disaggregation - Section E '!A$7:J499,10,0)),"")</f>
        <v>Baseline data is not available. The IBBS survey planned for 2025 will incorporate this disaggregation +25</v>
      </c>
      <c r="M1498" s="387" t="str">
        <f ca="1">IFERROR(IF(VLOOKUP(C1498,' Disaggregation - Section E '!A$7:O499,15,0)=0,"",VLOOKUP(C1498,' Disaggregation - Section E '!A$7:O499,15,0)),"")</f>
        <v>IDR-01055</v>
      </c>
      <c r="N1498" s="387"/>
      <c r="O1498" s="387"/>
      <c r="P1498" s="387" t="str">
        <f ca="1">IFERROR(IF(VLOOKUP(C1498,' Disaggregation - Section E '!A$7:R499,18,0)=0,"",VLOOKUP(C1498,' Disaggregation - Section E '!A$7:R499,18,0)),"")</f>
        <v>a1LDm000000CazlMAC</v>
      </c>
    </row>
    <row r="1499" spans="1:16">
      <c r="A1499" s="387" t="b">
        <f t="shared" ca="1" si="163"/>
        <v>1</v>
      </c>
      <c r="B1499" s="387"/>
      <c r="C1499" s="404" t="str">
        <f ca="1">IF(COUNTA(O$1306:O1499)=1,"",OFFSET(B1499,-COUNTA(O$1306:O1499)+1,1))</f>
        <v>a1GDm000000XyQcMAK</v>
      </c>
      <c r="D1499" s="392"/>
      <c r="E1499" s="389" t="str">
        <f ca="1">IFERROR(IF(VLOOKUP(C1499,' Disaggregation - Section E '!A$7:J500,7,0)="","",VLOOKUP(C1499,' Disaggregation - Section E '!A$7:J204,7,0)*100),"")</f>
        <v/>
      </c>
      <c r="F1499" s="391" t="str">
        <f ca="1">IFERROR(IF(VLOOKUP(C1499,' Disaggregation - Section E '!A$7:J500,5,0)=0,"",VLOOKUP(C1499,' Disaggregation - Section E '!A$7:J500,5,0)),"")</f>
        <v>&lt;25</v>
      </c>
      <c r="G1499" s="390" t="str">
        <f ca="1">IFERROR(IF(VLOOKUP(C1499,' Disaggregation - Section E '!A$7:J500,6,0)="","",VLOOKUP(C1499,' Disaggregation - Section E '!A$7:J500,6,0)),"")</f>
        <v/>
      </c>
      <c r="H1499" s="390" t="str">
        <f ca="1">IFERROR(IF(INDEX(' Disaggregation - Section E '!F$7:F500,MATCH(C1499,' Disaggregation - Section E '!A$7:A500,0)+1,1)&lt;&gt;0,INDEX(' Disaggregation - Section E '!F$7:F500,MATCH(C1499,' Disaggregation - Section E '!A$7:A500,0)+1,1),""),"")</f>
        <v/>
      </c>
      <c r="I1499" s="391" t="str">
        <f ca="1">IFERROR(IF(VLOOKUP(C1499,' Disaggregation - Section E '!A$7:J500,8,0)=0,"",VLOOKUP(C1499,' Disaggregation - Section E '!A$7:J500,8,0)),"")</f>
        <v/>
      </c>
      <c r="J1499" s="391" t="str">
        <f ca="1">IFERROR(IF(VLOOKUP(C1499,' Disaggregation - Section E '!A$7:J500,9,0)="","",VLOOKUP(C1499,' Disaggregation - Section E '!A$7:J500,9,0)),"")</f>
        <v/>
      </c>
      <c r="K1499" s="387" t="str">
        <f ca="1">IFERROR(VLOOKUP(C1499,' Disaggregation - Section E '!A$7:J500,3,0),"")</f>
        <v>HIV I-10 Percentage of sex workers who are living with HIV</v>
      </c>
      <c r="L1499" s="391" t="str">
        <f ca="1">IFERROR(IF(VLOOKUP(C1499,' Disaggregation - Section E '!A$7:J500,10,0)="","",VLOOKUP(C1499,' Disaggregation - Section E '!A$7:J500,10,0)),"")</f>
        <v>Baseline data is not available. The IBBS survey planned for 2025 will incorporate this disaggregation +25</v>
      </c>
      <c r="M1499" s="387" t="str">
        <f ca="1">IFERROR(IF(VLOOKUP(C1499,' Disaggregation - Section E '!A$7:O500,15,0)=0,"",VLOOKUP(C1499,' Disaggregation - Section E '!A$7:O500,15,0)),"")</f>
        <v>IDR-01054</v>
      </c>
      <c r="N1499" s="387"/>
      <c r="O1499" s="387"/>
      <c r="P1499" s="387" t="str">
        <f ca="1">IFERROR(IF(VLOOKUP(C1499,' Disaggregation - Section E '!A$7:R500,18,0)=0,"",VLOOKUP(C1499,' Disaggregation - Section E '!A$7:R500,18,0)),"")</f>
        <v>a1LDm000000CazkMAC</v>
      </c>
    </row>
    <row r="1500" spans="1:16">
      <c r="A1500" s="387" t="b">
        <f t="shared" ca="1" si="163"/>
        <v>1</v>
      </c>
      <c r="B1500" s="387"/>
      <c r="C1500" s="404" t="str">
        <f ca="1">IF(COUNTA(O$1306:O1500)=1,"",OFFSET(B1500,-COUNTA(O$1306:O1500)+1,1))</f>
        <v>a1GDm000000XyQdMAK</v>
      </c>
      <c r="D1500" s="392"/>
      <c r="E1500" s="389" t="str">
        <f ca="1">IFERROR(IF(VLOOKUP(C1500,' Disaggregation - Section E '!A$7:J501,7,0)="","",VLOOKUP(C1500,' Disaggregation - Section E '!A$7:J205,7,0)*100),"")</f>
        <v/>
      </c>
      <c r="F1500" s="391" t="str">
        <f ca="1">IFERROR(IF(VLOOKUP(C1500,' Disaggregation - Section E '!A$7:J501,5,0)=0,"",VLOOKUP(C1500,' Disaggregation - Section E '!A$7:J501,5,0)),"")</f>
        <v>Transgender</v>
      </c>
      <c r="G1500" s="390" t="str">
        <f ca="1">IFERROR(IF(VLOOKUP(C1500,' Disaggregation - Section E '!A$7:J501,6,0)="","",VLOOKUP(C1500,' Disaggregation - Section E '!A$7:J501,6,0)),"")</f>
        <v/>
      </c>
      <c r="H1500" s="390" t="str">
        <f ca="1">IFERROR(IF(INDEX(' Disaggregation - Section E '!F$7:F501,MATCH(C1500,' Disaggregation - Section E '!A$7:A501,0)+1,1)&lt;&gt;0,INDEX(' Disaggregation - Section E '!F$7:F501,MATCH(C1500,' Disaggregation - Section E '!A$7:A501,0)+1,1),""),"")</f>
        <v/>
      </c>
      <c r="I1500" s="391" t="str">
        <f ca="1">IFERROR(IF(VLOOKUP(C1500,' Disaggregation - Section E '!A$7:J501,8,0)=0,"",VLOOKUP(C1500,' Disaggregation - Section E '!A$7:J501,8,0)),"")</f>
        <v/>
      </c>
      <c r="J1500" s="391" t="str">
        <f ca="1">IFERROR(IF(VLOOKUP(C1500,' Disaggregation - Section E '!A$7:J501,9,0)="","",VLOOKUP(C1500,' Disaggregation - Section E '!A$7:J501,9,0)),"")</f>
        <v/>
      </c>
      <c r="K1500" s="387" t="str">
        <f ca="1">IFERROR(VLOOKUP(C1500,' Disaggregation - Section E '!A$7:J501,3,0),"")</f>
        <v>HIV I-10 Percentage of sex workers who are living with HIV</v>
      </c>
      <c r="L1500" s="391" t="str">
        <f ca="1">IFERROR(IF(VLOOKUP(C1500,' Disaggregation - Section E '!A$7:J501,10,0)="","",VLOOKUP(C1500,' Disaggregation - Section E '!A$7:J501,10,0)),"")</f>
        <v>The survey did not include the transgender population. The IBBS survey planned for 2025 will integrate this population with the disaggregation by sex</v>
      </c>
      <c r="M1500" s="387" t="str">
        <f ca="1">IFERROR(IF(VLOOKUP(C1500,' Disaggregation - Section E '!A$7:O501,15,0)=0,"",VLOOKUP(C1500,' Disaggregation - Section E '!A$7:O501,15,0)),"")</f>
        <v>IDR-01053</v>
      </c>
      <c r="N1500" s="387"/>
      <c r="O1500" s="387"/>
      <c r="P1500" s="387" t="str">
        <f ca="1">IFERROR(IF(VLOOKUP(C1500,' Disaggregation - Section E '!A$7:R501,18,0)=0,"",VLOOKUP(C1500,' Disaggregation - Section E '!A$7:R501,18,0)),"")</f>
        <v>a1LDm000000CazjMAC</v>
      </c>
    </row>
    <row r="1501" spans="1:16">
      <c r="A1501" s="387" t="b">
        <f t="shared" ca="1" si="163"/>
        <v>1</v>
      </c>
      <c r="B1501" s="387"/>
      <c r="C1501" s="404" t="str">
        <f ca="1">IF(COUNTA(O$1306:O1501)=1,"",OFFSET(B1501,-COUNTA(O$1306:O1501)+1,1))</f>
        <v>a1GDm000000XyQeMAK</v>
      </c>
      <c r="D1501" s="392"/>
      <c r="E1501" s="389" t="str">
        <f ca="1">IFERROR(IF(VLOOKUP(C1501,' Disaggregation - Section E '!A$7:J502,7,0)="","",VLOOKUP(C1501,' Disaggregation - Section E '!A$7:J206,7,0)*100),"")</f>
        <v/>
      </c>
      <c r="F1501" s="391" t="str">
        <f ca="1">IFERROR(IF(VLOOKUP(C1501,' Disaggregation - Section E '!A$7:J502,5,0)=0,"",VLOOKUP(C1501,' Disaggregation - Section E '!A$7:J502,5,0)),"")</f>
        <v>Male</v>
      </c>
      <c r="G1501" s="390" t="str">
        <f ca="1">IFERROR(IF(VLOOKUP(C1501,' Disaggregation - Section E '!A$7:J502,6,0)="","",VLOOKUP(C1501,' Disaggregation - Section E '!A$7:J502,6,0)),"")</f>
        <v/>
      </c>
      <c r="H1501" s="390" t="str">
        <f ca="1">IFERROR(IF(INDEX(' Disaggregation - Section E '!F$7:F502,MATCH(C1501,' Disaggregation - Section E '!A$7:A502,0)+1,1)&lt;&gt;0,INDEX(' Disaggregation - Section E '!F$7:F502,MATCH(C1501,' Disaggregation - Section E '!A$7:A502,0)+1,1),""),"")</f>
        <v/>
      </c>
      <c r="I1501" s="391" t="str">
        <f ca="1">IFERROR(IF(VLOOKUP(C1501,' Disaggregation - Section E '!A$7:J502,8,0)=0,"",VLOOKUP(C1501,' Disaggregation - Section E '!A$7:J502,8,0)),"")</f>
        <v/>
      </c>
      <c r="J1501" s="391" t="str">
        <f ca="1">IFERROR(IF(VLOOKUP(C1501,' Disaggregation - Section E '!A$7:J502,9,0)="","",VLOOKUP(C1501,' Disaggregation - Section E '!A$7:J502,9,0)),"")</f>
        <v/>
      </c>
      <c r="K1501" s="387" t="str">
        <f ca="1">IFERROR(VLOOKUP(C1501,' Disaggregation - Section E '!A$7:J502,3,0),"")</f>
        <v>HIV I-10 Percentage of sex workers who are living with HIV</v>
      </c>
      <c r="L1501" s="391" t="str">
        <f ca="1">IFERROR(IF(VLOOKUP(C1501,' Disaggregation - Section E '!A$7:J502,10,0)="","",VLOOKUP(C1501,' Disaggregation - Section E '!A$7:J502,10,0)),"")</f>
        <v>Baseline data is not available. The IBBS survey planned for 2025 will integrate this population with the disaggregation by sex</v>
      </c>
      <c r="M1501" s="387" t="str">
        <f ca="1">IFERROR(IF(VLOOKUP(C1501,' Disaggregation - Section E '!A$7:O502,15,0)=0,"",VLOOKUP(C1501,' Disaggregation - Section E '!A$7:O502,15,0)),"")</f>
        <v>IDR-01052</v>
      </c>
      <c r="N1501" s="387"/>
      <c r="O1501" s="387"/>
      <c r="P1501" s="387" t="str">
        <f ca="1">IFERROR(IF(VLOOKUP(C1501,' Disaggregation - Section E '!A$7:R502,18,0)=0,"",VLOOKUP(C1501,' Disaggregation - Section E '!A$7:R502,18,0)),"")</f>
        <v>a1LDm000000CaziMAC</v>
      </c>
    </row>
    <row r="1502" spans="1:16">
      <c r="A1502" s="387" t="b">
        <f t="shared" ca="1" si="163"/>
        <v>1</v>
      </c>
      <c r="B1502" s="387"/>
      <c r="C1502" s="404" t="str">
        <f ca="1">IF(COUNTA(O$1306:O1502)=1,"",OFFSET(B1502,-COUNTA(O$1306:O1502)+1,1))</f>
        <v>a1GDm000000XyQfMAK</v>
      </c>
      <c r="D1502" s="392"/>
      <c r="E1502" s="389" t="str">
        <f ca="1">IFERROR(IF(VLOOKUP(C1502,' Disaggregation - Section E '!A$7:J503,7,0)="","",VLOOKUP(C1502,' Disaggregation - Section E '!A$7:J207,7,0)*100),"")</f>
        <v/>
      </c>
      <c r="F1502" s="391" t="str">
        <f ca="1">IFERROR(IF(VLOOKUP(C1502,' Disaggregation - Section E '!A$7:J503,5,0)=0,"",VLOOKUP(C1502,' Disaggregation - Section E '!A$7:J503,5,0)),"")</f>
        <v>Female</v>
      </c>
      <c r="G1502" s="390" t="str">
        <f ca="1">IFERROR(IF(VLOOKUP(C1502,' Disaggregation - Section E '!A$7:J503,6,0)="","",VLOOKUP(C1502,' Disaggregation - Section E '!A$7:J503,6,0)),"")</f>
        <v/>
      </c>
      <c r="H1502" s="390" t="str">
        <f ca="1">IFERROR(IF(INDEX(' Disaggregation - Section E '!F$7:F503,MATCH(C1502,' Disaggregation - Section E '!A$7:A503,0)+1,1)&lt;&gt;0,INDEX(' Disaggregation - Section E '!F$7:F503,MATCH(C1502,' Disaggregation - Section E '!A$7:A503,0)+1,1),""),"")</f>
        <v/>
      </c>
      <c r="I1502" s="391" t="str">
        <f ca="1">IFERROR(IF(VLOOKUP(C1502,' Disaggregation - Section E '!A$7:J503,8,0)=0,"",VLOOKUP(C1502,' Disaggregation - Section E '!A$7:J503,8,0)),"")</f>
        <v/>
      </c>
      <c r="J1502" s="391" t="str">
        <f ca="1">IFERROR(IF(VLOOKUP(C1502,' Disaggregation - Section E '!A$7:J503,9,0)="","",VLOOKUP(C1502,' Disaggregation - Section E '!A$7:J503,9,0)),"")</f>
        <v/>
      </c>
      <c r="K1502" s="387" t="str">
        <f ca="1">IFERROR(VLOOKUP(C1502,' Disaggregation - Section E '!A$7:J503,3,0),"")</f>
        <v>HIV I-10 Percentage of sex workers who are living with HIV</v>
      </c>
      <c r="L1502" s="391" t="str">
        <f ca="1">IFERROR(IF(VLOOKUP(C1502,' Disaggregation - Section E '!A$7:J503,10,0)="","",VLOOKUP(C1502,' Disaggregation - Section E '!A$7:J503,10,0)),"")</f>
        <v>Baseline data is not available. The IBBS survey planned for 2025 will integrate this population with the disaggregation by sex</v>
      </c>
      <c r="M1502" s="387" t="str">
        <f ca="1">IFERROR(IF(VLOOKUP(C1502,' Disaggregation - Section E '!A$7:O503,15,0)=0,"",VLOOKUP(C1502,' Disaggregation - Section E '!A$7:O503,15,0)),"")</f>
        <v>IDR-01051</v>
      </c>
      <c r="N1502" s="387"/>
      <c r="O1502" s="387"/>
      <c r="P1502" s="387" t="str">
        <f ca="1">IFERROR(IF(VLOOKUP(C1502,' Disaggregation - Section E '!A$7:R503,18,0)=0,"",VLOOKUP(C1502,' Disaggregation - Section E '!A$7:R503,18,0)),"")</f>
        <v>a1LDm000000CazhMAC</v>
      </c>
    </row>
    <row r="1503" spans="1:16">
      <c r="A1503" s="387" t="b">
        <f t="shared" ca="1" si="163"/>
        <v>0</v>
      </c>
      <c r="B1503" s="387"/>
      <c r="C1503" s="404" t="str">
        <f ca="1">IF(COUNTA(O$1306:O1503)=1,"",OFFSET(B1503,-COUNTA(O$1306:O1503)+1,1))</f>
        <v>a1GDm000000XyQgMAK</v>
      </c>
      <c r="D1503" s="392"/>
      <c r="E1503" s="389" t="str">
        <f ca="1">IFERROR(IF(VLOOKUP(C1503,' Disaggregation - Section E '!A$7:J504,7,0)="","",VLOOKUP(C1503,' Disaggregation - Section E '!A$7:J208,7,0)*100),"")</f>
        <v/>
      </c>
      <c r="F1503" s="391" t="str">
        <f ca="1">IFERROR(IF(VLOOKUP(C1503,' Disaggregation - Section E '!A$7:J504,5,0)=0,"",VLOOKUP(C1503,' Disaggregation - Section E '!A$7:J504,5,0)),"")</f>
        <v/>
      </c>
      <c r="G1503" s="390" t="str">
        <f ca="1">IFERROR(IF(VLOOKUP(C1503,' Disaggregation - Section E '!A$7:J504,6,0)="","",VLOOKUP(C1503,' Disaggregation - Section E '!A$7:J504,6,0)),"")</f>
        <v/>
      </c>
      <c r="H1503" s="390" t="str">
        <f ca="1">IFERROR(IF(INDEX(' Disaggregation - Section E '!F$7:F504,MATCH(C1503,' Disaggregation - Section E '!A$7:A504,0)+1,1)&lt;&gt;0,INDEX(' Disaggregation - Section E '!F$7:F504,MATCH(C1503,' Disaggregation - Section E '!A$7:A504,0)+1,1),""),"")</f>
        <v/>
      </c>
      <c r="I1503" s="391" t="str">
        <f ca="1">IFERROR(IF(VLOOKUP(C1503,' Disaggregation - Section E '!A$7:J504,8,0)=0,"",VLOOKUP(C1503,' Disaggregation - Section E '!A$7:J504,8,0)),"")</f>
        <v/>
      </c>
      <c r="J1503" s="391" t="str">
        <f ca="1">IFERROR(IF(VLOOKUP(C1503,' Disaggregation - Section E '!A$7:J504,9,0)="","",VLOOKUP(C1503,' Disaggregation - Section E '!A$7:J504,9,0)),"")</f>
        <v/>
      </c>
      <c r="K1503" s="387" t="str">
        <f ca="1">IFERROR(VLOOKUP(C1503,' Disaggregation - Section E '!A$7:J504,3,0),"")</f>
        <v>HIV I-10 Percentage of sex workers who are living with HIV</v>
      </c>
      <c r="L1503" s="391" t="str">
        <f ca="1">IFERROR(IF(VLOOKUP(C1503,' Disaggregation - Section E '!A$7:J504,10,0)="","",VLOOKUP(C1503,' Disaggregation - Section E '!A$7:J504,10,0)),"")</f>
        <v/>
      </c>
      <c r="M1503" s="387" t="str">
        <f ca="1">IFERROR(IF(VLOOKUP(C1503,' Disaggregation - Section E '!A$7:O504,15,0)=0,"",VLOOKUP(C1503,' Disaggregation - Section E '!A$7:O504,15,0)),"")</f>
        <v/>
      </c>
      <c r="N1503" s="387"/>
      <c r="O1503" s="387"/>
      <c r="P1503" s="387" t="str">
        <f ca="1">IFERROR(IF(VLOOKUP(C1503,' Disaggregation - Section E '!A$7:R504,18,0)=0,"",VLOOKUP(C1503,' Disaggregation - Section E '!A$7:R504,18,0)),"")</f>
        <v/>
      </c>
    </row>
    <row r="1504" spans="1:16">
      <c r="A1504" s="387" t="b">
        <f t="shared" ca="1" si="163"/>
        <v>0</v>
      </c>
      <c r="B1504" s="387"/>
      <c r="C1504" s="404" t="str">
        <f ca="1">IF(COUNTA(O$1306:O1504)=1,"",OFFSET(B1504,-COUNTA(O$1306:O1504)+1,1))</f>
        <v>a1GDm000000XyQhMAK</v>
      </c>
      <c r="D1504" s="392"/>
      <c r="E1504" s="389" t="str">
        <f ca="1">IFERROR(IF(VLOOKUP(C1504,' Disaggregation - Section E '!A$7:J505,7,0)="","",VLOOKUP(C1504,' Disaggregation - Section E '!A$7:J209,7,0)*100),"")</f>
        <v/>
      </c>
      <c r="F1504" s="391" t="str">
        <f ca="1">IFERROR(IF(VLOOKUP(C1504,' Disaggregation - Section E '!A$7:J505,5,0)=0,"",VLOOKUP(C1504,' Disaggregation - Section E '!A$7:J505,5,0)),"")</f>
        <v/>
      </c>
      <c r="G1504" s="390" t="str">
        <f ca="1">IFERROR(IF(VLOOKUP(C1504,' Disaggregation - Section E '!A$7:J505,6,0)="","",VLOOKUP(C1504,' Disaggregation - Section E '!A$7:J505,6,0)),"")</f>
        <v/>
      </c>
      <c r="H1504" s="390" t="str">
        <f ca="1">IFERROR(IF(INDEX(' Disaggregation - Section E '!F$7:F505,MATCH(C1504,' Disaggregation - Section E '!A$7:A505,0)+1,1)&lt;&gt;0,INDEX(' Disaggregation - Section E '!F$7:F505,MATCH(C1504,' Disaggregation - Section E '!A$7:A505,0)+1,1),""),"")</f>
        <v/>
      </c>
      <c r="I1504" s="391" t="str">
        <f ca="1">IFERROR(IF(VLOOKUP(C1504,' Disaggregation - Section E '!A$7:J505,8,0)=0,"",VLOOKUP(C1504,' Disaggregation - Section E '!A$7:J505,8,0)),"")</f>
        <v/>
      </c>
      <c r="J1504" s="391" t="str">
        <f ca="1">IFERROR(IF(VLOOKUP(C1504,' Disaggregation - Section E '!A$7:J505,9,0)="","",VLOOKUP(C1504,' Disaggregation - Section E '!A$7:J505,9,0)),"")</f>
        <v/>
      </c>
      <c r="K1504" s="387" t="str">
        <f ca="1">IFERROR(VLOOKUP(C1504,' Disaggregation - Section E '!A$7:J505,3,0),"")</f>
        <v>HIV I-10 Percentage of sex workers who are living with HIV</v>
      </c>
      <c r="L1504" s="391" t="str">
        <f ca="1">IFERROR(IF(VLOOKUP(C1504,' Disaggregation - Section E '!A$7:J505,10,0)="","",VLOOKUP(C1504,' Disaggregation - Section E '!A$7:J505,10,0)),"")</f>
        <v/>
      </c>
      <c r="M1504" s="387" t="str">
        <f ca="1">IFERROR(IF(VLOOKUP(C1504,' Disaggregation - Section E '!A$7:O505,15,0)=0,"",VLOOKUP(C1504,' Disaggregation - Section E '!A$7:O505,15,0)),"")</f>
        <v/>
      </c>
      <c r="N1504" s="387"/>
      <c r="O1504" s="387"/>
      <c r="P1504" s="387" t="str">
        <f ca="1">IFERROR(IF(VLOOKUP(C1504,' Disaggregation - Section E '!A$7:R505,18,0)=0,"",VLOOKUP(C1504,' Disaggregation - Section E '!A$7:R505,18,0)),"")</f>
        <v/>
      </c>
    </row>
    <row r="1505" spans="1:16">
      <c r="A1505" s="387" t="b">
        <f t="shared" ca="1" si="163"/>
        <v>0</v>
      </c>
      <c r="B1505" s="387"/>
      <c r="C1505" s="404" t="str">
        <f ca="1">IF(COUNTA(O$1306:O1505)=1,"",OFFSET(B1505,-COUNTA(O$1306:O1505)+1,1))</f>
        <v>a1GDm000000XyQiMAK</v>
      </c>
      <c r="D1505" s="392"/>
      <c r="E1505" s="389" t="str">
        <f ca="1">IFERROR(IF(VLOOKUP(C1505,' Disaggregation - Section E '!A$7:J506,7,0)="","",VLOOKUP(C1505,' Disaggregation - Section E '!A$7:J210,7,0)*100),"")</f>
        <v/>
      </c>
      <c r="F1505" s="391" t="str">
        <f ca="1">IFERROR(IF(VLOOKUP(C1505,' Disaggregation - Section E '!A$7:J506,5,0)=0,"",VLOOKUP(C1505,' Disaggregation - Section E '!A$7:J506,5,0)),"")</f>
        <v/>
      </c>
      <c r="G1505" s="390" t="str">
        <f ca="1">IFERROR(IF(VLOOKUP(C1505,' Disaggregation - Section E '!A$7:J506,6,0)="","",VLOOKUP(C1505,' Disaggregation - Section E '!A$7:J506,6,0)),"")</f>
        <v/>
      </c>
      <c r="H1505" s="390" t="str">
        <f ca="1">IFERROR(IF(INDEX(' Disaggregation - Section E '!F$7:F506,MATCH(C1505,' Disaggregation - Section E '!A$7:A506,0)+1,1)&lt;&gt;0,INDEX(' Disaggregation - Section E '!F$7:F506,MATCH(C1505,' Disaggregation - Section E '!A$7:A506,0)+1,1),""),"")</f>
        <v/>
      </c>
      <c r="I1505" s="391" t="str">
        <f ca="1">IFERROR(IF(VLOOKUP(C1505,' Disaggregation - Section E '!A$7:J506,8,0)=0,"",VLOOKUP(C1505,' Disaggregation - Section E '!A$7:J506,8,0)),"")</f>
        <v/>
      </c>
      <c r="J1505" s="391" t="str">
        <f ca="1">IFERROR(IF(VLOOKUP(C1505,' Disaggregation - Section E '!A$7:J506,9,0)="","",VLOOKUP(C1505,' Disaggregation - Section E '!A$7:J506,9,0)),"")</f>
        <v/>
      </c>
      <c r="K1505" s="387" t="str">
        <f ca="1">IFERROR(VLOOKUP(C1505,' Disaggregation - Section E '!A$7:J506,3,0),"")</f>
        <v>HIV I-10 Percentage of sex workers who are living with HIV</v>
      </c>
      <c r="L1505" s="391" t="str">
        <f ca="1">IFERROR(IF(VLOOKUP(C1505,' Disaggregation - Section E '!A$7:J506,10,0)="","",VLOOKUP(C1505,' Disaggregation - Section E '!A$7:J506,10,0)),"")</f>
        <v/>
      </c>
      <c r="M1505" s="387" t="str">
        <f ca="1">IFERROR(IF(VLOOKUP(C1505,' Disaggregation - Section E '!A$7:O506,15,0)=0,"",VLOOKUP(C1505,' Disaggregation - Section E '!A$7:O506,15,0)),"")</f>
        <v/>
      </c>
      <c r="N1505" s="387"/>
      <c r="O1505" s="387"/>
      <c r="P1505" s="387" t="str">
        <f ca="1">IFERROR(IF(VLOOKUP(C1505,' Disaggregation - Section E '!A$7:R506,18,0)=0,"",VLOOKUP(C1505,' Disaggregation - Section E '!A$7:R506,18,0)),"")</f>
        <v/>
      </c>
    </row>
    <row r="1506" spans="1:16">
      <c r="A1506" s="387" t="b">
        <f t="shared" ca="1" si="163"/>
        <v>0</v>
      </c>
      <c r="B1506" s="387"/>
      <c r="C1506" s="404" t="str">
        <f ca="1">IF(COUNTA(O$1306:O1506)=1,"",OFFSET(B1506,-COUNTA(O$1306:O1506)+1,1))</f>
        <v>a1GDm000000XyQjMAK</v>
      </c>
      <c r="D1506" s="392"/>
      <c r="E1506" s="389" t="str">
        <f ca="1">IFERROR(IF(VLOOKUP(C1506,' Disaggregation - Section E '!A$7:J507,7,0)="","",VLOOKUP(C1506,' Disaggregation - Section E '!A$7:J211,7,0)*100),"")</f>
        <v/>
      </c>
      <c r="F1506" s="391" t="str">
        <f ca="1">IFERROR(IF(VLOOKUP(C1506,' Disaggregation - Section E '!A$7:J507,5,0)=0,"",VLOOKUP(C1506,' Disaggregation - Section E '!A$7:J507,5,0)),"")</f>
        <v/>
      </c>
      <c r="G1506" s="390" t="str">
        <f ca="1">IFERROR(IF(VLOOKUP(C1506,' Disaggregation - Section E '!A$7:J507,6,0)="","",VLOOKUP(C1506,' Disaggregation - Section E '!A$7:J507,6,0)),"")</f>
        <v/>
      </c>
      <c r="H1506" s="390" t="str">
        <f ca="1">IFERROR(IF(INDEX(' Disaggregation - Section E '!F$7:F507,MATCH(C1506,' Disaggregation - Section E '!A$7:A507,0)+1,1)&lt;&gt;0,INDEX(' Disaggregation - Section E '!F$7:F507,MATCH(C1506,' Disaggregation - Section E '!A$7:A507,0)+1,1),""),"")</f>
        <v/>
      </c>
      <c r="I1506" s="391" t="str">
        <f ca="1">IFERROR(IF(VLOOKUP(C1506,' Disaggregation - Section E '!A$7:J507,8,0)=0,"",VLOOKUP(C1506,' Disaggregation - Section E '!A$7:J507,8,0)),"")</f>
        <v/>
      </c>
      <c r="J1506" s="391" t="str">
        <f ca="1">IFERROR(IF(VLOOKUP(C1506,' Disaggregation - Section E '!A$7:J507,9,0)="","",VLOOKUP(C1506,' Disaggregation - Section E '!A$7:J507,9,0)),"")</f>
        <v/>
      </c>
      <c r="K1506" s="387" t="str">
        <f ca="1">IFERROR(VLOOKUP(C1506,' Disaggregation - Section E '!A$7:J507,3,0),"")</f>
        <v>HIV I-10 Percentage of sex workers who are living with HIV</v>
      </c>
      <c r="L1506" s="391" t="str">
        <f ca="1">IFERROR(IF(VLOOKUP(C1506,' Disaggregation - Section E '!A$7:J507,10,0)="","",VLOOKUP(C1506,' Disaggregation - Section E '!A$7:J507,10,0)),"")</f>
        <v/>
      </c>
      <c r="M1506" s="387" t="str">
        <f ca="1">IFERROR(IF(VLOOKUP(C1506,' Disaggregation - Section E '!A$7:O507,15,0)=0,"",VLOOKUP(C1506,' Disaggregation - Section E '!A$7:O507,15,0)),"")</f>
        <v/>
      </c>
      <c r="N1506" s="387"/>
      <c r="O1506" s="387"/>
      <c r="P1506" s="387" t="str">
        <f ca="1">IFERROR(IF(VLOOKUP(C1506,' Disaggregation - Section E '!A$7:R507,18,0)=0,"",VLOOKUP(C1506,' Disaggregation - Section E '!A$7:R507,18,0)),"")</f>
        <v/>
      </c>
    </row>
    <row r="1507" spans="1:16">
      <c r="A1507" s="387" t="b">
        <f t="shared" ca="1" si="163"/>
        <v>0</v>
      </c>
      <c r="B1507" s="387"/>
      <c r="C1507" s="404" t="str">
        <f ca="1">IF(COUNTA(O$1306:O1507)=1,"",OFFSET(B1507,-COUNTA(O$1306:O1507)+1,1))</f>
        <v>a1GDm000000XyQkMAK</v>
      </c>
      <c r="D1507" s="392"/>
      <c r="E1507" s="389" t="str">
        <f ca="1">IFERROR(IF(VLOOKUP(C1507,' Disaggregation - Section E '!A$7:J508,7,0)="","",VLOOKUP(C1507,' Disaggregation - Section E '!A$7:J212,7,0)*100),"")</f>
        <v/>
      </c>
      <c r="F1507" s="391" t="str">
        <f ca="1">IFERROR(IF(VLOOKUP(C1507,' Disaggregation - Section E '!A$7:J508,5,0)=0,"",VLOOKUP(C1507,' Disaggregation - Section E '!A$7:J508,5,0)),"")</f>
        <v/>
      </c>
      <c r="G1507" s="390" t="str">
        <f ca="1">IFERROR(IF(VLOOKUP(C1507,' Disaggregation - Section E '!A$7:J508,6,0)="","",VLOOKUP(C1507,' Disaggregation - Section E '!A$7:J508,6,0)),"")</f>
        <v/>
      </c>
      <c r="H1507" s="390" t="str">
        <f ca="1">IFERROR(IF(INDEX(' Disaggregation - Section E '!F$7:F508,MATCH(C1507,' Disaggregation - Section E '!A$7:A508,0)+1,1)&lt;&gt;0,INDEX(' Disaggregation - Section E '!F$7:F508,MATCH(C1507,' Disaggregation - Section E '!A$7:A508,0)+1,1),""),"")</f>
        <v/>
      </c>
      <c r="I1507" s="391" t="str">
        <f ca="1">IFERROR(IF(VLOOKUP(C1507,' Disaggregation - Section E '!A$7:J508,8,0)=0,"",VLOOKUP(C1507,' Disaggregation - Section E '!A$7:J508,8,0)),"")</f>
        <v/>
      </c>
      <c r="J1507" s="391" t="str">
        <f ca="1">IFERROR(IF(VLOOKUP(C1507,' Disaggregation - Section E '!A$7:J508,9,0)="","",VLOOKUP(C1507,' Disaggregation - Section E '!A$7:J508,9,0)),"")</f>
        <v/>
      </c>
      <c r="K1507" s="387" t="str">
        <f ca="1">IFERROR(VLOOKUP(C1507,' Disaggregation - Section E '!A$7:J508,3,0),"")</f>
        <v>HIV I-10 Percentage of sex workers who are living with HIV</v>
      </c>
      <c r="L1507" s="391" t="str">
        <f ca="1">IFERROR(IF(VLOOKUP(C1507,' Disaggregation - Section E '!A$7:J508,10,0)="","",VLOOKUP(C1507,' Disaggregation - Section E '!A$7:J508,10,0)),"")</f>
        <v/>
      </c>
      <c r="M1507" s="387" t="str">
        <f ca="1">IFERROR(IF(VLOOKUP(C1507,' Disaggregation - Section E '!A$7:O508,15,0)=0,"",VLOOKUP(C1507,' Disaggregation - Section E '!A$7:O508,15,0)),"")</f>
        <v/>
      </c>
      <c r="N1507" s="387"/>
      <c r="O1507" s="387"/>
      <c r="P1507" s="387" t="str">
        <f ca="1">IFERROR(IF(VLOOKUP(C1507,' Disaggregation - Section E '!A$7:R508,18,0)=0,"",VLOOKUP(C1507,' Disaggregation - Section E '!A$7:R508,18,0)),"")</f>
        <v/>
      </c>
    </row>
    <row r="1508" spans="1:16">
      <c r="A1508" s="387" t="b">
        <f t="shared" ca="1" si="163"/>
        <v>1</v>
      </c>
      <c r="B1508" s="387"/>
      <c r="C1508" s="404" t="str">
        <f ca="1">IF(COUNTA(O$1306:O1508)=1,"",OFFSET(B1508,-COUNTA(O$1306:O1508)+1,1))</f>
        <v>a1GDm000000XyQlMAK</v>
      </c>
      <c r="D1508" s="392"/>
      <c r="E1508" s="389" t="str">
        <f ca="1">IFERROR(IF(VLOOKUP(C1508,' Disaggregation - Section E '!A$7:J509,7,0)="","",VLOOKUP(C1508,' Disaggregation - Section E '!A$7:J213,7,0)*100),"")</f>
        <v/>
      </c>
      <c r="F1508" s="391" t="str">
        <f ca="1">IFERROR(IF(VLOOKUP(C1508,' Disaggregation - Section E '!A$7:J509,5,0)=0,"",VLOOKUP(C1508,' Disaggregation - Section E '!A$7:J509,5,0)),"")</f>
        <v>25+</v>
      </c>
      <c r="G1508" s="390" t="str">
        <f ca="1">IFERROR(IF(VLOOKUP(C1508,' Disaggregation - Section E '!A$7:J509,6,0)="","",VLOOKUP(C1508,' Disaggregation - Section E '!A$7:J509,6,0)),"")</f>
        <v/>
      </c>
      <c r="H1508" s="390" t="str">
        <f ca="1">IFERROR(IF(INDEX(' Disaggregation - Section E '!F$7:F509,MATCH(C1508,' Disaggregation - Section E '!A$7:A509,0)+1,1)&lt;&gt;0,INDEX(' Disaggregation - Section E '!F$7:F509,MATCH(C1508,' Disaggregation - Section E '!A$7:A509,0)+1,1),""),"")</f>
        <v/>
      </c>
      <c r="I1508" s="391" t="str">
        <f ca="1">IFERROR(IF(VLOOKUP(C1508,' Disaggregation - Section E '!A$7:J509,8,0)=0,"",VLOOKUP(C1508,' Disaggregation - Section E '!A$7:J509,8,0)),"")</f>
        <v/>
      </c>
      <c r="J1508" s="391" t="str">
        <f ca="1">IFERROR(IF(VLOOKUP(C1508,' Disaggregation - Section E '!A$7:J509,9,0)="","",VLOOKUP(C1508,' Disaggregation - Section E '!A$7:J509,9,0)),"")</f>
        <v/>
      </c>
      <c r="K1508" s="387" t="str">
        <f ca="1">IFERROR(VLOOKUP(C1508,' Disaggregation - Section E '!A$7:J509,3,0),"")</f>
        <v>HIV I-9b Percentage of transgender people who are living with HIV</v>
      </c>
      <c r="L1508" s="391" t="str">
        <f ca="1">IFERROR(IF(VLOOKUP(C1508,' Disaggregation - Section E '!A$7:J509,10,0)="","",VLOOKUP(C1508,' Disaggregation - Section E '!A$7:J509,10,0)),"")</f>
        <v>Baseline data is not available. The IBBS survey planned for 2025 will incorporate this disaggregation +25</v>
      </c>
      <c r="M1508" s="387" t="str">
        <f ca="1">IFERROR(IF(VLOOKUP(C1508,' Disaggregation - Section E '!A$7:O509,15,0)=0,"",VLOOKUP(C1508,' Disaggregation - Section E '!A$7:O509,15,0)),"")</f>
        <v>IDR-01050</v>
      </c>
      <c r="N1508" s="387"/>
      <c r="O1508" s="387"/>
      <c r="P1508" s="387" t="str">
        <f ca="1">IFERROR(IF(VLOOKUP(C1508,' Disaggregation - Section E '!A$7:R509,18,0)=0,"",VLOOKUP(C1508,' Disaggregation - Section E '!A$7:R509,18,0)),"")</f>
        <v>a1LDm000000CazgMAC</v>
      </c>
    </row>
    <row r="1509" spans="1:16">
      <c r="A1509" s="387" t="b">
        <f t="shared" ca="1" si="163"/>
        <v>1</v>
      </c>
      <c r="B1509" s="387"/>
      <c r="C1509" s="404" t="str">
        <f ca="1">IF(COUNTA(O$1306:O1509)=1,"",OFFSET(B1509,-COUNTA(O$1306:O1509)+1,1))</f>
        <v>a1GDm000000XyQmMAK</v>
      </c>
      <c r="D1509" s="392"/>
      <c r="E1509" s="389" t="str">
        <f ca="1">IFERROR(IF(VLOOKUP(C1509,' Disaggregation - Section E '!A$7:J510,7,0)="","",VLOOKUP(C1509,' Disaggregation - Section E '!A$7:J214,7,0)*100),"")</f>
        <v/>
      </c>
      <c r="F1509" s="391" t="str">
        <f ca="1">IFERROR(IF(VLOOKUP(C1509,' Disaggregation - Section E '!A$7:J510,5,0)=0,"",VLOOKUP(C1509,' Disaggregation - Section E '!A$7:J510,5,0)),"")</f>
        <v>&lt;25</v>
      </c>
      <c r="G1509" s="390" t="str">
        <f ca="1">IFERROR(IF(VLOOKUP(C1509,' Disaggregation - Section E '!A$7:J510,6,0)="","",VLOOKUP(C1509,' Disaggregation - Section E '!A$7:J510,6,0)),"")</f>
        <v/>
      </c>
      <c r="H1509" s="390" t="str">
        <f ca="1">IFERROR(IF(INDEX(' Disaggregation - Section E '!F$7:F510,MATCH(C1509,' Disaggregation - Section E '!A$7:A510,0)+1,1)&lt;&gt;0,INDEX(' Disaggregation - Section E '!F$7:F510,MATCH(C1509,' Disaggregation - Section E '!A$7:A510,0)+1,1),""),"")</f>
        <v/>
      </c>
      <c r="I1509" s="391" t="str">
        <f ca="1">IFERROR(IF(VLOOKUP(C1509,' Disaggregation - Section E '!A$7:J510,8,0)=0,"",VLOOKUP(C1509,' Disaggregation - Section E '!A$7:J510,8,0)),"")</f>
        <v/>
      </c>
      <c r="J1509" s="391" t="str">
        <f ca="1">IFERROR(IF(VLOOKUP(C1509,' Disaggregation - Section E '!A$7:J510,9,0)="","",VLOOKUP(C1509,' Disaggregation - Section E '!A$7:J510,9,0)),"")</f>
        <v/>
      </c>
      <c r="K1509" s="387" t="str">
        <f ca="1">IFERROR(VLOOKUP(C1509,' Disaggregation - Section E '!A$7:J510,3,0),"")</f>
        <v>HIV I-9b Percentage of transgender people who are living with HIV</v>
      </c>
      <c r="L1509" s="391" t="str">
        <f ca="1">IFERROR(IF(VLOOKUP(C1509,' Disaggregation - Section E '!A$7:J510,10,0)="","",VLOOKUP(C1509,' Disaggregation - Section E '!A$7:J510,10,0)),"")</f>
        <v>Baseline data is not available. The IBBS survey planned for 2025 will incorporate this disaggregation +25</v>
      </c>
      <c r="M1509" s="387" t="str">
        <f ca="1">IFERROR(IF(VLOOKUP(C1509,' Disaggregation - Section E '!A$7:O510,15,0)=0,"",VLOOKUP(C1509,' Disaggregation - Section E '!A$7:O510,15,0)),"")</f>
        <v>IDR-01049</v>
      </c>
      <c r="N1509" s="387"/>
      <c r="O1509" s="387"/>
      <c r="P1509" s="387" t="str">
        <f ca="1">IFERROR(IF(VLOOKUP(C1509,' Disaggregation - Section E '!A$7:R510,18,0)=0,"",VLOOKUP(C1509,' Disaggregation - Section E '!A$7:R510,18,0)),"")</f>
        <v>a1LDm000000CazfMAC</v>
      </c>
    </row>
    <row r="1510" spans="1:16">
      <c r="A1510" s="387" t="b">
        <f t="shared" ca="1" si="163"/>
        <v>0</v>
      </c>
      <c r="B1510" s="387"/>
      <c r="C1510" s="404" t="str">
        <f ca="1">IF(COUNTA(O$1306:O1510)=1,"",OFFSET(B1510,-COUNTA(O$1306:O1510)+1,1))</f>
        <v>a1GDm000000XyQnMAK</v>
      </c>
      <c r="D1510" s="392"/>
      <c r="E1510" s="389" t="str">
        <f ca="1">IFERROR(IF(VLOOKUP(C1510,' Disaggregation - Section E '!A$7:J511,7,0)="","",VLOOKUP(C1510,' Disaggregation - Section E '!A$7:J215,7,0)*100),"")</f>
        <v/>
      </c>
      <c r="F1510" s="391" t="str">
        <f ca="1">IFERROR(IF(VLOOKUP(C1510,' Disaggregation - Section E '!A$7:J511,5,0)=0,"",VLOOKUP(C1510,' Disaggregation - Section E '!A$7:J511,5,0)),"")</f>
        <v/>
      </c>
      <c r="G1510" s="390" t="str">
        <f ca="1">IFERROR(IF(VLOOKUP(C1510,' Disaggregation - Section E '!A$7:J511,6,0)="","",VLOOKUP(C1510,' Disaggregation - Section E '!A$7:J511,6,0)),"")</f>
        <v/>
      </c>
      <c r="H1510" s="390" t="str">
        <f ca="1">IFERROR(IF(INDEX(' Disaggregation - Section E '!F$7:F511,MATCH(C1510,' Disaggregation - Section E '!A$7:A511,0)+1,1)&lt;&gt;0,INDEX(' Disaggregation - Section E '!F$7:F511,MATCH(C1510,' Disaggregation - Section E '!A$7:A511,0)+1,1),""),"")</f>
        <v/>
      </c>
      <c r="I1510" s="391" t="str">
        <f ca="1">IFERROR(IF(VLOOKUP(C1510,' Disaggregation - Section E '!A$7:J511,8,0)=0,"",VLOOKUP(C1510,' Disaggregation - Section E '!A$7:J511,8,0)),"")</f>
        <v/>
      </c>
      <c r="J1510" s="391" t="str">
        <f ca="1">IFERROR(IF(VLOOKUP(C1510,' Disaggregation - Section E '!A$7:J511,9,0)="","",VLOOKUP(C1510,' Disaggregation - Section E '!A$7:J511,9,0)),"")</f>
        <v/>
      </c>
      <c r="K1510" s="387" t="str">
        <f ca="1">IFERROR(VLOOKUP(C1510,' Disaggregation - Section E '!A$7:J511,3,0),"")</f>
        <v>HIV I-9b Percentage of transgender people who are living with HIV</v>
      </c>
      <c r="L1510" s="391" t="str">
        <f ca="1">IFERROR(IF(VLOOKUP(C1510,' Disaggregation - Section E '!A$7:J511,10,0)="","",VLOOKUP(C1510,' Disaggregation - Section E '!A$7:J511,10,0)),"")</f>
        <v/>
      </c>
      <c r="M1510" s="387" t="str">
        <f ca="1">IFERROR(IF(VLOOKUP(C1510,' Disaggregation - Section E '!A$7:O511,15,0)=0,"",VLOOKUP(C1510,' Disaggregation - Section E '!A$7:O511,15,0)),"")</f>
        <v/>
      </c>
      <c r="N1510" s="387"/>
      <c r="O1510" s="387"/>
      <c r="P1510" s="387" t="str">
        <f ca="1">IFERROR(IF(VLOOKUP(C1510,' Disaggregation - Section E '!A$7:R511,18,0)=0,"",VLOOKUP(C1510,' Disaggregation - Section E '!A$7:R511,18,0)),"")</f>
        <v/>
      </c>
    </row>
    <row r="1511" spans="1:16">
      <c r="A1511" s="387" t="b">
        <f t="shared" ca="1" si="163"/>
        <v>0</v>
      </c>
      <c r="B1511" s="387"/>
      <c r="C1511" s="404" t="str">
        <f ca="1">IF(COUNTA(O$1306:O1511)=1,"",OFFSET(B1511,-COUNTA(O$1306:O1511)+1,1))</f>
        <v>a1GDm000000XyQoMAK</v>
      </c>
      <c r="D1511" s="392"/>
      <c r="E1511" s="389" t="str">
        <f ca="1">IFERROR(IF(VLOOKUP(C1511,' Disaggregation - Section E '!A$7:J512,7,0)="","",VLOOKUP(C1511,' Disaggregation - Section E '!A$7:J216,7,0)*100),"")</f>
        <v/>
      </c>
      <c r="F1511" s="391" t="str">
        <f ca="1">IFERROR(IF(VLOOKUP(C1511,' Disaggregation - Section E '!A$7:J512,5,0)=0,"",VLOOKUP(C1511,' Disaggregation - Section E '!A$7:J512,5,0)),"")</f>
        <v/>
      </c>
      <c r="G1511" s="390" t="str">
        <f ca="1">IFERROR(IF(VLOOKUP(C1511,' Disaggregation - Section E '!A$7:J512,6,0)="","",VLOOKUP(C1511,' Disaggregation - Section E '!A$7:J512,6,0)),"")</f>
        <v/>
      </c>
      <c r="H1511" s="390" t="str">
        <f ca="1">IFERROR(IF(INDEX(' Disaggregation - Section E '!F$7:F512,MATCH(C1511,' Disaggregation - Section E '!A$7:A512,0)+1,1)&lt;&gt;0,INDEX(' Disaggregation - Section E '!F$7:F512,MATCH(C1511,' Disaggregation - Section E '!A$7:A512,0)+1,1),""),"")</f>
        <v/>
      </c>
      <c r="I1511" s="391" t="str">
        <f ca="1">IFERROR(IF(VLOOKUP(C1511,' Disaggregation - Section E '!A$7:J512,8,0)=0,"",VLOOKUP(C1511,' Disaggregation - Section E '!A$7:J512,8,0)),"")</f>
        <v/>
      </c>
      <c r="J1511" s="391" t="str">
        <f ca="1">IFERROR(IF(VLOOKUP(C1511,' Disaggregation - Section E '!A$7:J512,9,0)="","",VLOOKUP(C1511,' Disaggregation - Section E '!A$7:J512,9,0)),"")</f>
        <v/>
      </c>
      <c r="K1511" s="387" t="str">
        <f ca="1">IFERROR(VLOOKUP(C1511,' Disaggregation - Section E '!A$7:J512,3,0),"")</f>
        <v>HIV I-9b Percentage of transgender people who are living with HIV</v>
      </c>
      <c r="L1511" s="391" t="str">
        <f ca="1">IFERROR(IF(VLOOKUP(C1511,' Disaggregation - Section E '!A$7:J512,10,0)="","",VLOOKUP(C1511,' Disaggregation - Section E '!A$7:J512,10,0)),"")</f>
        <v/>
      </c>
      <c r="M1511" s="387" t="str">
        <f ca="1">IFERROR(IF(VLOOKUP(C1511,' Disaggregation - Section E '!A$7:O512,15,0)=0,"",VLOOKUP(C1511,' Disaggregation - Section E '!A$7:O512,15,0)),"")</f>
        <v/>
      </c>
      <c r="N1511" s="387"/>
      <c r="O1511" s="387"/>
      <c r="P1511" s="387" t="str">
        <f ca="1">IFERROR(IF(VLOOKUP(C1511,' Disaggregation - Section E '!A$7:R512,18,0)=0,"",VLOOKUP(C1511,' Disaggregation - Section E '!A$7:R512,18,0)),"")</f>
        <v/>
      </c>
    </row>
    <row r="1512" spans="1:16">
      <c r="A1512" s="387" t="b">
        <f t="shared" ca="1" si="163"/>
        <v>0</v>
      </c>
      <c r="B1512" s="387"/>
      <c r="C1512" s="404" t="str">
        <f ca="1">IF(COUNTA(O$1306:O1512)=1,"",OFFSET(B1512,-COUNTA(O$1306:O1512)+1,1))</f>
        <v>a1GDm000000XyQpMAK</v>
      </c>
      <c r="D1512" s="392"/>
      <c r="E1512" s="389" t="str">
        <f ca="1">IFERROR(IF(VLOOKUP(C1512,' Disaggregation - Section E '!A$7:J513,7,0)="","",VLOOKUP(C1512,' Disaggregation - Section E '!A$7:J217,7,0)*100),"")</f>
        <v/>
      </c>
      <c r="F1512" s="391" t="str">
        <f ca="1">IFERROR(IF(VLOOKUP(C1512,' Disaggregation - Section E '!A$7:J513,5,0)=0,"",VLOOKUP(C1512,' Disaggregation - Section E '!A$7:J513,5,0)),"")</f>
        <v/>
      </c>
      <c r="G1512" s="390" t="str">
        <f ca="1">IFERROR(IF(VLOOKUP(C1512,' Disaggregation - Section E '!A$7:J513,6,0)="","",VLOOKUP(C1512,' Disaggregation - Section E '!A$7:J513,6,0)),"")</f>
        <v/>
      </c>
      <c r="H1512" s="390" t="str">
        <f ca="1">IFERROR(IF(INDEX(' Disaggregation - Section E '!F$7:F513,MATCH(C1512,' Disaggregation - Section E '!A$7:A513,0)+1,1)&lt;&gt;0,INDEX(' Disaggregation - Section E '!F$7:F513,MATCH(C1512,' Disaggregation - Section E '!A$7:A513,0)+1,1),""),"")</f>
        <v/>
      </c>
      <c r="I1512" s="391" t="str">
        <f ca="1">IFERROR(IF(VLOOKUP(C1512,' Disaggregation - Section E '!A$7:J513,8,0)=0,"",VLOOKUP(C1512,' Disaggregation - Section E '!A$7:J513,8,0)),"")</f>
        <v/>
      </c>
      <c r="J1512" s="391" t="str">
        <f ca="1">IFERROR(IF(VLOOKUP(C1512,' Disaggregation - Section E '!A$7:J513,9,0)="","",VLOOKUP(C1512,' Disaggregation - Section E '!A$7:J513,9,0)),"")</f>
        <v/>
      </c>
      <c r="K1512" s="387" t="str">
        <f ca="1">IFERROR(VLOOKUP(C1512,' Disaggregation - Section E '!A$7:J513,3,0),"")</f>
        <v>HIV I-9b Percentage of transgender people who are living with HIV</v>
      </c>
      <c r="L1512" s="391" t="str">
        <f ca="1">IFERROR(IF(VLOOKUP(C1512,' Disaggregation - Section E '!A$7:J513,10,0)="","",VLOOKUP(C1512,' Disaggregation - Section E '!A$7:J513,10,0)),"")</f>
        <v/>
      </c>
      <c r="M1512" s="387" t="str">
        <f ca="1">IFERROR(IF(VLOOKUP(C1512,' Disaggregation - Section E '!A$7:O513,15,0)=0,"",VLOOKUP(C1512,' Disaggregation - Section E '!A$7:O513,15,0)),"")</f>
        <v/>
      </c>
      <c r="N1512" s="387"/>
      <c r="O1512" s="387"/>
      <c r="P1512" s="387" t="str">
        <f ca="1">IFERROR(IF(VLOOKUP(C1512,' Disaggregation - Section E '!A$7:R513,18,0)=0,"",VLOOKUP(C1512,' Disaggregation - Section E '!A$7:R513,18,0)),"")</f>
        <v/>
      </c>
    </row>
    <row r="1513" spans="1:16">
      <c r="A1513" s="387" t="b">
        <f t="shared" ca="1" si="163"/>
        <v>0</v>
      </c>
      <c r="B1513" s="387"/>
      <c r="C1513" s="404" t="str">
        <f ca="1">IF(COUNTA(O$1306:O1513)=1,"",OFFSET(B1513,-COUNTA(O$1306:O1513)+1,1))</f>
        <v>a1GDm000000XyQqMAK</v>
      </c>
      <c r="D1513" s="392"/>
      <c r="E1513" s="389" t="str">
        <f ca="1">IFERROR(IF(VLOOKUP(C1513,' Disaggregation - Section E '!A$7:J514,7,0)="","",VLOOKUP(C1513,' Disaggregation - Section E '!A$7:J218,7,0)*100),"")</f>
        <v/>
      </c>
      <c r="F1513" s="391" t="str">
        <f ca="1">IFERROR(IF(VLOOKUP(C1513,' Disaggregation - Section E '!A$7:J514,5,0)=0,"",VLOOKUP(C1513,' Disaggregation - Section E '!A$7:J514,5,0)),"")</f>
        <v/>
      </c>
      <c r="G1513" s="390" t="str">
        <f ca="1">IFERROR(IF(VLOOKUP(C1513,' Disaggregation - Section E '!A$7:J514,6,0)="","",VLOOKUP(C1513,' Disaggregation - Section E '!A$7:J514,6,0)),"")</f>
        <v/>
      </c>
      <c r="H1513" s="390" t="str">
        <f ca="1">IFERROR(IF(INDEX(' Disaggregation - Section E '!F$7:F514,MATCH(C1513,' Disaggregation - Section E '!A$7:A514,0)+1,1)&lt;&gt;0,INDEX(' Disaggregation - Section E '!F$7:F514,MATCH(C1513,' Disaggregation - Section E '!A$7:A514,0)+1,1),""),"")</f>
        <v/>
      </c>
      <c r="I1513" s="391" t="str">
        <f ca="1">IFERROR(IF(VLOOKUP(C1513,' Disaggregation - Section E '!A$7:J514,8,0)=0,"",VLOOKUP(C1513,' Disaggregation - Section E '!A$7:J514,8,0)),"")</f>
        <v/>
      </c>
      <c r="J1513" s="391" t="str">
        <f ca="1">IFERROR(IF(VLOOKUP(C1513,' Disaggregation - Section E '!A$7:J514,9,0)="","",VLOOKUP(C1513,' Disaggregation - Section E '!A$7:J514,9,0)),"")</f>
        <v/>
      </c>
      <c r="K1513" s="387" t="str">
        <f ca="1">IFERROR(VLOOKUP(C1513,' Disaggregation - Section E '!A$7:J514,3,0),"")</f>
        <v>HIV I-9b Percentage of transgender people who are living with HIV</v>
      </c>
      <c r="L1513" s="391" t="str">
        <f ca="1">IFERROR(IF(VLOOKUP(C1513,' Disaggregation - Section E '!A$7:J514,10,0)="","",VLOOKUP(C1513,' Disaggregation - Section E '!A$7:J514,10,0)),"")</f>
        <v/>
      </c>
      <c r="M1513" s="387" t="str">
        <f ca="1">IFERROR(IF(VLOOKUP(C1513,' Disaggregation - Section E '!A$7:O514,15,0)=0,"",VLOOKUP(C1513,' Disaggregation - Section E '!A$7:O514,15,0)),"")</f>
        <v/>
      </c>
      <c r="N1513" s="387"/>
      <c r="O1513" s="387"/>
      <c r="P1513" s="387" t="str">
        <f ca="1">IFERROR(IF(VLOOKUP(C1513,' Disaggregation - Section E '!A$7:R514,18,0)=0,"",VLOOKUP(C1513,' Disaggregation - Section E '!A$7:R514,18,0)),"")</f>
        <v/>
      </c>
    </row>
    <row r="1514" spans="1:16">
      <c r="A1514" s="387" t="b">
        <f t="shared" ca="1" si="163"/>
        <v>0</v>
      </c>
      <c r="B1514" s="387"/>
      <c r="C1514" s="404" t="str">
        <f ca="1">IF(COUNTA(O$1306:O1514)=1,"",OFFSET(B1514,-COUNTA(O$1306:O1514)+1,1))</f>
        <v>a1GDm000000XyQrMAK</v>
      </c>
      <c r="D1514" s="392"/>
      <c r="E1514" s="389" t="str">
        <f ca="1">IFERROR(IF(VLOOKUP(C1514,' Disaggregation - Section E '!A$7:J515,7,0)="","",VLOOKUP(C1514,' Disaggregation - Section E '!A$7:J219,7,0)*100),"")</f>
        <v/>
      </c>
      <c r="F1514" s="391" t="str">
        <f ca="1">IFERROR(IF(VLOOKUP(C1514,' Disaggregation - Section E '!A$7:J515,5,0)=0,"",VLOOKUP(C1514,' Disaggregation - Section E '!A$7:J515,5,0)),"")</f>
        <v/>
      </c>
      <c r="G1514" s="390" t="str">
        <f ca="1">IFERROR(IF(VLOOKUP(C1514,' Disaggregation - Section E '!A$7:J515,6,0)="","",VLOOKUP(C1514,' Disaggregation - Section E '!A$7:J515,6,0)),"")</f>
        <v/>
      </c>
      <c r="H1514" s="390" t="str">
        <f ca="1">IFERROR(IF(INDEX(' Disaggregation - Section E '!F$7:F515,MATCH(C1514,' Disaggregation - Section E '!A$7:A515,0)+1,1)&lt;&gt;0,INDEX(' Disaggregation - Section E '!F$7:F515,MATCH(C1514,' Disaggregation - Section E '!A$7:A515,0)+1,1),""),"")</f>
        <v/>
      </c>
      <c r="I1514" s="391" t="str">
        <f ca="1">IFERROR(IF(VLOOKUP(C1514,' Disaggregation - Section E '!A$7:J515,8,0)=0,"",VLOOKUP(C1514,' Disaggregation - Section E '!A$7:J515,8,0)),"")</f>
        <v/>
      </c>
      <c r="J1514" s="391" t="str">
        <f ca="1">IFERROR(IF(VLOOKUP(C1514,' Disaggregation - Section E '!A$7:J515,9,0)="","",VLOOKUP(C1514,' Disaggregation - Section E '!A$7:J515,9,0)),"")</f>
        <v/>
      </c>
      <c r="K1514" s="387" t="str">
        <f ca="1">IFERROR(VLOOKUP(C1514,' Disaggregation - Section E '!A$7:J515,3,0),"")</f>
        <v>HIV I-9b Percentage of transgender people who are living with HIV</v>
      </c>
      <c r="L1514" s="391" t="str">
        <f ca="1">IFERROR(IF(VLOOKUP(C1514,' Disaggregation - Section E '!A$7:J515,10,0)="","",VLOOKUP(C1514,' Disaggregation - Section E '!A$7:J515,10,0)),"")</f>
        <v/>
      </c>
      <c r="M1514" s="387" t="str">
        <f ca="1">IFERROR(IF(VLOOKUP(C1514,' Disaggregation - Section E '!A$7:O515,15,0)=0,"",VLOOKUP(C1514,' Disaggregation - Section E '!A$7:O515,15,0)),"")</f>
        <v/>
      </c>
      <c r="N1514" s="387"/>
      <c r="O1514" s="387"/>
      <c r="P1514" s="387" t="str">
        <f ca="1">IFERROR(IF(VLOOKUP(C1514,' Disaggregation - Section E '!A$7:R515,18,0)=0,"",VLOOKUP(C1514,' Disaggregation - Section E '!A$7:R515,18,0)),"")</f>
        <v/>
      </c>
    </row>
    <row r="1515" spans="1:16">
      <c r="A1515" s="387" t="b">
        <f t="shared" ca="1" si="163"/>
        <v>0</v>
      </c>
      <c r="B1515" s="387"/>
      <c r="C1515" s="404" t="str">
        <f ca="1">IF(COUNTA(O$1306:O1515)=1,"",OFFSET(B1515,-COUNTA(O$1306:O1515)+1,1))</f>
        <v>a1GDm000000XyQsMAK</v>
      </c>
      <c r="D1515" s="392"/>
      <c r="E1515" s="389" t="str">
        <f ca="1">IFERROR(IF(VLOOKUP(C1515,' Disaggregation - Section E '!A$7:J516,7,0)="","",VLOOKUP(C1515,' Disaggregation - Section E '!A$7:J220,7,0)*100),"")</f>
        <v/>
      </c>
      <c r="F1515" s="391" t="str">
        <f ca="1">IFERROR(IF(VLOOKUP(C1515,' Disaggregation - Section E '!A$7:J516,5,0)=0,"",VLOOKUP(C1515,' Disaggregation - Section E '!A$7:J516,5,0)),"")</f>
        <v/>
      </c>
      <c r="G1515" s="390" t="str">
        <f ca="1">IFERROR(IF(VLOOKUP(C1515,' Disaggregation - Section E '!A$7:J516,6,0)="","",VLOOKUP(C1515,' Disaggregation - Section E '!A$7:J516,6,0)),"")</f>
        <v/>
      </c>
      <c r="H1515" s="390" t="str">
        <f ca="1">IFERROR(IF(INDEX(' Disaggregation - Section E '!F$7:F516,MATCH(C1515,' Disaggregation - Section E '!A$7:A516,0)+1,1)&lt;&gt;0,INDEX(' Disaggregation - Section E '!F$7:F516,MATCH(C1515,' Disaggregation - Section E '!A$7:A516,0)+1,1),""),"")</f>
        <v/>
      </c>
      <c r="I1515" s="391" t="str">
        <f ca="1">IFERROR(IF(VLOOKUP(C1515,' Disaggregation - Section E '!A$7:J516,8,0)=0,"",VLOOKUP(C1515,' Disaggregation - Section E '!A$7:J516,8,0)),"")</f>
        <v/>
      </c>
      <c r="J1515" s="391" t="str">
        <f ca="1">IFERROR(IF(VLOOKUP(C1515,' Disaggregation - Section E '!A$7:J516,9,0)="","",VLOOKUP(C1515,' Disaggregation - Section E '!A$7:J516,9,0)),"")</f>
        <v/>
      </c>
      <c r="K1515" s="387" t="str">
        <f ca="1">IFERROR(VLOOKUP(C1515,' Disaggregation - Section E '!A$7:J516,3,0),"")</f>
        <v>HIV I-9b Percentage of transgender people who are living with HIV</v>
      </c>
      <c r="L1515" s="391" t="str">
        <f ca="1">IFERROR(IF(VLOOKUP(C1515,' Disaggregation - Section E '!A$7:J516,10,0)="","",VLOOKUP(C1515,' Disaggregation - Section E '!A$7:J516,10,0)),"")</f>
        <v/>
      </c>
      <c r="M1515" s="387" t="str">
        <f ca="1">IFERROR(IF(VLOOKUP(C1515,' Disaggregation - Section E '!A$7:O516,15,0)=0,"",VLOOKUP(C1515,' Disaggregation - Section E '!A$7:O516,15,0)),"")</f>
        <v/>
      </c>
      <c r="N1515" s="387"/>
      <c r="O1515" s="387"/>
      <c r="P1515" s="387" t="str">
        <f ca="1">IFERROR(IF(VLOOKUP(C1515,' Disaggregation - Section E '!A$7:R516,18,0)=0,"",VLOOKUP(C1515,' Disaggregation - Section E '!A$7:R516,18,0)),"")</f>
        <v/>
      </c>
    </row>
    <row r="1516" spans="1:16">
      <c r="A1516" s="387" t="b">
        <f t="shared" ca="1" si="163"/>
        <v>0</v>
      </c>
      <c r="B1516" s="387"/>
      <c r="C1516" s="404" t="str">
        <f ca="1">IF(COUNTA(O$1306:O1516)=1,"",OFFSET(B1516,-COUNTA(O$1306:O1516)+1,1))</f>
        <v>a1GDm000000XyQtMAK</v>
      </c>
      <c r="D1516" s="392"/>
      <c r="E1516" s="389" t="str">
        <f ca="1">IFERROR(IF(VLOOKUP(C1516,' Disaggregation - Section E '!A$7:J517,7,0)="","",VLOOKUP(C1516,' Disaggregation - Section E '!A$7:J221,7,0)*100),"")</f>
        <v/>
      </c>
      <c r="F1516" s="391" t="str">
        <f ca="1">IFERROR(IF(VLOOKUP(C1516,' Disaggregation - Section E '!A$7:J517,5,0)=0,"",VLOOKUP(C1516,' Disaggregation - Section E '!A$7:J517,5,0)),"")</f>
        <v/>
      </c>
      <c r="G1516" s="390" t="str">
        <f ca="1">IFERROR(IF(VLOOKUP(C1516,' Disaggregation - Section E '!A$7:J517,6,0)="","",VLOOKUP(C1516,' Disaggregation - Section E '!A$7:J517,6,0)),"")</f>
        <v/>
      </c>
      <c r="H1516" s="390" t="str">
        <f ca="1">IFERROR(IF(INDEX(' Disaggregation - Section E '!F$7:F517,MATCH(C1516,' Disaggregation - Section E '!A$7:A517,0)+1,1)&lt;&gt;0,INDEX(' Disaggregation - Section E '!F$7:F517,MATCH(C1516,' Disaggregation - Section E '!A$7:A517,0)+1,1),""),"")</f>
        <v/>
      </c>
      <c r="I1516" s="391" t="str">
        <f ca="1">IFERROR(IF(VLOOKUP(C1516,' Disaggregation - Section E '!A$7:J517,8,0)=0,"",VLOOKUP(C1516,' Disaggregation - Section E '!A$7:J517,8,0)),"")</f>
        <v/>
      </c>
      <c r="J1516" s="391" t="str">
        <f ca="1">IFERROR(IF(VLOOKUP(C1516,' Disaggregation - Section E '!A$7:J517,9,0)="","",VLOOKUP(C1516,' Disaggregation - Section E '!A$7:J517,9,0)),"")</f>
        <v/>
      </c>
      <c r="K1516" s="387" t="str">
        <f ca="1">IFERROR(VLOOKUP(C1516,' Disaggregation - Section E '!A$7:J517,3,0),"")</f>
        <v>HIV I-9b Percentage of transgender people who are living with HIV</v>
      </c>
      <c r="L1516" s="391" t="str">
        <f ca="1">IFERROR(IF(VLOOKUP(C1516,' Disaggregation - Section E '!A$7:J517,10,0)="","",VLOOKUP(C1516,' Disaggregation - Section E '!A$7:J517,10,0)),"")</f>
        <v/>
      </c>
      <c r="M1516" s="387" t="str">
        <f ca="1">IFERROR(IF(VLOOKUP(C1516,' Disaggregation - Section E '!A$7:O517,15,0)=0,"",VLOOKUP(C1516,' Disaggregation - Section E '!A$7:O517,15,0)),"")</f>
        <v/>
      </c>
      <c r="N1516" s="387"/>
      <c r="O1516" s="387"/>
      <c r="P1516" s="387" t="str">
        <f ca="1">IFERROR(IF(VLOOKUP(C1516,' Disaggregation - Section E '!A$7:R517,18,0)=0,"",VLOOKUP(C1516,' Disaggregation - Section E '!A$7:R517,18,0)),"")</f>
        <v/>
      </c>
    </row>
    <row r="1517" spans="1:16">
      <c r="A1517" s="387" t="b">
        <f t="shared" ca="1" si="163"/>
        <v>0</v>
      </c>
      <c r="B1517" s="387"/>
      <c r="C1517" s="404" t="str">
        <f ca="1">IF(COUNTA(O$1306:O1517)=1,"",OFFSET(B1517,-COUNTA(O$1306:O1517)+1,1))</f>
        <v>a1GDm000000XyQuMAK</v>
      </c>
      <c r="D1517" s="392"/>
      <c r="E1517" s="389" t="str">
        <f ca="1">IFERROR(IF(VLOOKUP(C1517,' Disaggregation - Section E '!A$7:J518,7,0)="","",VLOOKUP(C1517,' Disaggregation - Section E '!A$7:J222,7,0)*100),"")</f>
        <v/>
      </c>
      <c r="F1517" s="391" t="str">
        <f ca="1">IFERROR(IF(VLOOKUP(C1517,' Disaggregation - Section E '!A$7:J518,5,0)=0,"",VLOOKUP(C1517,' Disaggregation - Section E '!A$7:J518,5,0)),"")</f>
        <v/>
      </c>
      <c r="G1517" s="390" t="str">
        <f ca="1">IFERROR(IF(VLOOKUP(C1517,' Disaggregation - Section E '!A$7:J518,6,0)="","",VLOOKUP(C1517,' Disaggregation - Section E '!A$7:J518,6,0)),"")</f>
        <v/>
      </c>
      <c r="H1517" s="390" t="str">
        <f ca="1">IFERROR(IF(INDEX(' Disaggregation - Section E '!F$7:F518,MATCH(C1517,' Disaggregation - Section E '!A$7:A518,0)+1,1)&lt;&gt;0,INDEX(' Disaggregation - Section E '!F$7:F518,MATCH(C1517,' Disaggregation - Section E '!A$7:A518,0)+1,1),""),"")</f>
        <v/>
      </c>
      <c r="I1517" s="391" t="str">
        <f ca="1">IFERROR(IF(VLOOKUP(C1517,' Disaggregation - Section E '!A$7:J518,8,0)=0,"",VLOOKUP(C1517,' Disaggregation - Section E '!A$7:J518,8,0)),"")</f>
        <v/>
      </c>
      <c r="J1517" s="391" t="str">
        <f ca="1">IFERROR(IF(VLOOKUP(C1517,' Disaggregation - Section E '!A$7:J518,9,0)="","",VLOOKUP(C1517,' Disaggregation - Section E '!A$7:J518,9,0)),"")</f>
        <v/>
      </c>
      <c r="K1517" s="387" t="str">
        <f ca="1">IFERROR(VLOOKUP(C1517,' Disaggregation - Section E '!A$7:J518,3,0),"")</f>
        <v>HIV I-9b Percentage of transgender people who are living with HIV</v>
      </c>
      <c r="L1517" s="391" t="str">
        <f ca="1">IFERROR(IF(VLOOKUP(C1517,' Disaggregation - Section E '!A$7:J518,10,0)="","",VLOOKUP(C1517,' Disaggregation - Section E '!A$7:J518,10,0)),"")</f>
        <v/>
      </c>
      <c r="M1517" s="387" t="str">
        <f ca="1">IFERROR(IF(VLOOKUP(C1517,' Disaggregation - Section E '!A$7:O518,15,0)=0,"",VLOOKUP(C1517,' Disaggregation - Section E '!A$7:O518,15,0)),"")</f>
        <v/>
      </c>
      <c r="N1517" s="387"/>
      <c r="O1517" s="387"/>
      <c r="P1517" s="387" t="str">
        <f ca="1">IFERROR(IF(VLOOKUP(C1517,' Disaggregation - Section E '!A$7:R518,18,0)=0,"",VLOOKUP(C1517,' Disaggregation - Section E '!A$7:R518,18,0)),"")</f>
        <v/>
      </c>
    </row>
    <row r="1518" spans="1:16">
      <c r="A1518" s="387" t="b">
        <f t="shared" ca="1" si="163"/>
        <v>1</v>
      </c>
      <c r="B1518" s="387"/>
      <c r="C1518" s="404" t="str">
        <f ca="1">IF(COUNTA(O$1306:O1518)=1,"",OFFSET(B1518,-COUNTA(O$1306:O1518)+1,1))</f>
        <v>a1GDm000000XyQvMAK</v>
      </c>
      <c r="D1518" s="392"/>
      <c r="E1518" s="389" t="str">
        <f ca="1">IFERROR(IF(VLOOKUP(C1518,' Disaggregation - Section E '!A$7:J519,7,0)="","",VLOOKUP(C1518,' Disaggregation - Section E '!A$7:J223,7,0)*100),"")</f>
        <v/>
      </c>
      <c r="F1518" s="391" t="str">
        <f ca="1">IFERROR(IF(VLOOKUP(C1518,' Disaggregation - Section E '!A$7:J519,5,0)=0,"",VLOOKUP(C1518,' Disaggregation - Section E '!A$7:J519,5,0)),"")</f>
        <v>25+</v>
      </c>
      <c r="G1518" s="390" t="str">
        <f ca="1">IFERROR(IF(VLOOKUP(C1518,' Disaggregation - Section E '!A$7:J519,6,0)="","",VLOOKUP(C1518,' Disaggregation - Section E '!A$7:J519,6,0)),"")</f>
        <v/>
      </c>
      <c r="H1518" s="390" t="str">
        <f ca="1">IFERROR(IF(INDEX(' Disaggregation - Section E '!F$7:F519,MATCH(C1518,' Disaggregation - Section E '!A$7:A519,0)+1,1)&lt;&gt;0,INDEX(' Disaggregation - Section E '!F$7:F519,MATCH(C1518,' Disaggregation - Section E '!A$7:A519,0)+1,1),""),"")</f>
        <v/>
      </c>
      <c r="I1518" s="391" t="str">
        <f ca="1">IFERROR(IF(VLOOKUP(C1518,' Disaggregation - Section E '!A$7:J519,8,0)=0,"",VLOOKUP(C1518,' Disaggregation - Section E '!A$7:J519,8,0)),"")</f>
        <v/>
      </c>
      <c r="J1518" s="391" t="str">
        <f ca="1">IFERROR(IF(VLOOKUP(C1518,' Disaggregation - Section E '!A$7:J519,9,0)="","",VLOOKUP(C1518,' Disaggregation - Section E '!A$7:J519,9,0)),"")</f>
        <v/>
      </c>
      <c r="K1518" s="387" t="str">
        <f ca="1">IFERROR(VLOOKUP(C1518,' Disaggregation - Section E '!A$7:J519,3,0),"")</f>
        <v>HIV I-11 Percentage of people who inject drugs who are living with HIV</v>
      </c>
      <c r="L1518" s="391" t="str">
        <f ca="1">IFERROR(IF(VLOOKUP(C1518,' Disaggregation - Section E '!A$7:J519,10,0)="","",VLOOKUP(C1518,' Disaggregation - Section E '!A$7:J519,10,0)),"")</f>
        <v>Baseline data is not available. The IBBS survey planned for 2025 will incorporate this disaggregation +25</v>
      </c>
      <c r="M1518" s="387" t="str">
        <f ca="1">IFERROR(IF(VLOOKUP(C1518,' Disaggregation - Section E '!A$7:O519,15,0)=0,"",VLOOKUP(C1518,' Disaggregation - Section E '!A$7:O519,15,0)),"")</f>
        <v>IDR-01060</v>
      </c>
      <c r="N1518" s="387"/>
      <c r="O1518" s="387"/>
      <c r="P1518" s="387" t="str">
        <f ca="1">IFERROR(IF(VLOOKUP(C1518,' Disaggregation - Section E '!A$7:R519,18,0)=0,"",VLOOKUP(C1518,' Disaggregation - Section E '!A$7:R519,18,0)),"")</f>
        <v>a1LDm000000CazqMAC</v>
      </c>
    </row>
    <row r="1519" spans="1:16">
      <c r="A1519" s="387" t="b">
        <f t="shared" ca="1" si="163"/>
        <v>1</v>
      </c>
      <c r="B1519" s="387"/>
      <c r="C1519" s="404" t="str">
        <f ca="1">IF(COUNTA(O$1306:O1519)=1,"",OFFSET(B1519,-COUNTA(O$1306:O1519)+1,1))</f>
        <v>a1GDm000000XyQwMAK</v>
      </c>
      <c r="D1519" s="392"/>
      <c r="E1519" s="389" t="str">
        <f ca="1">IFERROR(IF(VLOOKUP(C1519,' Disaggregation - Section E '!A$7:J520,7,0)="","",VLOOKUP(C1519,' Disaggregation - Section E '!A$7:J224,7,0)*100),"")</f>
        <v/>
      </c>
      <c r="F1519" s="391" t="str">
        <f ca="1">IFERROR(IF(VLOOKUP(C1519,' Disaggregation - Section E '!A$7:J520,5,0)=0,"",VLOOKUP(C1519,' Disaggregation - Section E '!A$7:J520,5,0)),"")</f>
        <v>&lt;25</v>
      </c>
      <c r="G1519" s="390" t="str">
        <f ca="1">IFERROR(IF(VLOOKUP(C1519,' Disaggregation - Section E '!A$7:J520,6,0)="","",VLOOKUP(C1519,' Disaggregation - Section E '!A$7:J520,6,0)),"")</f>
        <v/>
      </c>
      <c r="H1519" s="390" t="str">
        <f ca="1">IFERROR(IF(INDEX(' Disaggregation - Section E '!F$7:F520,MATCH(C1519,' Disaggregation - Section E '!A$7:A520,0)+1,1)&lt;&gt;0,INDEX(' Disaggregation - Section E '!F$7:F520,MATCH(C1519,' Disaggregation - Section E '!A$7:A520,0)+1,1),""),"")</f>
        <v/>
      </c>
      <c r="I1519" s="391" t="str">
        <f ca="1">IFERROR(IF(VLOOKUP(C1519,' Disaggregation - Section E '!A$7:J520,8,0)=0,"",VLOOKUP(C1519,' Disaggregation - Section E '!A$7:J520,8,0)),"")</f>
        <v/>
      </c>
      <c r="J1519" s="391" t="str">
        <f ca="1">IFERROR(IF(VLOOKUP(C1519,' Disaggregation - Section E '!A$7:J520,9,0)="","",VLOOKUP(C1519,' Disaggregation - Section E '!A$7:J520,9,0)),"")</f>
        <v/>
      </c>
      <c r="K1519" s="387" t="str">
        <f ca="1">IFERROR(VLOOKUP(C1519,' Disaggregation - Section E '!A$7:J520,3,0),"")</f>
        <v>HIV I-11 Percentage of people who inject drugs who are living with HIV</v>
      </c>
      <c r="L1519" s="391" t="str">
        <f ca="1">IFERROR(IF(VLOOKUP(C1519,' Disaggregation - Section E '!A$7:J520,10,0)="","",VLOOKUP(C1519,' Disaggregation - Section E '!A$7:J520,10,0)),"")</f>
        <v>Baseline data is not available. The IBBS survey planned for 2025 will incorporate this disaggregation +25</v>
      </c>
      <c r="M1519" s="387" t="str">
        <f ca="1">IFERROR(IF(VLOOKUP(C1519,' Disaggregation - Section E '!A$7:O520,15,0)=0,"",VLOOKUP(C1519,' Disaggregation - Section E '!A$7:O520,15,0)),"")</f>
        <v>IDR-01059</v>
      </c>
      <c r="N1519" s="387"/>
      <c r="O1519" s="387"/>
      <c r="P1519" s="387" t="str">
        <f ca="1">IFERROR(IF(VLOOKUP(C1519,' Disaggregation - Section E '!A$7:R520,18,0)=0,"",VLOOKUP(C1519,' Disaggregation - Section E '!A$7:R520,18,0)),"")</f>
        <v>a1LDm000000CazpMAC</v>
      </c>
    </row>
    <row r="1520" spans="1:16">
      <c r="A1520" s="387" t="b">
        <f t="shared" ca="1" si="163"/>
        <v>1</v>
      </c>
      <c r="B1520" s="387"/>
      <c r="C1520" s="404" t="str">
        <f ca="1">IF(COUNTA(O$1306:O1520)=1,"",OFFSET(B1520,-COUNTA(O$1306:O1520)+1,1))</f>
        <v>a1GDm000000XyQxMAK</v>
      </c>
      <c r="D1520" s="392"/>
      <c r="E1520" s="389" t="str">
        <f ca="1">IFERROR(IF(VLOOKUP(C1520,' Disaggregation - Section E '!A$7:J521,7,0)="","",VLOOKUP(C1520,' Disaggregation - Section E '!A$7:J225,7,0)*100),"")</f>
        <v/>
      </c>
      <c r="F1520" s="391" t="str">
        <f ca="1">IFERROR(IF(VLOOKUP(C1520,' Disaggregation - Section E '!A$7:J521,5,0)=0,"",VLOOKUP(C1520,' Disaggregation - Section E '!A$7:J521,5,0)),"")</f>
        <v>Transgender</v>
      </c>
      <c r="G1520" s="390" t="str">
        <f ca="1">IFERROR(IF(VLOOKUP(C1520,' Disaggregation - Section E '!A$7:J521,6,0)="","",VLOOKUP(C1520,' Disaggregation - Section E '!A$7:J521,6,0)),"")</f>
        <v/>
      </c>
      <c r="H1520" s="390" t="str">
        <f ca="1">IFERROR(IF(INDEX(' Disaggregation - Section E '!F$7:F521,MATCH(C1520,' Disaggregation - Section E '!A$7:A521,0)+1,1)&lt;&gt;0,INDEX(' Disaggregation - Section E '!F$7:F521,MATCH(C1520,' Disaggregation - Section E '!A$7:A521,0)+1,1),""),"")</f>
        <v/>
      </c>
      <c r="I1520" s="391" t="str">
        <f ca="1">IFERROR(IF(VLOOKUP(C1520,' Disaggregation - Section E '!A$7:J521,8,0)=0,"",VLOOKUP(C1520,' Disaggregation - Section E '!A$7:J521,8,0)),"")</f>
        <v/>
      </c>
      <c r="J1520" s="391" t="str">
        <f ca="1">IFERROR(IF(VLOOKUP(C1520,' Disaggregation - Section E '!A$7:J521,9,0)="","",VLOOKUP(C1520,' Disaggregation - Section E '!A$7:J521,9,0)),"")</f>
        <v/>
      </c>
      <c r="K1520" s="387" t="str">
        <f ca="1">IFERROR(VLOOKUP(C1520,' Disaggregation - Section E '!A$7:J521,3,0),"")</f>
        <v>HIV I-11 Percentage of people who inject drugs who are living with HIV</v>
      </c>
      <c r="L1520" s="391" t="str">
        <f ca="1">IFERROR(IF(VLOOKUP(C1520,' Disaggregation - Section E '!A$7:J521,10,0)="","",VLOOKUP(C1520,' Disaggregation - Section E '!A$7:J521,10,0)),"")</f>
        <v>The survey did not include the transgender population. The IBBS survey planned for 2025 will integrate this population with the disaggregation by sex</v>
      </c>
      <c r="M1520" s="387" t="str">
        <f ca="1">IFERROR(IF(VLOOKUP(C1520,' Disaggregation - Section E '!A$7:O521,15,0)=0,"",VLOOKUP(C1520,' Disaggregation - Section E '!A$7:O521,15,0)),"")</f>
        <v>IDR-01058</v>
      </c>
      <c r="N1520" s="387"/>
      <c r="O1520" s="387"/>
      <c r="P1520" s="387" t="str">
        <f ca="1">IFERROR(IF(VLOOKUP(C1520,' Disaggregation - Section E '!A$7:R521,18,0)=0,"",VLOOKUP(C1520,' Disaggregation - Section E '!A$7:R521,18,0)),"")</f>
        <v>a1LDm000000CazoMAC</v>
      </c>
    </row>
    <row r="1521" spans="1:16">
      <c r="A1521" s="387" t="b">
        <f t="shared" ca="1" si="163"/>
        <v>1</v>
      </c>
      <c r="B1521" s="387"/>
      <c r="C1521" s="404" t="str">
        <f ca="1">IF(COUNTA(O$1306:O1521)=1,"",OFFSET(B1521,-COUNTA(O$1306:O1521)+1,1))</f>
        <v>a1GDm000000XyQyMAK</v>
      </c>
      <c r="D1521" s="392"/>
      <c r="E1521" s="389" t="str">
        <f ca="1">IFERROR(IF(VLOOKUP(C1521,' Disaggregation - Section E '!A$7:J522,7,0)="","",VLOOKUP(C1521,' Disaggregation - Section E '!A$7:J226,7,0)*100),"")</f>
        <v/>
      </c>
      <c r="F1521" s="391" t="str">
        <f ca="1">IFERROR(IF(VLOOKUP(C1521,' Disaggregation - Section E '!A$7:J522,5,0)=0,"",VLOOKUP(C1521,' Disaggregation - Section E '!A$7:J522,5,0)),"")</f>
        <v>Male</v>
      </c>
      <c r="G1521" s="390" t="str">
        <f ca="1">IFERROR(IF(VLOOKUP(C1521,' Disaggregation - Section E '!A$7:J522,6,0)="","",VLOOKUP(C1521,' Disaggregation - Section E '!A$7:J522,6,0)),"")</f>
        <v/>
      </c>
      <c r="H1521" s="390" t="str">
        <f ca="1">IFERROR(IF(INDEX(' Disaggregation - Section E '!F$7:F522,MATCH(C1521,' Disaggregation - Section E '!A$7:A522,0)+1,1)&lt;&gt;0,INDEX(' Disaggregation - Section E '!F$7:F522,MATCH(C1521,' Disaggregation - Section E '!A$7:A522,0)+1,1),""),"")</f>
        <v/>
      </c>
      <c r="I1521" s="391" t="str">
        <f ca="1">IFERROR(IF(VLOOKUP(C1521,' Disaggregation - Section E '!A$7:J522,8,0)=0,"",VLOOKUP(C1521,' Disaggregation - Section E '!A$7:J522,8,0)),"")</f>
        <v/>
      </c>
      <c r="J1521" s="391" t="str">
        <f ca="1">IFERROR(IF(VLOOKUP(C1521,' Disaggregation - Section E '!A$7:J522,9,0)="","",VLOOKUP(C1521,' Disaggregation - Section E '!A$7:J522,9,0)),"")</f>
        <v/>
      </c>
      <c r="K1521" s="387" t="str">
        <f ca="1">IFERROR(VLOOKUP(C1521,' Disaggregation - Section E '!A$7:J522,3,0),"")</f>
        <v>HIV I-11 Percentage of people who inject drugs who are living with HIV</v>
      </c>
      <c r="L1521" s="391" t="str">
        <f ca="1">IFERROR(IF(VLOOKUP(C1521,' Disaggregation - Section E '!A$7:J522,10,0)="","",VLOOKUP(C1521,' Disaggregation - Section E '!A$7:J522,10,0)),"")</f>
        <v>Baseline data is not available. The IBBS survey planned for 2025 will integrate this population with the disaggregation by sex</v>
      </c>
      <c r="M1521" s="387" t="str">
        <f ca="1">IFERROR(IF(VLOOKUP(C1521,' Disaggregation - Section E '!A$7:O522,15,0)=0,"",VLOOKUP(C1521,' Disaggregation - Section E '!A$7:O522,15,0)),"")</f>
        <v>IDR-01057</v>
      </c>
      <c r="N1521" s="387"/>
      <c r="O1521" s="387"/>
      <c r="P1521" s="387" t="str">
        <f ca="1">IFERROR(IF(VLOOKUP(C1521,' Disaggregation - Section E '!A$7:R522,18,0)=0,"",VLOOKUP(C1521,' Disaggregation - Section E '!A$7:R522,18,0)),"")</f>
        <v>a1LDm000000CaznMAC</v>
      </c>
    </row>
    <row r="1522" spans="1:16">
      <c r="A1522" s="387" t="b">
        <f t="shared" ref="A1522:A1585" ca="1" si="164">IF(M1522&lt;&gt;"",TRUE,FALSE)</f>
        <v>1</v>
      </c>
      <c r="B1522" s="387"/>
      <c r="C1522" s="404" t="str">
        <f ca="1">IF(COUNTA(O$1306:O1522)=1,"",OFFSET(B1522,-COUNTA(O$1306:O1522)+1,1))</f>
        <v>a1GDm000000XyQzMAK</v>
      </c>
      <c r="D1522" s="392"/>
      <c r="E1522" s="389" t="str">
        <f ca="1">IFERROR(IF(VLOOKUP(C1522,' Disaggregation - Section E '!A$7:J523,7,0)="","",VLOOKUP(C1522,' Disaggregation - Section E '!A$7:J227,7,0)*100),"")</f>
        <v/>
      </c>
      <c r="F1522" s="391" t="str">
        <f ca="1">IFERROR(IF(VLOOKUP(C1522,' Disaggregation - Section E '!A$7:J523,5,0)=0,"",VLOOKUP(C1522,' Disaggregation - Section E '!A$7:J523,5,0)),"")</f>
        <v>Female</v>
      </c>
      <c r="G1522" s="390" t="str">
        <f ca="1">IFERROR(IF(VLOOKUP(C1522,' Disaggregation - Section E '!A$7:J523,6,0)="","",VLOOKUP(C1522,' Disaggregation - Section E '!A$7:J523,6,0)),"")</f>
        <v/>
      </c>
      <c r="H1522" s="390" t="str">
        <f ca="1">IFERROR(IF(INDEX(' Disaggregation - Section E '!F$7:F523,MATCH(C1522,' Disaggregation - Section E '!A$7:A523,0)+1,1)&lt;&gt;0,INDEX(' Disaggregation - Section E '!F$7:F523,MATCH(C1522,' Disaggregation - Section E '!A$7:A523,0)+1,1),""),"")</f>
        <v/>
      </c>
      <c r="I1522" s="391" t="str">
        <f ca="1">IFERROR(IF(VLOOKUP(C1522,' Disaggregation - Section E '!A$7:J523,8,0)=0,"",VLOOKUP(C1522,' Disaggregation - Section E '!A$7:J523,8,0)),"")</f>
        <v/>
      </c>
      <c r="J1522" s="391" t="str">
        <f ca="1">IFERROR(IF(VLOOKUP(C1522,' Disaggregation - Section E '!A$7:J523,9,0)="","",VLOOKUP(C1522,' Disaggregation - Section E '!A$7:J523,9,0)),"")</f>
        <v/>
      </c>
      <c r="K1522" s="387" t="str">
        <f ca="1">IFERROR(VLOOKUP(C1522,' Disaggregation - Section E '!A$7:J523,3,0),"")</f>
        <v>HIV I-11 Percentage of people who inject drugs who are living with HIV</v>
      </c>
      <c r="L1522" s="391" t="str">
        <f ca="1">IFERROR(IF(VLOOKUP(C1522,' Disaggregation - Section E '!A$7:J523,10,0)="","",VLOOKUP(C1522,' Disaggregation - Section E '!A$7:J523,10,0)),"")</f>
        <v>Baseline data is not available. The IBBS survey planned for 2025 will integrate this population with the disaggregation by sex</v>
      </c>
      <c r="M1522" s="387" t="str">
        <f ca="1">IFERROR(IF(VLOOKUP(C1522,' Disaggregation - Section E '!A$7:O523,15,0)=0,"",VLOOKUP(C1522,' Disaggregation - Section E '!A$7:O523,15,0)),"")</f>
        <v>IDR-01056</v>
      </c>
      <c r="N1522" s="387"/>
      <c r="O1522" s="387"/>
      <c r="P1522" s="387" t="str">
        <f ca="1">IFERROR(IF(VLOOKUP(C1522,' Disaggregation - Section E '!A$7:R523,18,0)=0,"",VLOOKUP(C1522,' Disaggregation - Section E '!A$7:R523,18,0)),"")</f>
        <v>a1LDm000000CazmMAC</v>
      </c>
    </row>
    <row r="1523" spans="1:16">
      <c r="A1523" s="387" t="b">
        <f t="shared" ca="1" si="164"/>
        <v>0</v>
      </c>
      <c r="B1523" s="387"/>
      <c r="C1523" s="404" t="str">
        <f ca="1">IF(COUNTA(O$1306:O1523)=1,"",OFFSET(B1523,-COUNTA(O$1306:O1523)+1,1))</f>
        <v>a1GDm000000XyR0MAK</v>
      </c>
      <c r="D1523" s="392"/>
      <c r="E1523" s="389" t="str">
        <f ca="1">IFERROR(IF(VLOOKUP(C1523,' Disaggregation - Section E '!A$7:J524,7,0)="","",VLOOKUP(C1523,' Disaggregation - Section E '!A$7:J228,7,0)*100),"")</f>
        <v/>
      </c>
      <c r="F1523" s="391" t="str">
        <f ca="1">IFERROR(IF(VLOOKUP(C1523,' Disaggregation - Section E '!A$7:J524,5,0)=0,"",VLOOKUP(C1523,' Disaggregation - Section E '!A$7:J524,5,0)),"")</f>
        <v/>
      </c>
      <c r="G1523" s="390" t="str">
        <f ca="1">IFERROR(IF(VLOOKUP(C1523,' Disaggregation - Section E '!A$7:J524,6,0)="","",VLOOKUP(C1523,' Disaggregation - Section E '!A$7:J524,6,0)),"")</f>
        <v/>
      </c>
      <c r="H1523" s="390" t="str">
        <f ca="1">IFERROR(IF(INDEX(' Disaggregation - Section E '!F$7:F524,MATCH(C1523,' Disaggregation - Section E '!A$7:A524,0)+1,1)&lt;&gt;0,INDEX(' Disaggregation - Section E '!F$7:F524,MATCH(C1523,' Disaggregation - Section E '!A$7:A524,0)+1,1),""),"")</f>
        <v/>
      </c>
      <c r="I1523" s="391" t="str">
        <f ca="1">IFERROR(IF(VLOOKUP(C1523,' Disaggregation - Section E '!A$7:J524,8,0)=0,"",VLOOKUP(C1523,' Disaggregation - Section E '!A$7:J524,8,0)),"")</f>
        <v/>
      </c>
      <c r="J1523" s="391" t="str">
        <f ca="1">IFERROR(IF(VLOOKUP(C1523,' Disaggregation - Section E '!A$7:J524,9,0)="","",VLOOKUP(C1523,' Disaggregation - Section E '!A$7:J524,9,0)),"")</f>
        <v/>
      </c>
      <c r="K1523" s="387" t="str">
        <f ca="1">IFERROR(VLOOKUP(C1523,' Disaggregation - Section E '!A$7:J524,3,0),"")</f>
        <v>HIV I-11 Percentage of people who inject drugs who are living with HIV</v>
      </c>
      <c r="L1523" s="391" t="str">
        <f ca="1">IFERROR(IF(VLOOKUP(C1523,' Disaggregation - Section E '!A$7:J524,10,0)="","",VLOOKUP(C1523,' Disaggregation - Section E '!A$7:J524,10,0)),"")</f>
        <v/>
      </c>
      <c r="M1523" s="387" t="str">
        <f ca="1">IFERROR(IF(VLOOKUP(C1523,' Disaggregation - Section E '!A$7:O524,15,0)=0,"",VLOOKUP(C1523,' Disaggregation - Section E '!A$7:O524,15,0)),"")</f>
        <v/>
      </c>
      <c r="N1523" s="387"/>
      <c r="O1523" s="387"/>
      <c r="P1523" s="387" t="str">
        <f ca="1">IFERROR(IF(VLOOKUP(C1523,' Disaggregation - Section E '!A$7:R524,18,0)=0,"",VLOOKUP(C1523,' Disaggregation - Section E '!A$7:R524,18,0)),"")</f>
        <v/>
      </c>
    </row>
    <row r="1524" spans="1:16">
      <c r="A1524" s="387" t="b">
        <f t="shared" ca="1" si="164"/>
        <v>0</v>
      </c>
      <c r="B1524" s="387"/>
      <c r="C1524" s="404" t="str">
        <f ca="1">IF(COUNTA(O$1306:O1524)=1,"",OFFSET(B1524,-COUNTA(O$1306:O1524)+1,1))</f>
        <v>a1GDm000000XyR1MAK</v>
      </c>
      <c r="D1524" s="392"/>
      <c r="E1524" s="389" t="str">
        <f ca="1">IFERROR(IF(VLOOKUP(C1524,' Disaggregation - Section E '!A$7:J525,7,0)="","",VLOOKUP(C1524,' Disaggregation - Section E '!A$7:J229,7,0)*100),"")</f>
        <v/>
      </c>
      <c r="F1524" s="391" t="str">
        <f ca="1">IFERROR(IF(VLOOKUP(C1524,' Disaggregation - Section E '!A$7:J525,5,0)=0,"",VLOOKUP(C1524,' Disaggregation - Section E '!A$7:J525,5,0)),"")</f>
        <v/>
      </c>
      <c r="G1524" s="390" t="str">
        <f ca="1">IFERROR(IF(VLOOKUP(C1524,' Disaggregation - Section E '!A$7:J525,6,0)="","",VLOOKUP(C1524,' Disaggregation - Section E '!A$7:J525,6,0)),"")</f>
        <v/>
      </c>
      <c r="H1524" s="390" t="str">
        <f ca="1">IFERROR(IF(INDEX(' Disaggregation - Section E '!F$7:F525,MATCH(C1524,' Disaggregation - Section E '!A$7:A525,0)+1,1)&lt;&gt;0,INDEX(' Disaggregation - Section E '!F$7:F525,MATCH(C1524,' Disaggregation - Section E '!A$7:A525,0)+1,1),""),"")</f>
        <v/>
      </c>
      <c r="I1524" s="391" t="str">
        <f ca="1">IFERROR(IF(VLOOKUP(C1524,' Disaggregation - Section E '!A$7:J525,8,0)=0,"",VLOOKUP(C1524,' Disaggregation - Section E '!A$7:J525,8,0)),"")</f>
        <v/>
      </c>
      <c r="J1524" s="391" t="str">
        <f ca="1">IFERROR(IF(VLOOKUP(C1524,' Disaggregation - Section E '!A$7:J525,9,0)="","",VLOOKUP(C1524,' Disaggregation - Section E '!A$7:J525,9,0)),"")</f>
        <v/>
      </c>
      <c r="K1524" s="387" t="str">
        <f ca="1">IFERROR(VLOOKUP(C1524,' Disaggregation - Section E '!A$7:J525,3,0),"")</f>
        <v>HIV I-11 Percentage of people who inject drugs who are living with HIV</v>
      </c>
      <c r="L1524" s="391" t="str">
        <f ca="1">IFERROR(IF(VLOOKUP(C1524,' Disaggregation - Section E '!A$7:J525,10,0)="","",VLOOKUP(C1524,' Disaggregation - Section E '!A$7:J525,10,0)),"")</f>
        <v/>
      </c>
      <c r="M1524" s="387" t="str">
        <f ca="1">IFERROR(IF(VLOOKUP(C1524,' Disaggregation - Section E '!A$7:O525,15,0)=0,"",VLOOKUP(C1524,' Disaggregation - Section E '!A$7:O525,15,0)),"")</f>
        <v/>
      </c>
      <c r="N1524" s="387"/>
      <c r="O1524" s="387"/>
      <c r="P1524" s="387" t="str">
        <f ca="1">IFERROR(IF(VLOOKUP(C1524,' Disaggregation - Section E '!A$7:R525,18,0)=0,"",VLOOKUP(C1524,' Disaggregation - Section E '!A$7:R525,18,0)),"")</f>
        <v/>
      </c>
    </row>
    <row r="1525" spans="1:16">
      <c r="A1525" s="387" t="b">
        <f t="shared" ca="1" si="164"/>
        <v>0</v>
      </c>
      <c r="B1525" s="387"/>
      <c r="C1525" s="404" t="str">
        <f ca="1">IF(COUNTA(O$1306:O1525)=1,"",OFFSET(B1525,-COUNTA(O$1306:O1525)+1,1))</f>
        <v>a1GDm000000XyR2MAK</v>
      </c>
      <c r="D1525" s="392"/>
      <c r="E1525" s="389" t="str">
        <f ca="1">IFERROR(IF(VLOOKUP(C1525,' Disaggregation - Section E '!A$7:J526,7,0)="","",VLOOKUP(C1525,' Disaggregation - Section E '!A$7:J230,7,0)*100),"")</f>
        <v/>
      </c>
      <c r="F1525" s="391" t="str">
        <f ca="1">IFERROR(IF(VLOOKUP(C1525,' Disaggregation - Section E '!A$7:J526,5,0)=0,"",VLOOKUP(C1525,' Disaggregation - Section E '!A$7:J526,5,0)),"")</f>
        <v/>
      </c>
      <c r="G1525" s="390" t="str">
        <f ca="1">IFERROR(IF(VLOOKUP(C1525,' Disaggregation - Section E '!A$7:J526,6,0)="","",VLOOKUP(C1525,' Disaggregation - Section E '!A$7:J526,6,0)),"")</f>
        <v/>
      </c>
      <c r="H1525" s="390" t="str">
        <f ca="1">IFERROR(IF(INDEX(' Disaggregation - Section E '!F$7:F526,MATCH(C1525,' Disaggregation - Section E '!A$7:A526,0)+1,1)&lt;&gt;0,INDEX(' Disaggregation - Section E '!F$7:F526,MATCH(C1525,' Disaggregation - Section E '!A$7:A526,0)+1,1),""),"")</f>
        <v/>
      </c>
      <c r="I1525" s="391" t="str">
        <f ca="1">IFERROR(IF(VLOOKUP(C1525,' Disaggregation - Section E '!A$7:J526,8,0)=0,"",VLOOKUP(C1525,' Disaggregation - Section E '!A$7:J526,8,0)),"")</f>
        <v/>
      </c>
      <c r="J1525" s="391" t="str">
        <f ca="1">IFERROR(IF(VLOOKUP(C1525,' Disaggregation - Section E '!A$7:J526,9,0)="","",VLOOKUP(C1525,' Disaggregation - Section E '!A$7:J526,9,0)),"")</f>
        <v/>
      </c>
      <c r="K1525" s="387" t="str">
        <f ca="1">IFERROR(VLOOKUP(C1525,' Disaggregation - Section E '!A$7:J526,3,0),"")</f>
        <v>HIV I-11 Percentage of people who inject drugs who are living with HIV</v>
      </c>
      <c r="L1525" s="391" t="str">
        <f ca="1">IFERROR(IF(VLOOKUP(C1525,' Disaggregation - Section E '!A$7:J526,10,0)="","",VLOOKUP(C1525,' Disaggregation - Section E '!A$7:J526,10,0)),"")</f>
        <v/>
      </c>
      <c r="M1525" s="387" t="str">
        <f ca="1">IFERROR(IF(VLOOKUP(C1525,' Disaggregation - Section E '!A$7:O526,15,0)=0,"",VLOOKUP(C1525,' Disaggregation - Section E '!A$7:O526,15,0)),"")</f>
        <v/>
      </c>
      <c r="N1525" s="387"/>
      <c r="O1525" s="387"/>
      <c r="P1525" s="387" t="str">
        <f ca="1">IFERROR(IF(VLOOKUP(C1525,' Disaggregation - Section E '!A$7:R526,18,0)=0,"",VLOOKUP(C1525,' Disaggregation - Section E '!A$7:R526,18,0)),"")</f>
        <v/>
      </c>
    </row>
    <row r="1526" spans="1:16">
      <c r="A1526" s="387" t="b">
        <f t="shared" ca="1" si="164"/>
        <v>0</v>
      </c>
      <c r="B1526" s="387"/>
      <c r="C1526" s="404" t="str">
        <f ca="1">IF(COUNTA(O$1306:O1526)=1,"",OFFSET(B1526,-COUNTA(O$1306:O1526)+1,1))</f>
        <v>a1GDm000000XyR3MAK</v>
      </c>
      <c r="D1526" s="392"/>
      <c r="E1526" s="389" t="str">
        <f ca="1">IFERROR(IF(VLOOKUP(C1526,' Disaggregation - Section E '!A$7:J527,7,0)="","",VLOOKUP(C1526,' Disaggregation - Section E '!A$7:J231,7,0)*100),"")</f>
        <v/>
      </c>
      <c r="F1526" s="391" t="str">
        <f ca="1">IFERROR(IF(VLOOKUP(C1526,' Disaggregation - Section E '!A$7:J527,5,0)=0,"",VLOOKUP(C1526,' Disaggregation - Section E '!A$7:J527,5,0)),"")</f>
        <v/>
      </c>
      <c r="G1526" s="390" t="str">
        <f ca="1">IFERROR(IF(VLOOKUP(C1526,' Disaggregation - Section E '!A$7:J527,6,0)="","",VLOOKUP(C1526,' Disaggregation - Section E '!A$7:J527,6,0)),"")</f>
        <v/>
      </c>
      <c r="H1526" s="390" t="str">
        <f ca="1">IFERROR(IF(INDEX(' Disaggregation - Section E '!F$7:F527,MATCH(C1526,' Disaggregation - Section E '!A$7:A527,0)+1,1)&lt;&gt;0,INDEX(' Disaggregation - Section E '!F$7:F527,MATCH(C1526,' Disaggregation - Section E '!A$7:A527,0)+1,1),""),"")</f>
        <v/>
      </c>
      <c r="I1526" s="391" t="str">
        <f ca="1">IFERROR(IF(VLOOKUP(C1526,' Disaggregation - Section E '!A$7:J527,8,0)=0,"",VLOOKUP(C1526,' Disaggregation - Section E '!A$7:J527,8,0)),"")</f>
        <v/>
      </c>
      <c r="J1526" s="391" t="str">
        <f ca="1">IFERROR(IF(VLOOKUP(C1526,' Disaggregation - Section E '!A$7:J527,9,0)="","",VLOOKUP(C1526,' Disaggregation - Section E '!A$7:J527,9,0)),"")</f>
        <v/>
      </c>
      <c r="K1526" s="387" t="str">
        <f ca="1">IFERROR(VLOOKUP(C1526,' Disaggregation - Section E '!A$7:J527,3,0),"")</f>
        <v>HIV I-11 Percentage of people who inject drugs who are living with HIV</v>
      </c>
      <c r="L1526" s="391" t="str">
        <f ca="1">IFERROR(IF(VLOOKUP(C1526,' Disaggregation - Section E '!A$7:J527,10,0)="","",VLOOKUP(C1526,' Disaggregation - Section E '!A$7:J527,10,0)),"")</f>
        <v/>
      </c>
      <c r="M1526" s="387" t="str">
        <f ca="1">IFERROR(IF(VLOOKUP(C1526,' Disaggregation - Section E '!A$7:O527,15,0)=0,"",VLOOKUP(C1526,' Disaggregation - Section E '!A$7:O527,15,0)),"")</f>
        <v/>
      </c>
      <c r="N1526" s="387"/>
      <c r="O1526" s="387"/>
      <c r="P1526" s="387" t="str">
        <f ca="1">IFERROR(IF(VLOOKUP(C1526,' Disaggregation - Section E '!A$7:R527,18,0)=0,"",VLOOKUP(C1526,' Disaggregation - Section E '!A$7:R527,18,0)),"")</f>
        <v/>
      </c>
    </row>
    <row r="1527" spans="1:16">
      <c r="A1527" s="387" t="b">
        <f t="shared" ca="1" si="164"/>
        <v>0</v>
      </c>
      <c r="B1527" s="387"/>
      <c r="C1527" s="404" t="str">
        <f ca="1">IF(COUNTA(O$1306:O1527)=1,"",OFFSET(B1527,-COUNTA(O$1306:O1527)+1,1))</f>
        <v>a1GDm000000XyR4MAK</v>
      </c>
      <c r="D1527" s="392"/>
      <c r="E1527" s="389" t="str">
        <f ca="1">IFERROR(IF(VLOOKUP(C1527,' Disaggregation - Section E '!A$7:J528,7,0)="","",VLOOKUP(C1527,' Disaggregation - Section E '!A$7:J232,7,0)*100),"")</f>
        <v/>
      </c>
      <c r="F1527" s="391" t="str">
        <f ca="1">IFERROR(IF(VLOOKUP(C1527,' Disaggregation - Section E '!A$7:J528,5,0)=0,"",VLOOKUP(C1527,' Disaggregation - Section E '!A$7:J528,5,0)),"")</f>
        <v/>
      </c>
      <c r="G1527" s="390" t="str">
        <f ca="1">IFERROR(IF(VLOOKUP(C1527,' Disaggregation - Section E '!A$7:J528,6,0)="","",VLOOKUP(C1527,' Disaggregation - Section E '!A$7:J528,6,0)),"")</f>
        <v/>
      </c>
      <c r="H1527" s="390" t="str">
        <f ca="1">IFERROR(IF(INDEX(' Disaggregation - Section E '!F$7:F528,MATCH(C1527,' Disaggregation - Section E '!A$7:A528,0)+1,1)&lt;&gt;0,INDEX(' Disaggregation - Section E '!F$7:F528,MATCH(C1527,' Disaggregation - Section E '!A$7:A528,0)+1,1),""),"")</f>
        <v/>
      </c>
      <c r="I1527" s="391" t="str">
        <f ca="1">IFERROR(IF(VLOOKUP(C1527,' Disaggregation - Section E '!A$7:J528,8,0)=0,"",VLOOKUP(C1527,' Disaggregation - Section E '!A$7:J528,8,0)),"")</f>
        <v/>
      </c>
      <c r="J1527" s="391" t="str">
        <f ca="1">IFERROR(IF(VLOOKUP(C1527,' Disaggregation - Section E '!A$7:J528,9,0)="","",VLOOKUP(C1527,' Disaggregation - Section E '!A$7:J528,9,0)),"")</f>
        <v/>
      </c>
      <c r="K1527" s="387" t="str">
        <f ca="1">IFERROR(VLOOKUP(C1527,' Disaggregation - Section E '!A$7:J528,3,0),"")</f>
        <v>HIV I-11 Percentage of people who inject drugs who are living with HIV</v>
      </c>
      <c r="L1527" s="391" t="str">
        <f ca="1">IFERROR(IF(VLOOKUP(C1527,' Disaggregation - Section E '!A$7:J528,10,0)="","",VLOOKUP(C1527,' Disaggregation - Section E '!A$7:J528,10,0)),"")</f>
        <v/>
      </c>
      <c r="M1527" s="387" t="str">
        <f ca="1">IFERROR(IF(VLOOKUP(C1527,' Disaggregation - Section E '!A$7:O528,15,0)=0,"",VLOOKUP(C1527,' Disaggregation - Section E '!A$7:O528,15,0)),"")</f>
        <v/>
      </c>
      <c r="N1527" s="387"/>
      <c r="O1527" s="387"/>
      <c r="P1527" s="387" t="str">
        <f ca="1">IFERROR(IF(VLOOKUP(C1527,' Disaggregation - Section E '!A$7:R528,18,0)=0,"",VLOOKUP(C1527,' Disaggregation - Section E '!A$7:R528,18,0)),"")</f>
        <v/>
      </c>
    </row>
    <row r="1528" spans="1:16">
      <c r="A1528" s="387" t="b">
        <f t="shared" ca="1" si="164"/>
        <v>1</v>
      </c>
      <c r="B1528" s="387"/>
      <c r="C1528" s="404" t="str">
        <f ca="1">IF(COUNTA(O$1306:O1528)=1,"",OFFSET(B1528,-COUNTA(O$1306:O1528)+1,1))</f>
        <v>a1GDm000000XyR5MAK</v>
      </c>
      <c r="D1528" s="392"/>
      <c r="E1528" s="389">
        <f ca="1">IFERROR(IF(VLOOKUP(C1528,' Disaggregation - Section E '!A$7:J529,7,0)="","",VLOOKUP(C1528,' Disaggregation - Section E '!A$7:J233,7,0)*100),"")</f>
        <v>0.66</v>
      </c>
      <c r="F1528" s="391" t="str">
        <f ca="1">IFERROR(IF(VLOOKUP(C1528,' Disaggregation - Section E '!A$7:J529,5,0)=0,"",VLOOKUP(C1528,' Disaggregation - Section E '!A$7:J529,5,0)),"")</f>
        <v>15+</v>
      </c>
      <c r="G1528" s="390" t="str">
        <f ca="1">IFERROR(IF(VLOOKUP(C1528,' Disaggregation - Section E '!A$7:J529,6,0)="","",VLOOKUP(C1528,' Disaggregation - Section E '!A$7:J529,6,0)),"")</f>
        <v/>
      </c>
      <c r="H1528" s="390" t="str">
        <f ca="1">IFERROR(IF(INDEX(' Disaggregation - Section E '!F$7:F529,MATCH(C1528,' Disaggregation - Section E '!A$7:A529,0)+1,1)&lt;&gt;0,INDEX(' Disaggregation - Section E '!F$7:F529,MATCH(C1528,' Disaggregation - Section E '!A$7:A529,0)+1,1),""),"")</f>
        <v/>
      </c>
      <c r="I1528" s="391">
        <f ca="1">IFERROR(IF(VLOOKUP(C1528,' Disaggregation - Section E '!A$7:J529,8,0)=0,"",VLOOKUP(C1528,' Disaggregation - Section E '!A$7:J529,8,0)),"")</f>
        <v>2022</v>
      </c>
      <c r="J1528" s="391" t="str">
        <f ca="1">IFERROR(IF(VLOOKUP(C1528,' Disaggregation - Section E '!A$7:J529,9,0)="","",VLOOKUP(C1528,' Disaggregation - Section E '!A$7:J529,9,0)),"")</f>
        <v>Spectrum v6.26</v>
      </c>
      <c r="K1528" s="387" t="str">
        <f ca="1">IFERROR(VLOOKUP(C1528,' Disaggregation - Section E '!A$7:J529,3,0),"")</f>
        <v>HIV I-13 Percentage of people living with HIV</v>
      </c>
      <c r="L1528" s="391" t="str">
        <f ca="1">IFERROR(IF(VLOOKUP(C1528,' Disaggregation - Section E '!A$7:J529,10,0)="","",VLOOKUP(C1528,' Disaggregation - Section E '!A$7:J529,10,0)),"")</f>
        <v>Data is from Spectrum v6.26</v>
      </c>
      <c r="M1528" s="387" t="str">
        <f ca="1">IFERROR(IF(VLOOKUP(C1528,' Disaggregation - Section E '!A$7:O529,15,0)=0,"",VLOOKUP(C1528,' Disaggregation - Section E '!A$7:O529,15,0)),"")</f>
        <v>IDR-01029</v>
      </c>
      <c r="N1528" s="387"/>
      <c r="O1528" s="387"/>
      <c r="P1528" s="387" t="str">
        <f ca="1">IFERROR(IF(VLOOKUP(C1528,' Disaggregation - Section E '!A$7:R529,18,0)=0,"",VLOOKUP(C1528,' Disaggregation - Section E '!A$7:R529,18,0)),"")</f>
        <v>a1LDm000000CazLMAS</v>
      </c>
    </row>
    <row r="1529" spans="1:16">
      <c r="A1529" s="387" t="b">
        <f t="shared" ca="1" si="164"/>
        <v>1</v>
      </c>
      <c r="B1529" s="387"/>
      <c r="C1529" s="404" t="str">
        <f ca="1">IF(COUNTA(O$1306:O1529)=1,"",OFFSET(B1529,-COUNTA(O$1306:O1529)+1,1))</f>
        <v>a1GDm000000XyR6MAK</v>
      </c>
      <c r="D1529" s="392"/>
      <c r="E1529" s="389" t="str">
        <f ca="1">IFERROR(IF(VLOOKUP(C1529,' Disaggregation - Section E '!A$7:J530,7,0)="","",VLOOKUP(C1529,' Disaggregation - Section E '!A$7:J234,7,0)*100),"")</f>
        <v/>
      </c>
      <c r="F1529" s="391" t="str">
        <f ca="1">IFERROR(IF(VLOOKUP(C1529,' Disaggregation - Section E '!A$7:J530,5,0)=0,"",VLOOKUP(C1529,' Disaggregation - Section E '!A$7:J530,5,0)),"")</f>
        <v>&lt;15</v>
      </c>
      <c r="G1529" s="390" t="str">
        <f ca="1">IFERROR(IF(VLOOKUP(C1529,' Disaggregation - Section E '!A$7:J530,6,0)="","",VLOOKUP(C1529,' Disaggregation - Section E '!A$7:J530,6,0)),"")</f>
        <v/>
      </c>
      <c r="H1529" s="390" t="str">
        <f ca="1">IFERROR(IF(INDEX(' Disaggregation - Section E '!F$7:F530,MATCH(C1529,' Disaggregation - Section E '!A$7:A530,0)+1,1)&lt;&gt;0,INDEX(' Disaggregation - Section E '!F$7:F530,MATCH(C1529,' Disaggregation - Section E '!A$7:A530,0)+1,1),""),"")</f>
        <v/>
      </c>
      <c r="I1529" s="391" t="str">
        <f ca="1">IFERROR(IF(VLOOKUP(C1529,' Disaggregation - Section E '!A$7:J530,8,0)=0,"",VLOOKUP(C1529,' Disaggregation - Section E '!A$7:J530,8,0)),"")</f>
        <v/>
      </c>
      <c r="J1529" s="391" t="str">
        <f ca="1">IFERROR(IF(VLOOKUP(C1529,' Disaggregation - Section E '!A$7:J530,9,0)="","",VLOOKUP(C1529,' Disaggregation - Section E '!A$7:J530,9,0)),"")</f>
        <v/>
      </c>
      <c r="K1529" s="387" t="str">
        <f ca="1">IFERROR(VLOOKUP(C1529,' Disaggregation - Section E '!A$7:J530,3,0),"")</f>
        <v>HIV I-13 Percentage of people living with HIV</v>
      </c>
      <c r="L1529" s="391" t="str">
        <f ca="1">IFERROR(IF(VLOOKUP(C1529,' Disaggregation - Section E '!A$7:J530,10,0)="","",VLOOKUP(C1529,' Disaggregation - Section E '!A$7:J530,10,0)),"")</f>
        <v>Data cannot be generated by Spectrum v6.26</v>
      </c>
      <c r="M1529" s="387" t="str">
        <f ca="1">IFERROR(IF(VLOOKUP(C1529,' Disaggregation - Section E '!A$7:O530,15,0)=0,"",VLOOKUP(C1529,' Disaggregation - Section E '!A$7:O530,15,0)),"")</f>
        <v>IDR-01028</v>
      </c>
      <c r="N1529" s="387"/>
      <c r="O1529" s="387"/>
      <c r="P1529" s="387" t="str">
        <f ca="1">IFERROR(IF(VLOOKUP(C1529,' Disaggregation - Section E '!A$7:R530,18,0)=0,"",VLOOKUP(C1529,' Disaggregation - Section E '!A$7:R530,18,0)),"")</f>
        <v>a1LDm000000CazKMAS</v>
      </c>
    </row>
    <row r="1530" spans="1:16">
      <c r="A1530" s="387" t="b">
        <f t="shared" ca="1" si="164"/>
        <v>1</v>
      </c>
      <c r="B1530" s="387"/>
      <c r="C1530" s="404" t="str">
        <f ca="1">IF(COUNTA(O$1306:O1530)=1,"",OFFSET(B1530,-COUNTA(O$1306:O1530)+1,1))</f>
        <v>a1GDm000000XyR7MAK</v>
      </c>
      <c r="D1530" s="392"/>
      <c r="E1530" s="389" t="str">
        <f ca="1">IFERROR(IF(VLOOKUP(C1530,' Disaggregation - Section E '!A$7:J531,7,0)="","",VLOOKUP(C1530,' Disaggregation - Section E '!A$7:J235,7,0)*100),"")</f>
        <v/>
      </c>
      <c r="F1530" s="391" t="str">
        <f ca="1">IFERROR(IF(VLOOKUP(C1530,' Disaggregation - Section E '!A$7:J531,5,0)=0,"",VLOOKUP(C1530,' Disaggregation - Section E '!A$7:J531,5,0)),"")</f>
        <v>Male 20-24</v>
      </c>
      <c r="G1530" s="390" t="str">
        <f ca="1">IFERROR(IF(VLOOKUP(C1530,' Disaggregation - Section E '!A$7:J531,6,0)="","",VLOOKUP(C1530,' Disaggregation - Section E '!A$7:J531,6,0)),"")</f>
        <v/>
      </c>
      <c r="H1530" s="390" t="str">
        <f ca="1">IFERROR(IF(INDEX(' Disaggregation - Section E '!F$7:F531,MATCH(C1530,' Disaggregation - Section E '!A$7:A531,0)+1,1)&lt;&gt;0,INDEX(' Disaggregation - Section E '!F$7:F531,MATCH(C1530,' Disaggregation - Section E '!A$7:A531,0)+1,1),""),"")</f>
        <v/>
      </c>
      <c r="I1530" s="391" t="str">
        <f ca="1">IFERROR(IF(VLOOKUP(C1530,' Disaggregation - Section E '!A$7:J531,8,0)=0,"",VLOOKUP(C1530,' Disaggregation - Section E '!A$7:J531,8,0)),"")</f>
        <v/>
      </c>
      <c r="J1530" s="391" t="str">
        <f ca="1">IFERROR(IF(VLOOKUP(C1530,' Disaggregation - Section E '!A$7:J531,9,0)="","",VLOOKUP(C1530,' Disaggregation - Section E '!A$7:J531,9,0)),"")</f>
        <v/>
      </c>
      <c r="K1530" s="387" t="str">
        <f ca="1">IFERROR(VLOOKUP(C1530,' Disaggregation - Section E '!A$7:J531,3,0),"")</f>
        <v>HIV I-13 Percentage of people living with HIV</v>
      </c>
      <c r="L1530" s="391" t="str">
        <f ca="1">IFERROR(IF(VLOOKUP(C1530,' Disaggregation - Section E '!A$7:J531,10,0)="","",VLOOKUP(C1530,' Disaggregation - Section E '!A$7:J531,10,0)),"")</f>
        <v>Data cannot be generated by Spectrum v6.26</v>
      </c>
      <c r="M1530" s="387" t="str">
        <f ca="1">IFERROR(IF(VLOOKUP(C1530,' Disaggregation - Section E '!A$7:O531,15,0)=0,"",VLOOKUP(C1530,' Disaggregation - Section E '!A$7:O531,15,0)),"")</f>
        <v>IDR-01027</v>
      </c>
      <c r="N1530" s="387"/>
      <c r="O1530" s="387"/>
      <c r="P1530" s="387" t="str">
        <f ca="1">IFERROR(IF(VLOOKUP(C1530,' Disaggregation - Section E '!A$7:R531,18,0)=0,"",VLOOKUP(C1530,' Disaggregation - Section E '!A$7:R531,18,0)),"")</f>
        <v>a1LDm000000CazJMAS</v>
      </c>
    </row>
    <row r="1531" spans="1:16">
      <c r="A1531" s="387" t="b">
        <f t="shared" ca="1" si="164"/>
        <v>1</v>
      </c>
      <c r="B1531" s="387"/>
      <c r="C1531" s="404" t="str">
        <f ca="1">IF(COUNTA(O$1306:O1531)=1,"",OFFSET(B1531,-COUNTA(O$1306:O1531)+1,1))</f>
        <v>a1GDm000000XyR8MAK</v>
      </c>
      <c r="D1531" s="392"/>
      <c r="E1531" s="389" t="str">
        <f ca="1">IFERROR(IF(VLOOKUP(C1531,' Disaggregation - Section E '!A$7:J532,7,0)="","",VLOOKUP(C1531,' Disaggregation - Section E '!A$7:J236,7,0)*100),"")</f>
        <v/>
      </c>
      <c r="F1531" s="391" t="str">
        <f ca="1">IFERROR(IF(VLOOKUP(C1531,' Disaggregation - Section E '!A$7:J532,5,0)=0,"",VLOOKUP(C1531,' Disaggregation - Section E '!A$7:J532,5,0)),"")</f>
        <v>Male 15-19</v>
      </c>
      <c r="G1531" s="390" t="str">
        <f ca="1">IFERROR(IF(VLOOKUP(C1531,' Disaggregation - Section E '!A$7:J532,6,0)="","",VLOOKUP(C1531,' Disaggregation - Section E '!A$7:J532,6,0)),"")</f>
        <v/>
      </c>
      <c r="H1531" s="390" t="str">
        <f ca="1">IFERROR(IF(INDEX(' Disaggregation - Section E '!F$7:F532,MATCH(C1531,' Disaggregation - Section E '!A$7:A532,0)+1,1)&lt;&gt;0,INDEX(' Disaggregation - Section E '!F$7:F532,MATCH(C1531,' Disaggregation - Section E '!A$7:A532,0)+1,1),""),"")</f>
        <v/>
      </c>
      <c r="I1531" s="391" t="str">
        <f ca="1">IFERROR(IF(VLOOKUP(C1531,' Disaggregation - Section E '!A$7:J532,8,0)=0,"",VLOOKUP(C1531,' Disaggregation - Section E '!A$7:J532,8,0)),"")</f>
        <v/>
      </c>
      <c r="J1531" s="391" t="str">
        <f ca="1">IFERROR(IF(VLOOKUP(C1531,' Disaggregation - Section E '!A$7:J532,9,0)="","",VLOOKUP(C1531,' Disaggregation - Section E '!A$7:J532,9,0)),"")</f>
        <v/>
      </c>
      <c r="K1531" s="387" t="str">
        <f ca="1">IFERROR(VLOOKUP(C1531,' Disaggregation - Section E '!A$7:J532,3,0),"")</f>
        <v>HIV I-13 Percentage of people living with HIV</v>
      </c>
      <c r="L1531" s="391" t="str">
        <f ca="1">IFERROR(IF(VLOOKUP(C1531,' Disaggregation - Section E '!A$7:J532,10,0)="","",VLOOKUP(C1531,' Disaggregation - Section E '!A$7:J532,10,0)),"")</f>
        <v>Data cannot be generated by Spectrum v6.26</v>
      </c>
      <c r="M1531" s="387" t="str">
        <f ca="1">IFERROR(IF(VLOOKUP(C1531,' Disaggregation - Section E '!A$7:O532,15,0)=0,"",VLOOKUP(C1531,' Disaggregation - Section E '!A$7:O532,15,0)),"")</f>
        <v>IDR-01026</v>
      </c>
      <c r="N1531" s="387"/>
      <c r="O1531" s="387"/>
      <c r="P1531" s="387" t="str">
        <f ca="1">IFERROR(IF(VLOOKUP(C1531,' Disaggregation - Section E '!A$7:R532,18,0)=0,"",VLOOKUP(C1531,' Disaggregation - Section E '!A$7:R532,18,0)),"")</f>
        <v>a1LDm000000CazIMAS</v>
      </c>
    </row>
    <row r="1532" spans="1:16">
      <c r="A1532" s="387" t="b">
        <f t="shared" ca="1" si="164"/>
        <v>1</v>
      </c>
      <c r="B1532" s="387"/>
      <c r="C1532" s="404" t="str">
        <f ca="1">IF(COUNTA(O$1306:O1532)=1,"",OFFSET(B1532,-COUNTA(O$1306:O1532)+1,1))</f>
        <v>a1GDm000000XyR9MAK</v>
      </c>
      <c r="D1532" s="392"/>
      <c r="E1532" s="389" t="str">
        <f ca="1">IFERROR(IF(VLOOKUP(C1532,' Disaggregation - Section E '!A$7:J533,7,0)="","",VLOOKUP(C1532,' Disaggregation - Section E '!A$7:J237,7,0)*100),"")</f>
        <v/>
      </c>
      <c r="F1532" s="391" t="str">
        <f ca="1">IFERROR(IF(VLOOKUP(C1532,' Disaggregation - Section E '!A$7:J533,5,0)=0,"",VLOOKUP(C1532,' Disaggregation - Section E '!A$7:J533,5,0)),"")</f>
        <v>Male</v>
      </c>
      <c r="G1532" s="390" t="str">
        <f ca="1">IFERROR(IF(VLOOKUP(C1532,' Disaggregation - Section E '!A$7:J533,6,0)="","",VLOOKUP(C1532,' Disaggregation - Section E '!A$7:J533,6,0)),"")</f>
        <v/>
      </c>
      <c r="H1532" s="390" t="str">
        <f ca="1">IFERROR(IF(INDEX(' Disaggregation - Section E '!F$7:F533,MATCH(C1532,' Disaggregation - Section E '!A$7:A533,0)+1,1)&lt;&gt;0,INDEX(' Disaggregation - Section E '!F$7:F533,MATCH(C1532,' Disaggregation - Section E '!A$7:A533,0)+1,1),""),"")</f>
        <v/>
      </c>
      <c r="I1532" s="391" t="str">
        <f ca="1">IFERROR(IF(VLOOKUP(C1532,' Disaggregation - Section E '!A$7:J533,8,0)=0,"",VLOOKUP(C1532,' Disaggregation - Section E '!A$7:J533,8,0)),"")</f>
        <v/>
      </c>
      <c r="J1532" s="391" t="str">
        <f ca="1">IFERROR(IF(VLOOKUP(C1532,' Disaggregation - Section E '!A$7:J533,9,0)="","",VLOOKUP(C1532,' Disaggregation - Section E '!A$7:J533,9,0)),"")</f>
        <v/>
      </c>
      <c r="K1532" s="387" t="str">
        <f ca="1">IFERROR(VLOOKUP(C1532,' Disaggregation - Section E '!A$7:J533,3,0),"")</f>
        <v>HIV I-13 Percentage of people living with HIV</v>
      </c>
      <c r="L1532" s="391" t="str">
        <f ca="1">IFERROR(IF(VLOOKUP(C1532,' Disaggregation - Section E '!A$7:J533,10,0)="","",VLOOKUP(C1532,' Disaggregation - Section E '!A$7:J533,10,0)),"")</f>
        <v>Data cannot be generated by Spectrum v6.26</v>
      </c>
      <c r="M1532" s="387" t="str">
        <f ca="1">IFERROR(IF(VLOOKUP(C1532,' Disaggregation - Section E '!A$7:O533,15,0)=0,"",VLOOKUP(C1532,' Disaggregation - Section E '!A$7:O533,15,0)),"")</f>
        <v>IDR-01025</v>
      </c>
      <c r="N1532" s="387"/>
      <c r="O1532" s="387"/>
      <c r="P1532" s="387" t="str">
        <f ca="1">IFERROR(IF(VLOOKUP(C1532,' Disaggregation - Section E '!A$7:R533,18,0)=0,"",VLOOKUP(C1532,' Disaggregation - Section E '!A$7:R533,18,0)),"")</f>
        <v>a1LDm000000CazHMAS</v>
      </c>
    </row>
    <row r="1533" spans="1:16">
      <c r="A1533" s="387" t="b">
        <f t="shared" ca="1" si="164"/>
        <v>1</v>
      </c>
      <c r="B1533" s="387"/>
      <c r="C1533" s="404" t="str">
        <f ca="1">IF(COUNTA(O$1306:O1533)=1,"",OFFSET(B1533,-COUNTA(O$1306:O1533)+1,1))</f>
        <v>a1GDm000000XyRCMA0</v>
      </c>
      <c r="D1533" s="392"/>
      <c r="E1533" s="389" t="str">
        <f ca="1">IFERROR(IF(VLOOKUP(C1533,' Disaggregation - Section E '!A$7:J534,7,0)="","",VLOOKUP(C1533,' Disaggregation - Section E '!A$7:J238,7,0)*100),"")</f>
        <v/>
      </c>
      <c r="F1533" s="391" t="str">
        <f ca="1">IFERROR(IF(VLOOKUP(C1533,' Disaggregation - Section E '!A$7:J534,5,0)=0,"",VLOOKUP(C1533,' Disaggregation - Section E '!A$7:J534,5,0)),"")</f>
        <v>Female 20-24</v>
      </c>
      <c r="G1533" s="390" t="str">
        <f ca="1">IFERROR(IF(VLOOKUP(C1533,' Disaggregation - Section E '!A$7:J534,6,0)="","",VLOOKUP(C1533,' Disaggregation - Section E '!A$7:J534,6,0)),"")</f>
        <v/>
      </c>
      <c r="H1533" s="390" t="str">
        <f ca="1">IFERROR(IF(INDEX(' Disaggregation - Section E '!F$7:F534,MATCH(C1533,' Disaggregation - Section E '!A$7:A534,0)+1,1)&lt;&gt;0,INDEX(' Disaggregation - Section E '!F$7:F534,MATCH(C1533,' Disaggregation - Section E '!A$7:A534,0)+1,1),""),"")</f>
        <v/>
      </c>
      <c r="I1533" s="391" t="str">
        <f ca="1">IFERROR(IF(VLOOKUP(C1533,' Disaggregation - Section E '!A$7:J534,8,0)=0,"",VLOOKUP(C1533,' Disaggregation - Section E '!A$7:J534,8,0)),"")</f>
        <v/>
      </c>
      <c r="J1533" s="391" t="str">
        <f ca="1">IFERROR(IF(VLOOKUP(C1533,' Disaggregation - Section E '!A$7:J534,9,0)="","",VLOOKUP(C1533,' Disaggregation - Section E '!A$7:J534,9,0)),"")</f>
        <v/>
      </c>
      <c r="K1533" s="387" t="str">
        <f ca="1">IFERROR(VLOOKUP(C1533,' Disaggregation - Section E '!A$7:J534,3,0),"")</f>
        <v>HIV I-13 Percentage of people living with HIV</v>
      </c>
      <c r="L1533" s="391" t="str">
        <f ca="1">IFERROR(IF(VLOOKUP(C1533,' Disaggregation - Section E '!A$7:J534,10,0)="","",VLOOKUP(C1533,' Disaggregation - Section E '!A$7:J534,10,0)),"")</f>
        <v>Donnée ne peut pas etre générée par le Spectrum v6.26</v>
      </c>
      <c r="M1533" s="387" t="str">
        <f ca="1">IFERROR(IF(VLOOKUP(C1533,' Disaggregation - Section E '!A$7:O534,15,0)=0,"",VLOOKUP(C1533,' Disaggregation - Section E '!A$7:O534,15,0)),"")</f>
        <v>IDR-01024</v>
      </c>
      <c r="N1533" s="387"/>
      <c r="O1533" s="387"/>
      <c r="P1533" s="387" t="str">
        <f ca="1">IFERROR(IF(VLOOKUP(C1533,' Disaggregation - Section E '!A$7:R534,18,0)=0,"",VLOOKUP(C1533,' Disaggregation - Section E '!A$7:R534,18,0)),"")</f>
        <v>a1LDm000000CazGMAS</v>
      </c>
    </row>
    <row r="1534" spans="1:16">
      <c r="A1534" s="387" t="b">
        <f t="shared" ca="1" si="164"/>
        <v>1</v>
      </c>
      <c r="B1534" s="387"/>
      <c r="C1534" s="404" t="str">
        <f ca="1">IF(COUNTA(O$1306:O1534)=1,"",OFFSET(B1534,-COUNTA(O$1306:O1534)+1,1))</f>
        <v>a1GDm000000XyRDMA0</v>
      </c>
      <c r="D1534" s="392"/>
      <c r="E1534" s="389" t="str">
        <f ca="1">IFERROR(IF(VLOOKUP(C1534,' Disaggregation - Section E '!A$7:J535,7,0)="","",VLOOKUP(C1534,' Disaggregation - Section E '!A$7:J239,7,0)*100),"")</f>
        <v/>
      </c>
      <c r="F1534" s="391" t="str">
        <f ca="1">IFERROR(IF(VLOOKUP(C1534,' Disaggregation - Section E '!A$7:J535,5,0)=0,"",VLOOKUP(C1534,' Disaggregation - Section E '!A$7:J535,5,0)),"")</f>
        <v>Female 15-19</v>
      </c>
      <c r="G1534" s="390" t="str">
        <f ca="1">IFERROR(IF(VLOOKUP(C1534,' Disaggregation - Section E '!A$7:J535,6,0)="","",VLOOKUP(C1534,' Disaggregation - Section E '!A$7:J535,6,0)),"")</f>
        <v/>
      </c>
      <c r="H1534" s="390" t="str">
        <f ca="1">IFERROR(IF(INDEX(' Disaggregation - Section E '!F$7:F535,MATCH(C1534,' Disaggregation - Section E '!A$7:A535,0)+1,1)&lt;&gt;0,INDEX(' Disaggregation - Section E '!F$7:F535,MATCH(C1534,' Disaggregation - Section E '!A$7:A535,0)+1,1),""),"")</f>
        <v/>
      </c>
      <c r="I1534" s="391" t="str">
        <f ca="1">IFERROR(IF(VLOOKUP(C1534,' Disaggregation - Section E '!A$7:J535,8,0)=0,"",VLOOKUP(C1534,' Disaggregation - Section E '!A$7:J535,8,0)),"")</f>
        <v/>
      </c>
      <c r="J1534" s="391" t="str">
        <f ca="1">IFERROR(IF(VLOOKUP(C1534,' Disaggregation - Section E '!A$7:J535,9,0)="","",VLOOKUP(C1534,' Disaggregation - Section E '!A$7:J535,9,0)),"")</f>
        <v/>
      </c>
      <c r="K1534" s="387" t="str">
        <f ca="1">IFERROR(VLOOKUP(C1534,' Disaggregation - Section E '!A$7:J535,3,0),"")</f>
        <v>HIV I-13 Percentage of people living with HIV</v>
      </c>
      <c r="L1534" s="391" t="str">
        <f ca="1">IFERROR(IF(VLOOKUP(C1534,' Disaggregation - Section E '!A$7:J535,10,0)="","",VLOOKUP(C1534,' Disaggregation - Section E '!A$7:J535,10,0)),"")</f>
        <v>Data cannot be generated by Spectrum v6.26</v>
      </c>
      <c r="M1534" s="387" t="str">
        <f ca="1">IFERROR(IF(VLOOKUP(C1534,' Disaggregation - Section E '!A$7:O535,15,0)=0,"",VLOOKUP(C1534,' Disaggregation - Section E '!A$7:O535,15,0)),"")</f>
        <v>IDR-01023</v>
      </c>
      <c r="N1534" s="387"/>
      <c r="O1534" s="387"/>
      <c r="P1534" s="387" t="str">
        <f ca="1">IFERROR(IF(VLOOKUP(C1534,' Disaggregation - Section E '!A$7:R535,18,0)=0,"",VLOOKUP(C1534,' Disaggregation - Section E '!A$7:R535,18,0)),"")</f>
        <v>a1LDm000000CazFMAS</v>
      </c>
    </row>
    <row r="1535" spans="1:16">
      <c r="A1535" s="387" t="b">
        <f t="shared" ca="1" si="164"/>
        <v>1</v>
      </c>
      <c r="B1535" s="387"/>
      <c r="C1535" s="404" t="str">
        <f ca="1">IF(COUNTA(O$1306:O1535)=1,"",OFFSET(B1535,-COUNTA(O$1306:O1535)+1,1))</f>
        <v>a1GDm000000XyREMA0</v>
      </c>
      <c r="D1535" s="392"/>
      <c r="E1535" s="389" t="str">
        <f ca="1">IFERROR(IF(VLOOKUP(C1535,' Disaggregation - Section E '!A$7:J536,7,0)="","",VLOOKUP(C1535,' Disaggregation - Section E '!A$7:J240,7,0)*100),"")</f>
        <v/>
      </c>
      <c r="F1535" s="391" t="str">
        <f ca="1">IFERROR(IF(VLOOKUP(C1535,' Disaggregation - Section E '!A$7:J536,5,0)=0,"",VLOOKUP(C1535,' Disaggregation - Section E '!A$7:J536,5,0)),"")</f>
        <v>Female</v>
      </c>
      <c r="G1535" s="390" t="str">
        <f ca="1">IFERROR(IF(VLOOKUP(C1535,' Disaggregation - Section E '!A$7:J536,6,0)="","",VLOOKUP(C1535,' Disaggregation - Section E '!A$7:J536,6,0)),"")</f>
        <v/>
      </c>
      <c r="H1535" s="390" t="str">
        <f ca="1">IFERROR(IF(INDEX(' Disaggregation - Section E '!F$7:F536,MATCH(C1535,' Disaggregation - Section E '!A$7:A536,0)+1,1)&lt;&gt;0,INDEX(' Disaggregation - Section E '!F$7:F536,MATCH(C1535,' Disaggregation - Section E '!A$7:A536,0)+1,1),""),"")</f>
        <v/>
      </c>
      <c r="I1535" s="391" t="str">
        <f ca="1">IFERROR(IF(VLOOKUP(C1535,' Disaggregation - Section E '!A$7:J536,8,0)=0,"",VLOOKUP(C1535,' Disaggregation - Section E '!A$7:J536,8,0)),"")</f>
        <v/>
      </c>
      <c r="J1535" s="391" t="str">
        <f ca="1">IFERROR(IF(VLOOKUP(C1535,' Disaggregation - Section E '!A$7:J536,9,0)="","",VLOOKUP(C1535,' Disaggregation - Section E '!A$7:J536,9,0)),"")</f>
        <v/>
      </c>
      <c r="K1535" s="387" t="str">
        <f ca="1">IFERROR(VLOOKUP(C1535,' Disaggregation - Section E '!A$7:J536,3,0),"")</f>
        <v>HIV I-13 Percentage of people living with HIV</v>
      </c>
      <c r="L1535" s="391" t="str">
        <f ca="1">IFERROR(IF(VLOOKUP(C1535,' Disaggregation - Section E '!A$7:J536,10,0)="","",VLOOKUP(C1535,' Disaggregation - Section E '!A$7:J536,10,0)),"")</f>
        <v>Data cannot be generated by Spectrum v6.26</v>
      </c>
      <c r="M1535" s="387" t="str">
        <f ca="1">IFERROR(IF(VLOOKUP(C1535,' Disaggregation - Section E '!A$7:O536,15,0)=0,"",VLOOKUP(C1535,' Disaggregation - Section E '!A$7:O536,15,0)),"")</f>
        <v>IDR-01022</v>
      </c>
      <c r="N1535" s="387"/>
      <c r="O1535" s="387"/>
      <c r="P1535" s="387" t="str">
        <f ca="1">IFERROR(IF(VLOOKUP(C1535,' Disaggregation - Section E '!A$7:R536,18,0)=0,"",VLOOKUP(C1535,' Disaggregation - Section E '!A$7:R536,18,0)),"")</f>
        <v>a1LDm000000CazEMAS</v>
      </c>
    </row>
    <row r="1536" spans="1:16">
      <c r="A1536" s="387" t="b">
        <f t="shared" ca="1" si="164"/>
        <v>0</v>
      </c>
      <c r="B1536" s="387"/>
      <c r="C1536" s="404" t="str">
        <f ca="1">IF(COUNTA(O$1306:O1536)=1,"",OFFSET(B1536,-COUNTA(O$1306:O1536)+1,1))</f>
        <v>a1GDm000000XyRAMA0</v>
      </c>
      <c r="D1536" s="392"/>
      <c r="E1536" s="389" t="str">
        <f ca="1">IFERROR(IF(VLOOKUP(C1536,' Disaggregation - Section E '!A$7:J537,7,0)="","",VLOOKUP(C1536,' Disaggregation - Section E '!A$7:J241,7,0)*100),"")</f>
        <v/>
      </c>
      <c r="F1536" s="391" t="str">
        <f ca="1">IFERROR(IF(VLOOKUP(C1536,' Disaggregation - Section E '!A$7:J537,5,0)=0,"",VLOOKUP(C1536,' Disaggregation - Section E '!A$7:J537,5,0)),"")</f>
        <v/>
      </c>
      <c r="G1536" s="390" t="str">
        <f ca="1">IFERROR(IF(VLOOKUP(C1536,' Disaggregation - Section E '!A$7:J537,6,0)="","",VLOOKUP(C1536,' Disaggregation - Section E '!A$7:J537,6,0)),"")</f>
        <v/>
      </c>
      <c r="H1536" s="390" t="str">
        <f ca="1">IFERROR(IF(INDEX(' Disaggregation - Section E '!F$7:F537,MATCH(C1536,' Disaggregation - Section E '!A$7:A537,0)+1,1)&lt;&gt;0,INDEX(' Disaggregation - Section E '!F$7:F537,MATCH(C1536,' Disaggregation - Section E '!A$7:A537,0)+1,1),""),"")</f>
        <v/>
      </c>
      <c r="I1536" s="391" t="str">
        <f ca="1">IFERROR(IF(VLOOKUP(C1536,' Disaggregation - Section E '!A$7:J537,8,0)=0,"",VLOOKUP(C1536,' Disaggregation - Section E '!A$7:J537,8,0)),"")</f>
        <v/>
      </c>
      <c r="J1536" s="391" t="str">
        <f ca="1">IFERROR(IF(VLOOKUP(C1536,' Disaggregation - Section E '!A$7:J537,9,0)="","",VLOOKUP(C1536,' Disaggregation - Section E '!A$7:J537,9,0)),"")</f>
        <v/>
      </c>
      <c r="K1536" s="387" t="str">
        <f ca="1">IFERROR(VLOOKUP(C1536,' Disaggregation - Section E '!A$7:J537,3,0),"")</f>
        <v>HIV I-13 Percentage of people living with HIV</v>
      </c>
      <c r="L1536" s="391" t="str">
        <f ca="1">IFERROR(IF(VLOOKUP(C1536,' Disaggregation - Section E '!A$7:J537,10,0)="","",VLOOKUP(C1536,' Disaggregation - Section E '!A$7:J537,10,0)),"")</f>
        <v/>
      </c>
      <c r="M1536" s="387" t="str">
        <f ca="1">IFERROR(IF(VLOOKUP(C1536,' Disaggregation - Section E '!A$7:O537,15,0)=0,"",VLOOKUP(C1536,' Disaggregation - Section E '!A$7:O537,15,0)),"")</f>
        <v/>
      </c>
      <c r="N1536" s="387"/>
      <c r="O1536" s="387"/>
      <c r="P1536" s="387" t="str">
        <f ca="1">IFERROR(IF(VLOOKUP(C1536,' Disaggregation - Section E '!A$7:R537,18,0)=0,"",VLOOKUP(C1536,' Disaggregation - Section E '!A$7:R537,18,0)),"")</f>
        <v/>
      </c>
    </row>
    <row r="1537" spans="1:16">
      <c r="A1537" s="387" t="b">
        <f t="shared" ca="1" si="164"/>
        <v>0</v>
      </c>
      <c r="B1537" s="387"/>
      <c r="C1537" s="404" t="str">
        <f ca="1">IF(COUNTA(O$1306:O1537)=1,"",OFFSET(B1537,-COUNTA(O$1306:O1537)+1,1))</f>
        <v>a1GDm000000XyRBMA0</v>
      </c>
      <c r="D1537" s="392"/>
      <c r="E1537" s="389" t="str">
        <f ca="1">IFERROR(IF(VLOOKUP(C1537,' Disaggregation - Section E '!A$7:J538,7,0)="","",VLOOKUP(C1537,' Disaggregation - Section E '!A$7:J242,7,0)*100),"")</f>
        <v/>
      </c>
      <c r="F1537" s="391" t="str">
        <f ca="1">IFERROR(IF(VLOOKUP(C1537,' Disaggregation - Section E '!A$7:J538,5,0)=0,"",VLOOKUP(C1537,' Disaggregation - Section E '!A$7:J538,5,0)),"")</f>
        <v/>
      </c>
      <c r="G1537" s="390" t="str">
        <f ca="1">IFERROR(IF(VLOOKUP(C1537,' Disaggregation - Section E '!A$7:J538,6,0)="","",VLOOKUP(C1537,' Disaggregation - Section E '!A$7:J538,6,0)),"")</f>
        <v/>
      </c>
      <c r="H1537" s="390" t="str">
        <f ca="1">IFERROR(IF(INDEX(' Disaggregation - Section E '!F$7:F538,MATCH(C1537,' Disaggregation - Section E '!A$7:A538,0)+1,1)&lt;&gt;0,INDEX(' Disaggregation - Section E '!F$7:F538,MATCH(C1537,' Disaggregation - Section E '!A$7:A538,0)+1,1),""),"")</f>
        <v/>
      </c>
      <c r="I1537" s="391" t="str">
        <f ca="1">IFERROR(IF(VLOOKUP(C1537,' Disaggregation - Section E '!A$7:J538,8,0)=0,"",VLOOKUP(C1537,' Disaggregation - Section E '!A$7:J538,8,0)),"")</f>
        <v/>
      </c>
      <c r="J1537" s="391" t="str">
        <f ca="1">IFERROR(IF(VLOOKUP(C1537,' Disaggregation - Section E '!A$7:J538,9,0)="","",VLOOKUP(C1537,' Disaggregation - Section E '!A$7:J538,9,0)),"")</f>
        <v/>
      </c>
      <c r="K1537" s="387" t="str">
        <f ca="1">IFERROR(VLOOKUP(C1537,' Disaggregation - Section E '!A$7:J538,3,0),"")</f>
        <v>HIV I-13 Percentage of people living with HIV</v>
      </c>
      <c r="L1537" s="391" t="str">
        <f ca="1">IFERROR(IF(VLOOKUP(C1537,' Disaggregation - Section E '!A$7:J538,10,0)="","",VLOOKUP(C1537,' Disaggregation - Section E '!A$7:J538,10,0)),"")</f>
        <v/>
      </c>
      <c r="M1537" s="387" t="str">
        <f ca="1">IFERROR(IF(VLOOKUP(C1537,' Disaggregation - Section E '!A$7:O538,15,0)=0,"",VLOOKUP(C1537,' Disaggregation - Section E '!A$7:O538,15,0)),"")</f>
        <v/>
      </c>
      <c r="N1537" s="387"/>
      <c r="O1537" s="387"/>
      <c r="P1537" s="387" t="str">
        <f ca="1">IFERROR(IF(VLOOKUP(C1537,' Disaggregation - Section E '!A$7:R538,18,0)=0,"",VLOOKUP(C1537,' Disaggregation - Section E '!A$7:R538,18,0)),"")</f>
        <v/>
      </c>
    </row>
    <row r="1538" spans="1:16">
      <c r="A1538" s="387" t="b">
        <f t="shared" ca="1" si="164"/>
        <v>1</v>
      </c>
      <c r="B1538" s="387"/>
      <c r="C1538" s="404" t="str">
        <f ca="1">IF(COUNTA(O$1306:O1538)=1,"",OFFSET(B1538,-COUNTA(O$1306:O1538)+1,1))</f>
        <v>a1GDm000000XyRFMA0</v>
      </c>
      <c r="D1538" s="392"/>
      <c r="E1538" s="389" t="str">
        <f ca="1">IFERROR(IF(VLOOKUP(C1538,' Disaggregation - Section E '!A$7:J539,7,0)="","",VLOOKUP(C1538,' Disaggregation - Section E '!A$7:J243,7,0)*100),"")</f>
        <v/>
      </c>
      <c r="F1538" s="391" t="str">
        <f ca="1">IFERROR(IF(VLOOKUP(C1538,' Disaggregation - Section E '!A$7:J539,5,0)=0,"",VLOOKUP(C1538,' Disaggregation - Section E '!A$7:J539,5,0)),"")</f>
        <v>15+</v>
      </c>
      <c r="G1538" s="390">
        <f ca="1">IFERROR(IF(VLOOKUP(C1538,' Disaggregation - Section E '!A$7:J539,6,0)="","",VLOOKUP(C1538,' Disaggregation - Section E '!A$7:J539,6,0)),"")</f>
        <v>8528</v>
      </c>
      <c r="H1538" s="390" t="str">
        <f ca="1">IFERROR(IF(INDEX(' Disaggregation - Section E '!F$7:F539,MATCH(C1538,' Disaggregation - Section E '!A$7:A539,0)+1,1)&lt;&gt;0,INDEX(' Disaggregation - Section E '!F$7:F539,MATCH(C1538,' Disaggregation - Section E '!A$7:A539,0)+1,1),""),"")</f>
        <v/>
      </c>
      <c r="I1538" s="391">
        <f ca="1">IFERROR(IF(VLOOKUP(C1538,' Disaggregation - Section E '!A$7:J539,8,0)=0,"",VLOOKUP(C1538,' Disaggregation - Section E '!A$7:J539,8,0)),"")</f>
        <v>2022</v>
      </c>
      <c r="J1538" s="391" t="str">
        <f ca="1">IFERROR(IF(VLOOKUP(C1538,' Disaggregation - Section E '!A$7:J539,9,0)="","",VLOOKUP(C1538,' Disaggregation - Section E '!A$7:J539,9,0)),"")</f>
        <v>Spectrum 6.26</v>
      </c>
      <c r="K1538" s="387" t="str">
        <f ca="1">IFERROR(VLOOKUP(C1538,' Disaggregation - Section E '!A$7:J539,3,0),"")</f>
        <v>HIV I-14 Number of new HIV infections per 1000 uninfected population</v>
      </c>
      <c r="L1538" s="391" t="str">
        <f ca="1">IFERROR(IF(VLOOKUP(C1538,' Disaggregation - Section E '!A$7:J539,10,0)="","",VLOOKUP(C1538,' Disaggregation - Section E '!A$7:J539,10,0)),"")</f>
        <v/>
      </c>
      <c r="M1538" s="387" t="str">
        <f ca="1">IFERROR(IF(VLOOKUP(C1538,' Disaggregation - Section E '!A$7:O539,15,0)=0,"",VLOOKUP(C1538,' Disaggregation - Section E '!A$7:O539,15,0)),"")</f>
        <v>IDR-01037</v>
      </c>
      <c r="N1538" s="387"/>
      <c r="O1538" s="387"/>
      <c r="P1538" s="387" t="str">
        <f ca="1">IFERROR(IF(VLOOKUP(C1538,' Disaggregation - Section E '!A$7:R539,18,0)=0,"",VLOOKUP(C1538,' Disaggregation - Section E '!A$7:R539,18,0)),"")</f>
        <v>a1LDm000000CazTMAS</v>
      </c>
    </row>
    <row r="1539" spans="1:16">
      <c r="A1539" s="387" t="b">
        <f t="shared" ca="1" si="164"/>
        <v>1</v>
      </c>
      <c r="B1539" s="387"/>
      <c r="C1539" s="404" t="str">
        <f ca="1">IF(COUNTA(O$1306:O1539)=1,"",OFFSET(B1539,-COUNTA(O$1306:O1539)+1,1))</f>
        <v>a1GDm000000XyRGMA0</v>
      </c>
      <c r="D1539" s="392"/>
      <c r="E1539" s="389" t="str">
        <f ca="1">IFERROR(IF(VLOOKUP(C1539,' Disaggregation - Section E '!A$7:J540,7,0)="","",VLOOKUP(C1539,' Disaggregation - Section E '!A$7:J244,7,0)*100),"")</f>
        <v/>
      </c>
      <c r="F1539" s="391" t="str">
        <f ca="1">IFERROR(IF(VLOOKUP(C1539,' Disaggregation - Section E '!A$7:J540,5,0)=0,"",VLOOKUP(C1539,' Disaggregation - Section E '!A$7:J540,5,0)),"")</f>
        <v>&lt;15</v>
      </c>
      <c r="G1539" s="390">
        <f ca="1">IFERROR(IF(VLOOKUP(C1539,' Disaggregation - Section E '!A$7:J540,6,0)="","",VLOOKUP(C1539,' Disaggregation - Section E '!A$7:J540,6,0)),"")</f>
        <v>12558</v>
      </c>
      <c r="H1539" s="390" t="str">
        <f ca="1">IFERROR(IF(INDEX(' Disaggregation - Section E '!F$7:F540,MATCH(C1539,' Disaggregation - Section E '!A$7:A540,0)+1,1)&lt;&gt;0,INDEX(' Disaggregation - Section E '!F$7:F540,MATCH(C1539,' Disaggregation - Section E '!A$7:A540,0)+1,1),""),"")</f>
        <v/>
      </c>
      <c r="I1539" s="391">
        <f ca="1">IFERROR(IF(VLOOKUP(C1539,' Disaggregation - Section E '!A$7:J540,8,0)=0,"",VLOOKUP(C1539,' Disaggregation - Section E '!A$7:J540,8,0)),"")</f>
        <v>2022</v>
      </c>
      <c r="J1539" s="391" t="str">
        <f ca="1">IFERROR(IF(VLOOKUP(C1539,' Disaggregation - Section E '!A$7:J540,9,0)="","",VLOOKUP(C1539,' Disaggregation - Section E '!A$7:J540,9,0)),"")</f>
        <v>Spectrum 6.26</v>
      </c>
      <c r="K1539" s="387" t="str">
        <f ca="1">IFERROR(VLOOKUP(C1539,' Disaggregation - Section E '!A$7:J540,3,0),"")</f>
        <v>HIV I-14 Number of new HIV infections per 1000 uninfected population</v>
      </c>
      <c r="L1539" s="391" t="str">
        <f ca="1">IFERROR(IF(VLOOKUP(C1539,' Disaggregation - Section E '!A$7:J540,10,0)="","",VLOOKUP(C1539,' Disaggregation - Section E '!A$7:J540,10,0)),"")</f>
        <v/>
      </c>
      <c r="M1539" s="387" t="str">
        <f ca="1">IFERROR(IF(VLOOKUP(C1539,' Disaggregation - Section E '!A$7:O540,15,0)=0,"",VLOOKUP(C1539,' Disaggregation - Section E '!A$7:O540,15,0)),"")</f>
        <v>IDR-01036</v>
      </c>
      <c r="N1539" s="387"/>
      <c r="O1539" s="387"/>
      <c r="P1539" s="387" t="str">
        <f ca="1">IFERROR(IF(VLOOKUP(C1539,' Disaggregation - Section E '!A$7:R540,18,0)=0,"",VLOOKUP(C1539,' Disaggregation - Section E '!A$7:R540,18,0)),"")</f>
        <v>a1LDm000000CazSMAS</v>
      </c>
    </row>
    <row r="1540" spans="1:16">
      <c r="A1540" s="387" t="b">
        <f t="shared" ca="1" si="164"/>
        <v>1</v>
      </c>
      <c r="B1540" s="387"/>
      <c r="C1540" s="404" t="str">
        <f ca="1">IF(COUNTA(O$1306:O1540)=1,"",OFFSET(B1540,-COUNTA(O$1306:O1540)+1,1))</f>
        <v>a1GDm000000XyRHMA0</v>
      </c>
      <c r="D1540" s="392"/>
      <c r="E1540" s="389" t="str">
        <f ca="1">IFERROR(IF(VLOOKUP(C1540,' Disaggregation - Section E '!A$7:J541,7,0)="","",VLOOKUP(C1540,' Disaggregation - Section E '!A$7:J245,7,0)*100),"")</f>
        <v/>
      </c>
      <c r="F1540" s="391" t="str">
        <f ca="1">IFERROR(IF(VLOOKUP(C1540,' Disaggregation - Section E '!A$7:J541,5,0)=0,"",VLOOKUP(C1540,' Disaggregation - Section E '!A$7:J541,5,0)),"")</f>
        <v>Male 20-24</v>
      </c>
      <c r="G1540" s="390" t="str">
        <f ca="1">IFERROR(IF(VLOOKUP(C1540,' Disaggregation - Section E '!A$7:J541,6,0)="","",VLOOKUP(C1540,' Disaggregation - Section E '!A$7:J541,6,0)),"")</f>
        <v/>
      </c>
      <c r="H1540" s="390" t="str">
        <f ca="1">IFERROR(IF(INDEX(' Disaggregation - Section E '!F$7:F541,MATCH(C1540,' Disaggregation - Section E '!A$7:A541,0)+1,1)&lt;&gt;0,INDEX(' Disaggregation - Section E '!F$7:F541,MATCH(C1540,' Disaggregation - Section E '!A$7:A541,0)+1,1),""),"")</f>
        <v/>
      </c>
      <c r="I1540" s="391" t="str">
        <f ca="1">IFERROR(IF(VLOOKUP(C1540,' Disaggregation - Section E '!A$7:J541,8,0)=0,"",VLOOKUP(C1540,' Disaggregation - Section E '!A$7:J541,8,0)),"")</f>
        <v/>
      </c>
      <c r="J1540" s="391" t="str">
        <f ca="1">IFERROR(IF(VLOOKUP(C1540,' Disaggregation - Section E '!A$7:J541,9,0)="","",VLOOKUP(C1540,' Disaggregation - Section E '!A$7:J541,9,0)),"")</f>
        <v/>
      </c>
      <c r="K1540" s="387" t="str">
        <f ca="1">IFERROR(VLOOKUP(C1540,' Disaggregation - Section E '!A$7:J541,3,0),"")</f>
        <v>HIV I-14 Number of new HIV infections per 1000 uninfected population</v>
      </c>
      <c r="L1540" s="391" t="str">
        <f ca="1">IFERROR(IF(VLOOKUP(C1540,' Disaggregation - Section E '!A$7:J541,10,0)="","",VLOOKUP(C1540,' Disaggregation - Section E '!A$7:J541,10,0)),"")</f>
        <v/>
      </c>
      <c r="M1540" s="387" t="str">
        <f ca="1">IFERROR(IF(VLOOKUP(C1540,' Disaggregation - Section E '!A$7:O541,15,0)=0,"",VLOOKUP(C1540,' Disaggregation - Section E '!A$7:O541,15,0)),"")</f>
        <v>IDR-01035</v>
      </c>
      <c r="N1540" s="387"/>
      <c r="O1540" s="387"/>
      <c r="P1540" s="387" t="str">
        <f ca="1">IFERROR(IF(VLOOKUP(C1540,' Disaggregation - Section E '!A$7:R541,18,0)=0,"",VLOOKUP(C1540,' Disaggregation - Section E '!A$7:R541,18,0)),"")</f>
        <v>a1LDm000000CazRMAS</v>
      </c>
    </row>
    <row r="1541" spans="1:16">
      <c r="A1541" s="387" t="b">
        <f t="shared" ca="1" si="164"/>
        <v>1</v>
      </c>
      <c r="B1541" s="387"/>
      <c r="C1541" s="404" t="str">
        <f ca="1">IF(COUNTA(O$1306:O1541)=1,"",OFFSET(B1541,-COUNTA(O$1306:O1541)+1,1))</f>
        <v>a1GDm000000XyRIMA0</v>
      </c>
      <c r="D1541" s="392"/>
      <c r="E1541" s="389" t="str">
        <f ca="1">IFERROR(IF(VLOOKUP(C1541,' Disaggregation - Section E '!A$7:J542,7,0)="","",VLOOKUP(C1541,' Disaggregation - Section E '!A$7:J246,7,0)*100),"")</f>
        <v/>
      </c>
      <c r="F1541" s="391" t="str">
        <f ca="1">IFERROR(IF(VLOOKUP(C1541,' Disaggregation - Section E '!A$7:J542,5,0)=0,"",VLOOKUP(C1541,' Disaggregation - Section E '!A$7:J542,5,0)),"")</f>
        <v>Male 15-19</v>
      </c>
      <c r="G1541" s="390" t="str">
        <f ca="1">IFERROR(IF(VLOOKUP(C1541,' Disaggregation - Section E '!A$7:J542,6,0)="","",VLOOKUP(C1541,' Disaggregation - Section E '!A$7:J542,6,0)),"")</f>
        <v/>
      </c>
      <c r="H1541" s="390" t="str">
        <f ca="1">IFERROR(IF(INDEX(' Disaggregation - Section E '!F$7:F542,MATCH(C1541,' Disaggregation - Section E '!A$7:A542,0)+1,1)&lt;&gt;0,INDEX(' Disaggregation - Section E '!F$7:F542,MATCH(C1541,' Disaggregation - Section E '!A$7:A542,0)+1,1),""),"")</f>
        <v/>
      </c>
      <c r="I1541" s="391" t="str">
        <f ca="1">IFERROR(IF(VLOOKUP(C1541,' Disaggregation - Section E '!A$7:J542,8,0)=0,"",VLOOKUP(C1541,' Disaggregation - Section E '!A$7:J542,8,0)),"")</f>
        <v/>
      </c>
      <c r="J1541" s="391" t="str">
        <f ca="1">IFERROR(IF(VLOOKUP(C1541,' Disaggregation - Section E '!A$7:J542,9,0)="","",VLOOKUP(C1541,' Disaggregation - Section E '!A$7:J542,9,0)),"")</f>
        <v/>
      </c>
      <c r="K1541" s="387" t="str">
        <f ca="1">IFERROR(VLOOKUP(C1541,' Disaggregation - Section E '!A$7:J542,3,0),"")</f>
        <v>HIV I-14 Number of new HIV infections per 1000 uninfected population</v>
      </c>
      <c r="L1541" s="391" t="str">
        <f ca="1">IFERROR(IF(VLOOKUP(C1541,' Disaggregation - Section E '!A$7:J542,10,0)="","",VLOOKUP(C1541,' Disaggregation - Section E '!A$7:J542,10,0)),"")</f>
        <v/>
      </c>
      <c r="M1541" s="387" t="str">
        <f ca="1">IFERROR(IF(VLOOKUP(C1541,' Disaggregation - Section E '!A$7:O542,15,0)=0,"",VLOOKUP(C1541,' Disaggregation - Section E '!A$7:O542,15,0)),"")</f>
        <v>IDR-01034</v>
      </c>
      <c r="N1541" s="387"/>
      <c r="O1541" s="387"/>
      <c r="P1541" s="387" t="str">
        <f ca="1">IFERROR(IF(VLOOKUP(C1541,' Disaggregation - Section E '!A$7:R542,18,0)=0,"",VLOOKUP(C1541,' Disaggregation - Section E '!A$7:R542,18,0)),"")</f>
        <v>a1LDm000000CazQMAS</v>
      </c>
    </row>
    <row r="1542" spans="1:16">
      <c r="A1542" s="387" t="b">
        <f t="shared" ca="1" si="164"/>
        <v>1</v>
      </c>
      <c r="B1542" s="387"/>
      <c r="C1542" s="404" t="str">
        <f ca="1">IF(COUNTA(O$1306:O1542)=1,"",OFFSET(B1542,-COUNTA(O$1306:O1542)+1,1))</f>
        <v>a1GDm000000XyRJMA0</v>
      </c>
      <c r="D1542" s="392"/>
      <c r="E1542" s="389" t="str">
        <f ca="1">IFERROR(IF(VLOOKUP(C1542,' Disaggregation - Section E '!A$7:J543,7,0)="","",VLOOKUP(C1542,' Disaggregation - Section E '!A$7:J247,7,0)*100),"")</f>
        <v/>
      </c>
      <c r="F1542" s="391" t="str">
        <f ca="1">IFERROR(IF(VLOOKUP(C1542,' Disaggregation - Section E '!A$7:J543,5,0)=0,"",VLOOKUP(C1542,' Disaggregation - Section E '!A$7:J543,5,0)),"")</f>
        <v>Male</v>
      </c>
      <c r="G1542" s="390">
        <f ca="1">IFERROR(IF(VLOOKUP(C1542,' Disaggregation - Section E '!A$7:J543,6,0)="","",VLOOKUP(C1542,' Disaggregation - Section E '!A$7:J543,6,0)),"")</f>
        <v>9260</v>
      </c>
      <c r="H1542" s="390" t="str">
        <f ca="1">IFERROR(IF(INDEX(' Disaggregation - Section E '!F$7:F543,MATCH(C1542,' Disaggregation - Section E '!A$7:A543,0)+1,1)&lt;&gt;0,INDEX(' Disaggregation - Section E '!F$7:F543,MATCH(C1542,' Disaggregation - Section E '!A$7:A543,0)+1,1),""),"")</f>
        <v/>
      </c>
      <c r="I1542" s="391">
        <f ca="1">IFERROR(IF(VLOOKUP(C1542,' Disaggregation - Section E '!A$7:J543,8,0)=0,"",VLOOKUP(C1542,' Disaggregation - Section E '!A$7:J543,8,0)),"")</f>
        <v>2022</v>
      </c>
      <c r="J1542" s="391" t="str">
        <f ca="1">IFERROR(IF(VLOOKUP(C1542,' Disaggregation - Section E '!A$7:J543,9,0)="","",VLOOKUP(C1542,' Disaggregation - Section E '!A$7:J543,9,0)),"")</f>
        <v>Spectrum 6.26</v>
      </c>
      <c r="K1542" s="387" t="str">
        <f ca="1">IFERROR(VLOOKUP(C1542,' Disaggregation - Section E '!A$7:J543,3,0),"")</f>
        <v>HIV I-14 Number of new HIV infections per 1000 uninfected population</v>
      </c>
      <c r="L1542" s="391" t="str">
        <f ca="1">IFERROR(IF(VLOOKUP(C1542,' Disaggregation - Section E '!A$7:J543,10,0)="","",VLOOKUP(C1542,' Disaggregation - Section E '!A$7:J543,10,0)),"")</f>
        <v/>
      </c>
      <c r="M1542" s="387" t="str">
        <f ca="1">IFERROR(IF(VLOOKUP(C1542,' Disaggregation - Section E '!A$7:O543,15,0)=0,"",VLOOKUP(C1542,' Disaggregation - Section E '!A$7:O543,15,0)),"")</f>
        <v>IDR-01033</v>
      </c>
      <c r="N1542" s="387"/>
      <c r="O1542" s="387"/>
      <c r="P1542" s="387" t="str">
        <f ca="1">IFERROR(IF(VLOOKUP(C1542,' Disaggregation - Section E '!A$7:R543,18,0)=0,"",VLOOKUP(C1542,' Disaggregation - Section E '!A$7:R543,18,0)),"")</f>
        <v>a1LDm000000CazPMAS</v>
      </c>
    </row>
    <row r="1543" spans="1:16">
      <c r="A1543" s="387" t="b">
        <f t="shared" ca="1" si="164"/>
        <v>1</v>
      </c>
      <c r="B1543" s="387"/>
      <c r="C1543" s="404" t="str">
        <f ca="1">IF(COUNTA(O$1306:O1543)=1,"",OFFSET(B1543,-COUNTA(O$1306:O1543)+1,1))</f>
        <v>a1GDm000000XyRKMA0</v>
      </c>
      <c r="D1543" s="392"/>
      <c r="E1543" s="389" t="str">
        <f ca="1">IFERROR(IF(VLOOKUP(C1543,' Disaggregation - Section E '!A$7:J544,7,0)="","",VLOOKUP(C1543,' Disaggregation - Section E '!A$7:J248,7,0)*100),"")</f>
        <v/>
      </c>
      <c r="F1543" s="391" t="str">
        <f ca="1">IFERROR(IF(VLOOKUP(C1543,' Disaggregation - Section E '!A$7:J544,5,0)=0,"",VLOOKUP(C1543,' Disaggregation - Section E '!A$7:J544,5,0)),"")</f>
        <v>Female 20-24</v>
      </c>
      <c r="G1543" s="390" t="str">
        <f ca="1">IFERROR(IF(VLOOKUP(C1543,' Disaggregation - Section E '!A$7:J544,6,0)="","",VLOOKUP(C1543,' Disaggregation - Section E '!A$7:J544,6,0)),"")</f>
        <v/>
      </c>
      <c r="H1543" s="390" t="str">
        <f ca="1">IFERROR(IF(INDEX(' Disaggregation - Section E '!F$7:F544,MATCH(C1543,' Disaggregation - Section E '!A$7:A544,0)+1,1)&lt;&gt;0,INDEX(' Disaggregation - Section E '!F$7:F544,MATCH(C1543,' Disaggregation - Section E '!A$7:A544,0)+1,1),""),"")</f>
        <v/>
      </c>
      <c r="I1543" s="391" t="str">
        <f ca="1">IFERROR(IF(VLOOKUP(C1543,' Disaggregation - Section E '!A$7:J544,8,0)=0,"",VLOOKUP(C1543,' Disaggregation - Section E '!A$7:J544,8,0)),"")</f>
        <v/>
      </c>
      <c r="J1543" s="391" t="str">
        <f ca="1">IFERROR(IF(VLOOKUP(C1543,' Disaggregation - Section E '!A$7:J544,9,0)="","",VLOOKUP(C1543,' Disaggregation - Section E '!A$7:J544,9,0)),"")</f>
        <v/>
      </c>
      <c r="K1543" s="387" t="str">
        <f ca="1">IFERROR(VLOOKUP(C1543,' Disaggregation - Section E '!A$7:J544,3,0),"")</f>
        <v>HIV I-14 Number of new HIV infections per 1000 uninfected population</v>
      </c>
      <c r="L1543" s="391" t="str">
        <f ca="1">IFERROR(IF(VLOOKUP(C1543,' Disaggregation - Section E '!A$7:J544,10,0)="","",VLOOKUP(C1543,' Disaggregation - Section E '!A$7:J544,10,0)),"")</f>
        <v/>
      </c>
      <c r="M1543" s="387" t="str">
        <f ca="1">IFERROR(IF(VLOOKUP(C1543,' Disaggregation - Section E '!A$7:O544,15,0)=0,"",VLOOKUP(C1543,' Disaggregation - Section E '!A$7:O544,15,0)),"")</f>
        <v>IDR-01032</v>
      </c>
      <c r="N1543" s="387"/>
      <c r="O1543" s="387"/>
      <c r="P1543" s="387" t="str">
        <f ca="1">IFERROR(IF(VLOOKUP(C1543,' Disaggregation - Section E '!A$7:R544,18,0)=0,"",VLOOKUP(C1543,' Disaggregation - Section E '!A$7:R544,18,0)),"")</f>
        <v>a1LDm000000CazOMAS</v>
      </c>
    </row>
    <row r="1544" spans="1:16">
      <c r="A1544" s="387" t="b">
        <f t="shared" ca="1" si="164"/>
        <v>1</v>
      </c>
      <c r="B1544" s="387"/>
      <c r="C1544" s="404" t="str">
        <f ca="1">IF(COUNTA(O$1306:O1544)=1,"",OFFSET(B1544,-COUNTA(O$1306:O1544)+1,1))</f>
        <v>a1GDm000000XyRLMA0</v>
      </c>
      <c r="D1544" s="392"/>
      <c r="E1544" s="389" t="str">
        <f ca="1">IFERROR(IF(VLOOKUP(C1544,' Disaggregation - Section E '!A$7:J545,7,0)="","",VLOOKUP(C1544,' Disaggregation - Section E '!A$7:J249,7,0)*100),"")</f>
        <v/>
      </c>
      <c r="F1544" s="391" t="str">
        <f ca="1">IFERROR(IF(VLOOKUP(C1544,' Disaggregation - Section E '!A$7:J545,5,0)=0,"",VLOOKUP(C1544,' Disaggregation - Section E '!A$7:J545,5,0)),"")</f>
        <v>Female 15-19</v>
      </c>
      <c r="G1544" s="390" t="str">
        <f ca="1">IFERROR(IF(VLOOKUP(C1544,' Disaggregation - Section E '!A$7:J545,6,0)="","",VLOOKUP(C1544,' Disaggregation - Section E '!A$7:J545,6,0)),"")</f>
        <v/>
      </c>
      <c r="H1544" s="390" t="str">
        <f ca="1">IFERROR(IF(INDEX(' Disaggregation - Section E '!F$7:F545,MATCH(C1544,' Disaggregation - Section E '!A$7:A545,0)+1,1)&lt;&gt;0,INDEX(' Disaggregation - Section E '!F$7:F545,MATCH(C1544,' Disaggregation - Section E '!A$7:A545,0)+1,1),""),"")</f>
        <v/>
      </c>
      <c r="I1544" s="391" t="str">
        <f ca="1">IFERROR(IF(VLOOKUP(C1544,' Disaggregation - Section E '!A$7:J545,8,0)=0,"",VLOOKUP(C1544,' Disaggregation - Section E '!A$7:J545,8,0)),"")</f>
        <v/>
      </c>
      <c r="J1544" s="391" t="str">
        <f ca="1">IFERROR(IF(VLOOKUP(C1544,' Disaggregation - Section E '!A$7:J545,9,0)="","",VLOOKUP(C1544,' Disaggregation - Section E '!A$7:J545,9,0)),"")</f>
        <v/>
      </c>
      <c r="K1544" s="387" t="str">
        <f ca="1">IFERROR(VLOOKUP(C1544,' Disaggregation - Section E '!A$7:J545,3,0),"")</f>
        <v>HIV I-14 Number of new HIV infections per 1000 uninfected population</v>
      </c>
      <c r="L1544" s="391" t="str">
        <f ca="1">IFERROR(IF(VLOOKUP(C1544,' Disaggregation - Section E '!A$7:J545,10,0)="","",VLOOKUP(C1544,' Disaggregation - Section E '!A$7:J545,10,0)),"")</f>
        <v/>
      </c>
      <c r="M1544" s="387" t="str">
        <f ca="1">IFERROR(IF(VLOOKUP(C1544,' Disaggregation - Section E '!A$7:O545,15,0)=0,"",VLOOKUP(C1544,' Disaggregation - Section E '!A$7:O545,15,0)),"")</f>
        <v>IDR-01031</v>
      </c>
      <c r="N1544" s="387"/>
      <c r="O1544" s="387"/>
      <c r="P1544" s="387" t="str">
        <f ca="1">IFERROR(IF(VLOOKUP(C1544,' Disaggregation - Section E '!A$7:R545,18,0)=0,"",VLOOKUP(C1544,' Disaggregation - Section E '!A$7:R545,18,0)),"")</f>
        <v>a1LDm000000CazNMAS</v>
      </c>
    </row>
    <row r="1545" spans="1:16">
      <c r="A1545" s="387" t="b">
        <f t="shared" ca="1" si="164"/>
        <v>1</v>
      </c>
      <c r="B1545" s="387"/>
      <c r="C1545" s="404" t="str">
        <f ca="1">IF(COUNTA(O$1306:O1545)=1,"",OFFSET(B1545,-COUNTA(O$1306:O1545)+1,1))</f>
        <v>a1GDm000000XyRMMA0</v>
      </c>
      <c r="D1545" s="392"/>
      <c r="E1545" s="389" t="str">
        <f ca="1">IFERROR(IF(VLOOKUP(C1545,' Disaggregation - Section E '!A$7:J546,7,0)="","",VLOOKUP(C1545,' Disaggregation - Section E '!A$7:J250,7,0)*100),"")</f>
        <v/>
      </c>
      <c r="F1545" s="391" t="str">
        <f ca="1">IFERROR(IF(VLOOKUP(C1545,' Disaggregation - Section E '!A$7:J546,5,0)=0,"",VLOOKUP(C1545,' Disaggregation - Section E '!A$7:J546,5,0)),"")</f>
        <v>Female</v>
      </c>
      <c r="G1545" s="390">
        <f ca="1">IFERROR(IF(VLOOKUP(C1545,' Disaggregation - Section E '!A$7:J546,6,0)="","",VLOOKUP(C1545,' Disaggregation - Section E '!A$7:J546,6,0)),"")</f>
        <v>11776</v>
      </c>
      <c r="H1545" s="390" t="str">
        <f ca="1">IFERROR(IF(INDEX(' Disaggregation - Section E '!F$7:F546,MATCH(C1545,' Disaggregation - Section E '!A$7:A546,0)+1,1)&lt;&gt;0,INDEX(' Disaggregation - Section E '!F$7:F546,MATCH(C1545,' Disaggregation - Section E '!A$7:A546,0)+1,1),""),"")</f>
        <v/>
      </c>
      <c r="I1545" s="391">
        <f ca="1">IFERROR(IF(VLOOKUP(C1545,' Disaggregation - Section E '!A$7:J546,8,0)=0,"",VLOOKUP(C1545,' Disaggregation - Section E '!A$7:J546,8,0)),"")</f>
        <v>2022</v>
      </c>
      <c r="J1545" s="391" t="str">
        <f ca="1">IFERROR(IF(VLOOKUP(C1545,' Disaggregation - Section E '!A$7:J546,9,0)="","",VLOOKUP(C1545,' Disaggregation - Section E '!A$7:J546,9,0)),"")</f>
        <v>Spectrum 6.26</v>
      </c>
      <c r="K1545" s="387" t="str">
        <f ca="1">IFERROR(VLOOKUP(C1545,' Disaggregation - Section E '!A$7:J546,3,0),"")</f>
        <v>HIV I-14 Number of new HIV infections per 1000 uninfected population</v>
      </c>
      <c r="L1545" s="391" t="str">
        <f ca="1">IFERROR(IF(VLOOKUP(C1545,' Disaggregation - Section E '!A$7:J546,10,0)="","",VLOOKUP(C1545,' Disaggregation - Section E '!A$7:J546,10,0)),"")</f>
        <v/>
      </c>
      <c r="M1545" s="387" t="str">
        <f ca="1">IFERROR(IF(VLOOKUP(C1545,' Disaggregation - Section E '!A$7:O546,15,0)=0,"",VLOOKUP(C1545,' Disaggregation - Section E '!A$7:O546,15,0)),"")</f>
        <v>IDR-01030</v>
      </c>
      <c r="N1545" s="387"/>
      <c r="O1545" s="387"/>
      <c r="P1545" s="387" t="str">
        <f ca="1">IFERROR(IF(VLOOKUP(C1545,' Disaggregation - Section E '!A$7:R546,18,0)=0,"",VLOOKUP(C1545,' Disaggregation - Section E '!A$7:R546,18,0)),"")</f>
        <v>a1LDm000000CazMMAS</v>
      </c>
    </row>
    <row r="1546" spans="1:16">
      <c r="A1546" s="387" t="b">
        <f t="shared" ca="1" si="164"/>
        <v>0</v>
      </c>
      <c r="B1546" s="387"/>
      <c r="C1546" s="404" t="str">
        <f ca="1">IF(COUNTA(O$1306:O1546)=1,"",OFFSET(B1546,-COUNTA(O$1306:O1546)+1,1))</f>
        <v>a1GDm000000XyRNMA0</v>
      </c>
      <c r="D1546" s="392"/>
      <c r="E1546" s="389" t="str">
        <f ca="1">IFERROR(IF(VLOOKUP(C1546,' Disaggregation - Section E '!A$7:J547,7,0)="","",VLOOKUP(C1546,' Disaggregation - Section E '!A$7:J251,7,0)*100),"")</f>
        <v/>
      </c>
      <c r="F1546" s="391" t="str">
        <f ca="1">IFERROR(IF(VLOOKUP(C1546,' Disaggregation - Section E '!A$7:J547,5,0)=0,"",VLOOKUP(C1546,' Disaggregation - Section E '!A$7:J547,5,0)),"")</f>
        <v/>
      </c>
      <c r="G1546" s="390" t="str">
        <f ca="1">IFERROR(IF(VLOOKUP(C1546,' Disaggregation - Section E '!A$7:J547,6,0)="","",VLOOKUP(C1546,' Disaggregation - Section E '!A$7:J547,6,0)),"")</f>
        <v/>
      </c>
      <c r="H1546" s="390" t="str">
        <f ca="1">IFERROR(IF(INDEX(' Disaggregation - Section E '!F$7:F547,MATCH(C1546,' Disaggregation - Section E '!A$7:A547,0)+1,1)&lt;&gt;0,INDEX(' Disaggregation - Section E '!F$7:F547,MATCH(C1546,' Disaggregation - Section E '!A$7:A547,0)+1,1),""),"")</f>
        <v/>
      </c>
      <c r="I1546" s="391" t="str">
        <f ca="1">IFERROR(IF(VLOOKUP(C1546,' Disaggregation - Section E '!A$7:J547,8,0)=0,"",VLOOKUP(C1546,' Disaggregation - Section E '!A$7:J547,8,0)),"")</f>
        <v/>
      </c>
      <c r="J1546" s="391" t="str">
        <f ca="1">IFERROR(IF(VLOOKUP(C1546,' Disaggregation - Section E '!A$7:J547,9,0)="","",VLOOKUP(C1546,' Disaggregation - Section E '!A$7:J547,9,0)),"")</f>
        <v/>
      </c>
      <c r="K1546" s="387" t="str">
        <f ca="1">IFERROR(VLOOKUP(C1546,' Disaggregation - Section E '!A$7:J547,3,0),"")</f>
        <v>HIV I-14 Number of new HIV infections per 1000 uninfected population</v>
      </c>
      <c r="L1546" s="391" t="str">
        <f ca="1">IFERROR(IF(VLOOKUP(C1546,' Disaggregation - Section E '!A$7:J547,10,0)="","",VLOOKUP(C1546,' Disaggregation - Section E '!A$7:J547,10,0)),"")</f>
        <v/>
      </c>
      <c r="M1546" s="387" t="str">
        <f ca="1">IFERROR(IF(VLOOKUP(C1546,' Disaggregation - Section E '!A$7:O547,15,0)=0,"",VLOOKUP(C1546,' Disaggregation - Section E '!A$7:O547,15,0)),"")</f>
        <v/>
      </c>
      <c r="N1546" s="387"/>
      <c r="O1546" s="387"/>
      <c r="P1546" s="387" t="str">
        <f ca="1">IFERROR(IF(VLOOKUP(C1546,' Disaggregation - Section E '!A$7:R547,18,0)=0,"",VLOOKUP(C1546,' Disaggregation - Section E '!A$7:R547,18,0)),"")</f>
        <v/>
      </c>
    </row>
    <row r="1547" spans="1:16">
      <c r="A1547" s="387" t="b">
        <f t="shared" ca="1" si="164"/>
        <v>0</v>
      </c>
      <c r="B1547" s="387"/>
      <c r="C1547" s="404" t="str">
        <f ca="1">IF(COUNTA(O$1306:O1547)=1,"",OFFSET(B1547,-COUNTA(O$1306:O1547)+1,1))</f>
        <v>a1GDm000000XyROMA0</v>
      </c>
      <c r="D1547" s="392"/>
      <c r="E1547" s="389" t="str">
        <f ca="1">IFERROR(IF(VLOOKUP(C1547,' Disaggregation - Section E '!A$7:J548,7,0)="","",VLOOKUP(C1547,' Disaggregation - Section E '!A$7:J252,7,0)*100),"")</f>
        <v/>
      </c>
      <c r="F1547" s="391" t="str">
        <f ca="1">IFERROR(IF(VLOOKUP(C1547,' Disaggregation - Section E '!A$7:J548,5,0)=0,"",VLOOKUP(C1547,' Disaggregation - Section E '!A$7:J548,5,0)),"")</f>
        <v/>
      </c>
      <c r="G1547" s="390" t="str">
        <f ca="1">IFERROR(IF(VLOOKUP(C1547,' Disaggregation - Section E '!A$7:J548,6,0)="","",VLOOKUP(C1547,' Disaggregation - Section E '!A$7:J548,6,0)),"")</f>
        <v/>
      </c>
      <c r="H1547" s="390" t="str">
        <f ca="1">IFERROR(IF(INDEX(' Disaggregation - Section E '!F$7:F548,MATCH(C1547,' Disaggregation - Section E '!A$7:A548,0)+1,1)&lt;&gt;0,INDEX(' Disaggregation - Section E '!F$7:F548,MATCH(C1547,' Disaggregation - Section E '!A$7:A548,0)+1,1),""),"")</f>
        <v/>
      </c>
      <c r="I1547" s="391" t="str">
        <f ca="1">IFERROR(IF(VLOOKUP(C1547,' Disaggregation - Section E '!A$7:J548,8,0)=0,"",VLOOKUP(C1547,' Disaggregation - Section E '!A$7:J548,8,0)),"")</f>
        <v/>
      </c>
      <c r="J1547" s="391" t="str">
        <f ca="1">IFERROR(IF(VLOOKUP(C1547,' Disaggregation - Section E '!A$7:J548,9,0)="","",VLOOKUP(C1547,' Disaggregation - Section E '!A$7:J548,9,0)),"")</f>
        <v/>
      </c>
      <c r="K1547" s="387" t="str">
        <f ca="1">IFERROR(VLOOKUP(C1547,' Disaggregation - Section E '!A$7:J548,3,0),"")</f>
        <v>HIV I-14 Number of new HIV infections per 1000 uninfected population</v>
      </c>
      <c r="L1547" s="391" t="str">
        <f ca="1">IFERROR(IF(VLOOKUP(C1547,' Disaggregation - Section E '!A$7:J548,10,0)="","",VLOOKUP(C1547,' Disaggregation - Section E '!A$7:J548,10,0)),"")</f>
        <v/>
      </c>
      <c r="M1547" s="387" t="str">
        <f ca="1">IFERROR(IF(VLOOKUP(C1547,' Disaggregation - Section E '!A$7:O548,15,0)=0,"",VLOOKUP(C1547,' Disaggregation - Section E '!A$7:O548,15,0)),"")</f>
        <v/>
      </c>
      <c r="N1547" s="387"/>
      <c r="O1547" s="387"/>
      <c r="P1547" s="387" t="str">
        <f ca="1">IFERROR(IF(VLOOKUP(C1547,' Disaggregation - Section E '!A$7:R548,18,0)=0,"",VLOOKUP(C1547,' Disaggregation - Section E '!A$7:R548,18,0)),"")</f>
        <v/>
      </c>
    </row>
    <row r="1548" spans="1:16">
      <c r="A1548" s="387" t="b">
        <f t="shared" ca="1" si="164"/>
        <v>1</v>
      </c>
      <c r="B1548" s="387"/>
      <c r="C1548" s="404" t="str">
        <f ca="1">IF(COUNTA(O$1306:O1548)=1,"",OFFSET(B1548,-COUNTA(O$1306:O1548)+1,1))</f>
        <v>a1GDm000000XyRPMA0</v>
      </c>
      <c r="D1548" s="392"/>
      <c r="E1548" s="389" t="str">
        <f ca="1">IFERROR(IF(VLOOKUP(C1548,' Disaggregation - Section E '!A$7:J549,7,0)="","",VLOOKUP(C1548,' Disaggregation - Section E '!A$7:J253,7,0)*100),"")</f>
        <v/>
      </c>
      <c r="F1548" s="391" t="str">
        <f ca="1">IFERROR(IF(VLOOKUP(C1548,' Disaggregation - Section E '!A$7:J549,5,0)=0,"",VLOOKUP(C1548,' Disaggregation - Section E '!A$7:J549,5,0)),"")</f>
        <v>15+</v>
      </c>
      <c r="G1548" s="390">
        <f ca="1">IFERROR(IF(VLOOKUP(C1548,' Disaggregation - Section E '!A$7:J549,6,0)="","",VLOOKUP(C1548,' Disaggregation - Section E '!A$7:J549,6,0)),"")</f>
        <v>8114</v>
      </c>
      <c r="H1548" s="390" t="str">
        <f ca="1">IFERROR(IF(INDEX(' Disaggregation - Section E '!F$7:F549,MATCH(C1548,' Disaggregation - Section E '!A$7:A549,0)+1,1)&lt;&gt;0,INDEX(' Disaggregation - Section E '!F$7:F549,MATCH(C1548,' Disaggregation - Section E '!A$7:A549,0)+1,1),""),"")</f>
        <v/>
      </c>
      <c r="I1548" s="391">
        <f ca="1">IFERROR(IF(VLOOKUP(C1548,' Disaggregation - Section E '!A$7:J549,8,0)=0,"",VLOOKUP(C1548,' Disaggregation - Section E '!A$7:J549,8,0)),"")</f>
        <v>2022</v>
      </c>
      <c r="J1548" s="391" t="str">
        <f ca="1">IFERROR(IF(VLOOKUP(C1548,' Disaggregation - Section E '!A$7:J549,9,0)="","",VLOOKUP(C1548,' Disaggregation - Section E '!A$7:J549,9,0)),"")</f>
        <v>Spectrum 6.26</v>
      </c>
      <c r="K1548" s="387" t="str">
        <f ca="1">IFERROR(VLOOKUP(C1548,' Disaggregation - Section E '!A$7:J549,3,0),"")</f>
        <v>HIV I-4 Number of AIDS-related deaths per 100,000 population</v>
      </c>
      <c r="L1548" s="391" t="str">
        <f ca="1">IFERROR(IF(VLOOKUP(C1548,' Disaggregation - Section E '!A$7:J549,10,0)="","",VLOOKUP(C1548,' Disaggregation - Section E '!A$7:J549,10,0)),"")</f>
        <v/>
      </c>
      <c r="M1548" s="387" t="str">
        <f ca="1">IFERROR(IF(VLOOKUP(C1548,' Disaggregation - Section E '!A$7:O549,15,0)=0,"",VLOOKUP(C1548,' Disaggregation - Section E '!A$7:O549,15,0)),"")</f>
        <v>IDR-01046</v>
      </c>
      <c r="N1548" s="387"/>
      <c r="O1548" s="387"/>
      <c r="P1548" s="387" t="str">
        <f ca="1">IFERROR(IF(VLOOKUP(C1548,' Disaggregation - Section E '!A$7:R549,18,0)=0,"",VLOOKUP(C1548,' Disaggregation - Section E '!A$7:R549,18,0)),"")</f>
        <v>a1LDm000000CazcMAC</v>
      </c>
    </row>
    <row r="1549" spans="1:16">
      <c r="A1549" s="387" t="b">
        <f t="shared" ca="1" si="164"/>
        <v>1</v>
      </c>
      <c r="B1549" s="387"/>
      <c r="C1549" s="404" t="str">
        <f ca="1">IF(COUNTA(O$1306:O1549)=1,"",OFFSET(B1549,-COUNTA(O$1306:O1549)+1,1))</f>
        <v>a1GDm000000XyRQMA0</v>
      </c>
      <c r="D1549" s="392"/>
      <c r="E1549" s="389" t="str">
        <f ca="1">IFERROR(IF(VLOOKUP(C1549,' Disaggregation - Section E '!A$7:J550,7,0)="","",VLOOKUP(C1549,' Disaggregation - Section E '!A$7:J254,7,0)*100),"")</f>
        <v/>
      </c>
      <c r="F1549" s="391" t="str">
        <f ca="1">IFERROR(IF(VLOOKUP(C1549,' Disaggregation - Section E '!A$7:J550,5,0)=0,"",VLOOKUP(C1549,' Disaggregation - Section E '!A$7:J550,5,0)),"")</f>
        <v>Male 20-24</v>
      </c>
      <c r="G1549" s="390" t="str">
        <f ca="1">IFERROR(IF(VLOOKUP(C1549,' Disaggregation - Section E '!A$7:J550,6,0)="","",VLOOKUP(C1549,' Disaggregation - Section E '!A$7:J550,6,0)),"")</f>
        <v/>
      </c>
      <c r="H1549" s="390" t="str">
        <f ca="1">IFERROR(IF(INDEX(' Disaggregation - Section E '!F$7:F550,MATCH(C1549,' Disaggregation - Section E '!A$7:A550,0)+1,1)&lt;&gt;0,INDEX(' Disaggregation - Section E '!F$7:F550,MATCH(C1549,' Disaggregation - Section E '!A$7:A550,0)+1,1),""),"")</f>
        <v/>
      </c>
      <c r="I1549" s="391" t="str">
        <f ca="1">IFERROR(IF(VLOOKUP(C1549,' Disaggregation - Section E '!A$7:J550,8,0)=0,"",VLOOKUP(C1549,' Disaggregation - Section E '!A$7:J550,8,0)),"")</f>
        <v/>
      </c>
      <c r="J1549" s="391" t="str">
        <f ca="1">IFERROR(IF(VLOOKUP(C1549,' Disaggregation - Section E '!A$7:J550,9,0)="","",VLOOKUP(C1549,' Disaggregation - Section E '!A$7:J550,9,0)),"")</f>
        <v/>
      </c>
      <c r="K1549" s="387" t="str">
        <f ca="1">IFERROR(VLOOKUP(C1549,' Disaggregation - Section E '!A$7:J550,3,0),"")</f>
        <v>HIV I-4 Number of AIDS-related deaths per 100,000 population</v>
      </c>
      <c r="L1549" s="391" t="str">
        <f ca="1">IFERROR(IF(VLOOKUP(C1549,' Disaggregation - Section E '!A$7:J550,10,0)="","",VLOOKUP(C1549,' Disaggregation - Section E '!A$7:J550,10,0)),"")</f>
        <v/>
      </c>
      <c r="M1549" s="387" t="str">
        <f ca="1">IFERROR(IF(VLOOKUP(C1549,' Disaggregation - Section E '!A$7:O550,15,0)=0,"",VLOOKUP(C1549,' Disaggregation - Section E '!A$7:O550,15,0)),"")</f>
        <v>IDR-01045</v>
      </c>
      <c r="N1549" s="387"/>
      <c r="O1549" s="387"/>
      <c r="P1549" s="387" t="str">
        <f ca="1">IFERROR(IF(VLOOKUP(C1549,' Disaggregation - Section E '!A$7:R550,18,0)=0,"",VLOOKUP(C1549,' Disaggregation - Section E '!A$7:R550,18,0)),"")</f>
        <v>a1LDm000000CazbMAC</v>
      </c>
    </row>
    <row r="1550" spans="1:16">
      <c r="A1550" s="387" t="b">
        <f t="shared" ca="1" si="164"/>
        <v>1</v>
      </c>
      <c r="B1550" s="387"/>
      <c r="C1550" s="404" t="str">
        <f ca="1">IF(COUNTA(O$1306:O1550)=1,"",OFFSET(B1550,-COUNTA(O$1306:O1550)+1,1))</f>
        <v>a1GDm000000XyRRMA0</v>
      </c>
      <c r="D1550" s="392"/>
      <c r="E1550" s="389" t="str">
        <f ca="1">IFERROR(IF(VLOOKUP(C1550,' Disaggregation - Section E '!A$7:J551,7,0)="","",VLOOKUP(C1550,' Disaggregation - Section E '!A$7:J255,7,0)*100),"")</f>
        <v/>
      </c>
      <c r="F1550" s="391" t="str">
        <f ca="1">IFERROR(IF(VLOOKUP(C1550,' Disaggregation - Section E '!A$7:J551,5,0)=0,"",VLOOKUP(C1550,' Disaggregation - Section E '!A$7:J551,5,0)),"")</f>
        <v>Male 15-19</v>
      </c>
      <c r="G1550" s="390" t="str">
        <f ca="1">IFERROR(IF(VLOOKUP(C1550,' Disaggregation - Section E '!A$7:J551,6,0)="","",VLOOKUP(C1550,' Disaggregation - Section E '!A$7:J551,6,0)),"")</f>
        <v/>
      </c>
      <c r="H1550" s="390" t="str">
        <f ca="1">IFERROR(IF(INDEX(' Disaggregation - Section E '!F$7:F551,MATCH(C1550,' Disaggregation - Section E '!A$7:A551,0)+1,1)&lt;&gt;0,INDEX(' Disaggregation - Section E '!F$7:F551,MATCH(C1550,' Disaggregation - Section E '!A$7:A551,0)+1,1),""),"")</f>
        <v/>
      </c>
      <c r="I1550" s="391" t="str">
        <f ca="1">IFERROR(IF(VLOOKUP(C1550,' Disaggregation - Section E '!A$7:J551,8,0)=0,"",VLOOKUP(C1550,' Disaggregation - Section E '!A$7:J551,8,0)),"")</f>
        <v/>
      </c>
      <c r="J1550" s="391" t="str">
        <f ca="1">IFERROR(IF(VLOOKUP(C1550,' Disaggregation - Section E '!A$7:J551,9,0)="","",VLOOKUP(C1550,' Disaggregation - Section E '!A$7:J551,9,0)),"")</f>
        <v/>
      </c>
      <c r="K1550" s="387" t="str">
        <f ca="1">IFERROR(VLOOKUP(C1550,' Disaggregation - Section E '!A$7:J551,3,0),"")</f>
        <v>HIV I-4 Number of AIDS-related deaths per 100,000 population</v>
      </c>
      <c r="L1550" s="391" t="str">
        <f ca="1">IFERROR(IF(VLOOKUP(C1550,' Disaggregation - Section E '!A$7:J551,10,0)="","",VLOOKUP(C1550,' Disaggregation - Section E '!A$7:J551,10,0)),"")</f>
        <v/>
      </c>
      <c r="M1550" s="387" t="str">
        <f ca="1">IFERROR(IF(VLOOKUP(C1550,' Disaggregation - Section E '!A$7:O551,15,0)=0,"",VLOOKUP(C1550,' Disaggregation - Section E '!A$7:O551,15,0)),"")</f>
        <v>IDR-01044</v>
      </c>
      <c r="N1550" s="387"/>
      <c r="O1550" s="387"/>
      <c r="P1550" s="387" t="str">
        <f ca="1">IFERROR(IF(VLOOKUP(C1550,' Disaggregation - Section E '!A$7:R551,18,0)=0,"",VLOOKUP(C1550,' Disaggregation - Section E '!A$7:R551,18,0)),"")</f>
        <v>a1LDm000000CazaMAC</v>
      </c>
    </row>
    <row r="1551" spans="1:16">
      <c r="A1551" s="387" t="b">
        <f t="shared" ca="1" si="164"/>
        <v>1</v>
      </c>
      <c r="B1551" s="387"/>
      <c r="C1551" s="404" t="str">
        <f ca="1">IF(COUNTA(O$1306:O1551)=1,"",OFFSET(B1551,-COUNTA(O$1306:O1551)+1,1))</f>
        <v>a1GDm000000XyRSMA0</v>
      </c>
      <c r="D1551" s="392"/>
      <c r="E1551" s="389" t="str">
        <f ca="1">IFERROR(IF(VLOOKUP(C1551,' Disaggregation - Section E '!A$7:J552,7,0)="","",VLOOKUP(C1551,' Disaggregation - Section E '!A$7:J256,7,0)*100),"")</f>
        <v/>
      </c>
      <c r="F1551" s="391" t="str">
        <f ca="1">IFERROR(IF(VLOOKUP(C1551,' Disaggregation - Section E '!A$7:J552,5,0)=0,"",VLOOKUP(C1551,' Disaggregation - Section E '!A$7:J552,5,0)),"")</f>
        <v>Male</v>
      </c>
      <c r="G1551" s="390">
        <f ca="1">IFERROR(IF(VLOOKUP(C1551,' Disaggregation - Section E '!A$7:J552,6,0)="","",VLOOKUP(C1551,' Disaggregation - Section E '!A$7:J552,6,0)),"")</f>
        <v>7341</v>
      </c>
      <c r="H1551" s="390" t="str">
        <f ca="1">IFERROR(IF(INDEX(' Disaggregation - Section E '!F$7:F552,MATCH(C1551,' Disaggregation - Section E '!A$7:A552,0)+1,1)&lt;&gt;0,INDEX(' Disaggregation - Section E '!F$7:F552,MATCH(C1551,' Disaggregation - Section E '!A$7:A552,0)+1,1),""),"")</f>
        <v/>
      </c>
      <c r="I1551" s="391">
        <f ca="1">IFERROR(IF(VLOOKUP(C1551,' Disaggregation - Section E '!A$7:J552,8,0)=0,"",VLOOKUP(C1551,' Disaggregation - Section E '!A$7:J552,8,0)),"")</f>
        <v>2022</v>
      </c>
      <c r="J1551" s="391" t="str">
        <f ca="1">IFERROR(IF(VLOOKUP(C1551,' Disaggregation - Section E '!A$7:J552,9,0)="","",VLOOKUP(C1551,' Disaggregation - Section E '!A$7:J552,9,0)),"")</f>
        <v>Spectrum 6.26</v>
      </c>
      <c r="K1551" s="387" t="str">
        <f ca="1">IFERROR(VLOOKUP(C1551,' Disaggregation - Section E '!A$7:J552,3,0),"")</f>
        <v>HIV I-4 Number of AIDS-related deaths per 100,000 population</v>
      </c>
      <c r="L1551" s="391" t="str">
        <f ca="1">IFERROR(IF(VLOOKUP(C1551,' Disaggregation - Section E '!A$7:J552,10,0)="","",VLOOKUP(C1551,' Disaggregation - Section E '!A$7:J552,10,0)),"")</f>
        <v/>
      </c>
      <c r="M1551" s="387" t="str">
        <f ca="1">IFERROR(IF(VLOOKUP(C1551,' Disaggregation - Section E '!A$7:O552,15,0)=0,"",VLOOKUP(C1551,' Disaggregation - Section E '!A$7:O552,15,0)),"")</f>
        <v>IDR-01043</v>
      </c>
      <c r="N1551" s="387"/>
      <c r="O1551" s="387"/>
      <c r="P1551" s="387" t="str">
        <f ca="1">IFERROR(IF(VLOOKUP(C1551,' Disaggregation - Section E '!A$7:R552,18,0)=0,"",VLOOKUP(C1551,' Disaggregation - Section E '!A$7:R552,18,0)),"")</f>
        <v>a1LDm000000CazZMAS</v>
      </c>
    </row>
    <row r="1552" spans="1:16">
      <c r="A1552" s="387" t="b">
        <f t="shared" ca="1" si="164"/>
        <v>1</v>
      </c>
      <c r="B1552" s="387"/>
      <c r="C1552" s="404" t="str">
        <f ca="1">IF(COUNTA(O$1306:O1552)=1,"",OFFSET(B1552,-COUNTA(O$1306:O1552)+1,1))</f>
        <v>a1GDm000000XyRTMA0</v>
      </c>
      <c r="D1552" s="392"/>
      <c r="E1552" s="389" t="str">
        <f ca="1">IFERROR(IF(VLOOKUP(C1552,' Disaggregation - Section E '!A$7:J553,7,0)="","",VLOOKUP(C1552,' Disaggregation - Section E '!A$7:J257,7,0)*100),"")</f>
        <v/>
      </c>
      <c r="F1552" s="391" t="str">
        <f ca="1">IFERROR(IF(VLOOKUP(C1552,' Disaggregation - Section E '!A$7:J553,5,0)=0,"",VLOOKUP(C1552,' Disaggregation - Section E '!A$7:J553,5,0)),"")</f>
        <v>5-14</v>
      </c>
      <c r="G1552" s="390" t="str">
        <f ca="1">IFERROR(IF(VLOOKUP(C1552,' Disaggregation - Section E '!A$7:J553,6,0)="","",VLOOKUP(C1552,' Disaggregation - Section E '!A$7:J553,6,0)),"")</f>
        <v/>
      </c>
      <c r="H1552" s="390" t="str">
        <f ca="1">IFERROR(IF(INDEX(' Disaggregation - Section E '!F$7:F553,MATCH(C1552,' Disaggregation - Section E '!A$7:A553,0)+1,1)&lt;&gt;0,INDEX(' Disaggregation - Section E '!F$7:F553,MATCH(C1552,' Disaggregation - Section E '!A$7:A553,0)+1,1),""),"")</f>
        <v/>
      </c>
      <c r="I1552" s="391" t="str">
        <f ca="1">IFERROR(IF(VLOOKUP(C1552,' Disaggregation - Section E '!A$7:J553,8,0)=0,"",VLOOKUP(C1552,' Disaggregation - Section E '!A$7:J553,8,0)),"")</f>
        <v/>
      </c>
      <c r="J1552" s="391" t="str">
        <f ca="1">IFERROR(IF(VLOOKUP(C1552,' Disaggregation - Section E '!A$7:J553,9,0)="","",VLOOKUP(C1552,' Disaggregation - Section E '!A$7:J553,9,0)),"")</f>
        <v/>
      </c>
      <c r="K1552" s="387" t="str">
        <f ca="1">IFERROR(VLOOKUP(C1552,' Disaggregation - Section E '!A$7:J553,3,0),"")</f>
        <v>HIV I-4 Number of AIDS-related deaths per 100,000 population</v>
      </c>
      <c r="L1552" s="391" t="str">
        <f ca="1">IFERROR(IF(VLOOKUP(C1552,' Disaggregation - Section E '!A$7:J553,10,0)="","",VLOOKUP(C1552,' Disaggregation - Section E '!A$7:J553,10,0)),"")</f>
        <v/>
      </c>
      <c r="M1552" s="387" t="str">
        <f ca="1">IFERROR(IF(VLOOKUP(C1552,' Disaggregation - Section E '!A$7:O553,15,0)=0,"",VLOOKUP(C1552,' Disaggregation - Section E '!A$7:O553,15,0)),"")</f>
        <v>IDR-01042</v>
      </c>
      <c r="N1552" s="387"/>
      <c r="O1552" s="387"/>
      <c r="P1552" s="387" t="str">
        <f ca="1">IFERROR(IF(VLOOKUP(C1552,' Disaggregation - Section E '!A$7:R553,18,0)=0,"",VLOOKUP(C1552,' Disaggregation - Section E '!A$7:R553,18,0)),"")</f>
        <v>a1LDm000000CazYMAS</v>
      </c>
    </row>
    <row r="1553" spans="1:16">
      <c r="A1553" s="387" t="b">
        <f t="shared" ca="1" si="164"/>
        <v>1</v>
      </c>
      <c r="B1553" s="387"/>
      <c r="C1553" s="404" t="str">
        <f ca="1">IF(COUNTA(O$1306:O1553)=1,"",OFFSET(B1553,-COUNTA(O$1306:O1553)+1,1))</f>
        <v>a1GDm000000XyRUMA0</v>
      </c>
      <c r="D1553" s="392"/>
      <c r="E1553" s="389" t="str">
        <f ca="1">IFERROR(IF(VLOOKUP(C1553,' Disaggregation - Section E '!A$7:J554,7,0)="","",VLOOKUP(C1553,' Disaggregation - Section E '!A$7:J258,7,0)*100),"")</f>
        <v/>
      </c>
      <c r="F1553" s="391" t="str">
        <f ca="1">IFERROR(IF(VLOOKUP(C1553,' Disaggregation - Section E '!A$7:J554,5,0)=0,"",VLOOKUP(C1553,' Disaggregation - Section E '!A$7:J554,5,0)),"")</f>
        <v>Female 20-24</v>
      </c>
      <c r="G1553" s="390" t="str">
        <f ca="1">IFERROR(IF(VLOOKUP(C1553,' Disaggregation - Section E '!A$7:J554,6,0)="","",VLOOKUP(C1553,' Disaggregation - Section E '!A$7:J554,6,0)),"")</f>
        <v/>
      </c>
      <c r="H1553" s="390" t="str">
        <f ca="1">IFERROR(IF(INDEX(' Disaggregation - Section E '!F$7:F554,MATCH(C1553,' Disaggregation - Section E '!A$7:A554,0)+1,1)&lt;&gt;0,INDEX(' Disaggregation - Section E '!F$7:F554,MATCH(C1553,' Disaggregation - Section E '!A$7:A554,0)+1,1),""),"")</f>
        <v/>
      </c>
      <c r="I1553" s="391" t="str">
        <f ca="1">IFERROR(IF(VLOOKUP(C1553,' Disaggregation - Section E '!A$7:J554,8,0)=0,"",VLOOKUP(C1553,' Disaggregation - Section E '!A$7:J554,8,0)),"")</f>
        <v/>
      </c>
      <c r="J1553" s="391" t="str">
        <f ca="1">IFERROR(IF(VLOOKUP(C1553,' Disaggregation - Section E '!A$7:J554,9,0)="","",VLOOKUP(C1553,' Disaggregation - Section E '!A$7:J554,9,0)),"")</f>
        <v/>
      </c>
      <c r="K1553" s="387" t="str">
        <f ca="1">IFERROR(VLOOKUP(C1553,' Disaggregation - Section E '!A$7:J554,3,0),"")</f>
        <v>HIV I-4 Number of AIDS-related deaths per 100,000 population</v>
      </c>
      <c r="L1553" s="391" t="str">
        <f ca="1">IFERROR(IF(VLOOKUP(C1553,' Disaggregation - Section E '!A$7:J554,10,0)="","",VLOOKUP(C1553,' Disaggregation - Section E '!A$7:J554,10,0)),"")</f>
        <v/>
      </c>
      <c r="M1553" s="387" t="str">
        <f ca="1">IFERROR(IF(VLOOKUP(C1553,' Disaggregation - Section E '!A$7:O554,15,0)=0,"",VLOOKUP(C1553,' Disaggregation - Section E '!A$7:O554,15,0)),"")</f>
        <v>IDR-01041</v>
      </c>
      <c r="N1553" s="387"/>
      <c r="O1553" s="387"/>
      <c r="P1553" s="387" t="str">
        <f ca="1">IFERROR(IF(VLOOKUP(C1553,' Disaggregation - Section E '!A$7:R554,18,0)=0,"",VLOOKUP(C1553,' Disaggregation - Section E '!A$7:R554,18,0)),"")</f>
        <v>a1LDm000000CazXMAS</v>
      </c>
    </row>
    <row r="1554" spans="1:16">
      <c r="A1554" s="387" t="b">
        <f t="shared" ca="1" si="164"/>
        <v>1</v>
      </c>
      <c r="B1554" s="387"/>
      <c r="C1554" s="404" t="str">
        <f ca="1">IF(COUNTA(O$1306:O1554)=1,"",OFFSET(B1554,-COUNTA(O$1306:O1554)+1,1))</f>
        <v>a1GDm000000XyRVMA0</v>
      </c>
      <c r="D1554" s="392"/>
      <c r="E1554" s="389" t="str">
        <f ca="1">IFERROR(IF(VLOOKUP(C1554,' Disaggregation - Section E '!A$7:J555,7,0)="","",VLOOKUP(C1554,' Disaggregation - Section E '!A$7:J259,7,0)*100),"")</f>
        <v/>
      </c>
      <c r="F1554" s="391" t="str">
        <f ca="1">IFERROR(IF(VLOOKUP(C1554,' Disaggregation - Section E '!A$7:J555,5,0)=0,"",VLOOKUP(C1554,' Disaggregation - Section E '!A$7:J555,5,0)),"")</f>
        <v>Female 15-19</v>
      </c>
      <c r="G1554" s="390" t="str">
        <f ca="1">IFERROR(IF(VLOOKUP(C1554,' Disaggregation - Section E '!A$7:J555,6,0)="","",VLOOKUP(C1554,' Disaggregation - Section E '!A$7:J555,6,0)),"")</f>
        <v/>
      </c>
      <c r="H1554" s="390" t="str">
        <f ca="1">IFERROR(IF(INDEX(' Disaggregation - Section E '!F$7:F555,MATCH(C1554,' Disaggregation - Section E '!A$7:A555,0)+1,1)&lt;&gt;0,INDEX(' Disaggregation - Section E '!F$7:F555,MATCH(C1554,' Disaggregation - Section E '!A$7:A555,0)+1,1),""),"")</f>
        <v/>
      </c>
      <c r="I1554" s="391" t="str">
        <f ca="1">IFERROR(IF(VLOOKUP(C1554,' Disaggregation - Section E '!A$7:J555,8,0)=0,"",VLOOKUP(C1554,' Disaggregation - Section E '!A$7:J555,8,0)),"")</f>
        <v/>
      </c>
      <c r="J1554" s="391" t="str">
        <f ca="1">IFERROR(IF(VLOOKUP(C1554,' Disaggregation - Section E '!A$7:J555,9,0)="","",VLOOKUP(C1554,' Disaggregation - Section E '!A$7:J555,9,0)),"")</f>
        <v/>
      </c>
      <c r="K1554" s="387" t="str">
        <f ca="1">IFERROR(VLOOKUP(C1554,' Disaggregation - Section E '!A$7:J555,3,0),"")</f>
        <v>HIV I-4 Number of AIDS-related deaths per 100,000 population</v>
      </c>
      <c r="L1554" s="391" t="str">
        <f ca="1">IFERROR(IF(VLOOKUP(C1554,' Disaggregation - Section E '!A$7:J555,10,0)="","",VLOOKUP(C1554,' Disaggregation - Section E '!A$7:J555,10,0)),"")</f>
        <v/>
      </c>
      <c r="M1554" s="387" t="str">
        <f ca="1">IFERROR(IF(VLOOKUP(C1554,' Disaggregation - Section E '!A$7:O555,15,0)=0,"",VLOOKUP(C1554,' Disaggregation - Section E '!A$7:O555,15,0)),"")</f>
        <v>IDR-01040</v>
      </c>
      <c r="N1554" s="387"/>
      <c r="O1554" s="387"/>
      <c r="P1554" s="387" t="str">
        <f ca="1">IFERROR(IF(VLOOKUP(C1554,' Disaggregation - Section E '!A$7:R555,18,0)=0,"",VLOOKUP(C1554,' Disaggregation - Section E '!A$7:R555,18,0)),"")</f>
        <v>a1LDm000000CazWMAS</v>
      </c>
    </row>
    <row r="1555" spans="1:16">
      <c r="A1555" s="387" t="b">
        <f t="shared" ca="1" si="164"/>
        <v>1</v>
      </c>
      <c r="B1555" s="387"/>
      <c r="C1555" s="404" t="str">
        <f ca="1">IF(COUNTA(O$1306:O1555)=1,"",OFFSET(B1555,-COUNTA(O$1306:O1555)+1,1))</f>
        <v>a1GDm000000XyRWMA0</v>
      </c>
      <c r="D1555" s="392"/>
      <c r="E1555" s="389" t="str">
        <f ca="1">IFERROR(IF(VLOOKUP(C1555,' Disaggregation - Section E '!A$7:J556,7,0)="","",VLOOKUP(C1555,' Disaggregation - Section E '!A$7:J260,7,0)*100),"")</f>
        <v/>
      </c>
      <c r="F1555" s="391" t="str">
        <f ca="1">IFERROR(IF(VLOOKUP(C1555,' Disaggregation - Section E '!A$7:J556,5,0)=0,"",VLOOKUP(C1555,' Disaggregation - Section E '!A$7:J556,5,0)),"")</f>
        <v>&lt;5</v>
      </c>
      <c r="G1555" s="390" t="str">
        <f ca="1">IFERROR(IF(VLOOKUP(C1555,' Disaggregation - Section E '!A$7:J556,6,0)="","",VLOOKUP(C1555,' Disaggregation - Section E '!A$7:J556,6,0)),"")</f>
        <v/>
      </c>
      <c r="H1555" s="390" t="str">
        <f ca="1">IFERROR(IF(INDEX(' Disaggregation - Section E '!F$7:F556,MATCH(C1555,' Disaggregation - Section E '!A$7:A556,0)+1,1)&lt;&gt;0,INDEX(' Disaggregation - Section E '!F$7:F556,MATCH(C1555,' Disaggregation - Section E '!A$7:A556,0)+1,1),""),"")</f>
        <v/>
      </c>
      <c r="I1555" s="391" t="str">
        <f ca="1">IFERROR(IF(VLOOKUP(C1555,' Disaggregation - Section E '!A$7:J556,8,0)=0,"",VLOOKUP(C1555,' Disaggregation - Section E '!A$7:J556,8,0)),"")</f>
        <v/>
      </c>
      <c r="J1555" s="391" t="str">
        <f ca="1">IFERROR(IF(VLOOKUP(C1555,' Disaggregation - Section E '!A$7:J556,9,0)="","",VLOOKUP(C1555,' Disaggregation - Section E '!A$7:J556,9,0)),"")</f>
        <v/>
      </c>
      <c r="K1555" s="387" t="str">
        <f ca="1">IFERROR(VLOOKUP(C1555,' Disaggregation - Section E '!A$7:J556,3,0),"")</f>
        <v>HIV I-4 Number of AIDS-related deaths per 100,000 population</v>
      </c>
      <c r="L1555" s="391" t="str">
        <f ca="1">IFERROR(IF(VLOOKUP(C1555,' Disaggregation - Section E '!A$7:J556,10,0)="","",VLOOKUP(C1555,' Disaggregation - Section E '!A$7:J556,10,0)),"")</f>
        <v/>
      </c>
      <c r="M1555" s="387" t="str">
        <f ca="1">IFERROR(IF(VLOOKUP(C1555,' Disaggregation - Section E '!A$7:O556,15,0)=0,"",VLOOKUP(C1555,' Disaggregation - Section E '!A$7:O556,15,0)),"")</f>
        <v>IDR-01039</v>
      </c>
      <c r="N1555" s="387"/>
      <c r="O1555" s="387"/>
      <c r="P1555" s="387" t="str">
        <f ca="1">IFERROR(IF(VLOOKUP(C1555,' Disaggregation - Section E '!A$7:R556,18,0)=0,"",VLOOKUP(C1555,' Disaggregation - Section E '!A$7:R556,18,0)),"")</f>
        <v>a1LDm000000CazVMAS</v>
      </c>
    </row>
    <row r="1556" spans="1:16">
      <c r="A1556" s="387" t="b">
        <f t="shared" ca="1" si="164"/>
        <v>1</v>
      </c>
      <c r="B1556" s="387"/>
      <c r="C1556" s="404" t="str">
        <f ca="1">IF(COUNTA(O$1306:O1556)=1,"",OFFSET(B1556,-COUNTA(O$1306:O1556)+1,1))</f>
        <v>a1GDm000000XyRXMA0</v>
      </c>
      <c r="D1556" s="392"/>
      <c r="E1556" s="389" t="str">
        <f ca="1">IFERROR(IF(VLOOKUP(C1556,' Disaggregation - Section E '!A$7:J557,7,0)="","",VLOOKUP(C1556,' Disaggregation - Section E '!A$7:J261,7,0)*100),"")</f>
        <v/>
      </c>
      <c r="F1556" s="391" t="str">
        <f ca="1">IFERROR(IF(VLOOKUP(C1556,' Disaggregation - Section E '!A$7:J557,5,0)=0,"",VLOOKUP(C1556,' Disaggregation - Section E '!A$7:J557,5,0)),"")</f>
        <v>Female</v>
      </c>
      <c r="G1556" s="390">
        <f ca="1">IFERROR(IF(VLOOKUP(C1556,' Disaggregation - Section E '!A$7:J557,6,0)="","",VLOOKUP(C1556,' Disaggregation - Section E '!A$7:J557,6,0)),"")</f>
        <v>7908</v>
      </c>
      <c r="H1556" s="390" t="str">
        <f ca="1">IFERROR(IF(INDEX(' Disaggregation - Section E '!F$7:F557,MATCH(C1556,' Disaggregation - Section E '!A$7:A557,0)+1,1)&lt;&gt;0,INDEX(' Disaggregation - Section E '!F$7:F557,MATCH(C1556,' Disaggregation - Section E '!A$7:A557,0)+1,1),""),"")</f>
        <v/>
      </c>
      <c r="I1556" s="391">
        <f ca="1">IFERROR(IF(VLOOKUP(C1556,' Disaggregation - Section E '!A$7:J557,8,0)=0,"",VLOOKUP(C1556,' Disaggregation - Section E '!A$7:J557,8,0)),"")</f>
        <v>2022</v>
      </c>
      <c r="J1556" s="391" t="str">
        <f ca="1">IFERROR(IF(VLOOKUP(C1556,' Disaggregation - Section E '!A$7:J557,9,0)="","",VLOOKUP(C1556,' Disaggregation - Section E '!A$7:J557,9,0)),"")</f>
        <v>Spectrum 6.26</v>
      </c>
      <c r="K1556" s="387" t="str">
        <f ca="1">IFERROR(VLOOKUP(C1556,' Disaggregation - Section E '!A$7:J557,3,0),"")</f>
        <v>HIV I-4 Number of AIDS-related deaths per 100,000 population</v>
      </c>
      <c r="L1556" s="391" t="str">
        <f ca="1">IFERROR(IF(VLOOKUP(C1556,' Disaggregation - Section E '!A$7:J557,10,0)="","",VLOOKUP(C1556,' Disaggregation - Section E '!A$7:J557,10,0)),"")</f>
        <v/>
      </c>
      <c r="M1556" s="387" t="str">
        <f ca="1">IFERROR(IF(VLOOKUP(C1556,' Disaggregation - Section E '!A$7:O557,15,0)=0,"",VLOOKUP(C1556,' Disaggregation - Section E '!A$7:O557,15,0)),"")</f>
        <v>IDR-01038</v>
      </c>
      <c r="N1556" s="387"/>
      <c r="O1556" s="387"/>
      <c r="P1556" s="387" t="str">
        <f ca="1">IFERROR(IF(VLOOKUP(C1556,' Disaggregation - Section E '!A$7:R557,18,0)=0,"",VLOOKUP(C1556,' Disaggregation - Section E '!A$7:R557,18,0)),"")</f>
        <v>a1LDm000000CazUMAS</v>
      </c>
    </row>
    <row r="1557" spans="1:16">
      <c r="A1557" s="387" t="b">
        <f t="shared" ca="1" si="164"/>
        <v>0</v>
      </c>
      <c r="B1557" s="387"/>
      <c r="C1557" s="404" t="str">
        <f ca="1">IF(COUNTA(O$1306:O1557)=1,"",OFFSET(B1557,-COUNTA(O$1306:O1557)+1,1))</f>
        <v>a1GDm000000XyRYMA0</v>
      </c>
      <c r="D1557" s="392"/>
      <c r="E1557" s="389" t="str">
        <f ca="1">IFERROR(IF(VLOOKUP(C1557,' Disaggregation - Section E '!A$7:J558,7,0)="","",VLOOKUP(C1557,' Disaggregation - Section E '!A$7:J262,7,0)*100),"")</f>
        <v/>
      </c>
      <c r="F1557" s="391" t="str">
        <f ca="1">IFERROR(IF(VLOOKUP(C1557,' Disaggregation - Section E '!A$7:J558,5,0)=0,"",VLOOKUP(C1557,' Disaggregation - Section E '!A$7:J558,5,0)),"")</f>
        <v/>
      </c>
      <c r="G1557" s="390" t="str">
        <f ca="1">IFERROR(IF(VLOOKUP(C1557,' Disaggregation - Section E '!A$7:J558,6,0)="","",VLOOKUP(C1557,' Disaggregation - Section E '!A$7:J558,6,0)),"")</f>
        <v/>
      </c>
      <c r="H1557" s="390" t="str">
        <f ca="1">IFERROR(IF(INDEX(' Disaggregation - Section E '!F$7:F558,MATCH(C1557,' Disaggregation - Section E '!A$7:A558,0)+1,1)&lt;&gt;0,INDEX(' Disaggregation - Section E '!F$7:F558,MATCH(C1557,' Disaggregation - Section E '!A$7:A558,0)+1,1),""),"")</f>
        <v/>
      </c>
      <c r="I1557" s="391" t="str">
        <f ca="1">IFERROR(IF(VLOOKUP(C1557,' Disaggregation - Section E '!A$7:J558,8,0)=0,"",VLOOKUP(C1557,' Disaggregation - Section E '!A$7:J558,8,0)),"")</f>
        <v/>
      </c>
      <c r="J1557" s="391" t="str">
        <f ca="1">IFERROR(IF(VLOOKUP(C1557,' Disaggregation - Section E '!A$7:J558,9,0)="","",VLOOKUP(C1557,' Disaggregation - Section E '!A$7:J558,9,0)),"")</f>
        <v/>
      </c>
      <c r="K1557" s="387" t="str">
        <f ca="1">IFERROR(VLOOKUP(C1557,' Disaggregation - Section E '!A$7:J558,3,0),"")</f>
        <v>HIV I-4 Number of AIDS-related deaths per 100,000 population</v>
      </c>
      <c r="L1557" s="391" t="str">
        <f ca="1">IFERROR(IF(VLOOKUP(C1557,' Disaggregation - Section E '!A$7:J558,10,0)="","",VLOOKUP(C1557,' Disaggregation - Section E '!A$7:J558,10,0)),"")</f>
        <v/>
      </c>
      <c r="M1557" s="387" t="str">
        <f ca="1">IFERROR(IF(VLOOKUP(C1557,' Disaggregation - Section E '!A$7:O558,15,0)=0,"",VLOOKUP(C1557,' Disaggregation - Section E '!A$7:O558,15,0)),"")</f>
        <v/>
      </c>
      <c r="N1557" s="387"/>
      <c r="O1557" s="387"/>
      <c r="P1557" s="387" t="str">
        <f ca="1">IFERROR(IF(VLOOKUP(C1557,' Disaggregation - Section E '!A$7:R558,18,0)=0,"",VLOOKUP(C1557,' Disaggregation - Section E '!A$7:R558,18,0)),"")</f>
        <v/>
      </c>
    </row>
    <row r="1558" spans="1:16">
      <c r="A1558" s="387" t="b">
        <f t="shared" ca="1" si="164"/>
        <v>0</v>
      </c>
      <c r="B1558" s="387"/>
      <c r="C1558" s="404" t="str">
        <f ca="1">IF(COUNTA(O$1306:O1558)=1,"",OFFSET(B1558,-COUNTA(O$1306:O1558)+1,1))</f>
        <v>a1GDm000000XyRZMA0</v>
      </c>
      <c r="D1558" s="392"/>
      <c r="E1558" s="389" t="str">
        <f ca="1">IFERROR(IF(VLOOKUP(C1558,' Disaggregation - Section E '!A$7:J559,7,0)="","",VLOOKUP(C1558,' Disaggregation - Section E '!A$7:J263,7,0)*100),"")</f>
        <v/>
      </c>
      <c r="F1558" s="391" t="str">
        <f ca="1">IFERROR(IF(VLOOKUP(C1558,' Disaggregation - Section E '!A$7:J559,5,0)=0,"",VLOOKUP(C1558,' Disaggregation - Section E '!A$7:J559,5,0)),"")</f>
        <v/>
      </c>
      <c r="G1558" s="390" t="str">
        <f ca="1">IFERROR(IF(VLOOKUP(C1558,' Disaggregation - Section E '!A$7:J559,6,0)="","",VLOOKUP(C1558,' Disaggregation - Section E '!A$7:J559,6,0)),"")</f>
        <v/>
      </c>
      <c r="H1558" s="390" t="str">
        <f ca="1">IFERROR(IF(INDEX(' Disaggregation - Section E '!F$7:F559,MATCH(C1558,' Disaggregation - Section E '!A$7:A559,0)+1,1)&lt;&gt;0,INDEX(' Disaggregation - Section E '!F$7:F559,MATCH(C1558,' Disaggregation - Section E '!A$7:A559,0)+1,1),""),"")</f>
        <v/>
      </c>
      <c r="I1558" s="391" t="str">
        <f ca="1">IFERROR(IF(VLOOKUP(C1558,' Disaggregation - Section E '!A$7:J559,8,0)=0,"",VLOOKUP(C1558,' Disaggregation - Section E '!A$7:J559,8,0)),"")</f>
        <v/>
      </c>
      <c r="J1558" s="391" t="str">
        <f ca="1">IFERROR(IF(VLOOKUP(C1558,' Disaggregation - Section E '!A$7:J559,9,0)="","",VLOOKUP(C1558,' Disaggregation - Section E '!A$7:J559,9,0)),"")</f>
        <v/>
      </c>
      <c r="K1558" s="387" t="str">
        <f ca="1">IFERROR(VLOOKUP(C1558,' Disaggregation - Section E '!A$7:J559,3,0),"")</f>
        <v/>
      </c>
      <c r="L1558" s="391" t="str">
        <f ca="1">IFERROR(IF(VLOOKUP(C1558,' Disaggregation - Section E '!A$7:J559,10,0)="","",VLOOKUP(C1558,' Disaggregation - Section E '!A$7:J559,10,0)),"")</f>
        <v/>
      </c>
      <c r="M1558" s="387" t="str">
        <f ca="1">IFERROR(IF(VLOOKUP(C1558,' Disaggregation - Section E '!A$7:O559,15,0)=0,"",VLOOKUP(C1558,' Disaggregation - Section E '!A$7:O559,15,0)),"")</f>
        <v/>
      </c>
      <c r="N1558" s="387"/>
      <c r="O1558" s="387"/>
      <c r="P1558" s="387" t="str">
        <f ca="1">IFERROR(IF(VLOOKUP(C1558,' Disaggregation - Section E '!A$7:R559,18,0)=0,"",VLOOKUP(C1558,' Disaggregation - Section E '!A$7:R559,18,0)),"")</f>
        <v/>
      </c>
    </row>
    <row r="1559" spans="1:16">
      <c r="A1559" s="387" t="b">
        <f t="shared" ca="1" si="164"/>
        <v>0</v>
      </c>
      <c r="B1559" s="387"/>
      <c r="C1559" s="404" t="str">
        <f ca="1">IF(COUNTA(O$1306:O1559)=1,"",OFFSET(B1559,-COUNTA(O$1306:O1559)+1,1))</f>
        <v>a1GDm000000XyRaMAK</v>
      </c>
      <c r="D1559" s="392"/>
      <c r="E1559" s="389" t="str">
        <f ca="1">IFERROR(IF(VLOOKUP(C1559,' Disaggregation - Section E '!A$7:J560,7,0)="","",VLOOKUP(C1559,' Disaggregation - Section E '!A$7:J264,7,0)*100),"")</f>
        <v/>
      </c>
      <c r="F1559" s="391" t="str">
        <f ca="1">IFERROR(IF(VLOOKUP(C1559,' Disaggregation - Section E '!A$7:J560,5,0)=0,"",VLOOKUP(C1559,' Disaggregation - Section E '!A$7:J560,5,0)),"")</f>
        <v/>
      </c>
      <c r="G1559" s="390" t="str">
        <f ca="1">IFERROR(IF(VLOOKUP(C1559,' Disaggregation - Section E '!A$7:J560,6,0)="","",VLOOKUP(C1559,' Disaggregation - Section E '!A$7:J560,6,0)),"")</f>
        <v/>
      </c>
      <c r="H1559" s="390" t="str">
        <f ca="1">IFERROR(IF(INDEX(' Disaggregation - Section E '!F$7:F560,MATCH(C1559,' Disaggregation - Section E '!A$7:A560,0)+1,1)&lt;&gt;0,INDEX(' Disaggregation - Section E '!F$7:F560,MATCH(C1559,' Disaggregation - Section E '!A$7:A560,0)+1,1),""),"")</f>
        <v/>
      </c>
      <c r="I1559" s="391" t="str">
        <f ca="1">IFERROR(IF(VLOOKUP(C1559,' Disaggregation - Section E '!A$7:J560,8,0)=0,"",VLOOKUP(C1559,' Disaggregation - Section E '!A$7:J560,8,0)),"")</f>
        <v/>
      </c>
      <c r="J1559" s="391" t="str">
        <f ca="1">IFERROR(IF(VLOOKUP(C1559,' Disaggregation - Section E '!A$7:J560,9,0)="","",VLOOKUP(C1559,' Disaggregation - Section E '!A$7:J560,9,0)),"")</f>
        <v/>
      </c>
      <c r="K1559" s="387" t="str">
        <f ca="1">IFERROR(VLOOKUP(C1559,' Disaggregation - Section E '!A$7:J560,3,0),"")</f>
        <v/>
      </c>
      <c r="L1559" s="391" t="str">
        <f ca="1">IFERROR(IF(VLOOKUP(C1559,' Disaggregation - Section E '!A$7:J560,10,0)="","",VLOOKUP(C1559,' Disaggregation - Section E '!A$7:J560,10,0)),"")</f>
        <v/>
      </c>
      <c r="M1559" s="387" t="str">
        <f ca="1">IFERROR(IF(VLOOKUP(C1559,' Disaggregation - Section E '!A$7:O560,15,0)=0,"",VLOOKUP(C1559,' Disaggregation - Section E '!A$7:O560,15,0)),"")</f>
        <v/>
      </c>
      <c r="N1559" s="387"/>
      <c r="O1559" s="387"/>
      <c r="P1559" s="387" t="str">
        <f ca="1">IFERROR(IF(VLOOKUP(C1559,' Disaggregation - Section E '!A$7:R560,18,0)=0,"",VLOOKUP(C1559,' Disaggregation - Section E '!A$7:R560,18,0)),"")</f>
        <v/>
      </c>
    </row>
    <row r="1560" spans="1:16">
      <c r="A1560" s="387" t="b">
        <f t="shared" ca="1" si="164"/>
        <v>0</v>
      </c>
      <c r="B1560" s="387"/>
      <c r="C1560" s="404" t="str">
        <f ca="1">IF(COUNTA(O$1306:O1560)=1,"",OFFSET(B1560,-COUNTA(O$1306:O1560)+1,1))</f>
        <v>a1GDm000000XyRbMAK</v>
      </c>
      <c r="D1560" s="392"/>
      <c r="E1560" s="389" t="str">
        <f ca="1">IFERROR(IF(VLOOKUP(C1560,' Disaggregation - Section E '!A$7:J561,7,0)="","",VLOOKUP(C1560,' Disaggregation - Section E '!A$7:J265,7,0)*100),"")</f>
        <v/>
      </c>
      <c r="F1560" s="391" t="str">
        <f ca="1">IFERROR(IF(VLOOKUP(C1560,' Disaggregation - Section E '!A$7:J561,5,0)=0,"",VLOOKUP(C1560,' Disaggregation - Section E '!A$7:J561,5,0)),"")</f>
        <v/>
      </c>
      <c r="G1560" s="390" t="str">
        <f ca="1">IFERROR(IF(VLOOKUP(C1560,' Disaggregation - Section E '!A$7:J561,6,0)="","",VLOOKUP(C1560,' Disaggregation - Section E '!A$7:J561,6,0)),"")</f>
        <v/>
      </c>
      <c r="H1560" s="390" t="str">
        <f ca="1">IFERROR(IF(INDEX(' Disaggregation - Section E '!F$7:F561,MATCH(C1560,' Disaggregation - Section E '!A$7:A561,0)+1,1)&lt;&gt;0,INDEX(' Disaggregation - Section E '!F$7:F561,MATCH(C1560,' Disaggregation - Section E '!A$7:A561,0)+1,1),""),"")</f>
        <v/>
      </c>
      <c r="I1560" s="391" t="str">
        <f ca="1">IFERROR(IF(VLOOKUP(C1560,' Disaggregation - Section E '!A$7:J561,8,0)=0,"",VLOOKUP(C1560,' Disaggregation - Section E '!A$7:J561,8,0)),"")</f>
        <v/>
      </c>
      <c r="J1560" s="391" t="str">
        <f ca="1">IFERROR(IF(VLOOKUP(C1560,' Disaggregation - Section E '!A$7:J561,9,0)="","",VLOOKUP(C1560,' Disaggregation - Section E '!A$7:J561,9,0)),"")</f>
        <v/>
      </c>
      <c r="K1560" s="387" t="str">
        <f ca="1">IFERROR(VLOOKUP(C1560,' Disaggregation - Section E '!A$7:J561,3,0),"")</f>
        <v/>
      </c>
      <c r="L1560" s="391" t="str">
        <f ca="1">IFERROR(IF(VLOOKUP(C1560,' Disaggregation - Section E '!A$7:J561,10,0)="","",VLOOKUP(C1560,' Disaggregation - Section E '!A$7:J561,10,0)),"")</f>
        <v/>
      </c>
      <c r="M1560" s="387" t="str">
        <f ca="1">IFERROR(IF(VLOOKUP(C1560,' Disaggregation - Section E '!A$7:O561,15,0)=0,"",VLOOKUP(C1560,' Disaggregation - Section E '!A$7:O561,15,0)),"")</f>
        <v/>
      </c>
      <c r="N1560" s="387"/>
      <c r="O1560" s="387"/>
      <c r="P1560" s="387" t="str">
        <f ca="1">IFERROR(IF(VLOOKUP(C1560,' Disaggregation - Section E '!A$7:R561,18,0)=0,"",VLOOKUP(C1560,' Disaggregation - Section E '!A$7:R561,18,0)),"")</f>
        <v/>
      </c>
    </row>
    <row r="1561" spans="1:16">
      <c r="A1561" s="387" t="b">
        <f t="shared" ca="1" si="164"/>
        <v>0</v>
      </c>
      <c r="B1561" s="387"/>
      <c r="C1561" s="404" t="str">
        <f ca="1">IF(COUNTA(O$1306:O1561)=1,"",OFFSET(B1561,-COUNTA(O$1306:O1561)+1,1))</f>
        <v>a1GDm000000XyRcMAK</v>
      </c>
      <c r="D1561" s="392"/>
      <c r="E1561" s="389" t="str">
        <f ca="1">IFERROR(IF(VLOOKUP(C1561,' Disaggregation - Section E '!A$7:J562,7,0)="","",VLOOKUP(C1561,' Disaggregation - Section E '!A$7:J266,7,0)*100),"")</f>
        <v/>
      </c>
      <c r="F1561" s="391" t="str">
        <f ca="1">IFERROR(IF(VLOOKUP(C1561,' Disaggregation - Section E '!A$7:J562,5,0)=0,"",VLOOKUP(C1561,' Disaggregation - Section E '!A$7:J562,5,0)),"")</f>
        <v/>
      </c>
      <c r="G1561" s="390" t="str">
        <f ca="1">IFERROR(IF(VLOOKUP(C1561,' Disaggregation - Section E '!A$7:J562,6,0)="","",VLOOKUP(C1561,' Disaggregation - Section E '!A$7:J562,6,0)),"")</f>
        <v/>
      </c>
      <c r="H1561" s="390" t="str">
        <f ca="1">IFERROR(IF(INDEX(' Disaggregation - Section E '!F$7:F562,MATCH(C1561,' Disaggregation - Section E '!A$7:A562,0)+1,1)&lt;&gt;0,INDEX(' Disaggregation - Section E '!F$7:F562,MATCH(C1561,' Disaggregation - Section E '!A$7:A562,0)+1,1),""),"")</f>
        <v/>
      </c>
      <c r="I1561" s="391" t="str">
        <f ca="1">IFERROR(IF(VLOOKUP(C1561,' Disaggregation - Section E '!A$7:J562,8,0)=0,"",VLOOKUP(C1561,' Disaggregation - Section E '!A$7:J562,8,0)),"")</f>
        <v/>
      </c>
      <c r="J1561" s="391" t="str">
        <f ca="1">IFERROR(IF(VLOOKUP(C1561,' Disaggregation - Section E '!A$7:J562,9,0)="","",VLOOKUP(C1561,' Disaggregation - Section E '!A$7:J562,9,0)),"")</f>
        <v/>
      </c>
      <c r="K1561" s="387" t="str">
        <f ca="1">IFERROR(VLOOKUP(C1561,' Disaggregation - Section E '!A$7:J562,3,0),"")</f>
        <v/>
      </c>
      <c r="L1561" s="391" t="str">
        <f ca="1">IFERROR(IF(VLOOKUP(C1561,' Disaggregation - Section E '!A$7:J562,10,0)="","",VLOOKUP(C1561,' Disaggregation - Section E '!A$7:J562,10,0)),"")</f>
        <v/>
      </c>
      <c r="M1561" s="387" t="str">
        <f ca="1">IFERROR(IF(VLOOKUP(C1561,' Disaggregation - Section E '!A$7:O562,15,0)=0,"",VLOOKUP(C1561,' Disaggregation - Section E '!A$7:O562,15,0)),"")</f>
        <v/>
      </c>
      <c r="N1561" s="387"/>
      <c r="O1561" s="387"/>
      <c r="P1561" s="387" t="str">
        <f ca="1">IFERROR(IF(VLOOKUP(C1561,' Disaggregation - Section E '!A$7:R562,18,0)=0,"",VLOOKUP(C1561,' Disaggregation - Section E '!A$7:R562,18,0)),"")</f>
        <v/>
      </c>
    </row>
    <row r="1562" spans="1:16">
      <c r="A1562" s="387" t="b">
        <f t="shared" ca="1" si="164"/>
        <v>0</v>
      </c>
      <c r="B1562" s="387"/>
      <c r="C1562" s="404" t="str">
        <f ca="1">IF(COUNTA(O$1306:O1562)=1,"",OFFSET(B1562,-COUNTA(O$1306:O1562)+1,1))</f>
        <v>a1GDm000000XyRdMAK</v>
      </c>
      <c r="D1562" s="392"/>
      <c r="E1562" s="389" t="str">
        <f ca="1">IFERROR(IF(VLOOKUP(C1562,' Disaggregation - Section E '!A$7:J563,7,0)="","",VLOOKUP(C1562,' Disaggregation - Section E '!A$7:J267,7,0)*100),"")</f>
        <v/>
      </c>
      <c r="F1562" s="391" t="str">
        <f ca="1">IFERROR(IF(VLOOKUP(C1562,' Disaggregation - Section E '!A$7:J563,5,0)=0,"",VLOOKUP(C1562,' Disaggregation - Section E '!A$7:J563,5,0)),"")</f>
        <v/>
      </c>
      <c r="G1562" s="390" t="str">
        <f ca="1">IFERROR(IF(VLOOKUP(C1562,' Disaggregation - Section E '!A$7:J563,6,0)="","",VLOOKUP(C1562,' Disaggregation - Section E '!A$7:J563,6,0)),"")</f>
        <v/>
      </c>
      <c r="H1562" s="390" t="str">
        <f ca="1">IFERROR(IF(INDEX(' Disaggregation - Section E '!F$7:F563,MATCH(C1562,' Disaggregation - Section E '!A$7:A563,0)+1,1)&lt;&gt;0,INDEX(' Disaggregation - Section E '!F$7:F563,MATCH(C1562,' Disaggregation - Section E '!A$7:A563,0)+1,1),""),"")</f>
        <v/>
      </c>
      <c r="I1562" s="391" t="str">
        <f ca="1">IFERROR(IF(VLOOKUP(C1562,' Disaggregation - Section E '!A$7:J563,8,0)=0,"",VLOOKUP(C1562,' Disaggregation - Section E '!A$7:J563,8,0)),"")</f>
        <v/>
      </c>
      <c r="J1562" s="391" t="str">
        <f ca="1">IFERROR(IF(VLOOKUP(C1562,' Disaggregation - Section E '!A$7:J563,9,0)="","",VLOOKUP(C1562,' Disaggregation - Section E '!A$7:J563,9,0)),"")</f>
        <v/>
      </c>
      <c r="K1562" s="387" t="str">
        <f ca="1">IFERROR(VLOOKUP(C1562,' Disaggregation - Section E '!A$7:J563,3,0),"")</f>
        <v/>
      </c>
      <c r="L1562" s="391" t="str">
        <f ca="1">IFERROR(IF(VLOOKUP(C1562,' Disaggregation - Section E '!A$7:J563,10,0)="","",VLOOKUP(C1562,' Disaggregation - Section E '!A$7:J563,10,0)),"")</f>
        <v/>
      </c>
      <c r="M1562" s="387" t="str">
        <f ca="1">IFERROR(IF(VLOOKUP(C1562,' Disaggregation - Section E '!A$7:O563,15,0)=0,"",VLOOKUP(C1562,' Disaggregation - Section E '!A$7:O563,15,0)),"")</f>
        <v/>
      </c>
      <c r="N1562" s="387"/>
      <c r="O1562" s="387"/>
      <c r="P1562" s="387" t="str">
        <f ca="1">IFERROR(IF(VLOOKUP(C1562,' Disaggregation - Section E '!A$7:R563,18,0)=0,"",VLOOKUP(C1562,' Disaggregation - Section E '!A$7:R563,18,0)),"")</f>
        <v/>
      </c>
    </row>
    <row r="1563" spans="1:16">
      <c r="A1563" s="387" t="b">
        <f t="shared" ca="1" si="164"/>
        <v>0</v>
      </c>
      <c r="B1563" s="387"/>
      <c r="C1563" s="404" t="str">
        <f ca="1">IF(COUNTA(O$1306:O1563)=1,"",OFFSET(B1563,-COUNTA(O$1306:O1563)+1,1))</f>
        <v>a1GDm000000XyReMAK</v>
      </c>
      <c r="D1563" s="392"/>
      <c r="E1563" s="389" t="str">
        <f ca="1">IFERROR(IF(VLOOKUP(C1563,' Disaggregation - Section E '!A$7:J564,7,0)="","",VLOOKUP(C1563,' Disaggregation - Section E '!A$7:J268,7,0)*100),"")</f>
        <v/>
      </c>
      <c r="F1563" s="391" t="str">
        <f ca="1">IFERROR(IF(VLOOKUP(C1563,' Disaggregation - Section E '!A$7:J564,5,0)=0,"",VLOOKUP(C1563,' Disaggregation - Section E '!A$7:J564,5,0)),"")</f>
        <v/>
      </c>
      <c r="G1563" s="390" t="str">
        <f ca="1">IFERROR(IF(VLOOKUP(C1563,' Disaggregation - Section E '!A$7:J564,6,0)="","",VLOOKUP(C1563,' Disaggregation - Section E '!A$7:J564,6,0)),"")</f>
        <v/>
      </c>
      <c r="H1563" s="390" t="str">
        <f ca="1">IFERROR(IF(INDEX(' Disaggregation - Section E '!F$7:F564,MATCH(C1563,' Disaggregation - Section E '!A$7:A564,0)+1,1)&lt;&gt;0,INDEX(' Disaggregation - Section E '!F$7:F564,MATCH(C1563,' Disaggregation - Section E '!A$7:A564,0)+1,1),""),"")</f>
        <v/>
      </c>
      <c r="I1563" s="391" t="str">
        <f ca="1">IFERROR(IF(VLOOKUP(C1563,' Disaggregation - Section E '!A$7:J564,8,0)=0,"",VLOOKUP(C1563,' Disaggregation - Section E '!A$7:J564,8,0)),"")</f>
        <v/>
      </c>
      <c r="J1563" s="391" t="str">
        <f ca="1">IFERROR(IF(VLOOKUP(C1563,' Disaggregation - Section E '!A$7:J564,9,0)="","",VLOOKUP(C1563,' Disaggregation - Section E '!A$7:J564,9,0)),"")</f>
        <v/>
      </c>
      <c r="K1563" s="387" t="str">
        <f ca="1">IFERROR(VLOOKUP(C1563,' Disaggregation - Section E '!A$7:J564,3,0),"")</f>
        <v/>
      </c>
      <c r="L1563" s="391" t="str">
        <f ca="1">IFERROR(IF(VLOOKUP(C1563,' Disaggregation - Section E '!A$7:J564,10,0)="","",VLOOKUP(C1563,' Disaggregation - Section E '!A$7:J564,10,0)),"")</f>
        <v/>
      </c>
      <c r="M1563" s="387" t="str">
        <f ca="1">IFERROR(IF(VLOOKUP(C1563,' Disaggregation - Section E '!A$7:O564,15,0)=0,"",VLOOKUP(C1563,' Disaggregation - Section E '!A$7:O564,15,0)),"")</f>
        <v/>
      </c>
      <c r="N1563" s="387"/>
      <c r="O1563" s="387"/>
      <c r="P1563" s="387" t="str">
        <f ca="1">IFERROR(IF(VLOOKUP(C1563,' Disaggregation - Section E '!A$7:R564,18,0)=0,"",VLOOKUP(C1563,' Disaggregation - Section E '!A$7:R564,18,0)),"")</f>
        <v/>
      </c>
    </row>
    <row r="1564" spans="1:16">
      <c r="A1564" s="387" t="b">
        <f t="shared" ca="1" si="164"/>
        <v>0</v>
      </c>
      <c r="B1564" s="387"/>
      <c r="C1564" s="404" t="str">
        <f ca="1">IF(COUNTA(O$1306:O1564)=1,"",OFFSET(B1564,-COUNTA(O$1306:O1564)+1,1))</f>
        <v>a1GDm000000XyRfMAK</v>
      </c>
      <c r="D1564" s="392"/>
      <c r="E1564" s="389" t="str">
        <f ca="1">IFERROR(IF(VLOOKUP(C1564,' Disaggregation - Section E '!A$7:J565,7,0)="","",VLOOKUP(C1564,' Disaggregation - Section E '!A$7:J269,7,0)*100),"")</f>
        <v/>
      </c>
      <c r="F1564" s="391" t="str">
        <f ca="1">IFERROR(IF(VLOOKUP(C1564,' Disaggregation - Section E '!A$7:J565,5,0)=0,"",VLOOKUP(C1564,' Disaggregation - Section E '!A$7:J565,5,0)),"")</f>
        <v/>
      </c>
      <c r="G1564" s="390" t="str">
        <f ca="1">IFERROR(IF(VLOOKUP(C1564,' Disaggregation - Section E '!A$7:J565,6,0)="","",VLOOKUP(C1564,' Disaggregation - Section E '!A$7:J565,6,0)),"")</f>
        <v/>
      </c>
      <c r="H1564" s="390" t="str">
        <f ca="1">IFERROR(IF(INDEX(' Disaggregation - Section E '!F$7:F565,MATCH(C1564,' Disaggregation - Section E '!A$7:A565,0)+1,1)&lt;&gt;0,INDEX(' Disaggregation - Section E '!F$7:F565,MATCH(C1564,' Disaggregation - Section E '!A$7:A565,0)+1,1),""),"")</f>
        <v/>
      </c>
      <c r="I1564" s="391" t="str">
        <f ca="1">IFERROR(IF(VLOOKUP(C1564,' Disaggregation - Section E '!A$7:J565,8,0)=0,"",VLOOKUP(C1564,' Disaggregation - Section E '!A$7:J565,8,0)),"")</f>
        <v/>
      </c>
      <c r="J1564" s="391" t="str">
        <f ca="1">IFERROR(IF(VLOOKUP(C1564,' Disaggregation - Section E '!A$7:J565,9,0)="","",VLOOKUP(C1564,' Disaggregation - Section E '!A$7:J565,9,0)),"")</f>
        <v/>
      </c>
      <c r="K1564" s="387" t="str">
        <f ca="1">IFERROR(VLOOKUP(C1564,' Disaggregation - Section E '!A$7:J565,3,0),"")</f>
        <v/>
      </c>
      <c r="L1564" s="391" t="str">
        <f ca="1">IFERROR(IF(VLOOKUP(C1564,' Disaggregation - Section E '!A$7:J565,10,0)="","",VLOOKUP(C1564,' Disaggregation - Section E '!A$7:J565,10,0)),"")</f>
        <v/>
      </c>
      <c r="M1564" s="387" t="str">
        <f ca="1">IFERROR(IF(VLOOKUP(C1564,' Disaggregation - Section E '!A$7:O565,15,0)=0,"",VLOOKUP(C1564,' Disaggregation - Section E '!A$7:O565,15,0)),"")</f>
        <v/>
      </c>
      <c r="N1564" s="387"/>
      <c r="O1564" s="387"/>
      <c r="P1564" s="387" t="str">
        <f ca="1">IFERROR(IF(VLOOKUP(C1564,' Disaggregation - Section E '!A$7:R565,18,0)=0,"",VLOOKUP(C1564,' Disaggregation - Section E '!A$7:R565,18,0)),"")</f>
        <v/>
      </c>
    </row>
    <row r="1565" spans="1:16">
      <c r="A1565" s="387" t="b">
        <f t="shared" ca="1" si="164"/>
        <v>0</v>
      </c>
      <c r="B1565" s="387"/>
      <c r="C1565" s="404" t="str">
        <f ca="1">IF(COUNTA(O$1306:O1565)=1,"",OFFSET(B1565,-COUNTA(O$1306:O1565)+1,1))</f>
        <v>a1GDm000000XyRgMAK</v>
      </c>
      <c r="D1565" s="392"/>
      <c r="E1565" s="389" t="str">
        <f ca="1">IFERROR(IF(VLOOKUP(C1565,' Disaggregation - Section E '!A$7:J566,7,0)="","",VLOOKUP(C1565,' Disaggregation - Section E '!A$7:J270,7,0)*100),"")</f>
        <v/>
      </c>
      <c r="F1565" s="391" t="str">
        <f ca="1">IFERROR(IF(VLOOKUP(C1565,' Disaggregation - Section E '!A$7:J566,5,0)=0,"",VLOOKUP(C1565,' Disaggregation - Section E '!A$7:J566,5,0)),"")</f>
        <v/>
      </c>
      <c r="G1565" s="390" t="str">
        <f ca="1">IFERROR(IF(VLOOKUP(C1565,' Disaggregation - Section E '!A$7:J566,6,0)="","",VLOOKUP(C1565,' Disaggregation - Section E '!A$7:J566,6,0)),"")</f>
        <v/>
      </c>
      <c r="H1565" s="390" t="str">
        <f ca="1">IFERROR(IF(INDEX(' Disaggregation - Section E '!F$7:F566,MATCH(C1565,' Disaggregation - Section E '!A$7:A566,0)+1,1)&lt;&gt;0,INDEX(' Disaggregation - Section E '!F$7:F566,MATCH(C1565,' Disaggregation - Section E '!A$7:A566,0)+1,1),""),"")</f>
        <v/>
      </c>
      <c r="I1565" s="391" t="str">
        <f ca="1">IFERROR(IF(VLOOKUP(C1565,' Disaggregation - Section E '!A$7:J566,8,0)=0,"",VLOOKUP(C1565,' Disaggregation - Section E '!A$7:J566,8,0)),"")</f>
        <v/>
      </c>
      <c r="J1565" s="391" t="str">
        <f ca="1">IFERROR(IF(VLOOKUP(C1565,' Disaggregation - Section E '!A$7:J566,9,0)="","",VLOOKUP(C1565,' Disaggregation - Section E '!A$7:J566,9,0)),"")</f>
        <v/>
      </c>
      <c r="K1565" s="387" t="str">
        <f ca="1">IFERROR(VLOOKUP(C1565,' Disaggregation - Section E '!A$7:J566,3,0),"")</f>
        <v/>
      </c>
      <c r="L1565" s="391" t="str">
        <f ca="1">IFERROR(IF(VLOOKUP(C1565,' Disaggregation - Section E '!A$7:J566,10,0)="","",VLOOKUP(C1565,' Disaggregation - Section E '!A$7:J566,10,0)),"")</f>
        <v/>
      </c>
      <c r="M1565" s="387" t="str">
        <f ca="1">IFERROR(IF(VLOOKUP(C1565,' Disaggregation - Section E '!A$7:O566,15,0)=0,"",VLOOKUP(C1565,' Disaggregation - Section E '!A$7:O566,15,0)),"")</f>
        <v/>
      </c>
      <c r="N1565" s="387"/>
      <c r="O1565" s="387"/>
      <c r="P1565" s="387" t="str">
        <f ca="1">IFERROR(IF(VLOOKUP(C1565,' Disaggregation - Section E '!A$7:R566,18,0)=0,"",VLOOKUP(C1565,' Disaggregation - Section E '!A$7:R566,18,0)),"")</f>
        <v/>
      </c>
    </row>
    <row r="1566" spans="1:16">
      <c r="A1566" s="387" t="b">
        <f t="shared" ca="1" si="164"/>
        <v>0</v>
      </c>
      <c r="B1566" s="387"/>
      <c r="C1566" s="404" t="str">
        <f ca="1">IF(COUNTA(O$1306:O1566)=1,"",OFFSET(B1566,-COUNTA(O$1306:O1566)+1,1))</f>
        <v>a1GDm000000XyRhMAK</v>
      </c>
      <c r="D1566" s="392"/>
      <c r="E1566" s="389" t="str">
        <f ca="1">IFERROR(IF(VLOOKUP(C1566,' Disaggregation - Section E '!A$7:J567,7,0)="","",VLOOKUP(C1566,' Disaggregation - Section E '!A$7:J271,7,0)*100),"")</f>
        <v/>
      </c>
      <c r="F1566" s="391" t="str">
        <f ca="1">IFERROR(IF(VLOOKUP(C1566,' Disaggregation - Section E '!A$7:J567,5,0)=0,"",VLOOKUP(C1566,' Disaggregation - Section E '!A$7:J567,5,0)),"")</f>
        <v/>
      </c>
      <c r="G1566" s="390" t="str">
        <f ca="1">IFERROR(IF(VLOOKUP(C1566,' Disaggregation - Section E '!A$7:J567,6,0)="","",VLOOKUP(C1566,' Disaggregation - Section E '!A$7:J567,6,0)),"")</f>
        <v/>
      </c>
      <c r="H1566" s="390" t="str">
        <f ca="1">IFERROR(IF(INDEX(' Disaggregation - Section E '!F$7:F567,MATCH(C1566,' Disaggregation - Section E '!A$7:A567,0)+1,1)&lt;&gt;0,INDEX(' Disaggregation - Section E '!F$7:F567,MATCH(C1566,' Disaggregation - Section E '!A$7:A567,0)+1,1),""),"")</f>
        <v/>
      </c>
      <c r="I1566" s="391" t="str">
        <f ca="1">IFERROR(IF(VLOOKUP(C1566,' Disaggregation - Section E '!A$7:J567,8,0)=0,"",VLOOKUP(C1566,' Disaggregation - Section E '!A$7:J567,8,0)),"")</f>
        <v/>
      </c>
      <c r="J1566" s="391" t="str">
        <f ca="1">IFERROR(IF(VLOOKUP(C1566,' Disaggregation - Section E '!A$7:J567,9,0)="","",VLOOKUP(C1566,' Disaggregation - Section E '!A$7:J567,9,0)),"")</f>
        <v/>
      </c>
      <c r="K1566" s="387" t="str">
        <f ca="1">IFERROR(VLOOKUP(C1566,' Disaggregation - Section E '!A$7:J567,3,0),"")</f>
        <v/>
      </c>
      <c r="L1566" s="391" t="str">
        <f ca="1">IFERROR(IF(VLOOKUP(C1566,' Disaggregation - Section E '!A$7:J567,10,0)="","",VLOOKUP(C1566,' Disaggregation - Section E '!A$7:J567,10,0)),"")</f>
        <v/>
      </c>
      <c r="M1566" s="387" t="str">
        <f ca="1">IFERROR(IF(VLOOKUP(C1566,' Disaggregation - Section E '!A$7:O567,15,0)=0,"",VLOOKUP(C1566,' Disaggregation - Section E '!A$7:O567,15,0)),"")</f>
        <v/>
      </c>
      <c r="N1566" s="387"/>
      <c r="O1566" s="387"/>
      <c r="P1566" s="387" t="str">
        <f ca="1">IFERROR(IF(VLOOKUP(C1566,' Disaggregation - Section E '!A$7:R567,18,0)=0,"",VLOOKUP(C1566,' Disaggregation - Section E '!A$7:R567,18,0)),"")</f>
        <v/>
      </c>
    </row>
    <row r="1567" spans="1:16">
      <c r="A1567" s="387" t="b">
        <f t="shared" ca="1" si="164"/>
        <v>0</v>
      </c>
      <c r="B1567" s="387"/>
      <c r="C1567" s="404" t="str">
        <f ca="1">IF(COUNTA(O$1306:O1567)=1,"",OFFSET(B1567,-COUNTA(O$1306:O1567)+1,1))</f>
        <v>a1GDm000000XyRiMAK</v>
      </c>
      <c r="D1567" s="392"/>
      <c r="E1567" s="389" t="str">
        <f ca="1">IFERROR(IF(VLOOKUP(C1567,' Disaggregation - Section E '!A$7:J568,7,0)="","",VLOOKUP(C1567,' Disaggregation - Section E '!A$7:J272,7,0)*100),"")</f>
        <v/>
      </c>
      <c r="F1567" s="391" t="str">
        <f ca="1">IFERROR(IF(VLOOKUP(C1567,' Disaggregation - Section E '!A$7:J568,5,0)=0,"",VLOOKUP(C1567,' Disaggregation - Section E '!A$7:J568,5,0)),"")</f>
        <v/>
      </c>
      <c r="G1567" s="390" t="str">
        <f ca="1">IFERROR(IF(VLOOKUP(C1567,' Disaggregation - Section E '!A$7:J568,6,0)="","",VLOOKUP(C1567,' Disaggregation - Section E '!A$7:J568,6,0)),"")</f>
        <v/>
      </c>
      <c r="H1567" s="390" t="str">
        <f ca="1">IFERROR(IF(INDEX(' Disaggregation - Section E '!F$7:F568,MATCH(C1567,' Disaggregation - Section E '!A$7:A568,0)+1,1)&lt;&gt;0,INDEX(' Disaggregation - Section E '!F$7:F568,MATCH(C1567,' Disaggregation - Section E '!A$7:A568,0)+1,1),""),"")</f>
        <v/>
      </c>
      <c r="I1567" s="391" t="str">
        <f ca="1">IFERROR(IF(VLOOKUP(C1567,' Disaggregation - Section E '!A$7:J568,8,0)=0,"",VLOOKUP(C1567,' Disaggregation - Section E '!A$7:J568,8,0)),"")</f>
        <v/>
      </c>
      <c r="J1567" s="391" t="str">
        <f ca="1">IFERROR(IF(VLOOKUP(C1567,' Disaggregation - Section E '!A$7:J568,9,0)="","",VLOOKUP(C1567,' Disaggregation - Section E '!A$7:J568,9,0)),"")</f>
        <v/>
      </c>
      <c r="K1567" s="387" t="str">
        <f ca="1">IFERROR(VLOOKUP(C1567,' Disaggregation - Section E '!A$7:J568,3,0),"")</f>
        <v/>
      </c>
      <c r="L1567" s="391" t="str">
        <f ca="1">IFERROR(IF(VLOOKUP(C1567,' Disaggregation - Section E '!A$7:J568,10,0)="","",VLOOKUP(C1567,' Disaggregation - Section E '!A$7:J568,10,0)),"")</f>
        <v/>
      </c>
      <c r="M1567" s="387" t="str">
        <f ca="1">IFERROR(IF(VLOOKUP(C1567,' Disaggregation - Section E '!A$7:O568,15,0)=0,"",VLOOKUP(C1567,' Disaggregation - Section E '!A$7:O568,15,0)),"")</f>
        <v/>
      </c>
      <c r="N1567" s="387"/>
      <c r="O1567" s="387"/>
      <c r="P1567" s="387" t="str">
        <f ca="1">IFERROR(IF(VLOOKUP(C1567,' Disaggregation - Section E '!A$7:R568,18,0)=0,"",VLOOKUP(C1567,' Disaggregation - Section E '!A$7:R568,18,0)),"")</f>
        <v/>
      </c>
    </row>
    <row r="1568" spans="1:16">
      <c r="A1568" s="387" t="b">
        <f t="shared" ca="1" si="164"/>
        <v>0</v>
      </c>
      <c r="B1568" s="387"/>
      <c r="C1568" s="404" t="str">
        <f ca="1">IF(COUNTA(O$1306:O1568)=1,"",OFFSET(B1568,-COUNTA(O$1306:O1568)+1,1))</f>
        <v>a1GDm000000XyRjMAK</v>
      </c>
      <c r="D1568" s="392"/>
      <c r="E1568" s="389" t="str">
        <f ca="1">IFERROR(IF(VLOOKUP(C1568,' Disaggregation - Section E '!A$7:J569,7,0)="","",VLOOKUP(C1568,' Disaggregation - Section E '!A$7:J273,7,0)*100),"")</f>
        <v/>
      </c>
      <c r="F1568" s="391" t="str">
        <f ca="1">IFERROR(IF(VLOOKUP(C1568,' Disaggregation - Section E '!A$7:J569,5,0)=0,"",VLOOKUP(C1568,' Disaggregation - Section E '!A$7:J569,5,0)),"")</f>
        <v/>
      </c>
      <c r="G1568" s="390" t="str">
        <f ca="1">IFERROR(IF(VLOOKUP(C1568,' Disaggregation - Section E '!A$7:J569,6,0)="","",VLOOKUP(C1568,' Disaggregation - Section E '!A$7:J569,6,0)),"")</f>
        <v/>
      </c>
      <c r="H1568" s="390" t="str">
        <f ca="1">IFERROR(IF(INDEX(' Disaggregation - Section E '!F$7:F569,MATCH(C1568,' Disaggregation - Section E '!A$7:A569,0)+1,1)&lt;&gt;0,INDEX(' Disaggregation - Section E '!F$7:F569,MATCH(C1568,' Disaggregation - Section E '!A$7:A569,0)+1,1),""),"")</f>
        <v/>
      </c>
      <c r="I1568" s="391" t="str">
        <f ca="1">IFERROR(IF(VLOOKUP(C1568,' Disaggregation - Section E '!A$7:J569,8,0)=0,"",VLOOKUP(C1568,' Disaggregation - Section E '!A$7:J569,8,0)),"")</f>
        <v/>
      </c>
      <c r="J1568" s="391" t="str">
        <f ca="1">IFERROR(IF(VLOOKUP(C1568,' Disaggregation - Section E '!A$7:J569,9,0)="","",VLOOKUP(C1568,' Disaggregation - Section E '!A$7:J569,9,0)),"")</f>
        <v/>
      </c>
      <c r="K1568" s="387" t="str">
        <f ca="1">IFERROR(VLOOKUP(C1568,' Disaggregation - Section E '!A$7:J569,3,0),"")</f>
        <v/>
      </c>
      <c r="L1568" s="391" t="str">
        <f ca="1">IFERROR(IF(VLOOKUP(C1568,' Disaggregation - Section E '!A$7:J569,10,0)="","",VLOOKUP(C1568,' Disaggregation - Section E '!A$7:J569,10,0)),"")</f>
        <v/>
      </c>
      <c r="M1568" s="387" t="str">
        <f ca="1">IFERROR(IF(VLOOKUP(C1568,' Disaggregation - Section E '!A$7:O569,15,0)=0,"",VLOOKUP(C1568,' Disaggregation - Section E '!A$7:O569,15,0)),"")</f>
        <v/>
      </c>
      <c r="N1568" s="387"/>
      <c r="O1568" s="387"/>
      <c r="P1568" s="387" t="str">
        <f ca="1">IFERROR(IF(VLOOKUP(C1568,' Disaggregation - Section E '!A$7:R569,18,0)=0,"",VLOOKUP(C1568,' Disaggregation - Section E '!A$7:R569,18,0)),"")</f>
        <v/>
      </c>
    </row>
    <row r="1569" spans="1:16">
      <c r="A1569" s="387" t="b">
        <f t="shared" ca="1" si="164"/>
        <v>0</v>
      </c>
      <c r="B1569" s="387"/>
      <c r="C1569" s="404" t="str">
        <f ca="1">IF(COUNTA(O$1306:O1569)=1,"",OFFSET(B1569,-COUNTA(O$1306:O1569)+1,1))</f>
        <v>a1GDm000000XyRkMAK</v>
      </c>
      <c r="D1569" s="392"/>
      <c r="E1569" s="389" t="str">
        <f ca="1">IFERROR(IF(VLOOKUP(C1569,' Disaggregation - Section E '!A$7:J570,7,0)="","",VLOOKUP(C1569,' Disaggregation - Section E '!A$7:J274,7,0)*100),"")</f>
        <v/>
      </c>
      <c r="F1569" s="391" t="str">
        <f ca="1">IFERROR(IF(VLOOKUP(C1569,' Disaggregation - Section E '!A$7:J570,5,0)=0,"",VLOOKUP(C1569,' Disaggregation - Section E '!A$7:J570,5,0)),"")</f>
        <v/>
      </c>
      <c r="G1569" s="390" t="str">
        <f ca="1">IFERROR(IF(VLOOKUP(C1569,' Disaggregation - Section E '!A$7:J570,6,0)="","",VLOOKUP(C1569,' Disaggregation - Section E '!A$7:J570,6,0)),"")</f>
        <v/>
      </c>
      <c r="H1569" s="390" t="str">
        <f ca="1">IFERROR(IF(INDEX(' Disaggregation - Section E '!F$7:F570,MATCH(C1569,' Disaggregation - Section E '!A$7:A570,0)+1,1)&lt;&gt;0,INDEX(' Disaggregation - Section E '!F$7:F570,MATCH(C1569,' Disaggregation - Section E '!A$7:A570,0)+1,1),""),"")</f>
        <v/>
      </c>
      <c r="I1569" s="391" t="str">
        <f ca="1">IFERROR(IF(VLOOKUP(C1569,' Disaggregation - Section E '!A$7:J570,8,0)=0,"",VLOOKUP(C1569,' Disaggregation - Section E '!A$7:J570,8,0)),"")</f>
        <v/>
      </c>
      <c r="J1569" s="391" t="str">
        <f ca="1">IFERROR(IF(VLOOKUP(C1569,' Disaggregation - Section E '!A$7:J570,9,0)="","",VLOOKUP(C1569,' Disaggregation - Section E '!A$7:J570,9,0)),"")</f>
        <v/>
      </c>
      <c r="K1569" s="387" t="str">
        <f ca="1">IFERROR(VLOOKUP(C1569,' Disaggregation - Section E '!A$7:J570,3,0),"")</f>
        <v/>
      </c>
      <c r="L1569" s="391" t="str">
        <f ca="1">IFERROR(IF(VLOOKUP(C1569,' Disaggregation - Section E '!A$7:J570,10,0)="","",VLOOKUP(C1569,' Disaggregation - Section E '!A$7:J570,10,0)),"")</f>
        <v/>
      </c>
      <c r="M1569" s="387" t="str">
        <f ca="1">IFERROR(IF(VLOOKUP(C1569,' Disaggregation - Section E '!A$7:O570,15,0)=0,"",VLOOKUP(C1569,' Disaggregation - Section E '!A$7:O570,15,0)),"")</f>
        <v/>
      </c>
      <c r="N1569" s="387"/>
      <c r="O1569" s="387"/>
      <c r="P1569" s="387" t="str">
        <f ca="1">IFERROR(IF(VLOOKUP(C1569,' Disaggregation - Section E '!A$7:R570,18,0)=0,"",VLOOKUP(C1569,' Disaggregation - Section E '!A$7:R570,18,0)),"")</f>
        <v/>
      </c>
    </row>
    <row r="1570" spans="1:16">
      <c r="A1570" s="387" t="b">
        <f t="shared" ca="1" si="164"/>
        <v>0</v>
      </c>
      <c r="B1570" s="387"/>
      <c r="C1570" s="404" t="str">
        <f ca="1">IF(COUNTA(O$1306:O1570)=1,"",OFFSET(B1570,-COUNTA(O$1306:O1570)+1,1))</f>
        <v>a1GDm000000XyRlMAK</v>
      </c>
      <c r="D1570" s="392"/>
      <c r="E1570" s="389" t="str">
        <f ca="1">IFERROR(IF(VLOOKUP(C1570,' Disaggregation - Section E '!A$7:J571,7,0)="","",VLOOKUP(C1570,' Disaggregation - Section E '!A$7:J275,7,0)*100),"")</f>
        <v/>
      </c>
      <c r="F1570" s="391" t="str">
        <f ca="1">IFERROR(IF(VLOOKUP(C1570,' Disaggregation - Section E '!A$7:J571,5,0)=0,"",VLOOKUP(C1570,' Disaggregation - Section E '!A$7:J571,5,0)),"")</f>
        <v/>
      </c>
      <c r="G1570" s="390" t="str">
        <f ca="1">IFERROR(IF(VLOOKUP(C1570,' Disaggregation - Section E '!A$7:J571,6,0)="","",VLOOKUP(C1570,' Disaggregation - Section E '!A$7:J571,6,0)),"")</f>
        <v/>
      </c>
      <c r="H1570" s="390" t="str">
        <f ca="1">IFERROR(IF(INDEX(' Disaggregation - Section E '!F$7:F571,MATCH(C1570,' Disaggregation - Section E '!A$7:A571,0)+1,1)&lt;&gt;0,INDEX(' Disaggregation - Section E '!F$7:F571,MATCH(C1570,' Disaggregation - Section E '!A$7:A571,0)+1,1),""),"")</f>
        <v/>
      </c>
      <c r="I1570" s="391" t="str">
        <f ca="1">IFERROR(IF(VLOOKUP(C1570,' Disaggregation - Section E '!A$7:J571,8,0)=0,"",VLOOKUP(C1570,' Disaggregation - Section E '!A$7:J571,8,0)),"")</f>
        <v/>
      </c>
      <c r="J1570" s="391" t="str">
        <f ca="1">IFERROR(IF(VLOOKUP(C1570,' Disaggregation - Section E '!A$7:J571,9,0)="","",VLOOKUP(C1570,' Disaggregation - Section E '!A$7:J571,9,0)),"")</f>
        <v/>
      </c>
      <c r="K1570" s="387" t="str">
        <f ca="1">IFERROR(VLOOKUP(C1570,' Disaggregation - Section E '!A$7:J571,3,0),"")</f>
        <v/>
      </c>
      <c r="L1570" s="391" t="str">
        <f ca="1">IFERROR(IF(VLOOKUP(C1570,' Disaggregation - Section E '!A$7:J571,10,0)="","",VLOOKUP(C1570,' Disaggregation - Section E '!A$7:J571,10,0)),"")</f>
        <v/>
      </c>
      <c r="M1570" s="387" t="str">
        <f ca="1">IFERROR(IF(VLOOKUP(C1570,' Disaggregation - Section E '!A$7:O571,15,0)=0,"",VLOOKUP(C1570,' Disaggregation - Section E '!A$7:O571,15,0)),"")</f>
        <v/>
      </c>
      <c r="N1570" s="387"/>
      <c r="O1570" s="387"/>
      <c r="P1570" s="387" t="str">
        <f ca="1">IFERROR(IF(VLOOKUP(C1570,' Disaggregation - Section E '!A$7:R571,18,0)=0,"",VLOOKUP(C1570,' Disaggregation - Section E '!A$7:R571,18,0)),"")</f>
        <v/>
      </c>
    </row>
    <row r="1571" spans="1:16">
      <c r="A1571" s="387" t="b">
        <f t="shared" ca="1" si="164"/>
        <v>0</v>
      </c>
      <c r="B1571" s="387"/>
      <c r="C1571" s="404" t="str">
        <f ca="1">IF(COUNTA(O$1306:O1571)=1,"",OFFSET(B1571,-COUNTA(O$1306:O1571)+1,1))</f>
        <v>a1GDm000000XyRmMAK</v>
      </c>
      <c r="D1571" s="392"/>
      <c r="E1571" s="389" t="str">
        <f ca="1">IFERROR(IF(VLOOKUP(C1571,' Disaggregation - Section E '!A$7:J572,7,0)="","",VLOOKUP(C1571,' Disaggregation - Section E '!A$7:J276,7,0)*100),"")</f>
        <v/>
      </c>
      <c r="F1571" s="391" t="str">
        <f ca="1">IFERROR(IF(VLOOKUP(C1571,' Disaggregation - Section E '!A$7:J572,5,0)=0,"",VLOOKUP(C1571,' Disaggregation - Section E '!A$7:J572,5,0)),"")</f>
        <v/>
      </c>
      <c r="G1571" s="390" t="str">
        <f ca="1">IFERROR(IF(VLOOKUP(C1571,' Disaggregation - Section E '!A$7:J572,6,0)="","",VLOOKUP(C1571,' Disaggregation - Section E '!A$7:J572,6,0)),"")</f>
        <v/>
      </c>
      <c r="H1571" s="390" t="str">
        <f ca="1">IFERROR(IF(INDEX(' Disaggregation - Section E '!F$7:F572,MATCH(C1571,' Disaggregation - Section E '!A$7:A572,0)+1,1)&lt;&gt;0,INDEX(' Disaggregation - Section E '!F$7:F572,MATCH(C1571,' Disaggregation - Section E '!A$7:A572,0)+1,1),""),"")</f>
        <v/>
      </c>
      <c r="I1571" s="391" t="str">
        <f ca="1">IFERROR(IF(VLOOKUP(C1571,' Disaggregation - Section E '!A$7:J572,8,0)=0,"",VLOOKUP(C1571,' Disaggregation - Section E '!A$7:J572,8,0)),"")</f>
        <v/>
      </c>
      <c r="J1571" s="391" t="str">
        <f ca="1">IFERROR(IF(VLOOKUP(C1571,' Disaggregation - Section E '!A$7:J572,9,0)="","",VLOOKUP(C1571,' Disaggregation - Section E '!A$7:J572,9,0)),"")</f>
        <v/>
      </c>
      <c r="K1571" s="387" t="str">
        <f ca="1">IFERROR(VLOOKUP(C1571,' Disaggregation - Section E '!A$7:J572,3,0),"")</f>
        <v/>
      </c>
      <c r="L1571" s="391" t="str">
        <f ca="1">IFERROR(IF(VLOOKUP(C1571,' Disaggregation - Section E '!A$7:J572,10,0)="","",VLOOKUP(C1571,' Disaggregation - Section E '!A$7:J572,10,0)),"")</f>
        <v/>
      </c>
      <c r="M1571" s="387" t="str">
        <f ca="1">IFERROR(IF(VLOOKUP(C1571,' Disaggregation - Section E '!A$7:O572,15,0)=0,"",VLOOKUP(C1571,' Disaggregation - Section E '!A$7:O572,15,0)),"")</f>
        <v/>
      </c>
      <c r="N1571" s="387"/>
      <c r="O1571" s="387"/>
      <c r="P1571" s="387" t="str">
        <f ca="1">IFERROR(IF(VLOOKUP(C1571,' Disaggregation - Section E '!A$7:R572,18,0)=0,"",VLOOKUP(C1571,' Disaggregation - Section E '!A$7:R572,18,0)),"")</f>
        <v/>
      </c>
    </row>
    <row r="1572" spans="1:16">
      <c r="A1572" s="387" t="b">
        <f t="shared" ca="1" si="164"/>
        <v>0</v>
      </c>
      <c r="B1572" s="387"/>
      <c r="C1572" s="404" t="str">
        <f ca="1">IF(COUNTA(O$1306:O1572)=1,"",OFFSET(B1572,-COUNTA(O$1306:O1572)+1,1))</f>
        <v>a1GDm000000XyRnMAK</v>
      </c>
      <c r="D1572" s="392"/>
      <c r="E1572" s="389" t="str">
        <f ca="1">IFERROR(IF(VLOOKUP(C1572,' Disaggregation - Section E '!A$7:J573,7,0)="","",VLOOKUP(C1572,' Disaggregation - Section E '!A$7:J277,7,0)*100),"")</f>
        <v/>
      </c>
      <c r="F1572" s="391" t="str">
        <f ca="1">IFERROR(IF(VLOOKUP(C1572,' Disaggregation - Section E '!A$7:J573,5,0)=0,"",VLOOKUP(C1572,' Disaggregation - Section E '!A$7:J573,5,0)),"")</f>
        <v/>
      </c>
      <c r="G1572" s="390" t="str">
        <f ca="1">IFERROR(IF(VLOOKUP(C1572,' Disaggregation - Section E '!A$7:J573,6,0)="","",VLOOKUP(C1572,' Disaggregation - Section E '!A$7:J573,6,0)),"")</f>
        <v/>
      </c>
      <c r="H1572" s="390" t="str">
        <f ca="1">IFERROR(IF(INDEX(' Disaggregation - Section E '!F$7:F573,MATCH(C1572,' Disaggregation - Section E '!A$7:A573,0)+1,1)&lt;&gt;0,INDEX(' Disaggregation - Section E '!F$7:F573,MATCH(C1572,' Disaggregation - Section E '!A$7:A573,0)+1,1),""),"")</f>
        <v/>
      </c>
      <c r="I1572" s="391" t="str">
        <f ca="1">IFERROR(IF(VLOOKUP(C1572,' Disaggregation - Section E '!A$7:J573,8,0)=0,"",VLOOKUP(C1572,' Disaggregation - Section E '!A$7:J573,8,0)),"")</f>
        <v/>
      </c>
      <c r="J1572" s="391" t="str">
        <f ca="1">IFERROR(IF(VLOOKUP(C1572,' Disaggregation - Section E '!A$7:J573,9,0)="","",VLOOKUP(C1572,' Disaggregation - Section E '!A$7:J573,9,0)),"")</f>
        <v/>
      </c>
      <c r="K1572" s="387" t="str">
        <f ca="1">IFERROR(VLOOKUP(C1572,' Disaggregation - Section E '!A$7:J573,3,0),"")</f>
        <v/>
      </c>
      <c r="L1572" s="391" t="str">
        <f ca="1">IFERROR(IF(VLOOKUP(C1572,' Disaggregation - Section E '!A$7:J573,10,0)="","",VLOOKUP(C1572,' Disaggregation - Section E '!A$7:J573,10,0)),"")</f>
        <v/>
      </c>
      <c r="M1572" s="387" t="str">
        <f ca="1">IFERROR(IF(VLOOKUP(C1572,' Disaggregation - Section E '!A$7:O573,15,0)=0,"",VLOOKUP(C1572,' Disaggregation - Section E '!A$7:O573,15,0)),"")</f>
        <v/>
      </c>
      <c r="N1572" s="387"/>
      <c r="O1572" s="387"/>
      <c r="P1572" s="387" t="str">
        <f ca="1">IFERROR(IF(VLOOKUP(C1572,' Disaggregation - Section E '!A$7:R573,18,0)=0,"",VLOOKUP(C1572,' Disaggregation - Section E '!A$7:R573,18,0)),"")</f>
        <v/>
      </c>
    </row>
    <row r="1573" spans="1:16">
      <c r="A1573" s="387" t="b">
        <f t="shared" ca="1" si="164"/>
        <v>0</v>
      </c>
      <c r="B1573" s="387"/>
      <c r="C1573" s="404" t="str">
        <f ca="1">IF(COUNTA(O$1306:O1573)=1,"",OFFSET(B1573,-COUNTA(O$1306:O1573)+1,1))</f>
        <v>a1GDm000000XyRoMAK</v>
      </c>
      <c r="D1573" s="392"/>
      <c r="E1573" s="389" t="str">
        <f ca="1">IFERROR(IF(VLOOKUP(C1573,' Disaggregation - Section E '!A$7:J574,7,0)="","",VLOOKUP(C1573,' Disaggregation - Section E '!A$7:J278,7,0)*100),"")</f>
        <v/>
      </c>
      <c r="F1573" s="391" t="str">
        <f ca="1">IFERROR(IF(VLOOKUP(C1573,' Disaggregation - Section E '!A$7:J574,5,0)=0,"",VLOOKUP(C1573,' Disaggregation - Section E '!A$7:J574,5,0)),"")</f>
        <v/>
      </c>
      <c r="G1573" s="390" t="str">
        <f ca="1">IFERROR(IF(VLOOKUP(C1573,' Disaggregation - Section E '!A$7:J574,6,0)="","",VLOOKUP(C1573,' Disaggregation - Section E '!A$7:J574,6,0)),"")</f>
        <v/>
      </c>
      <c r="H1573" s="390" t="str">
        <f ca="1">IFERROR(IF(INDEX(' Disaggregation - Section E '!F$7:F574,MATCH(C1573,' Disaggregation - Section E '!A$7:A574,0)+1,1)&lt;&gt;0,INDEX(' Disaggregation - Section E '!F$7:F574,MATCH(C1573,' Disaggregation - Section E '!A$7:A574,0)+1,1),""),"")</f>
        <v/>
      </c>
      <c r="I1573" s="391" t="str">
        <f ca="1">IFERROR(IF(VLOOKUP(C1573,' Disaggregation - Section E '!A$7:J574,8,0)=0,"",VLOOKUP(C1573,' Disaggregation - Section E '!A$7:J574,8,0)),"")</f>
        <v/>
      </c>
      <c r="J1573" s="391" t="str">
        <f ca="1">IFERROR(IF(VLOOKUP(C1573,' Disaggregation - Section E '!A$7:J574,9,0)="","",VLOOKUP(C1573,' Disaggregation - Section E '!A$7:J574,9,0)),"")</f>
        <v/>
      </c>
      <c r="K1573" s="387" t="str">
        <f ca="1">IFERROR(VLOOKUP(C1573,' Disaggregation - Section E '!A$7:J574,3,0),"")</f>
        <v/>
      </c>
      <c r="L1573" s="391" t="str">
        <f ca="1">IFERROR(IF(VLOOKUP(C1573,' Disaggregation - Section E '!A$7:J574,10,0)="","",VLOOKUP(C1573,' Disaggregation - Section E '!A$7:J574,10,0)),"")</f>
        <v/>
      </c>
      <c r="M1573" s="387" t="str">
        <f ca="1">IFERROR(IF(VLOOKUP(C1573,' Disaggregation - Section E '!A$7:O574,15,0)=0,"",VLOOKUP(C1573,' Disaggregation - Section E '!A$7:O574,15,0)),"")</f>
        <v/>
      </c>
      <c r="N1573" s="387"/>
      <c r="O1573" s="387"/>
      <c r="P1573" s="387" t="str">
        <f ca="1">IFERROR(IF(VLOOKUP(C1573,' Disaggregation - Section E '!A$7:R574,18,0)=0,"",VLOOKUP(C1573,' Disaggregation - Section E '!A$7:R574,18,0)),"")</f>
        <v/>
      </c>
    </row>
    <row r="1574" spans="1:16">
      <c r="A1574" s="387" t="b">
        <f t="shared" ca="1" si="164"/>
        <v>0</v>
      </c>
      <c r="B1574" s="387"/>
      <c r="C1574" s="404" t="str">
        <f ca="1">IF(COUNTA(O$1306:O1574)=1,"",OFFSET(B1574,-COUNTA(O$1306:O1574)+1,1))</f>
        <v>a1GDm000000XyRpMAK</v>
      </c>
      <c r="D1574" s="392"/>
      <c r="E1574" s="389" t="str">
        <f ca="1">IFERROR(IF(VLOOKUP(C1574,' Disaggregation - Section E '!A$7:J575,7,0)="","",VLOOKUP(C1574,' Disaggregation - Section E '!A$7:J279,7,0)*100),"")</f>
        <v/>
      </c>
      <c r="F1574" s="391" t="str">
        <f ca="1">IFERROR(IF(VLOOKUP(C1574,' Disaggregation - Section E '!A$7:J575,5,0)=0,"",VLOOKUP(C1574,' Disaggregation - Section E '!A$7:J575,5,0)),"")</f>
        <v/>
      </c>
      <c r="G1574" s="390" t="str">
        <f ca="1">IFERROR(IF(VLOOKUP(C1574,' Disaggregation - Section E '!A$7:J575,6,0)="","",VLOOKUP(C1574,' Disaggregation - Section E '!A$7:J575,6,0)),"")</f>
        <v/>
      </c>
      <c r="H1574" s="390" t="str">
        <f ca="1">IFERROR(IF(INDEX(' Disaggregation - Section E '!F$7:F575,MATCH(C1574,' Disaggregation - Section E '!A$7:A575,0)+1,1)&lt;&gt;0,INDEX(' Disaggregation - Section E '!F$7:F575,MATCH(C1574,' Disaggregation - Section E '!A$7:A575,0)+1,1),""),"")</f>
        <v/>
      </c>
      <c r="I1574" s="391" t="str">
        <f ca="1">IFERROR(IF(VLOOKUP(C1574,' Disaggregation - Section E '!A$7:J575,8,0)=0,"",VLOOKUP(C1574,' Disaggregation - Section E '!A$7:J575,8,0)),"")</f>
        <v/>
      </c>
      <c r="J1574" s="391" t="str">
        <f ca="1">IFERROR(IF(VLOOKUP(C1574,' Disaggregation - Section E '!A$7:J575,9,0)="","",VLOOKUP(C1574,' Disaggregation - Section E '!A$7:J575,9,0)),"")</f>
        <v/>
      </c>
      <c r="K1574" s="387" t="str">
        <f ca="1">IFERROR(VLOOKUP(C1574,' Disaggregation - Section E '!A$7:J575,3,0),"")</f>
        <v/>
      </c>
      <c r="L1574" s="391" t="str">
        <f ca="1">IFERROR(IF(VLOOKUP(C1574,' Disaggregation - Section E '!A$7:J575,10,0)="","",VLOOKUP(C1574,' Disaggregation - Section E '!A$7:J575,10,0)),"")</f>
        <v/>
      </c>
      <c r="M1574" s="387" t="str">
        <f ca="1">IFERROR(IF(VLOOKUP(C1574,' Disaggregation - Section E '!A$7:O575,15,0)=0,"",VLOOKUP(C1574,' Disaggregation - Section E '!A$7:O575,15,0)),"")</f>
        <v/>
      </c>
      <c r="N1574" s="387"/>
      <c r="O1574" s="387"/>
      <c r="P1574" s="387" t="str">
        <f ca="1">IFERROR(IF(VLOOKUP(C1574,' Disaggregation - Section E '!A$7:R575,18,0)=0,"",VLOOKUP(C1574,' Disaggregation - Section E '!A$7:R575,18,0)),"")</f>
        <v/>
      </c>
    </row>
    <row r="1575" spans="1:16">
      <c r="A1575" s="387" t="b">
        <f t="shared" ca="1" si="164"/>
        <v>0</v>
      </c>
      <c r="B1575" s="387"/>
      <c r="C1575" s="404" t="str">
        <f ca="1">IF(COUNTA(O$1306:O1575)=1,"",OFFSET(B1575,-COUNTA(O$1306:O1575)+1,1))</f>
        <v>a1GDm000000XyRqMAK</v>
      </c>
      <c r="D1575" s="392"/>
      <c r="E1575" s="389" t="str">
        <f ca="1">IFERROR(IF(VLOOKUP(C1575,' Disaggregation - Section E '!A$7:J576,7,0)="","",VLOOKUP(C1575,' Disaggregation - Section E '!A$7:J280,7,0)*100),"")</f>
        <v/>
      </c>
      <c r="F1575" s="391" t="str">
        <f ca="1">IFERROR(IF(VLOOKUP(C1575,' Disaggregation - Section E '!A$7:J576,5,0)=0,"",VLOOKUP(C1575,' Disaggregation - Section E '!A$7:J576,5,0)),"")</f>
        <v/>
      </c>
      <c r="G1575" s="390" t="str">
        <f ca="1">IFERROR(IF(VLOOKUP(C1575,' Disaggregation - Section E '!A$7:J576,6,0)="","",VLOOKUP(C1575,' Disaggregation - Section E '!A$7:J576,6,0)),"")</f>
        <v/>
      </c>
      <c r="H1575" s="390" t="str">
        <f ca="1">IFERROR(IF(INDEX(' Disaggregation - Section E '!F$7:F576,MATCH(C1575,' Disaggregation - Section E '!A$7:A576,0)+1,1)&lt;&gt;0,INDEX(' Disaggregation - Section E '!F$7:F576,MATCH(C1575,' Disaggregation - Section E '!A$7:A576,0)+1,1),""),"")</f>
        <v/>
      </c>
      <c r="I1575" s="391" t="str">
        <f ca="1">IFERROR(IF(VLOOKUP(C1575,' Disaggregation - Section E '!A$7:J576,8,0)=0,"",VLOOKUP(C1575,' Disaggregation - Section E '!A$7:J576,8,0)),"")</f>
        <v/>
      </c>
      <c r="J1575" s="391" t="str">
        <f ca="1">IFERROR(IF(VLOOKUP(C1575,' Disaggregation - Section E '!A$7:J576,9,0)="","",VLOOKUP(C1575,' Disaggregation - Section E '!A$7:J576,9,0)),"")</f>
        <v/>
      </c>
      <c r="K1575" s="387" t="str">
        <f ca="1">IFERROR(VLOOKUP(C1575,' Disaggregation - Section E '!A$7:J576,3,0),"")</f>
        <v/>
      </c>
      <c r="L1575" s="391" t="str">
        <f ca="1">IFERROR(IF(VLOOKUP(C1575,' Disaggregation - Section E '!A$7:J576,10,0)="","",VLOOKUP(C1575,' Disaggregation - Section E '!A$7:J576,10,0)),"")</f>
        <v/>
      </c>
      <c r="M1575" s="387" t="str">
        <f ca="1">IFERROR(IF(VLOOKUP(C1575,' Disaggregation - Section E '!A$7:O576,15,0)=0,"",VLOOKUP(C1575,' Disaggregation - Section E '!A$7:O576,15,0)),"")</f>
        <v/>
      </c>
      <c r="N1575" s="387"/>
      <c r="O1575" s="387"/>
      <c r="P1575" s="387" t="str">
        <f ca="1">IFERROR(IF(VLOOKUP(C1575,' Disaggregation - Section E '!A$7:R576,18,0)=0,"",VLOOKUP(C1575,' Disaggregation - Section E '!A$7:R576,18,0)),"")</f>
        <v/>
      </c>
    </row>
    <row r="1576" spans="1:16">
      <c r="A1576" s="387" t="b">
        <f t="shared" ca="1" si="164"/>
        <v>0</v>
      </c>
      <c r="B1576" s="387"/>
      <c r="C1576" s="404" t="str">
        <f ca="1">IF(COUNTA(O$1306:O1576)=1,"",OFFSET(B1576,-COUNTA(O$1306:O1576)+1,1))</f>
        <v>a1GDm000000XyRrMAK</v>
      </c>
      <c r="D1576" s="392"/>
      <c r="E1576" s="389" t="str">
        <f ca="1">IFERROR(IF(VLOOKUP(C1576,' Disaggregation - Section E '!A$7:J577,7,0)="","",VLOOKUP(C1576,' Disaggregation - Section E '!A$7:J281,7,0)*100),"")</f>
        <v/>
      </c>
      <c r="F1576" s="391" t="str">
        <f ca="1">IFERROR(IF(VLOOKUP(C1576,' Disaggregation - Section E '!A$7:J577,5,0)=0,"",VLOOKUP(C1576,' Disaggregation - Section E '!A$7:J577,5,0)),"")</f>
        <v/>
      </c>
      <c r="G1576" s="390" t="str">
        <f ca="1">IFERROR(IF(VLOOKUP(C1576,' Disaggregation - Section E '!A$7:J577,6,0)="","",VLOOKUP(C1576,' Disaggregation - Section E '!A$7:J577,6,0)),"")</f>
        <v/>
      </c>
      <c r="H1576" s="390" t="str">
        <f ca="1">IFERROR(IF(INDEX(' Disaggregation - Section E '!F$7:F577,MATCH(C1576,' Disaggregation - Section E '!A$7:A577,0)+1,1)&lt;&gt;0,INDEX(' Disaggregation - Section E '!F$7:F577,MATCH(C1576,' Disaggregation - Section E '!A$7:A577,0)+1,1),""),"")</f>
        <v/>
      </c>
      <c r="I1576" s="391" t="str">
        <f ca="1">IFERROR(IF(VLOOKUP(C1576,' Disaggregation - Section E '!A$7:J577,8,0)=0,"",VLOOKUP(C1576,' Disaggregation - Section E '!A$7:J577,8,0)),"")</f>
        <v/>
      </c>
      <c r="J1576" s="391" t="str">
        <f ca="1">IFERROR(IF(VLOOKUP(C1576,' Disaggregation - Section E '!A$7:J577,9,0)="","",VLOOKUP(C1576,' Disaggregation - Section E '!A$7:J577,9,0)),"")</f>
        <v/>
      </c>
      <c r="K1576" s="387" t="str">
        <f ca="1">IFERROR(VLOOKUP(C1576,' Disaggregation - Section E '!A$7:J577,3,0),"")</f>
        <v/>
      </c>
      <c r="L1576" s="391" t="str">
        <f ca="1">IFERROR(IF(VLOOKUP(C1576,' Disaggregation - Section E '!A$7:J577,10,0)="","",VLOOKUP(C1576,' Disaggregation - Section E '!A$7:J577,10,0)),"")</f>
        <v/>
      </c>
      <c r="M1576" s="387" t="str">
        <f ca="1">IFERROR(IF(VLOOKUP(C1576,' Disaggregation - Section E '!A$7:O577,15,0)=0,"",VLOOKUP(C1576,' Disaggregation - Section E '!A$7:O577,15,0)),"")</f>
        <v/>
      </c>
      <c r="N1576" s="387"/>
      <c r="O1576" s="387"/>
      <c r="P1576" s="387" t="str">
        <f ca="1">IFERROR(IF(VLOOKUP(C1576,' Disaggregation - Section E '!A$7:R577,18,0)=0,"",VLOOKUP(C1576,' Disaggregation - Section E '!A$7:R577,18,0)),"")</f>
        <v/>
      </c>
    </row>
    <row r="1577" spans="1:16">
      <c r="A1577" s="387" t="b">
        <f t="shared" ca="1" si="164"/>
        <v>0</v>
      </c>
      <c r="B1577" s="387"/>
      <c r="C1577" s="404" t="str">
        <f ca="1">IF(COUNTA(O$1306:O1577)=1,"",OFFSET(B1577,-COUNTA(O$1306:O1577)+1,1))</f>
        <v>a1GDm000000XyRsMAK</v>
      </c>
      <c r="D1577" s="392"/>
      <c r="E1577" s="389" t="str">
        <f ca="1">IFERROR(IF(VLOOKUP(C1577,' Disaggregation - Section E '!A$7:J578,7,0)="","",VLOOKUP(C1577,' Disaggregation - Section E '!A$7:J282,7,0)*100),"")</f>
        <v/>
      </c>
      <c r="F1577" s="391" t="str">
        <f ca="1">IFERROR(IF(VLOOKUP(C1577,' Disaggregation - Section E '!A$7:J578,5,0)=0,"",VLOOKUP(C1577,' Disaggregation - Section E '!A$7:J578,5,0)),"")</f>
        <v/>
      </c>
      <c r="G1577" s="390" t="str">
        <f ca="1">IFERROR(IF(VLOOKUP(C1577,' Disaggregation - Section E '!A$7:J578,6,0)="","",VLOOKUP(C1577,' Disaggregation - Section E '!A$7:J578,6,0)),"")</f>
        <v/>
      </c>
      <c r="H1577" s="390" t="str">
        <f ca="1">IFERROR(IF(INDEX(' Disaggregation - Section E '!F$7:F578,MATCH(C1577,' Disaggregation - Section E '!A$7:A578,0)+1,1)&lt;&gt;0,INDEX(' Disaggregation - Section E '!F$7:F578,MATCH(C1577,' Disaggregation - Section E '!A$7:A578,0)+1,1),""),"")</f>
        <v/>
      </c>
      <c r="I1577" s="391" t="str">
        <f ca="1">IFERROR(IF(VLOOKUP(C1577,' Disaggregation - Section E '!A$7:J578,8,0)=0,"",VLOOKUP(C1577,' Disaggregation - Section E '!A$7:J578,8,0)),"")</f>
        <v/>
      </c>
      <c r="J1577" s="391" t="str">
        <f ca="1">IFERROR(IF(VLOOKUP(C1577,' Disaggregation - Section E '!A$7:J578,9,0)="","",VLOOKUP(C1577,' Disaggregation - Section E '!A$7:J578,9,0)),"")</f>
        <v/>
      </c>
      <c r="K1577" s="387" t="str">
        <f ca="1">IFERROR(VLOOKUP(C1577,' Disaggregation - Section E '!A$7:J578,3,0),"")</f>
        <v/>
      </c>
      <c r="L1577" s="391" t="str">
        <f ca="1">IFERROR(IF(VLOOKUP(C1577,' Disaggregation - Section E '!A$7:J578,10,0)="","",VLOOKUP(C1577,' Disaggregation - Section E '!A$7:J578,10,0)),"")</f>
        <v/>
      </c>
      <c r="M1577" s="387" t="str">
        <f ca="1">IFERROR(IF(VLOOKUP(C1577,' Disaggregation - Section E '!A$7:O578,15,0)=0,"",VLOOKUP(C1577,' Disaggregation - Section E '!A$7:O578,15,0)),"")</f>
        <v/>
      </c>
      <c r="N1577" s="387"/>
      <c r="O1577" s="387"/>
      <c r="P1577" s="387" t="str">
        <f ca="1">IFERROR(IF(VLOOKUP(C1577,' Disaggregation - Section E '!A$7:R578,18,0)=0,"",VLOOKUP(C1577,' Disaggregation - Section E '!A$7:R578,18,0)),"")</f>
        <v/>
      </c>
    </row>
    <row r="1578" spans="1:16">
      <c r="A1578" s="387" t="b">
        <f t="shared" ca="1" si="164"/>
        <v>0</v>
      </c>
      <c r="B1578" s="387"/>
      <c r="C1578" s="404" t="str">
        <f ca="1">IF(COUNTA(O$1306:O1578)=1,"",OFFSET(B1578,-COUNTA(O$1306:O1578)+1,1))</f>
        <v>a1GDm000000XyRtMAK</v>
      </c>
      <c r="D1578" s="392"/>
      <c r="E1578" s="389" t="str">
        <f ca="1">IFERROR(IF(VLOOKUP(C1578,' Disaggregation - Section E '!A$7:J579,7,0)="","",VLOOKUP(C1578,' Disaggregation - Section E '!A$7:J283,7,0)*100),"")</f>
        <v/>
      </c>
      <c r="F1578" s="391" t="str">
        <f ca="1">IFERROR(IF(VLOOKUP(C1578,' Disaggregation - Section E '!A$7:J579,5,0)=0,"",VLOOKUP(C1578,' Disaggregation - Section E '!A$7:J579,5,0)),"")</f>
        <v/>
      </c>
      <c r="G1578" s="390" t="str">
        <f ca="1">IFERROR(IF(VLOOKUP(C1578,' Disaggregation - Section E '!A$7:J579,6,0)="","",VLOOKUP(C1578,' Disaggregation - Section E '!A$7:J579,6,0)),"")</f>
        <v/>
      </c>
      <c r="H1578" s="390" t="str">
        <f ca="1">IFERROR(IF(INDEX(' Disaggregation - Section E '!F$7:F579,MATCH(C1578,' Disaggregation - Section E '!A$7:A579,0)+1,1)&lt;&gt;0,INDEX(' Disaggregation - Section E '!F$7:F579,MATCH(C1578,' Disaggregation - Section E '!A$7:A579,0)+1,1),""),"")</f>
        <v/>
      </c>
      <c r="I1578" s="391" t="str">
        <f ca="1">IFERROR(IF(VLOOKUP(C1578,' Disaggregation - Section E '!A$7:J579,8,0)=0,"",VLOOKUP(C1578,' Disaggregation - Section E '!A$7:J579,8,0)),"")</f>
        <v/>
      </c>
      <c r="J1578" s="391" t="str">
        <f ca="1">IFERROR(IF(VLOOKUP(C1578,' Disaggregation - Section E '!A$7:J579,9,0)="","",VLOOKUP(C1578,' Disaggregation - Section E '!A$7:J579,9,0)),"")</f>
        <v/>
      </c>
      <c r="K1578" s="387" t="str">
        <f ca="1">IFERROR(VLOOKUP(C1578,' Disaggregation - Section E '!A$7:J579,3,0),"")</f>
        <v/>
      </c>
      <c r="L1578" s="391" t="str">
        <f ca="1">IFERROR(IF(VLOOKUP(C1578,' Disaggregation - Section E '!A$7:J579,10,0)="","",VLOOKUP(C1578,' Disaggregation - Section E '!A$7:J579,10,0)),"")</f>
        <v/>
      </c>
      <c r="M1578" s="387" t="str">
        <f ca="1">IFERROR(IF(VLOOKUP(C1578,' Disaggregation - Section E '!A$7:O579,15,0)=0,"",VLOOKUP(C1578,' Disaggregation - Section E '!A$7:O579,15,0)),"")</f>
        <v/>
      </c>
      <c r="N1578" s="387"/>
      <c r="O1578" s="387"/>
      <c r="P1578" s="387" t="str">
        <f ca="1">IFERROR(IF(VLOOKUP(C1578,' Disaggregation - Section E '!A$7:R579,18,0)=0,"",VLOOKUP(C1578,' Disaggregation - Section E '!A$7:R579,18,0)),"")</f>
        <v/>
      </c>
    </row>
    <row r="1579" spans="1:16">
      <c r="A1579" s="387" t="b">
        <f t="shared" ca="1" si="164"/>
        <v>0</v>
      </c>
      <c r="B1579" s="387"/>
      <c r="C1579" s="404" t="str">
        <f ca="1">IF(COUNTA(O$1306:O1579)=1,"",OFFSET(B1579,-COUNTA(O$1306:O1579)+1,1))</f>
        <v>a1GDm000000XyRuMAK</v>
      </c>
      <c r="D1579" s="392"/>
      <c r="E1579" s="389" t="str">
        <f ca="1">IFERROR(IF(VLOOKUP(C1579,' Disaggregation - Section E '!A$7:J580,7,0)="","",VLOOKUP(C1579,' Disaggregation - Section E '!A$7:J284,7,0)*100),"")</f>
        <v/>
      </c>
      <c r="F1579" s="391" t="str">
        <f ca="1">IFERROR(IF(VLOOKUP(C1579,' Disaggregation - Section E '!A$7:J580,5,0)=0,"",VLOOKUP(C1579,' Disaggregation - Section E '!A$7:J580,5,0)),"")</f>
        <v/>
      </c>
      <c r="G1579" s="390" t="str">
        <f ca="1">IFERROR(IF(VLOOKUP(C1579,' Disaggregation - Section E '!A$7:J580,6,0)="","",VLOOKUP(C1579,' Disaggregation - Section E '!A$7:J580,6,0)),"")</f>
        <v/>
      </c>
      <c r="H1579" s="390" t="str">
        <f ca="1">IFERROR(IF(INDEX(' Disaggregation - Section E '!F$7:F580,MATCH(C1579,' Disaggregation - Section E '!A$7:A580,0)+1,1)&lt;&gt;0,INDEX(' Disaggregation - Section E '!F$7:F580,MATCH(C1579,' Disaggregation - Section E '!A$7:A580,0)+1,1),""),"")</f>
        <v/>
      </c>
      <c r="I1579" s="391" t="str">
        <f ca="1">IFERROR(IF(VLOOKUP(C1579,' Disaggregation - Section E '!A$7:J580,8,0)=0,"",VLOOKUP(C1579,' Disaggregation - Section E '!A$7:J580,8,0)),"")</f>
        <v/>
      </c>
      <c r="J1579" s="391" t="str">
        <f ca="1">IFERROR(IF(VLOOKUP(C1579,' Disaggregation - Section E '!A$7:J580,9,0)="","",VLOOKUP(C1579,' Disaggregation - Section E '!A$7:J580,9,0)),"")</f>
        <v/>
      </c>
      <c r="K1579" s="387" t="str">
        <f ca="1">IFERROR(VLOOKUP(C1579,' Disaggregation - Section E '!A$7:J580,3,0),"")</f>
        <v/>
      </c>
      <c r="L1579" s="391" t="str">
        <f ca="1">IFERROR(IF(VLOOKUP(C1579,' Disaggregation - Section E '!A$7:J580,10,0)="","",VLOOKUP(C1579,' Disaggregation - Section E '!A$7:J580,10,0)),"")</f>
        <v/>
      </c>
      <c r="M1579" s="387" t="str">
        <f ca="1">IFERROR(IF(VLOOKUP(C1579,' Disaggregation - Section E '!A$7:O580,15,0)=0,"",VLOOKUP(C1579,' Disaggregation - Section E '!A$7:O580,15,0)),"")</f>
        <v/>
      </c>
      <c r="N1579" s="387"/>
      <c r="O1579" s="387"/>
      <c r="P1579" s="387" t="str">
        <f ca="1">IFERROR(IF(VLOOKUP(C1579,' Disaggregation - Section E '!A$7:R580,18,0)=0,"",VLOOKUP(C1579,' Disaggregation - Section E '!A$7:R580,18,0)),"")</f>
        <v/>
      </c>
    </row>
    <row r="1580" spans="1:16">
      <c r="A1580" s="387" t="b">
        <f t="shared" ca="1" si="164"/>
        <v>0</v>
      </c>
      <c r="B1580" s="387"/>
      <c r="C1580" s="404" t="str">
        <f ca="1">IF(COUNTA(O$1306:O1580)=1,"",OFFSET(B1580,-COUNTA(O$1306:O1580)+1,1))</f>
        <v>a1GDm000000XyRvMAK</v>
      </c>
      <c r="D1580" s="392"/>
      <c r="E1580" s="389" t="str">
        <f ca="1">IFERROR(IF(VLOOKUP(C1580,' Disaggregation - Section E '!A$7:J581,7,0)="","",VLOOKUP(C1580,' Disaggregation - Section E '!A$7:J285,7,0)*100),"")</f>
        <v/>
      </c>
      <c r="F1580" s="391" t="str">
        <f ca="1">IFERROR(IF(VLOOKUP(C1580,' Disaggregation - Section E '!A$7:J581,5,0)=0,"",VLOOKUP(C1580,' Disaggregation - Section E '!A$7:J581,5,0)),"")</f>
        <v/>
      </c>
      <c r="G1580" s="390" t="str">
        <f ca="1">IFERROR(IF(VLOOKUP(C1580,' Disaggregation - Section E '!A$7:J581,6,0)="","",VLOOKUP(C1580,' Disaggregation - Section E '!A$7:J581,6,0)),"")</f>
        <v/>
      </c>
      <c r="H1580" s="390" t="str">
        <f ca="1">IFERROR(IF(INDEX(' Disaggregation - Section E '!F$7:F581,MATCH(C1580,' Disaggregation - Section E '!A$7:A581,0)+1,1)&lt;&gt;0,INDEX(' Disaggregation - Section E '!F$7:F581,MATCH(C1580,' Disaggregation - Section E '!A$7:A581,0)+1,1),""),"")</f>
        <v/>
      </c>
      <c r="I1580" s="391" t="str">
        <f ca="1">IFERROR(IF(VLOOKUP(C1580,' Disaggregation - Section E '!A$7:J581,8,0)=0,"",VLOOKUP(C1580,' Disaggregation - Section E '!A$7:J581,8,0)),"")</f>
        <v/>
      </c>
      <c r="J1580" s="391" t="str">
        <f ca="1">IFERROR(IF(VLOOKUP(C1580,' Disaggregation - Section E '!A$7:J581,9,0)="","",VLOOKUP(C1580,' Disaggregation - Section E '!A$7:J581,9,0)),"")</f>
        <v/>
      </c>
      <c r="K1580" s="387" t="str">
        <f ca="1">IFERROR(VLOOKUP(C1580,' Disaggregation - Section E '!A$7:J581,3,0),"")</f>
        <v/>
      </c>
      <c r="L1580" s="391" t="str">
        <f ca="1">IFERROR(IF(VLOOKUP(C1580,' Disaggregation - Section E '!A$7:J581,10,0)="","",VLOOKUP(C1580,' Disaggregation - Section E '!A$7:J581,10,0)),"")</f>
        <v/>
      </c>
      <c r="M1580" s="387" t="str">
        <f ca="1">IFERROR(IF(VLOOKUP(C1580,' Disaggregation - Section E '!A$7:O581,15,0)=0,"",VLOOKUP(C1580,' Disaggregation - Section E '!A$7:O581,15,0)),"")</f>
        <v/>
      </c>
      <c r="N1580" s="387"/>
      <c r="O1580" s="387"/>
      <c r="P1580" s="387" t="str">
        <f ca="1">IFERROR(IF(VLOOKUP(C1580,' Disaggregation - Section E '!A$7:R581,18,0)=0,"",VLOOKUP(C1580,' Disaggregation - Section E '!A$7:R581,18,0)),"")</f>
        <v/>
      </c>
    </row>
    <row r="1581" spans="1:16">
      <c r="A1581" s="387" t="b">
        <f t="shared" ca="1" si="164"/>
        <v>0</v>
      </c>
      <c r="B1581" s="387"/>
      <c r="C1581" s="404" t="str">
        <f ca="1">IF(COUNTA(O$1306:O1581)=1,"",OFFSET(B1581,-COUNTA(O$1306:O1581)+1,1))</f>
        <v>a1GDm000000XyRwMAK</v>
      </c>
      <c r="D1581" s="392"/>
      <c r="E1581" s="389" t="str">
        <f ca="1">IFERROR(IF(VLOOKUP(C1581,' Disaggregation - Section E '!A$7:J582,7,0)="","",VLOOKUP(C1581,' Disaggregation - Section E '!A$7:J286,7,0)*100),"")</f>
        <v/>
      </c>
      <c r="F1581" s="391" t="str">
        <f ca="1">IFERROR(IF(VLOOKUP(C1581,' Disaggregation - Section E '!A$7:J582,5,0)=0,"",VLOOKUP(C1581,' Disaggregation - Section E '!A$7:J582,5,0)),"")</f>
        <v/>
      </c>
      <c r="G1581" s="390" t="str">
        <f ca="1">IFERROR(IF(VLOOKUP(C1581,' Disaggregation - Section E '!A$7:J582,6,0)="","",VLOOKUP(C1581,' Disaggregation - Section E '!A$7:J582,6,0)),"")</f>
        <v/>
      </c>
      <c r="H1581" s="390" t="str">
        <f ca="1">IFERROR(IF(INDEX(' Disaggregation - Section E '!F$7:F582,MATCH(C1581,' Disaggregation - Section E '!A$7:A582,0)+1,1)&lt;&gt;0,INDEX(' Disaggregation - Section E '!F$7:F582,MATCH(C1581,' Disaggregation - Section E '!A$7:A582,0)+1,1),""),"")</f>
        <v/>
      </c>
      <c r="I1581" s="391" t="str">
        <f ca="1">IFERROR(IF(VLOOKUP(C1581,' Disaggregation - Section E '!A$7:J582,8,0)=0,"",VLOOKUP(C1581,' Disaggregation - Section E '!A$7:J582,8,0)),"")</f>
        <v/>
      </c>
      <c r="J1581" s="391" t="str">
        <f ca="1">IFERROR(IF(VLOOKUP(C1581,' Disaggregation - Section E '!A$7:J582,9,0)="","",VLOOKUP(C1581,' Disaggregation - Section E '!A$7:J582,9,0)),"")</f>
        <v/>
      </c>
      <c r="K1581" s="387" t="str">
        <f ca="1">IFERROR(VLOOKUP(C1581,' Disaggregation - Section E '!A$7:J582,3,0),"")</f>
        <v/>
      </c>
      <c r="L1581" s="391" t="str">
        <f ca="1">IFERROR(IF(VLOOKUP(C1581,' Disaggregation - Section E '!A$7:J582,10,0)="","",VLOOKUP(C1581,' Disaggregation - Section E '!A$7:J582,10,0)),"")</f>
        <v/>
      </c>
      <c r="M1581" s="387" t="str">
        <f ca="1">IFERROR(IF(VLOOKUP(C1581,' Disaggregation - Section E '!A$7:O582,15,0)=0,"",VLOOKUP(C1581,' Disaggregation - Section E '!A$7:O582,15,0)),"")</f>
        <v/>
      </c>
      <c r="N1581" s="387"/>
      <c r="O1581" s="387"/>
      <c r="P1581" s="387" t="str">
        <f ca="1">IFERROR(IF(VLOOKUP(C1581,' Disaggregation - Section E '!A$7:R582,18,0)=0,"",VLOOKUP(C1581,' Disaggregation - Section E '!A$7:R582,18,0)),"")</f>
        <v/>
      </c>
    </row>
    <row r="1582" spans="1:16">
      <c r="A1582" s="387" t="b">
        <f t="shared" ca="1" si="164"/>
        <v>0</v>
      </c>
      <c r="B1582" s="387"/>
      <c r="C1582" s="404" t="str">
        <f ca="1">IF(COUNTA(O$1306:O1582)=1,"",OFFSET(B1582,-COUNTA(O$1306:O1582)+1,1))</f>
        <v>a1GDm000000XyRxMAK</v>
      </c>
      <c r="D1582" s="392"/>
      <c r="E1582" s="389" t="str">
        <f ca="1">IFERROR(IF(VLOOKUP(C1582,' Disaggregation - Section E '!A$7:J583,7,0)="","",VLOOKUP(C1582,' Disaggregation - Section E '!A$7:J287,7,0)*100),"")</f>
        <v/>
      </c>
      <c r="F1582" s="391" t="str">
        <f ca="1">IFERROR(IF(VLOOKUP(C1582,' Disaggregation - Section E '!A$7:J583,5,0)=0,"",VLOOKUP(C1582,' Disaggregation - Section E '!A$7:J583,5,0)),"")</f>
        <v/>
      </c>
      <c r="G1582" s="390" t="str">
        <f ca="1">IFERROR(IF(VLOOKUP(C1582,' Disaggregation - Section E '!A$7:J583,6,0)="","",VLOOKUP(C1582,' Disaggregation - Section E '!A$7:J583,6,0)),"")</f>
        <v/>
      </c>
      <c r="H1582" s="390" t="str">
        <f ca="1">IFERROR(IF(INDEX(' Disaggregation - Section E '!F$7:F583,MATCH(C1582,' Disaggregation - Section E '!A$7:A583,0)+1,1)&lt;&gt;0,INDEX(' Disaggregation - Section E '!F$7:F583,MATCH(C1582,' Disaggregation - Section E '!A$7:A583,0)+1,1),""),"")</f>
        <v/>
      </c>
      <c r="I1582" s="391" t="str">
        <f ca="1">IFERROR(IF(VLOOKUP(C1582,' Disaggregation - Section E '!A$7:J583,8,0)=0,"",VLOOKUP(C1582,' Disaggregation - Section E '!A$7:J583,8,0)),"")</f>
        <v/>
      </c>
      <c r="J1582" s="391" t="str">
        <f ca="1">IFERROR(IF(VLOOKUP(C1582,' Disaggregation - Section E '!A$7:J583,9,0)="","",VLOOKUP(C1582,' Disaggregation - Section E '!A$7:J583,9,0)),"")</f>
        <v/>
      </c>
      <c r="K1582" s="387" t="str">
        <f ca="1">IFERROR(VLOOKUP(C1582,' Disaggregation - Section E '!A$7:J583,3,0),"")</f>
        <v/>
      </c>
      <c r="L1582" s="391" t="str">
        <f ca="1">IFERROR(IF(VLOOKUP(C1582,' Disaggregation - Section E '!A$7:J583,10,0)="","",VLOOKUP(C1582,' Disaggregation - Section E '!A$7:J583,10,0)),"")</f>
        <v/>
      </c>
      <c r="M1582" s="387" t="str">
        <f ca="1">IFERROR(IF(VLOOKUP(C1582,' Disaggregation - Section E '!A$7:O583,15,0)=0,"",VLOOKUP(C1582,' Disaggregation - Section E '!A$7:O583,15,0)),"")</f>
        <v/>
      </c>
      <c r="N1582" s="387"/>
      <c r="O1582" s="387"/>
      <c r="P1582" s="387" t="str">
        <f ca="1">IFERROR(IF(VLOOKUP(C1582,' Disaggregation - Section E '!A$7:R583,18,0)=0,"",VLOOKUP(C1582,' Disaggregation - Section E '!A$7:R583,18,0)),"")</f>
        <v/>
      </c>
    </row>
    <row r="1583" spans="1:16">
      <c r="A1583" s="387" t="b">
        <f t="shared" ca="1" si="164"/>
        <v>0</v>
      </c>
      <c r="B1583" s="387"/>
      <c r="C1583" s="404" t="str">
        <f ca="1">IF(COUNTA(O$1306:O1583)=1,"",OFFSET(B1583,-COUNTA(O$1306:O1583)+1,1))</f>
        <v>a1GDm000000XyRyMAK</v>
      </c>
      <c r="D1583" s="392"/>
      <c r="E1583" s="389" t="str">
        <f ca="1">IFERROR(IF(VLOOKUP(C1583,' Disaggregation - Section E '!A$7:J584,7,0)="","",VLOOKUP(C1583,' Disaggregation - Section E '!A$7:J288,7,0)*100),"")</f>
        <v/>
      </c>
      <c r="F1583" s="391" t="str">
        <f ca="1">IFERROR(IF(VLOOKUP(C1583,' Disaggregation - Section E '!A$7:J584,5,0)=0,"",VLOOKUP(C1583,' Disaggregation - Section E '!A$7:J584,5,0)),"")</f>
        <v/>
      </c>
      <c r="G1583" s="390" t="str">
        <f ca="1">IFERROR(IF(VLOOKUP(C1583,' Disaggregation - Section E '!A$7:J584,6,0)="","",VLOOKUP(C1583,' Disaggregation - Section E '!A$7:J584,6,0)),"")</f>
        <v/>
      </c>
      <c r="H1583" s="390" t="str">
        <f ca="1">IFERROR(IF(INDEX(' Disaggregation - Section E '!F$7:F584,MATCH(C1583,' Disaggregation - Section E '!A$7:A584,0)+1,1)&lt;&gt;0,INDEX(' Disaggregation - Section E '!F$7:F584,MATCH(C1583,' Disaggregation - Section E '!A$7:A584,0)+1,1),""),"")</f>
        <v/>
      </c>
      <c r="I1583" s="391" t="str">
        <f ca="1">IFERROR(IF(VLOOKUP(C1583,' Disaggregation - Section E '!A$7:J584,8,0)=0,"",VLOOKUP(C1583,' Disaggregation - Section E '!A$7:J584,8,0)),"")</f>
        <v/>
      </c>
      <c r="J1583" s="391" t="str">
        <f ca="1">IFERROR(IF(VLOOKUP(C1583,' Disaggregation - Section E '!A$7:J584,9,0)="","",VLOOKUP(C1583,' Disaggregation - Section E '!A$7:J584,9,0)),"")</f>
        <v/>
      </c>
      <c r="K1583" s="387" t="str">
        <f ca="1">IFERROR(VLOOKUP(C1583,' Disaggregation - Section E '!A$7:J584,3,0),"")</f>
        <v/>
      </c>
      <c r="L1583" s="391" t="str">
        <f ca="1">IFERROR(IF(VLOOKUP(C1583,' Disaggregation - Section E '!A$7:J584,10,0)="","",VLOOKUP(C1583,' Disaggregation - Section E '!A$7:J584,10,0)),"")</f>
        <v/>
      </c>
      <c r="M1583" s="387" t="str">
        <f ca="1">IFERROR(IF(VLOOKUP(C1583,' Disaggregation - Section E '!A$7:O584,15,0)=0,"",VLOOKUP(C1583,' Disaggregation - Section E '!A$7:O584,15,0)),"")</f>
        <v/>
      </c>
      <c r="N1583" s="387"/>
      <c r="O1583" s="387"/>
      <c r="P1583" s="387" t="str">
        <f ca="1">IFERROR(IF(VLOOKUP(C1583,' Disaggregation - Section E '!A$7:R584,18,0)=0,"",VLOOKUP(C1583,' Disaggregation - Section E '!A$7:R584,18,0)),"")</f>
        <v/>
      </c>
    </row>
    <row r="1584" spans="1:16">
      <c r="A1584" s="387" t="b">
        <f t="shared" ca="1" si="164"/>
        <v>0</v>
      </c>
      <c r="B1584" s="387"/>
      <c r="C1584" s="404" t="str">
        <f ca="1">IF(COUNTA(O$1306:O1584)=1,"",OFFSET(B1584,-COUNTA(O$1306:O1584)+1,1))</f>
        <v>a1GDm000000XyRzMAK</v>
      </c>
      <c r="D1584" s="392"/>
      <c r="E1584" s="389" t="str">
        <f ca="1">IFERROR(IF(VLOOKUP(C1584,' Disaggregation - Section E '!A$7:J585,7,0)="","",VLOOKUP(C1584,' Disaggregation - Section E '!A$7:J289,7,0)*100),"")</f>
        <v/>
      </c>
      <c r="F1584" s="391" t="str">
        <f ca="1">IFERROR(IF(VLOOKUP(C1584,' Disaggregation - Section E '!A$7:J585,5,0)=0,"",VLOOKUP(C1584,' Disaggregation - Section E '!A$7:J585,5,0)),"")</f>
        <v/>
      </c>
      <c r="G1584" s="390" t="str">
        <f ca="1">IFERROR(IF(VLOOKUP(C1584,' Disaggregation - Section E '!A$7:J585,6,0)="","",VLOOKUP(C1584,' Disaggregation - Section E '!A$7:J585,6,0)),"")</f>
        <v/>
      </c>
      <c r="H1584" s="390" t="str">
        <f ca="1">IFERROR(IF(INDEX(' Disaggregation - Section E '!F$7:F585,MATCH(C1584,' Disaggregation - Section E '!A$7:A585,0)+1,1)&lt;&gt;0,INDEX(' Disaggregation - Section E '!F$7:F585,MATCH(C1584,' Disaggregation - Section E '!A$7:A585,0)+1,1),""),"")</f>
        <v/>
      </c>
      <c r="I1584" s="391" t="str">
        <f ca="1">IFERROR(IF(VLOOKUP(C1584,' Disaggregation - Section E '!A$7:J585,8,0)=0,"",VLOOKUP(C1584,' Disaggregation - Section E '!A$7:J585,8,0)),"")</f>
        <v/>
      </c>
      <c r="J1584" s="391" t="str">
        <f ca="1">IFERROR(IF(VLOOKUP(C1584,' Disaggregation - Section E '!A$7:J585,9,0)="","",VLOOKUP(C1584,' Disaggregation - Section E '!A$7:J585,9,0)),"")</f>
        <v/>
      </c>
      <c r="K1584" s="387" t="str">
        <f ca="1">IFERROR(VLOOKUP(C1584,' Disaggregation - Section E '!A$7:J585,3,0),"")</f>
        <v/>
      </c>
      <c r="L1584" s="391" t="str">
        <f ca="1">IFERROR(IF(VLOOKUP(C1584,' Disaggregation - Section E '!A$7:J585,10,0)="","",VLOOKUP(C1584,' Disaggregation - Section E '!A$7:J585,10,0)),"")</f>
        <v/>
      </c>
      <c r="M1584" s="387" t="str">
        <f ca="1">IFERROR(IF(VLOOKUP(C1584,' Disaggregation - Section E '!A$7:O585,15,0)=0,"",VLOOKUP(C1584,' Disaggregation - Section E '!A$7:O585,15,0)),"")</f>
        <v/>
      </c>
      <c r="N1584" s="387"/>
      <c r="O1584" s="387"/>
      <c r="P1584" s="387" t="str">
        <f ca="1">IFERROR(IF(VLOOKUP(C1584,' Disaggregation - Section E '!A$7:R585,18,0)=0,"",VLOOKUP(C1584,' Disaggregation - Section E '!A$7:R585,18,0)),"")</f>
        <v/>
      </c>
    </row>
    <row r="1585" spans="1:16">
      <c r="A1585" s="387" t="b">
        <f t="shared" ca="1" si="164"/>
        <v>0</v>
      </c>
      <c r="B1585" s="387"/>
      <c r="C1585" s="404" t="str">
        <f ca="1">IF(COUNTA(O$1306:O1585)=1,"",OFFSET(B1585,-COUNTA(O$1306:O1585)+1,1))</f>
        <v>a1GDm000000XyS0MAK</v>
      </c>
      <c r="D1585" s="392"/>
      <c r="E1585" s="389" t="str">
        <f ca="1">IFERROR(IF(VLOOKUP(C1585,' Disaggregation - Section E '!A$7:J586,7,0)="","",VLOOKUP(C1585,' Disaggregation - Section E '!A$7:J290,7,0)*100),"")</f>
        <v/>
      </c>
      <c r="F1585" s="391" t="str">
        <f ca="1">IFERROR(IF(VLOOKUP(C1585,' Disaggregation - Section E '!A$7:J586,5,0)=0,"",VLOOKUP(C1585,' Disaggregation - Section E '!A$7:J586,5,0)),"")</f>
        <v/>
      </c>
      <c r="G1585" s="390" t="str">
        <f ca="1">IFERROR(IF(VLOOKUP(C1585,' Disaggregation - Section E '!A$7:J586,6,0)="","",VLOOKUP(C1585,' Disaggregation - Section E '!A$7:J586,6,0)),"")</f>
        <v/>
      </c>
      <c r="H1585" s="390" t="str">
        <f ca="1">IFERROR(IF(INDEX(' Disaggregation - Section E '!F$7:F586,MATCH(C1585,' Disaggregation - Section E '!A$7:A586,0)+1,1)&lt;&gt;0,INDEX(' Disaggregation - Section E '!F$7:F586,MATCH(C1585,' Disaggregation - Section E '!A$7:A586,0)+1,1),""),"")</f>
        <v/>
      </c>
      <c r="I1585" s="391" t="str">
        <f ca="1">IFERROR(IF(VLOOKUP(C1585,' Disaggregation - Section E '!A$7:J586,8,0)=0,"",VLOOKUP(C1585,' Disaggregation - Section E '!A$7:J586,8,0)),"")</f>
        <v/>
      </c>
      <c r="J1585" s="391" t="str">
        <f ca="1">IFERROR(IF(VLOOKUP(C1585,' Disaggregation - Section E '!A$7:J586,9,0)="","",VLOOKUP(C1585,' Disaggregation - Section E '!A$7:J586,9,0)),"")</f>
        <v/>
      </c>
      <c r="K1585" s="387" t="str">
        <f ca="1">IFERROR(VLOOKUP(C1585,' Disaggregation - Section E '!A$7:J586,3,0),"")</f>
        <v/>
      </c>
      <c r="L1585" s="391" t="str">
        <f ca="1">IFERROR(IF(VLOOKUP(C1585,' Disaggregation - Section E '!A$7:J586,10,0)="","",VLOOKUP(C1585,' Disaggregation - Section E '!A$7:J586,10,0)),"")</f>
        <v/>
      </c>
      <c r="M1585" s="387" t="str">
        <f ca="1">IFERROR(IF(VLOOKUP(C1585,' Disaggregation - Section E '!A$7:O586,15,0)=0,"",VLOOKUP(C1585,' Disaggregation - Section E '!A$7:O586,15,0)),"")</f>
        <v/>
      </c>
      <c r="N1585" s="387"/>
      <c r="O1585" s="387"/>
      <c r="P1585" s="387" t="str">
        <f ca="1">IFERROR(IF(VLOOKUP(C1585,' Disaggregation - Section E '!A$7:R586,18,0)=0,"",VLOOKUP(C1585,' Disaggregation - Section E '!A$7:R586,18,0)),"")</f>
        <v/>
      </c>
    </row>
    <row r="1586" spans="1:16">
      <c r="A1586" s="387" t="b">
        <f t="shared" ref="A1586:A1607" ca="1" si="165">IF(M1586&lt;&gt;"",TRUE,FALSE)</f>
        <v>0</v>
      </c>
      <c r="B1586" s="387"/>
      <c r="C1586" s="404" t="str">
        <f ca="1">IF(COUNTA(O$1306:O1586)=1,"",OFFSET(B1586,-COUNTA(O$1306:O1586)+1,1))</f>
        <v>a1GDm000000XyS1MAK</v>
      </c>
      <c r="D1586" s="392"/>
      <c r="E1586" s="389" t="str">
        <f ca="1">IFERROR(IF(VLOOKUP(C1586,' Disaggregation - Section E '!A$7:J587,7,0)="","",VLOOKUP(C1586,' Disaggregation - Section E '!A$7:J291,7,0)*100),"")</f>
        <v/>
      </c>
      <c r="F1586" s="391" t="str">
        <f ca="1">IFERROR(IF(VLOOKUP(C1586,' Disaggregation - Section E '!A$7:J587,5,0)=0,"",VLOOKUP(C1586,' Disaggregation - Section E '!A$7:J587,5,0)),"")</f>
        <v/>
      </c>
      <c r="G1586" s="390" t="str">
        <f ca="1">IFERROR(IF(VLOOKUP(C1586,' Disaggregation - Section E '!A$7:J587,6,0)="","",VLOOKUP(C1586,' Disaggregation - Section E '!A$7:J587,6,0)),"")</f>
        <v/>
      </c>
      <c r="H1586" s="390" t="str">
        <f ca="1">IFERROR(IF(INDEX(' Disaggregation - Section E '!F$7:F587,MATCH(C1586,' Disaggregation - Section E '!A$7:A587,0)+1,1)&lt;&gt;0,INDEX(' Disaggregation - Section E '!F$7:F587,MATCH(C1586,' Disaggregation - Section E '!A$7:A587,0)+1,1),""),"")</f>
        <v/>
      </c>
      <c r="I1586" s="391" t="str">
        <f ca="1">IFERROR(IF(VLOOKUP(C1586,' Disaggregation - Section E '!A$7:J587,8,0)=0,"",VLOOKUP(C1586,' Disaggregation - Section E '!A$7:J587,8,0)),"")</f>
        <v/>
      </c>
      <c r="J1586" s="391" t="str">
        <f ca="1">IFERROR(IF(VLOOKUP(C1586,' Disaggregation - Section E '!A$7:J587,9,0)="","",VLOOKUP(C1586,' Disaggregation - Section E '!A$7:J587,9,0)),"")</f>
        <v/>
      </c>
      <c r="K1586" s="387" t="str">
        <f ca="1">IFERROR(VLOOKUP(C1586,' Disaggregation - Section E '!A$7:J587,3,0),"")</f>
        <v/>
      </c>
      <c r="L1586" s="391" t="str">
        <f ca="1">IFERROR(IF(VLOOKUP(C1586,' Disaggregation - Section E '!A$7:J587,10,0)="","",VLOOKUP(C1586,' Disaggregation - Section E '!A$7:J587,10,0)),"")</f>
        <v/>
      </c>
      <c r="M1586" s="387" t="str">
        <f ca="1">IFERROR(IF(VLOOKUP(C1586,' Disaggregation - Section E '!A$7:O587,15,0)=0,"",VLOOKUP(C1586,' Disaggregation - Section E '!A$7:O587,15,0)),"")</f>
        <v/>
      </c>
      <c r="N1586" s="387"/>
      <c r="O1586" s="387"/>
      <c r="P1586" s="387" t="str">
        <f ca="1">IFERROR(IF(VLOOKUP(C1586,' Disaggregation - Section E '!A$7:R587,18,0)=0,"",VLOOKUP(C1586,' Disaggregation - Section E '!A$7:R587,18,0)),"")</f>
        <v/>
      </c>
    </row>
    <row r="1587" spans="1:16">
      <c r="A1587" s="387" t="b">
        <f t="shared" ca="1" si="165"/>
        <v>0</v>
      </c>
      <c r="B1587" s="387"/>
      <c r="C1587" s="404" t="str">
        <f ca="1">IF(COUNTA(O$1306:O1587)=1,"",OFFSET(B1587,-COUNTA(O$1306:O1587)+1,1))</f>
        <v>a1GDm000000XyS2MAK</v>
      </c>
      <c r="D1587" s="392"/>
      <c r="E1587" s="389" t="str">
        <f ca="1">IFERROR(IF(VLOOKUP(C1587,' Disaggregation - Section E '!A$7:J588,7,0)="","",VLOOKUP(C1587,' Disaggregation - Section E '!A$7:J292,7,0)*100),"")</f>
        <v/>
      </c>
      <c r="F1587" s="391" t="str">
        <f ca="1">IFERROR(IF(VLOOKUP(C1587,' Disaggregation - Section E '!A$7:J588,5,0)=0,"",VLOOKUP(C1587,' Disaggregation - Section E '!A$7:J588,5,0)),"")</f>
        <v/>
      </c>
      <c r="G1587" s="390" t="str">
        <f ca="1">IFERROR(IF(VLOOKUP(C1587,' Disaggregation - Section E '!A$7:J588,6,0)="","",VLOOKUP(C1587,' Disaggregation - Section E '!A$7:J588,6,0)),"")</f>
        <v/>
      </c>
      <c r="H1587" s="390" t="str">
        <f ca="1">IFERROR(IF(INDEX(' Disaggregation - Section E '!F$7:F588,MATCH(C1587,' Disaggregation - Section E '!A$7:A588,0)+1,1)&lt;&gt;0,INDEX(' Disaggregation - Section E '!F$7:F588,MATCH(C1587,' Disaggregation - Section E '!A$7:A588,0)+1,1),""),"")</f>
        <v/>
      </c>
      <c r="I1587" s="391" t="str">
        <f ca="1">IFERROR(IF(VLOOKUP(C1587,' Disaggregation - Section E '!A$7:J588,8,0)=0,"",VLOOKUP(C1587,' Disaggregation - Section E '!A$7:J588,8,0)),"")</f>
        <v/>
      </c>
      <c r="J1587" s="391" t="str">
        <f ca="1">IFERROR(IF(VLOOKUP(C1587,' Disaggregation - Section E '!A$7:J588,9,0)="","",VLOOKUP(C1587,' Disaggregation - Section E '!A$7:J588,9,0)),"")</f>
        <v/>
      </c>
      <c r="K1587" s="387" t="str">
        <f ca="1">IFERROR(VLOOKUP(C1587,' Disaggregation - Section E '!A$7:J588,3,0),"")</f>
        <v/>
      </c>
      <c r="L1587" s="391" t="str">
        <f ca="1">IFERROR(IF(VLOOKUP(C1587,' Disaggregation - Section E '!A$7:J588,10,0)="","",VLOOKUP(C1587,' Disaggregation - Section E '!A$7:J588,10,0)),"")</f>
        <v/>
      </c>
      <c r="M1587" s="387" t="str">
        <f ca="1">IFERROR(IF(VLOOKUP(C1587,' Disaggregation - Section E '!A$7:O588,15,0)=0,"",VLOOKUP(C1587,' Disaggregation - Section E '!A$7:O588,15,0)),"")</f>
        <v/>
      </c>
      <c r="N1587" s="387"/>
      <c r="O1587" s="387"/>
      <c r="P1587" s="387" t="str">
        <f ca="1">IFERROR(IF(VLOOKUP(C1587,' Disaggregation - Section E '!A$7:R588,18,0)=0,"",VLOOKUP(C1587,' Disaggregation - Section E '!A$7:R588,18,0)),"")</f>
        <v/>
      </c>
    </row>
    <row r="1588" spans="1:16">
      <c r="A1588" s="387" t="b">
        <f t="shared" ca="1" si="165"/>
        <v>0</v>
      </c>
      <c r="B1588" s="387"/>
      <c r="C1588" s="404" t="str">
        <f ca="1">IF(COUNTA(O$1306:O1588)=1,"",OFFSET(B1588,-COUNTA(O$1306:O1588)+1,1))</f>
        <v>a1GDm000000XyS3MAK</v>
      </c>
      <c r="D1588" s="392"/>
      <c r="E1588" s="389" t="str">
        <f ca="1">IFERROR(IF(VLOOKUP(C1588,' Disaggregation - Section E '!A$7:J589,7,0)="","",VLOOKUP(C1588,' Disaggregation - Section E '!A$7:J293,7,0)*100),"")</f>
        <v/>
      </c>
      <c r="F1588" s="391" t="str">
        <f ca="1">IFERROR(IF(VLOOKUP(C1588,' Disaggregation - Section E '!A$7:J589,5,0)=0,"",VLOOKUP(C1588,' Disaggregation - Section E '!A$7:J589,5,0)),"")</f>
        <v/>
      </c>
      <c r="G1588" s="390" t="str">
        <f ca="1">IFERROR(IF(VLOOKUP(C1588,' Disaggregation - Section E '!A$7:J589,6,0)="","",VLOOKUP(C1588,' Disaggregation - Section E '!A$7:J589,6,0)),"")</f>
        <v/>
      </c>
      <c r="H1588" s="390" t="str">
        <f ca="1">IFERROR(IF(INDEX(' Disaggregation - Section E '!F$7:F589,MATCH(C1588,' Disaggregation - Section E '!A$7:A589,0)+1,1)&lt;&gt;0,INDEX(' Disaggregation - Section E '!F$7:F589,MATCH(C1588,' Disaggregation - Section E '!A$7:A589,0)+1,1),""),"")</f>
        <v/>
      </c>
      <c r="I1588" s="391" t="str">
        <f ca="1">IFERROR(IF(VLOOKUP(C1588,' Disaggregation - Section E '!A$7:J589,8,0)=0,"",VLOOKUP(C1588,' Disaggregation - Section E '!A$7:J589,8,0)),"")</f>
        <v/>
      </c>
      <c r="J1588" s="391" t="str">
        <f ca="1">IFERROR(IF(VLOOKUP(C1588,' Disaggregation - Section E '!A$7:J589,9,0)="","",VLOOKUP(C1588,' Disaggregation - Section E '!A$7:J589,9,0)),"")</f>
        <v/>
      </c>
      <c r="K1588" s="387" t="str">
        <f ca="1">IFERROR(VLOOKUP(C1588,' Disaggregation - Section E '!A$7:J589,3,0),"")</f>
        <v/>
      </c>
      <c r="L1588" s="391" t="str">
        <f ca="1">IFERROR(IF(VLOOKUP(C1588,' Disaggregation - Section E '!A$7:J589,10,0)="","",VLOOKUP(C1588,' Disaggregation - Section E '!A$7:J589,10,0)),"")</f>
        <v/>
      </c>
      <c r="M1588" s="387" t="str">
        <f ca="1">IFERROR(IF(VLOOKUP(C1588,' Disaggregation - Section E '!A$7:O589,15,0)=0,"",VLOOKUP(C1588,' Disaggregation - Section E '!A$7:O589,15,0)),"")</f>
        <v/>
      </c>
      <c r="N1588" s="387"/>
      <c r="O1588" s="387"/>
      <c r="P1588" s="387" t="str">
        <f ca="1">IFERROR(IF(VLOOKUP(C1588,' Disaggregation - Section E '!A$7:R589,18,0)=0,"",VLOOKUP(C1588,' Disaggregation - Section E '!A$7:R589,18,0)),"")</f>
        <v/>
      </c>
    </row>
    <row r="1589" spans="1:16">
      <c r="A1589" s="387" t="b">
        <f t="shared" ca="1" si="165"/>
        <v>0</v>
      </c>
      <c r="B1589" s="387"/>
      <c r="C1589" s="404" t="str">
        <f ca="1">IF(COUNTA(O$1306:O1589)=1,"",OFFSET(B1589,-COUNTA(O$1306:O1589)+1,1))</f>
        <v>a1GDm000000XyS4MAK</v>
      </c>
      <c r="D1589" s="392"/>
      <c r="E1589" s="389" t="str">
        <f ca="1">IFERROR(IF(VLOOKUP(C1589,' Disaggregation - Section E '!A$7:J590,7,0)="","",VLOOKUP(C1589,' Disaggregation - Section E '!A$7:J294,7,0)*100),"")</f>
        <v/>
      </c>
      <c r="F1589" s="391" t="str">
        <f ca="1">IFERROR(IF(VLOOKUP(C1589,' Disaggregation - Section E '!A$7:J590,5,0)=0,"",VLOOKUP(C1589,' Disaggregation - Section E '!A$7:J590,5,0)),"")</f>
        <v/>
      </c>
      <c r="G1589" s="390" t="str">
        <f ca="1">IFERROR(IF(VLOOKUP(C1589,' Disaggregation - Section E '!A$7:J590,6,0)="","",VLOOKUP(C1589,' Disaggregation - Section E '!A$7:J590,6,0)),"")</f>
        <v/>
      </c>
      <c r="H1589" s="390" t="str">
        <f ca="1">IFERROR(IF(INDEX(' Disaggregation - Section E '!F$7:F590,MATCH(C1589,' Disaggregation - Section E '!A$7:A590,0)+1,1)&lt;&gt;0,INDEX(' Disaggregation - Section E '!F$7:F590,MATCH(C1589,' Disaggregation - Section E '!A$7:A590,0)+1,1),""),"")</f>
        <v/>
      </c>
      <c r="I1589" s="391" t="str">
        <f ca="1">IFERROR(IF(VLOOKUP(C1589,' Disaggregation - Section E '!A$7:J590,8,0)=0,"",VLOOKUP(C1589,' Disaggregation - Section E '!A$7:J590,8,0)),"")</f>
        <v/>
      </c>
      <c r="J1589" s="391" t="str">
        <f ca="1">IFERROR(IF(VLOOKUP(C1589,' Disaggregation - Section E '!A$7:J590,9,0)="","",VLOOKUP(C1589,' Disaggregation - Section E '!A$7:J590,9,0)),"")</f>
        <v/>
      </c>
      <c r="K1589" s="387" t="str">
        <f ca="1">IFERROR(VLOOKUP(C1589,' Disaggregation - Section E '!A$7:J590,3,0),"")</f>
        <v/>
      </c>
      <c r="L1589" s="391" t="str">
        <f ca="1">IFERROR(IF(VLOOKUP(C1589,' Disaggregation - Section E '!A$7:J590,10,0)="","",VLOOKUP(C1589,' Disaggregation - Section E '!A$7:J590,10,0)),"")</f>
        <v/>
      </c>
      <c r="M1589" s="387" t="str">
        <f ca="1">IFERROR(IF(VLOOKUP(C1589,' Disaggregation - Section E '!A$7:O590,15,0)=0,"",VLOOKUP(C1589,' Disaggregation - Section E '!A$7:O590,15,0)),"")</f>
        <v/>
      </c>
      <c r="N1589" s="387"/>
      <c r="O1589" s="387"/>
      <c r="P1589" s="387" t="str">
        <f ca="1">IFERROR(IF(VLOOKUP(C1589,' Disaggregation - Section E '!A$7:R590,18,0)=0,"",VLOOKUP(C1589,' Disaggregation - Section E '!A$7:R590,18,0)),"")</f>
        <v/>
      </c>
    </row>
    <row r="1590" spans="1:16">
      <c r="A1590" s="387" t="b">
        <f t="shared" ca="1" si="165"/>
        <v>0</v>
      </c>
      <c r="B1590" s="387"/>
      <c r="C1590" s="404" t="str">
        <f ca="1">IF(COUNTA(O$1306:O1590)=1,"",OFFSET(B1590,-COUNTA(O$1306:O1590)+1,1))</f>
        <v>a1GDm000000XyS5MAK</v>
      </c>
      <c r="D1590" s="392"/>
      <c r="E1590" s="389" t="str">
        <f ca="1">IFERROR(IF(VLOOKUP(C1590,' Disaggregation - Section E '!A$7:J591,7,0)="","",VLOOKUP(C1590,' Disaggregation - Section E '!A$7:J295,7,0)*100),"")</f>
        <v/>
      </c>
      <c r="F1590" s="391" t="str">
        <f ca="1">IFERROR(IF(VLOOKUP(C1590,' Disaggregation - Section E '!A$7:J591,5,0)=0,"",VLOOKUP(C1590,' Disaggregation - Section E '!A$7:J591,5,0)),"")</f>
        <v/>
      </c>
      <c r="G1590" s="390" t="str">
        <f ca="1">IFERROR(IF(VLOOKUP(C1590,' Disaggregation - Section E '!A$7:J591,6,0)="","",VLOOKUP(C1590,' Disaggregation - Section E '!A$7:J591,6,0)),"")</f>
        <v/>
      </c>
      <c r="H1590" s="390" t="str">
        <f ca="1">IFERROR(IF(INDEX(' Disaggregation - Section E '!F$7:F591,MATCH(C1590,' Disaggregation - Section E '!A$7:A591,0)+1,1)&lt;&gt;0,INDEX(' Disaggregation - Section E '!F$7:F591,MATCH(C1590,' Disaggregation - Section E '!A$7:A591,0)+1,1),""),"")</f>
        <v/>
      </c>
      <c r="I1590" s="391" t="str">
        <f ca="1">IFERROR(IF(VLOOKUP(C1590,' Disaggregation - Section E '!A$7:J591,8,0)=0,"",VLOOKUP(C1590,' Disaggregation - Section E '!A$7:J591,8,0)),"")</f>
        <v/>
      </c>
      <c r="J1590" s="391" t="str">
        <f ca="1">IFERROR(IF(VLOOKUP(C1590,' Disaggregation - Section E '!A$7:J591,9,0)="","",VLOOKUP(C1590,' Disaggregation - Section E '!A$7:J591,9,0)),"")</f>
        <v/>
      </c>
      <c r="K1590" s="387" t="str">
        <f ca="1">IFERROR(VLOOKUP(C1590,' Disaggregation - Section E '!A$7:J591,3,0),"")</f>
        <v/>
      </c>
      <c r="L1590" s="391" t="str">
        <f ca="1">IFERROR(IF(VLOOKUP(C1590,' Disaggregation - Section E '!A$7:J591,10,0)="","",VLOOKUP(C1590,' Disaggregation - Section E '!A$7:J591,10,0)),"")</f>
        <v/>
      </c>
      <c r="M1590" s="387" t="str">
        <f ca="1">IFERROR(IF(VLOOKUP(C1590,' Disaggregation - Section E '!A$7:O591,15,0)=0,"",VLOOKUP(C1590,' Disaggregation - Section E '!A$7:O591,15,0)),"")</f>
        <v/>
      </c>
      <c r="N1590" s="387"/>
      <c r="O1590" s="387"/>
      <c r="P1590" s="387" t="str">
        <f ca="1">IFERROR(IF(VLOOKUP(C1590,' Disaggregation - Section E '!A$7:R591,18,0)=0,"",VLOOKUP(C1590,' Disaggregation - Section E '!A$7:R591,18,0)),"")</f>
        <v/>
      </c>
    </row>
    <row r="1591" spans="1:16">
      <c r="A1591" s="387" t="b">
        <f t="shared" ca="1" si="165"/>
        <v>0</v>
      </c>
      <c r="B1591" s="387"/>
      <c r="C1591" s="404" t="str">
        <f ca="1">IF(COUNTA(O$1306:O1591)=1,"",OFFSET(B1591,-COUNTA(O$1306:O1591)+1,1))</f>
        <v>a1GDm000000XyS6MAK</v>
      </c>
      <c r="D1591" s="392"/>
      <c r="E1591" s="389" t="str">
        <f ca="1">IFERROR(IF(VLOOKUP(C1591,' Disaggregation - Section E '!A$7:J592,7,0)="","",VLOOKUP(C1591,' Disaggregation - Section E '!A$7:J296,7,0)*100),"")</f>
        <v/>
      </c>
      <c r="F1591" s="391" t="str">
        <f ca="1">IFERROR(IF(VLOOKUP(C1591,' Disaggregation - Section E '!A$7:J592,5,0)=0,"",VLOOKUP(C1591,' Disaggregation - Section E '!A$7:J592,5,0)),"")</f>
        <v/>
      </c>
      <c r="G1591" s="390" t="str">
        <f ca="1">IFERROR(IF(VLOOKUP(C1591,' Disaggregation - Section E '!A$7:J592,6,0)="","",VLOOKUP(C1591,' Disaggregation - Section E '!A$7:J592,6,0)),"")</f>
        <v/>
      </c>
      <c r="H1591" s="390" t="str">
        <f ca="1">IFERROR(IF(INDEX(' Disaggregation - Section E '!F$7:F592,MATCH(C1591,' Disaggregation - Section E '!A$7:A592,0)+1,1)&lt;&gt;0,INDEX(' Disaggregation - Section E '!F$7:F592,MATCH(C1591,' Disaggregation - Section E '!A$7:A592,0)+1,1),""),"")</f>
        <v/>
      </c>
      <c r="I1591" s="391" t="str">
        <f ca="1">IFERROR(IF(VLOOKUP(C1591,' Disaggregation - Section E '!A$7:J592,8,0)=0,"",VLOOKUP(C1591,' Disaggregation - Section E '!A$7:J592,8,0)),"")</f>
        <v/>
      </c>
      <c r="J1591" s="391" t="str">
        <f ca="1">IFERROR(IF(VLOOKUP(C1591,' Disaggregation - Section E '!A$7:J592,9,0)="","",VLOOKUP(C1591,' Disaggregation - Section E '!A$7:J592,9,0)),"")</f>
        <v/>
      </c>
      <c r="K1591" s="387" t="str">
        <f ca="1">IFERROR(VLOOKUP(C1591,' Disaggregation - Section E '!A$7:J592,3,0),"")</f>
        <v/>
      </c>
      <c r="L1591" s="391" t="str">
        <f ca="1">IFERROR(IF(VLOOKUP(C1591,' Disaggregation - Section E '!A$7:J592,10,0)="","",VLOOKUP(C1591,' Disaggregation - Section E '!A$7:J592,10,0)),"")</f>
        <v/>
      </c>
      <c r="M1591" s="387" t="str">
        <f ca="1">IFERROR(IF(VLOOKUP(C1591,' Disaggregation - Section E '!A$7:O592,15,0)=0,"",VLOOKUP(C1591,' Disaggregation - Section E '!A$7:O592,15,0)),"")</f>
        <v/>
      </c>
      <c r="N1591" s="387"/>
      <c r="O1591" s="387"/>
      <c r="P1591" s="387" t="str">
        <f ca="1">IFERROR(IF(VLOOKUP(C1591,' Disaggregation - Section E '!A$7:R592,18,0)=0,"",VLOOKUP(C1591,' Disaggregation - Section E '!A$7:R592,18,0)),"")</f>
        <v/>
      </c>
    </row>
    <row r="1592" spans="1:16">
      <c r="A1592" s="387" t="b">
        <f t="shared" ca="1" si="165"/>
        <v>0</v>
      </c>
      <c r="B1592" s="387"/>
      <c r="C1592" s="404" t="str">
        <f ca="1">IF(COUNTA(O$1306:O1592)=1,"",OFFSET(B1592,-COUNTA(O$1306:O1592)+1,1))</f>
        <v>a1GDm000000XyS7MAK</v>
      </c>
      <c r="D1592" s="392"/>
      <c r="E1592" s="389" t="str">
        <f ca="1">IFERROR(IF(VLOOKUP(C1592,' Disaggregation - Section E '!A$7:J593,7,0)="","",VLOOKUP(C1592,' Disaggregation - Section E '!A$7:J297,7,0)*100),"")</f>
        <v/>
      </c>
      <c r="F1592" s="391" t="str">
        <f ca="1">IFERROR(IF(VLOOKUP(C1592,' Disaggregation - Section E '!A$7:J593,5,0)=0,"",VLOOKUP(C1592,' Disaggregation - Section E '!A$7:J593,5,0)),"")</f>
        <v/>
      </c>
      <c r="G1592" s="390" t="str">
        <f ca="1">IFERROR(IF(VLOOKUP(C1592,' Disaggregation - Section E '!A$7:J593,6,0)="","",VLOOKUP(C1592,' Disaggregation - Section E '!A$7:J593,6,0)),"")</f>
        <v/>
      </c>
      <c r="H1592" s="390" t="str">
        <f ca="1">IFERROR(IF(INDEX(' Disaggregation - Section E '!F$7:F593,MATCH(C1592,' Disaggregation - Section E '!A$7:A593,0)+1,1)&lt;&gt;0,INDEX(' Disaggregation - Section E '!F$7:F593,MATCH(C1592,' Disaggregation - Section E '!A$7:A593,0)+1,1),""),"")</f>
        <v/>
      </c>
      <c r="I1592" s="391" t="str">
        <f ca="1">IFERROR(IF(VLOOKUP(C1592,' Disaggregation - Section E '!A$7:J593,8,0)=0,"",VLOOKUP(C1592,' Disaggregation - Section E '!A$7:J593,8,0)),"")</f>
        <v/>
      </c>
      <c r="J1592" s="391" t="str">
        <f ca="1">IFERROR(IF(VLOOKUP(C1592,' Disaggregation - Section E '!A$7:J593,9,0)="","",VLOOKUP(C1592,' Disaggregation - Section E '!A$7:J593,9,0)),"")</f>
        <v/>
      </c>
      <c r="K1592" s="387" t="str">
        <f ca="1">IFERROR(VLOOKUP(C1592,' Disaggregation - Section E '!A$7:J593,3,0),"")</f>
        <v/>
      </c>
      <c r="L1592" s="391" t="str">
        <f ca="1">IFERROR(IF(VLOOKUP(C1592,' Disaggregation - Section E '!A$7:J593,10,0)="","",VLOOKUP(C1592,' Disaggregation - Section E '!A$7:J593,10,0)),"")</f>
        <v/>
      </c>
      <c r="M1592" s="387" t="str">
        <f ca="1">IFERROR(IF(VLOOKUP(C1592,' Disaggregation - Section E '!A$7:O593,15,0)=0,"",VLOOKUP(C1592,' Disaggregation - Section E '!A$7:O593,15,0)),"")</f>
        <v/>
      </c>
      <c r="N1592" s="387"/>
      <c r="O1592" s="387"/>
      <c r="P1592" s="387" t="str">
        <f ca="1">IFERROR(IF(VLOOKUP(C1592,' Disaggregation - Section E '!A$7:R593,18,0)=0,"",VLOOKUP(C1592,' Disaggregation - Section E '!A$7:R593,18,0)),"")</f>
        <v/>
      </c>
    </row>
    <row r="1593" spans="1:16">
      <c r="A1593" s="387" t="b">
        <f t="shared" ca="1" si="165"/>
        <v>0</v>
      </c>
      <c r="B1593" s="387"/>
      <c r="C1593" s="404" t="str">
        <f ca="1">IF(COUNTA(O$1306:O1593)=1,"",OFFSET(B1593,-COUNTA(O$1306:O1593)+1,1))</f>
        <v>a1GDm000000XyS8MAK</v>
      </c>
      <c r="D1593" s="392"/>
      <c r="E1593" s="389" t="str">
        <f ca="1">IFERROR(IF(VLOOKUP(C1593,' Disaggregation - Section E '!A$7:J594,7,0)="","",VLOOKUP(C1593,' Disaggregation - Section E '!A$7:J298,7,0)*100),"")</f>
        <v/>
      </c>
      <c r="F1593" s="391" t="str">
        <f ca="1">IFERROR(IF(VLOOKUP(C1593,' Disaggregation - Section E '!A$7:J594,5,0)=0,"",VLOOKUP(C1593,' Disaggregation - Section E '!A$7:J594,5,0)),"")</f>
        <v/>
      </c>
      <c r="G1593" s="390" t="str">
        <f ca="1">IFERROR(IF(VLOOKUP(C1593,' Disaggregation - Section E '!A$7:J594,6,0)="","",VLOOKUP(C1593,' Disaggregation - Section E '!A$7:J594,6,0)),"")</f>
        <v/>
      </c>
      <c r="H1593" s="390" t="str">
        <f ca="1">IFERROR(IF(INDEX(' Disaggregation - Section E '!F$7:F594,MATCH(C1593,' Disaggregation - Section E '!A$7:A594,0)+1,1)&lt;&gt;0,INDEX(' Disaggregation - Section E '!F$7:F594,MATCH(C1593,' Disaggregation - Section E '!A$7:A594,0)+1,1),""),"")</f>
        <v/>
      </c>
      <c r="I1593" s="391" t="str">
        <f ca="1">IFERROR(IF(VLOOKUP(C1593,' Disaggregation - Section E '!A$7:J594,8,0)=0,"",VLOOKUP(C1593,' Disaggregation - Section E '!A$7:J594,8,0)),"")</f>
        <v/>
      </c>
      <c r="J1593" s="391" t="str">
        <f ca="1">IFERROR(IF(VLOOKUP(C1593,' Disaggregation - Section E '!A$7:J594,9,0)="","",VLOOKUP(C1593,' Disaggregation - Section E '!A$7:J594,9,0)),"")</f>
        <v/>
      </c>
      <c r="K1593" s="387" t="str">
        <f ca="1">IFERROR(VLOOKUP(C1593,' Disaggregation - Section E '!A$7:J594,3,0),"")</f>
        <v/>
      </c>
      <c r="L1593" s="391" t="str">
        <f ca="1">IFERROR(IF(VLOOKUP(C1593,' Disaggregation - Section E '!A$7:J594,10,0)="","",VLOOKUP(C1593,' Disaggregation - Section E '!A$7:J594,10,0)),"")</f>
        <v/>
      </c>
      <c r="M1593" s="387" t="str">
        <f ca="1">IFERROR(IF(VLOOKUP(C1593,' Disaggregation - Section E '!A$7:O594,15,0)=0,"",VLOOKUP(C1593,' Disaggregation - Section E '!A$7:O594,15,0)),"")</f>
        <v/>
      </c>
      <c r="N1593" s="387"/>
      <c r="O1593" s="387"/>
      <c r="P1593" s="387" t="str">
        <f ca="1">IFERROR(IF(VLOOKUP(C1593,' Disaggregation - Section E '!A$7:R594,18,0)=0,"",VLOOKUP(C1593,' Disaggregation - Section E '!A$7:R594,18,0)),"")</f>
        <v/>
      </c>
    </row>
    <row r="1594" spans="1:16">
      <c r="A1594" s="387" t="b">
        <f t="shared" ca="1" si="165"/>
        <v>0</v>
      </c>
      <c r="B1594" s="387"/>
      <c r="C1594" s="404" t="str">
        <f ca="1">IF(COUNTA(O$1306:O1594)=1,"",OFFSET(B1594,-COUNTA(O$1306:O1594)+1,1))</f>
        <v>a1GDm000000XyS9MAK</v>
      </c>
      <c r="D1594" s="392"/>
      <c r="E1594" s="389" t="str">
        <f ca="1">IFERROR(IF(VLOOKUP(C1594,' Disaggregation - Section E '!A$7:J595,7,0)="","",VLOOKUP(C1594,' Disaggregation - Section E '!A$7:J299,7,0)*100),"")</f>
        <v/>
      </c>
      <c r="F1594" s="391" t="str">
        <f ca="1">IFERROR(IF(VLOOKUP(C1594,' Disaggregation - Section E '!A$7:J595,5,0)=0,"",VLOOKUP(C1594,' Disaggregation - Section E '!A$7:J595,5,0)),"")</f>
        <v/>
      </c>
      <c r="G1594" s="390" t="str">
        <f ca="1">IFERROR(IF(VLOOKUP(C1594,' Disaggregation - Section E '!A$7:J595,6,0)="","",VLOOKUP(C1594,' Disaggregation - Section E '!A$7:J595,6,0)),"")</f>
        <v/>
      </c>
      <c r="H1594" s="390" t="str">
        <f ca="1">IFERROR(IF(INDEX(' Disaggregation - Section E '!F$7:F595,MATCH(C1594,' Disaggregation - Section E '!A$7:A595,0)+1,1)&lt;&gt;0,INDEX(' Disaggregation - Section E '!F$7:F595,MATCH(C1594,' Disaggregation - Section E '!A$7:A595,0)+1,1),""),"")</f>
        <v/>
      </c>
      <c r="I1594" s="391" t="str">
        <f ca="1">IFERROR(IF(VLOOKUP(C1594,' Disaggregation - Section E '!A$7:J595,8,0)=0,"",VLOOKUP(C1594,' Disaggregation - Section E '!A$7:J595,8,0)),"")</f>
        <v/>
      </c>
      <c r="J1594" s="391" t="str">
        <f ca="1">IFERROR(IF(VLOOKUP(C1594,' Disaggregation - Section E '!A$7:J595,9,0)="","",VLOOKUP(C1594,' Disaggregation - Section E '!A$7:J595,9,0)),"")</f>
        <v/>
      </c>
      <c r="K1594" s="387" t="str">
        <f ca="1">IFERROR(VLOOKUP(C1594,' Disaggregation - Section E '!A$7:J595,3,0),"")</f>
        <v/>
      </c>
      <c r="L1594" s="391" t="str">
        <f ca="1">IFERROR(IF(VLOOKUP(C1594,' Disaggregation - Section E '!A$7:J595,10,0)="","",VLOOKUP(C1594,' Disaggregation - Section E '!A$7:J595,10,0)),"")</f>
        <v/>
      </c>
      <c r="M1594" s="387" t="str">
        <f ca="1">IFERROR(IF(VLOOKUP(C1594,' Disaggregation - Section E '!A$7:O595,15,0)=0,"",VLOOKUP(C1594,' Disaggregation - Section E '!A$7:O595,15,0)),"")</f>
        <v/>
      </c>
      <c r="N1594" s="387"/>
      <c r="O1594" s="387"/>
      <c r="P1594" s="387" t="str">
        <f ca="1">IFERROR(IF(VLOOKUP(C1594,' Disaggregation - Section E '!A$7:R595,18,0)=0,"",VLOOKUP(C1594,' Disaggregation - Section E '!A$7:R595,18,0)),"")</f>
        <v/>
      </c>
    </row>
    <row r="1595" spans="1:16">
      <c r="A1595" s="387" t="b">
        <f t="shared" ca="1" si="165"/>
        <v>0</v>
      </c>
      <c r="B1595" s="387"/>
      <c r="C1595" s="404" t="str">
        <f ca="1">IF(COUNTA(O$1306:O1595)=1,"",OFFSET(B1595,-COUNTA(O$1306:O1595)+1,1))</f>
        <v>a1GDm000000XySAMA0</v>
      </c>
      <c r="D1595" s="392"/>
      <c r="E1595" s="389" t="str">
        <f ca="1">IFERROR(IF(VLOOKUP(C1595,' Disaggregation - Section E '!A$7:J596,7,0)="","",VLOOKUP(C1595,' Disaggregation - Section E '!A$7:J300,7,0)*100),"")</f>
        <v/>
      </c>
      <c r="F1595" s="391" t="str">
        <f ca="1">IFERROR(IF(VLOOKUP(C1595,' Disaggregation - Section E '!A$7:J596,5,0)=0,"",VLOOKUP(C1595,' Disaggregation - Section E '!A$7:J596,5,0)),"")</f>
        <v/>
      </c>
      <c r="G1595" s="390" t="str">
        <f ca="1">IFERROR(IF(VLOOKUP(C1595,' Disaggregation - Section E '!A$7:J596,6,0)="","",VLOOKUP(C1595,' Disaggregation - Section E '!A$7:J596,6,0)),"")</f>
        <v/>
      </c>
      <c r="H1595" s="390" t="str">
        <f ca="1">IFERROR(IF(INDEX(' Disaggregation - Section E '!F$7:F596,MATCH(C1595,' Disaggregation - Section E '!A$7:A596,0)+1,1)&lt;&gt;0,INDEX(' Disaggregation - Section E '!F$7:F596,MATCH(C1595,' Disaggregation - Section E '!A$7:A596,0)+1,1),""),"")</f>
        <v/>
      </c>
      <c r="I1595" s="391" t="str">
        <f ca="1">IFERROR(IF(VLOOKUP(C1595,' Disaggregation - Section E '!A$7:J596,8,0)=0,"",VLOOKUP(C1595,' Disaggregation - Section E '!A$7:J596,8,0)),"")</f>
        <v/>
      </c>
      <c r="J1595" s="391" t="str">
        <f ca="1">IFERROR(IF(VLOOKUP(C1595,' Disaggregation - Section E '!A$7:J596,9,0)="","",VLOOKUP(C1595,' Disaggregation - Section E '!A$7:J596,9,0)),"")</f>
        <v/>
      </c>
      <c r="K1595" s="387" t="str">
        <f ca="1">IFERROR(VLOOKUP(C1595,' Disaggregation - Section E '!A$7:J596,3,0),"")</f>
        <v/>
      </c>
      <c r="L1595" s="391" t="str">
        <f ca="1">IFERROR(IF(VLOOKUP(C1595,' Disaggregation - Section E '!A$7:J596,10,0)="","",VLOOKUP(C1595,' Disaggregation - Section E '!A$7:J596,10,0)),"")</f>
        <v/>
      </c>
      <c r="M1595" s="387" t="str">
        <f ca="1">IFERROR(IF(VLOOKUP(C1595,' Disaggregation - Section E '!A$7:O596,15,0)=0,"",VLOOKUP(C1595,' Disaggregation - Section E '!A$7:O596,15,0)),"")</f>
        <v/>
      </c>
      <c r="N1595" s="387"/>
      <c r="O1595" s="387"/>
      <c r="P1595" s="387" t="str">
        <f ca="1">IFERROR(IF(VLOOKUP(C1595,' Disaggregation - Section E '!A$7:R596,18,0)=0,"",VLOOKUP(C1595,' Disaggregation - Section E '!A$7:R596,18,0)),"")</f>
        <v/>
      </c>
    </row>
    <row r="1596" spans="1:16">
      <c r="A1596" s="387" t="b">
        <f t="shared" ca="1" si="165"/>
        <v>0</v>
      </c>
      <c r="B1596" s="387"/>
      <c r="C1596" s="404" t="str">
        <f ca="1">IF(COUNTA(O$1306:O1596)=1,"",OFFSET(B1596,-COUNTA(O$1306:O1596)+1,1))</f>
        <v>a1GDm000000XySBMA0</v>
      </c>
      <c r="D1596" s="392"/>
      <c r="E1596" s="389" t="str">
        <f ca="1">IFERROR(IF(VLOOKUP(C1596,' Disaggregation - Section E '!A$7:J597,7,0)="","",VLOOKUP(C1596,' Disaggregation - Section E '!A$7:J301,7,0)*100),"")</f>
        <v/>
      </c>
      <c r="F1596" s="391" t="str">
        <f ca="1">IFERROR(IF(VLOOKUP(C1596,' Disaggregation - Section E '!A$7:J597,5,0)=0,"",VLOOKUP(C1596,' Disaggregation - Section E '!A$7:J597,5,0)),"")</f>
        <v/>
      </c>
      <c r="G1596" s="390" t="str">
        <f ca="1">IFERROR(IF(VLOOKUP(C1596,' Disaggregation - Section E '!A$7:J597,6,0)="","",VLOOKUP(C1596,' Disaggregation - Section E '!A$7:J597,6,0)),"")</f>
        <v/>
      </c>
      <c r="H1596" s="390" t="str">
        <f ca="1">IFERROR(IF(INDEX(' Disaggregation - Section E '!F$7:F597,MATCH(C1596,' Disaggregation - Section E '!A$7:A597,0)+1,1)&lt;&gt;0,INDEX(' Disaggregation - Section E '!F$7:F597,MATCH(C1596,' Disaggregation - Section E '!A$7:A597,0)+1,1),""),"")</f>
        <v/>
      </c>
      <c r="I1596" s="391" t="str">
        <f ca="1">IFERROR(IF(VLOOKUP(C1596,' Disaggregation - Section E '!A$7:J597,8,0)=0,"",VLOOKUP(C1596,' Disaggregation - Section E '!A$7:J597,8,0)),"")</f>
        <v/>
      </c>
      <c r="J1596" s="391" t="str">
        <f ca="1">IFERROR(IF(VLOOKUP(C1596,' Disaggregation - Section E '!A$7:J597,9,0)="","",VLOOKUP(C1596,' Disaggregation - Section E '!A$7:J597,9,0)),"")</f>
        <v/>
      </c>
      <c r="K1596" s="387" t="str">
        <f ca="1">IFERROR(VLOOKUP(C1596,' Disaggregation - Section E '!A$7:J597,3,0),"")</f>
        <v/>
      </c>
      <c r="L1596" s="391" t="str">
        <f ca="1">IFERROR(IF(VLOOKUP(C1596,' Disaggregation - Section E '!A$7:J597,10,0)="","",VLOOKUP(C1596,' Disaggregation - Section E '!A$7:J597,10,0)),"")</f>
        <v/>
      </c>
      <c r="M1596" s="387" t="str">
        <f ca="1">IFERROR(IF(VLOOKUP(C1596,' Disaggregation - Section E '!A$7:O597,15,0)=0,"",VLOOKUP(C1596,' Disaggregation - Section E '!A$7:O597,15,0)),"")</f>
        <v/>
      </c>
      <c r="N1596" s="387"/>
      <c r="O1596" s="387"/>
      <c r="P1596" s="387" t="str">
        <f ca="1">IFERROR(IF(VLOOKUP(C1596,' Disaggregation - Section E '!A$7:R597,18,0)=0,"",VLOOKUP(C1596,' Disaggregation - Section E '!A$7:R597,18,0)),"")</f>
        <v/>
      </c>
    </row>
    <row r="1597" spans="1:16">
      <c r="A1597" s="387" t="b">
        <f t="shared" ca="1" si="165"/>
        <v>0</v>
      </c>
      <c r="B1597" s="387"/>
      <c r="C1597" s="404" t="str">
        <f ca="1">IF(COUNTA(O$1306:O1597)=1,"",OFFSET(B1597,-COUNTA(O$1306:O1597)+1,1))</f>
        <v>a1GDm000000XySCMA0</v>
      </c>
      <c r="D1597" s="392"/>
      <c r="E1597" s="389" t="str">
        <f ca="1">IFERROR(IF(VLOOKUP(C1597,' Disaggregation - Section E '!A$7:J598,7,0)="","",VLOOKUP(C1597,' Disaggregation - Section E '!A$7:J302,7,0)*100),"")</f>
        <v/>
      </c>
      <c r="F1597" s="391" t="str">
        <f ca="1">IFERROR(IF(VLOOKUP(C1597,' Disaggregation - Section E '!A$7:J598,5,0)=0,"",VLOOKUP(C1597,' Disaggregation - Section E '!A$7:J598,5,0)),"")</f>
        <v/>
      </c>
      <c r="G1597" s="390" t="str">
        <f ca="1">IFERROR(IF(VLOOKUP(C1597,' Disaggregation - Section E '!A$7:J598,6,0)="","",VLOOKUP(C1597,' Disaggregation - Section E '!A$7:J598,6,0)),"")</f>
        <v/>
      </c>
      <c r="H1597" s="390" t="str">
        <f ca="1">IFERROR(IF(INDEX(' Disaggregation - Section E '!F$7:F598,MATCH(C1597,' Disaggregation - Section E '!A$7:A598,0)+1,1)&lt;&gt;0,INDEX(' Disaggregation - Section E '!F$7:F598,MATCH(C1597,' Disaggregation - Section E '!A$7:A598,0)+1,1),""),"")</f>
        <v/>
      </c>
      <c r="I1597" s="391" t="str">
        <f ca="1">IFERROR(IF(VLOOKUP(C1597,' Disaggregation - Section E '!A$7:J598,8,0)=0,"",VLOOKUP(C1597,' Disaggregation - Section E '!A$7:J598,8,0)),"")</f>
        <v/>
      </c>
      <c r="J1597" s="391" t="str">
        <f ca="1">IFERROR(IF(VLOOKUP(C1597,' Disaggregation - Section E '!A$7:J598,9,0)="","",VLOOKUP(C1597,' Disaggregation - Section E '!A$7:J598,9,0)),"")</f>
        <v/>
      </c>
      <c r="K1597" s="387" t="str">
        <f ca="1">IFERROR(VLOOKUP(C1597,' Disaggregation - Section E '!A$7:J598,3,0),"")</f>
        <v/>
      </c>
      <c r="L1597" s="391" t="str">
        <f ca="1">IFERROR(IF(VLOOKUP(C1597,' Disaggregation - Section E '!A$7:J598,10,0)="","",VLOOKUP(C1597,' Disaggregation - Section E '!A$7:J598,10,0)),"")</f>
        <v/>
      </c>
      <c r="M1597" s="387" t="str">
        <f ca="1">IFERROR(IF(VLOOKUP(C1597,' Disaggregation - Section E '!A$7:O598,15,0)=0,"",VLOOKUP(C1597,' Disaggregation - Section E '!A$7:O598,15,0)),"")</f>
        <v/>
      </c>
      <c r="N1597" s="387"/>
      <c r="O1597" s="387"/>
      <c r="P1597" s="387" t="str">
        <f ca="1">IFERROR(IF(VLOOKUP(C1597,' Disaggregation - Section E '!A$7:R598,18,0)=0,"",VLOOKUP(C1597,' Disaggregation - Section E '!A$7:R598,18,0)),"")</f>
        <v/>
      </c>
    </row>
    <row r="1598" spans="1:16">
      <c r="A1598" s="387" t="b">
        <f t="shared" ca="1" si="165"/>
        <v>0</v>
      </c>
      <c r="B1598" s="387"/>
      <c r="C1598" s="404" t="str">
        <f ca="1">IF(COUNTA(O$1306:O1598)=1,"",OFFSET(B1598,-COUNTA(O$1306:O1598)+1,1))</f>
        <v>a1GDm000000XySDMA0</v>
      </c>
      <c r="D1598" s="392"/>
      <c r="E1598" s="389" t="str">
        <f ca="1">IFERROR(IF(VLOOKUP(C1598,' Disaggregation - Section E '!A$7:J599,7,0)="","",VLOOKUP(C1598,' Disaggregation - Section E '!A$7:J303,7,0)*100),"")</f>
        <v/>
      </c>
      <c r="F1598" s="391" t="str">
        <f ca="1">IFERROR(IF(VLOOKUP(C1598,' Disaggregation - Section E '!A$7:J599,5,0)=0,"",VLOOKUP(C1598,' Disaggregation - Section E '!A$7:J599,5,0)),"")</f>
        <v/>
      </c>
      <c r="G1598" s="390" t="str">
        <f ca="1">IFERROR(IF(VLOOKUP(C1598,' Disaggregation - Section E '!A$7:J599,6,0)="","",VLOOKUP(C1598,' Disaggregation - Section E '!A$7:J599,6,0)),"")</f>
        <v/>
      </c>
      <c r="H1598" s="390" t="str">
        <f ca="1">IFERROR(IF(INDEX(' Disaggregation - Section E '!F$7:F599,MATCH(C1598,' Disaggregation - Section E '!A$7:A599,0)+1,1)&lt;&gt;0,INDEX(' Disaggregation - Section E '!F$7:F599,MATCH(C1598,' Disaggregation - Section E '!A$7:A599,0)+1,1),""),"")</f>
        <v/>
      </c>
      <c r="I1598" s="391" t="str">
        <f ca="1">IFERROR(IF(VLOOKUP(C1598,' Disaggregation - Section E '!A$7:J599,8,0)=0,"",VLOOKUP(C1598,' Disaggregation - Section E '!A$7:J599,8,0)),"")</f>
        <v/>
      </c>
      <c r="J1598" s="391" t="str">
        <f ca="1">IFERROR(IF(VLOOKUP(C1598,' Disaggregation - Section E '!A$7:J599,9,0)="","",VLOOKUP(C1598,' Disaggregation - Section E '!A$7:J599,9,0)),"")</f>
        <v/>
      </c>
      <c r="K1598" s="387" t="str">
        <f ca="1">IFERROR(VLOOKUP(C1598,' Disaggregation - Section E '!A$7:J599,3,0),"")</f>
        <v/>
      </c>
      <c r="L1598" s="391" t="str">
        <f ca="1">IFERROR(IF(VLOOKUP(C1598,' Disaggregation - Section E '!A$7:J599,10,0)="","",VLOOKUP(C1598,' Disaggregation - Section E '!A$7:J599,10,0)),"")</f>
        <v/>
      </c>
      <c r="M1598" s="387" t="str">
        <f ca="1">IFERROR(IF(VLOOKUP(C1598,' Disaggregation - Section E '!A$7:O599,15,0)=0,"",VLOOKUP(C1598,' Disaggregation - Section E '!A$7:O599,15,0)),"")</f>
        <v/>
      </c>
      <c r="N1598" s="387"/>
      <c r="O1598" s="387"/>
      <c r="P1598" s="387" t="str">
        <f ca="1">IFERROR(IF(VLOOKUP(C1598,' Disaggregation - Section E '!A$7:R599,18,0)=0,"",VLOOKUP(C1598,' Disaggregation - Section E '!A$7:R599,18,0)),"")</f>
        <v/>
      </c>
    </row>
    <row r="1599" spans="1:16">
      <c r="A1599" s="387" t="b">
        <f t="shared" ca="1" si="165"/>
        <v>0</v>
      </c>
      <c r="B1599" s="387"/>
      <c r="C1599" s="404" t="str">
        <f ca="1">IF(COUNTA(O$1306:O1599)=1,"",OFFSET(B1599,-COUNTA(O$1306:O1599)+1,1))</f>
        <v>a1GDm000000XySEMA0</v>
      </c>
      <c r="D1599" s="392"/>
      <c r="E1599" s="389" t="str">
        <f ca="1">IFERROR(IF(VLOOKUP(C1599,' Disaggregation - Section E '!A$7:J600,7,0)="","",VLOOKUP(C1599,' Disaggregation - Section E '!A$7:J304,7,0)*100),"")</f>
        <v/>
      </c>
      <c r="F1599" s="391" t="str">
        <f ca="1">IFERROR(IF(VLOOKUP(C1599,' Disaggregation - Section E '!A$7:J600,5,0)=0,"",VLOOKUP(C1599,' Disaggregation - Section E '!A$7:J600,5,0)),"")</f>
        <v/>
      </c>
      <c r="G1599" s="390" t="str">
        <f ca="1">IFERROR(IF(VLOOKUP(C1599,' Disaggregation - Section E '!A$7:J600,6,0)="","",VLOOKUP(C1599,' Disaggregation - Section E '!A$7:J600,6,0)),"")</f>
        <v/>
      </c>
      <c r="H1599" s="390" t="str">
        <f ca="1">IFERROR(IF(INDEX(' Disaggregation - Section E '!F$7:F600,MATCH(C1599,' Disaggregation - Section E '!A$7:A600,0)+1,1)&lt;&gt;0,INDEX(' Disaggregation - Section E '!F$7:F600,MATCH(C1599,' Disaggregation - Section E '!A$7:A600,0)+1,1),""),"")</f>
        <v/>
      </c>
      <c r="I1599" s="391" t="str">
        <f ca="1">IFERROR(IF(VLOOKUP(C1599,' Disaggregation - Section E '!A$7:J600,8,0)=0,"",VLOOKUP(C1599,' Disaggregation - Section E '!A$7:J600,8,0)),"")</f>
        <v/>
      </c>
      <c r="J1599" s="391" t="str">
        <f ca="1">IFERROR(IF(VLOOKUP(C1599,' Disaggregation - Section E '!A$7:J600,9,0)="","",VLOOKUP(C1599,' Disaggregation - Section E '!A$7:J600,9,0)),"")</f>
        <v/>
      </c>
      <c r="K1599" s="387" t="str">
        <f ca="1">IFERROR(VLOOKUP(C1599,' Disaggregation - Section E '!A$7:J600,3,0),"")</f>
        <v/>
      </c>
      <c r="L1599" s="391" t="str">
        <f ca="1">IFERROR(IF(VLOOKUP(C1599,' Disaggregation - Section E '!A$7:J600,10,0)="","",VLOOKUP(C1599,' Disaggregation - Section E '!A$7:J600,10,0)),"")</f>
        <v/>
      </c>
      <c r="M1599" s="387" t="str">
        <f ca="1">IFERROR(IF(VLOOKUP(C1599,' Disaggregation - Section E '!A$7:O600,15,0)=0,"",VLOOKUP(C1599,' Disaggregation - Section E '!A$7:O600,15,0)),"")</f>
        <v/>
      </c>
      <c r="N1599" s="387"/>
      <c r="O1599" s="387"/>
      <c r="P1599" s="387" t="str">
        <f ca="1">IFERROR(IF(VLOOKUP(C1599,' Disaggregation - Section E '!A$7:R600,18,0)=0,"",VLOOKUP(C1599,' Disaggregation - Section E '!A$7:R600,18,0)),"")</f>
        <v/>
      </c>
    </row>
    <row r="1600" spans="1:16">
      <c r="A1600" s="387" t="b">
        <f t="shared" ca="1" si="165"/>
        <v>0</v>
      </c>
      <c r="B1600" s="387"/>
      <c r="C1600" s="404" t="str">
        <f ca="1">IF(COUNTA(O$1306:O1600)=1,"",OFFSET(B1600,-COUNTA(O$1306:O1600)+1,1))</f>
        <v>a1GDm000000XySFMA0</v>
      </c>
      <c r="D1600" s="392"/>
      <c r="E1600" s="389" t="str">
        <f ca="1">IFERROR(IF(VLOOKUP(C1600,' Disaggregation - Section E '!A$7:J601,7,0)="","",VLOOKUP(C1600,' Disaggregation - Section E '!A$7:J305,7,0)*100),"")</f>
        <v/>
      </c>
      <c r="F1600" s="391" t="str">
        <f ca="1">IFERROR(IF(VLOOKUP(C1600,' Disaggregation - Section E '!A$7:J601,5,0)=0,"",VLOOKUP(C1600,' Disaggregation - Section E '!A$7:J601,5,0)),"")</f>
        <v/>
      </c>
      <c r="G1600" s="390" t="str">
        <f ca="1">IFERROR(IF(VLOOKUP(C1600,' Disaggregation - Section E '!A$7:J601,6,0)="","",VLOOKUP(C1600,' Disaggregation - Section E '!A$7:J601,6,0)),"")</f>
        <v/>
      </c>
      <c r="H1600" s="390" t="str">
        <f ca="1">IFERROR(IF(INDEX(' Disaggregation - Section E '!F$7:F601,MATCH(C1600,' Disaggregation - Section E '!A$7:A601,0)+1,1)&lt;&gt;0,INDEX(' Disaggregation - Section E '!F$7:F601,MATCH(C1600,' Disaggregation - Section E '!A$7:A601,0)+1,1),""),"")</f>
        <v/>
      </c>
      <c r="I1600" s="391" t="str">
        <f ca="1">IFERROR(IF(VLOOKUP(C1600,' Disaggregation - Section E '!A$7:J601,8,0)=0,"",VLOOKUP(C1600,' Disaggregation - Section E '!A$7:J601,8,0)),"")</f>
        <v/>
      </c>
      <c r="J1600" s="391" t="str">
        <f ca="1">IFERROR(IF(VLOOKUP(C1600,' Disaggregation - Section E '!A$7:J601,9,0)="","",VLOOKUP(C1600,' Disaggregation - Section E '!A$7:J601,9,0)),"")</f>
        <v/>
      </c>
      <c r="K1600" s="387" t="str">
        <f ca="1">IFERROR(VLOOKUP(C1600,' Disaggregation - Section E '!A$7:J601,3,0),"")</f>
        <v/>
      </c>
      <c r="L1600" s="391" t="str">
        <f ca="1">IFERROR(IF(VLOOKUP(C1600,' Disaggregation - Section E '!A$7:J601,10,0)="","",VLOOKUP(C1600,' Disaggregation - Section E '!A$7:J601,10,0)),"")</f>
        <v/>
      </c>
      <c r="M1600" s="387" t="str">
        <f ca="1">IFERROR(IF(VLOOKUP(C1600,' Disaggregation - Section E '!A$7:O601,15,0)=0,"",VLOOKUP(C1600,' Disaggregation - Section E '!A$7:O601,15,0)),"")</f>
        <v/>
      </c>
      <c r="N1600" s="387"/>
      <c r="O1600" s="387"/>
      <c r="P1600" s="387" t="str">
        <f ca="1">IFERROR(IF(VLOOKUP(C1600,' Disaggregation - Section E '!A$7:R601,18,0)=0,"",VLOOKUP(C1600,' Disaggregation - Section E '!A$7:R601,18,0)),"")</f>
        <v/>
      </c>
    </row>
    <row r="1601" spans="1:16">
      <c r="A1601" s="387" t="b">
        <f t="shared" ca="1" si="165"/>
        <v>0</v>
      </c>
      <c r="B1601" s="387"/>
      <c r="C1601" s="404" t="str">
        <f ca="1">IF(COUNTA(O$1306:O1601)=1,"",OFFSET(B1601,-COUNTA(O$1306:O1601)+1,1))</f>
        <v>a1GDm000000XySGMA0</v>
      </c>
      <c r="D1601" s="392"/>
      <c r="E1601" s="389" t="str">
        <f ca="1">IFERROR(IF(VLOOKUP(C1601,' Disaggregation - Section E '!A$7:J602,7,0)="","",VLOOKUP(C1601,' Disaggregation - Section E '!A$7:J306,7,0)*100),"")</f>
        <v/>
      </c>
      <c r="F1601" s="391" t="str">
        <f ca="1">IFERROR(IF(VLOOKUP(C1601,' Disaggregation - Section E '!A$7:J602,5,0)=0,"",VLOOKUP(C1601,' Disaggregation - Section E '!A$7:J602,5,0)),"")</f>
        <v/>
      </c>
      <c r="G1601" s="390" t="str">
        <f ca="1">IFERROR(IF(VLOOKUP(C1601,' Disaggregation - Section E '!A$7:J602,6,0)="","",VLOOKUP(C1601,' Disaggregation - Section E '!A$7:J602,6,0)),"")</f>
        <v/>
      </c>
      <c r="H1601" s="390" t="str">
        <f ca="1">IFERROR(IF(INDEX(' Disaggregation - Section E '!F$7:F602,MATCH(C1601,' Disaggregation - Section E '!A$7:A602,0)+1,1)&lt;&gt;0,INDEX(' Disaggregation - Section E '!F$7:F602,MATCH(C1601,' Disaggregation - Section E '!A$7:A602,0)+1,1),""),"")</f>
        <v/>
      </c>
      <c r="I1601" s="391" t="str">
        <f ca="1">IFERROR(IF(VLOOKUP(C1601,' Disaggregation - Section E '!A$7:J602,8,0)=0,"",VLOOKUP(C1601,' Disaggregation - Section E '!A$7:J602,8,0)),"")</f>
        <v/>
      </c>
      <c r="J1601" s="391" t="str">
        <f ca="1">IFERROR(IF(VLOOKUP(C1601,' Disaggregation - Section E '!A$7:J602,9,0)="","",VLOOKUP(C1601,' Disaggregation - Section E '!A$7:J602,9,0)),"")</f>
        <v/>
      </c>
      <c r="K1601" s="387" t="str">
        <f ca="1">IFERROR(VLOOKUP(C1601,' Disaggregation - Section E '!A$7:J602,3,0),"")</f>
        <v/>
      </c>
      <c r="L1601" s="391" t="str">
        <f ca="1">IFERROR(IF(VLOOKUP(C1601,' Disaggregation - Section E '!A$7:J602,10,0)="","",VLOOKUP(C1601,' Disaggregation - Section E '!A$7:J602,10,0)),"")</f>
        <v/>
      </c>
      <c r="M1601" s="387" t="str">
        <f ca="1">IFERROR(IF(VLOOKUP(C1601,' Disaggregation - Section E '!A$7:O602,15,0)=0,"",VLOOKUP(C1601,' Disaggregation - Section E '!A$7:O602,15,0)),"")</f>
        <v/>
      </c>
      <c r="N1601" s="387"/>
      <c r="O1601" s="387"/>
      <c r="P1601" s="387" t="str">
        <f ca="1">IFERROR(IF(VLOOKUP(C1601,' Disaggregation - Section E '!A$7:R602,18,0)=0,"",VLOOKUP(C1601,' Disaggregation - Section E '!A$7:R602,18,0)),"")</f>
        <v/>
      </c>
    </row>
    <row r="1602" spans="1:16">
      <c r="A1602" s="387" t="b">
        <f t="shared" ca="1" si="165"/>
        <v>0</v>
      </c>
      <c r="B1602" s="387"/>
      <c r="C1602" s="404" t="str">
        <f ca="1">IF(COUNTA(O$1306:O1602)=1,"",OFFSET(B1602,-COUNTA(O$1306:O1602)+1,1))</f>
        <v>a1GDm000000XySHMA0</v>
      </c>
      <c r="D1602" s="392"/>
      <c r="E1602" s="389" t="str">
        <f ca="1">IFERROR(IF(VLOOKUP(C1602,' Disaggregation - Section E '!A$7:J603,7,0)="","",VLOOKUP(C1602,' Disaggregation - Section E '!A$7:J307,7,0)*100),"")</f>
        <v/>
      </c>
      <c r="F1602" s="391" t="str">
        <f ca="1">IFERROR(IF(VLOOKUP(C1602,' Disaggregation - Section E '!A$7:J603,5,0)=0,"",VLOOKUP(C1602,' Disaggregation - Section E '!A$7:J603,5,0)),"")</f>
        <v/>
      </c>
      <c r="G1602" s="390" t="str">
        <f ca="1">IFERROR(IF(VLOOKUP(C1602,' Disaggregation - Section E '!A$7:J603,6,0)="","",VLOOKUP(C1602,' Disaggregation - Section E '!A$7:J603,6,0)),"")</f>
        <v/>
      </c>
      <c r="H1602" s="390" t="str">
        <f ca="1">IFERROR(IF(INDEX(' Disaggregation - Section E '!F$7:F603,MATCH(C1602,' Disaggregation - Section E '!A$7:A603,0)+1,1)&lt;&gt;0,INDEX(' Disaggregation - Section E '!F$7:F603,MATCH(C1602,' Disaggregation - Section E '!A$7:A603,0)+1,1),""),"")</f>
        <v/>
      </c>
      <c r="I1602" s="391" t="str">
        <f ca="1">IFERROR(IF(VLOOKUP(C1602,' Disaggregation - Section E '!A$7:J603,8,0)=0,"",VLOOKUP(C1602,' Disaggregation - Section E '!A$7:J603,8,0)),"")</f>
        <v/>
      </c>
      <c r="J1602" s="391" t="str">
        <f ca="1">IFERROR(IF(VLOOKUP(C1602,' Disaggregation - Section E '!A$7:J603,9,0)="","",VLOOKUP(C1602,' Disaggregation - Section E '!A$7:J603,9,0)),"")</f>
        <v/>
      </c>
      <c r="K1602" s="387" t="str">
        <f ca="1">IFERROR(VLOOKUP(C1602,' Disaggregation - Section E '!A$7:J603,3,0),"")</f>
        <v/>
      </c>
      <c r="L1602" s="391" t="str">
        <f ca="1">IFERROR(IF(VLOOKUP(C1602,' Disaggregation - Section E '!A$7:J603,10,0)="","",VLOOKUP(C1602,' Disaggregation - Section E '!A$7:J603,10,0)),"")</f>
        <v/>
      </c>
      <c r="M1602" s="387" t="str">
        <f ca="1">IFERROR(IF(VLOOKUP(C1602,' Disaggregation - Section E '!A$7:O603,15,0)=0,"",VLOOKUP(C1602,' Disaggregation - Section E '!A$7:O603,15,0)),"")</f>
        <v/>
      </c>
      <c r="N1602" s="387"/>
      <c r="O1602" s="387"/>
      <c r="P1602" s="387" t="str">
        <f ca="1">IFERROR(IF(VLOOKUP(C1602,' Disaggregation - Section E '!A$7:R603,18,0)=0,"",VLOOKUP(C1602,' Disaggregation - Section E '!A$7:R603,18,0)),"")</f>
        <v/>
      </c>
    </row>
    <row r="1603" spans="1:16">
      <c r="A1603" s="387" t="b">
        <f t="shared" ca="1" si="165"/>
        <v>0</v>
      </c>
      <c r="B1603" s="387"/>
      <c r="C1603" s="404" t="str">
        <f ca="1">IF(COUNTA(O$1306:O1603)=1,"",OFFSET(B1603,-COUNTA(O$1306:O1603)+1,1))</f>
        <v>a1GDm000000XySIMA0</v>
      </c>
      <c r="D1603" s="392"/>
      <c r="E1603" s="389" t="str">
        <f ca="1">IFERROR(IF(VLOOKUP(C1603,' Disaggregation - Section E '!A$7:J604,7,0)="","",VLOOKUP(C1603,' Disaggregation - Section E '!A$7:J308,7,0)*100),"")</f>
        <v/>
      </c>
      <c r="F1603" s="391" t="str">
        <f ca="1">IFERROR(IF(VLOOKUP(C1603,' Disaggregation - Section E '!A$7:J604,5,0)=0,"",VLOOKUP(C1603,' Disaggregation - Section E '!A$7:J604,5,0)),"")</f>
        <v/>
      </c>
      <c r="G1603" s="390" t="str">
        <f ca="1">IFERROR(IF(VLOOKUP(C1603,' Disaggregation - Section E '!A$7:J604,6,0)="","",VLOOKUP(C1603,' Disaggregation - Section E '!A$7:J604,6,0)),"")</f>
        <v/>
      </c>
      <c r="H1603" s="390" t="str">
        <f ca="1">IFERROR(IF(INDEX(' Disaggregation - Section E '!F$7:F604,MATCH(C1603,' Disaggregation - Section E '!A$7:A604,0)+1,1)&lt;&gt;0,INDEX(' Disaggregation - Section E '!F$7:F604,MATCH(C1603,' Disaggregation - Section E '!A$7:A604,0)+1,1),""),"")</f>
        <v/>
      </c>
      <c r="I1603" s="391" t="str">
        <f ca="1">IFERROR(IF(VLOOKUP(C1603,' Disaggregation - Section E '!A$7:J604,8,0)=0,"",VLOOKUP(C1603,' Disaggregation - Section E '!A$7:J604,8,0)),"")</f>
        <v/>
      </c>
      <c r="J1603" s="391" t="str">
        <f ca="1">IFERROR(IF(VLOOKUP(C1603,' Disaggregation - Section E '!A$7:J604,9,0)="","",VLOOKUP(C1603,' Disaggregation - Section E '!A$7:J604,9,0)),"")</f>
        <v/>
      </c>
      <c r="K1603" s="387" t="str">
        <f ca="1">IFERROR(VLOOKUP(C1603,' Disaggregation - Section E '!A$7:J604,3,0),"")</f>
        <v/>
      </c>
      <c r="L1603" s="391" t="str">
        <f ca="1">IFERROR(IF(VLOOKUP(C1603,' Disaggregation - Section E '!A$7:J604,10,0)="","",VLOOKUP(C1603,' Disaggregation - Section E '!A$7:J604,10,0)),"")</f>
        <v/>
      </c>
      <c r="M1603" s="387" t="str">
        <f ca="1">IFERROR(IF(VLOOKUP(C1603,' Disaggregation - Section E '!A$7:O604,15,0)=0,"",VLOOKUP(C1603,' Disaggregation - Section E '!A$7:O604,15,0)),"")</f>
        <v/>
      </c>
      <c r="N1603" s="387"/>
      <c r="O1603" s="387"/>
      <c r="P1603" s="387" t="str">
        <f ca="1">IFERROR(IF(VLOOKUP(C1603,' Disaggregation - Section E '!A$7:R604,18,0)=0,"",VLOOKUP(C1603,' Disaggregation - Section E '!A$7:R604,18,0)),"")</f>
        <v/>
      </c>
    </row>
    <row r="1604" spans="1:16">
      <c r="A1604" s="387" t="b">
        <f t="shared" ca="1" si="165"/>
        <v>0</v>
      </c>
      <c r="B1604" s="387"/>
      <c r="C1604" s="404" t="str">
        <f ca="1">IF(COUNTA(O$1306:O1604)=1,"",OFFSET(B1604,-COUNTA(O$1306:O1604)+1,1))</f>
        <v>a1GDm000000XySJMA0</v>
      </c>
      <c r="D1604" s="392"/>
      <c r="E1604" s="389" t="str">
        <f ca="1">IFERROR(IF(VLOOKUP(C1604,' Disaggregation - Section E '!A$7:J605,7,0)="","",VLOOKUP(C1604,' Disaggregation - Section E '!A$7:J309,7,0)*100),"")</f>
        <v/>
      </c>
      <c r="F1604" s="391" t="str">
        <f ca="1">IFERROR(IF(VLOOKUP(C1604,' Disaggregation - Section E '!A$7:J605,5,0)=0,"",VLOOKUP(C1604,' Disaggregation - Section E '!A$7:J605,5,0)),"")</f>
        <v/>
      </c>
      <c r="G1604" s="390" t="str">
        <f ca="1">IFERROR(IF(VLOOKUP(C1604,' Disaggregation - Section E '!A$7:J605,6,0)="","",VLOOKUP(C1604,' Disaggregation - Section E '!A$7:J605,6,0)),"")</f>
        <v/>
      </c>
      <c r="H1604" s="390" t="str">
        <f ca="1">IFERROR(IF(INDEX(' Disaggregation - Section E '!F$7:F605,MATCH(C1604,' Disaggregation - Section E '!A$7:A605,0)+1,1)&lt;&gt;0,INDEX(' Disaggregation - Section E '!F$7:F605,MATCH(C1604,' Disaggregation - Section E '!A$7:A605,0)+1,1),""),"")</f>
        <v/>
      </c>
      <c r="I1604" s="391" t="str">
        <f ca="1">IFERROR(IF(VLOOKUP(C1604,' Disaggregation - Section E '!A$7:J605,8,0)=0,"",VLOOKUP(C1604,' Disaggregation - Section E '!A$7:J605,8,0)),"")</f>
        <v/>
      </c>
      <c r="J1604" s="391" t="str">
        <f ca="1">IFERROR(IF(VLOOKUP(C1604,' Disaggregation - Section E '!A$7:J605,9,0)="","",VLOOKUP(C1604,' Disaggregation - Section E '!A$7:J605,9,0)),"")</f>
        <v/>
      </c>
      <c r="K1604" s="387" t="str">
        <f ca="1">IFERROR(VLOOKUP(C1604,' Disaggregation - Section E '!A$7:J605,3,0),"")</f>
        <v/>
      </c>
      <c r="L1604" s="391" t="str">
        <f ca="1">IFERROR(IF(VLOOKUP(C1604,' Disaggregation - Section E '!A$7:J605,10,0)="","",VLOOKUP(C1604,' Disaggregation - Section E '!A$7:J605,10,0)),"")</f>
        <v/>
      </c>
      <c r="M1604" s="387" t="str">
        <f ca="1">IFERROR(IF(VLOOKUP(C1604,' Disaggregation - Section E '!A$7:O605,15,0)=0,"",VLOOKUP(C1604,' Disaggregation - Section E '!A$7:O605,15,0)),"")</f>
        <v/>
      </c>
      <c r="N1604" s="387"/>
      <c r="O1604" s="387"/>
      <c r="P1604" s="387" t="str">
        <f ca="1">IFERROR(IF(VLOOKUP(C1604,' Disaggregation - Section E '!A$7:R605,18,0)=0,"",VLOOKUP(C1604,' Disaggregation - Section E '!A$7:R605,18,0)),"")</f>
        <v/>
      </c>
    </row>
    <row r="1605" spans="1:16">
      <c r="A1605" s="387" t="b">
        <f t="shared" ca="1" si="165"/>
        <v>0</v>
      </c>
      <c r="B1605" s="387"/>
      <c r="C1605" s="404" t="str">
        <f ca="1">IF(COUNTA(O$1306:O1605)=1,"",OFFSET(B1605,-COUNTA(O$1306:O1605)+1,1))</f>
        <v>a1GDm000000XySKMA0</v>
      </c>
      <c r="D1605" s="392"/>
      <c r="E1605" s="389" t="str">
        <f ca="1">IFERROR(IF(VLOOKUP(C1605,' Disaggregation - Section E '!A$7:J606,7,0)="","",VLOOKUP(C1605,' Disaggregation - Section E '!A$7:J310,7,0)*100),"")</f>
        <v/>
      </c>
      <c r="F1605" s="391" t="str">
        <f ca="1">IFERROR(IF(VLOOKUP(C1605,' Disaggregation - Section E '!A$7:J606,5,0)=0,"",VLOOKUP(C1605,' Disaggregation - Section E '!A$7:J606,5,0)),"")</f>
        <v/>
      </c>
      <c r="G1605" s="390" t="str">
        <f ca="1">IFERROR(IF(VLOOKUP(C1605,' Disaggregation - Section E '!A$7:J606,6,0)="","",VLOOKUP(C1605,' Disaggregation - Section E '!A$7:J606,6,0)),"")</f>
        <v/>
      </c>
      <c r="H1605" s="390" t="str">
        <f ca="1">IFERROR(IF(INDEX(' Disaggregation - Section E '!F$7:F606,MATCH(C1605,' Disaggregation - Section E '!A$7:A606,0)+1,1)&lt;&gt;0,INDEX(' Disaggregation - Section E '!F$7:F606,MATCH(C1605,' Disaggregation - Section E '!A$7:A606,0)+1,1),""),"")</f>
        <v/>
      </c>
      <c r="I1605" s="391" t="str">
        <f ca="1">IFERROR(IF(VLOOKUP(C1605,' Disaggregation - Section E '!A$7:J606,8,0)=0,"",VLOOKUP(C1605,' Disaggregation - Section E '!A$7:J606,8,0)),"")</f>
        <v/>
      </c>
      <c r="J1605" s="391" t="str">
        <f ca="1">IFERROR(IF(VLOOKUP(C1605,' Disaggregation - Section E '!A$7:J606,9,0)="","",VLOOKUP(C1605,' Disaggregation - Section E '!A$7:J606,9,0)),"")</f>
        <v/>
      </c>
      <c r="K1605" s="387" t="str">
        <f ca="1">IFERROR(VLOOKUP(C1605,' Disaggregation - Section E '!A$7:J606,3,0),"")</f>
        <v/>
      </c>
      <c r="L1605" s="391" t="str">
        <f ca="1">IFERROR(IF(VLOOKUP(C1605,' Disaggregation - Section E '!A$7:J606,10,0)="","",VLOOKUP(C1605,' Disaggregation - Section E '!A$7:J606,10,0)),"")</f>
        <v/>
      </c>
      <c r="M1605" s="387" t="str">
        <f ca="1">IFERROR(IF(VLOOKUP(C1605,' Disaggregation - Section E '!A$7:O606,15,0)=0,"",VLOOKUP(C1605,' Disaggregation - Section E '!A$7:O606,15,0)),"")</f>
        <v/>
      </c>
      <c r="N1605" s="387"/>
      <c r="O1605" s="387"/>
      <c r="P1605" s="387" t="str">
        <f ca="1">IFERROR(IF(VLOOKUP(C1605,' Disaggregation - Section E '!A$7:R606,18,0)=0,"",VLOOKUP(C1605,' Disaggregation - Section E '!A$7:R606,18,0)),"")</f>
        <v/>
      </c>
    </row>
    <row r="1606" spans="1:16">
      <c r="A1606" s="387" t="b">
        <f t="shared" ca="1" si="165"/>
        <v>0</v>
      </c>
      <c r="B1606" s="387"/>
      <c r="C1606" s="404" t="str">
        <f ca="1">IF(COUNTA(O$1306:O1606)=1,"",OFFSET(B1606,-COUNTA(O$1306:O1606)+1,1))</f>
        <v>a1GDm000000XySLMA0</v>
      </c>
      <c r="D1606" s="392"/>
      <c r="E1606" s="389" t="str">
        <f ca="1">IFERROR(IF(VLOOKUP(C1606,' Disaggregation - Section E '!A$7:J607,7,0)="","",VLOOKUP(C1606,' Disaggregation - Section E '!A$7:J311,7,0)*100),"")</f>
        <v/>
      </c>
      <c r="F1606" s="391" t="str">
        <f ca="1">IFERROR(IF(VLOOKUP(C1606,' Disaggregation - Section E '!A$7:J607,5,0)=0,"",VLOOKUP(C1606,' Disaggregation - Section E '!A$7:J607,5,0)),"")</f>
        <v/>
      </c>
      <c r="G1606" s="390" t="str">
        <f ca="1">IFERROR(IF(VLOOKUP(C1606,' Disaggregation - Section E '!A$7:J607,6,0)="","",VLOOKUP(C1606,' Disaggregation - Section E '!A$7:J607,6,0)),"")</f>
        <v/>
      </c>
      <c r="H1606" s="390" t="str">
        <f ca="1">IFERROR(IF(INDEX(' Disaggregation - Section E '!F$7:F607,MATCH(C1606,' Disaggregation - Section E '!A$7:A607,0)+1,1)&lt;&gt;0,INDEX(' Disaggregation - Section E '!F$7:F607,MATCH(C1606,' Disaggregation - Section E '!A$7:A607,0)+1,1),""),"")</f>
        <v/>
      </c>
      <c r="I1606" s="391" t="str">
        <f ca="1">IFERROR(IF(VLOOKUP(C1606,' Disaggregation - Section E '!A$7:J607,8,0)=0,"",VLOOKUP(C1606,' Disaggregation - Section E '!A$7:J607,8,0)),"")</f>
        <v/>
      </c>
      <c r="J1606" s="391" t="str">
        <f ca="1">IFERROR(IF(VLOOKUP(C1606,' Disaggregation - Section E '!A$7:J607,9,0)="","",VLOOKUP(C1606,' Disaggregation - Section E '!A$7:J607,9,0)),"")</f>
        <v/>
      </c>
      <c r="K1606" s="387" t="str">
        <f ca="1">IFERROR(VLOOKUP(C1606,' Disaggregation - Section E '!A$7:J607,3,0),"")</f>
        <v/>
      </c>
      <c r="L1606" s="391" t="str">
        <f ca="1">IFERROR(IF(VLOOKUP(C1606,' Disaggregation - Section E '!A$7:J607,10,0)="","",VLOOKUP(C1606,' Disaggregation - Section E '!A$7:J607,10,0)),"")</f>
        <v/>
      </c>
      <c r="M1606" s="387" t="str">
        <f ca="1">IFERROR(IF(VLOOKUP(C1606,' Disaggregation - Section E '!A$7:O607,15,0)=0,"",VLOOKUP(C1606,' Disaggregation - Section E '!A$7:O607,15,0)),"")</f>
        <v/>
      </c>
      <c r="N1606" s="387"/>
      <c r="O1606" s="387"/>
      <c r="P1606" s="387" t="str">
        <f ca="1">IFERROR(IF(VLOOKUP(C1606,' Disaggregation - Section E '!A$7:R607,18,0)=0,"",VLOOKUP(C1606,' Disaggregation - Section E '!A$7:R607,18,0)),"")</f>
        <v/>
      </c>
    </row>
    <row r="1607" spans="1:16">
      <c r="A1607" s="387" t="b">
        <f t="shared" ca="1" si="165"/>
        <v>0</v>
      </c>
      <c r="B1607" s="387"/>
      <c r="C1607" s="404" t="str">
        <f ca="1">IF(COUNTA(O$1306:O1607)=1,"",OFFSET(B1607,-COUNTA(O$1306:O1607)+1,1))</f>
        <v>a1GDm000000XySMMA0</v>
      </c>
      <c r="D1607" s="392"/>
      <c r="E1607" s="389" t="str">
        <f ca="1">IFERROR(IF(VLOOKUP(C1607,' Disaggregation - Section E '!A$7:J608,7,0)="","",VLOOKUP(C1607,' Disaggregation - Section E '!A$7:J312,7,0)*100),"")</f>
        <v/>
      </c>
      <c r="F1607" s="391" t="str">
        <f ca="1">IFERROR(IF(VLOOKUP(C1607,' Disaggregation - Section E '!A$7:J608,5,0)=0,"",VLOOKUP(C1607,' Disaggregation - Section E '!A$7:J608,5,0)),"")</f>
        <v/>
      </c>
      <c r="G1607" s="390" t="str">
        <f ca="1">IFERROR(IF(VLOOKUP(C1607,' Disaggregation - Section E '!A$7:J608,6,0)="","",VLOOKUP(C1607,' Disaggregation - Section E '!A$7:J608,6,0)),"")</f>
        <v/>
      </c>
      <c r="H1607" s="390" t="str">
        <f ca="1">IFERROR(IF(INDEX(' Disaggregation - Section E '!F$7:F608,MATCH(C1607,' Disaggregation - Section E '!A$7:A608,0)+1,1)&lt;&gt;0,INDEX(' Disaggregation - Section E '!F$7:F608,MATCH(C1607,' Disaggregation - Section E '!A$7:A608,0)+1,1),""),"")</f>
        <v/>
      </c>
      <c r="I1607" s="391" t="str">
        <f ca="1">IFERROR(IF(VLOOKUP(C1607,' Disaggregation - Section E '!A$7:J608,8,0)=0,"",VLOOKUP(C1607,' Disaggregation - Section E '!A$7:J608,8,0)),"")</f>
        <v/>
      </c>
      <c r="J1607" s="391" t="str">
        <f ca="1">IFERROR(IF(VLOOKUP(C1607,' Disaggregation - Section E '!A$7:J608,9,0)="","",VLOOKUP(C1607,' Disaggregation - Section E '!A$7:J608,9,0)),"")</f>
        <v/>
      </c>
      <c r="K1607" s="387" t="str">
        <f ca="1">IFERROR(VLOOKUP(C1607,' Disaggregation - Section E '!A$7:J608,3,0),"")</f>
        <v/>
      </c>
      <c r="L1607" s="391" t="str">
        <f ca="1">IFERROR(IF(VLOOKUP(C1607,' Disaggregation - Section E '!A$7:J608,10,0)="","",VLOOKUP(C1607,' Disaggregation - Section E '!A$7:J608,10,0)),"")</f>
        <v/>
      </c>
      <c r="M1607" s="387" t="str">
        <f ca="1">IFERROR(IF(VLOOKUP(C1607,' Disaggregation - Section E '!A$7:O608,15,0)=0,"",VLOOKUP(C1607,' Disaggregation - Section E '!A$7:O608,15,0)),"")</f>
        <v/>
      </c>
      <c r="N1607" s="387"/>
      <c r="O1607" s="387"/>
      <c r="P1607" s="387" t="str">
        <f ca="1">IFERROR(IF(VLOOKUP(C1607,' Disaggregation - Section E '!A$7:R608,18,0)=0,"",VLOOKUP(C1607,' Disaggregation - Section E '!A$7:R608,18,0)),"")</f>
        <v/>
      </c>
    </row>
    <row r="1609" spans="1:16">
      <c r="A1609" s="385" t="s">
        <v>2271</v>
      </c>
    </row>
    <row r="1610" spans="1:16">
      <c r="A1610" s="387" t="s">
        <v>328</v>
      </c>
      <c r="B1610" s="387"/>
      <c r="C1610" s="387" t="s">
        <v>318</v>
      </c>
      <c r="D1610" s="387" t="s">
        <v>2203</v>
      </c>
      <c r="E1610" s="387" t="s">
        <v>105</v>
      </c>
      <c r="F1610" s="387" t="s">
        <v>2257</v>
      </c>
      <c r="G1610" s="387" t="s">
        <v>2317</v>
      </c>
      <c r="H1610" s="387" t="s">
        <v>2316</v>
      </c>
      <c r="I1610" s="387" t="s">
        <v>2589</v>
      </c>
      <c r="J1610" s="387" t="s">
        <v>199</v>
      </c>
      <c r="K1610" s="387" t="s">
        <v>2930</v>
      </c>
      <c r="L1610" s="387"/>
      <c r="M1610" s="387" t="s">
        <v>2931</v>
      </c>
      <c r="N1610" s="387" t="s">
        <v>176</v>
      </c>
      <c r="O1610" s="387" t="s">
        <v>3341</v>
      </c>
      <c r="P1610" s="387" t="s">
        <v>2259</v>
      </c>
    </row>
    <row r="1611" spans="1:16" hidden="1">
      <c r="A1611" s="387" t="b">
        <f ca="1">IF(M1611&lt;&gt;"",TRUE,FALSE)</f>
        <v>0</v>
      </c>
      <c r="B1611" s="387"/>
      <c r="C1611" s="387" t="str">
        <f ca="1">IF(COUNTA(O$1610:O1611)=1,"",OFFSET(B1609,-COUNTA(O$1610:O1611)+3,1))</f>
        <v/>
      </c>
      <c r="D1611" s="392"/>
      <c r="E1611" s="389" t="str">
        <f ca="1">IFERROR(IF(VLOOKUP(C1611,' Disaggregation - Section E '!A$618:J2300,7,0)="","",VLOOKUP(C1611,' Disaggregation - Section E '!A$618:J2300,7,0)*100),"")</f>
        <v/>
      </c>
      <c r="F1611" s="391" t="str">
        <f ca="1">IFERROR(VLOOKUP(C1611,' Disaggregation - Section E '!A$618:J2300,5,0),"")</f>
        <v/>
      </c>
      <c r="G1611" s="390" t="str">
        <f ca="1">IFERROR(IF(VLOOKUP(C1611,' Disaggregation - Section E '!A$618:J2300,6,0)="","",VLOOKUP(C1611,' Disaggregation - Section E '!A$618:J2300,6,0)),"")</f>
        <v/>
      </c>
      <c r="H1611" s="390" t="str">
        <f ca="1">IFERROR(IF(INDEX(' Disaggregation - Section E '!F$618:F2300,MATCH(C1611,' Disaggregation - Section E '!A$618:A2300,0)+1,1)&lt;&gt;0,INDEX(' Disaggregation - Section E '!F$618:F2300,MATCH(C1611,' Disaggregation - Section E '!A$618:A2300,0)+1,1),""),"")</f>
        <v/>
      </c>
      <c r="I1611" s="391" t="str">
        <f ca="1">IFERROR(IF(VLOOKUP(C1611,' Disaggregation - Section E '!A$618:J2300,8,0)=0,"",VLOOKUP(C1611,' Disaggregation - Section E '!A$618:J2300,8,0)),"")</f>
        <v/>
      </c>
      <c r="J1611" s="391" t="str">
        <f ca="1">IFERROR(IF(VLOOKUP(C1611,' Disaggregation - Section E '!A$618:J2300,9,0)="","",VLOOKUP(C1611,' Disaggregation - Section E '!A$618:J2300,9,0)),"")</f>
        <v/>
      </c>
      <c r="K1611" s="387" t="str">
        <f ca="1">IFERROR(VLOOKUP(C1611,' Disaggregation - Section E '!A$618:J2300,3,0),"")</f>
        <v/>
      </c>
      <c r="L1611" s="387"/>
      <c r="M1611" s="387" t="str">
        <f ca="1">IFERROR(IF(VLOOKUP(C1611,' Disaggregation - Section E '!A$618:O623,15,0)=0,"",VLOOKUP(C1611,' Disaggregation - Section E '!A$618:O623,15,0)),"")</f>
        <v/>
      </c>
      <c r="N1611" s="391" t="str">
        <f ca="1">IFERROR(IF(VLOOKUP(C1611,' Disaggregation - Section E '!A$618:J2300,10,0)=0,"",VLOOKUP(C1611,' Disaggregation - Section E '!A$618:J2300,10,0)),"")</f>
        <v/>
      </c>
      <c r="O1611" s="387"/>
      <c r="P1611" s="387" t="str">
        <f ca="1">IFERROR(IF(VLOOKUP(C1611,' Disaggregation - Section E '!A$618:R623,18,0)=0,"",VLOOKUP(C1611,' Disaggregation - Section E '!A$618:R623,18,0)),"")</f>
        <v/>
      </c>
    </row>
    <row r="1612" spans="1:16">
      <c r="A1612" s="387" t="b">
        <v>1</v>
      </c>
      <c r="B1612" s="387"/>
      <c r="C1612" s="387" t="s">
        <v>3342</v>
      </c>
      <c r="D1612" s="392">
        <v>1</v>
      </c>
      <c r="E1612" s="389">
        <v>87.444964740121605</v>
      </c>
      <c r="F1612" s="391" t="s">
        <v>3240</v>
      </c>
      <c r="G1612" s="390">
        <v>187489</v>
      </c>
      <c r="H1612" s="390">
        <v>214408</v>
      </c>
      <c r="I1612" s="391" t="s">
        <v>2328</v>
      </c>
      <c r="J1612" s="391" t="s">
        <v>780</v>
      </c>
      <c r="K1612" s="387" t="str">
        <f ca="1">IFERROR(VLOOKUP(C1612,' Disaggregation - Section E '!A$618:J2301,3,0),"")</f>
        <v>TBDT-1 Number of patients with of all forms of TB notified (i.e., bacteriologically confirmed + clinically diagnosed); *includes only those with new and relapse TB</v>
      </c>
      <c r="L1612" s="387"/>
      <c r="M1612" s="387" t="s">
        <v>3343</v>
      </c>
      <c r="N1612" s="391" t="s">
        <v>2273</v>
      </c>
      <c r="O1612" s="387" t="s">
        <v>2657</v>
      </c>
      <c r="P1612" s="387" t="s">
        <v>3344</v>
      </c>
    </row>
    <row r="1613" spans="1:16">
      <c r="A1613" s="387" t="b">
        <v>1</v>
      </c>
      <c r="B1613" s="387"/>
      <c r="C1613" s="387" t="s">
        <v>3345</v>
      </c>
      <c r="D1613" s="392">
        <v>1</v>
      </c>
      <c r="E1613" s="389">
        <v>22.086862430506301</v>
      </c>
      <c r="F1613" s="391" t="s">
        <v>3346</v>
      </c>
      <c r="G1613" s="390">
        <v>47356</v>
      </c>
      <c r="H1613" s="390">
        <v>214408</v>
      </c>
      <c r="I1613" s="391" t="s">
        <v>2328</v>
      </c>
      <c r="J1613" s="391" t="s">
        <v>780</v>
      </c>
      <c r="K1613" s="387" t="str">
        <f ca="1">IFERROR(VLOOKUP(C1613,' Disaggregation - Section E '!A$618:J2302,3,0),"")</f>
        <v>TBDT-1 Number of patients with of all forms of TB notified (i.e., bacteriologically confirmed + clinically diagnosed); *includes only those with new and relapse TB</v>
      </c>
      <c r="L1613" s="387"/>
      <c r="M1613" s="387" t="s">
        <v>3347</v>
      </c>
      <c r="N1613" s="391" t="s">
        <v>2274</v>
      </c>
      <c r="O1613" s="387" t="s">
        <v>2657</v>
      </c>
      <c r="P1613" s="387" t="s">
        <v>3348</v>
      </c>
    </row>
    <row r="1614" spans="1:16">
      <c r="A1614" s="387" t="b">
        <v>1</v>
      </c>
      <c r="B1614" s="387"/>
      <c r="C1614" s="387" t="s">
        <v>3349</v>
      </c>
      <c r="D1614" s="392">
        <v>1</v>
      </c>
      <c r="E1614" s="389">
        <v>12.5550352598784</v>
      </c>
      <c r="F1614" s="391" t="s">
        <v>3244</v>
      </c>
      <c r="G1614" s="390">
        <v>26919</v>
      </c>
      <c r="H1614" s="390">
        <v>214408</v>
      </c>
      <c r="I1614" s="391" t="s">
        <v>2328</v>
      </c>
      <c r="J1614" s="391" t="s">
        <v>780</v>
      </c>
      <c r="K1614" s="387" t="str">
        <f ca="1">IFERROR(VLOOKUP(C1614,' Disaggregation - Section E '!A$618:J2303,3,0),"")</f>
        <v>TBDT-1 Number of patients with of all forms of TB notified (i.e., bacteriologically confirmed + clinically diagnosed); *includes only those with new and relapse TB</v>
      </c>
      <c r="L1614" s="387"/>
      <c r="M1614" s="387" t="s">
        <v>3350</v>
      </c>
      <c r="N1614" s="391" t="s">
        <v>2275</v>
      </c>
      <c r="O1614" s="387" t="s">
        <v>2657</v>
      </c>
      <c r="P1614" s="387" t="s">
        <v>3351</v>
      </c>
    </row>
    <row r="1615" spans="1:16">
      <c r="A1615" s="387" t="b">
        <v>1</v>
      </c>
      <c r="B1615" s="387"/>
      <c r="C1615" s="387" t="s">
        <v>3352</v>
      </c>
      <c r="D1615" s="392">
        <v>1</v>
      </c>
      <c r="E1615" s="389">
        <v>56.605630386925903</v>
      </c>
      <c r="F1615" s="391" t="s">
        <v>3193</v>
      </c>
      <c r="G1615" s="390">
        <v>121367</v>
      </c>
      <c r="H1615" s="390">
        <v>214408</v>
      </c>
      <c r="I1615" s="391" t="s">
        <v>2328</v>
      </c>
      <c r="J1615" s="391" t="s">
        <v>780</v>
      </c>
      <c r="K1615" s="387" t="str">
        <f ca="1">IFERROR(VLOOKUP(C1615,' Disaggregation - Section E '!A$618:J2304,3,0),"")</f>
        <v>TBDT-1 Number of patients with of all forms of TB notified (i.e., bacteriologically confirmed + clinically diagnosed); *includes only those with new and relapse TB</v>
      </c>
      <c r="L1615" s="387"/>
      <c r="M1615" s="387" t="s">
        <v>3353</v>
      </c>
      <c r="N1615" s="391" t="s">
        <v>2276</v>
      </c>
      <c r="O1615" s="387" t="s">
        <v>2657</v>
      </c>
      <c r="P1615" s="387" t="s">
        <v>3354</v>
      </c>
    </row>
    <row r="1616" spans="1:16">
      <c r="A1616" s="387" t="b">
        <v>1</v>
      </c>
      <c r="B1616" s="387"/>
      <c r="C1616" s="387" t="s">
        <v>3355</v>
      </c>
      <c r="D1616" s="392">
        <v>1</v>
      </c>
      <c r="E1616" s="389">
        <v>71.675963583448393</v>
      </c>
      <c r="F1616" s="391" t="s">
        <v>3356</v>
      </c>
      <c r="G1616" s="390">
        <v>153679</v>
      </c>
      <c r="H1616" s="390">
        <v>214408</v>
      </c>
      <c r="I1616" s="391" t="s">
        <v>2328</v>
      </c>
      <c r="J1616" s="391" t="s">
        <v>2211</v>
      </c>
      <c r="K1616" s="387" t="str">
        <f ca="1">IFERROR(VLOOKUP(C1616,' Disaggregation - Section E '!A$618:J2305,3,0),"")</f>
        <v>TBDT-1 Number of patients with of all forms of TB notified (i.e., bacteriologically confirmed + clinically diagnosed); *includes only those with new and relapse TB</v>
      </c>
      <c r="L1616" s="387"/>
      <c r="M1616" s="387" t="s">
        <v>3357</v>
      </c>
      <c r="N1616" s="391" t="s">
        <v>2277</v>
      </c>
      <c r="O1616" s="387" t="s">
        <v>2657</v>
      </c>
      <c r="P1616" s="387" t="s">
        <v>3358</v>
      </c>
    </row>
    <row r="1617" spans="1:16">
      <c r="A1617" s="387" t="b">
        <v>1</v>
      </c>
      <c r="B1617" s="387"/>
      <c r="C1617" s="387" t="s">
        <v>3359</v>
      </c>
      <c r="D1617" s="392">
        <v>1</v>
      </c>
      <c r="E1617" s="389">
        <v>61.4930413044289</v>
      </c>
      <c r="F1617" s="391" t="s">
        <v>3360</v>
      </c>
      <c r="G1617" s="390">
        <v>131846</v>
      </c>
      <c r="H1617" s="390">
        <v>214408</v>
      </c>
      <c r="I1617" s="391" t="s">
        <v>2328</v>
      </c>
      <c r="J1617" s="391" t="s">
        <v>780</v>
      </c>
      <c r="K1617" s="387" t="str">
        <f ca="1">IFERROR(VLOOKUP(C1617,' Disaggregation - Section E '!A$618:J2306,3,0),"")</f>
        <v>TBDT-1 Number of patients with of all forms of TB notified (i.e., bacteriologically confirmed + clinically diagnosed); *includes only those with new and relapse TB</v>
      </c>
      <c r="L1617" s="387"/>
      <c r="M1617" s="387" t="s">
        <v>3361</v>
      </c>
      <c r="N1617" s="391" t="s">
        <v>2278</v>
      </c>
      <c r="O1617" s="387" t="s">
        <v>2657</v>
      </c>
      <c r="P1617" s="387" t="s">
        <v>3362</v>
      </c>
    </row>
    <row r="1618" spans="1:16">
      <c r="A1618" s="387" t="b">
        <v>1</v>
      </c>
      <c r="B1618" s="387"/>
      <c r="C1618" s="387" t="s">
        <v>3363</v>
      </c>
      <c r="D1618" s="392">
        <v>1</v>
      </c>
      <c r="E1618" s="389">
        <v>43.394369613074097</v>
      </c>
      <c r="F1618" s="391" t="s">
        <v>3197</v>
      </c>
      <c r="G1618" s="390">
        <v>93041</v>
      </c>
      <c r="H1618" s="390">
        <v>214408</v>
      </c>
      <c r="I1618" s="391" t="s">
        <v>2328</v>
      </c>
      <c r="J1618" s="391" t="s">
        <v>780</v>
      </c>
      <c r="K1618" s="387" t="str">
        <f ca="1">IFERROR(VLOOKUP(C1618,' Disaggregation - Section E '!A$618:J2307,3,0),"")</f>
        <v>TBDT-1 Number of patients with of all forms of TB notified (i.e., bacteriologically confirmed + clinically diagnosed); *includes only those with new and relapse TB</v>
      </c>
      <c r="L1618" s="387"/>
      <c r="M1618" s="387" t="s">
        <v>3364</v>
      </c>
      <c r="N1618" s="391" t="s">
        <v>2279</v>
      </c>
      <c r="O1618" s="387" t="s">
        <v>2657</v>
      </c>
      <c r="P1618" s="387" t="s">
        <v>3365</v>
      </c>
    </row>
    <row r="1619" spans="1:16">
      <c r="A1619" s="387" t="b">
        <v>1</v>
      </c>
      <c r="B1619" s="387"/>
      <c r="C1619" s="387" t="s">
        <v>3366</v>
      </c>
      <c r="D1619" s="392">
        <v>1</v>
      </c>
      <c r="E1619" s="389">
        <v>6.2371739860452999</v>
      </c>
      <c r="F1619" s="391" t="s">
        <v>3367</v>
      </c>
      <c r="G1619" s="390">
        <v>13373</v>
      </c>
      <c r="H1619" s="390">
        <v>214408</v>
      </c>
      <c r="I1619" s="391" t="s">
        <v>2328</v>
      </c>
      <c r="J1619" s="391" t="s">
        <v>2211</v>
      </c>
      <c r="K1619" s="387" t="str">
        <f ca="1">IFERROR(VLOOKUP(C1619,' Disaggregation - Section E '!A$618:J2308,3,0),"")</f>
        <v>TBDT-1 Number of patients with of all forms of TB notified (i.e., bacteriologically confirmed + clinically diagnosed); *includes only those with new and relapse TB</v>
      </c>
      <c r="L1619" s="387"/>
      <c r="M1619" s="387" t="s">
        <v>3368</v>
      </c>
      <c r="N1619" s="391" t="s">
        <v>2280</v>
      </c>
      <c r="O1619" s="387" t="s">
        <v>2657</v>
      </c>
      <c r="P1619" s="387" t="s">
        <v>3369</v>
      </c>
    </row>
    <row r="1620" spans="1:16">
      <c r="A1620" s="387" t="b">
        <v>0</v>
      </c>
      <c r="B1620" s="387"/>
      <c r="C1620" s="387" t="s">
        <v>3370</v>
      </c>
      <c r="D1620" s="392">
        <v>1</v>
      </c>
      <c r="E1620" s="389"/>
      <c r="F1620" s="391"/>
      <c r="G1620" s="390"/>
      <c r="H1620" s="390"/>
      <c r="I1620" s="391"/>
      <c r="J1620" s="391"/>
      <c r="K1620" s="387" t="str">
        <f ca="1">IFERROR(VLOOKUP(C1620,' Disaggregation - Section E '!A$618:J2309,3,0),"")</f>
        <v>TBDT-1 Number of patients with of all forms of TB notified (i.e., bacteriologically confirmed + clinically diagnosed); *includes only those with new and relapse TB</v>
      </c>
      <c r="L1620" s="387"/>
      <c r="M1620" s="387"/>
      <c r="N1620" s="391"/>
      <c r="O1620" s="387" t="s">
        <v>2657</v>
      </c>
      <c r="P1620" s="387"/>
    </row>
    <row r="1621" spans="1:16">
      <c r="A1621" s="387" t="b">
        <v>0</v>
      </c>
      <c r="B1621" s="387"/>
      <c r="C1621" s="387" t="s">
        <v>3371</v>
      </c>
      <c r="D1621" s="392">
        <v>1</v>
      </c>
      <c r="E1621" s="389"/>
      <c r="F1621" s="391"/>
      <c r="G1621" s="390"/>
      <c r="H1621" s="390"/>
      <c r="I1621" s="391"/>
      <c r="J1621" s="391"/>
      <c r="K1621" s="387" t="str">
        <f ca="1">IFERROR(VLOOKUP(C1621,' Disaggregation - Section E '!A$618:J2310,3,0),"")</f>
        <v>TBDT-1 Number of patients with of all forms of TB notified (i.e., bacteriologically confirmed + clinically diagnosed); *includes only those with new and relapse TB</v>
      </c>
      <c r="L1621" s="387"/>
      <c r="M1621" s="387"/>
      <c r="N1621" s="391"/>
      <c r="O1621" s="387" t="s">
        <v>2657</v>
      </c>
      <c r="P1621" s="387"/>
    </row>
    <row r="1622" spans="1:16">
      <c r="A1622" s="387" t="b">
        <v>0</v>
      </c>
      <c r="B1622" s="387"/>
      <c r="C1622" s="387" t="s">
        <v>3372</v>
      </c>
      <c r="D1622" s="392">
        <v>1</v>
      </c>
      <c r="E1622" s="389"/>
      <c r="F1622" s="391"/>
      <c r="G1622" s="390"/>
      <c r="H1622" s="390"/>
      <c r="I1622" s="391"/>
      <c r="J1622" s="391"/>
      <c r="K1622" s="387" t="str">
        <f ca="1">IFERROR(VLOOKUP(C1622,' Disaggregation - Section E '!A$618:J2311,3,0),"")</f>
        <v>TBDT-1 Number of patients with of all forms of TB notified (i.e., bacteriologically confirmed + clinically diagnosed); *includes only those with new and relapse TB</v>
      </c>
      <c r="L1622" s="387"/>
      <c r="M1622" s="387"/>
      <c r="N1622" s="391"/>
      <c r="O1622" s="387" t="s">
        <v>2657</v>
      </c>
      <c r="P1622" s="387"/>
    </row>
    <row r="1623" spans="1:16">
      <c r="A1623" s="387" t="b">
        <v>0</v>
      </c>
      <c r="B1623" s="387"/>
      <c r="C1623" s="387" t="s">
        <v>3373</v>
      </c>
      <c r="D1623" s="392">
        <v>1</v>
      </c>
      <c r="E1623" s="389"/>
      <c r="F1623" s="391"/>
      <c r="G1623" s="390"/>
      <c r="H1623" s="390"/>
      <c r="I1623" s="391"/>
      <c r="J1623" s="391"/>
      <c r="K1623" s="387" t="str">
        <f ca="1">IFERROR(VLOOKUP(C1623,' Disaggregation - Section E '!A$618:J2312,3,0),"")</f>
        <v>TBDT-1 Number of patients with of all forms of TB notified (i.e., bacteriologically confirmed + clinically diagnosed); *includes only those with new and relapse TB</v>
      </c>
      <c r="L1623" s="387"/>
      <c r="M1623" s="387"/>
      <c r="N1623" s="391"/>
      <c r="O1623" s="387" t="s">
        <v>2657</v>
      </c>
      <c r="P1623" s="387"/>
    </row>
    <row r="1624" spans="1:16">
      <c r="A1624" s="387" t="b">
        <v>0</v>
      </c>
      <c r="B1624" s="387"/>
      <c r="C1624" s="387" t="s">
        <v>3374</v>
      </c>
      <c r="D1624" s="392">
        <v>1</v>
      </c>
      <c r="E1624" s="389"/>
      <c r="F1624" s="391"/>
      <c r="G1624" s="390"/>
      <c r="H1624" s="390"/>
      <c r="I1624" s="391"/>
      <c r="J1624" s="391"/>
      <c r="K1624" s="387" t="str">
        <f ca="1">IFERROR(VLOOKUP(C1624,' Disaggregation - Section E '!A$618:J2313,3,0),"")</f>
        <v>TBDT-1 Number of patients with of all forms of TB notified (i.e., bacteriologically confirmed + clinically diagnosed); *includes only those with new and relapse TB</v>
      </c>
      <c r="L1624" s="387"/>
      <c r="M1624" s="387"/>
      <c r="N1624" s="391"/>
      <c r="O1624" s="387" t="s">
        <v>2657</v>
      </c>
      <c r="P1624" s="387"/>
    </row>
    <row r="1625" spans="1:16">
      <c r="A1625" s="387" t="b">
        <v>0</v>
      </c>
      <c r="B1625" s="387"/>
      <c r="C1625" s="387" t="s">
        <v>3375</v>
      </c>
      <c r="D1625" s="392">
        <v>1</v>
      </c>
      <c r="E1625" s="389"/>
      <c r="F1625" s="391"/>
      <c r="G1625" s="390"/>
      <c r="H1625" s="390"/>
      <c r="I1625" s="391"/>
      <c r="J1625" s="391"/>
      <c r="K1625" s="387" t="str">
        <f ca="1">IFERROR(VLOOKUP(C1625,' Disaggregation - Section E '!A$618:J2314,3,0),"")</f>
        <v>TBDT-1 Number of patients with of all forms of TB notified (i.e., bacteriologically confirmed + clinically diagnosed); *includes only those with new and relapse TB</v>
      </c>
      <c r="L1625" s="387"/>
      <c r="M1625" s="387"/>
      <c r="N1625" s="391"/>
      <c r="O1625" s="387" t="s">
        <v>2657</v>
      </c>
      <c r="P1625" s="387"/>
    </row>
    <row r="1626" spans="1:16">
      <c r="A1626" s="387" t="b">
        <v>0</v>
      </c>
      <c r="B1626" s="387"/>
      <c r="C1626" s="387" t="s">
        <v>3376</v>
      </c>
      <c r="D1626" s="392">
        <v>1</v>
      </c>
      <c r="E1626" s="389"/>
      <c r="F1626" s="391"/>
      <c r="G1626" s="390"/>
      <c r="H1626" s="390"/>
      <c r="I1626" s="391"/>
      <c r="J1626" s="391"/>
      <c r="K1626" s="387" t="str">
        <f ca="1">IFERROR(VLOOKUP(C1626,' Disaggregation - Section E '!A$618:J2315,3,0),"")</f>
        <v>TBDT-1 Number of patients with of all forms of TB notified (i.e., bacteriologically confirmed + clinically diagnosed); *includes only those with new and relapse TB</v>
      </c>
      <c r="L1626" s="387"/>
      <c r="M1626" s="387"/>
      <c r="N1626" s="391"/>
      <c r="O1626" s="387" t="s">
        <v>2657</v>
      </c>
      <c r="P1626" s="387"/>
    </row>
    <row r="1627" spans="1:16">
      <c r="A1627" s="387" t="b">
        <v>0</v>
      </c>
      <c r="B1627" s="387"/>
      <c r="C1627" s="387" t="s">
        <v>3377</v>
      </c>
      <c r="D1627" s="392">
        <v>1</v>
      </c>
      <c r="E1627" s="389"/>
      <c r="F1627" s="391"/>
      <c r="G1627" s="390"/>
      <c r="H1627" s="390"/>
      <c r="I1627" s="391"/>
      <c r="J1627" s="391"/>
      <c r="K1627" s="387" t="str">
        <f ca="1">IFERROR(VLOOKUP(C1627,' Disaggregation - Section E '!A$618:J2316,3,0),"")</f>
        <v>TBDT-1 Number of patients with of all forms of TB notified (i.e., bacteriologically confirmed + clinically diagnosed); *includes only those with new and relapse TB</v>
      </c>
      <c r="L1627" s="387"/>
      <c r="M1627" s="387"/>
      <c r="N1627" s="391"/>
      <c r="O1627" s="387" t="s">
        <v>2657</v>
      </c>
      <c r="P1627" s="387"/>
    </row>
    <row r="1628" spans="1:16">
      <c r="A1628" s="387" t="b">
        <v>0</v>
      </c>
      <c r="B1628" s="387"/>
      <c r="C1628" s="387" t="s">
        <v>3378</v>
      </c>
      <c r="D1628" s="392">
        <v>1</v>
      </c>
      <c r="E1628" s="389"/>
      <c r="F1628" s="391"/>
      <c r="G1628" s="390"/>
      <c r="H1628" s="390"/>
      <c r="I1628" s="391"/>
      <c r="J1628" s="391"/>
      <c r="K1628" s="387" t="str">
        <f ca="1">IFERROR(VLOOKUP(C1628,' Disaggregation - Section E '!A$618:J2317,3,0),"")</f>
        <v>TBDT-1 Number of patients with of all forms of TB notified (i.e., bacteriologically confirmed + clinically diagnosed); *includes only those with new and relapse TB</v>
      </c>
      <c r="L1628" s="387"/>
      <c r="M1628" s="387"/>
      <c r="N1628" s="391"/>
      <c r="O1628" s="387" t="s">
        <v>2657</v>
      </c>
      <c r="P1628" s="387"/>
    </row>
    <row r="1629" spans="1:16">
      <c r="A1629" s="387" t="b">
        <v>0</v>
      </c>
      <c r="B1629" s="387"/>
      <c r="C1629" s="387" t="s">
        <v>3379</v>
      </c>
      <c r="D1629" s="392">
        <v>1</v>
      </c>
      <c r="E1629" s="389"/>
      <c r="F1629" s="391"/>
      <c r="G1629" s="390"/>
      <c r="H1629" s="390"/>
      <c r="I1629" s="391"/>
      <c r="J1629" s="391"/>
      <c r="K1629" s="387" t="str">
        <f ca="1">IFERROR(VLOOKUP(C1629,' Disaggregation - Section E '!A$618:J2318,3,0),"")</f>
        <v>TBDT-1 Number of patients with of all forms of TB notified (i.e., bacteriologically confirmed + clinically diagnosed); *includes only those with new and relapse TB</v>
      </c>
      <c r="L1629" s="387"/>
      <c r="M1629" s="387"/>
      <c r="N1629" s="391"/>
      <c r="O1629" s="387" t="s">
        <v>2657</v>
      </c>
      <c r="P1629" s="387"/>
    </row>
    <row r="1630" spans="1:16">
      <c r="A1630" s="387" t="b">
        <v>0</v>
      </c>
      <c r="B1630" s="387"/>
      <c r="C1630" s="387" t="s">
        <v>3380</v>
      </c>
      <c r="D1630" s="392">
        <v>1</v>
      </c>
      <c r="E1630" s="389"/>
      <c r="F1630" s="391"/>
      <c r="G1630" s="390"/>
      <c r="H1630" s="390"/>
      <c r="I1630" s="391"/>
      <c r="J1630" s="391"/>
      <c r="K1630" s="387" t="str">
        <f ca="1">IFERROR(VLOOKUP(C1630,' Disaggregation - Section E '!A$618:J2319,3,0),"")</f>
        <v>TBDT-1 Number of patients with of all forms of TB notified (i.e., bacteriologically confirmed + clinically diagnosed); *includes only those with new and relapse TB</v>
      </c>
      <c r="L1630" s="387"/>
      <c r="M1630" s="387"/>
      <c r="N1630" s="391"/>
      <c r="O1630" s="387" t="s">
        <v>2657</v>
      </c>
      <c r="P1630" s="387"/>
    </row>
    <row r="1631" spans="1:16">
      <c r="A1631" s="387" t="b">
        <v>0</v>
      </c>
      <c r="B1631" s="387"/>
      <c r="C1631" s="387" t="s">
        <v>3381</v>
      </c>
      <c r="D1631" s="392">
        <v>1</v>
      </c>
      <c r="E1631" s="389"/>
      <c r="F1631" s="391"/>
      <c r="G1631" s="390"/>
      <c r="H1631" s="390"/>
      <c r="I1631" s="391"/>
      <c r="J1631" s="391"/>
      <c r="K1631" s="387" t="str">
        <f ca="1">IFERROR(VLOOKUP(C1631,' Disaggregation - Section E '!A$618:J2320,3,0),"")</f>
        <v>TBDT-1 Number of patients with of all forms of TB notified (i.e., bacteriologically confirmed + clinically diagnosed); *includes only those with new and relapse TB</v>
      </c>
      <c r="L1631" s="387"/>
      <c r="M1631" s="387"/>
      <c r="N1631" s="391"/>
      <c r="O1631" s="387" t="s">
        <v>2657</v>
      </c>
      <c r="P1631" s="387"/>
    </row>
    <row r="1632" spans="1:16">
      <c r="A1632" s="387" t="b">
        <v>1</v>
      </c>
      <c r="B1632" s="387"/>
      <c r="C1632" s="387" t="s">
        <v>3382</v>
      </c>
      <c r="D1632" s="392">
        <v>2</v>
      </c>
      <c r="E1632" s="389"/>
      <c r="F1632" s="391" t="s">
        <v>3240</v>
      </c>
      <c r="G1632" s="390"/>
      <c r="H1632" s="390"/>
      <c r="I1632" s="391"/>
      <c r="J1632" s="391" t="s">
        <v>2281</v>
      </c>
      <c r="K1632" s="387" t="str">
        <f ca="1">IFERROR(VLOOKUP(C1632,' Disaggregation - Section E '!A$618:J2321,3,0),"")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32" s="387"/>
      <c r="M1632" s="387" t="s">
        <v>3383</v>
      </c>
      <c r="N1632" s="391" t="s">
        <v>2282</v>
      </c>
      <c r="O1632" s="387" t="s">
        <v>2664</v>
      </c>
      <c r="P1632" s="387" t="s">
        <v>3384</v>
      </c>
    </row>
    <row r="1633" spans="1:16">
      <c r="A1633" s="387" t="b">
        <v>1</v>
      </c>
      <c r="B1633" s="387"/>
      <c r="C1633" s="387" t="s">
        <v>3385</v>
      </c>
      <c r="D1633" s="392">
        <v>2</v>
      </c>
      <c r="E1633" s="389"/>
      <c r="F1633" s="391" t="s">
        <v>3346</v>
      </c>
      <c r="G1633" s="390"/>
      <c r="H1633" s="390"/>
      <c r="I1633" s="391"/>
      <c r="J1633" s="391" t="s">
        <v>2281</v>
      </c>
      <c r="K1633" s="387" t="str">
        <f ca="1">IFERROR(VLOOKUP(C1633,' Disaggregation - Section E '!A$618:J2322,3,0),"")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33" s="387"/>
      <c r="M1633" s="387" t="s">
        <v>3386</v>
      </c>
      <c r="N1633" s="391" t="s">
        <v>2282</v>
      </c>
      <c r="O1633" s="387" t="s">
        <v>2664</v>
      </c>
      <c r="P1633" s="387" t="s">
        <v>3387</v>
      </c>
    </row>
    <row r="1634" spans="1:16">
      <c r="A1634" s="387" t="b">
        <v>1</v>
      </c>
      <c r="B1634" s="387"/>
      <c r="C1634" s="387" t="s">
        <v>3388</v>
      </c>
      <c r="D1634" s="392">
        <v>2</v>
      </c>
      <c r="E1634" s="389">
        <v>90.752842180646297</v>
      </c>
      <c r="F1634" s="391" t="s">
        <v>3244</v>
      </c>
      <c r="G1634" s="390">
        <v>20276</v>
      </c>
      <c r="H1634" s="390">
        <v>22342</v>
      </c>
      <c r="I1634" s="391" t="s">
        <v>2328</v>
      </c>
      <c r="J1634" s="391" t="s">
        <v>2211</v>
      </c>
      <c r="K1634" s="387" t="str">
        <f ca="1">IFERROR(VLOOKUP(C1634,' Disaggregation - Section E '!A$618:J2323,3,0),"")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34" s="387"/>
      <c r="M1634" s="387" t="s">
        <v>3389</v>
      </c>
      <c r="N1634" s="391" t="s">
        <v>2283</v>
      </c>
      <c r="O1634" s="387" t="s">
        <v>2664</v>
      </c>
      <c r="P1634" s="387" t="s">
        <v>3390</v>
      </c>
    </row>
    <row r="1635" spans="1:16">
      <c r="A1635" s="387" t="b">
        <v>1</v>
      </c>
      <c r="B1635" s="387"/>
      <c r="C1635" s="387" t="s">
        <v>3391</v>
      </c>
      <c r="D1635" s="392">
        <v>2</v>
      </c>
      <c r="E1635" s="389"/>
      <c r="F1635" s="391" t="s">
        <v>3193</v>
      </c>
      <c r="G1635" s="390"/>
      <c r="H1635" s="390"/>
      <c r="I1635" s="391"/>
      <c r="J1635" s="391" t="s">
        <v>2281</v>
      </c>
      <c r="K1635" s="387" t="str">
        <f ca="1">IFERROR(VLOOKUP(C1635,' Disaggregation - Section E '!A$618:J2324,3,0),"")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35" s="387"/>
      <c r="M1635" s="387" t="s">
        <v>3392</v>
      </c>
      <c r="N1635" s="391" t="s">
        <v>2282</v>
      </c>
      <c r="O1635" s="387" t="s">
        <v>2664</v>
      </c>
      <c r="P1635" s="387" t="s">
        <v>3393</v>
      </c>
    </row>
    <row r="1636" spans="1:16">
      <c r="A1636" s="387" t="b">
        <v>1</v>
      </c>
      <c r="B1636" s="387"/>
      <c r="C1636" s="387" t="s">
        <v>3394</v>
      </c>
      <c r="D1636" s="392">
        <v>2</v>
      </c>
      <c r="E1636" s="389"/>
      <c r="F1636" s="391" t="s">
        <v>3356</v>
      </c>
      <c r="G1636" s="390"/>
      <c r="H1636" s="390"/>
      <c r="I1636" s="391"/>
      <c r="J1636" s="391" t="s">
        <v>2281</v>
      </c>
      <c r="K1636" s="387" t="str">
        <f ca="1">IFERROR(VLOOKUP(C1636,' Disaggregation - Section E '!A$618:J2325,3,0),"")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36" s="387"/>
      <c r="M1636" s="387" t="s">
        <v>3395</v>
      </c>
      <c r="N1636" s="391" t="s">
        <v>2282</v>
      </c>
      <c r="O1636" s="387" t="s">
        <v>2664</v>
      </c>
      <c r="P1636" s="387" t="s">
        <v>3396</v>
      </c>
    </row>
    <row r="1637" spans="1:16">
      <c r="A1637" s="387" t="b">
        <v>1</v>
      </c>
      <c r="B1637" s="387"/>
      <c r="C1637" s="387" t="s">
        <v>3397</v>
      </c>
      <c r="D1637" s="392">
        <v>2</v>
      </c>
      <c r="E1637" s="389"/>
      <c r="F1637" s="391" t="s">
        <v>3197</v>
      </c>
      <c r="G1637" s="390"/>
      <c r="H1637" s="390"/>
      <c r="I1637" s="391"/>
      <c r="J1637" s="391" t="s">
        <v>2281</v>
      </c>
      <c r="K1637" s="387" t="str">
        <f ca="1">IFERROR(VLOOKUP(C1637,' Disaggregation - Section E '!A$618:J2326,3,0),"")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37" s="387"/>
      <c r="M1637" s="387" t="s">
        <v>3398</v>
      </c>
      <c r="N1637" s="391" t="s">
        <v>2282</v>
      </c>
      <c r="O1637" s="387" t="s">
        <v>2664</v>
      </c>
      <c r="P1637" s="387" t="s">
        <v>3399</v>
      </c>
    </row>
    <row r="1638" spans="1:16">
      <c r="A1638" s="387" t="b">
        <v>1</v>
      </c>
      <c r="B1638" s="387"/>
      <c r="C1638" s="387" t="s">
        <v>3400</v>
      </c>
      <c r="D1638" s="392">
        <v>2</v>
      </c>
      <c r="E1638" s="389">
        <v>73.706502782160996</v>
      </c>
      <c r="F1638" s="391" t="s">
        <v>3367</v>
      </c>
      <c r="G1638" s="390">
        <v>8875</v>
      </c>
      <c r="H1638" s="390">
        <v>12041</v>
      </c>
      <c r="I1638" s="391" t="s">
        <v>2328</v>
      </c>
      <c r="J1638" s="391" t="s">
        <v>2211</v>
      </c>
      <c r="K1638" s="387" t="str">
        <f ca="1">IFERROR(VLOOKUP(C1638,' Disaggregation - Section E '!A$618:J2327,3,0),"")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38" s="387"/>
      <c r="M1638" s="387" t="s">
        <v>3401</v>
      </c>
      <c r="N1638" s="391" t="s">
        <v>2284</v>
      </c>
      <c r="O1638" s="387" t="s">
        <v>2664</v>
      </c>
      <c r="P1638" s="387" t="s">
        <v>3402</v>
      </c>
    </row>
    <row r="1639" spans="1:16">
      <c r="A1639" s="387" t="b">
        <v>0</v>
      </c>
      <c r="B1639" s="387"/>
      <c r="C1639" s="387" t="s">
        <v>3403</v>
      </c>
      <c r="D1639" s="392">
        <v>2</v>
      </c>
      <c r="E1639" s="389"/>
      <c r="F1639" s="391"/>
      <c r="G1639" s="390"/>
      <c r="H1639" s="390"/>
      <c r="I1639" s="391"/>
      <c r="J1639" s="391"/>
      <c r="K1639" s="387" t="str">
        <f ca="1">IFERROR(VLOOKUP(C1639,' Disaggregation - Section E '!A$618:J2328,3,0),"")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39" s="387"/>
      <c r="M1639" s="387"/>
      <c r="N1639" s="391"/>
      <c r="O1639" s="387" t="s">
        <v>2664</v>
      </c>
      <c r="P1639" s="387"/>
    </row>
    <row r="1640" spans="1:16">
      <c r="A1640" s="387" t="b">
        <v>0</v>
      </c>
      <c r="B1640" s="387"/>
      <c r="C1640" s="387" t="s">
        <v>3404</v>
      </c>
      <c r="D1640" s="392">
        <v>2</v>
      </c>
      <c r="E1640" s="389"/>
      <c r="F1640" s="391"/>
      <c r="G1640" s="390"/>
      <c r="H1640" s="390"/>
      <c r="I1640" s="391"/>
      <c r="J1640" s="391"/>
      <c r="K1640" s="387" t="str">
        <f ca="1">IFERROR(VLOOKUP(C1640,' Disaggregation - Section E '!A$618:J2329,3,0),"")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0" s="387"/>
      <c r="M1640" s="387"/>
      <c r="N1640" s="391"/>
      <c r="O1640" s="387" t="s">
        <v>2664</v>
      </c>
      <c r="P1640" s="387"/>
    </row>
    <row r="1641" spans="1:16">
      <c r="A1641" s="387" t="b">
        <v>0</v>
      </c>
      <c r="B1641" s="387"/>
      <c r="C1641" s="387" t="s">
        <v>3405</v>
      </c>
      <c r="D1641" s="392">
        <v>2</v>
      </c>
      <c r="E1641" s="389"/>
      <c r="F1641" s="391"/>
      <c r="G1641" s="390"/>
      <c r="H1641" s="390"/>
      <c r="I1641" s="391"/>
      <c r="J1641" s="391"/>
      <c r="K1641" s="387" t="str">
        <f ca="1">IFERROR(VLOOKUP(C1641,' Disaggregation - Section E '!A$618:J2330,3,0),"")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1" s="387"/>
      <c r="M1641" s="387"/>
      <c r="N1641" s="391"/>
      <c r="O1641" s="387" t="s">
        <v>2664</v>
      </c>
      <c r="P1641" s="387"/>
    </row>
    <row r="1642" spans="1:16">
      <c r="A1642" s="387" t="b">
        <v>0</v>
      </c>
      <c r="B1642" s="387"/>
      <c r="C1642" s="387" t="s">
        <v>3406</v>
      </c>
      <c r="D1642" s="392">
        <v>2</v>
      </c>
      <c r="E1642" s="389"/>
      <c r="F1642" s="391"/>
      <c r="G1642" s="390"/>
      <c r="H1642" s="390"/>
      <c r="I1642" s="391"/>
      <c r="J1642" s="391"/>
      <c r="K1642" s="387" t="str">
        <f ca="1">IFERROR(VLOOKUP(C1642,' Disaggregation - Section E '!A$618:J2331,3,0),"")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2" s="387"/>
      <c r="M1642" s="387"/>
      <c r="N1642" s="391"/>
      <c r="O1642" s="387" t="s">
        <v>2664</v>
      </c>
      <c r="P1642" s="387"/>
    </row>
    <row r="1643" spans="1:16">
      <c r="A1643" s="387" t="b">
        <v>0</v>
      </c>
      <c r="B1643" s="387"/>
      <c r="C1643" s="387" t="s">
        <v>3407</v>
      </c>
      <c r="D1643" s="392">
        <v>2</v>
      </c>
      <c r="E1643" s="389"/>
      <c r="F1643" s="391"/>
      <c r="G1643" s="390"/>
      <c r="H1643" s="390"/>
      <c r="I1643" s="391"/>
      <c r="J1643" s="391"/>
      <c r="K1643" s="387" t="str">
        <f ca="1">IFERROR(VLOOKUP(C1643,' Disaggregation - Section E '!A$618:J2332,3,0),"")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3" s="387"/>
      <c r="M1643" s="387"/>
      <c r="N1643" s="391"/>
      <c r="O1643" s="387" t="s">
        <v>2664</v>
      </c>
      <c r="P1643" s="387"/>
    </row>
    <row r="1644" spans="1:16">
      <c r="A1644" s="387" t="b">
        <v>0</v>
      </c>
      <c r="B1644" s="387"/>
      <c r="C1644" s="387" t="s">
        <v>3408</v>
      </c>
      <c r="D1644" s="392">
        <v>2</v>
      </c>
      <c r="E1644" s="389"/>
      <c r="F1644" s="391"/>
      <c r="G1644" s="390"/>
      <c r="H1644" s="390"/>
      <c r="I1644" s="391"/>
      <c r="J1644" s="391"/>
      <c r="K1644" s="387" t="str">
        <f ca="1">IFERROR(VLOOKUP(C1644,' Disaggregation - Section E '!A$618:J2333,3,0),"")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4" s="387"/>
      <c r="M1644" s="387"/>
      <c r="N1644" s="391"/>
      <c r="O1644" s="387" t="s">
        <v>2664</v>
      </c>
      <c r="P1644" s="387"/>
    </row>
    <row r="1645" spans="1:16">
      <c r="A1645" s="387" t="b">
        <v>0</v>
      </c>
      <c r="B1645" s="387"/>
      <c r="C1645" s="387" t="s">
        <v>3409</v>
      </c>
      <c r="D1645" s="392">
        <v>2</v>
      </c>
      <c r="E1645" s="389"/>
      <c r="F1645" s="391"/>
      <c r="G1645" s="390"/>
      <c r="H1645" s="390"/>
      <c r="I1645" s="391"/>
      <c r="J1645" s="391"/>
      <c r="K1645" s="387" t="str">
        <f ca="1">IFERROR(VLOOKUP(C1645,' Disaggregation - Section E '!A$618:J2334,3,0),"")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5" s="387"/>
      <c r="M1645" s="387"/>
      <c r="N1645" s="391"/>
      <c r="O1645" s="387" t="s">
        <v>2664</v>
      </c>
      <c r="P1645" s="387"/>
    </row>
    <row r="1646" spans="1:16">
      <c r="A1646" s="387" t="b">
        <v>0</v>
      </c>
      <c r="B1646" s="387"/>
      <c r="C1646" s="387" t="s">
        <v>3410</v>
      </c>
      <c r="D1646" s="392">
        <v>2</v>
      </c>
      <c r="E1646" s="389"/>
      <c r="F1646" s="391"/>
      <c r="G1646" s="390"/>
      <c r="H1646" s="390"/>
      <c r="I1646" s="391"/>
      <c r="J1646" s="391"/>
      <c r="K1646" s="387" t="str">
        <f ca="1">IFERROR(VLOOKUP(C1646,' Disaggregation - Section E '!A$618:J2335,3,0),"")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6" s="387"/>
      <c r="M1646" s="387"/>
      <c r="N1646" s="391"/>
      <c r="O1646" s="387" t="s">
        <v>2664</v>
      </c>
      <c r="P1646" s="387"/>
    </row>
    <row r="1647" spans="1:16">
      <c r="A1647" s="387" t="b">
        <v>0</v>
      </c>
      <c r="B1647" s="387"/>
      <c r="C1647" s="387" t="s">
        <v>3411</v>
      </c>
      <c r="D1647" s="392">
        <v>2</v>
      </c>
      <c r="E1647" s="389"/>
      <c r="F1647" s="391"/>
      <c r="G1647" s="390"/>
      <c r="H1647" s="390"/>
      <c r="I1647" s="391"/>
      <c r="J1647" s="391"/>
      <c r="K1647" s="387" t="str">
        <f ca="1">IFERROR(VLOOKUP(C1647,' Disaggregation - Section E '!A$618:J2336,3,0),"")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7" s="387"/>
      <c r="M1647" s="387"/>
      <c r="N1647" s="391"/>
      <c r="O1647" s="387" t="s">
        <v>2664</v>
      </c>
      <c r="P1647" s="387"/>
    </row>
    <row r="1648" spans="1:16">
      <c r="A1648" s="387" t="b">
        <v>0</v>
      </c>
      <c r="B1648" s="387"/>
      <c r="C1648" s="387" t="s">
        <v>3412</v>
      </c>
      <c r="D1648" s="392">
        <v>2</v>
      </c>
      <c r="E1648" s="389"/>
      <c r="F1648" s="391"/>
      <c r="G1648" s="390"/>
      <c r="H1648" s="390"/>
      <c r="I1648" s="391"/>
      <c r="J1648" s="391"/>
      <c r="K1648" s="387" t="str">
        <f ca="1">IFERROR(VLOOKUP(C1648,' Disaggregation - Section E '!A$618:J2337,3,0),"")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8" s="387"/>
      <c r="M1648" s="387"/>
      <c r="N1648" s="391"/>
      <c r="O1648" s="387" t="s">
        <v>2664</v>
      </c>
      <c r="P1648" s="387"/>
    </row>
    <row r="1649" spans="1:16">
      <c r="A1649" s="387" t="b">
        <v>0</v>
      </c>
      <c r="B1649" s="387"/>
      <c r="C1649" s="387" t="s">
        <v>3413</v>
      </c>
      <c r="D1649" s="392">
        <v>2</v>
      </c>
      <c r="E1649" s="389"/>
      <c r="F1649" s="391"/>
      <c r="G1649" s="390"/>
      <c r="H1649" s="390"/>
      <c r="I1649" s="391"/>
      <c r="J1649" s="391"/>
      <c r="K1649" s="387" t="str">
        <f ca="1">IFERROR(VLOOKUP(C1649,' Disaggregation - Section E '!A$618:J2338,3,0),"")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49" s="387"/>
      <c r="M1649" s="387"/>
      <c r="N1649" s="391"/>
      <c r="O1649" s="387" t="s">
        <v>2664</v>
      </c>
      <c r="P1649" s="387"/>
    </row>
    <row r="1650" spans="1:16">
      <c r="A1650" s="387" t="b">
        <v>0</v>
      </c>
      <c r="B1650" s="387"/>
      <c r="C1650" s="387" t="s">
        <v>3414</v>
      </c>
      <c r="D1650" s="392">
        <v>2</v>
      </c>
      <c r="E1650" s="389"/>
      <c r="F1650" s="391"/>
      <c r="G1650" s="390"/>
      <c r="H1650" s="390"/>
      <c r="I1650" s="391"/>
      <c r="J1650" s="391"/>
      <c r="K1650" s="387" t="str">
        <f ca="1">IFERROR(VLOOKUP(C1650,' Disaggregation - Section E '!A$618:J2339,3,0),"")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50" s="387"/>
      <c r="M1650" s="387"/>
      <c r="N1650" s="391"/>
      <c r="O1650" s="387" t="s">
        <v>2664</v>
      </c>
      <c r="P1650" s="387"/>
    </row>
    <row r="1651" spans="1:16">
      <c r="A1651" s="387" t="b">
        <v>0</v>
      </c>
      <c r="B1651" s="387"/>
      <c r="C1651" s="387" t="s">
        <v>3415</v>
      </c>
      <c r="D1651" s="392">
        <v>2</v>
      </c>
      <c r="E1651" s="389"/>
      <c r="F1651" s="391"/>
      <c r="G1651" s="390"/>
      <c r="H1651" s="390"/>
      <c r="I1651" s="391"/>
      <c r="J1651" s="391"/>
      <c r="K1651" s="387" t="str">
        <f ca="1">IFERROR(VLOOKUP(C1651,' Disaggregation - Section E '!A$618:J2340,3,0),"")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651" s="387"/>
      <c r="M1651" s="387"/>
      <c r="N1651" s="391"/>
      <c r="O1651" s="387" t="s">
        <v>2664</v>
      </c>
      <c r="P1651" s="387"/>
    </row>
    <row r="1652" spans="1:16">
      <c r="A1652" s="387" t="b">
        <v>1</v>
      </c>
      <c r="B1652" s="387"/>
      <c r="C1652" s="387" t="s">
        <v>3416</v>
      </c>
      <c r="D1652" s="392">
        <v>3</v>
      </c>
      <c r="E1652" s="389"/>
      <c r="F1652" s="391" t="s">
        <v>3417</v>
      </c>
      <c r="G1652" s="390"/>
      <c r="H1652" s="390"/>
      <c r="I1652" s="391" t="s">
        <v>2328</v>
      </c>
      <c r="J1652" s="391" t="s">
        <v>2281</v>
      </c>
      <c r="K1652" s="387" t="str">
        <f ca="1">IFERROR(VLOOKUP(C1652,' Disaggregation - Section E '!A$618:J2341,3,0),"")</f>
        <v>TBDT-4 Percentage of new and relapse TB patients tested using WHO recommended rapid diagnostic tests at the time of diagnosis</v>
      </c>
      <c r="L1652" s="387"/>
      <c r="M1652" s="387" t="s">
        <v>3418</v>
      </c>
      <c r="N1652" s="391" t="s">
        <v>2282</v>
      </c>
      <c r="O1652" s="387" t="s">
        <v>2671</v>
      </c>
      <c r="P1652" s="387" t="s">
        <v>3419</v>
      </c>
    </row>
    <row r="1653" spans="1:16">
      <c r="A1653" s="387" t="b">
        <v>1</v>
      </c>
      <c r="B1653" s="387"/>
      <c r="C1653" s="387" t="s">
        <v>3420</v>
      </c>
      <c r="D1653" s="392">
        <v>3</v>
      </c>
      <c r="E1653" s="389"/>
      <c r="F1653" s="391" t="s">
        <v>3421</v>
      </c>
      <c r="G1653" s="390"/>
      <c r="H1653" s="390"/>
      <c r="I1653" s="391" t="s">
        <v>2328</v>
      </c>
      <c r="J1653" s="391" t="s">
        <v>2281</v>
      </c>
      <c r="K1653" s="387" t="str">
        <f ca="1">IFERROR(VLOOKUP(C1653,' Disaggregation - Section E '!A$618:J2342,3,0),"")</f>
        <v>TBDT-4 Percentage of new and relapse TB patients tested using WHO recommended rapid diagnostic tests at the time of diagnosis</v>
      </c>
      <c r="L1653" s="387"/>
      <c r="M1653" s="387" t="s">
        <v>3422</v>
      </c>
      <c r="N1653" s="391" t="s">
        <v>2282</v>
      </c>
      <c r="O1653" s="387" t="s">
        <v>2671</v>
      </c>
      <c r="P1653" s="387" t="s">
        <v>3423</v>
      </c>
    </row>
    <row r="1654" spans="1:16">
      <c r="A1654" s="387" t="b">
        <v>0</v>
      </c>
      <c r="B1654" s="387"/>
      <c r="C1654" s="387" t="s">
        <v>3424</v>
      </c>
      <c r="D1654" s="392">
        <v>3</v>
      </c>
      <c r="E1654" s="389"/>
      <c r="F1654" s="391"/>
      <c r="G1654" s="390"/>
      <c r="H1654" s="390"/>
      <c r="I1654" s="391"/>
      <c r="J1654" s="391"/>
      <c r="K1654" s="387" t="str">
        <f ca="1">IFERROR(VLOOKUP(C1654,' Disaggregation - Section E '!A$618:J2343,3,0),"")</f>
        <v>TBDT-4 Percentage of new and relapse TB patients tested using WHO recommended rapid diagnostic tests at the time of diagnosis</v>
      </c>
      <c r="L1654" s="387"/>
      <c r="M1654" s="387"/>
      <c r="N1654" s="391"/>
      <c r="O1654" s="387" t="s">
        <v>2671</v>
      </c>
      <c r="P1654" s="387"/>
    </row>
    <row r="1655" spans="1:16">
      <c r="A1655" s="387" t="b">
        <v>0</v>
      </c>
      <c r="B1655" s="387"/>
      <c r="C1655" s="387" t="s">
        <v>3425</v>
      </c>
      <c r="D1655" s="392">
        <v>3</v>
      </c>
      <c r="E1655" s="389"/>
      <c r="F1655" s="391"/>
      <c r="G1655" s="390"/>
      <c r="H1655" s="390"/>
      <c r="I1655" s="391"/>
      <c r="J1655" s="391"/>
      <c r="K1655" s="387" t="str">
        <f ca="1">IFERROR(VLOOKUP(C1655,' Disaggregation - Section E '!A$618:J2344,3,0),"")</f>
        <v>TBDT-4 Percentage of new and relapse TB patients tested using WHO recommended rapid diagnostic tests at the time of diagnosis</v>
      </c>
      <c r="L1655" s="387"/>
      <c r="M1655" s="387"/>
      <c r="N1655" s="391"/>
      <c r="O1655" s="387" t="s">
        <v>2671</v>
      </c>
      <c r="P1655" s="387"/>
    </row>
    <row r="1656" spans="1:16">
      <c r="A1656" s="387" t="b">
        <v>0</v>
      </c>
      <c r="B1656" s="387"/>
      <c r="C1656" s="387" t="s">
        <v>3426</v>
      </c>
      <c r="D1656" s="392">
        <v>3</v>
      </c>
      <c r="E1656" s="389"/>
      <c r="F1656" s="391"/>
      <c r="G1656" s="390"/>
      <c r="H1656" s="390"/>
      <c r="I1656" s="391"/>
      <c r="J1656" s="391"/>
      <c r="K1656" s="387" t="str">
        <f ca="1">IFERROR(VLOOKUP(C1656,' Disaggregation - Section E '!A$618:J2345,3,0),"")</f>
        <v>TBDT-4 Percentage of new and relapse TB patients tested using WHO recommended rapid diagnostic tests at the time of diagnosis</v>
      </c>
      <c r="L1656" s="387"/>
      <c r="M1656" s="387"/>
      <c r="N1656" s="391"/>
      <c r="O1656" s="387" t="s">
        <v>2671</v>
      </c>
      <c r="P1656" s="387"/>
    </row>
    <row r="1657" spans="1:16">
      <c r="A1657" s="387" t="b">
        <v>0</v>
      </c>
      <c r="B1657" s="387"/>
      <c r="C1657" s="387" t="s">
        <v>3427</v>
      </c>
      <c r="D1657" s="392">
        <v>3</v>
      </c>
      <c r="E1657" s="389"/>
      <c r="F1657" s="391"/>
      <c r="G1657" s="390"/>
      <c r="H1657" s="390"/>
      <c r="I1657" s="391"/>
      <c r="J1657" s="391"/>
      <c r="K1657" s="387" t="str">
        <f ca="1">IFERROR(VLOOKUP(C1657,' Disaggregation - Section E '!A$618:J2346,3,0),"")</f>
        <v>TBDT-4 Percentage of new and relapse TB patients tested using WHO recommended rapid diagnostic tests at the time of diagnosis</v>
      </c>
      <c r="L1657" s="387"/>
      <c r="M1657" s="387"/>
      <c r="N1657" s="391"/>
      <c r="O1657" s="387" t="s">
        <v>2671</v>
      </c>
      <c r="P1657" s="387"/>
    </row>
    <row r="1658" spans="1:16">
      <c r="A1658" s="387" t="b">
        <v>0</v>
      </c>
      <c r="B1658" s="387"/>
      <c r="C1658" s="387" t="s">
        <v>3428</v>
      </c>
      <c r="D1658" s="392">
        <v>3</v>
      </c>
      <c r="E1658" s="389"/>
      <c r="F1658" s="391"/>
      <c r="G1658" s="390"/>
      <c r="H1658" s="390"/>
      <c r="I1658" s="391"/>
      <c r="J1658" s="391"/>
      <c r="K1658" s="387" t="str">
        <f ca="1">IFERROR(VLOOKUP(C1658,' Disaggregation - Section E '!A$618:J2347,3,0),"")</f>
        <v>TBDT-4 Percentage of new and relapse TB patients tested using WHO recommended rapid diagnostic tests at the time of diagnosis</v>
      </c>
      <c r="L1658" s="387"/>
      <c r="M1658" s="387"/>
      <c r="N1658" s="391"/>
      <c r="O1658" s="387" t="s">
        <v>2671</v>
      </c>
      <c r="P1658" s="387"/>
    </row>
    <row r="1659" spans="1:16">
      <c r="A1659" s="387" t="b">
        <v>0</v>
      </c>
      <c r="B1659" s="387"/>
      <c r="C1659" s="387" t="s">
        <v>3429</v>
      </c>
      <c r="D1659" s="392">
        <v>3</v>
      </c>
      <c r="E1659" s="389"/>
      <c r="F1659" s="391"/>
      <c r="G1659" s="390"/>
      <c r="H1659" s="390"/>
      <c r="I1659" s="391"/>
      <c r="J1659" s="391"/>
      <c r="K1659" s="387" t="str">
        <f ca="1">IFERROR(VLOOKUP(C1659,' Disaggregation - Section E '!A$618:J2348,3,0),"")</f>
        <v>TBDT-4 Percentage of new and relapse TB patients tested using WHO recommended rapid diagnostic tests at the time of diagnosis</v>
      </c>
      <c r="L1659" s="387"/>
      <c r="M1659" s="387"/>
      <c r="N1659" s="391"/>
      <c r="O1659" s="387" t="s">
        <v>2671</v>
      </c>
      <c r="P1659" s="387"/>
    </row>
    <row r="1660" spans="1:16">
      <c r="A1660" s="387" t="b">
        <v>0</v>
      </c>
      <c r="B1660" s="387"/>
      <c r="C1660" s="387" t="s">
        <v>3430</v>
      </c>
      <c r="D1660" s="392">
        <v>3</v>
      </c>
      <c r="E1660" s="389"/>
      <c r="F1660" s="391"/>
      <c r="G1660" s="390"/>
      <c r="H1660" s="390"/>
      <c r="I1660" s="391"/>
      <c r="J1660" s="391"/>
      <c r="K1660" s="387" t="str">
        <f ca="1">IFERROR(VLOOKUP(C1660,' Disaggregation - Section E '!A$618:J2349,3,0),"")</f>
        <v>TBDT-4 Percentage of new and relapse TB patients tested using WHO recommended rapid diagnostic tests at the time of diagnosis</v>
      </c>
      <c r="L1660" s="387"/>
      <c r="M1660" s="387"/>
      <c r="N1660" s="391"/>
      <c r="O1660" s="387" t="s">
        <v>2671</v>
      </c>
      <c r="P1660" s="387"/>
    </row>
    <row r="1661" spans="1:16">
      <c r="A1661" s="387" t="b">
        <v>0</v>
      </c>
      <c r="B1661" s="387"/>
      <c r="C1661" s="387" t="s">
        <v>3431</v>
      </c>
      <c r="D1661" s="392">
        <v>3</v>
      </c>
      <c r="E1661" s="389"/>
      <c r="F1661" s="391"/>
      <c r="G1661" s="390"/>
      <c r="H1661" s="390"/>
      <c r="I1661" s="391"/>
      <c r="J1661" s="391"/>
      <c r="K1661" s="387" t="str">
        <f ca="1">IFERROR(VLOOKUP(C1661,' Disaggregation - Section E '!A$618:J2350,3,0),"")</f>
        <v>TBDT-4 Percentage of new and relapse TB patients tested using WHO recommended rapid diagnostic tests at the time of diagnosis</v>
      </c>
      <c r="L1661" s="387"/>
      <c r="M1661" s="387"/>
      <c r="N1661" s="391"/>
      <c r="O1661" s="387" t="s">
        <v>2671</v>
      </c>
      <c r="P1661" s="387"/>
    </row>
    <row r="1662" spans="1:16">
      <c r="A1662" s="387" t="b">
        <v>0</v>
      </c>
      <c r="B1662" s="387"/>
      <c r="C1662" s="387" t="s">
        <v>3432</v>
      </c>
      <c r="D1662" s="392">
        <v>3</v>
      </c>
      <c r="E1662" s="389"/>
      <c r="F1662" s="391"/>
      <c r="G1662" s="390"/>
      <c r="H1662" s="390"/>
      <c r="I1662" s="391"/>
      <c r="J1662" s="391"/>
      <c r="K1662" s="387" t="str">
        <f ca="1">IFERROR(VLOOKUP(C1662,' Disaggregation - Section E '!A$618:J2351,3,0),"")</f>
        <v>TBDT-4 Percentage of new and relapse TB patients tested using WHO recommended rapid diagnostic tests at the time of diagnosis</v>
      </c>
      <c r="L1662" s="387"/>
      <c r="M1662" s="387"/>
      <c r="N1662" s="391"/>
      <c r="O1662" s="387" t="s">
        <v>2671</v>
      </c>
      <c r="P1662" s="387"/>
    </row>
    <row r="1663" spans="1:16">
      <c r="A1663" s="387" t="b">
        <v>0</v>
      </c>
      <c r="B1663" s="387"/>
      <c r="C1663" s="387" t="s">
        <v>3433</v>
      </c>
      <c r="D1663" s="392">
        <v>3</v>
      </c>
      <c r="E1663" s="389"/>
      <c r="F1663" s="391"/>
      <c r="G1663" s="390"/>
      <c r="H1663" s="390"/>
      <c r="I1663" s="391"/>
      <c r="J1663" s="391"/>
      <c r="K1663" s="387" t="str">
        <f ca="1">IFERROR(VLOOKUP(C1663,' Disaggregation - Section E '!A$618:J2352,3,0),"")</f>
        <v>TBDT-4 Percentage of new and relapse TB patients tested using WHO recommended rapid diagnostic tests at the time of diagnosis</v>
      </c>
      <c r="L1663" s="387"/>
      <c r="M1663" s="387"/>
      <c r="N1663" s="391"/>
      <c r="O1663" s="387" t="s">
        <v>2671</v>
      </c>
      <c r="P1663" s="387"/>
    </row>
    <row r="1664" spans="1:16">
      <c r="A1664" s="387" t="b">
        <v>0</v>
      </c>
      <c r="B1664" s="387"/>
      <c r="C1664" s="387" t="s">
        <v>3434</v>
      </c>
      <c r="D1664" s="392">
        <v>3</v>
      </c>
      <c r="E1664" s="389"/>
      <c r="F1664" s="391"/>
      <c r="G1664" s="390"/>
      <c r="H1664" s="390"/>
      <c r="I1664" s="391"/>
      <c r="J1664" s="391"/>
      <c r="K1664" s="387" t="str">
        <f ca="1">IFERROR(VLOOKUP(C1664,' Disaggregation - Section E '!A$618:J2353,3,0),"")</f>
        <v>TBDT-4 Percentage of new and relapse TB patients tested using WHO recommended rapid diagnostic tests at the time of diagnosis</v>
      </c>
      <c r="L1664" s="387"/>
      <c r="M1664" s="387"/>
      <c r="N1664" s="391"/>
      <c r="O1664" s="387" t="s">
        <v>2671</v>
      </c>
      <c r="P1664" s="387"/>
    </row>
    <row r="1665" spans="1:16">
      <c r="A1665" s="387" t="b">
        <v>0</v>
      </c>
      <c r="B1665" s="387"/>
      <c r="C1665" s="387" t="s">
        <v>3435</v>
      </c>
      <c r="D1665" s="392">
        <v>3</v>
      </c>
      <c r="E1665" s="389"/>
      <c r="F1665" s="391"/>
      <c r="G1665" s="390"/>
      <c r="H1665" s="390"/>
      <c r="I1665" s="391"/>
      <c r="J1665" s="391"/>
      <c r="K1665" s="387" t="str">
        <f ca="1">IFERROR(VLOOKUP(C1665,' Disaggregation - Section E '!A$618:J2354,3,0),"")</f>
        <v>TBDT-4 Percentage of new and relapse TB patients tested using WHO recommended rapid diagnostic tests at the time of diagnosis</v>
      </c>
      <c r="L1665" s="387"/>
      <c r="M1665" s="387"/>
      <c r="N1665" s="391"/>
      <c r="O1665" s="387" t="s">
        <v>2671</v>
      </c>
      <c r="P1665" s="387"/>
    </row>
    <row r="1666" spans="1:16">
      <c r="A1666" s="387" t="b">
        <v>0</v>
      </c>
      <c r="B1666" s="387"/>
      <c r="C1666" s="387" t="s">
        <v>3436</v>
      </c>
      <c r="D1666" s="392">
        <v>3</v>
      </c>
      <c r="E1666" s="389"/>
      <c r="F1666" s="391"/>
      <c r="G1666" s="390"/>
      <c r="H1666" s="390"/>
      <c r="I1666" s="391"/>
      <c r="J1666" s="391"/>
      <c r="K1666" s="387" t="str">
        <f ca="1">IFERROR(VLOOKUP(C1666,' Disaggregation - Section E '!A$618:J2355,3,0),"")</f>
        <v>TBDT-4 Percentage of new and relapse TB patients tested using WHO recommended rapid diagnostic tests at the time of diagnosis</v>
      </c>
      <c r="L1666" s="387"/>
      <c r="M1666" s="387"/>
      <c r="N1666" s="391"/>
      <c r="O1666" s="387" t="s">
        <v>2671</v>
      </c>
      <c r="P1666" s="387"/>
    </row>
    <row r="1667" spans="1:16">
      <c r="A1667" s="387" t="b">
        <v>0</v>
      </c>
      <c r="B1667" s="387"/>
      <c r="C1667" s="387" t="s">
        <v>3437</v>
      </c>
      <c r="D1667" s="392">
        <v>3</v>
      </c>
      <c r="E1667" s="389"/>
      <c r="F1667" s="391"/>
      <c r="G1667" s="390"/>
      <c r="H1667" s="390"/>
      <c r="I1667" s="391"/>
      <c r="J1667" s="391"/>
      <c r="K1667" s="387" t="str">
        <f ca="1">IFERROR(VLOOKUP(C1667,' Disaggregation - Section E '!A$618:J2356,3,0),"")</f>
        <v>TBDT-4 Percentage of new and relapse TB patients tested using WHO recommended rapid diagnostic tests at the time of diagnosis</v>
      </c>
      <c r="L1667" s="387"/>
      <c r="M1667" s="387"/>
      <c r="N1667" s="391"/>
      <c r="O1667" s="387" t="s">
        <v>2671</v>
      </c>
      <c r="P1667" s="387"/>
    </row>
    <row r="1668" spans="1:16">
      <c r="A1668" s="387" t="b">
        <v>0</v>
      </c>
      <c r="B1668" s="387"/>
      <c r="C1668" s="387" t="s">
        <v>3438</v>
      </c>
      <c r="D1668" s="392">
        <v>3</v>
      </c>
      <c r="E1668" s="389"/>
      <c r="F1668" s="391"/>
      <c r="G1668" s="390"/>
      <c r="H1668" s="390"/>
      <c r="I1668" s="391"/>
      <c r="J1668" s="391"/>
      <c r="K1668" s="387" t="str">
        <f ca="1">IFERROR(VLOOKUP(C1668,' Disaggregation - Section E '!A$618:J2357,3,0),"")</f>
        <v>TBDT-4 Percentage of new and relapse TB patients tested using WHO recommended rapid diagnostic tests at the time of diagnosis</v>
      </c>
      <c r="L1668" s="387"/>
      <c r="M1668" s="387"/>
      <c r="N1668" s="391"/>
      <c r="O1668" s="387" t="s">
        <v>2671</v>
      </c>
      <c r="P1668" s="387"/>
    </row>
    <row r="1669" spans="1:16">
      <c r="A1669" s="387" t="b">
        <v>0</v>
      </c>
      <c r="B1669" s="387"/>
      <c r="C1669" s="387" t="s">
        <v>3439</v>
      </c>
      <c r="D1669" s="392">
        <v>3</v>
      </c>
      <c r="E1669" s="389"/>
      <c r="F1669" s="391"/>
      <c r="G1669" s="390"/>
      <c r="H1669" s="390"/>
      <c r="I1669" s="391"/>
      <c r="J1669" s="391"/>
      <c r="K1669" s="387" t="str">
        <f ca="1">IFERROR(VLOOKUP(C1669,' Disaggregation - Section E '!A$618:J2358,3,0),"")</f>
        <v>TBDT-4 Percentage of new and relapse TB patients tested using WHO recommended rapid diagnostic tests at the time of diagnosis</v>
      </c>
      <c r="L1669" s="387"/>
      <c r="M1669" s="387"/>
      <c r="N1669" s="391"/>
      <c r="O1669" s="387" t="s">
        <v>2671</v>
      </c>
      <c r="P1669" s="387"/>
    </row>
    <row r="1670" spans="1:16">
      <c r="A1670" s="387" t="b">
        <v>0</v>
      </c>
      <c r="B1670" s="387"/>
      <c r="C1670" s="387" t="s">
        <v>3440</v>
      </c>
      <c r="D1670" s="392">
        <v>3</v>
      </c>
      <c r="E1670" s="389"/>
      <c r="F1670" s="391"/>
      <c r="G1670" s="390"/>
      <c r="H1670" s="390"/>
      <c r="I1670" s="391"/>
      <c r="J1670" s="391"/>
      <c r="K1670" s="387" t="str">
        <f ca="1">IFERROR(VLOOKUP(C1670,' Disaggregation - Section E '!A$618:J2359,3,0),"")</f>
        <v>TBDT-4 Percentage of new and relapse TB patients tested using WHO recommended rapid diagnostic tests at the time of diagnosis</v>
      </c>
      <c r="L1670" s="387"/>
      <c r="M1670" s="387"/>
      <c r="N1670" s="391"/>
      <c r="O1670" s="387" t="s">
        <v>2671</v>
      </c>
      <c r="P1670" s="387"/>
    </row>
    <row r="1671" spans="1:16">
      <c r="A1671" s="387" t="b">
        <v>0</v>
      </c>
      <c r="B1671" s="387"/>
      <c r="C1671" s="387" t="s">
        <v>3441</v>
      </c>
      <c r="D1671" s="392">
        <v>3</v>
      </c>
      <c r="E1671" s="389"/>
      <c r="F1671" s="391"/>
      <c r="G1671" s="390"/>
      <c r="H1671" s="390"/>
      <c r="I1671" s="391"/>
      <c r="J1671" s="391"/>
      <c r="K1671" s="387" t="str">
        <f ca="1">IFERROR(VLOOKUP(C1671,' Disaggregation - Section E '!A$618:J2360,3,0),"")</f>
        <v>TBDT-4 Percentage of new and relapse TB patients tested using WHO recommended rapid diagnostic tests at the time of diagnosis</v>
      </c>
      <c r="L1671" s="387"/>
      <c r="M1671" s="387"/>
      <c r="N1671" s="391"/>
      <c r="O1671" s="387" t="s">
        <v>2671</v>
      </c>
      <c r="P1671" s="387"/>
    </row>
    <row r="1672" spans="1:16">
      <c r="A1672" s="387" t="b">
        <v>1</v>
      </c>
      <c r="B1672" s="387"/>
      <c r="C1672" s="387" t="s">
        <v>3442</v>
      </c>
      <c r="D1672" s="392">
        <v>4</v>
      </c>
      <c r="E1672" s="389">
        <v>79.611650485436897</v>
      </c>
      <c r="F1672" s="391" t="s">
        <v>3240</v>
      </c>
      <c r="G1672" s="390">
        <v>984</v>
      </c>
      <c r="H1672" s="390">
        <v>1236</v>
      </c>
      <c r="I1672" s="391" t="s">
        <v>2328</v>
      </c>
      <c r="J1672" s="391" t="s">
        <v>2285</v>
      </c>
      <c r="K1672" s="387" t="str">
        <f ca="1">IFERROR(VLOOKUP(C1672,' Disaggregation - Section E '!A$618:J2361,3,0),"")</f>
        <v>DRTB-2 Number of people with confirmed RR-TB and/or MDR-TB notified</v>
      </c>
      <c r="L1672" s="387"/>
      <c r="M1672" s="387" t="s">
        <v>3443</v>
      </c>
      <c r="N1672" s="391" t="s">
        <v>2286</v>
      </c>
      <c r="O1672" s="387" t="s">
        <v>2678</v>
      </c>
      <c r="P1672" s="387" t="s">
        <v>3444</v>
      </c>
    </row>
    <row r="1673" spans="1:16">
      <c r="A1673" s="387" t="b">
        <v>1</v>
      </c>
      <c r="B1673" s="387"/>
      <c r="C1673" s="387" t="s">
        <v>3445</v>
      </c>
      <c r="D1673" s="392">
        <v>4</v>
      </c>
      <c r="E1673" s="389">
        <v>35.841423948220097</v>
      </c>
      <c r="F1673" s="391" t="s">
        <v>3346</v>
      </c>
      <c r="G1673" s="390">
        <v>443</v>
      </c>
      <c r="H1673" s="390">
        <v>1236</v>
      </c>
      <c r="I1673" s="391" t="s">
        <v>2328</v>
      </c>
      <c r="J1673" s="391" t="s">
        <v>2285</v>
      </c>
      <c r="K1673" s="387" t="str">
        <f ca="1">IFERROR(VLOOKUP(C1673,' Disaggregation - Section E '!A$618:J2362,3,0),"")</f>
        <v>DRTB-2 Number of people with confirmed RR-TB and/or MDR-TB notified</v>
      </c>
      <c r="L1673" s="387"/>
      <c r="M1673" s="387" t="s">
        <v>3446</v>
      </c>
      <c r="N1673" s="391" t="s">
        <v>2287</v>
      </c>
      <c r="O1673" s="387" t="s">
        <v>2678</v>
      </c>
      <c r="P1673" s="387" t="s">
        <v>3447</v>
      </c>
    </row>
    <row r="1674" spans="1:16">
      <c r="A1674" s="387" t="b">
        <v>1</v>
      </c>
      <c r="B1674" s="387"/>
      <c r="C1674" s="387" t="s">
        <v>3448</v>
      </c>
      <c r="D1674" s="392">
        <v>4</v>
      </c>
      <c r="E1674" s="389">
        <v>2.9126213592233001</v>
      </c>
      <c r="F1674" s="391" t="s">
        <v>3244</v>
      </c>
      <c r="G1674" s="390">
        <v>36</v>
      </c>
      <c r="H1674" s="390">
        <v>1236</v>
      </c>
      <c r="I1674" s="391" t="s">
        <v>2328</v>
      </c>
      <c r="J1674" s="391" t="s">
        <v>2285</v>
      </c>
      <c r="K1674" s="387" t="str">
        <f ca="1">IFERROR(VLOOKUP(C1674,' Disaggregation - Section E '!A$618:J2363,3,0),"")</f>
        <v>DRTB-2 Number of people with confirmed RR-TB and/or MDR-TB notified</v>
      </c>
      <c r="L1674" s="387"/>
      <c r="M1674" s="387" t="s">
        <v>3449</v>
      </c>
      <c r="N1674" s="391" t="s">
        <v>2288</v>
      </c>
      <c r="O1674" s="387" t="s">
        <v>2678</v>
      </c>
      <c r="P1674" s="387" t="s">
        <v>3450</v>
      </c>
    </row>
    <row r="1675" spans="1:16">
      <c r="A1675" s="387" t="b">
        <v>1</v>
      </c>
      <c r="B1675" s="387"/>
      <c r="C1675" s="387" t="s">
        <v>3451</v>
      </c>
      <c r="D1675" s="392">
        <v>4</v>
      </c>
      <c r="E1675" s="389">
        <v>61.165048543689302</v>
      </c>
      <c r="F1675" s="391" t="s">
        <v>3193</v>
      </c>
      <c r="G1675" s="390">
        <v>756</v>
      </c>
      <c r="H1675" s="390">
        <v>1236</v>
      </c>
      <c r="I1675" s="391" t="s">
        <v>2328</v>
      </c>
      <c r="J1675" s="391" t="s">
        <v>2285</v>
      </c>
      <c r="K1675" s="387" t="str">
        <f ca="1">IFERROR(VLOOKUP(C1675,' Disaggregation - Section E '!A$618:J2364,3,0),"")</f>
        <v>DRTB-2 Number of people with confirmed RR-TB and/or MDR-TB notified</v>
      </c>
      <c r="L1675" s="387"/>
      <c r="M1675" s="387" t="s">
        <v>3452</v>
      </c>
      <c r="N1675" s="391" t="s">
        <v>2289</v>
      </c>
      <c r="O1675" s="387" t="s">
        <v>2678</v>
      </c>
      <c r="P1675" s="387" t="s">
        <v>3453</v>
      </c>
    </row>
    <row r="1676" spans="1:16">
      <c r="A1676" s="387" t="b">
        <v>1</v>
      </c>
      <c r="B1676" s="387"/>
      <c r="C1676" s="387" t="s">
        <v>3454</v>
      </c>
      <c r="D1676" s="392">
        <v>4</v>
      </c>
      <c r="E1676" s="389">
        <v>59.870550161812297</v>
      </c>
      <c r="F1676" s="391" t="s">
        <v>3356</v>
      </c>
      <c r="G1676" s="390">
        <v>740</v>
      </c>
      <c r="H1676" s="390">
        <v>1236</v>
      </c>
      <c r="I1676" s="391" t="s">
        <v>2328</v>
      </c>
      <c r="J1676" s="391" t="s">
        <v>2285</v>
      </c>
      <c r="K1676" s="387" t="str">
        <f ca="1">IFERROR(VLOOKUP(C1676,' Disaggregation - Section E '!A$618:J2365,3,0),"")</f>
        <v>DRTB-2 Number of people with confirmed RR-TB and/or MDR-TB notified</v>
      </c>
      <c r="L1676" s="387"/>
      <c r="M1676" s="387" t="s">
        <v>3455</v>
      </c>
      <c r="N1676" s="391" t="s">
        <v>2290</v>
      </c>
      <c r="O1676" s="387" t="s">
        <v>2678</v>
      </c>
      <c r="P1676" s="387" t="s">
        <v>3456</v>
      </c>
    </row>
    <row r="1677" spans="1:16">
      <c r="A1677" s="387" t="b">
        <v>1</v>
      </c>
      <c r="B1677" s="387"/>
      <c r="C1677" s="387" t="s">
        <v>3457</v>
      </c>
      <c r="D1677" s="392">
        <v>4</v>
      </c>
      <c r="E1677" s="389">
        <v>38.834951456310698</v>
      </c>
      <c r="F1677" s="391" t="s">
        <v>3197</v>
      </c>
      <c r="G1677" s="390">
        <v>480</v>
      </c>
      <c r="H1677" s="390">
        <v>1236</v>
      </c>
      <c r="I1677" s="391" t="s">
        <v>2328</v>
      </c>
      <c r="J1677" s="391" t="s">
        <v>2285</v>
      </c>
      <c r="K1677" s="387" t="str">
        <f ca="1">IFERROR(VLOOKUP(C1677,' Disaggregation - Section E '!A$618:J2366,3,0),"")</f>
        <v>DRTB-2 Number of people with confirmed RR-TB and/or MDR-TB notified</v>
      </c>
      <c r="L1677" s="387"/>
      <c r="M1677" s="387" t="s">
        <v>3458</v>
      </c>
      <c r="N1677" s="391" t="s">
        <v>2291</v>
      </c>
      <c r="O1677" s="387" t="s">
        <v>2678</v>
      </c>
      <c r="P1677" s="387" t="s">
        <v>3459</v>
      </c>
    </row>
    <row r="1678" spans="1:16">
      <c r="A1678" s="387" t="b">
        <v>1</v>
      </c>
      <c r="B1678" s="387"/>
      <c r="C1678" s="387" t="s">
        <v>3460</v>
      </c>
      <c r="D1678" s="392">
        <v>4</v>
      </c>
      <c r="E1678" s="389">
        <v>4.2880258899676402</v>
      </c>
      <c r="F1678" s="391" t="s">
        <v>3367</v>
      </c>
      <c r="G1678" s="390">
        <v>53</v>
      </c>
      <c r="H1678" s="390">
        <v>1236</v>
      </c>
      <c r="I1678" s="391" t="s">
        <v>2328</v>
      </c>
      <c r="J1678" s="391" t="s">
        <v>2285</v>
      </c>
      <c r="K1678" s="387" t="str">
        <f ca="1">IFERROR(VLOOKUP(C1678,' Disaggregation - Section E '!A$618:J2367,3,0),"")</f>
        <v>DRTB-2 Number of people with confirmed RR-TB and/or MDR-TB notified</v>
      </c>
      <c r="L1678" s="387"/>
      <c r="M1678" s="387" t="s">
        <v>3461</v>
      </c>
      <c r="N1678" s="391" t="s">
        <v>2292</v>
      </c>
      <c r="O1678" s="387" t="s">
        <v>2678</v>
      </c>
      <c r="P1678" s="387" t="s">
        <v>3462</v>
      </c>
    </row>
    <row r="1679" spans="1:16">
      <c r="A1679" s="387" t="b">
        <v>0</v>
      </c>
      <c r="B1679" s="387"/>
      <c r="C1679" s="387" t="s">
        <v>3463</v>
      </c>
      <c r="D1679" s="392">
        <v>4</v>
      </c>
      <c r="E1679" s="389"/>
      <c r="F1679" s="391"/>
      <c r="G1679" s="390"/>
      <c r="H1679" s="390"/>
      <c r="I1679" s="391"/>
      <c r="J1679" s="391"/>
      <c r="K1679" s="387" t="str">
        <f ca="1">IFERROR(VLOOKUP(C1679,' Disaggregation - Section E '!A$618:J2368,3,0),"")</f>
        <v>DRTB-2 Number of people with confirmed RR-TB and/or MDR-TB notified</v>
      </c>
      <c r="L1679" s="387"/>
      <c r="M1679" s="387"/>
      <c r="N1679" s="391"/>
      <c r="O1679" s="387" t="s">
        <v>2678</v>
      </c>
      <c r="P1679" s="387"/>
    </row>
    <row r="1680" spans="1:16">
      <c r="A1680" s="387" t="b">
        <v>0</v>
      </c>
      <c r="B1680" s="387"/>
      <c r="C1680" s="387" t="s">
        <v>3464</v>
      </c>
      <c r="D1680" s="392">
        <v>4</v>
      </c>
      <c r="E1680" s="389"/>
      <c r="F1680" s="391"/>
      <c r="G1680" s="390"/>
      <c r="H1680" s="390"/>
      <c r="I1680" s="391"/>
      <c r="J1680" s="391"/>
      <c r="K1680" s="387" t="str">
        <f ca="1">IFERROR(VLOOKUP(C1680,' Disaggregation - Section E '!A$618:J2369,3,0),"")</f>
        <v>DRTB-2 Number of people with confirmed RR-TB and/or MDR-TB notified</v>
      </c>
      <c r="L1680" s="387"/>
      <c r="M1680" s="387"/>
      <c r="N1680" s="391"/>
      <c r="O1680" s="387" t="s">
        <v>2678</v>
      </c>
      <c r="P1680" s="387"/>
    </row>
    <row r="1681" spans="1:16">
      <c r="A1681" s="387" t="b">
        <v>0</v>
      </c>
      <c r="B1681" s="387"/>
      <c r="C1681" s="387" t="s">
        <v>3465</v>
      </c>
      <c r="D1681" s="392">
        <v>4</v>
      </c>
      <c r="E1681" s="389"/>
      <c r="F1681" s="391"/>
      <c r="G1681" s="390"/>
      <c r="H1681" s="390"/>
      <c r="I1681" s="391"/>
      <c r="J1681" s="391"/>
      <c r="K1681" s="387" t="str">
        <f ca="1">IFERROR(VLOOKUP(C1681,' Disaggregation - Section E '!A$618:J2370,3,0),"")</f>
        <v>DRTB-2 Number of people with confirmed RR-TB and/or MDR-TB notified</v>
      </c>
      <c r="L1681" s="387"/>
      <c r="M1681" s="387"/>
      <c r="N1681" s="391"/>
      <c r="O1681" s="387" t="s">
        <v>2678</v>
      </c>
      <c r="P1681" s="387"/>
    </row>
    <row r="1682" spans="1:16">
      <c r="A1682" s="387" t="b">
        <v>0</v>
      </c>
      <c r="B1682" s="387"/>
      <c r="C1682" s="387" t="s">
        <v>3466</v>
      </c>
      <c r="D1682" s="392">
        <v>4</v>
      </c>
      <c r="E1682" s="389"/>
      <c r="F1682" s="391"/>
      <c r="G1682" s="390"/>
      <c r="H1682" s="390"/>
      <c r="I1682" s="391"/>
      <c r="J1682" s="391"/>
      <c r="K1682" s="387" t="str">
        <f ca="1">IFERROR(VLOOKUP(C1682,' Disaggregation - Section E '!A$618:J2371,3,0),"")</f>
        <v>DRTB-2 Number of people with confirmed RR-TB and/or MDR-TB notified</v>
      </c>
      <c r="L1682" s="387"/>
      <c r="M1682" s="387"/>
      <c r="N1682" s="391"/>
      <c r="O1682" s="387" t="s">
        <v>2678</v>
      </c>
      <c r="P1682" s="387"/>
    </row>
    <row r="1683" spans="1:16">
      <c r="A1683" s="387" t="b">
        <v>0</v>
      </c>
      <c r="B1683" s="387"/>
      <c r="C1683" s="387" t="s">
        <v>3467</v>
      </c>
      <c r="D1683" s="392">
        <v>4</v>
      </c>
      <c r="E1683" s="389"/>
      <c r="F1683" s="391"/>
      <c r="G1683" s="390"/>
      <c r="H1683" s="390"/>
      <c r="I1683" s="391"/>
      <c r="J1683" s="391"/>
      <c r="K1683" s="387" t="str">
        <f ca="1">IFERROR(VLOOKUP(C1683,' Disaggregation - Section E '!A$618:J2372,3,0),"")</f>
        <v>DRTB-2 Number of people with confirmed RR-TB and/or MDR-TB notified</v>
      </c>
      <c r="L1683" s="387"/>
      <c r="M1683" s="387"/>
      <c r="N1683" s="391"/>
      <c r="O1683" s="387" t="s">
        <v>2678</v>
      </c>
      <c r="P1683" s="387"/>
    </row>
    <row r="1684" spans="1:16">
      <c r="A1684" s="387" t="b">
        <v>0</v>
      </c>
      <c r="B1684" s="387"/>
      <c r="C1684" s="387" t="s">
        <v>3468</v>
      </c>
      <c r="D1684" s="392">
        <v>4</v>
      </c>
      <c r="E1684" s="389"/>
      <c r="F1684" s="391"/>
      <c r="G1684" s="390"/>
      <c r="H1684" s="390"/>
      <c r="I1684" s="391"/>
      <c r="J1684" s="391"/>
      <c r="K1684" s="387" t="str">
        <f ca="1">IFERROR(VLOOKUP(C1684,' Disaggregation - Section E '!A$618:J2373,3,0),"")</f>
        <v>DRTB-2 Number of people with confirmed RR-TB and/or MDR-TB notified</v>
      </c>
      <c r="L1684" s="387"/>
      <c r="M1684" s="387"/>
      <c r="N1684" s="391"/>
      <c r="O1684" s="387" t="s">
        <v>2678</v>
      </c>
      <c r="P1684" s="387"/>
    </row>
    <row r="1685" spans="1:16">
      <c r="A1685" s="387" t="b">
        <v>0</v>
      </c>
      <c r="B1685" s="387"/>
      <c r="C1685" s="387" t="s">
        <v>3469</v>
      </c>
      <c r="D1685" s="392">
        <v>4</v>
      </c>
      <c r="E1685" s="389"/>
      <c r="F1685" s="391"/>
      <c r="G1685" s="390"/>
      <c r="H1685" s="390"/>
      <c r="I1685" s="391"/>
      <c r="J1685" s="391"/>
      <c r="K1685" s="387" t="str">
        <f ca="1">IFERROR(VLOOKUP(C1685,' Disaggregation - Section E '!A$618:J2374,3,0),"")</f>
        <v>DRTB-2 Number of people with confirmed RR-TB and/or MDR-TB notified</v>
      </c>
      <c r="L1685" s="387"/>
      <c r="M1685" s="387"/>
      <c r="N1685" s="391"/>
      <c r="O1685" s="387" t="s">
        <v>2678</v>
      </c>
      <c r="P1685" s="387"/>
    </row>
    <row r="1686" spans="1:16">
      <c r="A1686" s="387" t="b">
        <v>0</v>
      </c>
      <c r="B1686" s="387"/>
      <c r="C1686" s="387" t="s">
        <v>3470</v>
      </c>
      <c r="D1686" s="392">
        <v>4</v>
      </c>
      <c r="E1686" s="389"/>
      <c r="F1686" s="391"/>
      <c r="G1686" s="390"/>
      <c r="H1686" s="390"/>
      <c r="I1686" s="391"/>
      <c r="J1686" s="391"/>
      <c r="K1686" s="387" t="str">
        <f ca="1">IFERROR(VLOOKUP(C1686,' Disaggregation - Section E '!A$618:J2375,3,0),"")</f>
        <v>DRTB-2 Number of people with confirmed RR-TB and/or MDR-TB notified</v>
      </c>
      <c r="L1686" s="387"/>
      <c r="M1686" s="387"/>
      <c r="N1686" s="391"/>
      <c r="O1686" s="387" t="s">
        <v>2678</v>
      </c>
      <c r="P1686" s="387"/>
    </row>
    <row r="1687" spans="1:16">
      <c r="A1687" s="387" t="b">
        <v>0</v>
      </c>
      <c r="B1687" s="387"/>
      <c r="C1687" s="387" t="s">
        <v>3471</v>
      </c>
      <c r="D1687" s="392">
        <v>4</v>
      </c>
      <c r="E1687" s="389"/>
      <c r="F1687" s="391"/>
      <c r="G1687" s="390"/>
      <c r="H1687" s="390"/>
      <c r="I1687" s="391"/>
      <c r="J1687" s="391"/>
      <c r="K1687" s="387" t="str">
        <f ca="1">IFERROR(VLOOKUP(C1687,' Disaggregation - Section E '!A$618:J2376,3,0),"")</f>
        <v>DRTB-2 Number of people with confirmed RR-TB and/or MDR-TB notified</v>
      </c>
      <c r="L1687" s="387"/>
      <c r="M1687" s="387"/>
      <c r="N1687" s="391"/>
      <c r="O1687" s="387" t="s">
        <v>2678</v>
      </c>
      <c r="P1687" s="387"/>
    </row>
    <row r="1688" spans="1:16">
      <c r="A1688" s="387" t="b">
        <v>0</v>
      </c>
      <c r="B1688" s="387"/>
      <c r="C1688" s="387" t="s">
        <v>3472</v>
      </c>
      <c r="D1688" s="392">
        <v>4</v>
      </c>
      <c r="E1688" s="389"/>
      <c r="F1688" s="391"/>
      <c r="G1688" s="390"/>
      <c r="H1688" s="390"/>
      <c r="I1688" s="391"/>
      <c r="J1688" s="391"/>
      <c r="K1688" s="387" t="str">
        <f ca="1">IFERROR(VLOOKUP(C1688,' Disaggregation - Section E '!A$618:J2377,3,0),"")</f>
        <v>DRTB-2 Number of people with confirmed RR-TB and/or MDR-TB notified</v>
      </c>
      <c r="L1688" s="387"/>
      <c r="M1688" s="387"/>
      <c r="N1688" s="391"/>
      <c r="O1688" s="387" t="s">
        <v>2678</v>
      </c>
      <c r="P1688" s="387"/>
    </row>
    <row r="1689" spans="1:16">
      <c r="A1689" s="387" t="b">
        <v>0</v>
      </c>
      <c r="B1689" s="387"/>
      <c r="C1689" s="387" t="s">
        <v>3473</v>
      </c>
      <c r="D1689" s="392">
        <v>4</v>
      </c>
      <c r="E1689" s="389"/>
      <c r="F1689" s="391"/>
      <c r="G1689" s="390"/>
      <c r="H1689" s="390"/>
      <c r="I1689" s="391"/>
      <c r="J1689" s="391"/>
      <c r="K1689" s="387" t="str">
        <f ca="1">IFERROR(VLOOKUP(C1689,' Disaggregation - Section E '!A$618:J2378,3,0),"")</f>
        <v>DRTB-2 Number of people with confirmed RR-TB and/or MDR-TB notified</v>
      </c>
      <c r="L1689" s="387"/>
      <c r="M1689" s="387"/>
      <c r="N1689" s="391"/>
      <c r="O1689" s="387" t="s">
        <v>2678</v>
      </c>
      <c r="P1689" s="387"/>
    </row>
    <row r="1690" spans="1:16">
      <c r="A1690" s="387" t="b">
        <v>0</v>
      </c>
      <c r="B1690" s="387"/>
      <c r="C1690" s="387" t="s">
        <v>3474</v>
      </c>
      <c r="D1690" s="392">
        <v>4</v>
      </c>
      <c r="E1690" s="389"/>
      <c r="F1690" s="391"/>
      <c r="G1690" s="390"/>
      <c r="H1690" s="390"/>
      <c r="I1690" s="391"/>
      <c r="J1690" s="391"/>
      <c r="K1690" s="387" t="str">
        <f ca="1">IFERROR(VLOOKUP(C1690,' Disaggregation - Section E '!A$618:J2379,3,0),"")</f>
        <v>DRTB-2 Number of people with confirmed RR-TB and/or MDR-TB notified</v>
      </c>
      <c r="L1690" s="387"/>
      <c r="M1690" s="387"/>
      <c r="N1690" s="391"/>
      <c r="O1690" s="387" t="s">
        <v>2678</v>
      </c>
      <c r="P1690" s="387"/>
    </row>
    <row r="1691" spans="1:16">
      <c r="A1691" s="387" t="b">
        <v>0</v>
      </c>
      <c r="B1691" s="387"/>
      <c r="C1691" s="387" t="s">
        <v>3475</v>
      </c>
      <c r="D1691" s="392">
        <v>4</v>
      </c>
      <c r="E1691" s="389"/>
      <c r="F1691" s="391"/>
      <c r="G1691" s="390"/>
      <c r="H1691" s="390"/>
      <c r="I1691" s="391"/>
      <c r="J1691" s="391"/>
      <c r="K1691" s="387" t="str">
        <f ca="1">IFERROR(VLOOKUP(C1691,' Disaggregation - Section E '!A$618:J2380,3,0),"")</f>
        <v>DRTB-2 Number of people with confirmed RR-TB and/or MDR-TB notified</v>
      </c>
      <c r="L1691" s="387"/>
      <c r="M1691" s="387"/>
      <c r="N1691" s="391"/>
      <c r="O1691" s="387" t="s">
        <v>2678</v>
      </c>
      <c r="P1691" s="387"/>
    </row>
    <row r="1692" spans="1:16">
      <c r="A1692" s="387" t="b">
        <v>1</v>
      </c>
      <c r="B1692" s="387"/>
      <c r="C1692" s="387" t="s">
        <v>3476</v>
      </c>
      <c r="D1692" s="392">
        <v>5</v>
      </c>
      <c r="E1692" s="389">
        <v>86.731391585760505</v>
      </c>
      <c r="F1692" s="391" t="s">
        <v>3240</v>
      </c>
      <c r="G1692" s="390">
        <v>1072</v>
      </c>
      <c r="H1692" s="390">
        <v>1236</v>
      </c>
      <c r="I1692" s="391" t="s">
        <v>2328</v>
      </c>
      <c r="J1692" s="391" t="s">
        <v>2285</v>
      </c>
      <c r="K1692" s="387" t="str">
        <f ca="1">IFERROR(VLOOKUP(C1692,' Disaggregation - Section E '!A$618:J2381,3,0),"")</f>
        <v>DRTB-3 Percentage of people with confirmed RR-TB and/or MDR-TB that began second-line treatment</v>
      </c>
      <c r="L1692" s="387"/>
      <c r="M1692" s="387" t="s">
        <v>3477</v>
      </c>
      <c r="N1692" s="391" t="s">
        <v>2293</v>
      </c>
      <c r="O1692" s="387" t="s">
        <v>2685</v>
      </c>
      <c r="P1692" s="387" t="s">
        <v>3478</v>
      </c>
    </row>
    <row r="1693" spans="1:16">
      <c r="A1693" s="387" t="b">
        <v>1</v>
      </c>
      <c r="B1693" s="387"/>
      <c r="C1693" s="387" t="s">
        <v>3479</v>
      </c>
      <c r="D1693" s="392">
        <v>5</v>
      </c>
      <c r="E1693" s="389">
        <v>4.2880258899676402</v>
      </c>
      <c r="F1693" s="391" t="s">
        <v>3244</v>
      </c>
      <c r="G1693" s="390">
        <v>53</v>
      </c>
      <c r="H1693" s="390">
        <v>1236</v>
      </c>
      <c r="I1693" s="391" t="s">
        <v>2328</v>
      </c>
      <c r="J1693" s="391" t="s">
        <v>2285</v>
      </c>
      <c r="K1693" s="387" t="str">
        <f ca="1">IFERROR(VLOOKUP(C1693,' Disaggregation - Section E '!A$618:J2382,3,0),"")</f>
        <v>DRTB-3 Percentage of people with confirmed RR-TB and/or MDR-TB that began second-line treatment</v>
      </c>
      <c r="L1693" s="387"/>
      <c r="M1693" s="387" t="s">
        <v>3480</v>
      </c>
      <c r="N1693" s="391" t="s">
        <v>2294</v>
      </c>
      <c r="O1693" s="387" t="s">
        <v>2685</v>
      </c>
      <c r="P1693" s="387" t="s">
        <v>3481</v>
      </c>
    </row>
    <row r="1694" spans="1:16">
      <c r="A1694" s="387" t="b">
        <v>1</v>
      </c>
      <c r="B1694" s="387"/>
      <c r="C1694" s="387" t="s">
        <v>3482</v>
      </c>
      <c r="D1694" s="392">
        <v>5</v>
      </c>
      <c r="E1694" s="389">
        <v>55.501618122977298</v>
      </c>
      <c r="F1694" s="391" t="s">
        <v>3193</v>
      </c>
      <c r="G1694" s="390">
        <v>686</v>
      </c>
      <c r="H1694" s="390">
        <v>1236</v>
      </c>
      <c r="I1694" s="391" t="s">
        <v>2328</v>
      </c>
      <c r="J1694" s="391" t="s">
        <v>2285</v>
      </c>
      <c r="K1694" s="387" t="str">
        <f ca="1">IFERROR(VLOOKUP(C1694,' Disaggregation - Section E '!A$618:J2383,3,0),"")</f>
        <v>DRTB-3 Percentage of people with confirmed RR-TB and/or MDR-TB that began second-line treatment</v>
      </c>
      <c r="L1694" s="387"/>
      <c r="M1694" s="387" t="s">
        <v>3483</v>
      </c>
      <c r="N1694" s="391" t="s">
        <v>2295</v>
      </c>
      <c r="O1694" s="387" t="s">
        <v>2685</v>
      </c>
      <c r="P1694" s="387" t="s">
        <v>3484</v>
      </c>
    </row>
    <row r="1695" spans="1:16">
      <c r="A1695" s="387" t="b">
        <v>1</v>
      </c>
      <c r="B1695" s="387"/>
      <c r="C1695" s="387" t="s">
        <v>3485</v>
      </c>
      <c r="D1695" s="392">
        <v>5</v>
      </c>
      <c r="E1695" s="389">
        <v>0.40453074433656999</v>
      </c>
      <c r="F1695" s="391" t="s">
        <v>3486</v>
      </c>
      <c r="G1695" s="390">
        <v>5</v>
      </c>
      <c r="H1695" s="390">
        <v>1236</v>
      </c>
      <c r="I1695" s="391" t="s">
        <v>2328</v>
      </c>
      <c r="J1695" s="391" t="s">
        <v>2285</v>
      </c>
      <c r="K1695" s="387" t="str">
        <f ca="1">IFERROR(VLOOKUP(C1695,' Disaggregation - Section E '!A$618:J2384,3,0),"")</f>
        <v>DRTB-3 Percentage of people with confirmed RR-TB and/or MDR-TB that began second-line treatment</v>
      </c>
      <c r="L1695" s="387"/>
      <c r="M1695" s="387" t="s">
        <v>3487</v>
      </c>
      <c r="N1695" s="391" t="s">
        <v>2296</v>
      </c>
      <c r="O1695" s="387" t="s">
        <v>2685</v>
      </c>
      <c r="P1695" s="387" t="s">
        <v>3488</v>
      </c>
    </row>
    <row r="1696" spans="1:16">
      <c r="A1696" s="387" t="b">
        <v>1</v>
      </c>
      <c r="B1696" s="387"/>
      <c r="C1696" s="387" t="s">
        <v>3489</v>
      </c>
      <c r="D1696" s="392">
        <v>5</v>
      </c>
      <c r="E1696" s="389">
        <v>38.834951456310698</v>
      </c>
      <c r="F1696" s="391" t="s">
        <v>3197</v>
      </c>
      <c r="G1696" s="390">
        <v>480</v>
      </c>
      <c r="H1696" s="390">
        <v>1236</v>
      </c>
      <c r="I1696" s="391" t="s">
        <v>2328</v>
      </c>
      <c r="J1696" s="391" t="s">
        <v>2285</v>
      </c>
      <c r="K1696" s="387" t="str">
        <f ca="1">IFERROR(VLOOKUP(C1696,' Disaggregation - Section E '!A$618:J2385,3,0),"")</f>
        <v>DRTB-3 Percentage of people with confirmed RR-TB and/or MDR-TB that began second-line treatment</v>
      </c>
      <c r="L1696" s="387"/>
      <c r="M1696" s="387" t="s">
        <v>3490</v>
      </c>
      <c r="N1696" s="391" t="s">
        <v>2297</v>
      </c>
      <c r="O1696" s="387" t="s">
        <v>2685</v>
      </c>
      <c r="P1696" s="387" t="s">
        <v>3491</v>
      </c>
    </row>
    <row r="1697" spans="1:16">
      <c r="A1697" s="387" t="b">
        <v>1</v>
      </c>
      <c r="B1697" s="387"/>
      <c r="C1697" s="387" t="s">
        <v>3492</v>
      </c>
      <c r="D1697" s="392">
        <v>5</v>
      </c>
      <c r="E1697" s="389">
        <v>90.614886731391607</v>
      </c>
      <c r="F1697" s="391" t="s">
        <v>3493</v>
      </c>
      <c r="G1697" s="390">
        <v>1120</v>
      </c>
      <c r="H1697" s="390">
        <v>1236</v>
      </c>
      <c r="I1697" s="391" t="s">
        <v>2328</v>
      </c>
      <c r="J1697" s="391" t="s">
        <v>2285</v>
      </c>
      <c r="K1697" s="387" t="str">
        <f ca="1">IFERROR(VLOOKUP(C1697,' Disaggregation - Section E '!A$618:J2386,3,0),"")</f>
        <v>DRTB-3 Percentage of people with confirmed RR-TB and/or MDR-TB that began second-line treatment</v>
      </c>
      <c r="L1697" s="387"/>
      <c r="M1697" s="387" t="s">
        <v>3494</v>
      </c>
      <c r="N1697" s="391" t="s">
        <v>2298</v>
      </c>
      <c r="O1697" s="387" t="s">
        <v>2685</v>
      </c>
      <c r="P1697" s="387" t="s">
        <v>3495</v>
      </c>
    </row>
    <row r="1698" spans="1:16">
      <c r="A1698" s="387" t="b">
        <v>0</v>
      </c>
      <c r="B1698" s="387"/>
      <c r="C1698" s="387" t="s">
        <v>3496</v>
      </c>
      <c r="D1698" s="392">
        <v>5</v>
      </c>
      <c r="E1698" s="389"/>
      <c r="F1698" s="391"/>
      <c r="G1698" s="390"/>
      <c r="H1698" s="390"/>
      <c r="I1698" s="391"/>
      <c r="J1698" s="391"/>
      <c r="K1698" s="387" t="str">
        <f ca="1">IFERROR(VLOOKUP(C1698,' Disaggregation - Section E '!A$618:J2387,3,0),"")</f>
        <v>DRTB-3 Percentage of people with confirmed RR-TB and/or MDR-TB that began second-line treatment</v>
      </c>
      <c r="L1698" s="387"/>
      <c r="M1698" s="387"/>
      <c r="N1698" s="391"/>
      <c r="O1698" s="387" t="s">
        <v>2685</v>
      </c>
      <c r="P1698" s="387"/>
    </row>
    <row r="1699" spans="1:16">
      <c r="A1699" s="387" t="b">
        <v>0</v>
      </c>
      <c r="B1699" s="387"/>
      <c r="C1699" s="387" t="s">
        <v>3497</v>
      </c>
      <c r="D1699" s="392">
        <v>5</v>
      </c>
      <c r="E1699" s="389"/>
      <c r="F1699" s="391"/>
      <c r="G1699" s="390"/>
      <c r="H1699" s="390"/>
      <c r="I1699" s="391"/>
      <c r="J1699" s="391"/>
      <c r="K1699" s="387" t="str">
        <f ca="1">IFERROR(VLOOKUP(C1699,' Disaggregation - Section E '!A$618:J2388,3,0),"")</f>
        <v>DRTB-3 Percentage of people with confirmed RR-TB and/or MDR-TB that began second-line treatment</v>
      </c>
      <c r="L1699" s="387"/>
      <c r="M1699" s="387"/>
      <c r="N1699" s="391"/>
      <c r="O1699" s="387" t="s">
        <v>2685</v>
      </c>
      <c r="P1699" s="387"/>
    </row>
    <row r="1700" spans="1:16">
      <c r="A1700" s="387" t="b">
        <v>0</v>
      </c>
      <c r="B1700" s="387"/>
      <c r="C1700" s="387" t="s">
        <v>3498</v>
      </c>
      <c r="D1700" s="392">
        <v>5</v>
      </c>
      <c r="E1700" s="389"/>
      <c r="F1700" s="391"/>
      <c r="G1700" s="390"/>
      <c r="H1700" s="390"/>
      <c r="I1700" s="391"/>
      <c r="J1700" s="391"/>
      <c r="K1700" s="387" t="str">
        <f ca="1">IFERROR(VLOOKUP(C1700,' Disaggregation - Section E '!A$618:J2389,3,0),"")</f>
        <v>DRTB-3 Percentage of people with confirmed RR-TB and/or MDR-TB that began second-line treatment</v>
      </c>
      <c r="L1700" s="387"/>
      <c r="M1700" s="387"/>
      <c r="N1700" s="391"/>
      <c r="O1700" s="387" t="s">
        <v>2685</v>
      </c>
      <c r="P1700" s="387"/>
    </row>
    <row r="1701" spans="1:16">
      <c r="A1701" s="387" t="b">
        <v>0</v>
      </c>
      <c r="B1701" s="387"/>
      <c r="C1701" s="387" t="s">
        <v>3499</v>
      </c>
      <c r="D1701" s="392">
        <v>5</v>
      </c>
      <c r="E1701" s="389"/>
      <c r="F1701" s="391"/>
      <c r="G1701" s="390"/>
      <c r="H1701" s="390"/>
      <c r="I1701" s="391"/>
      <c r="J1701" s="391"/>
      <c r="K1701" s="387" t="str">
        <f ca="1">IFERROR(VLOOKUP(C1701,' Disaggregation - Section E '!A$618:J2390,3,0),"")</f>
        <v>DRTB-3 Percentage of people with confirmed RR-TB and/or MDR-TB that began second-line treatment</v>
      </c>
      <c r="L1701" s="387"/>
      <c r="M1701" s="387"/>
      <c r="N1701" s="391"/>
      <c r="O1701" s="387" t="s">
        <v>2685</v>
      </c>
      <c r="P1701" s="387"/>
    </row>
    <row r="1702" spans="1:16">
      <c r="A1702" s="387" t="b">
        <v>0</v>
      </c>
      <c r="B1702" s="387"/>
      <c r="C1702" s="387" t="s">
        <v>3500</v>
      </c>
      <c r="D1702" s="392">
        <v>5</v>
      </c>
      <c r="E1702" s="389"/>
      <c r="F1702" s="391"/>
      <c r="G1702" s="390"/>
      <c r="H1702" s="390"/>
      <c r="I1702" s="391"/>
      <c r="J1702" s="391"/>
      <c r="K1702" s="387" t="str">
        <f ca="1">IFERROR(VLOOKUP(C1702,' Disaggregation - Section E '!A$618:J2391,3,0),"")</f>
        <v>DRTB-3 Percentage of people with confirmed RR-TB and/or MDR-TB that began second-line treatment</v>
      </c>
      <c r="L1702" s="387"/>
      <c r="M1702" s="387"/>
      <c r="N1702" s="391"/>
      <c r="O1702" s="387" t="s">
        <v>2685</v>
      </c>
      <c r="P1702" s="387"/>
    </row>
    <row r="1703" spans="1:16">
      <c r="A1703" s="387" t="b">
        <v>0</v>
      </c>
      <c r="B1703" s="387"/>
      <c r="C1703" s="387" t="s">
        <v>3501</v>
      </c>
      <c r="D1703" s="392">
        <v>5</v>
      </c>
      <c r="E1703" s="389"/>
      <c r="F1703" s="391"/>
      <c r="G1703" s="390"/>
      <c r="H1703" s="390"/>
      <c r="I1703" s="391"/>
      <c r="J1703" s="391"/>
      <c r="K1703" s="387" t="str">
        <f ca="1">IFERROR(VLOOKUP(C1703,' Disaggregation - Section E '!A$618:J2392,3,0),"")</f>
        <v>DRTB-3 Percentage of people with confirmed RR-TB and/or MDR-TB that began second-line treatment</v>
      </c>
      <c r="L1703" s="387"/>
      <c r="M1703" s="387"/>
      <c r="N1703" s="391"/>
      <c r="O1703" s="387" t="s">
        <v>2685</v>
      </c>
      <c r="P1703" s="387"/>
    </row>
    <row r="1704" spans="1:16">
      <c r="A1704" s="387" t="b">
        <v>0</v>
      </c>
      <c r="B1704" s="387"/>
      <c r="C1704" s="387" t="s">
        <v>3502</v>
      </c>
      <c r="D1704" s="392">
        <v>5</v>
      </c>
      <c r="E1704" s="389"/>
      <c r="F1704" s="391"/>
      <c r="G1704" s="390"/>
      <c r="H1704" s="390"/>
      <c r="I1704" s="391"/>
      <c r="J1704" s="391"/>
      <c r="K1704" s="387" t="str">
        <f ca="1">IFERROR(VLOOKUP(C1704,' Disaggregation - Section E '!A$618:J2393,3,0),"")</f>
        <v>DRTB-3 Percentage of people with confirmed RR-TB and/or MDR-TB that began second-line treatment</v>
      </c>
      <c r="L1704" s="387"/>
      <c r="M1704" s="387"/>
      <c r="N1704" s="391"/>
      <c r="O1704" s="387" t="s">
        <v>2685</v>
      </c>
      <c r="P1704" s="387"/>
    </row>
    <row r="1705" spans="1:16">
      <c r="A1705" s="387" t="b">
        <v>0</v>
      </c>
      <c r="B1705" s="387"/>
      <c r="C1705" s="387" t="s">
        <v>3503</v>
      </c>
      <c r="D1705" s="392">
        <v>5</v>
      </c>
      <c r="E1705" s="389"/>
      <c r="F1705" s="391"/>
      <c r="G1705" s="390"/>
      <c r="H1705" s="390"/>
      <c r="I1705" s="391"/>
      <c r="J1705" s="391"/>
      <c r="K1705" s="387" t="str">
        <f ca="1">IFERROR(VLOOKUP(C1705,' Disaggregation - Section E '!A$618:J2394,3,0),"")</f>
        <v>DRTB-3 Percentage of people with confirmed RR-TB and/or MDR-TB that began second-line treatment</v>
      </c>
      <c r="L1705" s="387"/>
      <c r="M1705" s="387"/>
      <c r="N1705" s="391"/>
      <c r="O1705" s="387" t="s">
        <v>2685</v>
      </c>
      <c r="P1705" s="387"/>
    </row>
    <row r="1706" spans="1:16">
      <c r="A1706" s="387" t="b">
        <v>0</v>
      </c>
      <c r="B1706" s="387"/>
      <c r="C1706" s="387" t="s">
        <v>3504</v>
      </c>
      <c r="D1706" s="392">
        <v>5</v>
      </c>
      <c r="E1706" s="389"/>
      <c r="F1706" s="391"/>
      <c r="G1706" s="390"/>
      <c r="H1706" s="390"/>
      <c r="I1706" s="391"/>
      <c r="J1706" s="391"/>
      <c r="K1706" s="387" t="str">
        <f ca="1">IFERROR(VLOOKUP(C1706,' Disaggregation - Section E '!A$618:J2395,3,0),"")</f>
        <v>DRTB-3 Percentage of people with confirmed RR-TB and/or MDR-TB that began second-line treatment</v>
      </c>
      <c r="L1706" s="387"/>
      <c r="M1706" s="387"/>
      <c r="N1706" s="391"/>
      <c r="O1706" s="387" t="s">
        <v>2685</v>
      </c>
      <c r="P1706" s="387"/>
    </row>
    <row r="1707" spans="1:16">
      <c r="A1707" s="387" t="b">
        <v>0</v>
      </c>
      <c r="B1707" s="387"/>
      <c r="C1707" s="387" t="s">
        <v>3505</v>
      </c>
      <c r="D1707" s="392">
        <v>5</v>
      </c>
      <c r="E1707" s="389"/>
      <c r="F1707" s="391"/>
      <c r="G1707" s="390"/>
      <c r="H1707" s="390"/>
      <c r="I1707" s="391"/>
      <c r="J1707" s="391"/>
      <c r="K1707" s="387" t="str">
        <f ca="1">IFERROR(VLOOKUP(C1707,' Disaggregation - Section E '!A$618:J2396,3,0),"")</f>
        <v>DRTB-3 Percentage of people with confirmed RR-TB and/or MDR-TB that began second-line treatment</v>
      </c>
      <c r="L1707" s="387"/>
      <c r="M1707" s="387"/>
      <c r="N1707" s="391"/>
      <c r="O1707" s="387" t="s">
        <v>2685</v>
      </c>
      <c r="P1707" s="387"/>
    </row>
    <row r="1708" spans="1:16">
      <c r="A1708" s="387" t="b">
        <v>0</v>
      </c>
      <c r="B1708" s="387"/>
      <c r="C1708" s="387" t="s">
        <v>3506</v>
      </c>
      <c r="D1708" s="392">
        <v>5</v>
      </c>
      <c r="E1708" s="389"/>
      <c r="F1708" s="391"/>
      <c r="G1708" s="390"/>
      <c r="H1708" s="390"/>
      <c r="I1708" s="391"/>
      <c r="J1708" s="391"/>
      <c r="K1708" s="387" t="str">
        <f ca="1">IFERROR(VLOOKUP(C1708,' Disaggregation - Section E '!A$618:J2397,3,0),"")</f>
        <v>DRTB-3 Percentage of people with confirmed RR-TB and/or MDR-TB that began second-line treatment</v>
      </c>
      <c r="L1708" s="387"/>
      <c r="M1708" s="387"/>
      <c r="N1708" s="391"/>
      <c r="O1708" s="387" t="s">
        <v>2685</v>
      </c>
      <c r="P1708" s="387"/>
    </row>
    <row r="1709" spans="1:16">
      <c r="A1709" s="387" t="b">
        <v>0</v>
      </c>
      <c r="B1709" s="387"/>
      <c r="C1709" s="387" t="s">
        <v>3507</v>
      </c>
      <c r="D1709" s="392">
        <v>5</v>
      </c>
      <c r="E1709" s="389"/>
      <c r="F1709" s="391"/>
      <c r="G1709" s="390"/>
      <c r="H1709" s="390"/>
      <c r="I1709" s="391"/>
      <c r="J1709" s="391"/>
      <c r="K1709" s="387" t="str">
        <f ca="1">IFERROR(VLOOKUP(C1709,' Disaggregation - Section E '!A$618:J2398,3,0),"")</f>
        <v>DRTB-3 Percentage of people with confirmed RR-TB and/or MDR-TB that began second-line treatment</v>
      </c>
      <c r="L1709" s="387"/>
      <c r="M1709" s="387"/>
      <c r="N1709" s="391"/>
      <c r="O1709" s="387" t="s">
        <v>2685</v>
      </c>
      <c r="P1709" s="387"/>
    </row>
    <row r="1710" spans="1:16">
      <c r="A1710" s="387" t="b">
        <v>0</v>
      </c>
      <c r="B1710" s="387"/>
      <c r="C1710" s="387" t="s">
        <v>3508</v>
      </c>
      <c r="D1710" s="392">
        <v>5</v>
      </c>
      <c r="E1710" s="389"/>
      <c r="F1710" s="391"/>
      <c r="G1710" s="390"/>
      <c r="H1710" s="390"/>
      <c r="I1710" s="391"/>
      <c r="J1710" s="391"/>
      <c r="K1710" s="387" t="str">
        <f ca="1">IFERROR(VLOOKUP(C1710,' Disaggregation - Section E '!A$618:J2399,3,0),"")</f>
        <v>DRTB-3 Percentage of people with confirmed RR-TB and/or MDR-TB that began second-line treatment</v>
      </c>
      <c r="L1710" s="387"/>
      <c r="M1710" s="387"/>
      <c r="N1710" s="391"/>
      <c r="O1710" s="387" t="s">
        <v>2685</v>
      </c>
      <c r="P1710" s="387"/>
    </row>
    <row r="1711" spans="1:16">
      <c r="A1711" s="387" t="b">
        <v>0</v>
      </c>
      <c r="B1711" s="387"/>
      <c r="C1711" s="387" t="s">
        <v>3509</v>
      </c>
      <c r="D1711" s="392">
        <v>5</v>
      </c>
      <c r="E1711" s="389"/>
      <c r="F1711" s="391"/>
      <c r="G1711" s="390"/>
      <c r="H1711" s="390"/>
      <c r="I1711" s="391"/>
      <c r="J1711" s="391"/>
      <c r="K1711" s="387" t="str">
        <f ca="1">IFERROR(VLOOKUP(C1711,' Disaggregation - Section E '!A$618:J2400,3,0),"")</f>
        <v>DRTB-3 Percentage of people with confirmed RR-TB and/or MDR-TB that began second-line treatment</v>
      </c>
      <c r="L1711" s="387"/>
      <c r="M1711" s="387"/>
      <c r="N1711" s="391"/>
      <c r="O1711" s="387" t="s">
        <v>2685</v>
      </c>
      <c r="P1711" s="387"/>
    </row>
    <row r="1712" spans="1:16">
      <c r="A1712" s="387" t="b">
        <v>1</v>
      </c>
      <c r="B1712" s="387"/>
      <c r="C1712" s="387" t="s">
        <v>3510</v>
      </c>
      <c r="D1712" s="392">
        <v>6</v>
      </c>
      <c r="E1712" s="389"/>
      <c r="F1712" s="391" t="s">
        <v>3240</v>
      </c>
      <c r="G1712" s="390"/>
      <c r="H1712" s="390"/>
      <c r="I1712" s="391"/>
      <c r="J1712" s="391" t="s">
        <v>2281</v>
      </c>
      <c r="K1712" s="387" t="str">
        <f ca="1">IFERROR(VLOOKUP(C1712,' Disaggregation - Section E '!A$618:J2401,3,0),"")</f>
        <v>TBP-1 Number of people in contact with TB patients who began preventive therapy</v>
      </c>
      <c r="L1712" s="387"/>
      <c r="M1712" s="387" t="s">
        <v>3511</v>
      </c>
      <c r="N1712" s="391" t="s">
        <v>2282</v>
      </c>
      <c r="O1712" s="387" t="s">
        <v>2692</v>
      </c>
      <c r="P1712" s="387" t="s">
        <v>3512</v>
      </c>
    </row>
    <row r="1713" spans="1:16">
      <c r="A1713" s="387" t="b">
        <v>1</v>
      </c>
      <c r="B1713" s="387"/>
      <c r="C1713" s="387" t="s">
        <v>3513</v>
      </c>
      <c r="D1713" s="392">
        <v>6</v>
      </c>
      <c r="E1713" s="389"/>
      <c r="F1713" s="391" t="s">
        <v>3514</v>
      </c>
      <c r="G1713" s="390"/>
      <c r="H1713" s="390"/>
      <c r="I1713" s="391"/>
      <c r="J1713" s="391" t="s">
        <v>2281</v>
      </c>
      <c r="K1713" s="387" t="str">
        <f ca="1">IFERROR(VLOOKUP(C1713,' Disaggregation - Section E '!A$618:J2402,3,0),"")</f>
        <v>TBP-1 Number of people in contact with TB patients who began preventive therapy</v>
      </c>
      <c r="L1713" s="387"/>
      <c r="M1713" s="387" t="s">
        <v>3515</v>
      </c>
      <c r="N1713" s="391" t="s">
        <v>2282</v>
      </c>
      <c r="O1713" s="387" t="s">
        <v>2692</v>
      </c>
      <c r="P1713" s="387" t="s">
        <v>3516</v>
      </c>
    </row>
    <row r="1714" spans="1:16">
      <c r="A1714" s="387" t="b">
        <v>1</v>
      </c>
      <c r="B1714" s="387"/>
      <c r="C1714" s="387" t="s">
        <v>3517</v>
      </c>
      <c r="D1714" s="392">
        <v>6</v>
      </c>
      <c r="E1714" s="389"/>
      <c r="F1714" s="391" t="s">
        <v>3518</v>
      </c>
      <c r="G1714" s="390"/>
      <c r="H1714" s="390"/>
      <c r="I1714" s="391"/>
      <c r="J1714" s="391" t="s">
        <v>2281</v>
      </c>
      <c r="K1714" s="387" t="str">
        <f ca="1">IFERROR(VLOOKUP(C1714,' Disaggregation - Section E '!A$618:J2403,3,0),"")</f>
        <v>TBP-1 Number of people in contact with TB patients who began preventive therapy</v>
      </c>
      <c r="L1714" s="387"/>
      <c r="M1714" s="387" t="s">
        <v>3519</v>
      </c>
      <c r="N1714" s="391" t="s">
        <v>2282</v>
      </c>
      <c r="O1714" s="387" t="s">
        <v>2692</v>
      </c>
      <c r="P1714" s="387" t="s">
        <v>3520</v>
      </c>
    </row>
    <row r="1715" spans="1:16">
      <c r="A1715" s="387" t="b">
        <v>1</v>
      </c>
      <c r="B1715" s="387"/>
      <c r="C1715" s="387" t="s">
        <v>3521</v>
      </c>
      <c r="D1715" s="392">
        <v>6</v>
      </c>
      <c r="E1715" s="389"/>
      <c r="F1715" s="391" t="s">
        <v>3522</v>
      </c>
      <c r="G1715" s="390"/>
      <c r="H1715" s="390"/>
      <c r="I1715" s="391"/>
      <c r="J1715" s="391" t="s">
        <v>2281</v>
      </c>
      <c r="K1715" s="387" t="str">
        <f ca="1">IFERROR(VLOOKUP(C1715,' Disaggregation - Section E '!A$618:J2404,3,0),"")</f>
        <v>TBP-1 Number of people in contact with TB patients who began preventive therapy</v>
      </c>
      <c r="L1715" s="387"/>
      <c r="M1715" s="387" t="s">
        <v>3523</v>
      </c>
      <c r="N1715" s="391" t="s">
        <v>2282</v>
      </c>
      <c r="O1715" s="387" t="s">
        <v>2692</v>
      </c>
      <c r="P1715" s="387" t="s">
        <v>3524</v>
      </c>
    </row>
    <row r="1716" spans="1:16">
      <c r="A1716" s="387" t="b">
        <v>1</v>
      </c>
      <c r="B1716" s="387"/>
      <c r="C1716" s="387" t="s">
        <v>3525</v>
      </c>
      <c r="D1716" s="392">
        <v>6</v>
      </c>
      <c r="E1716" s="389"/>
      <c r="F1716" s="391" t="s">
        <v>3346</v>
      </c>
      <c r="G1716" s="390"/>
      <c r="H1716" s="390"/>
      <c r="I1716" s="391"/>
      <c r="J1716" s="391" t="s">
        <v>2281</v>
      </c>
      <c r="K1716" s="387" t="str">
        <f ca="1">IFERROR(VLOOKUP(C1716,' Disaggregation - Section E '!A$618:J2405,3,0),"")</f>
        <v>TBP-1 Number of people in contact with TB patients who began preventive therapy</v>
      </c>
      <c r="L1716" s="387"/>
      <c r="M1716" s="387" t="s">
        <v>3526</v>
      </c>
      <c r="N1716" s="391" t="s">
        <v>2282</v>
      </c>
      <c r="O1716" s="387" t="s">
        <v>2692</v>
      </c>
      <c r="P1716" s="387" t="s">
        <v>3527</v>
      </c>
    </row>
    <row r="1717" spans="1:16">
      <c r="A1717" s="387" t="b">
        <v>1</v>
      </c>
      <c r="B1717" s="387"/>
      <c r="C1717" s="387" t="s">
        <v>3528</v>
      </c>
      <c r="D1717" s="392">
        <v>6</v>
      </c>
      <c r="E1717" s="389"/>
      <c r="F1717" s="391" t="s">
        <v>3356</v>
      </c>
      <c r="G1717" s="390"/>
      <c r="H1717" s="390"/>
      <c r="I1717" s="391"/>
      <c r="J1717" s="391" t="s">
        <v>2281</v>
      </c>
      <c r="K1717" s="387" t="str">
        <f ca="1">IFERROR(VLOOKUP(C1717,' Disaggregation - Section E '!A$618:J2406,3,0),"")</f>
        <v>TBP-1 Number of people in contact with TB patients who began preventive therapy</v>
      </c>
      <c r="L1717" s="387"/>
      <c r="M1717" s="387" t="s">
        <v>3529</v>
      </c>
      <c r="N1717" s="391" t="s">
        <v>2282</v>
      </c>
      <c r="O1717" s="387" t="s">
        <v>2692</v>
      </c>
      <c r="P1717" s="387" t="s">
        <v>3530</v>
      </c>
    </row>
    <row r="1718" spans="1:16">
      <c r="A1718" s="387" t="b">
        <v>1</v>
      </c>
      <c r="B1718" s="387"/>
      <c r="C1718" s="387" t="s">
        <v>3531</v>
      </c>
      <c r="D1718" s="392">
        <v>6</v>
      </c>
      <c r="E1718" s="389"/>
      <c r="F1718" s="391" t="s">
        <v>3417</v>
      </c>
      <c r="G1718" s="390"/>
      <c r="H1718" s="390"/>
      <c r="I1718" s="391"/>
      <c r="J1718" s="391" t="s">
        <v>2281</v>
      </c>
      <c r="K1718" s="387" t="str">
        <f ca="1">IFERROR(VLOOKUP(C1718,' Disaggregation - Section E '!A$618:J2407,3,0),"")</f>
        <v>TBP-1 Number of people in contact with TB patients who began preventive therapy</v>
      </c>
      <c r="L1718" s="387"/>
      <c r="M1718" s="387" t="s">
        <v>3532</v>
      </c>
      <c r="N1718" s="391" t="s">
        <v>2282</v>
      </c>
      <c r="O1718" s="387" t="s">
        <v>2692</v>
      </c>
      <c r="P1718" s="387" t="s">
        <v>3533</v>
      </c>
    </row>
    <row r="1719" spans="1:16">
      <c r="A1719" s="387" t="b">
        <v>1</v>
      </c>
      <c r="B1719" s="387"/>
      <c r="C1719" s="387" t="s">
        <v>3534</v>
      </c>
      <c r="D1719" s="392">
        <v>6</v>
      </c>
      <c r="E1719" s="389"/>
      <c r="F1719" s="391" t="s">
        <v>3535</v>
      </c>
      <c r="G1719" s="390"/>
      <c r="H1719" s="390"/>
      <c r="I1719" s="391"/>
      <c r="J1719" s="391" t="s">
        <v>2281</v>
      </c>
      <c r="K1719" s="387" t="str">
        <f ca="1">IFERROR(VLOOKUP(C1719,' Disaggregation - Section E '!A$618:J2408,3,0),"")</f>
        <v>TBP-1 Number of people in contact with TB patients who began preventive therapy</v>
      </c>
      <c r="L1719" s="387"/>
      <c r="M1719" s="387" t="s">
        <v>3536</v>
      </c>
      <c r="N1719" s="391" t="s">
        <v>2282</v>
      </c>
      <c r="O1719" s="387" t="s">
        <v>2692</v>
      </c>
      <c r="P1719" s="387" t="s">
        <v>3537</v>
      </c>
    </row>
    <row r="1720" spans="1:16">
      <c r="A1720" s="387" t="b">
        <v>1</v>
      </c>
      <c r="B1720" s="387"/>
      <c r="C1720" s="387" t="s">
        <v>3538</v>
      </c>
      <c r="D1720" s="392">
        <v>6</v>
      </c>
      <c r="E1720" s="389"/>
      <c r="F1720" s="391" t="s">
        <v>3539</v>
      </c>
      <c r="G1720" s="390"/>
      <c r="H1720" s="390"/>
      <c r="I1720" s="391"/>
      <c r="J1720" s="391" t="s">
        <v>2281</v>
      </c>
      <c r="K1720" s="387" t="str">
        <f ca="1">IFERROR(VLOOKUP(C1720,' Disaggregation - Section E '!A$618:J2409,3,0),"")</f>
        <v>TBP-1 Number of people in contact with TB patients who began preventive therapy</v>
      </c>
      <c r="L1720" s="387"/>
      <c r="M1720" s="387" t="s">
        <v>3540</v>
      </c>
      <c r="N1720" s="391" t="s">
        <v>2282</v>
      </c>
      <c r="O1720" s="387" t="s">
        <v>2692</v>
      </c>
      <c r="P1720" s="387" t="s">
        <v>3541</v>
      </c>
    </row>
    <row r="1721" spans="1:16">
      <c r="A1721" s="387" t="b">
        <v>1</v>
      </c>
      <c r="B1721" s="387"/>
      <c r="C1721" s="387" t="s">
        <v>3542</v>
      </c>
      <c r="D1721" s="392">
        <v>6</v>
      </c>
      <c r="E1721" s="389"/>
      <c r="F1721" s="391" t="s">
        <v>3543</v>
      </c>
      <c r="G1721" s="390"/>
      <c r="H1721" s="390"/>
      <c r="I1721" s="391"/>
      <c r="J1721" s="391" t="s">
        <v>2281</v>
      </c>
      <c r="K1721" s="387" t="str">
        <f ca="1">IFERROR(VLOOKUP(C1721,' Disaggregation - Section E '!A$618:J2410,3,0),"")</f>
        <v>TBP-1 Number of people in contact with TB patients who began preventive therapy</v>
      </c>
      <c r="L1721" s="387"/>
      <c r="M1721" s="387" t="s">
        <v>3544</v>
      </c>
      <c r="N1721" s="391" t="s">
        <v>2282</v>
      </c>
      <c r="O1721" s="387" t="s">
        <v>2692</v>
      </c>
      <c r="P1721" s="387" t="s">
        <v>3545</v>
      </c>
    </row>
    <row r="1722" spans="1:16">
      <c r="A1722" s="387" t="b">
        <v>1</v>
      </c>
      <c r="B1722" s="387"/>
      <c r="C1722" s="387" t="s">
        <v>3546</v>
      </c>
      <c r="D1722" s="392">
        <v>6</v>
      </c>
      <c r="E1722" s="389"/>
      <c r="F1722" s="391" t="s">
        <v>3547</v>
      </c>
      <c r="G1722" s="390">
        <v>59419</v>
      </c>
      <c r="H1722" s="390"/>
      <c r="I1722" s="391" t="s">
        <v>2328</v>
      </c>
      <c r="J1722" s="391" t="s">
        <v>780</v>
      </c>
      <c r="K1722" s="387" t="str">
        <f ca="1">IFERROR(VLOOKUP(C1722,' Disaggregation - Section E '!A$618:J2411,3,0),"")</f>
        <v>TBP-1 Number of people in contact with TB patients who began preventive therapy</v>
      </c>
      <c r="L1722" s="387"/>
      <c r="M1722" s="387" t="s">
        <v>3548</v>
      </c>
      <c r="N1722" s="391" t="s">
        <v>2282</v>
      </c>
      <c r="O1722" s="387" t="s">
        <v>2692</v>
      </c>
      <c r="P1722" s="387" t="s">
        <v>3549</v>
      </c>
    </row>
    <row r="1723" spans="1:16">
      <c r="A1723" s="387" t="b">
        <v>1</v>
      </c>
      <c r="B1723" s="387"/>
      <c r="C1723" s="387" t="s">
        <v>3550</v>
      </c>
      <c r="D1723" s="392">
        <v>6</v>
      </c>
      <c r="E1723" s="389"/>
      <c r="F1723" s="391" t="s">
        <v>3421</v>
      </c>
      <c r="G1723" s="390"/>
      <c r="H1723" s="390"/>
      <c r="I1723" s="391"/>
      <c r="J1723" s="391" t="s">
        <v>2281</v>
      </c>
      <c r="K1723" s="387" t="str">
        <f ca="1">IFERROR(VLOOKUP(C1723,' Disaggregation - Section E '!A$618:J2412,3,0),"")</f>
        <v>TBP-1 Number of people in contact with TB patients who began preventive therapy</v>
      </c>
      <c r="L1723" s="387"/>
      <c r="M1723" s="387" t="s">
        <v>3551</v>
      </c>
      <c r="N1723" s="391" t="s">
        <v>2282</v>
      </c>
      <c r="O1723" s="387" t="s">
        <v>2692</v>
      </c>
      <c r="P1723" s="387" t="s">
        <v>3552</v>
      </c>
    </row>
    <row r="1724" spans="1:16">
      <c r="A1724" s="387" t="b">
        <v>1</v>
      </c>
      <c r="B1724" s="387"/>
      <c r="C1724" s="387" t="s">
        <v>3553</v>
      </c>
      <c r="D1724" s="392">
        <v>6</v>
      </c>
      <c r="E1724" s="389"/>
      <c r="F1724" s="391" t="s">
        <v>3367</v>
      </c>
      <c r="G1724" s="390"/>
      <c r="H1724" s="390"/>
      <c r="I1724" s="391"/>
      <c r="J1724" s="391" t="s">
        <v>2281</v>
      </c>
      <c r="K1724" s="387" t="str">
        <f ca="1">IFERROR(VLOOKUP(C1724,' Disaggregation - Section E '!A$618:J2413,3,0),"")</f>
        <v>TBP-1 Number of people in contact with TB patients who began preventive therapy</v>
      </c>
      <c r="L1724" s="387"/>
      <c r="M1724" s="387" t="s">
        <v>3554</v>
      </c>
      <c r="N1724" s="391" t="s">
        <v>2282</v>
      </c>
      <c r="O1724" s="387" t="s">
        <v>2692</v>
      </c>
      <c r="P1724" s="387" t="s">
        <v>3555</v>
      </c>
    </row>
    <row r="1725" spans="1:16">
      <c r="A1725" s="387" t="b">
        <v>0</v>
      </c>
      <c r="B1725" s="387"/>
      <c r="C1725" s="387" t="s">
        <v>3556</v>
      </c>
      <c r="D1725" s="392">
        <v>6</v>
      </c>
      <c r="E1725" s="389"/>
      <c r="F1725" s="391"/>
      <c r="G1725" s="390"/>
      <c r="H1725" s="390"/>
      <c r="I1725" s="391"/>
      <c r="J1725" s="391"/>
      <c r="K1725" s="387" t="str">
        <f ca="1">IFERROR(VLOOKUP(C1725,' Disaggregation - Section E '!A$618:J2414,3,0),"")</f>
        <v>TBP-1 Number of people in contact with TB patients who began preventive therapy</v>
      </c>
      <c r="L1725" s="387"/>
      <c r="M1725" s="387"/>
      <c r="N1725" s="391"/>
      <c r="O1725" s="387" t="s">
        <v>2692</v>
      </c>
      <c r="P1725" s="387"/>
    </row>
    <row r="1726" spans="1:16">
      <c r="A1726" s="387" t="b">
        <v>0</v>
      </c>
      <c r="B1726" s="387"/>
      <c r="C1726" s="387" t="s">
        <v>3557</v>
      </c>
      <c r="D1726" s="392">
        <v>6</v>
      </c>
      <c r="E1726" s="389"/>
      <c r="F1726" s="391"/>
      <c r="G1726" s="390"/>
      <c r="H1726" s="390"/>
      <c r="I1726" s="391"/>
      <c r="J1726" s="391"/>
      <c r="K1726" s="387" t="str">
        <f ca="1">IFERROR(VLOOKUP(C1726,' Disaggregation - Section E '!A$618:J2415,3,0),"")</f>
        <v>TBP-1 Number of people in contact with TB patients who began preventive therapy</v>
      </c>
      <c r="L1726" s="387"/>
      <c r="M1726" s="387"/>
      <c r="N1726" s="391"/>
      <c r="O1726" s="387" t="s">
        <v>2692</v>
      </c>
      <c r="P1726" s="387"/>
    </row>
    <row r="1727" spans="1:16">
      <c r="A1727" s="387" t="b">
        <v>0</v>
      </c>
      <c r="B1727" s="387"/>
      <c r="C1727" s="387" t="s">
        <v>3558</v>
      </c>
      <c r="D1727" s="392">
        <v>6</v>
      </c>
      <c r="E1727" s="389"/>
      <c r="F1727" s="391"/>
      <c r="G1727" s="390"/>
      <c r="H1727" s="390"/>
      <c r="I1727" s="391"/>
      <c r="J1727" s="391"/>
      <c r="K1727" s="387" t="str">
        <f ca="1">IFERROR(VLOOKUP(C1727,' Disaggregation - Section E '!A$618:J2416,3,0),"")</f>
        <v>TBP-1 Number of people in contact with TB patients who began preventive therapy</v>
      </c>
      <c r="L1727" s="387"/>
      <c r="M1727" s="387"/>
      <c r="N1727" s="391"/>
      <c r="O1727" s="387" t="s">
        <v>2692</v>
      </c>
      <c r="P1727" s="387"/>
    </row>
    <row r="1728" spans="1:16">
      <c r="A1728" s="387" t="b">
        <v>0</v>
      </c>
      <c r="B1728" s="387"/>
      <c r="C1728" s="387" t="s">
        <v>3559</v>
      </c>
      <c r="D1728" s="392">
        <v>6</v>
      </c>
      <c r="E1728" s="389"/>
      <c r="F1728" s="391"/>
      <c r="G1728" s="390"/>
      <c r="H1728" s="390"/>
      <c r="I1728" s="391"/>
      <c r="J1728" s="391"/>
      <c r="K1728" s="387" t="str">
        <f ca="1">IFERROR(VLOOKUP(C1728,' Disaggregation - Section E '!A$618:J2417,3,0),"")</f>
        <v>TBP-1 Number of people in contact with TB patients who began preventive therapy</v>
      </c>
      <c r="L1728" s="387"/>
      <c r="M1728" s="387"/>
      <c r="N1728" s="391"/>
      <c r="O1728" s="387" t="s">
        <v>2692</v>
      </c>
      <c r="P1728" s="387"/>
    </row>
    <row r="1729" spans="1:16">
      <c r="A1729" s="387" t="b">
        <v>0</v>
      </c>
      <c r="B1729" s="387"/>
      <c r="C1729" s="387" t="s">
        <v>3560</v>
      </c>
      <c r="D1729" s="392">
        <v>6</v>
      </c>
      <c r="E1729" s="389"/>
      <c r="F1729" s="391"/>
      <c r="G1729" s="390"/>
      <c r="H1729" s="390"/>
      <c r="I1729" s="391"/>
      <c r="J1729" s="391"/>
      <c r="K1729" s="387" t="str">
        <f ca="1">IFERROR(VLOOKUP(C1729,' Disaggregation - Section E '!A$618:J2418,3,0),"")</f>
        <v>TBP-1 Number of people in contact with TB patients who began preventive therapy</v>
      </c>
      <c r="L1729" s="387"/>
      <c r="M1729" s="387"/>
      <c r="N1729" s="391"/>
      <c r="O1729" s="387" t="s">
        <v>2692</v>
      </c>
      <c r="P1729" s="387"/>
    </row>
    <row r="1730" spans="1:16">
      <c r="A1730" s="387" t="b">
        <v>0</v>
      </c>
      <c r="B1730" s="387"/>
      <c r="C1730" s="387" t="s">
        <v>3561</v>
      </c>
      <c r="D1730" s="392">
        <v>6</v>
      </c>
      <c r="E1730" s="389"/>
      <c r="F1730" s="391"/>
      <c r="G1730" s="390"/>
      <c r="H1730" s="390"/>
      <c r="I1730" s="391"/>
      <c r="J1730" s="391"/>
      <c r="K1730" s="387" t="str">
        <f ca="1">IFERROR(VLOOKUP(C1730,' Disaggregation - Section E '!A$618:J2419,3,0),"")</f>
        <v>TBP-1 Number of people in contact with TB patients who began preventive therapy</v>
      </c>
      <c r="L1730" s="387"/>
      <c r="M1730" s="387"/>
      <c r="N1730" s="391"/>
      <c r="O1730" s="387" t="s">
        <v>2692</v>
      </c>
      <c r="P1730" s="387"/>
    </row>
    <row r="1731" spans="1:16">
      <c r="A1731" s="387" t="b">
        <v>0</v>
      </c>
      <c r="B1731" s="387"/>
      <c r="C1731" s="387" t="s">
        <v>3562</v>
      </c>
      <c r="D1731" s="392">
        <v>6</v>
      </c>
      <c r="E1731" s="389"/>
      <c r="F1731" s="391"/>
      <c r="G1731" s="390"/>
      <c r="H1731" s="390"/>
      <c r="I1731" s="391"/>
      <c r="J1731" s="391"/>
      <c r="K1731" s="387" t="str">
        <f ca="1">IFERROR(VLOOKUP(C1731,' Disaggregation - Section E '!A$618:J2420,3,0),"")</f>
        <v>TBP-1 Number of people in contact with TB patients who began preventive therapy</v>
      </c>
      <c r="L1731" s="387"/>
      <c r="M1731" s="387"/>
      <c r="N1731" s="391"/>
      <c r="O1731" s="387" t="s">
        <v>2692</v>
      </c>
      <c r="P1731" s="387"/>
    </row>
    <row r="1732" spans="1:16">
      <c r="A1732" s="387" t="b">
        <v>0</v>
      </c>
      <c r="B1732" s="387"/>
      <c r="C1732" s="387" t="s">
        <v>3563</v>
      </c>
      <c r="D1732" s="392">
        <v>7</v>
      </c>
      <c r="E1732" s="389"/>
      <c r="F1732" s="391"/>
      <c r="G1732" s="390"/>
      <c r="H1732" s="390"/>
      <c r="I1732" s="391"/>
      <c r="J1732" s="391"/>
      <c r="K1732" s="387" t="str">
        <f ca="1">IFERROR(VLOOKUP(C1732,' Disaggregation - Section E '!A$618:J2421,3,0),"")</f>
        <v>KVP-1 Number of people with TB (all forms) notified among prisoners; *includes only those with new and relapse TB</v>
      </c>
      <c r="L1732" s="387"/>
      <c r="M1732" s="387"/>
      <c r="N1732" s="391"/>
      <c r="O1732" s="387" t="s">
        <v>2699</v>
      </c>
      <c r="P1732" s="387"/>
    </row>
    <row r="1733" spans="1:16">
      <c r="A1733" s="387" t="b">
        <v>0</v>
      </c>
      <c r="B1733" s="387"/>
      <c r="C1733" s="387" t="s">
        <v>3564</v>
      </c>
      <c r="D1733" s="392">
        <v>7</v>
      </c>
      <c r="E1733" s="389"/>
      <c r="F1733" s="391"/>
      <c r="G1733" s="390"/>
      <c r="H1733" s="390"/>
      <c r="I1733" s="391"/>
      <c r="J1733" s="391"/>
      <c r="K1733" s="387" t="str">
        <f ca="1">IFERROR(VLOOKUP(C1733,' Disaggregation - Section E '!A$618:J2422,3,0),"")</f>
        <v>KVP-1 Number of people with TB (all forms) notified among prisoners; *includes only those with new and relapse TB</v>
      </c>
      <c r="L1733" s="387"/>
      <c r="M1733" s="387"/>
      <c r="N1733" s="391"/>
      <c r="O1733" s="387" t="s">
        <v>2699</v>
      </c>
      <c r="P1733" s="387"/>
    </row>
    <row r="1734" spans="1:16">
      <c r="A1734" s="387" t="b">
        <v>0</v>
      </c>
      <c r="B1734" s="387"/>
      <c r="C1734" s="387" t="s">
        <v>3565</v>
      </c>
      <c r="D1734" s="392">
        <v>7</v>
      </c>
      <c r="E1734" s="389"/>
      <c r="F1734" s="391"/>
      <c r="G1734" s="390"/>
      <c r="H1734" s="390"/>
      <c r="I1734" s="391"/>
      <c r="J1734" s="391"/>
      <c r="K1734" s="387" t="str">
        <f ca="1">IFERROR(VLOOKUP(C1734,' Disaggregation - Section E '!A$618:J2423,3,0),"")</f>
        <v>KVP-1 Number of people with TB (all forms) notified among prisoners; *includes only those with new and relapse TB</v>
      </c>
      <c r="L1734" s="387"/>
      <c r="M1734" s="387"/>
      <c r="N1734" s="391"/>
      <c r="O1734" s="387" t="s">
        <v>2699</v>
      </c>
      <c r="P1734" s="387"/>
    </row>
    <row r="1735" spans="1:16">
      <c r="A1735" s="387" t="b">
        <v>0</v>
      </c>
      <c r="B1735" s="387"/>
      <c r="C1735" s="387" t="s">
        <v>3566</v>
      </c>
      <c r="D1735" s="392">
        <v>7</v>
      </c>
      <c r="E1735" s="389"/>
      <c r="F1735" s="391"/>
      <c r="G1735" s="390"/>
      <c r="H1735" s="390"/>
      <c r="I1735" s="391"/>
      <c r="J1735" s="391"/>
      <c r="K1735" s="387" t="str">
        <f ca="1">IFERROR(VLOOKUP(C1735,' Disaggregation - Section E '!A$618:J2424,3,0),"")</f>
        <v>KVP-1 Number of people with TB (all forms) notified among prisoners; *includes only those with new and relapse TB</v>
      </c>
      <c r="L1735" s="387"/>
      <c r="M1735" s="387"/>
      <c r="N1735" s="391"/>
      <c r="O1735" s="387" t="s">
        <v>2699</v>
      </c>
      <c r="P1735" s="387"/>
    </row>
    <row r="1736" spans="1:16">
      <c r="A1736" s="387" t="b">
        <v>0</v>
      </c>
      <c r="B1736" s="387"/>
      <c r="C1736" s="387" t="s">
        <v>3567</v>
      </c>
      <c r="D1736" s="392">
        <v>7</v>
      </c>
      <c r="E1736" s="389"/>
      <c r="F1736" s="391"/>
      <c r="G1736" s="390"/>
      <c r="H1736" s="390"/>
      <c r="I1736" s="391"/>
      <c r="J1736" s="391"/>
      <c r="K1736" s="387" t="str">
        <f ca="1">IFERROR(VLOOKUP(C1736,' Disaggregation - Section E '!A$618:J2425,3,0),"")</f>
        <v>KVP-1 Number of people with TB (all forms) notified among prisoners; *includes only those with new and relapse TB</v>
      </c>
      <c r="L1736" s="387"/>
      <c r="M1736" s="387"/>
      <c r="N1736" s="391"/>
      <c r="O1736" s="387" t="s">
        <v>2699</v>
      </c>
      <c r="P1736" s="387"/>
    </row>
    <row r="1737" spans="1:16">
      <c r="A1737" s="387" t="b">
        <v>0</v>
      </c>
      <c r="B1737" s="387"/>
      <c r="C1737" s="387" t="s">
        <v>3568</v>
      </c>
      <c r="D1737" s="392">
        <v>7</v>
      </c>
      <c r="E1737" s="389"/>
      <c r="F1737" s="391"/>
      <c r="G1737" s="390"/>
      <c r="H1737" s="390"/>
      <c r="I1737" s="391"/>
      <c r="J1737" s="391"/>
      <c r="K1737" s="387" t="str">
        <f ca="1">IFERROR(VLOOKUP(C1737,' Disaggregation - Section E '!A$618:J2426,3,0),"")</f>
        <v>KVP-1 Number of people with TB (all forms) notified among prisoners; *includes only those with new and relapse TB</v>
      </c>
      <c r="L1737" s="387"/>
      <c r="M1737" s="387"/>
      <c r="N1737" s="391"/>
      <c r="O1737" s="387" t="s">
        <v>2699</v>
      </c>
      <c r="P1737" s="387"/>
    </row>
    <row r="1738" spans="1:16">
      <c r="A1738" s="387" t="b">
        <v>0</v>
      </c>
      <c r="B1738" s="387"/>
      <c r="C1738" s="387" t="s">
        <v>3569</v>
      </c>
      <c r="D1738" s="392">
        <v>7</v>
      </c>
      <c r="E1738" s="389"/>
      <c r="F1738" s="391"/>
      <c r="G1738" s="390"/>
      <c r="H1738" s="390"/>
      <c r="I1738" s="391"/>
      <c r="J1738" s="391"/>
      <c r="K1738" s="387" t="str">
        <f ca="1">IFERROR(VLOOKUP(C1738,' Disaggregation - Section E '!A$618:J2427,3,0),"")</f>
        <v>KVP-1 Number of people with TB (all forms) notified among prisoners; *includes only those with new and relapse TB</v>
      </c>
      <c r="L1738" s="387"/>
      <c r="M1738" s="387"/>
      <c r="N1738" s="391"/>
      <c r="O1738" s="387" t="s">
        <v>2699</v>
      </c>
      <c r="P1738" s="387"/>
    </row>
    <row r="1739" spans="1:16">
      <c r="A1739" s="387" t="b">
        <v>0</v>
      </c>
      <c r="B1739" s="387"/>
      <c r="C1739" s="387" t="s">
        <v>3570</v>
      </c>
      <c r="D1739" s="392">
        <v>7</v>
      </c>
      <c r="E1739" s="389"/>
      <c r="F1739" s="391"/>
      <c r="G1739" s="390"/>
      <c r="H1739" s="390"/>
      <c r="I1739" s="391"/>
      <c r="J1739" s="391"/>
      <c r="K1739" s="387" t="str">
        <f ca="1">IFERROR(VLOOKUP(C1739,' Disaggregation - Section E '!A$618:J2428,3,0),"")</f>
        <v>KVP-1 Number of people with TB (all forms) notified among prisoners; *includes only those with new and relapse TB</v>
      </c>
      <c r="L1739" s="387"/>
      <c r="M1739" s="387"/>
      <c r="N1739" s="391"/>
      <c r="O1739" s="387" t="s">
        <v>2699</v>
      </c>
      <c r="P1739" s="387"/>
    </row>
    <row r="1740" spans="1:16">
      <c r="A1740" s="387" t="b">
        <v>0</v>
      </c>
      <c r="B1740" s="387"/>
      <c r="C1740" s="387" t="s">
        <v>3571</v>
      </c>
      <c r="D1740" s="392">
        <v>7</v>
      </c>
      <c r="E1740" s="389"/>
      <c r="F1740" s="391"/>
      <c r="G1740" s="390"/>
      <c r="H1740" s="390"/>
      <c r="I1740" s="391"/>
      <c r="J1740" s="391"/>
      <c r="K1740" s="387" t="str">
        <f ca="1">IFERROR(VLOOKUP(C1740,' Disaggregation - Section E '!A$618:J2429,3,0),"")</f>
        <v>KVP-1 Number of people with TB (all forms) notified among prisoners; *includes only those with new and relapse TB</v>
      </c>
      <c r="L1740" s="387"/>
      <c r="M1740" s="387"/>
      <c r="N1740" s="391"/>
      <c r="O1740" s="387" t="s">
        <v>2699</v>
      </c>
      <c r="P1740" s="387"/>
    </row>
    <row r="1741" spans="1:16">
      <c r="A1741" s="387" t="b">
        <v>0</v>
      </c>
      <c r="B1741" s="387"/>
      <c r="C1741" s="387" t="s">
        <v>3572</v>
      </c>
      <c r="D1741" s="392">
        <v>7</v>
      </c>
      <c r="E1741" s="389"/>
      <c r="F1741" s="391"/>
      <c r="G1741" s="390"/>
      <c r="H1741" s="390"/>
      <c r="I1741" s="391"/>
      <c r="J1741" s="391"/>
      <c r="K1741" s="387" t="str">
        <f ca="1">IFERROR(VLOOKUP(C1741,' Disaggregation - Section E '!A$618:J2430,3,0),"")</f>
        <v>KVP-1 Number of people with TB (all forms) notified among prisoners; *includes only those with new and relapse TB</v>
      </c>
      <c r="L1741" s="387"/>
      <c r="M1741" s="387"/>
      <c r="N1741" s="391"/>
      <c r="O1741" s="387" t="s">
        <v>2699</v>
      </c>
      <c r="P1741" s="387"/>
    </row>
    <row r="1742" spans="1:16">
      <c r="A1742" s="387" t="b">
        <v>0</v>
      </c>
      <c r="B1742" s="387"/>
      <c r="C1742" s="387" t="s">
        <v>3573</v>
      </c>
      <c r="D1742" s="392">
        <v>7</v>
      </c>
      <c r="E1742" s="389"/>
      <c r="F1742" s="391"/>
      <c r="G1742" s="390"/>
      <c r="H1742" s="390"/>
      <c r="I1742" s="391"/>
      <c r="J1742" s="391"/>
      <c r="K1742" s="387" t="str">
        <f ca="1">IFERROR(VLOOKUP(C1742,' Disaggregation - Section E '!A$618:J2431,3,0),"")</f>
        <v>KVP-1 Number of people with TB (all forms) notified among prisoners; *includes only those with new and relapse TB</v>
      </c>
      <c r="L1742" s="387"/>
      <c r="M1742" s="387"/>
      <c r="N1742" s="391"/>
      <c r="O1742" s="387" t="s">
        <v>2699</v>
      </c>
      <c r="P1742" s="387"/>
    </row>
    <row r="1743" spans="1:16">
      <c r="A1743" s="387" t="b">
        <v>0</v>
      </c>
      <c r="B1743" s="387"/>
      <c r="C1743" s="387" t="s">
        <v>3574</v>
      </c>
      <c r="D1743" s="392">
        <v>7</v>
      </c>
      <c r="E1743" s="389"/>
      <c r="F1743" s="391"/>
      <c r="G1743" s="390"/>
      <c r="H1743" s="390"/>
      <c r="I1743" s="391"/>
      <c r="J1743" s="391"/>
      <c r="K1743" s="387" t="str">
        <f ca="1">IFERROR(VLOOKUP(C1743,' Disaggregation - Section E '!A$618:J2432,3,0),"")</f>
        <v>KVP-1 Number of people with TB (all forms) notified among prisoners; *includes only those with new and relapse TB</v>
      </c>
      <c r="L1743" s="387"/>
      <c r="M1743" s="387"/>
      <c r="N1743" s="391"/>
      <c r="O1743" s="387" t="s">
        <v>2699</v>
      </c>
      <c r="P1743" s="387"/>
    </row>
    <row r="1744" spans="1:16">
      <c r="A1744" s="387" t="b">
        <v>0</v>
      </c>
      <c r="B1744" s="387"/>
      <c r="C1744" s="387" t="s">
        <v>3575</v>
      </c>
      <c r="D1744" s="392">
        <v>7</v>
      </c>
      <c r="E1744" s="389"/>
      <c r="F1744" s="391"/>
      <c r="G1744" s="390"/>
      <c r="H1744" s="390"/>
      <c r="I1744" s="391"/>
      <c r="J1744" s="391"/>
      <c r="K1744" s="387" t="str">
        <f ca="1">IFERROR(VLOOKUP(C1744,' Disaggregation - Section E '!A$618:J2433,3,0),"")</f>
        <v>KVP-1 Number of people with TB (all forms) notified among prisoners; *includes only those with new and relapse TB</v>
      </c>
      <c r="L1744" s="387"/>
      <c r="M1744" s="387"/>
      <c r="N1744" s="391"/>
      <c r="O1744" s="387" t="s">
        <v>2699</v>
      </c>
      <c r="P1744" s="387"/>
    </row>
    <row r="1745" spans="1:16">
      <c r="A1745" s="387" t="b">
        <v>0</v>
      </c>
      <c r="B1745" s="387"/>
      <c r="C1745" s="387" t="s">
        <v>3576</v>
      </c>
      <c r="D1745" s="392">
        <v>7</v>
      </c>
      <c r="E1745" s="389"/>
      <c r="F1745" s="391"/>
      <c r="G1745" s="390"/>
      <c r="H1745" s="390"/>
      <c r="I1745" s="391"/>
      <c r="J1745" s="391"/>
      <c r="K1745" s="387" t="str">
        <f ca="1">IFERROR(VLOOKUP(C1745,' Disaggregation - Section E '!A$618:J2434,3,0),"")</f>
        <v>KVP-1 Number of people with TB (all forms) notified among prisoners; *includes only those with new and relapse TB</v>
      </c>
      <c r="L1745" s="387"/>
      <c r="M1745" s="387"/>
      <c r="N1745" s="391"/>
      <c r="O1745" s="387" t="s">
        <v>2699</v>
      </c>
      <c r="P1745" s="387"/>
    </row>
    <row r="1746" spans="1:16">
      <c r="A1746" s="387" t="b">
        <v>0</v>
      </c>
      <c r="B1746" s="387"/>
      <c r="C1746" s="387" t="s">
        <v>3577</v>
      </c>
      <c r="D1746" s="392">
        <v>7</v>
      </c>
      <c r="E1746" s="389"/>
      <c r="F1746" s="391"/>
      <c r="G1746" s="390"/>
      <c r="H1746" s="390"/>
      <c r="I1746" s="391"/>
      <c r="J1746" s="391"/>
      <c r="K1746" s="387" t="str">
        <f ca="1">IFERROR(VLOOKUP(C1746,' Disaggregation - Section E '!A$618:J2435,3,0),"")</f>
        <v>KVP-1 Number of people with TB (all forms) notified among prisoners; *includes only those with new and relapse TB</v>
      </c>
      <c r="L1746" s="387"/>
      <c r="M1746" s="387"/>
      <c r="N1746" s="391"/>
      <c r="O1746" s="387" t="s">
        <v>2699</v>
      </c>
      <c r="P1746" s="387"/>
    </row>
    <row r="1747" spans="1:16">
      <c r="A1747" s="387" t="b">
        <v>0</v>
      </c>
      <c r="B1747" s="387"/>
      <c r="C1747" s="387" t="s">
        <v>3578</v>
      </c>
      <c r="D1747" s="392">
        <v>7</v>
      </c>
      <c r="E1747" s="389"/>
      <c r="F1747" s="391"/>
      <c r="G1747" s="390"/>
      <c r="H1747" s="390"/>
      <c r="I1747" s="391"/>
      <c r="J1747" s="391"/>
      <c r="K1747" s="387" t="str">
        <f ca="1">IFERROR(VLOOKUP(C1747,' Disaggregation - Section E '!A$618:J2436,3,0),"")</f>
        <v>KVP-1 Number of people with TB (all forms) notified among prisoners; *includes only those with new and relapse TB</v>
      </c>
      <c r="L1747" s="387"/>
      <c r="M1747" s="387"/>
      <c r="N1747" s="391"/>
      <c r="O1747" s="387" t="s">
        <v>2699</v>
      </c>
      <c r="P1747" s="387"/>
    </row>
    <row r="1748" spans="1:16">
      <c r="A1748" s="387" t="b">
        <v>0</v>
      </c>
      <c r="B1748" s="387"/>
      <c r="C1748" s="387" t="s">
        <v>3579</v>
      </c>
      <c r="D1748" s="392">
        <v>7</v>
      </c>
      <c r="E1748" s="389"/>
      <c r="F1748" s="391"/>
      <c r="G1748" s="390"/>
      <c r="H1748" s="390"/>
      <c r="I1748" s="391"/>
      <c r="J1748" s="391"/>
      <c r="K1748" s="387" t="str">
        <f ca="1">IFERROR(VLOOKUP(C1748,' Disaggregation - Section E '!A$618:J2437,3,0),"")</f>
        <v>KVP-1 Number of people with TB (all forms) notified among prisoners; *includes only those with new and relapse TB</v>
      </c>
      <c r="L1748" s="387"/>
      <c r="M1748" s="387"/>
      <c r="N1748" s="391"/>
      <c r="O1748" s="387" t="s">
        <v>2699</v>
      </c>
      <c r="P1748" s="387"/>
    </row>
    <row r="1749" spans="1:16">
      <c r="A1749" s="387" t="b">
        <v>0</v>
      </c>
      <c r="B1749" s="387"/>
      <c r="C1749" s="387" t="s">
        <v>3580</v>
      </c>
      <c r="D1749" s="392">
        <v>7</v>
      </c>
      <c r="E1749" s="389"/>
      <c r="F1749" s="391"/>
      <c r="G1749" s="390"/>
      <c r="H1749" s="390"/>
      <c r="I1749" s="391"/>
      <c r="J1749" s="391"/>
      <c r="K1749" s="387" t="str">
        <f ca="1">IFERROR(VLOOKUP(C1749,' Disaggregation - Section E '!A$618:J2438,3,0),"")</f>
        <v>KVP-1 Number of people with TB (all forms) notified among prisoners; *includes only those with new and relapse TB</v>
      </c>
      <c r="L1749" s="387"/>
      <c r="M1749" s="387"/>
      <c r="N1749" s="391"/>
      <c r="O1749" s="387" t="s">
        <v>2699</v>
      </c>
      <c r="P1749" s="387"/>
    </row>
    <row r="1750" spans="1:16">
      <c r="A1750" s="387" t="b">
        <v>0</v>
      </c>
      <c r="B1750" s="387"/>
      <c r="C1750" s="387" t="s">
        <v>3581</v>
      </c>
      <c r="D1750" s="392">
        <v>7</v>
      </c>
      <c r="E1750" s="389"/>
      <c r="F1750" s="391"/>
      <c r="G1750" s="390"/>
      <c r="H1750" s="390"/>
      <c r="I1750" s="391"/>
      <c r="J1750" s="391"/>
      <c r="K1750" s="387" t="str">
        <f ca="1">IFERROR(VLOOKUP(C1750,' Disaggregation - Section E '!A$618:J2439,3,0),"")</f>
        <v>KVP-1 Number of people with TB (all forms) notified among prisoners; *includes only those with new and relapse TB</v>
      </c>
      <c r="L1750" s="387"/>
      <c r="M1750" s="387"/>
      <c r="N1750" s="391"/>
      <c r="O1750" s="387" t="s">
        <v>2699</v>
      </c>
      <c r="P1750" s="387"/>
    </row>
    <row r="1751" spans="1:16">
      <c r="A1751" s="387" t="b">
        <v>0</v>
      </c>
      <c r="B1751" s="387"/>
      <c r="C1751" s="387" t="s">
        <v>3582</v>
      </c>
      <c r="D1751" s="392">
        <v>7</v>
      </c>
      <c r="E1751" s="389"/>
      <c r="F1751" s="391"/>
      <c r="G1751" s="390"/>
      <c r="H1751" s="390"/>
      <c r="I1751" s="391"/>
      <c r="J1751" s="391"/>
      <c r="K1751" s="387" t="str">
        <f ca="1">IFERROR(VLOOKUP(C1751,' Disaggregation - Section E '!A$618:J2440,3,0),"")</f>
        <v>KVP-1 Number of people with TB (all forms) notified among prisoners; *includes only those with new and relapse TB</v>
      </c>
      <c r="L1751" s="387"/>
      <c r="M1751" s="387"/>
      <c r="N1751" s="391"/>
      <c r="O1751" s="387" t="s">
        <v>2699</v>
      </c>
      <c r="P1751" s="387"/>
    </row>
    <row r="1752" spans="1:16">
      <c r="A1752" s="387" t="b">
        <v>0</v>
      </c>
      <c r="B1752" s="387"/>
      <c r="C1752" s="387" t="s">
        <v>3583</v>
      </c>
      <c r="D1752" s="392">
        <v>8</v>
      </c>
      <c r="E1752" s="389"/>
      <c r="F1752" s="391"/>
      <c r="G1752" s="390"/>
      <c r="H1752" s="390"/>
      <c r="I1752" s="391"/>
      <c r="J1752" s="391"/>
      <c r="K1752" s="387" t="str">
        <f ca="1">IFERROR(VLOOKUP(C1752,' Disaggregation - Section E '!A$618:J2441,3,0),"")</f>
        <v>KVP-2 Number of people with TB (all forms) notified among key affected populations/high risk groups (other than prisoners); *includes only those with new and relapse</v>
      </c>
      <c r="L1752" s="387"/>
      <c r="M1752" s="387"/>
      <c r="N1752" s="391"/>
      <c r="O1752" s="387" t="s">
        <v>2706</v>
      </c>
      <c r="P1752" s="387"/>
    </row>
    <row r="1753" spans="1:16">
      <c r="A1753" s="387" t="b">
        <v>0</v>
      </c>
      <c r="B1753" s="387"/>
      <c r="C1753" s="387" t="s">
        <v>3584</v>
      </c>
      <c r="D1753" s="392">
        <v>8</v>
      </c>
      <c r="E1753" s="389"/>
      <c r="F1753" s="391"/>
      <c r="G1753" s="390"/>
      <c r="H1753" s="390"/>
      <c r="I1753" s="391"/>
      <c r="J1753" s="391"/>
      <c r="K1753" s="387" t="str">
        <f ca="1">IFERROR(VLOOKUP(C1753,' Disaggregation - Section E '!A$618:J2442,3,0),"")</f>
        <v>KVP-2 Number of people with TB (all forms) notified among key affected populations/high risk groups (other than prisoners); *includes only those with new and relapse</v>
      </c>
      <c r="L1753" s="387"/>
      <c r="M1753" s="387"/>
      <c r="N1753" s="391"/>
      <c r="O1753" s="387" t="s">
        <v>2706</v>
      </c>
      <c r="P1753" s="387"/>
    </row>
    <row r="1754" spans="1:16">
      <c r="A1754" s="387" t="b">
        <v>0</v>
      </c>
      <c r="B1754" s="387"/>
      <c r="C1754" s="387" t="s">
        <v>3585</v>
      </c>
      <c r="D1754" s="392">
        <v>8</v>
      </c>
      <c r="E1754" s="389"/>
      <c r="F1754" s="391"/>
      <c r="G1754" s="390"/>
      <c r="H1754" s="390"/>
      <c r="I1754" s="391"/>
      <c r="J1754" s="391"/>
      <c r="K1754" s="387" t="str">
        <f ca="1">IFERROR(VLOOKUP(C1754,' Disaggregation - Section E '!A$618:J2443,3,0),"")</f>
        <v>KVP-2 Number of people with TB (all forms) notified among key affected populations/high risk groups (other than prisoners); *includes only those with new and relapse</v>
      </c>
      <c r="L1754" s="387"/>
      <c r="M1754" s="387"/>
      <c r="N1754" s="391"/>
      <c r="O1754" s="387" t="s">
        <v>2706</v>
      </c>
      <c r="P1754" s="387"/>
    </row>
    <row r="1755" spans="1:16">
      <c r="A1755" s="387" t="b">
        <v>0</v>
      </c>
      <c r="B1755" s="387"/>
      <c r="C1755" s="387" t="s">
        <v>3586</v>
      </c>
      <c r="D1755" s="392">
        <v>8</v>
      </c>
      <c r="E1755" s="389"/>
      <c r="F1755" s="391"/>
      <c r="G1755" s="390"/>
      <c r="H1755" s="390"/>
      <c r="I1755" s="391"/>
      <c r="J1755" s="391"/>
      <c r="K1755" s="387" t="str">
        <f ca="1">IFERROR(VLOOKUP(C1755,' Disaggregation - Section E '!A$618:J2444,3,0),"")</f>
        <v>KVP-2 Number of people with TB (all forms) notified among key affected populations/high risk groups (other than prisoners); *includes only those with new and relapse</v>
      </c>
      <c r="L1755" s="387"/>
      <c r="M1755" s="387"/>
      <c r="N1755" s="391"/>
      <c r="O1755" s="387" t="s">
        <v>2706</v>
      </c>
      <c r="P1755" s="387"/>
    </row>
    <row r="1756" spans="1:16">
      <c r="A1756" s="387" t="b">
        <v>0</v>
      </c>
      <c r="B1756" s="387"/>
      <c r="C1756" s="387" t="s">
        <v>3587</v>
      </c>
      <c r="D1756" s="392">
        <v>8</v>
      </c>
      <c r="E1756" s="389"/>
      <c r="F1756" s="391"/>
      <c r="G1756" s="390"/>
      <c r="H1756" s="390"/>
      <c r="I1756" s="391"/>
      <c r="J1756" s="391"/>
      <c r="K1756" s="387" t="str">
        <f ca="1">IFERROR(VLOOKUP(C1756,' Disaggregation - Section E '!A$618:J2445,3,0),"")</f>
        <v>KVP-2 Number of people with TB (all forms) notified among key affected populations/high risk groups (other than prisoners); *includes only those with new and relapse</v>
      </c>
      <c r="L1756" s="387"/>
      <c r="M1756" s="387"/>
      <c r="N1756" s="391"/>
      <c r="O1756" s="387" t="s">
        <v>2706</v>
      </c>
      <c r="P1756" s="387"/>
    </row>
    <row r="1757" spans="1:16">
      <c r="A1757" s="387" t="b">
        <v>0</v>
      </c>
      <c r="B1757" s="387"/>
      <c r="C1757" s="387" t="s">
        <v>3588</v>
      </c>
      <c r="D1757" s="392">
        <v>8</v>
      </c>
      <c r="E1757" s="389"/>
      <c r="F1757" s="391"/>
      <c r="G1757" s="390"/>
      <c r="H1757" s="390"/>
      <c r="I1757" s="391"/>
      <c r="J1757" s="391"/>
      <c r="K1757" s="387" t="str">
        <f ca="1">IFERROR(VLOOKUP(C1757,' Disaggregation - Section E '!A$618:J2446,3,0),"")</f>
        <v>KVP-2 Number of people with TB (all forms) notified among key affected populations/high risk groups (other than prisoners); *includes only those with new and relapse</v>
      </c>
      <c r="L1757" s="387"/>
      <c r="M1757" s="387"/>
      <c r="N1757" s="391"/>
      <c r="O1757" s="387" t="s">
        <v>2706</v>
      </c>
      <c r="P1757" s="387"/>
    </row>
    <row r="1758" spans="1:16">
      <c r="A1758" s="387" t="b">
        <v>0</v>
      </c>
      <c r="B1758" s="387"/>
      <c r="C1758" s="387" t="s">
        <v>3589</v>
      </c>
      <c r="D1758" s="392">
        <v>8</v>
      </c>
      <c r="E1758" s="389"/>
      <c r="F1758" s="391"/>
      <c r="G1758" s="390"/>
      <c r="H1758" s="390"/>
      <c r="I1758" s="391"/>
      <c r="J1758" s="391"/>
      <c r="K1758" s="387" t="str">
        <f ca="1">IFERROR(VLOOKUP(C1758,' Disaggregation - Section E '!A$618:J2447,3,0),"")</f>
        <v>KVP-2 Number of people with TB (all forms) notified among key affected populations/high risk groups (other than prisoners); *includes only those with new and relapse</v>
      </c>
      <c r="L1758" s="387"/>
      <c r="M1758" s="387"/>
      <c r="N1758" s="391"/>
      <c r="O1758" s="387" t="s">
        <v>2706</v>
      </c>
      <c r="P1758" s="387"/>
    </row>
    <row r="1759" spans="1:16">
      <c r="A1759" s="387" t="b">
        <v>0</v>
      </c>
      <c r="B1759" s="387"/>
      <c r="C1759" s="387" t="s">
        <v>3590</v>
      </c>
      <c r="D1759" s="392">
        <v>8</v>
      </c>
      <c r="E1759" s="389"/>
      <c r="F1759" s="391"/>
      <c r="G1759" s="390"/>
      <c r="H1759" s="390"/>
      <c r="I1759" s="391"/>
      <c r="J1759" s="391"/>
      <c r="K1759" s="387" t="str">
        <f ca="1">IFERROR(VLOOKUP(C1759,' Disaggregation - Section E '!A$618:J2448,3,0),"")</f>
        <v>KVP-2 Number of people with TB (all forms) notified among key affected populations/high risk groups (other than prisoners); *includes only those with new and relapse</v>
      </c>
      <c r="L1759" s="387"/>
      <c r="M1759" s="387"/>
      <c r="N1759" s="391"/>
      <c r="O1759" s="387" t="s">
        <v>2706</v>
      </c>
      <c r="P1759" s="387"/>
    </row>
    <row r="1760" spans="1:16">
      <c r="A1760" s="387" t="b">
        <v>0</v>
      </c>
      <c r="B1760" s="387"/>
      <c r="C1760" s="387" t="s">
        <v>3591</v>
      </c>
      <c r="D1760" s="392">
        <v>8</v>
      </c>
      <c r="E1760" s="389"/>
      <c r="F1760" s="391"/>
      <c r="G1760" s="390"/>
      <c r="H1760" s="390"/>
      <c r="I1760" s="391"/>
      <c r="J1760" s="391"/>
      <c r="K1760" s="387" t="str">
        <f ca="1">IFERROR(VLOOKUP(C1760,' Disaggregation - Section E '!A$618:J2449,3,0),"")</f>
        <v>KVP-2 Number of people with TB (all forms) notified among key affected populations/high risk groups (other than prisoners); *includes only those with new and relapse</v>
      </c>
      <c r="L1760" s="387"/>
      <c r="M1760" s="387"/>
      <c r="N1760" s="391"/>
      <c r="O1760" s="387" t="s">
        <v>2706</v>
      </c>
      <c r="P1760" s="387"/>
    </row>
    <row r="1761" spans="1:16">
      <c r="A1761" s="387" t="b">
        <v>0</v>
      </c>
      <c r="B1761" s="387"/>
      <c r="C1761" s="387" t="s">
        <v>3592</v>
      </c>
      <c r="D1761" s="392">
        <v>8</v>
      </c>
      <c r="E1761" s="389"/>
      <c r="F1761" s="391"/>
      <c r="G1761" s="390"/>
      <c r="H1761" s="390"/>
      <c r="I1761" s="391"/>
      <c r="J1761" s="391"/>
      <c r="K1761" s="387" t="str">
        <f ca="1">IFERROR(VLOOKUP(C1761,' Disaggregation - Section E '!A$618:J2450,3,0),"")</f>
        <v>KVP-2 Number of people with TB (all forms) notified among key affected populations/high risk groups (other than prisoners); *includes only those with new and relapse</v>
      </c>
      <c r="L1761" s="387"/>
      <c r="M1761" s="387"/>
      <c r="N1761" s="391"/>
      <c r="O1761" s="387" t="s">
        <v>2706</v>
      </c>
      <c r="P1761" s="387"/>
    </row>
    <row r="1762" spans="1:16">
      <c r="A1762" s="387" t="b">
        <v>0</v>
      </c>
      <c r="B1762" s="387"/>
      <c r="C1762" s="387" t="s">
        <v>3593</v>
      </c>
      <c r="D1762" s="392">
        <v>8</v>
      </c>
      <c r="E1762" s="389"/>
      <c r="F1762" s="391"/>
      <c r="G1762" s="390"/>
      <c r="H1762" s="390"/>
      <c r="I1762" s="391"/>
      <c r="J1762" s="391"/>
      <c r="K1762" s="387" t="str">
        <f ca="1">IFERROR(VLOOKUP(C1762,' Disaggregation - Section E '!A$618:J2451,3,0),"")</f>
        <v>KVP-2 Number of people with TB (all forms) notified among key affected populations/high risk groups (other than prisoners); *includes only those with new and relapse</v>
      </c>
      <c r="L1762" s="387"/>
      <c r="M1762" s="387"/>
      <c r="N1762" s="391"/>
      <c r="O1762" s="387" t="s">
        <v>2706</v>
      </c>
      <c r="P1762" s="387"/>
    </row>
    <row r="1763" spans="1:16">
      <c r="A1763" s="387" t="b">
        <v>0</v>
      </c>
      <c r="B1763" s="387"/>
      <c r="C1763" s="387" t="s">
        <v>3594</v>
      </c>
      <c r="D1763" s="392">
        <v>8</v>
      </c>
      <c r="E1763" s="389"/>
      <c r="F1763" s="391"/>
      <c r="G1763" s="390"/>
      <c r="H1763" s="390"/>
      <c r="I1763" s="391"/>
      <c r="J1763" s="391"/>
      <c r="K1763" s="387" t="str">
        <f ca="1">IFERROR(VLOOKUP(C1763,' Disaggregation - Section E '!A$618:J2452,3,0),"")</f>
        <v>KVP-2 Number of people with TB (all forms) notified among key affected populations/high risk groups (other than prisoners); *includes only those with new and relapse</v>
      </c>
      <c r="L1763" s="387"/>
      <c r="M1763" s="387"/>
      <c r="N1763" s="391"/>
      <c r="O1763" s="387" t="s">
        <v>2706</v>
      </c>
      <c r="P1763" s="387"/>
    </row>
    <row r="1764" spans="1:16">
      <c r="A1764" s="387" t="b">
        <v>0</v>
      </c>
      <c r="B1764" s="387"/>
      <c r="C1764" s="387" t="s">
        <v>3595</v>
      </c>
      <c r="D1764" s="392">
        <v>8</v>
      </c>
      <c r="E1764" s="389"/>
      <c r="F1764" s="391"/>
      <c r="G1764" s="390"/>
      <c r="H1764" s="390"/>
      <c r="I1764" s="391"/>
      <c r="J1764" s="391"/>
      <c r="K1764" s="387" t="str">
        <f ca="1">IFERROR(VLOOKUP(C1764,' Disaggregation - Section E '!A$618:J2453,3,0),"")</f>
        <v>KVP-2 Number of people with TB (all forms) notified among key affected populations/high risk groups (other than prisoners); *includes only those with new and relapse</v>
      </c>
      <c r="L1764" s="387"/>
      <c r="M1764" s="387"/>
      <c r="N1764" s="391"/>
      <c r="O1764" s="387" t="s">
        <v>2706</v>
      </c>
      <c r="P1764" s="387"/>
    </row>
    <row r="1765" spans="1:16">
      <c r="A1765" s="387" t="b">
        <v>0</v>
      </c>
      <c r="B1765" s="387"/>
      <c r="C1765" s="387" t="s">
        <v>3596</v>
      </c>
      <c r="D1765" s="392">
        <v>8</v>
      </c>
      <c r="E1765" s="389"/>
      <c r="F1765" s="391"/>
      <c r="G1765" s="390"/>
      <c r="H1765" s="390"/>
      <c r="I1765" s="391"/>
      <c r="J1765" s="391"/>
      <c r="K1765" s="387" t="str">
        <f ca="1">IFERROR(VLOOKUP(C1765,' Disaggregation - Section E '!A$618:J2454,3,0),"")</f>
        <v>KVP-2 Number of people with TB (all forms) notified among key affected populations/high risk groups (other than prisoners); *includes only those with new and relapse</v>
      </c>
      <c r="L1765" s="387"/>
      <c r="M1765" s="387"/>
      <c r="N1765" s="391"/>
      <c r="O1765" s="387" t="s">
        <v>2706</v>
      </c>
      <c r="P1765" s="387"/>
    </row>
    <row r="1766" spans="1:16">
      <c r="A1766" s="387" t="b">
        <v>0</v>
      </c>
      <c r="B1766" s="387"/>
      <c r="C1766" s="387" t="s">
        <v>3597</v>
      </c>
      <c r="D1766" s="392">
        <v>8</v>
      </c>
      <c r="E1766" s="389"/>
      <c r="F1766" s="391"/>
      <c r="G1766" s="390"/>
      <c r="H1766" s="390"/>
      <c r="I1766" s="391"/>
      <c r="J1766" s="391"/>
      <c r="K1766" s="387" t="str">
        <f ca="1">IFERROR(VLOOKUP(C1766,' Disaggregation - Section E '!A$618:J2455,3,0),"")</f>
        <v>KVP-2 Number of people with TB (all forms) notified among key affected populations/high risk groups (other than prisoners); *includes only those with new and relapse</v>
      </c>
      <c r="L1766" s="387"/>
      <c r="M1766" s="387"/>
      <c r="N1766" s="391"/>
      <c r="O1766" s="387" t="s">
        <v>2706</v>
      </c>
      <c r="P1766" s="387"/>
    </row>
    <row r="1767" spans="1:16">
      <c r="A1767" s="387" t="b">
        <v>0</v>
      </c>
      <c r="B1767" s="387"/>
      <c r="C1767" s="387" t="s">
        <v>3598</v>
      </c>
      <c r="D1767" s="392">
        <v>8</v>
      </c>
      <c r="E1767" s="389"/>
      <c r="F1767" s="391"/>
      <c r="G1767" s="390"/>
      <c r="H1767" s="390"/>
      <c r="I1767" s="391"/>
      <c r="J1767" s="391"/>
      <c r="K1767" s="387" t="str">
        <f ca="1">IFERROR(VLOOKUP(C1767,' Disaggregation - Section E '!A$618:J2456,3,0),"")</f>
        <v>KVP-2 Number of people with TB (all forms) notified among key affected populations/high risk groups (other than prisoners); *includes only those with new and relapse</v>
      </c>
      <c r="L1767" s="387"/>
      <c r="M1767" s="387"/>
      <c r="N1767" s="391"/>
      <c r="O1767" s="387" t="s">
        <v>2706</v>
      </c>
      <c r="P1767" s="387"/>
    </row>
    <row r="1768" spans="1:16">
      <c r="A1768" s="387" t="b">
        <v>0</v>
      </c>
      <c r="B1768" s="387"/>
      <c r="C1768" s="387" t="s">
        <v>3599</v>
      </c>
      <c r="D1768" s="392">
        <v>8</v>
      </c>
      <c r="E1768" s="389"/>
      <c r="F1768" s="391"/>
      <c r="G1768" s="390"/>
      <c r="H1768" s="390"/>
      <c r="I1768" s="391"/>
      <c r="J1768" s="391"/>
      <c r="K1768" s="387" t="str">
        <f ca="1">IFERROR(VLOOKUP(C1768,' Disaggregation - Section E '!A$618:J2457,3,0),"")</f>
        <v>KVP-2 Number of people with TB (all forms) notified among key affected populations/high risk groups (other than prisoners); *includes only those with new and relapse</v>
      </c>
      <c r="L1768" s="387"/>
      <c r="M1768" s="387"/>
      <c r="N1768" s="391"/>
      <c r="O1768" s="387" t="s">
        <v>2706</v>
      </c>
      <c r="P1768" s="387"/>
    </row>
    <row r="1769" spans="1:16">
      <c r="A1769" s="387" t="b">
        <v>0</v>
      </c>
      <c r="B1769" s="387"/>
      <c r="C1769" s="387" t="s">
        <v>3600</v>
      </c>
      <c r="D1769" s="392">
        <v>8</v>
      </c>
      <c r="E1769" s="389"/>
      <c r="F1769" s="391"/>
      <c r="G1769" s="390"/>
      <c r="H1769" s="390"/>
      <c r="I1769" s="391"/>
      <c r="J1769" s="391"/>
      <c r="K1769" s="387" t="str">
        <f ca="1">IFERROR(VLOOKUP(C1769,' Disaggregation - Section E '!A$618:J2458,3,0),"")</f>
        <v>KVP-2 Number of people with TB (all forms) notified among key affected populations/high risk groups (other than prisoners); *includes only those with new and relapse</v>
      </c>
      <c r="L1769" s="387"/>
      <c r="M1769" s="387"/>
      <c r="N1769" s="391"/>
      <c r="O1769" s="387" t="s">
        <v>2706</v>
      </c>
      <c r="P1769" s="387"/>
    </row>
    <row r="1770" spans="1:16">
      <c r="A1770" s="387" t="b">
        <v>0</v>
      </c>
      <c r="B1770" s="387"/>
      <c r="C1770" s="387" t="s">
        <v>3601</v>
      </c>
      <c r="D1770" s="392">
        <v>8</v>
      </c>
      <c r="E1770" s="389"/>
      <c r="F1770" s="391"/>
      <c r="G1770" s="390"/>
      <c r="H1770" s="390"/>
      <c r="I1770" s="391"/>
      <c r="J1770" s="391"/>
      <c r="K1770" s="387" t="str">
        <f ca="1">IFERROR(VLOOKUP(C1770,' Disaggregation - Section E '!A$618:J2459,3,0),"")</f>
        <v>KVP-2 Number of people with TB (all forms) notified among key affected populations/high risk groups (other than prisoners); *includes only those with new and relapse</v>
      </c>
      <c r="L1770" s="387"/>
      <c r="M1770" s="387"/>
      <c r="N1770" s="391"/>
      <c r="O1770" s="387" t="s">
        <v>2706</v>
      </c>
      <c r="P1770" s="387"/>
    </row>
    <row r="1771" spans="1:16">
      <c r="A1771" s="387" t="b">
        <v>0</v>
      </c>
      <c r="B1771" s="387"/>
      <c r="C1771" s="387" t="s">
        <v>3602</v>
      </c>
      <c r="D1771" s="392">
        <v>8</v>
      </c>
      <c r="E1771" s="389"/>
      <c r="F1771" s="391"/>
      <c r="G1771" s="390"/>
      <c r="H1771" s="390"/>
      <c r="I1771" s="391"/>
      <c r="J1771" s="391"/>
      <c r="K1771" s="387" t="str">
        <f ca="1">IFERROR(VLOOKUP(C1771,' Disaggregation - Section E '!A$618:J2460,3,0),"")</f>
        <v>KVP-2 Number of people with TB (all forms) notified among key affected populations/high risk groups (other than prisoners); *includes only those with new and relapse</v>
      </c>
      <c r="L1771" s="387"/>
      <c r="M1771" s="387"/>
      <c r="N1771" s="391"/>
      <c r="O1771" s="387" t="s">
        <v>2706</v>
      </c>
      <c r="P1771" s="387"/>
    </row>
    <row r="1772" spans="1:16">
      <c r="A1772" s="387" t="b">
        <v>1</v>
      </c>
      <c r="B1772" s="387"/>
      <c r="C1772" s="387" t="s">
        <v>3603</v>
      </c>
      <c r="D1772" s="392">
        <v>9</v>
      </c>
      <c r="E1772" s="389"/>
      <c r="F1772" s="391" t="s">
        <v>3240</v>
      </c>
      <c r="G1772" s="390"/>
      <c r="H1772" s="390"/>
      <c r="I1772" s="391"/>
      <c r="J1772" s="391" t="s">
        <v>2281</v>
      </c>
      <c r="K1772" s="387" t="str">
        <f ca="1">IFERROR(VLOOKUP(C1772,' Disaggregation - Section E '!A$618:J2461,3,0),"")</f>
        <v>TB/HIV-5 Percentage of registered new and relapse TB patients with documented HIV status</v>
      </c>
      <c r="L1772" s="387"/>
      <c r="M1772" s="387" t="s">
        <v>3604</v>
      </c>
      <c r="N1772" s="391" t="s">
        <v>2282</v>
      </c>
      <c r="O1772" s="387" t="s">
        <v>2713</v>
      </c>
      <c r="P1772" s="387" t="s">
        <v>3605</v>
      </c>
    </row>
    <row r="1773" spans="1:16">
      <c r="A1773" s="387" t="b">
        <v>1</v>
      </c>
      <c r="B1773" s="387"/>
      <c r="C1773" s="387" t="s">
        <v>3606</v>
      </c>
      <c r="D1773" s="392">
        <v>9</v>
      </c>
      <c r="E1773" s="389"/>
      <c r="F1773" s="391" t="s">
        <v>3346</v>
      </c>
      <c r="G1773" s="390"/>
      <c r="H1773" s="390"/>
      <c r="I1773" s="391"/>
      <c r="J1773" s="391" t="s">
        <v>2281</v>
      </c>
      <c r="K1773" s="387" t="str">
        <f ca="1">IFERROR(VLOOKUP(C1773,' Disaggregation - Section E '!A$618:J2462,3,0),"")</f>
        <v>TB/HIV-5 Percentage of registered new and relapse TB patients with documented HIV status</v>
      </c>
      <c r="L1773" s="387"/>
      <c r="M1773" s="387" t="s">
        <v>3607</v>
      </c>
      <c r="N1773" s="391" t="s">
        <v>2282</v>
      </c>
      <c r="O1773" s="387" t="s">
        <v>2713</v>
      </c>
      <c r="P1773" s="387" t="s">
        <v>3608</v>
      </c>
    </row>
    <row r="1774" spans="1:16">
      <c r="A1774" s="387" t="b">
        <v>1</v>
      </c>
      <c r="B1774" s="387"/>
      <c r="C1774" s="387" t="s">
        <v>3609</v>
      </c>
      <c r="D1774" s="392">
        <v>9</v>
      </c>
      <c r="E1774" s="389"/>
      <c r="F1774" s="391" t="s">
        <v>3193</v>
      </c>
      <c r="G1774" s="390"/>
      <c r="H1774" s="390"/>
      <c r="I1774" s="391"/>
      <c r="J1774" s="391" t="s">
        <v>2281</v>
      </c>
      <c r="K1774" s="387" t="str">
        <f ca="1">IFERROR(VLOOKUP(C1774,' Disaggregation - Section E '!A$618:J2463,3,0),"")</f>
        <v>TB/HIV-5 Percentage of registered new and relapse TB patients with documented HIV status</v>
      </c>
      <c r="L1774" s="387"/>
      <c r="M1774" s="387" t="s">
        <v>3610</v>
      </c>
      <c r="N1774" s="391" t="s">
        <v>2282</v>
      </c>
      <c r="O1774" s="387" t="s">
        <v>2713</v>
      </c>
      <c r="P1774" s="387" t="s">
        <v>3611</v>
      </c>
    </row>
    <row r="1775" spans="1:16">
      <c r="A1775" s="387" t="b">
        <v>1</v>
      </c>
      <c r="B1775" s="387"/>
      <c r="C1775" s="387" t="s">
        <v>3612</v>
      </c>
      <c r="D1775" s="392">
        <v>9</v>
      </c>
      <c r="E1775" s="389">
        <v>91.994708234561699</v>
      </c>
      <c r="F1775" s="391" t="s">
        <v>3356</v>
      </c>
      <c r="G1775" s="390">
        <v>153679</v>
      </c>
      <c r="H1775" s="390">
        <v>167052</v>
      </c>
      <c r="I1775" s="391"/>
      <c r="J1775" s="391" t="s">
        <v>780</v>
      </c>
      <c r="K1775" s="387" t="str">
        <f ca="1">IFERROR(VLOOKUP(C1775,' Disaggregation - Section E '!A$618:J2464,3,0),"")</f>
        <v>TB/HIV-5 Percentage of registered new and relapse TB patients with documented HIV status</v>
      </c>
      <c r="L1775" s="387"/>
      <c r="M1775" s="387" t="s">
        <v>3613</v>
      </c>
      <c r="N1775" s="391" t="s">
        <v>2299</v>
      </c>
      <c r="O1775" s="387" t="s">
        <v>2713</v>
      </c>
      <c r="P1775" s="387" t="s">
        <v>3614</v>
      </c>
    </row>
    <row r="1776" spans="1:16">
      <c r="A1776" s="387" t="b">
        <v>1</v>
      </c>
      <c r="B1776" s="387"/>
      <c r="C1776" s="387" t="s">
        <v>3615</v>
      </c>
      <c r="D1776" s="392">
        <v>9</v>
      </c>
      <c r="E1776" s="389"/>
      <c r="F1776" s="391" t="s">
        <v>3535</v>
      </c>
      <c r="G1776" s="390"/>
      <c r="H1776" s="390"/>
      <c r="I1776" s="391"/>
      <c r="J1776" s="391" t="s">
        <v>2281</v>
      </c>
      <c r="K1776" s="387" t="str">
        <f ca="1">IFERROR(VLOOKUP(C1776,' Disaggregation - Section E '!A$618:J2465,3,0),"")</f>
        <v>TB/HIV-5 Percentage of registered new and relapse TB patients with documented HIV status</v>
      </c>
      <c r="L1776" s="387"/>
      <c r="M1776" s="387" t="s">
        <v>3616</v>
      </c>
      <c r="N1776" s="391" t="s">
        <v>2282</v>
      </c>
      <c r="O1776" s="387" t="s">
        <v>2713</v>
      </c>
      <c r="P1776" s="387" t="s">
        <v>3617</v>
      </c>
    </row>
    <row r="1777" spans="1:16">
      <c r="A1777" s="387" t="b">
        <v>1</v>
      </c>
      <c r="B1777" s="387"/>
      <c r="C1777" s="387" t="s">
        <v>3618</v>
      </c>
      <c r="D1777" s="392">
        <v>9</v>
      </c>
      <c r="E1777" s="389"/>
      <c r="F1777" s="391" t="s">
        <v>3547</v>
      </c>
      <c r="G1777" s="390"/>
      <c r="H1777" s="390"/>
      <c r="I1777" s="391"/>
      <c r="J1777" s="391" t="s">
        <v>2281</v>
      </c>
      <c r="K1777" s="387" t="str">
        <f ca="1">IFERROR(VLOOKUP(C1777,' Disaggregation - Section E '!A$618:J2466,3,0),"")</f>
        <v>TB/HIV-5 Percentage of registered new and relapse TB patients with documented HIV status</v>
      </c>
      <c r="L1777" s="387"/>
      <c r="M1777" s="387" t="s">
        <v>3619</v>
      </c>
      <c r="N1777" s="391" t="s">
        <v>2282</v>
      </c>
      <c r="O1777" s="387" t="s">
        <v>2713</v>
      </c>
      <c r="P1777" s="387" t="s">
        <v>3620</v>
      </c>
    </row>
    <row r="1778" spans="1:16">
      <c r="A1778" s="387" t="b">
        <v>1</v>
      </c>
      <c r="B1778" s="387"/>
      <c r="C1778" s="387" t="s">
        <v>3621</v>
      </c>
      <c r="D1778" s="392">
        <v>9</v>
      </c>
      <c r="E1778" s="389">
        <v>8.0052917654383098</v>
      </c>
      <c r="F1778" s="391" t="s">
        <v>3367</v>
      </c>
      <c r="G1778" s="390">
        <v>13373</v>
      </c>
      <c r="H1778" s="390">
        <v>167052</v>
      </c>
      <c r="I1778" s="391" t="s">
        <v>2328</v>
      </c>
      <c r="J1778" s="391" t="s">
        <v>780</v>
      </c>
      <c r="K1778" s="387" t="str">
        <f ca="1">IFERROR(VLOOKUP(C1778,' Disaggregation - Section E '!A$618:J2467,3,0),"")</f>
        <v>TB/HIV-5 Percentage of registered new and relapse TB patients with documented HIV status</v>
      </c>
      <c r="L1778" s="387"/>
      <c r="M1778" s="387" t="s">
        <v>3622</v>
      </c>
      <c r="N1778" s="391" t="s">
        <v>2300</v>
      </c>
      <c r="O1778" s="387" t="s">
        <v>2713</v>
      </c>
      <c r="P1778" s="387" t="s">
        <v>3623</v>
      </c>
    </row>
    <row r="1779" spans="1:16">
      <c r="A1779" s="387" t="b">
        <v>1</v>
      </c>
      <c r="B1779" s="387"/>
      <c r="C1779" s="387" t="s">
        <v>3624</v>
      </c>
      <c r="D1779" s="392">
        <v>9</v>
      </c>
      <c r="E1779" s="389"/>
      <c r="F1779" s="391" t="s">
        <v>3197</v>
      </c>
      <c r="G1779" s="390"/>
      <c r="H1779" s="390"/>
      <c r="I1779" s="391"/>
      <c r="J1779" s="391" t="s">
        <v>2281</v>
      </c>
      <c r="K1779" s="387" t="str">
        <f ca="1">IFERROR(VLOOKUP(C1779,' Disaggregation - Section E '!A$618:J2468,3,0),"")</f>
        <v>TB/HIV-5 Percentage of registered new and relapse TB patients with documented HIV status</v>
      </c>
      <c r="L1779" s="387"/>
      <c r="M1779" s="387" t="s">
        <v>3625</v>
      </c>
      <c r="N1779" s="391" t="s">
        <v>2282</v>
      </c>
      <c r="O1779" s="387" t="s">
        <v>2713</v>
      </c>
      <c r="P1779" s="387" t="s">
        <v>3626</v>
      </c>
    </row>
    <row r="1780" spans="1:16">
      <c r="A1780" s="387" t="b">
        <v>0</v>
      </c>
      <c r="B1780" s="387"/>
      <c r="C1780" s="387" t="s">
        <v>3627</v>
      </c>
      <c r="D1780" s="392">
        <v>9</v>
      </c>
      <c r="E1780" s="389"/>
      <c r="F1780" s="391"/>
      <c r="G1780" s="390"/>
      <c r="H1780" s="390"/>
      <c r="I1780" s="391"/>
      <c r="J1780" s="391"/>
      <c r="K1780" s="387" t="str">
        <f ca="1">IFERROR(VLOOKUP(C1780,' Disaggregation - Section E '!A$618:J2469,3,0),"")</f>
        <v>TB/HIV-5 Percentage of registered new and relapse TB patients with documented HIV status</v>
      </c>
      <c r="L1780" s="387"/>
      <c r="M1780" s="387"/>
      <c r="N1780" s="391"/>
      <c r="O1780" s="387" t="s">
        <v>2713</v>
      </c>
      <c r="P1780" s="387"/>
    </row>
    <row r="1781" spans="1:16">
      <c r="A1781" s="387" t="b">
        <v>0</v>
      </c>
      <c r="B1781" s="387"/>
      <c r="C1781" s="387" t="s">
        <v>3628</v>
      </c>
      <c r="D1781" s="392">
        <v>9</v>
      </c>
      <c r="E1781" s="389"/>
      <c r="F1781" s="391"/>
      <c r="G1781" s="390"/>
      <c r="H1781" s="390"/>
      <c r="I1781" s="391"/>
      <c r="J1781" s="391"/>
      <c r="K1781" s="387" t="str">
        <f ca="1">IFERROR(VLOOKUP(C1781,' Disaggregation - Section E '!A$618:J2470,3,0),"")</f>
        <v>TB/HIV-5 Percentage of registered new and relapse TB patients with documented HIV status</v>
      </c>
      <c r="L1781" s="387"/>
      <c r="M1781" s="387"/>
      <c r="N1781" s="391"/>
      <c r="O1781" s="387" t="s">
        <v>2713</v>
      </c>
      <c r="P1781" s="387"/>
    </row>
    <row r="1782" spans="1:16">
      <c r="A1782" s="387" t="b">
        <v>0</v>
      </c>
      <c r="B1782" s="387"/>
      <c r="C1782" s="387" t="s">
        <v>3629</v>
      </c>
      <c r="D1782" s="392">
        <v>9</v>
      </c>
      <c r="E1782" s="389"/>
      <c r="F1782" s="391"/>
      <c r="G1782" s="390"/>
      <c r="H1782" s="390"/>
      <c r="I1782" s="391"/>
      <c r="J1782" s="391"/>
      <c r="K1782" s="387" t="str">
        <f ca="1">IFERROR(VLOOKUP(C1782,' Disaggregation - Section E '!A$618:J2471,3,0),"")</f>
        <v>TB/HIV-5 Percentage of registered new and relapse TB patients with documented HIV status</v>
      </c>
      <c r="L1782" s="387"/>
      <c r="M1782" s="387"/>
      <c r="N1782" s="391"/>
      <c r="O1782" s="387" t="s">
        <v>2713</v>
      </c>
      <c r="P1782" s="387"/>
    </row>
    <row r="1783" spans="1:16">
      <c r="A1783" s="387" t="b">
        <v>0</v>
      </c>
      <c r="B1783" s="387"/>
      <c r="C1783" s="387" t="s">
        <v>3630</v>
      </c>
      <c r="D1783" s="392">
        <v>9</v>
      </c>
      <c r="E1783" s="389"/>
      <c r="F1783" s="391"/>
      <c r="G1783" s="390"/>
      <c r="H1783" s="390"/>
      <c r="I1783" s="391"/>
      <c r="J1783" s="391"/>
      <c r="K1783" s="387" t="str">
        <f ca="1">IFERROR(VLOOKUP(C1783,' Disaggregation - Section E '!A$618:J2472,3,0),"")</f>
        <v>TB/HIV-5 Percentage of registered new and relapse TB patients with documented HIV status</v>
      </c>
      <c r="L1783" s="387"/>
      <c r="M1783" s="387"/>
      <c r="N1783" s="391"/>
      <c r="O1783" s="387" t="s">
        <v>2713</v>
      </c>
      <c r="P1783" s="387"/>
    </row>
    <row r="1784" spans="1:16">
      <c r="A1784" s="387" t="b">
        <v>0</v>
      </c>
      <c r="B1784" s="387"/>
      <c r="C1784" s="387" t="s">
        <v>3631</v>
      </c>
      <c r="D1784" s="392">
        <v>9</v>
      </c>
      <c r="E1784" s="389"/>
      <c r="F1784" s="391"/>
      <c r="G1784" s="390"/>
      <c r="H1784" s="390"/>
      <c r="I1784" s="391"/>
      <c r="J1784" s="391"/>
      <c r="K1784" s="387" t="str">
        <f ca="1">IFERROR(VLOOKUP(C1784,' Disaggregation - Section E '!A$618:J2473,3,0),"")</f>
        <v>TB/HIV-5 Percentage of registered new and relapse TB patients with documented HIV status</v>
      </c>
      <c r="L1784" s="387"/>
      <c r="M1784" s="387"/>
      <c r="N1784" s="391"/>
      <c r="O1784" s="387" t="s">
        <v>2713</v>
      </c>
      <c r="P1784" s="387"/>
    </row>
    <row r="1785" spans="1:16">
      <c r="A1785" s="387" t="b">
        <v>0</v>
      </c>
      <c r="B1785" s="387"/>
      <c r="C1785" s="387" t="s">
        <v>3632</v>
      </c>
      <c r="D1785" s="392">
        <v>9</v>
      </c>
      <c r="E1785" s="389"/>
      <c r="F1785" s="391"/>
      <c r="G1785" s="390"/>
      <c r="H1785" s="390"/>
      <c r="I1785" s="391"/>
      <c r="J1785" s="391"/>
      <c r="K1785" s="387" t="str">
        <f ca="1">IFERROR(VLOOKUP(C1785,' Disaggregation - Section E '!A$618:J2474,3,0),"")</f>
        <v>TB/HIV-5 Percentage of registered new and relapse TB patients with documented HIV status</v>
      </c>
      <c r="L1785" s="387"/>
      <c r="M1785" s="387"/>
      <c r="N1785" s="391"/>
      <c r="O1785" s="387" t="s">
        <v>2713</v>
      </c>
      <c r="P1785" s="387"/>
    </row>
    <row r="1786" spans="1:16">
      <c r="A1786" s="387" t="b">
        <v>0</v>
      </c>
      <c r="B1786" s="387"/>
      <c r="C1786" s="387" t="s">
        <v>3633</v>
      </c>
      <c r="D1786" s="392">
        <v>9</v>
      </c>
      <c r="E1786" s="389"/>
      <c r="F1786" s="391"/>
      <c r="G1786" s="390"/>
      <c r="H1786" s="390"/>
      <c r="I1786" s="391"/>
      <c r="J1786" s="391"/>
      <c r="K1786" s="387" t="str">
        <f ca="1">IFERROR(VLOOKUP(C1786,' Disaggregation - Section E '!A$618:J2475,3,0),"")</f>
        <v>TB/HIV-5 Percentage of registered new and relapse TB patients with documented HIV status</v>
      </c>
      <c r="L1786" s="387"/>
      <c r="M1786" s="387"/>
      <c r="N1786" s="391"/>
      <c r="O1786" s="387" t="s">
        <v>2713</v>
      </c>
      <c r="P1786" s="387"/>
    </row>
    <row r="1787" spans="1:16">
      <c r="A1787" s="387" t="b">
        <v>0</v>
      </c>
      <c r="B1787" s="387"/>
      <c r="C1787" s="387" t="s">
        <v>3634</v>
      </c>
      <c r="D1787" s="392">
        <v>9</v>
      </c>
      <c r="E1787" s="389"/>
      <c r="F1787" s="391"/>
      <c r="G1787" s="390"/>
      <c r="H1787" s="390"/>
      <c r="I1787" s="391"/>
      <c r="J1787" s="391"/>
      <c r="K1787" s="387" t="str">
        <f ca="1">IFERROR(VLOOKUP(C1787,' Disaggregation - Section E '!A$618:J2476,3,0),"")</f>
        <v>TB/HIV-5 Percentage of registered new and relapse TB patients with documented HIV status</v>
      </c>
      <c r="L1787" s="387"/>
      <c r="M1787" s="387"/>
      <c r="N1787" s="391"/>
      <c r="O1787" s="387" t="s">
        <v>2713</v>
      </c>
      <c r="P1787" s="387"/>
    </row>
    <row r="1788" spans="1:16">
      <c r="A1788" s="387" t="b">
        <v>0</v>
      </c>
      <c r="B1788" s="387"/>
      <c r="C1788" s="387" t="s">
        <v>3635</v>
      </c>
      <c r="D1788" s="392">
        <v>9</v>
      </c>
      <c r="E1788" s="389"/>
      <c r="F1788" s="391"/>
      <c r="G1788" s="390"/>
      <c r="H1788" s="390"/>
      <c r="I1788" s="391"/>
      <c r="J1788" s="391"/>
      <c r="K1788" s="387" t="str">
        <f ca="1">IFERROR(VLOOKUP(C1788,' Disaggregation - Section E '!A$618:J2477,3,0),"")</f>
        <v>TB/HIV-5 Percentage of registered new and relapse TB patients with documented HIV status</v>
      </c>
      <c r="L1788" s="387"/>
      <c r="M1788" s="387"/>
      <c r="N1788" s="391"/>
      <c r="O1788" s="387" t="s">
        <v>2713</v>
      </c>
      <c r="P1788" s="387"/>
    </row>
    <row r="1789" spans="1:16">
      <c r="A1789" s="387" t="b">
        <v>0</v>
      </c>
      <c r="B1789" s="387"/>
      <c r="C1789" s="387" t="s">
        <v>3636</v>
      </c>
      <c r="D1789" s="392">
        <v>9</v>
      </c>
      <c r="E1789" s="389"/>
      <c r="F1789" s="391"/>
      <c r="G1789" s="390"/>
      <c r="H1789" s="390"/>
      <c r="I1789" s="391"/>
      <c r="J1789" s="391"/>
      <c r="K1789" s="387" t="str">
        <f ca="1">IFERROR(VLOOKUP(C1789,' Disaggregation - Section E '!A$618:J2478,3,0),"")</f>
        <v>TB/HIV-5 Percentage of registered new and relapse TB patients with documented HIV status</v>
      </c>
      <c r="L1789" s="387"/>
      <c r="M1789" s="387"/>
      <c r="N1789" s="391"/>
      <c r="O1789" s="387" t="s">
        <v>2713</v>
      </c>
      <c r="P1789" s="387"/>
    </row>
    <row r="1790" spans="1:16">
      <c r="A1790" s="387" t="b">
        <v>0</v>
      </c>
      <c r="B1790" s="387"/>
      <c r="C1790" s="387" t="s">
        <v>3637</v>
      </c>
      <c r="D1790" s="392">
        <v>9</v>
      </c>
      <c r="E1790" s="389"/>
      <c r="F1790" s="391"/>
      <c r="G1790" s="390"/>
      <c r="H1790" s="390"/>
      <c r="I1790" s="391"/>
      <c r="J1790" s="391"/>
      <c r="K1790" s="387" t="str">
        <f ca="1">IFERROR(VLOOKUP(C1790,' Disaggregation - Section E '!A$618:J2479,3,0),"")</f>
        <v>TB/HIV-5 Percentage of registered new and relapse TB patients with documented HIV status</v>
      </c>
      <c r="L1790" s="387"/>
      <c r="M1790" s="387"/>
      <c r="N1790" s="391"/>
      <c r="O1790" s="387" t="s">
        <v>2713</v>
      </c>
      <c r="P1790" s="387"/>
    </row>
    <row r="1791" spans="1:16">
      <c r="A1791" s="387" t="b">
        <v>0</v>
      </c>
      <c r="B1791" s="387"/>
      <c r="C1791" s="387" t="s">
        <v>3638</v>
      </c>
      <c r="D1791" s="392">
        <v>9</v>
      </c>
      <c r="E1791" s="389"/>
      <c r="F1791" s="391"/>
      <c r="G1791" s="390"/>
      <c r="H1791" s="390"/>
      <c r="I1791" s="391"/>
      <c r="J1791" s="391"/>
      <c r="K1791" s="387" t="str">
        <f ca="1">IFERROR(VLOOKUP(C1791,' Disaggregation - Section E '!A$618:J2480,3,0),"")</f>
        <v>TB/HIV-5 Percentage of registered new and relapse TB patients with documented HIV status</v>
      </c>
      <c r="L1791" s="387"/>
      <c r="M1791" s="387"/>
      <c r="N1791" s="391"/>
      <c r="O1791" s="387" t="s">
        <v>2713</v>
      </c>
      <c r="P1791" s="387"/>
    </row>
    <row r="1792" spans="1:16">
      <c r="A1792" s="387" t="b">
        <v>0</v>
      </c>
      <c r="B1792" s="387"/>
      <c r="C1792" s="387" t="s">
        <v>3639</v>
      </c>
      <c r="D1792" s="392">
        <v>10</v>
      </c>
      <c r="E1792" s="389"/>
      <c r="F1792" s="391" t="s">
        <v>3240</v>
      </c>
      <c r="G1792" s="390"/>
      <c r="H1792" s="390"/>
      <c r="I1792" s="391"/>
      <c r="J1792" s="391" t="s">
        <v>2281</v>
      </c>
      <c r="K1792" s="387" t="str">
        <f ca="1">IFERROR(VLOOKUP(C1792,' Disaggregation - Section E '!A$618:J2481,3,0),"")</f>
        <v>TB/HIV-6 Percentage of HIV-positive new and relapse TB patients on ART during TB treatment</v>
      </c>
      <c r="L1792" s="387"/>
      <c r="M1792" s="387" t="s">
        <v>3640</v>
      </c>
      <c r="N1792" s="391" t="s">
        <v>2282</v>
      </c>
      <c r="O1792" s="387" t="s">
        <v>2720</v>
      </c>
      <c r="P1792" s="387" t="s">
        <v>3641</v>
      </c>
    </row>
    <row r="1793" spans="1:16">
      <c r="A1793" s="387" t="b">
        <v>0</v>
      </c>
      <c r="B1793" s="387"/>
      <c r="C1793" s="387" t="s">
        <v>3642</v>
      </c>
      <c r="D1793" s="392">
        <v>10</v>
      </c>
      <c r="E1793" s="389"/>
      <c r="F1793" s="391" t="s">
        <v>3193</v>
      </c>
      <c r="G1793" s="390"/>
      <c r="H1793" s="390"/>
      <c r="I1793" s="391"/>
      <c r="J1793" s="391" t="s">
        <v>2281</v>
      </c>
      <c r="K1793" s="387" t="str">
        <f ca="1">IFERROR(VLOOKUP(C1793,' Disaggregation - Section E '!A$618:J2482,3,0),"")</f>
        <v>TB/HIV-6 Percentage of HIV-positive new and relapse TB patients on ART during TB treatment</v>
      </c>
      <c r="L1793" s="387"/>
      <c r="M1793" s="387" t="s">
        <v>3643</v>
      </c>
      <c r="N1793" s="391" t="s">
        <v>2282</v>
      </c>
      <c r="O1793" s="387" t="s">
        <v>2720</v>
      </c>
      <c r="P1793" s="387" t="s">
        <v>3644</v>
      </c>
    </row>
    <row r="1794" spans="1:16">
      <c r="A1794" s="387" t="b">
        <v>0</v>
      </c>
      <c r="B1794" s="387"/>
      <c r="C1794" s="387" t="s">
        <v>3645</v>
      </c>
      <c r="D1794" s="392">
        <v>10</v>
      </c>
      <c r="E1794" s="389"/>
      <c r="F1794" s="391" t="s">
        <v>3535</v>
      </c>
      <c r="G1794" s="390"/>
      <c r="H1794" s="390"/>
      <c r="I1794" s="391"/>
      <c r="J1794" s="391" t="s">
        <v>2281</v>
      </c>
      <c r="K1794" s="387" t="str">
        <f ca="1">IFERROR(VLOOKUP(C1794,' Disaggregation - Section E '!A$618:J2483,3,0),"")</f>
        <v>TB/HIV-6 Percentage of HIV-positive new and relapse TB patients on ART during TB treatment</v>
      </c>
      <c r="L1794" s="387"/>
      <c r="M1794" s="387" t="s">
        <v>3646</v>
      </c>
      <c r="N1794" s="391" t="s">
        <v>2282</v>
      </c>
      <c r="O1794" s="387" t="s">
        <v>2720</v>
      </c>
      <c r="P1794" s="387" t="s">
        <v>3647</v>
      </c>
    </row>
    <row r="1795" spans="1:16">
      <c r="A1795" s="387" t="b">
        <v>0</v>
      </c>
      <c r="B1795" s="387"/>
      <c r="C1795" s="387" t="s">
        <v>3648</v>
      </c>
      <c r="D1795" s="392">
        <v>10</v>
      </c>
      <c r="E1795" s="389"/>
      <c r="F1795" s="391" t="s">
        <v>3547</v>
      </c>
      <c r="G1795" s="390"/>
      <c r="H1795" s="390"/>
      <c r="I1795" s="391"/>
      <c r="J1795" s="391" t="s">
        <v>2281</v>
      </c>
      <c r="K1795" s="387" t="str">
        <f ca="1">IFERROR(VLOOKUP(C1795,' Disaggregation - Section E '!A$618:J2484,3,0),"")</f>
        <v>TB/HIV-6 Percentage of HIV-positive new and relapse TB patients on ART during TB treatment</v>
      </c>
      <c r="L1795" s="387"/>
      <c r="M1795" s="387" t="s">
        <v>3649</v>
      </c>
      <c r="N1795" s="391" t="s">
        <v>2282</v>
      </c>
      <c r="O1795" s="387" t="s">
        <v>2720</v>
      </c>
      <c r="P1795" s="387" t="s">
        <v>3650</v>
      </c>
    </row>
    <row r="1796" spans="1:16">
      <c r="A1796" s="387" t="b">
        <v>0</v>
      </c>
      <c r="B1796" s="387"/>
      <c r="C1796" s="387" t="s">
        <v>3651</v>
      </c>
      <c r="D1796" s="392">
        <v>10</v>
      </c>
      <c r="E1796" s="389"/>
      <c r="F1796" s="391" t="s">
        <v>3197</v>
      </c>
      <c r="G1796" s="390"/>
      <c r="H1796" s="390"/>
      <c r="I1796" s="391"/>
      <c r="J1796" s="391" t="s">
        <v>2281</v>
      </c>
      <c r="K1796" s="387" t="str">
        <f ca="1">IFERROR(VLOOKUP(C1796,' Disaggregation - Section E '!A$618:J2485,3,0),"")</f>
        <v>TB/HIV-6 Percentage of HIV-positive new and relapse TB patients on ART during TB treatment</v>
      </c>
      <c r="L1796" s="387"/>
      <c r="M1796" s="387" t="s">
        <v>3652</v>
      </c>
      <c r="N1796" s="391" t="s">
        <v>2282</v>
      </c>
      <c r="O1796" s="387" t="s">
        <v>2720</v>
      </c>
      <c r="P1796" s="387" t="s">
        <v>3653</v>
      </c>
    </row>
    <row r="1797" spans="1:16">
      <c r="A1797" s="387" t="b">
        <v>0</v>
      </c>
      <c r="B1797" s="387"/>
      <c r="C1797" s="387" t="s">
        <v>3654</v>
      </c>
      <c r="D1797" s="392">
        <v>10</v>
      </c>
      <c r="E1797" s="389"/>
      <c r="F1797" s="391"/>
      <c r="G1797" s="390"/>
      <c r="H1797" s="390"/>
      <c r="I1797" s="391"/>
      <c r="J1797" s="391"/>
      <c r="K1797" s="387" t="str">
        <f ca="1">IFERROR(VLOOKUP(C1797,' Disaggregation - Section E '!A$618:J2486,3,0),"")</f>
        <v>TB/HIV-6 Percentage of HIV-positive new and relapse TB patients on ART during TB treatment</v>
      </c>
      <c r="L1797" s="387"/>
      <c r="M1797" s="387"/>
      <c r="N1797" s="391"/>
      <c r="O1797" s="387" t="s">
        <v>2720</v>
      </c>
      <c r="P1797" s="387"/>
    </row>
    <row r="1798" spans="1:16">
      <c r="A1798" s="387" t="b">
        <v>0</v>
      </c>
      <c r="B1798" s="387"/>
      <c r="C1798" s="387" t="s">
        <v>3655</v>
      </c>
      <c r="D1798" s="392">
        <v>10</v>
      </c>
      <c r="E1798" s="389"/>
      <c r="F1798" s="391"/>
      <c r="G1798" s="390"/>
      <c r="H1798" s="390"/>
      <c r="I1798" s="391"/>
      <c r="J1798" s="391"/>
      <c r="K1798" s="387" t="str">
        <f ca="1">IFERROR(VLOOKUP(C1798,' Disaggregation - Section E '!A$618:J2487,3,0),"")</f>
        <v>TB/HIV-6 Percentage of HIV-positive new and relapse TB patients on ART during TB treatment</v>
      </c>
      <c r="L1798" s="387"/>
      <c r="M1798" s="387"/>
      <c r="N1798" s="391"/>
      <c r="O1798" s="387" t="s">
        <v>2720</v>
      </c>
      <c r="P1798" s="387"/>
    </row>
    <row r="1799" spans="1:16">
      <c r="A1799" s="387" t="b">
        <v>0</v>
      </c>
      <c r="B1799" s="387"/>
      <c r="C1799" s="387" t="s">
        <v>3656</v>
      </c>
      <c r="D1799" s="392">
        <v>10</v>
      </c>
      <c r="E1799" s="389"/>
      <c r="F1799" s="391"/>
      <c r="G1799" s="390"/>
      <c r="H1799" s="390"/>
      <c r="I1799" s="391"/>
      <c r="J1799" s="391"/>
      <c r="K1799" s="387" t="str">
        <f ca="1">IFERROR(VLOOKUP(C1799,' Disaggregation - Section E '!A$618:J2488,3,0),"")</f>
        <v>TB/HIV-6 Percentage of HIV-positive new and relapse TB patients on ART during TB treatment</v>
      </c>
      <c r="L1799" s="387"/>
      <c r="M1799" s="387"/>
      <c r="N1799" s="391"/>
      <c r="O1799" s="387" t="s">
        <v>2720</v>
      </c>
      <c r="P1799" s="387"/>
    </row>
    <row r="1800" spans="1:16">
      <c r="A1800" s="387" t="b">
        <v>0</v>
      </c>
      <c r="B1800" s="387"/>
      <c r="C1800" s="387" t="s">
        <v>3657</v>
      </c>
      <c r="D1800" s="392">
        <v>10</v>
      </c>
      <c r="E1800" s="389"/>
      <c r="F1800" s="391"/>
      <c r="G1800" s="390"/>
      <c r="H1800" s="390"/>
      <c r="I1800" s="391"/>
      <c r="J1800" s="391"/>
      <c r="K1800" s="387" t="str">
        <f ca="1">IFERROR(VLOOKUP(C1800,' Disaggregation - Section E '!A$618:J2489,3,0),"")</f>
        <v>TB/HIV-6 Percentage of HIV-positive new and relapse TB patients on ART during TB treatment</v>
      </c>
      <c r="L1800" s="387"/>
      <c r="M1800" s="387"/>
      <c r="N1800" s="391"/>
      <c r="O1800" s="387" t="s">
        <v>2720</v>
      </c>
      <c r="P1800" s="387"/>
    </row>
    <row r="1801" spans="1:16">
      <c r="A1801" s="387" t="b">
        <v>0</v>
      </c>
      <c r="B1801" s="387"/>
      <c r="C1801" s="387" t="s">
        <v>3658</v>
      </c>
      <c r="D1801" s="392">
        <v>10</v>
      </c>
      <c r="E1801" s="389"/>
      <c r="F1801" s="391"/>
      <c r="G1801" s="390"/>
      <c r="H1801" s="390"/>
      <c r="I1801" s="391"/>
      <c r="J1801" s="391"/>
      <c r="K1801" s="387" t="str">
        <f ca="1">IFERROR(VLOOKUP(C1801,' Disaggregation - Section E '!A$618:J2490,3,0),"")</f>
        <v>TB/HIV-6 Percentage of HIV-positive new and relapse TB patients on ART during TB treatment</v>
      </c>
      <c r="L1801" s="387"/>
      <c r="M1801" s="387"/>
      <c r="N1801" s="391"/>
      <c r="O1801" s="387" t="s">
        <v>2720</v>
      </c>
      <c r="P1801" s="387"/>
    </row>
    <row r="1802" spans="1:16">
      <c r="A1802" s="387" t="b">
        <v>0</v>
      </c>
      <c r="B1802" s="387"/>
      <c r="C1802" s="387" t="s">
        <v>3659</v>
      </c>
      <c r="D1802" s="392">
        <v>10</v>
      </c>
      <c r="E1802" s="389"/>
      <c r="F1802" s="391"/>
      <c r="G1802" s="390"/>
      <c r="H1802" s="390"/>
      <c r="I1802" s="391"/>
      <c r="J1802" s="391"/>
      <c r="K1802" s="387" t="str">
        <f ca="1">IFERROR(VLOOKUP(C1802,' Disaggregation - Section E '!A$618:J2491,3,0),"")</f>
        <v>TB/HIV-6 Percentage of HIV-positive new and relapse TB patients on ART during TB treatment</v>
      </c>
      <c r="L1802" s="387"/>
      <c r="M1802" s="387"/>
      <c r="N1802" s="391"/>
      <c r="O1802" s="387" t="s">
        <v>2720</v>
      </c>
      <c r="P1802" s="387"/>
    </row>
    <row r="1803" spans="1:16">
      <c r="A1803" s="387" t="b">
        <v>0</v>
      </c>
      <c r="B1803" s="387"/>
      <c r="C1803" s="387" t="s">
        <v>3660</v>
      </c>
      <c r="D1803" s="392">
        <v>10</v>
      </c>
      <c r="E1803" s="389"/>
      <c r="F1803" s="391"/>
      <c r="G1803" s="390"/>
      <c r="H1803" s="390"/>
      <c r="I1803" s="391"/>
      <c r="J1803" s="391"/>
      <c r="K1803" s="387" t="str">
        <f ca="1">IFERROR(VLOOKUP(C1803,' Disaggregation - Section E '!A$618:J2492,3,0),"")</f>
        <v>TB/HIV-6 Percentage of HIV-positive new and relapse TB patients on ART during TB treatment</v>
      </c>
      <c r="L1803" s="387"/>
      <c r="M1803" s="387"/>
      <c r="N1803" s="391"/>
      <c r="O1803" s="387" t="s">
        <v>2720</v>
      </c>
      <c r="P1803" s="387"/>
    </row>
    <row r="1804" spans="1:16">
      <c r="A1804" s="387" t="b">
        <v>0</v>
      </c>
      <c r="B1804" s="387"/>
      <c r="C1804" s="387" t="s">
        <v>3661</v>
      </c>
      <c r="D1804" s="392">
        <v>10</v>
      </c>
      <c r="E1804" s="389"/>
      <c r="F1804" s="391"/>
      <c r="G1804" s="390"/>
      <c r="H1804" s="390"/>
      <c r="I1804" s="391"/>
      <c r="J1804" s="391"/>
      <c r="K1804" s="387" t="str">
        <f ca="1">IFERROR(VLOOKUP(C1804,' Disaggregation - Section E '!A$618:J2493,3,0),"")</f>
        <v>TB/HIV-6 Percentage of HIV-positive new and relapse TB patients on ART during TB treatment</v>
      </c>
      <c r="L1804" s="387"/>
      <c r="M1804" s="387"/>
      <c r="N1804" s="391"/>
      <c r="O1804" s="387" t="s">
        <v>2720</v>
      </c>
      <c r="P1804" s="387"/>
    </row>
    <row r="1805" spans="1:16">
      <c r="A1805" s="387" t="b">
        <v>0</v>
      </c>
      <c r="B1805" s="387"/>
      <c r="C1805" s="387" t="s">
        <v>3662</v>
      </c>
      <c r="D1805" s="392">
        <v>10</v>
      </c>
      <c r="E1805" s="389"/>
      <c r="F1805" s="391"/>
      <c r="G1805" s="390"/>
      <c r="H1805" s="390"/>
      <c r="I1805" s="391"/>
      <c r="J1805" s="391"/>
      <c r="K1805" s="387" t="str">
        <f ca="1">IFERROR(VLOOKUP(C1805,' Disaggregation - Section E '!A$618:J2494,3,0),"")</f>
        <v>TB/HIV-6 Percentage of HIV-positive new and relapse TB patients on ART during TB treatment</v>
      </c>
      <c r="L1805" s="387"/>
      <c r="M1805" s="387"/>
      <c r="N1805" s="391"/>
      <c r="O1805" s="387" t="s">
        <v>2720</v>
      </c>
      <c r="P1805" s="387"/>
    </row>
    <row r="1806" spans="1:16">
      <c r="A1806" s="387" t="b">
        <v>0</v>
      </c>
      <c r="B1806" s="387"/>
      <c r="C1806" s="387" t="s">
        <v>3663</v>
      </c>
      <c r="D1806" s="392">
        <v>10</v>
      </c>
      <c r="E1806" s="389"/>
      <c r="F1806" s="391"/>
      <c r="G1806" s="390"/>
      <c r="H1806" s="390"/>
      <c r="I1806" s="391"/>
      <c r="J1806" s="391"/>
      <c r="K1806" s="387" t="str">
        <f ca="1">IFERROR(VLOOKUP(C1806,' Disaggregation - Section E '!A$618:J2495,3,0),"")</f>
        <v>TB/HIV-6 Percentage of HIV-positive new and relapse TB patients on ART during TB treatment</v>
      </c>
      <c r="L1806" s="387"/>
      <c r="M1806" s="387"/>
      <c r="N1806" s="391"/>
      <c r="O1806" s="387" t="s">
        <v>2720</v>
      </c>
      <c r="P1806" s="387"/>
    </row>
    <row r="1807" spans="1:16">
      <c r="A1807" s="387" t="b">
        <v>0</v>
      </c>
      <c r="B1807" s="387"/>
      <c r="C1807" s="387" t="s">
        <v>3664</v>
      </c>
      <c r="D1807" s="392">
        <v>10</v>
      </c>
      <c r="E1807" s="389"/>
      <c r="F1807" s="391"/>
      <c r="G1807" s="390"/>
      <c r="H1807" s="390"/>
      <c r="I1807" s="391"/>
      <c r="J1807" s="391"/>
      <c r="K1807" s="387" t="str">
        <f ca="1">IFERROR(VLOOKUP(C1807,' Disaggregation - Section E '!A$618:J2496,3,0),"")</f>
        <v>TB/HIV-6 Percentage of HIV-positive new and relapse TB patients on ART during TB treatment</v>
      </c>
      <c r="L1807" s="387"/>
      <c r="M1807" s="387"/>
      <c r="N1807" s="391"/>
      <c r="O1807" s="387" t="s">
        <v>2720</v>
      </c>
      <c r="P1807" s="387"/>
    </row>
    <row r="1808" spans="1:16">
      <c r="A1808" s="387" t="b">
        <v>0</v>
      </c>
      <c r="B1808" s="387"/>
      <c r="C1808" s="387" t="s">
        <v>3665</v>
      </c>
      <c r="D1808" s="392">
        <v>10</v>
      </c>
      <c r="E1808" s="389"/>
      <c r="F1808" s="391"/>
      <c r="G1808" s="390"/>
      <c r="H1808" s="390"/>
      <c r="I1808" s="391"/>
      <c r="J1808" s="391"/>
      <c r="K1808" s="387" t="str">
        <f ca="1">IFERROR(VLOOKUP(C1808,' Disaggregation - Section E '!A$618:J2497,3,0),"")</f>
        <v>TB/HIV-6 Percentage of HIV-positive new and relapse TB patients on ART during TB treatment</v>
      </c>
      <c r="L1808" s="387"/>
      <c r="M1808" s="387"/>
      <c r="N1808" s="391"/>
      <c r="O1808" s="387" t="s">
        <v>2720</v>
      </c>
      <c r="P1808" s="387"/>
    </row>
    <row r="1809" spans="1:16">
      <c r="A1809" s="387" t="b">
        <v>0</v>
      </c>
      <c r="B1809" s="387"/>
      <c r="C1809" s="387" t="s">
        <v>3666</v>
      </c>
      <c r="D1809" s="392">
        <v>10</v>
      </c>
      <c r="E1809" s="389"/>
      <c r="F1809" s="391"/>
      <c r="G1809" s="390"/>
      <c r="H1809" s="390"/>
      <c r="I1809" s="391"/>
      <c r="J1809" s="391"/>
      <c r="K1809" s="387" t="str">
        <f ca="1">IFERROR(VLOOKUP(C1809,' Disaggregation - Section E '!A$618:J2498,3,0),"")</f>
        <v>TB/HIV-6 Percentage of HIV-positive new and relapse TB patients on ART during TB treatment</v>
      </c>
      <c r="L1809" s="387"/>
      <c r="M1809" s="387"/>
      <c r="N1809" s="391"/>
      <c r="O1809" s="387" t="s">
        <v>2720</v>
      </c>
      <c r="P1809" s="387"/>
    </row>
    <row r="1810" spans="1:16">
      <c r="A1810" s="387" t="b">
        <v>0</v>
      </c>
      <c r="B1810" s="387"/>
      <c r="C1810" s="387" t="s">
        <v>3667</v>
      </c>
      <c r="D1810" s="392">
        <v>10</v>
      </c>
      <c r="E1810" s="389"/>
      <c r="F1810" s="391"/>
      <c r="G1810" s="390"/>
      <c r="H1810" s="390"/>
      <c r="I1810" s="391"/>
      <c r="J1810" s="391"/>
      <c r="K1810" s="387" t="str">
        <f ca="1">IFERROR(VLOOKUP(C1810,' Disaggregation - Section E '!A$618:J2499,3,0),"")</f>
        <v>TB/HIV-6 Percentage of HIV-positive new and relapse TB patients on ART during TB treatment</v>
      </c>
      <c r="L1810" s="387"/>
      <c r="M1810" s="387"/>
      <c r="N1810" s="391"/>
      <c r="O1810" s="387" t="s">
        <v>2720</v>
      </c>
      <c r="P1810" s="387"/>
    </row>
    <row r="1811" spans="1:16">
      <c r="A1811" s="387" t="b">
        <v>0</v>
      </c>
      <c r="B1811" s="387"/>
      <c r="C1811" s="387" t="s">
        <v>3668</v>
      </c>
      <c r="D1811" s="392">
        <v>10</v>
      </c>
      <c r="E1811" s="389"/>
      <c r="F1811" s="391"/>
      <c r="G1811" s="390"/>
      <c r="H1811" s="390"/>
      <c r="I1811" s="391"/>
      <c r="J1811" s="391"/>
      <c r="K1811" s="387" t="str">
        <f ca="1">IFERROR(VLOOKUP(C1811,' Disaggregation - Section E '!A$618:J2500,3,0),"")</f>
        <v>TB/HIV-6 Percentage of HIV-positive new and relapse TB patients on ART during TB treatment</v>
      </c>
      <c r="L1811" s="387"/>
      <c r="M1811" s="387"/>
      <c r="N1811" s="391"/>
      <c r="O1811" s="387" t="s">
        <v>2720</v>
      </c>
      <c r="P1811" s="387"/>
    </row>
    <row r="1812" spans="1:16">
      <c r="A1812" s="387" t="b">
        <v>0</v>
      </c>
      <c r="B1812" s="387"/>
      <c r="C1812" s="387" t="s">
        <v>3669</v>
      </c>
      <c r="D1812" s="392">
        <v>11</v>
      </c>
      <c r="E1812" s="389"/>
      <c r="F1812" s="391" t="s">
        <v>3240</v>
      </c>
      <c r="G1812" s="390"/>
      <c r="H1812" s="390"/>
      <c r="I1812" s="391"/>
      <c r="J1812" s="391"/>
      <c r="K1812" s="387" t="str">
        <f ca="1">IFERROR(VLOOKUP(C1812,' Disaggregation - Section E '!A$618:J2501,3,0),"")</f>
        <v>DRTB-9 Treatment success rate of RR-TB and/or MDR-TB: Percentage of patients with RR and/or MDR-TB successfully treated</v>
      </c>
      <c r="L1812" s="387"/>
      <c r="M1812" s="387" t="s">
        <v>3670</v>
      </c>
      <c r="N1812" s="391" t="s">
        <v>2301</v>
      </c>
      <c r="O1812" s="387" t="s">
        <v>2727</v>
      </c>
      <c r="P1812" s="387" t="s">
        <v>3671</v>
      </c>
    </row>
    <row r="1813" spans="1:16">
      <c r="A1813" s="387" t="b">
        <v>0</v>
      </c>
      <c r="B1813" s="387"/>
      <c r="C1813" s="387" t="s">
        <v>3672</v>
      </c>
      <c r="D1813" s="392">
        <v>11</v>
      </c>
      <c r="E1813" s="389"/>
      <c r="F1813" s="391" t="s">
        <v>3244</v>
      </c>
      <c r="G1813" s="390"/>
      <c r="H1813" s="390"/>
      <c r="I1813" s="391"/>
      <c r="J1813" s="391"/>
      <c r="K1813" s="387" t="str">
        <f ca="1">IFERROR(VLOOKUP(C1813,' Disaggregation - Section E '!A$618:J2502,3,0),"")</f>
        <v>DRTB-9 Treatment success rate of RR-TB and/or MDR-TB: Percentage of patients with RR and/or MDR-TB successfully treated</v>
      </c>
      <c r="L1813" s="387"/>
      <c r="M1813" s="387" t="s">
        <v>3673</v>
      </c>
      <c r="N1813" s="391" t="s">
        <v>2301</v>
      </c>
      <c r="O1813" s="387" t="s">
        <v>2727</v>
      </c>
      <c r="P1813" s="387" t="s">
        <v>3674</v>
      </c>
    </row>
    <row r="1814" spans="1:16">
      <c r="A1814" s="387" t="b">
        <v>0</v>
      </c>
      <c r="B1814" s="387"/>
      <c r="C1814" s="387" t="s">
        <v>3675</v>
      </c>
      <c r="D1814" s="392">
        <v>11</v>
      </c>
      <c r="E1814" s="389"/>
      <c r="F1814" s="391" t="s">
        <v>3346</v>
      </c>
      <c r="G1814" s="390"/>
      <c r="H1814" s="390"/>
      <c r="I1814" s="391"/>
      <c r="J1814" s="391"/>
      <c r="K1814" s="387" t="str">
        <f ca="1">IFERROR(VLOOKUP(C1814,' Disaggregation - Section E '!A$618:J2503,3,0),"")</f>
        <v>DRTB-9 Treatment success rate of RR-TB and/or MDR-TB: Percentage of patients with RR and/or MDR-TB successfully treated</v>
      </c>
      <c r="L1814" s="387"/>
      <c r="M1814" s="387" t="s">
        <v>3676</v>
      </c>
      <c r="N1814" s="391" t="s">
        <v>2301</v>
      </c>
      <c r="O1814" s="387" t="s">
        <v>2727</v>
      </c>
      <c r="P1814" s="387" t="s">
        <v>3677</v>
      </c>
    </row>
    <row r="1815" spans="1:16">
      <c r="A1815" s="387" t="b">
        <v>0</v>
      </c>
      <c r="B1815" s="387"/>
      <c r="C1815" s="387" t="s">
        <v>3678</v>
      </c>
      <c r="D1815" s="392">
        <v>11</v>
      </c>
      <c r="E1815" s="389"/>
      <c r="F1815" s="391" t="s">
        <v>3486</v>
      </c>
      <c r="G1815" s="390"/>
      <c r="H1815" s="390"/>
      <c r="I1815" s="391"/>
      <c r="J1815" s="391"/>
      <c r="K1815" s="387" t="str">
        <f ca="1">IFERROR(VLOOKUP(C1815,' Disaggregation - Section E '!A$618:J2504,3,0),"")</f>
        <v>DRTB-9 Treatment success rate of RR-TB and/or MDR-TB: Percentage of patients with RR and/or MDR-TB successfully treated</v>
      </c>
      <c r="L1815" s="387"/>
      <c r="M1815" s="387" t="s">
        <v>3679</v>
      </c>
      <c r="N1815" s="391"/>
      <c r="O1815" s="387" t="s">
        <v>2727</v>
      </c>
      <c r="P1815" s="387" t="s">
        <v>3680</v>
      </c>
    </row>
    <row r="1816" spans="1:16">
      <c r="A1816" s="387" t="b">
        <v>0</v>
      </c>
      <c r="B1816" s="387"/>
      <c r="C1816" s="387" t="s">
        <v>3681</v>
      </c>
      <c r="D1816" s="392">
        <v>11</v>
      </c>
      <c r="E1816" s="389"/>
      <c r="F1816" s="391" t="s">
        <v>3356</v>
      </c>
      <c r="G1816" s="390"/>
      <c r="H1816" s="390"/>
      <c r="I1816" s="391"/>
      <c r="J1816" s="391"/>
      <c r="K1816" s="387" t="str">
        <f ca="1">IFERROR(VLOOKUP(C1816,' Disaggregation - Section E '!A$618:J2505,3,0),"")</f>
        <v>DRTB-9 Treatment success rate of RR-TB and/or MDR-TB: Percentage of patients with RR and/or MDR-TB successfully treated</v>
      </c>
      <c r="L1816" s="387"/>
      <c r="M1816" s="387" t="s">
        <v>3682</v>
      </c>
      <c r="N1816" s="391"/>
      <c r="O1816" s="387" t="s">
        <v>2727</v>
      </c>
      <c r="P1816" s="387" t="s">
        <v>3683</v>
      </c>
    </row>
    <row r="1817" spans="1:16">
      <c r="A1817" s="387" t="b">
        <v>0</v>
      </c>
      <c r="B1817" s="387"/>
      <c r="C1817" s="387" t="s">
        <v>3684</v>
      </c>
      <c r="D1817" s="392">
        <v>11</v>
      </c>
      <c r="E1817" s="389"/>
      <c r="F1817" s="391" t="s">
        <v>3193</v>
      </c>
      <c r="G1817" s="390"/>
      <c r="H1817" s="390"/>
      <c r="I1817" s="391"/>
      <c r="J1817" s="391"/>
      <c r="K1817" s="387" t="str">
        <f ca="1">IFERROR(VLOOKUP(C1817,' Disaggregation - Section E '!A$618:J2506,3,0),"")</f>
        <v>DRTB-9 Treatment success rate of RR-TB and/or MDR-TB: Percentage of patients with RR and/or MDR-TB successfully treated</v>
      </c>
      <c r="L1817" s="387"/>
      <c r="M1817" s="387" t="s">
        <v>3685</v>
      </c>
      <c r="N1817" s="391"/>
      <c r="O1817" s="387" t="s">
        <v>2727</v>
      </c>
      <c r="P1817" s="387" t="s">
        <v>3686</v>
      </c>
    </row>
    <row r="1818" spans="1:16">
      <c r="A1818" s="387" t="b">
        <v>0</v>
      </c>
      <c r="B1818" s="387"/>
      <c r="C1818" s="387" t="s">
        <v>3687</v>
      </c>
      <c r="D1818" s="392">
        <v>11</v>
      </c>
      <c r="E1818" s="389"/>
      <c r="F1818" s="391" t="s">
        <v>3417</v>
      </c>
      <c r="G1818" s="390"/>
      <c r="H1818" s="390"/>
      <c r="I1818" s="391"/>
      <c r="J1818" s="391"/>
      <c r="K1818" s="387" t="str">
        <f ca="1">IFERROR(VLOOKUP(C1818,' Disaggregation - Section E '!A$618:J2507,3,0),"")</f>
        <v>DRTB-9 Treatment success rate of RR-TB and/or MDR-TB: Percentage of patients with RR and/or MDR-TB successfully treated</v>
      </c>
      <c r="L1818" s="387"/>
      <c r="M1818" s="387" t="s">
        <v>3688</v>
      </c>
      <c r="N1818" s="391"/>
      <c r="O1818" s="387" t="s">
        <v>2727</v>
      </c>
      <c r="P1818" s="387" t="s">
        <v>3689</v>
      </c>
    </row>
    <row r="1819" spans="1:16">
      <c r="A1819" s="387" t="b">
        <v>0</v>
      </c>
      <c r="B1819" s="387"/>
      <c r="C1819" s="387" t="s">
        <v>3690</v>
      </c>
      <c r="D1819" s="392">
        <v>11</v>
      </c>
      <c r="E1819" s="389"/>
      <c r="F1819" s="391" t="s">
        <v>3421</v>
      </c>
      <c r="G1819" s="390"/>
      <c r="H1819" s="390"/>
      <c r="I1819" s="391"/>
      <c r="J1819" s="391"/>
      <c r="K1819" s="387" t="str">
        <f ca="1">IFERROR(VLOOKUP(C1819,' Disaggregation - Section E '!A$618:J2508,3,0),"")</f>
        <v>DRTB-9 Treatment success rate of RR-TB and/or MDR-TB: Percentage of patients with RR and/or MDR-TB successfully treated</v>
      </c>
      <c r="L1819" s="387"/>
      <c r="M1819" s="387" t="s">
        <v>3691</v>
      </c>
      <c r="N1819" s="391"/>
      <c r="O1819" s="387" t="s">
        <v>2727</v>
      </c>
      <c r="P1819" s="387" t="s">
        <v>3692</v>
      </c>
    </row>
    <row r="1820" spans="1:16">
      <c r="A1820" s="387" t="b">
        <v>0</v>
      </c>
      <c r="B1820" s="387"/>
      <c r="C1820" s="387" t="s">
        <v>3693</v>
      </c>
      <c r="D1820" s="392">
        <v>11</v>
      </c>
      <c r="E1820" s="389"/>
      <c r="F1820" s="391" t="s">
        <v>3197</v>
      </c>
      <c r="G1820" s="390"/>
      <c r="H1820" s="390"/>
      <c r="I1820" s="391"/>
      <c r="J1820" s="391"/>
      <c r="K1820" s="387" t="str">
        <f ca="1">IFERROR(VLOOKUP(C1820,' Disaggregation - Section E '!A$618:J2509,3,0),"")</f>
        <v>DRTB-9 Treatment success rate of RR-TB and/or MDR-TB: Percentage of patients with RR and/or MDR-TB successfully treated</v>
      </c>
      <c r="L1820" s="387"/>
      <c r="M1820" s="387" t="s">
        <v>3694</v>
      </c>
      <c r="N1820" s="391"/>
      <c r="O1820" s="387" t="s">
        <v>2727</v>
      </c>
      <c r="P1820" s="387" t="s">
        <v>3695</v>
      </c>
    </row>
    <row r="1821" spans="1:16">
      <c r="A1821" s="387" t="b">
        <v>0</v>
      </c>
      <c r="B1821" s="387"/>
      <c r="C1821" s="387" t="s">
        <v>3696</v>
      </c>
      <c r="D1821" s="392">
        <v>11</v>
      </c>
      <c r="E1821" s="389"/>
      <c r="F1821" s="391" t="s">
        <v>3493</v>
      </c>
      <c r="G1821" s="390"/>
      <c r="H1821" s="390"/>
      <c r="I1821" s="391"/>
      <c r="J1821" s="391"/>
      <c r="K1821" s="387" t="str">
        <f ca="1">IFERROR(VLOOKUP(C1821,' Disaggregation - Section E '!A$618:J2510,3,0),"")</f>
        <v>DRTB-9 Treatment success rate of RR-TB and/or MDR-TB: Percentage of patients with RR and/or MDR-TB successfully treated</v>
      </c>
      <c r="L1821" s="387"/>
      <c r="M1821" s="387" t="s">
        <v>3697</v>
      </c>
      <c r="N1821" s="391"/>
      <c r="O1821" s="387" t="s">
        <v>2727</v>
      </c>
      <c r="P1821" s="387" t="s">
        <v>3698</v>
      </c>
    </row>
    <row r="1822" spans="1:16">
      <c r="A1822" s="387" t="b">
        <v>0</v>
      </c>
      <c r="B1822" s="387"/>
      <c r="C1822" s="387" t="s">
        <v>3699</v>
      </c>
      <c r="D1822" s="392">
        <v>11</v>
      </c>
      <c r="E1822" s="389"/>
      <c r="F1822" s="391" t="s">
        <v>3367</v>
      </c>
      <c r="G1822" s="390"/>
      <c r="H1822" s="390"/>
      <c r="I1822" s="391"/>
      <c r="J1822" s="391"/>
      <c r="K1822" s="387" t="str">
        <f ca="1">IFERROR(VLOOKUP(C1822,' Disaggregation - Section E '!A$618:J2511,3,0),"")</f>
        <v>DRTB-9 Treatment success rate of RR-TB and/or MDR-TB: Percentage of patients with RR and/or MDR-TB successfully treated</v>
      </c>
      <c r="L1822" s="387"/>
      <c r="M1822" s="387" t="s">
        <v>3700</v>
      </c>
      <c r="N1822" s="391"/>
      <c r="O1822" s="387" t="s">
        <v>2727</v>
      </c>
      <c r="P1822" s="387" t="s">
        <v>3701</v>
      </c>
    </row>
    <row r="1823" spans="1:16">
      <c r="A1823" s="387" t="b">
        <v>0</v>
      </c>
      <c r="B1823" s="387"/>
      <c r="C1823" s="387" t="s">
        <v>3702</v>
      </c>
      <c r="D1823" s="392">
        <v>11</v>
      </c>
      <c r="E1823" s="389"/>
      <c r="F1823" s="391"/>
      <c r="G1823" s="390"/>
      <c r="H1823" s="390"/>
      <c r="I1823" s="391"/>
      <c r="J1823" s="391"/>
      <c r="K1823" s="387" t="str">
        <f ca="1">IFERROR(VLOOKUP(C1823,' Disaggregation - Section E '!A$618:J2512,3,0),"")</f>
        <v>DRTB-9 Treatment success rate of RR-TB and/or MDR-TB: Percentage of patients with RR and/or MDR-TB successfully treated</v>
      </c>
      <c r="L1823" s="387"/>
      <c r="M1823" s="387"/>
      <c r="N1823" s="391"/>
      <c r="O1823" s="387" t="s">
        <v>2727</v>
      </c>
      <c r="P1823" s="387"/>
    </row>
    <row r="1824" spans="1:16">
      <c r="A1824" s="387" t="b">
        <v>0</v>
      </c>
      <c r="B1824" s="387"/>
      <c r="C1824" s="387" t="s">
        <v>3703</v>
      </c>
      <c r="D1824" s="392">
        <v>11</v>
      </c>
      <c r="E1824" s="389"/>
      <c r="F1824" s="391"/>
      <c r="G1824" s="390"/>
      <c r="H1824" s="390"/>
      <c r="I1824" s="391"/>
      <c r="J1824" s="391"/>
      <c r="K1824" s="387" t="str">
        <f ca="1">IFERROR(VLOOKUP(C1824,' Disaggregation - Section E '!A$618:J2513,3,0),"")</f>
        <v>DRTB-9 Treatment success rate of RR-TB and/or MDR-TB: Percentage of patients with RR and/or MDR-TB successfully treated</v>
      </c>
      <c r="L1824" s="387"/>
      <c r="M1824" s="387"/>
      <c r="N1824" s="391"/>
      <c r="O1824" s="387" t="s">
        <v>2727</v>
      </c>
      <c r="P1824" s="387"/>
    </row>
    <row r="1825" spans="1:16">
      <c r="A1825" s="387" t="b">
        <v>0</v>
      </c>
      <c r="B1825" s="387"/>
      <c r="C1825" s="387" t="s">
        <v>3704</v>
      </c>
      <c r="D1825" s="392">
        <v>11</v>
      </c>
      <c r="E1825" s="389"/>
      <c r="F1825" s="391"/>
      <c r="G1825" s="390"/>
      <c r="H1825" s="390"/>
      <c r="I1825" s="391"/>
      <c r="J1825" s="391"/>
      <c r="K1825" s="387" t="str">
        <f ca="1">IFERROR(VLOOKUP(C1825,' Disaggregation - Section E '!A$618:J2514,3,0),"")</f>
        <v>DRTB-9 Treatment success rate of RR-TB and/or MDR-TB: Percentage of patients with RR and/or MDR-TB successfully treated</v>
      </c>
      <c r="L1825" s="387"/>
      <c r="M1825" s="387"/>
      <c r="N1825" s="391"/>
      <c r="O1825" s="387" t="s">
        <v>2727</v>
      </c>
      <c r="P1825" s="387"/>
    </row>
    <row r="1826" spans="1:16">
      <c r="A1826" s="387" t="b">
        <v>0</v>
      </c>
      <c r="B1826" s="387"/>
      <c r="C1826" s="387" t="s">
        <v>3705</v>
      </c>
      <c r="D1826" s="392">
        <v>11</v>
      </c>
      <c r="E1826" s="389"/>
      <c r="F1826" s="391"/>
      <c r="G1826" s="390"/>
      <c r="H1826" s="390"/>
      <c r="I1826" s="391"/>
      <c r="J1826" s="391"/>
      <c r="K1826" s="387" t="str">
        <f ca="1">IFERROR(VLOOKUP(C1826,' Disaggregation - Section E '!A$618:J2515,3,0),"")</f>
        <v>DRTB-9 Treatment success rate of RR-TB and/or MDR-TB: Percentage of patients with RR and/or MDR-TB successfully treated</v>
      </c>
      <c r="L1826" s="387"/>
      <c r="M1826" s="387"/>
      <c r="N1826" s="391"/>
      <c r="O1826" s="387" t="s">
        <v>2727</v>
      </c>
      <c r="P1826" s="387"/>
    </row>
    <row r="1827" spans="1:16">
      <c r="A1827" s="387" t="b">
        <v>0</v>
      </c>
      <c r="B1827" s="387"/>
      <c r="C1827" s="387" t="s">
        <v>3706</v>
      </c>
      <c r="D1827" s="392">
        <v>11</v>
      </c>
      <c r="E1827" s="389"/>
      <c r="F1827" s="391"/>
      <c r="G1827" s="390"/>
      <c r="H1827" s="390"/>
      <c r="I1827" s="391"/>
      <c r="J1827" s="391"/>
      <c r="K1827" s="387" t="str">
        <f ca="1">IFERROR(VLOOKUP(C1827,' Disaggregation - Section E '!A$618:J2516,3,0),"")</f>
        <v>DRTB-9 Treatment success rate of RR-TB and/or MDR-TB: Percentage of patients with RR and/or MDR-TB successfully treated</v>
      </c>
      <c r="L1827" s="387"/>
      <c r="M1827" s="387"/>
      <c r="N1827" s="391"/>
      <c r="O1827" s="387" t="s">
        <v>2727</v>
      </c>
      <c r="P1827" s="387"/>
    </row>
    <row r="1828" spans="1:16">
      <c r="A1828" s="387" t="b">
        <v>0</v>
      </c>
      <c r="B1828" s="387"/>
      <c r="C1828" s="387" t="s">
        <v>3707</v>
      </c>
      <c r="D1828" s="392">
        <v>11</v>
      </c>
      <c r="E1828" s="389"/>
      <c r="F1828" s="391"/>
      <c r="G1828" s="390"/>
      <c r="H1828" s="390"/>
      <c r="I1828" s="391"/>
      <c r="J1828" s="391"/>
      <c r="K1828" s="387" t="str">
        <f ca="1">IFERROR(VLOOKUP(C1828,' Disaggregation - Section E '!A$618:J2517,3,0),"")</f>
        <v>DRTB-9 Treatment success rate of RR-TB and/or MDR-TB: Percentage of patients with RR and/or MDR-TB successfully treated</v>
      </c>
      <c r="L1828" s="387"/>
      <c r="M1828" s="387"/>
      <c r="N1828" s="391"/>
      <c r="O1828" s="387" t="s">
        <v>2727</v>
      </c>
      <c r="P1828" s="387"/>
    </row>
    <row r="1829" spans="1:16">
      <c r="A1829" s="387" t="b">
        <v>0</v>
      </c>
      <c r="B1829" s="387"/>
      <c r="C1829" s="387" t="s">
        <v>3708</v>
      </c>
      <c r="D1829" s="392">
        <v>11</v>
      </c>
      <c r="E1829" s="389"/>
      <c r="F1829" s="391"/>
      <c r="G1829" s="390"/>
      <c r="H1829" s="390"/>
      <c r="I1829" s="391"/>
      <c r="J1829" s="391"/>
      <c r="K1829" s="387" t="str">
        <f ca="1">IFERROR(VLOOKUP(C1829,' Disaggregation - Section E '!A$618:J2518,3,0),"")</f>
        <v>DRTB-9 Treatment success rate of RR-TB and/or MDR-TB: Percentage of patients with RR and/or MDR-TB successfully treated</v>
      </c>
      <c r="L1829" s="387"/>
      <c r="M1829" s="387"/>
      <c r="N1829" s="391"/>
      <c r="O1829" s="387" t="s">
        <v>2727</v>
      </c>
      <c r="P1829" s="387"/>
    </row>
    <row r="1830" spans="1:16">
      <c r="A1830" s="387" t="b">
        <v>0</v>
      </c>
      <c r="B1830" s="387"/>
      <c r="C1830" s="387" t="s">
        <v>3709</v>
      </c>
      <c r="D1830" s="392">
        <v>11</v>
      </c>
      <c r="E1830" s="389"/>
      <c r="F1830" s="391"/>
      <c r="G1830" s="390"/>
      <c r="H1830" s="390"/>
      <c r="I1830" s="391"/>
      <c r="J1830" s="391"/>
      <c r="K1830" s="387" t="str">
        <f ca="1">IFERROR(VLOOKUP(C1830,' Disaggregation - Section E '!A$618:J2519,3,0),"")</f>
        <v>DRTB-9 Treatment success rate of RR-TB and/or MDR-TB: Percentage of patients with RR and/or MDR-TB successfully treated</v>
      </c>
      <c r="L1830" s="387"/>
      <c r="M1830" s="387"/>
      <c r="N1830" s="391"/>
      <c r="O1830" s="387" t="s">
        <v>2727</v>
      </c>
      <c r="P1830" s="387"/>
    </row>
    <row r="1831" spans="1:16">
      <c r="A1831" s="387" t="b">
        <v>0</v>
      </c>
      <c r="B1831" s="387"/>
      <c r="C1831" s="387" t="s">
        <v>3710</v>
      </c>
      <c r="D1831" s="392">
        <v>11</v>
      </c>
      <c r="E1831" s="389"/>
      <c r="F1831" s="391"/>
      <c r="G1831" s="390"/>
      <c r="H1831" s="390"/>
      <c r="I1831" s="391"/>
      <c r="J1831" s="391"/>
      <c r="K1831" s="387" t="str">
        <f ca="1">IFERROR(VLOOKUP(C1831,' Disaggregation - Section E '!A$618:J2520,3,0),"")</f>
        <v>DRTB-9 Treatment success rate of RR-TB and/or MDR-TB: Percentage of patients with RR and/or MDR-TB successfully treated</v>
      </c>
      <c r="L1831" s="387"/>
      <c r="M1831" s="387"/>
      <c r="N1831" s="391"/>
      <c r="O1831" s="387" t="s">
        <v>2727</v>
      </c>
      <c r="P1831" s="387"/>
    </row>
    <row r="1832" spans="1:16">
      <c r="A1832" s="387" t="b">
        <v>0</v>
      </c>
      <c r="B1832" s="387"/>
      <c r="C1832" s="387" t="s">
        <v>3711</v>
      </c>
      <c r="D1832" s="392">
        <v>12</v>
      </c>
      <c r="E1832" s="389"/>
      <c r="F1832" s="391"/>
      <c r="G1832" s="390"/>
      <c r="H1832" s="390"/>
      <c r="I1832" s="391"/>
      <c r="J1832" s="391"/>
      <c r="K1832" s="387" t="str">
        <f ca="1">IFERROR(VLOOKUP(C1832,' Disaggregation - Section E '!A$618:J2521,3,0),"")</f>
        <v/>
      </c>
      <c r="L1832" s="387"/>
      <c r="M1832" s="387"/>
      <c r="N1832" s="391"/>
      <c r="O1832" s="387" t="s">
        <v>2734</v>
      </c>
      <c r="P1832" s="387"/>
    </row>
    <row r="1833" spans="1:16">
      <c r="A1833" s="387" t="b">
        <v>0</v>
      </c>
      <c r="B1833" s="387"/>
      <c r="C1833" s="387" t="s">
        <v>3712</v>
      </c>
      <c r="D1833" s="392">
        <v>12</v>
      </c>
      <c r="E1833" s="389"/>
      <c r="F1833" s="391"/>
      <c r="G1833" s="390"/>
      <c r="H1833" s="390"/>
      <c r="I1833" s="391"/>
      <c r="J1833" s="391"/>
      <c r="K1833" s="387" t="str">
        <f ca="1">IFERROR(VLOOKUP(C1833,' Disaggregation - Section E '!A$618:J2522,3,0),"")</f>
        <v/>
      </c>
      <c r="L1833" s="387"/>
      <c r="M1833" s="387"/>
      <c r="N1833" s="391"/>
      <c r="O1833" s="387" t="s">
        <v>2734</v>
      </c>
      <c r="P1833" s="387"/>
    </row>
    <row r="1834" spans="1:16">
      <c r="A1834" s="387" t="b">
        <v>0</v>
      </c>
      <c r="B1834" s="387"/>
      <c r="C1834" s="387" t="s">
        <v>3713</v>
      </c>
      <c r="D1834" s="392">
        <v>12</v>
      </c>
      <c r="E1834" s="389"/>
      <c r="F1834" s="391"/>
      <c r="G1834" s="390"/>
      <c r="H1834" s="390"/>
      <c r="I1834" s="391"/>
      <c r="J1834" s="391"/>
      <c r="K1834" s="387" t="str">
        <f ca="1">IFERROR(VLOOKUP(C1834,' Disaggregation - Section E '!A$618:J2523,3,0),"")</f>
        <v/>
      </c>
      <c r="L1834" s="387"/>
      <c r="M1834" s="387"/>
      <c r="N1834" s="391"/>
      <c r="O1834" s="387" t="s">
        <v>2734</v>
      </c>
      <c r="P1834" s="387"/>
    </row>
    <row r="1835" spans="1:16">
      <c r="A1835" s="387" t="b">
        <v>0</v>
      </c>
      <c r="B1835" s="387"/>
      <c r="C1835" s="387" t="s">
        <v>3714</v>
      </c>
      <c r="D1835" s="392">
        <v>12</v>
      </c>
      <c r="E1835" s="389"/>
      <c r="F1835" s="391"/>
      <c r="G1835" s="390"/>
      <c r="H1835" s="390"/>
      <c r="I1835" s="391"/>
      <c r="J1835" s="391"/>
      <c r="K1835" s="387" t="str">
        <f ca="1">IFERROR(VLOOKUP(C1835,' Disaggregation - Section E '!A$618:J2524,3,0),"")</f>
        <v/>
      </c>
      <c r="L1835" s="387"/>
      <c r="M1835" s="387"/>
      <c r="N1835" s="391"/>
      <c r="O1835" s="387" t="s">
        <v>2734</v>
      </c>
      <c r="P1835" s="387"/>
    </row>
    <row r="1836" spans="1:16">
      <c r="A1836" s="387" t="b">
        <v>0</v>
      </c>
      <c r="B1836" s="387"/>
      <c r="C1836" s="387" t="s">
        <v>3715</v>
      </c>
      <c r="D1836" s="392">
        <v>12</v>
      </c>
      <c r="E1836" s="389"/>
      <c r="F1836" s="391"/>
      <c r="G1836" s="390"/>
      <c r="H1836" s="390"/>
      <c r="I1836" s="391"/>
      <c r="J1836" s="391"/>
      <c r="K1836" s="387" t="str">
        <f ca="1">IFERROR(VLOOKUP(C1836,' Disaggregation - Section E '!A$618:J2525,3,0),"")</f>
        <v/>
      </c>
      <c r="L1836" s="387"/>
      <c r="M1836" s="387"/>
      <c r="N1836" s="391"/>
      <c r="O1836" s="387" t="s">
        <v>2734</v>
      </c>
      <c r="P1836" s="387"/>
    </row>
    <row r="1837" spans="1:16">
      <c r="A1837" s="387" t="b">
        <v>0</v>
      </c>
      <c r="B1837" s="387"/>
      <c r="C1837" s="387" t="s">
        <v>3716</v>
      </c>
      <c r="D1837" s="392">
        <v>12</v>
      </c>
      <c r="E1837" s="389"/>
      <c r="F1837" s="391"/>
      <c r="G1837" s="390"/>
      <c r="H1837" s="390"/>
      <c r="I1837" s="391"/>
      <c r="J1837" s="391"/>
      <c r="K1837" s="387" t="str">
        <f ca="1">IFERROR(VLOOKUP(C1837,' Disaggregation - Section E '!A$618:J2526,3,0),"")</f>
        <v/>
      </c>
      <c r="L1837" s="387"/>
      <c r="M1837" s="387"/>
      <c r="N1837" s="391"/>
      <c r="O1837" s="387" t="s">
        <v>2734</v>
      </c>
      <c r="P1837" s="387"/>
    </row>
    <row r="1838" spans="1:16">
      <c r="A1838" s="387" t="b">
        <v>0</v>
      </c>
      <c r="B1838" s="387"/>
      <c r="C1838" s="387" t="s">
        <v>3717</v>
      </c>
      <c r="D1838" s="392">
        <v>12</v>
      </c>
      <c r="E1838" s="389"/>
      <c r="F1838" s="391"/>
      <c r="G1838" s="390"/>
      <c r="H1838" s="390"/>
      <c r="I1838" s="391"/>
      <c r="J1838" s="391"/>
      <c r="K1838" s="387" t="str">
        <f ca="1">IFERROR(VLOOKUP(C1838,' Disaggregation - Section E '!A$618:J2527,3,0),"")</f>
        <v/>
      </c>
      <c r="L1838" s="387"/>
      <c r="M1838" s="387"/>
      <c r="N1838" s="391"/>
      <c r="O1838" s="387" t="s">
        <v>2734</v>
      </c>
      <c r="P1838" s="387"/>
    </row>
    <row r="1839" spans="1:16">
      <c r="A1839" s="387" t="b">
        <v>0</v>
      </c>
      <c r="B1839" s="387"/>
      <c r="C1839" s="387" t="s">
        <v>3718</v>
      </c>
      <c r="D1839" s="392">
        <v>12</v>
      </c>
      <c r="E1839" s="389"/>
      <c r="F1839" s="391"/>
      <c r="G1839" s="390"/>
      <c r="H1839" s="390"/>
      <c r="I1839" s="391"/>
      <c r="J1839" s="391"/>
      <c r="K1839" s="387" t="str">
        <f ca="1">IFERROR(VLOOKUP(C1839,' Disaggregation - Section E '!A$618:J2528,3,0),"")</f>
        <v/>
      </c>
      <c r="L1839" s="387"/>
      <c r="M1839" s="387"/>
      <c r="N1839" s="391"/>
      <c r="O1839" s="387" t="s">
        <v>2734</v>
      </c>
      <c r="P1839" s="387"/>
    </row>
    <row r="1840" spans="1:16">
      <c r="A1840" s="387" t="b">
        <v>0</v>
      </c>
      <c r="B1840" s="387"/>
      <c r="C1840" s="387" t="s">
        <v>3719</v>
      </c>
      <c r="D1840" s="392">
        <v>12</v>
      </c>
      <c r="E1840" s="389"/>
      <c r="F1840" s="391"/>
      <c r="G1840" s="390"/>
      <c r="H1840" s="390"/>
      <c r="I1840" s="391"/>
      <c r="J1840" s="391"/>
      <c r="K1840" s="387" t="str">
        <f ca="1">IFERROR(VLOOKUP(C1840,' Disaggregation - Section E '!A$618:J2529,3,0),"")</f>
        <v/>
      </c>
      <c r="L1840" s="387"/>
      <c r="M1840" s="387"/>
      <c r="N1840" s="391"/>
      <c r="O1840" s="387" t="s">
        <v>2734</v>
      </c>
      <c r="P1840" s="387"/>
    </row>
    <row r="1841" spans="1:16">
      <c r="A1841" s="387" t="b">
        <v>0</v>
      </c>
      <c r="B1841" s="387"/>
      <c r="C1841" s="387" t="s">
        <v>3720</v>
      </c>
      <c r="D1841" s="392">
        <v>12</v>
      </c>
      <c r="E1841" s="389"/>
      <c r="F1841" s="391"/>
      <c r="G1841" s="390"/>
      <c r="H1841" s="390"/>
      <c r="I1841" s="391"/>
      <c r="J1841" s="391"/>
      <c r="K1841" s="387" t="str">
        <f ca="1">IFERROR(VLOOKUP(C1841,' Disaggregation - Section E '!A$618:J2530,3,0),"")</f>
        <v/>
      </c>
      <c r="L1841" s="387"/>
      <c r="M1841" s="387"/>
      <c r="N1841" s="391"/>
      <c r="O1841" s="387" t="s">
        <v>2734</v>
      </c>
      <c r="P1841" s="387"/>
    </row>
    <row r="1842" spans="1:16">
      <c r="A1842" s="387" t="b">
        <v>0</v>
      </c>
      <c r="B1842" s="387"/>
      <c r="C1842" s="387" t="s">
        <v>3721</v>
      </c>
      <c r="D1842" s="392">
        <v>12</v>
      </c>
      <c r="E1842" s="389"/>
      <c r="F1842" s="391"/>
      <c r="G1842" s="390"/>
      <c r="H1842" s="390"/>
      <c r="I1842" s="391"/>
      <c r="J1842" s="391"/>
      <c r="K1842" s="387" t="str">
        <f ca="1">IFERROR(VLOOKUP(C1842,' Disaggregation - Section E '!A$618:J2531,3,0),"")</f>
        <v/>
      </c>
      <c r="L1842" s="387"/>
      <c r="M1842" s="387"/>
      <c r="N1842" s="391"/>
      <c r="O1842" s="387" t="s">
        <v>2734</v>
      </c>
      <c r="P1842" s="387"/>
    </row>
    <row r="1843" spans="1:16">
      <c r="A1843" s="387" t="b">
        <v>0</v>
      </c>
      <c r="B1843" s="387"/>
      <c r="C1843" s="387" t="s">
        <v>3722</v>
      </c>
      <c r="D1843" s="392">
        <v>12</v>
      </c>
      <c r="E1843" s="389"/>
      <c r="F1843" s="391"/>
      <c r="G1843" s="390"/>
      <c r="H1843" s="390"/>
      <c r="I1843" s="391"/>
      <c r="J1843" s="391"/>
      <c r="K1843" s="387" t="str">
        <f ca="1">IFERROR(VLOOKUP(C1843,' Disaggregation - Section E '!A$618:J2532,3,0),"")</f>
        <v/>
      </c>
      <c r="L1843" s="387"/>
      <c r="M1843" s="387"/>
      <c r="N1843" s="391"/>
      <c r="O1843" s="387" t="s">
        <v>2734</v>
      </c>
      <c r="P1843" s="387"/>
    </row>
    <row r="1844" spans="1:16">
      <c r="A1844" s="387" t="b">
        <v>0</v>
      </c>
      <c r="B1844" s="387"/>
      <c r="C1844" s="387" t="s">
        <v>3723</v>
      </c>
      <c r="D1844" s="392">
        <v>12</v>
      </c>
      <c r="E1844" s="389"/>
      <c r="F1844" s="391"/>
      <c r="G1844" s="390"/>
      <c r="H1844" s="390"/>
      <c r="I1844" s="391"/>
      <c r="J1844" s="391"/>
      <c r="K1844" s="387" t="str">
        <f ca="1">IFERROR(VLOOKUP(C1844,' Disaggregation - Section E '!A$618:J2533,3,0),"")</f>
        <v/>
      </c>
      <c r="L1844" s="387"/>
      <c r="M1844" s="387"/>
      <c r="N1844" s="391"/>
      <c r="O1844" s="387" t="s">
        <v>2734</v>
      </c>
      <c r="P1844" s="387"/>
    </row>
    <row r="1845" spans="1:16">
      <c r="A1845" s="387" t="b">
        <v>0</v>
      </c>
      <c r="B1845" s="387"/>
      <c r="C1845" s="387" t="s">
        <v>3724</v>
      </c>
      <c r="D1845" s="392">
        <v>12</v>
      </c>
      <c r="E1845" s="389"/>
      <c r="F1845" s="391"/>
      <c r="G1845" s="390"/>
      <c r="H1845" s="390"/>
      <c r="I1845" s="391"/>
      <c r="J1845" s="391"/>
      <c r="K1845" s="387" t="str">
        <f ca="1">IFERROR(VLOOKUP(C1845,' Disaggregation - Section E '!A$618:J2534,3,0),"")</f>
        <v/>
      </c>
      <c r="L1845" s="387"/>
      <c r="M1845" s="387"/>
      <c r="N1845" s="391"/>
      <c r="O1845" s="387" t="s">
        <v>2734</v>
      </c>
      <c r="P1845" s="387"/>
    </row>
    <row r="1846" spans="1:16">
      <c r="A1846" s="387" t="b">
        <v>0</v>
      </c>
      <c r="B1846" s="387"/>
      <c r="C1846" s="387" t="s">
        <v>3725</v>
      </c>
      <c r="D1846" s="392">
        <v>12</v>
      </c>
      <c r="E1846" s="389"/>
      <c r="F1846" s="391"/>
      <c r="G1846" s="390"/>
      <c r="H1846" s="390"/>
      <c r="I1846" s="391"/>
      <c r="J1846" s="391"/>
      <c r="K1846" s="387" t="str">
        <f ca="1">IFERROR(VLOOKUP(C1846,' Disaggregation - Section E '!A$618:J2535,3,0),"")</f>
        <v/>
      </c>
      <c r="L1846" s="387"/>
      <c r="M1846" s="387"/>
      <c r="N1846" s="391"/>
      <c r="O1846" s="387" t="s">
        <v>2734</v>
      </c>
      <c r="P1846" s="387"/>
    </row>
    <row r="1847" spans="1:16">
      <c r="A1847" s="387" t="b">
        <v>0</v>
      </c>
      <c r="B1847" s="387"/>
      <c r="C1847" s="387" t="s">
        <v>3726</v>
      </c>
      <c r="D1847" s="392">
        <v>12</v>
      </c>
      <c r="E1847" s="389"/>
      <c r="F1847" s="391"/>
      <c r="G1847" s="390"/>
      <c r="H1847" s="390"/>
      <c r="I1847" s="391"/>
      <c r="J1847" s="391"/>
      <c r="K1847" s="387" t="str">
        <f ca="1">IFERROR(VLOOKUP(C1847,' Disaggregation - Section E '!A$618:J2536,3,0),"")</f>
        <v/>
      </c>
      <c r="L1847" s="387"/>
      <c r="M1847" s="387"/>
      <c r="N1847" s="391"/>
      <c r="O1847" s="387" t="s">
        <v>2734</v>
      </c>
      <c r="P1847" s="387"/>
    </row>
    <row r="1848" spans="1:16">
      <c r="A1848" s="387" t="b">
        <v>0</v>
      </c>
      <c r="B1848" s="387"/>
      <c r="C1848" s="387" t="s">
        <v>3727</v>
      </c>
      <c r="D1848" s="392">
        <v>12</v>
      </c>
      <c r="E1848" s="389"/>
      <c r="F1848" s="391"/>
      <c r="G1848" s="390"/>
      <c r="H1848" s="390"/>
      <c r="I1848" s="391"/>
      <c r="J1848" s="391"/>
      <c r="K1848" s="387" t="str">
        <f ca="1">IFERROR(VLOOKUP(C1848,' Disaggregation - Section E '!A$618:J2537,3,0),"")</f>
        <v/>
      </c>
      <c r="L1848" s="387"/>
      <c r="M1848" s="387"/>
      <c r="N1848" s="391"/>
      <c r="O1848" s="387" t="s">
        <v>2734</v>
      </c>
      <c r="P1848" s="387"/>
    </row>
    <row r="1849" spans="1:16">
      <c r="A1849" s="387" t="b">
        <v>0</v>
      </c>
      <c r="B1849" s="387"/>
      <c r="C1849" s="387" t="s">
        <v>3728</v>
      </c>
      <c r="D1849" s="392">
        <v>12</v>
      </c>
      <c r="E1849" s="389"/>
      <c r="F1849" s="391"/>
      <c r="G1849" s="390"/>
      <c r="H1849" s="390"/>
      <c r="I1849" s="391"/>
      <c r="J1849" s="391"/>
      <c r="K1849" s="387" t="str">
        <f ca="1">IFERROR(VLOOKUP(C1849,' Disaggregation - Section E '!A$618:J2538,3,0),"")</f>
        <v/>
      </c>
      <c r="L1849" s="387"/>
      <c r="M1849" s="387"/>
      <c r="N1849" s="391"/>
      <c r="O1849" s="387" t="s">
        <v>2734</v>
      </c>
      <c r="P1849" s="387"/>
    </row>
    <row r="1850" spans="1:16">
      <c r="A1850" s="387" t="b">
        <v>0</v>
      </c>
      <c r="B1850" s="387"/>
      <c r="C1850" s="387" t="s">
        <v>3729</v>
      </c>
      <c r="D1850" s="392">
        <v>12</v>
      </c>
      <c r="E1850" s="389"/>
      <c r="F1850" s="391"/>
      <c r="G1850" s="390"/>
      <c r="H1850" s="390"/>
      <c r="I1850" s="391"/>
      <c r="J1850" s="391"/>
      <c r="K1850" s="387" t="str">
        <f ca="1">IFERROR(VLOOKUP(C1850,' Disaggregation - Section E '!A$618:J2539,3,0),"")</f>
        <v/>
      </c>
      <c r="L1850" s="387"/>
      <c r="M1850" s="387"/>
      <c r="N1850" s="391"/>
      <c r="O1850" s="387" t="s">
        <v>2734</v>
      </c>
      <c r="P1850" s="387"/>
    </row>
    <row r="1851" spans="1:16">
      <c r="A1851" s="387" t="b">
        <v>0</v>
      </c>
      <c r="B1851" s="387"/>
      <c r="C1851" s="387" t="s">
        <v>3730</v>
      </c>
      <c r="D1851" s="392">
        <v>12</v>
      </c>
      <c r="E1851" s="389"/>
      <c r="F1851" s="391"/>
      <c r="G1851" s="390"/>
      <c r="H1851" s="390"/>
      <c r="I1851" s="391"/>
      <c r="J1851" s="391"/>
      <c r="K1851" s="387" t="str">
        <f ca="1">IFERROR(VLOOKUP(C1851,' Disaggregation - Section E '!A$618:J2540,3,0),"")</f>
        <v/>
      </c>
      <c r="L1851" s="387"/>
      <c r="M1851" s="387"/>
      <c r="N1851" s="391"/>
      <c r="O1851" s="387" t="s">
        <v>2734</v>
      </c>
      <c r="P1851" s="387"/>
    </row>
    <row r="1852" spans="1:16">
      <c r="A1852" s="387" t="b">
        <v>0</v>
      </c>
      <c r="B1852" s="387"/>
      <c r="C1852" s="387" t="s">
        <v>3731</v>
      </c>
      <c r="D1852" s="392">
        <v>13</v>
      </c>
      <c r="E1852" s="389"/>
      <c r="F1852" s="391" t="s">
        <v>3167</v>
      </c>
      <c r="G1852" s="390"/>
      <c r="H1852" s="390"/>
      <c r="I1852" s="391"/>
      <c r="J1852" s="391"/>
      <c r="K1852" s="387" t="str">
        <f ca="1">IFERROR(VLOOKUP(C1852,' Disaggregation - Section E '!A$618:J2541,3,0),"")</f>
        <v>KP-1a Percentage of men who have sex with men reached with HIV prevention programs - defined package of services</v>
      </c>
      <c r="L1852" s="387"/>
      <c r="M1852" s="387" t="s">
        <v>3732</v>
      </c>
      <c r="N1852" s="391"/>
      <c r="O1852" s="387" t="s">
        <v>2741</v>
      </c>
      <c r="P1852" s="387" t="s">
        <v>3733</v>
      </c>
    </row>
    <row r="1853" spans="1:16">
      <c r="A1853" s="387" t="b">
        <v>0</v>
      </c>
      <c r="B1853" s="387"/>
      <c r="C1853" s="387" t="s">
        <v>3734</v>
      </c>
      <c r="D1853" s="392">
        <v>13</v>
      </c>
      <c r="E1853" s="389"/>
      <c r="F1853" s="391" t="s">
        <v>3735</v>
      </c>
      <c r="G1853" s="390"/>
      <c r="H1853" s="390"/>
      <c r="I1853" s="391"/>
      <c r="J1853" s="391"/>
      <c r="K1853" s="387" t="str">
        <f ca="1">IFERROR(VLOOKUP(C1853,' Disaggregation - Section E '!A$618:J2542,3,0),"")</f>
        <v>KP-1a Percentage of men who have sex with men reached with HIV prevention programs - defined package of services</v>
      </c>
      <c r="L1853" s="387"/>
      <c r="M1853" s="387" t="s">
        <v>3736</v>
      </c>
      <c r="N1853" s="391"/>
      <c r="O1853" s="387" t="s">
        <v>2741</v>
      </c>
      <c r="P1853" s="387" t="s">
        <v>3737</v>
      </c>
    </row>
    <row r="1854" spans="1:16">
      <c r="A1854" s="387" t="b">
        <v>0</v>
      </c>
      <c r="B1854" s="387"/>
      <c r="C1854" s="387" t="s">
        <v>3738</v>
      </c>
      <c r="D1854" s="392">
        <v>13</v>
      </c>
      <c r="E1854" s="389"/>
      <c r="F1854" s="391" t="s">
        <v>3739</v>
      </c>
      <c r="G1854" s="390"/>
      <c r="H1854" s="390"/>
      <c r="I1854" s="391"/>
      <c r="J1854" s="391"/>
      <c r="K1854" s="387" t="str">
        <f ca="1">IFERROR(VLOOKUP(C1854,' Disaggregation - Section E '!A$618:J2543,3,0),"")</f>
        <v>KP-1a Percentage of men who have sex with men reached with HIV prevention programs - defined package of services</v>
      </c>
      <c r="L1854" s="387"/>
      <c r="M1854" s="387" t="s">
        <v>3740</v>
      </c>
      <c r="N1854" s="391"/>
      <c r="O1854" s="387" t="s">
        <v>2741</v>
      </c>
      <c r="P1854" s="387" t="s">
        <v>3741</v>
      </c>
    </row>
    <row r="1855" spans="1:16">
      <c r="A1855" s="387" t="b">
        <v>0</v>
      </c>
      <c r="B1855" s="387"/>
      <c r="C1855" s="387" t="s">
        <v>3742</v>
      </c>
      <c r="D1855" s="392">
        <v>13</v>
      </c>
      <c r="E1855" s="389"/>
      <c r="F1855" s="391"/>
      <c r="G1855" s="390"/>
      <c r="H1855" s="390"/>
      <c r="I1855" s="391"/>
      <c r="J1855" s="391"/>
      <c r="K1855" s="387" t="str">
        <f ca="1">IFERROR(VLOOKUP(C1855,' Disaggregation - Section E '!A$618:J2544,3,0),"")</f>
        <v>KP-1a Percentage of men who have sex with men reached with HIV prevention programs - defined package of services</v>
      </c>
      <c r="L1855" s="387"/>
      <c r="M1855" s="387"/>
      <c r="N1855" s="391"/>
      <c r="O1855" s="387" t="s">
        <v>2741</v>
      </c>
      <c r="P1855" s="387"/>
    </row>
    <row r="1856" spans="1:16">
      <c r="A1856" s="387" t="b">
        <v>0</v>
      </c>
      <c r="B1856" s="387"/>
      <c r="C1856" s="387" t="s">
        <v>3743</v>
      </c>
      <c r="D1856" s="392">
        <v>13</v>
      </c>
      <c r="E1856" s="389"/>
      <c r="F1856" s="391"/>
      <c r="G1856" s="390"/>
      <c r="H1856" s="390"/>
      <c r="I1856" s="391"/>
      <c r="J1856" s="391"/>
      <c r="K1856" s="387" t="str">
        <f ca="1">IFERROR(VLOOKUP(C1856,' Disaggregation - Section E '!A$618:J2545,3,0),"")</f>
        <v>KP-1a Percentage of men who have sex with men reached with HIV prevention programs - defined package of services</v>
      </c>
      <c r="L1856" s="387"/>
      <c r="M1856" s="387"/>
      <c r="N1856" s="391"/>
      <c r="O1856" s="387" t="s">
        <v>2741</v>
      </c>
      <c r="P1856" s="387"/>
    </row>
    <row r="1857" spans="1:16">
      <c r="A1857" s="387" t="b">
        <v>0</v>
      </c>
      <c r="B1857" s="387"/>
      <c r="C1857" s="387" t="s">
        <v>3744</v>
      </c>
      <c r="D1857" s="392">
        <v>13</v>
      </c>
      <c r="E1857" s="389"/>
      <c r="F1857" s="391"/>
      <c r="G1857" s="390"/>
      <c r="H1857" s="390"/>
      <c r="I1857" s="391"/>
      <c r="J1857" s="391"/>
      <c r="K1857" s="387" t="str">
        <f ca="1">IFERROR(VLOOKUP(C1857,' Disaggregation - Section E '!A$618:J2546,3,0),"")</f>
        <v>KP-1a Percentage of men who have sex with men reached with HIV prevention programs - defined package of services</v>
      </c>
      <c r="L1857" s="387"/>
      <c r="M1857" s="387"/>
      <c r="N1857" s="391"/>
      <c r="O1857" s="387" t="s">
        <v>2741</v>
      </c>
      <c r="P1857" s="387"/>
    </row>
    <row r="1858" spans="1:16">
      <c r="A1858" s="387" t="b">
        <v>0</v>
      </c>
      <c r="B1858" s="387"/>
      <c r="C1858" s="387" t="s">
        <v>3745</v>
      </c>
      <c r="D1858" s="392">
        <v>13</v>
      </c>
      <c r="E1858" s="389"/>
      <c r="F1858" s="391"/>
      <c r="G1858" s="390"/>
      <c r="H1858" s="390"/>
      <c r="I1858" s="391"/>
      <c r="J1858" s="391"/>
      <c r="K1858" s="387" t="str">
        <f ca="1">IFERROR(VLOOKUP(C1858,' Disaggregation - Section E '!A$618:J2547,3,0),"")</f>
        <v>KP-1a Percentage of men who have sex with men reached with HIV prevention programs - defined package of services</v>
      </c>
      <c r="L1858" s="387"/>
      <c r="M1858" s="387"/>
      <c r="N1858" s="391"/>
      <c r="O1858" s="387" t="s">
        <v>2741</v>
      </c>
      <c r="P1858" s="387"/>
    </row>
    <row r="1859" spans="1:16">
      <c r="A1859" s="387" t="b">
        <v>0</v>
      </c>
      <c r="B1859" s="387"/>
      <c r="C1859" s="387" t="s">
        <v>3746</v>
      </c>
      <c r="D1859" s="392">
        <v>13</v>
      </c>
      <c r="E1859" s="389"/>
      <c r="F1859" s="391"/>
      <c r="G1859" s="390"/>
      <c r="H1859" s="390"/>
      <c r="I1859" s="391"/>
      <c r="J1859" s="391"/>
      <c r="K1859" s="387" t="str">
        <f ca="1">IFERROR(VLOOKUP(C1859,' Disaggregation - Section E '!A$618:J2548,3,0),"")</f>
        <v>KP-1a Percentage of men who have sex with men reached with HIV prevention programs - defined package of services</v>
      </c>
      <c r="L1859" s="387"/>
      <c r="M1859" s="387"/>
      <c r="N1859" s="391"/>
      <c r="O1859" s="387" t="s">
        <v>2741</v>
      </c>
      <c r="P1859" s="387"/>
    </row>
    <row r="1860" spans="1:16">
      <c r="A1860" s="387" t="b">
        <v>0</v>
      </c>
      <c r="B1860" s="387"/>
      <c r="C1860" s="387" t="s">
        <v>3747</v>
      </c>
      <c r="D1860" s="392">
        <v>13</v>
      </c>
      <c r="E1860" s="389"/>
      <c r="F1860" s="391"/>
      <c r="G1860" s="390"/>
      <c r="H1860" s="390"/>
      <c r="I1860" s="391"/>
      <c r="J1860" s="391"/>
      <c r="K1860" s="387" t="str">
        <f ca="1">IFERROR(VLOOKUP(C1860,' Disaggregation - Section E '!A$618:J2549,3,0),"")</f>
        <v>KP-1a Percentage of men who have sex with men reached with HIV prevention programs - defined package of services</v>
      </c>
      <c r="L1860" s="387"/>
      <c r="M1860" s="387"/>
      <c r="N1860" s="391"/>
      <c r="O1860" s="387" t="s">
        <v>2741</v>
      </c>
      <c r="P1860" s="387"/>
    </row>
    <row r="1861" spans="1:16">
      <c r="A1861" s="387" t="b">
        <v>0</v>
      </c>
      <c r="B1861" s="387"/>
      <c r="C1861" s="387" t="s">
        <v>3748</v>
      </c>
      <c r="D1861" s="392">
        <v>13</v>
      </c>
      <c r="E1861" s="389"/>
      <c r="F1861" s="391"/>
      <c r="G1861" s="390"/>
      <c r="H1861" s="390"/>
      <c r="I1861" s="391"/>
      <c r="J1861" s="391"/>
      <c r="K1861" s="387" t="str">
        <f ca="1">IFERROR(VLOOKUP(C1861,' Disaggregation - Section E '!A$618:J2550,3,0),"")</f>
        <v>KP-1a Percentage of men who have sex with men reached with HIV prevention programs - defined package of services</v>
      </c>
      <c r="L1861" s="387"/>
      <c r="M1861" s="387"/>
      <c r="N1861" s="391"/>
      <c r="O1861" s="387" t="s">
        <v>2741</v>
      </c>
      <c r="P1861" s="387"/>
    </row>
    <row r="1862" spans="1:16">
      <c r="A1862" s="387" t="b">
        <v>0</v>
      </c>
      <c r="B1862" s="387"/>
      <c r="C1862" s="387" t="s">
        <v>3749</v>
      </c>
      <c r="D1862" s="392">
        <v>13</v>
      </c>
      <c r="E1862" s="389"/>
      <c r="F1862" s="391"/>
      <c r="G1862" s="390"/>
      <c r="H1862" s="390"/>
      <c r="I1862" s="391"/>
      <c r="J1862" s="391"/>
      <c r="K1862" s="387" t="str">
        <f ca="1">IFERROR(VLOOKUP(C1862,' Disaggregation - Section E '!A$618:J2551,3,0),"")</f>
        <v>KP-1a Percentage of men who have sex with men reached with HIV prevention programs - defined package of services</v>
      </c>
      <c r="L1862" s="387"/>
      <c r="M1862" s="387"/>
      <c r="N1862" s="391"/>
      <c r="O1862" s="387" t="s">
        <v>2741</v>
      </c>
      <c r="P1862" s="387"/>
    </row>
    <row r="1863" spans="1:16">
      <c r="A1863" s="387" t="b">
        <v>0</v>
      </c>
      <c r="B1863" s="387"/>
      <c r="C1863" s="387" t="s">
        <v>3750</v>
      </c>
      <c r="D1863" s="392">
        <v>13</v>
      </c>
      <c r="E1863" s="389"/>
      <c r="F1863" s="391"/>
      <c r="G1863" s="390"/>
      <c r="H1863" s="390"/>
      <c r="I1863" s="391"/>
      <c r="J1863" s="391"/>
      <c r="K1863" s="387" t="str">
        <f ca="1">IFERROR(VLOOKUP(C1863,' Disaggregation - Section E '!A$618:J2552,3,0),"")</f>
        <v>KP-1a Percentage of men who have sex with men reached with HIV prevention programs - defined package of services</v>
      </c>
      <c r="L1863" s="387"/>
      <c r="M1863" s="387"/>
      <c r="N1863" s="391"/>
      <c r="O1863" s="387" t="s">
        <v>2741</v>
      </c>
      <c r="P1863" s="387"/>
    </row>
    <row r="1864" spans="1:16">
      <c r="A1864" s="387" t="b">
        <v>0</v>
      </c>
      <c r="B1864" s="387"/>
      <c r="C1864" s="387" t="s">
        <v>3751</v>
      </c>
      <c r="D1864" s="392">
        <v>13</v>
      </c>
      <c r="E1864" s="389"/>
      <c r="F1864" s="391"/>
      <c r="G1864" s="390"/>
      <c r="H1864" s="390"/>
      <c r="I1864" s="391"/>
      <c r="J1864" s="391"/>
      <c r="K1864" s="387" t="str">
        <f ca="1">IFERROR(VLOOKUP(C1864,' Disaggregation - Section E '!A$618:J2553,3,0),"")</f>
        <v>KP-1a Percentage of men who have sex with men reached with HIV prevention programs - defined package of services</v>
      </c>
      <c r="L1864" s="387"/>
      <c r="M1864" s="387"/>
      <c r="N1864" s="391"/>
      <c r="O1864" s="387" t="s">
        <v>2741</v>
      </c>
      <c r="P1864" s="387"/>
    </row>
    <row r="1865" spans="1:16">
      <c r="A1865" s="387" t="b">
        <v>0</v>
      </c>
      <c r="B1865" s="387"/>
      <c r="C1865" s="387" t="s">
        <v>3752</v>
      </c>
      <c r="D1865" s="392">
        <v>13</v>
      </c>
      <c r="E1865" s="389"/>
      <c r="F1865" s="391"/>
      <c r="G1865" s="390"/>
      <c r="H1865" s="390"/>
      <c r="I1865" s="391"/>
      <c r="J1865" s="391"/>
      <c r="K1865" s="387" t="str">
        <f ca="1">IFERROR(VLOOKUP(C1865,' Disaggregation - Section E '!A$618:J2554,3,0),"")</f>
        <v>KP-1a Percentage of men who have sex with men reached with HIV prevention programs - defined package of services</v>
      </c>
      <c r="L1865" s="387"/>
      <c r="M1865" s="387"/>
      <c r="N1865" s="391"/>
      <c r="O1865" s="387" t="s">
        <v>2741</v>
      </c>
      <c r="P1865" s="387"/>
    </row>
    <row r="1866" spans="1:16">
      <c r="A1866" s="387" t="b">
        <v>0</v>
      </c>
      <c r="B1866" s="387"/>
      <c r="C1866" s="387" t="s">
        <v>3753</v>
      </c>
      <c r="D1866" s="392">
        <v>13</v>
      </c>
      <c r="E1866" s="389"/>
      <c r="F1866" s="391"/>
      <c r="G1866" s="390"/>
      <c r="H1866" s="390"/>
      <c r="I1866" s="391"/>
      <c r="J1866" s="391"/>
      <c r="K1866" s="387" t="str">
        <f ca="1">IFERROR(VLOOKUP(C1866,' Disaggregation - Section E '!A$618:J2555,3,0),"")</f>
        <v>KP-1a Percentage of men who have sex with men reached with HIV prevention programs - defined package of services</v>
      </c>
      <c r="L1866" s="387"/>
      <c r="M1866" s="387"/>
      <c r="N1866" s="391"/>
      <c r="O1866" s="387" t="s">
        <v>2741</v>
      </c>
      <c r="P1866" s="387"/>
    </row>
    <row r="1867" spans="1:16">
      <c r="A1867" s="387" t="b">
        <v>0</v>
      </c>
      <c r="B1867" s="387"/>
      <c r="C1867" s="387" t="s">
        <v>3754</v>
      </c>
      <c r="D1867" s="392">
        <v>13</v>
      </c>
      <c r="E1867" s="389"/>
      <c r="F1867" s="391"/>
      <c r="G1867" s="390"/>
      <c r="H1867" s="390"/>
      <c r="I1867" s="391"/>
      <c r="J1867" s="391"/>
      <c r="K1867" s="387" t="str">
        <f ca="1">IFERROR(VLOOKUP(C1867,' Disaggregation - Section E '!A$618:J2556,3,0),"")</f>
        <v>KP-1a Percentage of men who have sex with men reached with HIV prevention programs - defined package of services</v>
      </c>
      <c r="L1867" s="387"/>
      <c r="M1867" s="387"/>
      <c r="N1867" s="391"/>
      <c r="O1867" s="387" t="s">
        <v>2741</v>
      </c>
      <c r="P1867" s="387"/>
    </row>
    <row r="1868" spans="1:16">
      <c r="A1868" s="387" t="b">
        <v>0</v>
      </c>
      <c r="B1868" s="387"/>
      <c r="C1868" s="387" t="s">
        <v>3755</v>
      </c>
      <c r="D1868" s="392">
        <v>13</v>
      </c>
      <c r="E1868" s="389"/>
      <c r="F1868" s="391"/>
      <c r="G1868" s="390"/>
      <c r="H1868" s="390"/>
      <c r="I1868" s="391"/>
      <c r="J1868" s="391"/>
      <c r="K1868" s="387" t="str">
        <f ca="1">IFERROR(VLOOKUP(C1868,' Disaggregation - Section E '!A$618:J2557,3,0),"")</f>
        <v>KP-1a Percentage of men who have sex with men reached with HIV prevention programs - defined package of services</v>
      </c>
      <c r="L1868" s="387"/>
      <c r="M1868" s="387"/>
      <c r="N1868" s="391"/>
      <c r="O1868" s="387" t="s">
        <v>2741</v>
      </c>
      <c r="P1868" s="387"/>
    </row>
    <row r="1869" spans="1:16">
      <c r="A1869" s="387" t="b">
        <v>0</v>
      </c>
      <c r="B1869" s="387"/>
      <c r="C1869" s="387" t="s">
        <v>3756</v>
      </c>
      <c r="D1869" s="392">
        <v>13</v>
      </c>
      <c r="E1869" s="389"/>
      <c r="F1869" s="391"/>
      <c r="G1869" s="390"/>
      <c r="H1869" s="390"/>
      <c r="I1869" s="391"/>
      <c r="J1869" s="391"/>
      <c r="K1869" s="387" t="str">
        <f ca="1">IFERROR(VLOOKUP(C1869,' Disaggregation - Section E '!A$618:J2558,3,0),"")</f>
        <v>KP-1a Percentage of men who have sex with men reached with HIV prevention programs - defined package of services</v>
      </c>
      <c r="L1869" s="387"/>
      <c r="M1869" s="387"/>
      <c r="N1869" s="391"/>
      <c r="O1869" s="387" t="s">
        <v>2741</v>
      </c>
      <c r="P1869" s="387"/>
    </row>
    <row r="1870" spans="1:16">
      <c r="A1870" s="387" t="b">
        <v>0</v>
      </c>
      <c r="B1870" s="387"/>
      <c r="C1870" s="387" t="s">
        <v>3757</v>
      </c>
      <c r="D1870" s="392">
        <v>13</v>
      </c>
      <c r="E1870" s="389"/>
      <c r="F1870" s="391"/>
      <c r="G1870" s="390"/>
      <c r="H1870" s="390"/>
      <c r="I1870" s="391"/>
      <c r="J1870" s="391"/>
      <c r="K1870" s="387" t="str">
        <f ca="1">IFERROR(VLOOKUP(C1870,' Disaggregation - Section E '!A$618:J2559,3,0),"")</f>
        <v>KP-1a Percentage of men who have sex with men reached with HIV prevention programs - defined package of services</v>
      </c>
      <c r="L1870" s="387"/>
      <c r="M1870" s="387"/>
      <c r="N1870" s="391"/>
      <c r="O1870" s="387" t="s">
        <v>2741</v>
      </c>
      <c r="P1870" s="387"/>
    </row>
    <row r="1871" spans="1:16">
      <c r="A1871" s="387" t="b">
        <v>0</v>
      </c>
      <c r="B1871" s="387"/>
      <c r="C1871" s="387" t="s">
        <v>3758</v>
      </c>
      <c r="D1871" s="392">
        <v>13</v>
      </c>
      <c r="E1871" s="389"/>
      <c r="F1871" s="391"/>
      <c r="G1871" s="390"/>
      <c r="H1871" s="390"/>
      <c r="I1871" s="391"/>
      <c r="J1871" s="391"/>
      <c r="K1871" s="387" t="str">
        <f ca="1">IFERROR(VLOOKUP(C1871,' Disaggregation - Section E '!A$618:J2560,3,0),"")</f>
        <v>KP-1a Percentage of men who have sex with men reached with HIV prevention programs - defined package of services</v>
      </c>
      <c r="L1871" s="387"/>
      <c r="M1871" s="387"/>
      <c r="N1871" s="391"/>
      <c r="O1871" s="387" t="s">
        <v>2741</v>
      </c>
      <c r="P1871" s="387"/>
    </row>
    <row r="1872" spans="1:16">
      <c r="A1872" s="387" t="b">
        <v>0</v>
      </c>
      <c r="B1872" s="387"/>
      <c r="C1872" s="387" t="s">
        <v>3759</v>
      </c>
      <c r="D1872" s="392">
        <v>14</v>
      </c>
      <c r="E1872" s="389"/>
      <c r="F1872" s="391" t="s">
        <v>3167</v>
      </c>
      <c r="G1872" s="390"/>
      <c r="H1872" s="390"/>
      <c r="I1872" s="391"/>
      <c r="J1872" s="391"/>
      <c r="K1872" s="387" t="str">
        <f ca="1">IFERROR(VLOOKUP(C1872,' Disaggregation - Section E '!A$618:J2561,3,0),"")</f>
        <v>KP-6a Number of MSM who received any PrEP product at least once during the reporting period</v>
      </c>
      <c r="L1872" s="387"/>
      <c r="M1872" s="387" t="s">
        <v>3760</v>
      </c>
      <c r="N1872" s="391"/>
      <c r="O1872" s="387" t="s">
        <v>2748</v>
      </c>
      <c r="P1872" s="387" t="s">
        <v>3761</v>
      </c>
    </row>
    <row r="1873" spans="1:16">
      <c r="A1873" s="387" t="b">
        <v>0</v>
      </c>
      <c r="B1873" s="387"/>
      <c r="C1873" s="387" t="s">
        <v>3762</v>
      </c>
      <c r="D1873" s="392">
        <v>14</v>
      </c>
      <c r="E1873" s="389"/>
      <c r="F1873" s="391" t="s">
        <v>3735</v>
      </c>
      <c r="G1873" s="390"/>
      <c r="H1873" s="390"/>
      <c r="I1873" s="391"/>
      <c r="J1873" s="391"/>
      <c r="K1873" s="387" t="str">
        <f ca="1">IFERROR(VLOOKUP(C1873,' Disaggregation - Section E '!A$618:J2562,3,0),"")</f>
        <v>KP-6a Number of MSM who received any PrEP product at least once during the reporting period</v>
      </c>
      <c r="L1873" s="387"/>
      <c r="M1873" s="387" t="s">
        <v>3763</v>
      </c>
      <c r="N1873" s="391"/>
      <c r="O1873" s="387" t="s">
        <v>2748</v>
      </c>
      <c r="P1873" s="387" t="s">
        <v>3764</v>
      </c>
    </row>
    <row r="1874" spans="1:16">
      <c r="A1874" s="387" t="b">
        <v>0</v>
      </c>
      <c r="B1874" s="387"/>
      <c r="C1874" s="387" t="s">
        <v>3765</v>
      </c>
      <c r="D1874" s="392">
        <v>14</v>
      </c>
      <c r="E1874" s="389"/>
      <c r="F1874" s="391" t="s">
        <v>3739</v>
      </c>
      <c r="G1874" s="390"/>
      <c r="H1874" s="390"/>
      <c r="I1874" s="391"/>
      <c r="J1874" s="391"/>
      <c r="K1874" s="387" t="str">
        <f ca="1">IFERROR(VLOOKUP(C1874,' Disaggregation - Section E '!A$618:J2563,3,0),"")</f>
        <v>KP-6a Number of MSM who received any PrEP product at least once during the reporting period</v>
      </c>
      <c r="L1874" s="387"/>
      <c r="M1874" s="387" t="s">
        <v>3766</v>
      </c>
      <c r="N1874" s="391"/>
      <c r="O1874" s="387" t="s">
        <v>2748</v>
      </c>
      <c r="P1874" s="387" t="s">
        <v>3767</v>
      </c>
    </row>
    <row r="1875" spans="1:16">
      <c r="A1875" s="387" t="b">
        <v>0</v>
      </c>
      <c r="B1875" s="387"/>
      <c r="C1875" s="387" t="s">
        <v>3768</v>
      </c>
      <c r="D1875" s="392">
        <v>14</v>
      </c>
      <c r="E1875" s="389"/>
      <c r="F1875" s="391" t="s">
        <v>3769</v>
      </c>
      <c r="G1875" s="390"/>
      <c r="H1875" s="390"/>
      <c r="I1875" s="391"/>
      <c r="J1875" s="391"/>
      <c r="K1875" s="387" t="str">
        <f ca="1">IFERROR(VLOOKUP(C1875,' Disaggregation - Section E '!A$618:J2564,3,0),"")</f>
        <v>KP-6a Number of MSM who received any PrEP product at least once during the reporting period</v>
      </c>
      <c r="L1875" s="387"/>
      <c r="M1875" s="387" t="s">
        <v>3770</v>
      </c>
      <c r="N1875" s="391"/>
      <c r="O1875" s="387" t="s">
        <v>2748</v>
      </c>
      <c r="P1875" s="387" t="s">
        <v>3771</v>
      </c>
    </row>
    <row r="1876" spans="1:16">
      <c r="A1876" s="387" t="b">
        <v>0</v>
      </c>
      <c r="B1876" s="387"/>
      <c r="C1876" s="387" t="s">
        <v>3772</v>
      </c>
      <c r="D1876" s="392">
        <v>14</v>
      </c>
      <c r="E1876" s="389"/>
      <c r="F1876" s="391" t="s">
        <v>3773</v>
      </c>
      <c r="G1876" s="390"/>
      <c r="H1876" s="390"/>
      <c r="I1876" s="391"/>
      <c r="J1876" s="391"/>
      <c r="K1876" s="387" t="str">
        <f ca="1">IFERROR(VLOOKUP(C1876,' Disaggregation - Section E '!A$618:J2565,3,0),"")</f>
        <v>KP-6a Number of MSM who received any PrEP product at least once during the reporting period</v>
      </c>
      <c r="L1876" s="387"/>
      <c r="M1876" s="387" t="s">
        <v>3774</v>
      </c>
      <c r="N1876" s="391"/>
      <c r="O1876" s="387" t="s">
        <v>2748</v>
      </c>
      <c r="P1876" s="387" t="s">
        <v>3775</v>
      </c>
    </row>
    <row r="1877" spans="1:16">
      <c r="A1877" s="387" t="b">
        <v>0</v>
      </c>
      <c r="B1877" s="387"/>
      <c r="C1877" s="387" t="s">
        <v>3776</v>
      </c>
      <c r="D1877" s="392">
        <v>14</v>
      </c>
      <c r="E1877" s="389"/>
      <c r="F1877" s="391" t="s">
        <v>3777</v>
      </c>
      <c r="G1877" s="390"/>
      <c r="H1877" s="390"/>
      <c r="I1877" s="391"/>
      <c r="J1877" s="391"/>
      <c r="K1877" s="387" t="str">
        <f ca="1">IFERROR(VLOOKUP(C1877,' Disaggregation - Section E '!A$618:J2566,3,0),"")</f>
        <v>KP-6a Number of MSM who received any PrEP product at least once during the reporting period</v>
      </c>
      <c r="L1877" s="387"/>
      <c r="M1877" s="387" t="s">
        <v>3778</v>
      </c>
      <c r="N1877" s="391"/>
      <c r="O1877" s="387" t="s">
        <v>2748</v>
      </c>
      <c r="P1877" s="387" t="s">
        <v>3779</v>
      </c>
    </row>
    <row r="1878" spans="1:16">
      <c r="A1878" s="387" t="b">
        <v>0</v>
      </c>
      <c r="B1878" s="387"/>
      <c r="C1878" s="387" t="s">
        <v>3780</v>
      </c>
      <c r="D1878" s="392">
        <v>14</v>
      </c>
      <c r="E1878" s="389"/>
      <c r="F1878" s="391"/>
      <c r="G1878" s="390"/>
      <c r="H1878" s="390"/>
      <c r="I1878" s="391"/>
      <c r="J1878" s="391"/>
      <c r="K1878" s="387" t="str">
        <f ca="1">IFERROR(VLOOKUP(C1878,' Disaggregation - Section E '!A$618:J2567,3,0),"")</f>
        <v>KP-6a Number of MSM who received any PrEP product at least once during the reporting period</v>
      </c>
      <c r="L1878" s="387"/>
      <c r="M1878" s="387"/>
      <c r="N1878" s="391"/>
      <c r="O1878" s="387" t="s">
        <v>2748</v>
      </c>
      <c r="P1878" s="387"/>
    </row>
    <row r="1879" spans="1:16">
      <c r="A1879" s="387" t="b">
        <v>0</v>
      </c>
      <c r="B1879" s="387"/>
      <c r="C1879" s="387" t="s">
        <v>3781</v>
      </c>
      <c r="D1879" s="392">
        <v>14</v>
      </c>
      <c r="E1879" s="389"/>
      <c r="F1879" s="391"/>
      <c r="G1879" s="390"/>
      <c r="H1879" s="390"/>
      <c r="I1879" s="391"/>
      <c r="J1879" s="391"/>
      <c r="K1879" s="387" t="str">
        <f ca="1">IFERROR(VLOOKUP(C1879,' Disaggregation - Section E '!A$618:J2568,3,0),"")</f>
        <v>KP-6a Number of MSM who received any PrEP product at least once during the reporting period</v>
      </c>
      <c r="L1879" s="387"/>
      <c r="M1879" s="387"/>
      <c r="N1879" s="391"/>
      <c r="O1879" s="387" t="s">
        <v>2748</v>
      </c>
      <c r="P1879" s="387"/>
    </row>
    <row r="1880" spans="1:16">
      <c r="A1880" s="387" t="b">
        <v>0</v>
      </c>
      <c r="B1880" s="387"/>
      <c r="C1880" s="387" t="s">
        <v>3782</v>
      </c>
      <c r="D1880" s="392">
        <v>14</v>
      </c>
      <c r="E1880" s="389"/>
      <c r="F1880" s="391"/>
      <c r="G1880" s="390"/>
      <c r="H1880" s="390"/>
      <c r="I1880" s="391"/>
      <c r="J1880" s="391"/>
      <c r="K1880" s="387" t="str">
        <f ca="1">IFERROR(VLOOKUP(C1880,' Disaggregation - Section E '!A$618:J2569,3,0),"")</f>
        <v>KP-6a Number of MSM who received any PrEP product at least once during the reporting period</v>
      </c>
      <c r="L1880" s="387"/>
      <c r="M1880" s="387"/>
      <c r="N1880" s="391"/>
      <c r="O1880" s="387" t="s">
        <v>2748</v>
      </c>
      <c r="P1880" s="387"/>
    </row>
    <row r="1881" spans="1:16">
      <c r="A1881" s="387" t="b">
        <v>0</v>
      </c>
      <c r="B1881" s="387"/>
      <c r="C1881" s="387" t="s">
        <v>3783</v>
      </c>
      <c r="D1881" s="392">
        <v>14</v>
      </c>
      <c r="E1881" s="389"/>
      <c r="F1881" s="391"/>
      <c r="G1881" s="390"/>
      <c r="H1881" s="390"/>
      <c r="I1881" s="391"/>
      <c r="J1881" s="391"/>
      <c r="K1881" s="387" t="str">
        <f ca="1">IFERROR(VLOOKUP(C1881,' Disaggregation - Section E '!A$618:J2570,3,0),"")</f>
        <v>KP-6a Number of MSM who received any PrEP product at least once during the reporting period</v>
      </c>
      <c r="L1881" s="387"/>
      <c r="M1881" s="387"/>
      <c r="N1881" s="391"/>
      <c r="O1881" s="387" t="s">
        <v>2748</v>
      </c>
      <c r="P1881" s="387"/>
    </row>
    <row r="1882" spans="1:16">
      <c r="A1882" s="387" t="b">
        <v>0</v>
      </c>
      <c r="B1882" s="387"/>
      <c r="C1882" s="387" t="s">
        <v>3784</v>
      </c>
      <c r="D1882" s="392">
        <v>14</v>
      </c>
      <c r="E1882" s="389"/>
      <c r="F1882" s="391"/>
      <c r="G1882" s="390"/>
      <c r="H1882" s="390"/>
      <c r="I1882" s="391"/>
      <c r="J1882" s="391"/>
      <c r="K1882" s="387" t="str">
        <f ca="1">IFERROR(VLOOKUP(C1882,' Disaggregation - Section E '!A$618:J2571,3,0),"")</f>
        <v>KP-6a Number of MSM who received any PrEP product at least once during the reporting period</v>
      </c>
      <c r="L1882" s="387"/>
      <c r="M1882" s="387"/>
      <c r="N1882" s="391"/>
      <c r="O1882" s="387" t="s">
        <v>2748</v>
      </c>
      <c r="P1882" s="387"/>
    </row>
    <row r="1883" spans="1:16">
      <c r="A1883" s="387" t="b">
        <v>0</v>
      </c>
      <c r="B1883" s="387"/>
      <c r="C1883" s="387" t="s">
        <v>3785</v>
      </c>
      <c r="D1883" s="392">
        <v>14</v>
      </c>
      <c r="E1883" s="389"/>
      <c r="F1883" s="391"/>
      <c r="G1883" s="390"/>
      <c r="H1883" s="390"/>
      <c r="I1883" s="391"/>
      <c r="J1883" s="391"/>
      <c r="K1883" s="387" t="str">
        <f ca="1">IFERROR(VLOOKUP(C1883,' Disaggregation - Section E '!A$618:J2572,3,0),"")</f>
        <v>KP-6a Number of MSM who received any PrEP product at least once during the reporting period</v>
      </c>
      <c r="L1883" s="387"/>
      <c r="M1883" s="387"/>
      <c r="N1883" s="391"/>
      <c r="O1883" s="387" t="s">
        <v>2748</v>
      </c>
      <c r="P1883" s="387"/>
    </row>
    <row r="1884" spans="1:16">
      <c r="A1884" s="387" t="b">
        <v>0</v>
      </c>
      <c r="B1884" s="387"/>
      <c r="C1884" s="387" t="s">
        <v>3786</v>
      </c>
      <c r="D1884" s="392">
        <v>14</v>
      </c>
      <c r="E1884" s="389"/>
      <c r="F1884" s="391"/>
      <c r="G1884" s="390"/>
      <c r="H1884" s="390"/>
      <c r="I1884" s="391"/>
      <c r="J1884" s="391"/>
      <c r="K1884" s="387" t="str">
        <f ca="1">IFERROR(VLOOKUP(C1884,' Disaggregation - Section E '!A$618:J2573,3,0),"")</f>
        <v>KP-6a Number of MSM who received any PrEP product at least once during the reporting period</v>
      </c>
      <c r="L1884" s="387"/>
      <c r="M1884" s="387"/>
      <c r="N1884" s="391"/>
      <c r="O1884" s="387" t="s">
        <v>2748</v>
      </c>
      <c r="P1884" s="387"/>
    </row>
    <row r="1885" spans="1:16">
      <c r="A1885" s="387" t="b">
        <v>0</v>
      </c>
      <c r="B1885" s="387"/>
      <c r="C1885" s="387" t="s">
        <v>3787</v>
      </c>
      <c r="D1885" s="392">
        <v>14</v>
      </c>
      <c r="E1885" s="389"/>
      <c r="F1885" s="391"/>
      <c r="G1885" s="390"/>
      <c r="H1885" s="390"/>
      <c r="I1885" s="391"/>
      <c r="J1885" s="391"/>
      <c r="K1885" s="387" t="str">
        <f ca="1">IFERROR(VLOOKUP(C1885,' Disaggregation - Section E '!A$618:J2574,3,0),"")</f>
        <v>KP-6a Number of MSM who received any PrEP product at least once during the reporting period</v>
      </c>
      <c r="L1885" s="387"/>
      <c r="M1885" s="387"/>
      <c r="N1885" s="391"/>
      <c r="O1885" s="387" t="s">
        <v>2748</v>
      </c>
      <c r="P1885" s="387"/>
    </row>
    <row r="1886" spans="1:16">
      <c r="A1886" s="387" t="b">
        <v>0</v>
      </c>
      <c r="B1886" s="387"/>
      <c r="C1886" s="387" t="s">
        <v>3788</v>
      </c>
      <c r="D1886" s="392">
        <v>14</v>
      </c>
      <c r="E1886" s="389"/>
      <c r="F1886" s="391"/>
      <c r="G1886" s="390"/>
      <c r="H1886" s="390"/>
      <c r="I1886" s="391"/>
      <c r="J1886" s="391"/>
      <c r="K1886" s="387" t="str">
        <f ca="1">IFERROR(VLOOKUP(C1886,' Disaggregation - Section E '!A$618:J2575,3,0),"")</f>
        <v>KP-6a Number of MSM who received any PrEP product at least once during the reporting period</v>
      </c>
      <c r="L1886" s="387"/>
      <c r="M1886" s="387"/>
      <c r="N1886" s="391"/>
      <c r="O1886" s="387" t="s">
        <v>2748</v>
      </c>
      <c r="P1886" s="387"/>
    </row>
    <row r="1887" spans="1:16">
      <c r="A1887" s="387" t="b">
        <v>0</v>
      </c>
      <c r="B1887" s="387"/>
      <c r="C1887" s="387" t="s">
        <v>3789</v>
      </c>
      <c r="D1887" s="392">
        <v>14</v>
      </c>
      <c r="E1887" s="389"/>
      <c r="F1887" s="391"/>
      <c r="G1887" s="390"/>
      <c r="H1887" s="390"/>
      <c r="I1887" s="391"/>
      <c r="J1887" s="391"/>
      <c r="K1887" s="387" t="str">
        <f ca="1">IFERROR(VLOOKUP(C1887,' Disaggregation - Section E '!A$618:J2576,3,0),"")</f>
        <v>KP-6a Number of MSM who received any PrEP product at least once during the reporting period</v>
      </c>
      <c r="L1887" s="387"/>
      <c r="M1887" s="387"/>
      <c r="N1887" s="391"/>
      <c r="O1887" s="387" t="s">
        <v>2748</v>
      </c>
      <c r="P1887" s="387"/>
    </row>
    <row r="1888" spans="1:16">
      <c r="A1888" s="387" t="b">
        <v>0</v>
      </c>
      <c r="B1888" s="387"/>
      <c r="C1888" s="387" t="s">
        <v>3790</v>
      </c>
      <c r="D1888" s="392">
        <v>14</v>
      </c>
      <c r="E1888" s="389"/>
      <c r="F1888" s="391"/>
      <c r="G1888" s="390"/>
      <c r="H1888" s="390"/>
      <c r="I1888" s="391"/>
      <c r="J1888" s="391"/>
      <c r="K1888" s="387" t="str">
        <f ca="1">IFERROR(VLOOKUP(C1888,' Disaggregation - Section E '!A$618:J2577,3,0),"")</f>
        <v>KP-6a Number of MSM who received any PrEP product at least once during the reporting period</v>
      </c>
      <c r="L1888" s="387"/>
      <c r="M1888" s="387"/>
      <c r="N1888" s="391"/>
      <c r="O1888" s="387" t="s">
        <v>2748</v>
      </c>
      <c r="P1888" s="387"/>
    </row>
    <row r="1889" spans="1:16">
      <c r="A1889" s="387" t="b">
        <v>0</v>
      </c>
      <c r="B1889" s="387"/>
      <c r="C1889" s="387" t="s">
        <v>3791</v>
      </c>
      <c r="D1889" s="392">
        <v>14</v>
      </c>
      <c r="E1889" s="389"/>
      <c r="F1889" s="391"/>
      <c r="G1889" s="390"/>
      <c r="H1889" s="390"/>
      <c r="I1889" s="391"/>
      <c r="J1889" s="391"/>
      <c r="K1889" s="387" t="str">
        <f ca="1">IFERROR(VLOOKUP(C1889,' Disaggregation - Section E '!A$618:J2578,3,0),"")</f>
        <v>KP-6a Number of MSM who received any PrEP product at least once during the reporting period</v>
      </c>
      <c r="L1889" s="387"/>
      <c r="M1889" s="387"/>
      <c r="N1889" s="391"/>
      <c r="O1889" s="387" t="s">
        <v>2748</v>
      </c>
      <c r="P1889" s="387"/>
    </row>
    <row r="1890" spans="1:16">
      <c r="A1890" s="387" t="b">
        <v>0</v>
      </c>
      <c r="B1890" s="387"/>
      <c r="C1890" s="387" t="s">
        <v>3792</v>
      </c>
      <c r="D1890" s="392">
        <v>14</v>
      </c>
      <c r="E1890" s="389"/>
      <c r="F1890" s="391"/>
      <c r="G1890" s="390"/>
      <c r="H1890" s="390"/>
      <c r="I1890" s="391"/>
      <c r="J1890" s="391"/>
      <c r="K1890" s="387" t="str">
        <f ca="1">IFERROR(VLOOKUP(C1890,' Disaggregation - Section E '!A$618:J2579,3,0),"")</f>
        <v>KP-6a Number of MSM who received any PrEP product at least once during the reporting period</v>
      </c>
      <c r="L1890" s="387"/>
      <c r="M1890" s="387"/>
      <c r="N1890" s="391"/>
      <c r="O1890" s="387" t="s">
        <v>2748</v>
      </c>
      <c r="P1890" s="387"/>
    </row>
    <row r="1891" spans="1:16">
      <c r="A1891" s="387" t="b">
        <v>0</v>
      </c>
      <c r="B1891" s="387"/>
      <c r="C1891" s="387" t="s">
        <v>3793</v>
      </c>
      <c r="D1891" s="392">
        <v>14</v>
      </c>
      <c r="E1891" s="389"/>
      <c r="F1891" s="391"/>
      <c r="G1891" s="390"/>
      <c r="H1891" s="390"/>
      <c r="I1891" s="391"/>
      <c r="J1891" s="391"/>
      <c r="K1891" s="387" t="str">
        <f ca="1">IFERROR(VLOOKUP(C1891,' Disaggregation - Section E '!A$618:J2580,3,0),"")</f>
        <v>KP-6a Number of MSM who received any PrEP product at least once during the reporting period</v>
      </c>
      <c r="L1891" s="387"/>
      <c r="M1891" s="387"/>
      <c r="N1891" s="391"/>
      <c r="O1891" s="387" t="s">
        <v>2748</v>
      </c>
      <c r="P1891" s="387"/>
    </row>
    <row r="1892" spans="1:16">
      <c r="A1892" s="387" t="b">
        <v>0</v>
      </c>
      <c r="B1892" s="387"/>
      <c r="C1892" s="387" t="s">
        <v>3794</v>
      </c>
      <c r="D1892" s="392">
        <v>15</v>
      </c>
      <c r="E1892" s="389"/>
      <c r="F1892" s="391" t="s">
        <v>3167</v>
      </c>
      <c r="G1892" s="390"/>
      <c r="H1892" s="390"/>
      <c r="I1892" s="391"/>
      <c r="J1892" s="391"/>
      <c r="K1892" s="387" t="str">
        <f ca="1">IFERROR(VLOOKUP(C1892,' Disaggregation - Section E '!A$618:J2581,3,0),"")</f>
        <v>KP-1c Percentage of sex workers reached with HIV prevention programs - defined package of services</v>
      </c>
      <c r="L1892" s="387"/>
      <c r="M1892" s="387" t="s">
        <v>3795</v>
      </c>
      <c r="N1892" s="391"/>
      <c r="O1892" s="387" t="s">
        <v>2755</v>
      </c>
      <c r="P1892" s="387" t="s">
        <v>3796</v>
      </c>
    </row>
    <row r="1893" spans="1:16">
      <c r="A1893" s="387" t="b">
        <v>0</v>
      </c>
      <c r="B1893" s="387"/>
      <c r="C1893" s="387" t="s">
        <v>3797</v>
      </c>
      <c r="D1893" s="392">
        <v>15</v>
      </c>
      <c r="E1893" s="389"/>
      <c r="F1893" s="391" t="s">
        <v>3735</v>
      </c>
      <c r="G1893" s="390"/>
      <c r="H1893" s="390"/>
      <c r="I1893" s="391"/>
      <c r="J1893" s="391"/>
      <c r="K1893" s="387" t="str">
        <f ca="1">IFERROR(VLOOKUP(C1893,' Disaggregation - Section E '!A$618:J2582,3,0),"")</f>
        <v>KP-1c Percentage of sex workers reached with HIV prevention programs - defined package of services</v>
      </c>
      <c r="L1893" s="387"/>
      <c r="M1893" s="387" t="s">
        <v>3798</v>
      </c>
      <c r="N1893" s="391"/>
      <c r="O1893" s="387" t="s">
        <v>2755</v>
      </c>
      <c r="P1893" s="387" t="s">
        <v>3799</v>
      </c>
    </row>
    <row r="1894" spans="1:16">
      <c r="A1894" s="387" t="b">
        <v>0</v>
      </c>
      <c r="B1894" s="387"/>
      <c r="C1894" s="387" t="s">
        <v>3800</v>
      </c>
      <c r="D1894" s="392">
        <v>15</v>
      </c>
      <c r="E1894" s="389"/>
      <c r="F1894" s="391" t="s">
        <v>3739</v>
      </c>
      <c r="G1894" s="390"/>
      <c r="H1894" s="390"/>
      <c r="I1894" s="391"/>
      <c r="J1894" s="391"/>
      <c r="K1894" s="387" t="str">
        <f ca="1">IFERROR(VLOOKUP(C1894,' Disaggregation - Section E '!A$618:J2583,3,0),"")</f>
        <v>KP-1c Percentage of sex workers reached with HIV prevention programs - defined package of services</v>
      </c>
      <c r="L1894" s="387"/>
      <c r="M1894" s="387" t="s">
        <v>3801</v>
      </c>
      <c r="N1894" s="391"/>
      <c r="O1894" s="387" t="s">
        <v>2755</v>
      </c>
      <c r="P1894" s="387" t="s">
        <v>3802</v>
      </c>
    </row>
    <row r="1895" spans="1:16">
      <c r="A1895" s="387" t="b">
        <v>0</v>
      </c>
      <c r="B1895" s="387"/>
      <c r="C1895" s="387" t="s">
        <v>3803</v>
      </c>
      <c r="D1895" s="392">
        <v>15</v>
      </c>
      <c r="E1895" s="389"/>
      <c r="F1895" s="391" t="s">
        <v>3189</v>
      </c>
      <c r="G1895" s="390"/>
      <c r="H1895" s="390"/>
      <c r="I1895" s="391"/>
      <c r="J1895" s="391"/>
      <c r="K1895" s="387" t="str">
        <f ca="1">IFERROR(VLOOKUP(C1895,' Disaggregation - Section E '!A$618:J2584,3,0),"")</f>
        <v>KP-1c Percentage of sex workers reached with HIV prevention programs - defined package of services</v>
      </c>
      <c r="L1895" s="387"/>
      <c r="M1895" s="387" t="s">
        <v>3804</v>
      </c>
      <c r="N1895" s="391"/>
      <c r="O1895" s="387" t="s">
        <v>2755</v>
      </c>
      <c r="P1895" s="387" t="s">
        <v>3805</v>
      </c>
    </row>
    <row r="1896" spans="1:16">
      <c r="A1896" s="387" t="b">
        <v>0</v>
      </c>
      <c r="B1896" s="387"/>
      <c r="C1896" s="387" t="s">
        <v>3806</v>
      </c>
      <c r="D1896" s="392">
        <v>15</v>
      </c>
      <c r="E1896" s="389"/>
      <c r="F1896" s="391" t="s">
        <v>3193</v>
      </c>
      <c r="G1896" s="390"/>
      <c r="H1896" s="390"/>
      <c r="I1896" s="391"/>
      <c r="J1896" s="391"/>
      <c r="K1896" s="387" t="str">
        <f ca="1">IFERROR(VLOOKUP(C1896,' Disaggregation - Section E '!A$618:J2585,3,0),"")</f>
        <v>KP-1c Percentage of sex workers reached with HIV prevention programs - defined package of services</v>
      </c>
      <c r="L1896" s="387"/>
      <c r="M1896" s="387" t="s">
        <v>3807</v>
      </c>
      <c r="N1896" s="391"/>
      <c r="O1896" s="387" t="s">
        <v>2755</v>
      </c>
      <c r="P1896" s="387" t="s">
        <v>3808</v>
      </c>
    </row>
    <row r="1897" spans="1:16">
      <c r="A1897" s="387" t="b">
        <v>0</v>
      </c>
      <c r="B1897" s="387"/>
      <c r="C1897" s="387" t="s">
        <v>3809</v>
      </c>
      <c r="D1897" s="392">
        <v>15</v>
      </c>
      <c r="E1897" s="389"/>
      <c r="F1897" s="391" t="s">
        <v>3197</v>
      </c>
      <c r="G1897" s="390"/>
      <c r="H1897" s="390"/>
      <c r="I1897" s="391"/>
      <c r="J1897" s="391"/>
      <c r="K1897" s="387" t="str">
        <f ca="1">IFERROR(VLOOKUP(C1897,' Disaggregation - Section E '!A$618:J2586,3,0),"")</f>
        <v>KP-1c Percentage of sex workers reached with HIV prevention programs - defined package of services</v>
      </c>
      <c r="L1897" s="387"/>
      <c r="M1897" s="387" t="s">
        <v>3810</v>
      </c>
      <c r="N1897" s="391"/>
      <c r="O1897" s="387" t="s">
        <v>2755</v>
      </c>
      <c r="P1897" s="387" t="s">
        <v>3811</v>
      </c>
    </row>
    <row r="1898" spans="1:16">
      <c r="A1898" s="387" t="b">
        <v>0</v>
      </c>
      <c r="B1898" s="387"/>
      <c r="C1898" s="387" t="s">
        <v>3812</v>
      </c>
      <c r="D1898" s="392">
        <v>15</v>
      </c>
      <c r="E1898" s="389"/>
      <c r="F1898" s="391"/>
      <c r="G1898" s="390"/>
      <c r="H1898" s="390"/>
      <c r="I1898" s="391"/>
      <c r="J1898" s="391"/>
      <c r="K1898" s="387" t="str">
        <f ca="1">IFERROR(VLOOKUP(C1898,' Disaggregation - Section E '!A$618:J2587,3,0),"")</f>
        <v>KP-1c Percentage of sex workers reached with HIV prevention programs - defined package of services</v>
      </c>
      <c r="L1898" s="387"/>
      <c r="M1898" s="387"/>
      <c r="N1898" s="391"/>
      <c r="O1898" s="387" t="s">
        <v>2755</v>
      </c>
      <c r="P1898" s="387"/>
    </row>
    <row r="1899" spans="1:16">
      <c r="A1899" s="387" t="b">
        <v>0</v>
      </c>
      <c r="B1899" s="387"/>
      <c r="C1899" s="387" t="s">
        <v>3813</v>
      </c>
      <c r="D1899" s="392">
        <v>15</v>
      </c>
      <c r="E1899" s="389"/>
      <c r="F1899" s="391"/>
      <c r="G1899" s="390"/>
      <c r="H1899" s="390"/>
      <c r="I1899" s="391"/>
      <c r="J1899" s="391"/>
      <c r="K1899" s="387" t="str">
        <f ca="1">IFERROR(VLOOKUP(C1899,' Disaggregation - Section E '!A$618:J2588,3,0),"")</f>
        <v>KP-1c Percentage of sex workers reached with HIV prevention programs - defined package of services</v>
      </c>
      <c r="L1899" s="387"/>
      <c r="M1899" s="387"/>
      <c r="N1899" s="391"/>
      <c r="O1899" s="387" t="s">
        <v>2755</v>
      </c>
      <c r="P1899" s="387"/>
    </row>
    <row r="1900" spans="1:16">
      <c r="A1900" s="387" t="b">
        <v>0</v>
      </c>
      <c r="B1900" s="387"/>
      <c r="C1900" s="387" t="s">
        <v>3814</v>
      </c>
      <c r="D1900" s="392">
        <v>15</v>
      </c>
      <c r="E1900" s="389"/>
      <c r="F1900" s="391"/>
      <c r="G1900" s="390"/>
      <c r="H1900" s="390"/>
      <c r="I1900" s="391"/>
      <c r="J1900" s="391"/>
      <c r="K1900" s="387" t="str">
        <f ca="1">IFERROR(VLOOKUP(C1900,' Disaggregation - Section E '!A$618:J2589,3,0),"")</f>
        <v>KP-1c Percentage of sex workers reached with HIV prevention programs - defined package of services</v>
      </c>
      <c r="L1900" s="387"/>
      <c r="M1900" s="387"/>
      <c r="N1900" s="391"/>
      <c r="O1900" s="387" t="s">
        <v>2755</v>
      </c>
      <c r="P1900" s="387"/>
    </row>
    <row r="1901" spans="1:16">
      <c r="A1901" s="387" t="b">
        <v>0</v>
      </c>
      <c r="B1901" s="387"/>
      <c r="C1901" s="387" t="s">
        <v>3815</v>
      </c>
      <c r="D1901" s="392">
        <v>15</v>
      </c>
      <c r="E1901" s="389"/>
      <c r="F1901" s="391"/>
      <c r="G1901" s="390"/>
      <c r="H1901" s="390"/>
      <c r="I1901" s="391"/>
      <c r="J1901" s="391"/>
      <c r="K1901" s="387" t="str">
        <f ca="1">IFERROR(VLOOKUP(C1901,' Disaggregation - Section E '!A$618:J2590,3,0),"")</f>
        <v>KP-1c Percentage of sex workers reached with HIV prevention programs - defined package of services</v>
      </c>
      <c r="L1901" s="387"/>
      <c r="M1901" s="387"/>
      <c r="N1901" s="391"/>
      <c r="O1901" s="387" t="s">
        <v>2755</v>
      </c>
      <c r="P1901" s="387"/>
    </row>
    <row r="1902" spans="1:16">
      <c r="A1902" s="387" t="b">
        <v>0</v>
      </c>
      <c r="B1902" s="387"/>
      <c r="C1902" s="387" t="s">
        <v>3816</v>
      </c>
      <c r="D1902" s="392">
        <v>15</v>
      </c>
      <c r="E1902" s="389"/>
      <c r="F1902" s="391"/>
      <c r="G1902" s="390"/>
      <c r="H1902" s="390"/>
      <c r="I1902" s="391"/>
      <c r="J1902" s="391"/>
      <c r="K1902" s="387" t="str">
        <f ca="1">IFERROR(VLOOKUP(C1902,' Disaggregation - Section E '!A$618:J2591,3,0),"")</f>
        <v>KP-1c Percentage of sex workers reached with HIV prevention programs - defined package of services</v>
      </c>
      <c r="L1902" s="387"/>
      <c r="M1902" s="387"/>
      <c r="N1902" s="391"/>
      <c r="O1902" s="387" t="s">
        <v>2755</v>
      </c>
      <c r="P1902" s="387"/>
    </row>
    <row r="1903" spans="1:16">
      <c r="A1903" s="387" t="b">
        <v>0</v>
      </c>
      <c r="B1903" s="387"/>
      <c r="C1903" s="387" t="s">
        <v>3817</v>
      </c>
      <c r="D1903" s="392">
        <v>15</v>
      </c>
      <c r="E1903" s="389"/>
      <c r="F1903" s="391"/>
      <c r="G1903" s="390"/>
      <c r="H1903" s="390"/>
      <c r="I1903" s="391"/>
      <c r="J1903" s="391"/>
      <c r="K1903" s="387" t="str">
        <f ca="1">IFERROR(VLOOKUP(C1903,' Disaggregation - Section E '!A$618:J2592,3,0),"")</f>
        <v>KP-1c Percentage of sex workers reached with HIV prevention programs - defined package of services</v>
      </c>
      <c r="L1903" s="387"/>
      <c r="M1903" s="387"/>
      <c r="N1903" s="391"/>
      <c r="O1903" s="387" t="s">
        <v>2755</v>
      </c>
      <c r="P1903" s="387"/>
    </row>
    <row r="1904" spans="1:16">
      <c r="A1904" s="387" t="b">
        <v>0</v>
      </c>
      <c r="B1904" s="387"/>
      <c r="C1904" s="387" t="s">
        <v>3818</v>
      </c>
      <c r="D1904" s="392">
        <v>15</v>
      </c>
      <c r="E1904" s="389"/>
      <c r="F1904" s="391"/>
      <c r="G1904" s="390"/>
      <c r="H1904" s="390"/>
      <c r="I1904" s="391"/>
      <c r="J1904" s="391"/>
      <c r="K1904" s="387" t="str">
        <f ca="1">IFERROR(VLOOKUP(C1904,' Disaggregation - Section E '!A$618:J2593,3,0),"")</f>
        <v>KP-1c Percentage of sex workers reached with HIV prevention programs - defined package of services</v>
      </c>
      <c r="L1904" s="387"/>
      <c r="M1904" s="387"/>
      <c r="N1904" s="391"/>
      <c r="O1904" s="387" t="s">
        <v>2755</v>
      </c>
      <c r="P1904" s="387"/>
    </row>
    <row r="1905" spans="1:16">
      <c r="A1905" s="387" t="b">
        <v>0</v>
      </c>
      <c r="B1905" s="387"/>
      <c r="C1905" s="387" t="s">
        <v>3819</v>
      </c>
      <c r="D1905" s="392">
        <v>15</v>
      </c>
      <c r="E1905" s="389"/>
      <c r="F1905" s="391"/>
      <c r="G1905" s="390"/>
      <c r="H1905" s="390"/>
      <c r="I1905" s="391"/>
      <c r="J1905" s="391"/>
      <c r="K1905" s="387" t="str">
        <f ca="1">IFERROR(VLOOKUP(C1905,' Disaggregation - Section E '!A$618:J2594,3,0),"")</f>
        <v>KP-1c Percentage of sex workers reached with HIV prevention programs - defined package of services</v>
      </c>
      <c r="L1905" s="387"/>
      <c r="M1905" s="387"/>
      <c r="N1905" s="391"/>
      <c r="O1905" s="387" t="s">
        <v>2755</v>
      </c>
      <c r="P1905" s="387"/>
    </row>
    <row r="1906" spans="1:16">
      <c r="A1906" s="387" t="b">
        <v>0</v>
      </c>
      <c r="B1906" s="387"/>
      <c r="C1906" s="387" t="s">
        <v>3820</v>
      </c>
      <c r="D1906" s="392">
        <v>15</v>
      </c>
      <c r="E1906" s="389"/>
      <c r="F1906" s="391"/>
      <c r="G1906" s="390"/>
      <c r="H1906" s="390"/>
      <c r="I1906" s="391"/>
      <c r="J1906" s="391"/>
      <c r="K1906" s="387" t="str">
        <f ca="1">IFERROR(VLOOKUP(C1906,' Disaggregation - Section E '!A$618:J2595,3,0),"")</f>
        <v>KP-1c Percentage of sex workers reached with HIV prevention programs - defined package of services</v>
      </c>
      <c r="L1906" s="387"/>
      <c r="M1906" s="387"/>
      <c r="N1906" s="391"/>
      <c r="O1906" s="387" t="s">
        <v>2755</v>
      </c>
      <c r="P1906" s="387"/>
    </row>
    <row r="1907" spans="1:16">
      <c r="A1907" s="387" t="b">
        <v>0</v>
      </c>
      <c r="B1907" s="387"/>
      <c r="C1907" s="387" t="s">
        <v>3821</v>
      </c>
      <c r="D1907" s="392">
        <v>15</v>
      </c>
      <c r="E1907" s="389"/>
      <c r="F1907" s="391"/>
      <c r="G1907" s="390"/>
      <c r="H1907" s="390"/>
      <c r="I1907" s="391"/>
      <c r="J1907" s="391"/>
      <c r="K1907" s="387" t="str">
        <f ca="1">IFERROR(VLOOKUP(C1907,' Disaggregation - Section E '!A$618:J2596,3,0),"")</f>
        <v>KP-1c Percentage of sex workers reached with HIV prevention programs - defined package of services</v>
      </c>
      <c r="L1907" s="387"/>
      <c r="M1907" s="387"/>
      <c r="N1907" s="391"/>
      <c r="O1907" s="387" t="s">
        <v>2755</v>
      </c>
      <c r="P1907" s="387"/>
    </row>
    <row r="1908" spans="1:16">
      <c r="A1908" s="387" t="b">
        <v>0</v>
      </c>
      <c r="B1908" s="387"/>
      <c r="C1908" s="387" t="s">
        <v>3822</v>
      </c>
      <c r="D1908" s="392">
        <v>15</v>
      </c>
      <c r="E1908" s="389"/>
      <c r="F1908" s="391"/>
      <c r="G1908" s="390"/>
      <c r="H1908" s="390"/>
      <c r="I1908" s="391"/>
      <c r="J1908" s="391"/>
      <c r="K1908" s="387" t="str">
        <f ca="1">IFERROR(VLOOKUP(C1908,' Disaggregation - Section E '!A$618:J2597,3,0),"")</f>
        <v>KP-1c Percentage of sex workers reached with HIV prevention programs - defined package of services</v>
      </c>
      <c r="L1908" s="387"/>
      <c r="M1908" s="387"/>
      <c r="N1908" s="391"/>
      <c r="O1908" s="387" t="s">
        <v>2755</v>
      </c>
      <c r="P1908" s="387"/>
    </row>
    <row r="1909" spans="1:16">
      <c r="A1909" s="387" t="b">
        <v>0</v>
      </c>
      <c r="B1909" s="387"/>
      <c r="C1909" s="387" t="s">
        <v>3823</v>
      </c>
      <c r="D1909" s="392">
        <v>15</v>
      </c>
      <c r="E1909" s="389"/>
      <c r="F1909" s="391"/>
      <c r="G1909" s="390"/>
      <c r="H1909" s="390"/>
      <c r="I1909" s="391"/>
      <c r="J1909" s="391"/>
      <c r="K1909" s="387" t="str">
        <f ca="1">IFERROR(VLOOKUP(C1909,' Disaggregation - Section E '!A$618:J2598,3,0),"")</f>
        <v>KP-1c Percentage of sex workers reached with HIV prevention programs - defined package of services</v>
      </c>
      <c r="L1909" s="387"/>
      <c r="M1909" s="387"/>
      <c r="N1909" s="391"/>
      <c r="O1909" s="387" t="s">
        <v>2755</v>
      </c>
      <c r="P1909" s="387"/>
    </row>
    <row r="1910" spans="1:16">
      <c r="A1910" s="387" t="b">
        <v>0</v>
      </c>
      <c r="B1910" s="387"/>
      <c r="C1910" s="387" t="s">
        <v>3824</v>
      </c>
      <c r="D1910" s="392">
        <v>15</v>
      </c>
      <c r="E1910" s="389"/>
      <c r="F1910" s="391"/>
      <c r="G1910" s="390"/>
      <c r="H1910" s="390"/>
      <c r="I1910" s="391"/>
      <c r="J1910" s="391"/>
      <c r="K1910" s="387" t="str">
        <f ca="1">IFERROR(VLOOKUP(C1910,' Disaggregation - Section E '!A$618:J2599,3,0),"")</f>
        <v>KP-1c Percentage of sex workers reached with HIV prevention programs - defined package of services</v>
      </c>
      <c r="L1910" s="387"/>
      <c r="M1910" s="387"/>
      <c r="N1910" s="391"/>
      <c r="O1910" s="387" t="s">
        <v>2755</v>
      </c>
      <c r="P1910" s="387"/>
    </row>
    <row r="1911" spans="1:16">
      <c r="A1911" s="387" t="b">
        <v>0</v>
      </c>
      <c r="B1911" s="387"/>
      <c r="C1911" s="387" t="s">
        <v>3825</v>
      </c>
      <c r="D1911" s="392">
        <v>15</v>
      </c>
      <c r="E1911" s="389"/>
      <c r="F1911" s="391"/>
      <c r="G1911" s="390"/>
      <c r="H1911" s="390"/>
      <c r="I1911" s="391"/>
      <c r="J1911" s="391"/>
      <c r="K1911" s="387" t="str">
        <f ca="1">IFERROR(VLOOKUP(C1911,' Disaggregation - Section E '!A$618:J2600,3,0),"")</f>
        <v>KP-1c Percentage of sex workers reached with HIV prevention programs - defined package of services</v>
      </c>
      <c r="L1911" s="387"/>
      <c r="M1911" s="387"/>
      <c r="N1911" s="391"/>
      <c r="O1911" s="387" t="s">
        <v>2755</v>
      </c>
      <c r="P1911" s="387"/>
    </row>
    <row r="1912" spans="1:16">
      <c r="A1912" s="387" t="b">
        <v>0</v>
      </c>
      <c r="B1912" s="387"/>
      <c r="C1912" s="387" t="s">
        <v>3826</v>
      </c>
      <c r="D1912" s="392">
        <v>16</v>
      </c>
      <c r="E1912" s="389"/>
      <c r="F1912" s="391" t="s">
        <v>3167</v>
      </c>
      <c r="G1912" s="390"/>
      <c r="H1912" s="390"/>
      <c r="I1912" s="391"/>
      <c r="J1912" s="391"/>
      <c r="K1912" s="387" t="str">
        <f ca="1">IFERROR(VLOOKUP(C1912,' Disaggregation - Section E '!A$618:J2601,3,0),"")</f>
        <v>KP-6c Number of sex workers who received any PrEP product at least once during the reporting period</v>
      </c>
      <c r="L1912" s="387"/>
      <c r="M1912" s="387" t="s">
        <v>3827</v>
      </c>
      <c r="N1912" s="391"/>
      <c r="O1912" s="387" t="s">
        <v>2762</v>
      </c>
      <c r="P1912" s="387" t="s">
        <v>3828</v>
      </c>
    </row>
    <row r="1913" spans="1:16">
      <c r="A1913" s="387" t="b">
        <v>0</v>
      </c>
      <c r="B1913" s="387"/>
      <c r="C1913" s="387" t="s">
        <v>3829</v>
      </c>
      <c r="D1913" s="392">
        <v>16</v>
      </c>
      <c r="E1913" s="389"/>
      <c r="F1913" s="391" t="s">
        <v>3735</v>
      </c>
      <c r="G1913" s="390"/>
      <c r="H1913" s="390"/>
      <c r="I1913" s="391"/>
      <c r="J1913" s="391"/>
      <c r="K1913" s="387" t="str">
        <f ca="1">IFERROR(VLOOKUP(C1913,' Disaggregation - Section E '!A$618:J2602,3,0),"")</f>
        <v>KP-6c Number of sex workers who received any PrEP product at least once during the reporting period</v>
      </c>
      <c r="L1913" s="387"/>
      <c r="M1913" s="387" t="s">
        <v>3830</v>
      </c>
      <c r="N1913" s="391"/>
      <c r="O1913" s="387" t="s">
        <v>2762</v>
      </c>
      <c r="P1913" s="387" t="s">
        <v>3831</v>
      </c>
    </row>
    <row r="1914" spans="1:16">
      <c r="A1914" s="387" t="b">
        <v>0</v>
      </c>
      <c r="B1914" s="387"/>
      <c r="C1914" s="387" t="s">
        <v>3832</v>
      </c>
      <c r="D1914" s="392">
        <v>16</v>
      </c>
      <c r="E1914" s="389"/>
      <c r="F1914" s="391" t="s">
        <v>3739</v>
      </c>
      <c r="G1914" s="390"/>
      <c r="H1914" s="390"/>
      <c r="I1914" s="391"/>
      <c r="J1914" s="391"/>
      <c r="K1914" s="387" t="str">
        <f ca="1">IFERROR(VLOOKUP(C1914,' Disaggregation - Section E '!A$618:J2603,3,0),"")</f>
        <v>KP-6c Number of sex workers who received any PrEP product at least once during the reporting period</v>
      </c>
      <c r="L1914" s="387"/>
      <c r="M1914" s="387" t="s">
        <v>3833</v>
      </c>
      <c r="N1914" s="391"/>
      <c r="O1914" s="387" t="s">
        <v>2762</v>
      </c>
      <c r="P1914" s="387" t="s">
        <v>3834</v>
      </c>
    </row>
    <row r="1915" spans="1:16">
      <c r="A1915" s="387" t="b">
        <v>0</v>
      </c>
      <c r="B1915" s="387"/>
      <c r="C1915" s="387" t="s">
        <v>3835</v>
      </c>
      <c r="D1915" s="392">
        <v>16</v>
      </c>
      <c r="E1915" s="389"/>
      <c r="F1915" s="391" t="s">
        <v>3189</v>
      </c>
      <c r="G1915" s="390"/>
      <c r="H1915" s="390"/>
      <c r="I1915" s="391"/>
      <c r="J1915" s="391"/>
      <c r="K1915" s="387" t="str">
        <f ca="1">IFERROR(VLOOKUP(C1915,' Disaggregation - Section E '!A$618:J2604,3,0),"")</f>
        <v>KP-6c Number of sex workers who received any PrEP product at least once during the reporting period</v>
      </c>
      <c r="L1915" s="387"/>
      <c r="M1915" s="387" t="s">
        <v>3836</v>
      </c>
      <c r="N1915" s="391"/>
      <c r="O1915" s="387" t="s">
        <v>2762</v>
      </c>
      <c r="P1915" s="387" t="s">
        <v>3837</v>
      </c>
    </row>
    <row r="1916" spans="1:16">
      <c r="A1916" s="387" t="b">
        <v>0</v>
      </c>
      <c r="B1916" s="387"/>
      <c r="C1916" s="387" t="s">
        <v>3838</v>
      </c>
      <c r="D1916" s="392">
        <v>16</v>
      </c>
      <c r="E1916" s="389"/>
      <c r="F1916" s="391" t="s">
        <v>3769</v>
      </c>
      <c r="G1916" s="390"/>
      <c r="H1916" s="390"/>
      <c r="I1916" s="391"/>
      <c r="J1916" s="391"/>
      <c r="K1916" s="387" t="str">
        <f ca="1">IFERROR(VLOOKUP(C1916,' Disaggregation - Section E '!A$618:J2605,3,0),"")</f>
        <v>KP-6c Number of sex workers who received any PrEP product at least once during the reporting period</v>
      </c>
      <c r="L1916" s="387"/>
      <c r="M1916" s="387" t="s">
        <v>3839</v>
      </c>
      <c r="N1916" s="391"/>
      <c r="O1916" s="387" t="s">
        <v>2762</v>
      </c>
      <c r="P1916" s="387" t="s">
        <v>3840</v>
      </c>
    </row>
    <row r="1917" spans="1:16">
      <c r="A1917" s="387" t="b">
        <v>0</v>
      </c>
      <c r="B1917" s="387"/>
      <c r="C1917" s="387" t="s">
        <v>3841</v>
      </c>
      <c r="D1917" s="392">
        <v>16</v>
      </c>
      <c r="E1917" s="389"/>
      <c r="F1917" s="391" t="s">
        <v>3773</v>
      </c>
      <c r="G1917" s="390"/>
      <c r="H1917" s="390"/>
      <c r="I1917" s="391"/>
      <c r="J1917" s="391"/>
      <c r="K1917" s="387" t="str">
        <f ca="1">IFERROR(VLOOKUP(C1917,' Disaggregation - Section E '!A$618:J2606,3,0),"")</f>
        <v>KP-6c Number of sex workers who received any PrEP product at least once during the reporting period</v>
      </c>
      <c r="L1917" s="387"/>
      <c r="M1917" s="387" t="s">
        <v>3842</v>
      </c>
      <c r="N1917" s="391"/>
      <c r="O1917" s="387" t="s">
        <v>2762</v>
      </c>
      <c r="P1917" s="387" t="s">
        <v>3843</v>
      </c>
    </row>
    <row r="1918" spans="1:16">
      <c r="A1918" s="387" t="b">
        <v>0</v>
      </c>
      <c r="B1918" s="387"/>
      <c r="C1918" s="387" t="s">
        <v>3844</v>
      </c>
      <c r="D1918" s="392">
        <v>16</v>
      </c>
      <c r="E1918" s="389"/>
      <c r="F1918" s="391" t="s">
        <v>3193</v>
      </c>
      <c r="G1918" s="390"/>
      <c r="H1918" s="390"/>
      <c r="I1918" s="391"/>
      <c r="J1918" s="391"/>
      <c r="K1918" s="387" t="str">
        <f ca="1">IFERROR(VLOOKUP(C1918,' Disaggregation - Section E '!A$618:J2607,3,0),"")</f>
        <v>KP-6c Number of sex workers who received any PrEP product at least once during the reporting period</v>
      </c>
      <c r="L1918" s="387"/>
      <c r="M1918" s="387" t="s">
        <v>3845</v>
      </c>
      <c r="N1918" s="391"/>
      <c r="O1918" s="387" t="s">
        <v>2762</v>
      </c>
      <c r="P1918" s="387" t="s">
        <v>3846</v>
      </c>
    </row>
    <row r="1919" spans="1:16">
      <c r="A1919" s="387" t="b">
        <v>0</v>
      </c>
      <c r="B1919" s="387"/>
      <c r="C1919" s="387" t="s">
        <v>3847</v>
      </c>
      <c r="D1919" s="392">
        <v>16</v>
      </c>
      <c r="E1919" s="389"/>
      <c r="F1919" s="391" t="s">
        <v>3197</v>
      </c>
      <c r="G1919" s="390"/>
      <c r="H1919" s="390"/>
      <c r="I1919" s="391"/>
      <c r="J1919" s="391"/>
      <c r="K1919" s="387" t="str">
        <f ca="1">IFERROR(VLOOKUP(C1919,' Disaggregation - Section E '!A$618:J2608,3,0),"")</f>
        <v>KP-6c Number of sex workers who received any PrEP product at least once during the reporting period</v>
      </c>
      <c r="L1919" s="387"/>
      <c r="M1919" s="387" t="s">
        <v>3848</v>
      </c>
      <c r="N1919" s="391"/>
      <c r="O1919" s="387" t="s">
        <v>2762</v>
      </c>
      <c r="P1919" s="387" t="s">
        <v>3849</v>
      </c>
    </row>
    <row r="1920" spans="1:16">
      <c r="A1920" s="387" t="b">
        <v>0</v>
      </c>
      <c r="B1920" s="387"/>
      <c r="C1920" s="387" t="s">
        <v>3850</v>
      </c>
      <c r="D1920" s="392">
        <v>16</v>
      </c>
      <c r="E1920" s="389"/>
      <c r="F1920" s="391" t="s">
        <v>3777</v>
      </c>
      <c r="G1920" s="390"/>
      <c r="H1920" s="390"/>
      <c r="I1920" s="391"/>
      <c r="J1920" s="391"/>
      <c r="K1920" s="387" t="str">
        <f ca="1">IFERROR(VLOOKUP(C1920,' Disaggregation - Section E '!A$618:J2609,3,0),"")</f>
        <v>KP-6c Number of sex workers who received any PrEP product at least once during the reporting period</v>
      </c>
      <c r="L1920" s="387"/>
      <c r="M1920" s="387" t="s">
        <v>3851</v>
      </c>
      <c r="N1920" s="391"/>
      <c r="O1920" s="387" t="s">
        <v>2762</v>
      </c>
      <c r="P1920" s="387" t="s">
        <v>3852</v>
      </c>
    </row>
    <row r="1921" spans="1:16">
      <c r="A1921" s="387" t="b">
        <v>0</v>
      </c>
      <c r="B1921" s="387"/>
      <c r="C1921" s="387" t="s">
        <v>3853</v>
      </c>
      <c r="D1921" s="392">
        <v>16</v>
      </c>
      <c r="E1921" s="389"/>
      <c r="F1921" s="391"/>
      <c r="G1921" s="390"/>
      <c r="H1921" s="390"/>
      <c r="I1921" s="391"/>
      <c r="J1921" s="391"/>
      <c r="K1921" s="387" t="str">
        <f ca="1">IFERROR(VLOOKUP(C1921,' Disaggregation - Section E '!A$618:J2610,3,0),"")</f>
        <v>KP-6c Number of sex workers who received any PrEP product at least once during the reporting period</v>
      </c>
      <c r="L1921" s="387"/>
      <c r="M1921" s="387"/>
      <c r="N1921" s="391"/>
      <c r="O1921" s="387" t="s">
        <v>2762</v>
      </c>
      <c r="P1921" s="387"/>
    </row>
    <row r="1922" spans="1:16">
      <c r="A1922" s="387" t="b">
        <v>0</v>
      </c>
      <c r="B1922" s="387"/>
      <c r="C1922" s="387" t="s">
        <v>3854</v>
      </c>
      <c r="D1922" s="392">
        <v>16</v>
      </c>
      <c r="E1922" s="389"/>
      <c r="F1922" s="391"/>
      <c r="G1922" s="390"/>
      <c r="H1922" s="390"/>
      <c r="I1922" s="391"/>
      <c r="J1922" s="391"/>
      <c r="K1922" s="387" t="str">
        <f ca="1">IFERROR(VLOOKUP(C1922,' Disaggregation - Section E '!A$618:J2611,3,0),"")</f>
        <v>KP-6c Number of sex workers who received any PrEP product at least once during the reporting period</v>
      </c>
      <c r="L1922" s="387"/>
      <c r="M1922" s="387"/>
      <c r="N1922" s="391"/>
      <c r="O1922" s="387" t="s">
        <v>2762</v>
      </c>
      <c r="P1922" s="387"/>
    </row>
    <row r="1923" spans="1:16">
      <c r="A1923" s="387" t="b">
        <v>0</v>
      </c>
      <c r="B1923" s="387"/>
      <c r="C1923" s="387" t="s">
        <v>3855</v>
      </c>
      <c r="D1923" s="392">
        <v>16</v>
      </c>
      <c r="E1923" s="389"/>
      <c r="F1923" s="391"/>
      <c r="G1923" s="390"/>
      <c r="H1923" s="390"/>
      <c r="I1923" s="391"/>
      <c r="J1923" s="391"/>
      <c r="K1923" s="387" t="str">
        <f ca="1">IFERROR(VLOOKUP(C1923,' Disaggregation - Section E '!A$618:J2612,3,0),"")</f>
        <v>KP-6c Number of sex workers who received any PrEP product at least once during the reporting period</v>
      </c>
      <c r="L1923" s="387"/>
      <c r="M1923" s="387"/>
      <c r="N1923" s="391"/>
      <c r="O1923" s="387" t="s">
        <v>2762</v>
      </c>
      <c r="P1923" s="387"/>
    </row>
    <row r="1924" spans="1:16">
      <c r="A1924" s="387" t="b">
        <v>0</v>
      </c>
      <c r="B1924" s="387"/>
      <c r="C1924" s="387" t="s">
        <v>3856</v>
      </c>
      <c r="D1924" s="392">
        <v>16</v>
      </c>
      <c r="E1924" s="389"/>
      <c r="F1924" s="391"/>
      <c r="G1924" s="390"/>
      <c r="H1924" s="390"/>
      <c r="I1924" s="391"/>
      <c r="J1924" s="391"/>
      <c r="K1924" s="387" t="str">
        <f ca="1">IFERROR(VLOOKUP(C1924,' Disaggregation - Section E '!A$618:J2613,3,0),"")</f>
        <v>KP-6c Number of sex workers who received any PrEP product at least once during the reporting period</v>
      </c>
      <c r="L1924" s="387"/>
      <c r="M1924" s="387"/>
      <c r="N1924" s="391"/>
      <c r="O1924" s="387" t="s">
        <v>2762</v>
      </c>
      <c r="P1924" s="387"/>
    </row>
    <row r="1925" spans="1:16">
      <c r="A1925" s="387" t="b">
        <v>0</v>
      </c>
      <c r="B1925" s="387"/>
      <c r="C1925" s="387" t="s">
        <v>3857</v>
      </c>
      <c r="D1925" s="392">
        <v>16</v>
      </c>
      <c r="E1925" s="389"/>
      <c r="F1925" s="391"/>
      <c r="G1925" s="390"/>
      <c r="H1925" s="390"/>
      <c r="I1925" s="391"/>
      <c r="J1925" s="391"/>
      <c r="K1925" s="387" t="str">
        <f ca="1">IFERROR(VLOOKUP(C1925,' Disaggregation - Section E '!A$618:J2614,3,0),"")</f>
        <v>KP-6c Number of sex workers who received any PrEP product at least once during the reporting period</v>
      </c>
      <c r="L1925" s="387"/>
      <c r="M1925" s="387"/>
      <c r="N1925" s="391"/>
      <c r="O1925" s="387" t="s">
        <v>2762</v>
      </c>
      <c r="P1925" s="387"/>
    </row>
    <row r="1926" spans="1:16">
      <c r="A1926" s="387" t="b">
        <v>0</v>
      </c>
      <c r="B1926" s="387"/>
      <c r="C1926" s="387" t="s">
        <v>3858</v>
      </c>
      <c r="D1926" s="392">
        <v>16</v>
      </c>
      <c r="E1926" s="389"/>
      <c r="F1926" s="391"/>
      <c r="G1926" s="390"/>
      <c r="H1926" s="390"/>
      <c r="I1926" s="391"/>
      <c r="J1926" s="391"/>
      <c r="K1926" s="387" t="str">
        <f ca="1">IFERROR(VLOOKUP(C1926,' Disaggregation - Section E '!A$618:J2615,3,0),"")</f>
        <v>KP-6c Number of sex workers who received any PrEP product at least once during the reporting period</v>
      </c>
      <c r="L1926" s="387"/>
      <c r="M1926" s="387"/>
      <c r="N1926" s="391"/>
      <c r="O1926" s="387" t="s">
        <v>2762</v>
      </c>
      <c r="P1926" s="387"/>
    </row>
    <row r="1927" spans="1:16">
      <c r="A1927" s="387" t="b">
        <v>0</v>
      </c>
      <c r="B1927" s="387"/>
      <c r="C1927" s="387" t="s">
        <v>3859</v>
      </c>
      <c r="D1927" s="392">
        <v>16</v>
      </c>
      <c r="E1927" s="389"/>
      <c r="F1927" s="391"/>
      <c r="G1927" s="390"/>
      <c r="H1927" s="390"/>
      <c r="I1927" s="391"/>
      <c r="J1927" s="391"/>
      <c r="K1927" s="387" t="str">
        <f ca="1">IFERROR(VLOOKUP(C1927,' Disaggregation - Section E '!A$618:J2616,3,0),"")</f>
        <v>KP-6c Number of sex workers who received any PrEP product at least once during the reporting period</v>
      </c>
      <c r="L1927" s="387"/>
      <c r="M1927" s="387"/>
      <c r="N1927" s="391"/>
      <c r="O1927" s="387" t="s">
        <v>2762</v>
      </c>
      <c r="P1927" s="387"/>
    </row>
    <row r="1928" spans="1:16">
      <c r="A1928" s="387" t="b">
        <v>0</v>
      </c>
      <c r="B1928" s="387"/>
      <c r="C1928" s="387" t="s">
        <v>3860</v>
      </c>
      <c r="D1928" s="392">
        <v>16</v>
      </c>
      <c r="E1928" s="389"/>
      <c r="F1928" s="391"/>
      <c r="G1928" s="390"/>
      <c r="H1928" s="390"/>
      <c r="I1928" s="391"/>
      <c r="J1928" s="391"/>
      <c r="K1928" s="387" t="str">
        <f ca="1">IFERROR(VLOOKUP(C1928,' Disaggregation - Section E '!A$618:J2617,3,0),"")</f>
        <v>KP-6c Number of sex workers who received any PrEP product at least once during the reporting period</v>
      </c>
      <c r="L1928" s="387"/>
      <c r="M1928" s="387"/>
      <c r="N1928" s="391"/>
      <c r="O1928" s="387" t="s">
        <v>2762</v>
      </c>
      <c r="P1928" s="387"/>
    </row>
    <row r="1929" spans="1:16">
      <c r="A1929" s="387" t="b">
        <v>0</v>
      </c>
      <c r="B1929" s="387"/>
      <c r="C1929" s="387" t="s">
        <v>3861</v>
      </c>
      <c r="D1929" s="392">
        <v>16</v>
      </c>
      <c r="E1929" s="389"/>
      <c r="F1929" s="391"/>
      <c r="G1929" s="390"/>
      <c r="H1929" s="390"/>
      <c r="I1929" s="391"/>
      <c r="J1929" s="391"/>
      <c r="K1929" s="387" t="str">
        <f ca="1">IFERROR(VLOOKUP(C1929,' Disaggregation - Section E '!A$618:J2618,3,0),"")</f>
        <v>KP-6c Number of sex workers who received any PrEP product at least once during the reporting period</v>
      </c>
      <c r="L1929" s="387"/>
      <c r="M1929" s="387"/>
      <c r="N1929" s="391"/>
      <c r="O1929" s="387" t="s">
        <v>2762</v>
      </c>
      <c r="P1929" s="387"/>
    </row>
    <row r="1930" spans="1:16">
      <c r="A1930" s="387" t="b">
        <v>0</v>
      </c>
      <c r="B1930" s="387"/>
      <c r="C1930" s="387" t="s">
        <v>3862</v>
      </c>
      <c r="D1930" s="392">
        <v>16</v>
      </c>
      <c r="E1930" s="389"/>
      <c r="F1930" s="391"/>
      <c r="G1930" s="390"/>
      <c r="H1930" s="390"/>
      <c r="I1930" s="391"/>
      <c r="J1930" s="391"/>
      <c r="K1930" s="387" t="str">
        <f ca="1">IFERROR(VLOOKUP(C1930,' Disaggregation - Section E '!A$618:J2619,3,0),"")</f>
        <v>KP-6c Number of sex workers who received any PrEP product at least once during the reporting period</v>
      </c>
      <c r="L1930" s="387"/>
      <c r="M1930" s="387"/>
      <c r="N1930" s="391"/>
      <c r="O1930" s="387" t="s">
        <v>2762</v>
      </c>
      <c r="P1930" s="387"/>
    </row>
    <row r="1931" spans="1:16">
      <c r="A1931" s="387" t="b">
        <v>0</v>
      </c>
      <c r="B1931" s="387"/>
      <c r="C1931" s="387" t="s">
        <v>3863</v>
      </c>
      <c r="D1931" s="392">
        <v>16</v>
      </c>
      <c r="E1931" s="389"/>
      <c r="F1931" s="391"/>
      <c r="G1931" s="390"/>
      <c r="H1931" s="390"/>
      <c r="I1931" s="391"/>
      <c r="J1931" s="391"/>
      <c r="K1931" s="387" t="str">
        <f ca="1">IFERROR(VLOOKUP(C1931,' Disaggregation - Section E '!A$618:J2620,3,0),"")</f>
        <v>KP-6c Number of sex workers who received any PrEP product at least once during the reporting period</v>
      </c>
      <c r="L1931" s="387"/>
      <c r="M1931" s="387"/>
      <c r="N1931" s="391"/>
      <c r="O1931" s="387" t="s">
        <v>2762</v>
      </c>
      <c r="P1931" s="387"/>
    </row>
    <row r="1932" spans="1:16">
      <c r="A1932" s="387" t="b">
        <v>0</v>
      </c>
      <c r="B1932" s="387"/>
      <c r="C1932" s="387" t="s">
        <v>3864</v>
      </c>
      <c r="D1932" s="392">
        <v>17</v>
      </c>
      <c r="E1932" s="389"/>
      <c r="F1932" s="391" t="s">
        <v>3167</v>
      </c>
      <c r="G1932" s="390"/>
      <c r="H1932" s="390"/>
      <c r="I1932" s="391"/>
      <c r="J1932" s="391"/>
      <c r="K1932" s="387" t="str">
        <f ca="1">IFERROR(VLOOKUP(C1932,' Disaggregation - Section E '!A$618:J2621,3,0),"")</f>
        <v>KP-1b Percentage of transgender people reached with HIV prevention programs - defined package of services</v>
      </c>
      <c r="L1932" s="387"/>
      <c r="M1932" s="387" t="s">
        <v>3865</v>
      </c>
      <c r="N1932" s="391"/>
      <c r="O1932" s="387" t="s">
        <v>2769</v>
      </c>
      <c r="P1932" s="387" t="s">
        <v>3866</v>
      </c>
    </row>
    <row r="1933" spans="1:16">
      <c r="A1933" s="387" t="b">
        <v>0</v>
      </c>
      <c r="B1933" s="387"/>
      <c r="C1933" s="387" t="s">
        <v>3867</v>
      </c>
      <c r="D1933" s="392">
        <v>17</v>
      </c>
      <c r="E1933" s="389"/>
      <c r="F1933" s="391" t="s">
        <v>3735</v>
      </c>
      <c r="G1933" s="390"/>
      <c r="H1933" s="390"/>
      <c r="I1933" s="391"/>
      <c r="J1933" s="391"/>
      <c r="K1933" s="387" t="str">
        <f ca="1">IFERROR(VLOOKUP(C1933,' Disaggregation - Section E '!A$618:J2622,3,0),"")</f>
        <v>KP-1b Percentage of transgender people reached with HIV prevention programs - defined package of services</v>
      </c>
      <c r="L1933" s="387"/>
      <c r="M1933" s="387" t="s">
        <v>3868</v>
      </c>
      <c r="N1933" s="391"/>
      <c r="O1933" s="387" t="s">
        <v>2769</v>
      </c>
      <c r="P1933" s="387" t="s">
        <v>3869</v>
      </c>
    </row>
    <row r="1934" spans="1:16">
      <c r="A1934" s="387" t="b">
        <v>0</v>
      </c>
      <c r="B1934" s="387"/>
      <c r="C1934" s="387" t="s">
        <v>3870</v>
      </c>
      <c r="D1934" s="392">
        <v>17</v>
      </c>
      <c r="E1934" s="389"/>
      <c r="F1934" s="391" t="s">
        <v>3871</v>
      </c>
      <c r="G1934" s="390"/>
      <c r="H1934" s="390"/>
      <c r="I1934" s="391"/>
      <c r="J1934" s="391"/>
      <c r="K1934" s="387" t="str">
        <f ca="1">IFERROR(VLOOKUP(C1934,' Disaggregation - Section E '!A$618:J2623,3,0),"")</f>
        <v>KP-1b Percentage of transgender people reached with HIV prevention programs - defined package of services</v>
      </c>
      <c r="L1934" s="387"/>
      <c r="M1934" s="387" t="s">
        <v>3872</v>
      </c>
      <c r="N1934" s="391"/>
      <c r="O1934" s="387" t="s">
        <v>2769</v>
      </c>
      <c r="P1934" s="387" t="s">
        <v>3873</v>
      </c>
    </row>
    <row r="1935" spans="1:16">
      <c r="A1935" s="387" t="b">
        <v>0</v>
      </c>
      <c r="B1935" s="387"/>
      <c r="C1935" s="387" t="s">
        <v>3874</v>
      </c>
      <c r="D1935" s="392">
        <v>17</v>
      </c>
      <c r="E1935" s="389"/>
      <c r="F1935" s="391" t="s">
        <v>3875</v>
      </c>
      <c r="G1935" s="390"/>
      <c r="H1935" s="390"/>
      <c r="I1935" s="391"/>
      <c r="J1935" s="391"/>
      <c r="K1935" s="387" t="str">
        <f ca="1">IFERROR(VLOOKUP(C1935,' Disaggregation - Section E '!A$618:J2624,3,0),"")</f>
        <v>KP-1b Percentage of transgender people reached with HIV prevention programs - defined package of services</v>
      </c>
      <c r="L1935" s="387"/>
      <c r="M1935" s="387" t="s">
        <v>3876</v>
      </c>
      <c r="N1935" s="391"/>
      <c r="O1935" s="387" t="s">
        <v>2769</v>
      </c>
      <c r="P1935" s="387" t="s">
        <v>3877</v>
      </c>
    </row>
    <row r="1936" spans="1:16">
      <c r="A1936" s="387" t="b">
        <v>0</v>
      </c>
      <c r="B1936" s="387"/>
      <c r="C1936" s="387" t="s">
        <v>3878</v>
      </c>
      <c r="D1936" s="392">
        <v>17</v>
      </c>
      <c r="E1936" s="389"/>
      <c r="F1936" s="391" t="s">
        <v>3739</v>
      </c>
      <c r="G1936" s="390"/>
      <c r="H1936" s="390"/>
      <c r="I1936" s="391"/>
      <c r="J1936" s="391"/>
      <c r="K1936" s="387" t="str">
        <f ca="1">IFERROR(VLOOKUP(C1936,' Disaggregation - Section E '!A$618:J2625,3,0),"")</f>
        <v>KP-1b Percentage of transgender people reached with HIV prevention programs - defined package of services</v>
      </c>
      <c r="L1936" s="387"/>
      <c r="M1936" s="387" t="s">
        <v>3879</v>
      </c>
      <c r="N1936" s="391"/>
      <c r="O1936" s="387" t="s">
        <v>2769</v>
      </c>
      <c r="P1936" s="387" t="s">
        <v>3880</v>
      </c>
    </row>
    <row r="1937" spans="1:16">
      <c r="A1937" s="387" t="b">
        <v>0</v>
      </c>
      <c r="B1937" s="387"/>
      <c r="C1937" s="387" t="s">
        <v>3881</v>
      </c>
      <c r="D1937" s="392">
        <v>17</v>
      </c>
      <c r="E1937" s="389"/>
      <c r="F1937" s="391"/>
      <c r="G1937" s="390"/>
      <c r="H1937" s="390"/>
      <c r="I1937" s="391"/>
      <c r="J1937" s="391"/>
      <c r="K1937" s="387" t="str">
        <f ca="1">IFERROR(VLOOKUP(C1937,' Disaggregation - Section E '!A$618:J2626,3,0),"")</f>
        <v>KP-1b Percentage of transgender people reached with HIV prevention programs - defined package of services</v>
      </c>
      <c r="L1937" s="387"/>
      <c r="M1937" s="387"/>
      <c r="N1937" s="391"/>
      <c r="O1937" s="387" t="s">
        <v>2769</v>
      </c>
      <c r="P1937" s="387"/>
    </row>
    <row r="1938" spans="1:16">
      <c r="A1938" s="387" t="b">
        <v>0</v>
      </c>
      <c r="B1938" s="387"/>
      <c r="C1938" s="387" t="s">
        <v>3882</v>
      </c>
      <c r="D1938" s="392">
        <v>17</v>
      </c>
      <c r="E1938" s="389"/>
      <c r="F1938" s="391"/>
      <c r="G1938" s="390"/>
      <c r="H1938" s="390"/>
      <c r="I1938" s="391"/>
      <c r="J1938" s="391"/>
      <c r="K1938" s="387" t="str">
        <f ca="1">IFERROR(VLOOKUP(C1938,' Disaggregation - Section E '!A$618:J2627,3,0),"")</f>
        <v>KP-1b Percentage of transgender people reached with HIV prevention programs - defined package of services</v>
      </c>
      <c r="L1938" s="387"/>
      <c r="M1938" s="387"/>
      <c r="N1938" s="391"/>
      <c r="O1938" s="387" t="s">
        <v>2769</v>
      </c>
      <c r="P1938" s="387"/>
    </row>
    <row r="1939" spans="1:16">
      <c r="A1939" s="387" t="b">
        <v>0</v>
      </c>
      <c r="B1939" s="387"/>
      <c r="C1939" s="387" t="s">
        <v>3883</v>
      </c>
      <c r="D1939" s="392">
        <v>17</v>
      </c>
      <c r="E1939" s="389"/>
      <c r="F1939" s="391"/>
      <c r="G1939" s="390"/>
      <c r="H1939" s="390"/>
      <c r="I1939" s="391"/>
      <c r="J1939" s="391"/>
      <c r="K1939" s="387" t="str">
        <f ca="1">IFERROR(VLOOKUP(C1939,' Disaggregation - Section E '!A$618:J2628,3,0),"")</f>
        <v>KP-1b Percentage of transgender people reached with HIV prevention programs - defined package of services</v>
      </c>
      <c r="L1939" s="387"/>
      <c r="M1939" s="387"/>
      <c r="N1939" s="391"/>
      <c r="O1939" s="387" t="s">
        <v>2769</v>
      </c>
      <c r="P1939" s="387"/>
    </row>
    <row r="1940" spans="1:16">
      <c r="A1940" s="387" t="b">
        <v>0</v>
      </c>
      <c r="B1940" s="387"/>
      <c r="C1940" s="387" t="s">
        <v>3884</v>
      </c>
      <c r="D1940" s="392">
        <v>17</v>
      </c>
      <c r="E1940" s="389"/>
      <c r="F1940" s="391"/>
      <c r="G1940" s="390"/>
      <c r="H1940" s="390"/>
      <c r="I1940" s="391"/>
      <c r="J1940" s="391"/>
      <c r="K1940" s="387" t="str">
        <f ca="1">IFERROR(VLOOKUP(C1940,' Disaggregation - Section E '!A$618:J2629,3,0),"")</f>
        <v>KP-1b Percentage of transgender people reached with HIV prevention programs - defined package of services</v>
      </c>
      <c r="L1940" s="387"/>
      <c r="M1940" s="387"/>
      <c r="N1940" s="391"/>
      <c r="O1940" s="387" t="s">
        <v>2769</v>
      </c>
      <c r="P1940" s="387"/>
    </row>
    <row r="1941" spans="1:16">
      <c r="A1941" s="387" t="b">
        <v>0</v>
      </c>
      <c r="B1941" s="387"/>
      <c r="C1941" s="387" t="s">
        <v>3885</v>
      </c>
      <c r="D1941" s="392">
        <v>17</v>
      </c>
      <c r="E1941" s="389"/>
      <c r="F1941" s="391"/>
      <c r="G1941" s="390"/>
      <c r="H1941" s="390"/>
      <c r="I1941" s="391"/>
      <c r="J1941" s="391"/>
      <c r="K1941" s="387" t="str">
        <f ca="1">IFERROR(VLOOKUP(C1941,' Disaggregation - Section E '!A$618:J2630,3,0),"")</f>
        <v>KP-1b Percentage of transgender people reached with HIV prevention programs - defined package of services</v>
      </c>
      <c r="L1941" s="387"/>
      <c r="M1941" s="387"/>
      <c r="N1941" s="391"/>
      <c r="O1941" s="387" t="s">
        <v>2769</v>
      </c>
      <c r="P1941" s="387"/>
    </row>
    <row r="1942" spans="1:16">
      <c r="A1942" s="387" t="b">
        <v>0</v>
      </c>
      <c r="B1942" s="387"/>
      <c r="C1942" s="387" t="s">
        <v>3886</v>
      </c>
      <c r="D1942" s="392">
        <v>17</v>
      </c>
      <c r="E1942" s="389"/>
      <c r="F1942" s="391"/>
      <c r="G1942" s="390"/>
      <c r="H1942" s="390"/>
      <c r="I1942" s="391"/>
      <c r="J1942" s="391"/>
      <c r="K1942" s="387" t="str">
        <f ca="1">IFERROR(VLOOKUP(C1942,' Disaggregation - Section E '!A$618:J2631,3,0),"")</f>
        <v>KP-1b Percentage of transgender people reached with HIV prevention programs - defined package of services</v>
      </c>
      <c r="L1942" s="387"/>
      <c r="M1942" s="387"/>
      <c r="N1942" s="391"/>
      <c r="O1942" s="387" t="s">
        <v>2769</v>
      </c>
      <c r="P1942" s="387"/>
    </row>
    <row r="1943" spans="1:16">
      <c r="A1943" s="387" t="b">
        <v>0</v>
      </c>
      <c r="B1943" s="387"/>
      <c r="C1943" s="387" t="s">
        <v>3887</v>
      </c>
      <c r="D1943" s="392">
        <v>17</v>
      </c>
      <c r="E1943" s="389"/>
      <c r="F1943" s="391"/>
      <c r="G1943" s="390"/>
      <c r="H1943" s="390"/>
      <c r="I1943" s="391"/>
      <c r="J1943" s="391"/>
      <c r="K1943" s="387" t="str">
        <f ca="1">IFERROR(VLOOKUP(C1943,' Disaggregation - Section E '!A$618:J2632,3,0),"")</f>
        <v>KP-1b Percentage of transgender people reached with HIV prevention programs - defined package of services</v>
      </c>
      <c r="L1943" s="387"/>
      <c r="M1943" s="387"/>
      <c r="N1943" s="391"/>
      <c r="O1943" s="387" t="s">
        <v>2769</v>
      </c>
      <c r="P1943" s="387"/>
    </row>
    <row r="1944" spans="1:16">
      <c r="A1944" s="387" t="b">
        <v>0</v>
      </c>
      <c r="B1944" s="387"/>
      <c r="C1944" s="387" t="s">
        <v>3888</v>
      </c>
      <c r="D1944" s="392">
        <v>17</v>
      </c>
      <c r="E1944" s="389"/>
      <c r="F1944" s="391"/>
      <c r="G1944" s="390"/>
      <c r="H1944" s="390"/>
      <c r="I1944" s="391"/>
      <c r="J1944" s="391"/>
      <c r="K1944" s="387" t="str">
        <f ca="1">IFERROR(VLOOKUP(C1944,' Disaggregation - Section E '!A$618:J2633,3,0),"")</f>
        <v>KP-1b Percentage of transgender people reached with HIV prevention programs - defined package of services</v>
      </c>
      <c r="L1944" s="387"/>
      <c r="M1944" s="387"/>
      <c r="N1944" s="391"/>
      <c r="O1944" s="387" t="s">
        <v>2769</v>
      </c>
      <c r="P1944" s="387"/>
    </row>
    <row r="1945" spans="1:16">
      <c r="A1945" s="387" t="b">
        <v>0</v>
      </c>
      <c r="B1945" s="387"/>
      <c r="C1945" s="387" t="s">
        <v>3889</v>
      </c>
      <c r="D1945" s="392">
        <v>17</v>
      </c>
      <c r="E1945" s="389"/>
      <c r="F1945" s="391"/>
      <c r="G1945" s="390"/>
      <c r="H1945" s="390"/>
      <c r="I1945" s="391"/>
      <c r="J1945" s="391"/>
      <c r="K1945" s="387" t="str">
        <f ca="1">IFERROR(VLOOKUP(C1945,' Disaggregation - Section E '!A$618:J2634,3,0),"")</f>
        <v>KP-1b Percentage of transgender people reached with HIV prevention programs - defined package of services</v>
      </c>
      <c r="L1945" s="387"/>
      <c r="M1945" s="387"/>
      <c r="N1945" s="391"/>
      <c r="O1945" s="387" t="s">
        <v>2769</v>
      </c>
      <c r="P1945" s="387"/>
    </row>
    <row r="1946" spans="1:16">
      <c r="A1946" s="387" t="b">
        <v>0</v>
      </c>
      <c r="B1946" s="387"/>
      <c r="C1946" s="387" t="s">
        <v>3890</v>
      </c>
      <c r="D1946" s="392">
        <v>17</v>
      </c>
      <c r="E1946" s="389"/>
      <c r="F1946" s="391"/>
      <c r="G1946" s="390"/>
      <c r="H1946" s="390"/>
      <c r="I1946" s="391"/>
      <c r="J1946" s="391"/>
      <c r="K1946" s="387" t="str">
        <f ca="1">IFERROR(VLOOKUP(C1946,' Disaggregation - Section E '!A$618:J2635,3,0),"")</f>
        <v>KP-1b Percentage of transgender people reached with HIV prevention programs - defined package of services</v>
      </c>
      <c r="L1946" s="387"/>
      <c r="M1946" s="387"/>
      <c r="N1946" s="391"/>
      <c r="O1946" s="387" t="s">
        <v>2769</v>
      </c>
      <c r="P1946" s="387"/>
    </row>
    <row r="1947" spans="1:16">
      <c r="A1947" s="387" t="b">
        <v>0</v>
      </c>
      <c r="B1947" s="387"/>
      <c r="C1947" s="387" t="s">
        <v>3891</v>
      </c>
      <c r="D1947" s="392">
        <v>17</v>
      </c>
      <c r="E1947" s="389"/>
      <c r="F1947" s="391"/>
      <c r="G1947" s="390"/>
      <c r="H1947" s="390"/>
      <c r="I1947" s="391"/>
      <c r="J1947" s="391"/>
      <c r="K1947" s="387" t="str">
        <f ca="1">IFERROR(VLOOKUP(C1947,' Disaggregation - Section E '!A$618:J2636,3,0),"")</f>
        <v>KP-1b Percentage of transgender people reached with HIV prevention programs - defined package of services</v>
      </c>
      <c r="L1947" s="387"/>
      <c r="M1947" s="387"/>
      <c r="N1947" s="391"/>
      <c r="O1947" s="387" t="s">
        <v>2769</v>
      </c>
      <c r="P1947" s="387"/>
    </row>
    <row r="1948" spans="1:16">
      <c r="A1948" s="387" t="b">
        <v>0</v>
      </c>
      <c r="B1948" s="387"/>
      <c r="C1948" s="387" t="s">
        <v>3892</v>
      </c>
      <c r="D1948" s="392">
        <v>17</v>
      </c>
      <c r="E1948" s="389"/>
      <c r="F1948" s="391"/>
      <c r="G1948" s="390"/>
      <c r="H1948" s="390"/>
      <c r="I1948" s="391"/>
      <c r="J1948" s="391"/>
      <c r="K1948" s="387" t="str">
        <f ca="1">IFERROR(VLOOKUP(C1948,' Disaggregation - Section E '!A$618:J2637,3,0),"")</f>
        <v>KP-1b Percentage of transgender people reached with HIV prevention programs - defined package of services</v>
      </c>
      <c r="L1948" s="387"/>
      <c r="M1948" s="387"/>
      <c r="N1948" s="391"/>
      <c r="O1948" s="387" t="s">
        <v>2769</v>
      </c>
      <c r="P1948" s="387"/>
    </row>
    <row r="1949" spans="1:16">
      <c r="A1949" s="387" t="b">
        <v>0</v>
      </c>
      <c r="B1949" s="387"/>
      <c r="C1949" s="387" t="s">
        <v>3893</v>
      </c>
      <c r="D1949" s="392">
        <v>17</v>
      </c>
      <c r="E1949" s="389"/>
      <c r="F1949" s="391"/>
      <c r="G1949" s="390"/>
      <c r="H1949" s="390"/>
      <c r="I1949" s="391"/>
      <c r="J1949" s="391"/>
      <c r="K1949" s="387" t="str">
        <f ca="1">IFERROR(VLOOKUP(C1949,' Disaggregation - Section E '!A$618:J2638,3,0),"")</f>
        <v>KP-1b Percentage of transgender people reached with HIV prevention programs - defined package of services</v>
      </c>
      <c r="L1949" s="387"/>
      <c r="M1949" s="387"/>
      <c r="N1949" s="391"/>
      <c r="O1949" s="387" t="s">
        <v>2769</v>
      </c>
      <c r="P1949" s="387"/>
    </row>
    <row r="1950" spans="1:16">
      <c r="A1950" s="387" t="b">
        <v>0</v>
      </c>
      <c r="B1950" s="387"/>
      <c r="C1950" s="387" t="s">
        <v>3894</v>
      </c>
      <c r="D1950" s="392">
        <v>17</v>
      </c>
      <c r="E1950" s="389"/>
      <c r="F1950" s="391"/>
      <c r="G1950" s="390"/>
      <c r="H1950" s="390"/>
      <c r="I1950" s="391"/>
      <c r="J1950" s="391"/>
      <c r="K1950" s="387" t="str">
        <f ca="1">IFERROR(VLOOKUP(C1950,' Disaggregation - Section E '!A$618:J2639,3,0),"")</f>
        <v>KP-1b Percentage of transgender people reached with HIV prevention programs - defined package of services</v>
      </c>
      <c r="L1950" s="387"/>
      <c r="M1950" s="387"/>
      <c r="N1950" s="391"/>
      <c r="O1950" s="387" t="s">
        <v>2769</v>
      </c>
      <c r="P1950" s="387"/>
    </row>
    <row r="1951" spans="1:16">
      <c r="A1951" s="387" t="b">
        <v>0</v>
      </c>
      <c r="B1951" s="387"/>
      <c r="C1951" s="387" t="s">
        <v>3895</v>
      </c>
      <c r="D1951" s="392">
        <v>17</v>
      </c>
      <c r="E1951" s="389"/>
      <c r="F1951" s="391"/>
      <c r="G1951" s="390"/>
      <c r="H1951" s="390"/>
      <c r="I1951" s="391"/>
      <c r="J1951" s="391"/>
      <c r="K1951" s="387" t="str">
        <f ca="1">IFERROR(VLOOKUP(C1951,' Disaggregation - Section E '!A$618:J2640,3,0),"")</f>
        <v>KP-1b Percentage of transgender people reached with HIV prevention programs - defined package of services</v>
      </c>
      <c r="L1951" s="387"/>
      <c r="M1951" s="387"/>
      <c r="N1951" s="391"/>
      <c r="O1951" s="387" t="s">
        <v>2769</v>
      </c>
      <c r="P1951" s="387"/>
    </row>
    <row r="1952" spans="1:16">
      <c r="A1952" s="387" t="b">
        <v>0</v>
      </c>
      <c r="B1952" s="387"/>
      <c r="C1952" s="387" t="s">
        <v>3896</v>
      </c>
      <c r="D1952" s="392">
        <v>18</v>
      </c>
      <c r="E1952" s="389"/>
      <c r="F1952" s="391" t="s">
        <v>3167</v>
      </c>
      <c r="G1952" s="390"/>
      <c r="H1952" s="390"/>
      <c r="I1952" s="391"/>
      <c r="J1952" s="391"/>
      <c r="K1952" s="387" t="str">
        <f ca="1">IFERROR(VLOOKUP(C1952,' Disaggregation - Section E '!A$618:J2641,3,0),"")</f>
        <v>KP-6b Number of transgender people who received any PrEP product at least once during the reporting period</v>
      </c>
      <c r="L1952" s="387"/>
      <c r="M1952" s="387" t="s">
        <v>3897</v>
      </c>
      <c r="N1952" s="391"/>
      <c r="O1952" s="387" t="s">
        <v>2776</v>
      </c>
      <c r="P1952" s="387" t="s">
        <v>3898</v>
      </c>
    </row>
    <row r="1953" spans="1:16">
      <c r="A1953" s="387" t="b">
        <v>0</v>
      </c>
      <c r="B1953" s="387"/>
      <c r="C1953" s="387" t="s">
        <v>3899</v>
      </c>
      <c r="D1953" s="392">
        <v>18</v>
      </c>
      <c r="E1953" s="389"/>
      <c r="F1953" s="391" t="s">
        <v>3735</v>
      </c>
      <c r="G1953" s="390"/>
      <c r="H1953" s="390"/>
      <c r="I1953" s="391"/>
      <c r="J1953" s="391"/>
      <c r="K1953" s="387" t="str">
        <f ca="1">IFERROR(VLOOKUP(C1953,' Disaggregation - Section E '!A$618:J2642,3,0),"")</f>
        <v>KP-6b Number of transgender people who received any PrEP product at least once during the reporting period</v>
      </c>
      <c r="L1953" s="387"/>
      <c r="M1953" s="387" t="s">
        <v>3900</v>
      </c>
      <c r="N1953" s="391"/>
      <c r="O1953" s="387" t="s">
        <v>2776</v>
      </c>
      <c r="P1953" s="387" t="s">
        <v>3901</v>
      </c>
    </row>
    <row r="1954" spans="1:16">
      <c r="A1954" s="387" t="b">
        <v>0</v>
      </c>
      <c r="B1954" s="387"/>
      <c r="C1954" s="387" t="s">
        <v>3902</v>
      </c>
      <c r="D1954" s="392">
        <v>18</v>
      </c>
      <c r="E1954" s="389"/>
      <c r="F1954" s="391" t="s">
        <v>3871</v>
      </c>
      <c r="G1954" s="390"/>
      <c r="H1954" s="390"/>
      <c r="I1954" s="391"/>
      <c r="J1954" s="391"/>
      <c r="K1954" s="387" t="str">
        <f ca="1">IFERROR(VLOOKUP(C1954,' Disaggregation - Section E '!A$618:J2643,3,0),"")</f>
        <v>KP-6b Number of transgender people who received any PrEP product at least once during the reporting period</v>
      </c>
      <c r="L1954" s="387"/>
      <c r="M1954" s="387" t="s">
        <v>3903</v>
      </c>
      <c r="N1954" s="391"/>
      <c r="O1954" s="387" t="s">
        <v>2776</v>
      </c>
      <c r="P1954" s="387" t="s">
        <v>3904</v>
      </c>
    </row>
    <row r="1955" spans="1:16">
      <c r="A1955" s="387" t="b">
        <v>0</v>
      </c>
      <c r="B1955" s="387"/>
      <c r="C1955" s="387" t="s">
        <v>3905</v>
      </c>
      <c r="D1955" s="392">
        <v>18</v>
      </c>
      <c r="E1955" s="389"/>
      <c r="F1955" s="391" t="s">
        <v>3739</v>
      </c>
      <c r="G1955" s="390"/>
      <c r="H1955" s="390"/>
      <c r="I1955" s="391"/>
      <c r="J1955" s="391"/>
      <c r="K1955" s="387" t="str">
        <f ca="1">IFERROR(VLOOKUP(C1955,' Disaggregation - Section E '!A$618:J2644,3,0),"")</f>
        <v>KP-6b Number of transgender people who received any PrEP product at least once during the reporting period</v>
      </c>
      <c r="L1955" s="387"/>
      <c r="M1955" s="387" t="s">
        <v>3906</v>
      </c>
      <c r="N1955" s="391"/>
      <c r="O1955" s="387" t="s">
        <v>2776</v>
      </c>
      <c r="P1955" s="387" t="s">
        <v>3907</v>
      </c>
    </row>
    <row r="1956" spans="1:16">
      <c r="A1956" s="387" t="b">
        <v>0</v>
      </c>
      <c r="B1956" s="387"/>
      <c r="C1956" s="387" t="s">
        <v>3908</v>
      </c>
      <c r="D1956" s="392">
        <v>18</v>
      </c>
      <c r="E1956" s="389"/>
      <c r="F1956" s="391" t="s">
        <v>3875</v>
      </c>
      <c r="G1956" s="390"/>
      <c r="H1956" s="390"/>
      <c r="I1956" s="391"/>
      <c r="J1956" s="391"/>
      <c r="K1956" s="387" t="str">
        <f ca="1">IFERROR(VLOOKUP(C1956,' Disaggregation - Section E '!A$618:J2645,3,0),"")</f>
        <v>KP-6b Number of transgender people who received any PrEP product at least once during the reporting period</v>
      </c>
      <c r="L1956" s="387"/>
      <c r="M1956" s="387" t="s">
        <v>3909</v>
      </c>
      <c r="N1956" s="391"/>
      <c r="O1956" s="387" t="s">
        <v>2776</v>
      </c>
      <c r="P1956" s="387" t="s">
        <v>3910</v>
      </c>
    </row>
    <row r="1957" spans="1:16">
      <c r="A1957" s="387" t="b">
        <v>0</v>
      </c>
      <c r="B1957" s="387"/>
      <c r="C1957" s="387" t="s">
        <v>3911</v>
      </c>
      <c r="D1957" s="392">
        <v>18</v>
      </c>
      <c r="E1957" s="389"/>
      <c r="F1957" s="391" t="s">
        <v>3769</v>
      </c>
      <c r="G1957" s="390"/>
      <c r="H1957" s="390"/>
      <c r="I1957" s="391"/>
      <c r="J1957" s="391"/>
      <c r="K1957" s="387" t="str">
        <f ca="1">IFERROR(VLOOKUP(C1957,' Disaggregation - Section E '!A$618:J2646,3,0),"")</f>
        <v>KP-6b Number of transgender people who received any PrEP product at least once during the reporting period</v>
      </c>
      <c r="L1957" s="387"/>
      <c r="M1957" s="387" t="s">
        <v>3912</v>
      </c>
      <c r="N1957" s="391"/>
      <c r="O1957" s="387" t="s">
        <v>2776</v>
      </c>
      <c r="P1957" s="387" t="s">
        <v>3913</v>
      </c>
    </row>
    <row r="1958" spans="1:16">
      <c r="A1958" s="387" t="b">
        <v>0</v>
      </c>
      <c r="B1958" s="387"/>
      <c r="C1958" s="387" t="s">
        <v>3914</v>
      </c>
      <c r="D1958" s="392">
        <v>18</v>
      </c>
      <c r="E1958" s="389"/>
      <c r="F1958" s="391" t="s">
        <v>3773</v>
      </c>
      <c r="G1958" s="390"/>
      <c r="H1958" s="390"/>
      <c r="I1958" s="391"/>
      <c r="J1958" s="391"/>
      <c r="K1958" s="387" t="str">
        <f ca="1">IFERROR(VLOOKUP(C1958,' Disaggregation - Section E '!A$618:J2647,3,0),"")</f>
        <v>KP-6b Number of transgender people who received any PrEP product at least once during the reporting period</v>
      </c>
      <c r="L1958" s="387"/>
      <c r="M1958" s="387" t="s">
        <v>3915</v>
      </c>
      <c r="N1958" s="391"/>
      <c r="O1958" s="387" t="s">
        <v>2776</v>
      </c>
      <c r="P1958" s="387" t="s">
        <v>3916</v>
      </c>
    </row>
    <row r="1959" spans="1:16">
      <c r="A1959" s="387" t="b">
        <v>0</v>
      </c>
      <c r="B1959" s="387"/>
      <c r="C1959" s="387" t="s">
        <v>3917</v>
      </c>
      <c r="D1959" s="392">
        <v>18</v>
      </c>
      <c r="E1959" s="389"/>
      <c r="F1959" s="391" t="s">
        <v>3777</v>
      </c>
      <c r="G1959" s="390"/>
      <c r="H1959" s="390"/>
      <c r="I1959" s="391"/>
      <c r="J1959" s="391"/>
      <c r="K1959" s="387" t="str">
        <f ca="1">IFERROR(VLOOKUP(C1959,' Disaggregation - Section E '!A$618:J2648,3,0),"")</f>
        <v>KP-6b Number of transgender people who received any PrEP product at least once during the reporting period</v>
      </c>
      <c r="L1959" s="387"/>
      <c r="M1959" s="387" t="s">
        <v>3918</v>
      </c>
      <c r="N1959" s="391"/>
      <c r="O1959" s="387" t="s">
        <v>2776</v>
      </c>
      <c r="P1959" s="387" t="s">
        <v>3919</v>
      </c>
    </row>
    <row r="1960" spans="1:16">
      <c r="A1960" s="387" t="b">
        <v>0</v>
      </c>
      <c r="B1960" s="387"/>
      <c r="C1960" s="387" t="s">
        <v>3920</v>
      </c>
      <c r="D1960" s="392">
        <v>18</v>
      </c>
      <c r="E1960" s="389"/>
      <c r="F1960" s="391"/>
      <c r="G1960" s="390"/>
      <c r="H1960" s="390"/>
      <c r="I1960" s="391"/>
      <c r="J1960" s="391"/>
      <c r="K1960" s="387" t="str">
        <f ca="1">IFERROR(VLOOKUP(C1960,' Disaggregation - Section E '!A$618:J2649,3,0),"")</f>
        <v>KP-6b Number of transgender people who received any PrEP product at least once during the reporting period</v>
      </c>
      <c r="L1960" s="387"/>
      <c r="M1960" s="387"/>
      <c r="N1960" s="391"/>
      <c r="O1960" s="387" t="s">
        <v>2776</v>
      </c>
      <c r="P1960" s="387"/>
    </row>
    <row r="1961" spans="1:16">
      <c r="A1961" s="387" t="b">
        <v>0</v>
      </c>
      <c r="B1961" s="387"/>
      <c r="C1961" s="387" t="s">
        <v>3921</v>
      </c>
      <c r="D1961" s="392">
        <v>18</v>
      </c>
      <c r="E1961" s="389"/>
      <c r="F1961" s="391"/>
      <c r="G1961" s="390"/>
      <c r="H1961" s="390"/>
      <c r="I1961" s="391"/>
      <c r="J1961" s="391"/>
      <c r="K1961" s="387" t="str">
        <f ca="1">IFERROR(VLOOKUP(C1961,' Disaggregation - Section E '!A$618:J2650,3,0),"")</f>
        <v>KP-6b Number of transgender people who received any PrEP product at least once during the reporting period</v>
      </c>
      <c r="L1961" s="387"/>
      <c r="M1961" s="387"/>
      <c r="N1961" s="391"/>
      <c r="O1961" s="387" t="s">
        <v>2776</v>
      </c>
      <c r="P1961" s="387"/>
    </row>
    <row r="1962" spans="1:16">
      <c r="A1962" s="387" t="b">
        <v>0</v>
      </c>
      <c r="B1962" s="387"/>
      <c r="C1962" s="387" t="s">
        <v>3922</v>
      </c>
      <c r="D1962" s="392">
        <v>18</v>
      </c>
      <c r="E1962" s="389"/>
      <c r="F1962" s="391"/>
      <c r="G1962" s="390"/>
      <c r="H1962" s="390"/>
      <c r="I1962" s="391"/>
      <c r="J1962" s="391"/>
      <c r="K1962" s="387" t="str">
        <f ca="1">IFERROR(VLOOKUP(C1962,' Disaggregation - Section E '!A$618:J2651,3,0),"")</f>
        <v>KP-6b Number of transgender people who received any PrEP product at least once during the reporting period</v>
      </c>
      <c r="L1962" s="387"/>
      <c r="M1962" s="387"/>
      <c r="N1962" s="391"/>
      <c r="O1962" s="387" t="s">
        <v>2776</v>
      </c>
      <c r="P1962" s="387"/>
    </row>
    <row r="1963" spans="1:16">
      <c r="A1963" s="387" t="b">
        <v>0</v>
      </c>
      <c r="B1963" s="387"/>
      <c r="C1963" s="387" t="s">
        <v>3923</v>
      </c>
      <c r="D1963" s="392">
        <v>18</v>
      </c>
      <c r="E1963" s="389"/>
      <c r="F1963" s="391"/>
      <c r="G1963" s="390"/>
      <c r="H1963" s="390"/>
      <c r="I1963" s="391"/>
      <c r="J1963" s="391"/>
      <c r="K1963" s="387" t="str">
        <f ca="1">IFERROR(VLOOKUP(C1963,' Disaggregation - Section E '!A$618:J2652,3,0),"")</f>
        <v>KP-6b Number of transgender people who received any PrEP product at least once during the reporting period</v>
      </c>
      <c r="L1963" s="387"/>
      <c r="M1963" s="387"/>
      <c r="N1963" s="391"/>
      <c r="O1963" s="387" t="s">
        <v>2776</v>
      </c>
      <c r="P1963" s="387"/>
    </row>
    <row r="1964" spans="1:16">
      <c r="A1964" s="387" t="b">
        <v>0</v>
      </c>
      <c r="B1964" s="387"/>
      <c r="C1964" s="387" t="s">
        <v>3924</v>
      </c>
      <c r="D1964" s="392">
        <v>18</v>
      </c>
      <c r="E1964" s="389"/>
      <c r="F1964" s="391"/>
      <c r="G1964" s="390"/>
      <c r="H1964" s="390"/>
      <c r="I1964" s="391"/>
      <c r="J1964" s="391"/>
      <c r="K1964" s="387" t="str">
        <f ca="1">IFERROR(VLOOKUP(C1964,' Disaggregation - Section E '!A$618:J2653,3,0),"")</f>
        <v>KP-6b Number of transgender people who received any PrEP product at least once during the reporting period</v>
      </c>
      <c r="L1964" s="387"/>
      <c r="M1964" s="387"/>
      <c r="N1964" s="391"/>
      <c r="O1964" s="387" t="s">
        <v>2776</v>
      </c>
      <c r="P1964" s="387"/>
    </row>
    <row r="1965" spans="1:16">
      <c r="A1965" s="387" t="b">
        <v>0</v>
      </c>
      <c r="B1965" s="387"/>
      <c r="C1965" s="387" t="s">
        <v>3925</v>
      </c>
      <c r="D1965" s="392">
        <v>18</v>
      </c>
      <c r="E1965" s="389"/>
      <c r="F1965" s="391"/>
      <c r="G1965" s="390"/>
      <c r="H1965" s="390"/>
      <c r="I1965" s="391"/>
      <c r="J1965" s="391"/>
      <c r="K1965" s="387" t="str">
        <f ca="1">IFERROR(VLOOKUP(C1965,' Disaggregation - Section E '!A$618:J2654,3,0),"")</f>
        <v>KP-6b Number of transgender people who received any PrEP product at least once during the reporting period</v>
      </c>
      <c r="L1965" s="387"/>
      <c r="M1965" s="387"/>
      <c r="N1965" s="391"/>
      <c r="O1965" s="387" t="s">
        <v>2776</v>
      </c>
      <c r="P1965" s="387"/>
    </row>
    <row r="1966" spans="1:16">
      <c r="A1966" s="387" t="b">
        <v>0</v>
      </c>
      <c r="B1966" s="387"/>
      <c r="C1966" s="387" t="s">
        <v>3926</v>
      </c>
      <c r="D1966" s="392">
        <v>18</v>
      </c>
      <c r="E1966" s="389"/>
      <c r="F1966" s="391"/>
      <c r="G1966" s="390"/>
      <c r="H1966" s="390"/>
      <c r="I1966" s="391"/>
      <c r="J1966" s="391"/>
      <c r="K1966" s="387" t="str">
        <f ca="1">IFERROR(VLOOKUP(C1966,' Disaggregation - Section E '!A$618:J2655,3,0),"")</f>
        <v>KP-6b Number of transgender people who received any PrEP product at least once during the reporting period</v>
      </c>
      <c r="L1966" s="387"/>
      <c r="M1966" s="387"/>
      <c r="N1966" s="391"/>
      <c r="O1966" s="387" t="s">
        <v>2776</v>
      </c>
      <c r="P1966" s="387"/>
    </row>
    <row r="1967" spans="1:16">
      <c r="A1967" s="387" t="b">
        <v>0</v>
      </c>
      <c r="B1967" s="387"/>
      <c r="C1967" s="387" t="s">
        <v>3927</v>
      </c>
      <c r="D1967" s="392">
        <v>18</v>
      </c>
      <c r="E1967" s="389"/>
      <c r="F1967" s="391"/>
      <c r="G1967" s="390"/>
      <c r="H1967" s="390"/>
      <c r="I1967" s="391"/>
      <c r="J1967" s="391"/>
      <c r="K1967" s="387" t="str">
        <f ca="1">IFERROR(VLOOKUP(C1967,' Disaggregation - Section E '!A$618:J2656,3,0),"")</f>
        <v>KP-6b Number of transgender people who received any PrEP product at least once during the reporting period</v>
      </c>
      <c r="L1967" s="387"/>
      <c r="M1967" s="387"/>
      <c r="N1967" s="391"/>
      <c r="O1967" s="387" t="s">
        <v>2776</v>
      </c>
      <c r="P1967" s="387"/>
    </row>
    <row r="1968" spans="1:16">
      <c r="A1968" s="387" t="b">
        <v>0</v>
      </c>
      <c r="B1968" s="387"/>
      <c r="C1968" s="387" t="s">
        <v>3928</v>
      </c>
      <c r="D1968" s="392">
        <v>18</v>
      </c>
      <c r="E1968" s="389"/>
      <c r="F1968" s="391"/>
      <c r="G1968" s="390"/>
      <c r="H1968" s="390"/>
      <c r="I1968" s="391"/>
      <c r="J1968" s="391"/>
      <c r="K1968" s="387" t="str">
        <f ca="1">IFERROR(VLOOKUP(C1968,' Disaggregation - Section E '!A$618:J2657,3,0),"")</f>
        <v>KP-6b Number of transgender people who received any PrEP product at least once during the reporting period</v>
      </c>
      <c r="L1968" s="387"/>
      <c r="M1968" s="387"/>
      <c r="N1968" s="391"/>
      <c r="O1968" s="387" t="s">
        <v>2776</v>
      </c>
      <c r="P1968" s="387"/>
    </row>
    <row r="1969" spans="1:16">
      <c r="A1969" s="387" t="b">
        <v>0</v>
      </c>
      <c r="B1969" s="387"/>
      <c r="C1969" s="387" t="s">
        <v>3929</v>
      </c>
      <c r="D1969" s="392">
        <v>18</v>
      </c>
      <c r="E1969" s="389"/>
      <c r="F1969" s="391"/>
      <c r="G1969" s="390"/>
      <c r="H1969" s="390"/>
      <c r="I1969" s="391"/>
      <c r="J1969" s="391"/>
      <c r="K1969" s="387" t="str">
        <f ca="1">IFERROR(VLOOKUP(C1969,' Disaggregation - Section E '!A$618:J2658,3,0),"")</f>
        <v>KP-6b Number of transgender people who received any PrEP product at least once during the reporting period</v>
      </c>
      <c r="L1969" s="387"/>
      <c r="M1969" s="387"/>
      <c r="N1969" s="391"/>
      <c r="O1969" s="387" t="s">
        <v>2776</v>
      </c>
      <c r="P1969" s="387"/>
    </row>
    <row r="1970" spans="1:16">
      <c r="A1970" s="387" t="b">
        <v>0</v>
      </c>
      <c r="B1970" s="387"/>
      <c r="C1970" s="387" t="s">
        <v>3930</v>
      </c>
      <c r="D1970" s="392">
        <v>18</v>
      </c>
      <c r="E1970" s="389"/>
      <c r="F1970" s="391"/>
      <c r="G1970" s="390"/>
      <c r="H1970" s="390"/>
      <c r="I1970" s="391"/>
      <c r="J1970" s="391"/>
      <c r="K1970" s="387" t="str">
        <f ca="1">IFERROR(VLOOKUP(C1970,' Disaggregation - Section E '!A$618:J2659,3,0),"")</f>
        <v>KP-6b Number of transgender people who received any PrEP product at least once during the reporting period</v>
      </c>
      <c r="L1970" s="387"/>
      <c r="M1970" s="387"/>
      <c r="N1970" s="391"/>
      <c r="O1970" s="387" t="s">
        <v>2776</v>
      </c>
      <c r="P1970" s="387"/>
    </row>
    <row r="1971" spans="1:16">
      <c r="A1971" s="387" t="b">
        <v>0</v>
      </c>
      <c r="B1971" s="387"/>
      <c r="C1971" s="387" t="s">
        <v>3931</v>
      </c>
      <c r="D1971" s="392">
        <v>18</v>
      </c>
      <c r="E1971" s="389"/>
      <c r="F1971" s="391"/>
      <c r="G1971" s="390"/>
      <c r="H1971" s="390"/>
      <c r="I1971" s="391"/>
      <c r="J1971" s="391"/>
      <c r="K1971" s="387" t="str">
        <f ca="1">IFERROR(VLOOKUP(C1971,' Disaggregation - Section E '!A$618:J2660,3,0),"")</f>
        <v>KP-6b Number of transgender people who received any PrEP product at least once during the reporting period</v>
      </c>
      <c r="L1971" s="387"/>
      <c r="M1971" s="387"/>
      <c r="N1971" s="391"/>
      <c r="O1971" s="387" t="s">
        <v>2776</v>
      </c>
      <c r="P1971" s="387"/>
    </row>
    <row r="1972" spans="1:16">
      <c r="A1972" s="387" t="b">
        <v>0</v>
      </c>
      <c r="B1972" s="387"/>
      <c r="C1972" s="387" t="s">
        <v>3932</v>
      </c>
      <c r="D1972" s="392">
        <v>19</v>
      </c>
      <c r="E1972" s="389"/>
      <c r="F1972" s="391" t="s">
        <v>3167</v>
      </c>
      <c r="G1972" s="390"/>
      <c r="H1972" s="390"/>
      <c r="I1972" s="391"/>
      <c r="J1972" s="391"/>
      <c r="K1972" s="387" t="str">
        <f ca="1">IFERROR(VLOOKUP(C1972,' Disaggregation - Section E '!A$618:J2661,3,0),"")</f>
        <v>KP-1d Percentage of people who inject drugs reached with HIV prevention programs - defined package of services</v>
      </c>
      <c r="L1972" s="387"/>
      <c r="M1972" s="387" t="s">
        <v>3933</v>
      </c>
      <c r="N1972" s="391"/>
      <c r="O1972" s="387" t="s">
        <v>2783</v>
      </c>
      <c r="P1972" s="387" t="s">
        <v>3934</v>
      </c>
    </row>
    <row r="1973" spans="1:16">
      <c r="A1973" s="387" t="b">
        <v>0</v>
      </c>
      <c r="B1973" s="387"/>
      <c r="C1973" s="387" t="s">
        <v>3935</v>
      </c>
      <c r="D1973" s="392">
        <v>19</v>
      </c>
      <c r="E1973" s="389"/>
      <c r="F1973" s="391" t="s">
        <v>3735</v>
      </c>
      <c r="G1973" s="390"/>
      <c r="H1973" s="390"/>
      <c r="I1973" s="391"/>
      <c r="J1973" s="391"/>
      <c r="K1973" s="387" t="str">
        <f ca="1">IFERROR(VLOOKUP(C1973,' Disaggregation - Section E '!A$618:J2662,3,0),"")</f>
        <v>KP-1d Percentage of people who inject drugs reached with HIV prevention programs - defined package of services</v>
      </c>
      <c r="L1973" s="387"/>
      <c r="M1973" s="387" t="s">
        <v>3936</v>
      </c>
      <c r="N1973" s="391"/>
      <c r="O1973" s="387" t="s">
        <v>2783</v>
      </c>
      <c r="P1973" s="387" t="s">
        <v>3937</v>
      </c>
    </row>
    <row r="1974" spans="1:16">
      <c r="A1974" s="387" t="b">
        <v>0</v>
      </c>
      <c r="B1974" s="387"/>
      <c r="C1974" s="387" t="s">
        <v>3938</v>
      </c>
      <c r="D1974" s="392">
        <v>19</v>
      </c>
      <c r="E1974" s="389"/>
      <c r="F1974" s="391" t="s">
        <v>3739</v>
      </c>
      <c r="G1974" s="390"/>
      <c r="H1974" s="390"/>
      <c r="I1974" s="391"/>
      <c r="J1974" s="391"/>
      <c r="K1974" s="387" t="str">
        <f ca="1">IFERROR(VLOOKUP(C1974,' Disaggregation - Section E '!A$618:J2663,3,0),"")</f>
        <v>KP-1d Percentage of people who inject drugs reached with HIV prevention programs - defined package of services</v>
      </c>
      <c r="L1974" s="387"/>
      <c r="M1974" s="387" t="s">
        <v>3939</v>
      </c>
      <c r="N1974" s="391"/>
      <c r="O1974" s="387" t="s">
        <v>2783</v>
      </c>
      <c r="P1974" s="387" t="s">
        <v>3940</v>
      </c>
    </row>
    <row r="1975" spans="1:16">
      <c r="A1975" s="387" t="b">
        <v>0</v>
      </c>
      <c r="B1975" s="387"/>
      <c r="C1975" s="387" t="s">
        <v>3941</v>
      </c>
      <c r="D1975" s="392">
        <v>19</v>
      </c>
      <c r="E1975" s="389"/>
      <c r="F1975" s="391" t="s">
        <v>3193</v>
      </c>
      <c r="G1975" s="390"/>
      <c r="H1975" s="390"/>
      <c r="I1975" s="391"/>
      <c r="J1975" s="391"/>
      <c r="K1975" s="387" t="str">
        <f ca="1">IFERROR(VLOOKUP(C1975,' Disaggregation - Section E '!A$618:J2664,3,0),"")</f>
        <v>KP-1d Percentage of people who inject drugs reached with HIV prevention programs - defined package of services</v>
      </c>
      <c r="L1975" s="387"/>
      <c r="M1975" s="387" t="s">
        <v>3942</v>
      </c>
      <c r="N1975" s="391"/>
      <c r="O1975" s="387" t="s">
        <v>2783</v>
      </c>
      <c r="P1975" s="387" t="s">
        <v>3943</v>
      </c>
    </row>
    <row r="1976" spans="1:16">
      <c r="A1976" s="387" t="b">
        <v>0</v>
      </c>
      <c r="B1976" s="387"/>
      <c r="C1976" s="387" t="s">
        <v>3944</v>
      </c>
      <c r="D1976" s="392">
        <v>19</v>
      </c>
      <c r="E1976" s="389"/>
      <c r="F1976" s="391" t="s">
        <v>3197</v>
      </c>
      <c r="G1976" s="390"/>
      <c r="H1976" s="390"/>
      <c r="I1976" s="391"/>
      <c r="J1976" s="391"/>
      <c r="K1976" s="387" t="str">
        <f ca="1">IFERROR(VLOOKUP(C1976,' Disaggregation - Section E '!A$618:J2665,3,0),"")</f>
        <v>KP-1d Percentage of people who inject drugs reached with HIV prevention programs - defined package of services</v>
      </c>
      <c r="L1976" s="387"/>
      <c r="M1976" s="387" t="s">
        <v>3945</v>
      </c>
      <c r="N1976" s="391"/>
      <c r="O1976" s="387" t="s">
        <v>2783</v>
      </c>
      <c r="P1976" s="387" t="s">
        <v>3946</v>
      </c>
    </row>
    <row r="1977" spans="1:16">
      <c r="A1977" s="387" t="b">
        <v>0</v>
      </c>
      <c r="B1977" s="387"/>
      <c r="C1977" s="387" t="s">
        <v>3947</v>
      </c>
      <c r="D1977" s="392">
        <v>19</v>
      </c>
      <c r="E1977" s="389"/>
      <c r="F1977" s="391"/>
      <c r="G1977" s="390"/>
      <c r="H1977" s="390"/>
      <c r="I1977" s="391"/>
      <c r="J1977" s="391"/>
      <c r="K1977" s="387" t="str">
        <f ca="1">IFERROR(VLOOKUP(C1977,' Disaggregation - Section E '!A$618:J2666,3,0),"")</f>
        <v>KP-1d Percentage of people who inject drugs reached with HIV prevention programs - defined package of services</v>
      </c>
      <c r="L1977" s="387"/>
      <c r="M1977" s="387"/>
      <c r="N1977" s="391"/>
      <c r="O1977" s="387" t="s">
        <v>2783</v>
      </c>
      <c r="P1977" s="387"/>
    </row>
    <row r="1978" spans="1:16">
      <c r="A1978" s="387" t="b">
        <v>0</v>
      </c>
      <c r="B1978" s="387"/>
      <c r="C1978" s="387" t="s">
        <v>3948</v>
      </c>
      <c r="D1978" s="392">
        <v>19</v>
      </c>
      <c r="E1978" s="389"/>
      <c r="F1978" s="391"/>
      <c r="G1978" s="390"/>
      <c r="H1978" s="390"/>
      <c r="I1978" s="391"/>
      <c r="J1978" s="391"/>
      <c r="K1978" s="387" t="str">
        <f ca="1">IFERROR(VLOOKUP(C1978,' Disaggregation - Section E '!A$618:J2667,3,0),"")</f>
        <v>KP-1d Percentage of people who inject drugs reached with HIV prevention programs - defined package of services</v>
      </c>
      <c r="L1978" s="387"/>
      <c r="M1978" s="387"/>
      <c r="N1978" s="391"/>
      <c r="O1978" s="387" t="s">
        <v>2783</v>
      </c>
      <c r="P1978" s="387"/>
    </row>
    <row r="1979" spans="1:16">
      <c r="A1979" s="387" t="b">
        <v>0</v>
      </c>
      <c r="B1979" s="387"/>
      <c r="C1979" s="387" t="s">
        <v>3949</v>
      </c>
      <c r="D1979" s="392">
        <v>19</v>
      </c>
      <c r="E1979" s="389"/>
      <c r="F1979" s="391"/>
      <c r="G1979" s="390"/>
      <c r="H1979" s="390"/>
      <c r="I1979" s="391"/>
      <c r="J1979" s="391"/>
      <c r="K1979" s="387" t="str">
        <f ca="1">IFERROR(VLOOKUP(C1979,' Disaggregation - Section E '!A$618:J2668,3,0),"")</f>
        <v>KP-1d Percentage of people who inject drugs reached with HIV prevention programs - defined package of services</v>
      </c>
      <c r="L1979" s="387"/>
      <c r="M1979" s="387"/>
      <c r="N1979" s="391"/>
      <c r="O1979" s="387" t="s">
        <v>2783</v>
      </c>
      <c r="P1979" s="387"/>
    </row>
    <row r="1980" spans="1:16">
      <c r="A1980" s="387" t="b">
        <v>0</v>
      </c>
      <c r="B1980" s="387"/>
      <c r="C1980" s="387" t="s">
        <v>3950</v>
      </c>
      <c r="D1980" s="392">
        <v>19</v>
      </c>
      <c r="E1980" s="389"/>
      <c r="F1980" s="391"/>
      <c r="G1980" s="390"/>
      <c r="H1980" s="390"/>
      <c r="I1980" s="391"/>
      <c r="J1980" s="391"/>
      <c r="K1980" s="387" t="str">
        <f ca="1">IFERROR(VLOOKUP(C1980,' Disaggregation - Section E '!A$618:J2669,3,0),"")</f>
        <v>KP-1d Percentage of people who inject drugs reached with HIV prevention programs - defined package of services</v>
      </c>
      <c r="L1980" s="387"/>
      <c r="M1980" s="387"/>
      <c r="N1980" s="391"/>
      <c r="O1980" s="387" t="s">
        <v>2783</v>
      </c>
      <c r="P1980" s="387"/>
    </row>
    <row r="1981" spans="1:16">
      <c r="A1981" s="387" t="b">
        <v>0</v>
      </c>
      <c r="B1981" s="387"/>
      <c r="C1981" s="387" t="s">
        <v>3951</v>
      </c>
      <c r="D1981" s="392">
        <v>19</v>
      </c>
      <c r="E1981" s="389"/>
      <c r="F1981" s="391"/>
      <c r="G1981" s="390"/>
      <c r="H1981" s="390"/>
      <c r="I1981" s="391"/>
      <c r="J1981" s="391"/>
      <c r="K1981" s="387" t="str">
        <f ca="1">IFERROR(VLOOKUP(C1981,' Disaggregation - Section E '!A$618:J2670,3,0),"")</f>
        <v>KP-1d Percentage of people who inject drugs reached with HIV prevention programs - defined package of services</v>
      </c>
      <c r="L1981" s="387"/>
      <c r="M1981" s="387"/>
      <c r="N1981" s="391"/>
      <c r="O1981" s="387" t="s">
        <v>2783</v>
      </c>
      <c r="P1981" s="387"/>
    </row>
    <row r="1982" spans="1:16">
      <c r="A1982" s="387" t="b">
        <v>0</v>
      </c>
      <c r="B1982" s="387"/>
      <c r="C1982" s="387" t="s">
        <v>3952</v>
      </c>
      <c r="D1982" s="392">
        <v>19</v>
      </c>
      <c r="E1982" s="389"/>
      <c r="F1982" s="391"/>
      <c r="G1982" s="390"/>
      <c r="H1982" s="390"/>
      <c r="I1982" s="391"/>
      <c r="J1982" s="391"/>
      <c r="K1982" s="387" t="str">
        <f ca="1">IFERROR(VLOOKUP(C1982,' Disaggregation - Section E '!A$618:J2671,3,0),"")</f>
        <v>KP-1d Percentage of people who inject drugs reached with HIV prevention programs - defined package of services</v>
      </c>
      <c r="L1982" s="387"/>
      <c r="M1982" s="387"/>
      <c r="N1982" s="391"/>
      <c r="O1982" s="387" t="s">
        <v>2783</v>
      </c>
      <c r="P1982" s="387"/>
    </row>
    <row r="1983" spans="1:16">
      <c r="A1983" s="387" t="b">
        <v>0</v>
      </c>
      <c r="B1983" s="387"/>
      <c r="C1983" s="387" t="s">
        <v>3953</v>
      </c>
      <c r="D1983" s="392">
        <v>19</v>
      </c>
      <c r="E1983" s="389"/>
      <c r="F1983" s="391"/>
      <c r="G1983" s="390"/>
      <c r="H1983" s="390"/>
      <c r="I1983" s="391"/>
      <c r="J1983" s="391"/>
      <c r="K1983" s="387" t="str">
        <f ca="1">IFERROR(VLOOKUP(C1983,' Disaggregation - Section E '!A$618:J2672,3,0),"")</f>
        <v>KP-1d Percentage of people who inject drugs reached with HIV prevention programs - defined package of services</v>
      </c>
      <c r="L1983" s="387"/>
      <c r="M1983" s="387"/>
      <c r="N1983" s="391"/>
      <c r="O1983" s="387" t="s">
        <v>2783</v>
      </c>
      <c r="P1983" s="387"/>
    </row>
    <row r="1984" spans="1:16">
      <c r="A1984" s="387" t="b">
        <v>0</v>
      </c>
      <c r="B1984" s="387"/>
      <c r="C1984" s="387" t="s">
        <v>3954</v>
      </c>
      <c r="D1984" s="392">
        <v>19</v>
      </c>
      <c r="E1984" s="389"/>
      <c r="F1984" s="391"/>
      <c r="G1984" s="390"/>
      <c r="H1984" s="390"/>
      <c r="I1984" s="391"/>
      <c r="J1984" s="391"/>
      <c r="K1984" s="387" t="str">
        <f ca="1">IFERROR(VLOOKUP(C1984,' Disaggregation - Section E '!A$618:J2673,3,0),"")</f>
        <v>KP-1d Percentage of people who inject drugs reached with HIV prevention programs - defined package of services</v>
      </c>
      <c r="L1984" s="387"/>
      <c r="M1984" s="387"/>
      <c r="N1984" s="391"/>
      <c r="O1984" s="387" t="s">
        <v>2783</v>
      </c>
      <c r="P1984" s="387"/>
    </row>
    <row r="1985" spans="1:16">
      <c r="A1985" s="387" t="b">
        <v>0</v>
      </c>
      <c r="B1985" s="387"/>
      <c r="C1985" s="387" t="s">
        <v>3955</v>
      </c>
      <c r="D1985" s="392">
        <v>19</v>
      </c>
      <c r="E1985" s="389"/>
      <c r="F1985" s="391"/>
      <c r="G1985" s="390"/>
      <c r="H1985" s="390"/>
      <c r="I1985" s="391"/>
      <c r="J1985" s="391"/>
      <c r="K1985" s="387" t="str">
        <f ca="1">IFERROR(VLOOKUP(C1985,' Disaggregation - Section E '!A$618:J2674,3,0),"")</f>
        <v>KP-1d Percentage of people who inject drugs reached with HIV prevention programs - defined package of services</v>
      </c>
      <c r="L1985" s="387"/>
      <c r="M1985" s="387"/>
      <c r="N1985" s="391"/>
      <c r="O1985" s="387" t="s">
        <v>2783</v>
      </c>
      <c r="P1985" s="387"/>
    </row>
    <row r="1986" spans="1:16">
      <c r="A1986" s="387" t="b">
        <v>0</v>
      </c>
      <c r="B1986" s="387"/>
      <c r="C1986" s="387" t="s">
        <v>3956</v>
      </c>
      <c r="D1986" s="392">
        <v>19</v>
      </c>
      <c r="E1986" s="389"/>
      <c r="F1986" s="391"/>
      <c r="G1986" s="390"/>
      <c r="H1986" s="390"/>
      <c r="I1986" s="391"/>
      <c r="J1986" s="391"/>
      <c r="K1986" s="387" t="str">
        <f ca="1">IFERROR(VLOOKUP(C1986,' Disaggregation - Section E '!A$618:J2675,3,0),"")</f>
        <v>KP-1d Percentage of people who inject drugs reached with HIV prevention programs - defined package of services</v>
      </c>
      <c r="L1986" s="387"/>
      <c r="M1986" s="387"/>
      <c r="N1986" s="391"/>
      <c r="O1986" s="387" t="s">
        <v>2783</v>
      </c>
      <c r="P1986" s="387"/>
    </row>
    <row r="1987" spans="1:16">
      <c r="A1987" s="387" t="b">
        <v>0</v>
      </c>
      <c r="B1987" s="387"/>
      <c r="C1987" s="387" t="s">
        <v>3957</v>
      </c>
      <c r="D1987" s="392">
        <v>19</v>
      </c>
      <c r="E1987" s="389"/>
      <c r="F1987" s="391"/>
      <c r="G1987" s="390"/>
      <c r="H1987" s="390"/>
      <c r="I1987" s="391"/>
      <c r="J1987" s="391"/>
      <c r="K1987" s="387" t="str">
        <f ca="1">IFERROR(VLOOKUP(C1987,' Disaggregation - Section E '!A$618:J2676,3,0),"")</f>
        <v>KP-1d Percentage of people who inject drugs reached with HIV prevention programs - defined package of services</v>
      </c>
      <c r="L1987" s="387"/>
      <c r="M1987" s="387"/>
      <c r="N1987" s="391"/>
      <c r="O1987" s="387" t="s">
        <v>2783</v>
      </c>
      <c r="P1987" s="387"/>
    </row>
    <row r="1988" spans="1:16">
      <c r="A1988" s="387" t="b">
        <v>0</v>
      </c>
      <c r="B1988" s="387"/>
      <c r="C1988" s="387" t="s">
        <v>3958</v>
      </c>
      <c r="D1988" s="392">
        <v>19</v>
      </c>
      <c r="E1988" s="389"/>
      <c r="F1988" s="391"/>
      <c r="G1988" s="390"/>
      <c r="H1988" s="390"/>
      <c r="I1988" s="391"/>
      <c r="J1988" s="391"/>
      <c r="K1988" s="387" t="str">
        <f ca="1">IFERROR(VLOOKUP(C1988,' Disaggregation - Section E '!A$618:J2677,3,0),"")</f>
        <v>KP-1d Percentage of people who inject drugs reached with HIV prevention programs - defined package of services</v>
      </c>
      <c r="L1988" s="387"/>
      <c r="M1988" s="387"/>
      <c r="N1988" s="391"/>
      <c r="O1988" s="387" t="s">
        <v>2783</v>
      </c>
      <c r="P1988" s="387"/>
    </row>
    <row r="1989" spans="1:16">
      <c r="A1989" s="387" t="b">
        <v>0</v>
      </c>
      <c r="B1989" s="387"/>
      <c r="C1989" s="387" t="s">
        <v>3959</v>
      </c>
      <c r="D1989" s="392">
        <v>19</v>
      </c>
      <c r="E1989" s="389"/>
      <c r="F1989" s="391"/>
      <c r="G1989" s="390"/>
      <c r="H1989" s="390"/>
      <c r="I1989" s="391"/>
      <c r="J1989" s="391"/>
      <c r="K1989" s="387" t="str">
        <f ca="1">IFERROR(VLOOKUP(C1989,' Disaggregation - Section E '!A$618:J2678,3,0),"")</f>
        <v>KP-1d Percentage of people who inject drugs reached with HIV prevention programs - defined package of services</v>
      </c>
      <c r="L1989" s="387"/>
      <c r="M1989" s="387"/>
      <c r="N1989" s="391"/>
      <c r="O1989" s="387" t="s">
        <v>2783</v>
      </c>
      <c r="P1989" s="387"/>
    </row>
    <row r="1990" spans="1:16">
      <c r="A1990" s="387" t="b">
        <v>0</v>
      </c>
      <c r="B1990" s="387"/>
      <c r="C1990" s="387" t="s">
        <v>3960</v>
      </c>
      <c r="D1990" s="392">
        <v>19</v>
      </c>
      <c r="E1990" s="389"/>
      <c r="F1990" s="391"/>
      <c r="G1990" s="390"/>
      <c r="H1990" s="390"/>
      <c r="I1990" s="391"/>
      <c r="J1990" s="391"/>
      <c r="K1990" s="387" t="str">
        <f ca="1">IFERROR(VLOOKUP(C1990,' Disaggregation - Section E '!A$618:J2679,3,0),"")</f>
        <v>KP-1d Percentage of people who inject drugs reached with HIV prevention programs - defined package of services</v>
      </c>
      <c r="L1990" s="387"/>
      <c r="M1990" s="387"/>
      <c r="N1990" s="391"/>
      <c r="O1990" s="387" t="s">
        <v>2783</v>
      </c>
      <c r="P1990" s="387"/>
    </row>
    <row r="1991" spans="1:16">
      <c r="A1991" s="387" t="b">
        <v>0</v>
      </c>
      <c r="B1991" s="387"/>
      <c r="C1991" s="387" t="s">
        <v>3961</v>
      </c>
      <c r="D1991" s="392">
        <v>19</v>
      </c>
      <c r="E1991" s="389"/>
      <c r="F1991" s="391"/>
      <c r="G1991" s="390"/>
      <c r="H1991" s="390"/>
      <c r="I1991" s="391"/>
      <c r="J1991" s="391"/>
      <c r="K1991" s="387" t="str">
        <f ca="1">IFERROR(VLOOKUP(C1991,' Disaggregation - Section E '!A$618:J2680,3,0),"")</f>
        <v>KP-1d Percentage of people who inject drugs reached with HIV prevention programs - defined package of services</v>
      </c>
      <c r="L1991" s="387"/>
      <c r="M1991" s="387"/>
      <c r="N1991" s="391"/>
      <c r="O1991" s="387" t="s">
        <v>2783</v>
      </c>
      <c r="P1991" s="387"/>
    </row>
    <row r="1992" spans="1:16">
      <c r="A1992" s="387" t="b">
        <v>0</v>
      </c>
      <c r="B1992" s="387"/>
      <c r="C1992" s="387" t="s">
        <v>3962</v>
      </c>
      <c r="D1992" s="392">
        <v>20</v>
      </c>
      <c r="E1992" s="389"/>
      <c r="F1992" s="391" t="s">
        <v>3167</v>
      </c>
      <c r="G1992" s="390"/>
      <c r="H1992" s="390"/>
      <c r="I1992" s="391"/>
      <c r="J1992" s="391"/>
      <c r="K1992" s="387" t="str">
        <f ca="1">IFERROR(VLOOKUP(C1992,' Disaggregation - Section E '!A$618:J2681,3,0),"")</f>
        <v>KP-6d Number of PWID who received any PrEP product at least once during the reporting period</v>
      </c>
      <c r="L1992" s="387"/>
      <c r="M1992" s="387" t="s">
        <v>3963</v>
      </c>
      <c r="N1992" s="391"/>
      <c r="O1992" s="387" t="s">
        <v>2790</v>
      </c>
      <c r="P1992" s="387" t="s">
        <v>3964</v>
      </c>
    </row>
    <row r="1993" spans="1:16">
      <c r="A1993" s="387" t="b">
        <v>0</v>
      </c>
      <c r="B1993" s="387"/>
      <c r="C1993" s="387" t="s">
        <v>3965</v>
      </c>
      <c r="D1993" s="392">
        <v>20</v>
      </c>
      <c r="E1993" s="389"/>
      <c r="F1993" s="391" t="s">
        <v>3735</v>
      </c>
      <c r="G1993" s="390"/>
      <c r="H1993" s="390"/>
      <c r="I1993" s="391"/>
      <c r="J1993" s="391"/>
      <c r="K1993" s="387" t="str">
        <f ca="1">IFERROR(VLOOKUP(C1993,' Disaggregation - Section E '!A$618:J2682,3,0),"")</f>
        <v>KP-6d Number of PWID who received any PrEP product at least once during the reporting period</v>
      </c>
      <c r="L1993" s="387"/>
      <c r="M1993" s="387" t="s">
        <v>3966</v>
      </c>
      <c r="N1993" s="391"/>
      <c r="O1993" s="387" t="s">
        <v>2790</v>
      </c>
      <c r="P1993" s="387" t="s">
        <v>3967</v>
      </c>
    </row>
    <row r="1994" spans="1:16">
      <c r="A1994" s="387" t="b">
        <v>0</v>
      </c>
      <c r="B1994" s="387"/>
      <c r="C1994" s="387" t="s">
        <v>3968</v>
      </c>
      <c r="D1994" s="392">
        <v>20</v>
      </c>
      <c r="E1994" s="389"/>
      <c r="F1994" s="391" t="s">
        <v>3739</v>
      </c>
      <c r="G1994" s="390"/>
      <c r="H1994" s="390"/>
      <c r="I1994" s="391"/>
      <c r="J1994" s="391"/>
      <c r="K1994" s="387" t="str">
        <f ca="1">IFERROR(VLOOKUP(C1994,' Disaggregation - Section E '!A$618:J2683,3,0),"")</f>
        <v>KP-6d Number of PWID who received any PrEP product at least once during the reporting period</v>
      </c>
      <c r="L1994" s="387"/>
      <c r="M1994" s="387" t="s">
        <v>3969</v>
      </c>
      <c r="N1994" s="391"/>
      <c r="O1994" s="387" t="s">
        <v>2790</v>
      </c>
      <c r="P1994" s="387" t="s">
        <v>3970</v>
      </c>
    </row>
    <row r="1995" spans="1:16">
      <c r="A1995" s="387" t="b">
        <v>0</v>
      </c>
      <c r="B1995" s="387"/>
      <c r="C1995" s="387" t="s">
        <v>3971</v>
      </c>
      <c r="D1995" s="392">
        <v>20</v>
      </c>
      <c r="E1995" s="389"/>
      <c r="F1995" s="391" t="s">
        <v>3769</v>
      </c>
      <c r="G1995" s="390"/>
      <c r="H1995" s="390"/>
      <c r="I1995" s="391"/>
      <c r="J1995" s="391"/>
      <c r="K1995" s="387" t="str">
        <f ca="1">IFERROR(VLOOKUP(C1995,' Disaggregation - Section E '!A$618:J2684,3,0),"")</f>
        <v>KP-6d Number of PWID who received any PrEP product at least once during the reporting period</v>
      </c>
      <c r="L1995" s="387"/>
      <c r="M1995" s="387" t="s">
        <v>3972</v>
      </c>
      <c r="N1995" s="391"/>
      <c r="O1995" s="387" t="s">
        <v>2790</v>
      </c>
      <c r="P1995" s="387" t="s">
        <v>3973</v>
      </c>
    </row>
    <row r="1996" spans="1:16">
      <c r="A1996" s="387" t="b">
        <v>0</v>
      </c>
      <c r="B1996" s="387"/>
      <c r="C1996" s="387" t="s">
        <v>3974</v>
      </c>
      <c r="D1996" s="392">
        <v>20</v>
      </c>
      <c r="E1996" s="389"/>
      <c r="F1996" s="391" t="s">
        <v>3193</v>
      </c>
      <c r="G1996" s="390"/>
      <c r="H1996" s="390"/>
      <c r="I1996" s="391"/>
      <c r="J1996" s="391"/>
      <c r="K1996" s="387" t="str">
        <f ca="1">IFERROR(VLOOKUP(C1996,' Disaggregation - Section E '!A$618:J2685,3,0),"")</f>
        <v>KP-6d Number of PWID who received any PrEP product at least once during the reporting period</v>
      </c>
      <c r="L1996" s="387"/>
      <c r="M1996" s="387" t="s">
        <v>3975</v>
      </c>
      <c r="N1996" s="391"/>
      <c r="O1996" s="387" t="s">
        <v>2790</v>
      </c>
      <c r="P1996" s="387" t="s">
        <v>3976</v>
      </c>
    </row>
    <row r="1997" spans="1:16">
      <c r="A1997" s="387" t="b">
        <v>0</v>
      </c>
      <c r="B1997" s="387"/>
      <c r="C1997" s="387" t="s">
        <v>3977</v>
      </c>
      <c r="D1997" s="392">
        <v>20</v>
      </c>
      <c r="E1997" s="389"/>
      <c r="F1997" s="391" t="s">
        <v>3773</v>
      </c>
      <c r="G1997" s="390"/>
      <c r="H1997" s="390"/>
      <c r="I1997" s="391"/>
      <c r="J1997" s="391"/>
      <c r="K1997" s="387" t="str">
        <f ca="1">IFERROR(VLOOKUP(C1997,' Disaggregation - Section E '!A$618:J2686,3,0),"")</f>
        <v>KP-6d Number of PWID who received any PrEP product at least once during the reporting period</v>
      </c>
      <c r="L1997" s="387"/>
      <c r="M1997" s="387" t="s">
        <v>3978</v>
      </c>
      <c r="N1997" s="391"/>
      <c r="O1997" s="387" t="s">
        <v>2790</v>
      </c>
      <c r="P1997" s="387" t="s">
        <v>3979</v>
      </c>
    </row>
    <row r="1998" spans="1:16">
      <c r="A1998" s="387" t="b">
        <v>0</v>
      </c>
      <c r="B1998" s="387"/>
      <c r="C1998" s="387" t="s">
        <v>3980</v>
      </c>
      <c r="D1998" s="392">
        <v>20</v>
      </c>
      <c r="E1998" s="389"/>
      <c r="F1998" s="391" t="s">
        <v>3197</v>
      </c>
      <c r="G1998" s="390"/>
      <c r="H1998" s="390"/>
      <c r="I1998" s="391"/>
      <c r="J1998" s="391"/>
      <c r="K1998" s="387" t="str">
        <f ca="1">IFERROR(VLOOKUP(C1998,' Disaggregation - Section E '!A$618:J2687,3,0),"")</f>
        <v>KP-6d Number of PWID who received any PrEP product at least once during the reporting period</v>
      </c>
      <c r="L1998" s="387"/>
      <c r="M1998" s="387" t="s">
        <v>3981</v>
      </c>
      <c r="N1998" s="391"/>
      <c r="O1998" s="387" t="s">
        <v>2790</v>
      </c>
      <c r="P1998" s="387" t="s">
        <v>3982</v>
      </c>
    </row>
    <row r="1999" spans="1:16">
      <c r="A1999" s="387" t="b">
        <v>0</v>
      </c>
      <c r="B1999" s="387"/>
      <c r="C1999" s="387" t="s">
        <v>3983</v>
      </c>
      <c r="D1999" s="392">
        <v>20</v>
      </c>
      <c r="E1999" s="389"/>
      <c r="F1999" s="391" t="s">
        <v>3777</v>
      </c>
      <c r="G1999" s="390"/>
      <c r="H1999" s="390"/>
      <c r="I1999" s="391"/>
      <c r="J1999" s="391"/>
      <c r="K1999" s="387" t="str">
        <f ca="1">IFERROR(VLOOKUP(C1999,' Disaggregation - Section E '!A$618:J2688,3,0),"")</f>
        <v>KP-6d Number of PWID who received any PrEP product at least once during the reporting period</v>
      </c>
      <c r="L1999" s="387"/>
      <c r="M1999" s="387" t="s">
        <v>3984</v>
      </c>
      <c r="N1999" s="391"/>
      <c r="O1999" s="387" t="s">
        <v>2790</v>
      </c>
      <c r="P1999" s="387" t="s">
        <v>3985</v>
      </c>
    </row>
    <row r="2000" spans="1:16">
      <c r="A2000" s="387" t="b">
        <v>0</v>
      </c>
      <c r="B2000" s="387"/>
      <c r="C2000" s="387" t="s">
        <v>3986</v>
      </c>
      <c r="D2000" s="392">
        <v>20</v>
      </c>
      <c r="E2000" s="389"/>
      <c r="F2000" s="391"/>
      <c r="G2000" s="390"/>
      <c r="H2000" s="390"/>
      <c r="I2000" s="391"/>
      <c r="J2000" s="391"/>
      <c r="K2000" s="387" t="str">
        <f ca="1">IFERROR(VLOOKUP(C2000,' Disaggregation - Section E '!A$618:J2689,3,0),"")</f>
        <v>KP-6d Number of PWID who received any PrEP product at least once during the reporting period</v>
      </c>
      <c r="L2000" s="387"/>
      <c r="M2000" s="387"/>
      <c r="N2000" s="391"/>
      <c r="O2000" s="387" t="s">
        <v>2790</v>
      </c>
      <c r="P2000" s="387"/>
    </row>
    <row r="2001" spans="1:16">
      <c r="A2001" s="387" t="b">
        <v>0</v>
      </c>
      <c r="B2001" s="387"/>
      <c r="C2001" s="387" t="s">
        <v>3987</v>
      </c>
      <c r="D2001" s="392">
        <v>20</v>
      </c>
      <c r="E2001" s="389"/>
      <c r="F2001" s="391"/>
      <c r="G2001" s="390"/>
      <c r="H2001" s="390"/>
      <c r="I2001" s="391"/>
      <c r="J2001" s="391"/>
      <c r="K2001" s="387" t="str">
        <f ca="1">IFERROR(VLOOKUP(C2001,' Disaggregation - Section E '!A$618:J2690,3,0),"")</f>
        <v>KP-6d Number of PWID who received any PrEP product at least once during the reporting period</v>
      </c>
      <c r="L2001" s="387"/>
      <c r="M2001" s="387"/>
      <c r="N2001" s="391"/>
      <c r="O2001" s="387" t="s">
        <v>2790</v>
      </c>
      <c r="P2001" s="387"/>
    </row>
    <row r="2002" spans="1:16">
      <c r="A2002" s="387" t="b">
        <v>0</v>
      </c>
      <c r="B2002" s="387"/>
      <c r="C2002" s="387" t="s">
        <v>3988</v>
      </c>
      <c r="D2002" s="392">
        <v>20</v>
      </c>
      <c r="E2002" s="389"/>
      <c r="F2002" s="391"/>
      <c r="G2002" s="390"/>
      <c r="H2002" s="390"/>
      <c r="I2002" s="391"/>
      <c r="J2002" s="391"/>
      <c r="K2002" s="387" t="str">
        <f ca="1">IFERROR(VLOOKUP(C2002,' Disaggregation - Section E '!A$618:J2691,3,0),"")</f>
        <v>KP-6d Number of PWID who received any PrEP product at least once during the reporting period</v>
      </c>
      <c r="L2002" s="387"/>
      <c r="M2002" s="387"/>
      <c r="N2002" s="391"/>
      <c r="O2002" s="387" t="s">
        <v>2790</v>
      </c>
      <c r="P2002" s="387"/>
    </row>
    <row r="2003" spans="1:16">
      <c r="A2003" s="387" t="b">
        <v>0</v>
      </c>
      <c r="B2003" s="387"/>
      <c r="C2003" s="387" t="s">
        <v>3989</v>
      </c>
      <c r="D2003" s="392">
        <v>20</v>
      </c>
      <c r="E2003" s="389"/>
      <c r="F2003" s="391"/>
      <c r="G2003" s="390"/>
      <c r="H2003" s="390"/>
      <c r="I2003" s="391"/>
      <c r="J2003" s="391"/>
      <c r="K2003" s="387" t="str">
        <f ca="1">IFERROR(VLOOKUP(C2003,' Disaggregation - Section E '!A$618:J2692,3,0),"")</f>
        <v>KP-6d Number of PWID who received any PrEP product at least once during the reporting period</v>
      </c>
      <c r="L2003" s="387"/>
      <c r="M2003" s="387"/>
      <c r="N2003" s="391"/>
      <c r="O2003" s="387" t="s">
        <v>2790</v>
      </c>
      <c r="P2003" s="387"/>
    </row>
    <row r="2004" spans="1:16">
      <c r="A2004" s="387" t="b">
        <v>0</v>
      </c>
      <c r="B2004" s="387"/>
      <c r="C2004" s="387" t="s">
        <v>3990</v>
      </c>
      <c r="D2004" s="392">
        <v>20</v>
      </c>
      <c r="E2004" s="389"/>
      <c r="F2004" s="391"/>
      <c r="G2004" s="390"/>
      <c r="H2004" s="390"/>
      <c r="I2004" s="391"/>
      <c r="J2004" s="391"/>
      <c r="K2004" s="387" t="str">
        <f ca="1">IFERROR(VLOOKUP(C2004,' Disaggregation - Section E '!A$618:J2693,3,0),"")</f>
        <v>KP-6d Number of PWID who received any PrEP product at least once during the reporting period</v>
      </c>
      <c r="L2004" s="387"/>
      <c r="M2004" s="387"/>
      <c r="N2004" s="391"/>
      <c r="O2004" s="387" t="s">
        <v>2790</v>
      </c>
      <c r="P2004" s="387"/>
    </row>
    <row r="2005" spans="1:16">
      <c r="A2005" s="387" t="b">
        <v>0</v>
      </c>
      <c r="B2005" s="387"/>
      <c r="C2005" s="387" t="s">
        <v>3991</v>
      </c>
      <c r="D2005" s="392">
        <v>20</v>
      </c>
      <c r="E2005" s="389"/>
      <c r="F2005" s="391"/>
      <c r="G2005" s="390"/>
      <c r="H2005" s="390"/>
      <c r="I2005" s="391"/>
      <c r="J2005" s="391"/>
      <c r="K2005" s="387" t="str">
        <f ca="1">IFERROR(VLOOKUP(C2005,' Disaggregation - Section E '!A$618:J2694,3,0),"")</f>
        <v>KP-6d Number of PWID who received any PrEP product at least once during the reporting period</v>
      </c>
      <c r="L2005" s="387"/>
      <c r="M2005" s="387"/>
      <c r="N2005" s="391"/>
      <c r="O2005" s="387" t="s">
        <v>2790</v>
      </c>
      <c r="P2005" s="387"/>
    </row>
    <row r="2006" spans="1:16">
      <c r="A2006" s="387" t="b">
        <v>0</v>
      </c>
      <c r="B2006" s="387"/>
      <c r="C2006" s="387" t="s">
        <v>3992</v>
      </c>
      <c r="D2006" s="392">
        <v>20</v>
      </c>
      <c r="E2006" s="389"/>
      <c r="F2006" s="391"/>
      <c r="G2006" s="390"/>
      <c r="H2006" s="390"/>
      <c r="I2006" s="391"/>
      <c r="J2006" s="391"/>
      <c r="K2006" s="387" t="str">
        <f ca="1">IFERROR(VLOOKUP(C2006,' Disaggregation - Section E '!A$618:J2695,3,0),"")</f>
        <v>KP-6d Number of PWID who received any PrEP product at least once during the reporting period</v>
      </c>
      <c r="L2006" s="387"/>
      <c r="M2006" s="387"/>
      <c r="N2006" s="391"/>
      <c r="O2006" s="387" t="s">
        <v>2790</v>
      </c>
      <c r="P2006" s="387"/>
    </row>
    <row r="2007" spans="1:16">
      <c r="A2007" s="387" t="b">
        <v>0</v>
      </c>
      <c r="B2007" s="387"/>
      <c r="C2007" s="387" t="s">
        <v>3993</v>
      </c>
      <c r="D2007" s="392">
        <v>20</v>
      </c>
      <c r="E2007" s="389"/>
      <c r="F2007" s="391"/>
      <c r="G2007" s="390"/>
      <c r="H2007" s="390"/>
      <c r="I2007" s="391"/>
      <c r="J2007" s="391"/>
      <c r="K2007" s="387" t="str">
        <f ca="1">IFERROR(VLOOKUP(C2007,' Disaggregation - Section E '!A$618:J2696,3,0),"")</f>
        <v>KP-6d Number of PWID who received any PrEP product at least once during the reporting period</v>
      </c>
      <c r="L2007" s="387"/>
      <c r="M2007" s="387"/>
      <c r="N2007" s="391"/>
      <c r="O2007" s="387" t="s">
        <v>2790</v>
      </c>
      <c r="P2007" s="387"/>
    </row>
    <row r="2008" spans="1:16">
      <c r="A2008" s="387" t="b">
        <v>0</v>
      </c>
      <c r="B2008" s="387"/>
      <c r="C2008" s="387" t="s">
        <v>3994</v>
      </c>
      <c r="D2008" s="392">
        <v>20</v>
      </c>
      <c r="E2008" s="389"/>
      <c r="F2008" s="391"/>
      <c r="G2008" s="390"/>
      <c r="H2008" s="390"/>
      <c r="I2008" s="391"/>
      <c r="J2008" s="391"/>
      <c r="K2008" s="387" t="str">
        <f ca="1">IFERROR(VLOOKUP(C2008,' Disaggregation - Section E '!A$618:J2697,3,0),"")</f>
        <v>KP-6d Number of PWID who received any PrEP product at least once during the reporting period</v>
      </c>
      <c r="L2008" s="387"/>
      <c r="M2008" s="387"/>
      <c r="N2008" s="391"/>
      <c r="O2008" s="387" t="s">
        <v>2790</v>
      </c>
      <c r="P2008" s="387"/>
    </row>
    <row r="2009" spans="1:16">
      <c r="A2009" s="387" t="b">
        <v>0</v>
      </c>
      <c r="B2009" s="387"/>
      <c r="C2009" s="387" t="s">
        <v>3995</v>
      </c>
      <c r="D2009" s="392">
        <v>20</v>
      </c>
      <c r="E2009" s="389"/>
      <c r="F2009" s="391"/>
      <c r="G2009" s="390"/>
      <c r="H2009" s="390"/>
      <c r="I2009" s="391"/>
      <c r="J2009" s="391"/>
      <c r="K2009" s="387" t="str">
        <f ca="1">IFERROR(VLOOKUP(C2009,' Disaggregation - Section E '!A$618:J2698,3,0),"")</f>
        <v>KP-6d Number of PWID who received any PrEP product at least once during the reporting period</v>
      </c>
      <c r="L2009" s="387"/>
      <c r="M2009" s="387"/>
      <c r="N2009" s="391"/>
      <c r="O2009" s="387" t="s">
        <v>2790</v>
      </c>
      <c r="P2009" s="387"/>
    </row>
    <row r="2010" spans="1:16">
      <c r="A2010" s="387" t="b">
        <v>0</v>
      </c>
      <c r="B2010" s="387"/>
      <c r="C2010" s="387" t="s">
        <v>3996</v>
      </c>
      <c r="D2010" s="392">
        <v>20</v>
      </c>
      <c r="E2010" s="389"/>
      <c r="F2010" s="391"/>
      <c r="G2010" s="390"/>
      <c r="H2010" s="390"/>
      <c r="I2010" s="391"/>
      <c r="J2010" s="391"/>
      <c r="K2010" s="387" t="str">
        <f ca="1">IFERROR(VLOOKUP(C2010,' Disaggregation - Section E '!A$618:J2699,3,0),"")</f>
        <v>KP-6d Number of PWID who received any PrEP product at least once during the reporting period</v>
      </c>
      <c r="L2010" s="387"/>
      <c r="M2010" s="387"/>
      <c r="N2010" s="391"/>
      <c r="O2010" s="387" t="s">
        <v>2790</v>
      </c>
      <c r="P2010" s="387"/>
    </row>
    <row r="2011" spans="1:16">
      <c r="A2011" s="387" t="b">
        <v>0</v>
      </c>
      <c r="B2011" s="387"/>
      <c r="C2011" s="387" t="s">
        <v>3997</v>
      </c>
      <c r="D2011" s="392">
        <v>20</v>
      </c>
      <c r="E2011" s="389"/>
      <c r="F2011" s="391"/>
      <c r="G2011" s="390"/>
      <c r="H2011" s="390"/>
      <c r="I2011" s="391"/>
      <c r="J2011" s="391"/>
      <c r="K2011" s="387" t="str">
        <f ca="1">IFERROR(VLOOKUP(C2011,' Disaggregation - Section E '!A$618:J2700,3,0),"")</f>
        <v>KP-6d Number of PWID who received any PrEP product at least once during the reporting period</v>
      </c>
      <c r="L2011" s="387"/>
      <c r="M2011" s="387"/>
      <c r="N2011" s="391"/>
      <c r="O2011" s="387" t="s">
        <v>2790</v>
      </c>
      <c r="P2011" s="387"/>
    </row>
    <row r="2012" spans="1:16">
      <c r="A2012" s="387" t="b">
        <v>0</v>
      </c>
      <c r="B2012" s="387"/>
      <c r="C2012" s="387" t="s">
        <v>3998</v>
      </c>
      <c r="D2012" s="392">
        <v>21</v>
      </c>
      <c r="E2012" s="389"/>
      <c r="F2012" s="391"/>
      <c r="G2012" s="390"/>
      <c r="H2012" s="390"/>
      <c r="I2012" s="391"/>
      <c r="J2012" s="391"/>
      <c r="K2012" s="387" t="str">
        <f ca="1">IFERROR(VLOOKUP(C2012,' Disaggregation - Section E '!A$618:J2701,3,0),"")</f>
        <v>KP-1f Number of people in prisons and other closed settings reached with HIV prevention programs - defined package of services</v>
      </c>
      <c r="L2012" s="387"/>
      <c r="M2012" s="387"/>
      <c r="N2012" s="391"/>
      <c r="O2012" s="387" t="s">
        <v>2797</v>
      </c>
      <c r="P2012" s="387"/>
    </row>
    <row r="2013" spans="1:16">
      <c r="A2013" s="387" t="b">
        <v>0</v>
      </c>
      <c r="B2013" s="387"/>
      <c r="C2013" s="387" t="s">
        <v>3999</v>
      </c>
      <c r="D2013" s="392">
        <v>21</v>
      </c>
      <c r="E2013" s="389"/>
      <c r="F2013" s="391"/>
      <c r="G2013" s="390"/>
      <c r="H2013" s="390"/>
      <c r="I2013" s="391"/>
      <c r="J2013" s="391"/>
      <c r="K2013" s="387" t="str">
        <f ca="1">IFERROR(VLOOKUP(C2013,' Disaggregation - Section E '!A$618:J2702,3,0),"")</f>
        <v/>
      </c>
      <c r="L2013" s="387"/>
      <c r="M2013" s="387"/>
      <c r="N2013" s="391"/>
      <c r="O2013" s="387" t="s">
        <v>2797</v>
      </c>
      <c r="P2013" s="387"/>
    </row>
    <row r="2014" spans="1:16">
      <c r="A2014" s="387" t="b">
        <v>0</v>
      </c>
      <c r="B2014" s="387"/>
      <c r="C2014" s="387" t="s">
        <v>4000</v>
      </c>
      <c r="D2014" s="392">
        <v>21</v>
      </c>
      <c r="E2014" s="389"/>
      <c r="F2014" s="391"/>
      <c r="G2014" s="390"/>
      <c r="H2014" s="390"/>
      <c r="I2014" s="391"/>
      <c r="J2014" s="391"/>
      <c r="K2014" s="387" t="str">
        <f ca="1">IFERROR(VLOOKUP(C2014,' Disaggregation - Section E '!A$618:J2703,3,0),"")</f>
        <v>KP-1f Number of people in prisons and other closed settings reached with HIV prevention programs - defined package of services</v>
      </c>
      <c r="L2014" s="387"/>
      <c r="M2014" s="387"/>
      <c r="N2014" s="391"/>
      <c r="O2014" s="387" t="s">
        <v>2797</v>
      </c>
      <c r="P2014" s="387"/>
    </row>
    <row r="2015" spans="1:16">
      <c r="A2015" s="387" t="b">
        <v>0</v>
      </c>
      <c r="B2015" s="387"/>
      <c r="C2015" s="387" t="s">
        <v>4001</v>
      </c>
      <c r="D2015" s="392">
        <v>21</v>
      </c>
      <c r="E2015" s="389"/>
      <c r="F2015" s="391"/>
      <c r="G2015" s="390"/>
      <c r="H2015" s="390"/>
      <c r="I2015" s="391"/>
      <c r="J2015" s="391"/>
      <c r="K2015" s="387" t="str">
        <f ca="1">IFERROR(VLOOKUP(C2015,' Disaggregation - Section E '!A$618:J2704,3,0),"")</f>
        <v>KP-1f Number of people in prisons and other closed settings reached with HIV prevention programs - defined package of services</v>
      </c>
      <c r="L2015" s="387"/>
      <c r="M2015" s="387"/>
      <c r="N2015" s="391"/>
      <c r="O2015" s="387" t="s">
        <v>2797</v>
      </c>
      <c r="P2015" s="387"/>
    </row>
    <row r="2016" spans="1:16">
      <c r="A2016" s="387" t="b">
        <v>0</v>
      </c>
      <c r="B2016" s="387"/>
      <c r="C2016" s="387" t="s">
        <v>4002</v>
      </c>
      <c r="D2016" s="392">
        <v>21</v>
      </c>
      <c r="E2016" s="389"/>
      <c r="F2016" s="391"/>
      <c r="G2016" s="390"/>
      <c r="H2016" s="390"/>
      <c r="I2016" s="391"/>
      <c r="J2016" s="391"/>
      <c r="K2016" s="387" t="str">
        <f ca="1">IFERROR(VLOOKUP(C2016,' Disaggregation - Section E '!A$618:J2705,3,0),"")</f>
        <v>KP-1f Number of people in prisons and other closed settings reached with HIV prevention programs - defined package of services</v>
      </c>
      <c r="L2016" s="387"/>
      <c r="M2016" s="387"/>
      <c r="N2016" s="391"/>
      <c r="O2016" s="387" t="s">
        <v>2797</v>
      </c>
      <c r="P2016" s="387"/>
    </row>
    <row r="2017" spans="1:16">
      <c r="A2017" s="387" t="b">
        <v>0</v>
      </c>
      <c r="B2017" s="387"/>
      <c r="C2017" s="387" t="s">
        <v>4003</v>
      </c>
      <c r="D2017" s="392">
        <v>21</v>
      </c>
      <c r="E2017" s="389"/>
      <c r="F2017" s="391"/>
      <c r="G2017" s="390"/>
      <c r="H2017" s="390"/>
      <c r="I2017" s="391"/>
      <c r="J2017" s="391"/>
      <c r="K2017" s="387" t="str">
        <f ca="1">IFERROR(VLOOKUP(C2017,' Disaggregation - Section E '!A$618:J2706,3,0),"")</f>
        <v>KP-1f Number of people in prisons and other closed settings reached with HIV prevention programs - defined package of services</v>
      </c>
      <c r="L2017" s="387"/>
      <c r="M2017" s="387"/>
      <c r="N2017" s="391"/>
      <c r="O2017" s="387" t="s">
        <v>2797</v>
      </c>
      <c r="P2017" s="387"/>
    </row>
    <row r="2018" spans="1:16">
      <c r="A2018" s="387" t="b">
        <v>0</v>
      </c>
      <c r="B2018" s="387"/>
      <c r="C2018" s="387" t="s">
        <v>4004</v>
      </c>
      <c r="D2018" s="392">
        <v>21</v>
      </c>
      <c r="E2018" s="389"/>
      <c r="F2018" s="391"/>
      <c r="G2018" s="390"/>
      <c r="H2018" s="390"/>
      <c r="I2018" s="391"/>
      <c r="J2018" s="391"/>
      <c r="K2018" s="387" t="str">
        <f ca="1">IFERROR(VLOOKUP(C2018,' Disaggregation - Section E '!A$618:J2707,3,0),"")</f>
        <v>KP-1f Number of people in prisons and other closed settings reached with HIV prevention programs - defined package of services</v>
      </c>
      <c r="L2018" s="387"/>
      <c r="M2018" s="387"/>
      <c r="N2018" s="391"/>
      <c r="O2018" s="387" t="s">
        <v>2797</v>
      </c>
      <c r="P2018" s="387"/>
    </row>
    <row r="2019" spans="1:16">
      <c r="A2019" s="387" t="b">
        <v>0</v>
      </c>
      <c r="B2019" s="387"/>
      <c r="C2019" s="387" t="s">
        <v>4005</v>
      </c>
      <c r="D2019" s="392">
        <v>21</v>
      </c>
      <c r="E2019" s="389"/>
      <c r="F2019" s="391"/>
      <c r="G2019" s="390"/>
      <c r="H2019" s="390"/>
      <c r="I2019" s="391"/>
      <c r="J2019" s="391"/>
      <c r="K2019" s="387" t="str">
        <f ca="1">IFERROR(VLOOKUP(C2019,' Disaggregation - Section E '!A$618:J2708,3,0),"")</f>
        <v>KP-1f Number of people in prisons and other closed settings reached with HIV prevention programs - defined package of services</v>
      </c>
      <c r="L2019" s="387"/>
      <c r="M2019" s="387"/>
      <c r="N2019" s="391"/>
      <c r="O2019" s="387" t="s">
        <v>2797</v>
      </c>
      <c r="P2019" s="387"/>
    </row>
    <row r="2020" spans="1:16">
      <c r="A2020" s="387" t="b">
        <v>0</v>
      </c>
      <c r="B2020" s="387"/>
      <c r="C2020" s="387" t="s">
        <v>4006</v>
      </c>
      <c r="D2020" s="392">
        <v>21</v>
      </c>
      <c r="E2020" s="389"/>
      <c r="F2020" s="391"/>
      <c r="G2020" s="390"/>
      <c r="H2020" s="390"/>
      <c r="I2020" s="391"/>
      <c r="J2020" s="391"/>
      <c r="K2020" s="387" t="str">
        <f ca="1">IFERROR(VLOOKUP(C2020,' Disaggregation - Section E '!A$618:J2709,3,0),"")</f>
        <v>KP-1f Number of people in prisons and other closed settings reached with HIV prevention programs - defined package of services</v>
      </c>
      <c r="L2020" s="387"/>
      <c r="M2020" s="387"/>
      <c r="N2020" s="391"/>
      <c r="O2020" s="387" t="s">
        <v>2797</v>
      </c>
      <c r="P2020" s="387"/>
    </row>
    <row r="2021" spans="1:16">
      <c r="A2021" s="387" t="b">
        <v>0</v>
      </c>
      <c r="B2021" s="387"/>
      <c r="C2021" s="387" t="s">
        <v>4007</v>
      </c>
      <c r="D2021" s="392">
        <v>21</v>
      </c>
      <c r="E2021" s="389"/>
      <c r="F2021" s="391"/>
      <c r="G2021" s="390"/>
      <c r="H2021" s="390"/>
      <c r="I2021" s="391"/>
      <c r="J2021" s="391"/>
      <c r="K2021" s="387" t="str">
        <f ca="1">IFERROR(VLOOKUP(C2021,' Disaggregation - Section E '!A$618:J2710,3,0),"")</f>
        <v>KP-1f Number of people in prisons and other closed settings reached with HIV prevention programs - defined package of services</v>
      </c>
      <c r="L2021" s="387"/>
      <c r="M2021" s="387"/>
      <c r="N2021" s="391"/>
      <c r="O2021" s="387" t="s">
        <v>2797</v>
      </c>
      <c r="P2021" s="387"/>
    </row>
    <row r="2022" spans="1:16">
      <c r="A2022" s="387" t="b">
        <v>0</v>
      </c>
      <c r="B2022" s="387"/>
      <c r="C2022" s="387" t="s">
        <v>4008</v>
      </c>
      <c r="D2022" s="392">
        <v>21</v>
      </c>
      <c r="E2022" s="389"/>
      <c r="F2022" s="391"/>
      <c r="G2022" s="390"/>
      <c r="H2022" s="390"/>
      <c r="I2022" s="391"/>
      <c r="J2022" s="391"/>
      <c r="K2022" s="387" t="str">
        <f ca="1">IFERROR(VLOOKUP(C2022,' Disaggregation - Section E '!A$618:J2711,3,0),"")</f>
        <v>KP-1f Number of people in prisons and other closed settings reached with HIV prevention programs - defined package of services</v>
      </c>
      <c r="L2022" s="387"/>
      <c r="M2022" s="387"/>
      <c r="N2022" s="391"/>
      <c r="O2022" s="387" t="s">
        <v>2797</v>
      </c>
      <c r="P2022" s="387"/>
    </row>
    <row r="2023" spans="1:16">
      <c r="A2023" s="387" t="b">
        <v>0</v>
      </c>
      <c r="B2023" s="387"/>
      <c r="C2023" s="387" t="s">
        <v>4009</v>
      </c>
      <c r="D2023" s="392">
        <v>21</v>
      </c>
      <c r="E2023" s="389"/>
      <c r="F2023" s="391"/>
      <c r="G2023" s="390"/>
      <c r="H2023" s="390"/>
      <c r="I2023" s="391"/>
      <c r="J2023" s="391"/>
      <c r="K2023" s="387" t="str">
        <f ca="1">IFERROR(VLOOKUP(C2023,' Disaggregation - Section E '!A$618:J2712,3,0),"")</f>
        <v>KP-1f Number of people in prisons and other closed settings reached with HIV prevention programs - defined package of services</v>
      </c>
      <c r="L2023" s="387"/>
      <c r="M2023" s="387"/>
      <c r="N2023" s="391"/>
      <c r="O2023" s="387" t="s">
        <v>2797</v>
      </c>
      <c r="P2023" s="387"/>
    </row>
    <row r="2024" spans="1:16">
      <c r="A2024" s="387" t="b">
        <v>0</v>
      </c>
      <c r="B2024" s="387"/>
      <c r="C2024" s="387" t="s">
        <v>4010</v>
      </c>
      <c r="D2024" s="392">
        <v>21</v>
      </c>
      <c r="E2024" s="389"/>
      <c r="F2024" s="391"/>
      <c r="G2024" s="390"/>
      <c r="H2024" s="390"/>
      <c r="I2024" s="391"/>
      <c r="J2024" s="391"/>
      <c r="K2024" s="387" t="str">
        <f ca="1">IFERROR(VLOOKUP(C2024,' Disaggregation - Section E '!A$618:J2713,3,0),"")</f>
        <v>KP-1f Number of people in prisons and other closed settings reached with HIV prevention programs - defined package of services</v>
      </c>
      <c r="L2024" s="387"/>
      <c r="M2024" s="387"/>
      <c r="N2024" s="391"/>
      <c r="O2024" s="387" t="s">
        <v>2797</v>
      </c>
      <c r="P2024" s="387"/>
    </row>
    <row r="2025" spans="1:16">
      <c r="A2025" s="387" t="b">
        <v>0</v>
      </c>
      <c r="B2025" s="387"/>
      <c r="C2025" s="387" t="s">
        <v>4011</v>
      </c>
      <c r="D2025" s="392">
        <v>21</v>
      </c>
      <c r="E2025" s="389"/>
      <c r="F2025" s="391"/>
      <c r="G2025" s="390"/>
      <c r="H2025" s="390"/>
      <c r="I2025" s="391"/>
      <c r="J2025" s="391"/>
      <c r="K2025" s="387" t="str">
        <f ca="1">IFERROR(VLOOKUP(C2025,' Disaggregation - Section E '!A$618:J2714,3,0),"")</f>
        <v>KP-1f Number of people in prisons and other closed settings reached with HIV prevention programs - defined package of services</v>
      </c>
      <c r="L2025" s="387"/>
      <c r="M2025" s="387"/>
      <c r="N2025" s="391"/>
      <c r="O2025" s="387" t="s">
        <v>2797</v>
      </c>
      <c r="P2025" s="387"/>
    </row>
    <row r="2026" spans="1:16">
      <c r="A2026" s="387" t="b">
        <v>0</v>
      </c>
      <c r="B2026" s="387"/>
      <c r="C2026" s="387" t="s">
        <v>4012</v>
      </c>
      <c r="D2026" s="392">
        <v>21</v>
      </c>
      <c r="E2026" s="389"/>
      <c r="F2026" s="391"/>
      <c r="G2026" s="390"/>
      <c r="H2026" s="390"/>
      <c r="I2026" s="391"/>
      <c r="J2026" s="391"/>
      <c r="K2026" s="387" t="str">
        <f ca="1">IFERROR(VLOOKUP(C2026,' Disaggregation - Section E '!A$618:J2715,3,0),"")</f>
        <v>KP-1f Number of people in prisons and other closed settings reached with HIV prevention programs - defined package of services</v>
      </c>
      <c r="L2026" s="387"/>
      <c r="M2026" s="387"/>
      <c r="N2026" s="391"/>
      <c r="O2026" s="387" t="s">
        <v>2797</v>
      </c>
      <c r="P2026" s="387"/>
    </row>
    <row r="2027" spans="1:16">
      <c r="A2027" s="387" t="b">
        <v>0</v>
      </c>
      <c r="B2027" s="387"/>
      <c r="C2027" s="387" t="s">
        <v>4013</v>
      </c>
      <c r="D2027" s="392">
        <v>21</v>
      </c>
      <c r="E2027" s="389"/>
      <c r="F2027" s="391"/>
      <c r="G2027" s="390"/>
      <c r="H2027" s="390"/>
      <c r="I2027" s="391"/>
      <c r="J2027" s="391"/>
      <c r="K2027" s="387" t="str">
        <f ca="1">IFERROR(VLOOKUP(C2027,' Disaggregation - Section E '!A$618:J2716,3,0),"")</f>
        <v>KP-1f Number of people in prisons and other closed settings reached with HIV prevention programs - defined package of services</v>
      </c>
      <c r="L2027" s="387"/>
      <c r="M2027" s="387"/>
      <c r="N2027" s="391"/>
      <c r="O2027" s="387" t="s">
        <v>2797</v>
      </c>
      <c r="P2027" s="387"/>
    </row>
    <row r="2028" spans="1:16">
      <c r="A2028" s="387" t="b">
        <v>0</v>
      </c>
      <c r="B2028" s="387"/>
      <c r="C2028" s="387" t="s">
        <v>4014</v>
      </c>
      <c r="D2028" s="392">
        <v>21</v>
      </c>
      <c r="E2028" s="389"/>
      <c r="F2028" s="391"/>
      <c r="G2028" s="390"/>
      <c r="H2028" s="390"/>
      <c r="I2028" s="391"/>
      <c r="J2028" s="391"/>
      <c r="K2028" s="387" t="str">
        <f ca="1">IFERROR(VLOOKUP(C2028,' Disaggregation - Section E '!A$618:J2717,3,0),"")</f>
        <v>KP-1f Number of people in prisons and other closed settings reached with HIV prevention programs - defined package of services</v>
      </c>
      <c r="L2028" s="387"/>
      <c r="M2028" s="387"/>
      <c r="N2028" s="391"/>
      <c r="O2028" s="387" t="s">
        <v>2797</v>
      </c>
      <c r="P2028" s="387"/>
    </row>
    <row r="2029" spans="1:16">
      <c r="A2029" s="387" t="b">
        <v>0</v>
      </c>
      <c r="B2029" s="387"/>
      <c r="C2029" s="387" t="s">
        <v>4015</v>
      </c>
      <c r="D2029" s="392">
        <v>21</v>
      </c>
      <c r="E2029" s="389"/>
      <c r="F2029" s="391"/>
      <c r="G2029" s="390"/>
      <c r="H2029" s="390"/>
      <c r="I2029" s="391"/>
      <c r="J2029" s="391"/>
      <c r="K2029" s="387" t="str">
        <f ca="1">IFERROR(VLOOKUP(C2029,' Disaggregation - Section E '!A$618:J2718,3,0),"")</f>
        <v>KP-1f Number of people in prisons and other closed settings reached with HIV prevention programs - defined package of services</v>
      </c>
      <c r="L2029" s="387"/>
      <c r="M2029" s="387"/>
      <c r="N2029" s="391"/>
      <c r="O2029" s="387" t="s">
        <v>2797</v>
      </c>
      <c r="P2029" s="387"/>
    </row>
    <row r="2030" spans="1:16">
      <c r="A2030" s="387" t="b">
        <v>0</v>
      </c>
      <c r="B2030" s="387"/>
      <c r="C2030" s="387" t="s">
        <v>4016</v>
      </c>
      <c r="D2030" s="392">
        <v>21</v>
      </c>
      <c r="E2030" s="389"/>
      <c r="F2030" s="391"/>
      <c r="G2030" s="390"/>
      <c r="H2030" s="390"/>
      <c r="I2030" s="391"/>
      <c r="J2030" s="391"/>
      <c r="K2030" s="387" t="str">
        <f ca="1">IFERROR(VLOOKUP(C2030,' Disaggregation - Section E '!A$618:J2719,3,0),"")</f>
        <v>KP-1f Number of people in prisons and other closed settings reached with HIV prevention programs - defined package of services</v>
      </c>
      <c r="L2030" s="387"/>
      <c r="M2030" s="387"/>
      <c r="N2030" s="391"/>
      <c r="O2030" s="387" t="s">
        <v>2797</v>
      </c>
      <c r="P2030" s="387"/>
    </row>
    <row r="2031" spans="1:16">
      <c r="A2031" s="387" t="b">
        <v>0</v>
      </c>
      <c r="B2031" s="387"/>
      <c r="C2031" s="387" t="s">
        <v>4017</v>
      </c>
      <c r="D2031" s="392">
        <v>21</v>
      </c>
      <c r="E2031" s="389"/>
      <c r="F2031" s="391"/>
      <c r="G2031" s="390"/>
      <c r="H2031" s="390"/>
      <c r="I2031" s="391"/>
      <c r="J2031" s="391"/>
      <c r="K2031" s="387" t="str">
        <f ca="1">IFERROR(VLOOKUP(C2031,' Disaggregation - Section E '!A$618:J2720,3,0),"")</f>
        <v>KP-1f Number of people in prisons and other closed settings reached with HIV prevention programs - defined package of services</v>
      </c>
      <c r="L2031" s="387"/>
      <c r="M2031" s="387"/>
      <c r="N2031" s="391"/>
      <c r="O2031" s="387" t="s">
        <v>2797</v>
      </c>
      <c r="P2031" s="387"/>
    </row>
    <row r="2032" spans="1:16">
      <c r="A2032" s="387" t="b">
        <v>0</v>
      </c>
      <c r="B2032" s="387"/>
      <c r="C2032" s="387" t="s">
        <v>4018</v>
      </c>
      <c r="D2032" s="392">
        <v>22</v>
      </c>
      <c r="E2032" s="389"/>
      <c r="F2032" s="391" t="s">
        <v>3167</v>
      </c>
      <c r="G2032" s="390"/>
      <c r="H2032" s="390"/>
      <c r="I2032" s="391"/>
      <c r="J2032" s="391"/>
      <c r="K2032" s="387" t="str">
        <f ca="1">IFERROR(VLOOKUP(C2032,' Disaggregation - Section E '!A$618:J2721,3,0),"")</f>
        <v>HTS-3a Percentage of MSM that have received an HIV test during the reporting period in KP-specific programs and know their results</v>
      </c>
      <c r="L2032" s="387"/>
      <c r="M2032" s="387" t="s">
        <v>4019</v>
      </c>
      <c r="N2032" s="391"/>
      <c r="O2032" s="387" t="s">
        <v>2804</v>
      </c>
      <c r="P2032" s="387" t="s">
        <v>4020</v>
      </c>
    </row>
    <row r="2033" spans="1:16">
      <c r="A2033" s="387" t="b">
        <v>0</v>
      </c>
      <c r="B2033" s="387"/>
      <c r="C2033" s="387" t="s">
        <v>4021</v>
      </c>
      <c r="D2033" s="392">
        <v>22</v>
      </c>
      <c r="E2033" s="389"/>
      <c r="F2033" s="391" t="s">
        <v>3735</v>
      </c>
      <c r="G2033" s="390"/>
      <c r="H2033" s="390"/>
      <c r="I2033" s="391"/>
      <c r="J2033" s="391"/>
      <c r="K2033" s="387" t="str">
        <f ca="1">IFERROR(VLOOKUP(C2033,' Disaggregation - Section E '!A$618:J2722,3,0),"")</f>
        <v>HTS-3a Percentage of MSM that have received an HIV test during the reporting period in KP-specific programs and know their results</v>
      </c>
      <c r="L2033" s="387"/>
      <c r="M2033" s="387" t="s">
        <v>4022</v>
      </c>
      <c r="N2033" s="391"/>
      <c r="O2033" s="387" t="s">
        <v>2804</v>
      </c>
      <c r="P2033" s="387" t="s">
        <v>4023</v>
      </c>
    </row>
    <row r="2034" spans="1:16">
      <c r="A2034" s="387" t="b">
        <v>0</v>
      </c>
      <c r="B2034" s="387"/>
      <c r="C2034" s="387" t="s">
        <v>4024</v>
      </c>
      <c r="D2034" s="392">
        <v>22</v>
      </c>
      <c r="E2034" s="389"/>
      <c r="F2034" s="391" t="s">
        <v>3739</v>
      </c>
      <c r="G2034" s="390"/>
      <c r="H2034" s="390"/>
      <c r="I2034" s="391"/>
      <c r="J2034" s="391"/>
      <c r="K2034" s="387" t="str">
        <f ca="1">IFERROR(VLOOKUP(C2034,' Disaggregation - Section E '!A$618:J2723,3,0),"")</f>
        <v>HTS-3a Percentage of MSM that have received an HIV test during the reporting period in KP-specific programs and know their results</v>
      </c>
      <c r="L2034" s="387"/>
      <c r="M2034" s="387" t="s">
        <v>4025</v>
      </c>
      <c r="N2034" s="391"/>
      <c r="O2034" s="387" t="s">
        <v>2804</v>
      </c>
      <c r="P2034" s="387" t="s">
        <v>4026</v>
      </c>
    </row>
    <row r="2035" spans="1:16">
      <c r="A2035" s="387" t="b">
        <v>0</v>
      </c>
      <c r="B2035" s="387"/>
      <c r="C2035" s="387" t="s">
        <v>4027</v>
      </c>
      <c r="D2035" s="392">
        <v>22</v>
      </c>
      <c r="E2035" s="389"/>
      <c r="F2035" s="391"/>
      <c r="G2035" s="390"/>
      <c r="H2035" s="390"/>
      <c r="I2035" s="391"/>
      <c r="J2035" s="391"/>
      <c r="K2035" s="387" t="str">
        <f ca="1">IFERROR(VLOOKUP(C2035,' Disaggregation - Section E '!A$618:J2724,3,0),"")</f>
        <v>HTS-3a Percentage of MSM that have received an HIV test during the reporting period in KP-specific programs and know their results</v>
      </c>
      <c r="L2035" s="387"/>
      <c r="M2035" s="387"/>
      <c r="N2035" s="391"/>
      <c r="O2035" s="387" t="s">
        <v>2804</v>
      </c>
      <c r="P2035" s="387"/>
    </row>
    <row r="2036" spans="1:16">
      <c r="A2036" s="387" t="b">
        <v>0</v>
      </c>
      <c r="B2036" s="387"/>
      <c r="C2036" s="387" t="s">
        <v>4028</v>
      </c>
      <c r="D2036" s="392">
        <v>22</v>
      </c>
      <c r="E2036" s="389"/>
      <c r="F2036" s="391"/>
      <c r="G2036" s="390"/>
      <c r="H2036" s="390"/>
      <c r="I2036" s="391"/>
      <c r="J2036" s="391"/>
      <c r="K2036" s="387" t="str">
        <f ca="1">IFERROR(VLOOKUP(C2036,' Disaggregation - Section E '!A$618:J2725,3,0),"")</f>
        <v>HTS-3a Percentage of MSM that have received an HIV test during the reporting period in KP-specific programs and know their results</v>
      </c>
      <c r="L2036" s="387"/>
      <c r="M2036" s="387"/>
      <c r="N2036" s="391"/>
      <c r="O2036" s="387" t="s">
        <v>2804</v>
      </c>
      <c r="P2036" s="387"/>
    </row>
    <row r="2037" spans="1:16">
      <c r="A2037" s="387" t="b">
        <v>0</v>
      </c>
      <c r="B2037" s="387"/>
      <c r="C2037" s="387" t="s">
        <v>4029</v>
      </c>
      <c r="D2037" s="392">
        <v>22</v>
      </c>
      <c r="E2037" s="389"/>
      <c r="F2037" s="391"/>
      <c r="G2037" s="390"/>
      <c r="H2037" s="390"/>
      <c r="I2037" s="391"/>
      <c r="J2037" s="391"/>
      <c r="K2037" s="387" t="str">
        <f ca="1">IFERROR(VLOOKUP(C2037,' Disaggregation - Section E '!A$618:J2726,3,0),"")</f>
        <v>HTS-3a Percentage of MSM that have received an HIV test during the reporting period in KP-specific programs and know their results</v>
      </c>
      <c r="L2037" s="387"/>
      <c r="M2037" s="387"/>
      <c r="N2037" s="391"/>
      <c r="O2037" s="387" t="s">
        <v>2804</v>
      </c>
      <c r="P2037" s="387"/>
    </row>
    <row r="2038" spans="1:16">
      <c r="A2038" s="387" t="b">
        <v>0</v>
      </c>
      <c r="B2038" s="387"/>
      <c r="C2038" s="387" t="s">
        <v>4030</v>
      </c>
      <c r="D2038" s="392">
        <v>22</v>
      </c>
      <c r="E2038" s="389"/>
      <c r="F2038" s="391"/>
      <c r="G2038" s="390"/>
      <c r="H2038" s="390"/>
      <c r="I2038" s="391"/>
      <c r="J2038" s="391"/>
      <c r="K2038" s="387" t="str">
        <f ca="1">IFERROR(VLOOKUP(C2038,' Disaggregation - Section E '!A$618:J2727,3,0),"")</f>
        <v>HTS-3a Percentage of MSM that have received an HIV test during the reporting period in KP-specific programs and know their results</v>
      </c>
      <c r="L2038" s="387"/>
      <c r="M2038" s="387"/>
      <c r="N2038" s="391"/>
      <c r="O2038" s="387" t="s">
        <v>2804</v>
      </c>
      <c r="P2038" s="387"/>
    </row>
    <row r="2039" spans="1:16">
      <c r="A2039" s="387" t="b">
        <v>0</v>
      </c>
      <c r="B2039" s="387"/>
      <c r="C2039" s="387" t="s">
        <v>4031</v>
      </c>
      <c r="D2039" s="392">
        <v>22</v>
      </c>
      <c r="E2039" s="389"/>
      <c r="F2039" s="391"/>
      <c r="G2039" s="390"/>
      <c r="H2039" s="390"/>
      <c r="I2039" s="391"/>
      <c r="J2039" s="391"/>
      <c r="K2039" s="387" t="str">
        <f ca="1">IFERROR(VLOOKUP(C2039,' Disaggregation - Section E '!A$618:J2728,3,0),"")</f>
        <v>HTS-3a Percentage of MSM that have received an HIV test during the reporting period in KP-specific programs and know their results</v>
      </c>
      <c r="L2039" s="387"/>
      <c r="M2039" s="387"/>
      <c r="N2039" s="391"/>
      <c r="O2039" s="387" t="s">
        <v>2804</v>
      </c>
      <c r="P2039" s="387"/>
    </row>
    <row r="2040" spans="1:16">
      <c r="A2040" s="387" t="b">
        <v>0</v>
      </c>
      <c r="B2040" s="387"/>
      <c r="C2040" s="387" t="s">
        <v>4032</v>
      </c>
      <c r="D2040" s="392">
        <v>22</v>
      </c>
      <c r="E2040" s="389"/>
      <c r="F2040" s="391"/>
      <c r="G2040" s="390"/>
      <c r="H2040" s="390"/>
      <c r="I2040" s="391"/>
      <c r="J2040" s="391"/>
      <c r="K2040" s="387" t="str">
        <f ca="1">IFERROR(VLOOKUP(C2040,' Disaggregation - Section E '!A$618:J2729,3,0),"")</f>
        <v>HTS-3a Percentage of MSM that have received an HIV test during the reporting period in KP-specific programs and know their results</v>
      </c>
      <c r="L2040" s="387"/>
      <c r="M2040" s="387"/>
      <c r="N2040" s="391"/>
      <c r="O2040" s="387" t="s">
        <v>2804</v>
      </c>
      <c r="P2040" s="387"/>
    </row>
    <row r="2041" spans="1:16">
      <c r="A2041" s="387" t="b">
        <v>0</v>
      </c>
      <c r="B2041" s="387"/>
      <c r="C2041" s="387" t="s">
        <v>4033</v>
      </c>
      <c r="D2041" s="392">
        <v>22</v>
      </c>
      <c r="E2041" s="389"/>
      <c r="F2041" s="391"/>
      <c r="G2041" s="390"/>
      <c r="H2041" s="390"/>
      <c r="I2041" s="391"/>
      <c r="J2041" s="391"/>
      <c r="K2041" s="387" t="str">
        <f ca="1">IFERROR(VLOOKUP(C2041,' Disaggregation - Section E '!A$618:J2730,3,0),"")</f>
        <v>HTS-3a Percentage of MSM that have received an HIV test during the reporting period in KP-specific programs and know their results</v>
      </c>
      <c r="L2041" s="387"/>
      <c r="M2041" s="387"/>
      <c r="N2041" s="391"/>
      <c r="O2041" s="387" t="s">
        <v>2804</v>
      </c>
      <c r="P2041" s="387"/>
    </row>
    <row r="2042" spans="1:16">
      <c r="A2042" s="387" t="b">
        <v>0</v>
      </c>
      <c r="B2042" s="387"/>
      <c r="C2042" s="387" t="s">
        <v>4034</v>
      </c>
      <c r="D2042" s="392">
        <v>22</v>
      </c>
      <c r="E2042" s="389"/>
      <c r="F2042" s="391"/>
      <c r="G2042" s="390"/>
      <c r="H2042" s="390"/>
      <c r="I2042" s="391"/>
      <c r="J2042" s="391"/>
      <c r="K2042" s="387" t="str">
        <f ca="1">IFERROR(VLOOKUP(C2042,' Disaggregation - Section E '!A$618:J2731,3,0),"")</f>
        <v>HTS-3a Percentage of MSM that have received an HIV test during the reporting period in KP-specific programs and know their results</v>
      </c>
      <c r="L2042" s="387"/>
      <c r="M2042" s="387"/>
      <c r="N2042" s="391"/>
      <c r="O2042" s="387" t="s">
        <v>2804</v>
      </c>
      <c r="P2042" s="387"/>
    </row>
    <row r="2043" spans="1:16">
      <c r="A2043" s="387" t="b">
        <v>0</v>
      </c>
      <c r="B2043" s="387"/>
      <c r="C2043" s="387" t="s">
        <v>4035</v>
      </c>
      <c r="D2043" s="392">
        <v>22</v>
      </c>
      <c r="E2043" s="389"/>
      <c r="F2043" s="391"/>
      <c r="G2043" s="390"/>
      <c r="H2043" s="390"/>
      <c r="I2043" s="391"/>
      <c r="J2043" s="391"/>
      <c r="K2043" s="387" t="str">
        <f ca="1">IFERROR(VLOOKUP(C2043,' Disaggregation - Section E '!A$618:J2732,3,0),"")</f>
        <v>HTS-3a Percentage of MSM that have received an HIV test during the reporting period in KP-specific programs and know their results</v>
      </c>
      <c r="L2043" s="387"/>
      <c r="M2043" s="387"/>
      <c r="N2043" s="391"/>
      <c r="O2043" s="387" t="s">
        <v>2804</v>
      </c>
      <c r="P2043" s="387"/>
    </row>
    <row r="2044" spans="1:16">
      <c r="A2044" s="387" t="b">
        <v>0</v>
      </c>
      <c r="B2044" s="387"/>
      <c r="C2044" s="387" t="s">
        <v>4036</v>
      </c>
      <c r="D2044" s="392">
        <v>22</v>
      </c>
      <c r="E2044" s="389"/>
      <c r="F2044" s="391"/>
      <c r="G2044" s="390"/>
      <c r="H2044" s="390"/>
      <c r="I2044" s="391"/>
      <c r="J2044" s="391"/>
      <c r="K2044" s="387" t="str">
        <f ca="1">IFERROR(VLOOKUP(C2044,' Disaggregation - Section E '!A$618:J2733,3,0),"")</f>
        <v>HTS-3a Percentage of MSM that have received an HIV test during the reporting period in KP-specific programs and know their results</v>
      </c>
      <c r="L2044" s="387"/>
      <c r="M2044" s="387"/>
      <c r="N2044" s="391"/>
      <c r="O2044" s="387" t="s">
        <v>2804</v>
      </c>
      <c r="P2044" s="387"/>
    </row>
    <row r="2045" spans="1:16">
      <c r="A2045" s="387" t="b">
        <v>0</v>
      </c>
      <c r="B2045" s="387"/>
      <c r="C2045" s="387" t="s">
        <v>4037</v>
      </c>
      <c r="D2045" s="392">
        <v>22</v>
      </c>
      <c r="E2045" s="389"/>
      <c r="F2045" s="391"/>
      <c r="G2045" s="390"/>
      <c r="H2045" s="390"/>
      <c r="I2045" s="391"/>
      <c r="J2045" s="391"/>
      <c r="K2045" s="387" t="str">
        <f ca="1">IFERROR(VLOOKUP(C2045,' Disaggregation - Section E '!A$618:J2734,3,0),"")</f>
        <v>HTS-3a Percentage of MSM that have received an HIV test during the reporting period in KP-specific programs and know their results</v>
      </c>
      <c r="L2045" s="387"/>
      <c r="M2045" s="387"/>
      <c r="N2045" s="391"/>
      <c r="O2045" s="387" t="s">
        <v>2804</v>
      </c>
      <c r="P2045" s="387"/>
    </row>
    <row r="2046" spans="1:16">
      <c r="A2046" s="387" t="b">
        <v>0</v>
      </c>
      <c r="B2046" s="387"/>
      <c r="C2046" s="387" t="s">
        <v>4038</v>
      </c>
      <c r="D2046" s="392">
        <v>22</v>
      </c>
      <c r="E2046" s="389"/>
      <c r="F2046" s="391"/>
      <c r="G2046" s="390"/>
      <c r="H2046" s="390"/>
      <c r="I2046" s="391"/>
      <c r="J2046" s="391"/>
      <c r="K2046" s="387" t="str">
        <f ca="1">IFERROR(VLOOKUP(C2046,' Disaggregation - Section E '!A$618:J2735,3,0),"")</f>
        <v>HTS-3a Percentage of MSM that have received an HIV test during the reporting period in KP-specific programs and know their results</v>
      </c>
      <c r="L2046" s="387"/>
      <c r="M2046" s="387"/>
      <c r="N2046" s="391"/>
      <c r="O2046" s="387" t="s">
        <v>2804</v>
      </c>
      <c r="P2046" s="387"/>
    </row>
    <row r="2047" spans="1:16">
      <c r="A2047" s="387" t="b">
        <v>0</v>
      </c>
      <c r="B2047" s="387"/>
      <c r="C2047" s="387" t="s">
        <v>4039</v>
      </c>
      <c r="D2047" s="392">
        <v>22</v>
      </c>
      <c r="E2047" s="389"/>
      <c r="F2047" s="391"/>
      <c r="G2047" s="390"/>
      <c r="H2047" s="390"/>
      <c r="I2047" s="391"/>
      <c r="J2047" s="391"/>
      <c r="K2047" s="387" t="str">
        <f ca="1">IFERROR(VLOOKUP(C2047,' Disaggregation - Section E '!A$618:J2736,3,0),"")</f>
        <v>HTS-3a Percentage of MSM that have received an HIV test during the reporting period in KP-specific programs and know their results</v>
      </c>
      <c r="L2047" s="387"/>
      <c r="M2047" s="387"/>
      <c r="N2047" s="391"/>
      <c r="O2047" s="387" t="s">
        <v>2804</v>
      </c>
      <c r="P2047" s="387"/>
    </row>
    <row r="2048" spans="1:16">
      <c r="A2048" s="387" t="b">
        <v>0</v>
      </c>
      <c r="B2048" s="387"/>
      <c r="C2048" s="387" t="s">
        <v>4040</v>
      </c>
      <c r="D2048" s="392">
        <v>22</v>
      </c>
      <c r="E2048" s="389"/>
      <c r="F2048" s="391"/>
      <c r="G2048" s="390"/>
      <c r="H2048" s="390"/>
      <c r="I2048" s="391"/>
      <c r="J2048" s="391"/>
      <c r="K2048" s="387" t="str">
        <f ca="1">IFERROR(VLOOKUP(C2048,' Disaggregation - Section E '!A$618:J2737,3,0),"")</f>
        <v>HTS-3a Percentage of MSM that have received an HIV test during the reporting period in KP-specific programs and know their results</v>
      </c>
      <c r="L2048" s="387"/>
      <c r="M2048" s="387"/>
      <c r="N2048" s="391"/>
      <c r="O2048" s="387" t="s">
        <v>2804</v>
      </c>
      <c r="P2048" s="387"/>
    </row>
    <row r="2049" spans="1:16">
      <c r="A2049" s="387" t="b">
        <v>0</v>
      </c>
      <c r="B2049" s="387"/>
      <c r="C2049" s="387" t="s">
        <v>4041</v>
      </c>
      <c r="D2049" s="392">
        <v>22</v>
      </c>
      <c r="E2049" s="389"/>
      <c r="F2049" s="391"/>
      <c r="G2049" s="390"/>
      <c r="H2049" s="390"/>
      <c r="I2049" s="391"/>
      <c r="J2049" s="391"/>
      <c r="K2049" s="387" t="str">
        <f ca="1">IFERROR(VLOOKUP(C2049,' Disaggregation - Section E '!A$618:J2738,3,0),"")</f>
        <v>HTS-3a Percentage of MSM that have received an HIV test during the reporting period in KP-specific programs and know their results</v>
      </c>
      <c r="L2049" s="387"/>
      <c r="M2049" s="387"/>
      <c r="N2049" s="391"/>
      <c r="O2049" s="387" t="s">
        <v>2804</v>
      </c>
      <c r="P2049" s="387"/>
    </row>
    <row r="2050" spans="1:16">
      <c r="A2050" s="387" t="b">
        <v>0</v>
      </c>
      <c r="B2050" s="387"/>
      <c r="C2050" s="387" t="s">
        <v>4042</v>
      </c>
      <c r="D2050" s="392">
        <v>22</v>
      </c>
      <c r="E2050" s="389"/>
      <c r="F2050" s="391"/>
      <c r="G2050" s="390"/>
      <c r="H2050" s="390"/>
      <c r="I2050" s="391"/>
      <c r="J2050" s="391"/>
      <c r="K2050" s="387" t="str">
        <f ca="1">IFERROR(VLOOKUP(C2050,' Disaggregation - Section E '!A$618:J2739,3,0),"")</f>
        <v>HTS-3a Percentage of MSM that have received an HIV test during the reporting period in KP-specific programs and know their results</v>
      </c>
      <c r="L2050" s="387"/>
      <c r="M2050" s="387"/>
      <c r="N2050" s="391"/>
      <c r="O2050" s="387" t="s">
        <v>2804</v>
      </c>
      <c r="P2050" s="387"/>
    </row>
    <row r="2051" spans="1:16">
      <c r="A2051" s="387" t="b">
        <v>0</v>
      </c>
      <c r="B2051" s="387"/>
      <c r="C2051" s="387" t="s">
        <v>4043</v>
      </c>
      <c r="D2051" s="392">
        <v>22</v>
      </c>
      <c r="E2051" s="389"/>
      <c r="F2051" s="391"/>
      <c r="G2051" s="390"/>
      <c r="H2051" s="390"/>
      <c r="I2051" s="391"/>
      <c r="J2051" s="391"/>
      <c r="K2051" s="387" t="str">
        <f ca="1">IFERROR(VLOOKUP(C2051,' Disaggregation - Section E '!A$618:J2740,3,0),"")</f>
        <v>HTS-3a Percentage of MSM that have received an HIV test during the reporting period in KP-specific programs and know their results</v>
      </c>
      <c r="L2051" s="387"/>
      <c r="M2051" s="387"/>
      <c r="N2051" s="391"/>
      <c r="O2051" s="387" t="s">
        <v>2804</v>
      </c>
      <c r="P2051" s="387"/>
    </row>
    <row r="2052" spans="1:16">
      <c r="A2052" s="387" t="b">
        <v>0</v>
      </c>
      <c r="B2052" s="387"/>
      <c r="C2052" s="387" t="s">
        <v>4044</v>
      </c>
      <c r="D2052" s="392">
        <v>23</v>
      </c>
      <c r="E2052" s="389"/>
      <c r="F2052" s="391" t="s">
        <v>3167</v>
      </c>
      <c r="G2052" s="390"/>
      <c r="H2052" s="390"/>
      <c r="I2052" s="391"/>
      <c r="J2052" s="391"/>
      <c r="K2052" s="387" t="str">
        <f ca="1">IFERROR(VLOOKUP(C2052,' Disaggregation - Section E '!A$618:J2741,3,0),"")</f>
        <v>HTS-3b Percentage of TG that have received an HIV test during the reporting period in KP-specific programs and know their results</v>
      </c>
      <c r="L2052" s="387"/>
      <c r="M2052" s="387" t="s">
        <v>4045</v>
      </c>
      <c r="N2052" s="391"/>
      <c r="O2052" s="387" t="s">
        <v>2811</v>
      </c>
      <c r="P2052" s="387" t="s">
        <v>4046</v>
      </c>
    </row>
    <row r="2053" spans="1:16">
      <c r="A2053" s="387" t="b">
        <v>0</v>
      </c>
      <c r="B2053" s="387"/>
      <c r="C2053" s="387" t="s">
        <v>4047</v>
      </c>
      <c r="D2053" s="392">
        <v>23</v>
      </c>
      <c r="E2053" s="389"/>
      <c r="F2053" s="391" t="s">
        <v>3735</v>
      </c>
      <c r="G2053" s="390"/>
      <c r="H2053" s="390"/>
      <c r="I2053" s="391"/>
      <c r="J2053" s="391"/>
      <c r="K2053" s="387" t="str">
        <f ca="1">IFERROR(VLOOKUP(C2053,' Disaggregation - Section E '!A$618:J2742,3,0),"")</f>
        <v>HTS-3b Percentage of TG that have received an HIV test during the reporting period in KP-specific programs and know their results</v>
      </c>
      <c r="L2053" s="387"/>
      <c r="M2053" s="387" t="s">
        <v>4048</v>
      </c>
      <c r="N2053" s="391"/>
      <c r="O2053" s="387" t="s">
        <v>2811</v>
      </c>
      <c r="P2053" s="387" t="s">
        <v>4049</v>
      </c>
    </row>
    <row r="2054" spans="1:16">
      <c r="A2054" s="387" t="b">
        <v>0</v>
      </c>
      <c r="B2054" s="387"/>
      <c r="C2054" s="387" t="s">
        <v>4050</v>
      </c>
      <c r="D2054" s="392">
        <v>23</v>
      </c>
      <c r="E2054" s="389"/>
      <c r="F2054" s="391" t="s">
        <v>3871</v>
      </c>
      <c r="G2054" s="390"/>
      <c r="H2054" s="390"/>
      <c r="I2054" s="391"/>
      <c r="J2054" s="391"/>
      <c r="K2054" s="387" t="str">
        <f ca="1">IFERROR(VLOOKUP(C2054,' Disaggregation - Section E '!A$618:J2743,3,0),"")</f>
        <v>HTS-3b Percentage of TG that have received an HIV test during the reporting period in KP-specific programs and know their results</v>
      </c>
      <c r="L2054" s="387"/>
      <c r="M2054" s="387" t="s">
        <v>4051</v>
      </c>
      <c r="N2054" s="391"/>
      <c r="O2054" s="387" t="s">
        <v>2811</v>
      </c>
      <c r="P2054" s="387" t="s">
        <v>4052</v>
      </c>
    </row>
    <row r="2055" spans="1:16">
      <c r="A2055" s="387" t="b">
        <v>0</v>
      </c>
      <c r="B2055" s="387"/>
      <c r="C2055" s="387" t="s">
        <v>4053</v>
      </c>
      <c r="D2055" s="392">
        <v>23</v>
      </c>
      <c r="E2055" s="389"/>
      <c r="F2055" s="391" t="s">
        <v>3875</v>
      </c>
      <c r="G2055" s="390"/>
      <c r="H2055" s="390"/>
      <c r="I2055" s="391"/>
      <c r="J2055" s="391"/>
      <c r="K2055" s="387" t="str">
        <f ca="1">IFERROR(VLOOKUP(C2055,' Disaggregation - Section E '!A$618:J2744,3,0),"")</f>
        <v>HTS-3b Percentage of TG that have received an HIV test during the reporting period in KP-specific programs and know their results</v>
      </c>
      <c r="L2055" s="387"/>
      <c r="M2055" s="387" t="s">
        <v>4054</v>
      </c>
      <c r="N2055" s="391"/>
      <c r="O2055" s="387" t="s">
        <v>2811</v>
      </c>
      <c r="P2055" s="387" t="s">
        <v>4055</v>
      </c>
    </row>
    <row r="2056" spans="1:16">
      <c r="A2056" s="387" t="b">
        <v>0</v>
      </c>
      <c r="B2056" s="387"/>
      <c r="C2056" s="387" t="s">
        <v>4056</v>
      </c>
      <c r="D2056" s="392">
        <v>23</v>
      </c>
      <c r="E2056" s="389"/>
      <c r="F2056" s="391" t="s">
        <v>3739</v>
      </c>
      <c r="G2056" s="390"/>
      <c r="H2056" s="390"/>
      <c r="I2056" s="391"/>
      <c r="J2056" s="391"/>
      <c r="K2056" s="387" t="str">
        <f ca="1">IFERROR(VLOOKUP(C2056,' Disaggregation - Section E '!A$618:J2745,3,0),"")</f>
        <v>HTS-3b Percentage of TG that have received an HIV test during the reporting period in KP-specific programs and know their results</v>
      </c>
      <c r="L2056" s="387"/>
      <c r="M2056" s="387" t="s">
        <v>4057</v>
      </c>
      <c r="N2056" s="391"/>
      <c r="O2056" s="387" t="s">
        <v>2811</v>
      </c>
      <c r="P2056" s="387" t="s">
        <v>4058</v>
      </c>
    </row>
    <row r="2057" spans="1:16">
      <c r="A2057" s="387" t="b">
        <v>0</v>
      </c>
      <c r="B2057" s="387"/>
      <c r="C2057" s="387" t="s">
        <v>4059</v>
      </c>
      <c r="D2057" s="392">
        <v>23</v>
      </c>
      <c r="E2057" s="389"/>
      <c r="F2057" s="391"/>
      <c r="G2057" s="390"/>
      <c r="H2057" s="390"/>
      <c r="I2057" s="391"/>
      <c r="J2057" s="391"/>
      <c r="K2057" s="387" t="str">
        <f ca="1">IFERROR(VLOOKUP(C2057,' Disaggregation - Section E '!A$618:J2746,3,0),"")</f>
        <v>HTS-3b Percentage of TG that have received an HIV test during the reporting period in KP-specific programs and know their results</v>
      </c>
      <c r="L2057" s="387"/>
      <c r="M2057" s="387"/>
      <c r="N2057" s="391"/>
      <c r="O2057" s="387" t="s">
        <v>2811</v>
      </c>
      <c r="P2057" s="387"/>
    </row>
    <row r="2058" spans="1:16">
      <c r="A2058" s="387" t="b">
        <v>0</v>
      </c>
      <c r="B2058" s="387"/>
      <c r="C2058" s="387" t="s">
        <v>4060</v>
      </c>
      <c r="D2058" s="392">
        <v>23</v>
      </c>
      <c r="E2058" s="389"/>
      <c r="F2058" s="391"/>
      <c r="G2058" s="390"/>
      <c r="H2058" s="390"/>
      <c r="I2058" s="391"/>
      <c r="J2058" s="391"/>
      <c r="K2058" s="387" t="str">
        <f ca="1">IFERROR(VLOOKUP(C2058,' Disaggregation - Section E '!A$618:J2747,3,0),"")</f>
        <v>HTS-3b Percentage of TG that have received an HIV test during the reporting period in KP-specific programs and know their results</v>
      </c>
      <c r="L2058" s="387"/>
      <c r="M2058" s="387"/>
      <c r="N2058" s="391"/>
      <c r="O2058" s="387" t="s">
        <v>2811</v>
      </c>
      <c r="P2058" s="387"/>
    </row>
    <row r="2059" spans="1:16">
      <c r="A2059" s="387" t="b">
        <v>0</v>
      </c>
      <c r="B2059" s="387"/>
      <c r="C2059" s="387" t="s">
        <v>4061</v>
      </c>
      <c r="D2059" s="392">
        <v>23</v>
      </c>
      <c r="E2059" s="389"/>
      <c r="F2059" s="391"/>
      <c r="G2059" s="390"/>
      <c r="H2059" s="390"/>
      <c r="I2059" s="391"/>
      <c r="J2059" s="391"/>
      <c r="K2059" s="387" t="str">
        <f ca="1">IFERROR(VLOOKUP(C2059,' Disaggregation - Section E '!A$618:J2748,3,0),"")</f>
        <v>HTS-3b Percentage of TG that have received an HIV test during the reporting period in KP-specific programs and know their results</v>
      </c>
      <c r="L2059" s="387"/>
      <c r="M2059" s="387"/>
      <c r="N2059" s="391"/>
      <c r="O2059" s="387" t="s">
        <v>2811</v>
      </c>
      <c r="P2059" s="387"/>
    </row>
    <row r="2060" spans="1:16">
      <c r="A2060" s="387" t="b">
        <v>0</v>
      </c>
      <c r="B2060" s="387"/>
      <c r="C2060" s="387" t="s">
        <v>4062</v>
      </c>
      <c r="D2060" s="392">
        <v>23</v>
      </c>
      <c r="E2060" s="389"/>
      <c r="F2060" s="391"/>
      <c r="G2060" s="390"/>
      <c r="H2060" s="390"/>
      <c r="I2060" s="391"/>
      <c r="J2060" s="391"/>
      <c r="K2060" s="387" t="str">
        <f ca="1">IFERROR(VLOOKUP(C2060,' Disaggregation - Section E '!A$618:J2749,3,0),"")</f>
        <v>HTS-3b Percentage of TG that have received an HIV test during the reporting period in KP-specific programs and know their results</v>
      </c>
      <c r="L2060" s="387"/>
      <c r="M2060" s="387"/>
      <c r="N2060" s="391"/>
      <c r="O2060" s="387" t="s">
        <v>2811</v>
      </c>
      <c r="P2060" s="387"/>
    </row>
    <row r="2061" spans="1:16">
      <c r="A2061" s="387" t="b">
        <v>0</v>
      </c>
      <c r="B2061" s="387"/>
      <c r="C2061" s="387" t="s">
        <v>4063</v>
      </c>
      <c r="D2061" s="392">
        <v>23</v>
      </c>
      <c r="E2061" s="389"/>
      <c r="F2061" s="391"/>
      <c r="G2061" s="390"/>
      <c r="H2061" s="390"/>
      <c r="I2061" s="391"/>
      <c r="J2061" s="391"/>
      <c r="K2061" s="387" t="str">
        <f ca="1">IFERROR(VLOOKUP(C2061,' Disaggregation - Section E '!A$618:J2750,3,0),"")</f>
        <v>HTS-3b Percentage of TG that have received an HIV test during the reporting period in KP-specific programs and know their results</v>
      </c>
      <c r="L2061" s="387"/>
      <c r="M2061" s="387"/>
      <c r="N2061" s="391"/>
      <c r="O2061" s="387" t="s">
        <v>2811</v>
      </c>
      <c r="P2061" s="387"/>
    </row>
    <row r="2062" spans="1:16">
      <c r="A2062" s="387" t="b">
        <v>0</v>
      </c>
      <c r="B2062" s="387"/>
      <c r="C2062" s="387" t="s">
        <v>4064</v>
      </c>
      <c r="D2062" s="392">
        <v>23</v>
      </c>
      <c r="E2062" s="389"/>
      <c r="F2062" s="391"/>
      <c r="G2062" s="390"/>
      <c r="H2062" s="390"/>
      <c r="I2062" s="391"/>
      <c r="J2062" s="391"/>
      <c r="K2062" s="387" t="str">
        <f ca="1">IFERROR(VLOOKUP(C2062,' Disaggregation - Section E '!A$618:J2751,3,0),"")</f>
        <v>HTS-3b Percentage of TG that have received an HIV test during the reporting period in KP-specific programs and know their results</v>
      </c>
      <c r="L2062" s="387"/>
      <c r="M2062" s="387"/>
      <c r="N2062" s="391"/>
      <c r="O2062" s="387" t="s">
        <v>2811</v>
      </c>
      <c r="P2062" s="387"/>
    </row>
    <row r="2063" spans="1:16">
      <c r="A2063" s="387" t="b">
        <v>0</v>
      </c>
      <c r="B2063" s="387"/>
      <c r="C2063" s="387" t="s">
        <v>4065</v>
      </c>
      <c r="D2063" s="392">
        <v>23</v>
      </c>
      <c r="E2063" s="389"/>
      <c r="F2063" s="391"/>
      <c r="G2063" s="390"/>
      <c r="H2063" s="390"/>
      <c r="I2063" s="391"/>
      <c r="J2063" s="391"/>
      <c r="K2063" s="387" t="str">
        <f ca="1">IFERROR(VLOOKUP(C2063,' Disaggregation - Section E '!A$618:J2752,3,0),"")</f>
        <v>HTS-3b Percentage of TG that have received an HIV test during the reporting period in KP-specific programs and know their results</v>
      </c>
      <c r="L2063" s="387"/>
      <c r="M2063" s="387"/>
      <c r="N2063" s="391"/>
      <c r="O2063" s="387" t="s">
        <v>2811</v>
      </c>
      <c r="P2063" s="387"/>
    </row>
    <row r="2064" spans="1:16">
      <c r="A2064" s="387" t="b">
        <v>0</v>
      </c>
      <c r="B2064" s="387"/>
      <c r="C2064" s="387" t="s">
        <v>4066</v>
      </c>
      <c r="D2064" s="392">
        <v>23</v>
      </c>
      <c r="E2064" s="389"/>
      <c r="F2064" s="391"/>
      <c r="G2064" s="390"/>
      <c r="H2064" s="390"/>
      <c r="I2064" s="391"/>
      <c r="J2064" s="391"/>
      <c r="K2064" s="387" t="str">
        <f ca="1">IFERROR(VLOOKUP(C2064,' Disaggregation - Section E '!A$618:J2753,3,0),"")</f>
        <v>HTS-3b Percentage of TG that have received an HIV test during the reporting period in KP-specific programs and know their results</v>
      </c>
      <c r="L2064" s="387"/>
      <c r="M2064" s="387"/>
      <c r="N2064" s="391"/>
      <c r="O2064" s="387" t="s">
        <v>2811</v>
      </c>
      <c r="P2064" s="387"/>
    </row>
    <row r="2065" spans="1:16">
      <c r="A2065" s="387" t="b">
        <v>0</v>
      </c>
      <c r="B2065" s="387"/>
      <c r="C2065" s="387" t="s">
        <v>4067</v>
      </c>
      <c r="D2065" s="392">
        <v>23</v>
      </c>
      <c r="E2065" s="389"/>
      <c r="F2065" s="391"/>
      <c r="G2065" s="390"/>
      <c r="H2065" s="390"/>
      <c r="I2065" s="391"/>
      <c r="J2065" s="391"/>
      <c r="K2065" s="387" t="str">
        <f ca="1">IFERROR(VLOOKUP(C2065,' Disaggregation - Section E '!A$618:J2754,3,0),"")</f>
        <v>HTS-3b Percentage of TG that have received an HIV test during the reporting period in KP-specific programs and know their results</v>
      </c>
      <c r="L2065" s="387"/>
      <c r="M2065" s="387"/>
      <c r="N2065" s="391"/>
      <c r="O2065" s="387" t="s">
        <v>2811</v>
      </c>
      <c r="P2065" s="387"/>
    </row>
    <row r="2066" spans="1:16">
      <c r="A2066" s="387" t="b">
        <v>0</v>
      </c>
      <c r="B2066" s="387"/>
      <c r="C2066" s="387" t="s">
        <v>4068</v>
      </c>
      <c r="D2066" s="392">
        <v>23</v>
      </c>
      <c r="E2066" s="389"/>
      <c r="F2066" s="391"/>
      <c r="G2066" s="390"/>
      <c r="H2066" s="390"/>
      <c r="I2066" s="391"/>
      <c r="J2066" s="391"/>
      <c r="K2066" s="387" t="str">
        <f ca="1">IFERROR(VLOOKUP(C2066,' Disaggregation - Section E '!A$618:J2755,3,0),"")</f>
        <v>HTS-3b Percentage of TG that have received an HIV test during the reporting period in KP-specific programs and know their results</v>
      </c>
      <c r="L2066" s="387"/>
      <c r="M2066" s="387"/>
      <c r="N2066" s="391"/>
      <c r="O2066" s="387" t="s">
        <v>2811</v>
      </c>
      <c r="P2066" s="387"/>
    </row>
    <row r="2067" spans="1:16">
      <c r="A2067" s="387" t="b">
        <v>0</v>
      </c>
      <c r="B2067" s="387"/>
      <c r="C2067" s="387" t="s">
        <v>4069</v>
      </c>
      <c r="D2067" s="392">
        <v>23</v>
      </c>
      <c r="E2067" s="389"/>
      <c r="F2067" s="391"/>
      <c r="G2067" s="390"/>
      <c r="H2067" s="390"/>
      <c r="I2067" s="391"/>
      <c r="J2067" s="391"/>
      <c r="K2067" s="387" t="str">
        <f ca="1">IFERROR(VLOOKUP(C2067,' Disaggregation - Section E '!A$618:J2756,3,0),"")</f>
        <v>HTS-3b Percentage of TG that have received an HIV test during the reporting period in KP-specific programs and know their results</v>
      </c>
      <c r="L2067" s="387"/>
      <c r="M2067" s="387"/>
      <c r="N2067" s="391"/>
      <c r="O2067" s="387" t="s">
        <v>2811</v>
      </c>
      <c r="P2067" s="387"/>
    </row>
    <row r="2068" spans="1:16">
      <c r="A2068" s="387" t="b">
        <v>0</v>
      </c>
      <c r="B2068" s="387"/>
      <c r="C2068" s="387" t="s">
        <v>4070</v>
      </c>
      <c r="D2068" s="392">
        <v>23</v>
      </c>
      <c r="E2068" s="389"/>
      <c r="F2068" s="391"/>
      <c r="G2068" s="390"/>
      <c r="H2068" s="390"/>
      <c r="I2068" s="391"/>
      <c r="J2068" s="391"/>
      <c r="K2068" s="387" t="str">
        <f ca="1">IFERROR(VLOOKUP(C2068,' Disaggregation - Section E '!A$618:J2757,3,0),"")</f>
        <v>HTS-3b Percentage of TG that have received an HIV test during the reporting period in KP-specific programs and know their results</v>
      </c>
      <c r="L2068" s="387"/>
      <c r="M2068" s="387"/>
      <c r="N2068" s="391"/>
      <c r="O2068" s="387" t="s">
        <v>2811</v>
      </c>
      <c r="P2068" s="387"/>
    </row>
    <row r="2069" spans="1:16">
      <c r="A2069" s="387" t="b">
        <v>0</v>
      </c>
      <c r="B2069" s="387"/>
      <c r="C2069" s="387" t="s">
        <v>4071</v>
      </c>
      <c r="D2069" s="392">
        <v>23</v>
      </c>
      <c r="E2069" s="389"/>
      <c r="F2069" s="391"/>
      <c r="G2069" s="390"/>
      <c r="H2069" s="390"/>
      <c r="I2069" s="391"/>
      <c r="J2069" s="391"/>
      <c r="K2069" s="387" t="str">
        <f ca="1">IFERROR(VLOOKUP(C2069,' Disaggregation - Section E '!A$618:J2758,3,0),"")</f>
        <v>HTS-3b Percentage of TG that have received an HIV test during the reporting period in KP-specific programs and know their results</v>
      </c>
      <c r="L2069" s="387"/>
      <c r="M2069" s="387"/>
      <c r="N2069" s="391"/>
      <c r="O2069" s="387" t="s">
        <v>2811</v>
      </c>
      <c r="P2069" s="387"/>
    </row>
    <row r="2070" spans="1:16">
      <c r="A2070" s="387" t="b">
        <v>0</v>
      </c>
      <c r="B2070" s="387"/>
      <c r="C2070" s="387" t="s">
        <v>4072</v>
      </c>
      <c r="D2070" s="392">
        <v>23</v>
      </c>
      <c r="E2070" s="389"/>
      <c r="F2070" s="391"/>
      <c r="G2070" s="390"/>
      <c r="H2070" s="390"/>
      <c r="I2070" s="391"/>
      <c r="J2070" s="391"/>
      <c r="K2070" s="387" t="str">
        <f ca="1">IFERROR(VLOOKUP(C2070,' Disaggregation - Section E '!A$618:J2759,3,0),"")</f>
        <v>HTS-3b Percentage of TG that have received an HIV test during the reporting period in KP-specific programs and know their results</v>
      </c>
      <c r="L2070" s="387"/>
      <c r="M2070" s="387"/>
      <c r="N2070" s="391"/>
      <c r="O2070" s="387" t="s">
        <v>2811</v>
      </c>
      <c r="P2070" s="387"/>
    </row>
    <row r="2071" spans="1:16">
      <c r="A2071" s="387" t="b">
        <v>0</v>
      </c>
      <c r="B2071" s="387"/>
      <c r="C2071" s="387" t="s">
        <v>4073</v>
      </c>
      <c r="D2071" s="392">
        <v>23</v>
      </c>
      <c r="E2071" s="389"/>
      <c r="F2071" s="391"/>
      <c r="G2071" s="390"/>
      <c r="H2071" s="390"/>
      <c r="I2071" s="391"/>
      <c r="J2071" s="391"/>
      <c r="K2071" s="387" t="str">
        <f ca="1">IFERROR(VLOOKUP(C2071,' Disaggregation - Section E '!A$618:J2760,3,0),"")</f>
        <v>HTS-3b Percentage of TG that have received an HIV test during the reporting period in KP-specific programs and know their results</v>
      </c>
      <c r="L2071" s="387"/>
      <c r="M2071" s="387"/>
      <c r="N2071" s="391"/>
      <c r="O2071" s="387" t="s">
        <v>2811</v>
      </c>
      <c r="P2071" s="387"/>
    </row>
    <row r="2072" spans="1:16">
      <c r="A2072" s="387" t="b">
        <v>0</v>
      </c>
      <c r="B2072" s="387"/>
      <c r="C2072" s="387" t="s">
        <v>4074</v>
      </c>
      <c r="D2072" s="392">
        <v>24</v>
      </c>
      <c r="E2072" s="389"/>
      <c r="F2072" s="391" t="s">
        <v>3167</v>
      </c>
      <c r="G2072" s="390"/>
      <c r="H2072" s="390"/>
      <c r="I2072" s="391"/>
      <c r="J2072" s="391"/>
      <c r="K2072" s="387" t="str">
        <f ca="1">IFERROR(VLOOKUP(C2072,' Disaggregation - Section E '!A$618:J2761,3,0),"")</f>
        <v>HTS-3c Percentage of sex workers that have received an HIV test during the reporting period in KP-specific programs and know their results</v>
      </c>
      <c r="L2072" s="387"/>
      <c r="M2072" s="387" t="s">
        <v>4075</v>
      </c>
      <c r="N2072" s="391"/>
      <c r="O2072" s="387" t="s">
        <v>2818</v>
      </c>
      <c r="P2072" s="387" t="s">
        <v>4076</v>
      </c>
    </row>
    <row r="2073" spans="1:16">
      <c r="A2073" s="387" t="b">
        <v>0</v>
      </c>
      <c r="B2073" s="387"/>
      <c r="C2073" s="387" t="s">
        <v>4077</v>
      </c>
      <c r="D2073" s="392">
        <v>24</v>
      </c>
      <c r="E2073" s="389"/>
      <c r="F2073" s="391" t="s">
        <v>3735</v>
      </c>
      <c r="G2073" s="390"/>
      <c r="H2073" s="390"/>
      <c r="I2073" s="391"/>
      <c r="J2073" s="391"/>
      <c r="K2073" s="387" t="str">
        <f ca="1">IFERROR(VLOOKUP(C2073,' Disaggregation - Section E '!A$618:J2762,3,0),"")</f>
        <v>HTS-3c Percentage of sex workers that have received an HIV test during the reporting period in KP-specific programs and know their results</v>
      </c>
      <c r="L2073" s="387"/>
      <c r="M2073" s="387" t="s">
        <v>4078</v>
      </c>
      <c r="N2073" s="391"/>
      <c r="O2073" s="387" t="s">
        <v>2818</v>
      </c>
      <c r="P2073" s="387" t="s">
        <v>4079</v>
      </c>
    </row>
    <row r="2074" spans="1:16">
      <c r="A2074" s="387" t="b">
        <v>0</v>
      </c>
      <c r="B2074" s="387"/>
      <c r="C2074" s="387" t="s">
        <v>4080</v>
      </c>
      <c r="D2074" s="392">
        <v>24</v>
      </c>
      <c r="E2074" s="389"/>
      <c r="F2074" s="391" t="s">
        <v>3739</v>
      </c>
      <c r="G2074" s="390"/>
      <c r="H2074" s="390"/>
      <c r="I2074" s="391"/>
      <c r="J2074" s="391"/>
      <c r="K2074" s="387" t="str">
        <f ca="1">IFERROR(VLOOKUP(C2074,' Disaggregation - Section E '!A$618:J2763,3,0),"")</f>
        <v>HTS-3c Percentage of sex workers that have received an HIV test during the reporting period in KP-specific programs and know their results</v>
      </c>
      <c r="L2074" s="387"/>
      <c r="M2074" s="387" t="s">
        <v>4081</v>
      </c>
      <c r="N2074" s="391"/>
      <c r="O2074" s="387" t="s">
        <v>2818</v>
      </c>
      <c r="P2074" s="387" t="s">
        <v>4082</v>
      </c>
    </row>
    <row r="2075" spans="1:16">
      <c r="A2075" s="387" t="b">
        <v>0</v>
      </c>
      <c r="B2075" s="387"/>
      <c r="C2075" s="387" t="s">
        <v>4083</v>
      </c>
      <c r="D2075" s="392">
        <v>24</v>
      </c>
      <c r="E2075" s="389"/>
      <c r="F2075" s="391" t="s">
        <v>3189</v>
      </c>
      <c r="G2075" s="390"/>
      <c r="H2075" s="390"/>
      <c r="I2075" s="391"/>
      <c r="J2075" s="391"/>
      <c r="K2075" s="387" t="str">
        <f ca="1">IFERROR(VLOOKUP(C2075,' Disaggregation - Section E '!A$618:J2764,3,0),"")</f>
        <v>HTS-3c Percentage of sex workers that have received an HIV test during the reporting period in KP-specific programs and know their results</v>
      </c>
      <c r="L2075" s="387"/>
      <c r="M2075" s="387" t="s">
        <v>4084</v>
      </c>
      <c r="N2075" s="391"/>
      <c r="O2075" s="387" t="s">
        <v>2818</v>
      </c>
      <c r="P2075" s="387" t="s">
        <v>4085</v>
      </c>
    </row>
    <row r="2076" spans="1:16">
      <c r="A2076" s="387" t="b">
        <v>0</v>
      </c>
      <c r="B2076" s="387"/>
      <c r="C2076" s="387" t="s">
        <v>4086</v>
      </c>
      <c r="D2076" s="392">
        <v>24</v>
      </c>
      <c r="E2076" s="389"/>
      <c r="F2076" s="391" t="s">
        <v>3193</v>
      </c>
      <c r="G2076" s="390"/>
      <c r="H2076" s="390"/>
      <c r="I2076" s="391"/>
      <c r="J2076" s="391"/>
      <c r="K2076" s="387" t="str">
        <f ca="1">IFERROR(VLOOKUP(C2076,' Disaggregation - Section E '!A$618:J2765,3,0),"")</f>
        <v>HTS-3c Percentage of sex workers that have received an HIV test during the reporting period in KP-specific programs and know their results</v>
      </c>
      <c r="L2076" s="387"/>
      <c r="M2076" s="387" t="s">
        <v>4087</v>
      </c>
      <c r="N2076" s="391"/>
      <c r="O2076" s="387" t="s">
        <v>2818</v>
      </c>
      <c r="P2076" s="387" t="s">
        <v>4088</v>
      </c>
    </row>
    <row r="2077" spans="1:16">
      <c r="A2077" s="387" t="b">
        <v>0</v>
      </c>
      <c r="B2077" s="387"/>
      <c r="C2077" s="387" t="s">
        <v>4089</v>
      </c>
      <c r="D2077" s="392">
        <v>24</v>
      </c>
      <c r="E2077" s="389"/>
      <c r="F2077" s="391" t="s">
        <v>3197</v>
      </c>
      <c r="G2077" s="390"/>
      <c r="H2077" s="390"/>
      <c r="I2077" s="391"/>
      <c r="J2077" s="391"/>
      <c r="K2077" s="387" t="str">
        <f ca="1">IFERROR(VLOOKUP(C2077,' Disaggregation - Section E '!A$618:J2766,3,0),"")</f>
        <v>HTS-3c Percentage of sex workers that have received an HIV test during the reporting period in KP-specific programs and know their results</v>
      </c>
      <c r="L2077" s="387"/>
      <c r="M2077" s="387" t="s">
        <v>4090</v>
      </c>
      <c r="N2077" s="391"/>
      <c r="O2077" s="387" t="s">
        <v>2818</v>
      </c>
      <c r="P2077" s="387" t="s">
        <v>4091</v>
      </c>
    </row>
    <row r="2078" spans="1:16">
      <c r="A2078" s="387" t="b">
        <v>0</v>
      </c>
      <c r="B2078" s="387"/>
      <c r="C2078" s="387" t="s">
        <v>4092</v>
      </c>
      <c r="D2078" s="392">
        <v>24</v>
      </c>
      <c r="E2078" s="389"/>
      <c r="F2078" s="391"/>
      <c r="G2078" s="390"/>
      <c r="H2078" s="390"/>
      <c r="I2078" s="391"/>
      <c r="J2078" s="391"/>
      <c r="K2078" s="387" t="str">
        <f ca="1">IFERROR(VLOOKUP(C2078,' Disaggregation - Section E '!A$618:J2767,3,0),"")</f>
        <v>HTS-3c Percentage of sex workers that have received an HIV test during the reporting period in KP-specific programs and know their results</v>
      </c>
      <c r="L2078" s="387"/>
      <c r="M2078" s="387"/>
      <c r="N2078" s="391"/>
      <c r="O2078" s="387" t="s">
        <v>2818</v>
      </c>
      <c r="P2078" s="387"/>
    </row>
    <row r="2079" spans="1:16">
      <c r="A2079" s="387" t="b">
        <v>0</v>
      </c>
      <c r="B2079" s="387"/>
      <c r="C2079" s="387" t="s">
        <v>4093</v>
      </c>
      <c r="D2079" s="392">
        <v>24</v>
      </c>
      <c r="E2079" s="389"/>
      <c r="F2079" s="391"/>
      <c r="G2079" s="390"/>
      <c r="H2079" s="390"/>
      <c r="I2079" s="391"/>
      <c r="J2079" s="391"/>
      <c r="K2079" s="387" t="str">
        <f ca="1">IFERROR(VLOOKUP(C2079,' Disaggregation - Section E '!A$618:J2768,3,0),"")</f>
        <v>HTS-3c Percentage of sex workers that have received an HIV test during the reporting period in KP-specific programs and know their results</v>
      </c>
      <c r="L2079" s="387"/>
      <c r="M2079" s="387"/>
      <c r="N2079" s="391"/>
      <c r="O2079" s="387" t="s">
        <v>2818</v>
      </c>
      <c r="P2079" s="387"/>
    </row>
    <row r="2080" spans="1:16">
      <c r="A2080" s="387" t="b">
        <v>0</v>
      </c>
      <c r="B2080" s="387"/>
      <c r="C2080" s="387" t="s">
        <v>4094</v>
      </c>
      <c r="D2080" s="392">
        <v>24</v>
      </c>
      <c r="E2080" s="389"/>
      <c r="F2080" s="391"/>
      <c r="G2080" s="390"/>
      <c r="H2080" s="390"/>
      <c r="I2080" s="391"/>
      <c r="J2080" s="391"/>
      <c r="K2080" s="387" t="str">
        <f ca="1">IFERROR(VLOOKUP(C2080,' Disaggregation - Section E '!A$618:J2769,3,0),"")</f>
        <v>HTS-3c Percentage of sex workers that have received an HIV test during the reporting period in KP-specific programs and know their results</v>
      </c>
      <c r="L2080" s="387"/>
      <c r="M2080" s="387"/>
      <c r="N2080" s="391"/>
      <c r="O2080" s="387" t="s">
        <v>2818</v>
      </c>
      <c r="P2080" s="387"/>
    </row>
    <row r="2081" spans="1:16">
      <c r="A2081" s="387" t="b">
        <v>0</v>
      </c>
      <c r="B2081" s="387"/>
      <c r="C2081" s="387" t="s">
        <v>4095</v>
      </c>
      <c r="D2081" s="392">
        <v>24</v>
      </c>
      <c r="E2081" s="389"/>
      <c r="F2081" s="391"/>
      <c r="G2081" s="390"/>
      <c r="H2081" s="390"/>
      <c r="I2081" s="391"/>
      <c r="J2081" s="391"/>
      <c r="K2081" s="387" t="str">
        <f ca="1">IFERROR(VLOOKUP(C2081,' Disaggregation - Section E '!A$618:J2770,3,0),"")</f>
        <v>HTS-3c Percentage of sex workers that have received an HIV test during the reporting period in KP-specific programs and know their results</v>
      </c>
      <c r="L2081" s="387"/>
      <c r="M2081" s="387"/>
      <c r="N2081" s="391"/>
      <c r="O2081" s="387" t="s">
        <v>2818</v>
      </c>
      <c r="P2081" s="387"/>
    </row>
    <row r="2082" spans="1:16">
      <c r="A2082" s="387" t="b">
        <v>0</v>
      </c>
      <c r="B2082" s="387"/>
      <c r="C2082" s="387" t="s">
        <v>4096</v>
      </c>
      <c r="D2082" s="392">
        <v>24</v>
      </c>
      <c r="E2082" s="389"/>
      <c r="F2082" s="391"/>
      <c r="G2082" s="390"/>
      <c r="H2082" s="390"/>
      <c r="I2082" s="391"/>
      <c r="J2082" s="391"/>
      <c r="K2082" s="387" t="str">
        <f ca="1">IFERROR(VLOOKUP(C2082,' Disaggregation - Section E '!A$618:J2771,3,0),"")</f>
        <v>HTS-3c Percentage of sex workers that have received an HIV test during the reporting period in KP-specific programs and know their results</v>
      </c>
      <c r="L2082" s="387"/>
      <c r="M2082" s="387"/>
      <c r="N2082" s="391"/>
      <c r="O2082" s="387" t="s">
        <v>2818</v>
      </c>
      <c r="P2082" s="387"/>
    </row>
    <row r="2083" spans="1:16">
      <c r="A2083" s="387" t="b">
        <v>0</v>
      </c>
      <c r="B2083" s="387"/>
      <c r="C2083" s="387" t="s">
        <v>4097</v>
      </c>
      <c r="D2083" s="392">
        <v>24</v>
      </c>
      <c r="E2083" s="389"/>
      <c r="F2083" s="391"/>
      <c r="G2083" s="390"/>
      <c r="H2083" s="390"/>
      <c r="I2083" s="391"/>
      <c r="J2083" s="391"/>
      <c r="K2083" s="387" t="str">
        <f ca="1">IFERROR(VLOOKUP(C2083,' Disaggregation - Section E '!A$618:J2772,3,0),"")</f>
        <v>HTS-3c Percentage of sex workers that have received an HIV test during the reporting period in KP-specific programs and know their results</v>
      </c>
      <c r="L2083" s="387"/>
      <c r="M2083" s="387"/>
      <c r="N2083" s="391"/>
      <c r="O2083" s="387" t="s">
        <v>2818</v>
      </c>
      <c r="P2083" s="387"/>
    </row>
    <row r="2084" spans="1:16">
      <c r="A2084" s="387" t="b">
        <v>0</v>
      </c>
      <c r="B2084" s="387"/>
      <c r="C2084" s="387" t="s">
        <v>4098</v>
      </c>
      <c r="D2084" s="392">
        <v>24</v>
      </c>
      <c r="E2084" s="389"/>
      <c r="F2084" s="391"/>
      <c r="G2084" s="390"/>
      <c r="H2084" s="390"/>
      <c r="I2084" s="391"/>
      <c r="J2084" s="391"/>
      <c r="K2084" s="387" t="str">
        <f ca="1">IFERROR(VLOOKUP(C2084,' Disaggregation - Section E '!A$618:J2773,3,0),"")</f>
        <v>HTS-3c Percentage of sex workers that have received an HIV test during the reporting period in KP-specific programs and know their results</v>
      </c>
      <c r="L2084" s="387"/>
      <c r="M2084" s="387"/>
      <c r="N2084" s="391"/>
      <c r="O2084" s="387" t="s">
        <v>2818</v>
      </c>
      <c r="P2084" s="387"/>
    </row>
    <row r="2085" spans="1:16">
      <c r="A2085" s="387" t="b">
        <v>0</v>
      </c>
      <c r="B2085" s="387"/>
      <c r="C2085" s="387" t="s">
        <v>4099</v>
      </c>
      <c r="D2085" s="392">
        <v>24</v>
      </c>
      <c r="E2085" s="389"/>
      <c r="F2085" s="391"/>
      <c r="G2085" s="390"/>
      <c r="H2085" s="390"/>
      <c r="I2085" s="391"/>
      <c r="J2085" s="391"/>
      <c r="K2085" s="387" t="str">
        <f ca="1">IFERROR(VLOOKUP(C2085,' Disaggregation - Section E '!A$618:J2774,3,0),"")</f>
        <v>HTS-3c Percentage of sex workers that have received an HIV test during the reporting period in KP-specific programs and know their results</v>
      </c>
      <c r="L2085" s="387"/>
      <c r="M2085" s="387"/>
      <c r="N2085" s="391"/>
      <c r="O2085" s="387" t="s">
        <v>2818</v>
      </c>
      <c r="P2085" s="387"/>
    </row>
    <row r="2086" spans="1:16">
      <c r="A2086" s="387" t="b">
        <v>0</v>
      </c>
      <c r="B2086" s="387"/>
      <c r="C2086" s="387" t="s">
        <v>4100</v>
      </c>
      <c r="D2086" s="392">
        <v>24</v>
      </c>
      <c r="E2086" s="389"/>
      <c r="F2086" s="391"/>
      <c r="G2086" s="390"/>
      <c r="H2086" s="390"/>
      <c r="I2086" s="391"/>
      <c r="J2086" s="391"/>
      <c r="K2086" s="387" t="str">
        <f ca="1">IFERROR(VLOOKUP(C2086,' Disaggregation - Section E '!A$618:J2775,3,0),"")</f>
        <v>HTS-3c Percentage of sex workers that have received an HIV test during the reporting period in KP-specific programs and know their results</v>
      </c>
      <c r="L2086" s="387"/>
      <c r="M2086" s="387"/>
      <c r="N2086" s="391"/>
      <c r="O2086" s="387" t="s">
        <v>2818</v>
      </c>
      <c r="P2086" s="387"/>
    </row>
    <row r="2087" spans="1:16">
      <c r="A2087" s="387" t="b">
        <v>0</v>
      </c>
      <c r="B2087" s="387"/>
      <c r="C2087" s="387" t="s">
        <v>4101</v>
      </c>
      <c r="D2087" s="392">
        <v>24</v>
      </c>
      <c r="E2087" s="389"/>
      <c r="F2087" s="391"/>
      <c r="G2087" s="390"/>
      <c r="H2087" s="390"/>
      <c r="I2087" s="391"/>
      <c r="J2087" s="391"/>
      <c r="K2087" s="387" t="str">
        <f ca="1">IFERROR(VLOOKUP(C2087,' Disaggregation - Section E '!A$618:J2776,3,0),"")</f>
        <v>HTS-3c Percentage of sex workers that have received an HIV test during the reporting period in KP-specific programs and know their results</v>
      </c>
      <c r="L2087" s="387"/>
      <c r="M2087" s="387"/>
      <c r="N2087" s="391"/>
      <c r="O2087" s="387" t="s">
        <v>2818</v>
      </c>
      <c r="P2087" s="387"/>
    </row>
    <row r="2088" spans="1:16">
      <c r="A2088" s="387" t="b">
        <v>0</v>
      </c>
      <c r="B2088" s="387"/>
      <c r="C2088" s="387" t="s">
        <v>4102</v>
      </c>
      <c r="D2088" s="392">
        <v>24</v>
      </c>
      <c r="E2088" s="389"/>
      <c r="F2088" s="391"/>
      <c r="G2088" s="390"/>
      <c r="H2088" s="390"/>
      <c r="I2088" s="391"/>
      <c r="J2088" s="391"/>
      <c r="K2088" s="387" t="str">
        <f ca="1">IFERROR(VLOOKUP(C2088,' Disaggregation - Section E '!A$618:J2777,3,0),"")</f>
        <v>HTS-3c Percentage of sex workers that have received an HIV test during the reporting period in KP-specific programs and know their results</v>
      </c>
      <c r="L2088" s="387"/>
      <c r="M2088" s="387"/>
      <c r="N2088" s="391"/>
      <c r="O2088" s="387" t="s">
        <v>2818</v>
      </c>
      <c r="P2088" s="387"/>
    </row>
    <row r="2089" spans="1:16">
      <c r="A2089" s="387" t="b">
        <v>0</v>
      </c>
      <c r="B2089" s="387"/>
      <c r="C2089" s="387" t="s">
        <v>4103</v>
      </c>
      <c r="D2089" s="392">
        <v>24</v>
      </c>
      <c r="E2089" s="389"/>
      <c r="F2089" s="391"/>
      <c r="G2089" s="390"/>
      <c r="H2089" s="390"/>
      <c r="I2089" s="391"/>
      <c r="J2089" s="391"/>
      <c r="K2089" s="387" t="str">
        <f ca="1">IFERROR(VLOOKUP(C2089,' Disaggregation - Section E '!A$618:J2778,3,0),"")</f>
        <v>HTS-3c Percentage of sex workers that have received an HIV test during the reporting period in KP-specific programs and know their results</v>
      </c>
      <c r="L2089" s="387"/>
      <c r="M2089" s="387"/>
      <c r="N2089" s="391"/>
      <c r="O2089" s="387" t="s">
        <v>2818</v>
      </c>
      <c r="P2089" s="387"/>
    </row>
    <row r="2090" spans="1:16">
      <c r="A2090" s="387" t="b">
        <v>0</v>
      </c>
      <c r="B2090" s="387"/>
      <c r="C2090" s="387" t="s">
        <v>4104</v>
      </c>
      <c r="D2090" s="392">
        <v>24</v>
      </c>
      <c r="E2090" s="389"/>
      <c r="F2090" s="391"/>
      <c r="G2090" s="390"/>
      <c r="H2090" s="390"/>
      <c r="I2090" s="391"/>
      <c r="J2090" s="391"/>
      <c r="K2090" s="387" t="str">
        <f ca="1">IFERROR(VLOOKUP(C2090,' Disaggregation - Section E '!A$618:J2779,3,0),"")</f>
        <v>HTS-3c Percentage of sex workers that have received an HIV test during the reporting period in KP-specific programs and know their results</v>
      </c>
      <c r="L2090" s="387"/>
      <c r="M2090" s="387"/>
      <c r="N2090" s="391"/>
      <c r="O2090" s="387" t="s">
        <v>2818</v>
      </c>
      <c r="P2090" s="387"/>
    </row>
    <row r="2091" spans="1:16">
      <c r="A2091" s="387" t="b">
        <v>0</v>
      </c>
      <c r="B2091" s="387"/>
      <c r="C2091" s="387" t="s">
        <v>4105</v>
      </c>
      <c r="D2091" s="392">
        <v>24</v>
      </c>
      <c r="E2091" s="389"/>
      <c r="F2091" s="391"/>
      <c r="G2091" s="390"/>
      <c r="H2091" s="390"/>
      <c r="I2091" s="391"/>
      <c r="J2091" s="391"/>
      <c r="K2091" s="387" t="str">
        <f ca="1">IFERROR(VLOOKUP(C2091,' Disaggregation - Section E '!A$618:J2780,3,0),"")</f>
        <v>HTS-3c Percentage of sex workers that have received an HIV test during the reporting period in KP-specific programs and know their results</v>
      </c>
      <c r="L2091" s="387"/>
      <c r="M2091" s="387"/>
      <c r="N2091" s="391"/>
      <c r="O2091" s="387" t="s">
        <v>2818</v>
      </c>
      <c r="P2091" s="387"/>
    </row>
    <row r="2092" spans="1:16">
      <c r="A2092" s="387" t="b">
        <v>0</v>
      </c>
      <c r="B2092" s="387"/>
      <c r="C2092" s="387" t="s">
        <v>4106</v>
      </c>
      <c r="D2092" s="392">
        <v>25</v>
      </c>
      <c r="E2092" s="389"/>
      <c r="F2092" s="391" t="s">
        <v>3167</v>
      </c>
      <c r="G2092" s="390"/>
      <c r="H2092" s="390"/>
      <c r="I2092" s="391"/>
      <c r="J2092" s="391"/>
      <c r="K2092" s="387" t="str">
        <f ca="1">IFERROR(VLOOKUP(C2092,' Disaggregation - Section E '!A$618:J2781,3,0),"")</f>
        <v>HTS-3d Percentage of people who inject drugs that have received an HIV test during the reporting period in KP-specific programs and know their results</v>
      </c>
      <c r="L2092" s="387"/>
      <c r="M2092" s="387" t="s">
        <v>4107</v>
      </c>
      <c r="N2092" s="391"/>
      <c r="O2092" s="387" t="s">
        <v>2825</v>
      </c>
      <c r="P2092" s="387" t="s">
        <v>4108</v>
      </c>
    </row>
    <row r="2093" spans="1:16">
      <c r="A2093" s="387" t="b">
        <v>0</v>
      </c>
      <c r="B2093" s="387"/>
      <c r="C2093" s="387" t="s">
        <v>4109</v>
      </c>
      <c r="D2093" s="392">
        <v>25</v>
      </c>
      <c r="E2093" s="389"/>
      <c r="F2093" s="391" t="s">
        <v>3735</v>
      </c>
      <c r="G2093" s="390"/>
      <c r="H2093" s="390"/>
      <c r="I2093" s="391"/>
      <c r="J2093" s="391"/>
      <c r="K2093" s="387" t="str">
        <f ca="1">IFERROR(VLOOKUP(C2093,' Disaggregation - Section E '!A$618:J2782,3,0),"")</f>
        <v>HTS-3d Percentage of people who inject drugs that have received an HIV test during the reporting period in KP-specific programs and know their results</v>
      </c>
      <c r="L2093" s="387"/>
      <c r="M2093" s="387" t="s">
        <v>4110</v>
      </c>
      <c r="N2093" s="391"/>
      <c r="O2093" s="387" t="s">
        <v>2825</v>
      </c>
      <c r="P2093" s="387" t="s">
        <v>4111</v>
      </c>
    </row>
    <row r="2094" spans="1:16">
      <c r="A2094" s="387" t="b">
        <v>0</v>
      </c>
      <c r="B2094" s="387"/>
      <c r="C2094" s="387" t="s">
        <v>4112</v>
      </c>
      <c r="D2094" s="392">
        <v>25</v>
      </c>
      <c r="E2094" s="389"/>
      <c r="F2094" s="391" t="s">
        <v>3739</v>
      </c>
      <c r="G2094" s="390"/>
      <c r="H2094" s="390"/>
      <c r="I2094" s="391"/>
      <c r="J2094" s="391"/>
      <c r="K2094" s="387" t="str">
        <f ca="1">IFERROR(VLOOKUP(C2094,' Disaggregation - Section E '!A$618:J2783,3,0),"")</f>
        <v>HTS-3d Percentage of people who inject drugs that have received an HIV test during the reporting period in KP-specific programs and know their results</v>
      </c>
      <c r="L2094" s="387"/>
      <c r="M2094" s="387" t="s">
        <v>4113</v>
      </c>
      <c r="N2094" s="391"/>
      <c r="O2094" s="387" t="s">
        <v>2825</v>
      </c>
      <c r="P2094" s="387" t="s">
        <v>4114</v>
      </c>
    </row>
    <row r="2095" spans="1:16">
      <c r="A2095" s="387" t="b">
        <v>0</v>
      </c>
      <c r="B2095" s="387"/>
      <c r="C2095" s="387" t="s">
        <v>4115</v>
      </c>
      <c r="D2095" s="392">
        <v>25</v>
      </c>
      <c r="E2095" s="389"/>
      <c r="F2095" s="391" t="s">
        <v>3193</v>
      </c>
      <c r="G2095" s="390"/>
      <c r="H2095" s="390"/>
      <c r="I2095" s="391"/>
      <c r="J2095" s="391"/>
      <c r="K2095" s="387" t="str">
        <f ca="1">IFERROR(VLOOKUP(C2095,' Disaggregation - Section E '!A$618:J2784,3,0),"")</f>
        <v>HTS-3d Percentage of people who inject drugs that have received an HIV test during the reporting period in KP-specific programs and know their results</v>
      </c>
      <c r="L2095" s="387"/>
      <c r="M2095" s="387" t="s">
        <v>4116</v>
      </c>
      <c r="N2095" s="391"/>
      <c r="O2095" s="387" t="s">
        <v>2825</v>
      </c>
      <c r="P2095" s="387" t="s">
        <v>4117</v>
      </c>
    </row>
    <row r="2096" spans="1:16">
      <c r="A2096" s="387" t="b">
        <v>0</v>
      </c>
      <c r="B2096" s="387"/>
      <c r="C2096" s="387" t="s">
        <v>4118</v>
      </c>
      <c r="D2096" s="392">
        <v>25</v>
      </c>
      <c r="E2096" s="389"/>
      <c r="F2096" s="391" t="s">
        <v>3197</v>
      </c>
      <c r="G2096" s="390"/>
      <c r="H2096" s="390"/>
      <c r="I2096" s="391"/>
      <c r="J2096" s="391"/>
      <c r="K2096" s="387" t="str">
        <f ca="1">IFERROR(VLOOKUP(C2096,' Disaggregation - Section E '!A$618:J2785,3,0),"")</f>
        <v>HTS-3d Percentage of people who inject drugs that have received an HIV test during the reporting period in KP-specific programs and know their results</v>
      </c>
      <c r="L2096" s="387"/>
      <c r="M2096" s="387" t="s">
        <v>4119</v>
      </c>
      <c r="N2096" s="391"/>
      <c r="O2096" s="387" t="s">
        <v>2825</v>
      </c>
      <c r="P2096" s="387" t="s">
        <v>4120</v>
      </c>
    </row>
    <row r="2097" spans="1:16">
      <c r="A2097" s="387" t="b">
        <v>0</v>
      </c>
      <c r="B2097" s="387"/>
      <c r="C2097" s="387" t="s">
        <v>4121</v>
      </c>
      <c r="D2097" s="392">
        <v>25</v>
      </c>
      <c r="E2097" s="389"/>
      <c r="F2097" s="391"/>
      <c r="G2097" s="390"/>
      <c r="H2097" s="390"/>
      <c r="I2097" s="391"/>
      <c r="J2097" s="391"/>
      <c r="K2097" s="387" t="str">
        <f ca="1">IFERROR(VLOOKUP(C2097,' Disaggregation - Section E '!A$618:J2786,3,0),"")</f>
        <v>HTS-3d Percentage of people who inject drugs that have received an HIV test during the reporting period in KP-specific programs and know their results</v>
      </c>
      <c r="L2097" s="387"/>
      <c r="M2097" s="387"/>
      <c r="N2097" s="391"/>
      <c r="O2097" s="387" t="s">
        <v>2825</v>
      </c>
      <c r="P2097" s="387"/>
    </row>
    <row r="2098" spans="1:16">
      <c r="A2098" s="387" t="b">
        <v>0</v>
      </c>
      <c r="B2098" s="387"/>
      <c r="C2098" s="387" t="s">
        <v>4122</v>
      </c>
      <c r="D2098" s="392">
        <v>25</v>
      </c>
      <c r="E2098" s="389"/>
      <c r="F2098" s="391"/>
      <c r="G2098" s="390"/>
      <c r="H2098" s="390"/>
      <c r="I2098" s="391"/>
      <c r="J2098" s="391"/>
      <c r="K2098" s="387" t="str">
        <f ca="1">IFERROR(VLOOKUP(C2098,' Disaggregation - Section E '!A$618:J2787,3,0),"")</f>
        <v>HTS-3d Percentage of people who inject drugs that have received an HIV test during the reporting period in KP-specific programs and know their results</v>
      </c>
      <c r="L2098" s="387"/>
      <c r="M2098" s="387"/>
      <c r="N2098" s="391"/>
      <c r="O2098" s="387" t="s">
        <v>2825</v>
      </c>
      <c r="P2098" s="387"/>
    </row>
    <row r="2099" spans="1:16">
      <c r="A2099" s="387" t="b">
        <v>0</v>
      </c>
      <c r="B2099" s="387"/>
      <c r="C2099" s="387" t="s">
        <v>4123</v>
      </c>
      <c r="D2099" s="392">
        <v>25</v>
      </c>
      <c r="E2099" s="389"/>
      <c r="F2099" s="391"/>
      <c r="G2099" s="390"/>
      <c r="H2099" s="390"/>
      <c r="I2099" s="391"/>
      <c r="J2099" s="391"/>
      <c r="K2099" s="387" t="str">
        <f ca="1">IFERROR(VLOOKUP(C2099,' Disaggregation - Section E '!A$618:J2788,3,0),"")</f>
        <v>HTS-3d Percentage of people who inject drugs that have received an HIV test during the reporting period in KP-specific programs and know their results</v>
      </c>
      <c r="L2099" s="387"/>
      <c r="M2099" s="387"/>
      <c r="N2099" s="391"/>
      <c r="O2099" s="387" t="s">
        <v>2825</v>
      </c>
      <c r="P2099" s="387"/>
    </row>
    <row r="2100" spans="1:16">
      <c r="A2100" s="387" t="b">
        <v>0</v>
      </c>
      <c r="B2100" s="387"/>
      <c r="C2100" s="387" t="s">
        <v>4124</v>
      </c>
      <c r="D2100" s="392">
        <v>25</v>
      </c>
      <c r="E2100" s="389"/>
      <c r="F2100" s="391"/>
      <c r="G2100" s="390"/>
      <c r="H2100" s="390"/>
      <c r="I2100" s="391"/>
      <c r="J2100" s="391"/>
      <c r="K2100" s="387" t="str">
        <f ca="1">IFERROR(VLOOKUP(C2100,' Disaggregation - Section E '!A$618:J2789,3,0),"")</f>
        <v>HTS-3d Percentage of people who inject drugs that have received an HIV test during the reporting period in KP-specific programs and know their results</v>
      </c>
      <c r="L2100" s="387"/>
      <c r="M2100" s="387"/>
      <c r="N2100" s="391"/>
      <c r="O2100" s="387" t="s">
        <v>2825</v>
      </c>
      <c r="P2100" s="387"/>
    </row>
    <row r="2101" spans="1:16">
      <c r="A2101" s="387" t="b">
        <v>0</v>
      </c>
      <c r="B2101" s="387"/>
      <c r="C2101" s="387" t="s">
        <v>4125</v>
      </c>
      <c r="D2101" s="392">
        <v>25</v>
      </c>
      <c r="E2101" s="389"/>
      <c r="F2101" s="391"/>
      <c r="G2101" s="390"/>
      <c r="H2101" s="390"/>
      <c r="I2101" s="391"/>
      <c r="J2101" s="391"/>
      <c r="K2101" s="387" t="str">
        <f ca="1">IFERROR(VLOOKUP(C2101,' Disaggregation - Section E '!A$618:J2790,3,0),"")</f>
        <v>HTS-3d Percentage of people who inject drugs that have received an HIV test during the reporting period in KP-specific programs and know their results</v>
      </c>
      <c r="L2101" s="387"/>
      <c r="M2101" s="387"/>
      <c r="N2101" s="391"/>
      <c r="O2101" s="387" t="s">
        <v>2825</v>
      </c>
      <c r="P2101" s="387"/>
    </row>
    <row r="2102" spans="1:16">
      <c r="A2102" s="387" t="b">
        <v>0</v>
      </c>
      <c r="B2102" s="387"/>
      <c r="C2102" s="387" t="s">
        <v>4126</v>
      </c>
      <c r="D2102" s="392">
        <v>25</v>
      </c>
      <c r="E2102" s="389"/>
      <c r="F2102" s="391"/>
      <c r="G2102" s="390"/>
      <c r="H2102" s="390"/>
      <c r="I2102" s="391"/>
      <c r="J2102" s="391"/>
      <c r="K2102" s="387" t="str">
        <f ca="1">IFERROR(VLOOKUP(C2102,' Disaggregation - Section E '!A$618:J2791,3,0),"")</f>
        <v>HTS-3d Percentage of people who inject drugs that have received an HIV test during the reporting period in KP-specific programs and know their results</v>
      </c>
      <c r="L2102" s="387"/>
      <c r="M2102" s="387"/>
      <c r="N2102" s="391"/>
      <c r="O2102" s="387" t="s">
        <v>2825</v>
      </c>
      <c r="P2102" s="387"/>
    </row>
    <row r="2103" spans="1:16">
      <c r="A2103" s="387" t="b">
        <v>0</v>
      </c>
      <c r="B2103" s="387"/>
      <c r="C2103" s="387" t="s">
        <v>4127</v>
      </c>
      <c r="D2103" s="392">
        <v>25</v>
      </c>
      <c r="E2103" s="389"/>
      <c r="F2103" s="391"/>
      <c r="G2103" s="390"/>
      <c r="H2103" s="390"/>
      <c r="I2103" s="391"/>
      <c r="J2103" s="391"/>
      <c r="K2103" s="387" t="str">
        <f ca="1">IFERROR(VLOOKUP(C2103,' Disaggregation - Section E '!A$618:J2792,3,0),"")</f>
        <v>HTS-3d Percentage of people who inject drugs that have received an HIV test during the reporting period in KP-specific programs and know their results</v>
      </c>
      <c r="L2103" s="387"/>
      <c r="M2103" s="387"/>
      <c r="N2103" s="391"/>
      <c r="O2103" s="387" t="s">
        <v>2825</v>
      </c>
      <c r="P2103" s="387"/>
    </row>
    <row r="2104" spans="1:16">
      <c r="A2104" s="387" t="b">
        <v>0</v>
      </c>
      <c r="B2104" s="387"/>
      <c r="C2104" s="387" t="s">
        <v>4128</v>
      </c>
      <c r="D2104" s="392">
        <v>25</v>
      </c>
      <c r="E2104" s="389"/>
      <c r="F2104" s="391"/>
      <c r="G2104" s="390"/>
      <c r="H2104" s="390"/>
      <c r="I2104" s="391"/>
      <c r="J2104" s="391"/>
      <c r="K2104" s="387" t="str">
        <f ca="1">IFERROR(VLOOKUP(C2104,' Disaggregation - Section E '!A$618:J2793,3,0),"")</f>
        <v>HTS-3d Percentage of people who inject drugs that have received an HIV test during the reporting period in KP-specific programs and know their results</v>
      </c>
      <c r="L2104" s="387"/>
      <c r="M2104" s="387"/>
      <c r="N2104" s="391"/>
      <c r="O2104" s="387" t="s">
        <v>2825</v>
      </c>
      <c r="P2104" s="387"/>
    </row>
    <row r="2105" spans="1:16">
      <c r="A2105" s="387" t="b">
        <v>0</v>
      </c>
      <c r="B2105" s="387"/>
      <c r="C2105" s="387" t="s">
        <v>4129</v>
      </c>
      <c r="D2105" s="392">
        <v>25</v>
      </c>
      <c r="E2105" s="389"/>
      <c r="F2105" s="391"/>
      <c r="G2105" s="390"/>
      <c r="H2105" s="390"/>
      <c r="I2105" s="391"/>
      <c r="J2105" s="391"/>
      <c r="K2105" s="387" t="str">
        <f ca="1">IFERROR(VLOOKUP(C2105,' Disaggregation - Section E '!A$618:J2794,3,0),"")</f>
        <v>HTS-3d Percentage of people who inject drugs that have received an HIV test during the reporting period in KP-specific programs and know their results</v>
      </c>
      <c r="L2105" s="387"/>
      <c r="M2105" s="387"/>
      <c r="N2105" s="391"/>
      <c r="O2105" s="387" t="s">
        <v>2825</v>
      </c>
      <c r="P2105" s="387"/>
    </row>
    <row r="2106" spans="1:16">
      <c r="A2106" s="387" t="b">
        <v>0</v>
      </c>
      <c r="B2106" s="387"/>
      <c r="C2106" s="387" t="s">
        <v>4130</v>
      </c>
      <c r="D2106" s="392">
        <v>25</v>
      </c>
      <c r="E2106" s="389"/>
      <c r="F2106" s="391"/>
      <c r="G2106" s="390"/>
      <c r="H2106" s="390"/>
      <c r="I2106" s="391"/>
      <c r="J2106" s="391"/>
      <c r="K2106" s="387" t="str">
        <f ca="1">IFERROR(VLOOKUP(C2106,' Disaggregation - Section E '!A$618:J2795,3,0),"")</f>
        <v>HTS-3d Percentage of people who inject drugs that have received an HIV test during the reporting period in KP-specific programs and know their results</v>
      </c>
      <c r="L2106" s="387"/>
      <c r="M2106" s="387"/>
      <c r="N2106" s="391"/>
      <c r="O2106" s="387" t="s">
        <v>2825</v>
      </c>
      <c r="P2106" s="387"/>
    </row>
    <row r="2107" spans="1:16">
      <c r="A2107" s="387" t="b">
        <v>0</v>
      </c>
      <c r="B2107" s="387"/>
      <c r="C2107" s="387" t="s">
        <v>4131</v>
      </c>
      <c r="D2107" s="392">
        <v>25</v>
      </c>
      <c r="E2107" s="389"/>
      <c r="F2107" s="391"/>
      <c r="G2107" s="390"/>
      <c r="H2107" s="390"/>
      <c r="I2107" s="391"/>
      <c r="J2107" s="391"/>
      <c r="K2107" s="387" t="str">
        <f ca="1">IFERROR(VLOOKUP(C2107,' Disaggregation - Section E '!A$618:J2796,3,0),"")</f>
        <v>HTS-3d Percentage of people who inject drugs that have received an HIV test during the reporting period in KP-specific programs and know their results</v>
      </c>
      <c r="L2107" s="387"/>
      <c r="M2107" s="387"/>
      <c r="N2107" s="391"/>
      <c r="O2107" s="387" t="s">
        <v>2825</v>
      </c>
      <c r="P2107" s="387"/>
    </row>
    <row r="2108" spans="1:16">
      <c r="A2108" s="387" t="b">
        <v>0</v>
      </c>
      <c r="B2108" s="387"/>
      <c r="C2108" s="387" t="s">
        <v>4132</v>
      </c>
      <c r="D2108" s="392">
        <v>25</v>
      </c>
      <c r="E2108" s="389"/>
      <c r="F2108" s="391"/>
      <c r="G2108" s="390"/>
      <c r="H2108" s="390"/>
      <c r="I2108" s="391"/>
      <c r="J2108" s="391"/>
      <c r="K2108" s="387" t="str">
        <f ca="1">IFERROR(VLOOKUP(C2108,' Disaggregation - Section E '!A$618:J2797,3,0),"")</f>
        <v>HTS-3d Percentage of people who inject drugs that have received an HIV test during the reporting period in KP-specific programs and know their results</v>
      </c>
      <c r="L2108" s="387"/>
      <c r="M2108" s="387"/>
      <c r="N2108" s="391"/>
      <c r="O2108" s="387" t="s">
        <v>2825</v>
      </c>
      <c r="P2108" s="387"/>
    </row>
    <row r="2109" spans="1:16">
      <c r="A2109" s="387" t="b">
        <v>0</v>
      </c>
      <c r="B2109" s="387"/>
      <c r="C2109" s="387" t="s">
        <v>4133</v>
      </c>
      <c r="D2109" s="392">
        <v>25</v>
      </c>
      <c r="E2109" s="389"/>
      <c r="F2109" s="391"/>
      <c r="G2109" s="390"/>
      <c r="H2109" s="390"/>
      <c r="I2109" s="391"/>
      <c r="J2109" s="391"/>
      <c r="K2109" s="387" t="str">
        <f ca="1">IFERROR(VLOOKUP(C2109,' Disaggregation - Section E '!A$618:J2798,3,0),"")</f>
        <v>HTS-3d Percentage of people who inject drugs that have received an HIV test during the reporting period in KP-specific programs and know their results</v>
      </c>
      <c r="L2109" s="387"/>
      <c r="M2109" s="387"/>
      <c r="N2109" s="391"/>
      <c r="O2109" s="387" t="s">
        <v>2825</v>
      </c>
      <c r="P2109" s="387"/>
    </row>
    <row r="2110" spans="1:16">
      <c r="A2110" s="387" t="b">
        <v>0</v>
      </c>
      <c r="B2110" s="387"/>
      <c r="C2110" s="387" t="s">
        <v>4134</v>
      </c>
      <c r="D2110" s="392">
        <v>25</v>
      </c>
      <c r="E2110" s="389"/>
      <c r="F2110" s="391"/>
      <c r="G2110" s="390"/>
      <c r="H2110" s="390"/>
      <c r="I2110" s="391"/>
      <c r="J2110" s="391"/>
      <c r="K2110" s="387" t="str">
        <f ca="1">IFERROR(VLOOKUP(C2110,' Disaggregation - Section E '!A$618:J2799,3,0),"")</f>
        <v>HTS-3d Percentage of people who inject drugs that have received an HIV test during the reporting period in KP-specific programs and know their results</v>
      </c>
      <c r="L2110" s="387"/>
      <c r="M2110" s="387"/>
      <c r="N2110" s="391"/>
      <c r="O2110" s="387" t="s">
        <v>2825</v>
      </c>
      <c r="P2110" s="387"/>
    </row>
    <row r="2111" spans="1:16">
      <c r="A2111" s="387" t="b">
        <v>0</v>
      </c>
      <c r="B2111" s="387"/>
      <c r="C2111" s="387" t="s">
        <v>4135</v>
      </c>
      <c r="D2111" s="392">
        <v>25</v>
      </c>
      <c r="E2111" s="389"/>
      <c r="F2111" s="391"/>
      <c r="G2111" s="390"/>
      <c r="H2111" s="390"/>
      <c r="I2111" s="391"/>
      <c r="J2111" s="391"/>
      <c r="K2111" s="387" t="str">
        <f ca="1">IFERROR(VLOOKUP(C2111,' Disaggregation - Section E '!A$618:J2800,3,0),"")</f>
        <v>HTS-3d Percentage of people who inject drugs that have received an HIV test during the reporting period in KP-specific programs and know their results</v>
      </c>
      <c r="L2111" s="387"/>
      <c r="M2111" s="387"/>
      <c r="N2111" s="391"/>
      <c r="O2111" s="387" t="s">
        <v>2825</v>
      </c>
      <c r="P2111" s="387"/>
    </row>
    <row r="2112" spans="1:16">
      <c r="A2112" s="387" t="b">
        <v>0</v>
      </c>
      <c r="B2112" s="387"/>
      <c r="C2112" s="387" t="s">
        <v>4136</v>
      </c>
      <c r="D2112" s="392">
        <v>26</v>
      </c>
      <c r="E2112" s="389"/>
      <c r="F2112" s="391" t="s">
        <v>3193</v>
      </c>
      <c r="G2112" s="390"/>
      <c r="H2112" s="390"/>
      <c r="I2112" s="391"/>
      <c r="J2112" s="391"/>
      <c r="K2112" s="387" t="str">
        <f ca="1">IFERROR(VLOOKUP(C2112,' Disaggregation - Section E '!A$618:J2801,3,0),"")</f>
        <v>HTS-3f Number of people in prisons and other closed settings that have received an HIV test during the reporting period and know their results</v>
      </c>
      <c r="L2112" s="387"/>
      <c r="M2112" s="387" t="s">
        <v>4137</v>
      </c>
      <c r="N2112" s="391"/>
      <c r="O2112" s="387" t="s">
        <v>2832</v>
      </c>
      <c r="P2112" s="387" t="s">
        <v>4138</v>
      </c>
    </row>
    <row r="2113" spans="1:16">
      <c r="A2113" s="387" t="b">
        <v>0</v>
      </c>
      <c r="B2113" s="387"/>
      <c r="C2113" s="387" t="s">
        <v>4139</v>
      </c>
      <c r="D2113" s="392">
        <v>26</v>
      </c>
      <c r="E2113" s="389"/>
      <c r="F2113" s="391" t="s">
        <v>3197</v>
      </c>
      <c r="G2113" s="390"/>
      <c r="H2113" s="390"/>
      <c r="I2113" s="391"/>
      <c r="J2113" s="391"/>
      <c r="K2113" s="387" t="str">
        <f ca="1">IFERROR(VLOOKUP(C2113,' Disaggregation - Section E '!A$618:J2802,3,0),"")</f>
        <v>HTS-3f Number of people in prisons and other closed settings that have received an HIV test during the reporting period and know their results</v>
      </c>
      <c r="L2113" s="387"/>
      <c r="M2113" s="387" t="s">
        <v>4140</v>
      </c>
      <c r="N2113" s="391"/>
      <c r="O2113" s="387" t="s">
        <v>2832</v>
      </c>
      <c r="P2113" s="387" t="s">
        <v>4141</v>
      </c>
    </row>
    <row r="2114" spans="1:16">
      <c r="A2114" s="387" t="b">
        <v>0</v>
      </c>
      <c r="B2114" s="387"/>
      <c r="C2114" s="387" t="s">
        <v>4142</v>
      </c>
      <c r="D2114" s="392">
        <v>26</v>
      </c>
      <c r="E2114" s="389"/>
      <c r="F2114" s="391"/>
      <c r="G2114" s="390"/>
      <c r="H2114" s="390"/>
      <c r="I2114" s="391"/>
      <c r="J2114" s="391"/>
      <c r="K2114" s="387" t="str">
        <f ca="1">IFERROR(VLOOKUP(C2114,' Disaggregation - Section E '!A$618:J2803,3,0),"")</f>
        <v>HTS-3f Number of people in prisons and other closed settings that have received an HIV test during the reporting period and know their results</v>
      </c>
      <c r="L2114" s="387"/>
      <c r="M2114" s="387"/>
      <c r="N2114" s="391"/>
      <c r="O2114" s="387" t="s">
        <v>2832</v>
      </c>
      <c r="P2114" s="387"/>
    </row>
    <row r="2115" spans="1:16">
      <c r="A2115" s="387" t="b">
        <v>0</v>
      </c>
      <c r="B2115" s="387"/>
      <c r="C2115" s="387" t="s">
        <v>4143</v>
      </c>
      <c r="D2115" s="392">
        <v>26</v>
      </c>
      <c r="E2115" s="389"/>
      <c r="F2115" s="391"/>
      <c r="G2115" s="390"/>
      <c r="H2115" s="390"/>
      <c r="I2115" s="391"/>
      <c r="J2115" s="391"/>
      <c r="K2115" s="387" t="str">
        <f ca="1">IFERROR(VLOOKUP(C2115,' Disaggregation - Section E '!A$618:J2804,3,0),"")</f>
        <v>HTS-3f Number of people in prisons and other closed settings that have received an HIV test during the reporting period and know their results</v>
      </c>
      <c r="L2115" s="387"/>
      <c r="M2115" s="387"/>
      <c r="N2115" s="391"/>
      <c r="O2115" s="387" t="s">
        <v>2832</v>
      </c>
      <c r="P2115" s="387"/>
    </row>
    <row r="2116" spans="1:16">
      <c r="A2116" s="387" t="b">
        <v>0</v>
      </c>
      <c r="B2116" s="387"/>
      <c r="C2116" s="387" t="s">
        <v>4144</v>
      </c>
      <c r="D2116" s="392">
        <v>26</v>
      </c>
      <c r="E2116" s="389"/>
      <c r="F2116" s="391"/>
      <c r="G2116" s="390"/>
      <c r="H2116" s="390"/>
      <c r="I2116" s="391"/>
      <c r="J2116" s="391"/>
      <c r="K2116" s="387" t="str">
        <f ca="1">IFERROR(VLOOKUP(C2116,' Disaggregation - Section E '!A$618:J2805,3,0),"")</f>
        <v>HTS-3f Number of people in prisons and other closed settings that have received an HIV test during the reporting period and know their results</v>
      </c>
      <c r="L2116" s="387"/>
      <c r="M2116" s="387"/>
      <c r="N2116" s="391"/>
      <c r="O2116" s="387" t="s">
        <v>2832</v>
      </c>
      <c r="P2116" s="387"/>
    </row>
    <row r="2117" spans="1:16">
      <c r="A2117" s="387" t="b">
        <v>0</v>
      </c>
      <c r="B2117" s="387"/>
      <c r="C2117" s="387" t="s">
        <v>4145</v>
      </c>
      <c r="D2117" s="392">
        <v>26</v>
      </c>
      <c r="E2117" s="389"/>
      <c r="F2117" s="391"/>
      <c r="G2117" s="390"/>
      <c r="H2117" s="390"/>
      <c r="I2117" s="391"/>
      <c r="J2117" s="391"/>
      <c r="K2117" s="387" t="str">
        <f ca="1">IFERROR(VLOOKUP(C2117,' Disaggregation - Section E '!A$618:J2806,3,0),"")</f>
        <v>HTS-3f Number of people in prisons and other closed settings that have received an HIV test during the reporting period and know their results</v>
      </c>
      <c r="L2117" s="387"/>
      <c r="M2117" s="387"/>
      <c r="N2117" s="391"/>
      <c r="O2117" s="387" t="s">
        <v>2832</v>
      </c>
      <c r="P2117" s="387"/>
    </row>
    <row r="2118" spans="1:16">
      <c r="A2118" s="387" t="b">
        <v>0</v>
      </c>
      <c r="B2118" s="387"/>
      <c r="C2118" s="387" t="s">
        <v>4146</v>
      </c>
      <c r="D2118" s="392">
        <v>26</v>
      </c>
      <c r="E2118" s="389"/>
      <c r="F2118" s="391"/>
      <c r="G2118" s="390"/>
      <c r="H2118" s="390"/>
      <c r="I2118" s="391"/>
      <c r="J2118" s="391"/>
      <c r="K2118" s="387" t="str">
        <f ca="1">IFERROR(VLOOKUP(C2118,' Disaggregation - Section E '!A$618:J2807,3,0),"")</f>
        <v>HTS-3f Number of people in prisons and other closed settings that have received an HIV test during the reporting period and know their results</v>
      </c>
      <c r="L2118" s="387"/>
      <c r="M2118" s="387"/>
      <c r="N2118" s="391"/>
      <c r="O2118" s="387" t="s">
        <v>2832</v>
      </c>
      <c r="P2118" s="387"/>
    </row>
    <row r="2119" spans="1:16">
      <c r="A2119" s="387" t="b">
        <v>0</v>
      </c>
      <c r="B2119" s="387"/>
      <c r="C2119" s="387" t="s">
        <v>4147</v>
      </c>
      <c r="D2119" s="392">
        <v>26</v>
      </c>
      <c r="E2119" s="389"/>
      <c r="F2119" s="391"/>
      <c r="G2119" s="390"/>
      <c r="H2119" s="390"/>
      <c r="I2119" s="391"/>
      <c r="J2119" s="391"/>
      <c r="K2119" s="387" t="str">
        <f ca="1">IFERROR(VLOOKUP(C2119,' Disaggregation - Section E '!A$618:J2808,3,0),"")</f>
        <v>HTS-3f Number of people in prisons and other closed settings that have received an HIV test during the reporting period and know their results</v>
      </c>
      <c r="L2119" s="387"/>
      <c r="M2119" s="387"/>
      <c r="N2119" s="391"/>
      <c r="O2119" s="387" t="s">
        <v>2832</v>
      </c>
      <c r="P2119" s="387"/>
    </row>
    <row r="2120" spans="1:16">
      <c r="A2120" s="387" t="b">
        <v>0</v>
      </c>
      <c r="B2120" s="387"/>
      <c r="C2120" s="387" t="s">
        <v>4148</v>
      </c>
      <c r="D2120" s="392">
        <v>26</v>
      </c>
      <c r="E2120" s="389"/>
      <c r="F2120" s="391"/>
      <c r="G2120" s="390"/>
      <c r="H2120" s="390"/>
      <c r="I2120" s="391"/>
      <c r="J2120" s="391"/>
      <c r="K2120" s="387" t="str">
        <f ca="1">IFERROR(VLOOKUP(C2120,' Disaggregation - Section E '!A$618:J2809,3,0),"")</f>
        <v>HTS-3f Number of people in prisons and other closed settings that have received an HIV test during the reporting period and know their results</v>
      </c>
      <c r="L2120" s="387"/>
      <c r="M2120" s="387"/>
      <c r="N2120" s="391"/>
      <c r="O2120" s="387" t="s">
        <v>2832</v>
      </c>
      <c r="P2120" s="387"/>
    </row>
    <row r="2121" spans="1:16">
      <c r="A2121" s="387" t="b">
        <v>0</v>
      </c>
      <c r="B2121" s="387"/>
      <c r="C2121" s="387" t="s">
        <v>4149</v>
      </c>
      <c r="D2121" s="392">
        <v>26</v>
      </c>
      <c r="E2121" s="389"/>
      <c r="F2121" s="391"/>
      <c r="G2121" s="390"/>
      <c r="H2121" s="390"/>
      <c r="I2121" s="391"/>
      <c r="J2121" s="391"/>
      <c r="K2121" s="387" t="str">
        <f ca="1">IFERROR(VLOOKUP(C2121,' Disaggregation - Section E '!A$618:J2810,3,0),"")</f>
        <v>HTS-3f Number of people in prisons and other closed settings that have received an HIV test during the reporting period and know their results</v>
      </c>
      <c r="L2121" s="387"/>
      <c r="M2121" s="387"/>
      <c r="N2121" s="391"/>
      <c r="O2121" s="387" t="s">
        <v>2832</v>
      </c>
      <c r="P2121" s="387"/>
    </row>
    <row r="2122" spans="1:16">
      <c r="A2122" s="387" t="b">
        <v>0</v>
      </c>
      <c r="B2122" s="387"/>
      <c r="C2122" s="387" t="s">
        <v>4150</v>
      </c>
      <c r="D2122" s="392">
        <v>26</v>
      </c>
      <c r="E2122" s="389"/>
      <c r="F2122" s="391"/>
      <c r="G2122" s="390"/>
      <c r="H2122" s="390"/>
      <c r="I2122" s="391"/>
      <c r="J2122" s="391"/>
      <c r="K2122" s="387" t="str">
        <f ca="1">IFERROR(VLOOKUP(C2122,' Disaggregation - Section E '!A$618:J2811,3,0),"")</f>
        <v>HTS-3f Number of people in prisons and other closed settings that have received an HIV test during the reporting period and know their results</v>
      </c>
      <c r="L2122" s="387"/>
      <c r="M2122" s="387"/>
      <c r="N2122" s="391"/>
      <c r="O2122" s="387" t="s">
        <v>2832</v>
      </c>
      <c r="P2122" s="387"/>
    </row>
    <row r="2123" spans="1:16">
      <c r="A2123" s="387" t="b">
        <v>0</v>
      </c>
      <c r="B2123" s="387"/>
      <c r="C2123" s="387" t="s">
        <v>4151</v>
      </c>
      <c r="D2123" s="392">
        <v>26</v>
      </c>
      <c r="E2123" s="389"/>
      <c r="F2123" s="391"/>
      <c r="G2123" s="390"/>
      <c r="H2123" s="390"/>
      <c r="I2123" s="391"/>
      <c r="J2123" s="391"/>
      <c r="K2123" s="387" t="str">
        <f ca="1">IFERROR(VLOOKUP(C2123,' Disaggregation - Section E '!A$618:J2812,3,0),"")</f>
        <v>HTS-3f Number of people in prisons and other closed settings that have received an HIV test during the reporting period and know their results</v>
      </c>
      <c r="L2123" s="387"/>
      <c r="M2123" s="387"/>
      <c r="N2123" s="391"/>
      <c r="O2123" s="387" t="s">
        <v>2832</v>
      </c>
      <c r="P2123" s="387"/>
    </row>
    <row r="2124" spans="1:16">
      <c r="A2124" s="387" t="b">
        <v>0</v>
      </c>
      <c r="B2124" s="387"/>
      <c r="C2124" s="387" t="s">
        <v>4152</v>
      </c>
      <c r="D2124" s="392">
        <v>26</v>
      </c>
      <c r="E2124" s="389"/>
      <c r="F2124" s="391"/>
      <c r="G2124" s="390"/>
      <c r="H2124" s="390"/>
      <c r="I2124" s="391"/>
      <c r="J2124" s="391"/>
      <c r="K2124" s="387" t="str">
        <f ca="1">IFERROR(VLOOKUP(C2124,' Disaggregation - Section E '!A$618:J2813,3,0),"")</f>
        <v>HTS-3f Number of people in prisons and other closed settings that have received an HIV test during the reporting period and know their results</v>
      </c>
      <c r="L2124" s="387"/>
      <c r="M2124" s="387"/>
      <c r="N2124" s="391"/>
      <c r="O2124" s="387" t="s">
        <v>2832</v>
      </c>
      <c r="P2124" s="387"/>
    </row>
    <row r="2125" spans="1:16">
      <c r="A2125" s="387" t="b">
        <v>0</v>
      </c>
      <c r="B2125" s="387"/>
      <c r="C2125" s="387" t="s">
        <v>4153</v>
      </c>
      <c r="D2125" s="392">
        <v>26</v>
      </c>
      <c r="E2125" s="389"/>
      <c r="F2125" s="391"/>
      <c r="G2125" s="390"/>
      <c r="H2125" s="390"/>
      <c r="I2125" s="391"/>
      <c r="J2125" s="391"/>
      <c r="K2125" s="387" t="str">
        <f ca="1">IFERROR(VLOOKUP(C2125,' Disaggregation - Section E '!A$618:J2814,3,0),"")</f>
        <v>HTS-3f Number of people in prisons and other closed settings that have received an HIV test during the reporting period and know their results</v>
      </c>
      <c r="L2125" s="387"/>
      <c r="M2125" s="387"/>
      <c r="N2125" s="391"/>
      <c r="O2125" s="387" t="s">
        <v>2832</v>
      </c>
      <c r="P2125" s="387"/>
    </row>
    <row r="2126" spans="1:16">
      <c r="A2126" s="387" t="b">
        <v>0</v>
      </c>
      <c r="B2126" s="387"/>
      <c r="C2126" s="387" t="s">
        <v>4154</v>
      </c>
      <c r="D2126" s="392">
        <v>26</v>
      </c>
      <c r="E2126" s="389"/>
      <c r="F2126" s="391"/>
      <c r="G2126" s="390"/>
      <c r="H2126" s="390"/>
      <c r="I2126" s="391"/>
      <c r="J2126" s="391"/>
      <c r="K2126" s="387" t="str">
        <f ca="1">IFERROR(VLOOKUP(C2126,' Disaggregation - Section E '!A$618:J2815,3,0),"")</f>
        <v>HTS-3f Number of people in prisons and other closed settings that have received an HIV test during the reporting period and know their results</v>
      </c>
      <c r="L2126" s="387"/>
      <c r="M2126" s="387"/>
      <c r="N2126" s="391"/>
      <c r="O2126" s="387" t="s">
        <v>2832</v>
      </c>
      <c r="P2126" s="387"/>
    </row>
    <row r="2127" spans="1:16">
      <c r="A2127" s="387" t="b">
        <v>0</v>
      </c>
      <c r="B2127" s="387"/>
      <c r="C2127" s="387" t="s">
        <v>4155</v>
      </c>
      <c r="D2127" s="392">
        <v>26</v>
      </c>
      <c r="E2127" s="389"/>
      <c r="F2127" s="391"/>
      <c r="G2127" s="390"/>
      <c r="H2127" s="390"/>
      <c r="I2127" s="391"/>
      <c r="J2127" s="391"/>
      <c r="K2127" s="387" t="str">
        <f ca="1">IFERROR(VLOOKUP(C2127,' Disaggregation - Section E '!A$618:J2816,3,0),"")</f>
        <v>HTS-3f Number of people in prisons and other closed settings that have received an HIV test during the reporting period and know their results</v>
      </c>
      <c r="L2127" s="387"/>
      <c r="M2127" s="387"/>
      <c r="N2127" s="391"/>
      <c r="O2127" s="387" t="s">
        <v>2832</v>
      </c>
      <c r="P2127" s="387"/>
    </row>
    <row r="2128" spans="1:16">
      <c r="A2128" s="387" t="b">
        <v>0</v>
      </c>
      <c r="B2128" s="387"/>
      <c r="C2128" s="387" t="s">
        <v>4156</v>
      </c>
      <c r="D2128" s="392">
        <v>26</v>
      </c>
      <c r="E2128" s="389"/>
      <c r="F2128" s="391"/>
      <c r="G2128" s="390"/>
      <c r="H2128" s="390"/>
      <c r="I2128" s="391"/>
      <c r="J2128" s="391"/>
      <c r="K2128" s="387" t="str">
        <f ca="1">IFERROR(VLOOKUP(C2128,' Disaggregation - Section E '!A$618:J2817,3,0),"")</f>
        <v>HTS-3f Number of people in prisons and other closed settings that have received an HIV test during the reporting period and know their results</v>
      </c>
      <c r="L2128" s="387"/>
      <c r="M2128" s="387"/>
      <c r="N2128" s="391"/>
      <c r="O2128" s="387" t="s">
        <v>2832</v>
      </c>
      <c r="P2128" s="387"/>
    </row>
    <row r="2129" spans="1:16">
      <c r="A2129" s="387" t="b">
        <v>0</v>
      </c>
      <c r="B2129" s="387"/>
      <c r="C2129" s="387" t="s">
        <v>4157</v>
      </c>
      <c r="D2129" s="392">
        <v>26</v>
      </c>
      <c r="E2129" s="389"/>
      <c r="F2129" s="391"/>
      <c r="G2129" s="390"/>
      <c r="H2129" s="390"/>
      <c r="I2129" s="391"/>
      <c r="J2129" s="391"/>
      <c r="K2129" s="387" t="str">
        <f ca="1">IFERROR(VLOOKUP(C2129,' Disaggregation - Section E '!A$618:J2818,3,0),"")</f>
        <v>HTS-3f Number of people in prisons and other closed settings that have received an HIV test during the reporting period and know their results</v>
      </c>
      <c r="L2129" s="387"/>
      <c r="M2129" s="387"/>
      <c r="N2129" s="391"/>
      <c r="O2129" s="387" t="s">
        <v>2832</v>
      </c>
      <c r="P2129" s="387"/>
    </row>
    <row r="2130" spans="1:16">
      <c r="A2130" s="387" t="b">
        <v>0</v>
      </c>
      <c r="B2130" s="387"/>
      <c r="C2130" s="387" t="s">
        <v>4158</v>
      </c>
      <c r="D2130" s="392">
        <v>26</v>
      </c>
      <c r="E2130" s="389"/>
      <c r="F2130" s="391"/>
      <c r="G2130" s="390"/>
      <c r="H2130" s="390"/>
      <c r="I2130" s="391"/>
      <c r="J2130" s="391"/>
      <c r="K2130" s="387" t="str">
        <f ca="1">IFERROR(VLOOKUP(C2130,' Disaggregation - Section E '!A$618:J2819,3,0),"")</f>
        <v>HTS-3f Number of people in prisons and other closed settings that have received an HIV test during the reporting period and know their results</v>
      </c>
      <c r="L2130" s="387"/>
      <c r="M2130" s="387"/>
      <c r="N2130" s="391"/>
      <c r="O2130" s="387" t="s">
        <v>2832</v>
      </c>
      <c r="P2130" s="387"/>
    </row>
    <row r="2131" spans="1:16">
      <c r="A2131" s="387" t="b">
        <v>0</v>
      </c>
      <c r="B2131" s="387"/>
      <c r="C2131" s="387" t="s">
        <v>4159</v>
      </c>
      <c r="D2131" s="392">
        <v>26</v>
      </c>
      <c r="E2131" s="389"/>
      <c r="F2131" s="391"/>
      <c r="G2131" s="390"/>
      <c r="H2131" s="390"/>
      <c r="I2131" s="391"/>
      <c r="J2131" s="391"/>
      <c r="K2131" s="387" t="str">
        <f ca="1">IFERROR(VLOOKUP(C2131,' Disaggregation - Section E '!A$618:J2820,3,0),"")</f>
        <v>HTS-3f Number of people in prisons and other closed settings that have received an HIV test during the reporting period and know their results</v>
      </c>
      <c r="L2131" s="387"/>
      <c r="M2131" s="387"/>
      <c r="N2131" s="391"/>
      <c r="O2131" s="387" t="s">
        <v>2832</v>
      </c>
      <c r="P2131" s="387"/>
    </row>
    <row r="2132" spans="1:16">
      <c r="A2132" s="387" t="b">
        <v>0</v>
      </c>
      <c r="B2132" s="387"/>
      <c r="C2132" s="387" t="s">
        <v>4160</v>
      </c>
      <c r="D2132" s="392">
        <v>27</v>
      </c>
      <c r="E2132" s="389"/>
      <c r="F2132" s="391"/>
      <c r="G2132" s="390"/>
      <c r="H2132" s="390"/>
      <c r="I2132" s="391"/>
      <c r="J2132" s="391"/>
      <c r="K2132" s="387" t="str">
        <f ca="1">IFERROR(VLOOKUP(C2132,' Disaggregation - Section E '!A$618:J2821,3,0),"")</f>
        <v>HTS-6 Number of individual HIV self-test kits distributed</v>
      </c>
      <c r="L2132" s="387"/>
      <c r="M2132" s="387"/>
      <c r="N2132" s="391"/>
      <c r="O2132" s="387" t="s">
        <v>2839</v>
      </c>
      <c r="P2132" s="387"/>
    </row>
    <row r="2133" spans="1:16">
      <c r="A2133" s="387" t="b">
        <v>0</v>
      </c>
      <c r="B2133" s="387"/>
      <c r="C2133" s="387" t="s">
        <v>4161</v>
      </c>
      <c r="D2133" s="392">
        <v>27</v>
      </c>
      <c r="E2133" s="389"/>
      <c r="F2133" s="391"/>
      <c r="G2133" s="390"/>
      <c r="H2133" s="390"/>
      <c r="I2133" s="391"/>
      <c r="J2133" s="391"/>
      <c r="K2133" s="387" t="str">
        <f ca="1">IFERROR(VLOOKUP(C2133,' Disaggregation - Section E '!A$618:J2822,3,0),"")</f>
        <v>HTS-6 Number of individual HIV self-test kits distributed</v>
      </c>
      <c r="L2133" s="387"/>
      <c r="M2133" s="387"/>
      <c r="N2133" s="391"/>
      <c r="O2133" s="387" t="s">
        <v>2839</v>
      </c>
      <c r="P2133" s="387"/>
    </row>
    <row r="2134" spans="1:16">
      <c r="A2134" s="387" t="b">
        <v>0</v>
      </c>
      <c r="B2134" s="387"/>
      <c r="C2134" s="387" t="s">
        <v>4162</v>
      </c>
      <c r="D2134" s="392">
        <v>27</v>
      </c>
      <c r="E2134" s="389"/>
      <c r="F2134" s="391"/>
      <c r="G2134" s="390"/>
      <c r="H2134" s="390"/>
      <c r="I2134" s="391"/>
      <c r="J2134" s="391"/>
      <c r="K2134" s="387" t="str">
        <f ca="1">IFERROR(VLOOKUP(C2134,' Disaggregation - Section E '!A$618:J2823,3,0),"")</f>
        <v>HTS-6 Number of individual HIV self-test kits distributed</v>
      </c>
      <c r="L2134" s="387"/>
      <c r="M2134" s="387"/>
      <c r="N2134" s="391"/>
      <c r="O2134" s="387" t="s">
        <v>2839</v>
      </c>
      <c r="P2134" s="387"/>
    </row>
    <row r="2135" spans="1:16">
      <c r="A2135" s="387" t="b">
        <v>0</v>
      </c>
      <c r="B2135" s="387"/>
      <c r="C2135" s="387" t="s">
        <v>4163</v>
      </c>
      <c r="D2135" s="392">
        <v>27</v>
      </c>
      <c r="E2135" s="389"/>
      <c r="F2135" s="391"/>
      <c r="G2135" s="390"/>
      <c r="H2135" s="390"/>
      <c r="I2135" s="391"/>
      <c r="J2135" s="391"/>
      <c r="K2135" s="387" t="str">
        <f ca="1">IFERROR(VLOOKUP(C2135,' Disaggregation - Section E '!A$618:J2824,3,0),"")</f>
        <v>HTS-6 Number of individual HIV self-test kits distributed</v>
      </c>
      <c r="L2135" s="387"/>
      <c r="M2135" s="387"/>
      <c r="N2135" s="391"/>
      <c r="O2135" s="387" t="s">
        <v>2839</v>
      </c>
      <c r="P2135" s="387"/>
    </row>
    <row r="2136" spans="1:16">
      <c r="A2136" s="387" t="b">
        <v>0</v>
      </c>
      <c r="B2136" s="387"/>
      <c r="C2136" s="387" t="s">
        <v>4164</v>
      </c>
      <c r="D2136" s="392">
        <v>27</v>
      </c>
      <c r="E2136" s="389"/>
      <c r="F2136" s="391"/>
      <c r="G2136" s="390"/>
      <c r="H2136" s="390"/>
      <c r="I2136" s="391"/>
      <c r="J2136" s="391"/>
      <c r="K2136" s="387" t="str">
        <f ca="1">IFERROR(VLOOKUP(C2136,' Disaggregation - Section E '!A$618:J2825,3,0),"")</f>
        <v>HTS-6 Number of individual HIV self-test kits distributed</v>
      </c>
      <c r="L2136" s="387"/>
      <c r="M2136" s="387"/>
      <c r="N2136" s="391"/>
      <c r="O2136" s="387" t="s">
        <v>2839</v>
      </c>
      <c r="P2136" s="387"/>
    </row>
    <row r="2137" spans="1:16">
      <c r="A2137" s="387" t="b">
        <v>0</v>
      </c>
      <c r="B2137" s="387"/>
      <c r="C2137" s="387" t="s">
        <v>4165</v>
      </c>
      <c r="D2137" s="392">
        <v>27</v>
      </c>
      <c r="E2137" s="389"/>
      <c r="F2137" s="391"/>
      <c r="G2137" s="390"/>
      <c r="H2137" s="390"/>
      <c r="I2137" s="391"/>
      <c r="J2137" s="391"/>
      <c r="K2137" s="387" t="str">
        <f ca="1">IFERROR(VLOOKUP(C2137,' Disaggregation - Section E '!A$618:J2826,3,0),"")</f>
        <v>HTS-6 Number of individual HIV self-test kits distributed</v>
      </c>
      <c r="L2137" s="387"/>
      <c r="M2137" s="387"/>
      <c r="N2137" s="391"/>
      <c r="O2137" s="387" t="s">
        <v>2839</v>
      </c>
      <c r="P2137" s="387"/>
    </row>
    <row r="2138" spans="1:16">
      <c r="A2138" s="387" t="b">
        <v>0</v>
      </c>
      <c r="B2138" s="387"/>
      <c r="C2138" s="387" t="s">
        <v>4166</v>
      </c>
      <c r="D2138" s="392">
        <v>27</v>
      </c>
      <c r="E2138" s="389"/>
      <c r="F2138" s="391"/>
      <c r="G2138" s="390"/>
      <c r="H2138" s="390"/>
      <c r="I2138" s="391"/>
      <c r="J2138" s="391"/>
      <c r="K2138" s="387" t="str">
        <f ca="1">IFERROR(VLOOKUP(C2138,' Disaggregation - Section E '!A$618:J2827,3,0),"")</f>
        <v>HTS-6 Number of individual HIV self-test kits distributed</v>
      </c>
      <c r="L2138" s="387"/>
      <c r="M2138" s="387"/>
      <c r="N2138" s="391"/>
      <c r="O2138" s="387" t="s">
        <v>2839</v>
      </c>
      <c r="P2138" s="387"/>
    </row>
    <row r="2139" spans="1:16">
      <c r="A2139" s="387" t="b">
        <v>0</v>
      </c>
      <c r="B2139" s="387"/>
      <c r="C2139" s="387" t="s">
        <v>4167</v>
      </c>
      <c r="D2139" s="392">
        <v>27</v>
      </c>
      <c r="E2139" s="389"/>
      <c r="F2139" s="391"/>
      <c r="G2139" s="390"/>
      <c r="H2139" s="390"/>
      <c r="I2139" s="391"/>
      <c r="J2139" s="391"/>
      <c r="K2139" s="387" t="str">
        <f ca="1">IFERROR(VLOOKUP(C2139,' Disaggregation - Section E '!A$618:J2828,3,0),"")</f>
        <v>HTS-6 Number of individual HIV self-test kits distributed</v>
      </c>
      <c r="L2139" s="387"/>
      <c r="M2139" s="387"/>
      <c r="N2139" s="391"/>
      <c r="O2139" s="387" t="s">
        <v>2839</v>
      </c>
      <c r="P2139" s="387"/>
    </row>
    <row r="2140" spans="1:16">
      <c r="A2140" s="387" t="b">
        <v>0</v>
      </c>
      <c r="B2140" s="387"/>
      <c r="C2140" s="387" t="s">
        <v>4168</v>
      </c>
      <c r="D2140" s="392">
        <v>27</v>
      </c>
      <c r="E2140" s="389"/>
      <c r="F2140" s="391"/>
      <c r="G2140" s="390"/>
      <c r="H2140" s="390"/>
      <c r="I2140" s="391"/>
      <c r="J2140" s="391"/>
      <c r="K2140" s="387" t="str">
        <f ca="1">IFERROR(VLOOKUP(C2140,' Disaggregation - Section E '!A$618:J2829,3,0),"")</f>
        <v>HTS-6 Number of individual HIV self-test kits distributed</v>
      </c>
      <c r="L2140" s="387"/>
      <c r="M2140" s="387"/>
      <c r="N2140" s="391"/>
      <c r="O2140" s="387" t="s">
        <v>2839</v>
      </c>
      <c r="P2140" s="387"/>
    </row>
    <row r="2141" spans="1:16">
      <c r="A2141" s="387" t="b">
        <v>0</v>
      </c>
      <c r="B2141" s="387"/>
      <c r="C2141" s="387" t="s">
        <v>4169</v>
      </c>
      <c r="D2141" s="392">
        <v>27</v>
      </c>
      <c r="E2141" s="389"/>
      <c r="F2141" s="391"/>
      <c r="G2141" s="390"/>
      <c r="H2141" s="390"/>
      <c r="I2141" s="391"/>
      <c r="J2141" s="391"/>
      <c r="K2141" s="387" t="str">
        <f ca="1">IFERROR(VLOOKUP(C2141,' Disaggregation - Section E '!A$618:J2830,3,0),"")</f>
        <v>HTS-6 Number of individual HIV self-test kits distributed</v>
      </c>
      <c r="L2141" s="387"/>
      <c r="M2141" s="387"/>
      <c r="N2141" s="391"/>
      <c r="O2141" s="387" t="s">
        <v>2839</v>
      </c>
      <c r="P2141" s="387"/>
    </row>
    <row r="2142" spans="1:16">
      <c r="A2142" s="387" t="b">
        <v>0</v>
      </c>
      <c r="B2142" s="387"/>
      <c r="C2142" s="387" t="s">
        <v>4170</v>
      </c>
      <c r="D2142" s="392">
        <v>27</v>
      </c>
      <c r="E2142" s="389"/>
      <c r="F2142" s="391"/>
      <c r="G2142" s="390"/>
      <c r="H2142" s="390"/>
      <c r="I2142" s="391"/>
      <c r="J2142" s="391"/>
      <c r="K2142" s="387" t="str">
        <f ca="1">IFERROR(VLOOKUP(C2142,' Disaggregation - Section E '!A$618:J2831,3,0),"")</f>
        <v>HTS-6 Number of individual HIV self-test kits distributed</v>
      </c>
      <c r="L2142" s="387"/>
      <c r="M2142" s="387"/>
      <c r="N2142" s="391"/>
      <c r="O2142" s="387" t="s">
        <v>2839</v>
      </c>
      <c r="P2142" s="387"/>
    </row>
    <row r="2143" spans="1:16">
      <c r="A2143" s="387" t="b">
        <v>0</v>
      </c>
      <c r="B2143" s="387"/>
      <c r="C2143" s="387" t="s">
        <v>4171</v>
      </c>
      <c r="D2143" s="392">
        <v>27</v>
      </c>
      <c r="E2143" s="389"/>
      <c r="F2143" s="391"/>
      <c r="G2143" s="390"/>
      <c r="H2143" s="390"/>
      <c r="I2143" s="391"/>
      <c r="J2143" s="391"/>
      <c r="K2143" s="387" t="str">
        <f ca="1">IFERROR(VLOOKUP(C2143,' Disaggregation - Section E '!A$618:J2832,3,0),"")</f>
        <v>HTS-6 Number of individual HIV self-test kits distributed</v>
      </c>
      <c r="L2143" s="387"/>
      <c r="M2143" s="387"/>
      <c r="N2143" s="391"/>
      <c r="O2143" s="387" t="s">
        <v>2839</v>
      </c>
      <c r="P2143" s="387"/>
    </row>
    <row r="2144" spans="1:16">
      <c r="A2144" s="387" t="b">
        <v>0</v>
      </c>
      <c r="B2144" s="387"/>
      <c r="C2144" s="387" t="s">
        <v>4172</v>
      </c>
      <c r="D2144" s="392">
        <v>27</v>
      </c>
      <c r="E2144" s="389"/>
      <c r="F2144" s="391"/>
      <c r="G2144" s="390"/>
      <c r="H2144" s="390"/>
      <c r="I2144" s="391"/>
      <c r="J2144" s="391"/>
      <c r="K2144" s="387" t="str">
        <f ca="1">IFERROR(VLOOKUP(C2144,' Disaggregation - Section E '!A$618:J2833,3,0),"")</f>
        <v>HTS-6 Number of individual HIV self-test kits distributed</v>
      </c>
      <c r="L2144" s="387"/>
      <c r="M2144" s="387"/>
      <c r="N2144" s="391"/>
      <c r="O2144" s="387" t="s">
        <v>2839</v>
      </c>
      <c r="P2144" s="387"/>
    </row>
    <row r="2145" spans="1:16">
      <c r="A2145" s="387" t="b">
        <v>0</v>
      </c>
      <c r="B2145" s="387"/>
      <c r="C2145" s="387" t="s">
        <v>4173</v>
      </c>
      <c r="D2145" s="392">
        <v>27</v>
      </c>
      <c r="E2145" s="389"/>
      <c r="F2145" s="391"/>
      <c r="G2145" s="390"/>
      <c r="H2145" s="390"/>
      <c r="I2145" s="391"/>
      <c r="J2145" s="391"/>
      <c r="K2145" s="387" t="str">
        <f ca="1">IFERROR(VLOOKUP(C2145,' Disaggregation - Section E '!A$618:J2834,3,0),"")</f>
        <v>HTS-6 Number of individual HIV self-test kits distributed</v>
      </c>
      <c r="L2145" s="387"/>
      <c r="M2145" s="387"/>
      <c r="N2145" s="391"/>
      <c r="O2145" s="387" t="s">
        <v>2839</v>
      </c>
      <c r="P2145" s="387"/>
    </row>
    <row r="2146" spans="1:16">
      <c r="A2146" s="387" t="b">
        <v>0</v>
      </c>
      <c r="B2146" s="387"/>
      <c r="C2146" s="387" t="s">
        <v>4174</v>
      </c>
      <c r="D2146" s="392">
        <v>27</v>
      </c>
      <c r="E2146" s="389"/>
      <c r="F2146" s="391"/>
      <c r="G2146" s="390"/>
      <c r="H2146" s="390"/>
      <c r="I2146" s="391"/>
      <c r="J2146" s="391"/>
      <c r="K2146" s="387" t="str">
        <f ca="1">IFERROR(VLOOKUP(C2146,' Disaggregation - Section E '!A$618:J2835,3,0),"")</f>
        <v>HTS-6 Number of individual HIV self-test kits distributed</v>
      </c>
      <c r="L2146" s="387"/>
      <c r="M2146" s="387"/>
      <c r="N2146" s="391"/>
      <c r="O2146" s="387" t="s">
        <v>2839</v>
      </c>
      <c r="P2146" s="387"/>
    </row>
    <row r="2147" spans="1:16">
      <c r="A2147" s="387" t="b">
        <v>0</v>
      </c>
      <c r="B2147" s="387"/>
      <c r="C2147" s="387" t="s">
        <v>4175</v>
      </c>
      <c r="D2147" s="392">
        <v>27</v>
      </c>
      <c r="E2147" s="389"/>
      <c r="F2147" s="391"/>
      <c r="G2147" s="390"/>
      <c r="H2147" s="390"/>
      <c r="I2147" s="391"/>
      <c r="J2147" s="391"/>
      <c r="K2147" s="387" t="str">
        <f ca="1">IFERROR(VLOOKUP(C2147,' Disaggregation - Section E '!A$618:J2836,3,0),"")</f>
        <v>HTS-6 Number of individual HIV self-test kits distributed</v>
      </c>
      <c r="L2147" s="387"/>
      <c r="M2147" s="387"/>
      <c r="N2147" s="391"/>
      <c r="O2147" s="387" t="s">
        <v>2839</v>
      </c>
      <c r="P2147" s="387"/>
    </row>
    <row r="2148" spans="1:16">
      <c r="A2148" s="387" t="b">
        <v>0</v>
      </c>
      <c r="B2148" s="387"/>
      <c r="C2148" s="387" t="s">
        <v>4176</v>
      </c>
      <c r="D2148" s="392">
        <v>27</v>
      </c>
      <c r="E2148" s="389"/>
      <c r="F2148" s="391"/>
      <c r="G2148" s="390"/>
      <c r="H2148" s="390"/>
      <c r="I2148" s="391"/>
      <c r="J2148" s="391"/>
      <c r="K2148" s="387" t="str">
        <f ca="1">IFERROR(VLOOKUP(C2148,' Disaggregation - Section E '!A$618:J2837,3,0),"")</f>
        <v>HTS-6 Number of individual HIV self-test kits distributed</v>
      </c>
      <c r="L2148" s="387"/>
      <c r="M2148" s="387"/>
      <c r="N2148" s="391"/>
      <c r="O2148" s="387" t="s">
        <v>2839</v>
      </c>
      <c r="P2148" s="387"/>
    </row>
    <row r="2149" spans="1:16">
      <c r="A2149" s="387" t="b">
        <v>0</v>
      </c>
      <c r="B2149" s="387"/>
      <c r="C2149" s="387" t="s">
        <v>4177</v>
      </c>
      <c r="D2149" s="392">
        <v>27</v>
      </c>
      <c r="E2149" s="389"/>
      <c r="F2149" s="391"/>
      <c r="G2149" s="390"/>
      <c r="H2149" s="390"/>
      <c r="I2149" s="391"/>
      <c r="J2149" s="391"/>
      <c r="K2149" s="387" t="str">
        <f ca="1">IFERROR(VLOOKUP(C2149,' Disaggregation - Section E '!A$618:J2838,3,0),"")</f>
        <v>HTS-6 Number of individual HIV self-test kits distributed</v>
      </c>
      <c r="L2149" s="387"/>
      <c r="M2149" s="387"/>
      <c r="N2149" s="391"/>
      <c r="O2149" s="387" t="s">
        <v>2839</v>
      </c>
      <c r="P2149" s="387"/>
    </row>
    <row r="2150" spans="1:16">
      <c r="A2150" s="387" t="b">
        <v>0</v>
      </c>
      <c r="B2150" s="387"/>
      <c r="C2150" s="387" t="s">
        <v>4178</v>
      </c>
      <c r="D2150" s="392">
        <v>27</v>
      </c>
      <c r="E2150" s="389"/>
      <c r="F2150" s="391"/>
      <c r="G2150" s="390"/>
      <c r="H2150" s="390"/>
      <c r="I2150" s="391"/>
      <c r="J2150" s="391"/>
      <c r="K2150" s="387" t="str">
        <f ca="1">IFERROR(VLOOKUP(C2150,' Disaggregation - Section E '!A$618:J2839,3,0),"")</f>
        <v>HTS-6 Number of individual HIV self-test kits distributed</v>
      </c>
      <c r="L2150" s="387"/>
      <c r="M2150" s="387"/>
      <c r="N2150" s="391"/>
      <c r="O2150" s="387" t="s">
        <v>2839</v>
      </c>
      <c r="P2150" s="387"/>
    </row>
    <row r="2151" spans="1:16">
      <c r="A2151" s="387" t="b">
        <v>0</v>
      </c>
      <c r="B2151" s="387"/>
      <c r="C2151" s="387" t="s">
        <v>4179</v>
      </c>
      <c r="D2151" s="392">
        <v>27</v>
      </c>
      <c r="E2151" s="389"/>
      <c r="F2151" s="391"/>
      <c r="G2151" s="390"/>
      <c r="H2151" s="390"/>
      <c r="I2151" s="391"/>
      <c r="J2151" s="391"/>
      <c r="K2151" s="387" t="str">
        <f ca="1">IFERROR(VLOOKUP(C2151,' Disaggregation - Section E '!A$618:J2840,3,0),"")</f>
        <v>HTS-6 Number of individual HIV self-test kits distributed</v>
      </c>
      <c r="L2151" s="387"/>
      <c r="M2151" s="387"/>
      <c r="N2151" s="391"/>
      <c r="O2151" s="387" t="s">
        <v>2839</v>
      </c>
      <c r="P2151" s="387"/>
    </row>
    <row r="2152" spans="1:16">
      <c r="A2152" s="387" t="b">
        <v>0</v>
      </c>
      <c r="B2152" s="387"/>
      <c r="C2152" s="387" t="s">
        <v>4180</v>
      </c>
      <c r="D2152" s="392">
        <v>28</v>
      </c>
      <c r="E2152" s="389"/>
      <c r="F2152" s="391" t="s">
        <v>3346</v>
      </c>
      <c r="G2152" s="390"/>
      <c r="H2152" s="390"/>
      <c r="I2152" s="391"/>
      <c r="J2152" s="391"/>
      <c r="K2152" s="387" t="str">
        <f ca="1">IFERROR(VLOOKUP(C2152,' Disaggregation - Section E '!A$618:J2841,3,0),"")</f>
        <v>VT-1 Percentage of pregnant women who know their HIV status</v>
      </c>
      <c r="L2152" s="387"/>
      <c r="M2152" s="387" t="s">
        <v>4181</v>
      </c>
      <c r="N2152" s="391"/>
      <c r="O2152" s="387" t="s">
        <v>2846</v>
      </c>
      <c r="P2152" s="387" t="s">
        <v>4182</v>
      </c>
    </row>
    <row r="2153" spans="1:16">
      <c r="A2153" s="387" t="b">
        <v>0</v>
      </c>
      <c r="B2153" s="387"/>
      <c r="C2153" s="387" t="s">
        <v>4183</v>
      </c>
      <c r="D2153" s="392">
        <v>28</v>
      </c>
      <c r="E2153" s="389"/>
      <c r="F2153" s="391" t="s">
        <v>3356</v>
      </c>
      <c r="G2153" s="390"/>
      <c r="H2153" s="390"/>
      <c r="I2153" s="391"/>
      <c r="J2153" s="391"/>
      <c r="K2153" s="387" t="str">
        <f ca="1">IFERROR(VLOOKUP(C2153,' Disaggregation - Section E '!A$618:J2842,3,0),"")</f>
        <v>VT-1 Percentage of pregnant women who know their HIV status</v>
      </c>
      <c r="L2153" s="387"/>
      <c r="M2153" s="387" t="s">
        <v>4184</v>
      </c>
      <c r="N2153" s="391"/>
      <c r="O2153" s="387" t="s">
        <v>2846</v>
      </c>
      <c r="P2153" s="387" t="s">
        <v>4185</v>
      </c>
    </row>
    <row r="2154" spans="1:16">
      <c r="A2154" s="387" t="b">
        <v>0</v>
      </c>
      <c r="B2154" s="387"/>
      <c r="C2154" s="387" t="s">
        <v>4186</v>
      </c>
      <c r="D2154" s="392">
        <v>28</v>
      </c>
      <c r="E2154" s="389"/>
      <c r="F2154" s="391" t="s">
        <v>3367</v>
      </c>
      <c r="G2154" s="390"/>
      <c r="H2154" s="390"/>
      <c r="I2154" s="391"/>
      <c r="J2154" s="391"/>
      <c r="K2154" s="387" t="str">
        <f ca="1">IFERROR(VLOOKUP(C2154,' Disaggregation - Section E '!A$618:J2843,3,0),"")</f>
        <v>VT-1 Percentage of pregnant women who know their HIV status</v>
      </c>
      <c r="L2154" s="387"/>
      <c r="M2154" s="387" t="s">
        <v>4187</v>
      </c>
      <c r="N2154" s="391"/>
      <c r="O2154" s="387" t="s">
        <v>2846</v>
      </c>
      <c r="P2154" s="387" t="s">
        <v>4188</v>
      </c>
    </row>
    <row r="2155" spans="1:16">
      <c r="A2155" s="387" t="b">
        <v>0</v>
      </c>
      <c r="B2155" s="387"/>
      <c r="C2155" s="387" t="s">
        <v>4189</v>
      </c>
      <c r="D2155" s="392">
        <v>28</v>
      </c>
      <c r="E2155" s="389"/>
      <c r="F2155" s="391"/>
      <c r="G2155" s="390"/>
      <c r="H2155" s="390"/>
      <c r="I2155" s="391"/>
      <c r="J2155" s="391"/>
      <c r="K2155" s="387" t="str">
        <f ca="1">IFERROR(VLOOKUP(C2155,' Disaggregation - Section E '!A$618:J2844,3,0),"")</f>
        <v>VT-1 Percentage of pregnant women who know their HIV status</v>
      </c>
      <c r="L2155" s="387"/>
      <c r="M2155" s="387"/>
      <c r="N2155" s="391"/>
      <c r="O2155" s="387" t="s">
        <v>2846</v>
      </c>
      <c r="P2155" s="387"/>
    </row>
    <row r="2156" spans="1:16">
      <c r="A2156" s="387" t="b">
        <v>0</v>
      </c>
      <c r="B2156" s="387"/>
      <c r="C2156" s="387" t="s">
        <v>4190</v>
      </c>
      <c r="D2156" s="392">
        <v>28</v>
      </c>
      <c r="E2156" s="389"/>
      <c r="F2156" s="391"/>
      <c r="G2156" s="390"/>
      <c r="H2156" s="390"/>
      <c r="I2156" s="391"/>
      <c r="J2156" s="391"/>
      <c r="K2156" s="387" t="str">
        <f ca="1">IFERROR(VLOOKUP(C2156,' Disaggregation - Section E '!A$618:J2845,3,0),"")</f>
        <v>VT-1 Percentage of pregnant women who know their HIV status</v>
      </c>
      <c r="L2156" s="387"/>
      <c r="M2156" s="387"/>
      <c r="N2156" s="391"/>
      <c r="O2156" s="387" t="s">
        <v>2846</v>
      </c>
      <c r="P2156" s="387"/>
    </row>
    <row r="2157" spans="1:16">
      <c r="A2157" s="387" t="b">
        <v>0</v>
      </c>
      <c r="B2157" s="387"/>
      <c r="C2157" s="387" t="s">
        <v>4191</v>
      </c>
      <c r="D2157" s="392">
        <v>28</v>
      </c>
      <c r="E2157" s="389"/>
      <c r="F2157" s="391"/>
      <c r="G2157" s="390"/>
      <c r="H2157" s="390"/>
      <c r="I2157" s="391"/>
      <c r="J2157" s="391"/>
      <c r="K2157" s="387" t="str">
        <f ca="1">IFERROR(VLOOKUP(C2157,' Disaggregation - Section E '!A$618:J2846,3,0),"")</f>
        <v>VT-1 Percentage of pregnant women who know their HIV status</v>
      </c>
      <c r="L2157" s="387"/>
      <c r="M2157" s="387"/>
      <c r="N2157" s="391"/>
      <c r="O2157" s="387" t="s">
        <v>2846</v>
      </c>
      <c r="P2157" s="387"/>
    </row>
    <row r="2158" spans="1:16">
      <c r="A2158" s="387" t="b">
        <v>0</v>
      </c>
      <c r="B2158" s="387"/>
      <c r="C2158" s="387" t="s">
        <v>4192</v>
      </c>
      <c r="D2158" s="392">
        <v>28</v>
      </c>
      <c r="E2158" s="389"/>
      <c r="F2158" s="391"/>
      <c r="G2158" s="390"/>
      <c r="H2158" s="390"/>
      <c r="I2158" s="391"/>
      <c r="J2158" s="391"/>
      <c r="K2158" s="387" t="str">
        <f ca="1">IFERROR(VLOOKUP(C2158,' Disaggregation - Section E '!A$618:J2847,3,0),"")</f>
        <v>VT-1 Percentage of pregnant women who know their HIV status</v>
      </c>
      <c r="L2158" s="387"/>
      <c r="M2158" s="387"/>
      <c r="N2158" s="391"/>
      <c r="O2158" s="387" t="s">
        <v>2846</v>
      </c>
      <c r="P2158" s="387"/>
    </row>
    <row r="2159" spans="1:16">
      <c r="A2159" s="387" t="b">
        <v>0</v>
      </c>
      <c r="B2159" s="387"/>
      <c r="C2159" s="387" t="s">
        <v>4193</v>
      </c>
      <c r="D2159" s="392">
        <v>28</v>
      </c>
      <c r="E2159" s="389"/>
      <c r="F2159" s="391"/>
      <c r="G2159" s="390"/>
      <c r="H2159" s="390"/>
      <c r="I2159" s="391"/>
      <c r="J2159" s="391"/>
      <c r="K2159" s="387" t="str">
        <f ca="1">IFERROR(VLOOKUP(C2159,' Disaggregation - Section E '!A$618:J2848,3,0),"")</f>
        <v>VT-1 Percentage of pregnant women who know their HIV status</v>
      </c>
      <c r="L2159" s="387"/>
      <c r="M2159" s="387"/>
      <c r="N2159" s="391"/>
      <c r="O2159" s="387" t="s">
        <v>2846</v>
      </c>
      <c r="P2159" s="387"/>
    </row>
    <row r="2160" spans="1:16">
      <c r="A2160" s="387" t="b">
        <v>0</v>
      </c>
      <c r="B2160" s="387"/>
      <c r="C2160" s="387" t="s">
        <v>4194</v>
      </c>
      <c r="D2160" s="392">
        <v>28</v>
      </c>
      <c r="E2160" s="389"/>
      <c r="F2160" s="391"/>
      <c r="G2160" s="390"/>
      <c r="H2160" s="390"/>
      <c r="I2160" s="391"/>
      <c r="J2160" s="391"/>
      <c r="K2160" s="387" t="str">
        <f ca="1">IFERROR(VLOOKUP(C2160,' Disaggregation - Section E '!A$618:J2849,3,0),"")</f>
        <v>VT-1 Percentage of pregnant women who know their HIV status</v>
      </c>
      <c r="L2160" s="387"/>
      <c r="M2160" s="387"/>
      <c r="N2160" s="391"/>
      <c r="O2160" s="387" t="s">
        <v>2846</v>
      </c>
      <c r="P2160" s="387"/>
    </row>
    <row r="2161" spans="1:16">
      <c r="A2161" s="387" t="b">
        <v>0</v>
      </c>
      <c r="B2161" s="387"/>
      <c r="C2161" s="387" t="s">
        <v>4195</v>
      </c>
      <c r="D2161" s="392">
        <v>28</v>
      </c>
      <c r="E2161" s="389"/>
      <c r="F2161" s="391"/>
      <c r="G2161" s="390"/>
      <c r="H2161" s="390"/>
      <c r="I2161" s="391"/>
      <c r="J2161" s="391"/>
      <c r="K2161" s="387" t="str">
        <f ca="1">IFERROR(VLOOKUP(C2161,' Disaggregation - Section E '!A$618:J2850,3,0),"")</f>
        <v>VT-1 Percentage of pregnant women who know their HIV status</v>
      </c>
      <c r="L2161" s="387"/>
      <c r="M2161" s="387"/>
      <c r="N2161" s="391"/>
      <c r="O2161" s="387" t="s">
        <v>2846</v>
      </c>
      <c r="P2161" s="387"/>
    </row>
    <row r="2162" spans="1:16">
      <c r="A2162" s="387" t="b">
        <v>0</v>
      </c>
      <c r="B2162" s="387"/>
      <c r="C2162" s="387" t="s">
        <v>4196</v>
      </c>
      <c r="D2162" s="392">
        <v>28</v>
      </c>
      <c r="E2162" s="389"/>
      <c r="F2162" s="391"/>
      <c r="G2162" s="390"/>
      <c r="H2162" s="390"/>
      <c r="I2162" s="391"/>
      <c r="J2162" s="391"/>
      <c r="K2162" s="387" t="str">
        <f ca="1">IFERROR(VLOOKUP(C2162,' Disaggregation - Section E '!A$618:J2851,3,0),"")</f>
        <v>VT-1 Percentage of pregnant women who know their HIV status</v>
      </c>
      <c r="L2162" s="387"/>
      <c r="M2162" s="387"/>
      <c r="N2162" s="391"/>
      <c r="O2162" s="387" t="s">
        <v>2846</v>
      </c>
      <c r="P2162" s="387"/>
    </row>
    <row r="2163" spans="1:16">
      <c r="A2163" s="387" t="b">
        <v>0</v>
      </c>
      <c r="B2163" s="387"/>
      <c r="C2163" s="387" t="s">
        <v>4197</v>
      </c>
      <c r="D2163" s="392">
        <v>28</v>
      </c>
      <c r="E2163" s="389"/>
      <c r="F2163" s="391"/>
      <c r="G2163" s="390"/>
      <c r="H2163" s="390"/>
      <c r="I2163" s="391"/>
      <c r="J2163" s="391"/>
      <c r="K2163" s="387" t="str">
        <f ca="1">IFERROR(VLOOKUP(C2163,' Disaggregation - Section E '!A$618:J2852,3,0),"")</f>
        <v>VT-1 Percentage of pregnant women who know their HIV status</v>
      </c>
      <c r="L2163" s="387"/>
      <c r="M2163" s="387"/>
      <c r="N2163" s="391"/>
      <c r="O2163" s="387" t="s">
        <v>2846</v>
      </c>
      <c r="P2163" s="387"/>
    </row>
    <row r="2164" spans="1:16">
      <c r="A2164" s="387" t="b">
        <v>0</v>
      </c>
      <c r="B2164" s="387"/>
      <c r="C2164" s="387" t="s">
        <v>4198</v>
      </c>
      <c r="D2164" s="392">
        <v>28</v>
      </c>
      <c r="E2164" s="389"/>
      <c r="F2164" s="391"/>
      <c r="G2164" s="390"/>
      <c r="H2164" s="390"/>
      <c r="I2164" s="391"/>
      <c r="J2164" s="391"/>
      <c r="K2164" s="387" t="str">
        <f ca="1">IFERROR(VLOOKUP(C2164,' Disaggregation - Section E '!A$618:J2853,3,0),"")</f>
        <v>VT-1 Percentage of pregnant women who know their HIV status</v>
      </c>
      <c r="L2164" s="387"/>
      <c r="M2164" s="387"/>
      <c r="N2164" s="391"/>
      <c r="O2164" s="387" t="s">
        <v>2846</v>
      </c>
      <c r="P2164" s="387"/>
    </row>
    <row r="2165" spans="1:16">
      <c r="A2165" s="387" t="b">
        <v>0</v>
      </c>
      <c r="B2165" s="387"/>
      <c r="C2165" s="387" t="s">
        <v>4199</v>
      </c>
      <c r="D2165" s="392">
        <v>28</v>
      </c>
      <c r="E2165" s="389"/>
      <c r="F2165" s="391"/>
      <c r="G2165" s="390"/>
      <c r="H2165" s="390"/>
      <c r="I2165" s="391"/>
      <c r="J2165" s="391"/>
      <c r="K2165" s="387" t="str">
        <f ca="1">IFERROR(VLOOKUP(C2165,' Disaggregation - Section E '!A$618:J2854,3,0),"")</f>
        <v>VT-1 Percentage of pregnant women who know their HIV status</v>
      </c>
      <c r="L2165" s="387"/>
      <c r="M2165" s="387"/>
      <c r="N2165" s="391"/>
      <c r="O2165" s="387" t="s">
        <v>2846</v>
      </c>
      <c r="P2165" s="387"/>
    </row>
    <row r="2166" spans="1:16">
      <c r="A2166" s="387" t="b">
        <v>0</v>
      </c>
      <c r="B2166" s="387"/>
      <c r="C2166" s="387" t="s">
        <v>4200</v>
      </c>
      <c r="D2166" s="392">
        <v>28</v>
      </c>
      <c r="E2166" s="389"/>
      <c r="F2166" s="391"/>
      <c r="G2166" s="390"/>
      <c r="H2166" s="390"/>
      <c r="I2166" s="391"/>
      <c r="J2166" s="391"/>
      <c r="K2166" s="387" t="str">
        <f ca="1">IFERROR(VLOOKUP(C2166,' Disaggregation - Section E '!A$618:J2855,3,0),"")</f>
        <v>VT-1 Percentage of pregnant women who know their HIV status</v>
      </c>
      <c r="L2166" s="387"/>
      <c r="M2166" s="387"/>
      <c r="N2166" s="391"/>
      <c r="O2166" s="387" t="s">
        <v>2846</v>
      </c>
      <c r="P2166" s="387"/>
    </row>
    <row r="2167" spans="1:16">
      <c r="A2167" s="387" t="b">
        <v>0</v>
      </c>
      <c r="B2167" s="387"/>
      <c r="C2167" s="387" t="s">
        <v>4201</v>
      </c>
      <c r="D2167" s="392">
        <v>28</v>
      </c>
      <c r="E2167" s="389"/>
      <c r="F2167" s="391"/>
      <c r="G2167" s="390"/>
      <c r="H2167" s="390"/>
      <c r="I2167" s="391"/>
      <c r="J2167" s="391"/>
      <c r="K2167" s="387" t="str">
        <f ca="1">IFERROR(VLOOKUP(C2167,' Disaggregation - Section E '!A$618:J2856,3,0),"")</f>
        <v>VT-1 Percentage of pregnant women who know their HIV status</v>
      </c>
      <c r="L2167" s="387"/>
      <c r="M2167" s="387"/>
      <c r="N2167" s="391"/>
      <c r="O2167" s="387" t="s">
        <v>2846</v>
      </c>
      <c r="P2167" s="387"/>
    </row>
    <row r="2168" spans="1:16">
      <c r="A2168" s="387" t="b">
        <v>0</v>
      </c>
      <c r="B2168" s="387"/>
      <c r="C2168" s="387" t="s">
        <v>4202</v>
      </c>
      <c r="D2168" s="392">
        <v>28</v>
      </c>
      <c r="E2168" s="389"/>
      <c r="F2168" s="391"/>
      <c r="G2168" s="390"/>
      <c r="H2168" s="390"/>
      <c r="I2168" s="391"/>
      <c r="J2168" s="391"/>
      <c r="K2168" s="387" t="str">
        <f ca="1">IFERROR(VLOOKUP(C2168,' Disaggregation - Section E '!A$618:J2857,3,0),"")</f>
        <v>VT-1 Percentage of pregnant women who know their HIV status</v>
      </c>
      <c r="L2168" s="387"/>
      <c r="M2168" s="387"/>
      <c r="N2168" s="391"/>
      <c r="O2168" s="387" t="s">
        <v>2846</v>
      </c>
      <c r="P2168" s="387"/>
    </row>
    <row r="2169" spans="1:16">
      <c r="A2169" s="387" t="b">
        <v>0</v>
      </c>
      <c r="B2169" s="387"/>
      <c r="C2169" s="387" t="s">
        <v>4203</v>
      </c>
      <c r="D2169" s="392">
        <v>28</v>
      </c>
      <c r="E2169" s="389"/>
      <c r="F2169" s="391"/>
      <c r="G2169" s="390"/>
      <c r="H2169" s="390"/>
      <c r="I2169" s="391"/>
      <c r="J2169" s="391"/>
      <c r="K2169" s="387" t="str">
        <f ca="1">IFERROR(VLOOKUP(C2169,' Disaggregation - Section E '!A$618:J2858,3,0),"")</f>
        <v>VT-1 Percentage of pregnant women who know their HIV status</v>
      </c>
      <c r="L2169" s="387"/>
      <c r="M2169" s="387"/>
      <c r="N2169" s="391"/>
      <c r="O2169" s="387" t="s">
        <v>2846</v>
      </c>
      <c r="P2169" s="387"/>
    </row>
    <row r="2170" spans="1:16">
      <c r="A2170" s="387" t="b">
        <v>0</v>
      </c>
      <c r="B2170" s="387"/>
      <c r="C2170" s="387" t="s">
        <v>4204</v>
      </c>
      <c r="D2170" s="392">
        <v>28</v>
      </c>
      <c r="E2170" s="389"/>
      <c r="F2170" s="391"/>
      <c r="G2170" s="390"/>
      <c r="H2170" s="390"/>
      <c r="I2170" s="391"/>
      <c r="J2170" s="391"/>
      <c r="K2170" s="387" t="str">
        <f ca="1">IFERROR(VLOOKUP(C2170,' Disaggregation - Section E '!A$618:J2859,3,0),"")</f>
        <v>VT-1 Percentage of pregnant women who know their HIV status</v>
      </c>
      <c r="L2170" s="387"/>
      <c r="M2170" s="387"/>
      <c r="N2170" s="391"/>
      <c r="O2170" s="387" t="s">
        <v>2846</v>
      </c>
      <c r="P2170" s="387"/>
    </row>
    <row r="2171" spans="1:16">
      <c r="A2171" s="387" t="b">
        <v>0</v>
      </c>
      <c r="B2171" s="387"/>
      <c r="C2171" s="387" t="s">
        <v>4205</v>
      </c>
      <c r="D2171" s="392">
        <v>28</v>
      </c>
      <c r="E2171" s="389"/>
      <c r="F2171" s="391"/>
      <c r="G2171" s="390"/>
      <c r="H2171" s="390"/>
      <c r="I2171" s="391"/>
      <c r="J2171" s="391"/>
      <c r="K2171" s="387" t="str">
        <f ca="1">IFERROR(VLOOKUP(C2171,' Disaggregation - Section E '!A$618:J2860,3,0),"")</f>
        <v>VT-1 Percentage of pregnant women who know their HIV status</v>
      </c>
      <c r="L2171" s="387"/>
      <c r="M2171" s="387"/>
      <c r="N2171" s="391"/>
      <c r="O2171" s="387" t="s">
        <v>2846</v>
      </c>
      <c r="P2171" s="387"/>
    </row>
    <row r="2172" spans="1:16">
      <c r="A2172" s="387" t="b">
        <v>0</v>
      </c>
      <c r="B2172" s="387"/>
      <c r="C2172" s="387" t="s">
        <v>4206</v>
      </c>
      <c r="D2172" s="392">
        <v>29</v>
      </c>
      <c r="E2172" s="389"/>
      <c r="F2172" s="391" t="s">
        <v>3346</v>
      </c>
      <c r="G2172" s="390"/>
      <c r="H2172" s="390"/>
      <c r="I2172" s="391"/>
      <c r="J2172" s="391"/>
      <c r="K2172" s="387" t="str">
        <f ca="1">IFERROR(VLOOKUP(C2172,' Disaggregation - Section E '!A$618:J2861,3,0),"")</f>
        <v>VT-2 Percentage of HIV-exposed infants receiving a virological test for HIV within 2 months of birth</v>
      </c>
      <c r="L2172" s="387"/>
      <c r="M2172" s="387" t="s">
        <v>4207</v>
      </c>
      <c r="N2172" s="391"/>
      <c r="O2172" s="387" t="s">
        <v>2853</v>
      </c>
      <c r="P2172" s="387" t="s">
        <v>4208</v>
      </c>
    </row>
    <row r="2173" spans="1:16">
      <c r="A2173" s="387" t="b">
        <v>0</v>
      </c>
      <c r="B2173" s="387"/>
      <c r="C2173" s="387" t="s">
        <v>4209</v>
      </c>
      <c r="D2173" s="392">
        <v>29</v>
      </c>
      <c r="E2173" s="389"/>
      <c r="F2173" s="391" t="s">
        <v>3356</v>
      </c>
      <c r="G2173" s="390"/>
      <c r="H2173" s="390"/>
      <c r="I2173" s="391"/>
      <c r="J2173" s="391"/>
      <c r="K2173" s="387" t="str">
        <f ca="1">IFERROR(VLOOKUP(C2173,' Disaggregation - Section E '!A$618:J2862,3,0),"")</f>
        <v>VT-2 Percentage of HIV-exposed infants receiving a virological test for HIV within 2 months of birth</v>
      </c>
      <c r="L2173" s="387"/>
      <c r="M2173" s="387" t="s">
        <v>4210</v>
      </c>
      <c r="N2173" s="391"/>
      <c r="O2173" s="387" t="s">
        <v>2853</v>
      </c>
      <c r="P2173" s="387" t="s">
        <v>4211</v>
      </c>
    </row>
    <row r="2174" spans="1:16">
      <c r="A2174" s="387" t="b">
        <v>0</v>
      </c>
      <c r="B2174" s="387"/>
      <c r="C2174" s="387" t="s">
        <v>4212</v>
      </c>
      <c r="D2174" s="392">
        <v>29</v>
      </c>
      <c r="E2174" s="389"/>
      <c r="F2174" s="391" t="s">
        <v>3367</v>
      </c>
      <c r="G2174" s="390"/>
      <c r="H2174" s="390"/>
      <c r="I2174" s="391"/>
      <c r="J2174" s="391"/>
      <c r="K2174" s="387" t="str">
        <f ca="1">IFERROR(VLOOKUP(C2174,' Disaggregation - Section E '!A$618:J2863,3,0),"")</f>
        <v>VT-2 Percentage of HIV-exposed infants receiving a virological test for HIV within 2 months of birth</v>
      </c>
      <c r="L2174" s="387"/>
      <c r="M2174" s="387" t="s">
        <v>4213</v>
      </c>
      <c r="N2174" s="391"/>
      <c r="O2174" s="387" t="s">
        <v>2853</v>
      </c>
      <c r="P2174" s="387" t="s">
        <v>4214</v>
      </c>
    </row>
    <row r="2175" spans="1:16">
      <c r="A2175" s="387" t="b">
        <v>0</v>
      </c>
      <c r="B2175" s="387"/>
      <c r="C2175" s="387" t="s">
        <v>4215</v>
      </c>
      <c r="D2175" s="392">
        <v>29</v>
      </c>
      <c r="E2175" s="389"/>
      <c r="F2175" s="391"/>
      <c r="G2175" s="390"/>
      <c r="H2175" s="390"/>
      <c r="I2175" s="391"/>
      <c r="J2175" s="391"/>
      <c r="K2175" s="387" t="str">
        <f ca="1">IFERROR(VLOOKUP(C2175,' Disaggregation - Section E '!A$618:J2864,3,0),"")</f>
        <v>VT-2 Percentage of HIV-exposed infants receiving a virological test for HIV within 2 months of birth</v>
      </c>
      <c r="L2175" s="387"/>
      <c r="M2175" s="387"/>
      <c r="N2175" s="391"/>
      <c r="O2175" s="387" t="s">
        <v>2853</v>
      </c>
      <c r="P2175" s="387"/>
    </row>
    <row r="2176" spans="1:16">
      <c r="A2176" s="387" t="b">
        <v>0</v>
      </c>
      <c r="B2176" s="387"/>
      <c r="C2176" s="387" t="s">
        <v>4216</v>
      </c>
      <c r="D2176" s="392">
        <v>29</v>
      </c>
      <c r="E2176" s="389"/>
      <c r="F2176" s="391"/>
      <c r="G2176" s="390"/>
      <c r="H2176" s="390"/>
      <c r="I2176" s="391"/>
      <c r="J2176" s="391"/>
      <c r="K2176" s="387" t="str">
        <f ca="1">IFERROR(VLOOKUP(C2176,' Disaggregation - Section E '!A$618:J2865,3,0),"")</f>
        <v>VT-2 Percentage of HIV-exposed infants receiving a virological test for HIV within 2 months of birth</v>
      </c>
      <c r="L2176" s="387"/>
      <c r="M2176" s="387"/>
      <c r="N2176" s="391"/>
      <c r="O2176" s="387" t="s">
        <v>2853</v>
      </c>
      <c r="P2176" s="387"/>
    </row>
    <row r="2177" spans="1:16">
      <c r="A2177" s="387" t="b">
        <v>0</v>
      </c>
      <c r="B2177" s="387"/>
      <c r="C2177" s="387" t="s">
        <v>4217</v>
      </c>
      <c r="D2177" s="392">
        <v>29</v>
      </c>
      <c r="E2177" s="389"/>
      <c r="F2177" s="391"/>
      <c r="G2177" s="390"/>
      <c r="H2177" s="390"/>
      <c r="I2177" s="391"/>
      <c r="J2177" s="391"/>
      <c r="K2177" s="387" t="str">
        <f ca="1">IFERROR(VLOOKUP(C2177,' Disaggregation - Section E '!A$618:J2866,3,0),"")</f>
        <v>VT-2 Percentage of HIV-exposed infants receiving a virological test for HIV within 2 months of birth</v>
      </c>
      <c r="L2177" s="387"/>
      <c r="M2177" s="387"/>
      <c r="N2177" s="391"/>
      <c r="O2177" s="387" t="s">
        <v>2853</v>
      </c>
      <c r="P2177" s="387"/>
    </row>
    <row r="2178" spans="1:16">
      <c r="A2178" s="387" t="b">
        <v>0</v>
      </c>
      <c r="B2178" s="387"/>
      <c r="C2178" s="387" t="s">
        <v>4218</v>
      </c>
      <c r="D2178" s="392">
        <v>29</v>
      </c>
      <c r="E2178" s="389"/>
      <c r="F2178" s="391"/>
      <c r="G2178" s="390"/>
      <c r="H2178" s="390"/>
      <c r="I2178" s="391"/>
      <c r="J2178" s="391"/>
      <c r="K2178" s="387" t="str">
        <f ca="1">IFERROR(VLOOKUP(C2178,' Disaggregation - Section E '!A$618:J2867,3,0),"")</f>
        <v>VT-2 Percentage of HIV-exposed infants receiving a virological test for HIV within 2 months of birth</v>
      </c>
      <c r="L2178" s="387"/>
      <c r="M2178" s="387"/>
      <c r="N2178" s="391"/>
      <c r="O2178" s="387" t="s">
        <v>2853</v>
      </c>
      <c r="P2178" s="387"/>
    </row>
    <row r="2179" spans="1:16">
      <c r="A2179" s="387" t="b">
        <v>0</v>
      </c>
      <c r="B2179" s="387"/>
      <c r="C2179" s="387" t="s">
        <v>4219</v>
      </c>
      <c r="D2179" s="392">
        <v>29</v>
      </c>
      <c r="E2179" s="389"/>
      <c r="F2179" s="391"/>
      <c r="G2179" s="390"/>
      <c r="H2179" s="390"/>
      <c r="I2179" s="391"/>
      <c r="J2179" s="391"/>
      <c r="K2179" s="387" t="str">
        <f ca="1">IFERROR(VLOOKUP(C2179,' Disaggregation - Section E '!A$618:J2868,3,0),"")</f>
        <v>VT-2 Percentage of HIV-exposed infants receiving a virological test for HIV within 2 months of birth</v>
      </c>
      <c r="L2179" s="387"/>
      <c r="M2179" s="387"/>
      <c r="N2179" s="391"/>
      <c r="O2179" s="387" t="s">
        <v>2853</v>
      </c>
      <c r="P2179" s="387"/>
    </row>
    <row r="2180" spans="1:16">
      <c r="A2180" s="387" t="b">
        <v>0</v>
      </c>
      <c r="B2180" s="387"/>
      <c r="C2180" s="387" t="s">
        <v>4220</v>
      </c>
      <c r="D2180" s="392">
        <v>29</v>
      </c>
      <c r="E2180" s="389"/>
      <c r="F2180" s="391"/>
      <c r="G2180" s="390"/>
      <c r="H2180" s="390"/>
      <c r="I2180" s="391"/>
      <c r="J2180" s="391"/>
      <c r="K2180" s="387" t="str">
        <f ca="1">IFERROR(VLOOKUP(C2180,' Disaggregation - Section E '!A$618:J2869,3,0),"")</f>
        <v>VT-2 Percentage of HIV-exposed infants receiving a virological test for HIV within 2 months of birth</v>
      </c>
      <c r="L2180" s="387"/>
      <c r="M2180" s="387"/>
      <c r="N2180" s="391"/>
      <c r="O2180" s="387" t="s">
        <v>2853</v>
      </c>
      <c r="P2180" s="387"/>
    </row>
    <row r="2181" spans="1:16">
      <c r="A2181" s="387" t="b">
        <v>0</v>
      </c>
      <c r="B2181" s="387"/>
      <c r="C2181" s="387" t="s">
        <v>4221</v>
      </c>
      <c r="D2181" s="392">
        <v>29</v>
      </c>
      <c r="E2181" s="389"/>
      <c r="F2181" s="391"/>
      <c r="G2181" s="390"/>
      <c r="H2181" s="390"/>
      <c r="I2181" s="391"/>
      <c r="J2181" s="391"/>
      <c r="K2181" s="387" t="str">
        <f ca="1">IFERROR(VLOOKUP(C2181,' Disaggregation - Section E '!A$618:J2870,3,0),"")</f>
        <v>VT-2 Percentage of HIV-exposed infants receiving a virological test for HIV within 2 months of birth</v>
      </c>
      <c r="L2181" s="387"/>
      <c r="M2181" s="387"/>
      <c r="N2181" s="391"/>
      <c r="O2181" s="387" t="s">
        <v>2853</v>
      </c>
      <c r="P2181" s="387"/>
    </row>
    <row r="2182" spans="1:16">
      <c r="A2182" s="387" t="b">
        <v>0</v>
      </c>
      <c r="B2182" s="387"/>
      <c r="C2182" s="387" t="s">
        <v>4222</v>
      </c>
      <c r="D2182" s="392">
        <v>29</v>
      </c>
      <c r="E2182" s="389"/>
      <c r="F2182" s="391"/>
      <c r="G2182" s="390"/>
      <c r="H2182" s="390"/>
      <c r="I2182" s="391"/>
      <c r="J2182" s="391"/>
      <c r="K2182" s="387" t="str">
        <f ca="1">IFERROR(VLOOKUP(C2182,' Disaggregation - Section E '!A$618:J2871,3,0),"")</f>
        <v>VT-2 Percentage of HIV-exposed infants receiving a virological test for HIV within 2 months of birth</v>
      </c>
      <c r="L2182" s="387"/>
      <c r="M2182" s="387"/>
      <c r="N2182" s="391"/>
      <c r="O2182" s="387" t="s">
        <v>2853</v>
      </c>
      <c r="P2182" s="387"/>
    </row>
    <row r="2183" spans="1:16">
      <c r="A2183" s="387" t="b">
        <v>0</v>
      </c>
      <c r="B2183" s="387"/>
      <c r="C2183" s="387" t="s">
        <v>4223</v>
      </c>
      <c r="D2183" s="392">
        <v>29</v>
      </c>
      <c r="E2183" s="389"/>
      <c r="F2183" s="391"/>
      <c r="G2183" s="390"/>
      <c r="H2183" s="390"/>
      <c r="I2183" s="391"/>
      <c r="J2183" s="391"/>
      <c r="K2183" s="387" t="str">
        <f ca="1">IFERROR(VLOOKUP(C2183,' Disaggregation - Section E '!A$618:J2872,3,0),"")</f>
        <v>VT-2 Percentage of HIV-exposed infants receiving a virological test for HIV within 2 months of birth</v>
      </c>
      <c r="L2183" s="387"/>
      <c r="M2183" s="387"/>
      <c r="N2183" s="391"/>
      <c r="O2183" s="387" t="s">
        <v>2853</v>
      </c>
      <c r="P2183" s="387"/>
    </row>
    <row r="2184" spans="1:16">
      <c r="A2184" s="387" t="b">
        <v>0</v>
      </c>
      <c r="B2184" s="387"/>
      <c r="C2184" s="387" t="s">
        <v>4224</v>
      </c>
      <c r="D2184" s="392">
        <v>29</v>
      </c>
      <c r="E2184" s="389"/>
      <c r="F2184" s="391"/>
      <c r="G2184" s="390"/>
      <c r="H2184" s="390"/>
      <c r="I2184" s="391"/>
      <c r="J2184" s="391"/>
      <c r="K2184" s="387" t="str">
        <f ca="1">IFERROR(VLOOKUP(C2184,' Disaggregation - Section E '!A$618:J2873,3,0),"")</f>
        <v>VT-2 Percentage of HIV-exposed infants receiving a virological test for HIV within 2 months of birth</v>
      </c>
      <c r="L2184" s="387"/>
      <c r="M2184" s="387"/>
      <c r="N2184" s="391"/>
      <c r="O2184" s="387" t="s">
        <v>2853</v>
      </c>
      <c r="P2184" s="387"/>
    </row>
    <row r="2185" spans="1:16">
      <c r="A2185" s="387" t="b">
        <v>0</v>
      </c>
      <c r="B2185" s="387"/>
      <c r="C2185" s="387" t="s">
        <v>4225</v>
      </c>
      <c r="D2185" s="392">
        <v>29</v>
      </c>
      <c r="E2185" s="389"/>
      <c r="F2185" s="391"/>
      <c r="G2185" s="390"/>
      <c r="H2185" s="390"/>
      <c r="I2185" s="391"/>
      <c r="J2185" s="391"/>
      <c r="K2185" s="387" t="str">
        <f ca="1">IFERROR(VLOOKUP(C2185,' Disaggregation - Section E '!A$618:J2874,3,0),"")</f>
        <v>VT-2 Percentage of HIV-exposed infants receiving a virological test for HIV within 2 months of birth</v>
      </c>
      <c r="L2185" s="387"/>
      <c r="M2185" s="387"/>
      <c r="N2185" s="391"/>
      <c r="O2185" s="387" t="s">
        <v>2853</v>
      </c>
      <c r="P2185" s="387"/>
    </row>
    <row r="2186" spans="1:16">
      <c r="A2186" s="387" t="b">
        <v>0</v>
      </c>
      <c r="B2186" s="387"/>
      <c r="C2186" s="387" t="s">
        <v>4226</v>
      </c>
      <c r="D2186" s="392">
        <v>29</v>
      </c>
      <c r="E2186" s="389"/>
      <c r="F2186" s="391"/>
      <c r="G2186" s="390"/>
      <c r="H2186" s="390"/>
      <c r="I2186" s="391"/>
      <c r="J2186" s="391"/>
      <c r="K2186" s="387" t="str">
        <f ca="1">IFERROR(VLOOKUP(C2186,' Disaggregation - Section E '!A$618:J2875,3,0),"")</f>
        <v>VT-2 Percentage of HIV-exposed infants receiving a virological test for HIV within 2 months of birth</v>
      </c>
      <c r="L2186" s="387"/>
      <c r="M2186" s="387"/>
      <c r="N2186" s="391"/>
      <c r="O2186" s="387" t="s">
        <v>2853</v>
      </c>
      <c r="P2186" s="387"/>
    </row>
    <row r="2187" spans="1:16">
      <c r="A2187" s="387" t="b">
        <v>0</v>
      </c>
      <c r="B2187" s="387"/>
      <c r="C2187" s="387" t="s">
        <v>4227</v>
      </c>
      <c r="D2187" s="392">
        <v>29</v>
      </c>
      <c r="E2187" s="389"/>
      <c r="F2187" s="391"/>
      <c r="G2187" s="390"/>
      <c r="H2187" s="390"/>
      <c r="I2187" s="391"/>
      <c r="J2187" s="391"/>
      <c r="K2187" s="387" t="str">
        <f ca="1">IFERROR(VLOOKUP(C2187,' Disaggregation - Section E '!A$618:J2876,3,0),"")</f>
        <v>VT-2 Percentage of HIV-exposed infants receiving a virological test for HIV within 2 months of birth</v>
      </c>
      <c r="L2187" s="387"/>
      <c r="M2187" s="387"/>
      <c r="N2187" s="391"/>
      <c r="O2187" s="387" t="s">
        <v>2853</v>
      </c>
      <c r="P2187" s="387"/>
    </row>
    <row r="2188" spans="1:16">
      <c r="A2188" s="387" t="b">
        <v>0</v>
      </c>
      <c r="B2188" s="387"/>
      <c r="C2188" s="387" t="s">
        <v>4228</v>
      </c>
      <c r="D2188" s="392">
        <v>29</v>
      </c>
      <c r="E2188" s="389"/>
      <c r="F2188" s="391"/>
      <c r="G2188" s="390"/>
      <c r="H2188" s="390"/>
      <c r="I2188" s="391"/>
      <c r="J2188" s="391"/>
      <c r="K2188" s="387" t="str">
        <f ca="1">IFERROR(VLOOKUP(C2188,' Disaggregation - Section E '!A$618:J2877,3,0),"")</f>
        <v>VT-2 Percentage of HIV-exposed infants receiving a virological test for HIV within 2 months of birth</v>
      </c>
      <c r="L2188" s="387"/>
      <c r="M2188" s="387"/>
      <c r="N2188" s="391"/>
      <c r="O2188" s="387" t="s">
        <v>2853</v>
      </c>
      <c r="P2188" s="387"/>
    </row>
    <row r="2189" spans="1:16">
      <c r="A2189" s="387" t="b">
        <v>0</v>
      </c>
      <c r="B2189" s="387"/>
      <c r="C2189" s="387" t="s">
        <v>4229</v>
      </c>
      <c r="D2189" s="392">
        <v>29</v>
      </c>
      <c r="E2189" s="389"/>
      <c r="F2189" s="391"/>
      <c r="G2189" s="390"/>
      <c r="H2189" s="390"/>
      <c r="I2189" s="391"/>
      <c r="J2189" s="391"/>
      <c r="K2189" s="387" t="str">
        <f ca="1">IFERROR(VLOOKUP(C2189,' Disaggregation - Section E '!A$618:J2878,3,0),"")</f>
        <v>VT-2 Percentage of HIV-exposed infants receiving a virological test for HIV within 2 months of birth</v>
      </c>
      <c r="L2189" s="387"/>
      <c r="M2189" s="387"/>
      <c r="N2189" s="391"/>
      <c r="O2189" s="387" t="s">
        <v>2853</v>
      </c>
      <c r="P2189" s="387"/>
    </row>
    <row r="2190" spans="1:16">
      <c r="A2190" s="387" t="b">
        <v>0</v>
      </c>
      <c r="B2190" s="387"/>
      <c r="C2190" s="387" t="s">
        <v>4230</v>
      </c>
      <c r="D2190" s="392">
        <v>29</v>
      </c>
      <c r="E2190" s="389"/>
      <c r="F2190" s="391"/>
      <c r="G2190" s="390"/>
      <c r="H2190" s="390"/>
      <c r="I2190" s="391"/>
      <c r="J2190" s="391"/>
      <c r="K2190" s="387" t="str">
        <f ca="1">IFERROR(VLOOKUP(C2190,' Disaggregation - Section E '!A$618:J2879,3,0),"")</f>
        <v>VT-2 Percentage of HIV-exposed infants receiving a virological test for HIV within 2 months of birth</v>
      </c>
      <c r="L2190" s="387"/>
      <c r="M2190" s="387"/>
      <c r="N2190" s="391"/>
      <c r="O2190" s="387" t="s">
        <v>2853</v>
      </c>
      <c r="P2190" s="387"/>
    </row>
    <row r="2191" spans="1:16">
      <c r="A2191" s="387" t="b">
        <v>0</v>
      </c>
      <c r="B2191" s="387"/>
      <c r="C2191" s="387" t="s">
        <v>4231</v>
      </c>
      <c r="D2191" s="392">
        <v>29</v>
      </c>
      <c r="E2191" s="389"/>
      <c r="F2191" s="391"/>
      <c r="G2191" s="390"/>
      <c r="H2191" s="390"/>
      <c r="I2191" s="391"/>
      <c r="J2191" s="391"/>
      <c r="K2191" s="387" t="str">
        <f ca="1">IFERROR(VLOOKUP(C2191,' Disaggregation - Section E '!A$618:J2880,3,0),"")</f>
        <v>VT-2 Percentage of HIV-exposed infants receiving a virological test for HIV within 2 months of birth</v>
      </c>
      <c r="L2191" s="387"/>
      <c r="M2191" s="387"/>
      <c r="N2191" s="391"/>
      <c r="O2191" s="387" t="s">
        <v>2853</v>
      </c>
      <c r="P2191" s="387"/>
    </row>
    <row r="2192" spans="1:16">
      <c r="A2192" s="387" t="b">
        <v>0</v>
      </c>
      <c r="B2192" s="387"/>
      <c r="C2192" s="387" t="s">
        <v>4232</v>
      </c>
      <c r="D2192" s="392">
        <v>30</v>
      </c>
      <c r="E2192" s="389"/>
      <c r="F2192" s="391"/>
      <c r="G2192" s="390"/>
      <c r="H2192" s="390"/>
      <c r="I2192" s="391"/>
      <c r="J2192" s="391"/>
      <c r="K2192" s="387" t="str">
        <f ca="1">IFERROR(VLOOKUP(C2192,' Disaggregation - Section E '!A$618:J2881,3,0),"")</f>
        <v>VT-3 Percentage of women accessing antenatal care services who were tested for syphilis</v>
      </c>
      <c r="L2192" s="387"/>
      <c r="M2192" s="387"/>
      <c r="N2192" s="391"/>
      <c r="O2192" s="387" t="s">
        <v>2860</v>
      </c>
      <c r="P2192" s="387"/>
    </row>
    <row r="2193" spans="1:16">
      <c r="A2193" s="387" t="b">
        <v>0</v>
      </c>
      <c r="B2193" s="387"/>
      <c r="C2193" s="387" t="s">
        <v>4233</v>
      </c>
      <c r="D2193" s="392">
        <v>30</v>
      </c>
      <c r="E2193" s="389"/>
      <c r="F2193" s="391"/>
      <c r="G2193" s="390"/>
      <c r="H2193" s="390"/>
      <c r="I2193" s="391"/>
      <c r="J2193" s="391"/>
      <c r="K2193" s="387" t="str">
        <f ca="1">IFERROR(VLOOKUP(C2193,' Disaggregation - Section E '!A$618:J2882,3,0),"")</f>
        <v>VT-3 Percentage of women accessing antenatal care services who were tested for syphilis</v>
      </c>
      <c r="L2193" s="387"/>
      <c r="M2193" s="387"/>
      <c r="N2193" s="391"/>
      <c r="O2193" s="387" t="s">
        <v>2860</v>
      </c>
      <c r="P2193" s="387"/>
    </row>
    <row r="2194" spans="1:16">
      <c r="A2194" s="387" t="b">
        <v>0</v>
      </c>
      <c r="B2194" s="387"/>
      <c r="C2194" s="387" t="s">
        <v>4234</v>
      </c>
      <c r="D2194" s="392">
        <v>30</v>
      </c>
      <c r="E2194" s="389"/>
      <c r="F2194" s="391"/>
      <c r="G2194" s="390"/>
      <c r="H2194" s="390"/>
      <c r="I2194" s="391"/>
      <c r="J2194" s="391"/>
      <c r="K2194" s="387" t="str">
        <f ca="1">IFERROR(VLOOKUP(C2194,' Disaggregation - Section E '!A$618:J2883,3,0),"")</f>
        <v>VT-3 Percentage of women accessing antenatal care services who were tested for syphilis</v>
      </c>
      <c r="L2194" s="387"/>
      <c r="M2194" s="387"/>
      <c r="N2194" s="391"/>
      <c r="O2194" s="387" t="s">
        <v>2860</v>
      </c>
      <c r="P2194" s="387"/>
    </row>
    <row r="2195" spans="1:16">
      <c r="A2195" s="387" t="b">
        <v>0</v>
      </c>
      <c r="B2195" s="387"/>
      <c r="C2195" s="387" t="s">
        <v>4235</v>
      </c>
      <c r="D2195" s="392">
        <v>30</v>
      </c>
      <c r="E2195" s="389"/>
      <c r="F2195" s="391"/>
      <c r="G2195" s="390"/>
      <c r="H2195" s="390"/>
      <c r="I2195" s="391"/>
      <c r="J2195" s="391"/>
      <c r="K2195" s="387" t="str">
        <f ca="1">IFERROR(VLOOKUP(C2195,' Disaggregation - Section E '!A$618:J2884,3,0),"")</f>
        <v>VT-3 Percentage of women accessing antenatal care services who were tested for syphilis</v>
      </c>
      <c r="L2195" s="387"/>
      <c r="M2195" s="387"/>
      <c r="N2195" s="391"/>
      <c r="O2195" s="387" t="s">
        <v>2860</v>
      </c>
      <c r="P2195" s="387"/>
    </row>
    <row r="2196" spans="1:16">
      <c r="A2196" s="387" t="b">
        <v>0</v>
      </c>
      <c r="B2196" s="387"/>
      <c r="C2196" s="387" t="s">
        <v>4236</v>
      </c>
      <c r="D2196" s="392">
        <v>30</v>
      </c>
      <c r="E2196" s="389"/>
      <c r="F2196" s="391"/>
      <c r="G2196" s="390"/>
      <c r="H2196" s="390"/>
      <c r="I2196" s="391"/>
      <c r="J2196" s="391"/>
      <c r="K2196" s="387" t="str">
        <f ca="1">IFERROR(VLOOKUP(C2196,' Disaggregation - Section E '!A$618:J2885,3,0),"")</f>
        <v>VT-3 Percentage of women accessing antenatal care services who were tested for syphilis</v>
      </c>
      <c r="L2196" s="387"/>
      <c r="M2196" s="387"/>
      <c r="N2196" s="391"/>
      <c r="O2196" s="387" t="s">
        <v>2860</v>
      </c>
      <c r="P2196" s="387"/>
    </row>
    <row r="2197" spans="1:16">
      <c r="A2197" s="387" t="b">
        <v>0</v>
      </c>
      <c r="B2197" s="387"/>
      <c r="C2197" s="387" t="s">
        <v>4237</v>
      </c>
      <c r="D2197" s="392">
        <v>30</v>
      </c>
      <c r="E2197" s="389"/>
      <c r="F2197" s="391"/>
      <c r="G2197" s="390"/>
      <c r="H2197" s="390"/>
      <c r="I2197" s="391"/>
      <c r="J2197" s="391"/>
      <c r="K2197" s="387" t="str">
        <f ca="1">IFERROR(VLOOKUP(C2197,' Disaggregation - Section E '!A$618:J2886,3,0),"")</f>
        <v>VT-3 Percentage of women accessing antenatal care services who were tested for syphilis</v>
      </c>
      <c r="L2197" s="387"/>
      <c r="M2197" s="387"/>
      <c r="N2197" s="391"/>
      <c r="O2197" s="387" t="s">
        <v>2860</v>
      </c>
      <c r="P2197" s="387"/>
    </row>
    <row r="2198" spans="1:16">
      <c r="A2198" s="387" t="b">
        <v>0</v>
      </c>
      <c r="B2198" s="387"/>
      <c r="C2198" s="387" t="s">
        <v>4238</v>
      </c>
      <c r="D2198" s="392">
        <v>30</v>
      </c>
      <c r="E2198" s="389"/>
      <c r="F2198" s="391"/>
      <c r="G2198" s="390"/>
      <c r="H2198" s="390"/>
      <c r="I2198" s="391"/>
      <c r="J2198" s="391"/>
      <c r="K2198" s="387" t="str">
        <f ca="1">IFERROR(VLOOKUP(C2198,' Disaggregation - Section E '!A$618:J2887,3,0),"")</f>
        <v>VT-3 Percentage of women accessing antenatal care services who were tested for syphilis</v>
      </c>
      <c r="L2198" s="387"/>
      <c r="M2198" s="387"/>
      <c r="N2198" s="391"/>
      <c r="O2198" s="387" t="s">
        <v>2860</v>
      </c>
      <c r="P2198" s="387"/>
    </row>
    <row r="2199" spans="1:16">
      <c r="A2199" s="387" t="b">
        <v>0</v>
      </c>
      <c r="B2199" s="387"/>
      <c r="C2199" s="387" t="s">
        <v>4239</v>
      </c>
      <c r="D2199" s="392">
        <v>30</v>
      </c>
      <c r="E2199" s="389"/>
      <c r="F2199" s="391"/>
      <c r="G2199" s="390"/>
      <c r="H2199" s="390"/>
      <c r="I2199" s="391"/>
      <c r="J2199" s="391"/>
      <c r="K2199" s="387" t="str">
        <f ca="1">IFERROR(VLOOKUP(C2199,' Disaggregation - Section E '!A$618:J2888,3,0),"")</f>
        <v>VT-3 Percentage of women accessing antenatal care services who were tested for syphilis</v>
      </c>
      <c r="L2199" s="387"/>
      <c r="M2199" s="387"/>
      <c r="N2199" s="391"/>
      <c r="O2199" s="387" t="s">
        <v>2860</v>
      </c>
      <c r="P2199" s="387"/>
    </row>
    <row r="2200" spans="1:16">
      <c r="A2200" s="387" t="b">
        <v>0</v>
      </c>
      <c r="B2200" s="387"/>
      <c r="C2200" s="387" t="s">
        <v>4240</v>
      </c>
      <c r="D2200" s="392">
        <v>30</v>
      </c>
      <c r="E2200" s="389"/>
      <c r="F2200" s="391"/>
      <c r="G2200" s="390"/>
      <c r="H2200" s="390"/>
      <c r="I2200" s="391"/>
      <c r="J2200" s="391"/>
      <c r="K2200" s="387" t="str">
        <f ca="1">IFERROR(VLOOKUP(C2200,' Disaggregation - Section E '!A$618:J2889,3,0),"")</f>
        <v>VT-3 Percentage of women accessing antenatal care services who were tested for syphilis</v>
      </c>
      <c r="L2200" s="387"/>
      <c r="M2200" s="387"/>
      <c r="N2200" s="391"/>
      <c r="O2200" s="387" t="s">
        <v>2860</v>
      </c>
      <c r="P2200" s="387"/>
    </row>
    <row r="2201" spans="1:16">
      <c r="A2201" s="387" t="b">
        <v>0</v>
      </c>
      <c r="B2201" s="387"/>
      <c r="C2201" s="387" t="s">
        <v>4241</v>
      </c>
      <c r="D2201" s="392">
        <v>30</v>
      </c>
      <c r="E2201" s="389"/>
      <c r="F2201" s="391"/>
      <c r="G2201" s="390"/>
      <c r="H2201" s="390"/>
      <c r="I2201" s="391"/>
      <c r="J2201" s="391"/>
      <c r="K2201" s="387" t="str">
        <f ca="1">IFERROR(VLOOKUP(C2201,' Disaggregation - Section E '!A$618:J2890,3,0),"")</f>
        <v>VT-3 Percentage of women accessing antenatal care services who were tested for syphilis</v>
      </c>
      <c r="L2201" s="387"/>
      <c r="M2201" s="387"/>
      <c r="N2201" s="391"/>
      <c r="O2201" s="387" t="s">
        <v>2860</v>
      </c>
      <c r="P2201" s="387"/>
    </row>
    <row r="2202" spans="1:16">
      <c r="A2202" s="387" t="b">
        <v>0</v>
      </c>
      <c r="B2202" s="387"/>
      <c r="C2202" s="387" t="s">
        <v>4242</v>
      </c>
      <c r="D2202" s="392">
        <v>30</v>
      </c>
      <c r="E2202" s="389"/>
      <c r="F2202" s="391"/>
      <c r="G2202" s="390"/>
      <c r="H2202" s="390"/>
      <c r="I2202" s="391"/>
      <c r="J2202" s="391"/>
      <c r="K2202" s="387" t="str">
        <f ca="1">IFERROR(VLOOKUP(C2202,' Disaggregation - Section E '!A$618:J2891,3,0),"")</f>
        <v>VT-3 Percentage of women accessing antenatal care services who were tested for syphilis</v>
      </c>
      <c r="L2202" s="387"/>
      <c r="M2202" s="387"/>
      <c r="N2202" s="391"/>
      <c r="O2202" s="387" t="s">
        <v>2860</v>
      </c>
      <c r="P2202" s="387"/>
    </row>
    <row r="2203" spans="1:16">
      <c r="A2203" s="387" t="b">
        <v>0</v>
      </c>
      <c r="B2203" s="387"/>
      <c r="C2203" s="387" t="s">
        <v>4243</v>
      </c>
      <c r="D2203" s="392">
        <v>30</v>
      </c>
      <c r="E2203" s="389"/>
      <c r="F2203" s="391"/>
      <c r="G2203" s="390"/>
      <c r="H2203" s="390"/>
      <c r="I2203" s="391"/>
      <c r="J2203" s="391"/>
      <c r="K2203" s="387" t="str">
        <f ca="1">IFERROR(VLOOKUP(C2203,' Disaggregation - Section E '!A$618:J2892,3,0),"")</f>
        <v>VT-3 Percentage of women accessing antenatal care services who were tested for syphilis</v>
      </c>
      <c r="L2203" s="387"/>
      <c r="M2203" s="387"/>
      <c r="N2203" s="391"/>
      <c r="O2203" s="387" t="s">
        <v>2860</v>
      </c>
      <c r="P2203" s="387"/>
    </row>
    <row r="2204" spans="1:16">
      <c r="A2204" s="387" t="b">
        <v>0</v>
      </c>
      <c r="B2204" s="387"/>
      <c r="C2204" s="387" t="s">
        <v>4244</v>
      </c>
      <c r="D2204" s="392">
        <v>30</v>
      </c>
      <c r="E2204" s="389"/>
      <c r="F2204" s="391"/>
      <c r="G2204" s="390"/>
      <c r="H2204" s="390"/>
      <c r="I2204" s="391"/>
      <c r="J2204" s="391"/>
      <c r="K2204" s="387" t="str">
        <f ca="1">IFERROR(VLOOKUP(C2204,' Disaggregation - Section E '!A$618:J2893,3,0),"")</f>
        <v>VT-3 Percentage of women accessing antenatal care services who were tested for syphilis</v>
      </c>
      <c r="L2204" s="387"/>
      <c r="M2204" s="387"/>
      <c r="N2204" s="391"/>
      <c r="O2204" s="387" t="s">
        <v>2860</v>
      </c>
      <c r="P2204" s="387"/>
    </row>
    <row r="2205" spans="1:16">
      <c r="A2205" s="387" t="b">
        <v>0</v>
      </c>
      <c r="B2205" s="387"/>
      <c r="C2205" s="387" t="s">
        <v>4245</v>
      </c>
      <c r="D2205" s="392">
        <v>30</v>
      </c>
      <c r="E2205" s="389"/>
      <c r="F2205" s="391"/>
      <c r="G2205" s="390"/>
      <c r="H2205" s="390"/>
      <c r="I2205" s="391"/>
      <c r="J2205" s="391"/>
      <c r="K2205" s="387" t="str">
        <f ca="1">IFERROR(VLOOKUP(C2205,' Disaggregation - Section E '!A$618:J2894,3,0),"")</f>
        <v>VT-3 Percentage of women accessing antenatal care services who were tested for syphilis</v>
      </c>
      <c r="L2205" s="387"/>
      <c r="M2205" s="387"/>
      <c r="N2205" s="391"/>
      <c r="O2205" s="387" t="s">
        <v>2860</v>
      </c>
      <c r="P2205" s="387"/>
    </row>
    <row r="2206" spans="1:16">
      <c r="A2206" s="387" t="b">
        <v>0</v>
      </c>
      <c r="B2206" s="387"/>
      <c r="C2206" s="387" t="s">
        <v>4246</v>
      </c>
      <c r="D2206" s="392">
        <v>30</v>
      </c>
      <c r="E2206" s="389"/>
      <c r="F2206" s="391"/>
      <c r="G2206" s="390"/>
      <c r="H2206" s="390"/>
      <c r="I2206" s="391"/>
      <c r="J2206" s="391"/>
      <c r="K2206" s="387" t="str">
        <f ca="1">IFERROR(VLOOKUP(C2206,' Disaggregation - Section E '!A$618:J2895,3,0),"")</f>
        <v>VT-3 Percentage of women accessing antenatal care services who were tested for syphilis</v>
      </c>
      <c r="L2206" s="387"/>
      <c r="M2206" s="387"/>
      <c r="N2206" s="391"/>
      <c r="O2206" s="387" t="s">
        <v>2860</v>
      </c>
      <c r="P2206" s="387"/>
    </row>
    <row r="2207" spans="1:16">
      <c r="A2207" s="387" t="b">
        <v>0</v>
      </c>
      <c r="B2207" s="387"/>
      <c r="C2207" s="387" t="s">
        <v>4247</v>
      </c>
      <c r="D2207" s="392">
        <v>30</v>
      </c>
      <c r="E2207" s="389"/>
      <c r="F2207" s="391"/>
      <c r="G2207" s="390"/>
      <c r="H2207" s="390"/>
      <c r="I2207" s="391"/>
      <c r="J2207" s="391"/>
      <c r="K2207" s="387" t="str">
        <f ca="1">IFERROR(VLOOKUP(C2207,' Disaggregation - Section E '!A$618:J2896,3,0),"")</f>
        <v>VT-3 Percentage of women accessing antenatal care services who were tested for syphilis</v>
      </c>
      <c r="L2207" s="387"/>
      <c r="M2207" s="387"/>
      <c r="N2207" s="391"/>
      <c r="O2207" s="387" t="s">
        <v>2860</v>
      </c>
      <c r="P2207" s="387"/>
    </row>
    <row r="2208" spans="1:16">
      <c r="A2208" s="387" t="b">
        <v>0</v>
      </c>
      <c r="B2208" s="387"/>
      <c r="C2208" s="387" t="s">
        <v>4248</v>
      </c>
      <c r="D2208" s="392">
        <v>30</v>
      </c>
      <c r="E2208" s="389"/>
      <c r="F2208" s="391"/>
      <c r="G2208" s="390"/>
      <c r="H2208" s="390"/>
      <c r="I2208" s="391"/>
      <c r="J2208" s="391"/>
      <c r="K2208" s="387" t="str">
        <f ca="1">IFERROR(VLOOKUP(C2208,' Disaggregation - Section E '!A$618:J2897,3,0),"")</f>
        <v>VT-3 Percentage of women accessing antenatal care services who were tested for syphilis</v>
      </c>
      <c r="L2208" s="387"/>
      <c r="M2208" s="387"/>
      <c r="N2208" s="391"/>
      <c r="O2208" s="387" t="s">
        <v>2860</v>
      </c>
      <c r="P2208" s="387"/>
    </row>
    <row r="2209" spans="1:16">
      <c r="A2209" s="387" t="b">
        <v>0</v>
      </c>
      <c r="B2209" s="387"/>
      <c r="C2209" s="387" t="s">
        <v>4249</v>
      </c>
      <c r="D2209" s="392">
        <v>30</v>
      </c>
      <c r="E2209" s="389"/>
      <c r="F2209" s="391"/>
      <c r="G2209" s="390"/>
      <c r="H2209" s="390"/>
      <c r="I2209" s="391"/>
      <c r="J2209" s="391"/>
      <c r="K2209" s="387" t="str">
        <f ca="1">IFERROR(VLOOKUP(C2209,' Disaggregation - Section E '!A$618:J2898,3,0),"")</f>
        <v>VT-3 Percentage of women accessing antenatal care services who were tested for syphilis</v>
      </c>
      <c r="L2209" s="387"/>
      <c r="M2209" s="387"/>
      <c r="N2209" s="391"/>
      <c r="O2209" s="387" t="s">
        <v>2860</v>
      </c>
      <c r="P2209" s="387"/>
    </row>
    <row r="2210" spans="1:16">
      <c r="A2210" s="387" t="b">
        <v>0</v>
      </c>
      <c r="B2210" s="387"/>
      <c r="C2210" s="387" t="s">
        <v>4250</v>
      </c>
      <c r="D2210" s="392">
        <v>30</v>
      </c>
      <c r="E2210" s="389"/>
      <c r="F2210" s="391"/>
      <c r="G2210" s="390"/>
      <c r="H2210" s="390"/>
      <c r="I2210" s="391"/>
      <c r="J2210" s="391"/>
      <c r="K2210" s="387" t="str">
        <f ca="1">IFERROR(VLOOKUP(C2210,' Disaggregation - Section E '!A$618:J2899,3,0),"")</f>
        <v>VT-3 Percentage of women accessing antenatal care services who were tested for syphilis</v>
      </c>
      <c r="L2210" s="387"/>
      <c r="M2210" s="387"/>
      <c r="N2210" s="391"/>
      <c r="O2210" s="387" t="s">
        <v>2860</v>
      </c>
      <c r="P2210" s="387"/>
    </row>
    <row r="2211" spans="1:16">
      <c r="A2211" s="387" t="b">
        <v>0</v>
      </c>
      <c r="B2211" s="387"/>
      <c r="C2211" s="387" t="s">
        <v>4251</v>
      </c>
      <c r="D2211" s="392">
        <v>30</v>
      </c>
      <c r="E2211" s="389"/>
      <c r="F2211" s="391"/>
      <c r="G2211" s="390"/>
      <c r="H2211" s="390"/>
      <c r="I2211" s="391"/>
      <c r="J2211" s="391"/>
      <c r="K2211" s="387" t="str">
        <f ca="1">IFERROR(VLOOKUP(C2211,' Disaggregation - Section E '!A$618:J2900,3,0),"")</f>
        <v>HPM Other- 3: Pourcentage des établissements de santé disposant de médicaments traceurs pour la tuberculose le jour de la visite ou du rapportage</v>
      </c>
      <c r="L2211" s="387"/>
      <c r="M2211" s="387"/>
      <c r="N2211" s="391"/>
      <c r="O2211" s="387" t="s">
        <v>2860</v>
      </c>
      <c r="P2211" s="387"/>
    </row>
    <row r="2212" spans="1:16">
      <c r="A2212" s="387" t="b">
        <v>1</v>
      </c>
      <c r="B2212" s="387"/>
      <c r="C2212" s="387" t="s">
        <v>4252</v>
      </c>
      <c r="D2212" s="392">
        <v>31</v>
      </c>
      <c r="E2212" s="389">
        <v>22.08686243</v>
      </c>
      <c r="F2212" s="391" t="s">
        <v>3193</v>
      </c>
      <c r="G2212" s="390">
        <v>47356</v>
      </c>
      <c r="H2212" s="390">
        <v>214408</v>
      </c>
      <c r="I2212" s="391" t="s">
        <v>2328</v>
      </c>
      <c r="J2212" s="391" t="s">
        <v>780</v>
      </c>
      <c r="K2212" s="387" t="str">
        <f ca="1">IFERROR(VLOOKUP(C2212,' Disaggregation - Section E '!A$618:J2901,3,0),"")</f>
        <v/>
      </c>
      <c r="L2212" s="387"/>
      <c r="M2212" s="387" t="s">
        <v>4253</v>
      </c>
      <c r="N2212" s="391" t="s">
        <v>2274</v>
      </c>
      <c r="O2212" s="387" t="s">
        <v>2867</v>
      </c>
      <c r="P2212" s="387" t="s">
        <v>4254</v>
      </c>
    </row>
    <row r="2213" spans="1:16">
      <c r="A2213" s="387" t="b">
        <v>1</v>
      </c>
      <c r="B2213" s="387"/>
      <c r="C2213" s="387" t="s">
        <v>4255</v>
      </c>
      <c r="D2213" s="392">
        <v>31</v>
      </c>
      <c r="E2213" s="389">
        <v>12.55503526</v>
      </c>
      <c r="F2213" s="391" t="s">
        <v>3197</v>
      </c>
      <c r="G2213" s="390">
        <v>26919</v>
      </c>
      <c r="H2213" s="390">
        <v>214408</v>
      </c>
      <c r="I2213" s="391" t="s">
        <v>2328</v>
      </c>
      <c r="J2213" s="391" t="s">
        <v>780</v>
      </c>
      <c r="K2213" s="387" t="str">
        <f ca="1">IFERROR(VLOOKUP(C2213,' Disaggregation - Section E '!A$618:J2902,3,0),"")</f>
        <v/>
      </c>
      <c r="L2213" s="387"/>
      <c r="M2213" s="387" t="s">
        <v>4256</v>
      </c>
      <c r="N2213" s="391" t="s">
        <v>2275</v>
      </c>
      <c r="O2213" s="387" t="s">
        <v>2867</v>
      </c>
      <c r="P2213" s="387" t="s">
        <v>4257</v>
      </c>
    </row>
    <row r="2214" spans="1:16">
      <c r="A2214" s="387" t="b">
        <v>1</v>
      </c>
      <c r="B2214" s="387"/>
      <c r="C2214" s="387" t="s">
        <v>4258</v>
      </c>
      <c r="D2214" s="392">
        <v>32</v>
      </c>
      <c r="E2214" s="389"/>
      <c r="F2214" s="391" t="s">
        <v>3193</v>
      </c>
      <c r="G2214" s="390"/>
      <c r="H2214" s="390"/>
      <c r="I2214" s="391"/>
      <c r="J2214" s="391" t="s">
        <v>2281</v>
      </c>
      <c r="K2214" s="387" t="str">
        <f ca="1">IFERROR(VLOOKUP(C2214,' Disaggregation - Section E '!A$618:J2903,3,0),"")</f>
        <v/>
      </c>
      <c r="L2214" s="387"/>
      <c r="M2214" s="387" t="s">
        <v>4259</v>
      </c>
      <c r="N2214" s="391" t="s">
        <v>2282</v>
      </c>
      <c r="O2214" s="387" t="s">
        <v>2874</v>
      </c>
      <c r="P2214" s="387" t="s">
        <v>4260</v>
      </c>
    </row>
    <row r="2215" spans="1:16">
      <c r="A2215" s="387" t="b">
        <v>1</v>
      </c>
      <c r="B2215" s="387"/>
      <c r="C2215" s="387" t="s">
        <v>4261</v>
      </c>
      <c r="D2215" s="392">
        <v>32</v>
      </c>
      <c r="E2215" s="389">
        <v>90.752842180000002</v>
      </c>
      <c r="F2215" s="391" t="s">
        <v>3197</v>
      </c>
      <c r="G2215" s="390">
        <v>20276</v>
      </c>
      <c r="H2215" s="390">
        <v>22342</v>
      </c>
      <c r="I2215" s="391" t="s">
        <v>2328</v>
      </c>
      <c r="J2215" s="391" t="s">
        <v>2211</v>
      </c>
      <c r="K2215" s="387" t="str">
        <f ca="1">IFERROR(VLOOKUP(C2215,' Disaggregation - Section E '!A$618:J2904,3,0),"")</f>
        <v/>
      </c>
      <c r="L2215" s="387"/>
      <c r="M2215" s="387" t="s">
        <v>4262</v>
      </c>
      <c r="N2215" s="391" t="s">
        <v>2283</v>
      </c>
      <c r="O2215" s="387" t="s">
        <v>2874</v>
      </c>
      <c r="P2215" s="387" t="s">
        <v>4263</v>
      </c>
    </row>
    <row r="2216" spans="1:16">
      <c r="A2216" s="387" t="b">
        <v>1</v>
      </c>
      <c r="B2216" s="387"/>
      <c r="C2216" s="387" t="s">
        <v>4264</v>
      </c>
      <c r="D2216" s="392">
        <v>33</v>
      </c>
      <c r="E2216" s="389"/>
      <c r="F2216" s="391" t="s">
        <v>3193</v>
      </c>
      <c r="G2216" s="390"/>
      <c r="H2216" s="390"/>
      <c r="I2216" s="391" t="s">
        <v>2328</v>
      </c>
      <c r="J2216" s="391" t="s">
        <v>2281</v>
      </c>
      <c r="K2216" s="387" t="str">
        <f ca="1">IFERROR(VLOOKUP(C2216,' Disaggregation - Section E '!A$618:J2905,3,0),"")</f>
        <v/>
      </c>
      <c r="L2216" s="387"/>
      <c r="M2216" s="387" t="s">
        <v>4265</v>
      </c>
      <c r="N2216" s="391" t="s">
        <v>2282</v>
      </c>
      <c r="O2216" s="387" t="s">
        <v>2881</v>
      </c>
      <c r="P2216" s="387" t="s">
        <v>4266</v>
      </c>
    </row>
    <row r="2217" spans="1:16">
      <c r="A2217" s="387" t="b">
        <v>1</v>
      </c>
      <c r="B2217" s="387"/>
      <c r="C2217" s="387" t="s">
        <v>4267</v>
      </c>
      <c r="D2217" s="392">
        <v>33</v>
      </c>
      <c r="E2217" s="389"/>
      <c r="F2217" s="391" t="s">
        <v>3197</v>
      </c>
      <c r="G2217" s="390"/>
      <c r="H2217" s="390"/>
      <c r="I2217" s="391"/>
      <c r="J2217" s="391"/>
      <c r="K2217" s="387" t="str">
        <f ca="1">IFERROR(VLOOKUP(C2217,' Disaggregation - Section E '!A$618:J2906,3,0),"")</f>
        <v/>
      </c>
      <c r="L2217" s="387"/>
      <c r="M2217" s="387" t="s">
        <v>4268</v>
      </c>
      <c r="N2217" s="391"/>
      <c r="O2217" s="387" t="s">
        <v>2881</v>
      </c>
      <c r="P2217" s="387" t="s">
        <v>4269</v>
      </c>
    </row>
    <row r="2218" spans="1:16">
      <c r="A2218" s="387" t="b">
        <v>1</v>
      </c>
      <c r="B2218" s="387"/>
      <c r="C2218" s="387" t="s">
        <v>4270</v>
      </c>
      <c r="D2218" s="392">
        <v>35</v>
      </c>
      <c r="E2218" s="389">
        <v>4.2880258900000001</v>
      </c>
      <c r="F2218" s="391" t="s">
        <v>3240</v>
      </c>
      <c r="G2218" s="390">
        <v>53</v>
      </c>
      <c r="H2218" s="390">
        <v>1236</v>
      </c>
      <c r="I2218" s="391" t="s">
        <v>2328</v>
      </c>
      <c r="J2218" s="391" t="s">
        <v>2285</v>
      </c>
      <c r="K2218" s="387" t="str">
        <f ca="1">IFERROR(VLOOKUP(C2218,' Disaggregation - Section E '!A$618:J2907,3,0),"")</f>
        <v/>
      </c>
      <c r="L2218" s="387"/>
      <c r="M2218" s="387" t="s">
        <v>4271</v>
      </c>
      <c r="N2218" s="391" t="s">
        <v>2294</v>
      </c>
      <c r="O2218" s="387" t="s">
        <v>2895</v>
      </c>
      <c r="P2218" s="387" t="s">
        <v>4272</v>
      </c>
    </row>
    <row r="2219" spans="1:16">
      <c r="A2219" s="387" t="b">
        <v>1</v>
      </c>
      <c r="B2219" s="387"/>
      <c r="C2219" s="387" t="s">
        <v>4273</v>
      </c>
      <c r="D2219" s="392">
        <v>35</v>
      </c>
      <c r="E2219" s="389">
        <v>55.501618120000003</v>
      </c>
      <c r="F2219" s="391" t="s">
        <v>3244</v>
      </c>
      <c r="G2219" s="390">
        <v>686</v>
      </c>
      <c r="H2219" s="390">
        <v>1236</v>
      </c>
      <c r="I2219" s="391" t="s">
        <v>2328</v>
      </c>
      <c r="J2219" s="391" t="s">
        <v>2285</v>
      </c>
      <c r="K2219" s="387" t="str">
        <f ca="1">IFERROR(VLOOKUP(C2219,' Disaggregation - Section E '!A$618:J2908,3,0),"")</f>
        <v/>
      </c>
      <c r="L2219" s="387"/>
      <c r="M2219" s="387" t="s">
        <v>4274</v>
      </c>
      <c r="N2219" s="391" t="s">
        <v>2295</v>
      </c>
      <c r="O2219" s="387" t="s">
        <v>2895</v>
      </c>
      <c r="P2219" s="387" t="s">
        <v>4275</v>
      </c>
    </row>
    <row r="2220" spans="1:16">
      <c r="A2220" s="387" t="b">
        <v>1</v>
      </c>
      <c r="B2220" s="387"/>
      <c r="C2220" s="387" t="s">
        <v>4276</v>
      </c>
      <c r="D2220" s="392">
        <v>35</v>
      </c>
      <c r="E2220" s="389">
        <v>0.404530744</v>
      </c>
      <c r="F2220" s="391" t="s">
        <v>4277</v>
      </c>
      <c r="G2220" s="390">
        <v>5</v>
      </c>
      <c r="H2220" s="390">
        <v>1236</v>
      </c>
      <c r="I2220" s="391" t="s">
        <v>2328</v>
      </c>
      <c r="J2220" s="391" t="s">
        <v>2285</v>
      </c>
      <c r="K2220" s="387" t="str">
        <f ca="1">IFERROR(VLOOKUP(C2220,' Disaggregation - Section E '!A$618:J2909,3,0),"")</f>
        <v/>
      </c>
      <c r="L2220" s="387"/>
      <c r="M2220" s="387" t="s">
        <v>4278</v>
      </c>
      <c r="N2220" s="391" t="s">
        <v>2296</v>
      </c>
      <c r="O2220" s="387" t="s">
        <v>2895</v>
      </c>
      <c r="P2220" s="387" t="s">
        <v>4279</v>
      </c>
    </row>
    <row r="2221" spans="1:16">
      <c r="A2221" s="387" t="b">
        <v>1</v>
      </c>
      <c r="B2221" s="387"/>
      <c r="C2221" s="387" t="s">
        <v>4280</v>
      </c>
      <c r="D2221" s="392">
        <v>35</v>
      </c>
      <c r="E2221" s="389">
        <v>38.834951459999999</v>
      </c>
      <c r="F2221" s="391" t="s">
        <v>4281</v>
      </c>
      <c r="G2221" s="390">
        <v>480</v>
      </c>
      <c r="H2221" s="390">
        <v>1236</v>
      </c>
      <c r="I2221" s="391" t="s">
        <v>2328</v>
      </c>
      <c r="J2221" s="391" t="s">
        <v>2285</v>
      </c>
      <c r="K2221" s="387" t="str">
        <f ca="1">IFERROR(VLOOKUP(C2221,' Disaggregation - Section E '!A$618:J2910,3,0),"")</f>
        <v/>
      </c>
      <c r="L2221" s="387"/>
      <c r="M2221" s="387" t="s">
        <v>4282</v>
      </c>
      <c r="N2221" s="391" t="s">
        <v>2297</v>
      </c>
      <c r="O2221" s="387" t="s">
        <v>2895</v>
      </c>
      <c r="P2221" s="387" t="s">
        <v>4283</v>
      </c>
    </row>
    <row r="2222" spans="1:16">
      <c r="A2222" s="387" t="b">
        <v>1</v>
      </c>
      <c r="B2222" s="387"/>
      <c r="C2222" s="387" t="s">
        <v>4284</v>
      </c>
      <c r="D2222" s="392">
        <v>36</v>
      </c>
      <c r="E2222" s="389"/>
      <c r="F2222" s="391" t="s">
        <v>3240</v>
      </c>
      <c r="G2222" s="390"/>
      <c r="H2222" s="390"/>
      <c r="I2222" s="391"/>
      <c r="J2222" s="391" t="s">
        <v>2281</v>
      </c>
      <c r="K2222" s="387" t="str">
        <f ca="1">IFERROR(VLOOKUP(C2222,' Disaggregation - Section E '!A$618:J2911,3,0),"")</f>
        <v/>
      </c>
      <c r="L2222" s="387"/>
      <c r="M2222" s="387" t="s">
        <v>4285</v>
      </c>
      <c r="N2222" s="391" t="s">
        <v>2282</v>
      </c>
      <c r="O2222" s="387" t="s">
        <v>2902</v>
      </c>
      <c r="P2222" s="387" t="s">
        <v>4286</v>
      </c>
    </row>
    <row r="2223" spans="1:16">
      <c r="A2223" s="387" t="b">
        <v>1</v>
      </c>
      <c r="B2223" s="387"/>
      <c r="C2223" s="387" t="s">
        <v>4287</v>
      </c>
      <c r="D2223" s="392">
        <v>36</v>
      </c>
      <c r="E2223" s="389"/>
      <c r="F2223" s="391" t="s">
        <v>3193</v>
      </c>
      <c r="G2223" s="390"/>
      <c r="H2223" s="390"/>
      <c r="I2223" s="391"/>
      <c r="J2223" s="391" t="s">
        <v>2281</v>
      </c>
      <c r="K2223" s="387" t="str">
        <f ca="1">IFERROR(VLOOKUP(C2223,' Disaggregation - Section E '!A$618:J2912,3,0),"")</f>
        <v/>
      </c>
      <c r="L2223" s="387"/>
      <c r="M2223" s="387" t="s">
        <v>4288</v>
      </c>
      <c r="N2223" s="391" t="s">
        <v>2282</v>
      </c>
      <c r="O2223" s="387" t="s">
        <v>2902</v>
      </c>
      <c r="P2223" s="387" t="s">
        <v>4289</v>
      </c>
    </row>
    <row r="2224" spans="1:16">
      <c r="A2224" s="387" t="b">
        <v>1</v>
      </c>
      <c r="B2224" s="387"/>
      <c r="C2224" s="387" t="s">
        <v>4290</v>
      </c>
      <c r="D2224" s="392">
        <v>36</v>
      </c>
      <c r="E2224" s="389"/>
      <c r="F2224" s="391" t="s">
        <v>3535</v>
      </c>
      <c r="G2224" s="390"/>
      <c r="H2224" s="390"/>
      <c r="I2224" s="391"/>
      <c r="J2224" s="391" t="s">
        <v>2281</v>
      </c>
      <c r="K2224" s="387" t="str">
        <f ca="1">IFERROR(VLOOKUP(C2224,' Disaggregation - Section E '!A$618:J2913,3,0),"")</f>
        <v/>
      </c>
      <c r="L2224" s="387"/>
      <c r="M2224" s="387" t="s">
        <v>4291</v>
      </c>
      <c r="N2224" s="391" t="s">
        <v>2282</v>
      </c>
      <c r="O2224" s="387" t="s">
        <v>2902</v>
      </c>
      <c r="P2224" s="387" t="s">
        <v>4292</v>
      </c>
    </row>
    <row r="2225" spans="1:16">
      <c r="A2225" s="387" t="b">
        <v>1</v>
      </c>
      <c r="B2225" s="387"/>
      <c r="C2225" s="387" t="s">
        <v>4293</v>
      </c>
      <c r="D2225" s="392">
        <v>36</v>
      </c>
      <c r="E2225" s="389"/>
      <c r="F2225" s="391" t="s">
        <v>3547</v>
      </c>
      <c r="G2225" s="390"/>
      <c r="H2225" s="390"/>
      <c r="I2225" s="391"/>
      <c r="J2225" s="391" t="s">
        <v>2281</v>
      </c>
      <c r="K2225" s="387" t="str">
        <f ca="1">IFERROR(VLOOKUP(C2225,' Disaggregation - Section E '!A$618:J2914,3,0),"")</f>
        <v/>
      </c>
      <c r="L2225" s="387"/>
      <c r="M2225" s="387" t="s">
        <v>4294</v>
      </c>
      <c r="N2225" s="391" t="s">
        <v>2282</v>
      </c>
      <c r="O2225" s="387" t="s">
        <v>2902</v>
      </c>
      <c r="P2225" s="387" t="s">
        <v>4295</v>
      </c>
    </row>
    <row r="2226" spans="1:16">
      <c r="A2226" s="387" t="b">
        <v>1</v>
      </c>
      <c r="B2226" s="387"/>
      <c r="C2226" s="387" t="s">
        <v>4296</v>
      </c>
      <c r="D2226" s="392">
        <v>36</v>
      </c>
      <c r="E2226" s="389"/>
      <c r="F2226" s="391" t="s">
        <v>3197</v>
      </c>
      <c r="G2226" s="390"/>
      <c r="H2226" s="390"/>
      <c r="I2226" s="391"/>
      <c r="J2226" s="391" t="s">
        <v>2281</v>
      </c>
      <c r="K2226" s="387" t="str">
        <f ca="1">IFERROR(VLOOKUP(C2226,' Disaggregation - Section E '!A$618:J2915,3,0),"")</f>
        <v/>
      </c>
      <c r="L2226" s="387"/>
      <c r="M2226" s="387" t="s">
        <v>4297</v>
      </c>
      <c r="N2226" s="391" t="s">
        <v>2282</v>
      </c>
      <c r="O2226" s="387" t="s">
        <v>2902</v>
      </c>
      <c r="P2226" s="387" t="s">
        <v>4298</v>
      </c>
    </row>
    <row r="2227" spans="1:16">
      <c r="A2227" s="387" t="b">
        <v>1</v>
      </c>
      <c r="B2227" s="387"/>
      <c r="C2227" s="387" t="s">
        <v>4299</v>
      </c>
      <c r="D2227" s="392">
        <v>37</v>
      </c>
      <c r="E2227" s="389"/>
      <c r="F2227" s="391" t="s">
        <v>3240</v>
      </c>
      <c r="G2227" s="390"/>
      <c r="H2227" s="390"/>
      <c r="I2227" s="391"/>
      <c r="J2227" s="391"/>
      <c r="K2227" s="387" t="str">
        <f ca="1">IFERROR(VLOOKUP(C2227,' Disaggregation - Section E '!A$618:J2916,3,0),"")</f>
        <v/>
      </c>
      <c r="L2227" s="387"/>
      <c r="M2227" s="387" t="s">
        <v>4300</v>
      </c>
      <c r="N2227" s="391"/>
      <c r="O2227" s="387" t="s">
        <v>2909</v>
      </c>
      <c r="P2227" s="387" t="s">
        <v>4301</v>
      </c>
    </row>
    <row r="2228" spans="1:16">
      <c r="A2228" s="387" t="b">
        <v>1</v>
      </c>
      <c r="B2228" s="387"/>
      <c r="C2228" s="387" t="s">
        <v>4302</v>
      </c>
      <c r="D2228" s="392">
        <v>37</v>
      </c>
      <c r="E2228" s="389"/>
      <c r="F2228" s="391" t="s">
        <v>3514</v>
      </c>
      <c r="G2228" s="390"/>
      <c r="H2228" s="390"/>
      <c r="I2228" s="391"/>
      <c r="J2228" s="391"/>
      <c r="K2228" s="387" t="str">
        <f ca="1">IFERROR(VLOOKUP(C2228,' Disaggregation - Section E '!A$618:J2917,3,0),"")</f>
        <v/>
      </c>
      <c r="L2228" s="387"/>
      <c r="M2228" s="387" t="s">
        <v>4303</v>
      </c>
      <c r="N2228" s="391"/>
      <c r="O2228" s="387" t="s">
        <v>2909</v>
      </c>
      <c r="P2228" s="387" t="s">
        <v>4304</v>
      </c>
    </row>
    <row r="2229" spans="1:16">
      <c r="A2229" s="387" t="b">
        <v>1</v>
      </c>
      <c r="B2229" s="387"/>
      <c r="C2229" s="387" t="s">
        <v>4305</v>
      </c>
      <c r="D2229" s="392">
        <v>37</v>
      </c>
      <c r="E2229" s="389"/>
      <c r="F2229" s="391" t="s">
        <v>3518</v>
      </c>
      <c r="G2229" s="390"/>
      <c r="H2229" s="390"/>
      <c r="I2229" s="391"/>
      <c r="J2229" s="391"/>
      <c r="K2229" s="387" t="str">
        <f ca="1">IFERROR(VLOOKUP(C2229,' Disaggregation - Section E '!A$618:J2918,3,0),"")</f>
        <v/>
      </c>
      <c r="L2229" s="387"/>
      <c r="M2229" s="387" t="s">
        <v>4306</v>
      </c>
      <c r="N2229" s="391"/>
      <c r="O2229" s="387" t="s">
        <v>2909</v>
      </c>
      <c r="P2229" s="387" t="s">
        <v>4307</v>
      </c>
    </row>
    <row r="2230" spans="1:16">
      <c r="A2230" s="387" t="b">
        <v>1</v>
      </c>
      <c r="B2230" s="387"/>
      <c r="C2230" s="387" t="s">
        <v>4308</v>
      </c>
      <c r="D2230" s="392">
        <v>37</v>
      </c>
      <c r="E2230" s="389"/>
      <c r="F2230" s="391" t="s">
        <v>3522</v>
      </c>
      <c r="G2230" s="390"/>
      <c r="H2230" s="390"/>
      <c r="I2230" s="391"/>
      <c r="J2230" s="391"/>
      <c r="K2230" s="387" t="str">
        <f ca="1">IFERROR(VLOOKUP(C2230,' Disaggregation - Section E '!A$618:J2919,3,0),"")</f>
        <v/>
      </c>
      <c r="L2230" s="387"/>
      <c r="M2230" s="387" t="s">
        <v>4309</v>
      </c>
      <c r="N2230" s="391"/>
      <c r="O2230" s="387" t="s">
        <v>2909</v>
      </c>
      <c r="P2230" s="387" t="s">
        <v>4310</v>
      </c>
    </row>
    <row r="2231" spans="1:16">
      <c r="A2231" s="387" t="b">
        <v>1</v>
      </c>
      <c r="B2231" s="387"/>
      <c r="C2231" s="387" t="s">
        <v>4311</v>
      </c>
      <c r="D2231" s="392">
        <v>37</v>
      </c>
      <c r="E2231" s="389"/>
      <c r="F2231" s="391" t="s">
        <v>3193</v>
      </c>
      <c r="G2231" s="390"/>
      <c r="H2231" s="390"/>
      <c r="I2231" s="391"/>
      <c r="J2231" s="391"/>
      <c r="K2231" s="387" t="str">
        <f ca="1">IFERROR(VLOOKUP(C2231,' Disaggregation - Section E '!A$618:J2920,3,0),"")</f>
        <v/>
      </c>
      <c r="L2231" s="387"/>
      <c r="M2231" s="387" t="s">
        <v>4312</v>
      </c>
      <c r="N2231" s="391"/>
      <c r="O2231" s="387" t="s">
        <v>2909</v>
      </c>
      <c r="P2231" s="387" t="s">
        <v>4313</v>
      </c>
    </row>
    <row r="2232" spans="1:16">
      <c r="A2232" s="387" t="b">
        <v>1</v>
      </c>
      <c r="B2232" s="387"/>
      <c r="C2232" s="387" t="s">
        <v>4314</v>
      </c>
      <c r="D2232" s="392">
        <v>37</v>
      </c>
      <c r="E2232" s="389"/>
      <c r="F2232" s="391" t="s">
        <v>3535</v>
      </c>
      <c r="G2232" s="390"/>
      <c r="H2232" s="390"/>
      <c r="I2232" s="391"/>
      <c r="J2232" s="391"/>
      <c r="K2232" s="387" t="str">
        <f ca="1">IFERROR(VLOOKUP(C2232,' Disaggregation - Section E '!A$618:J2921,3,0),"")</f>
        <v/>
      </c>
      <c r="L2232" s="387"/>
      <c r="M2232" s="387" t="s">
        <v>4315</v>
      </c>
      <c r="N2232" s="391"/>
      <c r="O2232" s="387" t="s">
        <v>2909</v>
      </c>
      <c r="P2232" s="387" t="s">
        <v>4316</v>
      </c>
    </row>
    <row r="2233" spans="1:16">
      <c r="A2233" s="387" t="b">
        <v>1</v>
      </c>
      <c r="B2233" s="387"/>
      <c r="C2233" s="387" t="s">
        <v>4317</v>
      </c>
      <c r="D2233" s="392">
        <v>37</v>
      </c>
      <c r="E2233" s="389"/>
      <c r="F2233" s="391" t="s">
        <v>3539</v>
      </c>
      <c r="G2233" s="390"/>
      <c r="H2233" s="390"/>
      <c r="I2233" s="391"/>
      <c r="J2233" s="391"/>
      <c r="K2233" s="387" t="str">
        <f ca="1">IFERROR(VLOOKUP(C2233,' Disaggregation - Section E '!A$618:J2922,3,0),"")</f>
        <v/>
      </c>
      <c r="L2233" s="387"/>
      <c r="M2233" s="387" t="s">
        <v>4318</v>
      </c>
      <c r="N2233" s="391"/>
      <c r="O2233" s="387" t="s">
        <v>2909</v>
      </c>
      <c r="P2233" s="387" t="s">
        <v>4319</v>
      </c>
    </row>
    <row r="2234" spans="1:16">
      <c r="A2234" s="387" t="b">
        <v>1</v>
      </c>
      <c r="B2234" s="387"/>
      <c r="C2234" s="387" t="s">
        <v>4320</v>
      </c>
      <c r="D2234" s="392">
        <v>37</v>
      </c>
      <c r="E2234" s="389"/>
      <c r="F2234" s="391" t="s">
        <v>3547</v>
      </c>
      <c r="G2234" s="390"/>
      <c r="H2234" s="390"/>
      <c r="I2234" s="391"/>
      <c r="J2234" s="391"/>
      <c r="K2234" s="387" t="str">
        <f ca="1">IFERROR(VLOOKUP(C2234,' Disaggregation - Section E '!A$618:J2923,3,0),"")</f>
        <v/>
      </c>
      <c r="L2234" s="387"/>
      <c r="M2234" s="387" t="s">
        <v>4321</v>
      </c>
      <c r="N2234" s="391"/>
      <c r="O2234" s="387" t="s">
        <v>2909</v>
      </c>
      <c r="P2234" s="387" t="s">
        <v>4322</v>
      </c>
    </row>
    <row r="2235" spans="1:16">
      <c r="A2235" s="387" t="b">
        <v>1</v>
      </c>
      <c r="B2235" s="387"/>
      <c r="C2235" s="387" t="s">
        <v>4323</v>
      </c>
      <c r="D2235" s="392">
        <v>37</v>
      </c>
      <c r="E2235" s="389"/>
      <c r="F2235" s="391" t="s">
        <v>3543</v>
      </c>
      <c r="G2235" s="390"/>
      <c r="H2235" s="390"/>
      <c r="I2235" s="391"/>
      <c r="J2235" s="391"/>
      <c r="K2235" s="387" t="str">
        <f ca="1">IFERROR(VLOOKUP(C2235,' Disaggregation - Section E '!A$618:J2924,3,0),"")</f>
        <v/>
      </c>
      <c r="L2235" s="387"/>
      <c r="M2235" s="387" t="s">
        <v>4324</v>
      </c>
      <c r="N2235" s="391"/>
      <c r="O2235" s="387" t="s">
        <v>2909</v>
      </c>
      <c r="P2235" s="387" t="s">
        <v>4325</v>
      </c>
    </row>
    <row r="2236" spans="1:16">
      <c r="A2236" s="387" t="b">
        <v>1</v>
      </c>
      <c r="B2236" s="387"/>
      <c r="C2236" s="387" t="s">
        <v>4326</v>
      </c>
      <c r="D2236" s="392">
        <v>37</v>
      </c>
      <c r="E2236" s="389"/>
      <c r="F2236" s="391" t="s">
        <v>3197</v>
      </c>
      <c r="G2236" s="390"/>
      <c r="H2236" s="390"/>
      <c r="I2236" s="391"/>
      <c r="J2236" s="391"/>
      <c r="K2236" s="387" t="str">
        <f ca="1">IFERROR(VLOOKUP(C2236,' Disaggregation - Section E '!A$618:J2925,3,0),"")</f>
        <v/>
      </c>
      <c r="L2236" s="387"/>
      <c r="M2236" s="387" t="s">
        <v>4327</v>
      </c>
      <c r="N2236" s="391"/>
      <c r="O2236" s="387" t="s">
        <v>2909</v>
      </c>
      <c r="P2236" s="387" t="s">
        <v>4328</v>
      </c>
    </row>
    <row r="2237" spans="1:16">
      <c r="A2237" s="387" t="b">
        <v>1</v>
      </c>
      <c r="B2237" s="387"/>
      <c r="C2237" s="387" t="s">
        <v>4329</v>
      </c>
      <c r="D2237" s="392">
        <v>38</v>
      </c>
      <c r="E2237" s="389"/>
      <c r="F2237" s="391" t="s">
        <v>4330</v>
      </c>
      <c r="G2237" s="390"/>
      <c r="H2237" s="390"/>
      <c r="I2237" s="391"/>
      <c r="J2237" s="391"/>
      <c r="K2237" s="387" t="str">
        <f ca="1">IFERROR(VLOOKUP(C2237,' Disaggregation - Section E '!A$618:J2926,3,0),"")</f>
        <v/>
      </c>
      <c r="L2237" s="387"/>
      <c r="M2237" s="387" t="s">
        <v>4331</v>
      </c>
      <c r="N2237" s="391"/>
      <c r="O2237" s="387" t="s">
        <v>2916</v>
      </c>
      <c r="P2237" s="387" t="s">
        <v>4332</v>
      </c>
    </row>
    <row r="2238" spans="1:16">
      <c r="A2238" s="387" t="b">
        <v>1</v>
      </c>
      <c r="B2238" s="387"/>
      <c r="C2238" s="387" t="s">
        <v>4333</v>
      </c>
      <c r="D2238" s="392">
        <v>38</v>
      </c>
      <c r="E2238" s="389"/>
      <c r="F2238" s="391" t="s">
        <v>4334</v>
      </c>
      <c r="G2238" s="390"/>
      <c r="H2238" s="390"/>
      <c r="I2238" s="391"/>
      <c r="J2238" s="391"/>
      <c r="K2238" s="387" t="str">
        <f ca="1">IFERROR(VLOOKUP(C2238,' Disaggregation - Section E '!A$618:J2927,3,0),"")</f>
        <v/>
      </c>
      <c r="L2238" s="387"/>
      <c r="M2238" s="387" t="s">
        <v>4335</v>
      </c>
      <c r="N2238" s="391"/>
      <c r="O2238" s="387" t="s">
        <v>2916</v>
      </c>
      <c r="P2238" s="387" t="s">
        <v>4336</v>
      </c>
    </row>
    <row r="2239" spans="1:16">
      <c r="A2239" s="387" t="b">
        <v>1</v>
      </c>
      <c r="B2239" s="387"/>
      <c r="C2239" s="387" t="s">
        <v>4337</v>
      </c>
      <c r="D2239" s="392">
        <v>38</v>
      </c>
      <c r="E2239" s="389"/>
      <c r="F2239" s="391" t="s">
        <v>4338</v>
      </c>
      <c r="G2239" s="390"/>
      <c r="H2239" s="390"/>
      <c r="I2239" s="391"/>
      <c r="J2239" s="391"/>
      <c r="K2239" s="387" t="str">
        <f ca="1">IFERROR(VLOOKUP(C2239,' Disaggregation - Section E '!A$618:J2928,3,0),"")</f>
        <v/>
      </c>
      <c r="L2239" s="387"/>
      <c r="M2239" s="387" t="s">
        <v>4339</v>
      </c>
      <c r="N2239" s="391"/>
      <c r="O2239" s="387" t="s">
        <v>2916</v>
      </c>
      <c r="P2239" s="387" t="s">
        <v>4340</v>
      </c>
    </row>
    <row r="2240" spans="1:16">
      <c r="A2240" s="387" t="b">
        <v>1</v>
      </c>
      <c r="B2240" s="387"/>
      <c r="C2240" s="387" t="s">
        <v>4341</v>
      </c>
      <c r="D2240" s="392">
        <v>38</v>
      </c>
      <c r="E2240" s="389"/>
      <c r="F2240" s="391" t="s">
        <v>4342</v>
      </c>
      <c r="G2240" s="390"/>
      <c r="H2240" s="390"/>
      <c r="I2240" s="391"/>
      <c r="J2240" s="391"/>
      <c r="K2240" s="387" t="str">
        <f ca="1">IFERROR(VLOOKUP(C2240,' Disaggregation - Section E '!A$618:J2929,3,0),"")</f>
        <v/>
      </c>
      <c r="L2240" s="387"/>
      <c r="M2240" s="387" t="s">
        <v>4343</v>
      </c>
      <c r="N2240" s="391"/>
      <c r="O2240" s="387" t="s">
        <v>2916</v>
      </c>
      <c r="P2240" s="387" t="s">
        <v>4344</v>
      </c>
    </row>
    <row r="2241" spans="1:16">
      <c r="A2241" s="387" t="b">
        <v>1</v>
      </c>
      <c r="B2241" s="387"/>
      <c r="C2241" s="387" t="s">
        <v>4345</v>
      </c>
      <c r="D2241" s="392">
        <v>38</v>
      </c>
      <c r="E2241" s="389"/>
      <c r="F2241" s="391" t="s">
        <v>3417</v>
      </c>
      <c r="G2241" s="390"/>
      <c r="H2241" s="390"/>
      <c r="I2241" s="391"/>
      <c r="J2241" s="391"/>
      <c r="K2241" s="387" t="str">
        <f ca="1">IFERROR(VLOOKUP(C2241,' Disaggregation - Section E '!A$618:J2930,3,0),"")</f>
        <v/>
      </c>
      <c r="L2241" s="387"/>
      <c r="M2241" s="387" t="s">
        <v>4346</v>
      </c>
      <c r="N2241" s="391"/>
      <c r="O2241" s="387" t="s">
        <v>2916</v>
      </c>
      <c r="P2241" s="387" t="s">
        <v>4347</v>
      </c>
    </row>
    <row r="2242" spans="1:16">
      <c r="A2242" s="387" t="b">
        <v>1</v>
      </c>
      <c r="B2242" s="387"/>
      <c r="C2242" s="387" t="s">
        <v>4348</v>
      </c>
      <c r="D2242" s="392">
        <v>38</v>
      </c>
      <c r="E2242" s="389"/>
      <c r="F2242" s="391" t="s">
        <v>4349</v>
      </c>
      <c r="G2242" s="390"/>
      <c r="H2242" s="390"/>
      <c r="I2242" s="391"/>
      <c r="J2242" s="391"/>
      <c r="K2242" s="387" t="str">
        <f ca="1">IFERROR(VLOOKUP(C2242,' Disaggregation - Section E '!A$618:J2931,3,0),"")</f>
        <v/>
      </c>
      <c r="L2242" s="387"/>
      <c r="M2242" s="387" t="s">
        <v>4350</v>
      </c>
      <c r="N2242" s="391"/>
      <c r="O2242" s="387" t="s">
        <v>2916</v>
      </c>
      <c r="P2242" s="387" t="s">
        <v>4351</v>
      </c>
    </row>
    <row r="2243" spans="1:16">
      <c r="A2243" s="387" t="b">
        <v>1</v>
      </c>
      <c r="B2243" s="387"/>
      <c r="C2243" s="387" t="s">
        <v>4352</v>
      </c>
      <c r="D2243" s="392">
        <v>38</v>
      </c>
      <c r="E2243" s="389"/>
      <c r="F2243" s="391" t="s">
        <v>4353</v>
      </c>
      <c r="G2243" s="390"/>
      <c r="H2243" s="390"/>
      <c r="I2243" s="391"/>
      <c r="J2243" s="391"/>
      <c r="K2243" s="387" t="str">
        <f ca="1">IFERROR(VLOOKUP(C2243,' Disaggregation - Section E '!A$618:J2932,3,0),"")</f>
        <v/>
      </c>
      <c r="L2243" s="387"/>
      <c r="M2243" s="387" t="s">
        <v>4354</v>
      </c>
      <c r="N2243" s="391"/>
      <c r="O2243" s="387" t="s">
        <v>2916</v>
      </c>
      <c r="P2243" s="387" t="s">
        <v>4355</v>
      </c>
    </row>
    <row r="2244" spans="1:16">
      <c r="A2244" s="387" t="b">
        <v>1</v>
      </c>
      <c r="B2244" s="387"/>
      <c r="C2244" s="387" t="s">
        <v>4356</v>
      </c>
      <c r="D2244" s="392">
        <v>38</v>
      </c>
      <c r="E2244" s="389"/>
      <c r="F2244" s="391" t="s">
        <v>3421</v>
      </c>
      <c r="G2244" s="390"/>
      <c r="H2244" s="390"/>
      <c r="I2244" s="391"/>
      <c r="J2244" s="391"/>
      <c r="K2244" s="387" t="str">
        <f ca="1">IFERROR(VLOOKUP(C2244,' Disaggregation - Section E '!A$618:J2933,3,0),"")</f>
        <v/>
      </c>
      <c r="L2244" s="387"/>
      <c r="M2244" s="387" t="s">
        <v>4357</v>
      </c>
      <c r="N2244" s="391"/>
      <c r="O2244" s="387" t="s">
        <v>2916</v>
      </c>
      <c r="P2244" s="387" t="s">
        <v>4358</v>
      </c>
    </row>
    <row r="2245" spans="1:16">
      <c r="A2245" s="387" t="b">
        <v>1</v>
      </c>
      <c r="B2245" s="387"/>
      <c r="C2245" s="387" t="s">
        <v>4359</v>
      </c>
      <c r="D2245" s="392">
        <v>39</v>
      </c>
      <c r="E2245" s="389"/>
      <c r="F2245" s="391" t="s">
        <v>4330</v>
      </c>
      <c r="G2245" s="390"/>
      <c r="H2245" s="390"/>
      <c r="I2245" s="391"/>
      <c r="J2245" s="391" t="s">
        <v>2281</v>
      </c>
      <c r="K2245" s="387" t="str">
        <f ca="1">IFERROR(VLOOKUP(C2245,' Disaggregation - Section E '!A$618:J2934,3,0),"")</f>
        <v/>
      </c>
      <c r="L2245" s="387"/>
      <c r="M2245" s="387" t="s">
        <v>4360</v>
      </c>
      <c r="N2245" s="391" t="s">
        <v>2282</v>
      </c>
      <c r="O2245" s="387" t="s">
        <v>2923</v>
      </c>
      <c r="P2245" s="387" t="s">
        <v>4361</v>
      </c>
    </row>
    <row r="2246" spans="1:16">
      <c r="A2246" s="387" t="b">
        <v>1</v>
      </c>
      <c r="B2246" s="387"/>
      <c r="C2246" s="387" t="s">
        <v>4362</v>
      </c>
      <c r="D2246" s="392">
        <v>39</v>
      </c>
      <c r="E2246" s="389"/>
      <c r="F2246" s="391" t="s">
        <v>4334</v>
      </c>
      <c r="G2246" s="390"/>
      <c r="H2246" s="390"/>
      <c r="I2246" s="391"/>
      <c r="J2246" s="391" t="s">
        <v>2281</v>
      </c>
      <c r="K2246" s="387" t="str">
        <f ca="1">IFERROR(VLOOKUP(C2246,' Disaggregation - Section E '!A$618:J2935,3,0),"")</f>
        <v/>
      </c>
      <c r="L2246" s="387"/>
      <c r="M2246" s="387" t="s">
        <v>4363</v>
      </c>
      <c r="N2246" s="391" t="s">
        <v>2282</v>
      </c>
      <c r="O2246" s="387" t="s">
        <v>2923</v>
      </c>
      <c r="P2246" s="387" t="s">
        <v>4364</v>
      </c>
    </row>
    <row r="2247" spans="1:16">
      <c r="A2247" s="387" t="b">
        <v>1</v>
      </c>
      <c r="B2247" s="387"/>
      <c r="C2247" s="387" t="s">
        <v>4365</v>
      </c>
      <c r="D2247" s="392">
        <v>39</v>
      </c>
      <c r="E2247" s="389">
        <v>91.994708230000001</v>
      </c>
      <c r="F2247" s="391" t="s">
        <v>4342</v>
      </c>
      <c r="G2247" s="390">
        <v>153679</v>
      </c>
      <c r="H2247" s="390">
        <v>167052</v>
      </c>
      <c r="I2247" s="391"/>
      <c r="J2247" s="391" t="s">
        <v>780</v>
      </c>
      <c r="K2247" s="387" t="str">
        <f ca="1">IFERROR(VLOOKUP(C2247,' Disaggregation - Section E '!A$618:J2936,3,0),"")</f>
        <v/>
      </c>
      <c r="L2247" s="387"/>
      <c r="M2247" s="387" t="s">
        <v>4366</v>
      </c>
      <c r="N2247" s="391" t="s">
        <v>2299</v>
      </c>
      <c r="O2247" s="387" t="s">
        <v>2923</v>
      </c>
      <c r="P2247" s="387" t="s">
        <v>4367</v>
      </c>
    </row>
    <row r="2248" spans="1:16">
      <c r="A2248" s="387" t="b">
        <v>1</v>
      </c>
      <c r="B2248" s="387"/>
      <c r="C2248" s="387" t="s">
        <v>4368</v>
      </c>
      <c r="D2248" s="392">
        <v>39</v>
      </c>
      <c r="E2248" s="389"/>
      <c r="F2248" s="391" t="s">
        <v>3417</v>
      </c>
      <c r="G2248" s="390"/>
      <c r="H2248" s="390"/>
      <c r="I2248" s="391"/>
      <c r="J2248" s="391" t="s">
        <v>2281</v>
      </c>
      <c r="K2248" s="387" t="str">
        <f ca="1">IFERROR(VLOOKUP(C2248,' Disaggregation - Section E '!A$618:J2937,3,0),"")</f>
        <v/>
      </c>
      <c r="L2248" s="387"/>
      <c r="M2248" s="387" t="s">
        <v>4369</v>
      </c>
      <c r="N2248" s="391" t="s">
        <v>2282</v>
      </c>
      <c r="O2248" s="387" t="s">
        <v>2923</v>
      </c>
      <c r="P2248" s="387" t="s">
        <v>4370</v>
      </c>
    </row>
    <row r="2249" spans="1:16">
      <c r="A2249" s="387" t="b">
        <v>1</v>
      </c>
      <c r="B2249" s="387"/>
      <c r="C2249" s="387" t="s">
        <v>4371</v>
      </c>
      <c r="D2249" s="392">
        <v>39</v>
      </c>
      <c r="E2249" s="389"/>
      <c r="F2249" s="391" t="s">
        <v>4349</v>
      </c>
      <c r="G2249" s="390"/>
      <c r="H2249" s="390"/>
      <c r="I2249" s="391"/>
      <c r="J2249" s="391" t="s">
        <v>2281</v>
      </c>
      <c r="K2249" s="387" t="str">
        <f ca="1">IFERROR(VLOOKUP(C2249,' Disaggregation - Section E '!A$618:J2938,3,0),"")</f>
        <v/>
      </c>
      <c r="L2249" s="387"/>
      <c r="M2249" s="387" t="s">
        <v>4372</v>
      </c>
      <c r="N2249" s="391" t="s">
        <v>2282</v>
      </c>
      <c r="O2249" s="387" t="s">
        <v>2923</v>
      </c>
      <c r="P2249" s="387" t="s">
        <v>4373</v>
      </c>
    </row>
    <row r="2250" spans="1:16">
      <c r="A2250" s="387" t="b">
        <v>1</v>
      </c>
      <c r="B2250" s="387"/>
      <c r="C2250" s="387" t="s">
        <v>4374</v>
      </c>
      <c r="D2250" s="392">
        <v>39</v>
      </c>
      <c r="E2250" s="389">
        <v>8.0052917650000008</v>
      </c>
      <c r="F2250" s="391" t="s">
        <v>4353</v>
      </c>
      <c r="G2250" s="390">
        <v>13373</v>
      </c>
      <c r="H2250" s="390">
        <v>167052</v>
      </c>
      <c r="I2250" s="391" t="s">
        <v>2328</v>
      </c>
      <c r="J2250" s="391" t="s">
        <v>780</v>
      </c>
      <c r="K2250" s="387" t="str">
        <f ca="1">IFERROR(VLOOKUP(C2250,' Disaggregation - Section E '!A$618:J2939,3,0),"")</f>
        <v/>
      </c>
      <c r="L2250" s="387"/>
      <c r="M2250" s="387" t="s">
        <v>4375</v>
      </c>
      <c r="N2250" s="391" t="s">
        <v>2300</v>
      </c>
      <c r="O2250" s="387" t="s">
        <v>2923</v>
      </c>
      <c r="P2250" s="387" t="s">
        <v>4376</v>
      </c>
    </row>
    <row r="2251" spans="1:16">
      <c r="A2251" s="387" t="b">
        <v>1</v>
      </c>
      <c r="B2251" s="387"/>
      <c r="C2251" s="387" t="s">
        <v>4377</v>
      </c>
      <c r="D2251" s="392">
        <v>39</v>
      </c>
      <c r="E2251" s="389"/>
      <c r="F2251" s="391" t="s">
        <v>3421</v>
      </c>
      <c r="G2251" s="390"/>
      <c r="H2251" s="390"/>
      <c r="I2251" s="391"/>
      <c r="J2251" s="391" t="s">
        <v>2281</v>
      </c>
      <c r="K2251" s="387" t="str">
        <f ca="1">IFERROR(VLOOKUP(C2251,' Disaggregation - Section E '!A$618:J2940,3,0),"")</f>
        <v/>
      </c>
      <c r="L2251" s="387"/>
      <c r="M2251" s="387" t="s">
        <v>4378</v>
      </c>
      <c r="N2251" s="391" t="s">
        <v>2282</v>
      </c>
      <c r="O2251" s="387" t="s">
        <v>2923</v>
      </c>
      <c r="P2251" s="387" t="s">
        <v>4379</v>
      </c>
    </row>
    <row r="2252" spans="1:16">
      <c r="A2252" s="387" t="b">
        <f t="shared" ref="A2252:A2315" ca="1" si="166">IF(M2252&lt;&gt;"",TRUE,FALSE)</f>
        <v>1</v>
      </c>
      <c r="B2252" s="387"/>
      <c r="C2252" s="396" t="str">
        <f ca="1">IF(COUNTA(O$1610:O2252)=1,"",OFFSET(B2250,-COUNTA(O$1610:O2252)+3,1))</f>
        <v>a16Dm000000M3qBIAS</v>
      </c>
      <c r="D2252" s="392"/>
      <c r="E2252" s="389">
        <f ca="1">IFERROR(IF(VLOOKUP(C2252,' Disaggregation - Section E '!A$618:J2941,7,0)="","",VLOOKUP(C2252,' Disaggregation - Section E '!A$618:J2941,7,0)*100),"")</f>
        <v>87.444964740121634</v>
      </c>
      <c r="F2252" s="391" t="str">
        <f ca="1">IFERROR(VLOOKUP(C2252,' Disaggregation - Section E '!A$618:J2941,5,0),"")</f>
        <v>15+</v>
      </c>
      <c r="G2252" s="390">
        <f ca="1">IFERROR(IF(VLOOKUP(C2252,' Disaggregation - Section E '!A$618:J2941,6,0)="","",VLOOKUP(C2252,' Disaggregation - Section E '!A$618:J2941,6,0)),"")</f>
        <v>187489</v>
      </c>
      <c r="H2252" s="390">
        <f ca="1">IFERROR(IF(INDEX(' Disaggregation - Section E '!F$618:F2941,MATCH(C2252,' Disaggregation - Section E '!A$618:A2941,0)+1,1)&lt;&gt;0,INDEX(' Disaggregation - Section E '!F$618:F2941,MATCH(C2252,' Disaggregation - Section E '!A$618:A2941,0)+1,1),""),"")</f>
        <v>214408</v>
      </c>
      <c r="I2252" s="391">
        <f ca="1">IFERROR(IF(VLOOKUP(C2252,' Disaggregation - Section E '!A$618:J2941,8,0)=0,"",VLOOKUP(C2252,' Disaggregation - Section E '!A$618:J2941,8,0)),"")</f>
        <v>2021</v>
      </c>
      <c r="J2252" s="391" t="str">
        <f ca="1">IFERROR(IF(VLOOKUP(C2252,' Disaggregation - Section E '!A$618:J2941,9,0)="","",VLOOKUP(C2252,' Disaggregation - Section E '!A$618:J2941,9,0)),"")</f>
        <v>WHO TB Global Report 2022</v>
      </c>
      <c r="K2252" s="387" t="str">
        <f ca="1">IFERROR(VLOOKUP(C2252,' Disaggregation - Section E '!A$618:J2941,3,0),"")</f>
        <v>TBDT-1 Number of patients with of all forms of TB notified (i.e., bacteriologically confirmed + clinically diagnosed); *includes only those with new and relapse TB</v>
      </c>
      <c r="L2252" s="387"/>
      <c r="M2252" s="387" t="str">
        <f ca="1">IFERROR(IF(VLOOKUP(C2252,' Disaggregation - Section E '!A$618:O1264,15,0)=0,"",VLOOKUP(C2252,' Disaggregation - Section E '!A$618:O1264,15,0)),"")</f>
        <v>IDR-01318</v>
      </c>
      <c r="N2252" s="391" t="str">
        <f ca="1">IFERROR(IF(VLOOKUP(C2252,' Disaggregation - Section E '!A$618:J2941,10,0)=0,"",VLOOKUP(C2252,' Disaggregation - Section E '!A$618:J2941,10,0)),"")</f>
        <v>Adult coverage represents 87% of all forms</v>
      </c>
      <c r="O2252" s="387"/>
      <c r="P2252" s="387" t="str">
        <f ca="1">IFERROR(IF(VLOOKUP(C2252,' Disaggregation - Section E '!A$618:R1264,18,0)=0,"",VLOOKUP(C2252,' Disaggregation - Section E '!A$618:R1264,18,0)),"")</f>
        <v>a1LDm000000Cb40MAC</v>
      </c>
    </row>
    <row r="2253" spans="1:16">
      <c r="A2253" s="387" t="b">
        <f t="shared" ca="1" si="166"/>
        <v>1</v>
      </c>
      <c r="B2253" s="387"/>
      <c r="C2253" s="396" t="str">
        <f ca="1">IF(COUNTA(O$1610:O2253)=1,"",OFFSET(B2251,-COUNTA(O$1610:O2253)+3,1))</f>
        <v>a16Dm000000M3qCIAS</v>
      </c>
      <c r="D2253" s="392"/>
      <c r="E2253" s="389">
        <f ca="1">IFERROR(IF(VLOOKUP(C2253,' Disaggregation - Section E '!A$618:J2942,7,0)="","",VLOOKUP(C2253,' Disaggregation - Section E '!A$618:J2942,7,0)*100),"")</f>
        <v>22.086862430506322</v>
      </c>
      <c r="F2253" s="391" t="str">
        <f ca="1">IFERROR(VLOOKUP(C2253,' Disaggregation - Section E '!A$618:J2942,5,0),"")</f>
        <v>Unknown</v>
      </c>
      <c r="G2253" s="390">
        <f ca="1">IFERROR(IF(VLOOKUP(C2253,' Disaggregation - Section E '!A$618:J2942,6,0)="","",VLOOKUP(C2253,' Disaggregation - Section E '!A$618:J2942,6,0)),"")</f>
        <v>47356</v>
      </c>
      <c r="H2253" s="390">
        <f ca="1">IFERROR(IF(INDEX(' Disaggregation - Section E '!F$618:F2942,MATCH(C2253,' Disaggregation - Section E '!A$618:A2942,0)+1,1)&lt;&gt;0,INDEX(' Disaggregation - Section E '!F$618:F2942,MATCH(C2253,' Disaggregation - Section E '!A$618:A2942,0)+1,1),""),"")</f>
        <v>214408</v>
      </c>
      <c r="I2253" s="391">
        <f ca="1">IFERROR(IF(VLOOKUP(C2253,' Disaggregation - Section E '!A$618:J2942,8,0)=0,"",VLOOKUP(C2253,' Disaggregation - Section E '!A$618:J2942,8,0)),"")</f>
        <v>2021</v>
      </c>
      <c r="J2253" s="391" t="str">
        <f ca="1">IFERROR(IF(VLOOKUP(C2253,' Disaggregation - Section E '!A$618:J2942,9,0)="","",VLOOKUP(C2253,' Disaggregation - Section E '!A$618:J2942,9,0)),"")</f>
        <v>WHO TB Global Report 2022</v>
      </c>
      <c r="K2253" s="387" t="str">
        <f ca="1">IFERROR(VLOOKUP(C2253,' Disaggregation - Section E '!A$618:J2942,3,0),"")</f>
        <v>TBDT-1 Number of patients with of all forms of TB notified (i.e., bacteriologically confirmed + clinically diagnosed); *includes only those with new and relapse TB</v>
      </c>
      <c r="L2253" s="387"/>
      <c r="M2253" s="387" t="str">
        <f ca="1">IFERROR(IF(VLOOKUP(C2253,' Disaggregation - Section E '!A$618:O1265,15,0)=0,"",VLOOKUP(C2253,' Disaggregation - Section E '!A$618:O1265,15,0)),"")</f>
        <v>IDR-01317</v>
      </c>
      <c r="N2253" s="391" t="str">
        <f ca="1">IFERROR(IF(VLOOKUP(C2253,' Disaggregation - Section E '!A$618:J2942,10,0)=0,"",VLOOKUP(C2253,' Disaggregation - Section E '!A$618:J2942,10,0)),"")</f>
        <v>Adult coverage represents 22% of all forms</v>
      </c>
      <c r="O2253" s="387"/>
      <c r="P2253" s="387" t="str">
        <f ca="1">IFERROR(IF(VLOOKUP(C2253,' Disaggregation - Section E '!A$618:R1265,18,0)=0,"",VLOOKUP(C2253,' Disaggregation - Section E '!A$618:R1265,18,0)),"")</f>
        <v>a1LDm000000Cb3zMAC</v>
      </c>
    </row>
    <row r="2254" spans="1:16">
      <c r="A2254" s="387" t="b">
        <f t="shared" ca="1" si="166"/>
        <v>1</v>
      </c>
      <c r="B2254" s="387"/>
      <c r="C2254" s="396" t="str">
        <f ca="1">IF(COUNTA(O$1610:O2254)=1,"",OFFSET(B2252,-COUNTA(O$1610:O2254)+3,1))</f>
        <v>a16Dm000000M3qDIAS</v>
      </c>
      <c r="D2254" s="392"/>
      <c r="E2254" s="389">
        <f ca="1">IFERROR(IF(VLOOKUP(C2254,' Disaggregation - Section E '!A$618:J2943,7,0)="","",VLOOKUP(C2254,' Disaggregation - Section E '!A$618:J2943,7,0)*100),"")</f>
        <v>12.555035259878364</v>
      </c>
      <c r="F2254" s="391" t="str">
        <f ca="1">IFERROR(VLOOKUP(C2254,' Disaggregation - Section E '!A$618:J2943,5,0),"")</f>
        <v>&lt;15</v>
      </c>
      <c r="G2254" s="390">
        <f ca="1">IFERROR(IF(VLOOKUP(C2254,' Disaggregation - Section E '!A$618:J2943,6,0)="","",VLOOKUP(C2254,' Disaggregation - Section E '!A$618:J2943,6,0)),"")</f>
        <v>26919</v>
      </c>
      <c r="H2254" s="390">
        <f ca="1">IFERROR(IF(INDEX(' Disaggregation - Section E '!F$618:F2943,MATCH(C2254,' Disaggregation - Section E '!A$618:A2943,0)+1,1)&lt;&gt;0,INDEX(' Disaggregation - Section E '!F$618:F2943,MATCH(C2254,' Disaggregation - Section E '!A$618:A2943,0)+1,1),""),"")</f>
        <v>214408</v>
      </c>
      <c r="I2254" s="391">
        <f ca="1">IFERROR(IF(VLOOKUP(C2254,' Disaggregation - Section E '!A$618:J2943,8,0)=0,"",VLOOKUP(C2254,' Disaggregation - Section E '!A$618:J2943,8,0)),"")</f>
        <v>2021</v>
      </c>
      <c r="J2254" s="391" t="str">
        <f ca="1">IFERROR(IF(VLOOKUP(C2254,' Disaggregation - Section E '!A$618:J2943,9,0)="","",VLOOKUP(C2254,' Disaggregation - Section E '!A$618:J2943,9,0)),"")</f>
        <v>WHO TB Global Report 2022</v>
      </c>
      <c r="K2254" s="387" t="str">
        <f ca="1">IFERROR(VLOOKUP(C2254,' Disaggregation - Section E '!A$618:J2943,3,0),"")</f>
        <v>TBDT-1 Number of patients with of all forms of TB notified (i.e., bacteriologically confirmed + clinically diagnosed); *includes only those with new and relapse TB</v>
      </c>
      <c r="L2254" s="387"/>
      <c r="M2254" s="387" t="str">
        <f ca="1">IFERROR(IF(VLOOKUP(C2254,' Disaggregation - Section E '!A$618:O1266,15,0)=0,"",VLOOKUP(C2254,' Disaggregation - Section E '!A$618:O1266,15,0)),"")</f>
        <v>IDR-01316</v>
      </c>
      <c r="N2254" s="391" t="str">
        <f ca="1">IFERROR(IF(VLOOKUP(C2254,' Disaggregation - Section E '!A$618:J2943,10,0)=0,"",VLOOKUP(C2254,' Disaggregation - Section E '!A$618:J2943,10,0)),"")</f>
        <v>Children coverage represents 13.6% of all forms</v>
      </c>
      <c r="O2254" s="387"/>
      <c r="P2254" s="387" t="str">
        <f ca="1">IFERROR(IF(VLOOKUP(C2254,' Disaggregation - Section E '!A$618:R1266,18,0)=0,"",VLOOKUP(C2254,' Disaggregation - Section E '!A$618:R1266,18,0)),"")</f>
        <v>a1LDm000000Cb3yMAC</v>
      </c>
    </row>
    <row r="2255" spans="1:16">
      <c r="A2255" s="387" t="b">
        <f t="shared" ca="1" si="166"/>
        <v>1</v>
      </c>
      <c r="B2255" s="387"/>
      <c r="C2255" s="396" t="str">
        <f ca="1">IF(COUNTA(O$1610:O2255)=1,"",OFFSET(B2253,-COUNTA(O$1610:O2255)+3,1))</f>
        <v>a16Dm000000M3qEIAS</v>
      </c>
      <c r="D2255" s="392"/>
      <c r="E2255" s="389">
        <f ca="1">IFERROR(IF(VLOOKUP(C2255,' Disaggregation - Section E '!A$618:J2944,7,0)="","",VLOOKUP(C2255,' Disaggregation - Section E '!A$618:J2944,7,0)*100),"")</f>
        <v>56.605630386925867</v>
      </c>
      <c r="F2255" s="391" t="str">
        <f ca="1">IFERROR(VLOOKUP(C2255,' Disaggregation - Section E '!A$618:J2944,5,0),"")</f>
        <v>Male</v>
      </c>
      <c r="G2255" s="390">
        <f ca="1">IFERROR(IF(VLOOKUP(C2255,' Disaggregation - Section E '!A$618:J2944,6,0)="","",VLOOKUP(C2255,' Disaggregation - Section E '!A$618:J2944,6,0)),"")</f>
        <v>121367</v>
      </c>
      <c r="H2255" s="390">
        <f ca="1">IFERROR(IF(INDEX(' Disaggregation - Section E '!F$618:F2944,MATCH(C2255,' Disaggregation - Section E '!A$618:A2944,0)+1,1)&lt;&gt;0,INDEX(' Disaggregation - Section E '!F$618:F2944,MATCH(C2255,' Disaggregation - Section E '!A$618:A2944,0)+1,1),""),"")</f>
        <v>214408</v>
      </c>
      <c r="I2255" s="391">
        <f ca="1">IFERROR(IF(VLOOKUP(C2255,' Disaggregation - Section E '!A$618:J2944,8,0)=0,"",VLOOKUP(C2255,' Disaggregation - Section E '!A$618:J2944,8,0)),"")</f>
        <v>2021</v>
      </c>
      <c r="J2255" s="391" t="str">
        <f ca="1">IFERROR(IF(VLOOKUP(C2255,' Disaggregation - Section E '!A$618:J2944,9,0)="","",VLOOKUP(C2255,' Disaggregation - Section E '!A$618:J2944,9,0)),"")</f>
        <v>WHO TB Global Report 2022</v>
      </c>
      <c r="K2255" s="387" t="str">
        <f ca="1">IFERROR(VLOOKUP(C2255,' Disaggregation - Section E '!A$618:J2944,3,0),"")</f>
        <v>TBDT-1 Number of patients with of all forms of TB notified (i.e., bacteriologically confirmed + clinically diagnosed); *includes only those with new and relapse TB</v>
      </c>
      <c r="L2255" s="387"/>
      <c r="M2255" s="387" t="str">
        <f ca="1">IFERROR(IF(VLOOKUP(C2255,' Disaggregation - Section E '!A$618:O1267,15,0)=0,"",VLOOKUP(C2255,' Disaggregation - Section E '!A$618:O1267,15,0)),"")</f>
        <v>IDR-01315</v>
      </c>
      <c r="N2255" s="391" t="str">
        <f ca="1">IFERROR(IF(VLOOKUP(C2255,' Disaggregation - Section E '!A$618:J2944,10,0)=0,"",VLOOKUP(C2255,' Disaggregation - Section E '!A$618:J2944,10,0)),"")</f>
        <v>Men coverage represents 57% of all forms</v>
      </c>
      <c r="O2255" s="387"/>
      <c r="P2255" s="387" t="str">
        <f ca="1">IFERROR(IF(VLOOKUP(C2255,' Disaggregation - Section E '!A$618:R1267,18,0)=0,"",VLOOKUP(C2255,' Disaggregation - Section E '!A$618:R1267,18,0)),"")</f>
        <v>a1LDm000000Cb3xMAC</v>
      </c>
    </row>
    <row r="2256" spans="1:16">
      <c r="A2256" s="387" t="b">
        <f t="shared" ca="1" si="166"/>
        <v>1</v>
      </c>
      <c r="B2256" s="387"/>
      <c r="C2256" s="396" t="str">
        <f ca="1">IF(COUNTA(O$1610:O2256)=1,"",OFFSET(B2254,-COUNTA(O$1610:O2256)+3,1))</f>
        <v>a16Dm000000M3qFIAS</v>
      </c>
      <c r="D2256" s="392"/>
      <c r="E2256" s="389">
        <f ca="1">IFERROR(IF(VLOOKUP(C2256,' Disaggregation - Section E '!A$618:J2945,7,0)="","",VLOOKUP(C2256,' Disaggregation - Section E '!A$618:J2945,7,0)*100),"")</f>
        <v>71.675963583448379</v>
      </c>
      <c r="F2256" s="391" t="str">
        <f ca="1">IFERROR(VLOOKUP(C2256,' Disaggregation - Section E '!A$618:J2945,5,0),"")</f>
        <v>Negative</v>
      </c>
      <c r="G2256" s="390">
        <f ca="1">IFERROR(IF(VLOOKUP(C2256,' Disaggregation - Section E '!A$618:J2945,6,0)="","",VLOOKUP(C2256,' Disaggregation - Section E '!A$618:J2945,6,0)),"")</f>
        <v>153679</v>
      </c>
      <c r="H2256" s="390">
        <f ca="1">IFERROR(IF(INDEX(' Disaggregation - Section E '!F$618:F2945,MATCH(C2256,' Disaggregation - Section E '!A$618:A2945,0)+1,1)&lt;&gt;0,INDEX(' Disaggregation - Section E '!F$618:F2945,MATCH(C2256,' Disaggregation - Section E '!A$618:A2945,0)+1,1),""),"")</f>
        <v>214408</v>
      </c>
      <c r="I2256" s="391">
        <f ca="1">IFERROR(IF(VLOOKUP(C2256,' Disaggregation - Section E '!A$618:J2945,8,0)=0,"",VLOOKUP(C2256,' Disaggregation - Section E '!A$618:J2945,8,0)),"")</f>
        <v>2021</v>
      </c>
      <c r="J2256" s="391" t="str">
        <f ca="1">IFERROR(IF(VLOOKUP(C2256,' Disaggregation - Section E '!A$618:J2945,9,0)="","",VLOOKUP(C2256,' Disaggregation - Section E '!A$618:J2945,9,0)),"")</f>
        <v>DHIS2</v>
      </c>
      <c r="K2256" s="387" t="str">
        <f ca="1">IFERROR(VLOOKUP(C2256,' Disaggregation - Section E '!A$618:J2945,3,0),"")</f>
        <v>TBDT-1 Number of patients with of all forms of TB notified (i.e., bacteriologically confirmed + clinically diagnosed); *includes only those with new and relapse TB</v>
      </c>
      <c r="L2256" s="387"/>
      <c r="M2256" s="387" t="str">
        <f ca="1">IFERROR(IF(VLOOKUP(C2256,' Disaggregation - Section E '!A$618:O1268,15,0)=0,"",VLOOKUP(C2256,' Disaggregation - Section E '!A$618:O1268,15,0)),"")</f>
        <v>IDR-01314</v>
      </c>
      <c r="N2256" s="391" t="str">
        <f ca="1">IFERROR(IF(VLOOKUP(C2256,' Disaggregation - Section E '!A$618:J2945,10,0)=0,"",VLOOKUP(C2256,' Disaggregation - Section E '!A$618:J2945,10,0)),"")</f>
        <v>Coverage of patients with negative status represents 72% of all forms</v>
      </c>
      <c r="O2256" s="387"/>
      <c r="P2256" s="387" t="str">
        <f ca="1">IFERROR(IF(VLOOKUP(C2256,' Disaggregation - Section E '!A$618:R1268,18,0)=0,"",VLOOKUP(C2256,' Disaggregation - Section E '!A$618:R1268,18,0)),"")</f>
        <v>a1LDm000000Cb3wMAC</v>
      </c>
    </row>
    <row r="2257" spans="1:16">
      <c r="A2257" s="387" t="b">
        <f t="shared" ca="1" si="166"/>
        <v>1</v>
      </c>
      <c r="B2257" s="387"/>
      <c r="C2257" s="396" t="str">
        <f ca="1">IF(COUNTA(O$1610:O2257)=1,"",OFFSET(B2255,-COUNTA(O$1610:O2257)+3,1))</f>
        <v>a16Dm000000M3qGIAS</v>
      </c>
      <c r="D2257" s="392"/>
      <c r="E2257" s="389">
        <f ca="1">IFERROR(IF(VLOOKUP(C2257,' Disaggregation - Section E '!A$618:J2946,7,0)="","",VLOOKUP(C2257,' Disaggregation - Section E '!A$618:J2946,7,0)*100),"")</f>
        <v>61.493041304428942</v>
      </c>
      <c r="F2257" s="391" t="str">
        <f ca="1">IFERROR(VLOOKUP(C2257,' Disaggregation - Section E '!A$618:J2946,5,0),"")</f>
        <v>Bacteriologically confirmed</v>
      </c>
      <c r="G2257" s="390">
        <f ca="1">IFERROR(IF(VLOOKUP(C2257,' Disaggregation - Section E '!A$618:J2946,6,0)="","",VLOOKUP(C2257,' Disaggregation - Section E '!A$618:J2946,6,0)),"")</f>
        <v>131846</v>
      </c>
      <c r="H2257" s="390">
        <f ca="1">IFERROR(IF(INDEX(' Disaggregation - Section E '!F$618:F2946,MATCH(C2257,' Disaggregation - Section E '!A$618:A2946,0)+1,1)&lt;&gt;0,INDEX(' Disaggregation - Section E '!F$618:F2946,MATCH(C2257,' Disaggregation - Section E '!A$618:A2946,0)+1,1),""),"")</f>
        <v>214408</v>
      </c>
      <c r="I2257" s="391">
        <f ca="1">IFERROR(IF(VLOOKUP(C2257,' Disaggregation - Section E '!A$618:J2946,8,0)=0,"",VLOOKUP(C2257,' Disaggregation - Section E '!A$618:J2946,8,0)),"")</f>
        <v>2021</v>
      </c>
      <c r="J2257" s="391" t="str">
        <f ca="1">IFERROR(IF(VLOOKUP(C2257,' Disaggregation - Section E '!A$618:J2946,9,0)="","",VLOOKUP(C2257,' Disaggregation - Section E '!A$618:J2946,9,0)),"")</f>
        <v>WHO TB Global Report 2022</v>
      </c>
      <c r="K2257" s="387" t="str">
        <f ca="1">IFERROR(VLOOKUP(C2257,' Disaggregation - Section E '!A$618:J2946,3,0),"")</f>
        <v>TBDT-1 Number of patients with of all forms of TB notified (i.e., bacteriologically confirmed + clinically diagnosed); *includes only those with new and relapse TB</v>
      </c>
      <c r="L2257" s="387"/>
      <c r="M2257" s="387" t="str">
        <f ca="1">IFERROR(IF(VLOOKUP(C2257,' Disaggregation - Section E '!A$618:O1269,15,0)=0,"",VLOOKUP(C2257,' Disaggregation - Section E '!A$618:O1269,15,0)),"")</f>
        <v>IDR-01313</v>
      </c>
      <c r="N2257" s="391" t="str">
        <f ca="1">IFERROR(IF(VLOOKUP(C2257,' Disaggregation - Section E '!A$618:J2946,10,0)=0,"",VLOOKUP(C2257,' Disaggregation - Section E '!A$618:J2946,10,0)),"")</f>
        <v>TP+ coverage represents 61% of all forms</v>
      </c>
      <c r="O2257" s="387"/>
      <c r="P2257" s="387" t="str">
        <f ca="1">IFERROR(IF(VLOOKUP(C2257,' Disaggregation - Section E '!A$618:R1269,18,0)=0,"",VLOOKUP(C2257,' Disaggregation - Section E '!A$618:R1269,18,0)),"")</f>
        <v>a1LDm000000Cb3vMAC</v>
      </c>
    </row>
    <row r="2258" spans="1:16">
      <c r="A2258" s="387" t="b">
        <f t="shared" ca="1" si="166"/>
        <v>1</v>
      </c>
      <c r="B2258" s="387"/>
      <c r="C2258" s="396" t="str">
        <f ca="1">IF(COUNTA(O$1610:O2258)=1,"",OFFSET(B2256,-COUNTA(O$1610:O2258)+3,1))</f>
        <v>a16Dm000000M3qHIAS</v>
      </c>
      <c r="D2258" s="392"/>
      <c r="E2258" s="389">
        <f ca="1">IFERROR(IF(VLOOKUP(C2258,' Disaggregation - Section E '!A$618:J2947,7,0)="","",VLOOKUP(C2258,' Disaggregation - Section E '!A$618:J2947,7,0)*100),"")</f>
        <v>43.39436961307414</v>
      </c>
      <c r="F2258" s="391" t="str">
        <f ca="1">IFERROR(VLOOKUP(C2258,' Disaggregation - Section E '!A$618:J2947,5,0),"")</f>
        <v>Female</v>
      </c>
      <c r="G2258" s="390">
        <f ca="1">IFERROR(IF(VLOOKUP(C2258,' Disaggregation - Section E '!A$618:J2947,6,0)="","",VLOOKUP(C2258,' Disaggregation - Section E '!A$618:J2947,6,0)),"")</f>
        <v>93041</v>
      </c>
      <c r="H2258" s="390">
        <f ca="1">IFERROR(IF(INDEX(' Disaggregation - Section E '!F$618:F2947,MATCH(C2258,' Disaggregation - Section E '!A$618:A2947,0)+1,1)&lt;&gt;0,INDEX(' Disaggregation - Section E '!F$618:F2947,MATCH(C2258,' Disaggregation - Section E '!A$618:A2947,0)+1,1),""),"")</f>
        <v>214408</v>
      </c>
      <c r="I2258" s="391">
        <f ca="1">IFERROR(IF(VLOOKUP(C2258,' Disaggregation - Section E '!A$618:J2947,8,0)=0,"",VLOOKUP(C2258,' Disaggregation - Section E '!A$618:J2947,8,0)),"")</f>
        <v>2021</v>
      </c>
      <c r="J2258" s="391" t="str">
        <f ca="1">IFERROR(IF(VLOOKUP(C2258,' Disaggregation - Section E '!A$618:J2947,9,0)="","",VLOOKUP(C2258,' Disaggregation - Section E '!A$618:J2947,9,0)),"")</f>
        <v>WHO TB Global Report 2022</v>
      </c>
      <c r="K2258" s="387" t="str">
        <f ca="1">IFERROR(VLOOKUP(C2258,' Disaggregation - Section E '!A$618:J2947,3,0),"")</f>
        <v>TBDT-1 Number of patients with of all forms of TB notified (i.e., bacteriologically confirmed + clinically diagnosed); *includes only those with new and relapse TB</v>
      </c>
      <c r="L2258" s="387"/>
      <c r="M2258" s="387" t="str">
        <f ca="1">IFERROR(IF(VLOOKUP(C2258,' Disaggregation - Section E '!A$618:O1270,15,0)=0,"",VLOOKUP(C2258,' Disaggregation - Section E '!A$618:O1270,15,0)),"")</f>
        <v>IDR-01312</v>
      </c>
      <c r="N2258" s="391" t="str">
        <f ca="1">IFERROR(IF(VLOOKUP(C2258,' Disaggregation - Section E '!A$618:J2947,10,0)=0,"",VLOOKUP(C2258,' Disaggregation - Section E '!A$618:J2947,10,0)),"")</f>
        <v>Women coverage represents 43% of all forms</v>
      </c>
      <c r="O2258" s="387"/>
      <c r="P2258" s="387" t="str">
        <f ca="1">IFERROR(IF(VLOOKUP(C2258,' Disaggregation - Section E '!A$618:R1270,18,0)=0,"",VLOOKUP(C2258,' Disaggregation - Section E '!A$618:R1270,18,0)),"")</f>
        <v>a1LDm000000Cb3uMAC</v>
      </c>
    </row>
    <row r="2259" spans="1:16">
      <c r="A2259" s="387" t="b">
        <f t="shared" ca="1" si="166"/>
        <v>1</v>
      </c>
      <c r="B2259" s="387"/>
      <c r="C2259" s="396" t="str">
        <f ca="1">IF(COUNTA(O$1610:O2259)=1,"",OFFSET(B2257,-COUNTA(O$1610:O2259)+3,1))</f>
        <v>a16Dm000000M3qIIAS</v>
      </c>
      <c r="D2259" s="392"/>
      <c r="E2259" s="389">
        <f ca="1">IFERROR(IF(VLOOKUP(C2259,' Disaggregation - Section E '!A$618:J2948,7,0)="","",VLOOKUP(C2259,' Disaggregation - Section E '!A$618:J2948,7,0)*100),"")</f>
        <v>6.2371739860452973</v>
      </c>
      <c r="F2259" s="391" t="str">
        <f ca="1">IFERROR(VLOOKUP(C2259,' Disaggregation - Section E '!A$618:J2948,5,0),"")</f>
        <v>Positive</v>
      </c>
      <c r="G2259" s="390">
        <f ca="1">IFERROR(IF(VLOOKUP(C2259,' Disaggregation - Section E '!A$618:J2948,6,0)="","",VLOOKUP(C2259,' Disaggregation - Section E '!A$618:J2948,6,0)),"")</f>
        <v>13373</v>
      </c>
      <c r="H2259" s="390">
        <f ca="1">IFERROR(IF(INDEX(' Disaggregation - Section E '!F$618:F2948,MATCH(C2259,' Disaggregation - Section E '!A$618:A2948,0)+1,1)&lt;&gt;0,INDEX(' Disaggregation - Section E '!F$618:F2948,MATCH(C2259,' Disaggregation - Section E '!A$618:A2948,0)+1,1),""),"")</f>
        <v>214408</v>
      </c>
      <c r="I2259" s="391">
        <f ca="1">IFERROR(IF(VLOOKUP(C2259,' Disaggregation - Section E '!A$618:J2948,8,0)=0,"",VLOOKUP(C2259,' Disaggregation - Section E '!A$618:J2948,8,0)),"")</f>
        <v>2021</v>
      </c>
      <c r="J2259" s="391" t="str">
        <f ca="1">IFERROR(IF(VLOOKUP(C2259,' Disaggregation - Section E '!A$618:J2948,9,0)="","",VLOOKUP(C2259,' Disaggregation - Section E '!A$618:J2948,9,0)),"")</f>
        <v>DHIS2</v>
      </c>
      <c r="K2259" s="387" t="str">
        <f ca="1">IFERROR(VLOOKUP(C2259,' Disaggregation - Section E '!A$618:J2948,3,0),"")</f>
        <v>TBDT-1 Number of patients with of all forms of TB notified (i.e., bacteriologically confirmed + clinically diagnosed); *includes only those with new and relapse TB</v>
      </c>
      <c r="L2259" s="387"/>
      <c r="M2259" s="387" t="str">
        <f ca="1">IFERROR(IF(VLOOKUP(C2259,' Disaggregation - Section E '!A$618:O1271,15,0)=0,"",VLOOKUP(C2259,' Disaggregation - Section E '!A$618:O1271,15,0)),"")</f>
        <v>IDR-01311</v>
      </c>
      <c r="N2259" s="391" t="str">
        <f ca="1">IFERROR(IF(VLOOKUP(C2259,' Disaggregation - Section E '!A$618:J2948,10,0)=0,"",VLOOKUP(C2259,' Disaggregation - Section E '!A$618:J2948,10,0)),"")</f>
        <v>Coverage of positive patients represents 6% of all forms</v>
      </c>
      <c r="O2259" s="387"/>
      <c r="P2259" s="387" t="str">
        <f ca="1">IFERROR(IF(VLOOKUP(C2259,' Disaggregation - Section E '!A$618:R1271,18,0)=0,"",VLOOKUP(C2259,' Disaggregation - Section E '!A$618:R1271,18,0)),"")</f>
        <v>a1LDm000000Cb3tMAC</v>
      </c>
    </row>
    <row r="2260" spans="1:16">
      <c r="A2260" s="387" t="b">
        <f t="shared" ca="1" si="166"/>
        <v>0</v>
      </c>
      <c r="B2260" s="387"/>
      <c r="C2260" s="396" t="str">
        <f ca="1">IF(COUNTA(O$1610:O2260)=1,"",OFFSET(B2258,-COUNTA(O$1610:O2260)+3,1))</f>
        <v>a16Dm000000M3qJIAS</v>
      </c>
      <c r="D2260" s="392"/>
      <c r="E2260" s="389" t="str">
        <f ca="1">IFERROR(IF(VLOOKUP(C2260,' Disaggregation - Section E '!A$618:J2949,7,0)="","",VLOOKUP(C2260,' Disaggregation - Section E '!A$618:J2949,7,0)*100),"")</f>
        <v/>
      </c>
      <c r="F2260" s="391" t="str">
        <f ca="1">IFERROR(VLOOKUP(C2260,' Disaggregation - Section E '!A$618:J2949,5,0),"")</f>
        <v/>
      </c>
      <c r="G2260" s="390" t="str">
        <f ca="1">IFERROR(IF(VLOOKUP(C2260,' Disaggregation - Section E '!A$618:J2949,6,0)="","",VLOOKUP(C2260,' Disaggregation - Section E '!A$618:J2949,6,0)),"")</f>
        <v/>
      </c>
      <c r="H2260" s="390" t="str">
        <f ca="1">IFERROR(IF(INDEX(' Disaggregation - Section E '!F$618:F2949,MATCH(C2260,' Disaggregation - Section E '!A$618:A2949,0)+1,1)&lt;&gt;0,INDEX(' Disaggregation - Section E '!F$618:F2949,MATCH(C2260,' Disaggregation - Section E '!A$618:A2949,0)+1,1),""),"")</f>
        <v/>
      </c>
      <c r="I2260" s="391" t="str">
        <f ca="1">IFERROR(IF(VLOOKUP(C2260,' Disaggregation - Section E '!A$618:J2949,8,0)=0,"",VLOOKUP(C2260,' Disaggregation - Section E '!A$618:J2949,8,0)),"")</f>
        <v/>
      </c>
      <c r="J2260" s="391" t="str">
        <f ca="1">IFERROR(IF(VLOOKUP(C2260,' Disaggregation - Section E '!A$618:J2949,9,0)="","",VLOOKUP(C2260,' Disaggregation - Section E '!A$618:J2949,9,0)),"")</f>
        <v/>
      </c>
      <c r="K2260" s="387" t="str">
        <f ca="1">IFERROR(VLOOKUP(C2260,' Disaggregation - Section E '!A$618:J2949,3,0),"")</f>
        <v>TBDT-1 Number of patients with of all forms of TB notified (i.e., bacteriologically confirmed + clinically diagnosed); *includes only those with new and relapse TB</v>
      </c>
      <c r="L2260" s="387"/>
      <c r="M2260" s="387" t="str">
        <f ca="1">IFERROR(IF(VLOOKUP(C2260,' Disaggregation - Section E '!A$618:O1272,15,0)=0,"",VLOOKUP(C2260,' Disaggregation - Section E '!A$618:O1272,15,0)),"")</f>
        <v/>
      </c>
      <c r="N2260" s="391" t="str">
        <f ca="1">IFERROR(IF(VLOOKUP(C2260,' Disaggregation - Section E '!A$618:J2949,10,0)=0,"",VLOOKUP(C2260,' Disaggregation - Section E '!A$618:J2949,10,0)),"")</f>
        <v/>
      </c>
      <c r="O2260" s="387"/>
      <c r="P2260" s="387" t="str">
        <f ca="1">IFERROR(IF(VLOOKUP(C2260,' Disaggregation - Section E '!A$618:R1272,18,0)=0,"",VLOOKUP(C2260,' Disaggregation - Section E '!A$618:R1272,18,0)),"")</f>
        <v/>
      </c>
    </row>
    <row r="2261" spans="1:16">
      <c r="A2261" s="387" t="b">
        <f t="shared" ca="1" si="166"/>
        <v>0</v>
      </c>
      <c r="B2261" s="387"/>
      <c r="C2261" s="396" t="str">
        <f ca="1">IF(COUNTA(O$1610:O2261)=1,"",OFFSET(B2259,-COUNTA(O$1610:O2261)+3,1))</f>
        <v>a16Dm000000M3qKIAS</v>
      </c>
      <c r="D2261" s="392"/>
      <c r="E2261" s="389" t="str">
        <f ca="1">IFERROR(IF(VLOOKUP(C2261,' Disaggregation - Section E '!A$618:J2950,7,0)="","",VLOOKUP(C2261,' Disaggregation - Section E '!A$618:J2950,7,0)*100),"")</f>
        <v/>
      </c>
      <c r="F2261" s="391" t="str">
        <f ca="1">IFERROR(VLOOKUP(C2261,' Disaggregation - Section E '!A$618:J2950,5,0),"")</f>
        <v/>
      </c>
      <c r="G2261" s="390" t="str">
        <f ca="1">IFERROR(IF(VLOOKUP(C2261,' Disaggregation - Section E '!A$618:J2950,6,0)="","",VLOOKUP(C2261,' Disaggregation - Section E '!A$618:J2950,6,0)),"")</f>
        <v/>
      </c>
      <c r="H2261" s="390" t="str">
        <f ca="1">IFERROR(IF(INDEX(' Disaggregation - Section E '!F$618:F2950,MATCH(C2261,' Disaggregation - Section E '!A$618:A2950,0)+1,1)&lt;&gt;0,INDEX(' Disaggregation - Section E '!F$618:F2950,MATCH(C2261,' Disaggregation - Section E '!A$618:A2950,0)+1,1),""),"")</f>
        <v/>
      </c>
      <c r="I2261" s="391" t="str">
        <f ca="1">IFERROR(IF(VLOOKUP(C2261,' Disaggregation - Section E '!A$618:J2950,8,0)=0,"",VLOOKUP(C2261,' Disaggregation - Section E '!A$618:J2950,8,0)),"")</f>
        <v/>
      </c>
      <c r="J2261" s="391" t="str">
        <f ca="1">IFERROR(IF(VLOOKUP(C2261,' Disaggregation - Section E '!A$618:J2950,9,0)="","",VLOOKUP(C2261,' Disaggregation - Section E '!A$618:J2950,9,0)),"")</f>
        <v/>
      </c>
      <c r="K2261" s="387" t="str">
        <f ca="1">IFERROR(VLOOKUP(C2261,' Disaggregation - Section E '!A$618:J2950,3,0),"")</f>
        <v>TBDT-1 Number of patients with of all forms of TB notified (i.e., bacteriologically confirmed + clinically diagnosed); *includes only those with new and relapse TB</v>
      </c>
      <c r="L2261" s="387"/>
      <c r="M2261" s="387" t="str">
        <f ca="1">IFERROR(IF(VLOOKUP(C2261,' Disaggregation - Section E '!A$618:O1273,15,0)=0,"",VLOOKUP(C2261,' Disaggregation - Section E '!A$618:O1273,15,0)),"")</f>
        <v/>
      </c>
      <c r="N2261" s="391" t="str">
        <f ca="1">IFERROR(IF(VLOOKUP(C2261,' Disaggregation - Section E '!A$618:J2950,10,0)=0,"",VLOOKUP(C2261,' Disaggregation - Section E '!A$618:J2950,10,0)),"")</f>
        <v/>
      </c>
      <c r="O2261" s="387"/>
      <c r="P2261" s="387" t="str">
        <f ca="1">IFERROR(IF(VLOOKUP(C2261,' Disaggregation - Section E '!A$618:R1273,18,0)=0,"",VLOOKUP(C2261,' Disaggregation - Section E '!A$618:R1273,18,0)),"")</f>
        <v/>
      </c>
    </row>
    <row r="2262" spans="1:16">
      <c r="A2262" s="387" t="b">
        <f t="shared" ca="1" si="166"/>
        <v>0</v>
      </c>
      <c r="B2262" s="387"/>
      <c r="C2262" s="396" t="str">
        <f ca="1">IF(COUNTA(O$1610:O2262)=1,"",OFFSET(B2260,-COUNTA(O$1610:O2262)+3,1))</f>
        <v>a16Dm000000M3qLIAS</v>
      </c>
      <c r="D2262" s="392"/>
      <c r="E2262" s="389" t="str">
        <f ca="1">IFERROR(IF(VLOOKUP(C2262,' Disaggregation - Section E '!A$618:J2951,7,0)="","",VLOOKUP(C2262,' Disaggregation - Section E '!A$618:J2951,7,0)*100),"")</f>
        <v/>
      </c>
      <c r="F2262" s="391" t="str">
        <f ca="1">IFERROR(VLOOKUP(C2262,' Disaggregation - Section E '!A$618:J2951,5,0),"")</f>
        <v/>
      </c>
      <c r="G2262" s="390" t="str">
        <f ca="1">IFERROR(IF(VLOOKUP(C2262,' Disaggregation - Section E '!A$618:J2951,6,0)="","",VLOOKUP(C2262,' Disaggregation - Section E '!A$618:J2951,6,0)),"")</f>
        <v/>
      </c>
      <c r="H2262" s="390" t="str">
        <f ca="1">IFERROR(IF(INDEX(' Disaggregation - Section E '!F$618:F2951,MATCH(C2262,' Disaggregation - Section E '!A$618:A2951,0)+1,1)&lt;&gt;0,INDEX(' Disaggregation - Section E '!F$618:F2951,MATCH(C2262,' Disaggregation - Section E '!A$618:A2951,0)+1,1),""),"")</f>
        <v/>
      </c>
      <c r="I2262" s="391" t="str">
        <f ca="1">IFERROR(IF(VLOOKUP(C2262,' Disaggregation - Section E '!A$618:J2951,8,0)=0,"",VLOOKUP(C2262,' Disaggregation - Section E '!A$618:J2951,8,0)),"")</f>
        <v/>
      </c>
      <c r="J2262" s="391" t="str">
        <f ca="1">IFERROR(IF(VLOOKUP(C2262,' Disaggregation - Section E '!A$618:J2951,9,0)="","",VLOOKUP(C2262,' Disaggregation - Section E '!A$618:J2951,9,0)),"")</f>
        <v/>
      </c>
      <c r="K2262" s="387" t="str">
        <f ca="1">IFERROR(VLOOKUP(C2262,' Disaggregation - Section E '!A$618:J2951,3,0),"")</f>
        <v>TBDT-1 Number of patients with of all forms of TB notified (i.e., bacteriologically confirmed + clinically diagnosed); *includes only those with new and relapse TB</v>
      </c>
      <c r="L2262" s="387"/>
      <c r="M2262" s="387" t="str">
        <f ca="1">IFERROR(IF(VLOOKUP(C2262,' Disaggregation - Section E '!A$618:O1274,15,0)=0,"",VLOOKUP(C2262,' Disaggregation - Section E '!A$618:O1274,15,0)),"")</f>
        <v/>
      </c>
      <c r="N2262" s="391" t="str">
        <f ca="1">IFERROR(IF(VLOOKUP(C2262,' Disaggregation - Section E '!A$618:J2951,10,0)=0,"",VLOOKUP(C2262,' Disaggregation - Section E '!A$618:J2951,10,0)),"")</f>
        <v/>
      </c>
      <c r="O2262" s="387"/>
      <c r="P2262" s="387" t="str">
        <f ca="1">IFERROR(IF(VLOOKUP(C2262,' Disaggregation - Section E '!A$618:R1274,18,0)=0,"",VLOOKUP(C2262,' Disaggregation - Section E '!A$618:R1274,18,0)),"")</f>
        <v/>
      </c>
    </row>
    <row r="2263" spans="1:16">
      <c r="A2263" s="387" t="b">
        <f t="shared" ca="1" si="166"/>
        <v>0</v>
      </c>
      <c r="B2263" s="387"/>
      <c r="C2263" s="396" t="str">
        <f ca="1">IF(COUNTA(O$1610:O2263)=1,"",OFFSET(B2261,-COUNTA(O$1610:O2263)+3,1))</f>
        <v>a16Dm000000M3qMIAS</v>
      </c>
      <c r="D2263" s="392"/>
      <c r="E2263" s="389" t="str">
        <f ca="1">IFERROR(IF(VLOOKUP(C2263,' Disaggregation - Section E '!A$618:J2952,7,0)="","",VLOOKUP(C2263,' Disaggregation - Section E '!A$618:J2952,7,0)*100),"")</f>
        <v/>
      </c>
      <c r="F2263" s="391" t="str">
        <f ca="1">IFERROR(VLOOKUP(C2263,' Disaggregation - Section E '!A$618:J2952,5,0),"")</f>
        <v/>
      </c>
      <c r="G2263" s="390" t="str">
        <f ca="1">IFERROR(IF(VLOOKUP(C2263,' Disaggregation - Section E '!A$618:J2952,6,0)="","",VLOOKUP(C2263,' Disaggregation - Section E '!A$618:J2952,6,0)),"")</f>
        <v/>
      </c>
      <c r="H2263" s="390" t="str">
        <f ca="1">IFERROR(IF(INDEX(' Disaggregation - Section E '!F$618:F2952,MATCH(C2263,' Disaggregation - Section E '!A$618:A2952,0)+1,1)&lt;&gt;0,INDEX(' Disaggregation - Section E '!F$618:F2952,MATCH(C2263,' Disaggregation - Section E '!A$618:A2952,0)+1,1),""),"")</f>
        <v/>
      </c>
      <c r="I2263" s="391" t="str">
        <f ca="1">IFERROR(IF(VLOOKUP(C2263,' Disaggregation - Section E '!A$618:J2952,8,0)=0,"",VLOOKUP(C2263,' Disaggregation - Section E '!A$618:J2952,8,0)),"")</f>
        <v/>
      </c>
      <c r="J2263" s="391" t="str">
        <f ca="1">IFERROR(IF(VLOOKUP(C2263,' Disaggregation - Section E '!A$618:J2952,9,0)="","",VLOOKUP(C2263,' Disaggregation - Section E '!A$618:J2952,9,0)),"")</f>
        <v/>
      </c>
      <c r="K2263" s="387" t="str">
        <f ca="1">IFERROR(VLOOKUP(C2263,' Disaggregation - Section E '!A$618:J2952,3,0),"")</f>
        <v>TBDT-1 Number of patients with of all forms of TB notified (i.e., bacteriologically confirmed + clinically diagnosed); *includes only those with new and relapse TB</v>
      </c>
      <c r="L2263" s="387"/>
      <c r="M2263" s="387" t="str">
        <f ca="1">IFERROR(IF(VLOOKUP(C2263,' Disaggregation - Section E '!A$618:O1275,15,0)=0,"",VLOOKUP(C2263,' Disaggregation - Section E '!A$618:O1275,15,0)),"")</f>
        <v/>
      </c>
      <c r="N2263" s="391" t="str">
        <f ca="1">IFERROR(IF(VLOOKUP(C2263,' Disaggregation - Section E '!A$618:J2952,10,0)=0,"",VLOOKUP(C2263,' Disaggregation - Section E '!A$618:J2952,10,0)),"")</f>
        <v/>
      </c>
      <c r="O2263" s="387"/>
      <c r="P2263" s="387" t="str">
        <f ca="1">IFERROR(IF(VLOOKUP(C2263,' Disaggregation - Section E '!A$618:R1275,18,0)=0,"",VLOOKUP(C2263,' Disaggregation - Section E '!A$618:R1275,18,0)),"")</f>
        <v/>
      </c>
    </row>
    <row r="2264" spans="1:16">
      <c r="A2264" s="387" t="b">
        <f t="shared" ca="1" si="166"/>
        <v>0</v>
      </c>
      <c r="B2264" s="387"/>
      <c r="C2264" s="396" t="str">
        <f ca="1">IF(COUNTA(O$1610:O2264)=1,"",OFFSET(B2262,-COUNTA(O$1610:O2264)+3,1))</f>
        <v>a16Dm000000M3qNIAS</v>
      </c>
      <c r="D2264" s="392"/>
      <c r="E2264" s="389" t="str">
        <f ca="1">IFERROR(IF(VLOOKUP(C2264,' Disaggregation - Section E '!A$618:J2953,7,0)="","",VLOOKUP(C2264,' Disaggregation - Section E '!A$618:J2953,7,0)*100),"")</f>
        <v/>
      </c>
      <c r="F2264" s="391" t="str">
        <f ca="1">IFERROR(VLOOKUP(C2264,' Disaggregation - Section E '!A$618:J2953,5,0),"")</f>
        <v/>
      </c>
      <c r="G2264" s="390" t="str">
        <f ca="1">IFERROR(IF(VLOOKUP(C2264,' Disaggregation - Section E '!A$618:J2953,6,0)="","",VLOOKUP(C2264,' Disaggregation - Section E '!A$618:J2953,6,0)),"")</f>
        <v/>
      </c>
      <c r="H2264" s="390" t="str">
        <f ca="1">IFERROR(IF(INDEX(' Disaggregation - Section E '!F$618:F2953,MATCH(C2264,' Disaggregation - Section E '!A$618:A2953,0)+1,1)&lt;&gt;0,INDEX(' Disaggregation - Section E '!F$618:F2953,MATCH(C2264,' Disaggregation - Section E '!A$618:A2953,0)+1,1),""),"")</f>
        <v/>
      </c>
      <c r="I2264" s="391" t="str">
        <f ca="1">IFERROR(IF(VLOOKUP(C2264,' Disaggregation - Section E '!A$618:J2953,8,0)=0,"",VLOOKUP(C2264,' Disaggregation - Section E '!A$618:J2953,8,0)),"")</f>
        <v/>
      </c>
      <c r="J2264" s="391" t="str">
        <f ca="1">IFERROR(IF(VLOOKUP(C2264,' Disaggregation - Section E '!A$618:J2953,9,0)="","",VLOOKUP(C2264,' Disaggregation - Section E '!A$618:J2953,9,0)),"")</f>
        <v/>
      </c>
      <c r="K2264" s="387" t="str">
        <f ca="1">IFERROR(VLOOKUP(C2264,' Disaggregation - Section E '!A$618:J2953,3,0),"")</f>
        <v>TBDT-1 Number of patients with of all forms of TB notified (i.e., bacteriologically confirmed + clinically diagnosed); *includes only those with new and relapse TB</v>
      </c>
      <c r="L2264" s="387"/>
      <c r="M2264" s="387" t="str">
        <f ca="1">IFERROR(IF(VLOOKUP(C2264,' Disaggregation - Section E '!A$618:O1276,15,0)=0,"",VLOOKUP(C2264,' Disaggregation - Section E '!A$618:O1276,15,0)),"")</f>
        <v/>
      </c>
      <c r="N2264" s="391" t="str">
        <f ca="1">IFERROR(IF(VLOOKUP(C2264,' Disaggregation - Section E '!A$618:J2953,10,0)=0,"",VLOOKUP(C2264,' Disaggregation - Section E '!A$618:J2953,10,0)),"")</f>
        <v/>
      </c>
      <c r="O2264" s="387"/>
      <c r="P2264" s="387" t="str">
        <f ca="1">IFERROR(IF(VLOOKUP(C2264,' Disaggregation - Section E '!A$618:R1276,18,0)=0,"",VLOOKUP(C2264,' Disaggregation - Section E '!A$618:R1276,18,0)),"")</f>
        <v/>
      </c>
    </row>
    <row r="2265" spans="1:16">
      <c r="A2265" s="387" t="b">
        <f t="shared" ca="1" si="166"/>
        <v>0</v>
      </c>
      <c r="B2265" s="387"/>
      <c r="C2265" s="396" t="str">
        <f ca="1">IF(COUNTA(O$1610:O2265)=1,"",OFFSET(B2263,-COUNTA(O$1610:O2265)+3,1))</f>
        <v>a16Dm000000M3qOIAS</v>
      </c>
      <c r="D2265" s="392"/>
      <c r="E2265" s="389" t="str">
        <f ca="1">IFERROR(IF(VLOOKUP(C2265,' Disaggregation - Section E '!A$618:J2954,7,0)="","",VLOOKUP(C2265,' Disaggregation - Section E '!A$618:J2954,7,0)*100),"")</f>
        <v/>
      </c>
      <c r="F2265" s="391" t="str">
        <f ca="1">IFERROR(VLOOKUP(C2265,' Disaggregation - Section E '!A$618:J2954,5,0),"")</f>
        <v/>
      </c>
      <c r="G2265" s="390" t="str">
        <f ca="1">IFERROR(IF(VLOOKUP(C2265,' Disaggregation - Section E '!A$618:J2954,6,0)="","",VLOOKUP(C2265,' Disaggregation - Section E '!A$618:J2954,6,0)),"")</f>
        <v/>
      </c>
      <c r="H2265" s="390" t="str">
        <f ca="1">IFERROR(IF(INDEX(' Disaggregation - Section E '!F$618:F2954,MATCH(C2265,' Disaggregation - Section E '!A$618:A2954,0)+1,1)&lt;&gt;0,INDEX(' Disaggregation - Section E '!F$618:F2954,MATCH(C2265,' Disaggregation - Section E '!A$618:A2954,0)+1,1),""),"")</f>
        <v/>
      </c>
      <c r="I2265" s="391" t="str">
        <f ca="1">IFERROR(IF(VLOOKUP(C2265,' Disaggregation - Section E '!A$618:J2954,8,0)=0,"",VLOOKUP(C2265,' Disaggregation - Section E '!A$618:J2954,8,0)),"")</f>
        <v/>
      </c>
      <c r="J2265" s="391" t="str">
        <f ca="1">IFERROR(IF(VLOOKUP(C2265,' Disaggregation - Section E '!A$618:J2954,9,0)="","",VLOOKUP(C2265,' Disaggregation - Section E '!A$618:J2954,9,0)),"")</f>
        <v/>
      </c>
      <c r="K2265" s="387" t="str">
        <f ca="1">IFERROR(VLOOKUP(C2265,' Disaggregation - Section E '!A$618:J2954,3,0),"")</f>
        <v>TBDT-1 Number of patients with of all forms of TB notified (i.e., bacteriologically confirmed + clinically diagnosed); *includes only those with new and relapse TB</v>
      </c>
      <c r="L2265" s="387"/>
      <c r="M2265" s="387" t="str">
        <f ca="1">IFERROR(IF(VLOOKUP(C2265,' Disaggregation - Section E '!A$618:O1277,15,0)=0,"",VLOOKUP(C2265,' Disaggregation - Section E '!A$618:O1277,15,0)),"")</f>
        <v/>
      </c>
      <c r="N2265" s="391" t="str">
        <f ca="1">IFERROR(IF(VLOOKUP(C2265,' Disaggregation - Section E '!A$618:J2954,10,0)=0,"",VLOOKUP(C2265,' Disaggregation - Section E '!A$618:J2954,10,0)),"")</f>
        <v/>
      </c>
      <c r="O2265" s="387"/>
      <c r="P2265" s="387" t="str">
        <f ca="1">IFERROR(IF(VLOOKUP(C2265,' Disaggregation - Section E '!A$618:R1277,18,0)=0,"",VLOOKUP(C2265,' Disaggregation - Section E '!A$618:R1277,18,0)),"")</f>
        <v/>
      </c>
    </row>
    <row r="2266" spans="1:16">
      <c r="A2266" s="387" t="b">
        <f t="shared" ca="1" si="166"/>
        <v>0</v>
      </c>
      <c r="B2266" s="387"/>
      <c r="C2266" s="396" t="str">
        <f ca="1">IF(COUNTA(O$1610:O2266)=1,"",OFFSET(B2264,-COUNTA(O$1610:O2266)+3,1))</f>
        <v>a16Dm000000M3qPIAS</v>
      </c>
      <c r="D2266" s="392"/>
      <c r="E2266" s="389" t="str">
        <f ca="1">IFERROR(IF(VLOOKUP(C2266,' Disaggregation - Section E '!A$618:J2955,7,0)="","",VLOOKUP(C2266,' Disaggregation - Section E '!A$618:J2955,7,0)*100),"")</f>
        <v/>
      </c>
      <c r="F2266" s="391" t="str">
        <f ca="1">IFERROR(VLOOKUP(C2266,' Disaggregation - Section E '!A$618:J2955,5,0),"")</f>
        <v/>
      </c>
      <c r="G2266" s="390" t="str">
        <f ca="1">IFERROR(IF(VLOOKUP(C2266,' Disaggregation - Section E '!A$618:J2955,6,0)="","",VLOOKUP(C2266,' Disaggregation - Section E '!A$618:J2955,6,0)),"")</f>
        <v/>
      </c>
      <c r="H2266" s="390" t="str">
        <f ca="1">IFERROR(IF(INDEX(' Disaggregation - Section E '!F$618:F2955,MATCH(C2266,' Disaggregation - Section E '!A$618:A2955,0)+1,1)&lt;&gt;0,INDEX(' Disaggregation - Section E '!F$618:F2955,MATCH(C2266,' Disaggregation - Section E '!A$618:A2955,0)+1,1),""),"")</f>
        <v/>
      </c>
      <c r="I2266" s="391" t="str">
        <f ca="1">IFERROR(IF(VLOOKUP(C2266,' Disaggregation - Section E '!A$618:J2955,8,0)=0,"",VLOOKUP(C2266,' Disaggregation - Section E '!A$618:J2955,8,0)),"")</f>
        <v/>
      </c>
      <c r="J2266" s="391" t="str">
        <f ca="1">IFERROR(IF(VLOOKUP(C2266,' Disaggregation - Section E '!A$618:J2955,9,0)="","",VLOOKUP(C2266,' Disaggregation - Section E '!A$618:J2955,9,0)),"")</f>
        <v/>
      </c>
      <c r="K2266" s="387" t="str">
        <f ca="1">IFERROR(VLOOKUP(C2266,' Disaggregation - Section E '!A$618:J2955,3,0),"")</f>
        <v>TBDT-1 Number of patients with of all forms of TB notified (i.e., bacteriologically confirmed + clinically diagnosed); *includes only those with new and relapse TB</v>
      </c>
      <c r="L2266" s="387"/>
      <c r="M2266" s="387" t="str">
        <f ca="1">IFERROR(IF(VLOOKUP(C2266,' Disaggregation - Section E '!A$618:O1278,15,0)=0,"",VLOOKUP(C2266,' Disaggregation - Section E '!A$618:O1278,15,0)),"")</f>
        <v/>
      </c>
      <c r="N2266" s="391" t="str">
        <f ca="1">IFERROR(IF(VLOOKUP(C2266,' Disaggregation - Section E '!A$618:J2955,10,0)=0,"",VLOOKUP(C2266,' Disaggregation - Section E '!A$618:J2955,10,0)),"")</f>
        <v/>
      </c>
      <c r="O2266" s="387"/>
      <c r="P2266" s="387" t="str">
        <f ca="1">IFERROR(IF(VLOOKUP(C2266,' Disaggregation - Section E '!A$618:R1278,18,0)=0,"",VLOOKUP(C2266,' Disaggregation - Section E '!A$618:R1278,18,0)),"")</f>
        <v/>
      </c>
    </row>
    <row r="2267" spans="1:16">
      <c r="A2267" s="387" t="b">
        <f t="shared" ca="1" si="166"/>
        <v>0</v>
      </c>
      <c r="B2267" s="387"/>
      <c r="C2267" s="396" t="str">
        <f ca="1">IF(COUNTA(O$1610:O2267)=1,"",OFFSET(B2265,-COUNTA(O$1610:O2267)+3,1))</f>
        <v>a16Dm000000M3qQIAS</v>
      </c>
      <c r="D2267" s="392"/>
      <c r="E2267" s="389" t="str">
        <f ca="1">IFERROR(IF(VLOOKUP(C2267,' Disaggregation - Section E '!A$618:J2956,7,0)="","",VLOOKUP(C2267,' Disaggregation - Section E '!A$618:J2956,7,0)*100),"")</f>
        <v/>
      </c>
      <c r="F2267" s="391" t="str">
        <f ca="1">IFERROR(VLOOKUP(C2267,' Disaggregation - Section E '!A$618:J2956,5,0),"")</f>
        <v/>
      </c>
      <c r="G2267" s="390" t="str">
        <f ca="1">IFERROR(IF(VLOOKUP(C2267,' Disaggregation - Section E '!A$618:J2956,6,0)="","",VLOOKUP(C2267,' Disaggregation - Section E '!A$618:J2956,6,0)),"")</f>
        <v/>
      </c>
      <c r="H2267" s="390" t="str">
        <f ca="1">IFERROR(IF(INDEX(' Disaggregation - Section E '!F$618:F2956,MATCH(C2267,' Disaggregation - Section E '!A$618:A2956,0)+1,1)&lt;&gt;0,INDEX(' Disaggregation - Section E '!F$618:F2956,MATCH(C2267,' Disaggregation - Section E '!A$618:A2956,0)+1,1),""),"")</f>
        <v/>
      </c>
      <c r="I2267" s="391" t="str">
        <f ca="1">IFERROR(IF(VLOOKUP(C2267,' Disaggregation - Section E '!A$618:J2956,8,0)=0,"",VLOOKUP(C2267,' Disaggregation - Section E '!A$618:J2956,8,0)),"")</f>
        <v/>
      </c>
      <c r="J2267" s="391" t="str">
        <f ca="1">IFERROR(IF(VLOOKUP(C2267,' Disaggregation - Section E '!A$618:J2956,9,0)="","",VLOOKUP(C2267,' Disaggregation - Section E '!A$618:J2956,9,0)),"")</f>
        <v/>
      </c>
      <c r="K2267" s="387" t="str">
        <f ca="1">IFERROR(VLOOKUP(C2267,' Disaggregation - Section E '!A$618:J2956,3,0),"")</f>
        <v>TBDT-1 Number of patients with of all forms of TB notified (i.e., bacteriologically confirmed + clinically diagnosed); *includes only those with new and relapse TB</v>
      </c>
      <c r="L2267" s="387"/>
      <c r="M2267" s="387" t="str">
        <f ca="1">IFERROR(IF(VLOOKUP(C2267,' Disaggregation - Section E '!A$618:O1279,15,0)=0,"",VLOOKUP(C2267,' Disaggregation - Section E '!A$618:O1279,15,0)),"")</f>
        <v/>
      </c>
      <c r="N2267" s="391" t="str">
        <f ca="1">IFERROR(IF(VLOOKUP(C2267,' Disaggregation - Section E '!A$618:J2956,10,0)=0,"",VLOOKUP(C2267,' Disaggregation - Section E '!A$618:J2956,10,0)),"")</f>
        <v/>
      </c>
      <c r="O2267" s="387"/>
      <c r="P2267" s="387" t="str">
        <f ca="1">IFERROR(IF(VLOOKUP(C2267,' Disaggregation - Section E '!A$618:R1279,18,0)=0,"",VLOOKUP(C2267,' Disaggregation - Section E '!A$618:R1279,18,0)),"")</f>
        <v/>
      </c>
    </row>
    <row r="2268" spans="1:16">
      <c r="A2268" s="387" t="b">
        <f t="shared" ca="1" si="166"/>
        <v>0</v>
      </c>
      <c r="B2268" s="387"/>
      <c r="C2268" s="396" t="str">
        <f ca="1">IF(COUNTA(O$1610:O2268)=1,"",OFFSET(B2266,-COUNTA(O$1610:O2268)+3,1))</f>
        <v>a16Dm000000M3qRIAS</v>
      </c>
      <c r="D2268" s="392"/>
      <c r="E2268" s="389" t="str">
        <f ca="1">IFERROR(IF(VLOOKUP(C2268,' Disaggregation - Section E '!A$618:J2957,7,0)="","",VLOOKUP(C2268,' Disaggregation - Section E '!A$618:J2957,7,0)*100),"")</f>
        <v/>
      </c>
      <c r="F2268" s="391" t="str">
        <f ca="1">IFERROR(VLOOKUP(C2268,' Disaggregation - Section E '!A$618:J2957,5,0),"")</f>
        <v/>
      </c>
      <c r="G2268" s="390" t="str">
        <f ca="1">IFERROR(IF(VLOOKUP(C2268,' Disaggregation - Section E '!A$618:J2957,6,0)="","",VLOOKUP(C2268,' Disaggregation - Section E '!A$618:J2957,6,0)),"")</f>
        <v/>
      </c>
      <c r="H2268" s="390" t="str">
        <f ca="1">IFERROR(IF(INDEX(' Disaggregation - Section E '!F$618:F2957,MATCH(C2268,' Disaggregation - Section E '!A$618:A2957,0)+1,1)&lt;&gt;0,INDEX(' Disaggregation - Section E '!F$618:F2957,MATCH(C2268,' Disaggregation - Section E '!A$618:A2957,0)+1,1),""),"")</f>
        <v/>
      </c>
      <c r="I2268" s="391" t="str">
        <f ca="1">IFERROR(IF(VLOOKUP(C2268,' Disaggregation - Section E '!A$618:J2957,8,0)=0,"",VLOOKUP(C2268,' Disaggregation - Section E '!A$618:J2957,8,0)),"")</f>
        <v/>
      </c>
      <c r="J2268" s="391" t="str">
        <f ca="1">IFERROR(IF(VLOOKUP(C2268,' Disaggregation - Section E '!A$618:J2957,9,0)="","",VLOOKUP(C2268,' Disaggregation - Section E '!A$618:J2957,9,0)),"")</f>
        <v/>
      </c>
      <c r="K2268" s="387" t="str">
        <f ca="1">IFERROR(VLOOKUP(C2268,' Disaggregation - Section E '!A$618:J2957,3,0),"")</f>
        <v>TBDT-1 Number of patients with of all forms of TB notified (i.e., bacteriologically confirmed + clinically diagnosed); *includes only those with new and relapse TB</v>
      </c>
      <c r="L2268" s="387"/>
      <c r="M2268" s="387" t="str">
        <f ca="1">IFERROR(IF(VLOOKUP(C2268,' Disaggregation - Section E '!A$618:O1280,15,0)=0,"",VLOOKUP(C2268,' Disaggregation - Section E '!A$618:O1280,15,0)),"")</f>
        <v/>
      </c>
      <c r="N2268" s="391" t="str">
        <f ca="1">IFERROR(IF(VLOOKUP(C2268,' Disaggregation - Section E '!A$618:J2957,10,0)=0,"",VLOOKUP(C2268,' Disaggregation - Section E '!A$618:J2957,10,0)),"")</f>
        <v/>
      </c>
      <c r="O2268" s="387"/>
      <c r="P2268" s="387" t="str">
        <f ca="1">IFERROR(IF(VLOOKUP(C2268,' Disaggregation - Section E '!A$618:R1280,18,0)=0,"",VLOOKUP(C2268,' Disaggregation - Section E '!A$618:R1280,18,0)),"")</f>
        <v/>
      </c>
    </row>
    <row r="2269" spans="1:16">
      <c r="A2269" s="387" t="b">
        <f t="shared" ca="1" si="166"/>
        <v>0</v>
      </c>
      <c r="B2269" s="387"/>
      <c r="C2269" s="396" t="str">
        <f ca="1">IF(COUNTA(O$1610:O2269)=1,"",OFFSET(B2267,-COUNTA(O$1610:O2269)+3,1))</f>
        <v>a16Dm000000M3qSIAS</v>
      </c>
      <c r="D2269" s="392"/>
      <c r="E2269" s="389" t="str">
        <f ca="1">IFERROR(IF(VLOOKUP(C2269,' Disaggregation - Section E '!A$618:J2958,7,0)="","",VLOOKUP(C2269,' Disaggregation - Section E '!A$618:J2958,7,0)*100),"")</f>
        <v/>
      </c>
      <c r="F2269" s="391" t="str">
        <f ca="1">IFERROR(VLOOKUP(C2269,' Disaggregation - Section E '!A$618:J2958,5,0),"")</f>
        <v/>
      </c>
      <c r="G2269" s="390" t="str">
        <f ca="1">IFERROR(IF(VLOOKUP(C2269,' Disaggregation - Section E '!A$618:J2958,6,0)="","",VLOOKUP(C2269,' Disaggregation - Section E '!A$618:J2958,6,0)),"")</f>
        <v/>
      </c>
      <c r="H2269" s="390" t="str">
        <f ca="1">IFERROR(IF(INDEX(' Disaggregation - Section E '!F$618:F2958,MATCH(C2269,' Disaggregation - Section E '!A$618:A2958,0)+1,1)&lt;&gt;0,INDEX(' Disaggregation - Section E '!F$618:F2958,MATCH(C2269,' Disaggregation - Section E '!A$618:A2958,0)+1,1),""),"")</f>
        <v/>
      </c>
      <c r="I2269" s="391" t="str">
        <f ca="1">IFERROR(IF(VLOOKUP(C2269,' Disaggregation - Section E '!A$618:J2958,8,0)=0,"",VLOOKUP(C2269,' Disaggregation - Section E '!A$618:J2958,8,0)),"")</f>
        <v/>
      </c>
      <c r="J2269" s="391" t="str">
        <f ca="1">IFERROR(IF(VLOOKUP(C2269,' Disaggregation - Section E '!A$618:J2958,9,0)="","",VLOOKUP(C2269,' Disaggregation - Section E '!A$618:J2958,9,0)),"")</f>
        <v/>
      </c>
      <c r="K2269" s="387" t="str">
        <f ca="1">IFERROR(VLOOKUP(C2269,' Disaggregation - Section E '!A$618:J2958,3,0),"")</f>
        <v>TBDT-1 Number of patients with of all forms of TB notified (i.e., bacteriologically confirmed + clinically diagnosed); *includes only those with new and relapse TB</v>
      </c>
      <c r="L2269" s="387"/>
      <c r="M2269" s="387" t="str">
        <f ca="1">IFERROR(IF(VLOOKUP(C2269,' Disaggregation - Section E '!A$618:O1281,15,0)=0,"",VLOOKUP(C2269,' Disaggregation - Section E '!A$618:O1281,15,0)),"")</f>
        <v/>
      </c>
      <c r="N2269" s="391" t="str">
        <f ca="1">IFERROR(IF(VLOOKUP(C2269,' Disaggregation - Section E '!A$618:J2958,10,0)=0,"",VLOOKUP(C2269,' Disaggregation - Section E '!A$618:J2958,10,0)),"")</f>
        <v/>
      </c>
      <c r="O2269" s="387"/>
      <c r="P2269" s="387" t="str">
        <f ca="1">IFERROR(IF(VLOOKUP(C2269,' Disaggregation - Section E '!A$618:R1281,18,0)=0,"",VLOOKUP(C2269,' Disaggregation - Section E '!A$618:R1281,18,0)),"")</f>
        <v/>
      </c>
    </row>
    <row r="2270" spans="1:16">
      <c r="A2270" s="387" t="b">
        <f t="shared" ca="1" si="166"/>
        <v>0</v>
      </c>
      <c r="B2270" s="387"/>
      <c r="C2270" s="396" t="str">
        <f ca="1">IF(COUNTA(O$1610:O2270)=1,"",OFFSET(B2268,-COUNTA(O$1610:O2270)+3,1))</f>
        <v>a16Dm000000M3qTIAS</v>
      </c>
      <c r="D2270" s="392"/>
      <c r="E2270" s="389" t="str">
        <f ca="1">IFERROR(IF(VLOOKUP(C2270,' Disaggregation - Section E '!A$618:J2959,7,0)="","",VLOOKUP(C2270,' Disaggregation - Section E '!A$618:J2959,7,0)*100),"")</f>
        <v/>
      </c>
      <c r="F2270" s="391" t="str">
        <f ca="1">IFERROR(VLOOKUP(C2270,' Disaggregation - Section E '!A$618:J2959,5,0),"")</f>
        <v/>
      </c>
      <c r="G2270" s="390" t="str">
        <f ca="1">IFERROR(IF(VLOOKUP(C2270,' Disaggregation - Section E '!A$618:J2959,6,0)="","",VLOOKUP(C2270,' Disaggregation - Section E '!A$618:J2959,6,0)),"")</f>
        <v/>
      </c>
      <c r="H2270" s="390" t="str">
        <f ca="1">IFERROR(IF(INDEX(' Disaggregation - Section E '!F$618:F2959,MATCH(C2270,' Disaggregation - Section E '!A$618:A2959,0)+1,1)&lt;&gt;0,INDEX(' Disaggregation - Section E '!F$618:F2959,MATCH(C2270,' Disaggregation - Section E '!A$618:A2959,0)+1,1),""),"")</f>
        <v/>
      </c>
      <c r="I2270" s="391" t="str">
        <f ca="1">IFERROR(IF(VLOOKUP(C2270,' Disaggregation - Section E '!A$618:J2959,8,0)=0,"",VLOOKUP(C2270,' Disaggregation - Section E '!A$618:J2959,8,0)),"")</f>
        <v/>
      </c>
      <c r="J2270" s="391" t="str">
        <f ca="1">IFERROR(IF(VLOOKUP(C2270,' Disaggregation - Section E '!A$618:J2959,9,0)="","",VLOOKUP(C2270,' Disaggregation - Section E '!A$618:J2959,9,0)),"")</f>
        <v/>
      </c>
      <c r="K2270" s="387" t="str">
        <f ca="1">IFERROR(VLOOKUP(C2270,' Disaggregation - Section E '!A$618:J2959,3,0),"")</f>
        <v>TBDT-1 Number of patients with of all forms of TB notified (i.e., bacteriologically confirmed + clinically diagnosed); *includes only those with new and relapse TB</v>
      </c>
      <c r="L2270" s="387"/>
      <c r="M2270" s="387" t="str">
        <f ca="1">IFERROR(IF(VLOOKUP(C2270,' Disaggregation - Section E '!A$618:O1282,15,0)=0,"",VLOOKUP(C2270,' Disaggregation - Section E '!A$618:O1282,15,0)),"")</f>
        <v/>
      </c>
      <c r="N2270" s="391" t="str">
        <f ca="1">IFERROR(IF(VLOOKUP(C2270,' Disaggregation - Section E '!A$618:J2959,10,0)=0,"",VLOOKUP(C2270,' Disaggregation - Section E '!A$618:J2959,10,0)),"")</f>
        <v/>
      </c>
      <c r="O2270" s="387"/>
      <c r="P2270" s="387" t="str">
        <f ca="1">IFERROR(IF(VLOOKUP(C2270,' Disaggregation - Section E '!A$618:R1282,18,0)=0,"",VLOOKUP(C2270,' Disaggregation - Section E '!A$618:R1282,18,0)),"")</f>
        <v/>
      </c>
    </row>
    <row r="2271" spans="1:16">
      <c r="A2271" s="387" t="b">
        <f t="shared" ca="1" si="166"/>
        <v>0</v>
      </c>
      <c r="B2271" s="387"/>
      <c r="C2271" s="396" t="str">
        <f ca="1">IF(COUNTA(O$1610:O2271)=1,"",OFFSET(B2269,-COUNTA(O$1610:O2271)+3,1))</f>
        <v>a16Dm000000M3qUIAS</v>
      </c>
      <c r="D2271" s="392"/>
      <c r="E2271" s="389" t="str">
        <f ca="1">IFERROR(IF(VLOOKUP(C2271,' Disaggregation - Section E '!A$618:J2960,7,0)="","",VLOOKUP(C2271,' Disaggregation - Section E '!A$618:J2960,7,0)*100),"")</f>
        <v/>
      </c>
      <c r="F2271" s="391" t="str">
        <f ca="1">IFERROR(VLOOKUP(C2271,' Disaggregation - Section E '!A$618:J2960,5,0),"")</f>
        <v/>
      </c>
      <c r="G2271" s="390" t="str">
        <f ca="1">IFERROR(IF(VLOOKUP(C2271,' Disaggregation - Section E '!A$618:J2960,6,0)="","",VLOOKUP(C2271,' Disaggregation - Section E '!A$618:J2960,6,0)),"")</f>
        <v/>
      </c>
      <c r="H2271" s="390" t="str">
        <f ca="1">IFERROR(IF(INDEX(' Disaggregation - Section E '!F$618:F2960,MATCH(C2271,' Disaggregation - Section E '!A$618:A2960,0)+1,1)&lt;&gt;0,INDEX(' Disaggregation - Section E '!F$618:F2960,MATCH(C2271,' Disaggregation - Section E '!A$618:A2960,0)+1,1),""),"")</f>
        <v/>
      </c>
      <c r="I2271" s="391" t="str">
        <f ca="1">IFERROR(IF(VLOOKUP(C2271,' Disaggregation - Section E '!A$618:J2960,8,0)=0,"",VLOOKUP(C2271,' Disaggregation - Section E '!A$618:J2960,8,0)),"")</f>
        <v/>
      </c>
      <c r="J2271" s="391" t="str">
        <f ca="1">IFERROR(IF(VLOOKUP(C2271,' Disaggregation - Section E '!A$618:J2960,9,0)="","",VLOOKUP(C2271,' Disaggregation - Section E '!A$618:J2960,9,0)),"")</f>
        <v/>
      </c>
      <c r="K2271" s="387" t="str">
        <f ca="1">IFERROR(VLOOKUP(C2271,' Disaggregation - Section E '!A$618:J2960,3,0),"")</f>
        <v>TBDT-1 Number of patients with of all forms of TB notified (i.e., bacteriologically confirmed + clinically diagnosed); *includes only those with new and relapse TB</v>
      </c>
      <c r="L2271" s="387"/>
      <c r="M2271" s="387" t="str">
        <f ca="1">IFERROR(IF(VLOOKUP(C2271,' Disaggregation - Section E '!A$618:O1283,15,0)=0,"",VLOOKUP(C2271,' Disaggregation - Section E '!A$618:O1283,15,0)),"")</f>
        <v/>
      </c>
      <c r="N2271" s="391" t="str">
        <f ca="1">IFERROR(IF(VLOOKUP(C2271,' Disaggregation - Section E '!A$618:J2960,10,0)=0,"",VLOOKUP(C2271,' Disaggregation - Section E '!A$618:J2960,10,0)),"")</f>
        <v/>
      </c>
      <c r="O2271" s="387"/>
      <c r="P2271" s="387" t="str">
        <f ca="1">IFERROR(IF(VLOOKUP(C2271,' Disaggregation - Section E '!A$618:R1283,18,0)=0,"",VLOOKUP(C2271,' Disaggregation - Section E '!A$618:R1283,18,0)),"")</f>
        <v/>
      </c>
    </row>
    <row r="2272" spans="1:16">
      <c r="A2272" s="387" t="b">
        <f t="shared" ca="1" si="166"/>
        <v>1</v>
      </c>
      <c r="B2272" s="387"/>
      <c r="C2272" s="396" t="str">
        <f ca="1">IF(COUNTA(O$1610:O2272)=1,"",OFFSET(B2270,-COUNTA(O$1610:O2272)+3,1))</f>
        <v>a16Dm000000M3qVIAS</v>
      </c>
      <c r="D2272" s="392"/>
      <c r="E2272" s="389" t="str">
        <f ca="1">IFERROR(IF(VLOOKUP(C2272,' Disaggregation - Section E '!A$618:J2961,7,0)="","",VLOOKUP(C2272,' Disaggregation - Section E '!A$618:J2961,7,0)*100),"")</f>
        <v/>
      </c>
      <c r="F2272" s="391" t="str">
        <f ca="1">IFERROR(VLOOKUP(C2272,' Disaggregation - Section E '!A$618:J2961,5,0),"")</f>
        <v>15+</v>
      </c>
      <c r="G2272" s="390" t="str">
        <f ca="1">IFERROR(IF(VLOOKUP(C2272,' Disaggregation - Section E '!A$618:J2961,6,0)="","",VLOOKUP(C2272,' Disaggregation - Section E '!A$618:J2961,6,0)),"")</f>
        <v/>
      </c>
      <c r="H2272" s="390" t="str">
        <f ca="1">IFERROR(IF(INDEX(' Disaggregation - Section E '!F$618:F2961,MATCH(C2272,' Disaggregation - Section E '!A$618:A2961,0)+1,1)&lt;&gt;0,INDEX(' Disaggregation - Section E '!F$618:F2961,MATCH(C2272,' Disaggregation - Section E '!A$618:A2961,0)+1,1),""),"")</f>
        <v/>
      </c>
      <c r="I2272" s="391" t="str">
        <f ca="1">IFERROR(IF(VLOOKUP(C2272,' Disaggregation - Section E '!A$618:J2961,8,0)=0,"",VLOOKUP(C2272,' Disaggregation - Section E '!A$618:J2961,8,0)),"")</f>
        <v/>
      </c>
      <c r="J2272" s="391" t="str">
        <f ca="1">IFERROR(IF(VLOOKUP(C2272,' Disaggregation - Section E '!A$618:J2961,9,0)="","",VLOOKUP(C2272,' Disaggregation - Section E '!A$618:J2961,9,0)),"")</f>
        <v>Not available</v>
      </c>
      <c r="K2272" s="387" t="str">
        <f ca="1">IFERROR(VLOOKUP(C2272,' Disaggregation - Section E '!A$618:J2961,3,0),"")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72" s="387"/>
      <c r="M2272" s="387" t="str">
        <f ca="1">IFERROR(IF(VLOOKUP(C2272,' Disaggregation - Section E '!A$618:O1284,15,0)=0,"",VLOOKUP(C2272,' Disaggregation - Section E '!A$618:O1284,15,0)),"")</f>
        <v>IDR-01330</v>
      </c>
      <c r="N2272" s="391" t="str">
        <f ca="1">IFERROR(IF(VLOOKUP(C2272,' Disaggregation - Section E '!A$618:J2961,10,0)=0,"",VLOOKUP(C2272,' Disaggregation - Section E '!A$618:J2961,10,0)),"")</f>
        <v>Data not available because the NTP quarterly reporting form does not allow reporting on this indicator</v>
      </c>
      <c r="O2272" s="387"/>
      <c r="P2272" s="387" t="str">
        <f ca="1">IFERROR(IF(VLOOKUP(C2272,' Disaggregation - Section E '!A$618:R1284,18,0)=0,"",VLOOKUP(C2272,' Disaggregation - Section E '!A$618:R1284,18,0)),"")</f>
        <v>a1LDm000000Cb4CMAS</v>
      </c>
    </row>
    <row r="2273" spans="1:16">
      <c r="A2273" s="387" t="b">
        <f t="shared" ca="1" si="166"/>
        <v>1</v>
      </c>
      <c r="B2273" s="387"/>
      <c r="C2273" s="396" t="str">
        <f ca="1">IF(COUNTA(O$1610:O2273)=1,"",OFFSET(B2271,-COUNTA(O$1610:O2273)+3,1))</f>
        <v>a16Dm000000M3qWIAS</v>
      </c>
      <c r="D2273" s="392"/>
      <c r="E2273" s="389" t="str">
        <f ca="1">IFERROR(IF(VLOOKUP(C2273,' Disaggregation - Section E '!A$618:J2962,7,0)="","",VLOOKUP(C2273,' Disaggregation - Section E '!A$618:J2962,7,0)*100),"")</f>
        <v/>
      </c>
      <c r="F2273" s="391" t="str">
        <f ca="1">IFERROR(VLOOKUP(C2273,' Disaggregation - Section E '!A$618:J2962,5,0),"")</f>
        <v>Unknown</v>
      </c>
      <c r="G2273" s="390" t="str">
        <f ca="1">IFERROR(IF(VLOOKUP(C2273,' Disaggregation - Section E '!A$618:J2962,6,0)="","",VLOOKUP(C2273,' Disaggregation - Section E '!A$618:J2962,6,0)),"")</f>
        <v/>
      </c>
      <c r="H2273" s="390" t="str">
        <f ca="1">IFERROR(IF(INDEX(' Disaggregation - Section E '!F$618:F2962,MATCH(C2273,' Disaggregation - Section E '!A$618:A2962,0)+1,1)&lt;&gt;0,INDEX(' Disaggregation - Section E '!F$618:F2962,MATCH(C2273,' Disaggregation - Section E '!A$618:A2962,0)+1,1),""),"")</f>
        <v/>
      </c>
      <c r="I2273" s="391" t="str">
        <f ca="1">IFERROR(IF(VLOOKUP(C2273,' Disaggregation - Section E '!A$618:J2962,8,0)=0,"",VLOOKUP(C2273,' Disaggregation - Section E '!A$618:J2962,8,0)),"")</f>
        <v/>
      </c>
      <c r="J2273" s="391" t="str">
        <f ca="1">IFERROR(IF(VLOOKUP(C2273,' Disaggregation - Section E '!A$618:J2962,9,0)="","",VLOOKUP(C2273,' Disaggregation - Section E '!A$618:J2962,9,0)),"")</f>
        <v>Not available</v>
      </c>
      <c r="K2273" s="387" t="str">
        <f ca="1">IFERROR(VLOOKUP(C2273,' Disaggregation - Section E '!A$618:J2962,3,0),"")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73" s="387"/>
      <c r="M2273" s="387" t="str">
        <f ca="1">IFERROR(IF(VLOOKUP(C2273,' Disaggregation - Section E '!A$618:O1285,15,0)=0,"",VLOOKUP(C2273,' Disaggregation - Section E '!A$618:O1285,15,0)),"")</f>
        <v>IDR-01329</v>
      </c>
      <c r="N2273" s="391" t="str">
        <f ca="1">IFERROR(IF(VLOOKUP(C2273,' Disaggregation - Section E '!A$618:J2962,10,0)=0,"",VLOOKUP(C2273,' Disaggregation - Section E '!A$618:J2962,10,0)),"")</f>
        <v>Data not available because the NTP quarterly reporting form does not allow reporting on this indicator</v>
      </c>
      <c r="O2273" s="387"/>
      <c r="P2273" s="387" t="str">
        <f ca="1">IFERROR(IF(VLOOKUP(C2273,' Disaggregation - Section E '!A$618:R1285,18,0)=0,"",VLOOKUP(C2273,' Disaggregation - Section E '!A$618:R1285,18,0)),"")</f>
        <v>a1LDm000000Cb4BMAS</v>
      </c>
    </row>
    <row r="2274" spans="1:16">
      <c r="A2274" s="387" t="b">
        <f t="shared" ca="1" si="166"/>
        <v>1</v>
      </c>
      <c r="B2274" s="387"/>
      <c r="C2274" s="396" t="str">
        <f ca="1">IF(COUNTA(O$1610:O2274)=1,"",OFFSET(B2272,-COUNTA(O$1610:O2274)+3,1))</f>
        <v>a16Dm000000M3qXIAS</v>
      </c>
      <c r="D2274" s="392"/>
      <c r="E2274" s="389">
        <f ca="1">IFERROR(IF(VLOOKUP(C2274,' Disaggregation - Section E '!A$618:J2963,7,0)="","",VLOOKUP(C2274,' Disaggregation - Section E '!A$618:J2963,7,0)*100),"")</f>
        <v>90.752842180646326</v>
      </c>
      <c r="F2274" s="391" t="str">
        <f ca="1">IFERROR(VLOOKUP(C2274,' Disaggregation - Section E '!A$618:J2963,5,0),"")</f>
        <v>&lt;15</v>
      </c>
      <c r="G2274" s="390">
        <f ca="1">IFERROR(IF(VLOOKUP(C2274,' Disaggregation - Section E '!A$618:J2963,6,0)="","",VLOOKUP(C2274,' Disaggregation - Section E '!A$618:J2963,6,0)),"")</f>
        <v>20276</v>
      </c>
      <c r="H2274" s="390">
        <f ca="1">IFERROR(IF(INDEX(' Disaggregation - Section E '!F$618:F2963,MATCH(C2274,' Disaggregation - Section E '!A$618:A2963,0)+1,1)&lt;&gt;0,INDEX(' Disaggregation - Section E '!F$618:F2963,MATCH(C2274,' Disaggregation - Section E '!A$618:A2963,0)+1,1),""),"")</f>
        <v>22342</v>
      </c>
      <c r="I2274" s="391">
        <f ca="1">IFERROR(IF(VLOOKUP(C2274,' Disaggregation - Section E '!A$618:J2963,8,0)=0,"",VLOOKUP(C2274,' Disaggregation - Section E '!A$618:J2963,8,0)),"")</f>
        <v>2021</v>
      </c>
      <c r="J2274" s="391" t="str">
        <f ca="1">IFERROR(IF(VLOOKUP(C2274,' Disaggregation - Section E '!A$618:J2963,9,0)="","",VLOOKUP(C2274,' Disaggregation - Section E '!A$618:J2963,9,0)),"")</f>
        <v>DHIS2</v>
      </c>
      <c r="K2274" s="387" t="str">
        <f ca="1">IFERROR(VLOOKUP(C2274,' Disaggregation - Section E '!A$618:J2963,3,0),"")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74" s="387"/>
      <c r="M2274" s="387" t="str">
        <f ca="1">IFERROR(IF(VLOOKUP(C2274,' Disaggregation - Section E '!A$618:O1286,15,0)=0,"",VLOOKUP(C2274,' Disaggregation - Section E '!A$618:O1286,15,0)),"")</f>
        <v>IDR-01328</v>
      </c>
      <c r="N2274" s="391" t="str">
        <f ca="1">IFERROR(IF(VLOOKUP(C2274,' Disaggregation - Section E '!A$618:J2963,10,0)=0,"",VLOOKUP(C2274,' Disaggregation - Section E '!A$618:J2963,10,0)),"")</f>
        <v>Treatment success rate in children is 91%.</v>
      </c>
      <c r="O2274" s="387"/>
      <c r="P2274" s="387" t="str">
        <f ca="1">IFERROR(IF(VLOOKUP(C2274,' Disaggregation - Section E '!A$618:R1286,18,0)=0,"",VLOOKUP(C2274,' Disaggregation - Section E '!A$618:R1286,18,0)),"")</f>
        <v>a1LDm000000Cb4AMAS</v>
      </c>
    </row>
    <row r="2275" spans="1:16">
      <c r="A2275" s="387" t="b">
        <f t="shared" ca="1" si="166"/>
        <v>1</v>
      </c>
      <c r="B2275" s="387"/>
      <c r="C2275" s="396" t="str">
        <f ca="1">IF(COUNTA(O$1610:O2275)=1,"",OFFSET(B2273,-COUNTA(O$1610:O2275)+3,1))</f>
        <v>a16Dm000000M3qYIAS</v>
      </c>
      <c r="D2275" s="392"/>
      <c r="E2275" s="389" t="str">
        <f ca="1">IFERROR(IF(VLOOKUP(C2275,' Disaggregation - Section E '!A$618:J2964,7,0)="","",VLOOKUP(C2275,' Disaggregation - Section E '!A$618:J2964,7,0)*100),"")</f>
        <v/>
      </c>
      <c r="F2275" s="391" t="str">
        <f ca="1">IFERROR(VLOOKUP(C2275,' Disaggregation - Section E '!A$618:J2964,5,0),"")</f>
        <v>Male</v>
      </c>
      <c r="G2275" s="390" t="str">
        <f ca="1">IFERROR(IF(VLOOKUP(C2275,' Disaggregation - Section E '!A$618:J2964,6,0)="","",VLOOKUP(C2275,' Disaggregation - Section E '!A$618:J2964,6,0)),"")</f>
        <v/>
      </c>
      <c r="H2275" s="390" t="str">
        <f ca="1">IFERROR(IF(INDEX(' Disaggregation - Section E '!F$618:F2964,MATCH(C2275,' Disaggregation - Section E '!A$618:A2964,0)+1,1)&lt;&gt;0,INDEX(' Disaggregation - Section E '!F$618:F2964,MATCH(C2275,' Disaggregation - Section E '!A$618:A2964,0)+1,1),""),"")</f>
        <v/>
      </c>
      <c r="I2275" s="391" t="str">
        <f ca="1">IFERROR(IF(VLOOKUP(C2275,' Disaggregation - Section E '!A$618:J2964,8,0)=0,"",VLOOKUP(C2275,' Disaggregation - Section E '!A$618:J2964,8,0)),"")</f>
        <v/>
      </c>
      <c r="J2275" s="391" t="str">
        <f ca="1">IFERROR(IF(VLOOKUP(C2275,' Disaggregation - Section E '!A$618:J2964,9,0)="","",VLOOKUP(C2275,' Disaggregation - Section E '!A$618:J2964,9,0)),"")</f>
        <v>Not available</v>
      </c>
      <c r="K2275" s="387" t="str">
        <f ca="1">IFERROR(VLOOKUP(C2275,' Disaggregation - Section E '!A$618:J2964,3,0),"")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75" s="387"/>
      <c r="M2275" s="387" t="str">
        <f ca="1">IFERROR(IF(VLOOKUP(C2275,' Disaggregation - Section E '!A$618:O1287,15,0)=0,"",VLOOKUP(C2275,' Disaggregation - Section E '!A$618:O1287,15,0)),"")</f>
        <v>IDR-01327</v>
      </c>
      <c r="N2275" s="391" t="str">
        <f ca="1">IFERROR(IF(VLOOKUP(C2275,' Disaggregation - Section E '!A$618:J2964,10,0)=0,"",VLOOKUP(C2275,' Disaggregation - Section E '!A$618:J2964,10,0)),"")</f>
        <v>Data not available because the NTP quarterly reporting form does not allow reporting on this indicator</v>
      </c>
      <c r="O2275" s="387"/>
      <c r="P2275" s="387" t="str">
        <f ca="1">IFERROR(IF(VLOOKUP(C2275,' Disaggregation - Section E '!A$618:R1287,18,0)=0,"",VLOOKUP(C2275,' Disaggregation - Section E '!A$618:R1287,18,0)),"")</f>
        <v>a1LDm000000Cb49MAC</v>
      </c>
    </row>
    <row r="2276" spans="1:16">
      <c r="A2276" s="387" t="b">
        <f t="shared" ca="1" si="166"/>
        <v>1</v>
      </c>
      <c r="B2276" s="387"/>
      <c r="C2276" s="396" t="str">
        <f ca="1">IF(COUNTA(O$1610:O2276)=1,"",OFFSET(B2274,-COUNTA(O$1610:O2276)+3,1))</f>
        <v>a16Dm000000M3qZIAS</v>
      </c>
      <c r="D2276" s="392"/>
      <c r="E2276" s="389" t="str">
        <f ca="1">IFERROR(IF(VLOOKUP(C2276,' Disaggregation - Section E '!A$618:J2965,7,0)="","",VLOOKUP(C2276,' Disaggregation - Section E '!A$618:J2965,7,0)*100),"")</f>
        <v/>
      </c>
      <c r="F2276" s="391" t="str">
        <f ca="1">IFERROR(VLOOKUP(C2276,' Disaggregation - Section E '!A$618:J2965,5,0),"")</f>
        <v>Negative</v>
      </c>
      <c r="G2276" s="390" t="str">
        <f ca="1">IFERROR(IF(VLOOKUP(C2276,' Disaggregation - Section E '!A$618:J2965,6,0)="","",VLOOKUP(C2276,' Disaggregation - Section E '!A$618:J2965,6,0)),"")</f>
        <v/>
      </c>
      <c r="H2276" s="390" t="str">
        <f ca="1">IFERROR(IF(INDEX(' Disaggregation - Section E '!F$618:F2965,MATCH(C2276,' Disaggregation - Section E '!A$618:A2965,0)+1,1)&lt;&gt;0,INDEX(' Disaggregation - Section E '!F$618:F2965,MATCH(C2276,' Disaggregation - Section E '!A$618:A2965,0)+1,1),""),"")</f>
        <v/>
      </c>
      <c r="I2276" s="391" t="str">
        <f ca="1">IFERROR(IF(VLOOKUP(C2276,' Disaggregation - Section E '!A$618:J2965,8,0)=0,"",VLOOKUP(C2276,' Disaggregation - Section E '!A$618:J2965,8,0)),"")</f>
        <v/>
      </c>
      <c r="J2276" s="391" t="str">
        <f ca="1">IFERROR(IF(VLOOKUP(C2276,' Disaggregation - Section E '!A$618:J2965,9,0)="","",VLOOKUP(C2276,' Disaggregation - Section E '!A$618:J2965,9,0)),"")</f>
        <v>Not available</v>
      </c>
      <c r="K2276" s="387" t="str">
        <f ca="1">IFERROR(VLOOKUP(C2276,' Disaggregation - Section E '!A$618:J2965,3,0),"")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76" s="387"/>
      <c r="M2276" s="387" t="str">
        <f ca="1">IFERROR(IF(VLOOKUP(C2276,' Disaggregation - Section E '!A$618:O1288,15,0)=0,"",VLOOKUP(C2276,' Disaggregation - Section E '!A$618:O1288,15,0)),"")</f>
        <v>IDR-01326</v>
      </c>
      <c r="N2276" s="391" t="str">
        <f ca="1">IFERROR(IF(VLOOKUP(C2276,' Disaggregation - Section E '!A$618:J2965,10,0)=0,"",VLOOKUP(C2276,' Disaggregation - Section E '!A$618:J2965,10,0)),"")</f>
        <v>Data not available because the NTP quarterly reporting form does not allow reporting on this indicator</v>
      </c>
      <c r="O2276" s="387"/>
      <c r="P2276" s="387" t="str">
        <f ca="1">IFERROR(IF(VLOOKUP(C2276,' Disaggregation - Section E '!A$618:R1288,18,0)=0,"",VLOOKUP(C2276,' Disaggregation - Section E '!A$618:R1288,18,0)),"")</f>
        <v>a1LDm000000Cb48MAC</v>
      </c>
    </row>
    <row r="2277" spans="1:16">
      <c r="A2277" s="387" t="b">
        <f t="shared" ca="1" si="166"/>
        <v>1</v>
      </c>
      <c r="B2277" s="387"/>
      <c r="C2277" s="396" t="str">
        <f ca="1">IF(COUNTA(O$1610:O2277)=1,"",OFFSET(B2275,-COUNTA(O$1610:O2277)+3,1))</f>
        <v>a16Dm000000M3qaIAC</v>
      </c>
      <c r="D2277" s="392"/>
      <c r="E2277" s="389" t="str">
        <f ca="1">IFERROR(IF(VLOOKUP(C2277,' Disaggregation - Section E '!A$618:J2966,7,0)="","",VLOOKUP(C2277,' Disaggregation - Section E '!A$618:J2966,7,0)*100),"")</f>
        <v/>
      </c>
      <c r="F2277" s="391" t="str">
        <f ca="1">IFERROR(VLOOKUP(C2277,' Disaggregation - Section E '!A$618:J2966,5,0),"")</f>
        <v>Female</v>
      </c>
      <c r="G2277" s="390" t="str">
        <f ca="1">IFERROR(IF(VLOOKUP(C2277,' Disaggregation - Section E '!A$618:J2966,6,0)="","",VLOOKUP(C2277,' Disaggregation - Section E '!A$618:J2966,6,0)),"")</f>
        <v/>
      </c>
      <c r="H2277" s="390" t="str">
        <f ca="1">IFERROR(IF(INDEX(' Disaggregation - Section E '!F$618:F2966,MATCH(C2277,' Disaggregation - Section E '!A$618:A2966,0)+1,1)&lt;&gt;0,INDEX(' Disaggregation - Section E '!F$618:F2966,MATCH(C2277,' Disaggregation - Section E '!A$618:A2966,0)+1,1),""),"")</f>
        <v/>
      </c>
      <c r="I2277" s="391" t="str">
        <f ca="1">IFERROR(IF(VLOOKUP(C2277,' Disaggregation - Section E '!A$618:J2966,8,0)=0,"",VLOOKUP(C2277,' Disaggregation - Section E '!A$618:J2966,8,0)),"")</f>
        <v/>
      </c>
      <c r="J2277" s="391" t="str">
        <f ca="1">IFERROR(IF(VLOOKUP(C2277,' Disaggregation - Section E '!A$618:J2966,9,0)="","",VLOOKUP(C2277,' Disaggregation - Section E '!A$618:J2966,9,0)),"")</f>
        <v>Not available</v>
      </c>
      <c r="K2277" s="387" t="str">
        <f ca="1">IFERROR(VLOOKUP(C2277,' Disaggregation - Section E '!A$618:J2966,3,0),"")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77" s="387"/>
      <c r="M2277" s="387" t="str">
        <f ca="1">IFERROR(IF(VLOOKUP(C2277,' Disaggregation - Section E '!A$618:O1289,15,0)=0,"",VLOOKUP(C2277,' Disaggregation - Section E '!A$618:O1289,15,0)),"")</f>
        <v>IDR-01325</v>
      </c>
      <c r="N2277" s="391" t="str">
        <f ca="1">IFERROR(IF(VLOOKUP(C2277,' Disaggregation - Section E '!A$618:J2966,10,0)=0,"",VLOOKUP(C2277,' Disaggregation - Section E '!A$618:J2966,10,0)),"")</f>
        <v>Data not available because the NTP quarterly reporting form does not allow reporting on this indicator</v>
      </c>
      <c r="O2277" s="387"/>
      <c r="P2277" s="387" t="str">
        <f ca="1">IFERROR(IF(VLOOKUP(C2277,' Disaggregation - Section E '!A$618:R1289,18,0)=0,"",VLOOKUP(C2277,' Disaggregation - Section E '!A$618:R1289,18,0)),"")</f>
        <v>a1LDm000000Cb47MAC</v>
      </c>
    </row>
    <row r="2278" spans="1:16">
      <c r="A2278" s="387" t="b">
        <f t="shared" ca="1" si="166"/>
        <v>1</v>
      </c>
      <c r="B2278" s="387"/>
      <c r="C2278" s="396" t="str">
        <f ca="1">IF(COUNTA(O$1610:O2278)=1,"",OFFSET(B2276,-COUNTA(O$1610:O2278)+3,1))</f>
        <v>a16Dm000000M3qbIAC</v>
      </c>
      <c r="D2278" s="392"/>
      <c r="E2278" s="389">
        <f ca="1">IFERROR(IF(VLOOKUP(C2278,' Disaggregation - Section E '!A$618:J2967,7,0)="","",VLOOKUP(C2278,' Disaggregation - Section E '!A$618:J2967,7,0)*100),"")</f>
        <v>73.706502782160953</v>
      </c>
      <c r="F2278" s="391" t="str">
        <f ca="1">IFERROR(VLOOKUP(C2278,' Disaggregation - Section E '!A$618:J2967,5,0),"")</f>
        <v>Positive</v>
      </c>
      <c r="G2278" s="390">
        <f ca="1">IFERROR(IF(VLOOKUP(C2278,' Disaggregation - Section E '!A$618:J2967,6,0)="","",VLOOKUP(C2278,' Disaggregation - Section E '!A$618:J2967,6,0)),"")</f>
        <v>8875</v>
      </c>
      <c r="H2278" s="390">
        <f ca="1">IFERROR(IF(INDEX(' Disaggregation - Section E '!F$618:F2967,MATCH(C2278,' Disaggregation - Section E '!A$618:A2967,0)+1,1)&lt;&gt;0,INDEX(' Disaggregation - Section E '!F$618:F2967,MATCH(C2278,' Disaggregation - Section E '!A$618:A2967,0)+1,1),""),"")</f>
        <v>12041</v>
      </c>
      <c r="I2278" s="391">
        <f ca="1">IFERROR(IF(VLOOKUP(C2278,' Disaggregation - Section E '!A$618:J2967,8,0)=0,"",VLOOKUP(C2278,' Disaggregation - Section E '!A$618:J2967,8,0)),"")</f>
        <v>2021</v>
      </c>
      <c r="J2278" s="391" t="str">
        <f ca="1">IFERROR(IF(VLOOKUP(C2278,' Disaggregation - Section E '!A$618:J2967,9,0)="","",VLOOKUP(C2278,' Disaggregation - Section E '!A$618:J2967,9,0)),"")</f>
        <v>DHIS2</v>
      </c>
      <c r="K2278" s="387" t="str">
        <f ca="1">IFERROR(VLOOKUP(C2278,' Disaggregation - Section E '!A$618:J2967,3,0),"")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78" s="387"/>
      <c r="M2278" s="387" t="str">
        <f ca="1">IFERROR(IF(VLOOKUP(C2278,' Disaggregation - Section E '!A$618:O1290,15,0)=0,"",VLOOKUP(C2278,' Disaggregation - Section E '!A$618:O1290,15,0)),"")</f>
        <v>IDR-01324</v>
      </c>
      <c r="N2278" s="391" t="str">
        <f ca="1">IFERROR(IF(VLOOKUP(C2278,' Disaggregation - Section E '!A$618:J2967,10,0)=0,"",VLOOKUP(C2278,' Disaggregation - Section E '!A$618:J2967,10,0)),"")</f>
        <v>treatment success rate among HIV-positive people is 73.7%</v>
      </c>
      <c r="O2278" s="387"/>
      <c r="P2278" s="387" t="str">
        <f ca="1">IFERROR(IF(VLOOKUP(C2278,' Disaggregation - Section E '!A$618:R1290,18,0)=0,"",VLOOKUP(C2278,' Disaggregation - Section E '!A$618:R1290,18,0)),"")</f>
        <v>a1LDm000000Cb46MAC</v>
      </c>
    </row>
    <row r="2279" spans="1:16">
      <c r="A2279" s="387" t="b">
        <f t="shared" ca="1" si="166"/>
        <v>0</v>
      </c>
      <c r="B2279" s="387"/>
      <c r="C2279" s="396" t="str">
        <f ca="1">IF(COUNTA(O$1610:O2279)=1,"",OFFSET(B2277,-COUNTA(O$1610:O2279)+3,1))</f>
        <v>a16Dm000000M3qcIAC</v>
      </c>
      <c r="D2279" s="392"/>
      <c r="E2279" s="389" t="str">
        <f ca="1">IFERROR(IF(VLOOKUP(C2279,' Disaggregation - Section E '!A$618:J2968,7,0)="","",VLOOKUP(C2279,' Disaggregation - Section E '!A$618:J2968,7,0)*100),"")</f>
        <v/>
      </c>
      <c r="F2279" s="391" t="str">
        <f ca="1">IFERROR(VLOOKUP(C2279,' Disaggregation - Section E '!A$618:J2968,5,0),"")</f>
        <v/>
      </c>
      <c r="G2279" s="390" t="str">
        <f ca="1">IFERROR(IF(VLOOKUP(C2279,' Disaggregation - Section E '!A$618:J2968,6,0)="","",VLOOKUP(C2279,' Disaggregation - Section E '!A$618:J2968,6,0)),"")</f>
        <v/>
      </c>
      <c r="H2279" s="390" t="str">
        <f ca="1">IFERROR(IF(INDEX(' Disaggregation - Section E '!F$618:F2968,MATCH(C2279,' Disaggregation - Section E '!A$618:A2968,0)+1,1)&lt;&gt;0,INDEX(' Disaggregation - Section E '!F$618:F2968,MATCH(C2279,' Disaggregation - Section E '!A$618:A2968,0)+1,1),""),"")</f>
        <v/>
      </c>
      <c r="I2279" s="391" t="str">
        <f ca="1">IFERROR(IF(VLOOKUP(C2279,' Disaggregation - Section E '!A$618:J2968,8,0)=0,"",VLOOKUP(C2279,' Disaggregation - Section E '!A$618:J2968,8,0)),"")</f>
        <v/>
      </c>
      <c r="J2279" s="391" t="str">
        <f ca="1">IFERROR(IF(VLOOKUP(C2279,' Disaggregation - Section E '!A$618:J2968,9,0)="","",VLOOKUP(C2279,' Disaggregation - Section E '!A$618:J2968,9,0)),"")</f>
        <v/>
      </c>
      <c r="K2279" s="387" t="str">
        <f ca="1">IFERROR(VLOOKUP(C2279,' Disaggregation - Section E '!A$618:J2968,3,0),"")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79" s="387"/>
      <c r="M2279" s="387" t="str">
        <f ca="1">IFERROR(IF(VLOOKUP(C2279,' Disaggregation - Section E '!A$618:O1291,15,0)=0,"",VLOOKUP(C2279,' Disaggregation - Section E '!A$618:O1291,15,0)),"")</f>
        <v/>
      </c>
      <c r="N2279" s="391" t="str">
        <f ca="1">IFERROR(IF(VLOOKUP(C2279,' Disaggregation - Section E '!A$618:J2968,10,0)=0,"",VLOOKUP(C2279,' Disaggregation - Section E '!A$618:J2968,10,0)),"")</f>
        <v/>
      </c>
      <c r="O2279" s="387"/>
      <c r="P2279" s="387" t="str">
        <f ca="1">IFERROR(IF(VLOOKUP(C2279,' Disaggregation - Section E '!A$618:R1291,18,0)=0,"",VLOOKUP(C2279,' Disaggregation - Section E '!A$618:R1291,18,0)),"")</f>
        <v/>
      </c>
    </row>
    <row r="2280" spans="1:16">
      <c r="A2280" s="387" t="b">
        <f t="shared" ca="1" si="166"/>
        <v>0</v>
      </c>
      <c r="B2280" s="387"/>
      <c r="C2280" s="396" t="str">
        <f ca="1">IF(COUNTA(O$1610:O2280)=1,"",OFFSET(B2278,-COUNTA(O$1610:O2280)+3,1))</f>
        <v>a16Dm000000M3qdIAC</v>
      </c>
      <c r="D2280" s="392"/>
      <c r="E2280" s="389" t="str">
        <f ca="1">IFERROR(IF(VLOOKUP(C2280,' Disaggregation - Section E '!A$618:J2969,7,0)="","",VLOOKUP(C2280,' Disaggregation - Section E '!A$618:J2969,7,0)*100),"")</f>
        <v/>
      </c>
      <c r="F2280" s="391" t="str">
        <f ca="1">IFERROR(VLOOKUP(C2280,' Disaggregation - Section E '!A$618:J2969,5,0),"")</f>
        <v/>
      </c>
      <c r="G2280" s="390" t="str">
        <f ca="1">IFERROR(IF(VLOOKUP(C2280,' Disaggregation - Section E '!A$618:J2969,6,0)="","",VLOOKUP(C2280,' Disaggregation - Section E '!A$618:J2969,6,0)),"")</f>
        <v/>
      </c>
      <c r="H2280" s="390" t="str">
        <f ca="1">IFERROR(IF(INDEX(' Disaggregation - Section E '!F$618:F2969,MATCH(C2280,' Disaggregation - Section E '!A$618:A2969,0)+1,1)&lt;&gt;0,INDEX(' Disaggregation - Section E '!F$618:F2969,MATCH(C2280,' Disaggregation - Section E '!A$618:A2969,0)+1,1),""),"")</f>
        <v/>
      </c>
      <c r="I2280" s="391" t="str">
        <f ca="1">IFERROR(IF(VLOOKUP(C2280,' Disaggregation - Section E '!A$618:J2969,8,0)=0,"",VLOOKUP(C2280,' Disaggregation - Section E '!A$618:J2969,8,0)),"")</f>
        <v/>
      </c>
      <c r="J2280" s="391" t="str">
        <f ca="1">IFERROR(IF(VLOOKUP(C2280,' Disaggregation - Section E '!A$618:J2969,9,0)="","",VLOOKUP(C2280,' Disaggregation - Section E '!A$618:J2969,9,0)),"")</f>
        <v/>
      </c>
      <c r="K2280" s="387" t="str">
        <f ca="1">IFERROR(VLOOKUP(C2280,' Disaggregation - Section E '!A$618:J2969,3,0),"")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0" s="387"/>
      <c r="M2280" s="387" t="str">
        <f ca="1">IFERROR(IF(VLOOKUP(C2280,' Disaggregation - Section E '!A$618:O1292,15,0)=0,"",VLOOKUP(C2280,' Disaggregation - Section E '!A$618:O1292,15,0)),"")</f>
        <v/>
      </c>
      <c r="N2280" s="391" t="str">
        <f ca="1">IFERROR(IF(VLOOKUP(C2280,' Disaggregation - Section E '!A$618:J2969,10,0)=0,"",VLOOKUP(C2280,' Disaggregation - Section E '!A$618:J2969,10,0)),"")</f>
        <v/>
      </c>
      <c r="O2280" s="387"/>
      <c r="P2280" s="387" t="str">
        <f ca="1">IFERROR(IF(VLOOKUP(C2280,' Disaggregation - Section E '!A$618:R1292,18,0)=0,"",VLOOKUP(C2280,' Disaggregation - Section E '!A$618:R1292,18,0)),"")</f>
        <v/>
      </c>
    </row>
    <row r="2281" spans="1:16">
      <c r="A2281" s="387" t="b">
        <f t="shared" ca="1" si="166"/>
        <v>0</v>
      </c>
      <c r="B2281" s="387"/>
      <c r="C2281" s="396" t="str">
        <f ca="1">IF(COUNTA(O$1610:O2281)=1,"",OFFSET(B2279,-COUNTA(O$1610:O2281)+3,1))</f>
        <v>a16Dm000000M3qeIAC</v>
      </c>
      <c r="D2281" s="392"/>
      <c r="E2281" s="389" t="str">
        <f ca="1">IFERROR(IF(VLOOKUP(C2281,' Disaggregation - Section E '!A$618:J2970,7,0)="","",VLOOKUP(C2281,' Disaggregation - Section E '!A$618:J2970,7,0)*100),"")</f>
        <v/>
      </c>
      <c r="F2281" s="391" t="str">
        <f ca="1">IFERROR(VLOOKUP(C2281,' Disaggregation - Section E '!A$618:J2970,5,0),"")</f>
        <v/>
      </c>
      <c r="G2281" s="390" t="str">
        <f ca="1">IFERROR(IF(VLOOKUP(C2281,' Disaggregation - Section E '!A$618:J2970,6,0)="","",VLOOKUP(C2281,' Disaggregation - Section E '!A$618:J2970,6,0)),"")</f>
        <v/>
      </c>
      <c r="H2281" s="390" t="str">
        <f ca="1">IFERROR(IF(INDEX(' Disaggregation - Section E '!F$618:F2970,MATCH(C2281,' Disaggregation - Section E '!A$618:A2970,0)+1,1)&lt;&gt;0,INDEX(' Disaggregation - Section E '!F$618:F2970,MATCH(C2281,' Disaggregation - Section E '!A$618:A2970,0)+1,1),""),"")</f>
        <v/>
      </c>
      <c r="I2281" s="391" t="str">
        <f ca="1">IFERROR(IF(VLOOKUP(C2281,' Disaggregation - Section E '!A$618:J2970,8,0)=0,"",VLOOKUP(C2281,' Disaggregation - Section E '!A$618:J2970,8,0)),"")</f>
        <v/>
      </c>
      <c r="J2281" s="391" t="str">
        <f ca="1">IFERROR(IF(VLOOKUP(C2281,' Disaggregation - Section E '!A$618:J2970,9,0)="","",VLOOKUP(C2281,' Disaggregation - Section E '!A$618:J2970,9,0)),"")</f>
        <v/>
      </c>
      <c r="K2281" s="387" t="str">
        <f ca="1">IFERROR(VLOOKUP(C2281,' Disaggregation - Section E '!A$618:J2970,3,0),"")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1" s="387"/>
      <c r="M2281" s="387" t="str">
        <f ca="1">IFERROR(IF(VLOOKUP(C2281,' Disaggregation - Section E '!A$618:O1293,15,0)=0,"",VLOOKUP(C2281,' Disaggregation - Section E '!A$618:O1293,15,0)),"")</f>
        <v/>
      </c>
      <c r="N2281" s="391" t="str">
        <f ca="1">IFERROR(IF(VLOOKUP(C2281,' Disaggregation - Section E '!A$618:J2970,10,0)=0,"",VLOOKUP(C2281,' Disaggregation - Section E '!A$618:J2970,10,0)),"")</f>
        <v/>
      </c>
      <c r="O2281" s="387"/>
      <c r="P2281" s="387" t="str">
        <f ca="1">IFERROR(IF(VLOOKUP(C2281,' Disaggregation - Section E '!A$618:R1293,18,0)=0,"",VLOOKUP(C2281,' Disaggregation - Section E '!A$618:R1293,18,0)),"")</f>
        <v/>
      </c>
    </row>
    <row r="2282" spans="1:16">
      <c r="A2282" s="387" t="b">
        <f t="shared" ca="1" si="166"/>
        <v>0</v>
      </c>
      <c r="B2282" s="387"/>
      <c r="C2282" s="396" t="str">
        <f ca="1">IF(COUNTA(O$1610:O2282)=1,"",OFFSET(B2280,-COUNTA(O$1610:O2282)+3,1))</f>
        <v>a16Dm000000M3qfIAC</v>
      </c>
      <c r="D2282" s="392"/>
      <c r="E2282" s="389" t="str">
        <f ca="1">IFERROR(IF(VLOOKUP(C2282,' Disaggregation - Section E '!A$618:J2971,7,0)="","",VLOOKUP(C2282,' Disaggregation - Section E '!A$618:J2971,7,0)*100),"")</f>
        <v/>
      </c>
      <c r="F2282" s="391" t="str">
        <f ca="1">IFERROR(VLOOKUP(C2282,' Disaggregation - Section E '!A$618:J2971,5,0),"")</f>
        <v/>
      </c>
      <c r="G2282" s="390" t="str">
        <f ca="1">IFERROR(IF(VLOOKUP(C2282,' Disaggregation - Section E '!A$618:J2971,6,0)="","",VLOOKUP(C2282,' Disaggregation - Section E '!A$618:J2971,6,0)),"")</f>
        <v/>
      </c>
      <c r="H2282" s="390" t="str">
        <f ca="1">IFERROR(IF(INDEX(' Disaggregation - Section E '!F$618:F2971,MATCH(C2282,' Disaggregation - Section E '!A$618:A2971,0)+1,1)&lt;&gt;0,INDEX(' Disaggregation - Section E '!F$618:F2971,MATCH(C2282,' Disaggregation - Section E '!A$618:A2971,0)+1,1),""),"")</f>
        <v/>
      </c>
      <c r="I2282" s="391" t="str">
        <f ca="1">IFERROR(IF(VLOOKUP(C2282,' Disaggregation - Section E '!A$618:J2971,8,0)=0,"",VLOOKUP(C2282,' Disaggregation - Section E '!A$618:J2971,8,0)),"")</f>
        <v/>
      </c>
      <c r="J2282" s="391" t="str">
        <f ca="1">IFERROR(IF(VLOOKUP(C2282,' Disaggregation - Section E '!A$618:J2971,9,0)="","",VLOOKUP(C2282,' Disaggregation - Section E '!A$618:J2971,9,0)),"")</f>
        <v/>
      </c>
      <c r="K2282" s="387" t="str">
        <f ca="1">IFERROR(VLOOKUP(C2282,' Disaggregation - Section E '!A$618:J2971,3,0),"")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2" s="387"/>
      <c r="M2282" s="387" t="str">
        <f ca="1">IFERROR(IF(VLOOKUP(C2282,' Disaggregation - Section E '!A$618:O1294,15,0)=0,"",VLOOKUP(C2282,' Disaggregation - Section E '!A$618:O1294,15,0)),"")</f>
        <v/>
      </c>
      <c r="N2282" s="391" t="str">
        <f ca="1">IFERROR(IF(VLOOKUP(C2282,' Disaggregation - Section E '!A$618:J2971,10,0)=0,"",VLOOKUP(C2282,' Disaggregation - Section E '!A$618:J2971,10,0)),"")</f>
        <v/>
      </c>
      <c r="O2282" s="387"/>
      <c r="P2282" s="387" t="str">
        <f ca="1">IFERROR(IF(VLOOKUP(C2282,' Disaggregation - Section E '!A$618:R1294,18,0)=0,"",VLOOKUP(C2282,' Disaggregation - Section E '!A$618:R1294,18,0)),"")</f>
        <v/>
      </c>
    </row>
    <row r="2283" spans="1:16">
      <c r="A2283" s="387" t="b">
        <f t="shared" ca="1" si="166"/>
        <v>0</v>
      </c>
      <c r="B2283" s="387"/>
      <c r="C2283" s="396" t="str">
        <f ca="1">IF(COUNTA(O$1610:O2283)=1,"",OFFSET(B2281,-COUNTA(O$1610:O2283)+3,1))</f>
        <v>a16Dm000000M3qgIAC</v>
      </c>
      <c r="D2283" s="392"/>
      <c r="E2283" s="389" t="str">
        <f ca="1">IFERROR(IF(VLOOKUP(C2283,' Disaggregation - Section E '!A$618:J2972,7,0)="","",VLOOKUP(C2283,' Disaggregation - Section E '!A$618:J2972,7,0)*100),"")</f>
        <v/>
      </c>
      <c r="F2283" s="391" t="str">
        <f ca="1">IFERROR(VLOOKUP(C2283,' Disaggregation - Section E '!A$618:J2972,5,0),"")</f>
        <v/>
      </c>
      <c r="G2283" s="390" t="str">
        <f ca="1">IFERROR(IF(VLOOKUP(C2283,' Disaggregation - Section E '!A$618:J2972,6,0)="","",VLOOKUP(C2283,' Disaggregation - Section E '!A$618:J2972,6,0)),"")</f>
        <v/>
      </c>
      <c r="H2283" s="390" t="str">
        <f ca="1">IFERROR(IF(INDEX(' Disaggregation - Section E '!F$618:F2972,MATCH(C2283,' Disaggregation - Section E '!A$618:A2972,0)+1,1)&lt;&gt;0,INDEX(' Disaggregation - Section E '!F$618:F2972,MATCH(C2283,' Disaggregation - Section E '!A$618:A2972,0)+1,1),""),"")</f>
        <v/>
      </c>
      <c r="I2283" s="391" t="str">
        <f ca="1">IFERROR(IF(VLOOKUP(C2283,' Disaggregation - Section E '!A$618:J2972,8,0)=0,"",VLOOKUP(C2283,' Disaggregation - Section E '!A$618:J2972,8,0)),"")</f>
        <v/>
      </c>
      <c r="J2283" s="391" t="str">
        <f ca="1">IFERROR(IF(VLOOKUP(C2283,' Disaggregation - Section E '!A$618:J2972,9,0)="","",VLOOKUP(C2283,' Disaggregation - Section E '!A$618:J2972,9,0)),"")</f>
        <v/>
      </c>
      <c r="K2283" s="387" t="str">
        <f ca="1">IFERROR(VLOOKUP(C2283,' Disaggregation - Section E '!A$618:J2972,3,0),"")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3" s="387"/>
      <c r="M2283" s="387" t="str">
        <f ca="1">IFERROR(IF(VLOOKUP(C2283,' Disaggregation - Section E '!A$618:O1295,15,0)=0,"",VLOOKUP(C2283,' Disaggregation - Section E '!A$618:O1295,15,0)),"")</f>
        <v/>
      </c>
      <c r="N2283" s="391" t="str">
        <f ca="1">IFERROR(IF(VLOOKUP(C2283,' Disaggregation - Section E '!A$618:J2972,10,0)=0,"",VLOOKUP(C2283,' Disaggregation - Section E '!A$618:J2972,10,0)),"")</f>
        <v/>
      </c>
      <c r="O2283" s="387"/>
      <c r="P2283" s="387" t="str">
        <f ca="1">IFERROR(IF(VLOOKUP(C2283,' Disaggregation - Section E '!A$618:R1295,18,0)=0,"",VLOOKUP(C2283,' Disaggregation - Section E '!A$618:R1295,18,0)),"")</f>
        <v/>
      </c>
    </row>
    <row r="2284" spans="1:16">
      <c r="A2284" s="387" t="b">
        <f t="shared" ca="1" si="166"/>
        <v>0</v>
      </c>
      <c r="B2284" s="387"/>
      <c r="C2284" s="396" t="str">
        <f ca="1">IF(COUNTA(O$1610:O2284)=1,"",OFFSET(B2282,-COUNTA(O$1610:O2284)+3,1))</f>
        <v>a16Dm000000M3qhIAC</v>
      </c>
      <c r="D2284" s="392"/>
      <c r="E2284" s="389" t="str">
        <f ca="1">IFERROR(IF(VLOOKUP(C2284,' Disaggregation - Section E '!A$618:J2973,7,0)="","",VLOOKUP(C2284,' Disaggregation - Section E '!A$618:J2973,7,0)*100),"")</f>
        <v/>
      </c>
      <c r="F2284" s="391" t="str">
        <f ca="1">IFERROR(VLOOKUP(C2284,' Disaggregation - Section E '!A$618:J2973,5,0),"")</f>
        <v/>
      </c>
      <c r="G2284" s="390" t="str">
        <f ca="1">IFERROR(IF(VLOOKUP(C2284,' Disaggregation - Section E '!A$618:J2973,6,0)="","",VLOOKUP(C2284,' Disaggregation - Section E '!A$618:J2973,6,0)),"")</f>
        <v/>
      </c>
      <c r="H2284" s="390" t="str">
        <f ca="1">IFERROR(IF(INDEX(' Disaggregation - Section E '!F$618:F2973,MATCH(C2284,' Disaggregation - Section E '!A$618:A2973,0)+1,1)&lt;&gt;0,INDEX(' Disaggregation - Section E '!F$618:F2973,MATCH(C2284,' Disaggregation - Section E '!A$618:A2973,0)+1,1),""),"")</f>
        <v/>
      </c>
      <c r="I2284" s="391" t="str">
        <f ca="1">IFERROR(IF(VLOOKUP(C2284,' Disaggregation - Section E '!A$618:J2973,8,0)=0,"",VLOOKUP(C2284,' Disaggregation - Section E '!A$618:J2973,8,0)),"")</f>
        <v/>
      </c>
      <c r="J2284" s="391" t="str">
        <f ca="1">IFERROR(IF(VLOOKUP(C2284,' Disaggregation - Section E '!A$618:J2973,9,0)="","",VLOOKUP(C2284,' Disaggregation - Section E '!A$618:J2973,9,0)),"")</f>
        <v/>
      </c>
      <c r="K2284" s="387" t="str">
        <f ca="1">IFERROR(VLOOKUP(C2284,' Disaggregation - Section E '!A$618:J2973,3,0),"")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4" s="387"/>
      <c r="M2284" s="387" t="str">
        <f ca="1">IFERROR(IF(VLOOKUP(C2284,' Disaggregation - Section E '!A$618:O1296,15,0)=0,"",VLOOKUP(C2284,' Disaggregation - Section E '!A$618:O1296,15,0)),"")</f>
        <v/>
      </c>
      <c r="N2284" s="391" t="str">
        <f ca="1">IFERROR(IF(VLOOKUP(C2284,' Disaggregation - Section E '!A$618:J2973,10,0)=0,"",VLOOKUP(C2284,' Disaggregation - Section E '!A$618:J2973,10,0)),"")</f>
        <v/>
      </c>
      <c r="O2284" s="387"/>
      <c r="P2284" s="387" t="str">
        <f ca="1">IFERROR(IF(VLOOKUP(C2284,' Disaggregation - Section E '!A$618:R1296,18,0)=0,"",VLOOKUP(C2284,' Disaggregation - Section E '!A$618:R1296,18,0)),"")</f>
        <v/>
      </c>
    </row>
    <row r="2285" spans="1:16">
      <c r="A2285" s="387" t="b">
        <f t="shared" ca="1" si="166"/>
        <v>0</v>
      </c>
      <c r="B2285" s="387"/>
      <c r="C2285" s="396" t="str">
        <f ca="1">IF(COUNTA(O$1610:O2285)=1,"",OFFSET(B2283,-COUNTA(O$1610:O2285)+3,1))</f>
        <v>a16Dm000000M3qiIAC</v>
      </c>
      <c r="D2285" s="392"/>
      <c r="E2285" s="389" t="str">
        <f ca="1">IFERROR(IF(VLOOKUP(C2285,' Disaggregation - Section E '!A$618:J2974,7,0)="","",VLOOKUP(C2285,' Disaggregation - Section E '!A$618:J2974,7,0)*100),"")</f>
        <v/>
      </c>
      <c r="F2285" s="391" t="str">
        <f ca="1">IFERROR(VLOOKUP(C2285,' Disaggregation - Section E '!A$618:J2974,5,0),"")</f>
        <v/>
      </c>
      <c r="G2285" s="390" t="str">
        <f ca="1">IFERROR(IF(VLOOKUP(C2285,' Disaggregation - Section E '!A$618:J2974,6,0)="","",VLOOKUP(C2285,' Disaggregation - Section E '!A$618:J2974,6,0)),"")</f>
        <v/>
      </c>
      <c r="H2285" s="390" t="str">
        <f ca="1">IFERROR(IF(INDEX(' Disaggregation - Section E '!F$618:F2974,MATCH(C2285,' Disaggregation - Section E '!A$618:A2974,0)+1,1)&lt;&gt;0,INDEX(' Disaggregation - Section E '!F$618:F2974,MATCH(C2285,' Disaggregation - Section E '!A$618:A2974,0)+1,1),""),"")</f>
        <v/>
      </c>
      <c r="I2285" s="391" t="str">
        <f ca="1">IFERROR(IF(VLOOKUP(C2285,' Disaggregation - Section E '!A$618:J2974,8,0)=0,"",VLOOKUP(C2285,' Disaggregation - Section E '!A$618:J2974,8,0)),"")</f>
        <v/>
      </c>
      <c r="J2285" s="391" t="str">
        <f ca="1">IFERROR(IF(VLOOKUP(C2285,' Disaggregation - Section E '!A$618:J2974,9,0)="","",VLOOKUP(C2285,' Disaggregation - Section E '!A$618:J2974,9,0)),"")</f>
        <v/>
      </c>
      <c r="K2285" s="387" t="str">
        <f ca="1">IFERROR(VLOOKUP(C2285,' Disaggregation - Section E '!A$618:J2974,3,0),"")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5" s="387"/>
      <c r="M2285" s="387" t="str">
        <f ca="1">IFERROR(IF(VLOOKUP(C2285,' Disaggregation - Section E '!A$618:O1297,15,0)=0,"",VLOOKUP(C2285,' Disaggregation - Section E '!A$618:O1297,15,0)),"")</f>
        <v/>
      </c>
      <c r="N2285" s="391" t="str">
        <f ca="1">IFERROR(IF(VLOOKUP(C2285,' Disaggregation - Section E '!A$618:J2974,10,0)=0,"",VLOOKUP(C2285,' Disaggregation - Section E '!A$618:J2974,10,0)),"")</f>
        <v/>
      </c>
      <c r="O2285" s="387"/>
      <c r="P2285" s="387" t="str">
        <f ca="1">IFERROR(IF(VLOOKUP(C2285,' Disaggregation - Section E '!A$618:R1297,18,0)=0,"",VLOOKUP(C2285,' Disaggregation - Section E '!A$618:R1297,18,0)),"")</f>
        <v/>
      </c>
    </row>
    <row r="2286" spans="1:16">
      <c r="A2286" s="387" t="b">
        <f t="shared" ca="1" si="166"/>
        <v>0</v>
      </c>
      <c r="B2286" s="387"/>
      <c r="C2286" s="396" t="str">
        <f ca="1">IF(COUNTA(O$1610:O2286)=1,"",OFFSET(B2284,-COUNTA(O$1610:O2286)+3,1))</f>
        <v>a16Dm000000M3qjIAC</v>
      </c>
      <c r="D2286" s="392"/>
      <c r="E2286" s="389" t="str">
        <f ca="1">IFERROR(IF(VLOOKUP(C2286,' Disaggregation - Section E '!A$618:J2975,7,0)="","",VLOOKUP(C2286,' Disaggregation - Section E '!A$618:J2975,7,0)*100),"")</f>
        <v/>
      </c>
      <c r="F2286" s="391" t="str">
        <f ca="1">IFERROR(VLOOKUP(C2286,' Disaggregation - Section E '!A$618:J2975,5,0),"")</f>
        <v/>
      </c>
      <c r="G2286" s="390" t="str">
        <f ca="1">IFERROR(IF(VLOOKUP(C2286,' Disaggregation - Section E '!A$618:J2975,6,0)="","",VLOOKUP(C2286,' Disaggregation - Section E '!A$618:J2975,6,0)),"")</f>
        <v/>
      </c>
      <c r="H2286" s="390" t="str">
        <f ca="1">IFERROR(IF(INDEX(' Disaggregation - Section E '!F$618:F2975,MATCH(C2286,' Disaggregation - Section E '!A$618:A2975,0)+1,1)&lt;&gt;0,INDEX(' Disaggregation - Section E '!F$618:F2975,MATCH(C2286,' Disaggregation - Section E '!A$618:A2975,0)+1,1),""),"")</f>
        <v/>
      </c>
      <c r="I2286" s="391" t="str">
        <f ca="1">IFERROR(IF(VLOOKUP(C2286,' Disaggregation - Section E '!A$618:J2975,8,0)=0,"",VLOOKUP(C2286,' Disaggregation - Section E '!A$618:J2975,8,0)),"")</f>
        <v/>
      </c>
      <c r="J2286" s="391" t="str">
        <f ca="1">IFERROR(IF(VLOOKUP(C2286,' Disaggregation - Section E '!A$618:J2975,9,0)="","",VLOOKUP(C2286,' Disaggregation - Section E '!A$618:J2975,9,0)),"")</f>
        <v/>
      </c>
      <c r="K2286" s="387" t="str">
        <f ca="1">IFERROR(VLOOKUP(C2286,' Disaggregation - Section E '!A$618:J2975,3,0),"")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6" s="387"/>
      <c r="M2286" s="387" t="str">
        <f ca="1">IFERROR(IF(VLOOKUP(C2286,' Disaggregation - Section E '!A$618:O1298,15,0)=0,"",VLOOKUP(C2286,' Disaggregation - Section E '!A$618:O1298,15,0)),"")</f>
        <v/>
      </c>
      <c r="N2286" s="391" t="str">
        <f ca="1">IFERROR(IF(VLOOKUP(C2286,' Disaggregation - Section E '!A$618:J2975,10,0)=0,"",VLOOKUP(C2286,' Disaggregation - Section E '!A$618:J2975,10,0)),"")</f>
        <v/>
      </c>
      <c r="O2286" s="387"/>
      <c r="P2286" s="387" t="str">
        <f ca="1">IFERROR(IF(VLOOKUP(C2286,' Disaggregation - Section E '!A$618:R1298,18,0)=0,"",VLOOKUP(C2286,' Disaggregation - Section E '!A$618:R1298,18,0)),"")</f>
        <v/>
      </c>
    </row>
    <row r="2287" spans="1:16">
      <c r="A2287" s="387" t="b">
        <f t="shared" ca="1" si="166"/>
        <v>0</v>
      </c>
      <c r="B2287" s="387"/>
      <c r="C2287" s="396" t="str">
        <f ca="1">IF(COUNTA(O$1610:O2287)=1,"",OFFSET(B2285,-COUNTA(O$1610:O2287)+3,1))</f>
        <v>a16Dm000000M3qkIAC</v>
      </c>
      <c r="D2287" s="392"/>
      <c r="E2287" s="389" t="str">
        <f ca="1">IFERROR(IF(VLOOKUP(C2287,' Disaggregation - Section E '!A$618:J2976,7,0)="","",VLOOKUP(C2287,' Disaggregation - Section E '!A$618:J2976,7,0)*100),"")</f>
        <v/>
      </c>
      <c r="F2287" s="391" t="str">
        <f ca="1">IFERROR(VLOOKUP(C2287,' Disaggregation - Section E '!A$618:J2976,5,0),"")</f>
        <v/>
      </c>
      <c r="G2287" s="390" t="str">
        <f ca="1">IFERROR(IF(VLOOKUP(C2287,' Disaggregation - Section E '!A$618:J2976,6,0)="","",VLOOKUP(C2287,' Disaggregation - Section E '!A$618:J2976,6,0)),"")</f>
        <v/>
      </c>
      <c r="H2287" s="390" t="str">
        <f ca="1">IFERROR(IF(INDEX(' Disaggregation - Section E '!F$618:F2976,MATCH(C2287,' Disaggregation - Section E '!A$618:A2976,0)+1,1)&lt;&gt;0,INDEX(' Disaggregation - Section E '!F$618:F2976,MATCH(C2287,' Disaggregation - Section E '!A$618:A2976,0)+1,1),""),"")</f>
        <v/>
      </c>
      <c r="I2287" s="391" t="str">
        <f ca="1">IFERROR(IF(VLOOKUP(C2287,' Disaggregation - Section E '!A$618:J2976,8,0)=0,"",VLOOKUP(C2287,' Disaggregation - Section E '!A$618:J2976,8,0)),"")</f>
        <v/>
      </c>
      <c r="J2287" s="391" t="str">
        <f ca="1">IFERROR(IF(VLOOKUP(C2287,' Disaggregation - Section E '!A$618:J2976,9,0)="","",VLOOKUP(C2287,' Disaggregation - Section E '!A$618:J2976,9,0)),"")</f>
        <v/>
      </c>
      <c r="K2287" s="387" t="str">
        <f ca="1">IFERROR(VLOOKUP(C2287,' Disaggregation - Section E '!A$618:J2976,3,0),"")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7" s="387"/>
      <c r="M2287" s="387" t="str">
        <f ca="1">IFERROR(IF(VLOOKUP(C2287,' Disaggregation - Section E '!A$618:O1299,15,0)=0,"",VLOOKUP(C2287,' Disaggregation - Section E '!A$618:O1299,15,0)),"")</f>
        <v/>
      </c>
      <c r="N2287" s="391" t="str">
        <f ca="1">IFERROR(IF(VLOOKUP(C2287,' Disaggregation - Section E '!A$618:J2976,10,0)=0,"",VLOOKUP(C2287,' Disaggregation - Section E '!A$618:J2976,10,0)),"")</f>
        <v/>
      </c>
      <c r="O2287" s="387"/>
      <c r="P2287" s="387" t="str">
        <f ca="1">IFERROR(IF(VLOOKUP(C2287,' Disaggregation - Section E '!A$618:R1299,18,0)=0,"",VLOOKUP(C2287,' Disaggregation - Section E '!A$618:R1299,18,0)),"")</f>
        <v/>
      </c>
    </row>
    <row r="2288" spans="1:16">
      <c r="A2288" s="387" t="b">
        <f t="shared" ca="1" si="166"/>
        <v>0</v>
      </c>
      <c r="B2288" s="387"/>
      <c r="C2288" s="396" t="str">
        <f ca="1">IF(COUNTA(O$1610:O2288)=1,"",OFFSET(B2286,-COUNTA(O$1610:O2288)+3,1))</f>
        <v>a16Dm000000M3qlIAC</v>
      </c>
      <c r="D2288" s="392"/>
      <c r="E2288" s="389" t="str">
        <f ca="1">IFERROR(IF(VLOOKUP(C2288,' Disaggregation - Section E '!A$618:J2977,7,0)="","",VLOOKUP(C2288,' Disaggregation - Section E '!A$618:J2977,7,0)*100),"")</f>
        <v/>
      </c>
      <c r="F2288" s="391" t="str">
        <f ca="1">IFERROR(VLOOKUP(C2288,' Disaggregation - Section E '!A$618:J2977,5,0),"")</f>
        <v/>
      </c>
      <c r="G2288" s="390" t="str">
        <f ca="1">IFERROR(IF(VLOOKUP(C2288,' Disaggregation - Section E '!A$618:J2977,6,0)="","",VLOOKUP(C2288,' Disaggregation - Section E '!A$618:J2977,6,0)),"")</f>
        <v/>
      </c>
      <c r="H2288" s="390" t="str">
        <f ca="1">IFERROR(IF(INDEX(' Disaggregation - Section E '!F$618:F2977,MATCH(C2288,' Disaggregation - Section E '!A$618:A2977,0)+1,1)&lt;&gt;0,INDEX(' Disaggregation - Section E '!F$618:F2977,MATCH(C2288,' Disaggregation - Section E '!A$618:A2977,0)+1,1),""),"")</f>
        <v/>
      </c>
      <c r="I2288" s="391" t="str">
        <f ca="1">IFERROR(IF(VLOOKUP(C2288,' Disaggregation - Section E '!A$618:J2977,8,0)=0,"",VLOOKUP(C2288,' Disaggregation - Section E '!A$618:J2977,8,0)),"")</f>
        <v/>
      </c>
      <c r="J2288" s="391" t="str">
        <f ca="1">IFERROR(IF(VLOOKUP(C2288,' Disaggregation - Section E '!A$618:J2977,9,0)="","",VLOOKUP(C2288,' Disaggregation - Section E '!A$618:J2977,9,0)),"")</f>
        <v/>
      </c>
      <c r="K2288" s="387" t="str">
        <f ca="1">IFERROR(VLOOKUP(C2288,' Disaggregation - Section E '!A$618:J2977,3,0),"")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8" s="387"/>
      <c r="M2288" s="387" t="str">
        <f ca="1">IFERROR(IF(VLOOKUP(C2288,' Disaggregation - Section E '!A$618:O1300,15,0)=0,"",VLOOKUP(C2288,' Disaggregation - Section E '!A$618:O1300,15,0)),"")</f>
        <v/>
      </c>
      <c r="N2288" s="391" t="str">
        <f ca="1">IFERROR(IF(VLOOKUP(C2288,' Disaggregation - Section E '!A$618:J2977,10,0)=0,"",VLOOKUP(C2288,' Disaggregation - Section E '!A$618:J2977,10,0)),"")</f>
        <v/>
      </c>
      <c r="O2288" s="387"/>
      <c r="P2288" s="387" t="str">
        <f ca="1">IFERROR(IF(VLOOKUP(C2288,' Disaggregation - Section E '!A$618:R1300,18,0)=0,"",VLOOKUP(C2288,' Disaggregation - Section E '!A$618:R1300,18,0)),"")</f>
        <v/>
      </c>
    </row>
    <row r="2289" spans="1:16">
      <c r="A2289" s="387" t="b">
        <f t="shared" ca="1" si="166"/>
        <v>0</v>
      </c>
      <c r="B2289" s="387"/>
      <c r="C2289" s="396" t="str">
        <f ca="1">IF(COUNTA(O$1610:O2289)=1,"",OFFSET(B2287,-COUNTA(O$1610:O2289)+3,1))</f>
        <v>a16Dm000000M3qmIAC</v>
      </c>
      <c r="D2289" s="392"/>
      <c r="E2289" s="389" t="str">
        <f ca="1">IFERROR(IF(VLOOKUP(C2289,' Disaggregation - Section E '!A$618:J2978,7,0)="","",VLOOKUP(C2289,' Disaggregation - Section E '!A$618:J2978,7,0)*100),"")</f>
        <v/>
      </c>
      <c r="F2289" s="391" t="str">
        <f ca="1">IFERROR(VLOOKUP(C2289,' Disaggregation - Section E '!A$618:J2978,5,0),"")</f>
        <v/>
      </c>
      <c r="G2289" s="390" t="str">
        <f ca="1">IFERROR(IF(VLOOKUP(C2289,' Disaggregation - Section E '!A$618:J2978,6,0)="","",VLOOKUP(C2289,' Disaggregation - Section E '!A$618:J2978,6,0)),"")</f>
        <v/>
      </c>
      <c r="H2289" s="390" t="str">
        <f ca="1">IFERROR(IF(INDEX(' Disaggregation - Section E '!F$618:F2978,MATCH(C2289,' Disaggregation - Section E '!A$618:A2978,0)+1,1)&lt;&gt;0,INDEX(' Disaggregation - Section E '!F$618:F2978,MATCH(C2289,' Disaggregation - Section E '!A$618:A2978,0)+1,1),""),"")</f>
        <v/>
      </c>
      <c r="I2289" s="391" t="str">
        <f ca="1">IFERROR(IF(VLOOKUP(C2289,' Disaggregation - Section E '!A$618:J2978,8,0)=0,"",VLOOKUP(C2289,' Disaggregation - Section E '!A$618:J2978,8,0)),"")</f>
        <v/>
      </c>
      <c r="J2289" s="391" t="str">
        <f ca="1">IFERROR(IF(VLOOKUP(C2289,' Disaggregation - Section E '!A$618:J2978,9,0)="","",VLOOKUP(C2289,' Disaggregation - Section E '!A$618:J2978,9,0)),"")</f>
        <v/>
      </c>
      <c r="K2289" s="387" t="str">
        <f ca="1">IFERROR(VLOOKUP(C2289,' Disaggregation - Section E '!A$618:J2978,3,0),"")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89" s="387"/>
      <c r="M2289" s="387" t="str">
        <f ca="1">IFERROR(IF(VLOOKUP(C2289,' Disaggregation - Section E '!A$618:O1301,15,0)=0,"",VLOOKUP(C2289,' Disaggregation - Section E '!A$618:O1301,15,0)),"")</f>
        <v/>
      </c>
      <c r="N2289" s="391" t="str">
        <f ca="1">IFERROR(IF(VLOOKUP(C2289,' Disaggregation - Section E '!A$618:J2978,10,0)=0,"",VLOOKUP(C2289,' Disaggregation - Section E '!A$618:J2978,10,0)),"")</f>
        <v/>
      </c>
      <c r="O2289" s="387"/>
      <c r="P2289" s="387" t="str">
        <f ca="1">IFERROR(IF(VLOOKUP(C2289,' Disaggregation - Section E '!A$618:R1301,18,0)=0,"",VLOOKUP(C2289,' Disaggregation - Section E '!A$618:R1301,18,0)),"")</f>
        <v/>
      </c>
    </row>
    <row r="2290" spans="1:16">
      <c r="A2290" s="387" t="b">
        <f t="shared" ca="1" si="166"/>
        <v>0</v>
      </c>
      <c r="B2290" s="387"/>
      <c r="C2290" s="396" t="str">
        <f ca="1">IF(COUNTA(O$1610:O2290)=1,"",OFFSET(B2288,-COUNTA(O$1610:O2290)+3,1))</f>
        <v>a16Dm000000M3qnIAC</v>
      </c>
      <c r="D2290" s="392"/>
      <c r="E2290" s="389" t="str">
        <f ca="1">IFERROR(IF(VLOOKUP(C2290,' Disaggregation - Section E '!A$618:J2979,7,0)="","",VLOOKUP(C2290,' Disaggregation - Section E '!A$618:J2979,7,0)*100),"")</f>
        <v/>
      </c>
      <c r="F2290" s="391" t="str">
        <f ca="1">IFERROR(VLOOKUP(C2290,' Disaggregation - Section E '!A$618:J2979,5,0),"")</f>
        <v/>
      </c>
      <c r="G2290" s="390" t="str">
        <f ca="1">IFERROR(IF(VLOOKUP(C2290,' Disaggregation - Section E '!A$618:J2979,6,0)="","",VLOOKUP(C2290,' Disaggregation - Section E '!A$618:J2979,6,0)),"")</f>
        <v/>
      </c>
      <c r="H2290" s="390" t="str">
        <f ca="1">IFERROR(IF(INDEX(' Disaggregation - Section E '!F$618:F2979,MATCH(C2290,' Disaggregation - Section E '!A$618:A2979,0)+1,1)&lt;&gt;0,INDEX(' Disaggregation - Section E '!F$618:F2979,MATCH(C2290,' Disaggregation - Section E '!A$618:A2979,0)+1,1),""),"")</f>
        <v/>
      </c>
      <c r="I2290" s="391" t="str">
        <f ca="1">IFERROR(IF(VLOOKUP(C2290,' Disaggregation - Section E '!A$618:J2979,8,0)=0,"",VLOOKUP(C2290,' Disaggregation - Section E '!A$618:J2979,8,0)),"")</f>
        <v/>
      </c>
      <c r="J2290" s="391" t="str">
        <f ca="1">IFERROR(IF(VLOOKUP(C2290,' Disaggregation - Section E '!A$618:J2979,9,0)="","",VLOOKUP(C2290,' Disaggregation - Section E '!A$618:J2979,9,0)),"")</f>
        <v/>
      </c>
      <c r="K2290" s="387" t="str">
        <f ca="1">IFERROR(VLOOKUP(C2290,' Disaggregation - Section E '!A$618:J2979,3,0),"")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90" s="387"/>
      <c r="M2290" s="387" t="str">
        <f ca="1">IFERROR(IF(VLOOKUP(C2290,' Disaggregation - Section E '!A$618:O1302,15,0)=0,"",VLOOKUP(C2290,' Disaggregation - Section E '!A$618:O1302,15,0)),"")</f>
        <v/>
      </c>
      <c r="N2290" s="391" t="str">
        <f ca="1">IFERROR(IF(VLOOKUP(C2290,' Disaggregation - Section E '!A$618:J2979,10,0)=0,"",VLOOKUP(C2290,' Disaggregation - Section E '!A$618:J2979,10,0)),"")</f>
        <v/>
      </c>
      <c r="O2290" s="387"/>
      <c r="P2290" s="387" t="str">
        <f ca="1">IFERROR(IF(VLOOKUP(C2290,' Disaggregation - Section E '!A$618:R1302,18,0)=0,"",VLOOKUP(C2290,' Disaggregation - Section E '!A$618:R1302,18,0)),"")</f>
        <v/>
      </c>
    </row>
    <row r="2291" spans="1:16">
      <c r="A2291" s="387" t="b">
        <f t="shared" ca="1" si="166"/>
        <v>0</v>
      </c>
      <c r="B2291" s="387"/>
      <c r="C2291" s="396" t="str">
        <f ca="1">IF(COUNTA(O$1610:O2291)=1,"",OFFSET(B2289,-COUNTA(O$1610:O2291)+3,1))</f>
        <v>a16Dm000000M3qoIAC</v>
      </c>
      <c r="D2291" s="392"/>
      <c r="E2291" s="389" t="str">
        <f ca="1">IFERROR(IF(VLOOKUP(C2291,' Disaggregation - Section E '!A$618:J2980,7,0)="","",VLOOKUP(C2291,' Disaggregation - Section E '!A$618:J2980,7,0)*100),"")</f>
        <v/>
      </c>
      <c r="F2291" s="391" t="str">
        <f ca="1">IFERROR(VLOOKUP(C2291,' Disaggregation - Section E '!A$618:J2980,5,0),"")</f>
        <v/>
      </c>
      <c r="G2291" s="390" t="str">
        <f ca="1">IFERROR(IF(VLOOKUP(C2291,' Disaggregation - Section E '!A$618:J2980,6,0)="","",VLOOKUP(C2291,' Disaggregation - Section E '!A$618:J2980,6,0)),"")</f>
        <v/>
      </c>
      <c r="H2291" s="390" t="str">
        <f ca="1">IFERROR(IF(INDEX(' Disaggregation - Section E '!F$618:F2980,MATCH(C2291,' Disaggregation - Section E '!A$618:A2980,0)+1,1)&lt;&gt;0,INDEX(' Disaggregation - Section E '!F$618:F2980,MATCH(C2291,' Disaggregation - Section E '!A$618:A2980,0)+1,1),""),"")</f>
        <v/>
      </c>
      <c r="I2291" s="391" t="str">
        <f ca="1">IFERROR(IF(VLOOKUP(C2291,' Disaggregation - Section E '!A$618:J2980,8,0)=0,"",VLOOKUP(C2291,' Disaggregation - Section E '!A$618:J2980,8,0)),"")</f>
        <v/>
      </c>
      <c r="J2291" s="391" t="str">
        <f ca="1">IFERROR(IF(VLOOKUP(C2291,' Disaggregation - Section E '!A$618:J2980,9,0)="","",VLOOKUP(C2291,' Disaggregation - Section E '!A$618:J2980,9,0)),"")</f>
        <v/>
      </c>
      <c r="K2291" s="387" t="str">
        <f ca="1">IFERROR(VLOOKUP(C2291,' Disaggregation - Section E '!A$618:J2980,3,0),"")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291" s="387"/>
      <c r="M2291" s="387" t="str">
        <f ca="1">IFERROR(IF(VLOOKUP(C2291,' Disaggregation - Section E '!A$618:O1303,15,0)=0,"",VLOOKUP(C2291,' Disaggregation - Section E '!A$618:O1303,15,0)),"")</f>
        <v/>
      </c>
      <c r="N2291" s="391" t="str">
        <f ca="1">IFERROR(IF(VLOOKUP(C2291,' Disaggregation - Section E '!A$618:J2980,10,0)=0,"",VLOOKUP(C2291,' Disaggregation - Section E '!A$618:J2980,10,0)),"")</f>
        <v/>
      </c>
      <c r="O2291" s="387"/>
      <c r="P2291" s="387" t="str">
        <f ca="1">IFERROR(IF(VLOOKUP(C2291,' Disaggregation - Section E '!A$618:R1303,18,0)=0,"",VLOOKUP(C2291,' Disaggregation - Section E '!A$618:R1303,18,0)),"")</f>
        <v/>
      </c>
    </row>
    <row r="2292" spans="1:16">
      <c r="A2292" s="387" t="b">
        <f t="shared" ca="1" si="166"/>
        <v>1</v>
      </c>
      <c r="B2292" s="387"/>
      <c r="C2292" s="396" t="str">
        <f ca="1">IF(COUNTA(O$1610:O2292)=1,"",OFFSET(B2290,-COUNTA(O$1610:O2292)+3,1))</f>
        <v>a16Dm000000M3qpIAC</v>
      </c>
      <c r="D2292" s="392"/>
      <c r="E2292" s="389" t="str">
        <f ca="1">IFERROR(IF(VLOOKUP(C2292,' Disaggregation - Section E '!A$618:J2981,7,0)="","",VLOOKUP(C2292,' Disaggregation - Section E '!A$618:J2981,7,0)*100),"")</f>
        <v/>
      </c>
      <c r="F2292" s="391" t="str">
        <f ca="1">IFERROR(VLOOKUP(C2292,' Disaggregation - Section E '!A$618:J2981,5,0),"")</f>
        <v>Private</v>
      </c>
      <c r="G2292" s="390" t="str">
        <f ca="1">IFERROR(IF(VLOOKUP(C2292,' Disaggregation - Section E '!A$618:J2981,6,0)="","",VLOOKUP(C2292,' Disaggregation - Section E '!A$618:J2981,6,0)),"")</f>
        <v/>
      </c>
      <c r="H2292" s="390" t="str">
        <f ca="1">IFERROR(IF(INDEX(' Disaggregation - Section E '!F$618:F2981,MATCH(C2292,' Disaggregation - Section E '!A$618:A2981,0)+1,1)&lt;&gt;0,INDEX(' Disaggregation - Section E '!F$618:F2981,MATCH(C2292,' Disaggregation - Section E '!A$618:A2981,0)+1,1),""),"")</f>
        <v/>
      </c>
      <c r="I2292" s="391">
        <f ca="1">IFERROR(IF(VLOOKUP(C2292,' Disaggregation - Section E '!A$618:J2981,8,0)=0,"",VLOOKUP(C2292,' Disaggregation - Section E '!A$618:J2981,8,0)),"")</f>
        <v>2021</v>
      </c>
      <c r="J2292" s="391" t="str">
        <f ca="1">IFERROR(IF(VLOOKUP(C2292,' Disaggregation - Section E '!A$618:J2981,9,0)="","",VLOOKUP(C2292,' Disaggregation - Section E '!A$618:J2981,9,0)),"")</f>
        <v>Not available</v>
      </c>
      <c r="K2292" s="387" t="str">
        <f ca="1">IFERROR(VLOOKUP(C2292,' Disaggregation - Section E '!A$618:J2981,3,0),"")</f>
        <v>TBDT-4 Percentage of new and relapse TB patients tested using WHO recommended rapid diagnostic tests at the time of diagnosis</v>
      </c>
      <c r="L2292" s="387"/>
      <c r="M2292" s="387" t="str">
        <f ca="1">IFERROR(IF(VLOOKUP(C2292,' Disaggregation - Section E '!A$618:O1304,15,0)=0,"",VLOOKUP(C2292,' Disaggregation - Section E '!A$618:O1304,15,0)),"")</f>
        <v>IDR-01323</v>
      </c>
      <c r="N2292" s="391" t="str">
        <f ca="1">IFERROR(IF(VLOOKUP(C2292,' Disaggregation - Section E '!A$618:J2981,10,0)=0,"",VLOOKUP(C2292,' Disaggregation - Section E '!A$618:J2981,10,0)),"")</f>
        <v>Data not available because the NTP quarterly reporting form does not allow reporting on this indicator</v>
      </c>
      <c r="O2292" s="387"/>
      <c r="P2292" s="387" t="str">
        <f ca="1">IFERROR(IF(VLOOKUP(C2292,' Disaggregation - Section E '!A$618:R1304,18,0)=0,"",VLOOKUP(C2292,' Disaggregation - Section E '!A$618:R1304,18,0)),"")</f>
        <v>a1LDm000000Cb45MAC</v>
      </c>
    </row>
    <row r="2293" spans="1:16">
      <c r="A2293" s="387" t="b">
        <f t="shared" ca="1" si="166"/>
        <v>1</v>
      </c>
      <c r="B2293" s="387"/>
      <c r="C2293" s="396" t="str">
        <f ca="1">IF(COUNTA(O$1610:O2293)=1,"",OFFSET(B2291,-COUNTA(O$1610:O2293)+3,1))</f>
        <v>a16Dm000000M3qqIAC</v>
      </c>
      <c r="D2293" s="392"/>
      <c r="E2293" s="389" t="str">
        <f ca="1">IFERROR(IF(VLOOKUP(C2293,' Disaggregation - Section E '!A$618:J2982,7,0)="","",VLOOKUP(C2293,' Disaggregation - Section E '!A$618:J2982,7,0)*100),"")</f>
        <v/>
      </c>
      <c r="F2293" s="391" t="str">
        <f ca="1">IFERROR(VLOOKUP(C2293,' Disaggregation - Section E '!A$618:J2982,5,0),"")</f>
        <v>Public</v>
      </c>
      <c r="G2293" s="390" t="str">
        <f ca="1">IFERROR(IF(VLOOKUP(C2293,' Disaggregation - Section E '!A$618:J2982,6,0)="","",VLOOKUP(C2293,' Disaggregation - Section E '!A$618:J2982,6,0)),"")</f>
        <v/>
      </c>
      <c r="H2293" s="390" t="str">
        <f ca="1">IFERROR(IF(INDEX(' Disaggregation - Section E '!F$618:F2982,MATCH(C2293,' Disaggregation - Section E '!A$618:A2982,0)+1,1)&lt;&gt;0,INDEX(' Disaggregation - Section E '!F$618:F2982,MATCH(C2293,' Disaggregation - Section E '!A$618:A2982,0)+1,1),""),"")</f>
        <v/>
      </c>
      <c r="I2293" s="391">
        <f ca="1">IFERROR(IF(VLOOKUP(C2293,' Disaggregation - Section E '!A$618:J2982,8,0)=0,"",VLOOKUP(C2293,' Disaggregation - Section E '!A$618:J2982,8,0)),"")</f>
        <v>2021</v>
      </c>
      <c r="J2293" s="391" t="str">
        <f ca="1">IFERROR(IF(VLOOKUP(C2293,' Disaggregation - Section E '!A$618:J2982,9,0)="","",VLOOKUP(C2293,' Disaggregation - Section E '!A$618:J2982,9,0)),"")</f>
        <v>Not available</v>
      </c>
      <c r="K2293" s="387" t="str">
        <f ca="1">IFERROR(VLOOKUP(C2293,' Disaggregation - Section E '!A$618:J2982,3,0),"")</f>
        <v>TBDT-4 Percentage of new and relapse TB patients tested using WHO recommended rapid diagnostic tests at the time of diagnosis</v>
      </c>
      <c r="L2293" s="387"/>
      <c r="M2293" s="387" t="str">
        <f ca="1">IFERROR(IF(VLOOKUP(C2293,' Disaggregation - Section E '!A$618:O1305,15,0)=0,"",VLOOKUP(C2293,' Disaggregation - Section E '!A$618:O1305,15,0)),"")</f>
        <v>IDR-01322</v>
      </c>
      <c r="N2293" s="391" t="str">
        <f ca="1">IFERROR(IF(VLOOKUP(C2293,' Disaggregation - Section E '!A$618:J2982,10,0)=0,"",VLOOKUP(C2293,' Disaggregation - Section E '!A$618:J2982,10,0)),"")</f>
        <v>Data not available because the NTP quarterly reporting form does not allow reporting on this indicator</v>
      </c>
      <c r="O2293" s="387"/>
      <c r="P2293" s="387" t="str">
        <f ca="1">IFERROR(IF(VLOOKUP(C2293,' Disaggregation - Section E '!A$618:R1305,18,0)=0,"",VLOOKUP(C2293,' Disaggregation - Section E '!A$618:R1305,18,0)),"")</f>
        <v>a1LDm000000Cb44MAC</v>
      </c>
    </row>
    <row r="2294" spans="1:16">
      <c r="A2294" s="387" t="b">
        <f t="shared" ca="1" si="166"/>
        <v>0</v>
      </c>
      <c r="B2294" s="387"/>
      <c r="C2294" s="396" t="str">
        <f ca="1">IF(COUNTA(O$1610:O2294)=1,"",OFFSET(B2292,-COUNTA(O$1610:O2294)+3,1))</f>
        <v>a16Dm000000M3qrIAC</v>
      </c>
      <c r="D2294" s="392"/>
      <c r="E2294" s="389" t="str">
        <f ca="1">IFERROR(IF(VLOOKUP(C2294,' Disaggregation - Section E '!A$618:J2983,7,0)="","",VLOOKUP(C2294,' Disaggregation - Section E '!A$618:J2983,7,0)*100),"")</f>
        <v/>
      </c>
      <c r="F2294" s="391" t="str">
        <f ca="1">IFERROR(VLOOKUP(C2294,' Disaggregation - Section E '!A$618:J2983,5,0),"")</f>
        <v/>
      </c>
      <c r="G2294" s="390" t="str">
        <f ca="1">IFERROR(IF(VLOOKUP(C2294,' Disaggregation - Section E '!A$618:J2983,6,0)="","",VLOOKUP(C2294,' Disaggregation - Section E '!A$618:J2983,6,0)),"")</f>
        <v/>
      </c>
      <c r="H2294" s="390" t="str">
        <f ca="1">IFERROR(IF(INDEX(' Disaggregation - Section E '!F$618:F2983,MATCH(C2294,' Disaggregation - Section E '!A$618:A2983,0)+1,1)&lt;&gt;0,INDEX(' Disaggregation - Section E '!F$618:F2983,MATCH(C2294,' Disaggregation - Section E '!A$618:A2983,0)+1,1),""),"")</f>
        <v/>
      </c>
      <c r="I2294" s="391" t="str">
        <f ca="1">IFERROR(IF(VLOOKUP(C2294,' Disaggregation - Section E '!A$618:J2983,8,0)=0,"",VLOOKUP(C2294,' Disaggregation - Section E '!A$618:J2983,8,0)),"")</f>
        <v/>
      </c>
      <c r="J2294" s="391" t="str">
        <f ca="1">IFERROR(IF(VLOOKUP(C2294,' Disaggregation - Section E '!A$618:J2983,9,0)="","",VLOOKUP(C2294,' Disaggregation - Section E '!A$618:J2983,9,0)),"")</f>
        <v/>
      </c>
      <c r="K2294" s="387" t="str">
        <f ca="1">IFERROR(VLOOKUP(C2294,' Disaggregation - Section E '!A$618:J2983,3,0),"")</f>
        <v>TBDT-4 Percentage of new and relapse TB patients tested using WHO recommended rapid diagnostic tests at the time of diagnosis</v>
      </c>
      <c r="L2294" s="387"/>
      <c r="M2294" s="387" t="str">
        <f ca="1">IFERROR(IF(VLOOKUP(C2294,' Disaggregation - Section E '!A$618:O1306,15,0)=0,"",VLOOKUP(C2294,' Disaggregation - Section E '!A$618:O1306,15,0)),"")</f>
        <v/>
      </c>
      <c r="N2294" s="391" t="str">
        <f ca="1">IFERROR(IF(VLOOKUP(C2294,' Disaggregation - Section E '!A$618:J2983,10,0)=0,"",VLOOKUP(C2294,' Disaggregation - Section E '!A$618:J2983,10,0)),"")</f>
        <v/>
      </c>
      <c r="O2294" s="387"/>
      <c r="P2294" s="387" t="str">
        <f ca="1">IFERROR(IF(VLOOKUP(C2294,' Disaggregation - Section E '!A$618:R1306,18,0)=0,"",VLOOKUP(C2294,' Disaggregation - Section E '!A$618:R1306,18,0)),"")</f>
        <v/>
      </c>
    </row>
    <row r="2295" spans="1:16">
      <c r="A2295" s="387" t="b">
        <f t="shared" ca="1" si="166"/>
        <v>0</v>
      </c>
      <c r="B2295" s="387"/>
      <c r="C2295" s="396" t="str">
        <f ca="1">IF(COUNTA(O$1610:O2295)=1,"",OFFSET(B2293,-COUNTA(O$1610:O2295)+3,1))</f>
        <v>a16Dm000000M3qsIAC</v>
      </c>
      <c r="D2295" s="392"/>
      <c r="E2295" s="389" t="str">
        <f ca="1">IFERROR(IF(VLOOKUP(C2295,' Disaggregation - Section E '!A$618:J2984,7,0)="","",VLOOKUP(C2295,' Disaggregation - Section E '!A$618:J2984,7,0)*100),"")</f>
        <v/>
      </c>
      <c r="F2295" s="391" t="str">
        <f ca="1">IFERROR(VLOOKUP(C2295,' Disaggregation - Section E '!A$618:J2984,5,0),"")</f>
        <v/>
      </c>
      <c r="G2295" s="390" t="str">
        <f ca="1">IFERROR(IF(VLOOKUP(C2295,' Disaggregation - Section E '!A$618:J2984,6,0)="","",VLOOKUP(C2295,' Disaggregation - Section E '!A$618:J2984,6,0)),"")</f>
        <v/>
      </c>
      <c r="H2295" s="390" t="str">
        <f ca="1">IFERROR(IF(INDEX(' Disaggregation - Section E '!F$618:F2984,MATCH(C2295,' Disaggregation - Section E '!A$618:A2984,0)+1,1)&lt;&gt;0,INDEX(' Disaggregation - Section E '!F$618:F2984,MATCH(C2295,' Disaggregation - Section E '!A$618:A2984,0)+1,1),""),"")</f>
        <v/>
      </c>
      <c r="I2295" s="391" t="str">
        <f ca="1">IFERROR(IF(VLOOKUP(C2295,' Disaggregation - Section E '!A$618:J2984,8,0)=0,"",VLOOKUP(C2295,' Disaggregation - Section E '!A$618:J2984,8,0)),"")</f>
        <v/>
      </c>
      <c r="J2295" s="391" t="str">
        <f ca="1">IFERROR(IF(VLOOKUP(C2295,' Disaggregation - Section E '!A$618:J2984,9,0)="","",VLOOKUP(C2295,' Disaggregation - Section E '!A$618:J2984,9,0)),"")</f>
        <v/>
      </c>
      <c r="K2295" s="387" t="str">
        <f ca="1">IFERROR(VLOOKUP(C2295,' Disaggregation - Section E '!A$618:J2984,3,0),"")</f>
        <v>TBDT-4 Percentage of new and relapse TB patients tested using WHO recommended rapid diagnostic tests at the time of diagnosis</v>
      </c>
      <c r="L2295" s="387"/>
      <c r="M2295" s="387" t="str">
        <f ca="1">IFERROR(IF(VLOOKUP(C2295,' Disaggregation - Section E '!A$618:O1307,15,0)=0,"",VLOOKUP(C2295,' Disaggregation - Section E '!A$618:O1307,15,0)),"")</f>
        <v/>
      </c>
      <c r="N2295" s="391" t="str">
        <f ca="1">IFERROR(IF(VLOOKUP(C2295,' Disaggregation - Section E '!A$618:J2984,10,0)=0,"",VLOOKUP(C2295,' Disaggregation - Section E '!A$618:J2984,10,0)),"")</f>
        <v/>
      </c>
      <c r="O2295" s="387"/>
      <c r="P2295" s="387" t="str">
        <f ca="1">IFERROR(IF(VLOOKUP(C2295,' Disaggregation - Section E '!A$618:R1307,18,0)=0,"",VLOOKUP(C2295,' Disaggregation - Section E '!A$618:R1307,18,0)),"")</f>
        <v/>
      </c>
    </row>
    <row r="2296" spans="1:16">
      <c r="A2296" s="387" t="b">
        <f t="shared" ca="1" si="166"/>
        <v>0</v>
      </c>
      <c r="B2296" s="387"/>
      <c r="C2296" s="396" t="str">
        <f ca="1">IF(COUNTA(O$1610:O2296)=1,"",OFFSET(B2294,-COUNTA(O$1610:O2296)+3,1))</f>
        <v>a16Dm000000M3qtIAC</v>
      </c>
      <c r="D2296" s="392"/>
      <c r="E2296" s="389" t="str">
        <f ca="1">IFERROR(IF(VLOOKUP(C2296,' Disaggregation - Section E '!A$618:J2985,7,0)="","",VLOOKUP(C2296,' Disaggregation - Section E '!A$618:J2985,7,0)*100),"")</f>
        <v/>
      </c>
      <c r="F2296" s="391" t="str">
        <f ca="1">IFERROR(VLOOKUP(C2296,' Disaggregation - Section E '!A$618:J2985,5,0),"")</f>
        <v/>
      </c>
      <c r="G2296" s="390" t="str">
        <f ca="1">IFERROR(IF(VLOOKUP(C2296,' Disaggregation - Section E '!A$618:J2985,6,0)="","",VLOOKUP(C2296,' Disaggregation - Section E '!A$618:J2985,6,0)),"")</f>
        <v/>
      </c>
      <c r="H2296" s="390" t="str">
        <f ca="1">IFERROR(IF(INDEX(' Disaggregation - Section E '!F$618:F2985,MATCH(C2296,' Disaggregation - Section E '!A$618:A2985,0)+1,1)&lt;&gt;0,INDEX(' Disaggregation - Section E '!F$618:F2985,MATCH(C2296,' Disaggregation - Section E '!A$618:A2985,0)+1,1),""),"")</f>
        <v/>
      </c>
      <c r="I2296" s="391" t="str">
        <f ca="1">IFERROR(IF(VLOOKUP(C2296,' Disaggregation - Section E '!A$618:J2985,8,0)=0,"",VLOOKUP(C2296,' Disaggregation - Section E '!A$618:J2985,8,0)),"")</f>
        <v/>
      </c>
      <c r="J2296" s="391" t="str">
        <f ca="1">IFERROR(IF(VLOOKUP(C2296,' Disaggregation - Section E '!A$618:J2985,9,0)="","",VLOOKUP(C2296,' Disaggregation - Section E '!A$618:J2985,9,0)),"")</f>
        <v/>
      </c>
      <c r="K2296" s="387" t="str">
        <f ca="1">IFERROR(VLOOKUP(C2296,' Disaggregation - Section E '!A$618:J2985,3,0),"")</f>
        <v>TBDT-4 Percentage of new and relapse TB patients tested using WHO recommended rapid diagnostic tests at the time of diagnosis</v>
      </c>
      <c r="L2296" s="387"/>
      <c r="M2296" s="387" t="str">
        <f ca="1">IFERROR(IF(VLOOKUP(C2296,' Disaggregation - Section E '!A$618:O1308,15,0)=0,"",VLOOKUP(C2296,' Disaggregation - Section E '!A$618:O1308,15,0)),"")</f>
        <v/>
      </c>
      <c r="N2296" s="391" t="str">
        <f ca="1">IFERROR(IF(VLOOKUP(C2296,' Disaggregation - Section E '!A$618:J2985,10,0)=0,"",VLOOKUP(C2296,' Disaggregation - Section E '!A$618:J2985,10,0)),"")</f>
        <v/>
      </c>
      <c r="O2296" s="387"/>
      <c r="P2296" s="387" t="str">
        <f ca="1">IFERROR(IF(VLOOKUP(C2296,' Disaggregation - Section E '!A$618:R1308,18,0)=0,"",VLOOKUP(C2296,' Disaggregation - Section E '!A$618:R1308,18,0)),"")</f>
        <v/>
      </c>
    </row>
    <row r="2297" spans="1:16">
      <c r="A2297" s="387" t="b">
        <f t="shared" ca="1" si="166"/>
        <v>0</v>
      </c>
      <c r="B2297" s="387"/>
      <c r="C2297" s="396" t="str">
        <f ca="1">IF(COUNTA(O$1610:O2297)=1,"",OFFSET(B2295,-COUNTA(O$1610:O2297)+3,1))</f>
        <v>a16Dm000000M3quIAC</v>
      </c>
      <c r="D2297" s="392"/>
      <c r="E2297" s="389" t="str">
        <f ca="1">IFERROR(IF(VLOOKUP(C2297,' Disaggregation - Section E '!A$618:J2986,7,0)="","",VLOOKUP(C2297,' Disaggregation - Section E '!A$618:J2986,7,0)*100),"")</f>
        <v/>
      </c>
      <c r="F2297" s="391" t="str">
        <f ca="1">IFERROR(VLOOKUP(C2297,' Disaggregation - Section E '!A$618:J2986,5,0),"")</f>
        <v/>
      </c>
      <c r="G2297" s="390" t="str">
        <f ca="1">IFERROR(IF(VLOOKUP(C2297,' Disaggregation - Section E '!A$618:J2986,6,0)="","",VLOOKUP(C2297,' Disaggregation - Section E '!A$618:J2986,6,0)),"")</f>
        <v/>
      </c>
      <c r="H2297" s="390" t="str">
        <f ca="1">IFERROR(IF(INDEX(' Disaggregation - Section E '!F$618:F2986,MATCH(C2297,' Disaggregation - Section E '!A$618:A2986,0)+1,1)&lt;&gt;0,INDEX(' Disaggregation - Section E '!F$618:F2986,MATCH(C2297,' Disaggregation - Section E '!A$618:A2986,0)+1,1),""),"")</f>
        <v/>
      </c>
      <c r="I2297" s="391" t="str">
        <f ca="1">IFERROR(IF(VLOOKUP(C2297,' Disaggregation - Section E '!A$618:J2986,8,0)=0,"",VLOOKUP(C2297,' Disaggregation - Section E '!A$618:J2986,8,0)),"")</f>
        <v/>
      </c>
      <c r="J2297" s="391" t="str">
        <f ca="1">IFERROR(IF(VLOOKUP(C2297,' Disaggregation - Section E '!A$618:J2986,9,0)="","",VLOOKUP(C2297,' Disaggregation - Section E '!A$618:J2986,9,0)),"")</f>
        <v/>
      </c>
      <c r="K2297" s="387" t="str">
        <f ca="1">IFERROR(VLOOKUP(C2297,' Disaggregation - Section E '!A$618:J2986,3,0),"")</f>
        <v>TBDT-4 Percentage of new and relapse TB patients tested using WHO recommended rapid diagnostic tests at the time of diagnosis</v>
      </c>
      <c r="L2297" s="387"/>
      <c r="M2297" s="387" t="str">
        <f ca="1">IFERROR(IF(VLOOKUP(C2297,' Disaggregation - Section E '!A$618:O1309,15,0)=0,"",VLOOKUP(C2297,' Disaggregation - Section E '!A$618:O1309,15,0)),"")</f>
        <v/>
      </c>
      <c r="N2297" s="391" t="str">
        <f ca="1">IFERROR(IF(VLOOKUP(C2297,' Disaggregation - Section E '!A$618:J2986,10,0)=0,"",VLOOKUP(C2297,' Disaggregation - Section E '!A$618:J2986,10,0)),"")</f>
        <v/>
      </c>
      <c r="O2297" s="387"/>
      <c r="P2297" s="387" t="str">
        <f ca="1">IFERROR(IF(VLOOKUP(C2297,' Disaggregation - Section E '!A$618:R1309,18,0)=0,"",VLOOKUP(C2297,' Disaggregation - Section E '!A$618:R1309,18,0)),"")</f>
        <v/>
      </c>
    </row>
    <row r="2298" spans="1:16">
      <c r="A2298" s="387" t="b">
        <f t="shared" ca="1" si="166"/>
        <v>0</v>
      </c>
      <c r="B2298" s="387"/>
      <c r="C2298" s="396" t="str">
        <f ca="1">IF(COUNTA(O$1610:O2298)=1,"",OFFSET(B2296,-COUNTA(O$1610:O2298)+3,1))</f>
        <v>a16Dm000000M3qvIAC</v>
      </c>
      <c r="D2298" s="392"/>
      <c r="E2298" s="389" t="str">
        <f ca="1">IFERROR(IF(VLOOKUP(C2298,' Disaggregation - Section E '!A$618:J2987,7,0)="","",VLOOKUP(C2298,' Disaggregation - Section E '!A$618:J2987,7,0)*100),"")</f>
        <v/>
      </c>
      <c r="F2298" s="391" t="str">
        <f ca="1">IFERROR(VLOOKUP(C2298,' Disaggregation - Section E '!A$618:J2987,5,0),"")</f>
        <v/>
      </c>
      <c r="G2298" s="390" t="str">
        <f ca="1">IFERROR(IF(VLOOKUP(C2298,' Disaggregation - Section E '!A$618:J2987,6,0)="","",VLOOKUP(C2298,' Disaggregation - Section E '!A$618:J2987,6,0)),"")</f>
        <v/>
      </c>
      <c r="H2298" s="390" t="str">
        <f ca="1">IFERROR(IF(INDEX(' Disaggregation - Section E '!F$618:F2987,MATCH(C2298,' Disaggregation - Section E '!A$618:A2987,0)+1,1)&lt;&gt;0,INDEX(' Disaggregation - Section E '!F$618:F2987,MATCH(C2298,' Disaggregation - Section E '!A$618:A2987,0)+1,1),""),"")</f>
        <v/>
      </c>
      <c r="I2298" s="391" t="str">
        <f ca="1">IFERROR(IF(VLOOKUP(C2298,' Disaggregation - Section E '!A$618:J2987,8,0)=0,"",VLOOKUP(C2298,' Disaggregation - Section E '!A$618:J2987,8,0)),"")</f>
        <v/>
      </c>
      <c r="J2298" s="391" t="str">
        <f ca="1">IFERROR(IF(VLOOKUP(C2298,' Disaggregation - Section E '!A$618:J2987,9,0)="","",VLOOKUP(C2298,' Disaggregation - Section E '!A$618:J2987,9,0)),"")</f>
        <v/>
      </c>
      <c r="K2298" s="387" t="str">
        <f ca="1">IFERROR(VLOOKUP(C2298,' Disaggregation - Section E '!A$618:J2987,3,0),"")</f>
        <v>TBDT-4 Percentage of new and relapse TB patients tested using WHO recommended rapid diagnostic tests at the time of diagnosis</v>
      </c>
      <c r="L2298" s="387"/>
      <c r="M2298" s="387" t="str">
        <f ca="1">IFERROR(IF(VLOOKUP(C2298,' Disaggregation - Section E '!A$618:O1310,15,0)=0,"",VLOOKUP(C2298,' Disaggregation - Section E '!A$618:O1310,15,0)),"")</f>
        <v/>
      </c>
      <c r="N2298" s="391" t="str">
        <f ca="1">IFERROR(IF(VLOOKUP(C2298,' Disaggregation - Section E '!A$618:J2987,10,0)=0,"",VLOOKUP(C2298,' Disaggregation - Section E '!A$618:J2987,10,0)),"")</f>
        <v/>
      </c>
      <c r="O2298" s="387"/>
      <c r="P2298" s="387" t="str">
        <f ca="1">IFERROR(IF(VLOOKUP(C2298,' Disaggregation - Section E '!A$618:R1310,18,0)=0,"",VLOOKUP(C2298,' Disaggregation - Section E '!A$618:R1310,18,0)),"")</f>
        <v/>
      </c>
    </row>
    <row r="2299" spans="1:16">
      <c r="A2299" s="387" t="b">
        <f t="shared" ca="1" si="166"/>
        <v>0</v>
      </c>
      <c r="B2299" s="387"/>
      <c r="C2299" s="396" t="str">
        <f ca="1">IF(COUNTA(O$1610:O2299)=1,"",OFFSET(B2297,-COUNTA(O$1610:O2299)+3,1))</f>
        <v>a16Dm000000M3qwIAC</v>
      </c>
      <c r="D2299" s="392"/>
      <c r="E2299" s="389" t="str">
        <f ca="1">IFERROR(IF(VLOOKUP(C2299,' Disaggregation - Section E '!A$618:J2988,7,0)="","",VLOOKUP(C2299,' Disaggregation - Section E '!A$618:J2988,7,0)*100),"")</f>
        <v/>
      </c>
      <c r="F2299" s="391" t="str">
        <f ca="1">IFERROR(VLOOKUP(C2299,' Disaggregation - Section E '!A$618:J2988,5,0),"")</f>
        <v/>
      </c>
      <c r="G2299" s="390" t="str">
        <f ca="1">IFERROR(IF(VLOOKUP(C2299,' Disaggregation - Section E '!A$618:J2988,6,0)="","",VLOOKUP(C2299,' Disaggregation - Section E '!A$618:J2988,6,0)),"")</f>
        <v/>
      </c>
      <c r="H2299" s="390" t="str">
        <f ca="1">IFERROR(IF(INDEX(' Disaggregation - Section E '!F$618:F2988,MATCH(C2299,' Disaggregation - Section E '!A$618:A2988,0)+1,1)&lt;&gt;0,INDEX(' Disaggregation - Section E '!F$618:F2988,MATCH(C2299,' Disaggregation - Section E '!A$618:A2988,0)+1,1),""),"")</f>
        <v/>
      </c>
      <c r="I2299" s="391" t="str">
        <f ca="1">IFERROR(IF(VLOOKUP(C2299,' Disaggregation - Section E '!A$618:J2988,8,0)=0,"",VLOOKUP(C2299,' Disaggregation - Section E '!A$618:J2988,8,0)),"")</f>
        <v/>
      </c>
      <c r="J2299" s="391" t="str">
        <f ca="1">IFERROR(IF(VLOOKUP(C2299,' Disaggregation - Section E '!A$618:J2988,9,0)="","",VLOOKUP(C2299,' Disaggregation - Section E '!A$618:J2988,9,0)),"")</f>
        <v/>
      </c>
      <c r="K2299" s="387" t="str">
        <f ca="1">IFERROR(VLOOKUP(C2299,' Disaggregation - Section E '!A$618:J2988,3,0),"")</f>
        <v>TBDT-4 Percentage of new and relapse TB patients tested using WHO recommended rapid diagnostic tests at the time of diagnosis</v>
      </c>
      <c r="L2299" s="387"/>
      <c r="M2299" s="387" t="str">
        <f ca="1">IFERROR(IF(VLOOKUP(C2299,' Disaggregation - Section E '!A$618:O1311,15,0)=0,"",VLOOKUP(C2299,' Disaggregation - Section E '!A$618:O1311,15,0)),"")</f>
        <v/>
      </c>
      <c r="N2299" s="391" t="str">
        <f ca="1">IFERROR(IF(VLOOKUP(C2299,' Disaggregation - Section E '!A$618:J2988,10,0)=0,"",VLOOKUP(C2299,' Disaggregation - Section E '!A$618:J2988,10,0)),"")</f>
        <v/>
      </c>
      <c r="O2299" s="387"/>
      <c r="P2299" s="387" t="str">
        <f ca="1">IFERROR(IF(VLOOKUP(C2299,' Disaggregation - Section E '!A$618:R1311,18,0)=0,"",VLOOKUP(C2299,' Disaggregation - Section E '!A$618:R1311,18,0)),"")</f>
        <v/>
      </c>
    </row>
    <row r="2300" spans="1:16">
      <c r="A2300" s="387" t="b">
        <f t="shared" ca="1" si="166"/>
        <v>0</v>
      </c>
      <c r="B2300" s="387"/>
      <c r="C2300" s="396" t="str">
        <f ca="1">IF(COUNTA(O$1610:O2300)=1,"",OFFSET(B2298,-COUNTA(O$1610:O2300)+3,1))</f>
        <v>a16Dm000000M3qxIAC</v>
      </c>
      <c r="D2300" s="392"/>
      <c r="E2300" s="389" t="str">
        <f ca="1">IFERROR(IF(VLOOKUP(C2300,' Disaggregation - Section E '!A$618:J2989,7,0)="","",VLOOKUP(C2300,' Disaggregation - Section E '!A$618:J2989,7,0)*100),"")</f>
        <v/>
      </c>
      <c r="F2300" s="391" t="str">
        <f ca="1">IFERROR(VLOOKUP(C2300,' Disaggregation - Section E '!A$618:J2989,5,0),"")</f>
        <v/>
      </c>
      <c r="G2300" s="390" t="str">
        <f ca="1">IFERROR(IF(VLOOKUP(C2300,' Disaggregation - Section E '!A$618:J2989,6,0)="","",VLOOKUP(C2300,' Disaggregation - Section E '!A$618:J2989,6,0)),"")</f>
        <v/>
      </c>
      <c r="H2300" s="390" t="str">
        <f ca="1">IFERROR(IF(INDEX(' Disaggregation - Section E '!F$618:F2989,MATCH(C2300,' Disaggregation - Section E '!A$618:A2989,0)+1,1)&lt;&gt;0,INDEX(' Disaggregation - Section E '!F$618:F2989,MATCH(C2300,' Disaggregation - Section E '!A$618:A2989,0)+1,1),""),"")</f>
        <v/>
      </c>
      <c r="I2300" s="391" t="str">
        <f ca="1">IFERROR(IF(VLOOKUP(C2300,' Disaggregation - Section E '!A$618:J2989,8,0)=0,"",VLOOKUP(C2300,' Disaggregation - Section E '!A$618:J2989,8,0)),"")</f>
        <v/>
      </c>
      <c r="J2300" s="391" t="str">
        <f ca="1">IFERROR(IF(VLOOKUP(C2300,' Disaggregation - Section E '!A$618:J2989,9,0)="","",VLOOKUP(C2300,' Disaggregation - Section E '!A$618:J2989,9,0)),"")</f>
        <v/>
      </c>
      <c r="K2300" s="387" t="str">
        <f ca="1">IFERROR(VLOOKUP(C2300,' Disaggregation - Section E '!A$618:J2989,3,0),"")</f>
        <v>TBDT-4 Percentage of new and relapse TB patients tested using WHO recommended rapid diagnostic tests at the time of diagnosis</v>
      </c>
      <c r="L2300" s="387"/>
      <c r="M2300" s="387" t="str">
        <f ca="1">IFERROR(IF(VLOOKUP(C2300,' Disaggregation - Section E '!A$618:O1312,15,0)=0,"",VLOOKUP(C2300,' Disaggregation - Section E '!A$618:O1312,15,0)),"")</f>
        <v/>
      </c>
      <c r="N2300" s="391" t="str">
        <f ca="1">IFERROR(IF(VLOOKUP(C2300,' Disaggregation - Section E '!A$618:J2989,10,0)=0,"",VLOOKUP(C2300,' Disaggregation - Section E '!A$618:J2989,10,0)),"")</f>
        <v/>
      </c>
      <c r="O2300" s="387"/>
      <c r="P2300" s="387" t="str">
        <f ca="1">IFERROR(IF(VLOOKUP(C2300,' Disaggregation - Section E '!A$618:R1312,18,0)=0,"",VLOOKUP(C2300,' Disaggregation - Section E '!A$618:R1312,18,0)),"")</f>
        <v/>
      </c>
    </row>
    <row r="2301" spans="1:16">
      <c r="A2301" s="387" t="b">
        <f t="shared" ca="1" si="166"/>
        <v>0</v>
      </c>
      <c r="B2301" s="387"/>
      <c r="C2301" s="396" t="str">
        <f ca="1">IF(COUNTA(O$1610:O2301)=1,"",OFFSET(B2299,-COUNTA(O$1610:O2301)+3,1))</f>
        <v>a16Dm000000M3qyIAC</v>
      </c>
      <c r="D2301" s="392"/>
      <c r="E2301" s="389" t="str">
        <f ca="1">IFERROR(IF(VLOOKUP(C2301,' Disaggregation - Section E '!A$618:J2990,7,0)="","",VLOOKUP(C2301,' Disaggregation - Section E '!A$618:J2990,7,0)*100),"")</f>
        <v/>
      </c>
      <c r="F2301" s="391" t="str">
        <f ca="1">IFERROR(VLOOKUP(C2301,' Disaggregation - Section E '!A$618:J2990,5,0),"")</f>
        <v/>
      </c>
      <c r="G2301" s="390" t="str">
        <f ca="1">IFERROR(IF(VLOOKUP(C2301,' Disaggregation - Section E '!A$618:J2990,6,0)="","",VLOOKUP(C2301,' Disaggregation - Section E '!A$618:J2990,6,0)),"")</f>
        <v/>
      </c>
      <c r="H2301" s="390" t="str">
        <f ca="1">IFERROR(IF(INDEX(' Disaggregation - Section E '!F$618:F2990,MATCH(C2301,' Disaggregation - Section E '!A$618:A2990,0)+1,1)&lt;&gt;0,INDEX(' Disaggregation - Section E '!F$618:F2990,MATCH(C2301,' Disaggregation - Section E '!A$618:A2990,0)+1,1),""),"")</f>
        <v/>
      </c>
      <c r="I2301" s="391" t="str">
        <f ca="1">IFERROR(IF(VLOOKUP(C2301,' Disaggregation - Section E '!A$618:J2990,8,0)=0,"",VLOOKUP(C2301,' Disaggregation - Section E '!A$618:J2990,8,0)),"")</f>
        <v/>
      </c>
      <c r="J2301" s="391" t="str">
        <f ca="1">IFERROR(IF(VLOOKUP(C2301,' Disaggregation - Section E '!A$618:J2990,9,0)="","",VLOOKUP(C2301,' Disaggregation - Section E '!A$618:J2990,9,0)),"")</f>
        <v/>
      </c>
      <c r="K2301" s="387" t="str">
        <f ca="1">IFERROR(VLOOKUP(C2301,' Disaggregation - Section E '!A$618:J2990,3,0),"")</f>
        <v>TBDT-4 Percentage of new and relapse TB patients tested using WHO recommended rapid diagnostic tests at the time of diagnosis</v>
      </c>
      <c r="L2301" s="387"/>
      <c r="M2301" s="387" t="str">
        <f ca="1">IFERROR(IF(VLOOKUP(C2301,' Disaggregation - Section E '!A$618:O1313,15,0)=0,"",VLOOKUP(C2301,' Disaggregation - Section E '!A$618:O1313,15,0)),"")</f>
        <v/>
      </c>
      <c r="N2301" s="391" t="str">
        <f ca="1">IFERROR(IF(VLOOKUP(C2301,' Disaggregation - Section E '!A$618:J2990,10,0)=0,"",VLOOKUP(C2301,' Disaggregation - Section E '!A$618:J2990,10,0)),"")</f>
        <v/>
      </c>
      <c r="O2301" s="387"/>
      <c r="P2301" s="387" t="str">
        <f ca="1">IFERROR(IF(VLOOKUP(C2301,' Disaggregation - Section E '!A$618:R1313,18,0)=0,"",VLOOKUP(C2301,' Disaggregation - Section E '!A$618:R1313,18,0)),"")</f>
        <v/>
      </c>
    </row>
    <row r="2302" spans="1:16">
      <c r="A2302" s="387" t="b">
        <f t="shared" ca="1" si="166"/>
        <v>0</v>
      </c>
      <c r="B2302" s="387"/>
      <c r="C2302" s="396" t="str">
        <f ca="1">IF(COUNTA(O$1610:O2302)=1,"",OFFSET(B2300,-COUNTA(O$1610:O2302)+3,1))</f>
        <v>a16Dm000000M3qzIAC</v>
      </c>
      <c r="D2302" s="392"/>
      <c r="E2302" s="389" t="str">
        <f ca="1">IFERROR(IF(VLOOKUP(C2302,' Disaggregation - Section E '!A$618:J2991,7,0)="","",VLOOKUP(C2302,' Disaggregation - Section E '!A$618:J2991,7,0)*100),"")</f>
        <v/>
      </c>
      <c r="F2302" s="391" t="str">
        <f ca="1">IFERROR(VLOOKUP(C2302,' Disaggregation - Section E '!A$618:J2991,5,0),"")</f>
        <v/>
      </c>
      <c r="G2302" s="390" t="str">
        <f ca="1">IFERROR(IF(VLOOKUP(C2302,' Disaggregation - Section E '!A$618:J2991,6,0)="","",VLOOKUP(C2302,' Disaggregation - Section E '!A$618:J2991,6,0)),"")</f>
        <v/>
      </c>
      <c r="H2302" s="390" t="str">
        <f ca="1">IFERROR(IF(INDEX(' Disaggregation - Section E '!F$618:F2991,MATCH(C2302,' Disaggregation - Section E '!A$618:A2991,0)+1,1)&lt;&gt;0,INDEX(' Disaggregation - Section E '!F$618:F2991,MATCH(C2302,' Disaggregation - Section E '!A$618:A2991,0)+1,1),""),"")</f>
        <v/>
      </c>
      <c r="I2302" s="391" t="str">
        <f ca="1">IFERROR(IF(VLOOKUP(C2302,' Disaggregation - Section E '!A$618:J2991,8,0)=0,"",VLOOKUP(C2302,' Disaggregation - Section E '!A$618:J2991,8,0)),"")</f>
        <v/>
      </c>
      <c r="J2302" s="391" t="str">
        <f ca="1">IFERROR(IF(VLOOKUP(C2302,' Disaggregation - Section E '!A$618:J2991,9,0)="","",VLOOKUP(C2302,' Disaggregation - Section E '!A$618:J2991,9,0)),"")</f>
        <v/>
      </c>
      <c r="K2302" s="387" t="str">
        <f ca="1">IFERROR(VLOOKUP(C2302,' Disaggregation - Section E '!A$618:J2991,3,0),"")</f>
        <v>TBDT-4 Percentage of new and relapse TB patients tested using WHO recommended rapid diagnostic tests at the time of diagnosis</v>
      </c>
      <c r="L2302" s="387"/>
      <c r="M2302" s="387" t="str">
        <f ca="1">IFERROR(IF(VLOOKUP(C2302,' Disaggregation - Section E '!A$618:O1314,15,0)=0,"",VLOOKUP(C2302,' Disaggregation - Section E '!A$618:O1314,15,0)),"")</f>
        <v/>
      </c>
      <c r="N2302" s="391" t="str">
        <f ca="1">IFERROR(IF(VLOOKUP(C2302,' Disaggregation - Section E '!A$618:J2991,10,0)=0,"",VLOOKUP(C2302,' Disaggregation - Section E '!A$618:J2991,10,0)),"")</f>
        <v/>
      </c>
      <c r="O2302" s="387"/>
      <c r="P2302" s="387" t="str">
        <f ca="1">IFERROR(IF(VLOOKUP(C2302,' Disaggregation - Section E '!A$618:R1314,18,0)=0,"",VLOOKUP(C2302,' Disaggregation - Section E '!A$618:R1314,18,0)),"")</f>
        <v/>
      </c>
    </row>
    <row r="2303" spans="1:16">
      <c r="A2303" s="387" t="b">
        <f t="shared" ca="1" si="166"/>
        <v>0</v>
      </c>
      <c r="B2303" s="387"/>
      <c r="C2303" s="396" t="str">
        <f ca="1">IF(COUNTA(O$1610:O2303)=1,"",OFFSET(B2301,-COUNTA(O$1610:O2303)+3,1))</f>
        <v>a16Dm000000M3r0IAC</v>
      </c>
      <c r="D2303" s="392"/>
      <c r="E2303" s="389" t="str">
        <f ca="1">IFERROR(IF(VLOOKUP(C2303,' Disaggregation - Section E '!A$618:J2992,7,0)="","",VLOOKUP(C2303,' Disaggregation - Section E '!A$618:J2992,7,0)*100),"")</f>
        <v/>
      </c>
      <c r="F2303" s="391" t="str">
        <f ca="1">IFERROR(VLOOKUP(C2303,' Disaggregation - Section E '!A$618:J2992,5,0),"")</f>
        <v/>
      </c>
      <c r="G2303" s="390" t="str">
        <f ca="1">IFERROR(IF(VLOOKUP(C2303,' Disaggregation - Section E '!A$618:J2992,6,0)="","",VLOOKUP(C2303,' Disaggregation - Section E '!A$618:J2992,6,0)),"")</f>
        <v/>
      </c>
      <c r="H2303" s="390" t="str">
        <f ca="1">IFERROR(IF(INDEX(' Disaggregation - Section E '!F$618:F2992,MATCH(C2303,' Disaggregation - Section E '!A$618:A2992,0)+1,1)&lt;&gt;0,INDEX(' Disaggregation - Section E '!F$618:F2992,MATCH(C2303,' Disaggregation - Section E '!A$618:A2992,0)+1,1),""),"")</f>
        <v/>
      </c>
      <c r="I2303" s="391" t="str">
        <f ca="1">IFERROR(IF(VLOOKUP(C2303,' Disaggregation - Section E '!A$618:J2992,8,0)=0,"",VLOOKUP(C2303,' Disaggregation - Section E '!A$618:J2992,8,0)),"")</f>
        <v/>
      </c>
      <c r="J2303" s="391" t="str">
        <f ca="1">IFERROR(IF(VLOOKUP(C2303,' Disaggregation - Section E '!A$618:J2992,9,0)="","",VLOOKUP(C2303,' Disaggregation - Section E '!A$618:J2992,9,0)),"")</f>
        <v/>
      </c>
      <c r="K2303" s="387" t="str">
        <f ca="1">IFERROR(VLOOKUP(C2303,' Disaggregation - Section E '!A$618:J2992,3,0),"")</f>
        <v>TBDT-4 Percentage of new and relapse TB patients tested using WHO recommended rapid diagnostic tests at the time of diagnosis</v>
      </c>
      <c r="L2303" s="387"/>
      <c r="M2303" s="387" t="str">
        <f ca="1">IFERROR(IF(VLOOKUP(C2303,' Disaggregation - Section E '!A$618:O1315,15,0)=0,"",VLOOKUP(C2303,' Disaggregation - Section E '!A$618:O1315,15,0)),"")</f>
        <v/>
      </c>
      <c r="N2303" s="391" t="str">
        <f ca="1">IFERROR(IF(VLOOKUP(C2303,' Disaggregation - Section E '!A$618:J2992,10,0)=0,"",VLOOKUP(C2303,' Disaggregation - Section E '!A$618:J2992,10,0)),"")</f>
        <v/>
      </c>
      <c r="O2303" s="387"/>
      <c r="P2303" s="387" t="str">
        <f ca="1">IFERROR(IF(VLOOKUP(C2303,' Disaggregation - Section E '!A$618:R1315,18,0)=0,"",VLOOKUP(C2303,' Disaggregation - Section E '!A$618:R1315,18,0)),"")</f>
        <v/>
      </c>
    </row>
    <row r="2304" spans="1:16">
      <c r="A2304" s="387" t="b">
        <f t="shared" ca="1" si="166"/>
        <v>0</v>
      </c>
      <c r="B2304" s="387"/>
      <c r="C2304" s="396" t="str">
        <f ca="1">IF(COUNTA(O$1610:O2304)=1,"",OFFSET(B2302,-COUNTA(O$1610:O2304)+3,1))</f>
        <v>a16Dm000000M3r1IAC</v>
      </c>
      <c r="D2304" s="392"/>
      <c r="E2304" s="389" t="str">
        <f ca="1">IFERROR(IF(VLOOKUP(C2304,' Disaggregation - Section E '!A$618:J2993,7,0)="","",VLOOKUP(C2304,' Disaggregation - Section E '!A$618:J2993,7,0)*100),"")</f>
        <v/>
      </c>
      <c r="F2304" s="391" t="str">
        <f ca="1">IFERROR(VLOOKUP(C2304,' Disaggregation - Section E '!A$618:J2993,5,0),"")</f>
        <v/>
      </c>
      <c r="G2304" s="390" t="str">
        <f ca="1">IFERROR(IF(VLOOKUP(C2304,' Disaggregation - Section E '!A$618:J2993,6,0)="","",VLOOKUP(C2304,' Disaggregation - Section E '!A$618:J2993,6,0)),"")</f>
        <v/>
      </c>
      <c r="H2304" s="390" t="str">
        <f ca="1">IFERROR(IF(INDEX(' Disaggregation - Section E '!F$618:F2993,MATCH(C2304,' Disaggregation - Section E '!A$618:A2993,0)+1,1)&lt;&gt;0,INDEX(' Disaggregation - Section E '!F$618:F2993,MATCH(C2304,' Disaggregation - Section E '!A$618:A2993,0)+1,1),""),"")</f>
        <v/>
      </c>
      <c r="I2304" s="391" t="str">
        <f ca="1">IFERROR(IF(VLOOKUP(C2304,' Disaggregation - Section E '!A$618:J2993,8,0)=0,"",VLOOKUP(C2304,' Disaggregation - Section E '!A$618:J2993,8,0)),"")</f>
        <v/>
      </c>
      <c r="J2304" s="391" t="str">
        <f ca="1">IFERROR(IF(VLOOKUP(C2304,' Disaggregation - Section E '!A$618:J2993,9,0)="","",VLOOKUP(C2304,' Disaggregation - Section E '!A$618:J2993,9,0)),"")</f>
        <v/>
      </c>
      <c r="K2304" s="387" t="str">
        <f ca="1">IFERROR(VLOOKUP(C2304,' Disaggregation - Section E '!A$618:J2993,3,0),"")</f>
        <v>TBDT-4 Percentage of new and relapse TB patients tested using WHO recommended rapid diagnostic tests at the time of diagnosis</v>
      </c>
      <c r="L2304" s="387"/>
      <c r="M2304" s="387" t="str">
        <f ca="1">IFERROR(IF(VLOOKUP(C2304,' Disaggregation - Section E '!A$618:O1316,15,0)=0,"",VLOOKUP(C2304,' Disaggregation - Section E '!A$618:O1316,15,0)),"")</f>
        <v/>
      </c>
      <c r="N2304" s="391" t="str">
        <f ca="1">IFERROR(IF(VLOOKUP(C2304,' Disaggregation - Section E '!A$618:J2993,10,0)=0,"",VLOOKUP(C2304,' Disaggregation - Section E '!A$618:J2993,10,0)),"")</f>
        <v/>
      </c>
      <c r="O2304" s="387"/>
      <c r="P2304" s="387" t="str">
        <f ca="1">IFERROR(IF(VLOOKUP(C2304,' Disaggregation - Section E '!A$618:R1316,18,0)=0,"",VLOOKUP(C2304,' Disaggregation - Section E '!A$618:R1316,18,0)),"")</f>
        <v/>
      </c>
    </row>
    <row r="2305" spans="1:16">
      <c r="A2305" s="387" t="b">
        <f t="shared" ca="1" si="166"/>
        <v>0</v>
      </c>
      <c r="B2305" s="387"/>
      <c r="C2305" s="396" t="str">
        <f ca="1">IF(COUNTA(O$1610:O2305)=1,"",OFFSET(B2303,-COUNTA(O$1610:O2305)+3,1))</f>
        <v>a16Dm000000M3r2IAC</v>
      </c>
      <c r="D2305" s="392"/>
      <c r="E2305" s="389" t="str">
        <f ca="1">IFERROR(IF(VLOOKUP(C2305,' Disaggregation - Section E '!A$618:J2994,7,0)="","",VLOOKUP(C2305,' Disaggregation - Section E '!A$618:J2994,7,0)*100),"")</f>
        <v/>
      </c>
      <c r="F2305" s="391" t="str">
        <f ca="1">IFERROR(VLOOKUP(C2305,' Disaggregation - Section E '!A$618:J2994,5,0),"")</f>
        <v/>
      </c>
      <c r="G2305" s="390" t="str">
        <f ca="1">IFERROR(IF(VLOOKUP(C2305,' Disaggregation - Section E '!A$618:J2994,6,0)="","",VLOOKUP(C2305,' Disaggregation - Section E '!A$618:J2994,6,0)),"")</f>
        <v/>
      </c>
      <c r="H2305" s="390" t="str">
        <f ca="1">IFERROR(IF(INDEX(' Disaggregation - Section E '!F$618:F2994,MATCH(C2305,' Disaggregation - Section E '!A$618:A2994,0)+1,1)&lt;&gt;0,INDEX(' Disaggregation - Section E '!F$618:F2994,MATCH(C2305,' Disaggregation - Section E '!A$618:A2994,0)+1,1),""),"")</f>
        <v/>
      </c>
      <c r="I2305" s="391" t="str">
        <f ca="1">IFERROR(IF(VLOOKUP(C2305,' Disaggregation - Section E '!A$618:J2994,8,0)=0,"",VLOOKUP(C2305,' Disaggregation - Section E '!A$618:J2994,8,0)),"")</f>
        <v/>
      </c>
      <c r="J2305" s="391" t="str">
        <f ca="1">IFERROR(IF(VLOOKUP(C2305,' Disaggregation - Section E '!A$618:J2994,9,0)="","",VLOOKUP(C2305,' Disaggregation - Section E '!A$618:J2994,9,0)),"")</f>
        <v/>
      </c>
      <c r="K2305" s="387" t="str">
        <f ca="1">IFERROR(VLOOKUP(C2305,' Disaggregation - Section E '!A$618:J2994,3,0),"")</f>
        <v>TBDT-4 Percentage of new and relapse TB patients tested using WHO recommended rapid diagnostic tests at the time of diagnosis</v>
      </c>
      <c r="L2305" s="387"/>
      <c r="M2305" s="387" t="str">
        <f ca="1">IFERROR(IF(VLOOKUP(C2305,' Disaggregation - Section E '!A$618:O1317,15,0)=0,"",VLOOKUP(C2305,' Disaggregation - Section E '!A$618:O1317,15,0)),"")</f>
        <v/>
      </c>
      <c r="N2305" s="391" t="str">
        <f ca="1">IFERROR(IF(VLOOKUP(C2305,' Disaggregation - Section E '!A$618:J2994,10,0)=0,"",VLOOKUP(C2305,' Disaggregation - Section E '!A$618:J2994,10,0)),"")</f>
        <v/>
      </c>
      <c r="O2305" s="387"/>
      <c r="P2305" s="387" t="str">
        <f ca="1">IFERROR(IF(VLOOKUP(C2305,' Disaggregation - Section E '!A$618:R1317,18,0)=0,"",VLOOKUP(C2305,' Disaggregation - Section E '!A$618:R1317,18,0)),"")</f>
        <v/>
      </c>
    </row>
    <row r="2306" spans="1:16">
      <c r="A2306" s="387" t="b">
        <f t="shared" ca="1" si="166"/>
        <v>0</v>
      </c>
      <c r="B2306" s="387"/>
      <c r="C2306" s="396" t="str">
        <f ca="1">IF(COUNTA(O$1610:O2306)=1,"",OFFSET(B2304,-COUNTA(O$1610:O2306)+3,1))</f>
        <v>a16Dm000000M3r3IAC</v>
      </c>
      <c r="D2306" s="392"/>
      <c r="E2306" s="389" t="str">
        <f ca="1">IFERROR(IF(VLOOKUP(C2306,' Disaggregation - Section E '!A$618:J2995,7,0)="","",VLOOKUP(C2306,' Disaggregation - Section E '!A$618:J2995,7,0)*100),"")</f>
        <v/>
      </c>
      <c r="F2306" s="391" t="str">
        <f ca="1">IFERROR(VLOOKUP(C2306,' Disaggregation - Section E '!A$618:J2995,5,0),"")</f>
        <v/>
      </c>
      <c r="G2306" s="390" t="str">
        <f ca="1">IFERROR(IF(VLOOKUP(C2306,' Disaggregation - Section E '!A$618:J2995,6,0)="","",VLOOKUP(C2306,' Disaggregation - Section E '!A$618:J2995,6,0)),"")</f>
        <v/>
      </c>
      <c r="H2306" s="390" t="str">
        <f ca="1">IFERROR(IF(INDEX(' Disaggregation - Section E '!F$618:F2995,MATCH(C2306,' Disaggregation - Section E '!A$618:A2995,0)+1,1)&lt;&gt;0,INDEX(' Disaggregation - Section E '!F$618:F2995,MATCH(C2306,' Disaggregation - Section E '!A$618:A2995,0)+1,1),""),"")</f>
        <v/>
      </c>
      <c r="I2306" s="391" t="str">
        <f ca="1">IFERROR(IF(VLOOKUP(C2306,' Disaggregation - Section E '!A$618:J2995,8,0)=0,"",VLOOKUP(C2306,' Disaggregation - Section E '!A$618:J2995,8,0)),"")</f>
        <v/>
      </c>
      <c r="J2306" s="391" t="str">
        <f ca="1">IFERROR(IF(VLOOKUP(C2306,' Disaggregation - Section E '!A$618:J2995,9,0)="","",VLOOKUP(C2306,' Disaggregation - Section E '!A$618:J2995,9,0)),"")</f>
        <v/>
      </c>
      <c r="K2306" s="387" t="str">
        <f ca="1">IFERROR(VLOOKUP(C2306,' Disaggregation - Section E '!A$618:J2995,3,0),"")</f>
        <v>TBDT-4 Percentage of new and relapse TB patients tested using WHO recommended rapid diagnostic tests at the time of diagnosis</v>
      </c>
      <c r="L2306" s="387"/>
      <c r="M2306" s="387" t="str">
        <f ca="1">IFERROR(IF(VLOOKUP(C2306,' Disaggregation - Section E '!A$618:O1318,15,0)=0,"",VLOOKUP(C2306,' Disaggregation - Section E '!A$618:O1318,15,0)),"")</f>
        <v/>
      </c>
      <c r="N2306" s="391" t="str">
        <f ca="1">IFERROR(IF(VLOOKUP(C2306,' Disaggregation - Section E '!A$618:J2995,10,0)=0,"",VLOOKUP(C2306,' Disaggregation - Section E '!A$618:J2995,10,0)),"")</f>
        <v/>
      </c>
      <c r="O2306" s="387"/>
      <c r="P2306" s="387" t="str">
        <f ca="1">IFERROR(IF(VLOOKUP(C2306,' Disaggregation - Section E '!A$618:R1318,18,0)=0,"",VLOOKUP(C2306,' Disaggregation - Section E '!A$618:R1318,18,0)),"")</f>
        <v/>
      </c>
    </row>
    <row r="2307" spans="1:16">
      <c r="A2307" s="387" t="b">
        <f t="shared" ca="1" si="166"/>
        <v>0</v>
      </c>
      <c r="B2307" s="387"/>
      <c r="C2307" s="396" t="str">
        <f ca="1">IF(COUNTA(O$1610:O2307)=1,"",OFFSET(B2305,-COUNTA(O$1610:O2307)+3,1))</f>
        <v>a16Dm000000M3r4IAC</v>
      </c>
      <c r="D2307" s="392"/>
      <c r="E2307" s="389" t="str">
        <f ca="1">IFERROR(IF(VLOOKUP(C2307,' Disaggregation - Section E '!A$618:J2996,7,0)="","",VLOOKUP(C2307,' Disaggregation - Section E '!A$618:J2996,7,0)*100),"")</f>
        <v/>
      </c>
      <c r="F2307" s="391" t="str">
        <f ca="1">IFERROR(VLOOKUP(C2307,' Disaggregation - Section E '!A$618:J2996,5,0),"")</f>
        <v/>
      </c>
      <c r="G2307" s="390" t="str">
        <f ca="1">IFERROR(IF(VLOOKUP(C2307,' Disaggregation - Section E '!A$618:J2996,6,0)="","",VLOOKUP(C2307,' Disaggregation - Section E '!A$618:J2996,6,0)),"")</f>
        <v/>
      </c>
      <c r="H2307" s="390" t="str">
        <f ca="1">IFERROR(IF(INDEX(' Disaggregation - Section E '!F$618:F2996,MATCH(C2307,' Disaggregation - Section E '!A$618:A2996,0)+1,1)&lt;&gt;0,INDEX(' Disaggregation - Section E '!F$618:F2996,MATCH(C2307,' Disaggregation - Section E '!A$618:A2996,0)+1,1),""),"")</f>
        <v/>
      </c>
      <c r="I2307" s="391" t="str">
        <f ca="1">IFERROR(IF(VLOOKUP(C2307,' Disaggregation - Section E '!A$618:J2996,8,0)=0,"",VLOOKUP(C2307,' Disaggregation - Section E '!A$618:J2996,8,0)),"")</f>
        <v/>
      </c>
      <c r="J2307" s="391" t="str">
        <f ca="1">IFERROR(IF(VLOOKUP(C2307,' Disaggregation - Section E '!A$618:J2996,9,0)="","",VLOOKUP(C2307,' Disaggregation - Section E '!A$618:J2996,9,0)),"")</f>
        <v/>
      </c>
      <c r="K2307" s="387" t="str">
        <f ca="1">IFERROR(VLOOKUP(C2307,' Disaggregation - Section E '!A$618:J2996,3,0),"")</f>
        <v>TBDT-4 Percentage of new and relapse TB patients tested using WHO recommended rapid diagnostic tests at the time of diagnosis</v>
      </c>
      <c r="L2307" s="387"/>
      <c r="M2307" s="387" t="str">
        <f ca="1">IFERROR(IF(VLOOKUP(C2307,' Disaggregation - Section E '!A$618:O1319,15,0)=0,"",VLOOKUP(C2307,' Disaggregation - Section E '!A$618:O1319,15,0)),"")</f>
        <v/>
      </c>
      <c r="N2307" s="391" t="str">
        <f ca="1">IFERROR(IF(VLOOKUP(C2307,' Disaggregation - Section E '!A$618:J2996,10,0)=0,"",VLOOKUP(C2307,' Disaggregation - Section E '!A$618:J2996,10,0)),"")</f>
        <v/>
      </c>
      <c r="O2307" s="387"/>
      <c r="P2307" s="387" t="str">
        <f ca="1">IFERROR(IF(VLOOKUP(C2307,' Disaggregation - Section E '!A$618:R1319,18,0)=0,"",VLOOKUP(C2307,' Disaggregation - Section E '!A$618:R1319,18,0)),"")</f>
        <v/>
      </c>
    </row>
    <row r="2308" spans="1:16">
      <c r="A2308" s="387" t="b">
        <f t="shared" ca="1" si="166"/>
        <v>0</v>
      </c>
      <c r="B2308" s="387"/>
      <c r="C2308" s="396" t="str">
        <f ca="1">IF(COUNTA(O$1610:O2308)=1,"",OFFSET(B2306,-COUNTA(O$1610:O2308)+3,1))</f>
        <v>a16Dm000000M3r5IAC</v>
      </c>
      <c r="D2308" s="392"/>
      <c r="E2308" s="389" t="str">
        <f ca="1">IFERROR(IF(VLOOKUP(C2308,' Disaggregation - Section E '!A$618:J2997,7,0)="","",VLOOKUP(C2308,' Disaggregation - Section E '!A$618:J2997,7,0)*100),"")</f>
        <v/>
      </c>
      <c r="F2308" s="391" t="str">
        <f ca="1">IFERROR(VLOOKUP(C2308,' Disaggregation - Section E '!A$618:J2997,5,0),"")</f>
        <v/>
      </c>
      <c r="G2308" s="390" t="str">
        <f ca="1">IFERROR(IF(VLOOKUP(C2308,' Disaggregation - Section E '!A$618:J2997,6,0)="","",VLOOKUP(C2308,' Disaggregation - Section E '!A$618:J2997,6,0)),"")</f>
        <v/>
      </c>
      <c r="H2308" s="390" t="str">
        <f ca="1">IFERROR(IF(INDEX(' Disaggregation - Section E '!F$618:F2997,MATCH(C2308,' Disaggregation - Section E '!A$618:A2997,0)+1,1)&lt;&gt;0,INDEX(' Disaggregation - Section E '!F$618:F2997,MATCH(C2308,' Disaggregation - Section E '!A$618:A2997,0)+1,1),""),"")</f>
        <v/>
      </c>
      <c r="I2308" s="391" t="str">
        <f ca="1">IFERROR(IF(VLOOKUP(C2308,' Disaggregation - Section E '!A$618:J2997,8,0)=0,"",VLOOKUP(C2308,' Disaggregation - Section E '!A$618:J2997,8,0)),"")</f>
        <v/>
      </c>
      <c r="J2308" s="391" t="str">
        <f ca="1">IFERROR(IF(VLOOKUP(C2308,' Disaggregation - Section E '!A$618:J2997,9,0)="","",VLOOKUP(C2308,' Disaggregation - Section E '!A$618:J2997,9,0)),"")</f>
        <v/>
      </c>
      <c r="K2308" s="387" t="str">
        <f ca="1">IFERROR(VLOOKUP(C2308,' Disaggregation - Section E '!A$618:J2997,3,0),"")</f>
        <v>TBDT-4 Percentage of new and relapse TB patients tested using WHO recommended rapid diagnostic tests at the time of diagnosis</v>
      </c>
      <c r="L2308" s="387"/>
      <c r="M2308" s="387" t="str">
        <f ca="1">IFERROR(IF(VLOOKUP(C2308,' Disaggregation - Section E '!A$618:O1320,15,0)=0,"",VLOOKUP(C2308,' Disaggregation - Section E '!A$618:O1320,15,0)),"")</f>
        <v/>
      </c>
      <c r="N2308" s="391" t="str">
        <f ca="1">IFERROR(IF(VLOOKUP(C2308,' Disaggregation - Section E '!A$618:J2997,10,0)=0,"",VLOOKUP(C2308,' Disaggregation - Section E '!A$618:J2997,10,0)),"")</f>
        <v/>
      </c>
      <c r="O2308" s="387"/>
      <c r="P2308" s="387" t="str">
        <f ca="1">IFERROR(IF(VLOOKUP(C2308,' Disaggregation - Section E '!A$618:R1320,18,0)=0,"",VLOOKUP(C2308,' Disaggregation - Section E '!A$618:R1320,18,0)),"")</f>
        <v/>
      </c>
    </row>
    <row r="2309" spans="1:16">
      <c r="A2309" s="387" t="b">
        <f t="shared" ca="1" si="166"/>
        <v>0</v>
      </c>
      <c r="B2309" s="387"/>
      <c r="C2309" s="396" t="str">
        <f ca="1">IF(COUNTA(O$1610:O2309)=1,"",OFFSET(B2307,-COUNTA(O$1610:O2309)+3,1))</f>
        <v>a16Dm000000M3r6IAC</v>
      </c>
      <c r="D2309" s="392"/>
      <c r="E2309" s="389" t="str">
        <f ca="1">IFERROR(IF(VLOOKUP(C2309,' Disaggregation - Section E '!A$618:J2998,7,0)="","",VLOOKUP(C2309,' Disaggregation - Section E '!A$618:J2998,7,0)*100),"")</f>
        <v/>
      </c>
      <c r="F2309" s="391" t="str">
        <f ca="1">IFERROR(VLOOKUP(C2309,' Disaggregation - Section E '!A$618:J2998,5,0),"")</f>
        <v/>
      </c>
      <c r="G2309" s="390" t="str">
        <f ca="1">IFERROR(IF(VLOOKUP(C2309,' Disaggregation - Section E '!A$618:J2998,6,0)="","",VLOOKUP(C2309,' Disaggregation - Section E '!A$618:J2998,6,0)),"")</f>
        <v/>
      </c>
      <c r="H2309" s="390" t="str">
        <f ca="1">IFERROR(IF(INDEX(' Disaggregation - Section E '!F$618:F2998,MATCH(C2309,' Disaggregation - Section E '!A$618:A2998,0)+1,1)&lt;&gt;0,INDEX(' Disaggregation - Section E '!F$618:F2998,MATCH(C2309,' Disaggregation - Section E '!A$618:A2998,0)+1,1),""),"")</f>
        <v/>
      </c>
      <c r="I2309" s="391" t="str">
        <f ca="1">IFERROR(IF(VLOOKUP(C2309,' Disaggregation - Section E '!A$618:J2998,8,0)=0,"",VLOOKUP(C2309,' Disaggregation - Section E '!A$618:J2998,8,0)),"")</f>
        <v/>
      </c>
      <c r="J2309" s="391" t="str">
        <f ca="1">IFERROR(IF(VLOOKUP(C2309,' Disaggregation - Section E '!A$618:J2998,9,0)="","",VLOOKUP(C2309,' Disaggregation - Section E '!A$618:J2998,9,0)),"")</f>
        <v/>
      </c>
      <c r="K2309" s="387" t="str">
        <f ca="1">IFERROR(VLOOKUP(C2309,' Disaggregation - Section E '!A$618:J2998,3,0),"")</f>
        <v>TBDT-4 Percentage of new and relapse TB patients tested using WHO recommended rapid diagnostic tests at the time of diagnosis</v>
      </c>
      <c r="L2309" s="387"/>
      <c r="M2309" s="387" t="str">
        <f ca="1">IFERROR(IF(VLOOKUP(C2309,' Disaggregation - Section E '!A$618:O1321,15,0)=0,"",VLOOKUP(C2309,' Disaggregation - Section E '!A$618:O1321,15,0)),"")</f>
        <v/>
      </c>
      <c r="N2309" s="391" t="str">
        <f ca="1">IFERROR(IF(VLOOKUP(C2309,' Disaggregation - Section E '!A$618:J2998,10,0)=0,"",VLOOKUP(C2309,' Disaggregation - Section E '!A$618:J2998,10,0)),"")</f>
        <v/>
      </c>
      <c r="O2309" s="387"/>
      <c r="P2309" s="387" t="str">
        <f ca="1">IFERROR(IF(VLOOKUP(C2309,' Disaggregation - Section E '!A$618:R1321,18,0)=0,"",VLOOKUP(C2309,' Disaggregation - Section E '!A$618:R1321,18,0)),"")</f>
        <v/>
      </c>
    </row>
    <row r="2310" spans="1:16">
      <c r="A2310" s="387" t="b">
        <f t="shared" ca="1" si="166"/>
        <v>0</v>
      </c>
      <c r="B2310" s="387"/>
      <c r="C2310" s="396" t="str">
        <f ca="1">IF(COUNTA(O$1610:O2310)=1,"",OFFSET(B2308,-COUNTA(O$1610:O2310)+3,1))</f>
        <v>a16Dm000000M3r7IAC</v>
      </c>
      <c r="D2310" s="392"/>
      <c r="E2310" s="389" t="str">
        <f ca="1">IFERROR(IF(VLOOKUP(C2310,' Disaggregation - Section E '!A$618:J2999,7,0)="","",VLOOKUP(C2310,' Disaggregation - Section E '!A$618:J2999,7,0)*100),"")</f>
        <v/>
      </c>
      <c r="F2310" s="391" t="str">
        <f ca="1">IFERROR(VLOOKUP(C2310,' Disaggregation - Section E '!A$618:J2999,5,0),"")</f>
        <v/>
      </c>
      <c r="G2310" s="390" t="str">
        <f ca="1">IFERROR(IF(VLOOKUP(C2310,' Disaggregation - Section E '!A$618:J2999,6,0)="","",VLOOKUP(C2310,' Disaggregation - Section E '!A$618:J2999,6,0)),"")</f>
        <v/>
      </c>
      <c r="H2310" s="390" t="str">
        <f ca="1">IFERROR(IF(INDEX(' Disaggregation - Section E '!F$618:F2999,MATCH(C2310,' Disaggregation - Section E '!A$618:A2999,0)+1,1)&lt;&gt;0,INDEX(' Disaggregation - Section E '!F$618:F2999,MATCH(C2310,' Disaggregation - Section E '!A$618:A2999,0)+1,1),""),"")</f>
        <v/>
      </c>
      <c r="I2310" s="391" t="str">
        <f ca="1">IFERROR(IF(VLOOKUP(C2310,' Disaggregation - Section E '!A$618:J2999,8,0)=0,"",VLOOKUP(C2310,' Disaggregation - Section E '!A$618:J2999,8,0)),"")</f>
        <v/>
      </c>
      <c r="J2310" s="391" t="str">
        <f ca="1">IFERROR(IF(VLOOKUP(C2310,' Disaggregation - Section E '!A$618:J2999,9,0)="","",VLOOKUP(C2310,' Disaggregation - Section E '!A$618:J2999,9,0)),"")</f>
        <v/>
      </c>
      <c r="K2310" s="387" t="str">
        <f ca="1">IFERROR(VLOOKUP(C2310,' Disaggregation - Section E '!A$618:J2999,3,0),"")</f>
        <v>TBDT-4 Percentage of new and relapse TB patients tested using WHO recommended rapid diagnostic tests at the time of diagnosis</v>
      </c>
      <c r="L2310" s="387"/>
      <c r="M2310" s="387" t="str">
        <f ca="1">IFERROR(IF(VLOOKUP(C2310,' Disaggregation - Section E '!A$618:O1322,15,0)=0,"",VLOOKUP(C2310,' Disaggregation - Section E '!A$618:O1322,15,0)),"")</f>
        <v/>
      </c>
      <c r="N2310" s="391" t="str">
        <f ca="1">IFERROR(IF(VLOOKUP(C2310,' Disaggregation - Section E '!A$618:J2999,10,0)=0,"",VLOOKUP(C2310,' Disaggregation - Section E '!A$618:J2999,10,0)),"")</f>
        <v/>
      </c>
      <c r="O2310" s="387"/>
      <c r="P2310" s="387" t="str">
        <f ca="1">IFERROR(IF(VLOOKUP(C2310,' Disaggregation - Section E '!A$618:R1322,18,0)=0,"",VLOOKUP(C2310,' Disaggregation - Section E '!A$618:R1322,18,0)),"")</f>
        <v/>
      </c>
    </row>
    <row r="2311" spans="1:16">
      <c r="A2311" s="387" t="b">
        <f t="shared" ca="1" si="166"/>
        <v>0</v>
      </c>
      <c r="B2311" s="387"/>
      <c r="C2311" s="396" t="str">
        <f ca="1">IF(COUNTA(O$1610:O2311)=1,"",OFFSET(B2309,-COUNTA(O$1610:O2311)+3,1))</f>
        <v>a16Dm000000M3r8IAC</v>
      </c>
      <c r="D2311" s="392"/>
      <c r="E2311" s="389" t="str">
        <f ca="1">IFERROR(IF(VLOOKUP(C2311,' Disaggregation - Section E '!A$618:J3000,7,0)="","",VLOOKUP(C2311,' Disaggregation - Section E '!A$618:J3000,7,0)*100),"")</f>
        <v/>
      </c>
      <c r="F2311" s="391" t="str">
        <f ca="1">IFERROR(VLOOKUP(C2311,' Disaggregation - Section E '!A$618:J3000,5,0),"")</f>
        <v/>
      </c>
      <c r="G2311" s="390" t="str">
        <f ca="1">IFERROR(IF(VLOOKUP(C2311,' Disaggregation - Section E '!A$618:J3000,6,0)="","",VLOOKUP(C2311,' Disaggregation - Section E '!A$618:J3000,6,0)),"")</f>
        <v/>
      </c>
      <c r="H2311" s="390" t="str">
        <f ca="1">IFERROR(IF(INDEX(' Disaggregation - Section E '!F$618:F3000,MATCH(C2311,' Disaggregation - Section E '!A$618:A3000,0)+1,1)&lt;&gt;0,INDEX(' Disaggregation - Section E '!F$618:F3000,MATCH(C2311,' Disaggregation - Section E '!A$618:A3000,0)+1,1),""),"")</f>
        <v/>
      </c>
      <c r="I2311" s="391" t="str">
        <f ca="1">IFERROR(IF(VLOOKUP(C2311,' Disaggregation - Section E '!A$618:J3000,8,0)=0,"",VLOOKUP(C2311,' Disaggregation - Section E '!A$618:J3000,8,0)),"")</f>
        <v/>
      </c>
      <c r="J2311" s="391" t="str">
        <f ca="1">IFERROR(IF(VLOOKUP(C2311,' Disaggregation - Section E '!A$618:J3000,9,0)="","",VLOOKUP(C2311,' Disaggregation - Section E '!A$618:J3000,9,0)),"")</f>
        <v/>
      </c>
      <c r="K2311" s="387" t="str">
        <f ca="1">IFERROR(VLOOKUP(C2311,' Disaggregation - Section E '!A$618:J3000,3,0),"")</f>
        <v>TBDT-4 Percentage of new and relapse TB patients tested using WHO recommended rapid diagnostic tests at the time of diagnosis</v>
      </c>
      <c r="L2311" s="387"/>
      <c r="M2311" s="387" t="str">
        <f ca="1">IFERROR(IF(VLOOKUP(C2311,' Disaggregation - Section E '!A$618:O1323,15,0)=0,"",VLOOKUP(C2311,' Disaggregation - Section E '!A$618:O1323,15,0)),"")</f>
        <v/>
      </c>
      <c r="N2311" s="391" t="str">
        <f ca="1">IFERROR(IF(VLOOKUP(C2311,' Disaggregation - Section E '!A$618:J3000,10,0)=0,"",VLOOKUP(C2311,' Disaggregation - Section E '!A$618:J3000,10,0)),"")</f>
        <v/>
      </c>
      <c r="O2311" s="387"/>
      <c r="P2311" s="387" t="str">
        <f ca="1">IFERROR(IF(VLOOKUP(C2311,' Disaggregation - Section E '!A$618:R1323,18,0)=0,"",VLOOKUP(C2311,' Disaggregation - Section E '!A$618:R1323,18,0)),"")</f>
        <v/>
      </c>
    </row>
    <row r="2312" spans="1:16">
      <c r="A2312" s="387" t="b">
        <f t="shared" ca="1" si="166"/>
        <v>1</v>
      </c>
      <c r="B2312" s="387"/>
      <c r="C2312" s="396" t="str">
        <f ca="1">IF(COUNTA(O$1610:O2312)=1,"",OFFSET(B2310,-COUNTA(O$1610:O2312)+3,1))</f>
        <v>a16Dm000000M3r9IAC</v>
      </c>
      <c r="D2312" s="392"/>
      <c r="E2312" s="389">
        <f ca="1">IFERROR(IF(VLOOKUP(C2312,' Disaggregation - Section E '!A$618:J3001,7,0)="","",VLOOKUP(C2312,' Disaggregation - Section E '!A$618:J3001,7,0)*100),"")</f>
        <v>79.611650485436897</v>
      </c>
      <c r="F2312" s="391" t="str">
        <f ca="1">IFERROR(VLOOKUP(C2312,' Disaggregation - Section E '!A$618:J3001,5,0),"")</f>
        <v>15+</v>
      </c>
      <c r="G2312" s="390">
        <f ca="1">IFERROR(IF(VLOOKUP(C2312,' Disaggregation - Section E '!A$618:J3001,6,0)="","",VLOOKUP(C2312,' Disaggregation - Section E '!A$618:J3001,6,0)),"")</f>
        <v>984</v>
      </c>
      <c r="H2312" s="390">
        <f ca="1">IFERROR(IF(INDEX(' Disaggregation - Section E '!F$618:F3001,MATCH(C2312,' Disaggregation - Section E '!A$618:A3001,0)+1,1)&lt;&gt;0,INDEX(' Disaggregation - Section E '!F$618:F3001,MATCH(C2312,' Disaggregation - Section E '!A$618:A3001,0)+1,1),""),"")</f>
        <v>1236</v>
      </c>
      <c r="I2312" s="391">
        <f ca="1">IFERROR(IF(VLOOKUP(C2312,' Disaggregation - Section E '!A$618:J3001,8,0)=0,"",VLOOKUP(C2312,' Disaggregation - Section E '!A$618:J3001,8,0)),"")</f>
        <v>2021</v>
      </c>
      <c r="J2312" s="391" t="str">
        <f ca="1">IFERROR(IF(VLOOKUP(C2312,' Disaggregation - Section E '!A$618:J3001,9,0)="","",VLOOKUP(C2312,' Disaggregation - Section E '!A$618:J3001,9,0)),"")</f>
        <v>NTP report</v>
      </c>
      <c r="K2312" s="387" t="str">
        <f ca="1">IFERROR(VLOOKUP(C2312,' Disaggregation - Section E '!A$618:J3001,3,0),"")</f>
        <v>DRTB-2 Number of people with confirmed RR-TB and/or MDR-TB notified</v>
      </c>
      <c r="L2312" s="387"/>
      <c r="M2312" s="387" t="str">
        <f ca="1">IFERROR(IF(VLOOKUP(C2312,' Disaggregation - Section E '!A$618:O1324,15,0)=0,"",VLOOKUP(C2312,' Disaggregation - Section E '!A$618:O1324,15,0)),"")</f>
        <v>IDR-01378</v>
      </c>
      <c r="N2312" s="391" t="str">
        <f ca="1">IFERROR(IF(VLOOKUP(C2312,' Disaggregation - Section E '!A$618:J3001,10,0)=0,"",VLOOKUP(C2312,' Disaggregation - Section E '!A$618:J3001,10,0)),"")</f>
        <v>Percentage of adults with confirmed RR-TB and/or MDR-TB who were notified is 79.6%</v>
      </c>
      <c r="O2312" s="387"/>
      <c r="P2312" s="387" t="str">
        <f ca="1">IFERROR(IF(VLOOKUP(C2312,' Disaggregation - Section E '!A$618:R1324,18,0)=0,"",VLOOKUP(C2312,' Disaggregation - Section E '!A$618:R1324,18,0)),"")</f>
        <v>a1LDm000000Cb4yMAC</v>
      </c>
    </row>
    <row r="2313" spans="1:16">
      <c r="A2313" s="387" t="b">
        <f t="shared" ca="1" si="166"/>
        <v>1</v>
      </c>
      <c r="B2313" s="387"/>
      <c r="C2313" s="396" t="str">
        <f ca="1">IF(COUNTA(O$1610:O2313)=1,"",OFFSET(B2311,-COUNTA(O$1610:O2313)+3,1))</f>
        <v>a16Dm000000M3rAIAS</v>
      </c>
      <c r="D2313" s="392"/>
      <c r="E2313" s="389">
        <f ca="1">IFERROR(IF(VLOOKUP(C2313,' Disaggregation - Section E '!A$618:J3002,7,0)="","",VLOOKUP(C2313,' Disaggregation - Section E '!A$618:J3002,7,0)*100),"")</f>
        <v>35.841423948220061</v>
      </c>
      <c r="F2313" s="391" t="str">
        <f ca="1">IFERROR(VLOOKUP(C2313,' Disaggregation - Section E '!A$618:J3002,5,0),"")</f>
        <v>Unknown</v>
      </c>
      <c r="G2313" s="390">
        <f ca="1">IFERROR(IF(VLOOKUP(C2313,' Disaggregation - Section E '!A$618:J3002,6,0)="","",VLOOKUP(C2313,' Disaggregation - Section E '!A$618:J3002,6,0)),"")</f>
        <v>443</v>
      </c>
      <c r="H2313" s="390">
        <f ca="1">IFERROR(IF(INDEX(' Disaggregation - Section E '!F$618:F3002,MATCH(C2313,' Disaggregation - Section E '!A$618:A3002,0)+1,1)&lt;&gt;0,INDEX(' Disaggregation - Section E '!F$618:F3002,MATCH(C2313,' Disaggregation - Section E '!A$618:A3002,0)+1,1),""),"")</f>
        <v>1236</v>
      </c>
      <c r="I2313" s="391">
        <f ca="1">IFERROR(IF(VLOOKUP(C2313,' Disaggregation - Section E '!A$618:J3002,8,0)=0,"",VLOOKUP(C2313,' Disaggregation - Section E '!A$618:J3002,8,0)),"")</f>
        <v>2021</v>
      </c>
      <c r="J2313" s="391" t="str">
        <f ca="1">IFERROR(IF(VLOOKUP(C2313,' Disaggregation - Section E '!A$618:J3002,9,0)="","",VLOOKUP(C2313,' Disaggregation - Section E '!A$618:J3002,9,0)),"")</f>
        <v>NTP report</v>
      </c>
      <c r="K2313" s="387" t="str">
        <f ca="1">IFERROR(VLOOKUP(C2313,' Disaggregation - Section E '!A$618:J3002,3,0),"")</f>
        <v>DRTB-2 Number of people with confirmed RR-TB and/or MDR-TB notified</v>
      </c>
      <c r="L2313" s="387"/>
      <c r="M2313" s="387" t="str">
        <f ca="1">IFERROR(IF(VLOOKUP(C2313,' Disaggregation - Section E '!A$618:O1325,15,0)=0,"",VLOOKUP(C2313,' Disaggregation - Section E '!A$618:O1325,15,0)),"")</f>
        <v>IDR-01377</v>
      </c>
      <c r="N2313" s="391" t="str">
        <f ca="1">IFERROR(IF(VLOOKUP(C2313,' Disaggregation - Section E '!A$618:J3002,10,0)=0,"",VLOOKUP(C2313,' Disaggregation - Section E '!A$618:J3002,10,0)),"")</f>
        <v>Percentage of patients with unknown HIV status with confirmed RR-TB and/or MDR-TB who were notified is 35.8%</v>
      </c>
      <c r="O2313" s="387"/>
      <c r="P2313" s="387" t="str">
        <f ca="1">IFERROR(IF(VLOOKUP(C2313,' Disaggregation - Section E '!A$618:R1325,18,0)=0,"",VLOOKUP(C2313,' Disaggregation - Section E '!A$618:R1325,18,0)),"")</f>
        <v>a1LDm000000Cb4xMAC</v>
      </c>
    </row>
    <row r="2314" spans="1:16">
      <c r="A2314" s="387" t="b">
        <f t="shared" ca="1" si="166"/>
        <v>1</v>
      </c>
      <c r="B2314" s="387"/>
      <c r="C2314" s="396" t="str">
        <f ca="1">IF(COUNTA(O$1610:O2314)=1,"",OFFSET(B2312,-COUNTA(O$1610:O2314)+3,1))</f>
        <v>a16Dm000000M3rBIAS</v>
      </c>
      <c r="D2314" s="392"/>
      <c r="E2314" s="389">
        <f ca="1">IFERROR(IF(VLOOKUP(C2314,' Disaggregation - Section E '!A$618:J3003,7,0)="","",VLOOKUP(C2314,' Disaggregation - Section E '!A$618:J3003,7,0)*100),"")</f>
        <v>2.912621359223301</v>
      </c>
      <c r="F2314" s="391" t="str">
        <f ca="1">IFERROR(VLOOKUP(C2314,' Disaggregation - Section E '!A$618:J3003,5,0),"")</f>
        <v>&lt;15</v>
      </c>
      <c r="G2314" s="390">
        <f ca="1">IFERROR(IF(VLOOKUP(C2314,' Disaggregation - Section E '!A$618:J3003,6,0)="","",VLOOKUP(C2314,' Disaggregation - Section E '!A$618:J3003,6,0)),"")</f>
        <v>36</v>
      </c>
      <c r="H2314" s="390">
        <f ca="1">IFERROR(IF(INDEX(' Disaggregation - Section E '!F$618:F3003,MATCH(C2314,' Disaggregation - Section E '!A$618:A3003,0)+1,1)&lt;&gt;0,INDEX(' Disaggregation - Section E '!F$618:F3003,MATCH(C2314,' Disaggregation - Section E '!A$618:A3003,0)+1,1),""),"")</f>
        <v>1236</v>
      </c>
      <c r="I2314" s="391">
        <f ca="1">IFERROR(IF(VLOOKUP(C2314,' Disaggregation - Section E '!A$618:J3003,8,0)=0,"",VLOOKUP(C2314,' Disaggregation - Section E '!A$618:J3003,8,0)),"")</f>
        <v>2021</v>
      </c>
      <c r="J2314" s="391" t="str">
        <f ca="1">IFERROR(IF(VLOOKUP(C2314,' Disaggregation - Section E '!A$618:J3003,9,0)="","",VLOOKUP(C2314,' Disaggregation - Section E '!A$618:J3003,9,0)),"")</f>
        <v>NTP report</v>
      </c>
      <c r="K2314" s="387" t="str">
        <f ca="1">IFERROR(VLOOKUP(C2314,' Disaggregation - Section E '!A$618:J3003,3,0),"")</f>
        <v>DRTB-2 Number of people with confirmed RR-TB and/or MDR-TB notified</v>
      </c>
      <c r="L2314" s="387"/>
      <c r="M2314" s="387" t="str">
        <f ca="1">IFERROR(IF(VLOOKUP(C2314,' Disaggregation - Section E '!A$618:O1326,15,0)=0,"",VLOOKUP(C2314,' Disaggregation - Section E '!A$618:O1326,15,0)),"")</f>
        <v>IDR-01376</v>
      </c>
      <c r="N2314" s="391" t="str">
        <f ca="1">IFERROR(IF(VLOOKUP(C2314,' Disaggregation - Section E '!A$618:J3003,10,0)=0,"",VLOOKUP(C2314,' Disaggregation - Section E '!A$618:J3003,10,0)),"")</f>
        <v>Percentage of children with confirmed RR-TB and/or  MDR-TB who were notified is 2.9%</v>
      </c>
      <c r="O2314" s="387"/>
      <c r="P2314" s="387" t="str">
        <f ca="1">IFERROR(IF(VLOOKUP(C2314,' Disaggregation - Section E '!A$618:R1326,18,0)=0,"",VLOOKUP(C2314,' Disaggregation - Section E '!A$618:R1326,18,0)),"")</f>
        <v>a1LDm000000Cb4wMAC</v>
      </c>
    </row>
    <row r="2315" spans="1:16">
      <c r="A2315" s="387" t="b">
        <f t="shared" ca="1" si="166"/>
        <v>1</v>
      </c>
      <c r="B2315" s="387"/>
      <c r="C2315" s="396" t="str">
        <f ca="1">IF(COUNTA(O$1610:O2315)=1,"",OFFSET(B2313,-COUNTA(O$1610:O2315)+3,1))</f>
        <v>a16Dm000000M3rCIAS</v>
      </c>
      <c r="D2315" s="392"/>
      <c r="E2315" s="389">
        <f ca="1">IFERROR(IF(VLOOKUP(C2315,' Disaggregation - Section E '!A$618:J3004,7,0)="","",VLOOKUP(C2315,' Disaggregation - Section E '!A$618:J3004,7,0)*100),"")</f>
        <v>61.165048543689316</v>
      </c>
      <c r="F2315" s="391" t="str">
        <f ca="1">IFERROR(VLOOKUP(C2315,' Disaggregation - Section E '!A$618:J3004,5,0),"")</f>
        <v>Male</v>
      </c>
      <c r="G2315" s="390">
        <f ca="1">IFERROR(IF(VLOOKUP(C2315,' Disaggregation - Section E '!A$618:J3004,6,0)="","",VLOOKUP(C2315,' Disaggregation - Section E '!A$618:J3004,6,0)),"")</f>
        <v>756</v>
      </c>
      <c r="H2315" s="390">
        <f ca="1">IFERROR(IF(INDEX(' Disaggregation - Section E '!F$618:F3004,MATCH(C2315,' Disaggregation - Section E '!A$618:A3004,0)+1,1)&lt;&gt;0,INDEX(' Disaggregation - Section E '!F$618:F3004,MATCH(C2315,' Disaggregation - Section E '!A$618:A3004,0)+1,1),""),"")</f>
        <v>1236</v>
      </c>
      <c r="I2315" s="391">
        <f ca="1">IFERROR(IF(VLOOKUP(C2315,' Disaggregation - Section E '!A$618:J3004,8,0)=0,"",VLOOKUP(C2315,' Disaggregation - Section E '!A$618:J3004,8,0)),"")</f>
        <v>2021</v>
      </c>
      <c r="J2315" s="391" t="str">
        <f ca="1">IFERROR(IF(VLOOKUP(C2315,' Disaggregation - Section E '!A$618:J3004,9,0)="","",VLOOKUP(C2315,' Disaggregation - Section E '!A$618:J3004,9,0)),"")</f>
        <v>NTP report</v>
      </c>
      <c r="K2315" s="387" t="str">
        <f ca="1">IFERROR(VLOOKUP(C2315,' Disaggregation - Section E '!A$618:J3004,3,0),"")</f>
        <v>DRTB-2 Number of people with confirmed RR-TB and/or MDR-TB notified</v>
      </c>
      <c r="L2315" s="387"/>
      <c r="M2315" s="387" t="str">
        <f ca="1">IFERROR(IF(VLOOKUP(C2315,' Disaggregation - Section E '!A$618:O1327,15,0)=0,"",VLOOKUP(C2315,' Disaggregation - Section E '!A$618:O1327,15,0)),"")</f>
        <v>IDR-01375</v>
      </c>
      <c r="N2315" s="391" t="str">
        <f ca="1">IFERROR(IF(VLOOKUP(C2315,' Disaggregation - Section E '!A$618:J3004,10,0)=0,"",VLOOKUP(C2315,' Disaggregation - Section E '!A$618:J3004,10,0)),"")</f>
        <v>Percentage of men with confirmed RR-TB and/or  MDR-TB who were notified is 61%</v>
      </c>
      <c r="O2315" s="387"/>
      <c r="P2315" s="387" t="str">
        <f ca="1">IFERROR(IF(VLOOKUP(C2315,' Disaggregation - Section E '!A$618:R1327,18,0)=0,"",VLOOKUP(C2315,' Disaggregation - Section E '!A$618:R1327,18,0)),"")</f>
        <v>a1LDm000000Cb4vMAC</v>
      </c>
    </row>
    <row r="2316" spans="1:16">
      <c r="A2316" s="387" t="b">
        <f t="shared" ref="A2316:A2379" ca="1" si="167">IF(M2316&lt;&gt;"",TRUE,FALSE)</f>
        <v>1</v>
      </c>
      <c r="B2316" s="387"/>
      <c r="C2316" s="396" t="str">
        <f ca="1">IF(COUNTA(O$1610:O2316)=1,"",OFFSET(B2314,-COUNTA(O$1610:O2316)+3,1))</f>
        <v>a16Dm000000M3rDIAS</v>
      </c>
      <c r="D2316" s="392"/>
      <c r="E2316" s="389">
        <f ca="1">IFERROR(IF(VLOOKUP(C2316,' Disaggregation - Section E '!A$618:J3005,7,0)="","",VLOOKUP(C2316,' Disaggregation - Section E '!A$618:J3005,7,0)*100),"")</f>
        <v>59.870550161812297</v>
      </c>
      <c r="F2316" s="391" t="str">
        <f ca="1">IFERROR(VLOOKUP(C2316,' Disaggregation - Section E '!A$618:J3005,5,0),"")</f>
        <v>Negative</v>
      </c>
      <c r="G2316" s="390">
        <f ca="1">IFERROR(IF(VLOOKUP(C2316,' Disaggregation - Section E '!A$618:J3005,6,0)="","",VLOOKUP(C2316,' Disaggregation - Section E '!A$618:J3005,6,0)),"")</f>
        <v>740</v>
      </c>
      <c r="H2316" s="390">
        <f ca="1">IFERROR(IF(INDEX(' Disaggregation - Section E '!F$618:F3005,MATCH(C2316,' Disaggregation - Section E '!A$618:A3005,0)+1,1)&lt;&gt;0,INDEX(' Disaggregation - Section E '!F$618:F3005,MATCH(C2316,' Disaggregation - Section E '!A$618:A3005,0)+1,1),""),"")</f>
        <v>1236</v>
      </c>
      <c r="I2316" s="391">
        <f ca="1">IFERROR(IF(VLOOKUP(C2316,' Disaggregation - Section E '!A$618:J3005,8,0)=0,"",VLOOKUP(C2316,' Disaggregation - Section E '!A$618:J3005,8,0)),"")</f>
        <v>2021</v>
      </c>
      <c r="J2316" s="391" t="str">
        <f ca="1">IFERROR(IF(VLOOKUP(C2316,' Disaggregation - Section E '!A$618:J3005,9,0)="","",VLOOKUP(C2316,' Disaggregation - Section E '!A$618:J3005,9,0)),"")</f>
        <v>NTP report</v>
      </c>
      <c r="K2316" s="387" t="str">
        <f ca="1">IFERROR(VLOOKUP(C2316,' Disaggregation - Section E '!A$618:J3005,3,0),"")</f>
        <v>DRTB-2 Number of people with confirmed RR-TB and/or MDR-TB notified</v>
      </c>
      <c r="L2316" s="387"/>
      <c r="M2316" s="387" t="str">
        <f ca="1">IFERROR(IF(VLOOKUP(C2316,' Disaggregation - Section E '!A$618:O1328,15,0)=0,"",VLOOKUP(C2316,' Disaggregation - Section E '!A$618:O1328,15,0)),"")</f>
        <v>IDR-01374</v>
      </c>
      <c r="N2316" s="391" t="str">
        <f ca="1">IFERROR(IF(VLOOKUP(C2316,' Disaggregation - Section E '!A$618:J3005,10,0)=0,"",VLOOKUP(C2316,' Disaggregation - Section E '!A$618:J3005,10,0)),"")</f>
        <v>Percentage of patients with negative HIV status with confirmed RR-TB and/or MDR-TB who were notified is 59.87%</v>
      </c>
      <c r="O2316" s="387"/>
      <c r="P2316" s="387" t="str">
        <f ca="1">IFERROR(IF(VLOOKUP(C2316,' Disaggregation - Section E '!A$618:R1328,18,0)=0,"",VLOOKUP(C2316,' Disaggregation - Section E '!A$618:R1328,18,0)),"")</f>
        <v>a1LDm000000Cb4uMAC</v>
      </c>
    </row>
    <row r="2317" spans="1:16">
      <c r="A2317" s="387" t="b">
        <f t="shared" ca="1" si="167"/>
        <v>1</v>
      </c>
      <c r="B2317" s="387"/>
      <c r="C2317" s="396" t="str">
        <f ca="1">IF(COUNTA(O$1610:O2317)=1,"",OFFSET(B2315,-COUNTA(O$1610:O2317)+3,1))</f>
        <v>a16Dm000000M3rEIAS</v>
      </c>
      <c r="D2317" s="392"/>
      <c r="E2317" s="389">
        <f ca="1">IFERROR(IF(VLOOKUP(C2317,' Disaggregation - Section E '!A$618:J3006,7,0)="","",VLOOKUP(C2317,' Disaggregation - Section E '!A$618:J3006,7,0)*100),"")</f>
        <v>38.834951456310677</v>
      </c>
      <c r="F2317" s="391" t="str">
        <f ca="1">IFERROR(VLOOKUP(C2317,' Disaggregation - Section E '!A$618:J3006,5,0),"")</f>
        <v>Female</v>
      </c>
      <c r="G2317" s="390">
        <f ca="1">IFERROR(IF(VLOOKUP(C2317,' Disaggregation - Section E '!A$618:J3006,6,0)="","",VLOOKUP(C2317,' Disaggregation - Section E '!A$618:J3006,6,0)),"")</f>
        <v>480</v>
      </c>
      <c r="H2317" s="390">
        <f ca="1">IFERROR(IF(INDEX(' Disaggregation - Section E '!F$618:F3006,MATCH(C2317,' Disaggregation - Section E '!A$618:A3006,0)+1,1)&lt;&gt;0,INDEX(' Disaggregation - Section E '!F$618:F3006,MATCH(C2317,' Disaggregation - Section E '!A$618:A3006,0)+1,1),""),"")</f>
        <v>1236</v>
      </c>
      <c r="I2317" s="391">
        <f ca="1">IFERROR(IF(VLOOKUP(C2317,' Disaggregation - Section E '!A$618:J3006,8,0)=0,"",VLOOKUP(C2317,' Disaggregation - Section E '!A$618:J3006,8,0)),"")</f>
        <v>2021</v>
      </c>
      <c r="J2317" s="391" t="str">
        <f ca="1">IFERROR(IF(VLOOKUP(C2317,' Disaggregation - Section E '!A$618:J3006,9,0)="","",VLOOKUP(C2317,' Disaggregation - Section E '!A$618:J3006,9,0)),"")</f>
        <v>NTP report</v>
      </c>
      <c r="K2317" s="387" t="str">
        <f ca="1">IFERROR(VLOOKUP(C2317,' Disaggregation - Section E '!A$618:J3006,3,0),"")</f>
        <v>DRTB-2 Number of people with confirmed RR-TB and/or MDR-TB notified</v>
      </c>
      <c r="L2317" s="387"/>
      <c r="M2317" s="387" t="str">
        <f ca="1">IFERROR(IF(VLOOKUP(C2317,' Disaggregation - Section E '!A$618:O1329,15,0)=0,"",VLOOKUP(C2317,' Disaggregation - Section E '!A$618:O1329,15,0)),"")</f>
        <v>IDR-01373</v>
      </c>
      <c r="N2317" s="391" t="str">
        <f ca="1">IFERROR(IF(VLOOKUP(C2317,' Disaggregation - Section E '!A$618:J3006,10,0)=0,"",VLOOKUP(C2317,' Disaggregation - Section E '!A$618:J3006,10,0)),"")</f>
        <v>Percentage of women with confirmed RR-TB and/or  MDR-TB who were notified is 38.8%</v>
      </c>
      <c r="O2317" s="387"/>
      <c r="P2317" s="387" t="str">
        <f ca="1">IFERROR(IF(VLOOKUP(C2317,' Disaggregation - Section E '!A$618:R1329,18,0)=0,"",VLOOKUP(C2317,' Disaggregation - Section E '!A$618:R1329,18,0)),"")</f>
        <v>a1LDm000000Cb4tMAC</v>
      </c>
    </row>
    <row r="2318" spans="1:16">
      <c r="A2318" s="387" t="b">
        <f t="shared" ca="1" si="167"/>
        <v>1</v>
      </c>
      <c r="B2318" s="387"/>
      <c r="C2318" s="396" t="str">
        <f ca="1">IF(COUNTA(O$1610:O2318)=1,"",OFFSET(B2316,-COUNTA(O$1610:O2318)+3,1))</f>
        <v>a16Dm000000M3rFIAS</v>
      </c>
      <c r="D2318" s="392"/>
      <c r="E2318" s="389">
        <f ca="1">IFERROR(IF(VLOOKUP(C2318,' Disaggregation - Section E '!A$618:J3007,7,0)="","",VLOOKUP(C2318,' Disaggregation - Section E '!A$618:J3007,7,0)*100),"")</f>
        <v>4.2880258899676376</v>
      </c>
      <c r="F2318" s="391" t="str">
        <f ca="1">IFERROR(VLOOKUP(C2318,' Disaggregation - Section E '!A$618:J3007,5,0),"")</f>
        <v>Positive</v>
      </c>
      <c r="G2318" s="390">
        <f ca="1">IFERROR(IF(VLOOKUP(C2318,' Disaggregation - Section E '!A$618:J3007,6,0)="","",VLOOKUP(C2318,' Disaggregation - Section E '!A$618:J3007,6,0)),"")</f>
        <v>53</v>
      </c>
      <c r="H2318" s="390">
        <f ca="1">IFERROR(IF(INDEX(' Disaggregation - Section E '!F$618:F3007,MATCH(C2318,' Disaggregation - Section E '!A$618:A3007,0)+1,1)&lt;&gt;0,INDEX(' Disaggregation - Section E '!F$618:F3007,MATCH(C2318,' Disaggregation - Section E '!A$618:A3007,0)+1,1),""),"")</f>
        <v>1236</v>
      </c>
      <c r="I2318" s="391">
        <f ca="1">IFERROR(IF(VLOOKUP(C2318,' Disaggregation - Section E '!A$618:J3007,8,0)=0,"",VLOOKUP(C2318,' Disaggregation - Section E '!A$618:J3007,8,0)),"")</f>
        <v>2021</v>
      </c>
      <c r="J2318" s="391" t="str">
        <f ca="1">IFERROR(IF(VLOOKUP(C2318,' Disaggregation - Section E '!A$618:J3007,9,0)="","",VLOOKUP(C2318,' Disaggregation - Section E '!A$618:J3007,9,0)),"")</f>
        <v>NTP report</v>
      </c>
      <c r="K2318" s="387" t="str">
        <f ca="1">IFERROR(VLOOKUP(C2318,' Disaggregation - Section E '!A$618:J3007,3,0),"")</f>
        <v>DRTB-2 Number of people with confirmed RR-TB and/or MDR-TB notified</v>
      </c>
      <c r="L2318" s="387"/>
      <c r="M2318" s="387" t="str">
        <f ca="1">IFERROR(IF(VLOOKUP(C2318,' Disaggregation - Section E '!A$618:O1330,15,0)=0,"",VLOOKUP(C2318,' Disaggregation - Section E '!A$618:O1330,15,0)),"")</f>
        <v>IDR-01372</v>
      </c>
      <c r="N2318" s="391" t="str">
        <f ca="1">IFERROR(IF(VLOOKUP(C2318,' Disaggregation - Section E '!A$618:J3007,10,0)=0,"",VLOOKUP(C2318,' Disaggregation - Section E '!A$618:J3007,10,0)),"")</f>
        <v>Percentage of patients with positive HIV status with confirmed RR-TB and/or MDR-TB who were notified is 4.29%</v>
      </c>
      <c r="O2318" s="387"/>
      <c r="P2318" s="387" t="str">
        <f ca="1">IFERROR(IF(VLOOKUP(C2318,' Disaggregation - Section E '!A$618:R1330,18,0)=0,"",VLOOKUP(C2318,' Disaggregation - Section E '!A$618:R1330,18,0)),"")</f>
        <v>a1LDm000000Cb4sMAC</v>
      </c>
    </row>
    <row r="2319" spans="1:16">
      <c r="A2319" s="387" t="b">
        <f t="shared" ca="1" si="167"/>
        <v>0</v>
      </c>
      <c r="B2319" s="387"/>
      <c r="C2319" s="396" t="str">
        <f ca="1">IF(COUNTA(O$1610:O2319)=1,"",OFFSET(B2317,-COUNTA(O$1610:O2319)+3,1))</f>
        <v>a16Dm000000M3rGIAS</v>
      </c>
      <c r="D2319" s="392"/>
      <c r="E2319" s="389" t="str">
        <f ca="1">IFERROR(IF(VLOOKUP(C2319,' Disaggregation - Section E '!A$618:J3008,7,0)="","",VLOOKUP(C2319,' Disaggregation - Section E '!A$618:J3008,7,0)*100),"")</f>
        <v/>
      </c>
      <c r="F2319" s="391" t="str">
        <f ca="1">IFERROR(VLOOKUP(C2319,' Disaggregation - Section E '!A$618:J3008,5,0),"")</f>
        <v/>
      </c>
      <c r="G2319" s="390" t="str">
        <f ca="1">IFERROR(IF(VLOOKUP(C2319,' Disaggregation - Section E '!A$618:J3008,6,0)="","",VLOOKUP(C2319,' Disaggregation - Section E '!A$618:J3008,6,0)),"")</f>
        <v/>
      </c>
      <c r="H2319" s="390" t="str">
        <f ca="1">IFERROR(IF(INDEX(' Disaggregation - Section E '!F$618:F3008,MATCH(C2319,' Disaggregation - Section E '!A$618:A3008,0)+1,1)&lt;&gt;0,INDEX(' Disaggregation - Section E '!F$618:F3008,MATCH(C2319,' Disaggregation - Section E '!A$618:A3008,0)+1,1),""),"")</f>
        <v/>
      </c>
      <c r="I2319" s="391" t="str">
        <f ca="1">IFERROR(IF(VLOOKUP(C2319,' Disaggregation - Section E '!A$618:J3008,8,0)=0,"",VLOOKUP(C2319,' Disaggregation - Section E '!A$618:J3008,8,0)),"")</f>
        <v/>
      </c>
      <c r="J2319" s="391" t="str">
        <f ca="1">IFERROR(IF(VLOOKUP(C2319,' Disaggregation - Section E '!A$618:J3008,9,0)="","",VLOOKUP(C2319,' Disaggregation - Section E '!A$618:J3008,9,0)),"")</f>
        <v/>
      </c>
      <c r="K2319" s="387" t="str">
        <f ca="1">IFERROR(VLOOKUP(C2319,' Disaggregation - Section E '!A$618:J3008,3,0),"")</f>
        <v>DRTB-2 Number of people with confirmed RR-TB and/or MDR-TB notified</v>
      </c>
      <c r="L2319" s="387"/>
      <c r="M2319" s="387" t="str">
        <f ca="1">IFERROR(IF(VLOOKUP(C2319,' Disaggregation - Section E '!A$618:O1331,15,0)=0,"",VLOOKUP(C2319,' Disaggregation - Section E '!A$618:O1331,15,0)),"")</f>
        <v/>
      </c>
      <c r="N2319" s="391" t="str">
        <f ca="1">IFERROR(IF(VLOOKUP(C2319,' Disaggregation - Section E '!A$618:J3008,10,0)=0,"",VLOOKUP(C2319,' Disaggregation - Section E '!A$618:J3008,10,0)),"")</f>
        <v/>
      </c>
      <c r="O2319" s="387"/>
      <c r="P2319" s="387" t="str">
        <f ca="1">IFERROR(IF(VLOOKUP(C2319,' Disaggregation - Section E '!A$618:R1331,18,0)=0,"",VLOOKUP(C2319,' Disaggregation - Section E '!A$618:R1331,18,0)),"")</f>
        <v/>
      </c>
    </row>
    <row r="2320" spans="1:16">
      <c r="A2320" s="387" t="b">
        <f t="shared" ca="1" si="167"/>
        <v>0</v>
      </c>
      <c r="B2320" s="387"/>
      <c r="C2320" s="396" t="str">
        <f ca="1">IF(COUNTA(O$1610:O2320)=1,"",OFFSET(B2318,-COUNTA(O$1610:O2320)+3,1))</f>
        <v>a16Dm000000M3rHIAS</v>
      </c>
      <c r="D2320" s="392"/>
      <c r="E2320" s="389" t="str">
        <f ca="1">IFERROR(IF(VLOOKUP(C2320,' Disaggregation - Section E '!A$618:J3009,7,0)="","",VLOOKUP(C2320,' Disaggregation - Section E '!A$618:J3009,7,0)*100),"")</f>
        <v/>
      </c>
      <c r="F2320" s="391" t="str">
        <f ca="1">IFERROR(VLOOKUP(C2320,' Disaggregation - Section E '!A$618:J3009,5,0),"")</f>
        <v/>
      </c>
      <c r="G2320" s="390" t="str">
        <f ca="1">IFERROR(IF(VLOOKUP(C2320,' Disaggregation - Section E '!A$618:J3009,6,0)="","",VLOOKUP(C2320,' Disaggregation - Section E '!A$618:J3009,6,0)),"")</f>
        <v/>
      </c>
      <c r="H2320" s="390" t="str">
        <f ca="1">IFERROR(IF(INDEX(' Disaggregation - Section E '!F$618:F3009,MATCH(C2320,' Disaggregation - Section E '!A$618:A3009,0)+1,1)&lt;&gt;0,INDEX(' Disaggregation - Section E '!F$618:F3009,MATCH(C2320,' Disaggregation - Section E '!A$618:A3009,0)+1,1),""),"")</f>
        <v/>
      </c>
      <c r="I2320" s="391" t="str">
        <f ca="1">IFERROR(IF(VLOOKUP(C2320,' Disaggregation - Section E '!A$618:J3009,8,0)=0,"",VLOOKUP(C2320,' Disaggregation - Section E '!A$618:J3009,8,0)),"")</f>
        <v/>
      </c>
      <c r="J2320" s="391" t="str">
        <f ca="1">IFERROR(IF(VLOOKUP(C2320,' Disaggregation - Section E '!A$618:J3009,9,0)="","",VLOOKUP(C2320,' Disaggregation - Section E '!A$618:J3009,9,0)),"")</f>
        <v/>
      </c>
      <c r="K2320" s="387" t="str">
        <f ca="1">IFERROR(VLOOKUP(C2320,' Disaggregation - Section E '!A$618:J3009,3,0),"")</f>
        <v>DRTB-2 Number of people with confirmed RR-TB and/or MDR-TB notified</v>
      </c>
      <c r="L2320" s="387"/>
      <c r="M2320" s="387" t="str">
        <f ca="1">IFERROR(IF(VLOOKUP(C2320,' Disaggregation - Section E '!A$618:O1332,15,0)=0,"",VLOOKUP(C2320,' Disaggregation - Section E '!A$618:O1332,15,0)),"")</f>
        <v/>
      </c>
      <c r="N2320" s="391" t="str">
        <f ca="1">IFERROR(IF(VLOOKUP(C2320,' Disaggregation - Section E '!A$618:J3009,10,0)=0,"",VLOOKUP(C2320,' Disaggregation - Section E '!A$618:J3009,10,0)),"")</f>
        <v/>
      </c>
      <c r="O2320" s="387"/>
      <c r="P2320" s="387" t="str">
        <f ca="1">IFERROR(IF(VLOOKUP(C2320,' Disaggregation - Section E '!A$618:R1332,18,0)=0,"",VLOOKUP(C2320,' Disaggregation - Section E '!A$618:R1332,18,0)),"")</f>
        <v/>
      </c>
    </row>
    <row r="2321" spans="1:16">
      <c r="A2321" s="387" t="b">
        <f t="shared" ca="1" si="167"/>
        <v>0</v>
      </c>
      <c r="B2321" s="387"/>
      <c r="C2321" s="396" t="str">
        <f ca="1">IF(COUNTA(O$1610:O2321)=1,"",OFFSET(B2319,-COUNTA(O$1610:O2321)+3,1))</f>
        <v>a16Dm000000M3rIIAS</v>
      </c>
      <c r="D2321" s="392"/>
      <c r="E2321" s="389" t="str">
        <f ca="1">IFERROR(IF(VLOOKUP(C2321,' Disaggregation - Section E '!A$618:J3010,7,0)="","",VLOOKUP(C2321,' Disaggregation - Section E '!A$618:J3010,7,0)*100),"")</f>
        <v/>
      </c>
      <c r="F2321" s="391" t="str">
        <f ca="1">IFERROR(VLOOKUP(C2321,' Disaggregation - Section E '!A$618:J3010,5,0),"")</f>
        <v/>
      </c>
      <c r="G2321" s="390" t="str">
        <f ca="1">IFERROR(IF(VLOOKUP(C2321,' Disaggregation - Section E '!A$618:J3010,6,0)="","",VLOOKUP(C2321,' Disaggregation - Section E '!A$618:J3010,6,0)),"")</f>
        <v/>
      </c>
      <c r="H2321" s="390" t="str">
        <f ca="1">IFERROR(IF(INDEX(' Disaggregation - Section E '!F$618:F3010,MATCH(C2321,' Disaggregation - Section E '!A$618:A3010,0)+1,1)&lt;&gt;0,INDEX(' Disaggregation - Section E '!F$618:F3010,MATCH(C2321,' Disaggregation - Section E '!A$618:A3010,0)+1,1),""),"")</f>
        <v/>
      </c>
      <c r="I2321" s="391" t="str">
        <f ca="1">IFERROR(IF(VLOOKUP(C2321,' Disaggregation - Section E '!A$618:J3010,8,0)=0,"",VLOOKUP(C2321,' Disaggregation - Section E '!A$618:J3010,8,0)),"")</f>
        <v/>
      </c>
      <c r="J2321" s="391" t="str">
        <f ca="1">IFERROR(IF(VLOOKUP(C2321,' Disaggregation - Section E '!A$618:J3010,9,0)="","",VLOOKUP(C2321,' Disaggregation - Section E '!A$618:J3010,9,0)),"")</f>
        <v/>
      </c>
      <c r="K2321" s="387" t="str">
        <f ca="1">IFERROR(VLOOKUP(C2321,' Disaggregation - Section E '!A$618:J3010,3,0),"")</f>
        <v>DRTB-2 Number of people with confirmed RR-TB and/or MDR-TB notified</v>
      </c>
      <c r="L2321" s="387"/>
      <c r="M2321" s="387" t="str">
        <f ca="1">IFERROR(IF(VLOOKUP(C2321,' Disaggregation - Section E '!A$618:O1333,15,0)=0,"",VLOOKUP(C2321,' Disaggregation - Section E '!A$618:O1333,15,0)),"")</f>
        <v/>
      </c>
      <c r="N2321" s="391" t="str">
        <f ca="1">IFERROR(IF(VLOOKUP(C2321,' Disaggregation - Section E '!A$618:J3010,10,0)=0,"",VLOOKUP(C2321,' Disaggregation - Section E '!A$618:J3010,10,0)),"")</f>
        <v/>
      </c>
      <c r="O2321" s="387"/>
      <c r="P2321" s="387" t="str">
        <f ca="1">IFERROR(IF(VLOOKUP(C2321,' Disaggregation - Section E '!A$618:R1333,18,0)=0,"",VLOOKUP(C2321,' Disaggregation - Section E '!A$618:R1333,18,0)),"")</f>
        <v/>
      </c>
    </row>
    <row r="2322" spans="1:16">
      <c r="A2322" s="387" t="b">
        <f t="shared" ca="1" si="167"/>
        <v>0</v>
      </c>
      <c r="B2322" s="387"/>
      <c r="C2322" s="396" t="str">
        <f ca="1">IF(COUNTA(O$1610:O2322)=1,"",OFFSET(B2320,-COUNTA(O$1610:O2322)+3,1))</f>
        <v>a16Dm000000M3rJIAS</v>
      </c>
      <c r="D2322" s="392"/>
      <c r="E2322" s="389" t="str">
        <f ca="1">IFERROR(IF(VLOOKUP(C2322,' Disaggregation - Section E '!A$618:J3011,7,0)="","",VLOOKUP(C2322,' Disaggregation - Section E '!A$618:J3011,7,0)*100),"")</f>
        <v/>
      </c>
      <c r="F2322" s="391" t="str">
        <f ca="1">IFERROR(VLOOKUP(C2322,' Disaggregation - Section E '!A$618:J3011,5,0),"")</f>
        <v/>
      </c>
      <c r="G2322" s="390" t="str">
        <f ca="1">IFERROR(IF(VLOOKUP(C2322,' Disaggregation - Section E '!A$618:J3011,6,0)="","",VLOOKUP(C2322,' Disaggregation - Section E '!A$618:J3011,6,0)),"")</f>
        <v/>
      </c>
      <c r="H2322" s="390" t="str">
        <f ca="1">IFERROR(IF(INDEX(' Disaggregation - Section E '!F$618:F3011,MATCH(C2322,' Disaggregation - Section E '!A$618:A3011,0)+1,1)&lt;&gt;0,INDEX(' Disaggregation - Section E '!F$618:F3011,MATCH(C2322,' Disaggregation - Section E '!A$618:A3011,0)+1,1),""),"")</f>
        <v/>
      </c>
      <c r="I2322" s="391" t="str">
        <f ca="1">IFERROR(IF(VLOOKUP(C2322,' Disaggregation - Section E '!A$618:J3011,8,0)=0,"",VLOOKUP(C2322,' Disaggregation - Section E '!A$618:J3011,8,0)),"")</f>
        <v/>
      </c>
      <c r="J2322" s="391" t="str">
        <f ca="1">IFERROR(IF(VLOOKUP(C2322,' Disaggregation - Section E '!A$618:J3011,9,0)="","",VLOOKUP(C2322,' Disaggregation - Section E '!A$618:J3011,9,0)),"")</f>
        <v/>
      </c>
      <c r="K2322" s="387" t="str">
        <f ca="1">IFERROR(VLOOKUP(C2322,' Disaggregation - Section E '!A$618:J3011,3,0),"")</f>
        <v>DRTB-2 Number of people with confirmed RR-TB and/or MDR-TB notified</v>
      </c>
      <c r="L2322" s="387"/>
      <c r="M2322" s="387" t="str">
        <f ca="1">IFERROR(IF(VLOOKUP(C2322,' Disaggregation - Section E '!A$618:O1334,15,0)=0,"",VLOOKUP(C2322,' Disaggregation - Section E '!A$618:O1334,15,0)),"")</f>
        <v/>
      </c>
      <c r="N2322" s="391" t="str">
        <f ca="1">IFERROR(IF(VLOOKUP(C2322,' Disaggregation - Section E '!A$618:J3011,10,0)=0,"",VLOOKUP(C2322,' Disaggregation - Section E '!A$618:J3011,10,0)),"")</f>
        <v/>
      </c>
      <c r="O2322" s="387"/>
      <c r="P2322" s="387" t="str">
        <f ca="1">IFERROR(IF(VLOOKUP(C2322,' Disaggregation - Section E '!A$618:R1334,18,0)=0,"",VLOOKUP(C2322,' Disaggregation - Section E '!A$618:R1334,18,0)),"")</f>
        <v/>
      </c>
    </row>
    <row r="2323" spans="1:16">
      <c r="A2323" s="387" t="b">
        <f t="shared" ca="1" si="167"/>
        <v>0</v>
      </c>
      <c r="B2323" s="387"/>
      <c r="C2323" s="396" t="str">
        <f ca="1">IF(COUNTA(O$1610:O2323)=1,"",OFFSET(B2321,-COUNTA(O$1610:O2323)+3,1))</f>
        <v>a16Dm000000M3rKIAS</v>
      </c>
      <c r="D2323" s="392"/>
      <c r="E2323" s="389" t="str">
        <f ca="1">IFERROR(IF(VLOOKUP(C2323,' Disaggregation - Section E '!A$618:J3012,7,0)="","",VLOOKUP(C2323,' Disaggregation - Section E '!A$618:J3012,7,0)*100),"")</f>
        <v/>
      </c>
      <c r="F2323" s="391" t="str">
        <f ca="1">IFERROR(VLOOKUP(C2323,' Disaggregation - Section E '!A$618:J3012,5,0),"")</f>
        <v/>
      </c>
      <c r="G2323" s="390" t="str">
        <f ca="1">IFERROR(IF(VLOOKUP(C2323,' Disaggregation - Section E '!A$618:J3012,6,0)="","",VLOOKUP(C2323,' Disaggregation - Section E '!A$618:J3012,6,0)),"")</f>
        <v/>
      </c>
      <c r="H2323" s="390" t="str">
        <f ca="1">IFERROR(IF(INDEX(' Disaggregation - Section E '!F$618:F3012,MATCH(C2323,' Disaggregation - Section E '!A$618:A3012,0)+1,1)&lt;&gt;0,INDEX(' Disaggregation - Section E '!F$618:F3012,MATCH(C2323,' Disaggregation - Section E '!A$618:A3012,0)+1,1),""),"")</f>
        <v/>
      </c>
      <c r="I2323" s="391" t="str">
        <f ca="1">IFERROR(IF(VLOOKUP(C2323,' Disaggregation - Section E '!A$618:J3012,8,0)=0,"",VLOOKUP(C2323,' Disaggregation - Section E '!A$618:J3012,8,0)),"")</f>
        <v/>
      </c>
      <c r="J2323" s="391" t="str">
        <f ca="1">IFERROR(IF(VLOOKUP(C2323,' Disaggregation - Section E '!A$618:J3012,9,0)="","",VLOOKUP(C2323,' Disaggregation - Section E '!A$618:J3012,9,0)),"")</f>
        <v/>
      </c>
      <c r="K2323" s="387" t="str">
        <f ca="1">IFERROR(VLOOKUP(C2323,' Disaggregation - Section E '!A$618:J3012,3,0),"")</f>
        <v>DRTB-2 Number of people with confirmed RR-TB and/or MDR-TB notified</v>
      </c>
      <c r="L2323" s="387"/>
      <c r="M2323" s="387" t="str">
        <f ca="1">IFERROR(IF(VLOOKUP(C2323,' Disaggregation - Section E '!A$618:O1335,15,0)=0,"",VLOOKUP(C2323,' Disaggregation - Section E '!A$618:O1335,15,0)),"")</f>
        <v/>
      </c>
      <c r="N2323" s="391" t="str">
        <f ca="1">IFERROR(IF(VLOOKUP(C2323,' Disaggregation - Section E '!A$618:J3012,10,0)=0,"",VLOOKUP(C2323,' Disaggregation - Section E '!A$618:J3012,10,0)),"")</f>
        <v/>
      </c>
      <c r="O2323" s="387"/>
      <c r="P2323" s="387" t="str">
        <f ca="1">IFERROR(IF(VLOOKUP(C2323,' Disaggregation - Section E '!A$618:R1335,18,0)=0,"",VLOOKUP(C2323,' Disaggregation - Section E '!A$618:R1335,18,0)),"")</f>
        <v/>
      </c>
    </row>
    <row r="2324" spans="1:16">
      <c r="A2324" s="387" t="b">
        <f t="shared" ca="1" si="167"/>
        <v>0</v>
      </c>
      <c r="B2324" s="387"/>
      <c r="C2324" s="396" t="str">
        <f ca="1">IF(COUNTA(O$1610:O2324)=1,"",OFFSET(B2322,-COUNTA(O$1610:O2324)+3,1))</f>
        <v>a16Dm000000M3rLIAS</v>
      </c>
      <c r="D2324" s="392"/>
      <c r="E2324" s="389" t="str">
        <f ca="1">IFERROR(IF(VLOOKUP(C2324,' Disaggregation - Section E '!A$618:J3013,7,0)="","",VLOOKUP(C2324,' Disaggregation - Section E '!A$618:J3013,7,0)*100),"")</f>
        <v/>
      </c>
      <c r="F2324" s="391" t="str">
        <f ca="1">IFERROR(VLOOKUP(C2324,' Disaggregation - Section E '!A$618:J3013,5,0),"")</f>
        <v/>
      </c>
      <c r="G2324" s="390" t="str">
        <f ca="1">IFERROR(IF(VLOOKUP(C2324,' Disaggregation - Section E '!A$618:J3013,6,0)="","",VLOOKUP(C2324,' Disaggregation - Section E '!A$618:J3013,6,0)),"")</f>
        <v/>
      </c>
      <c r="H2324" s="390" t="str">
        <f ca="1">IFERROR(IF(INDEX(' Disaggregation - Section E '!F$618:F3013,MATCH(C2324,' Disaggregation - Section E '!A$618:A3013,0)+1,1)&lt;&gt;0,INDEX(' Disaggregation - Section E '!F$618:F3013,MATCH(C2324,' Disaggregation - Section E '!A$618:A3013,0)+1,1),""),"")</f>
        <v/>
      </c>
      <c r="I2324" s="391" t="str">
        <f ca="1">IFERROR(IF(VLOOKUP(C2324,' Disaggregation - Section E '!A$618:J3013,8,0)=0,"",VLOOKUP(C2324,' Disaggregation - Section E '!A$618:J3013,8,0)),"")</f>
        <v/>
      </c>
      <c r="J2324" s="391" t="str">
        <f ca="1">IFERROR(IF(VLOOKUP(C2324,' Disaggregation - Section E '!A$618:J3013,9,0)="","",VLOOKUP(C2324,' Disaggregation - Section E '!A$618:J3013,9,0)),"")</f>
        <v/>
      </c>
      <c r="K2324" s="387" t="str">
        <f ca="1">IFERROR(VLOOKUP(C2324,' Disaggregation - Section E '!A$618:J3013,3,0),"")</f>
        <v>DRTB-2 Number of people with confirmed RR-TB and/or MDR-TB notified</v>
      </c>
      <c r="L2324" s="387"/>
      <c r="M2324" s="387" t="str">
        <f ca="1">IFERROR(IF(VLOOKUP(C2324,' Disaggregation - Section E '!A$618:O1336,15,0)=0,"",VLOOKUP(C2324,' Disaggregation - Section E '!A$618:O1336,15,0)),"")</f>
        <v/>
      </c>
      <c r="N2324" s="391" t="str">
        <f ca="1">IFERROR(IF(VLOOKUP(C2324,' Disaggregation - Section E '!A$618:J3013,10,0)=0,"",VLOOKUP(C2324,' Disaggregation - Section E '!A$618:J3013,10,0)),"")</f>
        <v/>
      </c>
      <c r="O2324" s="387"/>
      <c r="P2324" s="387" t="str">
        <f ca="1">IFERROR(IF(VLOOKUP(C2324,' Disaggregation - Section E '!A$618:R1336,18,0)=0,"",VLOOKUP(C2324,' Disaggregation - Section E '!A$618:R1336,18,0)),"")</f>
        <v/>
      </c>
    </row>
    <row r="2325" spans="1:16">
      <c r="A2325" s="387" t="b">
        <f t="shared" ca="1" si="167"/>
        <v>0</v>
      </c>
      <c r="B2325" s="387"/>
      <c r="C2325" s="396" t="str">
        <f ca="1">IF(COUNTA(O$1610:O2325)=1,"",OFFSET(B2323,-COUNTA(O$1610:O2325)+3,1))</f>
        <v>a16Dm000000M3rMIAS</v>
      </c>
      <c r="D2325" s="392"/>
      <c r="E2325" s="389" t="str">
        <f ca="1">IFERROR(IF(VLOOKUP(C2325,' Disaggregation - Section E '!A$618:J3014,7,0)="","",VLOOKUP(C2325,' Disaggregation - Section E '!A$618:J3014,7,0)*100),"")</f>
        <v/>
      </c>
      <c r="F2325" s="391" t="str">
        <f ca="1">IFERROR(VLOOKUP(C2325,' Disaggregation - Section E '!A$618:J3014,5,0),"")</f>
        <v/>
      </c>
      <c r="G2325" s="390" t="str">
        <f ca="1">IFERROR(IF(VLOOKUP(C2325,' Disaggregation - Section E '!A$618:J3014,6,0)="","",VLOOKUP(C2325,' Disaggregation - Section E '!A$618:J3014,6,0)),"")</f>
        <v/>
      </c>
      <c r="H2325" s="390" t="str">
        <f ca="1">IFERROR(IF(INDEX(' Disaggregation - Section E '!F$618:F3014,MATCH(C2325,' Disaggregation - Section E '!A$618:A3014,0)+1,1)&lt;&gt;0,INDEX(' Disaggregation - Section E '!F$618:F3014,MATCH(C2325,' Disaggregation - Section E '!A$618:A3014,0)+1,1),""),"")</f>
        <v/>
      </c>
      <c r="I2325" s="391" t="str">
        <f ca="1">IFERROR(IF(VLOOKUP(C2325,' Disaggregation - Section E '!A$618:J3014,8,0)=0,"",VLOOKUP(C2325,' Disaggregation - Section E '!A$618:J3014,8,0)),"")</f>
        <v/>
      </c>
      <c r="J2325" s="391" t="str">
        <f ca="1">IFERROR(IF(VLOOKUP(C2325,' Disaggregation - Section E '!A$618:J3014,9,0)="","",VLOOKUP(C2325,' Disaggregation - Section E '!A$618:J3014,9,0)),"")</f>
        <v/>
      </c>
      <c r="K2325" s="387" t="str">
        <f ca="1">IFERROR(VLOOKUP(C2325,' Disaggregation - Section E '!A$618:J3014,3,0),"")</f>
        <v>DRTB-2 Number of people with confirmed RR-TB and/or MDR-TB notified</v>
      </c>
      <c r="L2325" s="387"/>
      <c r="M2325" s="387" t="str">
        <f ca="1">IFERROR(IF(VLOOKUP(C2325,' Disaggregation - Section E '!A$618:O1337,15,0)=0,"",VLOOKUP(C2325,' Disaggregation - Section E '!A$618:O1337,15,0)),"")</f>
        <v/>
      </c>
      <c r="N2325" s="391" t="str">
        <f ca="1">IFERROR(IF(VLOOKUP(C2325,' Disaggregation - Section E '!A$618:J3014,10,0)=0,"",VLOOKUP(C2325,' Disaggregation - Section E '!A$618:J3014,10,0)),"")</f>
        <v/>
      </c>
      <c r="O2325" s="387"/>
      <c r="P2325" s="387" t="str">
        <f ca="1">IFERROR(IF(VLOOKUP(C2325,' Disaggregation - Section E '!A$618:R1337,18,0)=0,"",VLOOKUP(C2325,' Disaggregation - Section E '!A$618:R1337,18,0)),"")</f>
        <v/>
      </c>
    </row>
    <row r="2326" spans="1:16">
      <c r="A2326" s="387" t="b">
        <f t="shared" ca="1" si="167"/>
        <v>0</v>
      </c>
      <c r="B2326" s="387"/>
      <c r="C2326" s="396" t="str">
        <f ca="1">IF(COUNTA(O$1610:O2326)=1,"",OFFSET(B2324,-COUNTA(O$1610:O2326)+3,1))</f>
        <v>a16Dm000000M3rNIAS</v>
      </c>
      <c r="D2326" s="392"/>
      <c r="E2326" s="389" t="str">
        <f ca="1">IFERROR(IF(VLOOKUP(C2326,' Disaggregation - Section E '!A$618:J3015,7,0)="","",VLOOKUP(C2326,' Disaggregation - Section E '!A$618:J3015,7,0)*100),"")</f>
        <v/>
      </c>
      <c r="F2326" s="391" t="str">
        <f ca="1">IFERROR(VLOOKUP(C2326,' Disaggregation - Section E '!A$618:J3015,5,0),"")</f>
        <v/>
      </c>
      <c r="G2326" s="390" t="str">
        <f ca="1">IFERROR(IF(VLOOKUP(C2326,' Disaggregation - Section E '!A$618:J3015,6,0)="","",VLOOKUP(C2326,' Disaggregation - Section E '!A$618:J3015,6,0)),"")</f>
        <v/>
      </c>
      <c r="H2326" s="390" t="str">
        <f ca="1">IFERROR(IF(INDEX(' Disaggregation - Section E '!F$618:F3015,MATCH(C2326,' Disaggregation - Section E '!A$618:A3015,0)+1,1)&lt;&gt;0,INDEX(' Disaggregation - Section E '!F$618:F3015,MATCH(C2326,' Disaggregation - Section E '!A$618:A3015,0)+1,1),""),"")</f>
        <v/>
      </c>
      <c r="I2326" s="391" t="str">
        <f ca="1">IFERROR(IF(VLOOKUP(C2326,' Disaggregation - Section E '!A$618:J3015,8,0)=0,"",VLOOKUP(C2326,' Disaggregation - Section E '!A$618:J3015,8,0)),"")</f>
        <v/>
      </c>
      <c r="J2326" s="391" t="str">
        <f ca="1">IFERROR(IF(VLOOKUP(C2326,' Disaggregation - Section E '!A$618:J3015,9,0)="","",VLOOKUP(C2326,' Disaggregation - Section E '!A$618:J3015,9,0)),"")</f>
        <v/>
      </c>
      <c r="K2326" s="387" t="str">
        <f ca="1">IFERROR(VLOOKUP(C2326,' Disaggregation - Section E '!A$618:J3015,3,0),"")</f>
        <v>DRTB-2 Number of people with confirmed RR-TB and/or MDR-TB notified</v>
      </c>
      <c r="L2326" s="387"/>
      <c r="M2326" s="387" t="str">
        <f ca="1">IFERROR(IF(VLOOKUP(C2326,' Disaggregation - Section E '!A$618:O1338,15,0)=0,"",VLOOKUP(C2326,' Disaggregation - Section E '!A$618:O1338,15,0)),"")</f>
        <v/>
      </c>
      <c r="N2326" s="391" t="str">
        <f ca="1">IFERROR(IF(VLOOKUP(C2326,' Disaggregation - Section E '!A$618:J3015,10,0)=0,"",VLOOKUP(C2326,' Disaggregation - Section E '!A$618:J3015,10,0)),"")</f>
        <v/>
      </c>
      <c r="O2326" s="387"/>
      <c r="P2326" s="387" t="str">
        <f ca="1">IFERROR(IF(VLOOKUP(C2326,' Disaggregation - Section E '!A$618:R1338,18,0)=0,"",VLOOKUP(C2326,' Disaggregation - Section E '!A$618:R1338,18,0)),"")</f>
        <v/>
      </c>
    </row>
    <row r="2327" spans="1:16">
      <c r="A2327" s="387" t="b">
        <f t="shared" ca="1" si="167"/>
        <v>0</v>
      </c>
      <c r="B2327" s="387"/>
      <c r="C2327" s="396" t="str">
        <f ca="1">IF(COUNTA(O$1610:O2327)=1,"",OFFSET(B2325,-COUNTA(O$1610:O2327)+3,1))</f>
        <v>a16Dm000000M3rOIAS</v>
      </c>
      <c r="D2327" s="392"/>
      <c r="E2327" s="389" t="str">
        <f ca="1">IFERROR(IF(VLOOKUP(C2327,' Disaggregation - Section E '!A$618:J3016,7,0)="","",VLOOKUP(C2327,' Disaggregation - Section E '!A$618:J3016,7,0)*100),"")</f>
        <v/>
      </c>
      <c r="F2327" s="391" t="str">
        <f ca="1">IFERROR(VLOOKUP(C2327,' Disaggregation - Section E '!A$618:J3016,5,0),"")</f>
        <v/>
      </c>
      <c r="G2327" s="390" t="str">
        <f ca="1">IFERROR(IF(VLOOKUP(C2327,' Disaggregation - Section E '!A$618:J3016,6,0)="","",VLOOKUP(C2327,' Disaggregation - Section E '!A$618:J3016,6,0)),"")</f>
        <v/>
      </c>
      <c r="H2327" s="390" t="str">
        <f ca="1">IFERROR(IF(INDEX(' Disaggregation - Section E '!F$618:F3016,MATCH(C2327,' Disaggregation - Section E '!A$618:A3016,0)+1,1)&lt;&gt;0,INDEX(' Disaggregation - Section E '!F$618:F3016,MATCH(C2327,' Disaggregation - Section E '!A$618:A3016,0)+1,1),""),"")</f>
        <v/>
      </c>
      <c r="I2327" s="391" t="str">
        <f ca="1">IFERROR(IF(VLOOKUP(C2327,' Disaggregation - Section E '!A$618:J3016,8,0)=0,"",VLOOKUP(C2327,' Disaggregation - Section E '!A$618:J3016,8,0)),"")</f>
        <v/>
      </c>
      <c r="J2327" s="391" t="str">
        <f ca="1">IFERROR(IF(VLOOKUP(C2327,' Disaggregation - Section E '!A$618:J3016,9,0)="","",VLOOKUP(C2327,' Disaggregation - Section E '!A$618:J3016,9,0)),"")</f>
        <v/>
      </c>
      <c r="K2327" s="387" t="str">
        <f ca="1">IFERROR(VLOOKUP(C2327,' Disaggregation - Section E '!A$618:J3016,3,0),"")</f>
        <v>DRTB-2 Number of people with confirmed RR-TB and/or MDR-TB notified</v>
      </c>
      <c r="L2327" s="387"/>
      <c r="M2327" s="387" t="str">
        <f ca="1">IFERROR(IF(VLOOKUP(C2327,' Disaggregation - Section E '!A$618:O1339,15,0)=0,"",VLOOKUP(C2327,' Disaggregation - Section E '!A$618:O1339,15,0)),"")</f>
        <v/>
      </c>
      <c r="N2327" s="391" t="str">
        <f ca="1">IFERROR(IF(VLOOKUP(C2327,' Disaggregation - Section E '!A$618:J3016,10,0)=0,"",VLOOKUP(C2327,' Disaggregation - Section E '!A$618:J3016,10,0)),"")</f>
        <v/>
      </c>
      <c r="O2327" s="387"/>
      <c r="P2327" s="387" t="str">
        <f ca="1">IFERROR(IF(VLOOKUP(C2327,' Disaggregation - Section E '!A$618:R1339,18,0)=0,"",VLOOKUP(C2327,' Disaggregation - Section E '!A$618:R1339,18,0)),"")</f>
        <v/>
      </c>
    </row>
    <row r="2328" spans="1:16">
      <c r="A2328" s="387" t="b">
        <f t="shared" ca="1" si="167"/>
        <v>0</v>
      </c>
      <c r="B2328" s="387"/>
      <c r="C2328" s="396" t="str">
        <f ca="1">IF(COUNTA(O$1610:O2328)=1,"",OFFSET(B2326,-COUNTA(O$1610:O2328)+3,1))</f>
        <v>a16Dm000000M3rPIAS</v>
      </c>
      <c r="D2328" s="392"/>
      <c r="E2328" s="389" t="str">
        <f ca="1">IFERROR(IF(VLOOKUP(C2328,' Disaggregation - Section E '!A$618:J3017,7,0)="","",VLOOKUP(C2328,' Disaggregation - Section E '!A$618:J3017,7,0)*100),"")</f>
        <v/>
      </c>
      <c r="F2328" s="391" t="str">
        <f ca="1">IFERROR(VLOOKUP(C2328,' Disaggregation - Section E '!A$618:J3017,5,0),"")</f>
        <v/>
      </c>
      <c r="G2328" s="390" t="str">
        <f ca="1">IFERROR(IF(VLOOKUP(C2328,' Disaggregation - Section E '!A$618:J3017,6,0)="","",VLOOKUP(C2328,' Disaggregation - Section E '!A$618:J3017,6,0)),"")</f>
        <v/>
      </c>
      <c r="H2328" s="390" t="str">
        <f ca="1">IFERROR(IF(INDEX(' Disaggregation - Section E '!F$618:F3017,MATCH(C2328,' Disaggregation - Section E '!A$618:A3017,0)+1,1)&lt;&gt;0,INDEX(' Disaggregation - Section E '!F$618:F3017,MATCH(C2328,' Disaggregation - Section E '!A$618:A3017,0)+1,1),""),"")</f>
        <v/>
      </c>
      <c r="I2328" s="391" t="str">
        <f ca="1">IFERROR(IF(VLOOKUP(C2328,' Disaggregation - Section E '!A$618:J3017,8,0)=0,"",VLOOKUP(C2328,' Disaggregation - Section E '!A$618:J3017,8,0)),"")</f>
        <v/>
      </c>
      <c r="J2328" s="391" t="str">
        <f ca="1">IFERROR(IF(VLOOKUP(C2328,' Disaggregation - Section E '!A$618:J3017,9,0)="","",VLOOKUP(C2328,' Disaggregation - Section E '!A$618:J3017,9,0)),"")</f>
        <v/>
      </c>
      <c r="K2328" s="387" t="str">
        <f ca="1">IFERROR(VLOOKUP(C2328,' Disaggregation - Section E '!A$618:J3017,3,0),"")</f>
        <v>DRTB-2 Number of people with confirmed RR-TB and/or MDR-TB notified</v>
      </c>
      <c r="L2328" s="387"/>
      <c r="M2328" s="387" t="str">
        <f ca="1">IFERROR(IF(VLOOKUP(C2328,' Disaggregation - Section E '!A$618:O1340,15,0)=0,"",VLOOKUP(C2328,' Disaggregation - Section E '!A$618:O1340,15,0)),"")</f>
        <v/>
      </c>
      <c r="N2328" s="391" t="str">
        <f ca="1">IFERROR(IF(VLOOKUP(C2328,' Disaggregation - Section E '!A$618:J3017,10,0)=0,"",VLOOKUP(C2328,' Disaggregation - Section E '!A$618:J3017,10,0)),"")</f>
        <v/>
      </c>
      <c r="O2328" s="387"/>
      <c r="P2328" s="387" t="str">
        <f ca="1">IFERROR(IF(VLOOKUP(C2328,' Disaggregation - Section E '!A$618:R1340,18,0)=0,"",VLOOKUP(C2328,' Disaggregation - Section E '!A$618:R1340,18,0)),"")</f>
        <v/>
      </c>
    </row>
    <row r="2329" spans="1:16">
      <c r="A2329" s="387" t="b">
        <f t="shared" ca="1" si="167"/>
        <v>0</v>
      </c>
      <c r="B2329" s="387"/>
      <c r="C2329" s="396" t="str">
        <f ca="1">IF(COUNTA(O$1610:O2329)=1,"",OFFSET(B2327,-COUNTA(O$1610:O2329)+3,1))</f>
        <v>a16Dm000000M3rQIAS</v>
      </c>
      <c r="D2329" s="392"/>
      <c r="E2329" s="389" t="str">
        <f ca="1">IFERROR(IF(VLOOKUP(C2329,' Disaggregation - Section E '!A$618:J3018,7,0)="","",VLOOKUP(C2329,' Disaggregation - Section E '!A$618:J3018,7,0)*100),"")</f>
        <v/>
      </c>
      <c r="F2329" s="391" t="str">
        <f ca="1">IFERROR(VLOOKUP(C2329,' Disaggregation - Section E '!A$618:J3018,5,0),"")</f>
        <v/>
      </c>
      <c r="G2329" s="390" t="str">
        <f ca="1">IFERROR(IF(VLOOKUP(C2329,' Disaggregation - Section E '!A$618:J3018,6,0)="","",VLOOKUP(C2329,' Disaggregation - Section E '!A$618:J3018,6,0)),"")</f>
        <v/>
      </c>
      <c r="H2329" s="390" t="str">
        <f ca="1">IFERROR(IF(INDEX(' Disaggregation - Section E '!F$618:F3018,MATCH(C2329,' Disaggregation - Section E '!A$618:A3018,0)+1,1)&lt;&gt;0,INDEX(' Disaggregation - Section E '!F$618:F3018,MATCH(C2329,' Disaggregation - Section E '!A$618:A3018,0)+1,1),""),"")</f>
        <v/>
      </c>
      <c r="I2329" s="391" t="str">
        <f ca="1">IFERROR(IF(VLOOKUP(C2329,' Disaggregation - Section E '!A$618:J3018,8,0)=0,"",VLOOKUP(C2329,' Disaggregation - Section E '!A$618:J3018,8,0)),"")</f>
        <v/>
      </c>
      <c r="J2329" s="391" t="str">
        <f ca="1">IFERROR(IF(VLOOKUP(C2329,' Disaggregation - Section E '!A$618:J3018,9,0)="","",VLOOKUP(C2329,' Disaggregation - Section E '!A$618:J3018,9,0)),"")</f>
        <v/>
      </c>
      <c r="K2329" s="387" t="str">
        <f ca="1">IFERROR(VLOOKUP(C2329,' Disaggregation - Section E '!A$618:J3018,3,0),"")</f>
        <v>DRTB-2 Number of people with confirmed RR-TB and/or MDR-TB notified</v>
      </c>
      <c r="L2329" s="387"/>
      <c r="M2329" s="387" t="str">
        <f ca="1">IFERROR(IF(VLOOKUP(C2329,' Disaggregation - Section E '!A$618:O1341,15,0)=0,"",VLOOKUP(C2329,' Disaggregation - Section E '!A$618:O1341,15,0)),"")</f>
        <v/>
      </c>
      <c r="N2329" s="391" t="str">
        <f ca="1">IFERROR(IF(VLOOKUP(C2329,' Disaggregation - Section E '!A$618:J3018,10,0)=0,"",VLOOKUP(C2329,' Disaggregation - Section E '!A$618:J3018,10,0)),"")</f>
        <v/>
      </c>
      <c r="O2329" s="387"/>
      <c r="P2329" s="387" t="str">
        <f ca="1">IFERROR(IF(VLOOKUP(C2329,' Disaggregation - Section E '!A$618:R1341,18,0)=0,"",VLOOKUP(C2329,' Disaggregation - Section E '!A$618:R1341,18,0)),"")</f>
        <v/>
      </c>
    </row>
    <row r="2330" spans="1:16">
      <c r="A2330" s="387" t="b">
        <f t="shared" ca="1" si="167"/>
        <v>0</v>
      </c>
      <c r="B2330" s="387"/>
      <c r="C2330" s="396" t="str">
        <f ca="1">IF(COUNTA(O$1610:O2330)=1,"",OFFSET(B2328,-COUNTA(O$1610:O2330)+3,1))</f>
        <v>a16Dm000000M3rRIAS</v>
      </c>
      <c r="D2330" s="392"/>
      <c r="E2330" s="389" t="str">
        <f ca="1">IFERROR(IF(VLOOKUP(C2330,' Disaggregation - Section E '!A$618:J3019,7,0)="","",VLOOKUP(C2330,' Disaggregation - Section E '!A$618:J3019,7,0)*100),"")</f>
        <v/>
      </c>
      <c r="F2330" s="391" t="str">
        <f ca="1">IFERROR(VLOOKUP(C2330,' Disaggregation - Section E '!A$618:J3019,5,0),"")</f>
        <v/>
      </c>
      <c r="G2330" s="390" t="str">
        <f ca="1">IFERROR(IF(VLOOKUP(C2330,' Disaggregation - Section E '!A$618:J3019,6,0)="","",VLOOKUP(C2330,' Disaggregation - Section E '!A$618:J3019,6,0)),"")</f>
        <v/>
      </c>
      <c r="H2330" s="390" t="str">
        <f ca="1">IFERROR(IF(INDEX(' Disaggregation - Section E '!F$618:F3019,MATCH(C2330,' Disaggregation - Section E '!A$618:A3019,0)+1,1)&lt;&gt;0,INDEX(' Disaggregation - Section E '!F$618:F3019,MATCH(C2330,' Disaggregation - Section E '!A$618:A3019,0)+1,1),""),"")</f>
        <v/>
      </c>
      <c r="I2330" s="391" t="str">
        <f ca="1">IFERROR(IF(VLOOKUP(C2330,' Disaggregation - Section E '!A$618:J3019,8,0)=0,"",VLOOKUP(C2330,' Disaggregation - Section E '!A$618:J3019,8,0)),"")</f>
        <v/>
      </c>
      <c r="J2330" s="391" t="str">
        <f ca="1">IFERROR(IF(VLOOKUP(C2330,' Disaggregation - Section E '!A$618:J3019,9,0)="","",VLOOKUP(C2330,' Disaggregation - Section E '!A$618:J3019,9,0)),"")</f>
        <v/>
      </c>
      <c r="K2330" s="387" t="str">
        <f ca="1">IFERROR(VLOOKUP(C2330,' Disaggregation - Section E '!A$618:J3019,3,0),"")</f>
        <v>DRTB-2 Number of people with confirmed RR-TB and/or MDR-TB notified</v>
      </c>
      <c r="L2330" s="387"/>
      <c r="M2330" s="387" t="str">
        <f ca="1">IFERROR(IF(VLOOKUP(C2330,' Disaggregation - Section E '!A$618:O1342,15,0)=0,"",VLOOKUP(C2330,' Disaggregation - Section E '!A$618:O1342,15,0)),"")</f>
        <v/>
      </c>
      <c r="N2330" s="391" t="str">
        <f ca="1">IFERROR(IF(VLOOKUP(C2330,' Disaggregation - Section E '!A$618:J3019,10,0)=0,"",VLOOKUP(C2330,' Disaggregation - Section E '!A$618:J3019,10,0)),"")</f>
        <v/>
      </c>
      <c r="O2330" s="387"/>
      <c r="P2330" s="387" t="str">
        <f ca="1">IFERROR(IF(VLOOKUP(C2330,' Disaggregation - Section E '!A$618:R1342,18,0)=0,"",VLOOKUP(C2330,' Disaggregation - Section E '!A$618:R1342,18,0)),"")</f>
        <v/>
      </c>
    </row>
    <row r="2331" spans="1:16">
      <c r="A2331" s="387" t="b">
        <f t="shared" ca="1" si="167"/>
        <v>0</v>
      </c>
      <c r="B2331" s="387"/>
      <c r="C2331" s="396" t="str">
        <f ca="1">IF(COUNTA(O$1610:O2331)=1,"",OFFSET(B2329,-COUNTA(O$1610:O2331)+3,1))</f>
        <v>a16Dm000000M3rSIAS</v>
      </c>
      <c r="D2331" s="392"/>
      <c r="E2331" s="389" t="str">
        <f ca="1">IFERROR(IF(VLOOKUP(C2331,' Disaggregation - Section E '!A$618:J3020,7,0)="","",VLOOKUP(C2331,' Disaggregation - Section E '!A$618:J3020,7,0)*100),"")</f>
        <v/>
      </c>
      <c r="F2331" s="391" t="str">
        <f ca="1">IFERROR(VLOOKUP(C2331,' Disaggregation - Section E '!A$618:J3020,5,0),"")</f>
        <v/>
      </c>
      <c r="G2331" s="390" t="str">
        <f ca="1">IFERROR(IF(VLOOKUP(C2331,' Disaggregation - Section E '!A$618:J3020,6,0)="","",VLOOKUP(C2331,' Disaggregation - Section E '!A$618:J3020,6,0)),"")</f>
        <v/>
      </c>
      <c r="H2331" s="390" t="str">
        <f ca="1">IFERROR(IF(INDEX(' Disaggregation - Section E '!F$618:F3020,MATCH(C2331,' Disaggregation - Section E '!A$618:A3020,0)+1,1)&lt;&gt;0,INDEX(' Disaggregation - Section E '!F$618:F3020,MATCH(C2331,' Disaggregation - Section E '!A$618:A3020,0)+1,1),""),"")</f>
        <v/>
      </c>
      <c r="I2331" s="391" t="str">
        <f ca="1">IFERROR(IF(VLOOKUP(C2331,' Disaggregation - Section E '!A$618:J3020,8,0)=0,"",VLOOKUP(C2331,' Disaggregation - Section E '!A$618:J3020,8,0)),"")</f>
        <v/>
      </c>
      <c r="J2331" s="391" t="str">
        <f ca="1">IFERROR(IF(VLOOKUP(C2331,' Disaggregation - Section E '!A$618:J3020,9,0)="","",VLOOKUP(C2331,' Disaggregation - Section E '!A$618:J3020,9,0)),"")</f>
        <v/>
      </c>
      <c r="K2331" s="387" t="str">
        <f ca="1">IFERROR(VLOOKUP(C2331,' Disaggregation - Section E '!A$618:J3020,3,0),"")</f>
        <v>DRTB-2 Number of people with confirmed RR-TB and/or MDR-TB notified</v>
      </c>
      <c r="L2331" s="387"/>
      <c r="M2331" s="387" t="str">
        <f ca="1">IFERROR(IF(VLOOKUP(C2331,' Disaggregation - Section E '!A$618:O1343,15,0)=0,"",VLOOKUP(C2331,' Disaggregation - Section E '!A$618:O1343,15,0)),"")</f>
        <v/>
      </c>
      <c r="N2331" s="391" t="str">
        <f ca="1">IFERROR(IF(VLOOKUP(C2331,' Disaggregation - Section E '!A$618:J3020,10,0)=0,"",VLOOKUP(C2331,' Disaggregation - Section E '!A$618:J3020,10,0)),"")</f>
        <v/>
      </c>
      <c r="O2331" s="387"/>
      <c r="P2331" s="387" t="str">
        <f ca="1">IFERROR(IF(VLOOKUP(C2331,' Disaggregation - Section E '!A$618:R1343,18,0)=0,"",VLOOKUP(C2331,' Disaggregation - Section E '!A$618:R1343,18,0)),"")</f>
        <v/>
      </c>
    </row>
    <row r="2332" spans="1:16">
      <c r="A2332" s="387" t="b">
        <f t="shared" ca="1" si="167"/>
        <v>1</v>
      </c>
      <c r="B2332" s="387"/>
      <c r="C2332" s="396" t="str">
        <f ca="1">IF(COUNTA(O$1610:O2332)=1,"",OFFSET(B2330,-COUNTA(O$1610:O2332)+3,1))</f>
        <v>a16Dm000000M3rTIAS</v>
      </c>
      <c r="D2332" s="392"/>
      <c r="E2332" s="389">
        <f ca="1">IFERROR(IF(VLOOKUP(C2332,' Disaggregation - Section E '!A$618:J3021,7,0)="","",VLOOKUP(C2332,' Disaggregation - Section E '!A$618:J3021,7,0)*100),"")</f>
        <v>86.73139158576052</v>
      </c>
      <c r="F2332" s="391" t="str">
        <f ca="1">IFERROR(VLOOKUP(C2332,' Disaggregation - Section E '!A$618:J3021,5,0),"")</f>
        <v>15+</v>
      </c>
      <c r="G2332" s="390">
        <f ca="1">IFERROR(IF(VLOOKUP(C2332,' Disaggregation - Section E '!A$618:J3021,6,0)="","",VLOOKUP(C2332,' Disaggregation - Section E '!A$618:J3021,6,0)),"")</f>
        <v>1072</v>
      </c>
      <c r="H2332" s="390">
        <f ca="1">IFERROR(IF(INDEX(' Disaggregation - Section E '!F$618:F3021,MATCH(C2332,' Disaggregation - Section E '!A$618:A3021,0)+1,1)&lt;&gt;0,INDEX(' Disaggregation - Section E '!F$618:F3021,MATCH(C2332,' Disaggregation - Section E '!A$618:A3021,0)+1,1),""),"")</f>
        <v>1236</v>
      </c>
      <c r="I2332" s="391">
        <f ca="1">IFERROR(IF(VLOOKUP(C2332,' Disaggregation - Section E '!A$618:J3021,8,0)=0,"",VLOOKUP(C2332,' Disaggregation - Section E '!A$618:J3021,8,0)),"")</f>
        <v>2021</v>
      </c>
      <c r="J2332" s="391" t="str">
        <f ca="1">IFERROR(IF(VLOOKUP(C2332,' Disaggregation - Section E '!A$618:J3021,9,0)="","",VLOOKUP(C2332,' Disaggregation - Section E '!A$618:J3021,9,0)),"")</f>
        <v>NTP report</v>
      </c>
      <c r="K2332" s="387" t="str">
        <f ca="1">IFERROR(VLOOKUP(C2332,' Disaggregation - Section E '!A$618:J3021,3,0),"")</f>
        <v>DRTB-3 Percentage of people with confirmed RR-TB and/or MDR-TB that began second-line treatment</v>
      </c>
      <c r="L2332" s="387"/>
      <c r="M2332" s="387" t="str">
        <f ca="1">IFERROR(IF(VLOOKUP(C2332,' Disaggregation - Section E '!A$618:O1344,15,0)=0,"",VLOOKUP(C2332,' Disaggregation - Section E '!A$618:O1344,15,0)),"")</f>
        <v>IDR-01384</v>
      </c>
      <c r="N2332" s="391" t="str">
        <f ca="1">IFERROR(IF(VLOOKUP(C2332,' Disaggregation - Section E '!A$618:J3021,10,0)=0,"",VLOOKUP(C2332,' Disaggregation - Section E '!A$618:J3021,10,0)),"")</f>
        <v>Percentage of adults with confirmed RR-TB and/or MDR-TB that began second line treatment is 86.7%</v>
      </c>
      <c r="O2332" s="387"/>
      <c r="P2332" s="387" t="str">
        <f ca="1">IFERROR(IF(VLOOKUP(C2332,' Disaggregation - Section E '!A$618:R1344,18,0)=0,"",VLOOKUP(C2332,' Disaggregation - Section E '!A$618:R1344,18,0)),"")</f>
        <v>a1LDm000000Cb54MAC</v>
      </c>
    </row>
    <row r="2333" spans="1:16">
      <c r="A2333" s="387" t="b">
        <f t="shared" ca="1" si="167"/>
        <v>1</v>
      </c>
      <c r="B2333" s="387"/>
      <c r="C2333" s="396" t="str">
        <f ca="1">IF(COUNTA(O$1610:O2333)=1,"",OFFSET(B2331,-COUNTA(O$1610:O2333)+3,1))</f>
        <v>a16Dm000000M3rUIAS</v>
      </c>
      <c r="D2333" s="392"/>
      <c r="E2333" s="389">
        <f ca="1">IFERROR(IF(VLOOKUP(C2333,' Disaggregation - Section E '!A$618:J3022,7,0)="","",VLOOKUP(C2333,' Disaggregation - Section E '!A$618:J3022,7,0)*100),"")</f>
        <v>4.2880258899676376</v>
      </c>
      <c r="F2333" s="391" t="str">
        <f ca="1">IFERROR(VLOOKUP(C2333,' Disaggregation - Section E '!A$618:J3022,5,0),"")</f>
        <v>&lt;15</v>
      </c>
      <c r="G2333" s="390">
        <f ca="1">IFERROR(IF(VLOOKUP(C2333,' Disaggregation - Section E '!A$618:J3022,6,0)="","",VLOOKUP(C2333,' Disaggregation - Section E '!A$618:J3022,6,0)),"")</f>
        <v>53</v>
      </c>
      <c r="H2333" s="390">
        <f ca="1">IFERROR(IF(INDEX(' Disaggregation - Section E '!F$618:F3022,MATCH(C2333,' Disaggregation - Section E '!A$618:A3022,0)+1,1)&lt;&gt;0,INDEX(' Disaggregation - Section E '!F$618:F3022,MATCH(C2333,' Disaggregation - Section E '!A$618:A3022,0)+1,1),""),"")</f>
        <v>1236</v>
      </c>
      <c r="I2333" s="391">
        <f ca="1">IFERROR(IF(VLOOKUP(C2333,' Disaggregation - Section E '!A$618:J3022,8,0)=0,"",VLOOKUP(C2333,' Disaggregation - Section E '!A$618:J3022,8,0)),"")</f>
        <v>2021</v>
      </c>
      <c r="J2333" s="391" t="str">
        <f ca="1">IFERROR(IF(VLOOKUP(C2333,' Disaggregation - Section E '!A$618:J3022,9,0)="","",VLOOKUP(C2333,' Disaggregation - Section E '!A$618:J3022,9,0)),"")</f>
        <v>NTP report</v>
      </c>
      <c r="K2333" s="387" t="str">
        <f ca="1">IFERROR(VLOOKUP(C2333,' Disaggregation - Section E '!A$618:J3022,3,0),"")</f>
        <v>DRTB-3 Percentage of people with confirmed RR-TB and/or MDR-TB that began second-line treatment</v>
      </c>
      <c r="L2333" s="387"/>
      <c r="M2333" s="387" t="str">
        <f ca="1">IFERROR(IF(VLOOKUP(C2333,' Disaggregation - Section E '!A$618:O1345,15,0)=0,"",VLOOKUP(C2333,' Disaggregation - Section E '!A$618:O1345,15,0)),"")</f>
        <v>IDR-01383</v>
      </c>
      <c r="N2333" s="391" t="str">
        <f ca="1">IFERROR(IF(VLOOKUP(C2333,' Disaggregation - Section E '!A$618:J3022,10,0)=0,"",VLOOKUP(C2333,' Disaggregation - Section E '!A$618:J3022,10,0)),"")</f>
        <v>Percentage of children with confirmed RR-TB and/or MDR-TB that began second line treatment is 4.29%</v>
      </c>
      <c r="O2333" s="387"/>
      <c r="P2333" s="387" t="str">
        <f ca="1">IFERROR(IF(VLOOKUP(C2333,' Disaggregation - Section E '!A$618:R1345,18,0)=0,"",VLOOKUP(C2333,' Disaggregation - Section E '!A$618:R1345,18,0)),"")</f>
        <v>a1LDm000000Cb53MAC</v>
      </c>
    </row>
    <row r="2334" spans="1:16">
      <c r="A2334" s="387" t="b">
        <f t="shared" ca="1" si="167"/>
        <v>1</v>
      </c>
      <c r="B2334" s="387"/>
      <c r="C2334" s="396" t="str">
        <f ca="1">IF(COUNTA(O$1610:O2334)=1,"",OFFSET(B2332,-COUNTA(O$1610:O2334)+3,1))</f>
        <v>a16Dm000000M3rVIAS</v>
      </c>
      <c r="D2334" s="392"/>
      <c r="E2334" s="389">
        <f ca="1">IFERROR(IF(VLOOKUP(C2334,' Disaggregation - Section E '!A$618:J3023,7,0)="","",VLOOKUP(C2334,' Disaggregation - Section E '!A$618:J3023,7,0)*100),"")</f>
        <v>55.501618122977348</v>
      </c>
      <c r="F2334" s="391" t="str">
        <f ca="1">IFERROR(VLOOKUP(C2334,' Disaggregation - Section E '!A$618:J3023,5,0),"")</f>
        <v>Male</v>
      </c>
      <c r="G2334" s="390">
        <f ca="1">IFERROR(IF(VLOOKUP(C2334,' Disaggregation - Section E '!A$618:J3023,6,0)="","",VLOOKUP(C2334,' Disaggregation - Section E '!A$618:J3023,6,0)),"")</f>
        <v>686</v>
      </c>
      <c r="H2334" s="390">
        <f ca="1">IFERROR(IF(INDEX(' Disaggregation - Section E '!F$618:F3023,MATCH(C2334,' Disaggregation - Section E '!A$618:A3023,0)+1,1)&lt;&gt;0,INDEX(' Disaggregation - Section E '!F$618:F3023,MATCH(C2334,' Disaggregation - Section E '!A$618:A3023,0)+1,1),""),"")</f>
        <v>1236</v>
      </c>
      <c r="I2334" s="391">
        <f ca="1">IFERROR(IF(VLOOKUP(C2334,' Disaggregation - Section E '!A$618:J3023,8,0)=0,"",VLOOKUP(C2334,' Disaggregation - Section E '!A$618:J3023,8,0)),"")</f>
        <v>2021</v>
      </c>
      <c r="J2334" s="391" t="str">
        <f ca="1">IFERROR(IF(VLOOKUP(C2334,' Disaggregation - Section E '!A$618:J3023,9,0)="","",VLOOKUP(C2334,' Disaggregation - Section E '!A$618:J3023,9,0)),"")</f>
        <v>NTP report</v>
      </c>
      <c r="K2334" s="387" t="str">
        <f ca="1">IFERROR(VLOOKUP(C2334,' Disaggregation - Section E '!A$618:J3023,3,0),"")</f>
        <v>DRTB-3 Percentage of people with confirmed RR-TB and/or MDR-TB that began second-line treatment</v>
      </c>
      <c r="L2334" s="387"/>
      <c r="M2334" s="387" t="str">
        <f ca="1">IFERROR(IF(VLOOKUP(C2334,' Disaggregation - Section E '!A$618:O1346,15,0)=0,"",VLOOKUP(C2334,' Disaggregation - Section E '!A$618:O1346,15,0)),"")</f>
        <v>IDR-01382</v>
      </c>
      <c r="N2334" s="391" t="str">
        <f ca="1">IFERROR(IF(VLOOKUP(C2334,' Disaggregation - Section E '!A$618:J3023,10,0)=0,"",VLOOKUP(C2334,' Disaggregation - Section E '!A$618:J3023,10,0)),"")</f>
        <v>Percentage of men with confirmed RR-TB and/or MDR-TB that began second line treatment is 55.5%</v>
      </c>
      <c r="O2334" s="387"/>
      <c r="P2334" s="387" t="str">
        <f ca="1">IFERROR(IF(VLOOKUP(C2334,' Disaggregation - Section E '!A$618:R1346,18,0)=0,"",VLOOKUP(C2334,' Disaggregation - Section E '!A$618:R1346,18,0)),"")</f>
        <v>a1LDm000000Cb52MAC</v>
      </c>
    </row>
    <row r="2335" spans="1:16">
      <c r="A2335" s="387" t="b">
        <f t="shared" ca="1" si="167"/>
        <v>1</v>
      </c>
      <c r="B2335" s="387"/>
      <c r="C2335" s="396" t="str">
        <f ca="1">IF(COUNTA(O$1610:O2335)=1,"",OFFSET(B2333,-COUNTA(O$1610:O2335)+3,1))</f>
        <v>a16Dm000000M3rWIAS</v>
      </c>
      <c r="D2335" s="392"/>
      <c r="E2335" s="389">
        <f ca="1">IFERROR(IF(VLOOKUP(C2335,' Disaggregation - Section E '!A$618:J3024,7,0)="","",VLOOKUP(C2335,' Disaggregation - Section E '!A$618:J3024,7,0)*100),"")</f>
        <v>0.40453074433656955</v>
      </c>
      <c r="F2335" s="391" t="str">
        <f ca="1">IFERROR(VLOOKUP(C2335,' Disaggregation - Section E '!A$618:J3024,5,0),"")</f>
        <v>Longer individualized</v>
      </c>
      <c r="G2335" s="390">
        <f ca="1">IFERROR(IF(VLOOKUP(C2335,' Disaggregation - Section E '!A$618:J3024,6,0)="","",VLOOKUP(C2335,' Disaggregation - Section E '!A$618:J3024,6,0)),"")</f>
        <v>5</v>
      </c>
      <c r="H2335" s="390">
        <f ca="1">IFERROR(IF(INDEX(' Disaggregation - Section E '!F$618:F3024,MATCH(C2335,' Disaggregation - Section E '!A$618:A3024,0)+1,1)&lt;&gt;0,INDEX(' Disaggregation - Section E '!F$618:F3024,MATCH(C2335,' Disaggregation - Section E '!A$618:A3024,0)+1,1),""),"")</f>
        <v>1236</v>
      </c>
      <c r="I2335" s="391">
        <f ca="1">IFERROR(IF(VLOOKUP(C2335,' Disaggregation - Section E '!A$618:J3024,8,0)=0,"",VLOOKUP(C2335,' Disaggregation - Section E '!A$618:J3024,8,0)),"")</f>
        <v>2021</v>
      </c>
      <c r="J2335" s="391" t="str">
        <f ca="1">IFERROR(IF(VLOOKUP(C2335,' Disaggregation - Section E '!A$618:J3024,9,0)="","",VLOOKUP(C2335,' Disaggregation - Section E '!A$618:J3024,9,0)),"")</f>
        <v>NTP report</v>
      </c>
      <c r="K2335" s="387" t="str">
        <f ca="1">IFERROR(VLOOKUP(C2335,' Disaggregation - Section E '!A$618:J3024,3,0),"")</f>
        <v>DRTB-3 Percentage of people with confirmed RR-TB and/or MDR-TB that began second-line treatment</v>
      </c>
      <c r="L2335" s="387"/>
      <c r="M2335" s="387" t="str">
        <f ca="1">IFERROR(IF(VLOOKUP(C2335,' Disaggregation - Section E '!A$618:O1347,15,0)=0,"",VLOOKUP(C2335,' Disaggregation - Section E '!A$618:O1347,15,0)),"")</f>
        <v>IDR-01381</v>
      </c>
      <c r="N2335" s="391" t="str">
        <f ca="1">IFERROR(IF(VLOOKUP(C2335,' Disaggregation - Section E '!A$618:J3024,10,0)=0,"",VLOOKUP(C2335,' Disaggregation - Section E '!A$618:J3024,10,0)),"")</f>
        <v>Percentage of more individualized regimens of patients with confirmed RR-TB and/or MDR-TB that started second-line therapy is 0.40%</v>
      </c>
      <c r="O2335" s="387"/>
      <c r="P2335" s="387" t="str">
        <f ca="1">IFERROR(IF(VLOOKUP(C2335,' Disaggregation - Section E '!A$618:R1347,18,0)=0,"",VLOOKUP(C2335,' Disaggregation - Section E '!A$618:R1347,18,0)),"")</f>
        <v>a1LDm000000Cb51MAC</v>
      </c>
    </row>
    <row r="2336" spans="1:16">
      <c r="A2336" s="387" t="b">
        <f t="shared" ca="1" si="167"/>
        <v>1</v>
      </c>
      <c r="B2336" s="387"/>
      <c r="C2336" s="396" t="str">
        <f ca="1">IF(COUNTA(O$1610:O2336)=1,"",OFFSET(B2334,-COUNTA(O$1610:O2336)+3,1))</f>
        <v>a16Dm000000M3rXIAS</v>
      </c>
      <c r="D2336" s="392"/>
      <c r="E2336" s="389">
        <f ca="1">IFERROR(IF(VLOOKUP(C2336,' Disaggregation - Section E '!A$618:J3025,7,0)="","",VLOOKUP(C2336,' Disaggregation - Section E '!A$618:J3025,7,0)*100),"")</f>
        <v>38.834951456310677</v>
      </c>
      <c r="F2336" s="391" t="str">
        <f ca="1">IFERROR(VLOOKUP(C2336,' Disaggregation - Section E '!A$618:J3025,5,0),"")</f>
        <v>Female</v>
      </c>
      <c r="G2336" s="390">
        <f ca="1">IFERROR(IF(VLOOKUP(C2336,' Disaggregation - Section E '!A$618:J3025,6,0)="","",VLOOKUP(C2336,' Disaggregation - Section E '!A$618:J3025,6,0)),"")</f>
        <v>480</v>
      </c>
      <c r="H2336" s="390">
        <f ca="1">IFERROR(IF(INDEX(' Disaggregation - Section E '!F$618:F3025,MATCH(C2336,' Disaggregation - Section E '!A$618:A3025,0)+1,1)&lt;&gt;0,INDEX(' Disaggregation - Section E '!F$618:F3025,MATCH(C2336,' Disaggregation - Section E '!A$618:A3025,0)+1,1),""),"")</f>
        <v>1236</v>
      </c>
      <c r="I2336" s="391">
        <f ca="1">IFERROR(IF(VLOOKUP(C2336,' Disaggregation - Section E '!A$618:J3025,8,0)=0,"",VLOOKUP(C2336,' Disaggregation - Section E '!A$618:J3025,8,0)),"")</f>
        <v>2021</v>
      </c>
      <c r="J2336" s="391" t="str">
        <f ca="1">IFERROR(IF(VLOOKUP(C2336,' Disaggregation - Section E '!A$618:J3025,9,0)="","",VLOOKUP(C2336,' Disaggregation - Section E '!A$618:J3025,9,0)),"")</f>
        <v>NTP report</v>
      </c>
      <c r="K2336" s="387" t="str">
        <f ca="1">IFERROR(VLOOKUP(C2336,' Disaggregation - Section E '!A$618:J3025,3,0),"")</f>
        <v>DRTB-3 Percentage of people with confirmed RR-TB and/or MDR-TB that began second-line treatment</v>
      </c>
      <c r="L2336" s="387"/>
      <c r="M2336" s="387" t="str">
        <f ca="1">IFERROR(IF(VLOOKUP(C2336,' Disaggregation - Section E '!A$618:O1348,15,0)=0,"",VLOOKUP(C2336,' Disaggregation - Section E '!A$618:O1348,15,0)),"")</f>
        <v>IDR-01380</v>
      </c>
      <c r="N2336" s="391" t="str">
        <f ca="1">IFERROR(IF(VLOOKUP(C2336,' Disaggregation - Section E '!A$618:J3025,10,0)=0,"",VLOOKUP(C2336,' Disaggregation - Section E '!A$618:J3025,10,0)),"")</f>
        <v>Percentage of women with confirmed RR-TB and/or MDR-TB that began second line treatment is 38.8%</v>
      </c>
      <c r="O2336" s="387"/>
      <c r="P2336" s="387" t="str">
        <f ca="1">IFERROR(IF(VLOOKUP(C2336,' Disaggregation - Section E '!A$618:R1348,18,0)=0,"",VLOOKUP(C2336,' Disaggregation - Section E '!A$618:R1348,18,0)),"")</f>
        <v>a1LDm000000Cb50MAC</v>
      </c>
    </row>
    <row r="2337" spans="1:16">
      <c r="A2337" s="387" t="b">
        <f t="shared" ca="1" si="167"/>
        <v>1</v>
      </c>
      <c r="B2337" s="387"/>
      <c r="C2337" s="396" t="str">
        <f ca="1">IF(COUNTA(O$1610:O2337)=1,"",OFFSET(B2335,-COUNTA(O$1610:O2337)+3,1))</f>
        <v>a16Dm000000M3rYIAS</v>
      </c>
      <c r="D2337" s="392"/>
      <c r="E2337" s="389">
        <f ca="1">IFERROR(IF(VLOOKUP(C2337,' Disaggregation - Section E '!A$618:J3026,7,0)="","",VLOOKUP(C2337,' Disaggregation - Section E '!A$618:J3026,7,0)*100),"")</f>
        <v>90.614886731391593</v>
      </c>
      <c r="F2337" s="391" t="str">
        <f ca="1">IFERROR(VLOOKUP(C2337,' Disaggregation - Section E '!A$618:J3026,5,0),"")</f>
        <v>Shorter 6-9 month</v>
      </c>
      <c r="G2337" s="390">
        <f ca="1">IFERROR(IF(VLOOKUP(C2337,' Disaggregation - Section E '!A$618:J3026,6,0)="","",VLOOKUP(C2337,' Disaggregation - Section E '!A$618:J3026,6,0)),"")</f>
        <v>1120</v>
      </c>
      <c r="H2337" s="390">
        <f ca="1">IFERROR(IF(INDEX(' Disaggregation - Section E '!F$618:F3026,MATCH(C2337,' Disaggregation - Section E '!A$618:A3026,0)+1,1)&lt;&gt;0,INDEX(' Disaggregation - Section E '!F$618:F3026,MATCH(C2337,' Disaggregation - Section E '!A$618:A3026,0)+1,1),""),"")</f>
        <v>1236</v>
      </c>
      <c r="I2337" s="391">
        <f ca="1">IFERROR(IF(VLOOKUP(C2337,' Disaggregation - Section E '!A$618:J3026,8,0)=0,"",VLOOKUP(C2337,' Disaggregation - Section E '!A$618:J3026,8,0)),"")</f>
        <v>2021</v>
      </c>
      <c r="J2337" s="391" t="str">
        <f ca="1">IFERROR(IF(VLOOKUP(C2337,' Disaggregation - Section E '!A$618:J3026,9,0)="","",VLOOKUP(C2337,' Disaggregation - Section E '!A$618:J3026,9,0)),"")</f>
        <v>NTP report</v>
      </c>
      <c r="K2337" s="387" t="str">
        <f ca="1">IFERROR(VLOOKUP(C2337,' Disaggregation - Section E '!A$618:J3026,3,0),"")</f>
        <v>DRTB-3 Percentage of people with confirmed RR-TB and/or MDR-TB that began second-line treatment</v>
      </c>
      <c r="L2337" s="387"/>
      <c r="M2337" s="387" t="str">
        <f ca="1">IFERROR(IF(VLOOKUP(C2337,' Disaggregation - Section E '!A$618:O1349,15,0)=0,"",VLOOKUP(C2337,' Disaggregation - Section E '!A$618:O1349,15,0)),"")</f>
        <v>IDR-01379</v>
      </c>
      <c r="N2337" s="391" t="str">
        <f ca="1">IFERROR(IF(VLOOKUP(C2337,' Disaggregation - Section E '!A$618:J3026,10,0)=0,"",VLOOKUP(C2337,' Disaggregation - Section E '!A$618:J3026,10,0)),"")</f>
        <v>Percentage of shorter regimens of patients with confirmed RR-TB and/or MDR-TB that started second-line therapy is 0.40%</v>
      </c>
      <c r="O2337" s="387"/>
      <c r="P2337" s="387" t="str">
        <f ca="1">IFERROR(IF(VLOOKUP(C2337,' Disaggregation - Section E '!A$618:R1349,18,0)=0,"",VLOOKUP(C2337,' Disaggregation - Section E '!A$618:R1349,18,0)),"")</f>
        <v>a1LDm000000Cb4zMAC</v>
      </c>
    </row>
    <row r="2338" spans="1:16">
      <c r="A2338" s="387" t="b">
        <f t="shared" ca="1" si="167"/>
        <v>0</v>
      </c>
      <c r="B2338" s="387"/>
      <c r="C2338" s="396" t="str">
        <f ca="1">IF(COUNTA(O$1610:O2338)=1,"",OFFSET(B2336,-COUNTA(O$1610:O2338)+3,1))</f>
        <v>a16Dm000000M3rZIAS</v>
      </c>
      <c r="D2338" s="392"/>
      <c r="E2338" s="389" t="str">
        <f ca="1">IFERROR(IF(VLOOKUP(C2338,' Disaggregation - Section E '!A$618:J3027,7,0)="","",VLOOKUP(C2338,' Disaggregation - Section E '!A$618:J3027,7,0)*100),"")</f>
        <v/>
      </c>
      <c r="F2338" s="391" t="str">
        <f ca="1">IFERROR(VLOOKUP(C2338,' Disaggregation - Section E '!A$618:J3027,5,0),"")</f>
        <v/>
      </c>
      <c r="G2338" s="390" t="str">
        <f ca="1">IFERROR(IF(VLOOKUP(C2338,' Disaggregation - Section E '!A$618:J3027,6,0)="","",VLOOKUP(C2338,' Disaggregation - Section E '!A$618:J3027,6,0)),"")</f>
        <v/>
      </c>
      <c r="H2338" s="390" t="str">
        <f ca="1">IFERROR(IF(INDEX(' Disaggregation - Section E '!F$618:F3027,MATCH(C2338,' Disaggregation - Section E '!A$618:A3027,0)+1,1)&lt;&gt;0,INDEX(' Disaggregation - Section E '!F$618:F3027,MATCH(C2338,' Disaggregation - Section E '!A$618:A3027,0)+1,1),""),"")</f>
        <v/>
      </c>
      <c r="I2338" s="391" t="str">
        <f ca="1">IFERROR(IF(VLOOKUP(C2338,' Disaggregation - Section E '!A$618:J3027,8,0)=0,"",VLOOKUP(C2338,' Disaggregation - Section E '!A$618:J3027,8,0)),"")</f>
        <v/>
      </c>
      <c r="J2338" s="391" t="str">
        <f ca="1">IFERROR(IF(VLOOKUP(C2338,' Disaggregation - Section E '!A$618:J3027,9,0)="","",VLOOKUP(C2338,' Disaggregation - Section E '!A$618:J3027,9,0)),"")</f>
        <v/>
      </c>
      <c r="K2338" s="387" t="str">
        <f ca="1">IFERROR(VLOOKUP(C2338,' Disaggregation - Section E '!A$618:J3027,3,0),"")</f>
        <v>DRTB-3 Percentage of people with confirmed RR-TB and/or MDR-TB that began second-line treatment</v>
      </c>
      <c r="L2338" s="387"/>
      <c r="M2338" s="387" t="str">
        <f ca="1">IFERROR(IF(VLOOKUP(C2338,' Disaggregation - Section E '!A$618:O1350,15,0)=0,"",VLOOKUP(C2338,' Disaggregation - Section E '!A$618:O1350,15,0)),"")</f>
        <v/>
      </c>
      <c r="N2338" s="391" t="str">
        <f ca="1">IFERROR(IF(VLOOKUP(C2338,' Disaggregation - Section E '!A$618:J3027,10,0)=0,"",VLOOKUP(C2338,' Disaggregation - Section E '!A$618:J3027,10,0)),"")</f>
        <v/>
      </c>
      <c r="O2338" s="387"/>
      <c r="P2338" s="387" t="str">
        <f ca="1">IFERROR(IF(VLOOKUP(C2338,' Disaggregation - Section E '!A$618:R1350,18,0)=0,"",VLOOKUP(C2338,' Disaggregation - Section E '!A$618:R1350,18,0)),"")</f>
        <v/>
      </c>
    </row>
    <row r="2339" spans="1:16">
      <c r="A2339" s="387" t="b">
        <f t="shared" ca="1" si="167"/>
        <v>0</v>
      </c>
      <c r="B2339" s="387"/>
      <c r="C2339" s="396" t="str">
        <f ca="1">IF(COUNTA(O$1610:O2339)=1,"",OFFSET(B2337,-COUNTA(O$1610:O2339)+3,1))</f>
        <v>a16Dm000000M3raIAC</v>
      </c>
      <c r="D2339" s="392"/>
      <c r="E2339" s="389" t="str">
        <f ca="1">IFERROR(IF(VLOOKUP(C2339,' Disaggregation - Section E '!A$618:J3028,7,0)="","",VLOOKUP(C2339,' Disaggregation - Section E '!A$618:J3028,7,0)*100),"")</f>
        <v/>
      </c>
      <c r="F2339" s="391" t="str">
        <f ca="1">IFERROR(VLOOKUP(C2339,' Disaggregation - Section E '!A$618:J3028,5,0),"")</f>
        <v/>
      </c>
      <c r="G2339" s="390" t="str">
        <f ca="1">IFERROR(IF(VLOOKUP(C2339,' Disaggregation - Section E '!A$618:J3028,6,0)="","",VLOOKUP(C2339,' Disaggregation - Section E '!A$618:J3028,6,0)),"")</f>
        <v/>
      </c>
      <c r="H2339" s="390" t="str">
        <f ca="1">IFERROR(IF(INDEX(' Disaggregation - Section E '!F$618:F3028,MATCH(C2339,' Disaggregation - Section E '!A$618:A3028,0)+1,1)&lt;&gt;0,INDEX(' Disaggregation - Section E '!F$618:F3028,MATCH(C2339,' Disaggregation - Section E '!A$618:A3028,0)+1,1),""),"")</f>
        <v/>
      </c>
      <c r="I2339" s="391" t="str">
        <f ca="1">IFERROR(IF(VLOOKUP(C2339,' Disaggregation - Section E '!A$618:J3028,8,0)=0,"",VLOOKUP(C2339,' Disaggregation - Section E '!A$618:J3028,8,0)),"")</f>
        <v/>
      </c>
      <c r="J2339" s="391" t="str">
        <f ca="1">IFERROR(IF(VLOOKUP(C2339,' Disaggregation - Section E '!A$618:J3028,9,0)="","",VLOOKUP(C2339,' Disaggregation - Section E '!A$618:J3028,9,0)),"")</f>
        <v/>
      </c>
      <c r="K2339" s="387" t="str">
        <f ca="1">IFERROR(VLOOKUP(C2339,' Disaggregation - Section E '!A$618:J3028,3,0),"")</f>
        <v>DRTB-3 Percentage of people with confirmed RR-TB and/or MDR-TB that began second-line treatment</v>
      </c>
      <c r="L2339" s="387"/>
      <c r="M2339" s="387" t="str">
        <f ca="1">IFERROR(IF(VLOOKUP(C2339,' Disaggregation - Section E '!A$618:O1351,15,0)=0,"",VLOOKUP(C2339,' Disaggregation - Section E '!A$618:O1351,15,0)),"")</f>
        <v/>
      </c>
      <c r="N2339" s="391" t="str">
        <f ca="1">IFERROR(IF(VLOOKUP(C2339,' Disaggregation - Section E '!A$618:J3028,10,0)=0,"",VLOOKUP(C2339,' Disaggregation - Section E '!A$618:J3028,10,0)),"")</f>
        <v/>
      </c>
      <c r="O2339" s="387"/>
      <c r="P2339" s="387" t="str">
        <f ca="1">IFERROR(IF(VLOOKUP(C2339,' Disaggregation - Section E '!A$618:R1351,18,0)=0,"",VLOOKUP(C2339,' Disaggregation - Section E '!A$618:R1351,18,0)),"")</f>
        <v/>
      </c>
    </row>
    <row r="2340" spans="1:16">
      <c r="A2340" s="387" t="b">
        <f t="shared" ca="1" si="167"/>
        <v>0</v>
      </c>
      <c r="B2340" s="387"/>
      <c r="C2340" s="396" t="str">
        <f ca="1">IF(COUNTA(O$1610:O2340)=1,"",OFFSET(B2338,-COUNTA(O$1610:O2340)+3,1))</f>
        <v>a16Dm000000M3rbIAC</v>
      </c>
      <c r="D2340" s="392"/>
      <c r="E2340" s="389" t="str">
        <f ca="1">IFERROR(IF(VLOOKUP(C2340,' Disaggregation - Section E '!A$618:J3029,7,0)="","",VLOOKUP(C2340,' Disaggregation - Section E '!A$618:J3029,7,0)*100),"")</f>
        <v/>
      </c>
      <c r="F2340" s="391" t="str">
        <f ca="1">IFERROR(VLOOKUP(C2340,' Disaggregation - Section E '!A$618:J3029,5,0),"")</f>
        <v/>
      </c>
      <c r="G2340" s="390" t="str">
        <f ca="1">IFERROR(IF(VLOOKUP(C2340,' Disaggregation - Section E '!A$618:J3029,6,0)="","",VLOOKUP(C2340,' Disaggregation - Section E '!A$618:J3029,6,0)),"")</f>
        <v/>
      </c>
      <c r="H2340" s="390" t="str">
        <f ca="1">IFERROR(IF(INDEX(' Disaggregation - Section E '!F$618:F3029,MATCH(C2340,' Disaggregation - Section E '!A$618:A3029,0)+1,1)&lt;&gt;0,INDEX(' Disaggregation - Section E '!F$618:F3029,MATCH(C2340,' Disaggregation - Section E '!A$618:A3029,0)+1,1),""),"")</f>
        <v/>
      </c>
      <c r="I2340" s="391" t="str">
        <f ca="1">IFERROR(IF(VLOOKUP(C2340,' Disaggregation - Section E '!A$618:J3029,8,0)=0,"",VLOOKUP(C2340,' Disaggregation - Section E '!A$618:J3029,8,0)),"")</f>
        <v/>
      </c>
      <c r="J2340" s="391" t="str">
        <f ca="1">IFERROR(IF(VLOOKUP(C2340,' Disaggregation - Section E '!A$618:J3029,9,0)="","",VLOOKUP(C2340,' Disaggregation - Section E '!A$618:J3029,9,0)),"")</f>
        <v/>
      </c>
      <c r="K2340" s="387" t="str">
        <f ca="1">IFERROR(VLOOKUP(C2340,' Disaggregation - Section E '!A$618:J3029,3,0),"")</f>
        <v>DRTB-3 Percentage of people with confirmed RR-TB and/or MDR-TB that began second-line treatment</v>
      </c>
      <c r="L2340" s="387"/>
      <c r="M2340" s="387" t="str">
        <f ca="1">IFERROR(IF(VLOOKUP(C2340,' Disaggregation - Section E '!A$618:O1352,15,0)=0,"",VLOOKUP(C2340,' Disaggregation - Section E '!A$618:O1352,15,0)),"")</f>
        <v/>
      </c>
      <c r="N2340" s="391" t="str">
        <f ca="1">IFERROR(IF(VLOOKUP(C2340,' Disaggregation - Section E '!A$618:J3029,10,0)=0,"",VLOOKUP(C2340,' Disaggregation - Section E '!A$618:J3029,10,0)),"")</f>
        <v/>
      </c>
      <c r="O2340" s="387"/>
      <c r="P2340" s="387" t="str">
        <f ca="1">IFERROR(IF(VLOOKUP(C2340,' Disaggregation - Section E '!A$618:R1352,18,0)=0,"",VLOOKUP(C2340,' Disaggregation - Section E '!A$618:R1352,18,0)),"")</f>
        <v/>
      </c>
    </row>
    <row r="2341" spans="1:16">
      <c r="A2341" s="387" t="b">
        <f t="shared" ca="1" si="167"/>
        <v>0</v>
      </c>
      <c r="B2341" s="387"/>
      <c r="C2341" s="396" t="str">
        <f ca="1">IF(COUNTA(O$1610:O2341)=1,"",OFFSET(B2339,-COUNTA(O$1610:O2341)+3,1))</f>
        <v>a16Dm000000M3rcIAC</v>
      </c>
      <c r="D2341" s="392"/>
      <c r="E2341" s="389" t="str">
        <f ca="1">IFERROR(IF(VLOOKUP(C2341,' Disaggregation - Section E '!A$618:J3030,7,0)="","",VLOOKUP(C2341,' Disaggregation - Section E '!A$618:J3030,7,0)*100),"")</f>
        <v/>
      </c>
      <c r="F2341" s="391" t="str">
        <f ca="1">IFERROR(VLOOKUP(C2341,' Disaggregation - Section E '!A$618:J3030,5,0),"")</f>
        <v/>
      </c>
      <c r="G2341" s="390" t="str">
        <f ca="1">IFERROR(IF(VLOOKUP(C2341,' Disaggregation - Section E '!A$618:J3030,6,0)="","",VLOOKUP(C2341,' Disaggregation - Section E '!A$618:J3030,6,0)),"")</f>
        <v/>
      </c>
      <c r="H2341" s="390" t="str">
        <f ca="1">IFERROR(IF(INDEX(' Disaggregation - Section E '!F$618:F3030,MATCH(C2341,' Disaggregation - Section E '!A$618:A3030,0)+1,1)&lt;&gt;0,INDEX(' Disaggregation - Section E '!F$618:F3030,MATCH(C2341,' Disaggregation - Section E '!A$618:A3030,0)+1,1),""),"")</f>
        <v/>
      </c>
      <c r="I2341" s="391" t="str">
        <f ca="1">IFERROR(IF(VLOOKUP(C2341,' Disaggregation - Section E '!A$618:J3030,8,0)=0,"",VLOOKUP(C2341,' Disaggregation - Section E '!A$618:J3030,8,0)),"")</f>
        <v/>
      </c>
      <c r="J2341" s="391" t="str">
        <f ca="1">IFERROR(IF(VLOOKUP(C2341,' Disaggregation - Section E '!A$618:J3030,9,0)="","",VLOOKUP(C2341,' Disaggregation - Section E '!A$618:J3030,9,0)),"")</f>
        <v/>
      </c>
      <c r="K2341" s="387" t="str">
        <f ca="1">IFERROR(VLOOKUP(C2341,' Disaggregation - Section E '!A$618:J3030,3,0),"")</f>
        <v>DRTB-3 Percentage of people with confirmed RR-TB and/or MDR-TB that began second-line treatment</v>
      </c>
      <c r="L2341" s="387"/>
      <c r="M2341" s="387" t="str">
        <f ca="1">IFERROR(IF(VLOOKUP(C2341,' Disaggregation - Section E '!A$618:O1353,15,0)=0,"",VLOOKUP(C2341,' Disaggregation - Section E '!A$618:O1353,15,0)),"")</f>
        <v/>
      </c>
      <c r="N2341" s="391" t="str">
        <f ca="1">IFERROR(IF(VLOOKUP(C2341,' Disaggregation - Section E '!A$618:J3030,10,0)=0,"",VLOOKUP(C2341,' Disaggregation - Section E '!A$618:J3030,10,0)),"")</f>
        <v/>
      </c>
      <c r="O2341" s="387"/>
      <c r="P2341" s="387" t="str">
        <f ca="1">IFERROR(IF(VLOOKUP(C2341,' Disaggregation - Section E '!A$618:R1353,18,0)=0,"",VLOOKUP(C2341,' Disaggregation - Section E '!A$618:R1353,18,0)),"")</f>
        <v/>
      </c>
    </row>
    <row r="2342" spans="1:16">
      <c r="A2342" s="387" t="b">
        <f t="shared" ca="1" si="167"/>
        <v>0</v>
      </c>
      <c r="B2342" s="387"/>
      <c r="C2342" s="396" t="str">
        <f ca="1">IF(COUNTA(O$1610:O2342)=1,"",OFFSET(B2340,-COUNTA(O$1610:O2342)+3,1))</f>
        <v>a16Dm000000M3rdIAC</v>
      </c>
      <c r="D2342" s="392"/>
      <c r="E2342" s="389" t="str">
        <f ca="1">IFERROR(IF(VLOOKUP(C2342,' Disaggregation - Section E '!A$618:J3031,7,0)="","",VLOOKUP(C2342,' Disaggregation - Section E '!A$618:J3031,7,0)*100),"")</f>
        <v/>
      </c>
      <c r="F2342" s="391" t="str">
        <f ca="1">IFERROR(VLOOKUP(C2342,' Disaggregation - Section E '!A$618:J3031,5,0),"")</f>
        <v/>
      </c>
      <c r="G2342" s="390" t="str">
        <f ca="1">IFERROR(IF(VLOOKUP(C2342,' Disaggregation - Section E '!A$618:J3031,6,0)="","",VLOOKUP(C2342,' Disaggregation - Section E '!A$618:J3031,6,0)),"")</f>
        <v/>
      </c>
      <c r="H2342" s="390" t="str">
        <f ca="1">IFERROR(IF(INDEX(' Disaggregation - Section E '!F$618:F3031,MATCH(C2342,' Disaggregation - Section E '!A$618:A3031,0)+1,1)&lt;&gt;0,INDEX(' Disaggregation - Section E '!F$618:F3031,MATCH(C2342,' Disaggregation - Section E '!A$618:A3031,0)+1,1),""),"")</f>
        <v/>
      </c>
      <c r="I2342" s="391" t="str">
        <f ca="1">IFERROR(IF(VLOOKUP(C2342,' Disaggregation - Section E '!A$618:J3031,8,0)=0,"",VLOOKUP(C2342,' Disaggregation - Section E '!A$618:J3031,8,0)),"")</f>
        <v/>
      </c>
      <c r="J2342" s="391" t="str">
        <f ca="1">IFERROR(IF(VLOOKUP(C2342,' Disaggregation - Section E '!A$618:J3031,9,0)="","",VLOOKUP(C2342,' Disaggregation - Section E '!A$618:J3031,9,0)),"")</f>
        <v/>
      </c>
      <c r="K2342" s="387" t="str">
        <f ca="1">IFERROR(VLOOKUP(C2342,' Disaggregation - Section E '!A$618:J3031,3,0),"")</f>
        <v>DRTB-3 Percentage of people with confirmed RR-TB and/or MDR-TB that began second-line treatment</v>
      </c>
      <c r="L2342" s="387"/>
      <c r="M2342" s="387" t="str">
        <f ca="1">IFERROR(IF(VLOOKUP(C2342,' Disaggregation - Section E '!A$618:O1354,15,0)=0,"",VLOOKUP(C2342,' Disaggregation - Section E '!A$618:O1354,15,0)),"")</f>
        <v/>
      </c>
      <c r="N2342" s="391" t="str">
        <f ca="1">IFERROR(IF(VLOOKUP(C2342,' Disaggregation - Section E '!A$618:J3031,10,0)=0,"",VLOOKUP(C2342,' Disaggregation - Section E '!A$618:J3031,10,0)),"")</f>
        <v/>
      </c>
      <c r="O2342" s="387"/>
      <c r="P2342" s="387" t="str">
        <f ca="1">IFERROR(IF(VLOOKUP(C2342,' Disaggregation - Section E '!A$618:R1354,18,0)=0,"",VLOOKUP(C2342,' Disaggregation - Section E '!A$618:R1354,18,0)),"")</f>
        <v/>
      </c>
    </row>
    <row r="2343" spans="1:16">
      <c r="A2343" s="387" t="b">
        <f t="shared" ca="1" si="167"/>
        <v>0</v>
      </c>
      <c r="B2343" s="387"/>
      <c r="C2343" s="396" t="str">
        <f ca="1">IF(COUNTA(O$1610:O2343)=1,"",OFFSET(B2341,-COUNTA(O$1610:O2343)+3,1))</f>
        <v>a16Dm000000M3reIAC</v>
      </c>
      <c r="D2343" s="392"/>
      <c r="E2343" s="389" t="str">
        <f ca="1">IFERROR(IF(VLOOKUP(C2343,' Disaggregation - Section E '!A$618:J3032,7,0)="","",VLOOKUP(C2343,' Disaggregation - Section E '!A$618:J3032,7,0)*100),"")</f>
        <v/>
      </c>
      <c r="F2343" s="391" t="str">
        <f ca="1">IFERROR(VLOOKUP(C2343,' Disaggregation - Section E '!A$618:J3032,5,0),"")</f>
        <v/>
      </c>
      <c r="G2343" s="390" t="str">
        <f ca="1">IFERROR(IF(VLOOKUP(C2343,' Disaggregation - Section E '!A$618:J3032,6,0)="","",VLOOKUP(C2343,' Disaggregation - Section E '!A$618:J3032,6,0)),"")</f>
        <v/>
      </c>
      <c r="H2343" s="390" t="str">
        <f ca="1">IFERROR(IF(INDEX(' Disaggregation - Section E '!F$618:F3032,MATCH(C2343,' Disaggregation - Section E '!A$618:A3032,0)+1,1)&lt;&gt;0,INDEX(' Disaggregation - Section E '!F$618:F3032,MATCH(C2343,' Disaggregation - Section E '!A$618:A3032,0)+1,1),""),"")</f>
        <v/>
      </c>
      <c r="I2343" s="391" t="str">
        <f ca="1">IFERROR(IF(VLOOKUP(C2343,' Disaggregation - Section E '!A$618:J3032,8,0)=0,"",VLOOKUP(C2343,' Disaggregation - Section E '!A$618:J3032,8,0)),"")</f>
        <v/>
      </c>
      <c r="J2343" s="391" t="str">
        <f ca="1">IFERROR(IF(VLOOKUP(C2343,' Disaggregation - Section E '!A$618:J3032,9,0)="","",VLOOKUP(C2343,' Disaggregation - Section E '!A$618:J3032,9,0)),"")</f>
        <v/>
      </c>
      <c r="K2343" s="387" t="str">
        <f ca="1">IFERROR(VLOOKUP(C2343,' Disaggregation - Section E '!A$618:J3032,3,0),"")</f>
        <v>DRTB-3 Percentage of people with confirmed RR-TB and/or MDR-TB that began second-line treatment</v>
      </c>
      <c r="L2343" s="387"/>
      <c r="M2343" s="387" t="str">
        <f ca="1">IFERROR(IF(VLOOKUP(C2343,' Disaggregation - Section E '!A$618:O1355,15,0)=0,"",VLOOKUP(C2343,' Disaggregation - Section E '!A$618:O1355,15,0)),"")</f>
        <v/>
      </c>
      <c r="N2343" s="391" t="str">
        <f ca="1">IFERROR(IF(VLOOKUP(C2343,' Disaggregation - Section E '!A$618:J3032,10,0)=0,"",VLOOKUP(C2343,' Disaggregation - Section E '!A$618:J3032,10,0)),"")</f>
        <v/>
      </c>
      <c r="O2343" s="387"/>
      <c r="P2343" s="387" t="str">
        <f ca="1">IFERROR(IF(VLOOKUP(C2343,' Disaggregation - Section E '!A$618:R1355,18,0)=0,"",VLOOKUP(C2343,' Disaggregation - Section E '!A$618:R1355,18,0)),"")</f>
        <v/>
      </c>
    </row>
    <row r="2344" spans="1:16">
      <c r="A2344" s="387" t="b">
        <f t="shared" ca="1" si="167"/>
        <v>0</v>
      </c>
      <c r="B2344" s="387"/>
      <c r="C2344" s="396" t="str">
        <f ca="1">IF(COUNTA(O$1610:O2344)=1,"",OFFSET(B2342,-COUNTA(O$1610:O2344)+3,1))</f>
        <v>a16Dm000000M3rfIAC</v>
      </c>
      <c r="D2344" s="392"/>
      <c r="E2344" s="389" t="str">
        <f ca="1">IFERROR(IF(VLOOKUP(C2344,' Disaggregation - Section E '!A$618:J3033,7,0)="","",VLOOKUP(C2344,' Disaggregation - Section E '!A$618:J3033,7,0)*100),"")</f>
        <v/>
      </c>
      <c r="F2344" s="391" t="str">
        <f ca="1">IFERROR(VLOOKUP(C2344,' Disaggregation - Section E '!A$618:J3033,5,0),"")</f>
        <v/>
      </c>
      <c r="G2344" s="390" t="str">
        <f ca="1">IFERROR(IF(VLOOKUP(C2344,' Disaggregation - Section E '!A$618:J3033,6,0)="","",VLOOKUP(C2344,' Disaggregation - Section E '!A$618:J3033,6,0)),"")</f>
        <v/>
      </c>
      <c r="H2344" s="390" t="str">
        <f ca="1">IFERROR(IF(INDEX(' Disaggregation - Section E '!F$618:F3033,MATCH(C2344,' Disaggregation - Section E '!A$618:A3033,0)+1,1)&lt;&gt;0,INDEX(' Disaggregation - Section E '!F$618:F3033,MATCH(C2344,' Disaggregation - Section E '!A$618:A3033,0)+1,1),""),"")</f>
        <v/>
      </c>
      <c r="I2344" s="391" t="str">
        <f ca="1">IFERROR(IF(VLOOKUP(C2344,' Disaggregation - Section E '!A$618:J3033,8,0)=0,"",VLOOKUP(C2344,' Disaggregation - Section E '!A$618:J3033,8,0)),"")</f>
        <v/>
      </c>
      <c r="J2344" s="391" t="str">
        <f ca="1">IFERROR(IF(VLOOKUP(C2344,' Disaggregation - Section E '!A$618:J3033,9,0)="","",VLOOKUP(C2344,' Disaggregation - Section E '!A$618:J3033,9,0)),"")</f>
        <v/>
      </c>
      <c r="K2344" s="387" t="str">
        <f ca="1">IFERROR(VLOOKUP(C2344,' Disaggregation - Section E '!A$618:J3033,3,0),"")</f>
        <v>DRTB-3 Percentage of people with confirmed RR-TB and/or MDR-TB that began second-line treatment</v>
      </c>
      <c r="L2344" s="387"/>
      <c r="M2344" s="387" t="str">
        <f ca="1">IFERROR(IF(VLOOKUP(C2344,' Disaggregation - Section E '!A$618:O1356,15,0)=0,"",VLOOKUP(C2344,' Disaggregation - Section E '!A$618:O1356,15,0)),"")</f>
        <v/>
      </c>
      <c r="N2344" s="391" t="str">
        <f ca="1">IFERROR(IF(VLOOKUP(C2344,' Disaggregation - Section E '!A$618:J3033,10,0)=0,"",VLOOKUP(C2344,' Disaggregation - Section E '!A$618:J3033,10,0)),"")</f>
        <v/>
      </c>
      <c r="O2344" s="387"/>
      <c r="P2344" s="387" t="str">
        <f ca="1">IFERROR(IF(VLOOKUP(C2344,' Disaggregation - Section E '!A$618:R1356,18,0)=0,"",VLOOKUP(C2344,' Disaggregation - Section E '!A$618:R1356,18,0)),"")</f>
        <v/>
      </c>
    </row>
    <row r="2345" spans="1:16">
      <c r="A2345" s="387" t="b">
        <f t="shared" ca="1" si="167"/>
        <v>0</v>
      </c>
      <c r="B2345" s="387"/>
      <c r="C2345" s="396" t="str">
        <f ca="1">IF(COUNTA(O$1610:O2345)=1,"",OFFSET(B2343,-COUNTA(O$1610:O2345)+3,1))</f>
        <v>a16Dm000000M3rgIAC</v>
      </c>
      <c r="D2345" s="392"/>
      <c r="E2345" s="389" t="str">
        <f ca="1">IFERROR(IF(VLOOKUP(C2345,' Disaggregation - Section E '!A$618:J3034,7,0)="","",VLOOKUP(C2345,' Disaggregation - Section E '!A$618:J3034,7,0)*100),"")</f>
        <v/>
      </c>
      <c r="F2345" s="391" t="str">
        <f ca="1">IFERROR(VLOOKUP(C2345,' Disaggregation - Section E '!A$618:J3034,5,0),"")</f>
        <v/>
      </c>
      <c r="G2345" s="390" t="str">
        <f ca="1">IFERROR(IF(VLOOKUP(C2345,' Disaggregation - Section E '!A$618:J3034,6,0)="","",VLOOKUP(C2345,' Disaggregation - Section E '!A$618:J3034,6,0)),"")</f>
        <v/>
      </c>
      <c r="H2345" s="390" t="str">
        <f ca="1">IFERROR(IF(INDEX(' Disaggregation - Section E '!F$618:F3034,MATCH(C2345,' Disaggregation - Section E '!A$618:A3034,0)+1,1)&lt;&gt;0,INDEX(' Disaggregation - Section E '!F$618:F3034,MATCH(C2345,' Disaggregation - Section E '!A$618:A3034,0)+1,1),""),"")</f>
        <v/>
      </c>
      <c r="I2345" s="391" t="str">
        <f ca="1">IFERROR(IF(VLOOKUP(C2345,' Disaggregation - Section E '!A$618:J3034,8,0)=0,"",VLOOKUP(C2345,' Disaggregation - Section E '!A$618:J3034,8,0)),"")</f>
        <v/>
      </c>
      <c r="J2345" s="391" t="str">
        <f ca="1">IFERROR(IF(VLOOKUP(C2345,' Disaggregation - Section E '!A$618:J3034,9,0)="","",VLOOKUP(C2345,' Disaggregation - Section E '!A$618:J3034,9,0)),"")</f>
        <v/>
      </c>
      <c r="K2345" s="387" t="str">
        <f ca="1">IFERROR(VLOOKUP(C2345,' Disaggregation - Section E '!A$618:J3034,3,0),"")</f>
        <v>DRTB-3 Percentage of people with confirmed RR-TB and/or MDR-TB that began second-line treatment</v>
      </c>
      <c r="L2345" s="387"/>
      <c r="M2345" s="387" t="str">
        <f ca="1">IFERROR(IF(VLOOKUP(C2345,' Disaggregation - Section E '!A$618:O1357,15,0)=0,"",VLOOKUP(C2345,' Disaggregation - Section E '!A$618:O1357,15,0)),"")</f>
        <v/>
      </c>
      <c r="N2345" s="391" t="str">
        <f ca="1">IFERROR(IF(VLOOKUP(C2345,' Disaggregation - Section E '!A$618:J3034,10,0)=0,"",VLOOKUP(C2345,' Disaggregation - Section E '!A$618:J3034,10,0)),"")</f>
        <v/>
      </c>
      <c r="O2345" s="387"/>
      <c r="P2345" s="387" t="str">
        <f ca="1">IFERROR(IF(VLOOKUP(C2345,' Disaggregation - Section E '!A$618:R1357,18,0)=0,"",VLOOKUP(C2345,' Disaggregation - Section E '!A$618:R1357,18,0)),"")</f>
        <v/>
      </c>
    </row>
    <row r="2346" spans="1:16">
      <c r="A2346" s="387" t="b">
        <f t="shared" ca="1" si="167"/>
        <v>0</v>
      </c>
      <c r="B2346" s="387"/>
      <c r="C2346" s="396" t="str">
        <f ca="1">IF(COUNTA(O$1610:O2346)=1,"",OFFSET(B2344,-COUNTA(O$1610:O2346)+3,1))</f>
        <v>a16Dm000000M3rhIAC</v>
      </c>
      <c r="D2346" s="392"/>
      <c r="E2346" s="389" t="str">
        <f ca="1">IFERROR(IF(VLOOKUP(C2346,' Disaggregation - Section E '!A$618:J3035,7,0)="","",VLOOKUP(C2346,' Disaggregation - Section E '!A$618:J3035,7,0)*100),"")</f>
        <v/>
      </c>
      <c r="F2346" s="391" t="str">
        <f ca="1">IFERROR(VLOOKUP(C2346,' Disaggregation - Section E '!A$618:J3035,5,0),"")</f>
        <v/>
      </c>
      <c r="G2346" s="390" t="str">
        <f ca="1">IFERROR(IF(VLOOKUP(C2346,' Disaggregation - Section E '!A$618:J3035,6,0)="","",VLOOKUP(C2346,' Disaggregation - Section E '!A$618:J3035,6,0)),"")</f>
        <v/>
      </c>
      <c r="H2346" s="390" t="str">
        <f ca="1">IFERROR(IF(INDEX(' Disaggregation - Section E '!F$618:F3035,MATCH(C2346,' Disaggregation - Section E '!A$618:A3035,0)+1,1)&lt;&gt;0,INDEX(' Disaggregation - Section E '!F$618:F3035,MATCH(C2346,' Disaggregation - Section E '!A$618:A3035,0)+1,1),""),"")</f>
        <v/>
      </c>
      <c r="I2346" s="391" t="str">
        <f ca="1">IFERROR(IF(VLOOKUP(C2346,' Disaggregation - Section E '!A$618:J3035,8,0)=0,"",VLOOKUP(C2346,' Disaggregation - Section E '!A$618:J3035,8,0)),"")</f>
        <v/>
      </c>
      <c r="J2346" s="391" t="str">
        <f ca="1">IFERROR(IF(VLOOKUP(C2346,' Disaggregation - Section E '!A$618:J3035,9,0)="","",VLOOKUP(C2346,' Disaggregation - Section E '!A$618:J3035,9,0)),"")</f>
        <v/>
      </c>
      <c r="K2346" s="387" t="str">
        <f ca="1">IFERROR(VLOOKUP(C2346,' Disaggregation - Section E '!A$618:J3035,3,0),"")</f>
        <v>DRTB-3 Percentage of people with confirmed RR-TB and/or MDR-TB that began second-line treatment</v>
      </c>
      <c r="L2346" s="387"/>
      <c r="M2346" s="387" t="str">
        <f ca="1">IFERROR(IF(VLOOKUP(C2346,' Disaggregation - Section E '!A$618:O1358,15,0)=0,"",VLOOKUP(C2346,' Disaggregation - Section E '!A$618:O1358,15,0)),"")</f>
        <v/>
      </c>
      <c r="N2346" s="391" t="str">
        <f ca="1">IFERROR(IF(VLOOKUP(C2346,' Disaggregation - Section E '!A$618:J3035,10,0)=0,"",VLOOKUP(C2346,' Disaggregation - Section E '!A$618:J3035,10,0)),"")</f>
        <v/>
      </c>
      <c r="O2346" s="387"/>
      <c r="P2346" s="387" t="str">
        <f ca="1">IFERROR(IF(VLOOKUP(C2346,' Disaggregation - Section E '!A$618:R1358,18,0)=0,"",VLOOKUP(C2346,' Disaggregation - Section E '!A$618:R1358,18,0)),"")</f>
        <v/>
      </c>
    </row>
    <row r="2347" spans="1:16">
      <c r="A2347" s="387" t="b">
        <f t="shared" ca="1" si="167"/>
        <v>0</v>
      </c>
      <c r="B2347" s="387"/>
      <c r="C2347" s="396" t="str">
        <f ca="1">IF(COUNTA(O$1610:O2347)=1,"",OFFSET(B2345,-COUNTA(O$1610:O2347)+3,1))</f>
        <v>a16Dm000000M3riIAC</v>
      </c>
      <c r="D2347" s="392"/>
      <c r="E2347" s="389" t="str">
        <f ca="1">IFERROR(IF(VLOOKUP(C2347,' Disaggregation - Section E '!A$618:J3036,7,0)="","",VLOOKUP(C2347,' Disaggregation - Section E '!A$618:J3036,7,0)*100),"")</f>
        <v/>
      </c>
      <c r="F2347" s="391" t="str">
        <f ca="1">IFERROR(VLOOKUP(C2347,' Disaggregation - Section E '!A$618:J3036,5,0),"")</f>
        <v/>
      </c>
      <c r="G2347" s="390" t="str">
        <f ca="1">IFERROR(IF(VLOOKUP(C2347,' Disaggregation - Section E '!A$618:J3036,6,0)="","",VLOOKUP(C2347,' Disaggregation - Section E '!A$618:J3036,6,0)),"")</f>
        <v/>
      </c>
      <c r="H2347" s="390" t="str">
        <f ca="1">IFERROR(IF(INDEX(' Disaggregation - Section E '!F$618:F3036,MATCH(C2347,' Disaggregation - Section E '!A$618:A3036,0)+1,1)&lt;&gt;0,INDEX(' Disaggregation - Section E '!F$618:F3036,MATCH(C2347,' Disaggregation - Section E '!A$618:A3036,0)+1,1),""),"")</f>
        <v/>
      </c>
      <c r="I2347" s="391" t="str">
        <f ca="1">IFERROR(IF(VLOOKUP(C2347,' Disaggregation - Section E '!A$618:J3036,8,0)=0,"",VLOOKUP(C2347,' Disaggregation - Section E '!A$618:J3036,8,0)),"")</f>
        <v/>
      </c>
      <c r="J2347" s="391" t="str">
        <f ca="1">IFERROR(IF(VLOOKUP(C2347,' Disaggregation - Section E '!A$618:J3036,9,0)="","",VLOOKUP(C2347,' Disaggregation - Section E '!A$618:J3036,9,0)),"")</f>
        <v/>
      </c>
      <c r="K2347" s="387" t="str">
        <f ca="1">IFERROR(VLOOKUP(C2347,' Disaggregation - Section E '!A$618:J3036,3,0),"")</f>
        <v>DRTB-3 Percentage of people with confirmed RR-TB and/or MDR-TB that began second-line treatment</v>
      </c>
      <c r="L2347" s="387"/>
      <c r="M2347" s="387" t="str">
        <f ca="1">IFERROR(IF(VLOOKUP(C2347,' Disaggregation - Section E '!A$618:O1359,15,0)=0,"",VLOOKUP(C2347,' Disaggregation - Section E '!A$618:O1359,15,0)),"")</f>
        <v/>
      </c>
      <c r="N2347" s="391" t="str">
        <f ca="1">IFERROR(IF(VLOOKUP(C2347,' Disaggregation - Section E '!A$618:J3036,10,0)=0,"",VLOOKUP(C2347,' Disaggregation - Section E '!A$618:J3036,10,0)),"")</f>
        <v/>
      </c>
      <c r="O2347" s="387"/>
      <c r="P2347" s="387" t="str">
        <f ca="1">IFERROR(IF(VLOOKUP(C2347,' Disaggregation - Section E '!A$618:R1359,18,0)=0,"",VLOOKUP(C2347,' Disaggregation - Section E '!A$618:R1359,18,0)),"")</f>
        <v/>
      </c>
    </row>
    <row r="2348" spans="1:16">
      <c r="A2348" s="387" t="b">
        <f t="shared" ca="1" si="167"/>
        <v>0</v>
      </c>
      <c r="B2348" s="387"/>
      <c r="C2348" s="396" t="str">
        <f ca="1">IF(COUNTA(O$1610:O2348)=1,"",OFFSET(B2346,-COUNTA(O$1610:O2348)+3,1))</f>
        <v>a16Dm000000M3rjIAC</v>
      </c>
      <c r="D2348" s="392"/>
      <c r="E2348" s="389" t="str">
        <f ca="1">IFERROR(IF(VLOOKUP(C2348,' Disaggregation - Section E '!A$618:J3037,7,0)="","",VLOOKUP(C2348,' Disaggregation - Section E '!A$618:J3037,7,0)*100),"")</f>
        <v/>
      </c>
      <c r="F2348" s="391" t="str">
        <f ca="1">IFERROR(VLOOKUP(C2348,' Disaggregation - Section E '!A$618:J3037,5,0),"")</f>
        <v/>
      </c>
      <c r="G2348" s="390" t="str">
        <f ca="1">IFERROR(IF(VLOOKUP(C2348,' Disaggregation - Section E '!A$618:J3037,6,0)="","",VLOOKUP(C2348,' Disaggregation - Section E '!A$618:J3037,6,0)),"")</f>
        <v/>
      </c>
      <c r="H2348" s="390" t="str">
        <f ca="1">IFERROR(IF(INDEX(' Disaggregation - Section E '!F$618:F3037,MATCH(C2348,' Disaggregation - Section E '!A$618:A3037,0)+1,1)&lt;&gt;0,INDEX(' Disaggregation - Section E '!F$618:F3037,MATCH(C2348,' Disaggregation - Section E '!A$618:A3037,0)+1,1),""),"")</f>
        <v/>
      </c>
      <c r="I2348" s="391" t="str">
        <f ca="1">IFERROR(IF(VLOOKUP(C2348,' Disaggregation - Section E '!A$618:J3037,8,0)=0,"",VLOOKUP(C2348,' Disaggregation - Section E '!A$618:J3037,8,0)),"")</f>
        <v/>
      </c>
      <c r="J2348" s="391" t="str">
        <f ca="1">IFERROR(IF(VLOOKUP(C2348,' Disaggregation - Section E '!A$618:J3037,9,0)="","",VLOOKUP(C2348,' Disaggregation - Section E '!A$618:J3037,9,0)),"")</f>
        <v/>
      </c>
      <c r="K2348" s="387" t="str">
        <f ca="1">IFERROR(VLOOKUP(C2348,' Disaggregation - Section E '!A$618:J3037,3,0),"")</f>
        <v>DRTB-3 Percentage of people with confirmed RR-TB and/or MDR-TB that began second-line treatment</v>
      </c>
      <c r="L2348" s="387"/>
      <c r="M2348" s="387" t="str">
        <f ca="1">IFERROR(IF(VLOOKUP(C2348,' Disaggregation - Section E '!A$618:O1360,15,0)=0,"",VLOOKUP(C2348,' Disaggregation - Section E '!A$618:O1360,15,0)),"")</f>
        <v/>
      </c>
      <c r="N2348" s="391" t="str">
        <f ca="1">IFERROR(IF(VLOOKUP(C2348,' Disaggregation - Section E '!A$618:J3037,10,0)=0,"",VLOOKUP(C2348,' Disaggregation - Section E '!A$618:J3037,10,0)),"")</f>
        <v/>
      </c>
      <c r="O2348" s="387"/>
      <c r="P2348" s="387" t="str">
        <f ca="1">IFERROR(IF(VLOOKUP(C2348,' Disaggregation - Section E '!A$618:R1360,18,0)=0,"",VLOOKUP(C2348,' Disaggregation - Section E '!A$618:R1360,18,0)),"")</f>
        <v/>
      </c>
    </row>
    <row r="2349" spans="1:16">
      <c r="A2349" s="387" t="b">
        <f t="shared" ca="1" si="167"/>
        <v>0</v>
      </c>
      <c r="B2349" s="387"/>
      <c r="C2349" s="396" t="str">
        <f ca="1">IF(COUNTA(O$1610:O2349)=1,"",OFFSET(B2347,-COUNTA(O$1610:O2349)+3,1))</f>
        <v>a16Dm000000M3rkIAC</v>
      </c>
      <c r="D2349" s="392"/>
      <c r="E2349" s="389" t="str">
        <f ca="1">IFERROR(IF(VLOOKUP(C2349,' Disaggregation - Section E '!A$618:J3038,7,0)="","",VLOOKUP(C2349,' Disaggregation - Section E '!A$618:J3038,7,0)*100),"")</f>
        <v/>
      </c>
      <c r="F2349" s="391" t="str">
        <f ca="1">IFERROR(VLOOKUP(C2349,' Disaggregation - Section E '!A$618:J3038,5,0),"")</f>
        <v/>
      </c>
      <c r="G2349" s="390" t="str">
        <f ca="1">IFERROR(IF(VLOOKUP(C2349,' Disaggregation - Section E '!A$618:J3038,6,0)="","",VLOOKUP(C2349,' Disaggregation - Section E '!A$618:J3038,6,0)),"")</f>
        <v/>
      </c>
      <c r="H2349" s="390" t="str">
        <f ca="1">IFERROR(IF(INDEX(' Disaggregation - Section E '!F$618:F3038,MATCH(C2349,' Disaggregation - Section E '!A$618:A3038,0)+1,1)&lt;&gt;0,INDEX(' Disaggregation - Section E '!F$618:F3038,MATCH(C2349,' Disaggregation - Section E '!A$618:A3038,0)+1,1),""),"")</f>
        <v/>
      </c>
      <c r="I2349" s="391" t="str">
        <f ca="1">IFERROR(IF(VLOOKUP(C2349,' Disaggregation - Section E '!A$618:J3038,8,0)=0,"",VLOOKUP(C2349,' Disaggregation - Section E '!A$618:J3038,8,0)),"")</f>
        <v/>
      </c>
      <c r="J2349" s="391" t="str">
        <f ca="1">IFERROR(IF(VLOOKUP(C2349,' Disaggregation - Section E '!A$618:J3038,9,0)="","",VLOOKUP(C2349,' Disaggregation - Section E '!A$618:J3038,9,0)),"")</f>
        <v/>
      </c>
      <c r="K2349" s="387" t="str">
        <f ca="1">IFERROR(VLOOKUP(C2349,' Disaggregation - Section E '!A$618:J3038,3,0),"")</f>
        <v>DRTB-3 Percentage of people with confirmed RR-TB and/or MDR-TB that began second-line treatment</v>
      </c>
      <c r="L2349" s="387"/>
      <c r="M2349" s="387" t="str">
        <f ca="1">IFERROR(IF(VLOOKUP(C2349,' Disaggregation - Section E '!A$618:O1361,15,0)=0,"",VLOOKUP(C2349,' Disaggregation - Section E '!A$618:O1361,15,0)),"")</f>
        <v/>
      </c>
      <c r="N2349" s="391" t="str">
        <f ca="1">IFERROR(IF(VLOOKUP(C2349,' Disaggregation - Section E '!A$618:J3038,10,0)=0,"",VLOOKUP(C2349,' Disaggregation - Section E '!A$618:J3038,10,0)),"")</f>
        <v/>
      </c>
      <c r="O2349" s="387"/>
      <c r="P2349" s="387" t="str">
        <f ca="1">IFERROR(IF(VLOOKUP(C2349,' Disaggregation - Section E '!A$618:R1361,18,0)=0,"",VLOOKUP(C2349,' Disaggregation - Section E '!A$618:R1361,18,0)),"")</f>
        <v/>
      </c>
    </row>
    <row r="2350" spans="1:16">
      <c r="A2350" s="387" t="b">
        <f t="shared" ca="1" si="167"/>
        <v>0</v>
      </c>
      <c r="B2350" s="387"/>
      <c r="C2350" s="396" t="str">
        <f ca="1">IF(COUNTA(O$1610:O2350)=1,"",OFFSET(B2348,-COUNTA(O$1610:O2350)+3,1))</f>
        <v>a16Dm000000M3rlIAC</v>
      </c>
      <c r="D2350" s="392"/>
      <c r="E2350" s="389" t="str">
        <f ca="1">IFERROR(IF(VLOOKUP(C2350,' Disaggregation - Section E '!A$618:J3039,7,0)="","",VLOOKUP(C2350,' Disaggregation - Section E '!A$618:J3039,7,0)*100),"")</f>
        <v/>
      </c>
      <c r="F2350" s="391" t="str">
        <f ca="1">IFERROR(VLOOKUP(C2350,' Disaggregation - Section E '!A$618:J3039,5,0),"")</f>
        <v/>
      </c>
      <c r="G2350" s="390" t="str">
        <f ca="1">IFERROR(IF(VLOOKUP(C2350,' Disaggregation - Section E '!A$618:J3039,6,0)="","",VLOOKUP(C2350,' Disaggregation - Section E '!A$618:J3039,6,0)),"")</f>
        <v/>
      </c>
      <c r="H2350" s="390" t="str">
        <f ca="1">IFERROR(IF(INDEX(' Disaggregation - Section E '!F$618:F3039,MATCH(C2350,' Disaggregation - Section E '!A$618:A3039,0)+1,1)&lt;&gt;0,INDEX(' Disaggregation - Section E '!F$618:F3039,MATCH(C2350,' Disaggregation - Section E '!A$618:A3039,0)+1,1),""),"")</f>
        <v/>
      </c>
      <c r="I2350" s="391" t="str">
        <f ca="1">IFERROR(IF(VLOOKUP(C2350,' Disaggregation - Section E '!A$618:J3039,8,0)=0,"",VLOOKUP(C2350,' Disaggregation - Section E '!A$618:J3039,8,0)),"")</f>
        <v/>
      </c>
      <c r="J2350" s="391" t="str">
        <f ca="1">IFERROR(IF(VLOOKUP(C2350,' Disaggregation - Section E '!A$618:J3039,9,0)="","",VLOOKUP(C2350,' Disaggregation - Section E '!A$618:J3039,9,0)),"")</f>
        <v/>
      </c>
      <c r="K2350" s="387" t="str">
        <f ca="1">IFERROR(VLOOKUP(C2350,' Disaggregation - Section E '!A$618:J3039,3,0),"")</f>
        <v>DRTB-3 Percentage of people with confirmed RR-TB and/or MDR-TB that began second-line treatment</v>
      </c>
      <c r="L2350" s="387"/>
      <c r="M2350" s="387" t="str">
        <f ca="1">IFERROR(IF(VLOOKUP(C2350,' Disaggregation - Section E '!A$618:O1362,15,0)=0,"",VLOOKUP(C2350,' Disaggregation - Section E '!A$618:O1362,15,0)),"")</f>
        <v/>
      </c>
      <c r="N2350" s="391" t="str">
        <f ca="1">IFERROR(IF(VLOOKUP(C2350,' Disaggregation - Section E '!A$618:J3039,10,0)=0,"",VLOOKUP(C2350,' Disaggregation - Section E '!A$618:J3039,10,0)),"")</f>
        <v/>
      </c>
      <c r="O2350" s="387"/>
      <c r="P2350" s="387" t="str">
        <f ca="1">IFERROR(IF(VLOOKUP(C2350,' Disaggregation - Section E '!A$618:R1362,18,0)=0,"",VLOOKUP(C2350,' Disaggregation - Section E '!A$618:R1362,18,0)),"")</f>
        <v/>
      </c>
    </row>
    <row r="2351" spans="1:16">
      <c r="A2351" s="387" t="b">
        <f t="shared" ca="1" si="167"/>
        <v>0</v>
      </c>
      <c r="B2351" s="387"/>
      <c r="C2351" s="396" t="str">
        <f ca="1">IF(COUNTA(O$1610:O2351)=1,"",OFFSET(B2349,-COUNTA(O$1610:O2351)+3,1))</f>
        <v>a16Dm000000M3rmIAC</v>
      </c>
      <c r="D2351" s="392"/>
      <c r="E2351" s="389" t="str">
        <f ca="1">IFERROR(IF(VLOOKUP(C2351,' Disaggregation - Section E '!A$618:J3040,7,0)="","",VLOOKUP(C2351,' Disaggregation - Section E '!A$618:J3040,7,0)*100),"")</f>
        <v/>
      </c>
      <c r="F2351" s="391" t="str">
        <f ca="1">IFERROR(VLOOKUP(C2351,' Disaggregation - Section E '!A$618:J3040,5,0),"")</f>
        <v/>
      </c>
      <c r="G2351" s="390" t="str">
        <f ca="1">IFERROR(IF(VLOOKUP(C2351,' Disaggregation - Section E '!A$618:J3040,6,0)="","",VLOOKUP(C2351,' Disaggregation - Section E '!A$618:J3040,6,0)),"")</f>
        <v/>
      </c>
      <c r="H2351" s="390" t="str">
        <f ca="1">IFERROR(IF(INDEX(' Disaggregation - Section E '!F$618:F3040,MATCH(C2351,' Disaggregation - Section E '!A$618:A3040,0)+1,1)&lt;&gt;0,INDEX(' Disaggregation - Section E '!F$618:F3040,MATCH(C2351,' Disaggregation - Section E '!A$618:A3040,0)+1,1),""),"")</f>
        <v/>
      </c>
      <c r="I2351" s="391" t="str">
        <f ca="1">IFERROR(IF(VLOOKUP(C2351,' Disaggregation - Section E '!A$618:J3040,8,0)=0,"",VLOOKUP(C2351,' Disaggregation - Section E '!A$618:J3040,8,0)),"")</f>
        <v/>
      </c>
      <c r="J2351" s="391" t="str">
        <f ca="1">IFERROR(IF(VLOOKUP(C2351,' Disaggregation - Section E '!A$618:J3040,9,0)="","",VLOOKUP(C2351,' Disaggregation - Section E '!A$618:J3040,9,0)),"")</f>
        <v/>
      </c>
      <c r="K2351" s="387" t="str">
        <f ca="1">IFERROR(VLOOKUP(C2351,' Disaggregation - Section E '!A$618:J3040,3,0),"")</f>
        <v>DRTB-3 Percentage of people with confirmed RR-TB and/or MDR-TB that began second-line treatment</v>
      </c>
      <c r="L2351" s="387"/>
      <c r="M2351" s="387" t="str">
        <f ca="1">IFERROR(IF(VLOOKUP(C2351,' Disaggregation - Section E '!A$618:O1363,15,0)=0,"",VLOOKUP(C2351,' Disaggregation - Section E '!A$618:O1363,15,0)),"")</f>
        <v/>
      </c>
      <c r="N2351" s="391" t="str">
        <f ca="1">IFERROR(IF(VLOOKUP(C2351,' Disaggregation - Section E '!A$618:J3040,10,0)=0,"",VLOOKUP(C2351,' Disaggregation - Section E '!A$618:J3040,10,0)),"")</f>
        <v/>
      </c>
      <c r="O2351" s="387"/>
      <c r="P2351" s="387" t="str">
        <f ca="1">IFERROR(IF(VLOOKUP(C2351,' Disaggregation - Section E '!A$618:R1363,18,0)=0,"",VLOOKUP(C2351,' Disaggregation - Section E '!A$618:R1363,18,0)),"")</f>
        <v/>
      </c>
    </row>
    <row r="2352" spans="1:16">
      <c r="A2352" s="387" t="b">
        <f t="shared" ca="1" si="167"/>
        <v>1</v>
      </c>
      <c r="B2352" s="387"/>
      <c r="C2352" s="396" t="str">
        <f ca="1">IF(COUNTA(O$1610:O2352)=1,"",OFFSET(B2350,-COUNTA(O$1610:O2352)+3,1))</f>
        <v>a16Dm000000M3rnIAC</v>
      </c>
      <c r="D2352" s="392"/>
      <c r="E2352" s="389" t="str">
        <f ca="1">IFERROR(IF(VLOOKUP(C2352,' Disaggregation - Section E '!A$618:J3041,7,0)="","",VLOOKUP(C2352,' Disaggregation - Section E '!A$618:J3041,7,0)*100),"")</f>
        <v/>
      </c>
      <c r="F2352" s="391" t="str">
        <f ca="1">IFERROR(VLOOKUP(C2352,' Disaggregation - Section E '!A$618:J3041,5,0),"")</f>
        <v>15+</v>
      </c>
      <c r="G2352" s="390" t="str">
        <f ca="1">IFERROR(IF(VLOOKUP(C2352,' Disaggregation - Section E '!A$618:J3041,6,0)="","",VLOOKUP(C2352,' Disaggregation - Section E '!A$618:J3041,6,0)),"")</f>
        <v/>
      </c>
      <c r="H2352" s="390" t="str">
        <f ca="1">IFERROR(IF(INDEX(' Disaggregation - Section E '!F$618:F3041,MATCH(C2352,' Disaggregation - Section E '!A$618:A3041,0)+1,1)&lt;&gt;0,INDEX(' Disaggregation - Section E '!F$618:F3041,MATCH(C2352,' Disaggregation - Section E '!A$618:A3041,0)+1,1),""),"")</f>
        <v/>
      </c>
      <c r="I2352" s="391" t="str">
        <f ca="1">IFERROR(IF(VLOOKUP(C2352,' Disaggregation - Section E '!A$618:J3041,8,0)=0,"",VLOOKUP(C2352,' Disaggregation - Section E '!A$618:J3041,8,0)),"")</f>
        <v/>
      </c>
      <c r="J2352" s="391" t="str">
        <f ca="1">IFERROR(IF(VLOOKUP(C2352,' Disaggregation - Section E '!A$618:J3041,9,0)="","",VLOOKUP(C2352,' Disaggregation - Section E '!A$618:J3041,9,0)),"")</f>
        <v>Not available</v>
      </c>
      <c r="K2352" s="387" t="str">
        <f ca="1">IFERROR(VLOOKUP(C2352,' Disaggregation - Section E '!A$618:J3041,3,0),"")</f>
        <v>TBP-1 Number of people in contact with TB patients who began preventive therapy</v>
      </c>
      <c r="L2352" s="387"/>
      <c r="M2352" s="387" t="str">
        <f ca="1">IFERROR(IF(VLOOKUP(C2352,' Disaggregation - Section E '!A$618:O1364,15,0)=0,"",VLOOKUP(C2352,' Disaggregation - Section E '!A$618:O1364,15,0)),"")</f>
        <v>IDR-01343</v>
      </c>
      <c r="N2352" s="391" t="str">
        <f ca="1">IFERROR(IF(VLOOKUP(C2352,' Disaggregation - Section E '!A$618:J3041,10,0)=0,"",VLOOKUP(C2352,' Disaggregation - Section E '!A$618:J3041,10,0)),"")</f>
        <v>Data not available because the NTP quarterly reporting form does not allow reporting on this indicator</v>
      </c>
      <c r="O2352" s="387"/>
      <c r="P2352" s="387" t="str">
        <f ca="1">IFERROR(IF(VLOOKUP(C2352,' Disaggregation - Section E '!A$618:R1364,18,0)=0,"",VLOOKUP(C2352,' Disaggregation - Section E '!A$618:R1364,18,0)),"")</f>
        <v>a1LDm000000Cb4PMAS</v>
      </c>
    </row>
    <row r="2353" spans="1:16">
      <c r="A2353" s="387" t="b">
        <f t="shared" ca="1" si="167"/>
        <v>1</v>
      </c>
      <c r="B2353" s="387"/>
      <c r="C2353" s="396" t="str">
        <f ca="1">IF(COUNTA(O$1610:O2353)=1,"",OFFSET(B2351,-COUNTA(O$1610:O2353)+3,1))</f>
        <v>a16Dm000000M3roIAC</v>
      </c>
      <c r="D2353" s="392"/>
      <c r="E2353" s="389" t="str">
        <f ca="1">IFERROR(IF(VLOOKUP(C2353,' Disaggregation - Section E '!A$618:J3042,7,0)="","",VLOOKUP(C2353,' Disaggregation - Section E '!A$618:J3042,7,0)*100),"")</f>
        <v/>
      </c>
      <c r="F2353" s="391" t="str">
        <f ca="1">IFERROR(VLOOKUP(C2353,' Disaggregation - Section E '!A$618:J3042,5,0),"")</f>
        <v>6H</v>
      </c>
      <c r="G2353" s="390" t="str">
        <f ca="1">IFERROR(IF(VLOOKUP(C2353,' Disaggregation - Section E '!A$618:J3042,6,0)="","",VLOOKUP(C2353,' Disaggregation - Section E '!A$618:J3042,6,0)),"")</f>
        <v/>
      </c>
      <c r="H2353" s="390" t="str">
        <f ca="1">IFERROR(IF(INDEX(' Disaggregation - Section E '!F$618:F3042,MATCH(C2353,' Disaggregation - Section E '!A$618:A3042,0)+1,1)&lt;&gt;0,INDEX(' Disaggregation - Section E '!F$618:F3042,MATCH(C2353,' Disaggregation - Section E '!A$618:A3042,0)+1,1),""),"")</f>
        <v/>
      </c>
      <c r="I2353" s="391" t="str">
        <f ca="1">IFERROR(IF(VLOOKUP(C2353,' Disaggregation - Section E '!A$618:J3042,8,0)=0,"",VLOOKUP(C2353,' Disaggregation - Section E '!A$618:J3042,8,0)),"")</f>
        <v/>
      </c>
      <c r="J2353" s="391" t="str">
        <f ca="1">IFERROR(IF(VLOOKUP(C2353,' Disaggregation - Section E '!A$618:J3042,9,0)="","",VLOOKUP(C2353,' Disaggregation - Section E '!A$618:J3042,9,0)),"")</f>
        <v>Not available</v>
      </c>
      <c r="K2353" s="387" t="str">
        <f ca="1">IFERROR(VLOOKUP(C2353,' Disaggregation - Section E '!A$618:J3042,3,0),"")</f>
        <v>TBP-1 Number of people in contact with TB patients who began preventive therapy</v>
      </c>
      <c r="L2353" s="387"/>
      <c r="M2353" s="387" t="str">
        <f ca="1">IFERROR(IF(VLOOKUP(C2353,' Disaggregation - Section E '!A$618:O1365,15,0)=0,"",VLOOKUP(C2353,' Disaggregation - Section E '!A$618:O1365,15,0)),"")</f>
        <v>IDR-01342</v>
      </c>
      <c r="N2353" s="391" t="str">
        <f ca="1">IFERROR(IF(VLOOKUP(C2353,' Disaggregation - Section E '!A$618:J3042,10,0)=0,"",VLOOKUP(C2353,' Disaggregation - Section E '!A$618:J3042,10,0)),"")</f>
        <v>Data not available because the NTP quarterly reporting form does not allow reporting on this indicator</v>
      </c>
      <c r="O2353" s="387"/>
      <c r="P2353" s="387" t="str">
        <f ca="1">IFERROR(IF(VLOOKUP(C2353,' Disaggregation - Section E '!A$618:R1365,18,0)=0,"",VLOOKUP(C2353,' Disaggregation - Section E '!A$618:R1365,18,0)),"")</f>
        <v>a1LDm000000Cb4OMAS</v>
      </c>
    </row>
    <row r="2354" spans="1:16">
      <c r="A2354" s="387" t="b">
        <f t="shared" ca="1" si="167"/>
        <v>1</v>
      </c>
      <c r="B2354" s="387"/>
      <c r="C2354" s="396" t="str">
        <f ca="1">IF(COUNTA(O$1610:O2354)=1,"",OFFSET(B2352,-COUNTA(O$1610:O2354)+3,1))</f>
        <v>a16Dm000000M3rpIAC</v>
      </c>
      <c r="D2354" s="392"/>
      <c r="E2354" s="389" t="str">
        <f ca="1">IFERROR(IF(VLOOKUP(C2354,' Disaggregation - Section E '!A$618:J3043,7,0)="","",VLOOKUP(C2354,' Disaggregation - Section E '!A$618:J3043,7,0)*100),"")</f>
        <v/>
      </c>
      <c r="F2354" s="391" t="str">
        <f ca="1">IFERROR(VLOOKUP(C2354,' Disaggregation - Section E '!A$618:J3043,5,0),"")</f>
        <v>3RH</v>
      </c>
      <c r="G2354" s="390" t="str">
        <f ca="1">IFERROR(IF(VLOOKUP(C2354,' Disaggregation - Section E '!A$618:J3043,6,0)="","",VLOOKUP(C2354,' Disaggregation - Section E '!A$618:J3043,6,0)),"")</f>
        <v/>
      </c>
      <c r="H2354" s="390" t="str">
        <f ca="1">IFERROR(IF(INDEX(' Disaggregation - Section E '!F$618:F3043,MATCH(C2354,' Disaggregation - Section E '!A$618:A3043,0)+1,1)&lt;&gt;0,INDEX(' Disaggregation - Section E '!F$618:F3043,MATCH(C2354,' Disaggregation - Section E '!A$618:A3043,0)+1,1),""),"")</f>
        <v/>
      </c>
      <c r="I2354" s="391" t="str">
        <f ca="1">IFERROR(IF(VLOOKUP(C2354,' Disaggregation - Section E '!A$618:J3043,8,0)=0,"",VLOOKUP(C2354,' Disaggregation - Section E '!A$618:J3043,8,0)),"")</f>
        <v/>
      </c>
      <c r="J2354" s="391" t="str">
        <f ca="1">IFERROR(IF(VLOOKUP(C2354,' Disaggregation - Section E '!A$618:J3043,9,0)="","",VLOOKUP(C2354,' Disaggregation - Section E '!A$618:J3043,9,0)),"")</f>
        <v>Not available</v>
      </c>
      <c r="K2354" s="387" t="str">
        <f ca="1">IFERROR(VLOOKUP(C2354,' Disaggregation - Section E '!A$618:J3043,3,0),"")</f>
        <v>TBP-1 Number of people in contact with TB patients who began preventive therapy</v>
      </c>
      <c r="L2354" s="387"/>
      <c r="M2354" s="387" t="str">
        <f ca="1">IFERROR(IF(VLOOKUP(C2354,' Disaggregation - Section E '!A$618:O1366,15,0)=0,"",VLOOKUP(C2354,' Disaggregation - Section E '!A$618:O1366,15,0)),"")</f>
        <v>IDR-01341</v>
      </c>
      <c r="N2354" s="391" t="str">
        <f ca="1">IFERROR(IF(VLOOKUP(C2354,' Disaggregation - Section E '!A$618:J3043,10,0)=0,"",VLOOKUP(C2354,' Disaggregation - Section E '!A$618:J3043,10,0)),"")</f>
        <v>Data not available because the NTP quarterly reporting form does not allow reporting on this indicator</v>
      </c>
      <c r="O2354" s="387"/>
      <c r="P2354" s="387" t="str">
        <f ca="1">IFERROR(IF(VLOOKUP(C2354,' Disaggregation - Section E '!A$618:R1366,18,0)=0,"",VLOOKUP(C2354,' Disaggregation - Section E '!A$618:R1366,18,0)),"")</f>
        <v>a1LDm000000Cb4NMAS</v>
      </c>
    </row>
    <row r="2355" spans="1:16">
      <c r="A2355" s="387" t="b">
        <f t="shared" ca="1" si="167"/>
        <v>1</v>
      </c>
      <c r="B2355" s="387"/>
      <c r="C2355" s="396" t="str">
        <f ca="1">IF(COUNTA(O$1610:O2355)=1,"",OFFSET(B2353,-COUNTA(O$1610:O2355)+3,1))</f>
        <v>a16Dm000000M3rqIAC</v>
      </c>
      <c r="D2355" s="392"/>
      <c r="E2355" s="389" t="str">
        <f ca="1">IFERROR(IF(VLOOKUP(C2355,' Disaggregation - Section E '!A$618:J3044,7,0)="","",VLOOKUP(C2355,' Disaggregation - Section E '!A$618:J3044,7,0)*100),"")</f>
        <v/>
      </c>
      <c r="F2355" s="391" t="str">
        <f ca="1">IFERROR(VLOOKUP(C2355,' Disaggregation - Section E '!A$618:J3044,5,0),"")</f>
        <v>RIF</v>
      </c>
      <c r="G2355" s="390" t="str">
        <f ca="1">IFERROR(IF(VLOOKUP(C2355,' Disaggregation - Section E '!A$618:J3044,6,0)="","",VLOOKUP(C2355,' Disaggregation - Section E '!A$618:J3044,6,0)),"")</f>
        <v/>
      </c>
      <c r="H2355" s="390" t="str">
        <f ca="1">IFERROR(IF(INDEX(' Disaggregation - Section E '!F$618:F3044,MATCH(C2355,' Disaggregation - Section E '!A$618:A3044,0)+1,1)&lt;&gt;0,INDEX(' Disaggregation - Section E '!F$618:F3044,MATCH(C2355,' Disaggregation - Section E '!A$618:A3044,0)+1,1),""),"")</f>
        <v/>
      </c>
      <c r="I2355" s="391" t="str">
        <f ca="1">IFERROR(IF(VLOOKUP(C2355,' Disaggregation - Section E '!A$618:J3044,8,0)=0,"",VLOOKUP(C2355,' Disaggregation - Section E '!A$618:J3044,8,0)),"")</f>
        <v/>
      </c>
      <c r="J2355" s="391" t="str">
        <f ca="1">IFERROR(IF(VLOOKUP(C2355,' Disaggregation - Section E '!A$618:J3044,9,0)="","",VLOOKUP(C2355,' Disaggregation - Section E '!A$618:J3044,9,0)),"")</f>
        <v>Not available</v>
      </c>
      <c r="K2355" s="387" t="str">
        <f ca="1">IFERROR(VLOOKUP(C2355,' Disaggregation - Section E '!A$618:J3044,3,0),"")</f>
        <v>TBP-1 Number of people in contact with TB patients who began preventive therapy</v>
      </c>
      <c r="L2355" s="387"/>
      <c r="M2355" s="387" t="str">
        <f ca="1">IFERROR(IF(VLOOKUP(C2355,' Disaggregation - Section E '!A$618:O1367,15,0)=0,"",VLOOKUP(C2355,' Disaggregation - Section E '!A$618:O1367,15,0)),"")</f>
        <v>IDR-01340</v>
      </c>
      <c r="N2355" s="391" t="str">
        <f ca="1">IFERROR(IF(VLOOKUP(C2355,' Disaggregation - Section E '!A$618:J3044,10,0)=0,"",VLOOKUP(C2355,' Disaggregation - Section E '!A$618:J3044,10,0)),"")</f>
        <v>Data not available because the NTP quarterly reporting form does not allow reporting on this indicator</v>
      </c>
      <c r="O2355" s="387"/>
      <c r="P2355" s="387" t="str">
        <f ca="1">IFERROR(IF(VLOOKUP(C2355,' Disaggregation - Section E '!A$618:R1367,18,0)=0,"",VLOOKUP(C2355,' Disaggregation - Section E '!A$618:R1367,18,0)),"")</f>
        <v>a1LDm000000Cb4MMAS</v>
      </c>
    </row>
    <row r="2356" spans="1:16">
      <c r="A2356" s="387" t="b">
        <f t="shared" ca="1" si="167"/>
        <v>1</v>
      </c>
      <c r="B2356" s="387"/>
      <c r="C2356" s="396" t="str">
        <f ca="1">IF(COUNTA(O$1610:O2356)=1,"",OFFSET(B2354,-COUNTA(O$1610:O2356)+3,1))</f>
        <v>a16Dm000000M3rrIAC</v>
      </c>
      <c r="D2356" s="392"/>
      <c r="E2356" s="389" t="str">
        <f ca="1">IFERROR(IF(VLOOKUP(C2356,' Disaggregation - Section E '!A$618:J3045,7,0)="","",VLOOKUP(C2356,' Disaggregation - Section E '!A$618:J3045,7,0)*100),"")</f>
        <v/>
      </c>
      <c r="F2356" s="391" t="str">
        <f ca="1">IFERROR(VLOOKUP(C2356,' Disaggregation - Section E '!A$618:J3045,5,0),"")</f>
        <v>Unknown</v>
      </c>
      <c r="G2356" s="390" t="str">
        <f ca="1">IFERROR(IF(VLOOKUP(C2356,' Disaggregation - Section E '!A$618:J3045,6,0)="","",VLOOKUP(C2356,' Disaggregation - Section E '!A$618:J3045,6,0)),"")</f>
        <v/>
      </c>
      <c r="H2356" s="390" t="str">
        <f ca="1">IFERROR(IF(INDEX(' Disaggregation - Section E '!F$618:F3045,MATCH(C2356,' Disaggregation - Section E '!A$618:A3045,0)+1,1)&lt;&gt;0,INDEX(' Disaggregation - Section E '!F$618:F3045,MATCH(C2356,' Disaggregation - Section E '!A$618:A3045,0)+1,1),""),"")</f>
        <v/>
      </c>
      <c r="I2356" s="391" t="str">
        <f ca="1">IFERROR(IF(VLOOKUP(C2356,' Disaggregation - Section E '!A$618:J3045,8,0)=0,"",VLOOKUP(C2356,' Disaggregation - Section E '!A$618:J3045,8,0)),"")</f>
        <v/>
      </c>
      <c r="J2356" s="391" t="str">
        <f ca="1">IFERROR(IF(VLOOKUP(C2356,' Disaggregation - Section E '!A$618:J3045,9,0)="","",VLOOKUP(C2356,' Disaggregation - Section E '!A$618:J3045,9,0)),"")</f>
        <v>Not available</v>
      </c>
      <c r="K2356" s="387" t="str">
        <f ca="1">IFERROR(VLOOKUP(C2356,' Disaggregation - Section E '!A$618:J3045,3,0),"")</f>
        <v>TBP-1 Number of people in contact with TB patients who began preventive therapy</v>
      </c>
      <c r="L2356" s="387"/>
      <c r="M2356" s="387" t="str">
        <f ca="1">IFERROR(IF(VLOOKUP(C2356,' Disaggregation - Section E '!A$618:O1368,15,0)=0,"",VLOOKUP(C2356,' Disaggregation - Section E '!A$618:O1368,15,0)),"")</f>
        <v>IDR-01339</v>
      </c>
      <c r="N2356" s="391" t="str">
        <f ca="1">IFERROR(IF(VLOOKUP(C2356,' Disaggregation - Section E '!A$618:J3045,10,0)=0,"",VLOOKUP(C2356,' Disaggregation - Section E '!A$618:J3045,10,0)),"")</f>
        <v>Data not available because the NTP quarterly reporting form does not allow reporting on this indicator</v>
      </c>
      <c r="O2356" s="387"/>
      <c r="P2356" s="387" t="str">
        <f ca="1">IFERROR(IF(VLOOKUP(C2356,' Disaggregation - Section E '!A$618:R1368,18,0)=0,"",VLOOKUP(C2356,' Disaggregation - Section E '!A$618:R1368,18,0)),"")</f>
        <v>a1LDm000000Cb4LMAS</v>
      </c>
    </row>
    <row r="2357" spans="1:16">
      <c r="A2357" s="387" t="b">
        <f t="shared" ca="1" si="167"/>
        <v>1</v>
      </c>
      <c r="B2357" s="387"/>
      <c r="C2357" s="396" t="str">
        <f ca="1">IF(COUNTA(O$1610:O2357)=1,"",OFFSET(B2355,-COUNTA(O$1610:O2357)+3,1))</f>
        <v>a16Dm000000M3rsIAC</v>
      </c>
      <c r="D2357" s="392"/>
      <c r="E2357" s="389" t="str">
        <f ca="1">IFERROR(IF(VLOOKUP(C2357,' Disaggregation - Section E '!A$618:J3046,7,0)="","",VLOOKUP(C2357,' Disaggregation - Section E '!A$618:J3046,7,0)*100),"")</f>
        <v/>
      </c>
      <c r="F2357" s="391" t="str">
        <f ca="1">IFERROR(VLOOKUP(C2357,' Disaggregation - Section E '!A$618:J3046,5,0),"")</f>
        <v>Negative</v>
      </c>
      <c r="G2357" s="390" t="str">
        <f ca="1">IFERROR(IF(VLOOKUP(C2357,' Disaggregation - Section E '!A$618:J3046,6,0)="","",VLOOKUP(C2357,' Disaggregation - Section E '!A$618:J3046,6,0)),"")</f>
        <v/>
      </c>
      <c r="H2357" s="390" t="str">
        <f ca="1">IFERROR(IF(INDEX(' Disaggregation - Section E '!F$618:F3046,MATCH(C2357,' Disaggregation - Section E '!A$618:A3046,0)+1,1)&lt;&gt;0,INDEX(' Disaggregation - Section E '!F$618:F3046,MATCH(C2357,' Disaggregation - Section E '!A$618:A3046,0)+1,1),""),"")</f>
        <v/>
      </c>
      <c r="I2357" s="391" t="str">
        <f ca="1">IFERROR(IF(VLOOKUP(C2357,' Disaggregation - Section E '!A$618:J3046,8,0)=0,"",VLOOKUP(C2357,' Disaggregation - Section E '!A$618:J3046,8,0)),"")</f>
        <v/>
      </c>
      <c r="J2357" s="391" t="str">
        <f ca="1">IFERROR(IF(VLOOKUP(C2357,' Disaggregation - Section E '!A$618:J3046,9,0)="","",VLOOKUP(C2357,' Disaggregation - Section E '!A$618:J3046,9,0)),"")</f>
        <v>Not available</v>
      </c>
      <c r="K2357" s="387" t="str">
        <f ca="1">IFERROR(VLOOKUP(C2357,' Disaggregation - Section E '!A$618:J3046,3,0),"")</f>
        <v>TBP-1 Number of people in contact with TB patients who began preventive therapy</v>
      </c>
      <c r="L2357" s="387"/>
      <c r="M2357" s="387" t="str">
        <f ca="1">IFERROR(IF(VLOOKUP(C2357,' Disaggregation - Section E '!A$618:O1369,15,0)=0,"",VLOOKUP(C2357,' Disaggregation - Section E '!A$618:O1369,15,0)),"")</f>
        <v>IDR-01338</v>
      </c>
      <c r="N2357" s="391" t="str">
        <f ca="1">IFERROR(IF(VLOOKUP(C2357,' Disaggregation - Section E '!A$618:J3046,10,0)=0,"",VLOOKUP(C2357,' Disaggregation - Section E '!A$618:J3046,10,0)),"")</f>
        <v>Data not available because the NTP quarterly reporting form does not allow reporting on this indicator</v>
      </c>
      <c r="O2357" s="387"/>
      <c r="P2357" s="387" t="str">
        <f ca="1">IFERROR(IF(VLOOKUP(C2357,' Disaggregation - Section E '!A$618:R1369,18,0)=0,"",VLOOKUP(C2357,' Disaggregation - Section E '!A$618:R1369,18,0)),"")</f>
        <v>a1LDm000000Cb4KMAS</v>
      </c>
    </row>
    <row r="2358" spans="1:16">
      <c r="A2358" s="387" t="b">
        <f t="shared" ca="1" si="167"/>
        <v>1</v>
      </c>
      <c r="B2358" s="387"/>
      <c r="C2358" s="396" t="str">
        <f ca="1">IF(COUNTA(O$1610:O2358)=1,"",OFFSET(B2356,-COUNTA(O$1610:O2358)+3,1))</f>
        <v>a16Dm000000M3rtIAC</v>
      </c>
      <c r="D2358" s="392"/>
      <c r="E2358" s="389" t="str">
        <f ca="1">IFERROR(IF(VLOOKUP(C2358,' Disaggregation - Section E '!A$618:J3047,7,0)="","",VLOOKUP(C2358,' Disaggregation - Section E '!A$618:J3047,7,0)*100),"")</f>
        <v/>
      </c>
      <c r="F2358" s="391" t="str">
        <f ca="1">IFERROR(VLOOKUP(C2358,' Disaggregation - Section E '!A$618:J3047,5,0),"")</f>
        <v>Private</v>
      </c>
      <c r="G2358" s="390" t="str">
        <f ca="1">IFERROR(IF(VLOOKUP(C2358,' Disaggregation - Section E '!A$618:J3047,6,0)="","",VLOOKUP(C2358,' Disaggregation - Section E '!A$618:J3047,6,0)),"")</f>
        <v/>
      </c>
      <c r="H2358" s="390" t="str">
        <f ca="1">IFERROR(IF(INDEX(' Disaggregation - Section E '!F$618:F3047,MATCH(C2358,' Disaggregation - Section E '!A$618:A3047,0)+1,1)&lt;&gt;0,INDEX(' Disaggregation - Section E '!F$618:F3047,MATCH(C2358,' Disaggregation - Section E '!A$618:A3047,0)+1,1),""),"")</f>
        <v/>
      </c>
      <c r="I2358" s="391" t="str">
        <f ca="1">IFERROR(IF(VLOOKUP(C2358,' Disaggregation - Section E '!A$618:J3047,8,0)=0,"",VLOOKUP(C2358,' Disaggregation - Section E '!A$618:J3047,8,0)),"")</f>
        <v/>
      </c>
      <c r="J2358" s="391" t="str">
        <f ca="1">IFERROR(IF(VLOOKUP(C2358,' Disaggregation - Section E '!A$618:J3047,9,0)="","",VLOOKUP(C2358,' Disaggregation - Section E '!A$618:J3047,9,0)),"")</f>
        <v>Not available</v>
      </c>
      <c r="K2358" s="387" t="str">
        <f ca="1">IFERROR(VLOOKUP(C2358,' Disaggregation - Section E '!A$618:J3047,3,0),"")</f>
        <v>TBP-1 Number of people in contact with TB patients who began preventive therapy</v>
      </c>
      <c r="L2358" s="387"/>
      <c r="M2358" s="387" t="str">
        <f ca="1">IFERROR(IF(VLOOKUP(C2358,' Disaggregation - Section E '!A$618:O1370,15,0)=0,"",VLOOKUP(C2358,' Disaggregation - Section E '!A$618:O1370,15,0)),"")</f>
        <v>IDR-01337</v>
      </c>
      <c r="N2358" s="391" t="str">
        <f ca="1">IFERROR(IF(VLOOKUP(C2358,' Disaggregation - Section E '!A$618:J3047,10,0)=0,"",VLOOKUP(C2358,' Disaggregation - Section E '!A$618:J3047,10,0)),"")</f>
        <v>Data not available because the NTP quarterly reporting form does not allow reporting on this indicator</v>
      </c>
      <c r="O2358" s="387"/>
      <c r="P2358" s="387" t="str">
        <f ca="1">IFERROR(IF(VLOOKUP(C2358,' Disaggregation - Section E '!A$618:R1370,18,0)=0,"",VLOOKUP(C2358,' Disaggregation - Section E '!A$618:R1370,18,0)),"")</f>
        <v>a1LDm000000Cb4JMAS</v>
      </c>
    </row>
    <row r="2359" spans="1:16">
      <c r="A2359" s="387" t="b">
        <f t="shared" ca="1" si="167"/>
        <v>1</v>
      </c>
      <c r="B2359" s="387"/>
      <c r="C2359" s="396" t="str">
        <f ca="1">IF(COUNTA(O$1610:O2359)=1,"",OFFSET(B2357,-COUNTA(O$1610:O2359)+3,1))</f>
        <v>a16Dm000000M3ruIAC</v>
      </c>
      <c r="D2359" s="392"/>
      <c r="E2359" s="389" t="str">
        <f ca="1">IFERROR(IF(VLOOKUP(C2359,' Disaggregation - Section E '!A$618:J3048,7,0)="","",VLOOKUP(C2359,' Disaggregation - Section E '!A$618:J3048,7,0)*100),"")</f>
        <v/>
      </c>
      <c r="F2359" s="391" t="str">
        <f ca="1">IFERROR(VLOOKUP(C2359,' Disaggregation - Section E '!A$618:J3048,5,0),"")</f>
        <v>5-14</v>
      </c>
      <c r="G2359" s="390" t="str">
        <f ca="1">IFERROR(IF(VLOOKUP(C2359,' Disaggregation - Section E '!A$618:J3048,6,0)="","",VLOOKUP(C2359,' Disaggregation - Section E '!A$618:J3048,6,0)),"")</f>
        <v/>
      </c>
      <c r="H2359" s="390" t="str">
        <f ca="1">IFERROR(IF(INDEX(' Disaggregation - Section E '!F$618:F3048,MATCH(C2359,' Disaggregation - Section E '!A$618:A3048,0)+1,1)&lt;&gt;0,INDEX(' Disaggregation - Section E '!F$618:F3048,MATCH(C2359,' Disaggregation - Section E '!A$618:A3048,0)+1,1),""),"")</f>
        <v/>
      </c>
      <c r="I2359" s="391" t="str">
        <f ca="1">IFERROR(IF(VLOOKUP(C2359,' Disaggregation - Section E '!A$618:J3048,8,0)=0,"",VLOOKUP(C2359,' Disaggregation - Section E '!A$618:J3048,8,0)),"")</f>
        <v/>
      </c>
      <c r="J2359" s="391" t="str">
        <f ca="1">IFERROR(IF(VLOOKUP(C2359,' Disaggregation - Section E '!A$618:J3048,9,0)="","",VLOOKUP(C2359,' Disaggregation - Section E '!A$618:J3048,9,0)),"")</f>
        <v>Not available</v>
      </c>
      <c r="K2359" s="387" t="str">
        <f ca="1">IFERROR(VLOOKUP(C2359,' Disaggregation - Section E '!A$618:J3048,3,0),"")</f>
        <v>TBP-1 Number of people in contact with TB patients who began preventive therapy</v>
      </c>
      <c r="L2359" s="387"/>
      <c r="M2359" s="387" t="str">
        <f ca="1">IFERROR(IF(VLOOKUP(C2359,' Disaggregation - Section E '!A$618:O1371,15,0)=0,"",VLOOKUP(C2359,' Disaggregation - Section E '!A$618:O1371,15,0)),"")</f>
        <v>IDR-01336</v>
      </c>
      <c r="N2359" s="391" t="str">
        <f ca="1">IFERROR(IF(VLOOKUP(C2359,' Disaggregation - Section E '!A$618:J3048,10,0)=0,"",VLOOKUP(C2359,' Disaggregation - Section E '!A$618:J3048,10,0)),"")</f>
        <v>Data not available because the NTP quarterly reporting form does not allow reporting on this indicator</v>
      </c>
      <c r="O2359" s="387"/>
      <c r="P2359" s="387" t="str">
        <f ca="1">IFERROR(IF(VLOOKUP(C2359,' Disaggregation - Section E '!A$618:R1371,18,0)=0,"",VLOOKUP(C2359,' Disaggregation - Section E '!A$618:R1371,18,0)),"")</f>
        <v>a1LDm000000Cb4IMAS</v>
      </c>
    </row>
    <row r="2360" spans="1:16">
      <c r="A2360" s="387" t="b">
        <f t="shared" ca="1" si="167"/>
        <v>1</v>
      </c>
      <c r="B2360" s="387"/>
      <c r="C2360" s="396" t="str">
        <f ca="1">IF(COUNTA(O$1610:O2360)=1,"",OFFSET(B2358,-COUNTA(O$1610:O2360)+3,1))</f>
        <v>a16Dm000000M3rvIAC</v>
      </c>
      <c r="D2360" s="392"/>
      <c r="E2360" s="389" t="str">
        <f ca="1">IFERROR(IF(VLOOKUP(C2360,' Disaggregation - Section E '!A$618:J3049,7,0)="","",VLOOKUP(C2360,' Disaggregation - Section E '!A$618:J3049,7,0)*100),"")</f>
        <v/>
      </c>
      <c r="F2360" s="391" t="str">
        <f ca="1">IFERROR(VLOOKUP(C2360,' Disaggregation - Section E '!A$618:J3049,5,0),"")</f>
        <v>1HP</v>
      </c>
      <c r="G2360" s="390" t="str">
        <f ca="1">IFERROR(IF(VLOOKUP(C2360,' Disaggregation - Section E '!A$618:J3049,6,0)="","",VLOOKUP(C2360,' Disaggregation - Section E '!A$618:J3049,6,0)),"")</f>
        <v/>
      </c>
      <c r="H2360" s="390" t="str">
        <f ca="1">IFERROR(IF(INDEX(' Disaggregation - Section E '!F$618:F3049,MATCH(C2360,' Disaggregation - Section E '!A$618:A3049,0)+1,1)&lt;&gt;0,INDEX(' Disaggregation - Section E '!F$618:F3049,MATCH(C2360,' Disaggregation - Section E '!A$618:A3049,0)+1,1),""),"")</f>
        <v/>
      </c>
      <c r="I2360" s="391" t="str">
        <f ca="1">IFERROR(IF(VLOOKUP(C2360,' Disaggregation - Section E '!A$618:J3049,8,0)=0,"",VLOOKUP(C2360,' Disaggregation - Section E '!A$618:J3049,8,0)),"")</f>
        <v/>
      </c>
      <c r="J2360" s="391" t="str">
        <f ca="1">IFERROR(IF(VLOOKUP(C2360,' Disaggregation - Section E '!A$618:J3049,9,0)="","",VLOOKUP(C2360,' Disaggregation - Section E '!A$618:J3049,9,0)),"")</f>
        <v>Not available</v>
      </c>
      <c r="K2360" s="387" t="str">
        <f ca="1">IFERROR(VLOOKUP(C2360,' Disaggregation - Section E '!A$618:J3049,3,0),"")</f>
        <v>TBP-1 Number of people in contact with TB patients who began preventive therapy</v>
      </c>
      <c r="L2360" s="387"/>
      <c r="M2360" s="387" t="str">
        <f ca="1">IFERROR(IF(VLOOKUP(C2360,' Disaggregation - Section E '!A$618:O1372,15,0)=0,"",VLOOKUP(C2360,' Disaggregation - Section E '!A$618:O1372,15,0)),"")</f>
        <v>IDR-01335</v>
      </c>
      <c r="N2360" s="391" t="str">
        <f ca="1">IFERROR(IF(VLOOKUP(C2360,' Disaggregation - Section E '!A$618:J3049,10,0)=0,"",VLOOKUP(C2360,' Disaggregation - Section E '!A$618:J3049,10,0)),"")</f>
        <v>Data not available because the NTP quarterly reporting form does not allow reporting on this indicator</v>
      </c>
      <c r="O2360" s="387"/>
      <c r="P2360" s="387" t="str">
        <f ca="1">IFERROR(IF(VLOOKUP(C2360,' Disaggregation - Section E '!A$618:R1372,18,0)=0,"",VLOOKUP(C2360,' Disaggregation - Section E '!A$618:R1372,18,0)),"")</f>
        <v>a1LDm000000Cb4HMAS</v>
      </c>
    </row>
    <row r="2361" spans="1:16">
      <c r="A2361" s="387" t="b">
        <f t="shared" ca="1" si="167"/>
        <v>1</v>
      </c>
      <c r="B2361" s="387"/>
      <c r="C2361" s="396" t="str">
        <f ca="1">IF(COUNTA(O$1610:O2361)=1,"",OFFSET(B2359,-COUNTA(O$1610:O2361)+3,1))</f>
        <v>a16Dm000000M3rwIAC</v>
      </c>
      <c r="D2361" s="392"/>
      <c r="E2361" s="389" t="str">
        <f ca="1">IFERROR(IF(VLOOKUP(C2361,' Disaggregation - Section E '!A$618:J3050,7,0)="","",VLOOKUP(C2361,' Disaggregation - Section E '!A$618:J3050,7,0)*100),"")</f>
        <v/>
      </c>
      <c r="F2361" s="391" t="str">
        <f ca="1">IFERROR(VLOOKUP(C2361,' Disaggregation - Section E '!A$618:J3050,5,0),"")</f>
        <v>3HP</v>
      </c>
      <c r="G2361" s="390" t="str">
        <f ca="1">IFERROR(IF(VLOOKUP(C2361,' Disaggregation - Section E '!A$618:J3050,6,0)="","",VLOOKUP(C2361,' Disaggregation - Section E '!A$618:J3050,6,0)),"")</f>
        <v/>
      </c>
      <c r="H2361" s="390" t="str">
        <f ca="1">IFERROR(IF(INDEX(' Disaggregation - Section E '!F$618:F3050,MATCH(C2361,' Disaggregation - Section E '!A$618:A3050,0)+1,1)&lt;&gt;0,INDEX(' Disaggregation - Section E '!F$618:F3050,MATCH(C2361,' Disaggregation - Section E '!A$618:A3050,0)+1,1),""),"")</f>
        <v/>
      </c>
      <c r="I2361" s="391" t="str">
        <f ca="1">IFERROR(IF(VLOOKUP(C2361,' Disaggregation - Section E '!A$618:J3050,8,0)=0,"",VLOOKUP(C2361,' Disaggregation - Section E '!A$618:J3050,8,0)),"")</f>
        <v/>
      </c>
      <c r="J2361" s="391" t="str">
        <f ca="1">IFERROR(IF(VLOOKUP(C2361,' Disaggregation - Section E '!A$618:J3050,9,0)="","",VLOOKUP(C2361,' Disaggregation - Section E '!A$618:J3050,9,0)),"")</f>
        <v>Not available</v>
      </c>
      <c r="K2361" s="387" t="str">
        <f ca="1">IFERROR(VLOOKUP(C2361,' Disaggregation - Section E '!A$618:J3050,3,0),"")</f>
        <v>TBP-1 Number of people in contact with TB patients who began preventive therapy</v>
      </c>
      <c r="L2361" s="387"/>
      <c r="M2361" s="387" t="str">
        <f ca="1">IFERROR(IF(VLOOKUP(C2361,' Disaggregation - Section E '!A$618:O1373,15,0)=0,"",VLOOKUP(C2361,' Disaggregation - Section E '!A$618:O1373,15,0)),"")</f>
        <v>IDR-01334</v>
      </c>
      <c r="N2361" s="391" t="str">
        <f ca="1">IFERROR(IF(VLOOKUP(C2361,' Disaggregation - Section E '!A$618:J3050,10,0)=0,"",VLOOKUP(C2361,' Disaggregation - Section E '!A$618:J3050,10,0)),"")</f>
        <v>Data not available because the NTP quarterly reporting form does not allow reporting on this indicator</v>
      </c>
      <c r="O2361" s="387"/>
      <c r="P2361" s="387" t="str">
        <f ca="1">IFERROR(IF(VLOOKUP(C2361,' Disaggregation - Section E '!A$618:R1373,18,0)=0,"",VLOOKUP(C2361,' Disaggregation - Section E '!A$618:R1373,18,0)),"")</f>
        <v>a1LDm000000Cb4GMAS</v>
      </c>
    </row>
    <row r="2362" spans="1:16">
      <c r="A2362" s="387" t="b">
        <f t="shared" ca="1" si="167"/>
        <v>1</v>
      </c>
      <c r="B2362" s="387"/>
      <c r="C2362" s="396" t="str">
        <f ca="1">IF(COUNTA(O$1610:O2362)=1,"",OFFSET(B2360,-COUNTA(O$1610:O2362)+3,1))</f>
        <v>a16Dm000000M3rxIAC</v>
      </c>
      <c r="D2362" s="392"/>
      <c r="E2362" s="389" t="str">
        <f ca="1">IFERROR(IF(VLOOKUP(C2362,' Disaggregation - Section E '!A$618:J3051,7,0)="","",VLOOKUP(C2362,' Disaggregation - Section E '!A$618:J3051,7,0)*100),"")</f>
        <v/>
      </c>
      <c r="F2362" s="391" t="str">
        <f ca="1">IFERROR(VLOOKUP(C2362,' Disaggregation - Section E '!A$618:J3051,5,0),"")</f>
        <v>&lt;5</v>
      </c>
      <c r="G2362" s="390">
        <f ca="1">IFERROR(IF(VLOOKUP(C2362,' Disaggregation - Section E '!A$618:J3051,6,0)="","",VLOOKUP(C2362,' Disaggregation - Section E '!A$618:J3051,6,0)),"")</f>
        <v>59419</v>
      </c>
      <c r="H2362" s="390" t="str">
        <f ca="1">IFERROR(IF(INDEX(' Disaggregation - Section E '!F$618:F3051,MATCH(C2362,' Disaggregation - Section E '!A$618:A3051,0)+1,1)&lt;&gt;0,INDEX(' Disaggregation - Section E '!F$618:F3051,MATCH(C2362,' Disaggregation - Section E '!A$618:A3051,0)+1,1),""),"")</f>
        <v/>
      </c>
      <c r="I2362" s="391">
        <f ca="1">IFERROR(IF(VLOOKUP(C2362,' Disaggregation - Section E '!A$618:J3051,8,0)=0,"",VLOOKUP(C2362,' Disaggregation - Section E '!A$618:J3051,8,0)),"")</f>
        <v>2021</v>
      </c>
      <c r="J2362" s="391" t="str">
        <f ca="1">IFERROR(IF(VLOOKUP(C2362,' Disaggregation - Section E '!A$618:J3051,9,0)="","",VLOOKUP(C2362,' Disaggregation - Section E '!A$618:J3051,9,0)),"")</f>
        <v>WHO TB Global Report 2022</v>
      </c>
      <c r="K2362" s="387" t="str">
        <f ca="1">IFERROR(VLOOKUP(C2362,' Disaggregation - Section E '!A$618:J3051,3,0),"")</f>
        <v>TBP-1 Number of people in contact with TB patients who began preventive therapy</v>
      </c>
      <c r="L2362" s="387"/>
      <c r="M2362" s="387" t="str">
        <f ca="1">IFERROR(IF(VLOOKUP(C2362,' Disaggregation - Section E '!A$618:O1374,15,0)=0,"",VLOOKUP(C2362,' Disaggregation - Section E '!A$618:O1374,15,0)),"")</f>
        <v>IDR-01333</v>
      </c>
      <c r="N2362" s="391" t="str">
        <f ca="1">IFERROR(IF(VLOOKUP(C2362,' Disaggregation - Section E '!A$618:J3051,10,0)=0,"",VLOOKUP(C2362,' Disaggregation - Section E '!A$618:J3051,10,0)),"")</f>
        <v>Data not available because the NTP quarterly reporting form does not allow reporting on this indicator</v>
      </c>
      <c r="O2362" s="387"/>
      <c r="P2362" s="387" t="str">
        <f ca="1">IFERROR(IF(VLOOKUP(C2362,' Disaggregation - Section E '!A$618:R1374,18,0)=0,"",VLOOKUP(C2362,' Disaggregation - Section E '!A$618:R1374,18,0)),"")</f>
        <v>a1LDm000000Cb4FMAS</v>
      </c>
    </row>
    <row r="2363" spans="1:16">
      <c r="A2363" s="387" t="b">
        <f t="shared" ca="1" si="167"/>
        <v>1</v>
      </c>
      <c r="B2363" s="387"/>
      <c r="C2363" s="396" t="str">
        <f ca="1">IF(COUNTA(O$1610:O2363)=1,"",OFFSET(B2361,-COUNTA(O$1610:O2363)+3,1))</f>
        <v>a16Dm000000M3ryIAC</v>
      </c>
      <c r="D2363" s="392"/>
      <c r="E2363" s="389" t="str">
        <f ca="1">IFERROR(IF(VLOOKUP(C2363,' Disaggregation - Section E '!A$618:J3052,7,0)="","",VLOOKUP(C2363,' Disaggregation - Section E '!A$618:J3052,7,0)*100),"")</f>
        <v/>
      </c>
      <c r="F2363" s="391" t="str">
        <f ca="1">IFERROR(VLOOKUP(C2363,' Disaggregation - Section E '!A$618:J3052,5,0),"")</f>
        <v>Public</v>
      </c>
      <c r="G2363" s="390" t="str">
        <f ca="1">IFERROR(IF(VLOOKUP(C2363,' Disaggregation - Section E '!A$618:J3052,6,0)="","",VLOOKUP(C2363,' Disaggregation - Section E '!A$618:J3052,6,0)),"")</f>
        <v/>
      </c>
      <c r="H2363" s="390" t="str">
        <f ca="1">IFERROR(IF(INDEX(' Disaggregation - Section E '!F$618:F3052,MATCH(C2363,' Disaggregation - Section E '!A$618:A3052,0)+1,1)&lt;&gt;0,INDEX(' Disaggregation - Section E '!F$618:F3052,MATCH(C2363,' Disaggregation - Section E '!A$618:A3052,0)+1,1),""),"")</f>
        <v/>
      </c>
      <c r="I2363" s="391" t="str">
        <f ca="1">IFERROR(IF(VLOOKUP(C2363,' Disaggregation - Section E '!A$618:J3052,8,0)=0,"",VLOOKUP(C2363,' Disaggregation - Section E '!A$618:J3052,8,0)),"")</f>
        <v/>
      </c>
      <c r="J2363" s="391" t="str">
        <f ca="1">IFERROR(IF(VLOOKUP(C2363,' Disaggregation - Section E '!A$618:J3052,9,0)="","",VLOOKUP(C2363,' Disaggregation - Section E '!A$618:J3052,9,0)),"")</f>
        <v>Not available</v>
      </c>
      <c r="K2363" s="387" t="str">
        <f ca="1">IFERROR(VLOOKUP(C2363,' Disaggregation - Section E '!A$618:J3052,3,0),"")</f>
        <v>TBP-1 Number of people in contact with TB patients who began preventive therapy</v>
      </c>
      <c r="L2363" s="387"/>
      <c r="M2363" s="387" t="str">
        <f ca="1">IFERROR(IF(VLOOKUP(C2363,' Disaggregation - Section E '!A$618:O1375,15,0)=0,"",VLOOKUP(C2363,' Disaggregation - Section E '!A$618:O1375,15,0)),"")</f>
        <v>IDR-01332</v>
      </c>
      <c r="N2363" s="391" t="str">
        <f ca="1">IFERROR(IF(VLOOKUP(C2363,' Disaggregation - Section E '!A$618:J3052,10,0)=0,"",VLOOKUP(C2363,' Disaggregation - Section E '!A$618:J3052,10,0)),"")</f>
        <v>Data not available because the NTP quarterly reporting form does not allow reporting on this indicator</v>
      </c>
      <c r="O2363" s="387"/>
      <c r="P2363" s="387" t="str">
        <f ca="1">IFERROR(IF(VLOOKUP(C2363,' Disaggregation - Section E '!A$618:R1375,18,0)=0,"",VLOOKUP(C2363,' Disaggregation - Section E '!A$618:R1375,18,0)),"")</f>
        <v>a1LDm000000Cb4EMAS</v>
      </c>
    </row>
    <row r="2364" spans="1:16">
      <c r="A2364" s="387" t="b">
        <f t="shared" ca="1" si="167"/>
        <v>1</v>
      </c>
      <c r="B2364" s="387"/>
      <c r="C2364" s="396" t="str">
        <f ca="1">IF(COUNTA(O$1610:O2364)=1,"",OFFSET(B2362,-COUNTA(O$1610:O2364)+3,1))</f>
        <v>a16Dm000000M3rzIAC</v>
      </c>
      <c r="D2364" s="392"/>
      <c r="E2364" s="389" t="str">
        <f ca="1">IFERROR(IF(VLOOKUP(C2364,' Disaggregation - Section E '!A$618:J3053,7,0)="","",VLOOKUP(C2364,' Disaggregation - Section E '!A$618:J3053,7,0)*100),"")</f>
        <v/>
      </c>
      <c r="F2364" s="391" t="str">
        <f ca="1">IFERROR(VLOOKUP(C2364,' Disaggregation - Section E '!A$618:J3053,5,0),"")</f>
        <v>Positive</v>
      </c>
      <c r="G2364" s="390" t="str">
        <f ca="1">IFERROR(IF(VLOOKUP(C2364,' Disaggregation - Section E '!A$618:J3053,6,0)="","",VLOOKUP(C2364,' Disaggregation - Section E '!A$618:J3053,6,0)),"")</f>
        <v/>
      </c>
      <c r="H2364" s="390" t="str">
        <f ca="1">IFERROR(IF(INDEX(' Disaggregation - Section E '!F$618:F3053,MATCH(C2364,' Disaggregation - Section E '!A$618:A3053,0)+1,1)&lt;&gt;0,INDEX(' Disaggregation - Section E '!F$618:F3053,MATCH(C2364,' Disaggregation - Section E '!A$618:A3053,0)+1,1),""),"")</f>
        <v/>
      </c>
      <c r="I2364" s="391" t="str">
        <f ca="1">IFERROR(IF(VLOOKUP(C2364,' Disaggregation - Section E '!A$618:J3053,8,0)=0,"",VLOOKUP(C2364,' Disaggregation - Section E '!A$618:J3053,8,0)),"")</f>
        <v/>
      </c>
      <c r="J2364" s="391" t="str">
        <f ca="1">IFERROR(IF(VLOOKUP(C2364,' Disaggregation - Section E '!A$618:J3053,9,0)="","",VLOOKUP(C2364,' Disaggregation - Section E '!A$618:J3053,9,0)),"")</f>
        <v>Not available</v>
      </c>
      <c r="K2364" s="387" t="str">
        <f ca="1">IFERROR(VLOOKUP(C2364,' Disaggregation - Section E '!A$618:J3053,3,0),"")</f>
        <v>TBP-1 Number of people in contact with TB patients who began preventive therapy</v>
      </c>
      <c r="L2364" s="387"/>
      <c r="M2364" s="387" t="str">
        <f ca="1">IFERROR(IF(VLOOKUP(C2364,' Disaggregation - Section E '!A$618:O1376,15,0)=0,"",VLOOKUP(C2364,' Disaggregation - Section E '!A$618:O1376,15,0)),"")</f>
        <v>IDR-01331</v>
      </c>
      <c r="N2364" s="391" t="str">
        <f ca="1">IFERROR(IF(VLOOKUP(C2364,' Disaggregation - Section E '!A$618:J3053,10,0)=0,"",VLOOKUP(C2364,' Disaggregation - Section E '!A$618:J3053,10,0)),"")</f>
        <v>Data not available because the NTP quarterly reporting form does not allow reporting on this indicator</v>
      </c>
      <c r="O2364" s="387"/>
      <c r="P2364" s="387" t="str">
        <f ca="1">IFERROR(IF(VLOOKUP(C2364,' Disaggregation - Section E '!A$618:R1376,18,0)=0,"",VLOOKUP(C2364,' Disaggregation - Section E '!A$618:R1376,18,0)),"")</f>
        <v>a1LDm000000Cb4DMAS</v>
      </c>
    </row>
    <row r="2365" spans="1:16">
      <c r="A2365" s="387" t="b">
        <f t="shared" ca="1" si="167"/>
        <v>0</v>
      </c>
      <c r="B2365" s="387"/>
      <c r="C2365" s="396" t="str">
        <f ca="1">IF(COUNTA(O$1610:O2365)=1,"",OFFSET(B2363,-COUNTA(O$1610:O2365)+3,1))</f>
        <v>a16Dm000000M3s0IAC</v>
      </c>
      <c r="D2365" s="392"/>
      <c r="E2365" s="389" t="str">
        <f ca="1">IFERROR(IF(VLOOKUP(C2365,' Disaggregation - Section E '!A$618:J3054,7,0)="","",VLOOKUP(C2365,' Disaggregation - Section E '!A$618:J3054,7,0)*100),"")</f>
        <v/>
      </c>
      <c r="F2365" s="391" t="str">
        <f ca="1">IFERROR(VLOOKUP(C2365,' Disaggregation - Section E '!A$618:J3054,5,0),"")</f>
        <v/>
      </c>
      <c r="G2365" s="390" t="str">
        <f ca="1">IFERROR(IF(VLOOKUP(C2365,' Disaggregation - Section E '!A$618:J3054,6,0)="","",VLOOKUP(C2365,' Disaggregation - Section E '!A$618:J3054,6,0)),"")</f>
        <v/>
      </c>
      <c r="H2365" s="390" t="str">
        <f ca="1">IFERROR(IF(INDEX(' Disaggregation - Section E '!F$618:F3054,MATCH(C2365,' Disaggregation - Section E '!A$618:A3054,0)+1,1)&lt;&gt;0,INDEX(' Disaggregation - Section E '!F$618:F3054,MATCH(C2365,' Disaggregation - Section E '!A$618:A3054,0)+1,1),""),"")</f>
        <v/>
      </c>
      <c r="I2365" s="391" t="str">
        <f ca="1">IFERROR(IF(VLOOKUP(C2365,' Disaggregation - Section E '!A$618:J3054,8,0)=0,"",VLOOKUP(C2365,' Disaggregation - Section E '!A$618:J3054,8,0)),"")</f>
        <v/>
      </c>
      <c r="J2365" s="391" t="str">
        <f ca="1">IFERROR(IF(VLOOKUP(C2365,' Disaggregation - Section E '!A$618:J3054,9,0)="","",VLOOKUP(C2365,' Disaggregation - Section E '!A$618:J3054,9,0)),"")</f>
        <v/>
      </c>
      <c r="K2365" s="387" t="str">
        <f ca="1">IFERROR(VLOOKUP(C2365,' Disaggregation - Section E '!A$618:J3054,3,0),"")</f>
        <v>TBP-1 Number of people in contact with TB patients who began preventive therapy</v>
      </c>
      <c r="L2365" s="387"/>
      <c r="M2365" s="387" t="str">
        <f ca="1">IFERROR(IF(VLOOKUP(C2365,' Disaggregation - Section E '!A$618:O1377,15,0)=0,"",VLOOKUP(C2365,' Disaggregation - Section E '!A$618:O1377,15,0)),"")</f>
        <v/>
      </c>
      <c r="N2365" s="391" t="str">
        <f ca="1">IFERROR(IF(VLOOKUP(C2365,' Disaggregation - Section E '!A$618:J3054,10,0)=0,"",VLOOKUP(C2365,' Disaggregation - Section E '!A$618:J3054,10,0)),"")</f>
        <v/>
      </c>
      <c r="O2365" s="387"/>
      <c r="P2365" s="387" t="str">
        <f ca="1">IFERROR(IF(VLOOKUP(C2365,' Disaggregation - Section E '!A$618:R1377,18,0)=0,"",VLOOKUP(C2365,' Disaggregation - Section E '!A$618:R1377,18,0)),"")</f>
        <v/>
      </c>
    </row>
    <row r="2366" spans="1:16">
      <c r="A2366" s="387" t="b">
        <f t="shared" ca="1" si="167"/>
        <v>0</v>
      </c>
      <c r="B2366" s="387"/>
      <c r="C2366" s="396" t="str">
        <f ca="1">IF(COUNTA(O$1610:O2366)=1,"",OFFSET(B2364,-COUNTA(O$1610:O2366)+3,1))</f>
        <v>a16Dm000000M3s1IAC</v>
      </c>
      <c r="D2366" s="392"/>
      <c r="E2366" s="389" t="str">
        <f ca="1">IFERROR(IF(VLOOKUP(C2366,' Disaggregation - Section E '!A$618:J3055,7,0)="","",VLOOKUP(C2366,' Disaggregation - Section E '!A$618:J3055,7,0)*100),"")</f>
        <v/>
      </c>
      <c r="F2366" s="391" t="str">
        <f ca="1">IFERROR(VLOOKUP(C2366,' Disaggregation - Section E '!A$618:J3055,5,0),"")</f>
        <v/>
      </c>
      <c r="G2366" s="390" t="str">
        <f ca="1">IFERROR(IF(VLOOKUP(C2366,' Disaggregation - Section E '!A$618:J3055,6,0)="","",VLOOKUP(C2366,' Disaggregation - Section E '!A$618:J3055,6,0)),"")</f>
        <v/>
      </c>
      <c r="H2366" s="390" t="str">
        <f ca="1">IFERROR(IF(INDEX(' Disaggregation - Section E '!F$618:F3055,MATCH(C2366,' Disaggregation - Section E '!A$618:A3055,0)+1,1)&lt;&gt;0,INDEX(' Disaggregation - Section E '!F$618:F3055,MATCH(C2366,' Disaggregation - Section E '!A$618:A3055,0)+1,1),""),"")</f>
        <v/>
      </c>
      <c r="I2366" s="391" t="str">
        <f ca="1">IFERROR(IF(VLOOKUP(C2366,' Disaggregation - Section E '!A$618:J3055,8,0)=0,"",VLOOKUP(C2366,' Disaggregation - Section E '!A$618:J3055,8,0)),"")</f>
        <v/>
      </c>
      <c r="J2366" s="391" t="str">
        <f ca="1">IFERROR(IF(VLOOKUP(C2366,' Disaggregation - Section E '!A$618:J3055,9,0)="","",VLOOKUP(C2366,' Disaggregation - Section E '!A$618:J3055,9,0)),"")</f>
        <v/>
      </c>
      <c r="K2366" s="387" t="str">
        <f ca="1">IFERROR(VLOOKUP(C2366,' Disaggregation - Section E '!A$618:J3055,3,0),"")</f>
        <v>TBP-1 Number of people in contact with TB patients who began preventive therapy</v>
      </c>
      <c r="L2366" s="387"/>
      <c r="M2366" s="387" t="str">
        <f ca="1">IFERROR(IF(VLOOKUP(C2366,' Disaggregation - Section E '!A$618:O1378,15,0)=0,"",VLOOKUP(C2366,' Disaggregation - Section E '!A$618:O1378,15,0)),"")</f>
        <v/>
      </c>
      <c r="N2366" s="391" t="str">
        <f ca="1">IFERROR(IF(VLOOKUP(C2366,' Disaggregation - Section E '!A$618:J3055,10,0)=0,"",VLOOKUP(C2366,' Disaggregation - Section E '!A$618:J3055,10,0)),"")</f>
        <v/>
      </c>
      <c r="O2366" s="387"/>
      <c r="P2366" s="387" t="str">
        <f ca="1">IFERROR(IF(VLOOKUP(C2366,' Disaggregation - Section E '!A$618:R1378,18,0)=0,"",VLOOKUP(C2366,' Disaggregation - Section E '!A$618:R1378,18,0)),"")</f>
        <v/>
      </c>
    </row>
    <row r="2367" spans="1:16">
      <c r="A2367" s="387" t="b">
        <f t="shared" ca="1" si="167"/>
        <v>0</v>
      </c>
      <c r="B2367" s="387"/>
      <c r="C2367" s="396" t="str">
        <f ca="1">IF(COUNTA(O$1610:O2367)=1,"",OFFSET(B2365,-COUNTA(O$1610:O2367)+3,1))</f>
        <v>a16Dm000000M3s2IAC</v>
      </c>
      <c r="D2367" s="392"/>
      <c r="E2367" s="389" t="str">
        <f ca="1">IFERROR(IF(VLOOKUP(C2367,' Disaggregation - Section E '!A$618:J3056,7,0)="","",VLOOKUP(C2367,' Disaggregation - Section E '!A$618:J3056,7,0)*100),"")</f>
        <v/>
      </c>
      <c r="F2367" s="391" t="str">
        <f ca="1">IFERROR(VLOOKUP(C2367,' Disaggregation - Section E '!A$618:J3056,5,0),"")</f>
        <v/>
      </c>
      <c r="G2367" s="390" t="str">
        <f ca="1">IFERROR(IF(VLOOKUP(C2367,' Disaggregation - Section E '!A$618:J3056,6,0)="","",VLOOKUP(C2367,' Disaggregation - Section E '!A$618:J3056,6,0)),"")</f>
        <v/>
      </c>
      <c r="H2367" s="390" t="str">
        <f ca="1">IFERROR(IF(INDEX(' Disaggregation - Section E '!F$618:F3056,MATCH(C2367,' Disaggregation - Section E '!A$618:A3056,0)+1,1)&lt;&gt;0,INDEX(' Disaggregation - Section E '!F$618:F3056,MATCH(C2367,' Disaggregation - Section E '!A$618:A3056,0)+1,1),""),"")</f>
        <v/>
      </c>
      <c r="I2367" s="391" t="str">
        <f ca="1">IFERROR(IF(VLOOKUP(C2367,' Disaggregation - Section E '!A$618:J3056,8,0)=0,"",VLOOKUP(C2367,' Disaggregation - Section E '!A$618:J3056,8,0)),"")</f>
        <v/>
      </c>
      <c r="J2367" s="391" t="str">
        <f ca="1">IFERROR(IF(VLOOKUP(C2367,' Disaggregation - Section E '!A$618:J3056,9,0)="","",VLOOKUP(C2367,' Disaggregation - Section E '!A$618:J3056,9,0)),"")</f>
        <v/>
      </c>
      <c r="K2367" s="387" t="str">
        <f ca="1">IFERROR(VLOOKUP(C2367,' Disaggregation - Section E '!A$618:J3056,3,0),"")</f>
        <v>TBP-1 Number of people in contact with TB patients who began preventive therapy</v>
      </c>
      <c r="L2367" s="387"/>
      <c r="M2367" s="387" t="str">
        <f ca="1">IFERROR(IF(VLOOKUP(C2367,' Disaggregation - Section E '!A$618:O1379,15,0)=0,"",VLOOKUP(C2367,' Disaggregation - Section E '!A$618:O1379,15,0)),"")</f>
        <v/>
      </c>
      <c r="N2367" s="391" t="str">
        <f ca="1">IFERROR(IF(VLOOKUP(C2367,' Disaggregation - Section E '!A$618:J3056,10,0)=0,"",VLOOKUP(C2367,' Disaggregation - Section E '!A$618:J3056,10,0)),"")</f>
        <v/>
      </c>
      <c r="O2367" s="387"/>
      <c r="P2367" s="387" t="str">
        <f ca="1">IFERROR(IF(VLOOKUP(C2367,' Disaggregation - Section E '!A$618:R1379,18,0)=0,"",VLOOKUP(C2367,' Disaggregation - Section E '!A$618:R1379,18,0)),"")</f>
        <v/>
      </c>
    </row>
    <row r="2368" spans="1:16">
      <c r="A2368" s="387" t="b">
        <f t="shared" ca="1" si="167"/>
        <v>0</v>
      </c>
      <c r="B2368" s="387"/>
      <c r="C2368" s="396" t="str">
        <f ca="1">IF(COUNTA(O$1610:O2368)=1,"",OFFSET(B2366,-COUNTA(O$1610:O2368)+3,1))</f>
        <v>a16Dm000000M3s3IAC</v>
      </c>
      <c r="D2368" s="392"/>
      <c r="E2368" s="389" t="str">
        <f ca="1">IFERROR(IF(VLOOKUP(C2368,' Disaggregation - Section E '!A$618:J3057,7,0)="","",VLOOKUP(C2368,' Disaggregation - Section E '!A$618:J3057,7,0)*100),"")</f>
        <v/>
      </c>
      <c r="F2368" s="391" t="str">
        <f ca="1">IFERROR(VLOOKUP(C2368,' Disaggregation - Section E '!A$618:J3057,5,0),"")</f>
        <v/>
      </c>
      <c r="G2368" s="390" t="str">
        <f ca="1">IFERROR(IF(VLOOKUP(C2368,' Disaggregation - Section E '!A$618:J3057,6,0)="","",VLOOKUP(C2368,' Disaggregation - Section E '!A$618:J3057,6,0)),"")</f>
        <v/>
      </c>
      <c r="H2368" s="390" t="str">
        <f ca="1">IFERROR(IF(INDEX(' Disaggregation - Section E '!F$618:F3057,MATCH(C2368,' Disaggregation - Section E '!A$618:A3057,0)+1,1)&lt;&gt;0,INDEX(' Disaggregation - Section E '!F$618:F3057,MATCH(C2368,' Disaggregation - Section E '!A$618:A3057,0)+1,1),""),"")</f>
        <v/>
      </c>
      <c r="I2368" s="391" t="str">
        <f ca="1">IFERROR(IF(VLOOKUP(C2368,' Disaggregation - Section E '!A$618:J3057,8,0)=0,"",VLOOKUP(C2368,' Disaggregation - Section E '!A$618:J3057,8,0)),"")</f>
        <v/>
      </c>
      <c r="J2368" s="391" t="str">
        <f ca="1">IFERROR(IF(VLOOKUP(C2368,' Disaggregation - Section E '!A$618:J3057,9,0)="","",VLOOKUP(C2368,' Disaggregation - Section E '!A$618:J3057,9,0)),"")</f>
        <v/>
      </c>
      <c r="K2368" s="387" t="str">
        <f ca="1">IFERROR(VLOOKUP(C2368,' Disaggregation - Section E '!A$618:J3057,3,0),"")</f>
        <v>TBP-1 Number of people in contact with TB patients who began preventive therapy</v>
      </c>
      <c r="L2368" s="387"/>
      <c r="M2368" s="387" t="str">
        <f ca="1">IFERROR(IF(VLOOKUP(C2368,' Disaggregation - Section E '!A$618:O1380,15,0)=0,"",VLOOKUP(C2368,' Disaggregation - Section E '!A$618:O1380,15,0)),"")</f>
        <v/>
      </c>
      <c r="N2368" s="391" t="str">
        <f ca="1">IFERROR(IF(VLOOKUP(C2368,' Disaggregation - Section E '!A$618:J3057,10,0)=0,"",VLOOKUP(C2368,' Disaggregation - Section E '!A$618:J3057,10,0)),"")</f>
        <v/>
      </c>
      <c r="O2368" s="387"/>
      <c r="P2368" s="387" t="str">
        <f ca="1">IFERROR(IF(VLOOKUP(C2368,' Disaggregation - Section E '!A$618:R1380,18,0)=0,"",VLOOKUP(C2368,' Disaggregation - Section E '!A$618:R1380,18,0)),"")</f>
        <v/>
      </c>
    </row>
    <row r="2369" spans="1:16">
      <c r="A2369" s="387" t="b">
        <f t="shared" ca="1" si="167"/>
        <v>0</v>
      </c>
      <c r="B2369" s="387"/>
      <c r="C2369" s="396" t="str">
        <f ca="1">IF(COUNTA(O$1610:O2369)=1,"",OFFSET(B2367,-COUNTA(O$1610:O2369)+3,1))</f>
        <v>a16Dm000000M3s4IAC</v>
      </c>
      <c r="D2369" s="392"/>
      <c r="E2369" s="389" t="str">
        <f ca="1">IFERROR(IF(VLOOKUP(C2369,' Disaggregation - Section E '!A$618:J3058,7,0)="","",VLOOKUP(C2369,' Disaggregation - Section E '!A$618:J3058,7,0)*100),"")</f>
        <v/>
      </c>
      <c r="F2369" s="391" t="str">
        <f ca="1">IFERROR(VLOOKUP(C2369,' Disaggregation - Section E '!A$618:J3058,5,0),"")</f>
        <v/>
      </c>
      <c r="G2369" s="390" t="str">
        <f ca="1">IFERROR(IF(VLOOKUP(C2369,' Disaggregation - Section E '!A$618:J3058,6,0)="","",VLOOKUP(C2369,' Disaggregation - Section E '!A$618:J3058,6,0)),"")</f>
        <v/>
      </c>
      <c r="H2369" s="390" t="str">
        <f ca="1">IFERROR(IF(INDEX(' Disaggregation - Section E '!F$618:F3058,MATCH(C2369,' Disaggregation - Section E '!A$618:A3058,0)+1,1)&lt;&gt;0,INDEX(' Disaggregation - Section E '!F$618:F3058,MATCH(C2369,' Disaggregation - Section E '!A$618:A3058,0)+1,1),""),"")</f>
        <v/>
      </c>
      <c r="I2369" s="391" t="str">
        <f ca="1">IFERROR(IF(VLOOKUP(C2369,' Disaggregation - Section E '!A$618:J3058,8,0)=0,"",VLOOKUP(C2369,' Disaggregation - Section E '!A$618:J3058,8,0)),"")</f>
        <v/>
      </c>
      <c r="J2369" s="391" t="str">
        <f ca="1">IFERROR(IF(VLOOKUP(C2369,' Disaggregation - Section E '!A$618:J3058,9,0)="","",VLOOKUP(C2369,' Disaggregation - Section E '!A$618:J3058,9,0)),"")</f>
        <v/>
      </c>
      <c r="K2369" s="387" t="str">
        <f ca="1">IFERROR(VLOOKUP(C2369,' Disaggregation - Section E '!A$618:J3058,3,0),"")</f>
        <v>TBP-1 Number of people in contact with TB patients who began preventive therapy</v>
      </c>
      <c r="L2369" s="387"/>
      <c r="M2369" s="387" t="str">
        <f ca="1">IFERROR(IF(VLOOKUP(C2369,' Disaggregation - Section E '!A$618:O1381,15,0)=0,"",VLOOKUP(C2369,' Disaggregation - Section E '!A$618:O1381,15,0)),"")</f>
        <v/>
      </c>
      <c r="N2369" s="391" t="str">
        <f ca="1">IFERROR(IF(VLOOKUP(C2369,' Disaggregation - Section E '!A$618:J3058,10,0)=0,"",VLOOKUP(C2369,' Disaggregation - Section E '!A$618:J3058,10,0)),"")</f>
        <v/>
      </c>
      <c r="O2369" s="387"/>
      <c r="P2369" s="387" t="str">
        <f ca="1">IFERROR(IF(VLOOKUP(C2369,' Disaggregation - Section E '!A$618:R1381,18,0)=0,"",VLOOKUP(C2369,' Disaggregation - Section E '!A$618:R1381,18,0)),"")</f>
        <v/>
      </c>
    </row>
    <row r="2370" spans="1:16">
      <c r="A2370" s="387" t="b">
        <f t="shared" ca="1" si="167"/>
        <v>0</v>
      </c>
      <c r="B2370" s="387"/>
      <c r="C2370" s="396" t="str">
        <f ca="1">IF(COUNTA(O$1610:O2370)=1,"",OFFSET(B2368,-COUNTA(O$1610:O2370)+3,1))</f>
        <v>a16Dm000000M3s5IAC</v>
      </c>
      <c r="D2370" s="392"/>
      <c r="E2370" s="389" t="str">
        <f ca="1">IFERROR(IF(VLOOKUP(C2370,' Disaggregation - Section E '!A$618:J3059,7,0)="","",VLOOKUP(C2370,' Disaggregation - Section E '!A$618:J3059,7,0)*100),"")</f>
        <v/>
      </c>
      <c r="F2370" s="391" t="str">
        <f ca="1">IFERROR(VLOOKUP(C2370,' Disaggregation - Section E '!A$618:J3059,5,0),"")</f>
        <v/>
      </c>
      <c r="G2370" s="390" t="str">
        <f ca="1">IFERROR(IF(VLOOKUP(C2370,' Disaggregation - Section E '!A$618:J3059,6,0)="","",VLOOKUP(C2370,' Disaggregation - Section E '!A$618:J3059,6,0)),"")</f>
        <v/>
      </c>
      <c r="H2370" s="390" t="str">
        <f ca="1">IFERROR(IF(INDEX(' Disaggregation - Section E '!F$618:F3059,MATCH(C2370,' Disaggregation - Section E '!A$618:A3059,0)+1,1)&lt;&gt;0,INDEX(' Disaggregation - Section E '!F$618:F3059,MATCH(C2370,' Disaggregation - Section E '!A$618:A3059,0)+1,1),""),"")</f>
        <v/>
      </c>
      <c r="I2370" s="391" t="str">
        <f ca="1">IFERROR(IF(VLOOKUP(C2370,' Disaggregation - Section E '!A$618:J3059,8,0)=0,"",VLOOKUP(C2370,' Disaggregation - Section E '!A$618:J3059,8,0)),"")</f>
        <v/>
      </c>
      <c r="J2370" s="391" t="str">
        <f ca="1">IFERROR(IF(VLOOKUP(C2370,' Disaggregation - Section E '!A$618:J3059,9,0)="","",VLOOKUP(C2370,' Disaggregation - Section E '!A$618:J3059,9,0)),"")</f>
        <v/>
      </c>
      <c r="K2370" s="387" t="str">
        <f ca="1">IFERROR(VLOOKUP(C2370,' Disaggregation - Section E '!A$618:J3059,3,0),"")</f>
        <v>TBP-1 Number of people in contact with TB patients who began preventive therapy</v>
      </c>
      <c r="L2370" s="387"/>
      <c r="M2370" s="387" t="str">
        <f ca="1">IFERROR(IF(VLOOKUP(C2370,' Disaggregation - Section E '!A$618:O1382,15,0)=0,"",VLOOKUP(C2370,' Disaggregation - Section E '!A$618:O1382,15,0)),"")</f>
        <v/>
      </c>
      <c r="N2370" s="391" t="str">
        <f ca="1">IFERROR(IF(VLOOKUP(C2370,' Disaggregation - Section E '!A$618:J3059,10,0)=0,"",VLOOKUP(C2370,' Disaggregation - Section E '!A$618:J3059,10,0)),"")</f>
        <v/>
      </c>
      <c r="O2370" s="387"/>
      <c r="P2370" s="387" t="str">
        <f ca="1">IFERROR(IF(VLOOKUP(C2370,' Disaggregation - Section E '!A$618:R1382,18,0)=0,"",VLOOKUP(C2370,' Disaggregation - Section E '!A$618:R1382,18,0)),"")</f>
        <v/>
      </c>
    </row>
    <row r="2371" spans="1:16">
      <c r="A2371" s="387" t="b">
        <f t="shared" ca="1" si="167"/>
        <v>0</v>
      </c>
      <c r="B2371" s="387"/>
      <c r="C2371" s="396" t="str">
        <f ca="1">IF(COUNTA(O$1610:O2371)=1,"",OFFSET(B2369,-COUNTA(O$1610:O2371)+3,1))</f>
        <v>a16Dm000000M3s6IAC</v>
      </c>
      <c r="D2371" s="392"/>
      <c r="E2371" s="389" t="str">
        <f ca="1">IFERROR(IF(VLOOKUP(C2371,' Disaggregation - Section E '!A$618:J3060,7,0)="","",VLOOKUP(C2371,' Disaggregation - Section E '!A$618:J3060,7,0)*100),"")</f>
        <v/>
      </c>
      <c r="F2371" s="391" t="str">
        <f ca="1">IFERROR(VLOOKUP(C2371,' Disaggregation - Section E '!A$618:J3060,5,0),"")</f>
        <v/>
      </c>
      <c r="G2371" s="390" t="str">
        <f ca="1">IFERROR(IF(VLOOKUP(C2371,' Disaggregation - Section E '!A$618:J3060,6,0)="","",VLOOKUP(C2371,' Disaggregation - Section E '!A$618:J3060,6,0)),"")</f>
        <v/>
      </c>
      <c r="H2371" s="390" t="str">
        <f ca="1">IFERROR(IF(INDEX(' Disaggregation - Section E '!F$618:F3060,MATCH(C2371,' Disaggregation - Section E '!A$618:A3060,0)+1,1)&lt;&gt;0,INDEX(' Disaggregation - Section E '!F$618:F3060,MATCH(C2371,' Disaggregation - Section E '!A$618:A3060,0)+1,1),""),"")</f>
        <v/>
      </c>
      <c r="I2371" s="391" t="str">
        <f ca="1">IFERROR(IF(VLOOKUP(C2371,' Disaggregation - Section E '!A$618:J3060,8,0)=0,"",VLOOKUP(C2371,' Disaggregation - Section E '!A$618:J3060,8,0)),"")</f>
        <v/>
      </c>
      <c r="J2371" s="391" t="str">
        <f ca="1">IFERROR(IF(VLOOKUP(C2371,' Disaggregation - Section E '!A$618:J3060,9,0)="","",VLOOKUP(C2371,' Disaggregation - Section E '!A$618:J3060,9,0)),"")</f>
        <v/>
      </c>
      <c r="K2371" s="387" t="str">
        <f ca="1">IFERROR(VLOOKUP(C2371,' Disaggregation - Section E '!A$618:J3060,3,0),"")</f>
        <v>TBP-1 Number of people in contact with TB patients who began preventive therapy</v>
      </c>
      <c r="L2371" s="387"/>
      <c r="M2371" s="387" t="str">
        <f ca="1">IFERROR(IF(VLOOKUP(C2371,' Disaggregation - Section E '!A$618:O1383,15,0)=0,"",VLOOKUP(C2371,' Disaggregation - Section E '!A$618:O1383,15,0)),"")</f>
        <v/>
      </c>
      <c r="N2371" s="391" t="str">
        <f ca="1">IFERROR(IF(VLOOKUP(C2371,' Disaggregation - Section E '!A$618:J3060,10,0)=0,"",VLOOKUP(C2371,' Disaggregation - Section E '!A$618:J3060,10,0)),"")</f>
        <v/>
      </c>
      <c r="O2371" s="387"/>
      <c r="P2371" s="387" t="str">
        <f ca="1">IFERROR(IF(VLOOKUP(C2371,' Disaggregation - Section E '!A$618:R1383,18,0)=0,"",VLOOKUP(C2371,' Disaggregation - Section E '!A$618:R1383,18,0)),"")</f>
        <v/>
      </c>
    </row>
    <row r="2372" spans="1:16">
      <c r="A2372" s="387" t="b">
        <f t="shared" ca="1" si="167"/>
        <v>0</v>
      </c>
      <c r="B2372" s="387"/>
      <c r="C2372" s="396" t="str">
        <f ca="1">IF(COUNTA(O$1610:O2372)=1,"",OFFSET(B2370,-COUNTA(O$1610:O2372)+3,1))</f>
        <v>a16Dm000000M3s7IAC</v>
      </c>
      <c r="D2372" s="392"/>
      <c r="E2372" s="389" t="str">
        <f ca="1">IFERROR(IF(VLOOKUP(C2372,' Disaggregation - Section E '!A$618:J3061,7,0)="","",VLOOKUP(C2372,' Disaggregation - Section E '!A$618:J3061,7,0)*100),"")</f>
        <v/>
      </c>
      <c r="F2372" s="391" t="str">
        <f ca="1">IFERROR(VLOOKUP(C2372,' Disaggregation - Section E '!A$618:J3061,5,0),"")</f>
        <v/>
      </c>
      <c r="G2372" s="390" t="str">
        <f ca="1">IFERROR(IF(VLOOKUP(C2372,' Disaggregation - Section E '!A$618:J3061,6,0)="","",VLOOKUP(C2372,' Disaggregation - Section E '!A$618:J3061,6,0)),"")</f>
        <v/>
      </c>
      <c r="H2372" s="390" t="str">
        <f ca="1">IFERROR(IF(INDEX(' Disaggregation - Section E '!F$618:F3061,MATCH(C2372,' Disaggregation - Section E '!A$618:A3061,0)+1,1)&lt;&gt;0,INDEX(' Disaggregation - Section E '!F$618:F3061,MATCH(C2372,' Disaggregation - Section E '!A$618:A3061,0)+1,1),""),"")</f>
        <v/>
      </c>
      <c r="I2372" s="391" t="str">
        <f ca="1">IFERROR(IF(VLOOKUP(C2372,' Disaggregation - Section E '!A$618:J3061,8,0)=0,"",VLOOKUP(C2372,' Disaggregation - Section E '!A$618:J3061,8,0)),"")</f>
        <v/>
      </c>
      <c r="J2372" s="391" t="str">
        <f ca="1">IFERROR(IF(VLOOKUP(C2372,' Disaggregation - Section E '!A$618:J3061,9,0)="","",VLOOKUP(C2372,' Disaggregation - Section E '!A$618:J3061,9,0)),"")</f>
        <v/>
      </c>
      <c r="K2372" s="387" t="str">
        <f ca="1">IFERROR(VLOOKUP(C2372,' Disaggregation - Section E '!A$618:J3061,3,0),"")</f>
        <v>KVP-1 Number of people with TB (all forms) notified among prisoners; *includes only those with new and relapse TB</v>
      </c>
      <c r="L2372" s="387"/>
      <c r="M2372" s="387" t="str">
        <f ca="1">IFERROR(IF(VLOOKUP(C2372,' Disaggregation - Section E '!A$618:O1384,15,0)=0,"",VLOOKUP(C2372,' Disaggregation - Section E '!A$618:O1384,15,0)),"")</f>
        <v/>
      </c>
      <c r="N2372" s="391" t="str">
        <f ca="1">IFERROR(IF(VLOOKUP(C2372,' Disaggregation - Section E '!A$618:J3061,10,0)=0,"",VLOOKUP(C2372,' Disaggregation - Section E '!A$618:J3061,10,0)),"")</f>
        <v/>
      </c>
      <c r="O2372" s="387"/>
      <c r="P2372" s="387" t="str">
        <f ca="1">IFERROR(IF(VLOOKUP(C2372,' Disaggregation - Section E '!A$618:R1384,18,0)=0,"",VLOOKUP(C2372,' Disaggregation - Section E '!A$618:R1384,18,0)),"")</f>
        <v/>
      </c>
    </row>
    <row r="2373" spans="1:16">
      <c r="A2373" s="387" t="b">
        <f t="shared" ca="1" si="167"/>
        <v>0</v>
      </c>
      <c r="B2373" s="387"/>
      <c r="C2373" s="396" t="str">
        <f ca="1">IF(COUNTA(O$1610:O2373)=1,"",OFFSET(B2371,-COUNTA(O$1610:O2373)+3,1))</f>
        <v>a16Dm000000M3s8IAC</v>
      </c>
      <c r="D2373" s="392"/>
      <c r="E2373" s="389" t="str">
        <f ca="1">IFERROR(IF(VLOOKUP(C2373,' Disaggregation - Section E '!A$618:J3062,7,0)="","",VLOOKUP(C2373,' Disaggregation - Section E '!A$618:J3062,7,0)*100),"")</f>
        <v/>
      </c>
      <c r="F2373" s="391" t="str">
        <f ca="1">IFERROR(VLOOKUP(C2373,' Disaggregation - Section E '!A$618:J3062,5,0),"")</f>
        <v/>
      </c>
      <c r="G2373" s="390" t="str">
        <f ca="1">IFERROR(IF(VLOOKUP(C2373,' Disaggregation - Section E '!A$618:J3062,6,0)="","",VLOOKUP(C2373,' Disaggregation - Section E '!A$618:J3062,6,0)),"")</f>
        <v/>
      </c>
      <c r="H2373" s="390" t="str">
        <f ca="1">IFERROR(IF(INDEX(' Disaggregation - Section E '!F$618:F3062,MATCH(C2373,' Disaggregation - Section E '!A$618:A3062,0)+1,1)&lt;&gt;0,INDEX(' Disaggregation - Section E '!F$618:F3062,MATCH(C2373,' Disaggregation - Section E '!A$618:A3062,0)+1,1),""),"")</f>
        <v/>
      </c>
      <c r="I2373" s="391" t="str">
        <f ca="1">IFERROR(IF(VLOOKUP(C2373,' Disaggregation - Section E '!A$618:J3062,8,0)=0,"",VLOOKUP(C2373,' Disaggregation - Section E '!A$618:J3062,8,0)),"")</f>
        <v/>
      </c>
      <c r="J2373" s="391" t="str">
        <f ca="1">IFERROR(IF(VLOOKUP(C2373,' Disaggregation - Section E '!A$618:J3062,9,0)="","",VLOOKUP(C2373,' Disaggregation - Section E '!A$618:J3062,9,0)),"")</f>
        <v/>
      </c>
      <c r="K2373" s="387" t="str">
        <f ca="1">IFERROR(VLOOKUP(C2373,' Disaggregation - Section E '!A$618:J3062,3,0),"")</f>
        <v>KVP-1 Number of people with TB (all forms) notified among prisoners; *includes only those with new and relapse TB</v>
      </c>
      <c r="L2373" s="387"/>
      <c r="M2373" s="387" t="str">
        <f ca="1">IFERROR(IF(VLOOKUP(C2373,' Disaggregation - Section E '!A$618:O1385,15,0)=0,"",VLOOKUP(C2373,' Disaggregation - Section E '!A$618:O1385,15,0)),"")</f>
        <v/>
      </c>
      <c r="N2373" s="391" t="str">
        <f ca="1">IFERROR(IF(VLOOKUP(C2373,' Disaggregation - Section E '!A$618:J3062,10,0)=0,"",VLOOKUP(C2373,' Disaggregation - Section E '!A$618:J3062,10,0)),"")</f>
        <v/>
      </c>
      <c r="O2373" s="387"/>
      <c r="P2373" s="387" t="str">
        <f ca="1">IFERROR(IF(VLOOKUP(C2373,' Disaggregation - Section E '!A$618:R1385,18,0)=0,"",VLOOKUP(C2373,' Disaggregation - Section E '!A$618:R1385,18,0)),"")</f>
        <v/>
      </c>
    </row>
    <row r="2374" spans="1:16">
      <c r="A2374" s="387" t="b">
        <f t="shared" ca="1" si="167"/>
        <v>0</v>
      </c>
      <c r="B2374" s="387"/>
      <c r="C2374" s="396" t="str">
        <f ca="1">IF(COUNTA(O$1610:O2374)=1,"",OFFSET(B2372,-COUNTA(O$1610:O2374)+3,1))</f>
        <v>a16Dm000000M3s9IAC</v>
      </c>
      <c r="D2374" s="392"/>
      <c r="E2374" s="389" t="str">
        <f ca="1">IFERROR(IF(VLOOKUP(C2374,' Disaggregation - Section E '!A$618:J3063,7,0)="","",VLOOKUP(C2374,' Disaggregation - Section E '!A$618:J3063,7,0)*100),"")</f>
        <v/>
      </c>
      <c r="F2374" s="391" t="str">
        <f ca="1">IFERROR(VLOOKUP(C2374,' Disaggregation - Section E '!A$618:J3063,5,0),"")</f>
        <v/>
      </c>
      <c r="G2374" s="390" t="str">
        <f ca="1">IFERROR(IF(VLOOKUP(C2374,' Disaggregation - Section E '!A$618:J3063,6,0)="","",VLOOKUP(C2374,' Disaggregation - Section E '!A$618:J3063,6,0)),"")</f>
        <v/>
      </c>
      <c r="H2374" s="390" t="str">
        <f ca="1">IFERROR(IF(INDEX(' Disaggregation - Section E '!F$618:F3063,MATCH(C2374,' Disaggregation - Section E '!A$618:A3063,0)+1,1)&lt;&gt;0,INDEX(' Disaggregation - Section E '!F$618:F3063,MATCH(C2374,' Disaggregation - Section E '!A$618:A3063,0)+1,1),""),"")</f>
        <v/>
      </c>
      <c r="I2374" s="391" t="str">
        <f ca="1">IFERROR(IF(VLOOKUP(C2374,' Disaggregation - Section E '!A$618:J3063,8,0)=0,"",VLOOKUP(C2374,' Disaggregation - Section E '!A$618:J3063,8,0)),"")</f>
        <v/>
      </c>
      <c r="J2374" s="391" t="str">
        <f ca="1">IFERROR(IF(VLOOKUP(C2374,' Disaggregation - Section E '!A$618:J3063,9,0)="","",VLOOKUP(C2374,' Disaggregation - Section E '!A$618:J3063,9,0)),"")</f>
        <v/>
      </c>
      <c r="K2374" s="387" t="str">
        <f ca="1">IFERROR(VLOOKUP(C2374,' Disaggregation - Section E '!A$618:J3063,3,0),"")</f>
        <v>KVP-1 Number of people with TB (all forms) notified among prisoners; *includes only those with new and relapse TB</v>
      </c>
      <c r="L2374" s="387"/>
      <c r="M2374" s="387" t="str">
        <f ca="1">IFERROR(IF(VLOOKUP(C2374,' Disaggregation - Section E '!A$618:O1386,15,0)=0,"",VLOOKUP(C2374,' Disaggregation - Section E '!A$618:O1386,15,0)),"")</f>
        <v/>
      </c>
      <c r="N2374" s="391" t="str">
        <f ca="1">IFERROR(IF(VLOOKUP(C2374,' Disaggregation - Section E '!A$618:J3063,10,0)=0,"",VLOOKUP(C2374,' Disaggregation - Section E '!A$618:J3063,10,0)),"")</f>
        <v/>
      </c>
      <c r="O2374" s="387"/>
      <c r="P2374" s="387" t="str">
        <f ca="1">IFERROR(IF(VLOOKUP(C2374,' Disaggregation - Section E '!A$618:R1386,18,0)=0,"",VLOOKUP(C2374,' Disaggregation - Section E '!A$618:R1386,18,0)),"")</f>
        <v/>
      </c>
    </row>
    <row r="2375" spans="1:16">
      <c r="A2375" s="387" t="b">
        <f t="shared" ca="1" si="167"/>
        <v>0</v>
      </c>
      <c r="B2375" s="387"/>
      <c r="C2375" s="396" t="str">
        <f ca="1">IF(COUNTA(O$1610:O2375)=1,"",OFFSET(B2373,-COUNTA(O$1610:O2375)+3,1))</f>
        <v>a16Dm000000M3sAIAS</v>
      </c>
      <c r="D2375" s="392"/>
      <c r="E2375" s="389" t="str">
        <f ca="1">IFERROR(IF(VLOOKUP(C2375,' Disaggregation - Section E '!A$618:J3064,7,0)="","",VLOOKUP(C2375,' Disaggregation - Section E '!A$618:J3064,7,0)*100),"")</f>
        <v/>
      </c>
      <c r="F2375" s="391" t="str">
        <f ca="1">IFERROR(VLOOKUP(C2375,' Disaggregation - Section E '!A$618:J3064,5,0),"")</f>
        <v/>
      </c>
      <c r="G2375" s="390" t="str">
        <f ca="1">IFERROR(IF(VLOOKUP(C2375,' Disaggregation - Section E '!A$618:J3064,6,0)="","",VLOOKUP(C2375,' Disaggregation - Section E '!A$618:J3064,6,0)),"")</f>
        <v/>
      </c>
      <c r="H2375" s="390" t="str">
        <f ca="1">IFERROR(IF(INDEX(' Disaggregation - Section E '!F$618:F3064,MATCH(C2375,' Disaggregation - Section E '!A$618:A3064,0)+1,1)&lt;&gt;0,INDEX(' Disaggregation - Section E '!F$618:F3064,MATCH(C2375,' Disaggregation - Section E '!A$618:A3064,0)+1,1),""),"")</f>
        <v/>
      </c>
      <c r="I2375" s="391" t="str">
        <f ca="1">IFERROR(IF(VLOOKUP(C2375,' Disaggregation - Section E '!A$618:J3064,8,0)=0,"",VLOOKUP(C2375,' Disaggregation - Section E '!A$618:J3064,8,0)),"")</f>
        <v/>
      </c>
      <c r="J2375" s="391" t="str">
        <f ca="1">IFERROR(IF(VLOOKUP(C2375,' Disaggregation - Section E '!A$618:J3064,9,0)="","",VLOOKUP(C2375,' Disaggregation - Section E '!A$618:J3064,9,0)),"")</f>
        <v/>
      </c>
      <c r="K2375" s="387" t="str">
        <f ca="1">IFERROR(VLOOKUP(C2375,' Disaggregation - Section E '!A$618:J3064,3,0),"")</f>
        <v>KVP-1 Number of people with TB (all forms) notified among prisoners; *includes only those with new and relapse TB</v>
      </c>
      <c r="L2375" s="387"/>
      <c r="M2375" s="387" t="str">
        <f ca="1">IFERROR(IF(VLOOKUP(C2375,' Disaggregation - Section E '!A$618:O1387,15,0)=0,"",VLOOKUP(C2375,' Disaggregation - Section E '!A$618:O1387,15,0)),"")</f>
        <v/>
      </c>
      <c r="N2375" s="391" t="str">
        <f ca="1">IFERROR(IF(VLOOKUP(C2375,' Disaggregation - Section E '!A$618:J3064,10,0)=0,"",VLOOKUP(C2375,' Disaggregation - Section E '!A$618:J3064,10,0)),"")</f>
        <v/>
      </c>
      <c r="O2375" s="387"/>
      <c r="P2375" s="387" t="str">
        <f ca="1">IFERROR(IF(VLOOKUP(C2375,' Disaggregation - Section E '!A$618:R1387,18,0)=0,"",VLOOKUP(C2375,' Disaggregation - Section E '!A$618:R1387,18,0)),"")</f>
        <v/>
      </c>
    </row>
    <row r="2376" spans="1:16">
      <c r="A2376" s="387" t="b">
        <f t="shared" ca="1" si="167"/>
        <v>0</v>
      </c>
      <c r="B2376" s="387"/>
      <c r="C2376" s="396" t="str">
        <f ca="1">IF(COUNTA(O$1610:O2376)=1,"",OFFSET(B2374,-COUNTA(O$1610:O2376)+3,1))</f>
        <v>a16Dm000000M3sBIAS</v>
      </c>
      <c r="D2376" s="392"/>
      <c r="E2376" s="389" t="str">
        <f ca="1">IFERROR(IF(VLOOKUP(C2376,' Disaggregation - Section E '!A$618:J3065,7,0)="","",VLOOKUP(C2376,' Disaggregation - Section E '!A$618:J3065,7,0)*100),"")</f>
        <v/>
      </c>
      <c r="F2376" s="391" t="str">
        <f ca="1">IFERROR(VLOOKUP(C2376,' Disaggregation - Section E '!A$618:J3065,5,0),"")</f>
        <v/>
      </c>
      <c r="G2376" s="390" t="str">
        <f ca="1">IFERROR(IF(VLOOKUP(C2376,' Disaggregation - Section E '!A$618:J3065,6,0)="","",VLOOKUP(C2376,' Disaggregation - Section E '!A$618:J3065,6,0)),"")</f>
        <v/>
      </c>
      <c r="H2376" s="390" t="str">
        <f ca="1">IFERROR(IF(INDEX(' Disaggregation - Section E '!F$618:F3065,MATCH(C2376,' Disaggregation - Section E '!A$618:A3065,0)+1,1)&lt;&gt;0,INDEX(' Disaggregation - Section E '!F$618:F3065,MATCH(C2376,' Disaggregation - Section E '!A$618:A3065,0)+1,1),""),"")</f>
        <v/>
      </c>
      <c r="I2376" s="391" t="str">
        <f ca="1">IFERROR(IF(VLOOKUP(C2376,' Disaggregation - Section E '!A$618:J3065,8,0)=0,"",VLOOKUP(C2376,' Disaggregation - Section E '!A$618:J3065,8,0)),"")</f>
        <v/>
      </c>
      <c r="J2376" s="391" t="str">
        <f ca="1">IFERROR(IF(VLOOKUP(C2376,' Disaggregation - Section E '!A$618:J3065,9,0)="","",VLOOKUP(C2376,' Disaggregation - Section E '!A$618:J3065,9,0)),"")</f>
        <v/>
      </c>
      <c r="K2376" s="387" t="str">
        <f ca="1">IFERROR(VLOOKUP(C2376,' Disaggregation - Section E '!A$618:J3065,3,0),"")</f>
        <v>KVP-1 Number of people with TB (all forms) notified among prisoners; *includes only those with new and relapse TB</v>
      </c>
      <c r="L2376" s="387"/>
      <c r="M2376" s="387" t="str">
        <f ca="1">IFERROR(IF(VLOOKUP(C2376,' Disaggregation - Section E '!A$618:O1388,15,0)=0,"",VLOOKUP(C2376,' Disaggregation - Section E '!A$618:O1388,15,0)),"")</f>
        <v/>
      </c>
      <c r="N2376" s="391" t="str">
        <f ca="1">IFERROR(IF(VLOOKUP(C2376,' Disaggregation - Section E '!A$618:J3065,10,0)=0,"",VLOOKUP(C2376,' Disaggregation - Section E '!A$618:J3065,10,0)),"")</f>
        <v/>
      </c>
      <c r="O2376" s="387"/>
      <c r="P2376" s="387" t="str">
        <f ca="1">IFERROR(IF(VLOOKUP(C2376,' Disaggregation - Section E '!A$618:R1388,18,0)=0,"",VLOOKUP(C2376,' Disaggregation - Section E '!A$618:R1388,18,0)),"")</f>
        <v/>
      </c>
    </row>
    <row r="2377" spans="1:16">
      <c r="A2377" s="387" t="b">
        <f t="shared" ca="1" si="167"/>
        <v>0</v>
      </c>
      <c r="B2377" s="387"/>
      <c r="C2377" s="396" t="str">
        <f ca="1">IF(COUNTA(O$1610:O2377)=1,"",OFFSET(B2375,-COUNTA(O$1610:O2377)+3,1))</f>
        <v>a16Dm000000M3sCIAS</v>
      </c>
      <c r="D2377" s="392"/>
      <c r="E2377" s="389" t="str">
        <f ca="1">IFERROR(IF(VLOOKUP(C2377,' Disaggregation - Section E '!A$618:J3066,7,0)="","",VLOOKUP(C2377,' Disaggregation - Section E '!A$618:J3066,7,0)*100),"")</f>
        <v/>
      </c>
      <c r="F2377" s="391" t="str">
        <f ca="1">IFERROR(VLOOKUP(C2377,' Disaggregation - Section E '!A$618:J3066,5,0),"")</f>
        <v/>
      </c>
      <c r="G2377" s="390" t="str">
        <f ca="1">IFERROR(IF(VLOOKUP(C2377,' Disaggregation - Section E '!A$618:J3066,6,0)="","",VLOOKUP(C2377,' Disaggregation - Section E '!A$618:J3066,6,0)),"")</f>
        <v/>
      </c>
      <c r="H2377" s="390" t="str">
        <f ca="1">IFERROR(IF(INDEX(' Disaggregation - Section E '!F$618:F3066,MATCH(C2377,' Disaggregation - Section E '!A$618:A3066,0)+1,1)&lt;&gt;0,INDEX(' Disaggregation - Section E '!F$618:F3066,MATCH(C2377,' Disaggregation - Section E '!A$618:A3066,0)+1,1),""),"")</f>
        <v/>
      </c>
      <c r="I2377" s="391" t="str">
        <f ca="1">IFERROR(IF(VLOOKUP(C2377,' Disaggregation - Section E '!A$618:J3066,8,0)=0,"",VLOOKUP(C2377,' Disaggregation - Section E '!A$618:J3066,8,0)),"")</f>
        <v/>
      </c>
      <c r="J2377" s="391" t="str">
        <f ca="1">IFERROR(IF(VLOOKUP(C2377,' Disaggregation - Section E '!A$618:J3066,9,0)="","",VLOOKUP(C2377,' Disaggregation - Section E '!A$618:J3066,9,0)),"")</f>
        <v/>
      </c>
      <c r="K2377" s="387" t="str">
        <f ca="1">IFERROR(VLOOKUP(C2377,' Disaggregation - Section E '!A$618:J3066,3,0),"")</f>
        <v>KVP-1 Number of people with TB (all forms) notified among prisoners; *includes only those with new and relapse TB</v>
      </c>
      <c r="L2377" s="387"/>
      <c r="M2377" s="387" t="str">
        <f ca="1">IFERROR(IF(VLOOKUP(C2377,' Disaggregation - Section E '!A$618:O1389,15,0)=0,"",VLOOKUP(C2377,' Disaggregation - Section E '!A$618:O1389,15,0)),"")</f>
        <v/>
      </c>
      <c r="N2377" s="391" t="str">
        <f ca="1">IFERROR(IF(VLOOKUP(C2377,' Disaggregation - Section E '!A$618:J3066,10,0)=0,"",VLOOKUP(C2377,' Disaggregation - Section E '!A$618:J3066,10,0)),"")</f>
        <v/>
      </c>
      <c r="O2377" s="387"/>
      <c r="P2377" s="387" t="str">
        <f ca="1">IFERROR(IF(VLOOKUP(C2377,' Disaggregation - Section E '!A$618:R1389,18,0)=0,"",VLOOKUP(C2377,' Disaggregation - Section E '!A$618:R1389,18,0)),"")</f>
        <v/>
      </c>
    </row>
    <row r="2378" spans="1:16">
      <c r="A2378" s="387" t="b">
        <f t="shared" ca="1" si="167"/>
        <v>0</v>
      </c>
      <c r="B2378" s="387"/>
      <c r="C2378" s="396" t="str">
        <f ca="1">IF(COUNTA(O$1610:O2378)=1,"",OFFSET(B2376,-COUNTA(O$1610:O2378)+3,1))</f>
        <v>a16Dm000000M3sDIAS</v>
      </c>
      <c r="D2378" s="392"/>
      <c r="E2378" s="389" t="str">
        <f ca="1">IFERROR(IF(VLOOKUP(C2378,' Disaggregation - Section E '!A$618:J3067,7,0)="","",VLOOKUP(C2378,' Disaggregation - Section E '!A$618:J3067,7,0)*100),"")</f>
        <v/>
      </c>
      <c r="F2378" s="391" t="str">
        <f ca="1">IFERROR(VLOOKUP(C2378,' Disaggregation - Section E '!A$618:J3067,5,0),"")</f>
        <v/>
      </c>
      <c r="G2378" s="390" t="str">
        <f ca="1">IFERROR(IF(VLOOKUP(C2378,' Disaggregation - Section E '!A$618:J3067,6,0)="","",VLOOKUP(C2378,' Disaggregation - Section E '!A$618:J3067,6,0)),"")</f>
        <v/>
      </c>
      <c r="H2378" s="390" t="str">
        <f ca="1">IFERROR(IF(INDEX(' Disaggregation - Section E '!F$618:F3067,MATCH(C2378,' Disaggregation - Section E '!A$618:A3067,0)+1,1)&lt;&gt;0,INDEX(' Disaggregation - Section E '!F$618:F3067,MATCH(C2378,' Disaggregation - Section E '!A$618:A3067,0)+1,1),""),"")</f>
        <v/>
      </c>
      <c r="I2378" s="391" t="str">
        <f ca="1">IFERROR(IF(VLOOKUP(C2378,' Disaggregation - Section E '!A$618:J3067,8,0)=0,"",VLOOKUP(C2378,' Disaggregation - Section E '!A$618:J3067,8,0)),"")</f>
        <v/>
      </c>
      <c r="J2378" s="391" t="str">
        <f ca="1">IFERROR(IF(VLOOKUP(C2378,' Disaggregation - Section E '!A$618:J3067,9,0)="","",VLOOKUP(C2378,' Disaggregation - Section E '!A$618:J3067,9,0)),"")</f>
        <v/>
      </c>
      <c r="K2378" s="387" t="str">
        <f ca="1">IFERROR(VLOOKUP(C2378,' Disaggregation - Section E '!A$618:J3067,3,0),"")</f>
        <v>KVP-1 Number of people with TB (all forms) notified among prisoners; *includes only those with new and relapse TB</v>
      </c>
      <c r="L2378" s="387"/>
      <c r="M2378" s="387" t="str">
        <f ca="1">IFERROR(IF(VLOOKUP(C2378,' Disaggregation - Section E '!A$618:O1390,15,0)=0,"",VLOOKUP(C2378,' Disaggregation - Section E '!A$618:O1390,15,0)),"")</f>
        <v/>
      </c>
      <c r="N2378" s="391" t="str">
        <f ca="1">IFERROR(IF(VLOOKUP(C2378,' Disaggregation - Section E '!A$618:J3067,10,0)=0,"",VLOOKUP(C2378,' Disaggregation - Section E '!A$618:J3067,10,0)),"")</f>
        <v/>
      </c>
      <c r="O2378" s="387"/>
      <c r="P2378" s="387" t="str">
        <f ca="1">IFERROR(IF(VLOOKUP(C2378,' Disaggregation - Section E '!A$618:R1390,18,0)=0,"",VLOOKUP(C2378,' Disaggregation - Section E '!A$618:R1390,18,0)),"")</f>
        <v/>
      </c>
    </row>
    <row r="2379" spans="1:16">
      <c r="A2379" s="387" t="b">
        <f t="shared" ca="1" si="167"/>
        <v>0</v>
      </c>
      <c r="B2379" s="387"/>
      <c r="C2379" s="396" t="str">
        <f ca="1">IF(COUNTA(O$1610:O2379)=1,"",OFFSET(B2377,-COUNTA(O$1610:O2379)+3,1))</f>
        <v>a16Dm000000M3sEIAS</v>
      </c>
      <c r="D2379" s="392"/>
      <c r="E2379" s="389" t="str">
        <f ca="1">IFERROR(IF(VLOOKUP(C2379,' Disaggregation - Section E '!A$618:J3068,7,0)="","",VLOOKUP(C2379,' Disaggregation - Section E '!A$618:J3068,7,0)*100),"")</f>
        <v/>
      </c>
      <c r="F2379" s="391" t="str">
        <f ca="1">IFERROR(VLOOKUP(C2379,' Disaggregation - Section E '!A$618:J3068,5,0),"")</f>
        <v/>
      </c>
      <c r="G2379" s="390" t="str">
        <f ca="1">IFERROR(IF(VLOOKUP(C2379,' Disaggregation - Section E '!A$618:J3068,6,0)="","",VLOOKUP(C2379,' Disaggregation - Section E '!A$618:J3068,6,0)),"")</f>
        <v/>
      </c>
      <c r="H2379" s="390" t="str">
        <f ca="1">IFERROR(IF(INDEX(' Disaggregation - Section E '!F$618:F3068,MATCH(C2379,' Disaggregation - Section E '!A$618:A3068,0)+1,1)&lt;&gt;0,INDEX(' Disaggregation - Section E '!F$618:F3068,MATCH(C2379,' Disaggregation - Section E '!A$618:A3068,0)+1,1),""),"")</f>
        <v/>
      </c>
      <c r="I2379" s="391" t="str">
        <f ca="1">IFERROR(IF(VLOOKUP(C2379,' Disaggregation - Section E '!A$618:J3068,8,0)=0,"",VLOOKUP(C2379,' Disaggregation - Section E '!A$618:J3068,8,0)),"")</f>
        <v/>
      </c>
      <c r="J2379" s="391" t="str">
        <f ca="1">IFERROR(IF(VLOOKUP(C2379,' Disaggregation - Section E '!A$618:J3068,9,0)="","",VLOOKUP(C2379,' Disaggregation - Section E '!A$618:J3068,9,0)),"")</f>
        <v/>
      </c>
      <c r="K2379" s="387" t="str">
        <f ca="1">IFERROR(VLOOKUP(C2379,' Disaggregation - Section E '!A$618:J3068,3,0),"")</f>
        <v>KVP-1 Number of people with TB (all forms) notified among prisoners; *includes only those with new and relapse TB</v>
      </c>
      <c r="L2379" s="387"/>
      <c r="M2379" s="387" t="str">
        <f ca="1">IFERROR(IF(VLOOKUP(C2379,' Disaggregation - Section E '!A$618:O1391,15,0)=0,"",VLOOKUP(C2379,' Disaggregation - Section E '!A$618:O1391,15,0)),"")</f>
        <v/>
      </c>
      <c r="N2379" s="391" t="str">
        <f ca="1">IFERROR(IF(VLOOKUP(C2379,' Disaggregation - Section E '!A$618:J3068,10,0)=0,"",VLOOKUP(C2379,' Disaggregation - Section E '!A$618:J3068,10,0)),"")</f>
        <v/>
      </c>
      <c r="O2379" s="387"/>
      <c r="P2379" s="387" t="str">
        <f ca="1">IFERROR(IF(VLOOKUP(C2379,' Disaggregation - Section E '!A$618:R1391,18,0)=0,"",VLOOKUP(C2379,' Disaggregation - Section E '!A$618:R1391,18,0)),"")</f>
        <v/>
      </c>
    </row>
    <row r="2380" spans="1:16">
      <c r="A2380" s="387" t="b">
        <f t="shared" ref="A2380:A2443" ca="1" si="168">IF(M2380&lt;&gt;"",TRUE,FALSE)</f>
        <v>0</v>
      </c>
      <c r="B2380" s="387"/>
      <c r="C2380" s="396" t="str">
        <f ca="1">IF(COUNTA(O$1610:O2380)=1,"",OFFSET(B2378,-COUNTA(O$1610:O2380)+3,1))</f>
        <v>a16Dm000000M3sFIAS</v>
      </c>
      <c r="D2380" s="392"/>
      <c r="E2380" s="389" t="str">
        <f ca="1">IFERROR(IF(VLOOKUP(C2380,' Disaggregation - Section E '!A$618:J3069,7,0)="","",VLOOKUP(C2380,' Disaggregation - Section E '!A$618:J3069,7,0)*100),"")</f>
        <v/>
      </c>
      <c r="F2380" s="391" t="str">
        <f ca="1">IFERROR(VLOOKUP(C2380,' Disaggregation - Section E '!A$618:J3069,5,0),"")</f>
        <v/>
      </c>
      <c r="G2380" s="390" t="str">
        <f ca="1">IFERROR(IF(VLOOKUP(C2380,' Disaggregation - Section E '!A$618:J3069,6,0)="","",VLOOKUP(C2380,' Disaggregation - Section E '!A$618:J3069,6,0)),"")</f>
        <v/>
      </c>
      <c r="H2380" s="390" t="str">
        <f ca="1">IFERROR(IF(INDEX(' Disaggregation - Section E '!F$618:F3069,MATCH(C2380,' Disaggregation - Section E '!A$618:A3069,0)+1,1)&lt;&gt;0,INDEX(' Disaggregation - Section E '!F$618:F3069,MATCH(C2380,' Disaggregation - Section E '!A$618:A3069,0)+1,1),""),"")</f>
        <v/>
      </c>
      <c r="I2380" s="391" t="str">
        <f ca="1">IFERROR(IF(VLOOKUP(C2380,' Disaggregation - Section E '!A$618:J3069,8,0)=0,"",VLOOKUP(C2380,' Disaggregation - Section E '!A$618:J3069,8,0)),"")</f>
        <v/>
      </c>
      <c r="J2380" s="391" t="str">
        <f ca="1">IFERROR(IF(VLOOKUP(C2380,' Disaggregation - Section E '!A$618:J3069,9,0)="","",VLOOKUP(C2380,' Disaggregation - Section E '!A$618:J3069,9,0)),"")</f>
        <v/>
      </c>
      <c r="K2380" s="387" t="str">
        <f ca="1">IFERROR(VLOOKUP(C2380,' Disaggregation - Section E '!A$618:J3069,3,0),"")</f>
        <v>KVP-1 Number of people with TB (all forms) notified among prisoners; *includes only those with new and relapse TB</v>
      </c>
      <c r="L2380" s="387"/>
      <c r="M2380" s="387" t="str">
        <f ca="1">IFERROR(IF(VLOOKUP(C2380,' Disaggregation - Section E '!A$618:O1392,15,0)=0,"",VLOOKUP(C2380,' Disaggregation - Section E '!A$618:O1392,15,0)),"")</f>
        <v/>
      </c>
      <c r="N2380" s="391" t="str">
        <f ca="1">IFERROR(IF(VLOOKUP(C2380,' Disaggregation - Section E '!A$618:J3069,10,0)=0,"",VLOOKUP(C2380,' Disaggregation - Section E '!A$618:J3069,10,0)),"")</f>
        <v/>
      </c>
      <c r="O2380" s="387"/>
      <c r="P2380" s="387" t="str">
        <f ca="1">IFERROR(IF(VLOOKUP(C2380,' Disaggregation - Section E '!A$618:R1392,18,0)=0,"",VLOOKUP(C2380,' Disaggregation - Section E '!A$618:R1392,18,0)),"")</f>
        <v/>
      </c>
    </row>
    <row r="2381" spans="1:16">
      <c r="A2381" s="387" t="b">
        <f t="shared" ca="1" si="168"/>
        <v>0</v>
      </c>
      <c r="B2381" s="387"/>
      <c r="C2381" s="396" t="str">
        <f ca="1">IF(COUNTA(O$1610:O2381)=1,"",OFFSET(B2379,-COUNTA(O$1610:O2381)+3,1))</f>
        <v>a16Dm000000M3sGIAS</v>
      </c>
      <c r="D2381" s="392"/>
      <c r="E2381" s="389" t="str">
        <f ca="1">IFERROR(IF(VLOOKUP(C2381,' Disaggregation - Section E '!A$618:J3070,7,0)="","",VLOOKUP(C2381,' Disaggregation - Section E '!A$618:J3070,7,0)*100),"")</f>
        <v/>
      </c>
      <c r="F2381" s="391" t="str">
        <f ca="1">IFERROR(VLOOKUP(C2381,' Disaggregation - Section E '!A$618:J3070,5,0),"")</f>
        <v/>
      </c>
      <c r="G2381" s="390" t="str">
        <f ca="1">IFERROR(IF(VLOOKUP(C2381,' Disaggregation - Section E '!A$618:J3070,6,0)="","",VLOOKUP(C2381,' Disaggregation - Section E '!A$618:J3070,6,0)),"")</f>
        <v/>
      </c>
      <c r="H2381" s="390" t="str">
        <f ca="1">IFERROR(IF(INDEX(' Disaggregation - Section E '!F$618:F3070,MATCH(C2381,' Disaggregation - Section E '!A$618:A3070,0)+1,1)&lt;&gt;0,INDEX(' Disaggregation - Section E '!F$618:F3070,MATCH(C2381,' Disaggregation - Section E '!A$618:A3070,0)+1,1),""),"")</f>
        <v/>
      </c>
      <c r="I2381" s="391" t="str">
        <f ca="1">IFERROR(IF(VLOOKUP(C2381,' Disaggregation - Section E '!A$618:J3070,8,0)=0,"",VLOOKUP(C2381,' Disaggregation - Section E '!A$618:J3070,8,0)),"")</f>
        <v/>
      </c>
      <c r="J2381" s="391" t="str">
        <f ca="1">IFERROR(IF(VLOOKUP(C2381,' Disaggregation - Section E '!A$618:J3070,9,0)="","",VLOOKUP(C2381,' Disaggregation - Section E '!A$618:J3070,9,0)),"")</f>
        <v/>
      </c>
      <c r="K2381" s="387" t="str">
        <f ca="1">IFERROR(VLOOKUP(C2381,' Disaggregation - Section E '!A$618:J3070,3,0),"")</f>
        <v>KVP-1 Number of people with TB (all forms) notified among prisoners; *includes only those with new and relapse TB</v>
      </c>
      <c r="L2381" s="387"/>
      <c r="M2381" s="387" t="str">
        <f ca="1">IFERROR(IF(VLOOKUP(C2381,' Disaggregation - Section E '!A$618:O1393,15,0)=0,"",VLOOKUP(C2381,' Disaggregation - Section E '!A$618:O1393,15,0)),"")</f>
        <v/>
      </c>
      <c r="N2381" s="391" t="str">
        <f ca="1">IFERROR(IF(VLOOKUP(C2381,' Disaggregation - Section E '!A$618:J3070,10,0)=0,"",VLOOKUP(C2381,' Disaggregation - Section E '!A$618:J3070,10,0)),"")</f>
        <v/>
      </c>
      <c r="O2381" s="387"/>
      <c r="P2381" s="387" t="str">
        <f ca="1">IFERROR(IF(VLOOKUP(C2381,' Disaggregation - Section E '!A$618:R1393,18,0)=0,"",VLOOKUP(C2381,' Disaggregation - Section E '!A$618:R1393,18,0)),"")</f>
        <v/>
      </c>
    </row>
    <row r="2382" spans="1:16">
      <c r="A2382" s="387" t="b">
        <f t="shared" ca="1" si="168"/>
        <v>0</v>
      </c>
      <c r="B2382" s="387"/>
      <c r="C2382" s="396" t="str">
        <f ca="1">IF(COUNTA(O$1610:O2382)=1,"",OFFSET(B2380,-COUNTA(O$1610:O2382)+3,1))</f>
        <v>a16Dm000000M3sHIAS</v>
      </c>
      <c r="D2382" s="392"/>
      <c r="E2382" s="389" t="str">
        <f ca="1">IFERROR(IF(VLOOKUP(C2382,' Disaggregation - Section E '!A$618:J3071,7,0)="","",VLOOKUP(C2382,' Disaggregation - Section E '!A$618:J3071,7,0)*100),"")</f>
        <v/>
      </c>
      <c r="F2382" s="391" t="str">
        <f ca="1">IFERROR(VLOOKUP(C2382,' Disaggregation - Section E '!A$618:J3071,5,0),"")</f>
        <v/>
      </c>
      <c r="G2382" s="390" t="str">
        <f ca="1">IFERROR(IF(VLOOKUP(C2382,' Disaggregation - Section E '!A$618:J3071,6,0)="","",VLOOKUP(C2382,' Disaggregation - Section E '!A$618:J3071,6,0)),"")</f>
        <v/>
      </c>
      <c r="H2382" s="390" t="str">
        <f ca="1">IFERROR(IF(INDEX(' Disaggregation - Section E '!F$618:F3071,MATCH(C2382,' Disaggregation - Section E '!A$618:A3071,0)+1,1)&lt;&gt;0,INDEX(' Disaggregation - Section E '!F$618:F3071,MATCH(C2382,' Disaggregation - Section E '!A$618:A3071,0)+1,1),""),"")</f>
        <v/>
      </c>
      <c r="I2382" s="391" t="str">
        <f ca="1">IFERROR(IF(VLOOKUP(C2382,' Disaggregation - Section E '!A$618:J3071,8,0)=0,"",VLOOKUP(C2382,' Disaggregation - Section E '!A$618:J3071,8,0)),"")</f>
        <v/>
      </c>
      <c r="J2382" s="391" t="str">
        <f ca="1">IFERROR(IF(VLOOKUP(C2382,' Disaggregation - Section E '!A$618:J3071,9,0)="","",VLOOKUP(C2382,' Disaggregation - Section E '!A$618:J3071,9,0)),"")</f>
        <v/>
      </c>
      <c r="K2382" s="387" t="str">
        <f ca="1">IFERROR(VLOOKUP(C2382,' Disaggregation - Section E '!A$618:J3071,3,0),"")</f>
        <v>KVP-1 Number of people with TB (all forms) notified among prisoners; *includes only those with new and relapse TB</v>
      </c>
      <c r="L2382" s="387"/>
      <c r="M2382" s="387" t="str">
        <f ca="1">IFERROR(IF(VLOOKUP(C2382,' Disaggregation - Section E '!A$618:O1394,15,0)=0,"",VLOOKUP(C2382,' Disaggregation - Section E '!A$618:O1394,15,0)),"")</f>
        <v/>
      </c>
      <c r="N2382" s="391" t="str">
        <f ca="1">IFERROR(IF(VLOOKUP(C2382,' Disaggregation - Section E '!A$618:J3071,10,0)=0,"",VLOOKUP(C2382,' Disaggregation - Section E '!A$618:J3071,10,0)),"")</f>
        <v/>
      </c>
      <c r="O2382" s="387"/>
      <c r="P2382" s="387" t="str">
        <f ca="1">IFERROR(IF(VLOOKUP(C2382,' Disaggregation - Section E '!A$618:R1394,18,0)=0,"",VLOOKUP(C2382,' Disaggregation - Section E '!A$618:R1394,18,0)),"")</f>
        <v/>
      </c>
    </row>
    <row r="2383" spans="1:16">
      <c r="A2383" s="387" t="b">
        <f t="shared" ca="1" si="168"/>
        <v>0</v>
      </c>
      <c r="B2383" s="387"/>
      <c r="C2383" s="396" t="str">
        <f ca="1">IF(COUNTA(O$1610:O2383)=1,"",OFFSET(B2381,-COUNTA(O$1610:O2383)+3,1))</f>
        <v>a16Dm000000M3sIIAS</v>
      </c>
      <c r="D2383" s="392"/>
      <c r="E2383" s="389" t="str">
        <f ca="1">IFERROR(IF(VLOOKUP(C2383,' Disaggregation - Section E '!A$618:J3072,7,0)="","",VLOOKUP(C2383,' Disaggregation - Section E '!A$618:J3072,7,0)*100),"")</f>
        <v/>
      </c>
      <c r="F2383" s="391" t="str">
        <f ca="1">IFERROR(VLOOKUP(C2383,' Disaggregation - Section E '!A$618:J3072,5,0),"")</f>
        <v/>
      </c>
      <c r="G2383" s="390" t="str">
        <f ca="1">IFERROR(IF(VLOOKUP(C2383,' Disaggregation - Section E '!A$618:J3072,6,0)="","",VLOOKUP(C2383,' Disaggregation - Section E '!A$618:J3072,6,0)),"")</f>
        <v/>
      </c>
      <c r="H2383" s="390" t="str">
        <f ca="1">IFERROR(IF(INDEX(' Disaggregation - Section E '!F$618:F3072,MATCH(C2383,' Disaggregation - Section E '!A$618:A3072,0)+1,1)&lt;&gt;0,INDEX(' Disaggregation - Section E '!F$618:F3072,MATCH(C2383,' Disaggregation - Section E '!A$618:A3072,0)+1,1),""),"")</f>
        <v/>
      </c>
      <c r="I2383" s="391" t="str">
        <f ca="1">IFERROR(IF(VLOOKUP(C2383,' Disaggregation - Section E '!A$618:J3072,8,0)=0,"",VLOOKUP(C2383,' Disaggregation - Section E '!A$618:J3072,8,0)),"")</f>
        <v/>
      </c>
      <c r="J2383" s="391" t="str">
        <f ca="1">IFERROR(IF(VLOOKUP(C2383,' Disaggregation - Section E '!A$618:J3072,9,0)="","",VLOOKUP(C2383,' Disaggregation - Section E '!A$618:J3072,9,0)),"")</f>
        <v/>
      </c>
      <c r="K2383" s="387" t="str">
        <f ca="1">IFERROR(VLOOKUP(C2383,' Disaggregation - Section E '!A$618:J3072,3,0),"")</f>
        <v>KVP-1 Number of people with TB (all forms) notified among prisoners; *includes only those with new and relapse TB</v>
      </c>
      <c r="L2383" s="387"/>
      <c r="M2383" s="387" t="str">
        <f ca="1">IFERROR(IF(VLOOKUP(C2383,' Disaggregation - Section E '!A$618:O1395,15,0)=0,"",VLOOKUP(C2383,' Disaggregation - Section E '!A$618:O1395,15,0)),"")</f>
        <v/>
      </c>
      <c r="N2383" s="391" t="str">
        <f ca="1">IFERROR(IF(VLOOKUP(C2383,' Disaggregation - Section E '!A$618:J3072,10,0)=0,"",VLOOKUP(C2383,' Disaggregation - Section E '!A$618:J3072,10,0)),"")</f>
        <v/>
      </c>
      <c r="O2383" s="387"/>
      <c r="P2383" s="387" t="str">
        <f ca="1">IFERROR(IF(VLOOKUP(C2383,' Disaggregation - Section E '!A$618:R1395,18,0)=0,"",VLOOKUP(C2383,' Disaggregation - Section E '!A$618:R1395,18,0)),"")</f>
        <v/>
      </c>
    </row>
    <row r="2384" spans="1:16">
      <c r="A2384" s="387" t="b">
        <f t="shared" ca="1" si="168"/>
        <v>0</v>
      </c>
      <c r="B2384" s="387"/>
      <c r="C2384" s="396" t="str">
        <f ca="1">IF(COUNTA(O$1610:O2384)=1,"",OFFSET(B2382,-COUNTA(O$1610:O2384)+3,1))</f>
        <v>a16Dm000000M3sJIAS</v>
      </c>
      <c r="D2384" s="392"/>
      <c r="E2384" s="389" t="str">
        <f ca="1">IFERROR(IF(VLOOKUP(C2384,' Disaggregation - Section E '!A$618:J3073,7,0)="","",VLOOKUP(C2384,' Disaggregation - Section E '!A$618:J3073,7,0)*100),"")</f>
        <v/>
      </c>
      <c r="F2384" s="391" t="str">
        <f ca="1">IFERROR(VLOOKUP(C2384,' Disaggregation - Section E '!A$618:J3073,5,0),"")</f>
        <v/>
      </c>
      <c r="G2384" s="390" t="str">
        <f ca="1">IFERROR(IF(VLOOKUP(C2384,' Disaggregation - Section E '!A$618:J3073,6,0)="","",VLOOKUP(C2384,' Disaggregation - Section E '!A$618:J3073,6,0)),"")</f>
        <v/>
      </c>
      <c r="H2384" s="390" t="str">
        <f ca="1">IFERROR(IF(INDEX(' Disaggregation - Section E '!F$618:F3073,MATCH(C2384,' Disaggregation - Section E '!A$618:A3073,0)+1,1)&lt;&gt;0,INDEX(' Disaggregation - Section E '!F$618:F3073,MATCH(C2384,' Disaggregation - Section E '!A$618:A3073,0)+1,1),""),"")</f>
        <v/>
      </c>
      <c r="I2384" s="391" t="str">
        <f ca="1">IFERROR(IF(VLOOKUP(C2384,' Disaggregation - Section E '!A$618:J3073,8,0)=0,"",VLOOKUP(C2384,' Disaggregation - Section E '!A$618:J3073,8,0)),"")</f>
        <v/>
      </c>
      <c r="J2384" s="391" t="str">
        <f ca="1">IFERROR(IF(VLOOKUP(C2384,' Disaggregation - Section E '!A$618:J3073,9,0)="","",VLOOKUP(C2384,' Disaggregation - Section E '!A$618:J3073,9,0)),"")</f>
        <v/>
      </c>
      <c r="K2384" s="387" t="str">
        <f ca="1">IFERROR(VLOOKUP(C2384,' Disaggregation - Section E '!A$618:J3073,3,0),"")</f>
        <v>KVP-1 Number of people with TB (all forms) notified among prisoners; *includes only those with new and relapse TB</v>
      </c>
      <c r="L2384" s="387"/>
      <c r="M2384" s="387" t="str">
        <f ca="1">IFERROR(IF(VLOOKUP(C2384,' Disaggregation - Section E '!A$618:O1396,15,0)=0,"",VLOOKUP(C2384,' Disaggregation - Section E '!A$618:O1396,15,0)),"")</f>
        <v/>
      </c>
      <c r="N2384" s="391" t="str">
        <f ca="1">IFERROR(IF(VLOOKUP(C2384,' Disaggregation - Section E '!A$618:J3073,10,0)=0,"",VLOOKUP(C2384,' Disaggregation - Section E '!A$618:J3073,10,0)),"")</f>
        <v/>
      </c>
      <c r="O2384" s="387"/>
      <c r="P2384" s="387" t="str">
        <f ca="1">IFERROR(IF(VLOOKUP(C2384,' Disaggregation - Section E '!A$618:R1396,18,0)=0,"",VLOOKUP(C2384,' Disaggregation - Section E '!A$618:R1396,18,0)),"")</f>
        <v/>
      </c>
    </row>
    <row r="2385" spans="1:16">
      <c r="A2385" s="387" t="b">
        <f t="shared" ca="1" si="168"/>
        <v>0</v>
      </c>
      <c r="B2385" s="387"/>
      <c r="C2385" s="396" t="str">
        <f ca="1">IF(COUNTA(O$1610:O2385)=1,"",OFFSET(B2383,-COUNTA(O$1610:O2385)+3,1))</f>
        <v>a16Dm000000M3sKIAS</v>
      </c>
      <c r="D2385" s="392"/>
      <c r="E2385" s="389" t="str">
        <f ca="1">IFERROR(IF(VLOOKUP(C2385,' Disaggregation - Section E '!A$618:J3074,7,0)="","",VLOOKUP(C2385,' Disaggregation - Section E '!A$618:J3074,7,0)*100),"")</f>
        <v/>
      </c>
      <c r="F2385" s="391" t="str">
        <f ca="1">IFERROR(VLOOKUP(C2385,' Disaggregation - Section E '!A$618:J3074,5,0),"")</f>
        <v/>
      </c>
      <c r="G2385" s="390" t="str">
        <f ca="1">IFERROR(IF(VLOOKUP(C2385,' Disaggregation - Section E '!A$618:J3074,6,0)="","",VLOOKUP(C2385,' Disaggregation - Section E '!A$618:J3074,6,0)),"")</f>
        <v/>
      </c>
      <c r="H2385" s="390" t="str">
        <f ca="1">IFERROR(IF(INDEX(' Disaggregation - Section E '!F$618:F3074,MATCH(C2385,' Disaggregation - Section E '!A$618:A3074,0)+1,1)&lt;&gt;0,INDEX(' Disaggregation - Section E '!F$618:F3074,MATCH(C2385,' Disaggregation - Section E '!A$618:A3074,0)+1,1),""),"")</f>
        <v/>
      </c>
      <c r="I2385" s="391" t="str">
        <f ca="1">IFERROR(IF(VLOOKUP(C2385,' Disaggregation - Section E '!A$618:J3074,8,0)=0,"",VLOOKUP(C2385,' Disaggregation - Section E '!A$618:J3074,8,0)),"")</f>
        <v/>
      </c>
      <c r="J2385" s="391" t="str">
        <f ca="1">IFERROR(IF(VLOOKUP(C2385,' Disaggregation - Section E '!A$618:J3074,9,0)="","",VLOOKUP(C2385,' Disaggregation - Section E '!A$618:J3074,9,0)),"")</f>
        <v/>
      </c>
      <c r="K2385" s="387" t="str">
        <f ca="1">IFERROR(VLOOKUP(C2385,' Disaggregation - Section E '!A$618:J3074,3,0),"")</f>
        <v>KVP-1 Number of people with TB (all forms) notified among prisoners; *includes only those with new and relapse TB</v>
      </c>
      <c r="L2385" s="387"/>
      <c r="M2385" s="387" t="str">
        <f ca="1">IFERROR(IF(VLOOKUP(C2385,' Disaggregation - Section E '!A$618:O1397,15,0)=0,"",VLOOKUP(C2385,' Disaggregation - Section E '!A$618:O1397,15,0)),"")</f>
        <v/>
      </c>
      <c r="N2385" s="391" t="str">
        <f ca="1">IFERROR(IF(VLOOKUP(C2385,' Disaggregation - Section E '!A$618:J3074,10,0)=0,"",VLOOKUP(C2385,' Disaggregation - Section E '!A$618:J3074,10,0)),"")</f>
        <v/>
      </c>
      <c r="O2385" s="387"/>
      <c r="P2385" s="387" t="str">
        <f ca="1">IFERROR(IF(VLOOKUP(C2385,' Disaggregation - Section E '!A$618:R1397,18,0)=0,"",VLOOKUP(C2385,' Disaggregation - Section E '!A$618:R1397,18,0)),"")</f>
        <v/>
      </c>
    </row>
    <row r="2386" spans="1:16">
      <c r="A2386" s="387" t="b">
        <f t="shared" ca="1" si="168"/>
        <v>0</v>
      </c>
      <c r="B2386" s="387"/>
      <c r="C2386" s="396" t="str">
        <f ca="1">IF(COUNTA(O$1610:O2386)=1,"",OFFSET(B2384,-COUNTA(O$1610:O2386)+3,1))</f>
        <v>a16Dm000000M3sLIAS</v>
      </c>
      <c r="D2386" s="392"/>
      <c r="E2386" s="389" t="str">
        <f ca="1">IFERROR(IF(VLOOKUP(C2386,' Disaggregation - Section E '!A$618:J3075,7,0)="","",VLOOKUP(C2386,' Disaggregation - Section E '!A$618:J3075,7,0)*100),"")</f>
        <v/>
      </c>
      <c r="F2386" s="391" t="str">
        <f ca="1">IFERROR(VLOOKUP(C2386,' Disaggregation - Section E '!A$618:J3075,5,0),"")</f>
        <v/>
      </c>
      <c r="G2386" s="390" t="str">
        <f ca="1">IFERROR(IF(VLOOKUP(C2386,' Disaggregation - Section E '!A$618:J3075,6,0)="","",VLOOKUP(C2386,' Disaggregation - Section E '!A$618:J3075,6,0)),"")</f>
        <v/>
      </c>
      <c r="H2386" s="390" t="str">
        <f ca="1">IFERROR(IF(INDEX(' Disaggregation - Section E '!F$618:F3075,MATCH(C2386,' Disaggregation - Section E '!A$618:A3075,0)+1,1)&lt;&gt;0,INDEX(' Disaggregation - Section E '!F$618:F3075,MATCH(C2386,' Disaggregation - Section E '!A$618:A3075,0)+1,1),""),"")</f>
        <v/>
      </c>
      <c r="I2386" s="391" t="str">
        <f ca="1">IFERROR(IF(VLOOKUP(C2386,' Disaggregation - Section E '!A$618:J3075,8,0)=0,"",VLOOKUP(C2386,' Disaggregation - Section E '!A$618:J3075,8,0)),"")</f>
        <v/>
      </c>
      <c r="J2386" s="391" t="str">
        <f ca="1">IFERROR(IF(VLOOKUP(C2386,' Disaggregation - Section E '!A$618:J3075,9,0)="","",VLOOKUP(C2386,' Disaggregation - Section E '!A$618:J3075,9,0)),"")</f>
        <v/>
      </c>
      <c r="K2386" s="387" t="str">
        <f ca="1">IFERROR(VLOOKUP(C2386,' Disaggregation - Section E '!A$618:J3075,3,0),"")</f>
        <v>KVP-1 Number of people with TB (all forms) notified among prisoners; *includes only those with new and relapse TB</v>
      </c>
      <c r="L2386" s="387"/>
      <c r="M2386" s="387" t="str">
        <f ca="1">IFERROR(IF(VLOOKUP(C2386,' Disaggregation - Section E '!A$618:O1398,15,0)=0,"",VLOOKUP(C2386,' Disaggregation - Section E '!A$618:O1398,15,0)),"")</f>
        <v/>
      </c>
      <c r="N2386" s="391" t="str">
        <f ca="1">IFERROR(IF(VLOOKUP(C2386,' Disaggregation - Section E '!A$618:J3075,10,0)=0,"",VLOOKUP(C2386,' Disaggregation - Section E '!A$618:J3075,10,0)),"")</f>
        <v/>
      </c>
      <c r="O2386" s="387"/>
      <c r="P2386" s="387" t="str">
        <f ca="1">IFERROR(IF(VLOOKUP(C2386,' Disaggregation - Section E '!A$618:R1398,18,0)=0,"",VLOOKUP(C2386,' Disaggregation - Section E '!A$618:R1398,18,0)),"")</f>
        <v/>
      </c>
    </row>
    <row r="2387" spans="1:16">
      <c r="A2387" s="387" t="b">
        <f t="shared" ca="1" si="168"/>
        <v>0</v>
      </c>
      <c r="B2387" s="387"/>
      <c r="C2387" s="396" t="str">
        <f ca="1">IF(COUNTA(O$1610:O2387)=1,"",OFFSET(B2385,-COUNTA(O$1610:O2387)+3,1))</f>
        <v>a16Dm000000M3sMIAS</v>
      </c>
      <c r="D2387" s="392"/>
      <c r="E2387" s="389" t="str">
        <f ca="1">IFERROR(IF(VLOOKUP(C2387,' Disaggregation - Section E '!A$618:J3076,7,0)="","",VLOOKUP(C2387,' Disaggregation - Section E '!A$618:J3076,7,0)*100),"")</f>
        <v/>
      </c>
      <c r="F2387" s="391" t="str">
        <f ca="1">IFERROR(VLOOKUP(C2387,' Disaggregation - Section E '!A$618:J3076,5,0),"")</f>
        <v/>
      </c>
      <c r="G2387" s="390" t="str">
        <f ca="1">IFERROR(IF(VLOOKUP(C2387,' Disaggregation - Section E '!A$618:J3076,6,0)="","",VLOOKUP(C2387,' Disaggregation - Section E '!A$618:J3076,6,0)),"")</f>
        <v/>
      </c>
      <c r="H2387" s="390" t="str">
        <f ca="1">IFERROR(IF(INDEX(' Disaggregation - Section E '!F$618:F3076,MATCH(C2387,' Disaggregation - Section E '!A$618:A3076,0)+1,1)&lt;&gt;0,INDEX(' Disaggregation - Section E '!F$618:F3076,MATCH(C2387,' Disaggregation - Section E '!A$618:A3076,0)+1,1),""),"")</f>
        <v/>
      </c>
      <c r="I2387" s="391" t="str">
        <f ca="1">IFERROR(IF(VLOOKUP(C2387,' Disaggregation - Section E '!A$618:J3076,8,0)=0,"",VLOOKUP(C2387,' Disaggregation - Section E '!A$618:J3076,8,0)),"")</f>
        <v/>
      </c>
      <c r="J2387" s="391" t="str">
        <f ca="1">IFERROR(IF(VLOOKUP(C2387,' Disaggregation - Section E '!A$618:J3076,9,0)="","",VLOOKUP(C2387,' Disaggregation - Section E '!A$618:J3076,9,0)),"")</f>
        <v/>
      </c>
      <c r="K2387" s="387" t="str">
        <f ca="1">IFERROR(VLOOKUP(C2387,' Disaggregation - Section E '!A$618:J3076,3,0),"")</f>
        <v>KVP-1 Number of people with TB (all forms) notified among prisoners; *includes only those with new and relapse TB</v>
      </c>
      <c r="L2387" s="387"/>
      <c r="M2387" s="387" t="str">
        <f ca="1">IFERROR(IF(VLOOKUP(C2387,' Disaggregation - Section E '!A$618:O1399,15,0)=0,"",VLOOKUP(C2387,' Disaggregation - Section E '!A$618:O1399,15,0)),"")</f>
        <v/>
      </c>
      <c r="N2387" s="391" t="str">
        <f ca="1">IFERROR(IF(VLOOKUP(C2387,' Disaggregation - Section E '!A$618:J3076,10,0)=0,"",VLOOKUP(C2387,' Disaggregation - Section E '!A$618:J3076,10,0)),"")</f>
        <v/>
      </c>
      <c r="O2387" s="387"/>
      <c r="P2387" s="387" t="str">
        <f ca="1">IFERROR(IF(VLOOKUP(C2387,' Disaggregation - Section E '!A$618:R1399,18,0)=0,"",VLOOKUP(C2387,' Disaggregation - Section E '!A$618:R1399,18,0)),"")</f>
        <v/>
      </c>
    </row>
    <row r="2388" spans="1:16">
      <c r="A2388" s="387" t="b">
        <f t="shared" ca="1" si="168"/>
        <v>0</v>
      </c>
      <c r="B2388" s="387"/>
      <c r="C2388" s="396" t="str">
        <f ca="1">IF(COUNTA(O$1610:O2388)=1,"",OFFSET(B2386,-COUNTA(O$1610:O2388)+3,1))</f>
        <v>a16Dm000000M3sNIAS</v>
      </c>
      <c r="D2388" s="392"/>
      <c r="E2388" s="389" t="str">
        <f ca="1">IFERROR(IF(VLOOKUP(C2388,' Disaggregation - Section E '!A$618:J3077,7,0)="","",VLOOKUP(C2388,' Disaggregation - Section E '!A$618:J3077,7,0)*100),"")</f>
        <v/>
      </c>
      <c r="F2388" s="391" t="str">
        <f ca="1">IFERROR(VLOOKUP(C2388,' Disaggregation - Section E '!A$618:J3077,5,0),"")</f>
        <v/>
      </c>
      <c r="G2388" s="390" t="str">
        <f ca="1">IFERROR(IF(VLOOKUP(C2388,' Disaggregation - Section E '!A$618:J3077,6,0)="","",VLOOKUP(C2388,' Disaggregation - Section E '!A$618:J3077,6,0)),"")</f>
        <v/>
      </c>
      <c r="H2388" s="390" t="str">
        <f ca="1">IFERROR(IF(INDEX(' Disaggregation - Section E '!F$618:F3077,MATCH(C2388,' Disaggregation - Section E '!A$618:A3077,0)+1,1)&lt;&gt;0,INDEX(' Disaggregation - Section E '!F$618:F3077,MATCH(C2388,' Disaggregation - Section E '!A$618:A3077,0)+1,1),""),"")</f>
        <v/>
      </c>
      <c r="I2388" s="391" t="str">
        <f ca="1">IFERROR(IF(VLOOKUP(C2388,' Disaggregation - Section E '!A$618:J3077,8,0)=0,"",VLOOKUP(C2388,' Disaggregation - Section E '!A$618:J3077,8,0)),"")</f>
        <v/>
      </c>
      <c r="J2388" s="391" t="str">
        <f ca="1">IFERROR(IF(VLOOKUP(C2388,' Disaggregation - Section E '!A$618:J3077,9,0)="","",VLOOKUP(C2388,' Disaggregation - Section E '!A$618:J3077,9,0)),"")</f>
        <v/>
      </c>
      <c r="K2388" s="387" t="str">
        <f ca="1">IFERROR(VLOOKUP(C2388,' Disaggregation - Section E '!A$618:J3077,3,0),"")</f>
        <v>KVP-1 Number of people with TB (all forms) notified among prisoners; *includes only those with new and relapse TB</v>
      </c>
      <c r="L2388" s="387"/>
      <c r="M2388" s="387" t="str">
        <f ca="1">IFERROR(IF(VLOOKUP(C2388,' Disaggregation - Section E '!A$618:O1400,15,0)=0,"",VLOOKUP(C2388,' Disaggregation - Section E '!A$618:O1400,15,0)),"")</f>
        <v/>
      </c>
      <c r="N2388" s="391" t="str">
        <f ca="1">IFERROR(IF(VLOOKUP(C2388,' Disaggregation - Section E '!A$618:J3077,10,0)=0,"",VLOOKUP(C2388,' Disaggregation - Section E '!A$618:J3077,10,0)),"")</f>
        <v/>
      </c>
      <c r="O2388" s="387"/>
      <c r="P2388" s="387" t="str">
        <f ca="1">IFERROR(IF(VLOOKUP(C2388,' Disaggregation - Section E '!A$618:R1400,18,0)=0,"",VLOOKUP(C2388,' Disaggregation - Section E '!A$618:R1400,18,0)),"")</f>
        <v/>
      </c>
    </row>
    <row r="2389" spans="1:16">
      <c r="A2389" s="387" t="b">
        <f t="shared" ca="1" si="168"/>
        <v>0</v>
      </c>
      <c r="B2389" s="387"/>
      <c r="C2389" s="396" t="str">
        <f ca="1">IF(COUNTA(O$1610:O2389)=1,"",OFFSET(B2387,-COUNTA(O$1610:O2389)+3,1))</f>
        <v>a16Dm000000M3sOIAS</v>
      </c>
      <c r="D2389" s="392"/>
      <c r="E2389" s="389" t="str">
        <f ca="1">IFERROR(IF(VLOOKUP(C2389,' Disaggregation - Section E '!A$618:J3078,7,0)="","",VLOOKUP(C2389,' Disaggregation - Section E '!A$618:J3078,7,0)*100),"")</f>
        <v/>
      </c>
      <c r="F2389" s="391" t="str">
        <f ca="1">IFERROR(VLOOKUP(C2389,' Disaggregation - Section E '!A$618:J3078,5,0),"")</f>
        <v/>
      </c>
      <c r="G2389" s="390" t="str">
        <f ca="1">IFERROR(IF(VLOOKUP(C2389,' Disaggregation - Section E '!A$618:J3078,6,0)="","",VLOOKUP(C2389,' Disaggregation - Section E '!A$618:J3078,6,0)),"")</f>
        <v/>
      </c>
      <c r="H2389" s="390" t="str">
        <f ca="1">IFERROR(IF(INDEX(' Disaggregation - Section E '!F$618:F3078,MATCH(C2389,' Disaggregation - Section E '!A$618:A3078,0)+1,1)&lt;&gt;0,INDEX(' Disaggregation - Section E '!F$618:F3078,MATCH(C2389,' Disaggregation - Section E '!A$618:A3078,0)+1,1),""),"")</f>
        <v/>
      </c>
      <c r="I2389" s="391" t="str">
        <f ca="1">IFERROR(IF(VLOOKUP(C2389,' Disaggregation - Section E '!A$618:J3078,8,0)=0,"",VLOOKUP(C2389,' Disaggregation - Section E '!A$618:J3078,8,0)),"")</f>
        <v/>
      </c>
      <c r="J2389" s="391" t="str">
        <f ca="1">IFERROR(IF(VLOOKUP(C2389,' Disaggregation - Section E '!A$618:J3078,9,0)="","",VLOOKUP(C2389,' Disaggregation - Section E '!A$618:J3078,9,0)),"")</f>
        <v/>
      </c>
      <c r="K2389" s="387" t="str">
        <f ca="1">IFERROR(VLOOKUP(C2389,' Disaggregation - Section E '!A$618:J3078,3,0),"")</f>
        <v>KVP-1 Number of people with TB (all forms) notified among prisoners; *includes only those with new and relapse TB</v>
      </c>
      <c r="L2389" s="387"/>
      <c r="M2389" s="387" t="str">
        <f ca="1">IFERROR(IF(VLOOKUP(C2389,' Disaggregation - Section E '!A$618:O1401,15,0)=0,"",VLOOKUP(C2389,' Disaggregation - Section E '!A$618:O1401,15,0)),"")</f>
        <v/>
      </c>
      <c r="N2389" s="391" t="str">
        <f ca="1">IFERROR(IF(VLOOKUP(C2389,' Disaggregation - Section E '!A$618:J3078,10,0)=0,"",VLOOKUP(C2389,' Disaggregation - Section E '!A$618:J3078,10,0)),"")</f>
        <v/>
      </c>
      <c r="O2389" s="387"/>
      <c r="P2389" s="387" t="str">
        <f ca="1">IFERROR(IF(VLOOKUP(C2389,' Disaggregation - Section E '!A$618:R1401,18,0)=0,"",VLOOKUP(C2389,' Disaggregation - Section E '!A$618:R1401,18,0)),"")</f>
        <v/>
      </c>
    </row>
    <row r="2390" spans="1:16">
      <c r="A2390" s="387" t="b">
        <f t="shared" ca="1" si="168"/>
        <v>0</v>
      </c>
      <c r="B2390" s="387"/>
      <c r="C2390" s="396" t="str">
        <f ca="1">IF(COUNTA(O$1610:O2390)=1,"",OFFSET(B2388,-COUNTA(O$1610:O2390)+3,1))</f>
        <v>a16Dm000000M3sPIAS</v>
      </c>
      <c r="D2390" s="392"/>
      <c r="E2390" s="389" t="str">
        <f ca="1">IFERROR(IF(VLOOKUP(C2390,' Disaggregation - Section E '!A$618:J3079,7,0)="","",VLOOKUP(C2390,' Disaggregation - Section E '!A$618:J3079,7,0)*100),"")</f>
        <v/>
      </c>
      <c r="F2390" s="391" t="str">
        <f ca="1">IFERROR(VLOOKUP(C2390,' Disaggregation - Section E '!A$618:J3079,5,0),"")</f>
        <v/>
      </c>
      <c r="G2390" s="390" t="str">
        <f ca="1">IFERROR(IF(VLOOKUP(C2390,' Disaggregation - Section E '!A$618:J3079,6,0)="","",VLOOKUP(C2390,' Disaggregation - Section E '!A$618:J3079,6,0)),"")</f>
        <v/>
      </c>
      <c r="H2390" s="390" t="str">
        <f ca="1">IFERROR(IF(INDEX(' Disaggregation - Section E '!F$618:F3079,MATCH(C2390,' Disaggregation - Section E '!A$618:A3079,0)+1,1)&lt;&gt;0,INDEX(' Disaggregation - Section E '!F$618:F3079,MATCH(C2390,' Disaggregation - Section E '!A$618:A3079,0)+1,1),""),"")</f>
        <v/>
      </c>
      <c r="I2390" s="391" t="str">
        <f ca="1">IFERROR(IF(VLOOKUP(C2390,' Disaggregation - Section E '!A$618:J3079,8,0)=0,"",VLOOKUP(C2390,' Disaggregation - Section E '!A$618:J3079,8,0)),"")</f>
        <v/>
      </c>
      <c r="J2390" s="391" t="str">
        <f ca="1">IFERROR(IF(VLOOKUP(C2390,' Disaggregation - Section E '!A$618:J3079,9,0)="","",VLOOKUP(C2390,' Disaggregation - Section E '!A$618:J3079,9,0)),"")</f>
        <v/>
      </c>
      <c r="K2390" s="387" t="str">
        <f ca="1">IFERROR(VLOOKUP(C2390,' Disaggregation - Section E '!A$618:J3079,3,0),"")</f>
        <v>KVP-1 Number of people with TB (all forms) notified among prisoners; *includes only those with new and relapse TB</v>
      </c>
      <c r="L2390" s="387"/>
      <c r="M2390" s="387" t="str">
        <f ca="1">IFERROR(IF(VLOOKUP(C2390,' Disaggregation - Section E '!A$618:O1402,15,0)=0,"",VLOOKUP(C2390,' Disaggregation - Section E '!A$618:O1402,15,0)),"")</f>
        <v/>
      </c>
      <c r="N2390" s="391" t="str">
        <f ca="1">IFERROR(IF(VLOOKUP(C2390,' Disaggregation - Section E '!A$618:J3079,10,0)=0,"",VLOOKUP(C2390,' Disaggregation - Section E '!A$618:J3079,10,0)),"")</f>
        <v/>
      </c>
      <c r="O2390" s="387"/>
      <c r="P2390" s="387" t="str">
        <f ca="1">IFERROR(IF(VLOOKUP(C2390,' Disaggregation - Section E '!A$618:R1402,18,0)=0,"",VLOOKUP(C2390,' Disaggregation - Section E '!A$618:R1402,18,0)),"")</f>
        <v/>
      </c>
    </row>
    <row r="2391" spans="1:16">
      <c r="A2391" s="387" t="b">
        <f t="shared" ca="1" si="168"/>
        <v>0</v>
      </c>
      <c r="B2391" s="387"/>
      <c r="C2391" s="396" t="str">
        <f ca="1">IF(COUNTA(O$1610:O2391)=1,"",OFFSET(B2389,-COUNTA(O$1610:O2391)+3,1))</f>
        <v>a16Dm000000M3sQIAS</v>
      </c>
      <c r="D2391" s="392"/>
      <c r="E2391" s="389" t="str">
        <f ca="1">IFERROR(IF(VLOOKUP(C2391,' Disaggregation - Section E '!A$618:J3080,7,0)="","",VLOOKUP(C2391,' Disaggregation - Section E '!A$618:J3080,7,0)*100),"")</f>
        <v/>
      </c>
      <c r="F2391" s="391" t="str">
        <f ca="1">IFERROR(VLOOKUP(C2391,' Disaggregation - Section E '!A$618:J3080,5,0),"")</f>
        <v/>
      </c>
      <c r="G2391" s="390" t="str">
        <f ca="1">IFERROR(IF(VLOOKUP(C2391,' Disaggregation - Section E '!A$618:J3080,6,0)="","",VLOOKUP(C2391,' Disaggregation - Section E '!A$618:J3080,6,0)),"")</f>
        <v/>
      </c>
      <c r="H2391" s="390" t="str">
        <f ca="1">IFERROR(IF(INDEX(' Disaggregation - Section E '!F$618:F3080,MATCH(C2391,' Disaggregation - Section E '!A$618:A3080,0)+1,1)&lt;&gt;0,INDEX(' Disaggregation - Section E '!F$618:F3080,MATCH(C2391,' Disaggregation - Section E '!A$618:A3080,0)+1,1),""),"")</f>
        <v/>
      </c>
      <c r="I2391" s="391" t="str">
        <f ca="1">IFERROR(IF(VLOOKUP(C2391,' Disaggregation - Section E '!A$618:J3080,8,0)=0,"",VLOOKUP(C2391,' Disaggregation - Section E '!A$618:J3080,8,0)),"")</f>
        <v/>
      </c>
      <c r="J2391" s="391" t="str">
        <f ca="1">IFERROR(IF(VLOOKUP(C2391,' Disaggregation - Section E '!A$618:J3080,9,0)="","",VLOOKUP(C2391,' Disaggregation - Section E '!A$618:J3080,9,0)),"")</f>
        <v/>
      </c>
      <c r="K2391" s="387" t="str">
        <f ca="1">IFERROR(VLOOKUP(C2391,' Disaggregation - Section E '!A$618:J3080,3,0),"")</f>
        <v>KVP-1 Number of people with TB (all forms) notified among prisoners; *includes only those with new and relapse TB</v>
      </c>
      <c r="L2391" s="387"/>
      <c r="M2391" s="387" t="str">
        <f ca="1">IFERROR(IF(VLOOKUP(C2391,' Disaggregation - Section E '!A$618:O1403,15,0)=0,"",VLOOKUP(C2391,' Disaggregation - Section E '!A$618:O1403,15,0)),"")</f>
        <v/>
      </c>
      <c r="N2391" s="391" t="str">
        <f ca="1">IFERROR(IF(VLOOKUP(C2391,' Disaggregation - Section E '!A$618:J3080,10,0)=0,"",VLOOKUP(C2391,' Disaggregation - Section E '!A$618:J3080,10,0)),"")</f>
        <v/>
      </c>
      <c r="O2391" s="387"/>
      <c r="P2391" s="387" t="str">
        <f ca="1">IFERROR(IF(VLOOKUP(C2391,' Disaggregation - Section E '!A$618:R1403,18,0)=0,"",VLOOKUP(C2391,' Disaggregation - Section E '!A$618:R1403,18,0)),"")</f>
        <v/>
      </c>
    </row>
    <row r="2392" spans="1:16">
      <c r="A2392" s="387" t="b">
        <f t="shared" ca="1" si="168"/>
        <v>0</v>
      </c>
      <c r="B2392" s="387"/>
      <c r="C2392" s="396" t="str">
        <f ca="1">IF(COUNTA(O$1610:O2392)=1,"",OFFSET(B2390,-COUNTA(O$1610:O2392)+3,1))</f>
        <v>a16Dm000000M3sRIAS</v>
      </c>
      <c r="D2392" s="392"/>
      <c r="E2392" s="389" t="str">
        <f ca="1">IFERROR(IF(VLOOKUP(C2392,' Disaggregation - Section E '!A$618:J3081,7,0)="","",VLOOKUP(C2392,' Disaggregation - Section E '!A$618:J3081,7,0)*100),"")</f>
        <v/>
      </c>
      <c r="F2392" s="391" t="str">
        <f ca="1">IFERROR(VLOOKUP(C2392,' Disaggregation - Section E '!A$618:J3081,5,0),"")</f>
        <v/>
      </c>
      <c r="G2392" s="390" t="str">
        <f ca="1">IFERROR(IF(VLOOKUP(C2392,' Disaggregation - Section E '!A$618:J3081,6,0)="","",VLOOKUP(C2392,' Disaggregation - Section E '!A$618:J3081,6,0)),"")</f>
        <v/>
      </c>
      <c r="H2392" s="390" t="str">
        <f ca="1">IFERROR(IF(INDEX(' Disaggregation - Section E '!F$618:F3081,MATCH(C2392,' Disaggregation - Section E '!A$618:A3081,0)+1,1)&lt;&gt;0,INDEX(' Disaggregation - Section E '!F$618:F3081,MATCH(C2392,' Disaggregation - Section E '!A$618:A3081,0)+1,1),""),"")</f>
        <v/>
      </c>
      <c r="I2392" s="391" t="str">
        <f ca="1">IFERROR(IF(VLOOKUP(C2392,' Disaggregation - Section E '!A$618:J3081,8,0)=0,"",VLOOKUP(C2392,' Disaggregation - Section E '!A$618:J3081,8,0)),"")</f>
        <v/>
      </c>
      <c r="J2392" s="391" t="str">
        <f ca="1">IFERROR(IF(VLOOKUP(C2392,' Disaggregation - Section E '!A$618:J3081,9,0)="","",VLOOKUP(C2392,' Disaggregation - Section E '!A$618:J3081,9,0)),"")</f>
        <v/>
      </c>
      <c r="K2392" s="387" t="str">
        <f ca="1">IFERROR(VLOOKUP(C2392,' Disaggregation - Section E '!A$618:J3081,3,0),"")</f>
        <v>KVP-2 Number of people with TB (all forms) notified among key affected populations/high risk groups (other than prisoners); *includes only those with new and relapse</v>
      </c>
      <c r="L2392" s="387"/>
      <c r="M2392" s="387" t="str">
        <f ca="1">IFERROR(IF(VLOOKUP(C2392,' Disaggregation - Section E '!A$618:O1404,15,0)=0,"",VLOOKUP(C2392,' Disaggregation - Section E '!A$618:O1404,15,0)),"")</f>
        <v/>
      </c>
      <c r="N2392" s="391" t="str">
        <f ca="1">IFERROR(IF(VLOOKUP(C2392,' Disaggregation - Section E '!A$618:J3081,10,0)=0,"",VLOOKUP(C2392,' Disaggregation - Section E '!A$618:J3081,10,0)),"")</f>
        <v/>
      </c>
      <c r="O2392" s="387"/>
      <c r="P2392" s="387" t="str">
        <f ca="1">IFERROR(IF(VLOOKUP(C2392,' Disaggregation - Section E '!A$618:R1404,18,0)=0,"",VLOOKUP(C2392,' Disaggregation - Section E '!A$618:R1404,18,0)),"")</f>
        <v/>
      </c>
    </row>
    <row r="2393" spans="1:16">
      <c r="A2393" s="387" t="b">
        <f t="shared" ca="1" si="168"/>
        <v>0</v>
      </c>
      <c r="B2393" s="387"/>
      <c r="C2393" s="396" t="str">
        <f ca="1">IF(COUNTA(O$1610:O2393)=1,"",OFFSET(B2391,-COUNTA(O$1610:O2393)+3,1))</f>
        <v>a16Dm000000M3sSIAS</v>
      </c>
      <c r="D2393" s="392"/>
      <c r="E2393" s="389" t="str">
        <f ca="1">IFERROR(IF(VLOOKUP(C2393,' Disaggregation - Section E '!A$618:J3082,7,0)="","",VLOOKUP(C2393,' Disaggregation - Section E '!A$618:J3082,7,0)*100),"")</f>
        <v/>
      </c>
      <c r="F2393" s="391" t="str">
        <f ca="1">IFERROR(VLOOKUP(C2393,' Disaggregation - Section E '!A$618:J3082,5,0),"")</f>
        <v/>
      </c>
      <c r="G2393" s="390" t="str">
        <f ca="1">IFERROR(IF(VLOOKUP(C2393,' Disaggregation - Section E '!A$618:J3082,6,0)="","",VLOOKUP(C2393,' Disaggregation - Section E '!A$618:J3082,6,0)),"")</f>
        <v/>
      </c>
      <c r="H2393" s="390" t="str">
        <f ca="1">IFERROR(IF(INDEX(' Disaggregation - Section E '!F$618:F3082,MATCH(C2393,' Disaggregation - Section E '!A$618:A3082,0)+1,1)&lt;&gt;0,INDEX(' Disaggregation - Section E '!F$618:F3082,MATCH(C2393,' Disaggregation - Section E '!A$618:A3082,0)+1,1),""),"")</f>
        <v/>
      </c>
      <c r="I2393" s="391" t="str">
        <f ca="1">IFERROR(IF(VLOOKUP(C2393,' Disaggregation - Section E '!A$618:J3082,8,0)=0,"",VLOOKUP(C2393,' Disaggregation - Section E '!A$618:J3082,8,0)),"")</f>
        <v/>
      </c>
      <c r="J2393" s="391" t="str">
        <f ca="1">IFERROR(IF(VLOOKUP(C2393,' Disaggregation - Section E '!A$618:J3082,9,0)="","",VLOOKUP(C2393,' Disaggregation - Section E '!A$618:J3082,9,0)),"")</f>
        <v/>
      </c>
      <c r="K2393" s="387" t="str">
        <f ca="1">IFERROR(VLOOKUP(C2393,' Disaggregation - Section E '!A$618:J3082,3,0),"")</f>
        <v>KVP-2 Number of people with TB (all forms) notified among key affected populations/high risk groups (other than prisoners); *includes only those with new and relapse</v>
      </c>
      <c r="L2393" s="387"/>
      <c r="M2393" s="387" t="str">
        <f ca="1">IFERROR(IF(VLOOKUP(C2393,' Disaggregation - Section E '!A$618:O1405,15,0)=0,"",VLOOKUP(C2393,' Disaggregation - Section E '!A$618:O1405,15,0)),"")</f>
        <v/>
      </c>
      <c r="N2393" s="391" t="str">
        <f ca="1">IFERROR(IF(VLOOKUP(C2393,' Disaggregation - Section E '!A$618:J3082,10,0)=0,"",VLOOKUP(C2393,' Disaggregation - Section E '!A$618:J3082,10,0)),"")</f>
        <v/>
      </c>
      <c r="O2393" s="387"/>
      <c r="P2393" s="387" t="str">
        <f ca="1">IFERROR(IF(VLOOKUP(C2393,' Disaggregation - Section E '!A$618:R1405,18,0)=0,"",VLOOKUP(C2393,' Disaggregation - Section E '!A$618:R1405,18,0)),"")</f>
        <v/>
      </c>
    </row>
    <row r="2394" spans="1:16">
      <c r="A2394" s="387" t="b">
        <f t="shared" ca="1" si="168"/>
        <v>0</v>
      </c>
      <c r="B2394" s="387"/>
      <c r="C2394" s="396" t="str">
        <f ca="1">IF(COUNTA(O$1610:O2394)=1,"",OFFSET(B2392,-COUNTA(O$1610:O2394)+3,1))</f>
        <v>a16Dm000000M3sTIAS</v>
      </c>
      <c r="D2394" s="392"/>
      <c r="E2394" s="389" t="str">
        <f ca="1">IFERROR(IF(VLOOKUP(C2394,' Disaggregation - Section E '!A$618:J3083,7,0)="","",VLOOKUP(C2394,' Disaggregation - Section E '!A$618:J3083,7,0)*100),"")</f>
        <v/>
      </c>
      <c r="F2394" s="391" t="str">
        <f ca="1">IFERROR(VLOOKUP(C2394,' Disaggregation - Section E '!A$618:J3083,5,0),"")</f>
        <v/>
      </c>
      <c r="G2394" s="390" t="str">
        <f ca="1">IFERROR(IF(VLOOKUP(C2394,' Disaggregation - Section E '!A$618:J3083,6,0)="","",VLOOKUP(C2394,' Disaggregation - Section E '!A$618:J3083,6,0)),"")</f>
        <v/>
      </c>
      <c r="H2394" s="390" t="str">
        <f ca="1">IFERROR(IF(INDEX(' Disaggregation - Section E '!F$618:F3083,MATCH(C2394,' Disaggregation - Section E '!A$618:A3083,0)+1,1)&lt;&gt;0,INDEX(' Disaggregation - Section E '!F$618:F3083,MATCH(C2394,' Disaggregation - Section E '!A$618:A3083,0)+1,1),""),"")</f>
        <v/>
      </c>
      <c r="I2394" s="391" t="str">
        <f ca="1">IFERROR(IF(VLOOKUP(C2394,' Disaggregation - Section E '!A$618:J3083,8,0)=0,"",VLOOKUP(C2394,' Disaggregation - Section E '!A$618:J3083,8,0)),"")</f>
        <v/>
      </c>
      <c r="J2394" s="391" t="str">
        <f ca="1">IFERROR(IF(VLOOKUP(C2394,' Disaggregation - Section E '!A$618:J3083,9,0)="","",VLOOKUP(C2394,' Disaggregation - Section E '!A$618:J3083,9,0)),"")</f>
        <v/>
      </c>
      <c r="K2394" s="387" t="str">
        <f ca="1">IFERROR(VLOOKUP(C2394,' Disaggregation - Section E '!A$618:J3083,3,0),"")</f>
        <v>KVP-2 Number of people with TB (all forms) notified among key affected populations/high risk groups (other than prisoners); *includes only those with new and relapse</v>
      </c>
      <c r="L2394" s="387"/>
      <c r="M2394" s="387" t="str">
        <f ca="1">IFERROR(IF(VLOOKUP(C2394,' Disaggregation - Section E '!A$618:O1406,15,0)=0,"",VLOOKUP(C2394,' Disaggregation - Section E '!A$618:O1406,15,0)),"")</f>
        <v/>
      </c>
      <c r="N2394" s="391" t="str">
        <f ca="1">IFERROR(IF(VLOOKUP(C2394,' Disaggregation - Section E '!A$618:J3083,10,0)=0,"",VLOOKUP(C2394,' Disaggregation - Section E '!A$618:J3083,10,0)),"")</f>
        <v/>
      </c>
      <c r="O2394" s="387"/>
      <c r="P2394" s="387" t="str">
        <f ca="1">IFERROR(IF(VLOOKUP(C2394,' Disaggregation - Section E '!A$618:R1406,18,0)=0,"",VLOOKUP(C2394,' Disaggregation - Section E '!A$618:R1406,18,0)),"")</f>
        <v/>
      </c>
    </row>
    <row r="2395" spans="1:16">
      <c r="A2395" s="387" t="b">
        <f t="shared" ca="1" si="168"/>
        <v>0</v>
      </c>
      <c r="B2395" s="387"/>
      <c r="C2395" s="396" t="str">
        <f ca="1">IF(COUNTA(O$1610:O2395)=1,"",OFFSET(B2393,-COUNTA(O$1610:O2395)+3,1))</f>
        <v>a16Dm000000M3sUIAS</v>
      </c>
      <c r="D2395" s="392"/>
      <c r="E2395" s="389" t="str">
        <f ca="1">IFERROR(IF(VLOOKUP(C2395,' Disaggregation - Section E '!A$618:J3084,7,0)="","",VLOOKUP(C2395,' Disaggregation - Section E '!A$618:J3084,7,0)*100),"")</f>
        <v/>
      </c>
      <c r="F2395" s="391" t="str">
        <f ca="1">IFERROR(VLOOKUP(C2395,' Disaggregation - Section E '!A$618:J3084,5,0),"")</f>
        <v/>
      </c>
      <c r="G2395" s="390" t="str">
        <f ca="1">IFERROR(IF(VLOOKUP(C2395,' Disaggregation - Section E '!A$618:J3084,6,0)="","",VLOOKUP(C2395,' Disaggregation - Section E '!A$618:J3084,6,0)),"")</f>
        <v/>
      </c>
      <c r="H2395" s="390" t="str">
        <f ca="1">IFERROR(IF(INDEX(' Disaggregation - Section E '!F$618:F3084,MATCH(C2395,' Disaggregation - Section E '!A$618:A3084,0)+1,1)&lt;&gt;0,INDEX(' Disaggregation - Section E '!F$618:F3084,MATCH(C2395,' Disaggregation - Section E '!A$618:A3084,0)+1,1),""),"")</f>
        <v/>
      </c>
      <c r="I2395" s="391" t="str">
        <f ca="1">IFERROR(IF(VLOOKUP(C2395,' Disaggregation - Section E '!A$618:J3084,8,0)=0,"",VLOOKUP(C2395,' Disaggregation - Section E '!A$618:J3084,8,0)),"")</f>
        <v/>
      </c>
      <c r="J2395" s="391" t="str">
        <f ca="1">IFERROR(IF(VLOOKUP(C2395,' Disaggregation - Section E '!A$618:J3084,9,0)="","",VLOOKUP(C2395,' Disaggregation - Section E '!A$618:J3084,9,0)),"")</f>
        <v/>
      </c>
      <c r="K2395" s="387" t="str">
        <f ca="1">IFERROR(VLOOKUP(C2395,' Disaggregation - Section E '!A$618:J3084,3,0),"")</f>
        <v>KVP-2 Number of people with TB (all forms) notified among key affected populations/high risk groups (other than prisoners); *includes only those with new and relapse</v>
      </c>
      <c r="L2395" s="387"/>
      <c r="M2395" s="387" t="str">
        <f ca="1">IFERROR(IF(VLOOKUP(C2395,' Disaggregation - Section E '!A$618:O1407,15,0)=0,"",VLOOKUP(C2395,' Disaggregation - Section E '!A$618:O1407,15,0)),"")</f>
        <v/>
      </c>
      <c r="N2395" s="391" t="str">
        <f ca="1">IFERROR(IF(VLOOKUP(C2395,' Disaggregation - Section E '!A$618:J3084,10,0)=0,"",VLOOKUP(C2395,' Disaggregation - Section E '!A$618:J3084,10,0)),"")</f>
        <v/>
      </c>
      <c r="O2395" s="387"/>
      <c r="P2395" s="387" t="str">
        <f ca="1">IFERROR(IF(VLOOKUP(C2395,' Disaggregation - Section E '!A$618:R1407,18,0)=0,"",VLOOKUP(C2395,' Disaggregation - Section E '!A$618:R1407,18,0)),"")</f>
        <v/>
      </c>
    </row>
    <row r="2396" spans="1:16">
      <c r="A2396" s="387" t="b">
        <f t="shared" ca="1" si="168"/>
        <v>0</v>
      </c>
      <c r="B2396" s="387"/>
      <c r="C2396" s="396" t="str">
        <f ca="1">IF(COUNTA(O$1610:O2396)=1,"",OFFSET(B2394,-COUNTA(O$1610:O2396)+3,1))</f>
        <v>a16Dm000000M3sVIAS</v>
      </c>
      <c r="D2396" s="392"/>
      <c r="E2396" s="389" t="str">
        <f ca="1">IFERROR(IF(VLOOKUP(C2396,' Disaggregation - Section E '!A$618:J3085,7,0)="","",VLOOKUP(C2396,' Disaggregation - Section E '!A$618:J3085,7,0)*100),"")</f>
        <v/>
      </c>
      <c r="F2396" s="391" t="str">
        <f ca="1">IFERROR(VLOOKUP(C2396,' Disaggregation - Section E '!A$618:J3085,5,0),"")</f>
        <v/>
      </c>
      <c r="G2396" s="390" t="str">
        <f ca="1">IFERROR(IF(VLOOKUP(C2396,' Disaggregation - Section E '!A$618:J3085,6,0)="","",VLOOKUP(C2396,' Disaggregation - Section E '!A$618:J3085,6,0)),"")</f>
        <v/>
      </c>
      <c r="H2396" s="390" t="str">
        <f ca="1">IFERROR(IF(INDEX(' Disaggregation - Section E '!F$618:F3085,MATCH(C2396,' Disaggregation - Section E '!A$618:A3085,0)+1,1)&lt;&gt;0,INDEX(' Disaggregation - Section E '!F$618:F3085,MATCH(C2396,' Disaggregation - Section E '!A$618:A3085,0)+1,1),""),"")</f>
        <v/>
      </c>
      <c r="I2396" s="391" t="str">
        <f ca="1">IFERROR(IF(VLOOKUP(C2396,' Disaggregation - Section E '!A$618:J3085,8,0)=0,"",VLOOKUP(C2396,' Disaggregation - Section E '!A$618:J3085,8,0)),"")</f>
        <v/>
      </c>
      <c r="J2396" s="391" t="str">
        <f ca="1">IFERROR(IF(VLOOKUP(C2396,' Disaggregation - Section E '!A$618:J3085,9,0)="","",VLOOKUP(C2396,' Disaggregation - Section E '!A$618:J3085,9,0)),"")</f>
        <v/>
      </c>
      <c r="K2396" s="387" t="str">
        <f ca="1">IFERROR(VLOOKUP(C2396,' Disaggregation - Section E '!A$618:J3085,3,0),"")</f>
        <v>KVP-2 Number of people with TB (all forms) notified among key affected populations/high risk groups (other than prisoners); *includes only those with new and relapse</v>
      </c>
      <c r="L2396" s="387"/>
      <c r="M2396" s="387" t="str">
        <f ca="1">IFERROR(IF(VLOOKUP(C2396,' Disaggregation - Section E '!A$618:O1408,15,0)=0,"",VLOOKUP(C2396,' Disaggregation - Section E '!A$618:O1408,15,0)),"")</f>
        <v/>
      </c>
      <c r="N2396" s="391" t="str">
        <f ca="1">IFERROR(IF(VLOOKUP(C2396,' Disaggregation - Section E '!A$618:J3085,10,0)=0,"",VLOOKUP(C2396,' Disaggregation - Section E '!A$618:J3085,10,0)),"")</f>
        <v/>
      </c>
      <c r="O2396" s="387"/>
      <c r="P2396" s="387" t="str">
        <f ca="1">IFERROR(IF(VLOOKUP(C2396,' Disaggregation - Section E '!A$618:R1408,18,0)=0,"",VLOOKUP(C2396,' Disaggregation - Section E '!A$618:R1408,18,0)),"")</f>
        <v/>
      </c>
    </row>
    <row r="2397" spans="1:16">
      <c r="A2397" s="387" t="b">
        <f t="shared" ca="1" si="168"/>
        <v>0</v>
      </c>
      <c r="B2397" s="387"/>
      <c r="C2397" s="396" t="str">
        <f ca="1">IF(COUNTA(O$1610:O2397)=1,"",OFFSET(B2395,-COUNTA(O$1610:O2397)+3,1))</f>
        <v>a16Dm000000M3sWIAS</v>
      </c>
      <c r="D2397" s="392"/>
      <c r="E2397" s="389" t="str">
        <f ca="1">IFERROR(IF(VLOOKUP(C2397,' Disaggregation - Section E '!A$618:J3086,7,0)="","",VLOOKUP(C2397,' Disaggregation - Section E '!A$618:J3086,7,0)*100),"")</f>
        <v/>
      </c>
      <c r="F2397" s="391" t="str">
        <f ca="1">IFERROR(VLOOKUP(C2397,' Disaggregation - Section E '!A$618:J3086,5,0),"")</f>
        <v/>
      </c>
      <c r="G2397" s="390" t="str">
        <f ca="1">IFERROR(IF(VLOOKUP(C2397,' Disaggregation - Section E '!A$618:J3086,6,0)="","",VLOOKUP(C2397,' Disaggregation - Section E '!A$618:J3086,6,0)),"")</f>
        <v/>
      </c>
      <c r="H2397" s="390" t="str">
        <f ca="1">IFERROR(IF(INDEX(' Disaggregation - Section E '!F$618:F3086,MATCH(C2397,' Disaggregation - Section E '!A$618:A3086,0)+1,1)&lt;&gt;0,INDEX(' Disaggregation - Section E '!F$618:F3086,MATCH(C2397,' Disaggregation - Section E '!A$618:A3086,0)+1,1),""),"")</f>
        <v/>
      </c>
      <c r="I2397" s="391" t="str">
        <f ca="1">IFERROR(IF(VLOOKUP(C2397,' Disaggregation - Section E '!A$618:J3086,8,0)=0,"",VLOOKUP(C2397,' Disaggregation - Section E '!A$618:J3086,8,0)),"")</f>
        <v/>
      </c>
      <c r="J2397" s="391" t="str">
        <f ca="1">IFERROR(IF(VLOOKUP(C2397,' Disaggregation - Section E '!A$618:J3086,9,0)="","",VLOOKUP(C2397,' Disaggregation - Section E '!A$618:J3086,9,0)),"")</f>
        <v/>
      </c>
      <c r="K2397" s="387" t="str">
        <f ca="1">IFERROR(VLOOKUP(C2397,' Disaggregation - Section E '!A$618:J3086,3,0),"")</f>
        <v>KVP-2 Number of people with TB (all forms) notified among key affected populations/high risk groups (other than prisoners); *includes only those with new and relapse</v>
      </c>
      <c r="L2397" s="387"/>
      <c r="M2397" s="387" t="str">
        <f ca="1">IFERROR(IF(VLOOKUP(C2397,' Disaggregation - Section E '!A$618:O1409,15,0)=0,"",VLOOKUP(C2397,' Disaggregation - Section E '!A$618:O1409,15,0)),"")</f>
        <v/>
      </c>
      <c r="N2397" s="391" t="str">
        <f ca="1">IFERROR(IF(VLOOKUP(C2397,' Disaggregation - Section E '!A$618:J3086,10,0)=0,"",VLOOKUP(C2397,' Disaggregation - Section E '!A$618:J3086,10,0)),"")</f>
        <v/>
      </c>
      <c r="O2397" s="387"/>
      <c r="P2397" s="387" t="str">
        <f ca="1">IFERROR(IF(VLOOKUP(C2397,' Disaggregation - Section E '!A$618:R1409,18,0)=0,"",VLOOKUP(C2397,' Disaggregation - Section E '!A$618:R1409,18,0)),"")</f>
        <v/>
      </c>
    </row>
    <row r="2398" spans="1:16">
      <c r="A2398" s="387" t="b">
        <f t="shared" ca="1" si="168"/>
        <v>0</v>
      </c>
      <c r="B2398" s="387"/>
      <c r="C2398" s="396" t="str">
        <f ca="1">IF(COUNTA(O$1610:O2398)=1,"",OFFSET(B2396,-COUNTA(O$1610:O2398)+3,1))</f>
        <v>a16Dm000000M3sXIAS</v>
      </c>
      <c r="D2398" s="392"/>
      <c r="E2398" s="389" t="str">
        <f ca="1">IFERROR(IF(VLOOKUP(C2398,' Disaggregation - Section E '!A$618:J3087,7,0)="","",VLOOKUP(C2398,' Disaggregation - Section E '!A$618:J3087,7,0)*100),"")</f>
        <v/>
      </c>
      <c r="F2398" s="391" t="str">
        <f ca="1">IFERROR(VLOOKUP(C2398,' Disaggregation - Section E '!A$618:J3087,5,0),"")</f>
        <v/>
      </c>
      <c r="G2398" s="390" t="str">
        <f ca="1">IFERROR(IF(VLOOKUP(C2398,' Disaggregation - Section E '!A$618:J3087,6,0)="","",VLOOKUP(C2398,' Disaggregation - Section E '!A$618:J3087,6,0)),"")</f>
        <v/>
      </c>
      <c r="H2398" s="390" t="str">
        <f ca="1">IFERROR(IF(INDEX(' Disaggregation - Section E '!F$618:F3087,MATCH(C2398,' Disaggregation - Section E '!A$618:A3087,0)+1,1)&lt;&gt;0,INDEX(' Disaggregation - Section E '!F$618:F3087,MATCH(C2398,' Disaggregation - Section E '!A$618:A3087,0)+1,1),""),"")</f>
        <v/>
      </c>
      <c r="I2398" s="391" t="str">
        <f ca="1">IFERROR(IF(VLOOKUP(C2398,' Disaggregation - Section E '!A$618:J3087,8,0)=0,"",VLOOKUP(C2398,' Disaggregation - Section E '!A$618:J3087,8,0)),"")</f>
        <v/>
      </c>
      <c r="J2398" s="391" t="str">
        <f ca="1">IFERROR(IF(VLOOKUP(C2398,' Disaggregation - Section E '!A$618:J3087,9,0)="","",VLOOKUP(C2398,' Disaggregation - Section E '!A$618:J3087,9,0)),"")</f>
        <v/>
      </c>
      <c r="K2398" s="387" t="str">
        <f ca="1">IFERROR(VLOOKUP(C2398,' Disaggregation - Section E '!A$618:J3087,3,0),"")</f>
        <v>KVP-2 Number of people with TB (all forms) notified among key affected populations/high risk groups (other than prisoners); *includes only those with new and relapse</v>
      </c>
      <c r="L2398" s="387"/>
      <c r="M2398" s="387" t="str">
        <f ca="1">IFERROR(IF(VLOOKUP(C2398,' Disaggregation - Section E '!A$618:O1410,15,0)=0,"",VLOOKUP(C2398,' Disaggregation - Section E '!A$618:O1410,15,0)),"")</f>
        <v/>
      </c>
      <c r="N2398" s="391" t="str">
        <f ca="1">IFERROR(IF(VLOOKUP(C2398,' Disaggregation - Section E '!A$618:J3087,10,0)=0,"",VLOOKUP(C2398,' Disaggregation - Section E '!A$618:J3087,10,0)),"")</f>
        <v/>
      </c>
      <c r="O2398" s="387"/>
      <c r="P2398" s="387" t="str">
        <f ca="1">IFERROR(IF(VLOOKUP(C2398,' Disaggregation - Section E '!A$618:R1410,18,0)=0,"",VLOOKUP(C2398,' Disaggregation - Section E '!A$618:R1410,18,0)),"")</f>
        <v/>
      </c>
    </row>
    <row r="2399" spans="1:16">
      <c r="A2399" s="387" t="b">
        <f t="shared" ca="1" si="168"/>
        <v>0</v>
      </c>
      <c r="B2399" s="387"/>
      <c r="C2399" s="396" t="str">
        <f ca="1">IF(COUNTA(O$1610:O2399)=1,"",OFFSET(B2397,-COUNTA(O$1610:O2399)+3,1))</f>
        <v>a16Dm000000M3sYIAS</v>
      </c>
      <c r="D2399" s="392"/>
      <c r="E2399" s="389" t="str">
        <f ca="1">IFERROR(IF(VLOOKUP(C2399,' Disaggregation - Section E '!A$618:J3088,7,0)="","",VLOOKUP(C2399,' Disaggregation - Section E '!A$618:J3088,7,0)*100),"")</f>
        <v/>
      </c>
      <c r="F2399" s="391" t="str">
        <f ca="1">IFERROR(VLOOKUP(C2399,' Disaggregation - Section E '!A$618:J3088,5,0),"")</f>
        <v/>
      </c>
      <c r="G2399" s="390" t="str">
        <f ca="1">IFERROR(IF(VLOOKUP(C2399,' Disaggregation - Section E '!A$618:J3088,6,0)="","",VLOOKUP(C2399,' Disaggregation - Section E '!A$618:J3088,6,0)),"")</f>
        <v/>
      </c>
      <c r="H2399" s="390" t="str">
        <f ca="1">IFERROR(IF(INDEX(' Disaggregation - Section E '!F$618:F3088,MATCH(C2399,' Disaggregation - Section E '!A$618:A3088,0)+1,1)&lt;&gt;0,INDEX(' Disaggregation - Section E '!F$618:F3088,MATCH(C2399,' Disaggregation - Section E '!A$618:A3088,0)+1,1),""),"")</f>
        <v/>
      </c>
      <c r="I2399" s="391" t="str">
        <f ca="1">IFERROR(IF(VLOOKUP(C2399,' Disaggregation - Section E '!A$618:J3088,8,0)=0,"",VLOOKUP(C2399,' Disaggregation - Section E '!A$618:J3088,8,0)),"")</f>
        <v/>
      </c>
      <c r="J2399" s="391" t="str">
        <f ca="1">IFERROR(IF(VLOOKUP(C2399,' Disaggregation - Section E '!A$618:J3088,9,0)="","",VLOOKUP(C2399,' Disaggregation - Section E '!A$618:J3088,9,0)),"")</f>
        <v/>
      </c>
      <c r="K2399" s="387" t="str">
        <f ca="1">IFERROR(VLOOKUP(C2399,' Disaggregation - Section E '!A$618:J3088,3,0),"")</f>
        <v>KVP-2 Number of people with TB (all forms) notified among key affected populations/high risk groups (other than prisoners); *includes only those with new and relapse</v>
      </c>
      <c r="L2399" s="387"/>
      <c r="M2399" s="387" t="str">
        <f ca="1">IFERROR(IF(VLOOKUP(C2399,' Disaggregation - Section E '!A$618:O1411,15,0)=0,"",VLOOKUP(C2399,' Disaggregation - Section E '!A$618:O1411,15,0)),"")</f>
        <v/>
      </c>
      <c r="N2399" s="391" t="str">
        <f ca="1">IFERROR(IF(VLOOKUP(C2399,' Disaggregation - Section E '!A$618:J3088,10,0)=0,"",VLOOKUP(C2399,' Disaggregation - Section E '!A$618:J3088,10,0)),"")</f>
        <v/>
      </c>
      <c r="O2399" s="387"/>
      <c r="P2399" s="387" t="str">
        <f ca="1">IFERROR(IF(VLOOKUP(C2399,' Disaggregation - Section E '!A$618:R1411,18,0)=0,"",VLOOKUP(C2399,' Disaggregation - Section E '!A$618:R1411,18,0)),"")</f>
        <v/>
      </c>
    </row>
    <row r="2400" spans="1:16">
      <c r="A2400" s="387" t="b">
        <f t="shared" ca="1" si="168"/>
        <v>0</v>
      </c>
      <c r="B2400" s="387"/>
      <c r="C2400" s="396" t="str">
        <f ca="1">IF(COUNTA(O$1610:O2400)=1,"",OFFSET(B2398,-COUNTA(O$1610:O2400)+3,1))</f>
        <v>a16Dm000000M3sZIAS</v>
      </c>
      <c r="D2400" s="392"/>
      <c r="E2400" s="389" t="str">
        <f ca="1">IFERROR(IF(VLOOKUP(C2400,' Disaggregation - Section E '!A$618:J3089,7,0)="","",VLOOKUP(C2400,' Disaggregation - Section E '!A$618:J3089,7,0)*100),"")</f>
        <v/>
      </c>
      <c r="F2400" s="391" t="str">
        <f ca="1">IFERROR(VLOOKUP(C2400,' Disaggregation - Section E '!A$618:J3089,5,0),"")</f>
        <v/>
      </c>
      <c r="G2400" s="390" t="str">
        <f ca="1">IFERROR(IF(VLOOKUP(C2400,' Disaggregation - Section E '!A$618:J3089,6,0)="","",VLOOKUP(C2400,' Disaggregation - Section E '!A$618:J3089,6,0)),"")</f>
        <v/>
      </c>
      <c r="H2400" s="390" t="str">
        <f ca="1">IFERROR(IF(INDEX(' Disaggregation - Section E '!F$618:F3089,MATCH(C2400,' Disaggregation - Section E '!A$618:A3089,0)+1,1)&lt;&gt;0,INDEX(' Disaggregation - Section E '!F$618:F3089,MATCH(C2400,' Disaggregation - Section E '!A$618:A3089,0)+1,1),""),"")</f>
        <v/>
      </c>
      <c r="I2400" s="391" t="str">
        <f ca="1">IFERROR(IF(VLOOKUP(C2400,' Disaggregation - Section E '!A$618:J3089,8,0)=0,"",VLOOKUP(C2400,' Disaggregation - Section E '!A$618:J3089,8,0)),"")</f>
        <v/>
      </c>
      <c r="J2400" s="391" t="str">
        <f ca="1">IFERROR(IF(VLOOKUP(C2400,' Disaggregation - Section E '!A$618:J3089,9,0)="","",VLOOKUP(C2400,' Disaggregation - Section E '!A$618:J3089,9,0)),"")</f>
        <v/>
      </c>
      <c r="K2400" s="387" t="str">
        <f ca="1">IFERROR(VLOOKUP(C2400,' Disaggregation - Section E '!A$618:J3089,3,0),"")</f>
        <v>KVP-2 Number of people with TB (all forms) notified among key affected populations/high risk groups (other than prisoners); *includes only those with new and relapse</v>
      </c>
      <c r="L2400" s="387"/>
      <c r="M2400" s="387" t="str">
        <f ca="1">IFERROR(IF(VLOOKUP(C2400,' Disaggregation - Section E '!A$618:O1412,15,0)=0,"",VLOOKUP(C2400,' Disaggregation - Section E '!A$618:O1412,15,0)),"")</f>
        <v/>
      </c>
      <c r="N2400" s="391" t="str">
        <f ca="1">IFERROR(IF(VLOOKUP(C2400,' Disaggregation - Section E '!A$618:J3089,10,0)=0,"",VLOOKUP(C2400,' Disaggregation - Section E '!A$618:J3089,10,0)),"")</f>
        <v/>
      </c>
      <c r="O2400" s="387"/>
      <c r="P2400" s="387" t="str">
        <f ca="1">IFERROR(IF(VLOOKUP(C2400,' Disaggregation - Section E '!A$618:R1412,18,0)=0,"",VLOOKUP(C2400,' Disaggregation - Section E '!A$618:R1412,18,0)),"")</f>
        <v/>
      </c>
    </row>
    <row r="2401" spans="1:16">
      <c r="A2401" s="387" t="b">
        <f t="shared" ca="1" si="168"/>
        <v>0</v>
      </c>
      <c r="B2401" s="387"/>
      <c r="C2401" s="396" t="str">
        <f ca="1">IF(COUNTA(O$1610:O2401)=1,"",OFFSET(B2399,-COUNTA(O$1610:O2401)+3,1))</f>
        <v>a16Dm000000M3saIAC</v>
      </c>
      <c r="D2401" s="392"/>
      <c r="E2401" s="389" t="str">
        <f ca="1">IFERROR(IF(VLOOKUP(C2401,' Disaggregation - Section E '!A$618:J3090,7,0)="","",VLOOKUP(C2401,' Disaggregation - Section E '!A$618:J3090,7,0)*100),"")</f>
        <v/>
      </c>
      <c r="F2401" s="391" t="str">
        <f ca="1">IFERROR(VLOOKUP(C2401,' Disaggregation - Section E '!A$618:J3090,5,0),"")</f>
        <v/>
      </c>
      <c r="G2401" s="390" t="str">
        <f ca="1">IFERROR(IF(VLOOKUP(C2401,' Disaggregation - Section E '!A$618:J3090,6,0)="","",VLOOKUP(C2401,' Disaggregation - Section E '!A$618:J3090,6,0)),"")</f>
        <v/>
      </c>
      <c r="H2401" s="390" t="str">
        <f ca="1">IFERROR(IF(INDEX(' Disaggregation - Section E '!F$618:F3090,MATCH(C2401,' Disaggregation - Section E '!A$618:A3090,0)+1,1)&lt;&gt;0,INDEX(' Disaggregation - Section E '!F$618:F3090,MATCH(C2401,' Disaggregation - Section E '!A$618:A3090,0)+1,1),""),"")</f>
        <v/>
      </c>
      <c r="I2401" s="391" t="str">
        <f ca="1">IFERROR(IF(VLOOKUP(C2401,' Disaggregation - Section E '!A$618:J3090,8,0)=0,"",VLOOKUP(C2401,' Disaggregation - Section E '!A$618:J3090,8,0)),"")</f>
        <v/>
      </c>
      <c r="J2401" s="391" t="str">
        <f ca="1">IFERROR(IF(VLOOKUP(C2401,' Disaggregation - Section E '!A$618:J3090,9,0)="","",VLOOKUP(C2401,' Disaggregation - Section E '!A$618:J3090,9,0)),"")</f>
        <v/>
      </c>
      <c r="K2401" s="387" t="str">
        <f ca="1">IFERROR(VLOOKUP(C2401,' Disaggregation - Section E '!A$618:J3090,3,0),"")</f>
        <v>KVP-2 Number of people with TB (all forms) notified among key affected populations/high risk groups (other than prisoners); *includes only those with new and relapse</v>
      </c>
      <c r="L2401" s="387"/>
      <c r="M2401" s="387" t="str">
        <f ca="1">IFERROR(IF(VLOOKUP(C2401,' Disaggregation - Section E '!A$618:O1413,15,0)=0,"",VLOOKUP(C2401,' Disaggregation - Section E '!A$618:O1413,15,0)),"")</f>
        <v/>
      </c>
      <c r="N2401" s="391" t="str">
        <f ca="1">IFERROR(IF(VLOOKUP(C2401,' Disaggregation - Section E '!A$618:J3090,10,0)=0,"",VLOOKUP(C2401,' Disaggregation - Section E '!A$618:J3090,10,0)),"")</f>
        <v/>
      </c>
      <c r="O2401" s="387"/>
      <c r="P2401" s="387" t="str">
        <f ca="1">IFERROR(IF(VLOOKUP(C2401,' Disaggregation - Section E '!A$618:R1413,18,0)=0,"",VLOOKUP(C2401,' Disaggregation - Section E '!A$618:R1413,18,0)),"")</f>
        <v/>
      </c>
    </row>
    <row r="2402" spans="1:16">
      <c r="A2402" s="387" t="b">
        <f t="shared" ca="1" si="168"/>
        <v>0</v>
      </c>
      <c r="B2402" s="387"/>
      <c r="C2402" s="396" t="str">
        <f ca="1">IF(COUNTA(O$1610:O2402)=1,"",OFFSET(B2400,-COUNTA(O$1610:O2402)+3,1))</f>
        <v>a16Dm000000M3sbIAC</v>
      </c>
      <c r="D2402" s="392"/>
      <c r="E2402" s="389" t="str">
        <f ca="1">IFERROR(IF(VLOOKUP(C2402,' Disaggregation - Section E '!A$618:J3091,7,0)="","",VLOOKUP(C2402,' Disaggregation - Section E '!A$618:J3091,7,0)*100),"")</f>
        <v/>
      </c>
      <c r="F2402" s="391" t="str">
        <f ca="1">IFERROR(VLOOKUP(C2402,' Disaggregation - Section E '!A$618:J3091,5,0),"")</f>
        <v/>
      </c>
      <c r="G2402" s="390" t="str">
        <f ca="1">IFERROR(IF(VLOOKUP(C2402,' Disaggregation - Section E '!A$618:J3091,6,0)="","",VLOOKUP(C2402,' Disaggregation - Section E '!A$618:J3091,6,0)),"")</f>
        <v/>
      </c>
      <c r="H2402" s="390" t="str">
        <f ca="1">IFERROR(IF(INDEX(' Disaggregation - Section E '!F$618:F3091,MATCH(C2402,' Disaggregation - Section E '!A$618:A3091,0)+1,1)&lt;&gt;0,INDEX(' Disaggregation - Section E '!F$618:F3091,MATCH(C2402,' Disaggregation - Section E '!A$618:A3091,0)+1,1),""),"")</f>
        <v/>
      </c>
      <c r="I2402" s="391" t="str">
        <f ca="1">IFERROR(IF(VLOOKUP(C2402,' Disaggregation - Section E '!A$618:J3091,8,0)=0,"",VLOOKUP(C2402,' Disaggregation - Section E '!A$618:J3091,8,0)),"")</f>
        <v/>
      </c>
      <c r="J2402" s="391" t="str">
        <f ca="1">IFERROR(IF(VLOOKUP(C2402,' Disaggregation - Section E '!A$618:J3091,9,0)="","",VLOOKUP(C2402,' Disaggregation - Section E '!A$618:J3091,9,0)),"")</f>
        <v/>
      </c>
      <c r="K2402" s="387" t="str">
        <f ca="1">IFERROR(VLOOKUP(C2402,' Disaggregation - Section E '!A$618:J3091,3,0),"")</f>
        <v>KVP-2 Number of people with TB (all forms) notified among key affected populations/high risk groups (other than prisoners); *includes only those with new and relapse</v>
      </c>
      <c r="L2402" s="387"/>
      <c r="M2402" s="387" t="str">
        <f ca="1">IFERROR(IF(VLOOKUP(C2402,' Disaggregation - Section E '!A$618:O1414,15,0)=0,"",VLOOKUP(C2402,' Disaggregation - Section E '!A$618:O1414,15,0)),"")</f>
        <v/>
      </c>
      <c r="N2402" s="391" t="str">
        <f ca="1">IFERROR(IF(VLOOKUP(C2402,' Disaggregation - Section E '!A$618:J3091,10,0)=0,"",VLOOKUP(C2402,' Disaggregation - Section E '!A$618:J3091,10,0)),"")</f>
        <v/>
      </c>
      <c r="O2402" s="387"/>
      <c r="P2402" s="387" t="str">
        <f ca="1">IFERROR(IF(VLOOKUP(C2402,' Disaggregation - Section E '!A$618:R1414,18,0)=0,"",VLOOKUP(C2402,' Disaggregation - Section E '!A$618:R1414,18,0)),"")</f>
        <v/>
      </c>
    </row>
    <row r="2403" spans="1:16">
      <c r="A2403" s="387" t="b">
        <f t="shared" ca="1" si="168"/>
        <v>0</v>
      </c>
      <c r="B2403" s="387"/>
      <c r="C2403" s="396" t="str">
        <f ca="1">IF(COUNTA(O$1610:O2403)=1,"",OFFSET(B2401,-COUNTA(O$1610:O2403)+3,1))</f>
        <v>a16Dm000000M3scIAC</v>
      </c>
      <c r="D2403" s="392"/>
      <c r="E2403" s="389" t="str">
        <f ca="1">IFERROR(IF(VLOOKUP(C2403,' Disaggregation - Section E '!A$618:J3092,7,0)="","",VLOOKUP(C2403,' Disaggregation - Section E '!A$618:J3092,7,0)*100),"")</f>
        <v/>
      </c>
      <c r="F2403" s="391" t="str">
        <f ca="1">IFERROR(VLOOKUP(C2403,' Disaggregation - Section E '!A$618:J3092,5,0),"")</f>
        <v/>
      </c>
      <c r="G2403" s="390" t="str">
        <f ca="1">IFERROR(IF(VLOOKUP(C2403,' Disaggregation - Section E '!A$618:J3092,6,0)="","",VLOOKUP(C2403,' Disaggregation - Section E '!A$618:J3092,6,0)),"")</f>
        <v/>
      </c>
      <c r="H2403" s="390" t="str">
        <f ca="1">IFERROR(IF(INDEX(' Disaggregation - Section E '!F$618:F3092,MATCH(C2403,' Disaggregation - Section E '!A$618:A3092,0)+1,1)&lt;&gt;0,INDEX(' Disaggregation - Section E '!F$618:F3092,MATCH(C2403,' Disaggregation - Section E '!A$618:A3092,0)+1,1),""),"")</f>
        <v/>
      </c>
      <c r="I2403" s="391" t="str">
        <f ca="1">IFERROR(IF(VLOOKUP(C2403,' Disaggregation - Section E '!A$618:J3092,8,0)=0,"",VLOOKUP(C2403,' Disaggregation - Section E '!A$618:J3092,8,0)),"")</f>
        <v/>
      </c>
      <c r="J2403" s="391" t="str">
        <f ca="1">IFERROR(IF(VLOOKUP(C2403,' Disaggregation - Section E '!A$618:J3092,9,0)="","",VLOOKUP(C2403,' Disaggregation - Section E '!A$618:J3092,9,0)),"")</f>
        <v/>
      </c>
      <c r="K2403" s="387" t="str">
        <f ca="1">IFERROR(VLOOKUP(C2403,' Disaggregation - Section E '!A$618:J3092,3,0),"")</f>
        <v>KVP-2 Number of people with TB (all forms) notified among key affected populations/high risk groups (other than prisoners); *includes only those with new and relapse</v>
      </c>
      <c r="L2403" s="387"/>
      <c r="M2403" s="387" t="str">
        <f ca="1">IFERROR(IF(VLOOKUP(C2403,' Disaggregation - Section E '!A$618:O1415,15,0)=0,"",VLOOKUP(C2403,' Disaggregation - Section E '!A$618:O1415,15,0)),"")</f>
        <v/>
      </c>
      <c r="N2403" s="391" t="str">
        <f ca="1">IFERROR(IF(VLOOKUP(C2403,' Disaggregation - Section E '!A$618:J3092,10,0)=0,"",VLOOKUP(C2403,' Disaggregation - Section E '!A$618:J3092,10,0)),"")</f>
        <v/>
      </c>
      <c r="O2403" s="387"/>
      <c r="P2403" s="387" t="str">
        <f ca="1">IFERROR(IF(VLOOKUP(C2403,' Disaggregation - Section E '!A$618:R1415,18,0)=0,"",VLOOKUP(C2403,' Disaggregation - Section E '!A$618:R1415,18,0)),"")</f>
        <v/>
      </c>
    </row>
    <row r="2404" spans="1:16">
      <c r="A2404" s="387" t="b">
        <f t="shared" ca="1" si="168"/>
        <v>0</v>
      </c>
      <c r="B2404" s="387"/>
      <c r="C2404" s="396" t="str">
        <f ca="1">IF(COUNTA(O$1610:O2404)=1,"",OFFSET(B2402,-COUNTA(O$1610:O2404)+3,1))</f>
        <v>a16Dm000000M3sdIAC</v>
      </c>
      <c r="D2404" s="392"/>
      <c r="E2404" s="389" t="str">
        <f ca="1">IFERROR(IF(VLOOKUP(C2404,' Disaggregation - Section E '!A$618:J3093,7,0)="","",VLOOKUP(C2404,' Disaggregation - Section E '!A$618:J3093,7,0)*100),"")</f>
        <v/>
      </c>
      <c r="F2404" s="391" t="str">
        <f ca="1">IFERROR(VLOOKUP(C2404,' Disaggregation - Section E '!A$618:J3093,5,0),"")</f>
        <v/>
      </c>
      <c r="G2404" s="390" t="str">
        <f ca="1">IFERROR(IF(VLOOKUP(C2404,' Disaggregation - Section E '!A$618:J3093,6,0)="","",VLOOKUP(C2404,' Disaggregation - Section E '!A$618:J3093,6,0)),"")</f>
        <v/>
      </c>
      <c r="H2404" s="390" t="str">
        <f ca="1">IFERROR(IF(INDEX(' Disaggregation - Section E '!F$618:F3093,MATCH(C2404,' Disaggregation - Section E '!A$618:A3093,0)+1,1)&lt;&gt;0,INDEX(' Disaggregation - Section E '!F$618:F3093,MATCH(C2404,' Disaggregation - Section E '!A$618:A3093,0)+1,1),""),"")</f>
        <v/>
      </c>
      <c r="I2404" s="391" t="str">
        <f ca="1">IFERROR(IF(VLOOKUP(C2404,' Disaggregation - Section E '!A$618:J3093,8,0)=0,"",VLOOKUP(C2404,' Disaggregation - Section E '!A$618:J3093,8,0)),"")</f>
        <v/>
      </c>
      <c r="J2404" s="391" t="str">
        <f ca="1">IFERROR(IF(VLOOKUP(C2404,' Disaggregation - Section E '!A$618:J3093,9,0)="","",VLOOKUP(C2404,' Disaggregation - Section E '!A$618:J3093,9,0)),"")</f>
        <v/>
      </c>
      <c r="K2404" s="387" t="str">
        <f ca="1">IFERROR(VLOOKUP(C2404,' Disaggregation - Section E '!A$618:J3093,3,0),"")</f>
        <v>KVP-2 Number of people with TB (all forms) notified among key affected populations/high risk groups (other than prisoners); *includes only those with new and relapse</v>
      </c>
      <c r="L2404" s="387"/>
      <c r="M2404" s="387" t="str">
        <f ca="1">IFERROR(IF(VLOOKUP(C2404,' Disaggregation - Section E '!A$618:O1416,15,0)=0,"",VLOOKUP(C2404,' Disaggregation - Section E '!A$618:O1416,15,0)),"")</f>
        <v/>
      </c>
      <c r="N2404" s="391" t="str">
        <f ca="1">IFERROR(IF(VLOOKUP(C2404,' Disaggregation - Section E '!A$618:J3093,10,0)=0,"",VLOOKUP(C2404,' Disaggregation - Section E '!A$618:J3093,10,0)),"")</f>
        <v/>
      </c>
      <c r="O2404" s="387"/>
      <c r="P2404" s="387" t="str">
        <f ca="1">IFERROR(IF(VLOOKUP(C2404,' Disaggregation - Section E '!A$618:R1416,18,0)=0,"",VLOOKUP(C2404,' Disaggregation - Section E '!A$618:R1416,18,0)),"")</f>
        <v/>
      </c>
    </row>
    <row r="2405" spans="1:16">
      <c r="A2405" s="387" t="b">
        <f t="shared" ca="1" si="168"/>
        <v>0</v>
      </c>
      <c r="B2405" s="387"/>
      <c r="C2405" s="396" t="str">
        <f ca="1">IF(COUNTA(O$1610:O2405)=1,"",OFFSET(B2403,-COUNTA(O$1610:O2405)+3,1))</f>
        <v>a16Dm000000M3seIAC</v>
      </c>
      <c r="D2405" s="392"/>
      <c r="E2405" s="389" t="str">
        <f ca="1">IFERROR(IF(VLOOKUP(C2405,' Disaggregation - Section E '!A$618:J3094,7,0)="","",VLOOKUP(C2405,' Disaggregation - Section E '!A$618:J3094,7,0)*100),"")</f>
        <v/>
      </c>
      <c r="F2405" s="391" t="str">
        <f ca="1">IFERROR(VLOOKUP(C2405,' Disaggregation - Section E '!A$618:J3094,5,0),"")</f>
        <v/>
      </c>
      <c r="G2405" s="390" t="str">
        <f ca="1">IFERROR(IF(VLOOKUP(C2405,' Disaggregation - Section E '!A$618:J3094,6,0)="","",VLOOKUP(C2405,' Disaggregation - Section E '!A$618:J3094,6,0)),"")</f>
        <v/>
      </c>
      <c r="H2405" s="390" t="str">
        <f ca="1">IFERROR(IF(INDEX(' Disaggregation - Section E '!F$618:F3094,MATCH(C2405,' Disaggregation - Section E '!A$618:A3094,0)+1,1)&lt;&gt;0,INDEX(' Disaggregation - Section E '!F$618:F3094,MATCH(C2405,' Disaggregation - Section E '!A$618:A3094,0)+1,1),""),"")</f>
        <v/>
      </c>
      <c r="I2405" s="391" t="str">
        <f ca="1">IFERROR(IF(VLOOKUP(C2405,' Disaggregation - Section E '!A$618:J3094,8,0)=0,"",VLOOKUP(C2405,' Disaggregation - Section E '!A$618:J3094,8,0)),"")</f>
        <v/>
      </c>
      <c r="J2405" s="391" t="str">
        <f ca="1">IFERROR(IF(VLOOKUP(C2405,' Disaggregation - Section E '!A$618:J3094,9,0)="","",VLOOKUP(C2405,' Disaggregation - Section E '!A$618:J3094,9,0)),"")</f>
        <v/>
      </c>
      <c r="K2405" s="387" t="str">
        <f ca="1">IFERROR(VLOOKUP(C2405,' Disaggregation - Section E '!A$618:J3094,3,0),"")</f>
        <v>KVP-2 Number of people with TB (all forms) notified among key affected populations/high risk groups (other than prisoners); *includes only those with new and relapse</v>
      </c>
      <c r="L2405" s="387"/>
      <c r="M2405" s="387" t="str">
        <f ca="1">IFERROR(IF(VLOOKUP(C2405,' Disaggregation - Section E '!A$618:O1417,15,0)=0,"",VLOOKUP(C2405,' Disaggregation - Section E '!A$618:O1417,15,0)),"")</f>
        <v/>
      </c>
      <c r="N2405" s="391" t="str">
        <f ca="1">IFERROR(IF(VLOOKUP(C2405,' Disaggregation - Section E '!A$618:J3094,10,0)=0,"",VLOOKUP(C2405,' Disaggregation - Section E '!A$618:J3094,10,0)),"")</f>
        <v/>
      </c>
      <c r="O2405" s="387"/>
      <c r="P2405" s="387" t="str">
        <f ca="1">IFERROR(IF(VLOOKUP(C2405,' Disaggregation - Section E '!A$618:R1417,18,0)=0,"",VLOOKUP(C2405,' Disaggregation - Section E '!A$618:R1417,18,0)),"")</f>
        <v/>
      </c>
    </row>
    <row r="2406" spans="1:16">
      <c r="A2406" s="387" t="b">
        <f t="shared" ca="1" si="168"/>
        <v>0</v>
      </c>
      <c r="B2406" s="387"/>
      <c r="C2406" s="396" t="str">
        <f ca="1">IF(COUNTA(O$1610:O2406)=1,"",OFFSET(B2404,-COUNTA(O$1610:O2406)+3,1))</f>
        <v>a16Dm000000M3sfIAC</v>
      </c>
      <c r="D2406" s="392"/>
      <c r="E2406" s="389" t="str">
        <f ca="1">IFERROR(IF(VLOOKUP(C2406,' Disaggregation - Section E '!A$618:J3095,7,0)="","",VLOOKUP(C2406,' Disaggregation - Section E '!A$618:J3095,7,0)*100),"")</f>
        <v/>
      </c>
      <c r="F2406" s="391" t="str">
        <f ca="1">IFERROR(VLOOKUP(C2406,' Disaggregation - Section E '!A$618:J3095,5,0),"")</f>
        <v/>
      </c>
      <c r="G2406" s="390" t="str">
        <f ca="1">IFERROR(IF(VLOOKUP(C2406,' Disaggregation - Section E '!A$618:J3095,6,0)="","",VLOOKUP(C2406,' Disaggregation - Section E '!A$618:J3095,6,0)),"")</f>
        <v/>
      </c>
      <c r="H2406" s="390" t="str">
        <f ca="1">IFERROR(IF(INDEX(' Disaggregation - Section E '!F$618:F3095,MATCH(C2406,' Disaggregation - Section E '!A$618:A3095,0)+1,1)&lt;&gt;0,INDEX(' Disaggregation - Section E '!F$618:F3095,MATCH(C2406,' Disaggregation - Section E '!A$618:A3095,0)+1,1),""),"")</f>
        <v/>
      </c>
      <c r="I2406" s="391" t="str">
        <f ca="1">IFERROR(IF(VLOOKUP(C2406,' Disaggregation - Section E '!A$618:J3095,8,0)=0,"",VLOOKUP(C2406,' Disaggregation - Section E '!A$618:J3095,8,0)),"")</f>
        <v/>
      </c>
      <c r="J2406" s="391" t="str">
        <f ca="1">IFERROR(IF(VLOOKUP(C2406,' Disaggregation - Section E '!A$618:J3095,9,0)="","",VLOOKUP(C2406,' Disaggregation - Section E '!A$618:J3095,9,0)),"")</f>
        <v/>
      </c>
      <c r="K2406" s="387" t="str">
        <f ca="1">IFERROR(VLOOKUP(C2406,' Disaggregation - Section E '!A$618:J3095,3,0),"")</f>
        <v>KVP-2 Number of people with TB (all forms) notified among key affected populations/high risk groups (other than prisoners); *includes only those with new and relapse</v>
      </c>
      <c r="L2406" s="387"/>
      <c r="M2406" s="387" t="str">
        <f ca="1">IFERROR(IF(VLOOKUP(C2406,' Disaggregation - Section E '!A$618:O1418,15,0)=0,"",VLOOKUP(C2406,' Disaggregation - Section E '!A$618:O1418,15,0)),"")</f>
        <v/>
      </c>
      <c r="N2406" s="391" t="str">
        <f ca="1">IFERROR(IF(VLOOKUP(C2406,' Disaggregation - Section E '!A$618:J3095,10,0)=0,"",VLOOKUP(C2406,' Disaggregation - Section E '!A$618:J3095,10,0)),"")</f>
        <v/>
      </c>
      <c r="O2406" s="387"/>
      <c r="P2406" s="387" t="str">
        <f ca="1">IFERROR(IF(VLOOKUP(C2406,' Disaggregation - Section E '!A$618:R1418,18,0)=0,"",VLOOKUP(C2406,' Disaggregation - Section E '!A$618:R1418,18,0)),"")</f>
        <v/>
      </c>
    </row>
    <row r="2407" spans="1:16">
      <c r="A2407" s="387" t="b">
        <f t="shared" ca="1" si="168"/>
        <v>0</v>
      </c>
      <c r="B2407" s="387"/>
      <c r="C2407" s="396" t="str">
        <f ca="1">IF(COUNTA(O$1610:O2407)=1,"",OFFSET(B2405,-COUNTA(O$1610:O2407)+3,1))</f>
        <v>a16Dm000000M3sgIAC</v>
      </c>
      <c r="D2407" s="392"/>
      <c r="E2407" s="389" t="str">
        <f ca="1">IFERROR(IF(VLOOKUP(C2407,' Disaggregation - Section E '!A$618:J3096,7,0)="","",VLOOKUP(C2407,' Disaggregation - Section E '!A$618:J3096,7,0)*100),"")</f>
        <v/>
      </c>
      <c r="F2407" s="391" t="str">
        <f ca="1">IFERROR(VLOOKUP(C2407,' Disaggregation - Section E '!A$618:J3096,5,0),"")</f>
        <v/>
      </c>
      <c r="G2407" s="390" t="str">
        <f ca="1">IFERROR(IF(VLOOKUP(C2407,' Disaggregation - Section E '!A$618:J3096,6,0)="","",VLOOKUP(C2407,' Disaggregation - Section E '!A$618:J3096,6,0)),"")</f>
        <v/>
      </c>
      <c r="H2407" s="390" t="str">
        <f ca="1">IFERROR(IF(INDEX(' Disaggregation - Section E '!F$618:F3096,MATCH(C2407,' Disaggregation - Section E '!A$618:A3096,0)+1,1)&lt;&gt;0,INDEX(' Disaggregation - Section E '!F$618:F3096,MATCH(C2407,' Disaggregation - Section E '!A$618:A3096,0)+1,1),""),"")</f>
        <v/>
      </c>
      <c r="I2407" s="391" t="str">
        <f ca="1">IFERROR(IF(VLOOKUP(C2407,' Disaggregation - Section E '!A$618:J3096,8,0)=0,"",VLOOKUP(C2407,' Disaggregation - Section E '!A$618:J3096,8,0)),"")</f>
        <v/>
      </c>
      <c r="J2407" s="391" t="str">
        <f ca="1">IFERROR(IF(VLOOKUP(C2407,' Disaggregation - Section E '!A$618:J3096,9,0)="","",VLOOKUP(C2407,' Disaggregation - Section E '!A$618:J3096,9,0)),"")</f>
        <v/>
      </c>
      <c r="K2407" s="387" t="str">
        <f ca="1">IFERROR(VLOOKUP(C2407,' Disaggregation - Section E '!A$618:J3096,3,0),"")</f>
        <v>KVP-2 Number of people with TB (all forms) notified among key affected populations/high risk groups (other than prisoners); *includes only those with new and relapse</v>
      </c>
      <c r="L2407" s="387"/>
      <c r="M2407" s="387" t="str">
        <f ca="1">IFERROR(IF(VLOOKUP(C2407,' Disaggregation - Section E '!A$618:O1419,15,0)=0,"",VLOOKUP(C2407,' Disaggregation - Section E '!A$618:O1419,15,0)),"")</f>
        <v/>
      </c>
      <c r="N2407" s="391" t="str">
        <f ca="1">IFERROR(IF(VLOOKUP(C2407,' Disaggregation - Section E '!A$618:J3096,10,0)=0,"",VLOOKUP(C2407,' Disaggregation - Section E '!A$618:J3096,10,0)),"")</f>
        <v/>
      </c>
      <c r="O2407" s="387"/>
      <c r="P2407" s="387" t="str">
        <f ca="1">IFERROR(IF(VLOOKUP(C2407,' Disaggregation - Section E '!A$618:R1419,18,0)=0,"",VLOOKUP(C2407,' Disaggregation - Section E '!A$618:R1419,18,0)),"")</f>
        <v/>
      </c>
    </row>
    <row r="2408" spans="1:16">
      <c r="A2408" s="387" t="b">
        <f t="shared" ca="1" si="168"/>
        <v>0</v>
      </c>
      <c r="B2408" s="387"/>
      <c r="C2408" s="396" t="str">
        <f ca="1">IF(COUNTA(O$1610:O2408)=1,"",OFFSET(B2406,-COUNTA(O$1610:O2408)+3,1))</f>
        <v>a16Dm000000M3shIAC</v>
      </c>
      <c r="D2408" s="392"/>
      <c r="E2408" s="389" t="str">
        <f ca="1">IFERROR(IF(VLOOKUP(C2408,' Disaggregation - Section E '!A$618:J3097,7,0)="","",VLOOKUP(C2408,' Disaggregation - Section E '!A$618:J3097,7,0)*100),"")</f>
        <v/>
      </c>
      <c r="F2408" s="391" t="str">
        <f ca="1">IFERROR(VLOOKUP(C2408,' Disaggregation - Section E '!A$618:J3097,5,0),"")</f>
        <v/>
      </c>
      <c r="G2408" s="390" t="str">
        <f ca="1">IFERROR(IF(VLOOKUP(C2408,' Disaggregation - Section E '!A$618:J3097,6,0)="","",VLOOKUP(C2408,' Disaggregation - Section E '!A$618:J3097,6,0)),"")</f>
        <v/>
      </c>
      <c r="H2408" s="390" t="str">
        <f ca="1">IFERROR(IF(INDEX(' Disaggregation - Section E '!F$618:F3097,MATCH(C2408,' Disaggregation - Section E '!A$618:A3097,0)+1,1)&lt;&gt;0,INDEX(' Disaggregation - Section E '!F$618:F3097,MATCH(C2408,' Disaggregation - Section E '!A$618:A3097,0)+1,1),""),"")</f>
        <v/>
      </c>
      <c r="I2408" s="391" t="str">
        <f ca="1">IFERROR(IF(VLOOKUP(C2408,' Disaggregation - Section E '!A$618:J3097,8,0)=0,"",VLOOKUP(C2408,' Disaggregation - Section E '!A$618:J3097,8,0)),"")</f>
        <v/>
      </c>
      <c r="J2408" s="391" t="str">
        <f ca="1">IFERROR(IF(VLOOKUP(C2408,' Disaggregation - Section E '!A$618:J3097,9,0)="","",VLOOKUP(C2408,' Disaggregation - Section E '!A$618:J3097,9,0)),"")</f>
        <v/>
      </c>
      <c r="K2408" s="387" t="str">
        <f ca="1">IFERROR(VLOOKUP(C2408,' Disaggregation - Section E '!A$618:J3097,3,0),"")</f>
        <v>KVP-2 Number of people with TB (all forms) notified among key affected populations/high risk groups (other than prisoners); *includes only those with new and relapse</v>
      </c>
      <c r="L2408" s="387"/>
      <c r="M2408" s="387" t="str">
        <f ca="1">IFERROR(IF(VLOOKUP(C2408,' Disaggregation - Section E '!A$618:O1420,15,0)=0,"",VLOOKUP(C2408,' Disaggregation - Section E '!A$618:O1420,15,0)),"")</f>
        <v/>
      </c>
      <c r="N2408" s="391" t="str">
        <f ca="1">IFERROR(IF(VLOOKUP(C2408,' Disaggregation - Section E '!A$618:J3097,10,0)=0,"",VLOOKUP(C2408,' Disaggregation - Section E '!A$618:J3097,10,0)),"")</f>
        <v/>
      </c>
      <c r="O2408" s="387"/>
      <c r="P2408" s="387" t="str">
        <f ca="1">IFERROR(IF(VLOOKUP(C2408,' Disaggregation - Section E '!A$618:R1420,18,0)=0,"",VLOOKUP(C2408,' Disaggregation - Section E '!A$618:R1420,18,0)),"")</f>
        <v/>
      </c>
    </row>
    <row r="2409" spans="1:16">
      <c r="A2409" s="387" t="b">
        <f t="shared" ca="1" si="168"/>
        <v>0</v>
      </c>
      <c r="B2409" s="387"/>
      <c r="C2409" s="396" t="str">
        <f ca="1">IF(COUNTA(O$1610:O2409)=1,"",OFFSET(B2407,-COUNTA(O$1610:O2409)+3,1))</f>
        <v>a16Dm000000M3siIAC</v>
      </c>
      <c r="D2409" s="392"/>
      <c r="E2409" s="389" t="str">
        <f ca="1">IFERROR(IF(VLOOKUP(C2409,' Disaggregation - Section E '!A$618:J3098,7,0)="","",VLOOKUP(C2409,' Disaggregation - Section E '!A$618:J3098,7,0)*100),"")</f>
        <v/>
      </c>
      <c r="F2409" s="391" t="str">
        <f ca="1">IFERROR(VLOOKUP(C2409,' Disaggregation - Section E '!A$618:J3098,5,0),"")</f>
        <v/>
      </c>
      <c r="G2409" s="390" t="str">
        <f ca="1">IFERROR(IF(VLOOKUP(C2409,' Disaggregation - Section E '!A$618:J3098,6,0)="","",VLOOKUP(C2409,' Disaggregation - Section E '!A$618:J3098,6,0)),"")</f>
        <v/>
      </c>
      <c r="H2409" s="390" t="str">
        <f ca="1">IFERROR(IF(INDEX(' Disaggregation - Section E '!F$618:F3098,MATCH(C2409,' Disaggregation - Section E '!A$618:A3098,0)+1,1)&lt;&gt;0,INDEX(' Disaggregation - Section E '!F$618:F3098,MATCH(C2409,' Disaggregation - Section E '!A$618:A3098,0)+1,1),""),"")</f>
        <v/>
      </c>
      <c r="I2409" s="391" t="str">
        <f ca="1">IFERROR(IF(VLOOKUP(C2409,' Disaggregation - Section E '!A$618:J3098,8,0)=0,"",VLOOKUP(C2409,' Disaggregation - Section E '!A$618:J3098,8,0)),"")</f>
        <v/>
      </c>
      <c r="J2409" s="391" t="str">
        <f ca="1">IFERROR(IF(VLOOKUP(C2409,' Disaggregation - Section E '!A$618:J3098,9,0)="","",VLOOKUP(C2409,' Disaggregation - Section E '!A$618:J3098,9,0)),"")</f>
        <v/>
      </c>
      <c r="K2409" s="387" t="str">
        <f ca="1">IFERROR(VLOOKUP(C2409,' Disaggregation - Section E '!A$618:J3098,3,0),"")</f>
        <v>KVP-2 Number of people with TB (all forms) notified among key affected populations/high risk groups (other than prisoners); *includes only those with new and relapse</v>
      </c>
      <c r="L2409" s="387"/>
      <c r="M2409" s="387" t="str">
        <f ca="1">IFERROR(IF(VLOOKUP(C2409,' Disaggregation - Section E '!A$618:O1421,15,0)=0,"",VLOOKUP(C2409,' Disaggregation - Section E '!A$618:O1421,15,0)),"")</f>
        <v/>
      </c>
      <c r="N2409" s="391" t="str">
        <f ca="1">IFERROR(IF(VLOOKUP(C2409,' Disaggregation - Section E '!A$618:J3098,10,0)=0,"",VLOOKUP(C2409,' Disaggregation - Section E '!A$618:J3098,10,0)),"")</f>
        <v/>
      </c>
      <c r="O2409" s="387"/>
      <c r="P2409" s="387" t="str">
        <f ca="1">IFERROR(IF(VLOOKUP(C2409,' Disaggregation - Section E '!A$618:R1421,18,0)=0,"",VLOOKUP(C2409,' Disaggregation - Section E '!A$618:R1421,18,0)),"")</f>
        <v/>
      </c>
    </row>
    <row r="2410" spans="1:16">
      <c r="A2410" s="387" t="b">
        <f t="shared" ca="1" si="168"/>
        <v>0</v>
      </c>
      <c r="B2410" s="387"/>
      <c r="C2410" s="396" t="str">
        <f ca="1">IF(COUNTA(O$1610:O2410)=1,"",OFFSET(B2408,-COUNTA(O$1610:O2410)+3,1))</f>
        <v>a16Dm000000M3sjIAC</v>
      </c>
      <c r="D2410" s="392"/>
      <c r="E2410" s="389" t="str">
        <f ca="1">IFERROR(IF(VLOOKUP(C2410,' Disaggregation - Section E '!A$618:J3099,7,0)="","",VLOOKUP(C2410,' Disaggregation - Section E '!A$618:J3099,7,0)*100),"")</f>
        <v/>
      </c>
      <c r="F2410" s="391" t="str">
        <f ca="1">IFERROR(VLOOKUP(C2410,' Disaggregation - Section E '!A$618:J3099,5,0),"")</f>
        <v/>
      </c>
      <c r="G2410" s="390" t="str">
        <f ca="1">IFERROR(IF(VLOOKUP(C2410,' Disaggregation - Section E '!A$618:J3099,6,0)="","",VLOOKUP(C2410,' Disaggregation - Section E '!A$618:J3099,6,0)),"")</f>
        <v/>
      </c>
      <c r="H2410" s="390" t="str">
        <f ca="1">IFERROR(IF(INDEX(' Disaggregation - Section E '!F$618:F3099,MATCH(C2410,' Disaggregation - Section E '!A$618:A3099,0)+1,1)&lt;&gt;0,INDEX(' Disaggregation - Section E '!F$618:F3099,MATCH(C2410,' Disaggregation - Section E '!A$618:A3099,0)+1,1),""),"")</f>
        <v/>
      </c>
      <c r="I2410" s="391" t="str">
        <f ca="1">IFERROR(IF(VLOOKUP(C2410,' Disaggregation - Section E '!A$618:J3099,8,0)=0,"",VLOOKUP(C2410,' Disaggregation - Section E '!A$618:J3099,8,0)),"")</f>
        <v/>
      </c>
      <c r="J2410" s="391" t="str">
        <f ca="1">IFERROR(IF(VLOOKUP(C2410,' Disaggregation - Section E '!A$618:J3099,9,0)="","",VLOOKUP(C2410,' Disaggregation - Section E '!A$618:J3099,9,0)),"")</f>
        <v/>
      </c>
      <c r="K2410" s="387" t="str">
        <f ca="1">IFERROR(VLOOKUP(C2410,' Disaggregation - Section E '!A$618:J3099,3,0),"")</f>
        <v>KVP-2 Number of people with TB (all forms) notified among key affected populations/high risk groups (other than prisoners); *includes only those with new and relapse</v>
      </c>
      <c r="L2410" s="387"/>
      <c r="M2410" s="387" t="str">
        <f ca="1">IFERROR(IF(VLOOKUP(C2410,' Disaggregation - Section E '!A$618:O1422,15,0)=0,"",VLOOKUP(C2410,' Disaggregation - Section E '!A$618:O1422,15,0)),"")</f>
        <v/>
      </c>
      <c r="N2410" s="391" t="str">
        <f ca="1">IFERROR(IF(VLOOKUP(C2410,' Disaggregation - Section E '!A$618:J3099,10,0)=0,"",VLOOKUP(C2410,' Disaggregation - Section E '!A$618:J3099,10,0)),"")</f>
        <v/>
      </c>
      <c r="O2410" s="387"/>
      <c r="P2410" s="387" t="str">
        <f ca="1">IFERROR(IF(VLOOKUP(C2410,' Disaggregation - Section E '!A$618:R1422,18,0)=0,"",VLOOKUP(C2410,' Disaggregation - Section E '!A$618:R1422,18,0)),"")</f>
        <v/>
      </c>
    </row>
    <row r="2411" spans="1:16">
      <c r="A2411" s="387" t="b">
        <f t="shared" ca="1" si="168"/>
        <v>0</v>
      </c>
      <c r="B2411" s="387"/>
      <c r="C2411" s="396" t="str">
        <f ca="1">IF(COUNTA(O$1610:O2411)=1,"",OFFSET(B2409,-COUNTA(O$1610:O2411)+3,1))</f>
        <v>a16Dm000000M3skIAC</v>
      </c>
      <c r="D2411" s="392"/>
      <c r="E2411" s="389" t="str">
        <f ca="1">IFERROR(IF(VLOOKUP(C2411,' Disaggregation - Section E '!A$618:J3100,7,0)="","",VLOOKUP(C2411,' Disaggregation - Section E '!A$618:J3100,7,0)*100),"")</f>
        <v/>
      </c>
      <c r="F2411" s="391" t="str">
        <f ca="1">IFERROR(VLOOKUP(C2411,' Disaggregation - Section E '!A$618:J3100,5,0),"")</f>
        <v/>
      </c>
      <c r="G2411" s="390" t="str">
        <f ca="1">IFERROR(IF(VLOOKUP(C2411,' Disaggregation - Section E '!A$618:J3100,6,0)="","",VLOOKUP(C2411,' Disaggregation - Section E '!A$618:J3100,6,0)),"")</f>
        <v/>
      </c>
      <c r="H2411" s="390" t="str">
        <f ca="1">IFERROR(IF(INDEX(' Disaggregation - Section E '!F$618:F3100,MATCH(C2411,' Disaggregation - Section E '!A$618:A3100,0)+1,1)&lt;&gt;0,INDEX(' Disaggregation - Section E '!F$618:F3100,MATCH(C2411,' Disaggregation - Section E '!A$618:A3100,0)+1,1),""),"")</f>
        <v/>
      </c>
      <c r="I2411" s="391" t="str">
        <f ca="1">IFERROR(IF(VLOOKUP(C2411,' Disaggregation - Section E '!A$618:J3100,8,0)=0,"",VLOOKUP(C2411,' Disaggregation - Section E '!A$618:J3100,8,0)),"")</f>
        <v/>
      </c>
      <c r="J2411" s="391" t="str">
        <f ca="1">IFERROR(IF(VLOOKUP(C2411,' Disaggregation - Section E '!A$618:J3100,9,0)="","",VLOOKUP(C2411,' Disaggregation - Section E '!A$618:J3100,9,0)),"")</f>
        <v/>
      </c>
      <c r="K2411" s="387" t="str">
        <f ca="1">IFERROR(VLOOKUP(C2411,' Disaggregation - Section E '!A$618:J3100,3,0),"")</f>
        <v>KVP-2 Number of people with TB (all forms) notified among key affected populations/high risk groups (other than prisoners); *includes only those with new and relapse</v>
      </c>
      <c r="L2411" s="387"/>
      <c r="M2411" s="387" t="str">
        <f ca="1">IFERROR(IF(VLOOKUP(C2411,' Disaggregation - Section E '!A$618:O1423,15,0)=0,"",VLOOKUP(C2411,' Disaggregation - Section E '!A$618:O1423,15,0)),"")</f>
        <v/>
      </c>
      <c r="N2411" s="391" t="str">
        <f ca="1">IFERROR(IF(VLOOKUP(C2411,' Disaggregation - Section E '!A$618:J3100,10,0)=0,"",VLOOKUP(C2411,' Disaggregation - Section E '!A$618:J3100,10,0)),"")</f>
        <v/>
      </c>
      <c r="O2411" s="387"/>
      <c r="P2411" s="387" t="str">
        <f ca="1">IFERROR(IF(VLOOKUP(C2411,' Disaggregation - Section E '!A$618:R1423,18,0)=0,"",VLOOKUP(C2411,' Disaggregation - Section E '!A$618:R1423,18,0)),"")</f>
        <v/>
      </c>
    </row>
    <row r="2412" spans="1:16">
      <c r="A2412" s="387" t="b">
        <f t="shared" ca="1" si="168"/>
        <v>1</v>
      </c>
      <c r="B2412" s="387"/>
      <c r="C2412" s="396" t="str">
        <f ca="1">IF(COUNTA(O$1610:O2412)=1,"",OFFSET(B2410,-COUNTA(O$1610:O2412)+3,1))</f>
        <v>a16Dm000000M3slIAC</v>
      </c>
      <c r="D2412" s="392"/>
      <c r="E2412" s="389" t="str">
        <f ca="1">IFERROR(IF(VLOOKUP(C2412,' Disaggregation - Section E '!A$618:J3101,7,0)="","",VLOOKUP(C2412,' Disaggregation - Section E '!A$618:J3101,7,0)*100),"")</f>
        <v/>
      </c>
      <c r="F2412" s="391" t="str">
        <f ca="1">IFERROR(VLOOKUP(C2412,' Disaggregation - Section E '!A$618:J3101,5,0),"")</f>
        <v>15+</v>
      </c>
      <c r="G2412" s="390" t="str">
        <f ca="1">IFERROR(IF(VLOOKUP(C2412,' Disaggregation - Section E '!A$618:J3101,6,0)="","",VLOOKUP(C2412,' Disaggregation - Section E '!A$618:J3101,6,0)),"")</f>
        <v/>
      </c>
      <c r="H2412" s="390" t="str">
        <f ca="1">IFERROR(IF(INDEX(' Disaggregation - Section E '!F$618:F3101,MATCH(C2412,' Disaggregation - Section E '!A$618:A3101,0)+1,1)&lt;&gt;0,INDEX(' Disaggregation - Section E '!F$618:F3101,MATCH(C2412,' Disaggregation - Section E '!A$618:A3101,0)+1,1),""),"")</f>
        <v/>
      </c>
      <c r="I2412" s="391" t="str">
        <f ca="1">IFERROR(IF(VLOOKUP(C2412,' Disaggregation - Section E '!A$618:J3101,8,0)=0,"",VLOOKUP(C2412,' Disaggregation - Section E '!A$618:J3101,8,0)),"")</f>
        <v/>
      </c>
      <c r="J2412" s="391" t="str">
        <f ca="1">IFERROR(IF(VLOOKUP(C2412,' Disaggregation - Section E '!A$618:J3101,9,0)="","",VLOOKUP(C2412,' Disaggregation - Section E '!A$618:J3101,9,0)),"")</f>
        <v>Not available</v>
      </c>
      <c r="K2412" s="387" t="str">
        <f ca="1">IFERROR(VLOOKUP(C2412,' Disaggregation - Section E '!A$618:J3101,3,0),"")</f>
        <v>TB/HIV-5 Percentage of registered new and relapse TB patients with documented HIV status</v>
      </c>
      <c r="L2412" s="387"/>
      <c r="M2412" s="387" t="str">
        <f ca="1">IFERROR(IF(VLOOKUP(C2412,' Disaggregation - Section E '!A$618:O1424,15,0)=0,"",VLOOKUP(C2412,' Disaggregation - Section E '!A$618:O1424,15,0)),"")</f>
        <v>IDR-01356</v>
      </c>
      <c r="N2412" s="391" t="str">
        <f ca="1">IFERROR(IF(VLOOKUP(C2412,' Disaggregation - Section E '!A$618:J3101,10,0)=0,"",VLOOKUP(C2412,' Disaggregation - Section E '!A$618:J3101,10,0)),"")</f>
        <v>Data not available because the NTP quarterly reporting form does not allow reporting on this indicator</v>
      </c>
      <c r="O2412" s="387"/>
      <c r="P2412" s="387" t="str">
        <f ca="1">IFERROR(IF(VLOOKUP(C2412,' Disaggregation - Section E '!A$618:R1424,18,0)=0,"",VLOOKUP(C2412,' Disaggregation - Section E '!A$618:R1424,18,0)),"")</f>
        <v>a1LDm000000Cb4cMAC</v>
      </c>
    </row>
    <row r="2413" spans="1:16">
      <c r="A2413" s="387" t="b">
        <f t="shared" ca="1" si="168"/>
        <v>1</v>
      </c>
      <c r="B2413" s="387"/>
      <c r="C2413" s="396" t="str">
        <f ca="1">IF(COUNTA(O$1610:O2413)=1,"",OFFSET(B2411,-COUNTA(O$1610:O2413)+3,1))</f>
        <v>a16Dm000000M3smIAC</v>
      </c>
      <c r="D2413" s="392"/>
      <c r="E2413" s="389" t="str">
        <f ca="1">IFERROR(IF(VLOOKUP(C2413,' Disaggregation - Section E '!A$618:J3102,7,0)="","",VLOOKUP(C2413,' Disaggregation - Section E '!A$618:J3102,7,0)*100),"")</f>
        <v/>
      </c>
      <c r="F2413" s="391" t="str">
        <f ca="1">IFERROR(VLOOKUP(C2413,' Disaggregation - Section E '!A$618:J3102,5,0),"")</f>
        <v>Unknown</v>
      </c>
      <c r="G2413" s="390" t="str">
        <f ca="1">IFERROR(IF(VLOOKUP(C2413,' Disaggregation - Section E '!A$618:J3102,6,0)="","",VLOOKUP(C2413,' Disaggregation - Section E '!A$618:J3102,6,0)),"")</f>
        <v/>
      </c>
      <c r="H2413" s="390" t="str">
        <f ca="1">IFERROR(IF(INDEX(' Disaggregation - Section E '!F$618:F3102,MATCH(C2413,' Disaggregation - Section E '!A$618:A3102,0)+1,1)&lt;&gt;0,INDEX(' Disaggregation - Section E '!F$618:F3102,MATCH(C2413,' Disaggregation - Section E '!A$618:A3102,0)+1,1),""),"")</f>
        <v/>
      </c>
      <c r="I2413" s="391" t="str">
        <f ca="1">IFERROR(IF(VLOOKUP(C2413,' Disaggregation - Section E '!A$618:J3102,8,0)=0,"",VLOOKUP(C2413,' Disaggregation - Section E '!A$618:J3102,8,0)),"")</f>
        <v/>
      </c>
      <c r="J2413" s="391" t="str">
        <f ca="1">IFERROR(IF(VLOOKUP(C2413,' Disaggregation - Section E '!A$618:J3102,9,0)="","",VLOOKUP(C2413,' Disaggregation - Section E '!A$618:J3102,9,0)),"")</f>
        <v>Not available</v>
      </c>
      <c r="K2413" s="387" t="str">
        <f ca="1">IFERROR(VLOOKUP(C2413,' Disaggregation - Section E '!A$618:J3102,3,0),"")</f>
        <v>TB/HIV-5 Percentage of registered new and relapse TB patients with documented HIV status</v>
      </c>
      <c r="L2413" s="387"/>
      <c r="M2413" s="387" t="str">
        <f ca="1">IFERROR(IF(VLOOKUP(C2413,' Disaggregation - Section E '!A$618:O1425,15,0)=0,"",VLOOKUP(C2413,' Disaggregation - Section E '!A$618:O1425,15,0)),"")</f>
        <v>IDR-01355</v>
      </c>
      <c r="N2413" s="391" t="str">
        <f ca="1">IFERROR(IF(VLOOKUP(C2413,' Disaggregation - Section E '!A$618:J3102,10,0)=0,"",VLOOKUP(C2413,' Disaggregation - Section E '!A$618:J3102,10,0)),"")</f>
        <v>Data not available because the NTP quarterly reporting form does not allow reporting on this indicator</v>
      </c>
      <c r="O2413" s="387"/>
      <c r="P2413" s="387" t="str">
        <f ca="1">IFERROR(IF(VLOOKUP(C2413,' Disaggregation - Section E '!A$618:R1425,18,0)=0,"",VLOOKUP(C2413,' Disaggregation - Section E '!A$618:R1425,18,0)),"")</f>
        <v>a1LDm000000Cb4bMAC</v>
      </c>
    </row>
    <row r="2414" spans="1:16">
      <c r="A2414" s="387" t="b">
        <f t="shared" ca="1" si="168"/>
        <v>1</v>
      </c>
      <c r="B2414" s="387"/>
      <c r="C2414" s="396" t="str">
        <f ca="1">IF(COUNTA(O$1610:O2414)=1,"",OFFSET(B2412,-COUNTA(O$1610:O2414)+3,1))</f>
        <v>a16Dm000000M3snIAC</v>
      </c>
      <c r="D2414" s="392"/>
      <c r="E2414" s="389" t="str">
        <f ca="1">IFERROR(IF(VLOOKUP(C2414,' Disaggregation - Section E '!A$618:J3103,7,0)="","",VLOOKUP(C2414,' Disaggregation - Section E '!A$618:J3103,7,0)*100),"")</f>
        <v/>
      </c>
      <c r="F2414" s="391" t="str">
        <f ca="1">IFERROR(VLOOKUP(C2414,' Disaggregation - Section E '!A$618:J3103,5,0),"")</f>
        <v>Male</v>
      </c>
      <c r="G2414" s="390" t="str">
        <f ca="1">IFERROR(IF(VLOOKUP(C2414,' Disaggregation - Section E '!A$618:J3103,6,0)="","",VLOOKUP(C2414,' Disaggregation - Section E '!A$618:J3103,6,0)),"")</f>
        <v/>
      </c>
      <c r="H2414" s="390" t="str">
        <f ca="1">IFERROR(IF(INDEX(' Disaggregation - Section E '!F$618:F3103,MATCH(C2414,' Disaggregation - Section E '!A$618:A3103,0)+1,1)&lt;&gt;0,INDEX(' Disaggregation - Section E '!F$618:F3103,MATCH(C2414,' Disaggregation - Section E '!A$618:A3103,0)+1,1),""),"")</f>
        <v/>
      </c>
      <c r="I2414" s="391" t="str">
        <f ca="1">IFERROR(IF(VLOOKUP(C2414,' Disaggregation - Section E '!A$618:J3103,8,0)=0,"",VLOOKUP(C2414,' Disaggregation - Section E '!A$618:J3103,8,0)),"")</f>
        <v/>
      </c>
      <c r="J2414" s="391" t="str">
        <f ca="1">IFERROR(IF(VLOOKUP(C2414,' Disaggregation - Section E '!A$618:J3103,9,0)="","",VLOOKUP(C2414,' Disaggregation - Section E '!A$618:J3103,9,0)),"")</f>
        <v>Not available</v>
      </c>
      <c r="K2414" s="387" t="str">
        <f ca="1">IFERROR(VLOOKUP(C2414,' Disaggregation - Section E '!A$618:J3103,3,0),"")</f>
        <v>TB/HIV-5 Percentage of registered new and relapse TB patients with documented HIV status</v>
      </c>
      <c r="L2414" s="387"/>
      <c r="M2414" s="387" t="str">
        <f ca="1">IFERROR(IF(VLOOKUP(C2414,' Disaggregation - Section E '!A$618:O1426,15,0)=0,"",VLOOKUP(C2414,' Disaggregation - Section E '!A$618:O1426,15,0)),"")</f>
        <v>IDR-01354</v>
      </c>
      <c r="N2414" s="391" t="str">
        <f ca="1">IFERROR(IF(VLOOKUP(C2414,' Disaggregation - Section E '!A$618:J3103,10,0)=0,"",VLOOKUP(C2414,' Disaggregation - Section E '!A$618:J3103,10,0)),"")</f>
        <v>Data not available because the NTP quarterly reporting form does not allow reporting on this indicator</v>
      </c>
      <c r="O2414" s="387"/>
      <c r="P2414" s="387" t="str">
        <f ca="1">IFERROR(IF(VLOOKUP(C2414,' Disaggregation - Section E '!A$618:R1426,18,0)=0,"",VLOOKUP(C2414,' Disaggregation - Section E '!A$618:R1426,18,0)),"")</f>
        <v>a1LDm000000Cb4aMAC</v>
      </c>
    </row>
    <row r="2415" spans="1:16">
      <c r="A2415" s="387" t="b">
        <f t="shared" ca="1" si="168"/>
        <v>1</v>
      </c>
      <c r="B2415" s="387"/>
      <c r="C2415" s="396" t="str">
        <f ca="1">IF(COUNTA(O$1610:O2415)=1,"",OFFSET(B2413,-COUNTA(O$1610:O2415)+3,1))</f>
        <v>a16Dm000000M3soIAC</v>
      </c>
      <c r="D2415" s="392"/>
      <c r="E2415" s="389">
        <f ca="1">IFERROR(IF(VLOOKUP(C2415,' Disaggregation - Section E '!A$618:J3104,7,0)="","",VLOOKUP(C2415,' Disaggregation - Section E '!A$618:J3104,7,0)*100),"")</f>
        <v>91.994708234561699</v>
      </c>
      <c r="F2415" s="391" t="str">
        <f ca="1">IFERROR(VLOOKUP(C2415,' Disaggregation - Section E '!A$618:J3104,5,0),"")</f>
        <v>Negative</v>
      </c>
      <c r="G2415" s="390">
        <f ca="1">IFERROR(IF(VLOOKUP(C2415,' Disaggregation - Section E '!A$618:J3104,6,0)="","",VLOOKUP(C2415,' Disaggregation - Section E '!A$618:J3104,6,0)),"")</f>
        <v>153679</v>
      </c>
      <c r="H2415" s="390">
        <f ca="1">IFERROR(IF(INDEX(' Disaggregation - Section E '!F$618:F3104,MATCH(C2415,' Disaggregation - Section E '!A$618:A3104,0)+1,1)&lt;&gt;0,INDEX(' Disaggregation - Section E '!F$618:F3104,MATCH(C2415,' Disaggregation - Section E '!A$618:A3104,0)+1,1),""),"")</f>
        <v>167052</v>
      </c>
      <c r="I2415" s="391" t="str">
        <f ca="1">IFERROR(IF(VLOOKUP(C2415,' Disaggregation - Section E '!A$618:J3104,8,0)=0,"",VLOOKUP(C2415,' Disaggregation - Section E '!A$618:J3104,8,0)),"")</f>
        <v/>
      </c>
      <c r="J2415" s="391" t="str">
        <f ca="1">IFERROR(IF(VLOOKUP(C2415,' Disaggregation - Section E '!A$618:J3104,9,0)="","",VLOOKUP(C2415,' Disaggregation - Section E '!A$618:J3104,9,0)),"")</f>
        <v>WHO TB Global Report 2022</v>
      </c>
      <c r="K2415" s="387" t="str">
        <f ca="1">IFERROR(VLOOKUP(C2415,' Disaggregation - Section E '!A$618:J3104,3,0),"")</f>
        <v>TB/HIV-5 Percentage of registered new and relapse TB patients with documented HIV status</v>
      </c>
      <c r="L2415" s="387"/>
      <c r="M2415" s="387" t="str">
        <f ca="1">IFERROR(IF(VLOOKUP(C2415,' Disaggregation - Section E '!A$618:O1427,15,0)=0,"",VLOOKUP(C2415,' Disaggregation - Section E '!A$618:O1427,15,0)),"")</f>
        <v>IDR-01353</v>
      </c>
      <c r="N2415" s="391" t="str">
        <f ca="1">IFERROR(IF(VLOOKUP(C2415,' Disaggregation - Section E '!A$618:J3104,10,0)=0,"",VLOOKUP(C2415,' Disaggregation - Section E '!A$618:J3104,10,0)),"")</f>
        <v>Percentage of HIV-negative TB patients registered (new  and relapse cases) with documented HIV status</v>
      </c>
      <c r="O2415" s="387"/>
      <c r="P2415" s="387" t="str">
        <f ca="1">IFERROR(IF(VLOOKUP(C2415,' Disaggregation - Section E '!A$618:R1427,18,0)=0,"",VLOOKUP(C2415,' Disaggregation - Section E '!A$618:R1427,18,0)),"")</f>
        <v>a1LDm000000Cb4ZMAS</v>
      </c>
    </row>
    <row r="2416" spans="1:16">
      <c r="A2416" s="387" t="b">
        <f t="shared" ca="1" si="168"/>
        <v>1</v>
      </c>
      <c r="B2416" s="387"/>
      <c r="C2416" s="396" t="str">
        <f ca="1">IF(COUNTA(O$1610:O2416)=1,"",OFFSET(B2414,-COUNTA(O$1610:O2416)+3,1))</f>
        <v>a16Dm000000M3spIAC</v>
      </c>
      <c r="D2416" s="392"/>
      <c r="E2416" s="389" t="str">
        <f ca="1">IFERROR(IF(VLOOKUP(C2416,' Disaggregation - Section E '!A$618:J3105,7,0)="","",VLOOKUP(C2416,' Disaggregation - Section E '!A$618:J3105,7,0)*100),"")</f>
        <v/>
      </c>
      <c r="F2416" s="391" t="str">
        <f ca="1">IFERROR(VLOOKUP(C2416,' Disaggregation - Section E '!A$618:J3105,5,0),"")</f>
        <v>5-14</v>
      </c>
      <c r="G2416" s="390" t="str">
        <f ca="1">IFERROR(IF(VLOOKUP(C2416,' Disaggregation - Section E '!A$618:J3105,6,0)="","",VLOOKUP(C2416,' Disaggregation - Section E '!A$618:J3105,6,0)),"")</f>
        <v/>
      </c>
      <c r="H2416" s="390" t="str">
        <f ca="1">IFERROR(IF(INDEX(' Disaggregation - Section E '!F$618:F3105,MATCH(C2416,' Disaggregation - Section E '!A$618:A3105,0)+1,1)&lt;&gt;0,INDEX(' Disaggregation - Section E '!F$618:F3105,MATCH(C2416,' Disaggregation - Section E '!A$618:A3105,0)+1,1),""),"")</f>
        <v/>
      </c>
      <c r="I2416" s="391" t="str">
        <f ca="1">IFERROR(IF(VLOOKUP(C2416,' Disaggregation - Section E '!A$618:J3105,8,0)=0,"",VLOOKUP(C2416,' Disaggregation - Section E '!A$618:J3105,8,0)),"")</f>
        <v/>
      </c>
      <c r="J2416" s="391" t="str">
        <f ca="1">IFERROR(IF(VLOOKUP(C2416,' Disaggregation - Section E '!A$618:J3105,9,0)="","",VLOOKUP(C2416,' Disaggregation - Section E '!A$618:J3105,9,0)),"")</f>
        <v>Not available</v>
      </c>
      <c r="K2416" s="387" t="str">
        <f ca="1">IFERROR(VLOOKUP(C2416,' Disaggregation - Section E '!A$618:J3105,3,0),"")</f>
        <v>TB/HIV-5 Percentage of registered new and relapse TB patients with documented HIV status</v>
      </c>
      <c r="L2416" s="387"/>
      <c r="M2416" s="387" t="str">
        <f ca="1">IFERROR(IF(VLOOKUP(C2416,' Disaggregation - Section E '!A$618:O1428,15,0)=0,"",VLOOKUP(C2416,' Disaggregation - Section E '!A$618:O1428,15,0)),"")</f>
        <v>IDR-01352</v>
      </c>
      <c r="N2416" s="391" t="str">
        <f ca="1">IFERROR(IF(VLOOKUP(C2416,' Disaggregation - Section E '!A$618:J3105,10,0)=0,"",VLOOKUP(C2416,' Disaggregation - Section E '!A$618:J3105,10,0)),"")</f>
        <v>Data not available because the NTP quarterly reporting form does not allow reporting on this indicator</v>
      </c>
      <c r="O2416" s="387"/>
      <c r="P2416" s="387" t="str">
        <f ca="1">IFERROR(IF(VLOOKUP(C2416,' Disaggregation - Section E '!A$618:R1428,18,0)=0,"",VLOOKUP(C2416,' Disaggregation - Section E '!A$618:R1428,18,0)),"")</f>
        <v>a1LDm000000Cb4YMAS</v>
      </c>
    </row>
    <row r="2417" spans="1:16">
      <c r="A2417" s="387" t="b">
        <f t="shared" ca="1" si="168"/>
        <v>1</v>
      </c>
      <c r="B2417" s="387"/>
      <c r="C2417" s="396" t="str">
        <f ca="1">IF(COUNTA(O$1610:O2417)=1,"",OFFSET(B2415,-COUNTA(O$1610:O2417)+3,1))</f>
        <v>a16Dm000000M3sqIAC</v>
      </c>
      <c r="D2417" s="392"/>
      <c r="E2417" s="389" t="str">
        <f ca="1">IFERROR(IF(VLOOKUP(C2417,' Disaggregation - Section E '!A$618:J3106,7,0)="","",VLOOKUP(C2417,' Disaggregation - Section E '!A$618:J3106,7,0)*100),"")</f>
        <v/>
      </c>
      <c r="F2417" s="391" t="str">
        <f ca="1">IFERROR(VLOOKUP(C2417,' Disaggregation - Section E '!A$618:J3106,5,0),"")</f>
        <v>&lt;5</v>
      </c>
      <c r="G2417" s="390" t="str">
        <f ca="1">IFERROR(IF(VLOOKUP(C2417,' Disaggregation - Section E '!A$618:J3106,6,0)="","",VLOOKUP(C2417,' Disaggregation - Section E '!A$618:J3106,6,0)),"")</f>
        <v/>
      </c>
      <c r="H2417" s="390" t="str">
        <f ca="1">IFERROR(IF(INDEX(' Disaggregation - Section E '!F$618:F3106,MATCH(C2417,' Disaggregation - Section E '!A$618:A3106,0)+1,1)&lt;&gt;0,INDEX(' Disaggregation - Section E '!F$618:F3106,MATCH(C2417,' Disaggregation - Section E '!A$618:A3106,0)+1,1),""),"")</f>
        <v/>
      </c>
      <c r="I2417" s="391" t="str">
        <f ca="1">IFERROR(IF(VLOOKUP(C2417,' Disaggregation - Section E '!A$618:J3106,8,0)=0,"",VLOOKUP(C2417,' Disaggregation - Section E '!A$618:J3106,8,0)),"")</f>
        <v/>
      </c>
      <c r="J2417" s="391" t="str">
        <f ca="1">IFERROR(IF(VLOOKUP(C2417,' Disaggregation - Section E '!A$618:J3106,9,0)="","",VLOOKUP(C2417,' Disaggregation - Section E '!A$618:J3106,9,0)),"")</f>
        <v>Not available</v>
      </c>
      <c r="K2417" s="387" t="str">
        <f ca="1">IFERROR(VLOOKUP(C2417,' Disaggregation - Section E '!A$618:J3106,3,0),"")</f>
        <v>TB/HIV-5 Percentage of registered new and relapse TB patients with documented HIV status</v>
      </c>
      <c r="L2417" s="387"/>
      <c r="M2417" s="387" t="str">
        <f ca="1">IFERROR(IF(VLOOKUP(C2417,' Disaggregation - Section E '!A$618:O1429,15,0)=0,"",VLOOKUP(C2417,' Disaggregation - Section E '!A$618:O1429,15,0)),"")</f>
        <v>IDR-01351</v>
      </c>
      <c r="N2417" s="391" t="str">
        <f ca="1">IFERROR(IF(VLOOKUP(C2417,' Disaggregation - Section E '!A$618:J3106,10,0)=0,"",VLOOKUP(C2417,' Disaggregation - Section E '!A$618:J3106,10,0)),"")</f>
        <v>Data not available because the NTP quarterly reporting form does not allow reporting on this indicator</v>
      </c>
      <c r="O2417" s="387"/>
      <c r="P2417" s="387" t="str">
        <f ca="1">IFERROR(IF(VLOOKUP(C2417,' Disaggregation - Section E '!A$618:R1429,18,0)=0,"",VLOOKUP(C2417,' Disaggregation - Section E '!A$618:R1429,18,0)),"")</f>
        <v>a1LDm000000Cb4XMAS</v>
      </c>
    </row>
    <row r="2418" spans="1:16">
      <c r="A2418" s="387" t="b">
        <f t="shared" ca="1" si="168"/>
        <v>1</v>
      </c>
      <c r="B2418" s="387"/>
      <c r="C2418" s="396" t="str">
        <f ca="1">IF(COUNTA(O$1610:O2418)=1,"",OFFSET(B2416,-COUNTA(O$1610:O2418)+3,1))</f>
        <v>a16Dm000000M3srIAC</v>
      </c>
      <c r="D2418" s="392"/>
      <c r="E2418" s="389">
        <f ca="1">IFERROR(IF(VLOOKUP(C2418,' Disaggregation - Section E '!A$618:J3107,7,0)="","",VLOOKUP(C2418,' Disaggregation - Section E '!A$618:J3107,7,0)*100),"")</f>
        <v>8.0052917654383062</v>
      </c>
      <c r="F2418" s="391" t="str">
        <f ca="1">IFERROR(VLOOKUP(C2418,' Disaggregation - Section E '!A$618:J3107,5,0),"")</f>
        <v>Positive</v>
      </c>
      <c r="G2418" s="390">
        <f ca="1">IFERROR(IF(VLOOKUP(C2418,' Disaggregation - Section E '!A$618:J3107,6,0)="","",VLOOKUP(C2418,' Disaggregation - Section E '!A$618:J3107,6,0)),"")</f>
        <v>13373</v>
      </c>
      <c r="H2418" s="390">
        <f ca="1">IFERROR(IF(INDEX(' Disaggregation - Section E '!F$618:F3107,MATCH(C2418,' Disaggregation - Section E '!A$618:A3107,0)+1,1)&lt;&gt;0,INDEX(' Disaggregation - Section E '!F$618:F3107,MATCH(C2418,' Disaggregation - Section E '!A$618:A3107,0)+1,1),""),"")</f>
        <v>167052</v>
      </c>
      <c r="I2418" s="391">
        <f ca="1">IFERROR(IF(VLOOKUP(C2418,' Disaggregation - Section E '!A$618:J3107,8,0)=0,"",VLOOKUP(C2418,' Disaggregation - Section E '!A$618:J3107,8,0)),"")</f>
        <v>2021</v>
      </c>
      <c r="J2418" s="391" t="str">
        <f ca="1">IFERROR(IF(VLOOKUP(C2418,' Disaggregation - Section E '!A$618:J3107,9,0)="","",VLOOKUP(C2418,' Disaggregation - Section E '!A$618:J3107,9,0)),"")</f>
        <v>WHO TB Global Report 2022</v>
      </c>
      <c r="K2418" s="387" t="str">
        <f ca="1">IFERROR(VLOOKUP(C2418,' Disaggregation - Section E '!A$618:J3107,3,0),"")</f>
        <v>TB/HIV-5 Percentage of registered new and relapse TB patients with documented HIV status</v>
      </c>
      <c r="L2418" s="387"/>
      <c r="M2418" s="387" t="str">
        <f ca="1">IFERROR(IF(VLOOKUP(C2418,' Disaggregation - Section E '!A$618:O1430,15,0)=0,"",VLOOKUP(C2418,' Disaggregation - Section E '!A$618:O1430,15,0)),"")</f>
        <v>IDR-01350</v>
      </c>
      <c r="N2418" s="391" t="str">
        <f ca="1">IFERROR(IF(VLOOKUP(C2418,' Disaggregation - Section E '!A$618:J3107,10,0)=0,"",VLOOKUP(C2418,' Disaggregation - Section E '!A$618:J3107,10,0)),"")</f>
        <v>Percentage of HIV-positive TB patients registered (new  and relapse cases) with documented HIV status</v>
      </c>
      <c r="O2418" s="387"/>
      <c r="P2418" s="387" t="str">
        <f ca="1">IFERROR(IF(VLOOKUP(C2418,' Disaggregation - Section E '!A$618:R1430,18,0)=0,"",VLOOKUP(C2418,' Disaggregation - Section E '!A$618:R1430,18,0)),"")</f>
        <v>a1LDm000000Cb4WMAS</v>
      </c>
    </row>
    <row r="2419" spans="1:16">
      <c r="A2419" s="387" t="b">
        <f t="shared" ca="1" si="168"/>
        <v>1</v>
      </c>
      <c r="B2419" s="387"/>
      <c r="C2419" s="396" t="str">
        <f ca="1">IF(COUNTA(O$1610:O2419)=1,"",OFFSET(B2417,-COUNTA(O$1610:O2419)+3,1))</f>
        <v>a16Dm000000M3ssIAC</v>
      </c>
      <c r="D2419" s="392"/>
      <c r="E2419" s="389" t="str">
        <f ca="1">IFERROR(IF(VLOOKUP(C2419,' Disaggregation - Section E '!A$618:J3108,7,0)="","",VLOOKUP(C2419,' Disaggregation - Section E '!A$618:J3108,7,0)*100),"")</f>
        <v/>
      </c>
      <c r="F2419" s="391" t="str">
        <f ca="1">IFERROR(VLOOKUP(C2419,' Disaggregation - Section E '!A$618:J3108,5,0),"")</f>
        <v>Female</v>
      </c>
      <c r="G2419" s="390" t="str">
        <f ca="1">IFERROR(IF(VLOOKUP(C2419,' Disaggregation - Section E '!A$618:J3108,6,0)="","",VLOOKUP(C2419,' Disaggregation - Section E '!A$618:J3108,6,0)),"")</f>
        <v/>
      </c>
      <c r="H2419" s="390" t="str">
        <f ca="1">IFERROR(IF(INDEX(' Disaggregation - Section E '!F$618:F3108,MATCH(C2419,' Disaggregation - Section E '!A$618:A3108,0)+1,1)&lt;&gt;0,INDEX(' Disaggregation - Section E '!F$618:F3108,MATCH(C2419,' Disaggregation - Section E '!A$618:A3108,0)+1,1),""),"")</f>
        <v/>
      </c>
      <c r="I2419" s="391" t="str">
        <f ca="1">IFERROR(IF(VLOOKUP(C2419,' Disaggregation - Section E '!A$618:J3108,8,0)=0,"",VLOOKUP(C2419,' Disaggregation - Section E '!A$618:J3108,8,0)),"")</f>
        <v/>
      </c>
      <c r="J2419" s="391" t="str">
        <f ca="1">IFERROR(IF(VLOOKUP(C2419,' Disaggregation - Section E '!A$618:J3108,9,0)="","",VLOOKUP(C2419,' Disaggregation - Section E '!A$618:J3108,9,0)),"")</f>
        <v>Not available</v>
      </c>
      <c r="K2419" s="387" t="str">
        <f ca="1">IFERROR(VLOOKUP(C2419,' Disaggregation - Section E '!A$618:J3108,3,0),"")</f>
        <v>TB/HIV-5 Percentage of registered new and relapse TB patients with documented HIV status</v>
      </c>
      <c r="L2419" s="387"/>
      <c r="M2419" s="387" t="str">
        <f ca="1">IFERROR(IF(VLOOKUP(C2419,' Disaggregation - Section E '!A$618:O1431,15,0)=0,"",VLOOKUP(C2419,' Disaggregation - Section E '!A$618:O1431,15,0)),"")</f>
        <v>IDR-01349</v>
      </c>
      <c r="N2419" s="391" t="str">
        <f ca="1">IFERROR(IF(VLOOKUP(C2419,' Disaggregation - Section E '!A$618:J3108,10,0)=0,"",VLOOKUP(C2419,' Disaggregation - Section E '!A$618:J3108,10,0)),"")</f>
        <v>Data not available because the NTP quarterly reporting form does not allow reporting on this indicator</v>
      </c>
      <c r="O2419" s="387"/>
      <c r="P2419" s="387" t="str">
        <f ca="1">IFERROR(IF(VLOOKUP(C2419,' Disaggregation - Section E '!A$618:R1431,18,0)=0,"",VLOOKUP(C2419,' Disaggregation - Section E '!A$618:R1431,18,0)),"")</f>
        <v>a1LDm000000Cb4VMAS</v>
      </c>
    </row>
    <row r="2420" spans="1:16">
      <c r="A2420" s="387" t="b">
        <f t="shared" ca="1" si="168"/>
        <v>0</v>
      </c>
      <c r="B2420" s="387"/>
      <c r="C2420" s="396" t="str">
        <f ca="1">IF(COUNTA(O$1610:O2420)=1,"",OFFSET(B2418,-COUNTA(O$1610:O2420)+3,1))</f>
        <v>a16Dm000000M3stIAC</v>
      </c>
      <c r="D2420" s="392"/>
      <c r="E2420" s="389" t="str">
        <f ca="1">IFERROR(IF(VLOOKUP(C2420,' Disaggregation - Section E '!A$618:J3109,7,0)="","",VLOOKUP(C2420,' Disaggregation - Section E '!A$618:J3109,7,0)*100),"")</f>
        <v/>
      </c>
      <c r="F2420" s="391" t="str">
        <f ca="1">IFERROR(VLOOKUP(C2420,' Disaggregation - Section E '!A$618:J3109,5,0),"")</f>
        <v/>
      </c>
      <c r="G2420" s="390" t="str">
        <f ca="1">IFERROR(IF(VLOOKUP(C2420,' Disaggregation - Section E '!A$618:J3109,6,0)="","",VLOOKUP(C2420,' Disaggregation - Section E '!A$618:J3109,6,0)),"")</f>
        <v/>
      </c>
      <c r="H2420" s="390" t="str">
        <f ca="1">IFERROR(IF(INDEX(' Disaggregation - Section E '!F$618:F3109,MATCH(C2420,' Disaggregation - Section E '!A$618:A3109,0)+1,1)&lt;&gt;0,INDEX(' Disaggregation - Section E '!F$618:F3109,MATCH(C2420,' Disaggregation - Section E '!A$618:A3109,0)+1,1),""),"")</f>
        <v/>
      </c>
      <c r="I2420" s="391" t="str">
        <f ca="1">IFERROR(IF(VLOOKUP(C2420,' Disaggregation - Section E '!A$618:J3109,8,0)=0,"",VLOOKUP(C2420,' Disaggregation - Section E '!A$618:J3109,8,0)),"")</f>
        <v/>
      </c>
      <c r="J2420" s="391" t="str">
        <f ca="1">IFERROR(IF(VLOOKUP(C2420,' Disaggregation - Section E '!A$618:J3109,9,0)="","",VLOOKUP(C2420,' Disaggregation - Section E '!A$618:J3109,9,0)),"")</f>
        <v/>
      </c>
      <c r="K2420" s="387" t="str">
        <f ca="1">IFERROR(VLOOKUP(C2420,' Disaggregation - Section E '!A$618:J3109,3,0),"")</f>
        <v>TB/HIV-5 Percentage of registered new and relapse TB patients with documented HIV status</v>
      </c>
      <c r="L2420" s="387"/>
      <c r="M2420" s="387" t="str">
        <f ca="1">IFERROR(IF(VLOOKUP(C2420,' Disaggregation - Section E '!A$618:O1432,15,0)=0,"",VLOOKUP(C2420,' Disaggregation - Section E '!A$618:O1432,15,0)),"")</f>
        <v/>
      </c>
      <c r="N2420" s="391" t="str">
        <f ca="1">IFERROR(IF(VLOOKUP(C2420,' Disaggregation - Section E '!A$618:J3109,10,0)=0,"",VLOOKUP(C2420,' Disaggregation - Section E '!A$618:J3109,10,0)),"")</f>
        <v/>
      </c>
      <c r="O2420" s="387"/>
      <c r="P2420" s="387" t="str">
        <f ca="1">IFERROR(IF(VLOOKUP(C2420,' Disaggregation - Section E '!A$618:R1432,18,0)=0,"",VLOOKUP(C2420,' Disaggregation - Section E '!A$618:R1432,18,0)),"")</f>
        <v/>
      </c>
    </row>
    <row r="2421" spans="1:16">
      <c r="A2421" s="387" t="b">
        <f t="shared" ca="1" si="168"/>
        <v>0</v>
      </c>
      <c r="B2421" s="387"/>
      <c r="C2421" s="396" t="str">
        <f ca="1">IF(COUNTA(O$1610:O2421)=1,"",OFFSET(B2419,-COUNTA(O$1610:O2421)+3,1))</f>
        <v>a16Dm000000M3suIAC</v>
      </c>
      <c r="D2421" s="392"/>
      <c r="E2421" s="389" t="str">
        <f ca="1">IFERROR(IF(VLOOKUP(C2421,' Disaggregation - Section E '!A$618:J3110,7,0)="","",VLOOKUP(C2421,' Disaggregation - Section E '!A$618:J3110,7,0)*100),"")</f>
        <v/>
      </c>
      <c r="F2421" s="391" t="str">
        <f ca="1">IFERROR(VLOOKUP(C2421,' Disaggregation - Section E '!A$618:J3110,5,0),"")</f>
        <v/>
      </c>
      <c r="G2421" s="390" t="str">
        <f ca="1">IFERROR(IF(VLOOKUP(C2421,' Disaggregation - Section E '!A$618:J3110,6,0)="","",VLOOKUP(C2421,' Disaggregation - Section E '!A$618:J3110,6,0)),"")</f>
        <v/>
      </c>
      <c r="H2421" s="390" t="str">
        <f ca="1">IFERROR(IF(INDEX(' Disaggregation - Section E '!F$618:F3110,MATCH(C2421,' Disaggregation - Section E '!A$618:A3110,0)+1,1)&lt;&gt;0,INDEX(' Disaggregation - Section E '!F$618:F3110,MATCH(C2421,' Disaggregation - Section E '!A$618:A3110,0)+1,1),""),"")</f>
        <v/>
      </c>
      <c r="I2421" s="391" t="str">
        <f ca="1">IFERROR(IF(VLOOKUP(C2421,' Disaggregation - Section E '!A$618:J3110,8,0)=0,"",VLOOKUP(C2421,' Disaggregation - Section E '!A$618:J3110,8,0)),"")</f>
        <v/>
      </c>
      <c r="J2421" s="391" t="str">
        <f ca="1">IFERROR(IF(VLOOKUP(C2421,' Disaggregation - Section E '!A$618:J3110,9,0)="","",VLOOKUP(C2421,' Disaggregation - Section E '!A$618:J3110,9,0)),"")</f>
        <v/>
      </c>
      <c r="K2421" s="387" t="str">
        <f ca="1">IFERROR(VLOOKUP(C2421,' Disaggregation - Section E '!A$618:J3110,3,0),"")</f>
        <v>TB/HIV-5 Percentage of registered new and relapse TB patients with documented HIV status</v>
      </c>
      <c r="L2421" s="387"/>
      <c r="M2421" s="387" t="str">
        <f ca="1">IFERROR(IF(VLOOKUP(C2421,' Disaggregation - Section E '!A$618:O1433,15,0)=0,"",VLOOKUP(C2421,' Disaggregation - Section E '!A$618:O1433,15,0)),"")</f>
        <v/>
      </c>
      <c r="N2421" s="391" t="str">
        <f ca="1">IFERROR(IF(VLOOKUP(C2421,' Disaggregation - Section E '!A$618:J3110,10,0)=0,"",VLOOKUP(C2421,' Disaggregation - Section E '!A$618:J3110,10,0)),"")</f>
        <v/>
      </c>
      <c r="O2421" s="387"/>
      <c r="P2421" s="387" t="str">
        <f ca="1">IFERROR(IF(VLOOKUP(C2421,' Disaggregation - Section E '!A$618:R1433,18,0)=0,"",VLOOKUP(C2421,' Disaggregation - Section E '!A$618:R1433,18,0)),"")</f>
        <v/>
      </c>
    </row>
    <row r="2422" spans="1:16">
      <c r="A2422" s="387" t="b">
        <f t="shared" ca="1" si="168"/>
        <v>0</v>
      </c>
      <c r="B2422" s="387"/>
      <c r="C2422" s="396" t="str">
        <f ca="1">IF(COUNTA(O$1610:O2422)=1,"",OFFSET(B2420,-COUNTA(O$1610:O2422)+3,1))</f>
        <v>a16Dm000000M3svIAC</v>
      </c>
      <c r="D2422" s="392"/>
      <c r="E2422" s="389" t="str">
        <f ca="1">IFERROR(IF(VLOOKUP(C2422,' Disaggregation - Section E '!A$618:J3111,7,0)="","",VLOOKUP(C2422,' Disaggregation - Section E '!A$618:J3111,7,0)*100),"")</f>
        <v/>
      </c>
      <c r="F2422" s="391" t="str">
        <f ca="1">IFERROR(VLOOKUP(C2422,' Disaggregation - Section E '!A$618:J3111,5,0),"")</f>
        <v/>
      </c>
      <c r="G2422" s="390" t="str">
        <f ca="1">IFERROR(IF(VLOOKUP(C2422,' Disaggregation - Section E '!A$618:J3111,6,0)="","",VLOOKUP(C2422,' Disaggregation - Section E '!A$618:J3111,6,0)),"")</f>
        <v/>
      </c>
      <c r="H2422" s="390" t="str">
        <f ca="1">IFERROR(IF(INDEX(' Disaggregation - Section E '!F$618:F3111,MATCH(C2422,' Disaggregation - Section E '!A$618:A3111,0)+1,1)&lt;&gt;0,INDEX(' Disaggregation - Section E '!F$618:F3111,MATCH(C2422,' Disaggregation - Section E '!A$618:A3111,0)+1,1),""),"")</f>
        <v/>
      </c>
      <c r="I2422" s="391" t="str">
        <f ca="1">IFERROR(IF(VLOOKUP(C2422,' Disaggregation - Section E '!A$618:J3111,8,0)=0,"",VLOOKUP(C2422,' Disaggregation - Section E '!A$618:J3111,8,0)),"")</f>
        <v/>
      </c>
      <c r="J2422" s="391" t="str">
        <f ca="1">IFERROR(IF(VLOOKUP(C2422,' Disaggregation - Section E '!A$618:J3111,9,0)="","",VLOOKUP(C2422,' Disaggregation - Section E '!A$618:J3111,9,0)),"")</f>
        <v/>
      </c>
      <c r="K2422" s="387" t="str">
        <f ca="1">IFERROR(VLOOKUP(C2422,' Disaggregation - Section E '!A$618:J3111,3,0),"")</f>
        <v>TB/HIV-5 Percentage of registered new and relapse TB patients with documented HIV status</v>
      </c>
      <c r="L2422" s="387"/>
      <c r="M2422" s="387" t="str">
        <f ca="1">IFERROR(IF(VLOOKUP(C2422,' Disaggregation - Section E '!A$618:O1434,15,0)=0,"",VLOOKUP(C2422,' Disaggregation - Section E '!A$618:O1434,15,0)),"")</f>
        <v/>
      </c>
      <c r="N2422" s="391" t="str">
        <f ca="1">IFERROR(IF(VLOOKUP(C2422,' Disaggregation - Section E '!A$618:J3111,10,0)=0,"",VLOOKUP(C2422,' Disaggregation - Section E '!A$618:J3111,10,0)),"")</f>
        <v/>
      </c>
      <c r="O2422" s="387"/>
      <c r="P2422" s="387" t="str">
        <f ca="1">IFERROR(IF(VLOOKUP(C2422,' Disaggregation - Section E '!A$618:R1434,18,0)=0,"",VLOOKUP(C2422,' Disaggregation - Section E '!A$618:R1434,18,0)),"")</f>
        <v/>
      </c>
    </row>
    <row r="2423" spans="1:16">
      <c r="A2423" s="387" t="b">
        <f t="shared" ca="1" si="168"/>
        <v>0</v>
      </c>
      <c r="B2423" s="387"/>
      <c r="C2423" s="396" t="str">
        <f ca="1">IF(COUNTA(O$1610:O2423)=1,"",OFFSET(B2421,-COUNTA(O$1610:O2423)+3,1))</f>
        <v>a16Dm000000M3swIAC</v>
      </c>
      <c r="D2423" s="392"/>
      <c r="E2423" s="389" t="str">
        <f ca="1">IFERROR(IF(VLOOKUP(C2423,' Disaggregation - Section E '!A$618:J3112,7,0)="","",VLOOKUP(C2423,' Disaggregation - Section E '!A$618:J3112,7,0)*100),"")</f>
        <v/>
      </c>
      <c r="F2423" s="391" t="str">
        <f ca="1">IFERROR(VLOOKUP(C2423,' Disaggregation - Section E '!A$618:J3112,5,0),"")</f>
        <v/>
      </c>
      <c r="G2423" s="390" t="str">
        <f ca="1">IFERROR(IF(VLOOKUP(C2423,' Disaggregation - Section E '!A$618:J3112,6,0)="","",VLOOKUP(C2423,' Disaggregation - Section E '!A$618:J3112,6,0)),"")</f>
        <v/>
      </c>
      <c r="H2423" s="390" t="str">
        <f ca="1">IFERROR(IF(INDEX(' Disaggregation - Section E '!F$618:F3112,MATCH(C2423,' Disaggregation - Section E '!A$618:A3112,0)+1,1)&lt;&gt;0,INDEX(' Disaggregation - Section E '!F$618:F3112,MATCH(C2423,' Disaggregation - Section E '!A$618:A3112,0)+1,1),""),"")</f>
        <v/>
      </c>
      <c r="I2423" s="391" t="str">
        <f ca="1">IFERROR(IF(VLOOKUP(C2423,' Disaggregation - Section E '!A$618:J3112,8,0)=0,"",VLOOKUP(C2423,' Disaggregation - Section E '!A$618:J3112,8,0)),"")</f>
        <v/>
      </c>
      <c r="J2423" s="391" t="str">
        <f ca="1">IFERROR(IF(VLOOKUP(C2423,' Disaggregation - Section E '!A$618:J3112,9,0)="","",VLOOKUP(C2423,' Disaggregation - Section E '!A$618:J3112,9,0)),"")</f>
        <v/>
      </c>
      <c r="K2423" s="387" t="str">
        <f ca="1">IFERROR(VLOOKUP(C2423,' Disaggregation - Section E '!A$618:J3112,3,0),"")</f>
        <v>TB/HIV-5 Percentage of registered new and relapse TB patients with documented HIV status</v>
      </c>
      <c r="L2423" s="387"/>
      <c r="M2423" s="387" t="str">
        <f ca="1">IFERROR(IF(VLOOKUP(C2423,' Disaggregation - Section E '!A$618:O1435,15,0)=0,"",VLOOKUP(C2423,' Disaggregation - Section E '!A$618:O1435,15,0)),"")</f>
        <v/>
      </c>
      <c r="N2423" s="391" t="str">
        <f ca="1">IFERROR(IF(VLOOKUP(C2423,' Disaggregation - Section E '!A$618:J3112,10,0)=0,"",VLOOKUP(C2423,' Disaggregation - Section E '!A$618:J3112,10,0)),"")</f>
        <v/>
      </c>
      <c r="O2423" s="387"/>
      <c r="P2423" s="387" t="str">
        <f ca="1">IFERROR(IF(VLOOKUP(C2423,' Disaggregation - Section E '!A$618:R1435,18,0)=0,"",VLOOKUP(C2423,' Disaggregation - Section E '!A$618:R1435,18,0)),"")</f>
        <v/>
      </c>
    </row>
    <row r="2424" spans="1:16">
      <c r="A2424" s="387" t="b">
        <f t="shared" ca="1" si="168"/>
        <v>0</v>
      </c>
      <c r="B2424" s="387"/>
      <c r="C2424" s="396" t="str">
        <f ca="1">IF(COUNTA(O$1610:O2424)=1,"",OFFSET(B2422,-COUNTA(O$1610:O2424)+3,1))</f>
        <v>a16Dm000000M3sxIAC</v>
      </c>
      <c r="D2424" s="392"/>
      <c r="E2424" s="389" t="str">
        <f ca="1">IFERROR(IF(VLOOKUP(C2424,' Disaggregation - Section E '!A$618:J3113,7,0)="","",VLOOKUP(C2424,' Disaggregation - Section E '!A$618:J3113,7,0)*100),"")</f>
        <v/>
      </c>
      <c r="F2424" s="391" t="str">
        <f ca="1">IFERROR(VLOOKUP(C2424,' Disaggregation - Section E '!A$618:J3113,5,0),"")</f>
        <v/>
      </c>
      <c r="G2424" s="390" t="str">
        <f ca="1">IFERROR(IF(VLOOKUP(C2424,' Disaggregation - Section E '!A$618:J3113,6,0)="","",VLOOKUP(C2424,' Disaggregation - Section E '!A$618:J3113,6,0)),"")</f>
        <v/>
      </c>
      <c r="H2424" s="390" t="str">
        <f ca="1">IFERROR(IF(INDEX(' Disaggregation - Section E '!F$618:F3113,MATCH(C2424,' Disaggregation - Section E '!A$618:A3113,0)+1,1)&lt;&gt;0,INDEX(' Disaggregation - Section E '!F$618:F3113,MATCH(C2424,' Disaggregation - Section E '!A$618:A3113,0)+1,1),""),"")</f>
        <v/>
      </c>
      <c r="I2424" s="391" t="str">
        <f ca="1">IFERROR(IF(VLOOKUP(C2424,' Disaggregation - Section E '!A$618:J3113,8,0)=0,"",VLOOKUP(C2424,' Disaggregation - Section E '!A$618:J3113,8,0)),"")</f>
        <v/>
      </c>
      <c r="J2424" s="391" t="str">
        <f ca="1">IFERROR(IF(VLOOKUP(C2424,' Disaggregation - Section E '!A$618:J3113,9,0)="","",VLOOKUP(C2424,' Disaggregation - Section E '!A$618:J3113,9,0)),"")</f>
        <v/>
      </c>
      <c r="K2424" s="387" t="str">
        <f ca="1">IFERROR(VLOOKUP(C2424,' Disaggregation - Section E '!A$618:J3113,3,0),"")</f>
        <v>TB/HIV-5 Percentage of registered new and relapse TB patients with documented HIV status</v>
      </c>
      <c r="L2424" s="387"/>
      <c r="M2424" s="387" t="str">
        <f ca="1">IFERROR(IF(VLOOKUP(C2424,' Disaggregation - Section E '!A$618:O1436,15,0)=0,"",VLOOKUP(C2424,' Disaggregation - Section E '!A$618:O1436,15,0)),"")</f>
        <v/>
      </c>
      <c r="N2424" s="391" t="str">
        <f ca="1">IFERROR(IF(VLOOKUP(C2424,' Disaggregation - Section E '!A$618:J3113,10,0)=0,"",VLOOKUP(C2424,' Disaggregation - Section E '!A$618:J3113,10,0)),"")</f>
        <v/>
      </c>
      <c r="O2424" s="387"/>
      <c r="P2424" s="387" t="str">
        <f ca="1">IFERROR(IF(VLOOKUP(C2424,' Disaggregation - Section E '!A$618:R1436,18,0)=0,"",VLOOKUP(C2424,' Disaggregation - Section E '!A$618:R1436,18,0)),"")</f>
        <v/>
      </c>
    </row>
    <row r="2425" spans="1:16">
      <c r="A2425" s="387" t="b">
        <f t="shared" ca="1" si="168"/>
        <v>0</v>
      </c>
      <c r="B2425" s="387"/>
      <c r="C2425" s="396" t="str">
        <f ca="1">IF(COUNTA(O$1610:O2425)=1,"",OFFSET(B2423,-COUNTA(O$1610:O2425)+3,1))</f>
        <v>a16Dm000000M3syIAC</v>
      </c>
      <c r="D2425" s="392"/>
      <c r="E2425" s="389" t="str">
        <f ca="1">IFERROR(IF(VLOOKUP(C2425,' Disaggregation - Section E '!A$618:J3114,7,0)="","",VLOOKUP(C2425,' Disaggregation - Section E '!A$618:J3114,7,0)*100),"")</f>
        <v/>
      </c>
      <c r="F2425" s="391" t="str">
        <f ca="1">IFERROR(VLOOKUP(C2425,' Disaggregation - Section E '!A$618:J3114,5,0),"")</f>
        <v/>
      </c>
      <c r="G2425" s="390" t="str">
        <f ca="1">IFERROR(IF(VLOOKUP(C2425,' Disaggregation - Section E '!A$618:J3114,6,0)="","",VLOOKUP(C2425,' Disaggregation - Section E '!A$618:J3114,6,0)),"")</f>
        <v/>
      </c>
      <c r="H2425" s="390" t="str">
        <f ca="1">IFERROR(IF(INDEX(' Disaggregation - Section E '!F$618:F3114,MATCH(C2425,' Disaggregation - Section E '!A$618:A3114,0)+1,1)&lt;&gt;0,INDEX(' Disaggregation - Section E '!F$618:F3114,MATCH(C2425,' Disaggregation - Section E '!A$618:A3114,0)+1,1),""),"")</f>
        <v/>
      </c>
      <c r="I2425" s="391" t="str">
        <f ca="1">IFERROR(IF(VLOOKUP(C2425,' Disaggregation - Section E '!A$618:J3114,8,0)=0,"",VLOOKUP(C2425,' Disaggregation - Section E '!A$618:J3114,8,0)),"")</f>
        <v/>
      </c>
      <c r="J2425" s="391" t="str">
        <f ca="1">IFERROR(IF(VLOOKUP(C2425,' Disaggregation - Section E '!A$618:J3114,9,0)="","",VLOOKUP(C2425,' Disaggregation - Section E '!A$618:J3114,9,0)),"")</f>
        <v/>
      </c>
      <c r="K2425" s="387" t="str">
        <f ca="1">IFERROR(VLOOKUP(C2425,' Disaggregation - Section E '!A$618:J3114,3,0),"")</f>
        <v>TB/HIV-5 Percentage of registered new and relapse TB patients with documented HIV status</v>
      </c>
      <c r="L2425" s="387"/>
      <c r="M2425" s="387" t="str">
        <f ca="1">IFERROR(IF(VLOOKUP(C2425,' Disaggregation - Section E '!A$618:O1437,15,0)=0,"",VLOOKUP(C2425,' Disaggregation - Section E '!A$618:O1437,15,0)),"")</f>
        <v/>
      </c>
      <c r="N2425" s="391" t="str">
        <f ca="1">IFERROR(IF(VLOOKUP(C2425,' Disaggregation - Section E '!A$618:J3114,10,0)=0,"",VLOOKUP(C2425,' Disaggregation - Section E '!A$618:J3114,10,0)),"")</f>
        <v/>
      </c>
      <c r="O2425" s="387"/>
      <c r="P2425" s="387" t="str">
        <f ca="1">IFERROR(IF(VLOOKUP(C2425,' Disaggregation - Section E '!A$618:R1437,18,0)=0,"",VLOOKUP(C2425,' Disaggregation - Section E '!A$618:R1437,18,0)),"")</f>
        <v/>
      </c>
    </row>
    <row r="2426" spans="1:16">
      <c r="A2426" s="387" t="b">
        <f t="shared" ca="1" si="168"/>
        <v>0</v>
      </c>
      <c r="B2426" s="387"/>
      <c r="C2426" s="396" t="str">
        <f ca="1">IF(COUNTA(O$1610:O2426)=1,"",OFFSET(B2424,-COUNTA(O$1610:O2426)+3,1))</f>
        <v>a16Dm000000M3szIAC</v>
      </c>
      <c r="D2426" s="392"/>
      <c r="E2426" s="389" t="str">
        <f ca="1">IFERROR(IF(VLOOKUP(C2426,' Disaggregation - Section E '!A$618:J3115,7,0)="","",VLOOKUP(C2426,' Disaggregation - Section E '!A$618:J3115,7,0)*100),"")</f>
        <v/>
      </c>
      <c r="F2426" s="391" t="str">
        <f ca="1">IFERROR(VLOOKUP(C2426,' Disaggregation - Section E '!A$618:J3115,5,0),"")</f>
        <v/>
      </c>
      <c r="G2426" s="390" t="str">
        <f ca="1">IFERROR(IF(VLOOKUP(C2426,' Disaggregation - Section E '!A$618:J3115,6,0)="","",VLOOKUP(C2426,' Disaggregation - Section E '!A$618:J3115,6,0)),"")</f>
        <v/>
      </c>
      <c r="H2426" s="390" t="str">
        <f ca="1">IFERROR(IF(INDEX(' Disaggregation - Section E '!F$618:F3115,MATCH(C2426,' Disaggregation - Section E '!A$618:A3115,0)+1,1)&lt;&gt;0,INDEX(' Disaggregation - Section E '!F$618:F3115,MATCH(C2426,' Disaggregation - Section E '!A$618:A3115,0)+1,1),""),"")</f>
        <v/>
      </c>
      <c r="I2426" s="391" t="str">
        <f ca="1">IFERROR(IF(VLOOKUP(C2426,' Disaggregation - Section E '!A$618:J3115,8,0)=0,"",VLOOKUP(C2426,' Disaggregation - Section E '!A$618:J3115,8,0)),"")</f>
        <v/>
      </c>
      <c r="J2426" s="391" t="str">
        <f ca="1">IFERROR(IF(VLOOKUP(C2426,' Disaggregation - Section E '!A$618:J3115,9,0)="","",VLOOKUP(C2426,' Disaggregation - Section E '!A$618:J3115,9,0)),"")</f>
        <v/>
      </c>
      <c r="K2426" s="387" t="str">
        <f ca="1">IFERROR(VLOOKUP(C2426,' Disaggregation - Section E '!A$618:J3115,3,0),"")</f>
        <v>TB/HIV-5 Percentage of registered new and relapse TB patients with documented HIV status</v>
      </c>
      <c r="L2426" s="387"/>
      <c r="M2426" s="387" t="str">
        <f ca="1">IFERROR(IF(VLOOKUP(C2426,' Disaggregation - Section E '!A$618:O1438,15,0)=0,"",VLOOKUP(C2426,' Disaggregation - Section E '!A$618:O1438,15,0)),"")</f>
        <v/>
      </c>
      <c r="N2426" s="391" t="str">
        <f ca="1">IFERROR(IF(VLOOKUP(C2426,' Disaggregation - Section E '!A$618:J3115,10,0)=0,"",VLOOKUP(C2426,' Disaggregation - Section E '!A$618:J3115,10,0)),"")</f>
        <v/>
      </c>
      <c r="O2426" s="387"/>
      <c r="P2426" s="387" t="str">
        <f ca="1">IFERROR(IF(VLOOKUP(C2426,' Disaggregation - Section E '!A$618:R1438,18,0)=0,"",VLOOKUP(C2426,' Disaggregation - Section E '!A$618:R1438,18,0)),"")</f>
        <v/>
      </c>
    </row>
    <row r="2427" spans="1:16">
      <c r="A2427" s="387" t="b">
        <f t="shared" ca="1" si="168"/>
        <v>0</v>
      </c>
      <c r="B2427" s="387"/>
      <c r="C2427" s="396" t="str">
        <f ca="1">IF(COUNTA(O$1610:O2427)=1,"",OFFSET(B2425,-COUNTA(O$1610:O2427)+3,1))</f>
        <v>a16Dm000000M3t0IAC</v>
      </c>
      <c r="D2427" s="392"/>
      <c r="E2427" s="389" t="str">
        <f ca="1">IFERROR(IF(VLOOKUP(C2427,' Disaggregation - Section E '!A$618:J3116,7,0)="","",VLOOKUP(C2427,' Disaggregation - Section E '!A$618:J3116,7,0)*100),"")</f>
        <v/>
      </c>
      <c r="F2427" s="391" t="str">
        <f ca="1">IFERROR(VLOOKUP(C2427,' Disaggregation - Section E '!A$618:J3116,5,0),"")</f>
        <v/>
      </c>
      <c r="G2427" s="390" t="str">
        <f ca="1">IFERROR(IF(VLOOKUP(C2427,' Disaggregation - Section E '!A$618:J3116,6,0)="","",VLOOKUP(C2427,' Disaggregation - Section E '!A$618:J3116,6,0)),"")</f>
        <v/>
      </c>
      <c r="H2427" s="390" t="str">
        <f ca="1">IFERROR(IF(INDEX(' Disaggregation - Section E '!F$618:F3116,MATCH(C2427,' Disaggregation - Section E '!A$618:A3116,0)+1,1)&lt;&gt;0,INDEX(' Disaggregation - Section E '!F$618:F3116,MATCH(C2427,' Disaggregation - Section E '!A$618:A3116,0)+1,1),""),"")</f>
        <v/>
      </c>
      <c r="I2427" s="391" t="str">
        <f ca="1">IFERROR(IF(VLOOKUP(C2427,' Disaggregation - Section E '!A$618:J3116,8,0)=0,"",VLOOKUP(C2427,' Disaggregation - Section E '!A$618:J3116,8,0)),"")</f>
        <v/>
      </c>
      <c r="J2427" s="391" t="str">
        <f ca="1">IFERROR(IF(VLOOKUP(C2427,' Disaggregation - Section E '!A$618:J3116,9,0)="","",VLOOKUP(C2427,' Disaggregation - Section E '!A$618:J3116,9,0)),"")</f>
        <v/>
      </c>
      <c r="K2427" s="387" t="str">
        <f ca="1">IFERROR(VLOOKUP(C2427,' Disaggregation - Section E '!A$618:J3116,3,0),"")</f>
        <v>TB/HIV-5 Percentage of registered new and relapse TB patients with documented HIV status</v>
      </c>
      <c r="L2427" s="387"/>
      <c r="M2427" s="387" t="str">
        <f ca="1">IFERROR(IF(VLOOKUP(C2427,' Disaggregation - Section E '!A$618:O1439,15,0)=0,"",VLOOKUP(C2427,' Disaggregation - Section E '!A$618:O1439,15,0)),"")</f>
        <v/>
      </c>
      <c r="N2427" s="391" t="str">
        <f ca="1">IFERROR(IF(VLOOKUP(C2427,' Disaggregation - Section E '!A$618:J3116,10,0)=0,"",VLOOKUP(C2427,' Disaggregation - Section E '!A$618:J3116,10,0)),"")</f>
        <v/>
      </c>
      <c r="O2427" s="387"/>
      <c r="P2427" s="387" t="str">
        <f ca="1">IFERROR(IF(VLOOKUP(C2427,' Disaggregation - Section E '!A$618:R1439,18,0)=0,"",VLOOKUP(C2427,' Disaggregation - Section E '!A$618:R1439,18,0)),"")</f>
        <v/>
      </c>
    </row>
    <row r="2428" spans="1:16">
      <c r="A2428" s="387" t="b">
        <f t="shared" ca="1" si="168"/>
        <v>0</v>
      </c>
      <c r="B2428" s="387"/>
      <c r="C2428" s="396" t="str">
        <f ca="1">IF(COUNTA(O$1610:O2428)=1,"",OFFSET(B2426,-COUNTA(O$1610:O2428)+3,1))</f>
        <v>a16Dm000000M3t1IAC</v>
      </c>
      <c r="D2428" s="392"/>
      <c r="E2428" s="389" t="str">
        <f ca="1">IFERROR(IF(VLOOKUP(C2428,' Disaggregation - Section E '!A$618:J3117,7,0)="","",VLOOKUP(C2428,' Disaggregation - Section E '!A$618:J3117,7,0)*100),"")</f>
        <v/>
      </c>
      <c r="F2428" s="391" t="str">
        <f ca="1">IFERROR(VLOOKUP(C2428,' Disaggregation - Section E '!A$618:J3117,5,0),"")</f>
        <v/>
      </c>
      <c r="G2428" s="390" t="str">
        <f ca="1">IFERROR(IF(VLOOKUP(C2428,' Disaggregation - Section E '!A$618:J3117,6,0)="","",VLOOKUP(C2428,' Disaggregation - Section E '!A$618:J3117,6,0)),"")</f>
        <v/>
      </c>
      <c r="H2428" s="390" t="str">
        <f ca="1">IFERROR(IF(INDEX(' Disaggregation - Section E '!F$618:F3117,MATCH(C2428,' Disaggregation - Section E '!A$618:A3117,0)+1,1)&lt;&gt;0,INDEX(' Disaggregation - Section E '!F$618:F3117,MATCH(C2428,' Disaggregation - Section E '!A$618:A3117,0)+1,1),""),"")</f>
        <v/>
      </c>
      <c r="I2428" s="391" t="str">
        <f ca="1">IFERROR(IF(VLOOKUP(C2428,' Disaggregation - Section E '!A$618:J3117,8,0)=0,"",VLOOKUP(C2428,' Disaggregation - Section E '!A$618:J3117,8,0)),"")</f>
        <v/>
      </c>
      <c r="J2428" s="391" t="str">
        <f ca="1">IFERROR(IF(VLOOKUP(C2428,' Disaggregation - Section E '!A$618:J3117,9,0)="","",VLOOKUP(C2428,' Disaggregation - Section E '!A$618:J3117,9,0)),"")</f>
        <v/>
      </c>
      <c r="K2428" s="387" t="str">
        <f ca="1">IFERROR(VLOOKUP(C2428,' Disaggregation - Section E '!A$618:J3117,3,0),"")</f>
        <v>TB/HIV-5 Percentage of registered new and relapse TB patients with documented HIV status</v>
      </c>
      <c r="L2428" s="387"/>
      <c r="M2428" s="387" t="str">
        <f ca="1">IFERROR(IF(VLOOKUP(C2428,' Disaggregation - Section E '!A$618:O1440,15,0)=0,"",VLOOKUP(C2428,' Disaggregation - Section E '!A$618:O1440,15,0)),"")</f>
        <v/>
      </c>
      <c r="N2428" s="391" t="str">
        <f ca="1">IFERROR(IF(VLOOKUP(C2428,' Disaggregation - Section E '!A$618:J3117,10,0)=0,"",VLOOKUP(C2428,' Disaggregation - Section E '!A$618:J3117,10,0)),"")</f>
        <v/>
      </c>
      <c r="O2428" s="387"/>
      <c r="P2428" s="387" t="str">
        <f ca="1">IFERROR(IF(VLOOKUP(C2428,' Disaggregation - Section E '!A$618:R1440,18,0)=0,"",VLOOKUP(C2428,' Disaggregation - Section E '!A$618:R1440,18,0)),"")</f>
        <v/>
      </c>
    </row>
    <row r="2429" spans="1:16">
      <c r="A2429" s="387" t="b">
        <f t="shared" ca="1" si="168"/>
        <v>0</v>
      </c>
      <c r="B2429" s="387"/>
      <c r="C2429" s="396" t="str">
        <f ca="1">IF(COUNTA(O$1610:O2429)=1,"",OFFSET(B2427,-COUNTA(O$1610:O2429)+3,1))</f>
        <v>a16Dm000000M3t2IAC</v>
      </c>
      <c r="D2429" s="392"/>
      <c r="E2429" s="389" t="str">
        <f ca="1">IFERROR(IF(VLOOKUP(C2429,' Disaggregation - Section E '!A$618:J3118,7,0)="","",VLOOKUP(C2429,' Disaggregation - Section E '!A$618:J3118,7,0)*100),"")</f>
        <v/>
      </c>
      <c r="F2429" s="391" t="str">
        <f ca="1">IFERROR(VLOOKUP(C2429,' Disaggregation - Section E '!A$618:J3118,5,0),"")</f>
        <v/>
      </c>
      <c r="G2429" s="390" t="str">
        <f ca="1">IFERROR(IF(VLOOKUP(C2429,' Disaggregation - Section E '!A$618:J3118,6,0)="","",VLOOKUP(C2429,' Disaggregation - Section E '!A$618:J3118,6,0)),"")</f>
        <v/>
      </c>
      <c r="H2429" s="390" t="str">
        <f ca="1">IFERROR(IF(INDEX(' Disaggregation - Section E '!F$618:F3118,MATCH(C2429,' Disaggregation - Section E '!A$618:A3118,0)+1,1)&lt;&gt;0,INDEX(' Disaggregation - Section E '!F$618:F3118,MATCH(C2429,' Disaggregation - Section E '!A$618:A3118,0)+1,1),""),"")</f>
        <v/>
      </c>
      <c r="I2429" s="391" t="str">
        <f ca="1">IFERROR(IF(VLOOKUP(C2429,' Disaggregation - Section E '!A$618:J3118,8,0)=0,"",VLOOKUP(C2429,' Disaggregation - Section E '!A$618:J3118,8,0)),"")</f>
        <v/>
      </c>
      <c r="J2429" s="391" t="str">
        <f ca="1">IFERROR(IF(VLOOKUP(C2429,' Disaggregation - Section E '!A$618:J3118,9,0)="","",VLOOKUP(C2429,' Disaggregation - Section E '!A$618:J3118,9,0)),"")</f>
        <v/>
      </c>
      <c r="K2429" s="387" t="str">
        <f ca="1">IFERROR(VLOOKUP(C2429,' Disaggregation - Section E '!A$618:J3118,3,0),"")</f>
        <v>TB/HIV-5 Percentage of registered new and relapse TB patients with documented HIV status</v>
      </c>
      <c r="L2429" s="387"/>
      <c r="M2429" s="387" t="str">
        <f ca="1">IFERROR(IF(VLOOKUP(C2429,' Disaggregation - Section E '!A$618:O1441,15,0)=0,"",VLOOKUP(C2429,' Disaggregation - Section E '!A$618:O1441,15,0)),"")</f>
        <v/>
      </c>
      <c r="N2429" s="391" t="str">
        <f ca="1">IFERROR(IF(VLOOKUP(C2429,' Disaggregation - Section E '!A$618:J3118,10,0)=0,"",VLOOKUP(C2429,' Disaggregation - Section E '!A$618:J3118,10,0)),"")</f>
        <v/>
      </c>
      <c r="O2429" s="387"/>
      <c r="P2429" s="387" t="str">
        <f ca="1">IFERROR(IF(VLOOKUP(C2429,' Disaggregation - Section E '!A$618:R1441,18,0)=0,"",VLOOKUP(C2429,' Disaggregation - Section E '!A$618:R1441,18,0)),"")</f>
        <v/>
      </c>
    </row>
    <row r="2430" spans="1:16">
      <c r="A2430" s="387" t="b">
        <f t="shared" ca="1" si="168"/>
        <v>0</v>
      </c>
      <c r="B2430" s="387"/>
      <c r="C2430" s="396" t="str">
        <f ca="1">IF(COUNTA(O$1610:O2430)=1,"",OFFSET(B2428,-COUNTA(O$1610:O2430)+3,1))</f>
        <v>a16Dm000000M3t3IAC</v>
      </c>
      <c r="D2430" s="392"/>
      <c r="E2430" s="389" t="str">
        <f ca="1">IFERROR(IF(VLOOKUP(C2430,' Disaggregation - Section E '!A$618:J3119,7,0)="","",VLOOKUP(C2430,' Disaggregation - Section E '!A$618:J3119,7,0)*100),"")</f>
        <v/>
      </c>
      <c r="F2430" s="391" t="str">
        <f ca="1">IFERROR(VLOOKUP(C2430,' Disaggregation - Section E '!A$618:J3119,5,0),"")</f>
        <v/>
      </c>
      <c r="G2430" s="390" t="str">
        <f ca="1">IFERROR(IF(VLOOKUP(C2430,' Disaggregation - Section E '!A$618:J3119,6,0)="","",VLOOKUP(C2430,' Disaggregation - Section E '!A$618:J3119,6,0)),"")</f>
        <v/>
      </c>
      <c r="H2430" s="390" t="str">
        <f ca="1">IFERROR(IF(INDEX(' Disaggregation - Section E '!F$618:F3119,MATCH(C2430,' Disaggregation - Section E '!A$618:A3119,0)+1,1)&lt;&gt;0,INDEX(' Disaggregation - Section E '!F$618:F3119,MATCH(C2430,' Disaggregation - Section E '!A$618:A3119,0)+1,1),""),"")</f>
        <v/>
      </c>
      <c r="I2430" s="391" t="str">
        <f ca="1">IFERROR(IF(VLOOKUP(C2430,' Disaggregation - Section E '!A$618:J3119,8,0)=0,"",VLOOKUP(C2430,' Disaggregation - Section E '!A$618:J3119,8,0)),"")</f>
        <v/>
      </c>
      <c r="J2430" s="391" t="str">
        <f ca="1">IFERROR(IF(VLOOKUP(C2430,' Disaggregation - Section E '!A$618:J3119,9,0)="","",VLOOKUP(C2430,' Disaggregation - Section E '!A$618:J3119,9,0)),"")</f>
        <v/>
      </c>
      <c r="K2430" s="387" t="str">
        <f ca="1">IFERROR(VLOOKUP(C2430,' Disaggregation - Section E '!A$618:J3119,3,0),"")</f>
        <v>TB/HIV-5 Percentage of registered new and relapse TB patients with documented HIV status</v>
      </c>
      <c r="L2430" s="387"/>
      <c r="M2430" s="387" t="str">
        <f ca="1">IFERROR(IF(VLOOKUP(C2430,' Disaggregation - Section E '!A$618:O1442,15,0)=0,"",VLOOKUP(C2430,' Disaggregation - Section E '!A$618:O1442,15,0)),"")</f>
        <v/>
      </c>
      <c r="N2430" s="391" t="str">
        <f ca="1">IFERROR(IF(VLOOKUP(C2430,' Disaggregation - Section E '!A$618:J3119,10,0)=0,"",VLOOKUP(C2430,' Disaggregation - Section E '!A$618:J3119,10,0)),"")</f>
        <v/>
      </c>
      <c r="O2430" s="387"/>
      <c r="P2430" s="387" t="str">
        <f ca="1">IFERROR(IF(VLOOKUP(C2430,' Disaggregation - Section E '!A$618:R1442,18,0)=0,"",VLOOKUP(C2430,' Disaggregation - Section E '!A$618:R1442,18,0)),"")</f>
        <v/>
      </c>
    </row>
    <row r="2431" spans="1:16">
      <c r="A2431" s="387" t="b">
        <f t="shared" ca="1" si="168"/>
        <v>0</v>
      </c>
      <c r="B2431" s="387"/>
      <c r="C2431" s="396" t="str">
        <f ca="1">IF(COUNTA(O$1610:O2431)=1,"",OFFSET(B2429,-COUNTA(O$1610:O2431)+3,1))</f>
        <v>a16Dm000000M3t4IAC</v>
      </c>
      <c r="D2431" s="392"/>
      <c r="E2431" s="389" t="str">
        <f ca="1">IFERROR(IF(VLOOKUP(C2431,' Disaggregation - Section E '!A$618:J3120,7,0)="","",VLOOKUP(C2431,' Disaggregation - Section E '!A$618:J3120,7,0)*100),"")</f>
        <v/>
      </c>
      <c r="F2431" s="391" t="str">
        <f ca="1">IFERROR(VLOOKUP(C2431,' Disaggregation - Section E '!A$618:J3120,5,0),"")</f>
        <v/>
      </c>
      <c r="G2431" s="390" t="str">
        <f ca="1">IFERROR(IF(VLOOKUP(C2431,' Disaggregation - Section E '!A$618:J3120,6,0)="","",VLOOKUP(C2431,' Disaggregation - Section E '!A$618:J3120,6,0)),"")</f>
        <v/>
      </c>
      <c r="H2431" s="390" t="str">
        <f ca="1">IFERROR(IF(INDEX(' Disaggregation - Section E '!F$618:F3120,MATCH(C2431,' Disaggregation - Section E '!A$618:A3120,0)+1,1)&lt;&gt;0,INDEX(' Disaggregation - Section E '!F$618:F3120,MATCH(C2431,' Disaggregation - Section E '!A$618:A3120,0)+1,1),""),"")</f>
        <v/>
      </c>
      <c r="I2431" s="391" t="str">
        <f ca="1">IFERROR(IF(VLOOKUP(C2431,' Disaggregation - Section E '!A$618:J3120,8,0)=0,"",VLOOKUP(C2431,' Disaggregation - Section E '!A$618:J3120,8,0)),"")</f>
        <v/>
      </c>
      <c r="J2431" s="391" t="str">
        <f ca="1">IFERROR(IF(VLOOKUP(C2431,' Disaggregation - Section E '!A$618:J3120,9,0)="","",VLOOKUP(C2431,' Disaggregation - Section E '!A$618:J3120,9,0)),"")</f>
        <v/>
      </c>
      <c r="K2431" s="387" t="str">
        <f ca="1">IFERROR(VLOOKUP(C2431,' Disaggregation - Section E '!A$618:J3120,3,0),"")</f>
        <v>TB/HIV-5 Percentage of registered new and relapse TB patients with documented HIV status</v>
      </c>
      <c r="L2431" s="387"/>
      <c r="M2431" s="387" t="str">
        <f ca="1">IFERROR(IF(VLOOKUP(C2431,' Disaggregation - Section E '!A$618:O1443,15,0)=0,"",VLOOKUP(C2431,' Disaggregation - Section E '!A$618:O1443,15,0)),"")</f>
        <v/>
      </c>
      <c r="N2431" s="391" t="str">
        <f ca="1">IFERROR(IF(VLOOKUP(C2431,' Disaggregation - Section E '!A$618:J3120,10,0)=0,"",VLOOKUP(C2431,' Disaggregation - Section E '!A$618:J3120,10,0)),"")</f>
        <v/>
      </c>
      <c r="O2431" s="387"/>
      <c r="P2431" s="387" t="str">
        <f ca="1">IFERROR(IF(VLOOKUP(C2431,' Disaggregation - Section E '!A$618:R1443,18,0)=0,"",VLOOKUP(C2431,' Disaggregation - Section E '!A$618:R1443,18,0)),"")</f>
        <v/>
      </c>
    </row>
    <row r="2432" spans="1:16">
      <c r="A2432" s="387" t="b">
        <f t="shared" ca="1" si="168"/>
        <v>1</v>
      </c>
      <c r="B2432" s="387"/>
      <c r="C2432" s="396" t="str">
        <f ca="1">IF(COUNTA(O$1610:O2432)=1,"",OFFSET(B2430,-COUNTA(O$1610:O2432)+3,1))</f>
        <v>a16Dm000000M3t5IAC</v>
      </c>
      <c r="D2432" s="392"/>
      <c r="E2432" s="389" t="str">
        <f ca="1">IFERROR(IF(VLOOKUP(C2432,' Disaggregation - Section E '!A$618:J3121,7,0)="","",VLOOKUP(C2432,' Disaggregation - Section E '!A$618:J3121,7,0)*100),"")</f>
        <v/>
      </c>
      <c r="F2432" s="391" t="str">
        <f ca="1">IFERROR(VLOOKUP(C2432,' Disaggregation - Section E '!A$618:J3121,5,0),"")</f>
        <v>15+</v>
      </c>
      <c r="G2432" s="390" t="str">
        <f ca="1">IFERROR(IF(VLOOKUP(C2432,' Disaggregation - Section E '!A$618:J3121,6,0)="","",VLOOKUP(C2432,' Disaggregation - Section E '!A$618:J3121,6,0)),"")</f>
        <v/>
      </c>
      <c r="H2432" s="390" t="str">
        <f ca="1">IFERROR(IF(INDEX(' Disaggregation - Section E '!F$618:F3121,MATCH(C2432,' Disaggregation - Section E '!A$618:A3121,0)+1,1)&lt;&gt;0,INDEX(' Disaggregation - Section E '!F$618:F3121,MATCH(C2432,' Disaggregation - Section E '!A$618:A3121,0)+1,1),""),"")</f>
        <v/>
      </c>
      <c r="I2432" s="391" t="str">
        <f ca="1">IFERROR(IF(VLOOKUP(C2432,' Disaggregation - Section E '!A$618:J3121,8,0)=0,"",VLOOKUP(C2432,' Disaggregation - Section E '!A$618:J3121,8,0)),"")</f>
        <v/>
      </c>
      <c r="J2432" s="391" t="str">
        <f ca="1">IFERROR(IF(VLOOKUP(C2432,' Disaggregation - Section E '!A$618:J3121,9,0)="","",VLOOKUP(C2432,' Disaggregation - Section E '!A$618:J3121,9,0)),"")</f>
        <v>Not available</v>
      </c>
      <c r="K2432" s="387" t="str">
        <f ca="1">IFERROR(VLOOKUP(C2432,' Disaggregation - Section E '!A$618:J3121,3,0),"")</f>
        <v>TB/HIV-6 Percentage of HIV-positive new and relapse TB patients on ART during TB treatment</v>
      </c>
      <c r="L2432" s="387"/>
      <c r="M2432" s="387" t="str">
        <f ca="1">IFERROR(IF(VLOOKUP(C2432,' Disaggregation - Section E '!A$618:O1444,15,0)=0,"",VLOOKUP(C2432,' Disaggregation - Section E '!A$618:O1444,15,0)),"")</f>
        <v>IDR-01361</v>
      </c>
      <c r="N2432" s="391" t="str">
        <f ca="1">IFERROR(IF(VLOOKUP(C2432,' Disaggregation - Section E '!A$618:J3121,10,0)=0,"",VLOOKUP(C2432,' Disaggregation - Section E '!A$618:J3121,10,0)),"")</f>
        <v>Data not available because the NTP quarterly reporting form does not allow reporting on this indicator</v>
      </c>
      <c r="O2432" s="387"/>
      <c r="P2432" s="387" t="str">
        <f ca="1">IFERROR(IF(VLOOKUP(C2432,' Disaggregation - Section E '!A$618:R1444,18,0)=0,"",VLOOKUP(C2432,' Disaggregation - Section E '!A$618:R1444,18,0)),"")</f>
        <v>a1LDm000000Cb4hMAC</v>
      </c>
    </row>
    <row r="2433" spans="1:16">
      <c r="A2433" s="387" t="b">
        <f t="shared" ca="1" si="168"/>
        <v>1</v>
      </c>
      <c r="B2433" s="387"/>
      <c r="C2433" s="396" t="str">
        <f ca="1">IF(COUNTA(O$1610:O2433)=1,"",OFFSET(B2431,-COUNTA(O$1610:O2433)+3,1))</f>
        <v>a16Dm000000M3t6IAC</v>
      </c>
      <c r="D2433" s="392"/>
      <c r="E2433" s="389" t="str">
        <f ca="1">IFERROR(IF(VLOOKUP(C2433,' Disaggregation - Section E '!A$618:J3122,7,0)="","",VLOOKUP(C2433,' Disaggregation - Section E '!A$618:J3122,7,0)*100),"")</f>
        <v/>
      </c>
      <c r="F2433" s="391" t="str">
        <f ca="1">IFERROR(VLOOKUP(C2433,' Disaggregation - Section E '!A$618:J3122,5,0),"")</f>
        <v>Male</v>
      </c>
      <c r="G2433" s="390" t="str">
        <f ca="1">IFERROR(IF(VLOOKUP(C2433,' Disaggregation - Section E '!A$618:J3122,6,0)="","",VLOOKUP(C2433,' Disaggregation - Section E '!A$618:J3122,6,0)),"")</f>
        <v/>
      </c>
      <c r="H2433" s="390" t="str">
        <f ca="1">IFERROR(IF(INDEX(' Disaggregation - Section E '!F$618:F3122,MATCH(C2433,' Disaggregation - Section E '!A$618:A3122,0)+1,1)&lt;&gt;0,INDEX(' Disaggregation - Section E '!F$618:F3122,MATCH(C2433,' Disaggregation - Section E '!A$618:A3122,0)+1,1),""),"")</f>
        <v/>
      </c>
      <c r="I2433" s="391" t="str">
        <f ca="1">IFERROR(IF(VLOOKUP(C2433,' Disaggregation - Section E '!A$618:J3122,8,0)=0,"",VLOOKUP(C2433,' Disaggregation - Section E '!A$618:J3122,8,0)),"")</f>
        <v/>
      </c>
      <c r="J2433" s="391" t="str">
        <f ca="1">IFERROR(IF(VLOOKUP(C2433,' Disaggregation - Section E '!A$618:J3122,9,0)="","",VLOOKUP(C2433,' Disaggregation - Section E '!A$618:J3122,9,0)),"")</f>
        <v>Not available</v>
      </c>
      <c r="K2433" s="387" t="str">
        <f ca="1">IFERROR(VLOOKUP(C2433,' Disaggregation - Section E '!A$618:J3122,3,0),"")</f>
        <v>TB/HIV-6 Percentage of HIV-positive new and relapse TB patients on ART during TB treatment</v>
      </c>
      <c r="L2433" s="387"/>
      <c r="M2433" s="387" t="str">
        <f ca="1">IFERROR(IF(VLOOKUP(C2433,' Disaggregation - Section E '!A$618:O1445,15,0)=0,"",VLOOKUP(C2433,' Disaggregation - Section E '!A$618:O1445,15,0)),"")</f>
        <v>IDR-01360</v>
      </c>
      <c r="N2433" s="391" t="str">
        <f ca="1">IFERROR(IF(VLOOKUP(C2433,' Disaggregation - Section E '!A$618:J3122,10,0)=0,"",VLOOKUP(C2433,' Disaggregation - Section E '!A$618:J3122,10,0)),"")</f>
        <v>Data not available because the NTP quarterly reporting form does not allow reporting on this indicator</v>
      </c>
      <c r="O2433" s="387"/>
      <c r="P2433" s="387" t="str">
        <f ca="1">IFERROR(IF(VLOOKUP(C2433,' Disaggregation - Section E '!A$618:R1445,18,0)=0,"",VLOOKUP(C2433,' Disaggregation - Section E '!A$618:R1445,18,0)),"")</f>
        <v>a1LDm000000Cb4gMAC</v>
      </c>
    </row>
    <row r="2434" spans="1:16">
      <c r="A2434" s="387" t="b">
        <f t="shared" ca="1" si="168"/>
        <v>1</v>
      </c>
      <c r="B2434" s="387"/>
      <c r="C2434" s="396" t="str">
        <f ca="1">IF(COUNTA(O$1610:O2434)=1,"",OFFSET(B2432,-COUNTA(O$1610:O2434)+3,1))</f>
        <v>a16Dm000000M3t7IAC</v>
      </c>
      <c r="D2434" s="392"/>
      <c r="E2434" s="389" t="str">
        <f ca="1">IFERROR(IF(VLOOKUP(C2434,' Disaggregation - Section E '!A$618:J3123,7,0)="","",VLOOKUP(C2434,' Disaggregation - Section E '!A$618:J3123,7,0)*100),"")</f>
        <v/>
      </c>
      <c r="F2434" s="391" t="str">
        <f ca="1">IFERROR(VLOOKUP(C2434,' Disaggregation - Section E '!A$618:J3123,5,0),"")</f>
        <v>5-14</v>
      </c>
      <c r="G2434" s="390" t="str">
        <f ca="1">IFERROR(IF(VLOOKUP(C2434,' Disaggregation - Section E '!A$618:J3123,6,0)="","",VLOOKUP(C2434,' Disaggregation - Section E '!A$618:J3123,6,0)),"")</f>
        <v/>
      </c>
      <c r="H2434" s="390" t="str">
        <f ca="1">IFERROR(IF(INDEX(' Disaggregation - Section E '!F$618:F3123,MATCH(C2434,' Disaggregation - Section E '!A$618:A3123,0)+1,1)&lt;&gt;0,INDEX(' Disaggregation - Section E '!F$618:F3123,MATCH(C2434,' Disaggregation - Section E '!A$618:A3123,0)+1,1),""),"")</f>
        <v/>
      </c>
      <c r="I2434" s="391" t="str">
        <f ca="1">IFERROR(IF(VLOOKUP(C2434,' Disaggregation - Section E '!A$618:J3123,8,0)=0,"",VLOOKUP(C2434,' Disaggregation - Section E '!A$618:J3123,8,0)),"")</f>
        <v/>
      </c>
      <c r="J2434" s="391" t="str">
        <f ca="1">IFERROR(IF(VLOOKUP(C2434,' Disaggregation - Section E '!A$618:J3123,9,0)="","",VLOOKUP(C2434,' Disaggregation - Section E '!A$618:J3123,9,0)),"")</f>
        <v>Not available</v>
      </c>
      <c r="K2434" s="387" t="str">
        <f ca="1">IFERROR(VLOOKUP(C2434,' Disaggregation - Section E '!A$618:J3123,3,0),"")</f>
        <v>TB/HIV-6 Percentage of HIV-positive new and relapse TB patients on ART during TB treatment</v>
      </c>
      <c r="L2434" s="387"/>
      <c r="M2434" s="387" t="str">
        <f ca="1">IFERROR(IF(VLOOKUP(C2434,' Disaggregation - Section E '!A$618:O1446,15,0)=0,"",VLOOKUP(C2434,' Disaggregation - Section E '!A$618:O1446,15,0)),"")</f>
        <v>IDR-01359</v>
      </c>
      <c r="N2434" s="391" t="str">
        <f ca="1">IFERROR(IF(VLOOKUP(C2434,' Disaggregation - Section E '!A$618:J3123,10,0)=0,"",VLOOKUP(C2434,' Disaggregation - Section E '!A$618:J3123,10,0)),"")</f>
        <v>Data not available because the NTP quarterly reporting form does not allow reporting on this indicator</v>
      </c>
      <c r="O2434" s="387"/>
      <c r="P2434" s="387" t="str">
        <f ca="1">IFERROR(IF(VLOOKUP(C2434,' Disaggregation - Section E '!A$618:R1446,18,0)=0,"",VLOOKUP(C2434,' Disaggregation - Section E '!A$618:R1446,18,0)),"")</f>
        <v>a1LDm000000Cb4fMAC</v>
      </c>
    </row>
    <row r="2435" spans="1:16">
      <c r="A2435" s="387" t="b">
        <f t="shared" ca="1" si="168"/>
        <v>1</v>
      </c>
      <c r="B2435" s="387"/>
      <c r="C2435" s="396" t="str">
        <f ca="1">IF(COUNTA(O$1610:O2435)=1,"",OFFSET(B2433,-COUNTA(O$1610:O2435)+3,1))</f>
        <v>a16Dm000000M3t8IAC</v>
      </c>
      <c r="D2435" s="392"/>
      <c r="E2435" s="389" t="str">
        <f ca="1">IFERROR(IF(VLOOKUP(C2435,' Disaggregation - Section E '!A$618:J3124,7,0)="","",VLOOKUP(C2435,' Disaggregation - Section E '!A$618:J3124,7,0)*100),"")</f>
        <v/>
      </c>
      <c r="F2435" s="391" t="str">
        <f ca="1">IFERROR(VLOOKUP(C2435,' Disaggregation - Section E '!A$618:J3124,5,0),"")</f>
        <v>&lt;5</v>
      </c>
      <c r="G2435" s="390" t="str">
        <f ca="1">IFERROR(IF(VLOOKUP(C2435,' Disaggregation - Section E '!A$618:J3124,6,0)="","",VLOOKUP(C2435,' Disaggregation - Section E '!A$618:J3124,6,0)),"")</f>
        <v/>
      </c>
      <c r="H2435" s="390" t="str">
        <f ca="1">IFERROR(IF(INDEX(' Disaggregation - Section E '!F$618:F3124,MATCH(C2435,' Disaggregation - Section E '!A$618:A3124,0)+1,1)&lt;&gt;0,INDEX(' Disaggregation - Section E '!F$618:F3124,MATCH(C2435,' Disaggregation - Section E '!A$618:A3124,0)+1,1),""),"")</f>
        <v/>
      </c>
      <c r="I2435" s="391" t="str">
        <f ca="1">IFERROR(IF(VLOOKUP(C2435,' Disaggregation - Section E '!A$618:J3124,8,0)=0,"",VLOOKUP(C2435,' Disaggregation - Section E '!A$618:J3124,8,0)),"")</f>
        <v/>
      </c>
      <c r="J2435" s="391" t="str">
        <f ca="1">IFERROR(IF(VLOOKUP(C2435,' Disaggregation - Section E '!A$618:J3124,9,0)="","",VLOOKUP(C2435,' Disaggregation - Section E '!A$618:J3124,9,0)),"")</f>
        <v>Not available</v>
      </c>
      <c r="K2435" s="387" t="str">
        <f ca="1">IFERROR(VLOOKUP(C2435,' Disaggregation - Section E '!A$618:J3124,3,0),"")</f>
        <v>TB/HIV-6 Percentage of HIV-positive new and relapse TB patients on ART during TB treatment</v>
      </c>
      <c r="L2435" s="387"/>
      <c r="M2435" s="387" t="str">
        <f ca="1">IFERROR(IF(VLOOKUP(C2435,' Disaggregation - Section E '!A$618:O1447,15,0)=0,"",VLOOKUP(C2435,' Disaggregation - Section E '!A$618:O1447,15,0)),"")</f>
        <v>IDR-01358</v>
      </c>
      <c r="N2435" s="391" t="str">
        <f ca="1">IFERROR(IF(VLOOKUP(C2435,' Disaggregation - Section E '!A$618:J3124,10,0)=0,"",VLOOKUP(C2435,' Disaggregation - Section E '!A$618:J3124,10,0)),"")</f>
        <v>Data not available because the NTP quarterly reporting form does not allow reporting on this indicator</v>
      </c>
      <c r="O2435" s="387"/>
      <c r="P2435" s="387" t="str">
        <f ca="1">IFERROR(IF(VLOOKUP(C2435,' Disaggregation - Section E '!A$618:R1447,18,0)=0,"",VLOOKUP(C2435,' Disaggregation - Section E '!A$618:R1447,18,0)),"")</f>
        <v>a1LDm000000Cb4eMAC</v>
      </c>
    </row>
    <row r="2436" spans="1:16">
      <c r="A2436" s="387" t="b">
        <f t="shared" ca="1" si="168"/>
        <v>1</v>
      </c>
      <c r="B2436" s="387"/>
      <c r="C2436" s="396" t="str">
        <f ca="1">IF(COUNTA(O$1610:O2436)=1,"",OFFSET(B2434,-COUNTA(O$1610:O2436)+3,1))</f>
        <v>a16Dm000000M3t9IAC</v>
      </c>
      <c r="D2436" s="392"/>
      <c r="E2436" s="389" t="str">
        <f ca="1">IFERROR(IF(VLOOKUP(C2436,' Disaggregation - Section E '!A$618:J3125,7,0)="","",VLOOKUP(C2436,' Disaggregation - Section E '!A$618:J3125,7,0)*100),"")</f>
        <v/>
      </c>
      <c r="F2436" s="391" t="str">
        <f ca="1">IFERROR(VLOOKUP(C2436,' Disaggregation - Section E '!A$618:J3125,5,0),"")</f>
        <v>Female</v>
      </c>
      <c r="G2436" s="390" t="str">
        <f ca="1">IFERROR(IF(VLOOKUP(C2436,' Disaggregation - Section E '!A$618:J3125,6,0)="","",VLOOKUP(C2436,' Disaggregation - Section E '!A$618:J3125,6,0)),"")</f>
        <v/>
      </c>
      <c r="H2436" s="390" t="str">
        <f ca="1">IFERROR(IF(INDEX(' Disaggregation - Section E '!F$618:F3125,MATCH(C2436,' Disaggregation - Section E '!A$618:A3125,0)+1,1)&lt;&gt;0,INDEX(' Disaggregation - Section E '!F$618:F3125,MATCH(C2436,' Disaggregation - Section E '!A$618:A3125,0)+1,1),""),"")</f>
        <v/>
      </c>
      <c r="I2436" s="391" t="str">
        <f ca="1">IFERROR(IF(VLOOKUP(C2436,' Disaggregation - Section E '!A$618:J3125,8,0)=0,"",VLOOKUP(C2436,' Disaggregation - Section E '!A$618:J3125,8,0)),"")</f>
        <v/>
      </c>
      <c r="J2436" s="391" t="str">
        <f ca="1">IFERROR(IF(VLOOKUP(C2436,' Disaggregation - Section E '!A$618:J3125,9,0)="","",VLOOKUP(C2436,' Disaggregation - Section E '!A$618:J3125,9,0)),"")</f>
        <v>Not available</v>
      </c>
      <c r="K2436" s="387" t="str">
        <f ca="1">IFERROR(VLOOKUP(C2436,' Disaggregation - Section E '!A$618:J3125,3,0),"")</f>
        <v>TB/HIV-6 Percentage of HIV-positive new and relapse TB patients on ART during TB treatment</v>
      </c>
      <c r="L2436" s="387"/>
      <c r="M2436" s="387" t="str">
        <f ca="1">IFERROR(IF(VLOOKUP(C2436,' Disaggregation - Section E '!A$618:O1448,15,0)=0,"",VLOOKUP(C2436,' Disaggregation - Section E '!A$618:O1448,15,0)),"")</f>
        <v>IDR-01357</v>
      </c>
      <c r="N2436" s="391" t="str">
        <f ca="1">IFERROR(IF(VLOOKUP(C2436,' Disaggregation - Section E '!A$618:J3125,10,0)=0,"",VLOOKUP(C2436,' Disaggregation - Section E '!A$618:J3125,10,0)),"")</f>
        <v>Data not available because the NTP quarterly reporting form does not allow reporting on this indicator</v>
      </c>
      <c r="O2436" s="387"/>
      <c r="P2436" s="387" t="str">
        <f ca="1">IFERROR(IF(VLOOKUP(C2436,' Disaggregation - Section E '!A$618:R1448,18,0)=0,"",VLOOKUP(C2436,' Disaggregation - Section E '!A$618:R1448,18,0)),"")</f>
        <v>a1LDm000000Cb4dMAC</v>
      </c>
    </row>
    <row r="2437" spans="1:16">
      <c r="A2437" s="387" t="b">
        <f t="shared" ca="1" si="168"/>
        <v>0</v>
      </c>
      <c r="B2437" s="387"/>
      <c r="C2437" s="396" t="str">
        <f ca="1">IF(COUNTA(O$1610:O2437)=1,"",OFFSET(B2435,-COUNTA(O$1610:O2437)+3,1))</f>
        <v>a16Dm000000M3tAIAS</v>
      </c>
      <c r="D2437" s="392"/>
      <c r="E2437" s="389" t="str">
        <f ca="1">IFERROR(IF(VLOOKUP(C2437,' Disaggregation - Section E '!A$618:J3126,7,0)="","",VLOOKUP(C2437,' Disaggregation - Section E '!A$618:J3126,7,0)*100),"")</f>
        <v/>
      </c>
      <c r="F2437" s="391" t="str">
        <f ca="1">IFERROR(VLOOKUP(C2437,' Disaggregation - Section E '!A$618:J3126,5,0),"")</f>
        <v/>
      </c>
      <c r="G2437" s="390" t="str">
        <f ca="1">IFERROR(IF(VLOOKUP(C2437,' Disaggregation - Section E '!A$618:J3126,6,0)="","",VLOOKUP(C2437,' Disaggregation - Section E '!A$618:J3126,6,0)),"")</f>
        <v/>
      </c>
      <c r="H2437" s="390" t="str">
        <f ca="1">IFERROR(IF(INDEX(' Disaggregation - Section E '!F$618:F3126,MATCH(C2437,' Disaggregation - Section E '!A$618:A3126,0)+1,1)&lt;&gt;0,INDEX(' Disaggregation - Section E '!F$618:F3126,MATCH(C2437,' Disaggregation - Section E '!A$618:A3126,0)+1,1),""),"")</f>
        <v/>
      </c>
      <c r="I2437" s="391" t="str">
        <f ca="1">IFERROR(IF(VLOOKUP(C2437,' Disaggregation - Section E '!A$618:J3126,8,0)=0,"",VLOOKUP(C2437,' Disaggregation - Section E '!A$618:J3126,8,0)),"")</f>
        <v/>
      </c>
      <c r="J2437" s="391" t="str">
        <f ca="1">IFERROR(IF(VLOOKUP(C2437,' Disaggregation - Section E '!A$618:J3126,9,0)="","",VLOOKUP(C2437,' Disaggregation - Section E '!A$618:J3126,9,0)),"")</f>
        <v/>
      </c>
      <c r="K2437" s="387" t="str">
        <f ca="1">IFERROR(VLOOKUP(C2437,' Disaggregation - Section E '!A$618:J3126,3,0),"")</f>
        <v>TB/HIV-6 Percentage of HIV-positive new and relapse TB patients on ART during TB treatment</v>
      </c>
      <c r="L2437" s="387"/>
      <c r="M2437" s="387" t="str">
        <f ca="1">IFERROR(IF(VLOOKUP(C2437,' Disaggregation - Section E '!A$618:O1449,15,0)=0,"",VLOOKUP(C2437,' Disaggregation - Section E '!A$618:O1449,15,0)),"")</f>
        <v/>
      </c>
      <c r="N2437" s="391" t="str">
        <f ca="1">IFERROR(IF(VLOOKUP(C2437,' Disaggregation - Section E '!A$618:J3126,10,0)=0,"",VLOOKUP(C2437,' Disaggregation - Section E '!A$618:J3126,10,0)),"")</f>
        <v/>
      </c>
      <c r="O2437" s="387"/>
      <c r="P2437" s="387" t="str">
        <f ca="1">IFERROR(IF(VLOOKUP(C2437,' Disaggregation - Section E '!A$618:R1449,18,0)=0,"",VLOOKUP(C2437,' Disaggregation - Section E '!A$618:R1449,18,0)),"")</f>
        <v/>
      </c>
    </row>
    <row r="2438" spans="1:16">
      <c r="A2438" s="387" t="b">
        <f t="shared" ca="1" si="168"/>
        <v>0</v>
      </c>
      <c r="B2438" s="387"/>
      <c r="C2438" s="396" t="str">
        <f ca="1">IF(COUNTA(O$1610:O2438)=1,"",OFFSET(B2436,-COUNTA(O$1610:O2438)+3,1))</f>
        <v>a16Dm000000M3tBIAS</v>
      </c>
      <c r="D2438" s="392"/>
      <c r="E2438" s="389" t="str">
        <f ca="1">IFERROR(IF(VLOOKUP(C2438,' Disaggregation - Section E '!A$618:J3127,7,0)="","",VLOOKUP(C2438,' Disaggregation - Section E '!A$618:J3127,7,0)*100),"")</f>
        <v/>
      </c>
      <c r="F2438" s="391" t="str">
        <f ca="1">IFERROR(VLOOKUP(C2438,' Disaggregation - Section E '!A$618:J3127,5,0),"")</f>
        <v/>
      </c>
      <c r="G2438" s="390" t="str">
        <f ca="1">IFERROR(IF(VLOOKUP(C2438,' Disaggregation - Section E '!A$618:J3127,6,0)="","",VLOOKUP(C2438,' Disaggregation - Section E '!A$618:J3127,6,0)),"")</f>
        <v/>
      </c>
      <c r="H2438" s="390" t="str">
        <f ca="1">IFERROR(IF(INDEX(' Disaggregation - Section E '!F$618:F3127,MATCH(C2438,' Disaggregation - Section E '!A$618:A3127,0)+1,1)&lt;&gt;0,INDEX(' Disaggregation - Section E '!F$618:F3127,MATCH(C2438,' Disaggregation - Section E '!A$618:A3127,0)+1,1),""),"")</f>
        <v/>
      </c>
      <c r="I2438" s="391" t="str">
        <f ca="1">IFERROR(IF(VLOOKUP(C2438,' Disaggregation - Section E '!A$618:J3127,8,0)=0,"",VLOOKUP(C2438,' Disaggregation - Section E '!A$618:J3127,8,0)),"")</f>
        <v/>
      </c>
      <c r="J2438" s="391" t="str">
        <f ca="1">IFERROR(IF(VLOOKUP(C2438,' Disaggregation - Section E '!A$618:J3127,9,0)="","",VLOOKUP(C2438,' Disaggregation - Section E '!A$618:J3127,9,0)),"")</f>
        <v/>
      </c>
      <c r="K2438" s="387" t="str">
        <f ca="1">IFERROR(VLOOKUP(C2438,' Disaggregation - Section E '!A$618:J3127,3,0),"")</f>
        <v>TB/HIV-6 Percentage of HIV-positive new and relapse TB patients on ART during TB treatment</v>
      </c>
      <c r="L2438" s="387"/>
      <c r="M2438" s="387" t="str">
        <f ca="1">IFERROR(IF(VLOOKUP(C2438,' Disaggregation - Section E '!A$618:O1450,15,0)=0,"",VLOOKUP(C2438,' Disaggregation - Section E '!A$618:O1450,15,0)),"")</f>
        <v/>
      </c>
      <c r="N2438" s="391" t="str">
        <f ca="1">IFERROR(IF(VLOOKUP(C2438,' Disaggregation - Section E '!A$618:J3127,10,0)=0,"",VLOOKUP(C2438,' Disaggregation - Section E '!A$618:J3127,10,0)),"")</f>
        <v/>
      </c>
      <c r="O2438" s="387"/>
      <c r="P2438" s="387" t="str">
        <f ca="1">IFERROR(IF(VLOOKUP(C2438,' Disaggregation - Section E '!A$618:R1450,18,0)=0,"",VLOOKUP(C2438,' Disaggregation - Section E '!A$618:R1450,18,0)),"")</f>
        <v/>
      </c>
    </row>
    <row r="2439" spans="1:16">
      <c r="A2439" s="387" t="b">
        <f t="shared" ca="1" si="168"/>
        <v>0</v>
      </c>
      <c r="B2439" s="387"/>
      <c r="C2439" s="396" t="str">
        <f ca="1">IF(COUNTA(O$1610:O2439)=1,"",OFFSET(B2437,-COUNTA(O$1610:O2439)+3,1))</f>
        <v>a16Dm000000M3tCIAS</v>
      </c>
      <c r="D2439" s="392"/>
      <c r="E2439" s="389" t="str">
        <f ca="1">IFERROR(IF(VLOOKUP(C2439,' Disaggregation - Section E '!A$618:J3128,7,0)="","",VLOOKUP(C2439,' Disaggregation - Section E '!A$618:J3128,7,0)*100),"")</f>
        <v/>
      </c>
      <c r="F2439" s="391" t="str">
        <f ca="1">IFERROR(VLOOKUP(C2439,' Disaggregation - Section E '!A$618:J3128,5,0),"")</f>
        <v/>
      </c>
      <c r="G2439" s="390" t="str">
        <f ca="1">IFERROR(IF(VLOOKUP(C2439,' Disaggregation - Section E '!A$618:J3128,6,0)="","",VLOOKUP(C2439,' Disaggregation - Section E '!A$618:J3128,6,0)),"")</f>
        <v/>
      </c>
      <c r="H2439" s="390" t="str">
        <f ca="1">IFERROR(IF(INDEX(' Disaggregation - Section E '!F$618:F3128,MATCH(C2439,' Disaggregation - Section E '!A$618:A3128,0)+1,1)&lt;&gt;0,INDEX(' Disaggregation - Section E '!F$618:F3128,MATCH(C2439,' Disaggregation - Section E '!A$618:A3128,0)+1,1),""),"")</f>
        <v/>
      </c>
      <c r="I2439" s="391" t="str">
        <f ca="1">IFERROR(IF(VLOOKUP(C2439,' Disaggregation - Section E '!A$618:J3128,8,0)=0,"",VLOOKUP(C2439,' Disaggregation - Section E '!A$618:J3128,8,0)),"")</f>
        <v/>
      </c>
      <c r="J2439" s="391" t="str">
        <f ca="1">IFERROR(IF(VLOOKUP(C2439,' Disaggregation - Section E '!A$618:J3128,9,0)="","",VLOOKUP(C2439,' Disaggregation - Section E '!A$618:J3128,9,0)),"")</f>
        <v/>
      </c>
      <c r="K2439" s="387" t="str">
        <f ca="1">IFERROR(VLOOKUP(C2439,' Disaggregation - Section E '!A$618:J3128,3,0),"")</f>
        <v>TB/HIV-6 Percentage of HIV-positive new and relapse TB patients on ART during TB treatment</v>
      </c>
      <c r="L2439" s="387"/>
      <c r="M2439" s="387" t="str">
        <f ca="1">IFERROR(IF(VLOOKUP(C2439,' Disaggregation - Section E '!A$618:O1451,15,0)=0,"",VLOOKUP(C2439,' Disaggregation - Section E '!A$618:O1451,15,0)),"")</f>
        <v/>
      </c>
      <c r="N2439" s="391" t="str">
        <f ca="1">IFERROR(IF(VLOOKUP(C2439,' Disaggregation - Section E '!A$618:J3128,10,0)=0,"",VLOOKUP(C2439,' Disaggregation - Section E '!A$618:J3128,10,0)),"")</f>
        <v/>
      </c>
      <c r="O2439" s="387"/>
      <c r="P2439" s="387" t="str">
        <f ca="1">IFERROR(IF(VLOOKUP(C2439,' Disaggregation - Section E '!A$618:R1451,18,0)=0,"",VLOOKUP(C2439,' Disaggregation - Section E '!A$618:R1451,18,0)),"")</f>
        <v/>
      </c>
    </row>
    <row r="2440" spans="1:16">
      <c r="A2440" s="387" t="b">
        <f t="shared" ca="1" si="168"/>
        <v>0</v>
      </c>
      <c r="B2440" s="387"/>
      <c r="C2440" s="396" t="str">
        <f ca="1">IF(COUNTA(O$1610:O2440)=1,"",OFFSET(B2438,-COUNTA(O$1610:O2440)+3,1))</f>
        <v>a16Dm000000M3tDIAS</v>
      </c>
      <c r="D2440" s="392"/>
      <c r="E2440" s="389" t="str">
        <f ca="1">IFERROR(IF(VLOOKUP(C2440,' Disaggregation - Section E '!A$618:J3129,7,0)="","",VLOOKUP(C2440,' Disaggregation - Section E '!A$618:J3129,7,0)*100),"")</f>
        <v/>
      </c>
      <c r="F2440" s="391" t="str">
        <f ca="1">IFERROR(VLOOKUP(C2440,' Disaggregation - Section E '!A$618:J3129,5,0),"")</f>
        <v/>
      </c>
      <c r="G2440" s="390" t="str">
        <f ca="1">IFERROR(IF(VLOOKUP(C2440,' Disaggregation - Section E '!A$618:J3129,6,0)="","",VLOOKUP(C2440,' Disaggregation - Section E '!A$618:J3129,6,0)),"")</f>
        <v/>
      </c>
      <c r="H2440" s="390" t="str">
        <f ca="1">IFERROR(IF(INDEX(' Disaggregation - Section E '!F$618:F3129,MATCH(C2440,' Disaggregation - Section E '!A$618:A3129,0)+1,1)&lt;&gt;0,INDEX(' Disaggregation - Section E '!F$618:F3129,MATCH(C2440,' Disaggregation - Section E '!A$618:A3129,0)+1,1),""),"")</f>
        <v/>
      </c>
      <c r="I2440" s="391" t="str">
        <f ca="1">IFERROR(IF(VLOOKUP(C2440,' Disaggregation - Section E '!A$618:J3129,8,0)=0,"",VLOOKUP(C2440,' Disaggregation - Section E '!A$618:J3129,8,0)),"")</f>
        <v/>
      </c>
      <c r="J2440" s="391" t="str">
        <f ca="1">IFERROR(IF(VLOOKUP(C2440,' Disaggregation - Section E '!A$618:J3129,9,0)="","",VLOOKUP(C2440,' Disaggregation - Section E '!A$618:J3129,9,0)),"")</f>
        <v/>
      </c>
      <c r="K2440" s="387" t="str">
        <f ca="1">IFERROR(VLOOKUP(C2440,' Disaggregation - Section E '!A$618:J3129,3,0),"")</f>
        <v>TB/HIV-6 Percentage of HIV-positive new and relapse TB patients on ART during TB treatment</v>
      </c>
      <c r="L2440" s="387"/>
      <c r="M2440" s="387" t="str">
        <f ca="1">IFERROR(IF(VLOOKUP(C2440,' Disaggregation - Section E '!A$618:O1452,15,0)=0,"",VLOOKUP(C2440,' Disaggregation - Section E '!A$618:O1452,15,0)),"")</f>
        <v/>
      </c>
      <c r="N2440" s="391" t="str">
        <f ca="1">IFERROR(IF(VLOOKUP(C2440,' Disaggregation - Section E '!A$618:J3129,10,0)=0,"",VLOOKUP(C2440,' Disaggregation - Section E '!A$618:J3129,10,0)),"")</f>
        <v/>
      </c>
      <c r="O2440" s="387"/>
      <c r="P2440" s="387" t="str">
        <f ca="1">IFERROR(IF(VLOOKUP(C2440,' Disaggregation - Section E '!A$618:R1452,18,0)=0,"",VLOOKUP(C2440,' Disaggregation - Section E '!A$618:R1452,18,0)),"")</f>
        <v/>
      </c>
    </row>
    <row r="2441" spans="1:16">
      <c r="A2441" s="387" t="b">
        <f t="shared" ca="1" si="168"/>
        <v>0</v>
      </c>
      <c r="B2441" s="387"/>
      <c r="C2441" s="396" t="str">
        <f ca="1">IF(COUNTA(O$1610:O2441)=1,"",OFFSET(B2439,-COUNTA(O$1610:O2441)+3,1))</f>
        <v>a16Dm000000M3tEIAS</v>
      </c>
      <c r="D2441" s="392"/>
      <c r="E2441" s="389" t="str">
        <f ca="1">IFERROR(IF(VLOOKUP(C2441,' Disaggregation - Section E '!A$618:J3130,7,0)="","",VLOOKUP(C2441,' Disaggregation - Section E '!A$618:J3130,7,0)*100),"")</f>
        <v/>
      </c>
      <c r="F2441" s="391" t="str">
        <f ca="1">IFERROR(VLOOKUP(C2441,' Disaggregation - Section E '!A$618:J3130,5,0),"")</f>
        <v/>
      </c>
      <c r="G2441" s="390" t="str">
        <f ca="1">IFERROR(IF(VLOOKUP(C2441,' Disaggregation - Section E '!A$618:J3130,6,0)="","",VLOOKUP(C2441,' Disaggregation - Section E '!A$618:J3130,6,0)),"")</f>
        <v/>
      </c>
      <c r="H2441" s="390" t="str">
        <f ca="1">IFERROR(IF(INDEX(' Disaggregation - Section E '!F$618:F3130,MATCH(C2441,' Disaggregation - Section E '!A$618:A3130,0)+1,1)&lt;&gt;0,INDEX(' Disaggregation - Section E '!F$618:F3130,MATCH(C2441,' Disaggregation - Section E '!A$618:A3130,0)+1,1),""),"")</f>
        <v/>
      </c>
      <c r="I2441" s="391" t="str">
        <f ca="1">IFERROR(IF(VLOOKUP(C2441,' Disaggregation - Section E '!A$618:J3130,8,0)=0,"",VLOOKUP(C2441,' Disaggregation - Section E '!A$618:J3130,8,0)),"")</f>
        <v/>
      </c>
      <c r="J2441" s="391" t="str">
        <f ca="1">IFERROR(IF(VLOOKUP(C2441,' Disaggregation - Section E '!A$618:J3130,9,0)="","",VLOOKUP(C2441,' Disaggregation - Section E '!A$618:J3130,9,0)),"")</f>
        <v/>
      </c>
      <c r="K2441" s="387" t="str">
        <f ca="1">IFERROR(VLOOKUP(C2441,' Disaggregation - Section E '!A$618:J3130,3,0),"")</f>
        <v>TB/HIV-6 Percentage of HIV-positive new and relapse TB patients on ART during TB treatment</v>
      </c>
      <c r="L2441" s="387"/>
      <c r="M2441" s="387" t="str">
        <f ca="1">IFERROR(IF(VLOOKUP(C2441,' Disaggregation - Section E '!A$618:O1453,15,0)=0,"",VLOOKUP(C2441,' Disaggregation - Section E '!A$618:O1453,15,0)),"")</f>
        <v/>
      </c>
      <c r="N2441" s="391" t="str">
        <f ca="1">IFERROR(IF(VLOOKUP(C2441,' Disaggregation - Section E '!A$618:J3130,10,0)=0,"",VLOOKUP(C2441,' Disaggregation - Section E '!A$618:J3130,10,0)),"")</f>
        <v/>
      </c>
      <c r="O2441" s="387"/>
      <c r="P2441" s="387" t="str">
        <f ca="1">IFERROR(IF(VLOOKUP(C2441,' Disaggregation - Section E '!A$618:R1453,18,0)=0,"",VLOOKUP(C2441,' Disaggregation - Section E '!A$618:R1453,18,0)),"")</f>
        <v/>
      </c>
    </row>
    <row r="2442" spans="1:16">
      <c r="A2442" s="387" t="b">
        <f t="shared" ca="1" si="168"/>
        <v>0</v>
      </c>
      <c r="B2442" s="387"/>
      <c r="C2442" s="396" t="str">
        <f ca="1">IF(COUNTA(O$1610:O2442)=1,"",OFFSET(B2440,-COUNTA(O$1610:O2442)+3,1))</f>
        <v>a16Dm000000M3tFIAS</v>
      </c>
      <c r="D2442" s="392"/>
      <c r="E2442" s="389" t="str">
        <f ca="1">IFERROR(IF(VLOOKUP(C2442,' Disaggregation - Section E '!A$618:J3131,7,0)="","",VLOOKUP(C2442,' Disaggregation - Section E '!A$618:J3131,7,0)*100),"")</f>
        <v/>
      </c>
      <c r="F2442" s="391" t="str">
        <f ca="1">IFERROR(VLOOKUP(C2442,' Disaggregation - Section E '!A$618:J3131,5,0),"")</f>
        <v/>
      </c>
      <c r="G2442" s="390" t="str">
        <f ca="1">IFERROR(IF(VLOOKUP(C2442,' Disaggregation - Section E '!A$618:J3131,6,0)="","",VLOOKUP(C2442,' Disaggregation - Section E '!A$618:J3131,6,0)),"")</f>
        <v/>
      </c>
      <c r="H2442" s="390" t="str">
        <f ca="1">IFERROR(IF(INDEX(' Disaggregation - Section E '!F$618:F3131,MATCH(C2442,' Disaggregation - Section E '!A$618:A3131,0)+1,1)&lt;&gt;0,INDEX(' Disaggregation - Section E '!F$618:F3131,MATCH(C2442,' Disaggregation - Section E '!A$618:A3131,0)+1,1),""),"")</f>
        <v/>
      </c>
      <c r="I2442" s="391" t="str">
        <f ca="1">IFERROR(IF(VLOOKUP(C2442,' Disaggregation - Section E '!A$618:J3131,8,0)=0,"",VLOOKUP(C2442,' Disaggregation - Section E '!A$618:J3131,8,0)),"")</f>
        <v/>
      </c>
      <c r="J2442" s="391" t="str">
        <f ca="1">IFERROR(IF(VLOOKUP(C2442,' Disaggregation - Section E '!A$618:J3131,9,0)="","",VLOOKUP(C2442,' Disaggregation - Section E '!A$618:J3131,9,0)),"")</f>
        <v/>
      </c>
      <c r="K2442" s="387" t="str">
        <f ca="1">IFERROR(VLOOKUP(C2442,' Disaggregation - Section E '!A$618:J3131,3,0),"")</f>
        <v>TB/HIV-6 Percentage of HIV-positive new and relapse TB patients on ART during TB treatment</v>
      </c>
      <c r="L2442" s="387"/>
      <c r="M2442" s="387" t="str">
        <f ca="1">IFERROR(IF(VLOOKUP(C2442,' Disaggregation - Section E '!A$618:O1454,15,0)=0,"",VLOOKUP(C2442,' Disaggregation - Section E '!A$618:O1454,15,0)),"")</f>
        <v/>
      </c>
      <c r="N2442" s="391" t="str">
        <f ca="1">IFERROR(IF(VLOOKUP(C2442,' Disaggregation - Section E '!A$618:J3131,10,0)=0,"",VLOOKUP(C2442,' Disaggregation - Section E '!A$618:J3131,10,0)),"")</f>
        <v/>
      </c>
      <c r="O2442" s="387"/>
      <c r="P2442" s="387" t="str">
        <f ca="1">IFERROR(IF(VLOOKUP(C2442,' Disaggregation - Section E '!A$618:R1454,18,0)=0,"",VLOOKUP(C2442,' Disaggregation - Section E '!A$618:R1454,18,0)),"")</f>
        <v/>
      </c>
    </row>
    <row r="2443" spans="1:16">
      <c r="A2443" s="387" t="b">
        <f t="shared" ca="1" si="168"/>
        <v>0</v>
      </c>
      <c r="B2443" s="387"/>
      <c r="C2443" s="396" t="str">
        <f ca="1">IF(COUNTA(O$1610:O2443)=1,"",OFFSET(B2441,-COUNTA(O$1610:O2443)+3,1))</f>
        <v>a16Dm000000M3tGIAS</v>
      </c>
      <c r="D2443" s="392"/>
      <c r="E2443" s="389" t="str">
        <f ca="1">IFERROR(IF(VLOOKUP(C2443,' Disaggregation - Section E '!A$618:J3132,7,0)="","",VLOOKUP(C2443,' Disaggregation - Section E '!A$618:J3132,7,0)*100),"")</f>
        <v/>
      </c>
      <c r="F2443" s="391" t="str">
        <f ca="1">IFERROR(VLOOKUP(C2443,' Disaggregation - Section E '!A$618:J3132,5,0),"")</f>
        <v/>
      </c>
      <c r="G2443" s="390" t="str">
        <f ca="1">IFERROR(IF(VLOOKUP(C2443,' Disaggregation - Section E '!A$618:J3132,6,0)="","",VLOOKUP(C2443,' Disaggregation - Section E '!A$618:J3132,6,0)),"")</f>
        <v/>
      </c>
      <c r="H2443" s="390" t="str">
        <f ca="1">IFERROR(IF(INDEX(' Disaggregation - Section E '!F$618:F3132,MATCH(C2443,' Disaggregation - Section E '!A$618:A3132,0)+1,1)&lt;&gt;0,INDEX(' Disaggregation - Section E '!F$618:F3132,MATCH(C2443,' Disaggregation - Section E '!A$618:A3132,0)+1,1),""),"")</f>
        <v/>
      </c>
      <c r="I2443" s="391" t="str">
        <f ca="1">IFERROR(IF(VLOOKUP(C2443,' Disaggregation - Section E '!A$618:J3132,8,0)=0,"",VLOOKUP(C2443,' Disaggregation - Section E '!A$618:J3132,8,0)),"")</f>
        <v/>
      </c>
      <c r="J2443" s="391" t="str">
        <f ca="1">IFERROR(IF(VLOOKUP(C2443,' Disaggregation - Section E '!A$618:J3132,9,0)="","",VLOOKUP(C2443,' Disaggregation - Section E '!A$618:J3132,9,0)),"")</f>
        <v/>
      </c>
      <c r="K2443" s="387" t="str">
        <f ca="1">IFERROR(VLOOKUP(C2443,' Disaggregation - Section E '!A$618:J3132,3,0),"")</f>
        <v>TB/HIV-6 Percentage of HIV-positive new and relapse TB patients on ART during TB treatment</v>
      </c>
      <c r="L2443" s="387"/>
      <c r="M2443" s="387" t="str">
        <f ca="1">IFERROR(IF(VLOOKUP(C2443,' Disaggregation - Section E '!A$618:O1455,15,0)=0,"",VLOOKUP(C2443,' Disaggregation - Section E '!A$618:O1455,15,0)),"")</f>
        <v/>
      </c>
      <c r="N2443" s="391" t="str">
        <f ca="1">IFERROR(IF(VLOOKUP(C2443,' Disaggregation - Section E '!A$618:J3132,10,0)=0,"",VLOOKUP(C2443,' Disaggregation - Section E '!A$618:J3132,10,0)),"")</f>
        <v/>
      </c>
      <c r="O2443" s="387"/>
      <c r="P2443" s="387" t="str">
        <f ca="1">IFERROR(IF(VLOOKUP(C2443,' Disaggregation - Section E '!A$618:R1455,18,0)=0,"",VLOOKUP(C2443,' Disaggregation - Section E '!A$618:R1455,18,0)),"")</f>
        <v/>
      </c>
    </row>
    <row r="2444" spans="1:16">
      <c r="A2444" s="387" t="b">
        <f t="shared" ref="A2444:A2507" ca="1" si="169">IF(M2444&lt;&gt;"",TRUE,FALSE)</f>
        <v>0</v>
      </c>
      <c r="B2444" s="387"/>
      <c r="C2444" s="396" t="str">
        <f ca="1">IF(COUNTA(O$1610:O2444)=1,"",OFFSET(B2442,-COUNTA(O$1610:O2444)+3,1))</f>
        <v>a16Dm000000M3tHIAS</v>
      </c>
      <c r="D2444" s="392"/>
      <c r="E2444" s="389" t="str">
        <f ca="1">IFERROR(IF(VLOOKUP(C2444,' Disaggregation - Section E '!A$618:J3133,7,0)="","",VLOOKUP(C2444,' Disaggregation - Section E '!A$618:J3133,7,0)*100),"")</f>
        <v/>
      </c>
      <c r="F2444" s="391" t="str">
        <f ca="1">IFERROR(VLOOKUP(C2444,' Disaggregation - Section E '!A$618:J3133,5,0),"")</f>
        <v/>
      </c>
      <c r="G2444" s="390" t="str">
        <f ca="1">IFERROR(IF(VLOOKUP(C2444,' Disaggregation - Section E '!A$618:J3133,6,0)="","",VLOOKUP(C2444,' Disaggregation - Section E '!A$618:J3133,6,0)),"")</f>
        <v/>
      </c>
      <c r="H2444" s="390" t="str">
        <f ca="1">IFERROR(IF(INDEX(' Disaggregation - Section E '!F$618:F3133,MATCH(C2444,' Disaggregation - Section E '!A$618:A3133,0)+1,1)&lt;&gt;0,INDEX(' Disaggregation - Section E '!F$618:F3133,MATCH(C2444,' Disaggregation - Section E '!A$618:A3133,0)+1,1),""),"")</f>
        <v/>
      </c>
      <c r="I2444" s="391" t="str">
        <f ca="1">IFERROR(IF(VLOOKUP(C2444,' Disaggregation - Section E '!A$618:J3133,8,0)=0,"",VLOOKUP(C2444,' Disaggregation - Section E '!A$618:J3133,8,0)),"")</f>
        <v/>
      </c>
      <c r="J2444" s="391" t="str">
        <f ca="1">IFERROR(IF(VLOOKUP(C2444,' Disaggregation - Section E '!A$618:J3133,9,0)="","",VLOOKUP(C2444,' Disaggregation - Section E '!A$618:J3133,9,0)),"")</f>
        <v/>
      </c>
      <c r="K2444" s="387" t="str">
        <f ca="1">IFERROR(VLOOKUP(C2444,' Disaggregation - Section E '!A$618:J3133,3,0),"")</f>
        <v>TB/HIV-6 Percentage of HIV-positive new and relapse TB patients on ART during TB treatment</v>
      </c>
      <c r="L2444" s="387"/>
      <c r="M2444" s="387" t="str">
        <f ca="1">IFERROR(IF(VLOOKUP(C2444,' Disaggregation - Section E '!A$618:O1456,15,0)=0,"",VLOOKUP(C2444,' Disaggregation - Section E '!A$618:O1456,15,0)),"")</f>
        <v/>
      </c>
      <c r="N2444" s="391" t="str">
        <f ca="1">IFERROR(IF(VLOOKUP(C2444,' Disaggregation - Section E '!A$618:J3133,10,0)=0,"",VLOOKUP(C2444,' Disaggregation - Section E '!A$618:J3133,10,0)),"")</f>
        <v/>
      </c>
      <c r="O2444" s="387"/>
      <c r="P2444" s="387" t="str">
        <f ca="1">IFERROR(IF(VLOOKUP(C2444,' Disaggregation - Section E '!A$618:R1456,18,0)=0,"",VLOOKUP(C2444,' Disaggregation - Section E '!A$618:R1456,18,0)),"")</f>
        <v/>
      </c>
    </row>
    <row r="2445" spans="1:16">
      <c r="A2445" s="387" t="b">
        <f t="shared" ca="1" si="169"/>
        <v>0</v>
      </c>
      <c r="B2445" s="387"/>
      <c r="C2445" s="396" t="str">
        <f ca="1">IF(COUNTA(O$1610:O2445)=1,"",OFFSET(B2443,-COUNTA(O$1610:O2445)+3,1))</f>
        <v>a16Dm000000M3tIIAS</v>
      </c>
      <c r="D2445" s="392"/>
      <c r="E2445" s="389" t="str">
        <f ca="1">IFERROR(IF(VLOOKUP(C2445,' Disaggregation - Section E '!A$618:J3134,7,0)="","",VLOOKUP(C2445,' Disaggregation - Section E '!A$618:J3134,7,0)*100),"")</f>
        <v/>
      </c>
      <c r="F2445" s="391" t="str">
        <f ca="1">IFERROR(VLOOKUP(C2445,' Disaggregation - Section E '!A$618:J3134,5,0),"")</f>
        <v/>
      </c>
      <c r="G2445" s="390" t="str">
        <f ca="1">IFERROR(IF(VLOOKUP(C2445,' Disaggregation - Section E '!A$618:J3134,6,0)="","",VLOOKUP(C2445,' Disaggregation - Section E '!A$618:J3134,6,0)),"")</f>
        <v/>
      </c>
      <c r="H2445" s="390" t="str">
        <f ca="1">IFERROR(IF(INDEX(' Disaggregation - Section E '!F$618:F3134,MATCH(C2445,' Disaggregation - Section E '!A$618:A3134,0)+1,1)&lt;&gt;0,INDEX(' Disaggregation - Section E '!F$618:F3134,MATCH(C2445,' Disaggregation - Section E '!A$618:A3134,0)+1,1),""),"")</f>
        <v/>
      </c>
      <c r="I2445" s="391" t="str">
        <f ca="1">IFERROR(IF(VLOOKUP(C2445,' Disaggregation - Section E '!A$618:J3134,8,0)=0,"",VLOOKUP(C2445,' Disaggregation - Section E '!A$618:J3134,8,0)),"")</f>
        <v/>
      </c>
      <c r="J2445" s="391" t="str">
        <f ca="1">IFERROR(IF(VLOOKUP(C2445,' Disaggregation - Section E '!A$618:J3134,9,0)="","",VLOOKUP(C2445,' Disaggregation - Section E '!A$618:J3134,9,0)),"")</f>
        <v/>
      </c>
      <c r="K2445" s="387" t="str">
        <f ca="1">IFERROR(VLOOKUP(C2445,' Disaggregation - Section E '!A$618:J3134,3,0),"")</f>
        <v>TB/HIV-6 Percentage of HIV-positive new and relapse TB patients on ART during TB treatment</v>
      </c>
      <c r="L2445" s="387"/>
      <c r="M2445" s="387" t="str">
        <f ca="1">IFERROR(IF(VLOOKUP(C2445,' Disaggregation - Section E '!A$618:O1457,15,0)=0,"",VLOOKUP(C2445,' Disaggregation - Section E '!A$618:O1457,15,0)),"")</f>
        <v/>
      </c>
      <c r="N2445" s="391" t="str">
        <f ca="1">IFERROR(IF(VLOOKUP(C2445,' Disaggregation - Section E '!A$618:J3134,10,0)=0,"",VLOOKUP(C2445,' Disaggregation - Section E '!A$618:J3134,10,0)),"")</f>
        <v/>
      </c>
      <c r="O2445" s="387"/>
      <c r="P2445" s="387" t="str">
        <f ca="1">IFERROR(IF(VLOOKUP(C2445,' Disaggregation - Section E '!A$618:R1457,18,0)=0,"",VLOOKUP(C2445,' Disaggregation - Section E '!A$618:R1457,18,0)),"")</f>
        <v/>
      </c>
    </row>
    <row r="2446" spans="1:16">
      <c r="A2446" s="387" t="b">
        <f t="shared" ca="1" si="169"/>
        <v>0</v>
      </c>
      <c r="B2446" s="387"/>
      <c r="C2446" s="396" t="str">
        <f ca="1">IF(COUNTA(O$1610:O2446)=1,"",OFFSET(B2444,-COUNTA(O$1610:O2446)+3,1))</f>
        <v>a16Dm000000M3tJIAS</v>
      </c>
      <c r="D2446" s="392"/>
      <c r="E2446" s="389" t="str">
        <f ca="1">IFERROR(IF(VLOOKUP(C2446,' Disaggregation - Section E '!A$618:J3135,7,0)="","",VLOOKUP(C2446,' Disaggregation - Section E '!A$618:J3135,7,0)*100),"")</f>
        <v/>
      </c>
      <c r="F2446" s="391" t="str">
        <f ca="1">IFERROR(VLOOKUP(C2446,' Disaggregation - Section E '!A$618:J3135,5,0),"")</f>
        <v/>
      </c>
      <c r="G2446" s="390" t="str">
        <f ca="1">IFERROR(IF(VLOOKUP(C2446,' Disaggregation - Section E '!A$618:J3135,6,0)="","",VLOOKUP(C2446,' Disaggregation - Section E '!A$618:J3135,6,0)),"")</f>
        <v/>
      </c>
      <c r="H2446" s="390" t="str">
        <f ca="1">IFERROR(IF(INDEX(' Disaggregation - Section E '!F$618:F3135,MATCH(C2446,' Disaggregation - Section E '!A$618:A3135,0)+1,1)&lt;&gt;0,INDEX(' Disaggregation - Section E '!F$618:F3135,MATCH(C2446,' Disaggregation - Section E '!A$618:A3135,0)+1,1),""),"")</f>
        <v/>
      </c>
      <c r="I2446" s="391" t="str">
        <f ca="1">IFERROR(IF(VLOOKUP(C2446,' Disaggregation - Section E '!A$618:J3135,8,0)=0,"",VLOOKUP(C2446,' Disaggregation - Section E '!A$618:J3135,8,0)),"")</f>
        <v/>
      </c>
      <c r="J2446" s="391" t="str">
        <f ca="1">IFERROR(IF(VLOOKUP(C2446,' Disaggregation - Section E '!A$618:J3135,9,0)="","",VLOOKUP(C2446,' Disaggregation - Section E '!A$618:J3135,9,0)),"")</f>
        <v/>
      </c>
      <c r="K2446" s="387" t="str">
        <f ca="1">IFERROR(VLOOKUP(C2446,' Disaggregation - Section E '!A$618:J3135,3,0),"")</f>
        <v>TB/HIV-6 Percentage of HIV-positive new and relapse TB patients on ART during TB treatment</v>
      </c>
      <c r="L2446" s="387"/>
      <c r="M2446" s="387" t="str">
        <f ca="1">IFERROR(IF(VLOOKUP(C2446,' Disaggregation - Section E '!A$618:O1458,15,0)=0,"",VLOOKUP(C2446,' Disaggregation - Section E '!A$618:O1458,15,0)),"")</f>
        <v/>
      </c>
      <c r="N2446" s="391" t="str">
        <f ca="1">IFERROR(IF(VLOOKUP(C2446,' Disaggregation - Section E '!A$618:J3135,10,0)=0,"",VLOOKUP(C2446,' Disaggregation - Section E '!A$618:J3135,10,0)),"")</f>
        <v/>
      </c>
      <c r="O2446" s="387"/>
      <c r="P2446" s="387" t="str">
        <f ca="1">IFERROR(IF(VLOOKUP(C2446,' Disaggregation - Section E '!A$618:R1458,18,0)=0,"",VLOOKUP(C2446,' Disaggregation - Section E '!A$618:R1458,18,0)),"")</f>
        <v/>
      </c>
    </row>
    <row r="2447" spans="1:16">
      <c r="A2447" s="387" t="b">
        <f t="shared" ca="1" si="169"/>
        <v>0</v>
      </c>
      <c r="B2447" s="387"/>
      <c r="C2447" s="396" t="str">
        <f ca="1">IF(COUNTA(O$1610:O2447)=1,"",OFFSET(B2445,-COUNTA(O$1610:O2447)+3,1))</f>
        <v>a16Dm000000M3tKIAS</v>
      </c>
      <c r="D2447" s="392"/>
      <c r="E2447" s="389" t="str">
        <f ca="1">IFERROR(IF(VLOOKUP(C2447,' Disaggregation - Section E '!A$618:J3136,7,0)="","",VLOOKUP(C2447,' Disaggregation - Section E '!A$618:J3136,7,0)*100),"")</f>
        <v/>
      </c>
      <c r="F2447" s="391" t="str">
        <f ca="1">IFERROR(VLOOKUP(C2447,' Disaggregation - Section E '!A$618:J3136,5,0),"")</f>
        <v/>
      </c>
      <c r="G2447" s="390" t="str">
        <f ca="1">IFERROR(IF(VLOOKUP(C2447,' Disaggregation - Section E '!A$618:J3136,6,0)="","",VLOOKUP(C2447,' Disaggregation - Section E '!A$618:J3136,6,0)),"")</f>
        <v/>
      </c>
      <c r="H2447" s="390" t="str">
        <f ca="1">IFERROR(IF(INDEX(' Disaggregation - Section E '!F$618:F3136,MATCH(C2447,' Disaggregation - Section E '!A$618:A3136,0)+1,1)&lt;&gt;0,INDEX(' Disaggregation - Section E '!F$618:F3136,MATCH(C2447,' Disaggregation - Section E '!A$618:A3136,0)+1,1),""),"")</f>
        <v/>
      </c>
      <c r="I2447" s="391" t="str">
        <f ca="1">IFERROR(IF(VLOOKUP(C2447,' Disaggregation - Section E '!A$618:J3136,8,0)=0,"",VLOOKUP(C2447,' Disaggregation - Section E '!A$618:J3136,8,0)),"")</f>
        <v/>
      </c>
      <c r="J2447" s="391" t="str">
        <f ca="1">IFERROR(IF(VLOOKUP(C2447,' Disaggregation - Section E '!A$618:J3136,9,0)="","",VLOOKUP(C2447,' Disaggregation - Section E '!A$618:J3136,9,0)),"")</f>
        <v/>
      </c>
      <c r="K2447" s="387" t="str">
        <f ca="1">IFERROR(VLOOKUP(C2447,' Disaggregation - Section E '!A$618:J3136,3,0),"")</f>
        <v>TB/HIV-6 Percentage of HIV-positive new and relapse TB patients on ART during TB treatment</v>
      </c>
      <c r="L2447" s="387"/>
      <c r="M2447" s="387" t="str">
        <f ca="1">IFERROR(IF(VLOOKUP(C2447,' Disaggregation - Section E '!A$618:O1459,15,0)=0,"",VLOOKUP(C2447,' Disaggregation - Section E '!A$618:O1459,15,0)),"")</f>
        <v/>
      </c>
      <c r="N2447" s="391" t="str">
        <f ca="1">IFERROR(IF(VLOOKUP(C2447,' Disaggregation - Section E '!A$618:J3136,10,0)=0,"",VLOOKUP(C2447,' Disaggregation - Section E '!A$618:J3136,10,0)),"")</f>
        <v/>
      </c>
      <c r="O2447" s="387"/>
      <c r="P2447" s="387" t="str">
        <f ca="1">IFERROR(IF(VLOOKUP(C2447,' Disaggregation - Section E '!A$618:R1459,18,0)=0,"",VLOOKUP(C2447,' Disaggregation - Section E '!A$618:R1459,18,0)),"")</f>
        <v/>
      </c>
    </row>
    <row r="2448" spans="1:16">
      <c r="A2448" s="387" t="b">
        <f t="shared" ca="1" si="169"/>
        <v>0</v>
      </c>
      <c r="B2448" s="387"/>
      <c r="C2448" s="396" t="str">
        <f ca="1">IF(COUNTA(O$1610:O2448)=1,"",OFFSET(B2446,-COUNTA(O$1610:O2448)+3,1))</f>
        <v>a16Dm000000M3tLIAS</v>
      </c>
      <c r="D2448" s="392"/>
      <c r="E2448" s="389" t="str">
        <f ca="1">IFERROR(IF(VLOOKUP(C2448,' Disaggregation - Section E '!A$618:J3137,7,0)="","",VLOOKUP(C2448,' Disaggregation - Section E '!A$618:J3137,7,0)*100),"")</f>
        <v/>
      </c>
      <c r="F2448" s="391" t="str">
        <f ca="1">IFERROR(VLOOKUP(C2448,' Disaggregation - Section E '!A$618:J3137,5,0),"")</f>
        <v/>
      </c>
      <c r="G2448" s="390" t="str">
        <f ca="1">IFERROR(IF(VLOOKUP(C2448,' Disaggregation - Section E '!A$618:J3137,6,0)="","",VLOOKUP(C2448,' Disaggregation - Section E '!A$618:J3137,6,0)),"")</f>
        <v/>
      </c>
      <c r="H2448" s="390" t="str">
        <f ca="1">IFERROR(IF(INDEX(' Disaggregation - Section E '!F$618:F3137,MATCH(C2448,' Disaggregation - Section E '!A$618:A3137,0)+1,1)&lt;&gt;0,INDEX(' Disaggregation - Section E '!F$618:F3137,MATCH(C2448,' Disaggregation - Section E '!A$618:A3137,0)+1,1),""),"")</f>
        <v/>
      </c>
      <c r="I2448" s="391" t="str">
        <f ca="1">IFERROR(IF(VLOOKUP(C2448,' Disaggregation - Section E '!A$618:J3137,8,0)=0,"",VLOOKUP(C2448,' Disaggregation - Section E '!A$618:J3137,8,0)),"")</f>
        <v/>
      </c>
      <c r="J2448" s="391" t="str">
        <f ca="1">IFERROR(IF(VLOOKUP(C2448,' Disaggregation - Section E '!A$618:J3137,9,0)="","",VLOOKUP(C2448,' Disaggregation - Section E '!A$618:J3137,9,0)),"")</f>
        <v/>
      </c>
      <c r="K2448" s="387" t="str">
        <f ca="1">IFERROR(VLOOKUP(C2448,' Disaggregation - Section E '!A$618:J3137,3,0),"")</f>
        <v>TB/HIV-6 Percentage of HIV-positive new and relapse TB patients on ART during TB treatment</v>
      </c>
      <c r="L2448" s="387"/>
      <c r="M2448" s="387" t="str">
        <f ca="1">IFERROR(IF(VLOOKUP(C2448,' Disaggregation - Section E '!A$618:O1460,15,0)=0,"",VLOOKUP(C2448,' Disaggregation - Section E '!A$618:O1460,15,0)),"")</f>
        <v/>
      </c>
      <c r="N2448" s="391" t="str">
        <f ca="1">IFERROR(IF(VLOOKUP(C2448,' Disaggregation - Section E '!A$618:J3137,10,0)=0,"",VLOOKUP(C2448,' Disaggregation - Section E '!A$618:J3137,10,0)),"")</f>
        <v/>
      </c>
      <c r="O2448" s="387"/>
      <c r="P2448" s="387" t="str">
        <f ca="1">IFERROR(IF(VLOOKUP(C2448,' Disaggregation - Section E '!A$618:R1460,18,0)=0,"",VLOOKUP(C2448,' Disaggregation - Section E '!A$618:R1460,18,0)),"")</f>
        <v/>
      </c>
    </row>
    <row r="2449" spans="1:16">
      <c r="A2449" s="387" t="b">
        <f t="shared" ca="1" si="169"/>
        <v>0</v>
      </c>
      <c r="B2449" s="387"/>
      <c r="C2449" s="396" t="str">
        <f ca="1">IF(COUNTA(O$1610:O2449)=1,"",OFFSET(B2447,-COUNTA(O$1610:O2449)+3,1))</f>
        <v>a16Dm000000M3tMIAS</v>
      </c>
      <c r="D2449" s="392"/>
      <c r="E2449" s="389" t="str">
        <f ca="1">IFERROR(IF(VLOOKUP(C2449,' Disaggregation - Section E '!A$618:J3138,7,0)="","",VLOOKUP(C2449,' Disaggregation - Section E '!A$618:J3138,7,0)*100),"")</f>
        <v/>
      </c>
      <c r="F2449" s="391" t="str">
        <f ca="1">IFERROR(VLOOKUP(C2449,' Disaggregation - Section E '!A$618:J3138,5,0),"")</f>
        <v/>
      </c>
      <c r="G2449" s="390" t="str">
        <f ca="1">IFERROR(IF(VLOOKUP(C2449,' Disaggregation - Section E '!A$618:J3138,6,0)="","",VLOOKUP(C2449,' Disaggregation - Section E '!A$618:J3138,6,0)),"")</f>
        <v/>
      </c>
      <c r="H2449" s="390" t="str">
        <f ca="1">IFERROR(IF(INDEX(' Disaggregation - Section E '!F$618:F3138,MATCH(C2449,' Disaggregation - Section E '!A$618:A3138,0)+1,1)&lt;&gt;0,INDEX(' Disaggregation - Section E '!F$618:F3138,MATCH(C2449,' Disaggregation - Section E '!A$618:A3138,0)+1,1),""),"")</f>
        <v/>
      </c>
      <c r="I2449" s="391" t="str">
        <f ca="1">IFERROR(IF(VLOOKUP(C2449,' Disaggregation - Section E '!A$618:J3138,8,0)=0,"",VLOOKUP(C2449,' Disaggregation - Section E '!A$618:J3138,8,0)),"")</f>
        <v/>
      </c>
      <c r="J2449" s="391" t="str">
        <f ca="1">IFERROR(IF(VLOOKUP(C2449,' Disaggregation - Section E '!A$618:J3138,9,0)="","",VLOOKUP(C2449,' Disaggregation - Section E '!A$618:J3138,9,0)),"")</f>
        <v/>
      </c>
      <c r="K2449" s="387" t="str">
        <f ca="1">IFERROR(VLOOKUP(C2449,' Disaggregation - Section E '!A$618:J3138,3,0),"")</f>
        <v>TB/HIV-6 Percentage of HIV-positive new and relapse TB patients on ART during TB treatment</v>
      </c>
      <c r="L2449" s="387"/>
      <c r="M2449" s="387" t="str">
        <f ca="1">IFERROR(IF(VLOOKUP(C2449,' Disaggregation - Section E '!A$618:O1461,15,0)=0,"",VLOOKUP(C2449,' Disaggregation - Section E '!A$618:O1461,15,0)),"")</f>
        <v/>
      </c>
      <c r="N2449" s="391" t="str">
        <f ca="1">IFERROR(IF(VLOOKUP(C2449,' Disaggregation - Section E '!A$618:J3138,10,0)=0,"",VLOOKUP(C2449,' Disaggregation - Section E '!A$618:J3138,10,0)),"")</f>
        <v/>
      </c>
      <c r="O2449" s="387"/>
      <c r="P2449" s="387" t="str">
        <f ca="1">IFERROR(IF(VLOOKUP(C2449,' Disaggregation - Section E '!A$618:R1461,18,0)=0,"",VLOOKUP(C2449,' Disaggregation - Section E '!A$618:R1461,18,0)),"")</f>
        <v/>
      </c>
    </row>
    <row r="2450" spans="1:16">
      <c r="A2450" s="387" t="b">
        <f t="shared" ca="1" si="169"/>
        <v>0</v>
      </c>
      <c r="B2450" s="387"/>
      <c r="C2450" s="396" t="str">
        <f ca="1">IF(COUNTA(O$1610:O2450)=1,"",OFFSET(B2448,-COUNTA(O$1610:O2450)+3,1))</f>
        <v>a16Dm000000M3tNIAS</v>
      </c>
      <c r="D2450" s="392"/>
      <c r="E2450" s="389" t="str">
        <f ca="1">IFERROR(IF(VLOOKUP(C2450,' Disaggregation - Section E '!A$618:J3139,7,0)="","",VLOOKUP(C2450,' Disaggregation - Section E '!A$618:J3139,7,0)*100),"")</f>
        <v/>
      </c>
      <c r="F2450" s="391" t="str">
        <f ca="1">IFERROR(VLOOKUP(C2450,' Disaggregation - Section E '!A$618:J3139,5,0),"")</f>
        <v/>
      </c>
      <c r="G2450" s="390" t="str">
        <f ca="1">IFERROR(IF(VLOOKUP(C2450,' Disaggregation - Section E '!A$618:J3139,6,0)="","",VLOOKUP(C2450,' Disaggregation - Section E '!A$618:J3139,6,0)),"")</f>
        <v/>
      </c>
      <c r="H2450" s="390" t="str">
        <f ca="1">IFERROR(IF(INDEX(' Disaggregation - Section E '!F$618:F3139,MATCH(C2450,' Disaggregation - Section E '!A$618:A3139,0)+1,1)&lt;&gt;0,INDEX(' Disaggregation - Section E '!F$618:F3139,MATCH(C2450,' Disaggregation - Section E '!A$618:A3139,0)+1,1),""),"")</f>
        <v/>
      </c>
      <c r="I2450" s="391" t="str">
        <f ca="1">IFERROR(IF(VLOOKUP(C2450,' Disaggregation - Section E '!A$618:J3139,8,0)=0,"",VLOOKUP(C2450,' Disaggregation - Section E '!A$618:J3139,8,0)),"")</f>
        <v/>
      </c>
      <c r="J2450" s="391" t="str">
        <f ca="1">IFERROR(IF(VLOOKUP(C2450,' Disaggregation - Section E '!A$618:J3139,9,0)="","",VLOOKUP(C2450,' Disaggregation - Section E '!A$618:J3139,9,0)),"")</f>
        <v/>
      </c>
      <c r="K2450" s="387" t="str">
        <f ca="1">IFERROR(VLOOKUP(C2450,' Disaggregation - Section E '!A$618:J3139,3,0),"")</f>
        <v>TB/HIV-6 Percentage of HIV-positive new and relapse TB patients on ART during TB treatment</v>
      </c>
      <c r="L2450" s="387"/>
      <c r="M2450" s="387" t="str">
        <f ca="1">IFERROR(IF(VLOOKUP(C2450,' Disaggregation - Section E '!A$618:O1462,15,0)=0,"",VLOOKUP(C2450,' Disaggregation - Section E '!A$618:O1462,15,0)),"")</f>
        <v/>
      </c>
      <c r="N2450" s="391" t="str">
        <f ca="1">IFERROR(IF(VLOOKUP(C2450,' Disaggregation - Section E '!A$618:J3139,10,0)=0,"",VLOOKUP(C2450,' Disaggregation - Section E '!A$618:J3139,10,0)),"")</f>
        <v/>
      </c>
      <c r="O2450" s="387"/>
      <c r="P2450" s="387" t="str">
        <f ca="1">IFERROR(IF(VLOOKUP(C2450,' Disaggregation - Section E '!A$618:R1462,18,0)=0,"",VLOOKUP(C2450,' Disaggregation - Section E '!A$618:R1462,18,0)),"")</f>
        <v/>
      </c>
    </row>
    <row r="2451" spans="1:16">
      <c r="A2451" s="387" t="b">
        <f t="shared" ca="1" si="169"/>
        <v>0</v>
      </c>
      <c r="B2451" s="387"/>
      <c r="C2451" s="396" t="str">
        <f ca="1">IF(COUNTA(O$1610:O2451)=1,"",OFFSET(B2449,-COUNTA(O$1610:O2451)+3,1))</f>
        <v>a16Dm000000M3tOIAS</v>
      </c>
      <c r="D2451" s="392"/>
      <c r="E2451" s="389" t="str">
        <f ca="1">IFERROR(IF(VLOOKUP(C2451,' Disaggregation - Section E '!A$618:J3140,7,0)="","",VLOOKUP(C2451,' Disaggregation - Section E '!A$618:J3140,7,0)*100),"")</f>
        <v/>
      </c>
      <c r="F2451" s="391" t="str">
        <f ca="1">IFERROR(VLOOKUP(C2451,' Disaggregation - Section E '!A$618:J3140,5,0),"")</f>
        <v/>
      </c>
      <c r="G2451" s="390" t="str">
        <f ca="1">IFERROR(IF(VLOOKUP(C2451,' Disaggregation - Section E '!A$618:J3140,6,0)="","",VLOOKUP(C2451,' Disaggregation - Section E '!A$618:J3140,6,0)),"")</f>
        <v/>
      </c>
      <c r="H2451" s="390" t="str">
        <f ca="1">IFERROR(IF(INDEX(' Disaggregation - Section E '!F$618:F3140,MATCH(C2451,' Disaggregation - Section E '!A$618:A3140,0)+1,1)&lt;&gt;0,INDEX(' Disaggregation - Section E '!F$618:F3140,MATCH(C2451,' Disaggregation - Section E '!A$618:A3140,0)+1,1),""),"")</f>
        <v/>
      </c>
      <c r="I2451" s="391" t="str">
        <f ca="1">IFERROR(IF(VLOOKUP(C2451,' Disaggregation - Section E '!A$618:J3140,8,0)=0,"",VLOOKUP(C2451,' Disaggregation - Section E '!A$618:J3140,8,0)),"")</f>
        <v/>
      </c>
      <c r="J2451" s="391" t="str">
        <f ca="1">IFERROR(IF(VLOOKUP(C2451,' Disaggregation - Section E '!A$618:J3140,9,0)="","",VLOOKUP(C2451,' Disaggregation - Section E '!A$618:J3140,9,0)),"")</f>
        <v/>
      </c>
      <c r="K2451" s="387" t="str">
        <f ca="1">IFERROR(VLOOKUP(C2451,' Disaggregation - Section E '!A$618:J3140,3,0),"")</f>
        <v>TB/HIV-6 Percentage of HIV-positive new and relapse TB patients on ART during TB treatment</v>
      </c>
      <c r="L2451" s="387"/>
      <c r="M2451" s="387" t="str">
        <f ca="1">IFERROR(IF(VLOOKUP(C2451,' Disaggregation - Section E '!A$618:O1463,15,0)=0,"",VLOOKUP(C2451,' Disaggregation - Section E '!A$618:O1463,15,0)),"")</f>
        <v/>
      </c>
      <c r="N2451" s="391" t="str">
        <f ca="1">IFERROR(IF(VLOOKUP(C2451,' Disaggregation - Section E '!A$618:J3140,10,0)=0,"",VLOOKUP(C2451,' Disaggregation - Section E '!A$618:J3140,10,0)),"")</f>
        <v/>
      </c>
      <c r="O2451" s="387"/>
      <c r="P2451" s="387" t="str">
        <f ca="1">IFERROR(IF(VLOOKUP(C2451,' Disaggregation - Section E '!A$618:R1463,18,0)=0,"",VLOOKUP(C2451,' Disaggregation - Section E '!A$618:R1463,18,0)),"")</f>
        <v/>
      </c>
    </row>
    <row r="2452" spans="1:16">
      <c r="A2452" s="387" t="b">
        <f t="shared" ca="1" si="169"/>
        <v>1</v>
      </c>
      <c r="B2452" s="387"/>
      <c r="C2452" s="396" t="str">
        <f ca="1">IF(COUNTA(O$1610:O2452)=1,"",OFFSET(B2450,-COUNTA(O$1610:O2452)+3,1))</f>
        <v>a16Dm000000M3tPIAS</v>
      </c>
      <c r="D2452" s="392"/>
      <c r="E2452" s="389" t="str">
        <f ca="1">IFERROR(IF(VLOOKUP(C2452,' Disaggregation - Section E '!A$618:J3141,7,0)="","",VLOOKUP(C2452,' Disaggregation - Section E '!A$618:J3141,7,0)*100),"")</f>
        <v/>
      </c>
      <c r="F2452" s="391" t="str">
        <f ca="1">IFERROR(VLOOKUP(C2452,' Disaggregation - Section E '!A$618:J3141,5,0),"")</f>
        <v>15+</v>
      </c>
      <c r="G2452" s="390" t="str">
        <f ca="1">IFERROR(IF(VLOOKUP(C2452,' Disaggregation - Section E '!A$618:J3141,6,0)="","",VLOOKUP(C2452,' Disaggregation - Section E '!A$618:J3141,6,0)),"")</f>
        <v/>
      </c>
      <c r="H2452" s="390" t="str">
        <f ca="1">IFERROR(IF(INDEX(' Disaggregation - Section E '!F$618:F3141,MATCH(C2452,' Disaggregation - Section E '!A$618:A3141,0)+1,1)&lt;&gt;0,INDEX(' Disaggregation - Section E '!F$618:F3141,MATCH(C2452,' Disaggregation - Section E '!A$618:A3141,0)+1,1),""),"")</f>
        <v/>
      </c>
      <c r="I2452" s="391" t="str">
        <f ca="1">IFERROR(IF(VLOOKUP(C2452,' Disaggregation - Section E '!A$618:J3141,8,0)=0,"",VLOOKUP(C2452,' Disaggregation - Section E '!A$618:J3141,8,0)),"")</f>
        <v/>
      </c>
      <c r="J2452" s="391" t="str">
        <f ca="1">IFERROR(IF(VLOOKUP(C2452,' Disaggregation - Section E '!A$618:J3141,9,0)="","",VLOOKUP(C2452,' Disaggregation - Section E '!A$618:J3141,9,0)),"")</f>
        <v/>
      </c>
      <c r="K2452" s="387" t="str">
        <f ca="1">IFERROR(VLOOKUP(C2452,' Disaggregation - Section E '!A$618:J3141,3,0),"")</f>
        <v>DRTB-9 Treatment success rate of RR-TB and/or MDR-TB: Percentage of patients with RR and/or MDR-TB successfully treated</v>
      </c>
      <c r="L2452" s="387"/>
      <c r="M2452" s="387" t="str">
        <f ca="1">IFERROR(IF(VLOOKUP(C2452,' Disaggregation - Section E '!A$618:O1464,15,0)=0,"",VLOOKUP(C2452,' Disaggregation - Section E '!A$618:O1464,15,0)),"")</f>
        <v>IDR-01395</v>
      </c>
      <c r="N2452" s="391" t="str">
        <f ca="1">IFERROR(IF(VLOOKUP(C2452,' Disaggregation - Section E '!A$618:J3141,10,0)=0,"",VLOOKUP(C2452,' Disaggregation - Section E '!A$618:J3141,10,0)),"")</f>
        <v/>
      </c>
      <c r="O2452" s="387"/>
      <c r="P2452" s="387" t="str">
        <f ca="1">IFERROR(IF(VLOOKUP(C2452,' Disaggregation - Section E '!A$618:R1464,18,0)=0,"",VLOOKUP(C2452,' Disaggregation - Section E '!A$618:R1464,18,0)),"")</f>
        <v>a1LDm000000Cb5FMAS</v>
      </c>
    </row>
    <row r="2453" spans="1:16">
      <c r="A2453" s="387" t="b">
        <f t="shared" ca="1" si="169"/>
        <v>1</v>
      </c>
      <c r="B2453" s="387"/>
      <c r="C2453" s="396" t="str">
        <f ca="1">IF(COUNTA(O$1610:O2453)=1,"",OFFSET(B2451,-COUNTA(O$1610:O2453)+3,1))</f>
        <v>a16Dm000000M3tQIAS</v>
      </c>
      <c r="D2453" s="392"/>
      <c r="E2453" s="389" t="str">
        <f ca="1">IFERROR(IF(VLOOKUP(C2453,' Disaggregation - Section E '!A$618:J3142,7,0)="","",VLOOKUP(C2453,' Disaggregation - Section E '!A$618:J3142,7,0)*100),"")</f>
        <v/>
      </c>
      <c r="F2453" s="391" t="str">
        <f ca="1">IFERROR(VLOOKUP(C2453,' Disaggregation - Section E '!A$618:J3142,5,0),"")</f>
        <v>&lt;15</v>
      </c>
      <c r="G2453" s="390" t="str">
        <f ca="1">IFERROR(IF(VLOOKUP(C2453,' Disaggregation - Section E '!A$618:J3142,6,0)="","",VLOOKUP(C2453,' Disaggregation - Section E '!A$618:J3142,6,0)),"")</f>
        <v/>
      </c>
      <c r="H2453" s="390" t="str">
        <f ca="1">IFERROR(IF(INDEX(' Disaggregation - Section E '!F$618:F3142,MATCH(C2453,' Disaggregation - Section E '!A$618:A3142,0)+1,1)&lt;&gt;0,INDEX(' Disaggregation - Section E '!F$618:F3142,MATCH(C2453,' Disaggregation - Section E '!A$618:A3142,0)+1,1),""),"")</f>
        <v/>
      </c>
      <c r="I2453" s="391" t="str">
        <f ca="1">IFERROR(IF(VLOOKUP(C2453,' Disaggregation - Section E '!A$618:J3142,8,0)=0,"",VLOOKUP(C2453,' Disaggregation - Section E '!A$618:J3142,8,0)),"")</f>
        <v/>
      </c>
      <c r="J2453" s="391" t="str">
        <f ca="1">IFERROR(IF(VLOOKUP(C2453,' Disaggregation - Section E '!A$618:J3142,9,0)="","",VLOOKUP(C2453,' Disaggregation - Section E '!A$618:J3142,9,0)),"")</f>
        <v/>
      </c>
      <c r="K2453" s="387" t="str">
        <f ca="1">IFERROR(VLOOKUP(C2453,' Disaggregation - Section E '!A$618:J3142,3,0),"")</f>
        <v>DRTB-9 Treatment success rate of RR-TB and/or MDR-TB: Percentage of patients with RR and/or MDR-TB successfully treated</v>
      </c>
      <c r="L2453" s="387"/>
      <c r="M2453" s="387" t="str">
        <f ca="1">IFERROR(IF(VLOOKUP(C2453,' Disaggregation - Section E '!A$618:O1465,15,0)=0,"",VLOOKUP(C2453,' Disaggregation - Section E '!A$618:O1465,15,0)),"")</f>
        <v>IDR-01394</v>
      </c>
      <c r="N2453" s="391" t="str">
        <f ca="1">IFERROR(IF(VLOOKUP(C2453,' Disaggregation - Section E '!A$618:J3142,10,0)=0,"",VLOOKUP(C2453,' Disaggregation - Section E '!A$618:J3142,10,0)),"")</f>
        <v/>
      </c>
      <c r="O2453" s="387"/>
      <c r="P2453" s="387" t="str">
        <f ca="1">IFERROR(IF(VLOOKUP(C2453,' Disaggregation - Section E '!A$618:R1465,18,0)=0,"",VLOOKUP(C2453,' Disaggregation - Section E '!A$618:R1465,18,0)),"")</f>
        <v>a1LDm000000Cb5EMAS</v>
      </c>
    </row>
    <row r="2454" spans="1:16">
      <c r="A2454" s="387" t="b">
        <f t="shared" ca="1" si="169"/>
        <v>1</v>
      </c>
      <c r="B2454" s="387"/>
      <c r="C2454" s="396" t="str">
        <f ca="1">IF(COUNTA(O$1610:O2454)=1,"",OFFSET(B2452,-COUNTA(O$1610:O2454)+3,1))</f>
        <v>a16Dm000000M3tRIAS</v>
      </c>
      <c r="D2454" s="392"/>
      <c r="E2454" s="389" t="str">
        <f ca="1">IFERROR(IF(VLOOKUP(C2454,' Disaggregation - Section E '!A$618:J3143,7,0)="","",VLOOKUP(C2454,' Disaggregation - Section E '!A$618:J3143,7,0)*100),"")</f>
        <v/>
      </c>
      <c r="F2454" s="391" t="str">
        <f ca="1">IFERROR(VLOOKUP(C2454,' Disaggregation - Section E '!A$618:J3143,5,0),"")</f>
        <v>Unknown</v>
      </c>
      <c r="G2454" s="390" t="str">
        <f ca="1">IFERROR(IF(VLOOKUP(C2454,' Disaggregation - Section E '!A$618:J3143,6,0)="","",VLOOKUP(C2454,' Disaggregation - Section E '!A$618:J3143,6,0)),"")</f>
        <v/>
      </c>
      <c r="H2454" s="390" t="str">
        <f ca="1">IFERROR(IF(INDEX(' Disaggregation - Section E '!F$618:F3143,MATCH(C2454,' Disaggregation - Section E '!A$618:A3143,0)+1,1)&lt;&gt;0,INDEX(' Disaggregation - Section E '!F$618:F3143,MATCH(C2454,' Disaggregation - Section E '!A$618:A3143,0)+1,1),""),"")</f>
        <v/>
      </c>
      <c r="I2454" s="391" t="str">
        <f ca="1">IFERROR(IF(VLOOKUP(C2454,' Disaggregation - Section E '!A$618:J3143,8,0)=0,"",VLOOKUP(C2454,' Disaggregation - Section E '!A$618:J3143,8,0)),"")</f>
        <v/>
      </c>
      <c r="J2454" s="391" t="str">
        <f ca="1">IFERROR(IF(VLOOKUP(C2454,' Disaggregation - Section E '!A$618:J3143,9,0)="","",VLOOKUP(C2454,' Disaggregation - Section E '!A$618:J3143,9,0)),"")</f>
        <v/>
      </c>
      <c r="K2454" s="387" t="str">
        <f ca="1">IFERROR(VLOOKUP(C2454,' Disaggregation - Section E '!A$618:J3143,3,0),"")</f>
        <v>DRTB-9 Treatment success rate of RR-TB and/or MDR-TB: Percentage of patients with RR and/or MDR-TB successfully treated</v>
      </c>
      <c r="L2454" s="387"/>
      <c r="M2454" s="387" t="str">
        <f ca="1">IFERROR(IF(VLOOKUP(C2454,' Disaggregation - Section E '!A$618:O1466,15,0)=0,"",VLOOKUP(C2454,' Disaggregation - Section E '!A$618:O1466,15,0)),"")</f>
        <v>IDR-01393</v>
      </c>
      <c r="N2454" s="391" t="str">
        <f ca="1">IFERROR(IF(VLOOKUP(C2454,' Disaggregation - Section E '!A$618:J3143,10,0)=0,"",VLOOKUP(C2454,' Disaggregation - Section E '!A$618:J3143,10,0)),"")</f>
        <v/>
      </c>
      <c r="O2454" s="387"/>
      <c r="P2454" s="387" t="str">
        <f ca="1">IFERROR(IF(VLOOKUP(C2454,' Disaggregation - Section E '!A$618:R1466,18,0)=0,"",VLOOKUP(C2454,' Disaggregation - Section E '!A$618:R1466,18,0)),"")</f>
        <v>a1LDm000000Cb5DMAS</v>
      </c>
    </row>
    <row r="2455" spans="1:16">
      <c r="A2455" s="387" t="b">
        <f t="shared" ca="1" si="169"/>
        <v>1</v>
      </c>
      <c r="B2455" s="387"/>
      <c r="C2455" s="396" t="str">
        <f ca="1">IF(COUNTA(O$1610:O2455)=1,"",OFFSET(B2453,-COUNTA(O$1610:O2455)+3,1))</f>
        <v>a16Dm000000M3tSIAS</v>
      </c>
      <c r="D2455" s="392"/>
      <c r="E2455" s="389" t="str">
        <f ca="1">IFERROR(IF(VLOOKUP(C2455,' Disaggregation - Section E '!A$618:J3144,7,0)="","",VLOOKUP(C2455,' Disaggregation - Section E '!A$618:J3144,7,0)*100),"")</f>
        <v/>
      </c>
      <c r="F2455" s="391" t="str">
        <f ca="1">IFERROR(VLOOKUP(C2455,' Disaggregation - Section E '!A$618:J3144,5,0),"")</f>
        <v>Longer individualized</v>
      </c>
      <c r="G2455" s="390" t="str">
        <f ca="1">IFERROR(IF(VLOOKUP(C2455,' Disaggregation - Section E '!A$618:J3144,6,0)="","",VLOOKUP(C2455,' Disaggregation - Section E '!A$618:J3144,6,0)),"")</f>
        <v/>
      </c>
      <c r="H2455" s="390" t="str">
        <f ca="1">IFERROR(IF(INDEX(' Disaggregation - Section E '!F$618:F3144,MATCH(C2455,' Disaggregation - Section E '!A$618:A3144,0)+1,1)&lt;&gt;0,INDEX(' Disaggregation - Section E '!F$618:F3144,MATCH(C2455,' Disaggregation - Section E '!A$618:A3144,0)+1,1),""),"")</f>
        <v/>
      </c>
      <c r="I2455" s="391" t="str">
        <f ca="1">IFERROR(IF(VLOOKUP(C2455,' Disaggregation - Section E '!A$618:J3144,8,0)=0,"",VLOOKUP(C2455,' Disaggregation - Section E '!A$618:J3144,8,0)),"")</f>
        <v/>
      </c>
      <c r="J2455" s="391" t="str">
        <f ca="1">IFERROR(IF(VLOOKUP(C2455,' Disaggregation - Section E '!A$618:J3144,9,0)="","",VLOOKUP(C2455,' Disaggregation - Section E '!A$618:J3144,9,0)),"")</f>
        <v/>
      </c>
      <c r="K2455" s="387" t="str">
        <f ca="1">IFERROR(VLOOKUP(C2455,' Disaggregation - Section E '!A$618:J3144,3,0),"")</f>
        <v>DRTB-9 Treatment success rate of RR-TB and/or MDR-TB: Percentage of patients with RR and/or MDR-TB successfully treated</v>
      </c>
      <c r="L2455" s="387"/>
      <c r="M2455" s="387" t="str">
        <f ca="1">IFERROR(IF(VLOOKUP(C2455,' Disaggregation - Section E '!A$618:O1467,15,0)=0,"",VLOOKUP(C2455,' Disaggregation - Section E '!A$618:O1467,15,0)),"")</f>
        <v>IDR-01392</v>
      </c>
      <c r="N2455" s="391" t="str">
        <f ca="1">IFERROR(IF(VLOOKUP(C2455,' Disaggregation - Section E '!A$618:J3144,10,0)=0,"",VLOOKUP(C2455,' Disaggregation - Section E '!A$618:J3144,10,0)),"")</f>
        <v/>
      </c>
      <c r="O2455" s="387"/>
      <c r="P2455" s="387" t="str">
        <f ca="1">IFERROR(IF(VLOOKUP(C2455,' Disaggregation - Section E '!A$618:R1467,18,0)=0,"",VLOOKUP(C2455,' Disaggregation - Section E '!A$618:R1467,18,0)),"")</f>
        <v>a1LDm000000Cb5CMAS</v>
      </c>
    </row>
    <row r="2456" spans="1:16">
      <c r="A2456" s="387" t="b">
        <f t="shared" ca="1" si="169"/>
        <v>1</v>
      </c>
      <c r="B2456" s="387"/>
      <c r="C2456" s="396" t="str">
        <f ca="1">IF(COUNTA(O$1610:O2456)=1,"",OFFSET(B2454,-COUNTA(O$1610:O2456)+3,1))</f>
        <v>a16Dm000000M3tTIAS</v>
      </c>
      <c r="D2456" s="392"/>
      <c r="E2456" s="389" t="str">
        <f ca="1">IFERROR(IF(VLOOKUP(C2456,' Disaggregation - Section E '!A$618:J3145,7,0)="","",VLOOKUP(C2456,' Disaggregation - Section E '!A$618:J3145,7,0)*100),"")</f>
        <v/>
      </c>
      <c r="F2456" s="391" t="str">
        <f ca="1">IFERROR(VLOOKUP(C2456,' Disaggregation - Section E '!A$618:J3145,5,0),"")</f>
        <v>Negative</v>
      </c>
      <c r="G2456" s="390" t="str">
        <f ca="1">IFERROR(IF(VLOOKUP(C2456,' Disaggregation - Section E '!A$618:J3145,6,0)="","",VLOOKUP(C2456,' Disaggregation - Section E '!A$618:J3145,6,0)),"")</f>
        <v/>
      </c>
      <c r="H2456" s="390" t="str">
        <f ca="1">IFERROR(IF(INDEX(' Disaggregation - Section E '!F$618:F3145,MATCH(C2456,' Disaggregation - Section E '!A$618:A3145,0)+1,1)&lt;&gt;0,INDEX(' Disaggregation - Section E '!F$618:F3145,MATCH(C2456,' Disaggregation - Section E '!A$618:A3145,0)+1,1),""),"")</f>
        <v/>
      </c>
      <c r="I2456" s="391" t="str">
        <f ca="1">IFERROR(IF(VLOOKUP(C2456,' Disaggregation - Section E '!A$618:J3145,8,0)=0,"",VLOOKUP(C2456,' Disaggregation - Section E '!A$618:J3145,8,0)),"")</f>
        <v/>
      </c>
      <c r="J2456" s="391" t="str">
        <f ca="1">IFERROR(IF(VLOOKUP(C2456,' Disaggregation - Section E '!A$618:J3145,9,0)="","",VLOOKUP(C2456,' Disaggregation - Section E '!A$618:J3145,9,0)),"")</f>
        <v/>
      </c>
      <c r="K2456" s="387" t="str">
        <f ca="1">IFERROR(VLOOKUP(C2456,' Disaggregation - Section E '!A$618:J3145,3,0),"")</f>
        <v>DRTB-9 Treatment success rate of RR-TB and/or MDR-TB: Percentage of patients with RR and/or MDR-TB successfully treated</v>
      </c>
      <c r="L2456" s="387"/>
      <c r="M2456" s="387" t="str">
        <f ca="1">IFERROR(IF(VLOOKUP(C2456,' Disaggregation - Section E '!A$618:O1468,15,0)=0,"",VLOOKUP(C2456,' Disaggregation - Section E '!A$618:O1468,15,0)),"")</f>
        <v>IDR-01391</v>
      </c>
      <c r="N2456" s="391" t="str">
        <f ca="1">IFERROR(IF(VLOOKUP(C2456,' Disaggregation - Section E '!A$618:J3145,10,0)=0,"",VLOOKUP(C2456,' Disaggregation - Section E '!A$618:J3145,10,0)),"")</f>
        <v/>
      </c>
      <c r="O2456" s="387"/>
      <c r="P2456" s="387" t="str">
        <f ca="1">IFERROR(IF(VLOOKUP(C2456,' Disaggregation - Section E '!A$618:R1468,18,0)=0,"",VLOOKUP(C2456,' Disaggregation - Section E '!A$618:R1468,18,0)),"")</f>
        <v>a1LDm000000Cb5BMAS</v>
      </c>
    </row>
    <row r="2457" spans="1:16">
      <c r="A2457" s="387" t="b">
        <f t="shared" ca="1" si="169"/>
        <v>1</v>
      </c>
      <c r="B2457" s="387"/>
      <c r="C2457" s="396" t="str">
        <f ca="1">IF(COUNTA(O$1610:O2457)=1,"",OFFSET(B2455,-COUNTA(O$1610:O2457)+3,1))</f>
        <v>a16Dm000000M3tUIAS</v>
      </c>
      <c r="D2457" s="392"/>
      <c r="E2457" s="389" t="str">
        <f ca="1">IFERROR(IF(VLOOKUP(C2457,' Disaggregation - Section E '!A$618:J3146,7,0)="","",VLOOKUP(C2457,' Disaggregation - Section E '!A$618:J3146,7,0)*100),"")</f>
        <v/>
      </c>
      <c r="F2457" s="391" t="str">
        <f ca="1">IFERROR(VLOOKUP(C2457,' Disaggregation - Section E '!A$618:J3146,5,0),"")</f>
        <v>Male</v>
      </c>
      <c r="G2457" s="390" t="str">
        <f ca="1">IFERROR(IF(VLOOKUP(C2457,' Disaggregation - Section E '!A$618:J3146,6,0)="","",VLOOKUP(C2457,' Disaggregation - Section E '!A$618:J3146,6,0)),"")</f>
        <v/>
      </c>
      <c r="H2457" s="390" t="str">
        <f ca="1">IFERROR(IF(INDEX(' Disaggregation - Section E '!F$618:F3146,MATCH(C2457,' Disaggregation - Section E '!A$618:A3146,0)+1,1)&lt;&gt;0,INDEX(' Disaggregation - Section E '!F$618:F3146,MATCH(C2457,' Disaggregation - Section E '!A$618:A3146,0)+1,1),""),"")</f>
        <v/>
      </c>
      <c r="I2457" s="391" t="str">
        <f ca="1">IFERROR(IF(VLOOKUP(C2457,' Disaggregation - Section E '!A$618:J3146,8,0)=0,"",VLOOKUP(C2457,' Disaggregation - Section E '!A$618:J3146,8,0)),"")</f>
        <v/>
      </c>
      <c r="J2457" s="391" t="str">
        <f ca="1">IFERROR(IF(VLOOKUP(C2457,' Disaggregation - Section E '!A$618:J3146,9,0)="","",VLOOKUP(C2457,' Disaggregation - Section E '!A$618:J3146,9,0)),"")</f>
        <v/>
      </c>
      <c r="K2457" s="387" t="str">
        <f ca="1">IFERROR(VLOOKUP(C2457,' Disaggregation - Section E '!A$618:J3146,3,0),"")</f>
        <v>DRTB-9 Treatment success rate of RR-TB and/or MDR-TB: Percentage of patients with RR and/or MDR-TB successfully treated</v>
      </c>
      <c r="L2457" s="387"/>
      <c r="M2457" s="387" t="str">
        <f ca="1">IFERROR(IF(VLOOKUP(C2457,' Disaggregation - Section E '!A$618:O1469,15,0)=0,"",VLOOKUP(C2457,' Disaggregation - Section E '!A$618:O1469,15,0)),"")</f>
        <v>IDR-01390</v>
      </c>
      <c r="N2457" s="391" t="str">
        <f ca="1">IFERROR(IF(VLOOKUP(C2457,' Disaggregation - Section E '!A$618:J3146,10,0)=0,"",VLOOKUP(C2457,' Disaggregation - Section E '!A$618:J3146,10,0)),"")</f>
        <v/>
      </c>
      <c r="O2457" s="387"/>
      <c r="P2457" s="387" t="str">
        <f ca="1">IFERROR(IF(VLOOKUP(C2457,' Disaggregation - Section E '!A$618:R1469,18,0)=0,"",VLOOKUP(C2457,' Disaggregation - Section E '!A$618:R1469,18,0)),"")</f>
        <v>a1LDm000000Cb5AMAS</v>
      </c>
    </row>
    <row r="2458" spans="1:16">
      <c r="A2458" s="387" t="b">
        <f t="shared" ca="1" si="169"/>
        <v>1</v>
      </c>
      <c r="B2458" s="387"/>
      <c r="C2458" s="396" t="str">
        <f ca="1">IF(COUNTA(O$1610:O2458)=1,"",OFFSET(B2456,-COUNTA(O$1610:O2458)+3,1))</f>
        <v>a16Dm000000M3tVIAS</v>
      </c>
      <c r="D2458" s="392"/>
      <c r="E2458" s="389" t="str">
        <f ca="1">IFERROR(IF(VLOOKUP(C2458,' Disaggregation - Section E '!A$618:J3147,7,0)="","",VLOOKUP(C2458,' Disaggregation - Section E '!A$618:J3147,7,0)*100),"")</f>
        <v/>
      </c>
      <c r="F2458" s="391" t="str">
        <f ca="1">IFERROR(VLOOKUP(C2458,' Disaggregation - Section E '!A$618:J3147,5,0),"")</f>
        <v>Private</v>
      </c>
      <c r="G2458" s="390" t="str">
        <f ca="1">IFERROR(IF(VLOOKUP(C2458,' Disaggregation - Section E '!A$618:J3147,6,0)="","",VLOOKUP(C2458,' Disaggregation - Section E '!A$618:J3147,6,0)),"")</f>
        <v/>
      </c>
      <c r="H2458" s="390" t="str">
        <f ca="1">IFERROR(IF(INDEX(' Disaggregation - Section E '!F$618:F3147,MATCH(C2458,' Disaggregation - Section E '!A$618:A3147,0)+1,1)&lt;&gt;0,INDEX(' Disaggregation - Section E '!F$618:F3147,MATCH(C2458,' Disaggregation - Section E '!A$618:A3147,0)+1,1),""),"")</f>
        <v/>
      </c>
      <c r="I2458" s="391" t="str">
        <f ca="1">IFERROR(IF(VLOOKUP(C2458,' Disaggregation - Section E '!A$618:J3147,8,0)=0,"",VLOOKUP(C2458,' Disaggregation - Section E '!A$618:J3147,8,0)),"")</f>
        <v/>
      </c>
      <c r="J2458" s="391" t="str">
        <f ca="1">IFERROR(IF(VLOOKUP(C2458,' Disaggregation - Section E '!A$618:J3147,9,0)="","",VLOOKUP(C2458,' Disaggregation - Section E '!A$618:J3147,9,0)),"")</f>
        <v/>
      </c>
      <c r="K2458" s="387" t="str">
        <f ca="1">IFERROR(VLOOKUP(C2458,' Disaggregation - Section E '!A$618:J3147,3,0),"")</f>
        <v>DRTB-9 Treatment success rate of RR-TB and/or MDR-TB: Percentage of patients with RR and/or MDR-TB successfully treated</v>
      </c>
      <c r="L2458" s="387"/>
      <c r="M2458" s="387" t="str">
        <f ca="1">IFERROR(IF(VLOOKUP(C2458,' Disaggregation - Section E '!A$618:O1470,15,0)=0,"",VLOOKUP(C2458,' Disaggregation - Section E '!A$618:O1470,15,0)),"")</f>
        <v>IDR-01389</v>
      </c>
      <c r="N2458" s="391" t="str">
        <f ca="1">IFERROR(IF(VLOOKUP(C2458,' Disaggregation - Section E '!A$618:J3147,10,0)=0,"",VLOOKUP(C2458,' Disaggregation - Section E '!A$618:J3147,10,0)),"")</f>
        <v/>
      </c>
      <c r="O2458" s="387"/>
      <c r="P2458" s="387" t="str">
        <f ca="1">IFERROR(IF(VLOOKUP(C2458,' Disaggregation - Section E '!A$618:R1470,18,0)=0,"",VLOOKUP(C2458,' Disaggregation - Section E '!A$618:R1470,18,0)),"")</f>
        <v>a1LDm000000Cb59MAC</v>
      </c>
    </row>
    <row r="2459" spans="1:16">
      <c r="A2459" s="387" t="b">
        <f t="shared" ca="1" si="169"/>
        <v>1</v>
      </c>
      <c r="B2459" s="387"/>
      <c r="C2459" s="396" t="str">
        <f ca="1">IF(COUNTA(O$1610:O2459)=1,"",OFFSET(B2457,-COUNTA(O$1610:O2459)+3,1))</f>
        <v>a16Dm000000M3tWIAS</v>
      </c>
      <c r="D2459" s="392"/>
      <c r="E2459" s="389" t="str">
        <f ca="1">IFERROR(IF(VLOOKUP(C2459,' Disaggregation - Section E '!A$618:J3148,7,0)="","",VLOOKUP(C2459,' Disaggregation - Section E '!A$618:J3148,7,0)*100),"")</f>
        <v/>
      </c>
      <c r="F2459" s="391" t="str">
        <f ca="1">IFERROR(VLOOKUP(C2459,' Disaggregation - Section E '!A$618:J3148,5,0),"")</f>
        <v>Public</v>
      </c>
      <c r="G2459" s="390" t="str">
        <f ca="1">IFERROR(IF(VLOOKUP(C2459,' Disaggregation - Section E '!A$618:J3148,6,0)="","",VLOOKUP(C2459,' Disaggregation - Section E '!A$618:J3148,6,0)),"")</f>
        <v/>
      </c>
      <c r="H2459" s="390" t="str">
        <f ca="1">IFERROR(IF(INDEX(' Disaggregation - Section E '!F$618:F3148,MATCH(C2459,' Disaggregation - Section E '!A$618:A3148,0)+1,1)&lt;&gt;0,INDEX(' Disaggregation - Section E '!F$618:F3148,MATCH(C2459,' Disaggregation - Section E '!A$618:A3148,0)+1,1),""),"")</f>
        <v/>
      </c>
      <c r="I2459" s="391" t="str">
        <f ca="1">IFERROR(IF(VLOOKUP(C2459,' Disaggregation - Section E '!A$618:J3148,8,0)=0,"",VLOOKUP(C2459,' Disaggregation - Section E '!A$618:J3148,8,0)),"")</f>
        <v/>
      </c>
      <c r="J2459" s="391" t="str">
        <f ca="1">IFERROR(IF(VLOOKUP(C2459,' Disaggregation - Section E '!A$618:J3148,9,0)="","",VLOOKUP(C2459,' Disaggregation - Section E '!A$618:J3148,9,0)),"")</f>
        <v/>
      </c>
      <c r="K2459" s="387" t="str">
        <f ca="1">IFERROR(VLOOKUP(C2459,' Disaggregation - Section E '!A$618:J3148,3,0),"")</f>
        <v>DRTB-9 Treatment success rate of RR-TB and/or MDR-TB: Percentage of patients with RR and/or MDR-TB successfully treated</v>
      </c>
      <c r="L2459" s="387"/>
      <c r="M2459" s="387" t="str">
        <f ca="1">IFERROR(IF(VLOOKUP(C2459,' Disaggregation - Section E '!A$618:O1471,15,0)=0,"",VLOOKUP(C2459,' Disaggregation - Section E '!A$618:O1471,15,0)),"")</f>
        <v>IDR-01388</v>
      </c>
      <c r="N2459" s="391" t="str">
        <f ca="1">IFERROR(IF(VLOOKUP(C2459,' Disaggregation - Section E '!A$618:J3148,10,0)=0,"",VLOOKUP(C2459,' Disaggregation - Section E '!A$618:J3148,10,0)),"")</f>
        <v/>
      </c>
      <c r="O2459" s="387"/>
      <c r="P2459" s="387" t="str">
        <f ca="1">IFERROR(IF(VLOOKUP(C2459,' Disaggregation - Section E '!A$618:R1471,18,0)=0,"",VLOOKUP(C2459,' Disaggregation - Section E '!A$618:R1471,18,0)),"")</f>
        <v>a1LDm000000Cb58MAC</v>
      </c>
    </row>
    <row r="2460" spans="1:16">
      <c r="A2460" s="387" t="b">
        <f t="shared" ca="1" si="169"/>
        <v>1</v>
      </c>
      <c r="B2460" s="387"/>
      <c r="C2460" s="396" t="str">
        <f ca="1">IF(COUNTA(O$1610:O2460)=1,"",OFFSET(B2458,-COUNTA(O$1610:O2460)+3,1))</f>
        <v>a16Dm000000M3tXIAS</v>
      </c>
      <c r="D2460" s="392"/>
      <c r="E2460" s="389" t="str">
        <f ca="1">IFERROR(IF(VLOOKUP(C2460,' Disaggregation - Section E '!A$618:J3149,7,0)="","",VLOOKUP(C2460,' Disaggregation - Section E '!A$618:J3149,7,0)*100),"")</f>
        <v/>
      </c>
      <c r="F2460" s="391" t="str">
        <f ca="1">IFERROR(VLOOKUP(C2460,' Disaggregation - Section E '!A$618:J3149,5,0),"")</f>
        <v>Female</v>
      </c>
      <c r="G2460" s="390" t="str">
        <f ca="1">IFERROR(IF(VLOOKUP(C2460,' Disaggregation - Section E '!A$618:J3149,6,0)="","",VLOOKUP(C2460,' Disaggregation - Section E '!A$618:J3149,6,0)),"")</f>
        <v/>
      </c>
      <c r="H2460" s="390" t="str">
        <f ca="1">IFERROR(IF(INDEX(' Disaggregation - Section E '!F$618:F3149,MATCH(C2460,' Disaggregation - Section E '!A$618:A3149,0)+1,1)&lt;&gt;0,INDEX(' Disaggregation - Section E '!F$618:F3149,MATCH(C2460,' Disaggregation - Section E '!A$618:A3149,0)+1,1),""),"")</f>
        <v/>
      </c>
      <c r="I2460" s="391" t="str">
        <f ca="1">IFERROR(IF(VLOOKUP(C2460,' Disaggregation - Section E '!A$618:J3149,8,0)=0,"",VLOOKUP(C2460,' Disaggregation - Section E '!A$618:J3149,8,0)),"")</f>
        <v/>
      </c>
      <c r="J2460" s="391" t="str">
        <f ca="1">IFERROR(IF(VLOOKUP(C2460,' Disaggregation - Section E '!A$618:J3149,9,0)="","",VLOOKUP(C2460,' Disaggregation - Section E '!A$618:J3149,9,0)),"")</f>
        <v/>
      </c>
      <c r="K2460" s="387" t="str">
        <f ca="1">IFERROR(VLOOKUP(C2460,' Disaggregation - Section E '!A$618:J3149,3,0),"")</f>
        <v>DRTB-9 Treatment success rate of RR-TB and/or MDR-TB: Percentage of patients with RR and/or MDR-TB successfully treated</v>
      </c>
      <c r="L2460" s="387"/>
      <c r="M2460" s="387" t="str">
        <f ca="1">IFERROR(IF(VLOOKUP(C2460,' Disaggregation - Section E '!A$618:O1472,15,0)=0,"",VLOOKUP(C2460,' Disaggregation - Section E '!A$618:O1472,15,0)),"")</f>
        <v>IDR-01387</v>
      </c>
      <c r="N2460" s="391" t="str">
        <f ca="1">IFERROR(IF(VLOOKUP(C2460,' Disaggregation - Section E '!A$618:J3149,10,0)=0,"",VLOOKUP(C2460,' Disaggregation - Section E '!A$618:J3149,10,0)),"")</f>
        <v/>
      </c>
      <c r="O2460" s="387"/>
      <c r="P2460" s="387" t="str">
        <f ca="1">IFERROR(IF(VLOOKUP(C2460,' Disaggregation - Section E '!A$618:R1472,18,0)=0,"",VLOOKUP(C2460,' Disaggregation - Section E '!A$618:R1472,18,0)),"")</f>
        <v>a1LDm000000Cb57MAC</v>
      </c>
    </row>
    <row r="2461" spans="1:16">
      <c r="A2461" s="387" t="b">
        <f t="shared" ca="1" si="169"/>
        <v>1</v>
      </c>
      <c r="B2461" s="387"/>
      <c r="C2461" s="396" t="str">
        <f ca="1">IF(COUNTA(O$1610:O2461)=1,"",OFFSET(B2459,-COUNTA(O$1610:O2461)+3,1))</f>
        <v>a16Dm000000M3tYIAS</v>
      </c>
      <c r="D2461" s="392"/>
      <c r="E2461" s="389" t="str">
        <f ca="1">IFERROR(IF(VLOOKUP(C2461,' Disaggregation - Section E '!A$618:J3150,7,0)="","",VLOOKUP(C2461,' Disaggregation - Section E '!A$618:J3150,7,0)*100),"")</f>
        <v/>
      </c>
      <c r="F2461" s="391" t="str">
        <f ca="1">IFERROR(VLOOKUP(C2461,' Disaggregation - Section E '!A$618:J3150,5,0),"")</f>
        <v>Shorter 6-9 month</v>
      </c>
      <c r="G2461" s="390" t="str">
        <f ca="1">IFERROR(IF(VLOOKUP(C2461,' Disaggregation - Section E '!A$618:J3150,6,0)="","",VLOOKUP(C2461,' Disaggregation - Section E '!A$618:J3150,6,0)),"")</f>
        <v/>
      </c>
      <c r="H2461" s="390" t="str">
        <f ca="1">IFERROR(IF(INDEX(' Disaggregation - Section E '!F$618:F3150,MATCH(C2461,' Disaggregation - Section E '!A$618:A3150,0)+1,1)&lt;&gt;0,INDEX(' Disaggregation - Section E '!F$618:F3150,MATCH(C2461,' Disaggregation - Section E '!A$618:A3150,0)+1,1),""),"")</f>
        <v/>
      </c>
      <c r="I2461" s="391" t="str">
        <f ca="1">IFERROR(IF(VLOOKUP(C2461,' Disaggregation - Section E '!A$618:J3150,8,0)=0,"",VLOOKUP(C2461,' Disaggregation - Section E '!A$618:J3150,8,0)),"")</f>
        <v/>
      </c>
      <c r="J2461" s="391" t="str">
        <f ca="1">IFERROR(IF(VLOOKUP(C2461,' Disaggregation - Section E '!A$618:J3150,9,0)="","",VLOOKUP(C2461,' Disaggregation - Section E '!A$618:J3150,9,0)),"")</f>
        <v/>
      </c>
      <c r="K2461" s="387" t="str">
        <f ca="1">IFERROR(VLOOKUP(C2461,' Disaggregation - Section E '!A$618:J3150,3,0),"")</f>
        <v>DRTB-9 Treatment success rate of RR-TB and/or MDR-TB: Percentage of patients with RR and/or MDR-TB successfully treated</v>
      </c>
      <c r="L2461" s="387"/>
      <c r="M2461" s="387" t="str">
        <f ca="1">IFERROR(IF(VLOOKUP(C2461,' Disaggregation - Section E '!A$618:O1473,15,0)=0,"",VLOOKUP(C2461,' Disaggregation - Section E '!A$618:O1473,15,0)),"")</f>
        <v>IDR-01386</v>
      </c>
      <c r="N2461" s="391" t="str">
        <f ca="1">IFERROR(IF(VLOOKUP(C2461,' Disaggregation - Section E '!A$618:J3150,10,0)=0,"",VLOOKUP(C2461,' Disaggregation - Section E '!A$618:J3150,10,0)),"")</f>
        <v/>
      </c>
      <c r="O2461" s="387"/>
      <c r="P2461" s="387" t="str">
        <f ca="1">IFERROR(IF(VLOOKUP(C2461,' Disaggregation - Section E '!A$618:R1473,18,0)=0,"",VLOOKUP(C2461,' Disaggregation - Section E '!A$618:R1473,18,0)),"")</f>
        <v>a1LDm000000Cb56MAC</v>
      </c>
    </row>
    <row r="2462" spans="1:16">
      <c r="A2462" s="387" t="b">
        <f t="shared" ca="1" si="169"/>
        <v>1</v>
      </c>
      <c r="B2462" s="387"/>
      <c r="C2462" s="396" t="str">
        <f ca="1">IF(COUNTA(O$1610:O2462)=1,"",OFFSET(B2460,-COUNTA(O$1610:O2462)+3,1))</f>
        <v>a16Dm000000M3tZIAS</v>
      </c>
      <c r="D2462" s="392"/>
      <c r="E2462" s="389" t="str">
        <f ca="1">IFERROR(IF(VLOOKUP(C2462,' Disaggregation - Section E '!A$618:J3151,7,0)="","",VLOOKUP(C2462,' Disaggregation - Section E '!A$618:J3151,7,0)*100),"")</f>
        <v/>
      </c>
      <c r="F2462" s="391" t="str">
        <f ca="1">IFERROR(VLOOKUP(C2462,' Disaggregation - Section E '!A$618:J3151,5,0),"")</f>
        <v>Positive</v>
      </c>
      <c r="G2462" s="390" t="str">
        <f ca="1">IFERROR(IF(VLOOKUP(C2462,' Disaggregation - Section E '!A$618:J3151,6,0)="","",VLOOKUP(C2462,' Disaggregation - Section E '!A$618:J3151,6,0)),"")</f>
        <v/>
      </c>
      <c r="H2462" s="390" t="str">
        <f ca="1">IFERROR(IF(INDEX(' Disaggregation - Section E '!F$618:F3151,MATCH(C2462,' Disaggregation - Section E '!A$618:A3151,0)+1,1)&lt;&gt;0,INDEX(' Disaggregation - Section E '!F$618:F3151,MATCH(C2462,' Disaggregation - Section E '!A$618:A3151,0)+1,1),""),"")</f>
        <v/>
      </c>
      <c r="I2462" s="391" t="str">
        <f ca="1">IFERROR(IF(VLOOKUP(C2462,' Disaggregation - Section E '!A$618:J3151,8,0)=0,"",VLOOKUP(C2462,' Disaggregation - Section E '!A$618:J3151,8,0)),"")</f>
        <v/>
      </c>
      <c r="J2462" s="391" t="str">
        <f ca="1">IFERROR(IF(VLOOKUP(C2462,' Disaggregation - Section E '!A$618:J3151,9,0)="","",VLOOKUP(C2462,' Disaggregation - Section E '!A$618:J3151,9,0)),"")</f>
        <v/>
      </c>
      <c r="K2462" s="387" t="str">
        <f ca="1">IFERROR(VLOOKUP(C2462,' Disaggregation - Section E '!A$618:J3151,3,0),"")</f>
        <v>DRTB-9 Treatment success rate of RR-TB and/or MDR-TB: Percentage of patients with RR and/or MDR-TB successfully treated</v>
      </c>
      <c r="L2462" s="387"/>
      <c r="M2462" s="387" t="str">
        <f ca="1">IFERROR(IF(VLOOKUP(C2462,' Disaggregation - Section E '!A$618:O1474,15,0)=0,"",VLOOKUP(C2462,' Disaggregation - Section E '!A$618:O1474,15,0)),"")</f>
        <v>IDR-01385</v>
      </c>
      <c r="N2462" s="391" t="str">
        <f ca="1">IFERROR(IF(VLOOKUP(C2462,' Disaggregation - Section E '!A$618:J3151,10,0)=0,"",VLOOKUP(C2462,' Disaggregation - Section E '!A$618:J3151,10,0)),"")</f>
        <v/>
      </c>
      <c r="O2462" s="387"/>
      <c r="P2462" s="387" t="str">
        <f ca="1">IFERROR(IF(VLOOKUP(C2462,' Disaggregation - Section E '!A$618:R1474,18,0)=0,"",VLOOKUP(C2462,' Disaggregation - Section E '!A$618:R1474,18,0)),"")</f>
        <v>a1LDm000000Cb55MAC</v>
      </c>
    </row>
    <row r="2463" spans="1:16">
      <c r="A2463" s="387" t="b">
        <f t="shared" ca="1" si="169"/>
        <v>0</v>
      </c>
      <c r="B2463" s="387"/>
      <c r="C2463" s="396" t="str">
        <f ca="1">IF(COUNTA(O$1610:O2463)=1,"",OFFSET(B2461,-COUNTA(O$1610:O2463)+3,1))</f>
        <v>a16Dm000000M3taIAC</v>
      </c>
      <c r="D2463" s="392"/>
      <c r="E2463" s="389" t="str">
        <f ca="1">IFERROR(IF(VLOOKUP(C2463,' Disaggregation - Section E '!A$618:J3152,7,0)="","",VLOOKUP(C2463,' Disaggregation - Section E '!A$618:J3152,7,0)*100),"")</f>
        <v/>
      </c>
      <c r="F2463" s="391" t="str">
        <f ca="1">IFERROR(VLOOKUP(C2463,' Disaggregation - Section E '!A$618:J3152,5,0),"")</f>
        <v/>
      </c>
      <c r="G2463" s="390" t="str">
        <f ca="1">IFERROR(IF(VLOOKUP(C2463,' Disaggregation - Section E '!A$618:J3152,6,0)="","",VLOOKUP(C2463,' Disaggregation - Section E '!A$618:J3152,6,0)),"")</f>
        <v/>
      </c>
      <c r="H2463" s="390" t="str">
        <f ca="1">IFERROR(IF(INDEX(' Disaggregation - Section E '!F$618:F3152,MATCH(C2463,' Disaggregation - Section E '!A$618:A3152,0)+1,1)&lt;&gt;0,INDEX(' Disaggregation - Section E '!F$618:F3152,MATCH(C2463,' Disaggregation - Section E '!A$618:A3152,0)+1,1),""),"")</f>
        <v/>
      </c>
      <c r="I2463" s="391" t="str">
        <f ca="1">IFERROR(IF(VLOOKUP(C2463,' Disaggregation - Section E '!A$618:J3152,8,0)=0,"",VLOOKUP(C2463,' Disaggregation - Section E '!A$618:J3152,8,0)),"")</f>
        <v/>
      </c>
      <c r="J2463" s="391" t="str">
        <f ca="1">IFERROR(IF(VLOOKUP(C2463,' Disaggregation - Section E '!A$618:J3152,9,0)="","",VLOOKUP(C2463,' Disaggregation - Section E '!A$618:J3152,9,0)),"")</f>
        <v/>
      </c>
      <c r="K2463" s="387" t="str">
        <f ca="1">IFERROR(VLOOKUP(C2463,' Disaggregation - Section E '!A$618:J3152,3,0),"")</f>
        <v>DRTB-9 Treatment success rate of RR-TB and/or MDR-TB: Percentage of patients with RR and/or MDR-TB successfully treated</v>
      </c>
      <c r="L2463" s="387"/>
      <c r="M2463" s="387" t="str">
        <f ca="1">IFERROR(IF(VLOOKUP(C2463,' Disaggregation - Section E '!A$618:O1475,15,0)=0,"",VLOOKUP(C2463,' Disaggregation - Section E '!A$618:O1475,15,0)),"")</f>
        <v/>
      </c>
      <c r="N2463" s="391" t="str">
        <f ca="1">IFERROR(IF(VLOOKUP(C2463,' Disaggregation - Section E '!A$618:J3152,10,0)=0,"",VLOOKUP(C2463,' Disaggregation - Section E '!A$618:J3152,10,0)),"")</f>
        <v/>
      </c>
      <c r="O2463" s="387"/>
      <c r="P2463" s="387" t="str">
        <f ca="1">IFERROR(IF(VLOOKUP(C2463,' Disaggregation - Section E '!A$618:R1475,18,0)=0,"",VLOOKUP(C2463,' Disaggregation - Section E '!A$618:R1475,18,0)),"")</f>
        <v/>
      </c>
    </row>
    <row r="2464" spans="1:16">
      <c r="A2464" s="387" t="b">
        <f t="shared" ca="1" si="169"/>
        <v>0</v>
      </c>
      <c r="B2464" s="387"/>
      <c r="C2464" s="396" t="str">
        <f ca="1">IF(COUNTA(O$1610:O2464)=1,"",OFFSET(B2462,-COUNTA(O$1610:O2464)+3,1))</f>
        <v>a16Dm000000M3tbIAC</v>
      </c>
      <c r="D2464" s="392"/>
      <c r="E2464" s="389" t="str">
        <f ca="1">IFERROR(IF(VLOOKUP(C2464,' Disaggregation - Section E '!A$618:J3153,7,0)="","",VLOOKUP(C2464,' Disaggregation - Section E '!A$618:J3153,7,0)*100),"")</f>
        <v/>
      </c>
      <c r="F2464" s="391" t="str">
        <f ca="1">IFERROR(VLOOKUP(C2464,' Disaggregation - Section E '!A$618:J3153,5,0),"")</f>
        <v/>
      </c>
      <c r="G2464" s="390" t="str">
        <f ca="1">IFERROR(IF(VLOOKUP(C2464,' Disaggregation - Section E '!A$618:J3153,6,0)="","",VLOOKUP(C2464,' Disaggregation - Section E '!A$618:J3153,6,0)),"")</f>
        <v/>
      </c>
      <c r="H2464" s="390" t="str">
        <f ca="1">IFERROR(IF(INDEX(' Disaggregation - Section E '!F$618:F3153,MATCH(C2464,' Disaggregation - Section E '!A$618:A3153,0)+1,1)&lt;&gt;0,INDEX(' Disaggregation - Section E '!F$618:F3153,MATCH(C2464,' Disaggregation - Section E '!A$618:A3153,0)+1,1),""),"")</f>
        <v/>
      </c>
      <c r="I2464" s="391" t="str">
        <f ca="1">IFERROR(IF(VLOOKUP(C2464,' Disaggregation - Section E '!A$618:J3153,8,0)=0,"",VLOOKUP(C2464,' Disaggregation - Section E '!A$618:J3153,8,0)),"")</f>
        <v/>
      </c>
      <c r="J2464" s="391" t="str">
        <f ca="1">IFERROR(IF(VLOOKUP(C2464,' Disaggregation - Section E '!A$618:J3153,9,0)="","",VLOOKUP(C2464,' Disaggregation - Section E '!A$618:J3153,9,0)),"")</f>
        <v/>
      </c>
      <c r="K2464" s="387" t="str">
        <f ca="1">IFERROR(VLOOKUP(C2464,' Disaggregation - Section E '!A$618:J3153,3,0),"")</f>
        <v>DRTB-9 Treatment success rate of RR-TB and/or MDR-TB: Percentage of patients with RR and/or MDR-TB successfully treated</v>
      </c>
      <c r="L2464" s="387"/>
      <c r="M2464" s="387" t="str">
        <f ca="1">IFERROR(IF(VLOOKUP(C2464,' Disaggregation - Section E '!A$618:O1476,15,0)=0,"",VLOOKUP(C2464,' Disaggregation - Section E '!A$618:O1476,15,0)),"")</f>
        <v/>
      </c>
      <c r="N2464" s="391" t="str">
        <f ca="1">IFERROR(IF(VLOOKUP(C2464,' Disaggregation - Section E '!A$618:J3153,10,0)=0,"",VLOOKUP(C2464,' Disaggregation - Section E '!A$618:J3153,10,0)),"")</f>
        <v/>
      </c>
      <c r="O2464" s="387"/>
      <c r="P2464" s="387" t="str">
        <f ca="1">IFERROR(IF(VLOOKUP(C2464,' Disaggregation - Section E '!A$618:R1476,18,0)=0,"",VLOOKUP(C2464,' Disaggregation - Section E '!A$618:R1476,18,0)),"")</f>
        <v/>
      </c>
    </row>
    <row r="2465" spans="1:16">
      <c r="A2465" s="387" t="b">
        <f t="shared" ca="1" si="169"/>
        <v>0</v>
      </c>
      <c r="B2465" s="387"/>
      <c r="C2465" s="396" t="str">
        <f ca="1">IF(COUNTA(O$1610:O2465)=1,"",OFFSET(B2463,-COUNTA(O$1610:O2465)+3,1))</f>
        <v>a16Dm000000M3tcIAC</v>
      </c>
      <c r="D2465" s="392"/>
      <c r="E2465" s="389" t="str">
        <f ca="1">IFERROR(IF(VLOOKUP(C2465,' Disaggregation - Section E '!A$618:J3154,7,0)="","",VLOOKUP(C2465,' Disaggregation - Section E '!A$618:J3154,7,0)*100),"")</f>
        <v/>
      </c>
      <c r="F2465" s="391" t="str">
        <f ca="1">IFERROR(VLOOKUP(C2465,' Disaggregation - Section E '!A$618:J3154,5,0),"")</f>
        <v/>
      </c>
      <c r="G2465" s="390" t="str">
        <f ca="1">IFERROR(IF(VLOOKUP(C2465,' Disaggregation - Section E '!A$618:J3154,6,0)="","",VLOOKUP(C2465,' Disaggregation - Section E '!A$618:J3154,6,0)),"")</f>
        <v/>
      </c>
      <c r="H2465" s="390" t="str">
        <f ca="1">IFERROR(IF(INDEX(' Disaggregation - Section E '!F$618:F3154,MATCH(C2465,' Disaggregation - Section E '!A$618:A3154,0)+1,1)&lt;&gt;0,INDEX(' Disaggregation - Section E '!F$618:F3154,MATCH(C2465,' Disaggregation - Section E '!A$618:A3154,0)+1,1),""),"")</f>
        <v/>
      </c>
      <c r="I2465" s="391" t="str">
        <f ca="1">IFERROR(IF(VLOOKUP(C2465,' Disaggregation - Section E '!A$618:J3154,8,0)=0,"",VLOOKUP(C2465,' Disaggregation - Section E '!A$618:J3154,8,0)),"")</f>
        <v/>
      </c>
      <c r="J2465" s="391" t="str">
        <f ca="1">IFERROR(IF(VLOOKUP(C2465,' Disaggregation - Section E '!A$618:J3154,9,0)="","",VLOOKUP(C2465,' Disaggregation - Section E '!A$618:J3154,9,0)),"")</f>
        <v/>
      </c>
      <c r="K2465" s="387" t="str">
        <f ca="1">IFERROR(VLOOKUP(C2465,' Disaggregation - Section E '!A$618:J3154,3,0),"")</f>
        <v>DRTB-9 Treatment success rate of RR-TB and/or MDR-TB: Percentage of patients with RR and/or MDR-TB successfully treated</v>
      </c>
      <c r="L2465" s="387"/>
      <c r="M2465" s="387" t="str">
        <f ca="1">IFERROR(IF(VLOOKUP(C2465,' Disaggregation - Section E '!A$618:O1477,15,0)=0,"",VLOOKUP(C2465,' Disaggregation - Section E '!A$618:O1477,15,0)),"")</f>
        <v/>
      </c>
      <c r="N2465" s="391" t="str">
        <f ca="1">IFERROR(IF(VLOOKUP(C2465,' Disaggregation - Section E '!A$618:J3154,10,0)=0,"",VLOOKUP(C2465,' Disaggregation - Section E '!A$618:J3154,10,0)),"")</f>
        <v/>
      </c>
      <c r="O2465" s="387"/>
      <c r="P2465" s="387" t="str">
        <f ca="1">IFERROR(IF(VLOOKUP(C2465,' Disaggregation - Section E '!A$618:R1477,18,0)=0,"",VLOOKUP(C2465,' Disaggregation - Section E '!A$618:R1477,18,0)),"")</f>
        <v/>
      </c>
    </row>
    <row r="2466" spans="1:16">
      <c r="A2466" s="387" t="b">
        <f t="shared" ca="1" si="169"/>
        <v>0</v>
      </c>
      <c r="B2466" s="387"/>
      <c r="C2466" s="396" t="str">
        <f ca="1">IF(COUNTA(O$1610:O2466)=1,"",OFFSET(B2464,-COUNTA(O$1610:O2466)+3,1))</f>
        <v>a16Dm000000M3tdIAC</v>
      </c>
      <c r="D2466" s="392"/>
      <c r="E2466" s="389" t="str">
        <f ca="1">IFERROR(IF(VLOOKUP(C2466,' Disaggregation - Section E '!A$618:J3155,7,0)="","",VLOOKUP(C2466,' Disaggregation - Section E '!A$618:J3155,7,0)*100),"")</f>
        <v/>
      </c>
      <c r="F2466" s="391" t="str">
        <f ca="1">IFERROR(VLOOKUP(C2466,' Disaggregation - Section E '!A$618:J3155,5,0),"")</f>
        <v/>
      </c>
      <c r="G2466" s="390" t="str">
        <f ca="1">IFERROR(IF(VLOOKUP(C2466,' Disaggregation - Section E '!A$618:J3155,6,0)="","",VLOOKUP(C2466,' Disaggregation - Section E '!A$618:J3155,6,0)),"")</f>
        <v/>
      </c>
      <c r="H2466" s="390" t="str">
        <f ca="1">IFERROR(IF(INDEX(' Disaggregation - Section E '!F$618:F3155,MATCH(C2466,' Disaggregation - Section E '!A$618:A3155,0)+1,1)&lt;&gt;0,INDEX(' Disaggregation - Section E '!F$618:F3155,MATCH(C2466,' Disaggregation - Section E '!A$618:A3155,0)+1,1),""),"")</f>
        <v/>
      </c>
      <c r="I2466" s="391" t="str">
        <f ca="1">IFERROR(IF(VLOOKUP(C2466,' Disaggregation - Section E '!A$618:J3155,8,0)=0,"",VLOOKUP(C2466,' Disaggregation - Section E '!A$618:J3155,8,0)),"")</f>
        <v/>
      </c>
      <c r="J2466" s="391" t="str">
        <f ca="1">IFERROR(IF(VLOOKUP(C2466,' Disaggregation - Section E '!A$618:J3155,9,0)="","",VLOOKUP(C2466,' Disaggregation - Section E '!A$618:J3155,9,0)),"")</f>
        <v/>
      </c>
      <c r="K2466" s="387" t="str">
        <f ca="1">IFERROR(VLOOKUP(C2466,' Disaggregation - Section E '!A$618:J3155,3,0),"")</f>
        <v>DRTB-9 Treatment success rate of RR-TB and/or MDR-TB: Percentage of patients with RR and/or MDR-TB successfully treated</v>
      </c>
      <c r="L2466" s="387"/>
      <c r="M2466" s="387" t="str">
        <f ca="1">IFERROR(IF(VLOOKUP(C2466,' Disaggregation - Section E '!A$618:O1478,15,0)=0,"",VLOOKUP(C2466,' Disaggregation - Section E '!A$618:O1478,15,0)),"")</f>
        <v/>
      </c>
      <c r="N2466" s="391" t="str">
        <f ca="1">IFERROR(IF(VLOOKUP(C2466,' Disaggregation - Section E '!A$618:J3155,10,0)=0,"",VLOOKUP(C2466,' Disaggregation - Section E '!A$618:J3155,10,0)),"")</f>
        <v/>
      </c>
      <c r="O2466" s="387"/>
      <c r="P2466" s="387" t="str">
        <f ca="1">IFERROR(IF(VLOOKUP(C2466,' Disaggregation - Section E '!A$618:R1478,18,0)=0,"",VLOOKUP(C2466,' Disaggregation - Section E '!A$618:R1478,18,0)),"")</f>
        <v/>
      </c>
    </row>
    <row r="2467" spans="1:16">
      <c r="A2467" s="387" t="b">
        <f t="shared" ca="1" si="169"/>
        <v>0</v>
      </c>
      <c r="B2467" s="387"/>
      <c r="C2467" s="396" t="str">
        <f ca="1">IF(COUNTA(O$1610:O2467)=1,"",OFFSET(B2465,-COUNTA(O$1610:O2467)+3,1))</f>
        <v>a16Dm000000M3teIAC</v>
      </c>
      <c r="D2467" s="392"/>
      <c r="E2467" s="389" t="str">
        <f ca="1">IFERROR(IF(VLOOKUP(C2467,' Disaggregation - Section E '!A$618:J3156,7,0)="","",VLOOKUP(C2467,' Disaggregation - Section E '!A$618:J3156,7,0)*100),"")</f>
        <v/>
      </c>
      <c r="F2467" s="391" t="str">
        <f ca="1">IFERROR(VLOOKUP(C2467,' Disaggregation - Section E '!A$618:J3156,5,0),"")</f>
        <v/>
      </c>
      <c r="G2467" s="390" t="str">
        <f ca="1">IFERROR(IF(VLOOKUP(C2467,' Disaggregation - Section E '!A$618:J3156,6,0)="","",VLOOKUP(C2467,' Disaggregation - Section E '!A$618:J3156,6,0)),"")</f>
        <v/>
      </c>
      <c r="H2467" s="390" t="str">
        <f ca="1">IFERROR(IF(INDEX(' Disaggregation - Section E '!F$618:F3156,MATCH(C2467,' Disaggregation - Section E '!A$618:A3156,0)+1,1)&lt;&gt;0,INDEX(' Disaggregation - Section E '!F$618:F3156,MATCH(C2467,' Disaggregation - Section E '!A$618:A3156,0)+1,1),""),"")</f>
        <v/>
      </c>
      <c r="I2467" s="391" t="str">
        <f ca="1">IFERROR(IF(VLOOKUP(C2467,' Disaggregation - Section E '!A$618:J3156,8,0)=0,"",VLOOKUP(C2467,' Disaggregation - Section E '!A$618:J3156,8,0)),"")</f>
        <v/>
      </c>
      <c r="J2467" s="391" t="str">
        <f ca="1">IFERROR(IF(VLOOKUP(C2467,' Disaggregation - Section E '!A$618:J3156,9,0)="","",VLOOKUP(C2467,' Disaggregation - Section E '!A$618:J3156,9,0)),"")</f>
        <v/>
      </c>
      <c r="K2467" s="387" t="str">
        <f ca="1">IFERROR(VLOOKUP(C2467,' Disaggregation - Section E '!A$618:J3156,3,0),"")</f>
        <v>DRTB-9 Treatment success rate of RR-TB and/or MDR-TB: Percentage of patients with RR and/or MDR-TB successfully treated</v>
      </c>
      <c r="L2467" s="387"/>
      <c r="M2467" s="387" t="str">
        <f ca="1">IFERROR(IF(VLOOKUP(C2467,' Disaggregation - Section E '!A$618:O1479,15,0)=0,"",VLOOKUP(C2467,' Disaggregation - Section E '!A$618:O1479,15,0)),"")</f>
        <v/>
      </c>
      <c r="N2467" s="391" t="str">
        <f ca="1">IFERROR(IF(VLOOKUP(C2467,' Disaggregation - Section E '!A$618:J3156,10,0)=0,"",VLOOKUP(C2467,' Disaggregation - Section E '!A$618:J3156,10,0)),"")</f>
        <v/>
      </c>
      <c r="O2467" s="387"/>
      <c r="P2467" s="387" t="str">
        <f ca="1">IFERROR(IF(VLOOKUP(C2467,' Disaggregation - Section E '!A$618:R1479,18,0)=0,"",VLOOKUP(C2467,' Disaggregation - Section E '!A$618:R1479,18,0)),"")</f>
        <v/>
      </c>
    </row>
    <row r="2468" spans="1:16">
      <c r="A2468" s="387" t="b">
        <f t="shared" ca="1" si="169"/>
        <v>0</v>
      </c>
      <c r="B2468" s="387"/>
      <c r="C2468" s="396" t="str">
        <f ca="1">IF(COUNTA(O$1610:O2468)=1,"",OFFSET(B2466,-COUNTA(O$1610:O2468)+3,1))</f>
        <v>a16Dm000000M3tfIAC</v>
      </c>
      <c r="D2468" s="392"/>
      <c r="E2468" s="389" t="str">
        <f ca="1">IFERROR(IF(VLOOKUP(C2468,' Disaggregation - Section E '!A$618:J3157,7,0)="","",VLOOKUP(C2468,' Disaggregation - Section E '!A$618:J3157,7,0)*100),"")</f>
        <v/>
      </c>
      <c r="F2468" s="391" t="str">
        <f ca="1">IFERROR(VLOOKUP(C2468,' Disaggregation - Section E '!A$618:J3157,5,0),"")</f>
        <v/>
      </c>
      <c r="G2468" s="390" t="str">
        <f ca="1">IFERROR(IF(VLOOKUP(C2468,' Disaggregation - Section E '!A$618:J3157,6,0)="","",VLOOKUP(C2468,' Disaggregation - Section E '!A$618:J3157,6,0)),"")</f>
        <v/>
      </c>
      <c r="H2468" s="390" t="str">
        <f ca="1">IFERROR(IF(INDEX(' Disaggregation - Section E '!F$618:F3157,MATCH(C2468,' Disaggregation - Section E '!A$618:A3157,0)+1,1)&lt;&gt;0,INDEX(' Disaggregation - Section E '!F$618:F3157,MATCH(C2468,' Disaggregation - Section E '!A$618:A3157,0)+1,1),""),"")</f>
        <v/>
      </c>
      <c r="I2468" s="391" t="str">
        <f ca="1">IFERROR(IF(VLOOKUP(C2468,' Disaggregation - Section E '!A$618:J3157,8,0)=0,"",VLOOKUP(C2468,' Disaggregation - Section E '!A$618:J3157,8,0)),"")</f>
        <v/>
      </c>
      <c r="J2468" s="391" t="str">
        <f ca="1">IFERROR(IF(VLOOKUP(C2468,' Disaggregation - Section E '!A$618:J3157,9,0)="","",VLOOKUP(C2468,' Disaggregation - Section E '!A$618:J3157,9,0)),"")</f>
        <v/>
      </c>
      <c r="K2468" s="387" t="str">
        <f ca="1">IFERROR(VLOOKUP(C2468,' Disaggregation - Section E '!A$618:J3157,3,0),"")</f>
        <v>DRTB-9 Treatment success rate of RR-TB and/or MDR-TB: Percentage of patients with RR and/or MDR-TB successfully treated</v>
      </c>
      <c r="L2468" s="387"/>
      <c r="M2468" s="387" t="str">
        <f ca="1">IFERROR(IF(VLOOKUP(C2468,' Disaggregation - Section E '!A$618:O1480,15,0)=0,"",VLOOKUP(C2468,' Disaggregation - Section E '!A$618:O1480,15,0)),"")</f>
        <v/>
      </c>
      <c r="N2468" s="391" t="str">
        <f ca="1">IFERROR(IF(VLOOKUP(C2468,' Disaggregation - Section E '!A$618:J3157,10,0)=0,"",VLOOKUP(C2468,' Disaggregation - Section E '!A$618:J3157,10,0)),"")</f>
        <v/>
      </c>
      <c r="O2468" s="387"/>
      <c r="P2468" s="387" t="str">
        <f ca="1">IFERROR(IF(VLOOKUP(C2468,' Disaggregation - Section E '!A$618:R1480,18,0)=0,"",VLOOKUP(C2468,' Disaggregation - Section E '!A$618:R1480,18,0)),"")</f>
        <v/>
      </c>
    </row>
    <row r="2469" spans="1:16">
      <c r="A2469" s="387" t="b">
        <f t="shared" ca="1" si="169"/>
        <v>0</v>
      </c>
      <c r="B2469" s="387"/>
      <c r="C2469" s="396" t="str">
        <f ca="1">IF(COUNTA(O$1610:O2469)=1,"",OFFSET(B2467,-COUNTA(O$1610:O2469)+3,1))</f>
        <v>a16Dm000000M3tgIAC</v>
      </c>
      <c r="D2469" s="392"/>
      <c r="E2469" s="389" t="str">
        <f ca="1">IFERROR(IF(VLOOKUP(C2469,' Disaggregation - Section E '!A$618:J3158,7,0)="","",VLOOKUP(C2469,' Disaggregation - Section E '!A$618:J3158,7,0)*100),"")</f>
        <v/>
      </c>
      <c r="F2469" s="391" t="str">
        <f ca="1">IFERROR(VLOOKUP(C2469,' Disaggregation - Section E '!A$618:J3158,5,0),"")</f>
        <v/>
      </c>
      <c r="G2469" s="390" t="str">
        <f ca="1">IFERROR(IF(VLOOKUP(C2469,' Disaggregation - Section E '!A$618:J3158,6,0)="","",VLOOKUP(C2469,' Disaggregation - Section E '!A$618:J3158,6,0)),"")</f>
        <v/>
      </c>
      <c r="H2469" s="390" t="str">
        <f ca="1">IFERROR(IF(INDEX(' Disaggregation - Section E '!F$618:F3158,MATCH(C2469,' Disaggregation - Section E '!A$618:A3158,0)+1,1)&lt;&gt;0,INDEX(' Disaggregation - Section E '!F$618:F3158,MATCH(C2469,' Disaggregation - Section E '!A$618:A3158,0)+1,1),""),"")</f>
        <v/>
      </c>
      <c r="I2469" s="391" t="str">
        <f ca="1">IFERROR(IF(VLOOKUP(C2469,' Disaggregation - Section E '!A$618:J3158,8,0)=0,"",VLOOKUP(C2469,' Disaggregation - Section E '!A$618:J3158,8,0)),"")</f>
        <v/>
      </c>
      <c r="J2469" s="391" t="str">
        <f ca="1">IFERROR(IF(VLOOKUP(C2469,' Disaggregation - Section E '!A$618:J3158,9,0)="","",VLOOKUP(C2469,' Disaggregation - Section E '!A$618:J3158,9,0)),"")</f>
        <v/>
      </c>
      <c r="K2469" s="387" t="str">
        <f ca="1">IFERROR(VLOOKUP(C2469,' Disaggregation - Section E '!A$618:J3158,3,0),"")</f>
        <v>DRTB-9 Treatment success rate of RR-TB and/or MDR-TB: Percentage of patients with RR and/or MDR-TB successfully treated</v>
      </c>
      <c r="L2469" s="387"/>
      <c r="M2469" s="387" t="str">
        <f ca="1">IFERROR(IF(VLOOKUP(C2469,' Disaggregation - Section E '!A$618:O1481,15,0)=0,"",VLOOKUP(C2469,' Disaggregation - Section E '!A$618:O1481,15,0)),"")</f>
        <v/>
      </c>
      <c r="N2469" s="391" t="str">
        <f ca="1">IFERROR(IF(VLOOKUP(C2469,' Disaggregation - Section E '!A$618:J3158,10,0)=0,"",VLOOKUP(C2469,' Disaggregation - Section E '!A$618:J3158,10,0)),"")</f>
        <v/>
      </c>
      <c r="O2469" s="387"/>
      <c r="P2469" s="387" t="str">
        <f ca="1">IFERROR(IF(VLOOKUP(C2469,' Disaggregation - Section E '!A$618:R1481,18,0)=0,"",VLOOKUP(C2469,' Disaggregation - Section E '!A$618:R1481,18,0)),"")</f>
        <v/>
      </c>
    </row>
    <row r="2470" spans="1:16">
      <c r="A2470" s="387" t="b">
        <f t="shared" ca="1" si="169"/>
        <v>0</v>
      </c>
      <c r="B2470" s="387"/>
      <c r="C2470" s="396" t="str">
        <f ca="1">IF(COUNTA(O$1610:O2470)=1,"",OFFSET(B2468,-COUNTA(O$1610:O2470)+3,1))</f>
        <v>a16Dm000000M3thIAC</v>
      </c>
      <c r="D2470" s="392"/>
      <c r="E2470" s="389" t="str">
        <f ca="1">IFERROR(IF(VLOOKUP(C2470,' Disaggregation - Section E '!A$618:J3159,7,0)="","",VLOOKUP(C2470,' Disaggregation - Section E '!A$618:J3159,7,0)*100),"")</f>
        <v/>
      </c>
      <c r="F2470" s="391" t="str">
        <f ca="1">IFERROR(VLOOKUP(C2470,' Disaggregation - Section E '!A$618:J3159,5,0),"")</f>
        <v/>
      </c>
      <c r="G2470" s="390" t="str">
        <f ca="1">IFERROR(IF(VLOOKUP(C2470,' Disaggregation - Section E '!A$618:J3159,6,0)="","",VLOOKUP(C2470,' Disaggregation - Section E '!A$618:J3159,6,0)),"")</f>
        <v/>
      </c>
      <c r="H2470" s="390" t="str">
        <f ca="1">IFERROR(IF(INDEX(' Disaggregation - Section E '!F$618:F3159,MATCH(C2470,' Disaggregation - Section E '!A$618:A3159,0)+1,1)&lt;&gt;0,INDEX(' Disaggregation - Section E '!F$618:F3159,MATCH(C2470,' Disaggregation - Section E '!A$618:A3159,0)+1,1),""),"")</f>
        <v/>
      </c>
      <c r="I2470" s="391" t="str">
        <f ca="1">IFERROR(IF(VLOOKUP(C2470,' Disaggregation - Section E '!A$618:J3159,8,0)=0,"",VLOOKUP(C2470,' Disaggregation - Section E '!A$618:J3159,8,0)),"")</f>
        <v/>
      </c>
      <c r="J2470" s="391" t="str">
        <f ca="1">IFERROR(IF(VLOOKUP(C2470,' Disaggregation - Section E '!A$618:J3159,9,0)="","",VLOOKUP(C2470,' Disaggregation - Section E '!A$618:J3159,9,0)),"")</f>
        <v/>
      </c>
      <c r="K2470" s="387" t="str">
        <f ca="1">IFERROR(VLOOKUP(C2470,' Disaggregation - Section E '!A$618:J3159,3,0),"")</f>
        <v>DRTB-9 Treatment success rate of RR-TB and/or MDR-TB: Percentage of patients with RR and/or MDR-TB successfully treated</v>
      </c>
      <c r="L2470" s="387"/>
      <c r="M2470" s="387" t="str">
        <f ca="1">IFERROR(IF(VLOOKUP(C2470,' Disaggregation - Section E '!A$618:O1482,15,0)=0,"",VLOOKUP(C2470,' Disaggregation - Section E '!A$618:O1482,15,0)),"")</f>
        <v/>
      </c>
      <c r="N2470" s="391" t="str">
        <f ca="1">IFERROR(IF(VLOOKUP(C2470,' Disaggregation - Section E '!A$618:J3159,10,0)=0,"",VLOOKUP(C2470,' Disaggregation - Section E '!A$618:J3159,10,0)),"")</f>
        <v/>
      </c>
      <c r="O2470" s="387"/>
      <c r="P2470" s="387" t="str">
        <f ca="1">IFERROR(IF(VLOOKUP(C2470,' Disaggregation - Section E '!A$618:R1482,18,0)=0,"",VLOOKUP(C2470,' Disaggregation - Section E '!A$618:R1482,18,0)),"")</f>
        <v/>
      </c>
    </row>
    <row r="2471" spans="1:16">
      <c r="A2471" s="387" t="b">
        <f t="shared" ca="1" si="169"/>
        <v>0</v>
      </c>
      <c r="B2471" s="387"/>
      <c r="C2471" s="396" t="str">
        <f ca="1">IF(COUNTA(O$1610:O2471)=1,"",OFFSET(B2469,-COUNTA(O$1610:O2471)+3,1))</f>
        <v>a16Dm000000M3tiIAC</v>
      </c>
      <c r="D2471" s="392"/>
      <c r="E2471" s="389" t="str">
        <f ca="1">IFERROR(IF(VLOOKUP(C2471,' Disaggregation - Section E '!A$618:J3160,7,0)="","",VLOOKUP(C2471,' Disaggregation - Section E '!A$618:J3160,7,0)*100),"")</f>
        <v/>
      </c>
      <c r="F2471" s="391" t="str">
        <f ca="1">IFERROR(VLOOKUP(C2471,' Disaggregation - Section E '!A$618:J3160,5,0),"")</f>
        <v/>
      </c>
      <c r="G2471" s="390" t="str">
        <f ca="1">IFERROR(IF(VLOOKUP(C2471,' Disaggregation - Section E '!A$618:J3160,6,0)="","",VLOOKUP(C2471,' Disaggregation - Section E '!A$618:J3160,6,0)),"")</f>
        <v/>
      </c>
      <c r="H2471" s="390" t="str">
        <f ca="1">IFERROR(IF(INDEX(' Disaggregation - Section E '!F$618:F3160,MATCH(C2471,' Disaggregation - Section E '!A$618:A3160,0)+1,1)&lt;&gt;0,INDEX(' Disaggregation - Section E '!F$618:F3160,MATCH(C2471,' Disaggregation - Section E '!A$618:A3160,0)+1,1),""),"")</f>
        <v/>
      </c>
      <c r="I2471" s="391" t="str">
        <f ca="1">IFERROR(IF(VLOOKUP(C2471,' Disaggregation - Section E '!A$618:J3160,8,0)=0,"",VLOOKUP(C2471,' Disaggregation - Section E '!A$618:J3160,8,0)),"")</f>
        <v/>
      </c>
      <c r="J2471" s="391" t="str">
        <f ca="1">IFERROR(IF(VLOOKUP(C2471,' Disaggregation - Section E '!A$618:J3160,9,0)="","",VLOOKUP(C2471,' Disaggregation - Section E '!A$618:J3160,9,0)),"")</f>
        <v/>
      </c>
      <c r="K2471" s="387" t="str">
        <f ca="1">IFERROR(VLOOKUP(C2471,' Disaggregation - Section E '!A$618:J3160,3,0),"")</f>
        <v>DRTB-9 Treatment success rate of RR-TB and/or MDR-TB: Percentage of patients with RR and/or MDR-TB successfully treated</v>
      </c>
      <c r="L2471" s="387"/>
      <c r="M2471" s="387" t="str">
        <f ca="1">IFERROR(IF(VLOOKUP(C2471,' Disaggregation - Section E '!A$618:O1483,15,0)=0,"",VLOOKUP(C2471,' Disaggregation - Section E '!A$618:O1483,15,0)),"")</f>
        <v/>
      </c>
      <c r="N2471" s="391" t="str">
        <f ca="1">IFERROR(IF(VLOOKUP(C2471,' Disaggregation - Section E '!A$618:J3160,10,0)=0,"",VLOOKUP(C2471,' Disaggregation - Section E '!A$618:J3160,10,0)),"")</f>
        <v/>
      </c>
      <c r="O2471" s="387"/>
      <c r="P2471" s="387" t="str">
        <f ca="1">IFERROR(IF(VLOOKUP(C2471,' Disaggregation - Section E '!A$618:R1483,18,0)=0,"",VLOOKUP(C2471,' Disaggregation - Section E '!A$618:R1483,18,0)),"")</f>
        <v/>
      </c>
    </row>
    <row r="2472" spans="1:16">
      <c r="A2472" s="387" t="b">
        <f t="shared" ca="1" si="169"/>
        <v>0</v>
      </c>
      <c r="B2472" s="387"/>
      <c r="C2472" s="396" t="str">
        <f ca="1">IF(COUNTA(O$1610:O2472)=1,"",OFFSET(B2470,-COUNTA(O$1610:O2472)+3,1))</f>
        <v>a16Dm000000M3tjIAC</v>
      </c>
      <c r="D2472" s="392"/>
      <c r="E2472" s="389" t="str">
        <f ca="1">IFERROR(IF(VLOOKUP(C2472,' Disaggregation - Section E '!A$618:J3161,7,0)="","",VLOOKUP(C2472,' Disaggregation - Section E '!A$618:J3161,7,0)*100),"")</f>
        <v/>
      </c>
      <c r="F2472" s="391" t="str">
        <f ca="1">IFERROR(VLOOKUP(C2472,' Disaggregation - Section E '!A$618:J3161,5,0),"")</f>
        <v/>
      </c>
      <c r="G2472" s="390" t="str">
        <f ca="1">IFERROR(IF(VLOOKUP(C2472,' Disaggregation - Section E '!A$618:J3161,6,0)="","",VLOOKUP(C2472,' Disaggregation - Section E '!A$618:J3161,6,0)),"")</f>
        <v/>
      </c>
      <c r="H2472" s="390" t="str">
        <f ca="1">IFERROR(IF(INDEX(' Disaggregation - Section E '!F$618:F3161,MATCH(C2472,' Disaggregation - Section E '!A$618:A3161,0)+1,1)&lt;&gt;0,INDEX(' Disaggregation - Section E '!F$618:F3161,MATCH(C2472,' Disaggregation - Section E '!A$618:A3161,0)+1,1),""),"")</f>
        <v/>
      </c>
      <c r="I2472" s="391" t="str">
        <f ca="1">IFERROR(IF(VLOOKUP(C2472,' Disaggregation - Section E '!A$618:J3161,8,0)=0,"",VLOOKUP(C2472,' Disaggregation - Section E '!A$618:J3161,8,0)),"")</f>
        <v/>
      </c>
      <c r="J2472" s="391" t="str">
        <f ca="1">IFERROR(IF(VLOOKUP(C2472,' Disaggregation - Section E '!A$618:J3161,9,0)="","",VLOOKUP(C2472,' Disaggregation - Section E '!A$618:J3161,9,0)),"")</f>
        <v/>
      </c>
      <c r="K2472" s="387" t="str">
        <f ca="1">IFERROR(VLOOKUP(C2472,' Disaggregation - Section E '!A$618:J3161,3,0),"")</f>
        <v/>
      </c>
      <c r="L2472" s="387"/>
      <c r="M2472" s="387" t="str">
        <f ca="1">IFERROR(IF(VLOOKUP(C2472,' Disaggregation - Section E '!A$618:O1484,15,0)=0,"",VLOOKUP(C2472,' Disaggregation - Section E '!A$618:O1484,15,0)),"")</f>
        <v/>
      </c>
      <c r="N2472" s="391" t="str">
        <f ca="1">IFERROR(IF(VLOOKUP(C2472,' Disaggregation - Section E '!A$618:J3161,10,0)=0,"",VLOOKUP(C2472,' Disaggregation - Section E '!A$618:J3161,10,0)),"")</f>
        <v/>
      </c>
      <c r="O2472" s="387"/>
      <c r="P2472" s="387" t="str">
        <f ca="1">IFERROR(IF(VLOOKUP(C2472,' Disaggregation - Section E '!A$618:R1484,18,0)=0,"",VLOOKUP(C2472,' Disaggregation - Section E '!A$618:R1484,18,0)),"")</f>
        <v/>
      </c>
    </row>
    <row r="2473" spans="1:16">
      <c r="A2473" s="387" t="b">
        <f t="shared" ca="1" si="169"/>
        <v>0</v>
      </c>
      <c r="B2473" s="387"/>
      <c r="C2473" s="396" t="str">
        <f ca="1">IF(COUNTA(O$1610:O2473)=1,"",OFFSET(B2471,-COUNTA(O$1610:O2473)+3,1))</f>
        <v>a16Dm000000M3tkIAC</v>
      </c>
      <c r="D2473" s="392"/>
      <c r="E2473" s="389" t="str">
        <f ca="1">IFERROR(IF(VLOOKUP(C2473,' Disaggregation - Section E '!A$618:J3162,7,0)="","",VLOOKUP(C2473,' Disaggregation - Section E '!A$618:J3162,7,0)*100),"")</f>
        <v/>
      </c>
      <c r="F2473" s="391" t="str">
        <f ca="1">IFERROR(VLOOKUP(C2473,' Disaggregation - Section E '!A$618:J3162,5,0),"")</f>
        <v/>
      </c>
      <c r="G2473" s="390" t="str">
        <f ca="1">IFERROR(IF(VLOOKUP(C2473,' Disaggregation - Section E '!A$618:J3162,6,0)="","",VLOOKUP(C2473,' Disaggregation - Section E '!A$618:J3162,6,0)),"")</f>
        <v/>
      </c>
      <c r="H2473" s="390" t="str">
        <f ca="1">IFERROR(IF(INDEX(' Disaggregation - Section E '!F$618:F3162,MATCH(C2473,' Disaggregation - Section E '!A$618:A3162,0)+1,1)&lt;&gt;0,INDEX(' Disaggregation - Section E '!F$618:F3162,MATCH(C2473,' Disaggregation - Section E '!A$618:A3162,0)+1,1),""),"")</f>
        <v/>
      </c>
      <c r="I2473" s="391" t="str">
        <f ca="1">IFERROR(IF(VLOOKUP(C2473,' Disaggregation - Section E '!A$618:J3162,8,0)=0,"",VLOOKUP(C2473,' Disaggregation - Section E '!A$618:J3162,8,0)),"")</f>
        <v/>
      </c>
      <c r="J2473" s="391" t="str">
        <f ca="1">IFERROR(IF(VLOOKUP(C2473,' Disaggregation - Section E '!A$618:J3162,9,0)="","",VLOOKUP(C2473,' Disaggregation - Section E '!A$618:J3162,9,0)),"")</f>
        <v/>
      </c>
      <c r="K2473" s="387" t="str">
        <f ca="1">IFERROR(VLOOKUP(C2473,' Disaggregation - Section E '!A$618:J3162,3,0),"")</f>
        <v/>
      </c>
      <c r="L2473" s="387"/>
      <c r="M2473" s="387" t="str">
        <f ca="1">IFERROR(IF(VLOOKUP(C2473,' Disaggregation - Section E '!A$618:O1485,15,0)=0,"",VLOOKUP(C2473,' Disaggregation - Section E '!A$618:O1485,15,0)),"")</f>
        <v/>
      </c>
      <c r="N2473" s="391" t="str">
        <f ca="1">IFERROR(IF(VLOOKUP(C2473,' Disaggregation - Section E '!A$618:J3162,10,0)=0,"",VLOOKUP(C2473,' Disaggregation - Section E '!A$618:J3162,10,0)),"")</f>
        <v/>
      </c>
      <c r="O2473" s="387"/>
      <c r="P2473" s="387" t="str">
        <f ca="1">IFERROR(IF(VLOOKUP(C2473,' Disaggregation - Section E '!A$618:R1485,18,0)=0,"",VLOOKUP(C2473,' Disaggregation - Section E '!A$618:R1485,18,0)),"")</f>
        <v/>
      </c>
    </row>
    <row r="2474" spans="1:16">
      <c r="A2474" s="387" t="b">
        <f t="shared" ca="1" si="169"/>
        <v>0</v>
      </c>
      <c r="B2474" s="387"/>
      <c r="C2474" s="396" t="str">
        <f ca="1">IF(COUNTA(O$1610:O2474)=1,"",OFFSET(B2472,-COUNTA(O$1610:O2474)+3,1))</f>
        <v>a16Dm000000M3tlIAC</v>
      </c>
      <c r="D2474" s="392"/>
      <c r="E2474" s="389" t="str">
        <f ca="1">IFERROR(IF(VLOOKUP(C2474,' Disaggregation - Section E '!A$618:J3163,7,0)="","",VLOOKUP(C2474,' Disaggregation - Section E '!A$618:J3163,7,0)*100),"")</f>
        <v/>
      </c>
      <c r="F2474" s="391" t="str">
        <f ca="1">IFERROR(VLOOKUP(C2474,' Disaggregation - Section E '!A$618:J3163,5,0),"")</f>
        <v/>
      </c>
      <c r="G2474" s="390" t="str">
        <f ca="1">IFERROR(IF(VLOOKUP(C2474,' Disaggregation - Section E '!A$618:J3163,6,0)="","",VLOOKUP(C2474,' Disaggregation - Section E '!A$618:J3163,6,0)),"")</f>
        <v/>
      </c>
      <c r="H2474" s="390" t="str">
        <f ca="1">IFERROR(IF(INDEX(' Disaggregation - Section E '!F$618:F3163,MATCH(C2474,' Disaggregation - Section E '!A$618:A3163,0)+1,1)&lt;&gt;0,INDEX(' Disaggregation - Section E '!F$618:F3163,MATCH(C2474,' Disaggregation - Section E '!A$618:A3163,0)+1,1),""),"")</f>
        <v/>
      </c>
      <c r="I2474" s="391" t="str">
        <f ca="1">IFERROR(IF(VLOOKUP(C2474,' Disaggregation - Section E '!A$618:J3163,8,0)=0,"",VLOOKUP(C2474,' Disaggregation - Section E '!A$618:J3163,8,0)),"")</f>
        <v/>
      </c>
      <c r="J2474" s="391" t="str">
        <f ca="1">IFERROR(IF(VLOOKUP(C2474,' Disaggregation - Section E '!A$618:J3163,9,0)="","",VLOOKUP(C2474,' Disaggregation - Section E '!A$618:J3163,9,0)),"")</f>
        <v/>
      </c>
      <c r="K2474" s="387" t="str">
        <f ca="1">IFERROR(VLOOKUP(C2474,' Disaggregation - Section E '!A$618:J3163,3,0),"")</f>
        <v/>
      </c>
      <c r="L2474" s="387"/>
      <c r="M2474" s="387" t="str">
        <f ca="1">IFERROR(IF(VLOOKUP(C2474,' Disaggregation - Section E '!A$618:O1486,15,0)=0,"",VLOOKUP(C2474,' Disaggregation - Section E '!A$618:O1486,15,0)),"")</f>
        <v/>
      </c>
      <c r="N2474" s="391" t="str">
        <f ca="1">IFERROR(IF(VLOOKUP(C2474,' Disaggregation - Section E '!A$618:J3163,10,0)=0,"",VLOOKUP(C2474,' Disaggregation - Section E '!A$618:J3163,10,0)),"")</f>
        <v/>
      </c>
      <c r="O2474" s="387"/>
      <c r="P2474" s="387" t="str">
        <f ca="1">IFERROR(IF(VLOOKUP(C2474,' Disaggregation - Section E '!A$618:R1486,18,0)=0,"",VLOOKUP(C2474,' Disaggregation - Section E '!A$618:R1486,18,0)),"")</f>
        <v/>
      </c>
    </row>
    <row r="2475" spans="1:16">
      <c r="A2475" s="387" t="b">
        <f t="shared" ca="1" si="169"/>
        <v>0</v>
      </c>
      <c r="B2475" s="387"/>
      <c r="C2475" s="396" t="str">
        <f ca="1">IF(COUNTA(O$1610:O2475)=1,"",OFFSET(B2473,-COUNTA(O$1610:O2475)+3,1))</f>
        <v>a16Dm000000M3tmIAC</v>
      </c>
      <c r="D2475" s="392"/>
      <c r="E2475" s="389" t="str">
        <f ca="1">IFERROR(IF(VLOOKUP(C2475,' Disaggregation - Section E '!A$618:J3164,7,0)="","",VLOOKUP(C2475,' Disaggregation - Section E '!A$618:J3164,7,0)*100),"")</f>
        <v/>
      </c>
      <c r="F2475" s="391" t="str">
        <f ca="1">IFERROR(VLOOKUP(C2475,' Disaggregation - Section E '!A$618:J3164,5,0),"")</f>
        <v/>
      </c>
      <c r="G2475" s="390" t="str">
        <f ca="1">IFERROR(IF(VLOOKUP(C2475,' Disaggregation - Section E '!A$618:J3164,6,0)="","",VLOOKUP(C2475,' Disaggregation - Section E '!A$618:J3164,6,0)),"")</f>
        <v/>
      </c>
      <c r="H2475" s="390" t="str">
        <f ca="1">IFERROR(IF(INDEX(' Disaggregation - Section E '!F$618:F3164,MATCH(C2475,' Disaggregation - Section E '!A$618:A3164,0)+1,1)&lt;&gt;0,INDEX(' Disaggregation - Section E '!F$618:F3164,MATCH(C2475,' Disaggregation - Section E '!A$618:A3164,0)+1,1),""),"")</f>
        <v/>
      </c>
      <c r="I2475" s="391" t="str">
        <f ca="1">IFERROR(IF(VLOOKUP(C2475,' Disaggregation - Section E '!A$618:J3164,8,0)=0,"",VLOOKUP(C2475,' Disaggregation - Section E '!A$618:J3164,8,0)),"")</f>
        <v/>
      </c>
      <c r="J2475" s="391" t="str">
        <f ca="1">IFERROR(IF(VLOOKUP(C2475,' Disaggregation - Section E '!A$618:J3164,9,0)="","",VLOOKUP(C2475,' Disaggregation - Section E '!A$618:J3164,9,0)),"")</f>
        <v/>
      </c>
      <c r="K2475" s="387" t="str">
        <f ca="1">IFERROR(VLOOKUP(C2475,' Disaggregation - Section E '!A$618:J3164,3,0),"")</f>
        <v/>
      </c>
      <c r="L2475" s="387"/>
      <c r="M2475" s="387" t="str">
        <f ca="1">IFERROR(IF(VLOOKUP(C2475,' Disaggregation - Section E '!A$618:O1487,15,0)=0,"",VLOOKUP(C2475,' Disaggregation - Section E '!A$618:O1487,15,0)),"")</f>
        <v/>
      </c>
      <c r="N2475" s="391" t="str">
        <f ca="1">IFERROR(IF(VLOOKUP(C2475,' Disaggregation - Section E '!A$618:J3164,10,0)=0,"",VLOOKUP(C2475,' Disaggregation - Section E '!A$618:J3164,10,0)),"")</f>
        <v/>
      </c>
      <c r="O2475" s="387"/>
      <c r="P2475" s="387" t="str">
        <f ca="1">IFERROR(IF(VLOOKUP(C2475,' Disaggregation - Section E '!A$618:R1487,18,0)=0,"",VLOOKUP(C2475,' Disaggregation - Section E '!A$618:R1487,18,0)),"")</f>
        <v/>
      </c>
    </row>
    <row r="2476" spans="1:16">
      <c r="A2476" s="387" t="b">
        <f t="shared" ca="1" si="169"/>
        <v>0</v>
      </c>
      <c r="B2476" s="387"/>
      <c r="C2476" s="396" t="str">
        <f ca="1">IF(COUNTA(O$1610:O2476)=1,"",OFFSET(B2474,-COUNTA(O$1610:O2476)+3,1))</f>
        <v>a16Dm000000M3tnIAC</v>
      </c>
      <c r="D2476" s="392"/>
      <c r="E2476" s="389" t="str">
        <f ca="1">IFERROR(IF(VLOOKUP(C2476,' Disaggregation - Section E '!A$618:J3165,7,0)="","",VLOOKUP(C2476,' Disaggregation - Section E '!A$618:J3165,7,0)*100),"")</f>
        <v/>
      </c>
      <c r="F2476" s="391" t="str">
        <f ca="1">IFERROR(VLOOKUP(C2476,' Disaggregation - Section E '!A$618:J3165,5,0),"")</f>
        <v/>
      </c>
      <c r="G2476" s="390" t="str">
        <f ca="1">IFERROR(IF(VLOOKUP(C2476,' Disaggregation - Section E '!A$618:J3165,6,0)="","",VLOOKUP(C2476,' Disaggregation - Section E '!A$618:J3165,6,0)),"")</f>
        <v/>
      </c>
      <c r="H2476" s="390" t="str">
        <f ca="1">IFERROR(IF(INDEX(' Disaggregation - Section E '!F$618:F3165,MATCH(C2476,' Disaggregation - Section E '!A$618:A3165,0)+1,1)&lt;&gt;0,INDEX(' Disaggregation - Section E '!F$618:F3165,MATCH(C2476,' Disaggregation - Section E '!A$618:A3165,0)+1,1),""),"")</f>
        <v/>
      </c>
      <c r="I2476" s="391" t="str">
        <f ca="1">IFERROR(IF(VLOOKUP(C2476,' Disaggregation - Section E '!A$618:J3165,8,0)=0,"",VLOOKUP(C2476,' Disaggregation - Section E '!A$618:J3165,8,0)),"")</f>
        <v/>
      </c>
      <c r="J2476" s="391" t="str">
        <f ca="1">IFERROR(IF(VLOOKUP(C2476,' Disaggregation - Section E '!A$618:J3165,9,0)="","",VLOOKUP(C2476,' Disaggregation - Section E '!A$618:J3165,9,0)),"")</f>
        <v/>
      </c>
      <c r="K2476" s="387" t="str">
        <f ca="1">IFERROR(VLOOKUP(C2476,' Disaggregation - Section E '!A$618:J3165,3,0),"")</f>
        <v/>
      </c>
      <c r="L2476" s="387"/>
      <c r="M2476" s="387" t="str">
        <f ca="1">IFERROR(IF(VLOOKUP(C2476,' Disaggregation - Section E '!A$618:O1488,15,0)=0,"",VLOOKUP(C2476,' Disaggregation - Section E '!A$618:O1488,15,0)),"")</f>
        <v/>
      </c>
      <c r="N2476" s="391" t="str">
        <f ca="1">IFERROR(IF(VLOOKUP(C2476,' Disaggregation - Section E '!A$618:J3165,10,0)=0,"",VLOOKUP(C2476,' Disaggregation - Section E '!A$618:J3165,10,0)),"")</f>
        <v/>
      </c>
      <c r="O2476" s="387"/>
      <c r="P2476" s="387" t="str">
        <f ca="1">IFERROR(IF(VLOOKUP(C2476,' Disaggregation - Section E '!A$618:R1488,18,0)=0,"",VLOOKUP(C2476,' Disaggregation - Section E '!A$618:R1488,18,0)),"")</f>
        <v/>
      </c>
    </row>
    <row r="2477" spans="1:16">
      <c r="A2477" s="387" t="b">
        <f t="shared" ca="1" si="169"/>
        <v>0</v>
      </c>
      <c r="B2477" s="387"/>
      <c r="C2477" s="396" t="str">
        <f ca="1">IF(COUNTA(O$1610:O2477)=1,"",OFFSET(B2475,-COUNTA(O$1610:O2477)+3,1))</f>
        <v>a16Dm000000M3toIAC</v>
      </c>
      <c r="D2477" s="392"/>
      <c r="E2477" s="389" t="str">
        <f ca="1">IFERROR(IF(VLOOKUP(C2477,' Disaggregation - Section E '!A$618:J3166,7,0)="","",VLOOKUP(C2477,' Disaggregation - Section E '!A$618:J3166,7,0)*100),"")</f>
        <v/>
      </c>
      <c r="F2477" s="391" t="str">
        <f ca="1">IFERROR(VLOOKUP(C2477,' Disaggregation - Section E '!A$618:J3166,5,0),"")</f>
        <v/>
      </c>
      <c r="G2477" s="390" t="str">
        <f ca="1">IFERROR(IF(VLOOKUP(C2477,' Disaggregation - Section E '!A$618:J3166,6,0)="","",VLOOKUP(C2477,' Disaggregation - Section E '!A$618:J3166,6,0)),"")</f>
        <v/>
      </c>
      <c r="H2477" s="390" t="str">
        <f ca="1">IFERROR(IF(INDEX(' Disaggregation - Section E '!F$618:F3166,MATCH(C2477,' Disaggregation - Section E '!A$618:A3166,0)+1,1)&lt;&gt;0,INDEX(' Disaggregation - Section E '!F$618:F3166,MATCH(C2477,' Disaggregation - Section E '!A$618:A3166,0)+1,1),""),"")</f>
        <v/>
      </c>
      <c r="I2477" s="391" t="str">
        <f ca="1">IFERROR(IF(VLOOKUP(C2477,' Disaggregation - Section E '!A$618:J3166,8,0)=0,"",VLOOKUP(C2477,' Disaggregation - Section E '!A$618:J3166,8,0)),"")</f>
        <v/>
      </c>
      <c r="J2477" s="391" t="str">
        <f ca="1">IFERROR(IF(VLOOKUP(C2477,' Disaggregation - Section E '!A$618:J3166,9,0)="","",VLOOKUP(C2477,' Disaggregation - Section E '!A$618:J3166,9,0)),"")</f>
        <v/>
      </c>
      <c r="K2477" s="387" t="str">
        <f ca="1">IFERROR(VLOOKUP(C2477,' Disaggregation - Section E '!A$618:J3166,3,0),"")</f>
        <v/>
      </c>
      <c r="L2477" s="387"/>
      <c r="M2477" s="387" t="str">
        <f ca="1">IFERROR(IF(VLOOKUP(C2477,' Disaggregation - Section E '!A$618:O1489,15,0)=0,"",VLOOKUP(C2477,' Disaggregation - Section E '!A$618:O1489,15,0)),"")</f>
        <v/>
      </c>
      <c r="N2477" s="391" t="str">
        <f ca="1">IFERROR(IF(VLOOKUP(C2477,' Disaggregation - Section E '!A$618:J3166,10,0)=0,"",VLOOKUP(C2477,' Disaggregation - Section E '!A$618:J3166,10,0)),"")</f>
        <v/>
      </c>
      <c r="O2477" s="387"/>
      <c r="P2477" s="387" t="str">
        <f ca="1">IFERROR(IF(VLOOKUP(C2477,' Disaggregation - Section E '!A$618:R1489,18,0)=0,"",VLOOKUP(C2477,' Disaggregation - Section E '!A$618:R1489,18,0)),"")</f>
        <v/>
      </c>
    </row>
    <row r="2478" spans="1:16">
      <c r="A2478" s="387" t="b">
        <f t="shared" ca="1" si="169"/>
        <v>0</v>
      </c>
      <c r="B2478" s="387"/>
      <c r="C2478" s="396" t="str">
        <f ca="1">IF(COUNTA(O$1610:O2478)=1,"",OFFSET(B2476,-COUNTA(O$1610:O2478)+3,1))</f>
        <v>a16Dm000000M3tpIAC</v>
      </c>
      <c r="D2478" s="392"/>
      <c r="E2478" s="389" t="str">
        <f ca="1">IFERROR(IF(VLOOKUP(C2478,' Disaggregation - Section E '!A$618:J3167,7,0)="","",VLOOKUP(C2478,' Disaggregation - Section E '!A$618:J3167,7,0)*100),"")</f>
        <v/>
      </c>
      <c r="F2478" s="391" t="str">
        <f ca="1">IFERROR(VLOOKUP(C2478,' Disaggregation - Section E '!A$618:J3167,5,0),"")</f>
        <v/>
      </c>
      <c r="G2478" s="390" t="str">
        <f ca="1">IFERROR(IF(VLOOKUP(C2478,' Disaggregation - Section E '!A$618:J3167,6,0)="","",VLOOKUP(C2478,' Disaggregation - Section E '!A$618:J3167,6,0)),"")</f>
        <v/>
      </c>
      <c r="H2478" s="390" t="str">
        <f ca="1">IFERROR(IF(INDEX(' Disaggregation - Section E '!F$618:F3167,MATCH(C2478,' Disaggregation - Section E '!A$618:A3167,0)+1,1)&lt;&gt;0,INDEX(' Disaggregation - Section E '!F$618:F3167,MATCH(C2478,' Disaggregation - Section E '!A$618:A3167,0)+1,1),""),"")</f>
        <v/>
      </c>
      <c r="I2478" s="391" t="str">
        <f ca="1">IFERROR(IF(VLOOKUP(C2478,' Disaggregation - Section E '!A$618:J3167,8,0)=0,"",VLOOKUP(C2478,' Disaggregation - Section E '!A$618:J3167,8,0)),"")</f>
        <v/>
      </c>
      <c r="J2478" s="391" t="str">
        <f ca="1">IFERROR(IF(VLOOKUP(C2478,' Disaggregation - Section E '!A$618:J3167,9,0)="","",VLOOKUP(C2478,' Disaggregation - Section E '!A$618:J3167,9,0)),"")</f>
        <v/>
      </c>
      <c r="K2478" s="387" t="str">
        <f ca="1">IFERROR(VLOOKUP(C2478,' Disaggregation - Section E '!A$618:J3167,3,0),"")</f>
        <v/>
      </c>
      <c r="L2478" s="387"/>
      <c r="M2478" s="387" t="str">
        <f ca="1">IFERROR(IF(VLOOKUP(C2478,' Disaggregation - Section E '!A$618:O1490,15,0)=0,"",VLOOKUP(C2478,' Disaggregation - Section E '!A$618:O1490,15,0)),"")</f>
        <v/>
      </c>
      <c r="N2478" s="391" t="str">
        <f ca="1">IFERROR(IF(VLOOKUP(C2478,' Disaggregation - Section E '!A$618:J3167,10,0)=0,"",VLOOKUP(C2478,' Disaggregation - Section E '!A$618:J3167,10,0)),"")</f>
        <v/>
      </c>
      <c r="O2478" s="387"/>
      <c r="P2478" s="387" t="str">
        <f ca="1">IFERROR(IF(VLOOKUP(C2478,' Disaggregation - Section E '!A$618:R1490,18,0)=0,"",VLOOKUP(C2478,' Disaggregation - Section E '!A$618:R1490,18,0)),"")</f>
        <v/>
      </c>
    </row>
    <row r="2479" spans="1:16">
      <c r="A2479" s="387" t="b">
        <f t="shared" ca="1" si="169"/>
        <v>0</v>
      </c>
      <c r="B2479" s="387"/>
      <c r="C2479" s="396" t="str">
        <f ca="1">IF(COUNTA(O$1610:O2479)=1,"",OFFSET(B2477,-COUNTA(O$1610:O2479)+3,1))</f>
        <v>a16Dm000000M3tqIAC</v>
      </c>
      <c r="D2479" s="392"/>
      <c r="E2479" s="389" t="str">
        <f ca="1">IFERROR(IF(VLOOKUP(C2479,' Disaggregation - Section E '!A$618:J3168,7,0)="","",VLOOKUP(C2479,' Disaggregation - Section E '!A$618:J3168,7,0)*100),"")</f>
        <v/>
      </c>
      <c r="F2479" s="391" t="str">
        <f ca="1">IFERROR(VLOOKUP(C2479,' Disaggregation - Section E '!A$618:J3168,5,0),"")</f>
        <v/>
      </c>
      <c r="G2479" s="390" t="str">
        <f ca="1">IFERROR(IF(VLOOKUP(C2479,' Disaggregation - Section E '!A$618:J3168,6,0)="","",VLOOKUP(C2479,' Disaggregation - Section E '!A$618:J3168,6,0)),"")</f>
        <v/>
      </c>
      <c r="H2479" s="390" t="str">
        <f ca="1">IFERROR(IF(INDEX(' Disaggregation - Section E '!F$618:F3168,MATCH(C2479,' Disaggregation - Section E '!A$618:A3168,0)+1,1)&lt;&gt;0,INDEX(' Disaggregation - Section E '!F$618:F3168,MATCH(C2479,' Disaggregation - Section E '!A$618:A3168,0)+1,1),""),"")</f>
        <v/>
      </c>
      <c r="I2479" s="391" t="str">
        <f ca="1">IFERROR(IF(VLOOKUP(C2479,' Disaggregation - Section E '!A$618:J3168,8,0)=0,"",VLOOKUP(C2479,' Disaggregation - Section E '!A$618:J3168,8,0)),"")</f>
        <v/>
      </c>
      <c r="J2479" s="391" t="str">
        <f ca="1">IFERROR(IF(VLOOKUP(C2479,' Disaggregation - Section E '!A$618:J3168,9,0)="","",VLOOKUP(C2479,' Disaggregation - Section E '!A$618:J3168,9,0)),"")</f>
        <v/>
      </c>
      <c r="K2479" s="387" t="str">
        <f ca="1">IFERROR(VLOOKUP(C2479,' Disaggregation - Section E '!A$618:J3168,3,0),"")</f>
        <v/>
      </c>
      <c r="L2479" s="387"/>
      <c r="M2479" s="387" t="str">
        <f ca="1">IFERROR(IF(VLOOKUP(C2479,' Disaggregation - Section E '!A$618:O1491,15,0)=0,"",VLOOKUP(C2479,' Disaggregation - Section E '!A$618:O1491,15,0)),"")</f>
        <v/>
      </c>
      <c r="N2479" s="391" t="str">
        <f ca="1">IFERROR(IF(VLOOKUP(C2479,' Disaggregation - Section E '!A$618:J3168,10,0)=0,"",VLOOKUP(C2479,' Disaggregation - Section E '!A$618:J3168,10,0)),"")</f>
        <v/>
      </c>
      <c r="O2479" s="387"/>
      <c r="P2479" s="387" t="str">
        <f ca="1">IFERROR(IF(VLOOKUP(C2479,' Disaggregation - Section E '!A$618:R1491,18,0)=0,"",VLOOKUP(C2479,' Disaggregation - Section E '!A$618:R1491,18,0)),"")</f>
        <v/>
      </c>
    </row>
    <row r="2480" spans="1:16">
      <c r="A2480" s="387" t="b">
        <f t="shared" ca="1" si="169"/>
        <v>0</v>
      </c>
      <c r="B2480" s="387"/>
      <c r="C2480" s="396" t="str">
        <f ca="1">IF(COUNTA(O$1610:O2480)=1,"",OFFSET(B2478,-COUNTA(O$1610:O2480)+3,1))</f>
        <v>a16Dm000000M3trIAC</v>
      </c>
      <c r="D2480" s="392"/>
      <c r="E2480" s="389" t="str">
        <f ca="1">IFERROR(IF(VLOOKUP(C2480,' Disaggregation - Section E '!A$618:J3169,7,0)="","",VLOOKUP(C2480,' Disaggregation - Section E '!A$618:J3169,7,0)*100),"")</f>
        <v/>
      </c>
      <c r="F2480" s="391" t="str">
        <f ca="1">IFERROR(VLOOKUP(C2480,' Disaggregation - Section E '!A$618:J3169,5,0),"")</f>
        <v/>
      </c>
      <c r="G2480" s="390" t="str">
        <f ca="1">IFERROR(IF(VLOOKUP(C2480,' Disaggregation - Section E '!A$618:J3169,6,0)="","",VLOOKUP(C2480,' Disaggregation - Section E '!A$618:J3169,6,0)),"")</f>
        <v/>
      </c>
      <c r="H2480" s="390" t="str">
        <f ca="1">IFERROR(IF(INDEX(' Disaggregation - Section E '!F$618:F3169,MATCH(C2480,' Disaggregation - Section E '!A$618:A3169,0)+1,1)&lt;&gt;0,INDEX(' Disaggregation - Section E '!F$618:F3169,MATCH(C2480,' Disaggregation - Section E '!A$618:A3169,0)+1,1),""),"")</f>
        <v/>
      </c>
      <c r="I2480" s="391" t="str">
        <f ca="1">IFERROR(IF(VLOOKUP(C2480,' Disaggregation - Section E '!A$618:J3169,8,0)=0,"",VLOOKUP(C2480,' Disaggregation - Section E '!A$618:J3169,8,0)),"")</f>
        <v/>
      </c>
      <c r="J2480" s="391" t="str">
        <f ca="1">IFERROR(IF(VLOOKUP(C2480,' Disaggregation - Section E '!A$618:J3169,9,0)="","",VLOOKUP(C2480,' Disaggregation - Section E '!A$618:J3169,9,0)),"")</f>
        <v/>
      </c>
      <c r="K2480" s="387" t="str">
        <f ca="1">IFERROR(VLOOKUP(C2480,' Disaggregation - Section E '!A$618:J3169,3,0),"")</f>
        <v/>
      </c>
      <c r="L2480" s="387"/>
      <c r="M2480" s="387" t="str">
        <f ca="1">IFERROR(IF(VLOOKUP(C2480,' Disaggregation - Section E '!A$618:O1492,15,0)=0,"",VLOOKUP(C2480,' Disaggregation - Section E '!A$618:O1492,15,0)),"")</f>
        <v/>
      </c>
      <c r="N2480" s="391" t="str">
        <f ca="1">IFERROR(IF(VLOOKUP(C2480,' Disaggregation - Section E '!A$618:J3169,10,0)=0,"",VLOOKUP(C2480,' Disaggregation - Section E '!A$618:J3169,10,0)),"")</f>
        <v/>
      </c>
      <c r="O2480" s="387"/>
      <c r="P2480" s="387" t="str">
        <f ca="1">IFERROR(IF(VLOOKUP(C2480,' Disaggregation - Section E '!A$618:R1492,18,0)=0,"",VLOOKUP(C2480,' Disaggregation - Section E '!A$618:R1492,18,0)),"")</f>
        <v/>
      </c>
    </row>
    <row r="2481" spans="1:16">
      <c r="A2481" s="387" t="b">
        <f t="shared" ca="1" si="169"/>
        <v>0</v>
      </c>
      <c r="B2481" s="387"/>
      <c r="C2481" s="396" t="str">
        <f ca="1">IF(COUNTA(O$1610:O2481)=1,"",OFFSET(B2479,-COUNTA(O$1610:O2481)+3,1))</f>
        <v>a16Dm000000M3tsIAC</v>
      </c>
      <c r="D2481" s="392"/>
      <c r="E2481" s="389" t="str">
        <f ca="1">IFERROR(IF(VLOOKUP(C2481,' Disaggregation - Section E '!A$618:J3170,7,0)="","",VLOOKUP(C2481,' Disaggregation - Section E '!A$618:J3170,7,0)*100),"")</f>
        <v/>
      </c>
      <c r="F2481" s="391" t="str">
        <f ca="1">IFERROR(VLOOKUP(C2481,' Disaggregation - Section E '!A$618:J3170,5,0),"")</f>
        <v/>
      </c>
      <c r="G2481" s="390" t="str">
        <f ca="1">IFERROR(IF(VLOOKUP(C2481,' Disaggregation - Section E '!A$618:J3170,6,0)="","",VLOOKUP(C2481,' Disaggregation - Section E '!A$618:J3170,6,0)),"")</f>
        <v/>
      </c>
      <c r="H2481" s="390" t="str">
        <f ca="1">IFERROR(IF(INDEX(' Disaggregation - Section E '!F$618:F3170,MATCH(C2481,' Disaggregation - Section E '!A$618:A3170,0)+1,1)&lt;&gt;0,INDEX(' Disaggregation - Section E '!F$618:F3170,MATCH(C2481,' Disaggregation - Section E '!A$618:A3170,0)+1,1),""),"")</f>
        <v/>
      </c>
      <c r="I2481" s="391" t="str">
        <f ca="1">IFERROR(IF(VLOOKUP(C2481,' Disaggregation - Section E '!A$618:J3170,8,0)=0,"",VLOOKUP(C2481,' Disaggregation - Section E '!A$618:J3170,8,0)),"")</f>
        <v/>
      </c>
      <c r="J2481" s="391" t="str">
        <f ca="1">IFERROR(IF(VLOOKUP(C2481,' Disaggregation - Section E '!A$618:J3170,9,0)="","",VLOOKUP(C2481,' Disaggregation - Section E '!A$618:J3170,9,0)),"")</f>
        <v/>
      </c>
      <c r="K2481" s="387" t="str">
        <f ca="1">IFERROR(VLOOKUP(C2481,' Disaggregation - Section E '!A$618:J3170,3,0),"")</f>
        <v/>
      </c>
      <c r="L2481" s="387"/>
      <c r="M2481" s="387" t="str">
        <f ca="1">IFERROR(IF(VLOOKUP(C2481,' Disaggregation - Section E '!A$618:O1493,15,0)=0,"",VLOOKUP(C2481,' Disaggregation - Section E '!A$618:O1493,15,0)),"")</f>
        <v/>
      </c>
      <c r="N2481" s="391" t="str">
        <f ca="1">IFERROR(IF(VLOOKUP(C2481,' Disaggregation - Section E '!A$618:J3170,10,0)=0,"",VLOOKUP(C2481,' Disaggregation - Section E '!A$618:J3170,10,0)),"")</f>
        <v/>
      </c>
      <c r="O2481" s="387"/>
      <c r="P2481" s="387" t="str">
        <f ca="1">IFERROR(IF(VLOOKUP(C2481,' Disaggregation - Section E '!A$618:R1493,18,0)=0,"",VLOOKUP(C2481,' Disaggregation - Section E '!A$618:R1493,18,0)),"")</f>
        <v/>
      </c>
    </row>
    <row r="2482" spans="1:16">
      <c r="A2482" s="387" t="b">
        <f t="shared" ca="1" si="169"/>
        <v>0</v>
      </c>
      <c r="B2482" s="387"/>
      <c r="C2482" s="396" t="str">
        <f ca="1">IF(COUNTA(O$1610:O2482)=1,"",OFFSET(B2480,-COUNTA(O$1610:O2482)+3,1))</f>
        <v>a16Dm000000M3ttIAC</v>
      </c>
      <c r="D2482" s="392"/>
      <c r="E2482" s="389" t="str">
        <f ca="1">IFERROR(IF(VLOOKUP(C2482,' Disaggregation - Section E '!A$618:J3171,7,0)="","",VLOOKUP(C2482,' Disaggregation - Section E '!A$618:J3171,7,0)*100),"")</f>
        <v/>
      </c>
      <c r="F2482" s="391" t="str">
        <f ca="1">IFERROR(VLOOKUP(C2482,' Disaggregation - Section E '!A$618:J3171,5,0),"")</f>
        <v/>
      </c>
      <c r="G2482" s="390" t="str">
        <f ca="1">IFERROR(IF(VLOOKUP(C2482,' Disaggregation - Section E '!A$618:J3171,6,0)="","",VLOOKUP(C2482,' Disaggregation - Section E '!A$618:J3171,6,0)),"")</f>
        <v/>
      </c>
      <c r="H2482" s="390" t="str">
        <f ca="1">IFERROR(IF(INDEX(' Disaggregation - Section E '!F$618:F3171,MATCH(C2482,' Disaggregation - Section E '!A$618:A3171,0)+1,1)&lt;&gt;0,INDEX(' Disaggregation - Section E '!F$618:F3171,MATCH(C2482,' Disaggregation - Section E '!A$618:A3171,0)+1,1),""),"")</f>
        <v/>
      </c>
      <c r="I2482" s="391" t="str">
        <f ca="1">IFERROR(IF(VLOOKUP(C2482,' Disaggregation - Section E '!A$618:J3171,8,0)=0,"",VLOOKUP(C2482,' Disaggregation - Section E '!A$618:J3171,8,0)),"")</f>
        <v/>
      </c>
      <c r="J2482" s="391" t="str">
        <f ca="1">IFERROR(IF(VLOOKUP(C2482,' Disaggregation - Section E '!A$618:J3171,9,0)="","",VLOOKUP(C2482,' Disaggregation - Section E '!A$618:J3171,9,0)),"")</f>
        <v/>
      </c>
      <c r="K2482" s="387" t="str">
        <f ca="1">IFERROR(VLOOKUP(C2482,' Disaggregation - Section E '!A$618:J3171,3,0),"")</f>
        <v/>
      </c>
      <c r="L2482" s="387"/>
      <c r="M2482" s="387" t="str">
        <f ca="1">IFERROR(IF(VLOOKUP(C2482,' Disaggregation - Section E '!A$618:O1494,15,0)=0,"",VLOOKUP(C2482,' Disaggregation - Section E '!A$618:O1494,15,0)),"")</f>
        <v/>
      </c>
      <c r="N2482" s="391" t="str">
        <f ca="1">IFERROR(IF(VLOOKUP(C2482,' Disaggregation - Section E '!A$618:J3171,10,0)=0,"",VLOOKUP(C2482,' Disaggregation - Section E '!A$618:J3171,10,0)),"")</f>
        <v/>
      </c>
      <c r="O2482" s="387"/>
      <c r="P2482" s="387" t="str">
        <f ca="1">IFERROR(IF(VLOOKUP(C2482,' Disaggregation - Section E '!A$618:R1494,18,0)=0,"",VLOOKUP(C2482,' Disaggregation - Section E '!A$618:R1494,18,0)),"")</f>
        <v/>
      </c>
    </row>
    <row r="2483" spans="1:16">
      <c r="A2483" s="387" t="b">
        <f t="shared" ca="1" si="169"/>
        <v>0</v>
      </c>
      <c r="B2483" s="387"/>
      <c r="C2483" s="396" t="str">
        <f ca="1">IF(COUNTA(O$1610:O2483)=1,"",OFFSET(B2481,-COUNTA(O$1610:O2483)+3,1))</f>
        <v>a16Dm000000M3tuIAC</v>
      </c>
      <c r="D2483" s="392"/>
      <c r="E2483" s="389" t="str">
        <f ca="1">IFERROR(IF(VLOOKUP(C2483,' Disaggregation - Section E '!A$618:J3172,7,0)="","",VLOOKUP(C2483,' Disaggregation - Section E '!A$618:J3172,7,0)*100),"")</f>
        <v/>
      </c>
      <c r="F2483" s="391" t="str">
        <f ca="1">IFERROR(VLOOKUP(C2483,' Disaggregation - Section E '!A$618:J3172,5,0),"")</f>
        <v/>
      </c>
      <c r="G2483" s="390" t="str">
        <f ca="1">IFERROR(IF(VLOOKUP(C2483,' Disaggregation - Section E '!A$618:J3172,6,0)="","",VLOOKUP(C2483,' Disaggregation - Section E '!A$618:J3172,6,0)),"")</f>
        <v/>
      </c>
      <c r="H2483" s="390" t="str">
        <f ca="1">IFERROR(IF(INDEX(' Disaggregation - Section E '!F$618:F3172,MATCH(C2483,' Disaggregation - Section E '!A$618:A3172,0)+1,1)&lt;&gt;0,INDEX(' Disaggregation - Section E '!F$618:F3172,MATCH(C2483,' Disaggregation - Section E '!A$618:A3172,0)+1,1),""),"")</f>
        <v/>
      </c>
      <c r="I2483" s="391" t="str">
        <f ca="1">IFERROR(IF(VLOOKUP(C2483,' Disaggregation - Section E '!A$618:J3172,8,0)=0,"",VLOOKUP(C2483,' Disaggregation - Section E '!A$618:J3172,8,0)),"")</f>
        <v/>
      </c>
      <c r="J2483" s="391" t="str">
        <f ca="1">IFERROR(IF(VLOOKUP(C2483,' Disaggregation - Section E '!A$618:J3172,9,0)="","",VLOOKUP(C2483,' Disaggregation - Section E '!A$618:J3172,9,0)),"")</f>
        <v/>
      </c>
      <c r="K2483" s="387" t="str">
        <f ca="1">IFERROR(VLOOKUP(C2483,' Disaggregation - Section E '!A$618:J3172,3,0),"")</f>
        <v/>
      </c>
      <c r="L2483" s="387"/>
      <c r="M2483" s="387" t="str">
        <f ca="1">IFERROR(IF(VLOOKUP(C2483,' Disaggregation - Section E '!A$618:O1495,15,0)=0,"",VLOOKUP(C2483,' Disaggregation - Section E '!A$618:O1495,15,0)),"")</f>
        <v/>
      </c>
      <c r="N2483" s="391" t="str">
        <f ca="1">IFERROR(IF(VLOOKUP(C2483,' Disaggregation - Section E '!A$618:J3172,10,0)=0,"",VLOOKUP(C2483,' Disaggregation - Section E '!A$618:J3172,10,0)),"")</f>
        <v/>
      </c>
      <c r="O2483" s="387"/>
      <c r="P2483" s="387" t="str">
        <f ca="1">IFERROR(IF(VLOOKUP(C2483,' Disaggregation - Section E '!A$618:R1495,18,0)=0,"",VLOOKUP(C2483,' Disaggregation - Section E '!A$618:R1495,18,0)),"")</f>
        <v/>
      </c>
    </row>
    <row r="2484" spans="1:16">
      <c r="A2484" s="387" t="b">
        <f t="shared" ca="1" si="169"/>
        <v>0</v>
      </c>
      <c r="B2484" s="387"/>
      <c r="C2484" s="396" t="str">
        <f ca="1">IF(COUNTA(O$1610:O2484)=1,"",OFFSET(B2482,-COUNTA(O$1610:O2484)+3,1))</f>
        <v>a16Dm000000M3tvIAC</v>
      </c>
      <c r="D2484" s="392"/>
      <c r="E2484" s="389" t="str">
        <f ca="1">IFERROR(IF(VLOOKUP(C2484,' Disaggregation - Section E '!A$618:J3173,7,0)="","",VLOOKUP(C2484,' Disaggregation - Section E '!A$618:J3173,7,0)*100),"")</f>
        <v/>
      </c>
      <c r="F2484" s="391" t="str">
        <f ca="1">IFERROR(VLOOKUP(C2484,' Disaggregation - Section E '!A$618:J3173,5,0),"")</f>
        <v/>
      </c>
      <c r="G2484" s="390" t="str">
        <f ca="1">IFERROR(IF(VLOOKUP(C2484,' Disaggregation - Section E '!A$618:J3173,6,0)="","",VLOOKUP(C2484,' Disaggregation - Section E '!A$618:J3173,6,0)),"")</f>
        <v/>
      </c>
      <c r="H2484" s="390" t="str">
        <f ca="1">IFERROR(IF(INDEX(' Disaggregation - Section E '!F$618:F3173,MATCH(C2484,' Disaggregation - Section E '!A$618:A3173,0)+1,1)&lt;&gt;0,INDEX(' Disaggregation - Section E '!F$618:F3173,MATCH(C2484,' Disaggregation - Section E '!A$618:A3173,0)+1,1),""),"")</f>
        <v/>
      </c>
      <c r="I2484" s="391" t="str">
        <f ca="1">IFERROR(IF(VLOOKUP(C2484,' Disaggregation - Section E '!A$618:J3173,8,0)=0,"",VLOOKUP(C2484,' Disaggregation - Section E '!A$618:J3173,8,0)),"")</f>
        <v/>
      </c>
      <c r="J2484" s="391" t="str">
        <f ca="1">IFERROR(IF(VLOOKUP(C2484,' Disaggregation - Section E '!A$618:J3173,9,0)="","",VLOOKUP(C2484,' Disaggregation - Section E '!A$618:J3173,9,0)),"")</f>
        <v/>
      </c>
      <c r="K2484" s="387" t="str">
        <f ca="1">IFERROR(VLOOKUP(C2484,' Disaggregation - Section E '!A$618:J3173,3,0),"")</f>
        <v/>
      </c>
      <c r="L2484" s="387"/>
      <c r="M2484" s="387" t="str">
        <f ca="1">IFERROR(IF(VLOOKUP(C2484,' Disaggregation - Section E '!A$618:O1496,15,0)=0,"",VLOOKUP(C2484,' Disaggregation - Section E '!A$618:O1496,15,0)),"")</f>
        <v/>
      </c>
      <c r="N2484" s="391" t="str">
        <f ca="1">IFERROR(IF(VLOOKUP(C2484,' Disaggregation - Section E '!A$618:J3173,10,0)=0,"",VLOOKUP(C2484,' Disaggregation - Section E '!A$618:J3173,10,0)),"")</f>
        <v/>
      </c>
      <c r="O2484" s="387"/>
      <c r="P2484" s="387" t="str">
        <f ca="1">IFERROR(IF(VLOOKUP(C2484,' Disaggregation - Section E '!A$618:R1496,18,0)=0,"",VLOOKUP(C2484,' Disaggregation - Section E '!A$618:R1496,18,0)),"")</f>
        <v/>
      </c>
    </row>
    <row r="2485" spans="1:16">
      <c r="A2485" s="387" t="b">
        <f t="shared" ca="1" si="169"/>
        <v>0</v>
      </c>
      <c r="B2485" s="387"/>
      <c r="C2485" s="396" t="str">
        <f ca="1">IF(COUNTA(O$1610:O2485)=1,"",OFFSET(B2483,-COUNTA(O$1610:O2485)+3,1))</f>
        <v>a16Dm000000M3twIAC</v>
      </c>
      <c r="D2485" s="392"/>
      <c r="E2485" s="389" t="str">
        <f ca="1">IFERROR(IF(VLOOKUP(C2485,' Disaggregation - Section E '!A$618:J3174,7,0)="","",VLOOKUP(C2485,' Disaggregation - Section E '!A$618:J3174,7,0)*100),"")</f>
        <v/>
      </c>
      <c r="F2485" s="391" t="str">
        <f ca="1">IFERROR(VLOOKUP(C2485,' Disaggregation - Section E '!A$618:J3174,5,0),"")</f>
        <v/>
      </c>
      <c r="G2485" s="390" t="str">
        <f ca="1">IFERROR(IF(VLOOKUP(C2485,' Disaggregation - Section E '!A$618:J3174,6,0)="","",VLOOKUP(C2485,' Disaggregation - Section E '!A$618:J3174,6,0)),"")</f>
        <v/>
      </c>
      <c r="H2485" s="390" t="str">
        <f ca="1">IFERROR(IF(INDEX(' Disaggregation - Section E '!F$618:F3174,MATCH(C2485,' Disaggregation - Section E '!A$618:A3174,0)+1,1)&lt;&gt;0,INDEX(' Disaggregation - Section E '!F$618:F3174,MATCH(C2485,' Disaggregation - Section E '!A$618:A3174,0)+1,1),""),"")</f>
        <v/>
      </c>
      <c r="I2485" s="391" t="str">
        <f ca="1">IFERROR(IF(VLOOKUP(C2485,' Disaggregation - Section E '!A$618:J3174,8,0)=0,"",VLOOKUP(C2485,' Disaggregation - Section E '!A$618:J3174,8,0)),"")</f>
        <v/>
      </c>
      <c r="J2485" s="391" t="str">
        <f ca="1">IFERROR(IF(VLOOKUP(C2485,' Disaggregation - Section E '!A$618:J3174,9,0)="","",VLOOKUP(C2485,' Disaggregation - Section E '!A$618:J3174,9,0)),"")</f>
        <v/>
      </c>
      <c r="K2485" s="387" t="str">
        <f ca="1">IFERROR(VLOOKUP(C2485,' Disaggregation - Section E '!A$618:J3174,3,0),"")</f>
        <v/>
      </c>
      <c r="L2485" s="387"/>
      <c r="M2485" s="387" t="str">
        <f ca="1">IFERROR(IF(VLOOKUP(C2485,' Disaggregation - Section E '!A$618:O1497,15,0)=0,"",VLOOKUP(C2485,' Disaggregation - Section E '!A$618:O1497,15,0)),"")</f>
        <v/>
      </c>
      <c r="N2485" s="391" t="str">
        <f ca="1">IFERROR(IF(VLOOKUP(C2485,' Disaggregation - Section E '!A$618:J3174,10,0)=0,"",VLOOKUP(C2485,' Disaggregation - Section E '!A$618:J3174,10,0)),"")</f>
        <v/>
      </c>
      <c r="O2485" s="387"/>
      <c r="P2485" s="387" t="str">
        <f ca="1">IFERROR(IF(VLOOKUP(C2485,' Disaggregation - Section E '!A$618:R1497,18,0)=0,"",VLOOKUP(C2485,' Disaggregation - Section E '!A$618:R1497,18,0)),"")</f>
        <v/>
      </c>
    </row>
    <row r="2486" spans="1:16">
      <c r="A2486" s="387" t="b">
        <f t="shared" ca="1" si="169"/>
        <v>0</v>
      </c>
      <c r="B2486" s="387"/>
      <c r="C2486" s="396" t="str">
        <f ca="1">IF(COUNTA(O$1610:O2486)=1,"",OFFSET(B2484,-COUNTA(O$1610:O2486)+3,1))</f>
        <v>a16Dm000000M3txIAC</v>
      </c>
      <c r="D2486" s="392"/>
      <c r="E2486" s="389" t="str">
        <f ca="1">IFERROR(IF(VLOOKUP(C2486,' Disaggregation - Section E '!A$618:J3175,7,0)="","",VLOOKUP(C2486,' Disaggregation - Section E '!A$618:J3175,7,0)*100),"")</f>
        <v/>
      </c>
      <c r="F2486" s="391" t="str">
        <f ca="1">IFERROR(VLOOKUP(C2486,' Disaggregation - Section E '!A$618:J3175,5,0),"")</f>
        <v/>
      </c>
      <c r="G2486" s="390" t="str">
        <f ca="1">IFERROR(IF(VLOOKUP(C2486,' Disaggregation - Section E '!A$618:J3175,6,0)="","",VLOOKUP(C2486,' Disaggregation - Section E '!A$618:J3175,6,0)),"")</f>
        <v/>
      </c>
      <c r="H2486" s="390" t="str">
        <f ca="1">IFERROR(IF(INDEX(' Disaggregation - Section E '!F$618:F3175,MATCH(C2486,' Disaggregation - Section E '!A$618:A3175,0)+1,1)&lt;&gt;0,INDEX(' Disaggregation - Section E '!F$618:F3175,MATCH(C2486,' Disaggregation - Section E '!A$618:A3175,0)+1,1),""),"")</f>
        <v/>
      </c>
      <c r="I2486" s="391" t="str">
        <f ca="1">IFERROR(IF(VLOOKUP(C2486,' Disaggregation - Section E '!A$618:J3175,8,0)=0,"",VLOOKUP(C2486,' Disaggregation - Section E '!A$618:J3175,8,0)),"")</f>
        <v/>
      </c>
      <c r="J2486" s="391" t="str">
        <f ca="1">IFERROR(IF(VLOOKUP(C2486,' Disaggregation - Section E '!A$618:J3175,9,0)="","",VLOOKUP(C2486,' Disaggregation - Section E '!A$618:J3175,9,0)),"")</f>
        <v/>
      </c>
      <c r="K2486" s="387" t="str">
        <f ca="1">IFERROR(VLOOKUP(C2486,' Disaggregation - Section E '!A$618:J3175,3,0),"")</f>
        <v/>
      </c>
      <c r="L2486" s="387"/>
      <c r="M2486" s="387" t="str">
        <f ca="1">IFERROR(IF(VLOOKUP(C2486,' Disaggregation - Section E '!A$618:O1498,15,0)=0,"",VLOOKUP(C2486,' Disaggregation - Section E '!A$618:O1498,15,0)),"")</f>
        <v/>
      </c>
      <c r="N2486" s="391" t="str">
        <f ca="1">IFERROR(IF(VLOOKUP(C2486,' Disaggregation - Section E '!A$618:J3175,10,0)=0,"",VLOOKUP(C2486,' Disaggregation - Section E '!A$618:J3175,10,0)),"")</f>
        <v/>
      </c>
      <c r="O2486" s="387"/>
      <c r="P2486" s="387" t="str">
        <f ca="1">IFERROR(IF(VLOOKUP(C2486,' Disaggregation - Section E '!A$618:R1498,18,0)=0,"",VLOOKUP(C2486,' Disaggregation - Section E '!A$618:R1498,18,0)),"")</f>
        <v/>
      </c>
    </row>
    <row r="2487" spans="1:16">
      <c r="A2487" s="387" t="b">
        <f t="shared" ca="1" si="169"/>
        <v>0</v>
      </c>
      <c r="B2487" s="387"/>
      <c r="C2487" s="396" t="str">
        <f ca="1">IF(COUNTA(O$1610:O2487)=1,"",OFFSET(B2485,-COUNTA(O$1610:O2487)+3,1))</f>
        <v>a16Dm000000M3tyIAC</v>
      </c>
      <c r="D2487" s="392"/>
      <c r="E2487" s="389" t="str">
        <f ca="1">IFERROR(IF(VLOOKUP(C2487,' Disaggregation - Section E '!A$618:J3176,7,0)="","",VLOOKUP(C2487,' Disaggregation - Section E '!A$618:J3176,7,0)*100),"")</f>
        <v/>
      </c>
      <c r="F2487" s="391" t="str">
        <f ca="1">IFERROR(VLOOKUP(C2487,' Disaggregation - Section E '!A$618:J3176,5,0),"")</f>
        <v/>
      </c>
      <c r="G2487" s="390" t="str">
        <f ca="1">IFERROR(IF(VLOOKUP(C2487,' Disaggregation - Section E '!A$618:J3176,6,0)="","",VLOOKUP(C2487,' Disaggregation - Section E '!A$618:J3176,6,0)),"")</f>
        <v/>
      </c>
      <c r="H2487" s="390" t="str">
        <f ca="1">IFERROR(IF(INDEX(' Disaggregation - Section E '!F$618:F3176,MATCH(C2487,' Disaggregation - Section E '!A$618:A3176,0)+1,1)&lt;&gt;0,INDEX(' Disaggregation - Section E '!F$618:F3176,MATCH(C2487,' Disaggregation - Section E '!A$618:A3176,0)+1,1),""),"")</f>
        <v/>
      </c>
      <c r="I2487" s="391" t="str">
        <f ca="1">IFERROR(IF(VLOOKUP(C2487,' Disaggregation - Section E '!A$618:J3176,8,0)=0,"",VLOOKUP(C2487,' Disaggregation - Section E '!A$618:J3176,8,0)),"")</f>
        <v/>
      </c>
      <c r="J2487" s="391" t="str">
        <f ca="1">IFERROR(IF(VLOOKUP(C2487,' Disaggregation - Section E '!A$618:J3176,9,0)="","",VLOOKUP(C2487,' Disaggregation - Section E '!A$618:J3176,9,0)),"")</f>
        <v/>
      </c>
      <c r="K2487" s="387" t="str">
        <f ca="1">IFERROR(VLOOKUP(C2487,' Disaggregation - Section E '!A$618:J3176,3,0),"")</f>
        <v/>
      </c>
      <c r="L2487" s="387"/>
      <c r="M2487" s="387" t="str">
        <f ca="1">IFERROR(IF(VLOOKUP(C2487,' Disaggregation - Section E '!A$618:O1499,15,0)=0,"",VLOOKUP(C2487,' Disaggregation - Section E '!A$618:O1499,15,0)),"")</f>
        <v/>
      </c>
      <c r="N2487" s="391" t="str">
        <f ca="1">IFERROR(IF(VLOOKUP(C2487,' Disaggregation - Section E '!A$618:J3176,10,0)=0,"",VLOOKUP(C2487,' Disaggregation - Section E '!A$618:J3176,10,0)),"")</f>
        <v/>
      </c>
      <c r="O2487" s="387"/>
      <c r="P2487" s="387" t="str">
        <f ca="1">IFERROR(IF(VLOOKUP(C2487,' Disaggregation - Section E '!A$618:R1499,18,0)=0,"",VLOOKUP(C2487,' Disaggregation - Section E '!A$618:R1499,18,0)),"")</f>
        <v/>
      </c>
    </row>
    <row r="2488" spans="1:16">
      <c r="A2488" s="387" t="b">
        <f t="shared" ca="1" si="169"/>
        <v>0</v>
      </c>
      <c r="B2488" s="387"/>
      <c r="C2488" s="396" t="str">
        <f ca="1">IF(COUNTA(O$1610:O2488)=1,"",OFFSET(B2486,-COUNTA(O$1610:O2488)+3,1))</f>
        <v>a16Dm000000M3tzIAC</v>
      </c>
      <c r="D2488" s="392"/>
      <c r="E2488" s="389" t="str">
        <f ca="1">IFERROR(IF(VLOOKUP(C2488,' Disaggregation - Section E '!A$618:J3177,7,0)="","",VLOOKUP(C2488,' Disaggregation - Section E '!A$618:J3177,7,0)*100),"")</f>
        <v/>
      </c>
      <c r="F2488" s="391" t="str">
        <f ca="1">IFERROR(VLOOKUP(C2488,' Disaggregation - Section E '!A$618:J3177,5,0),"")</f>
        <v/>
      </c>
      <c r="G2488" s="390" t="str">
        <f ca="1">IFERROR(IF(VLOOKUP(C2488,' Disaggregation - Section E '!A$618:J3177,6,0)="","",VLOOKUP(C2488,' Disaggregation - Section E '!A$618:J3177,6,0)),"")</f>
        <v/>
      </c>
      <c r="H2488" s="390" t="str">
        <f ca="1">IFERROR(IF(INDEX(' Disaggregation - Section E '!F$618:F3177,MATCH(C2488,' Disaggregation - Section E '!A$618:A3177,0)+1,1)&lt;&gt;0,INDEX(' Disaggregation - Section E '!F$618:F3177,MATCH(C2488,' Disaggregation - Section E '!A$618:A3177,0)+1,1),""),"")</f>
        <v/>
      </c>
      <c r="I2488" s="391" t="str">
        <f ca="1">IFERROR(IF(VLOOKUP(C2488,' Disaggregation - Section E '!A$618:J3177,8,0)=0,"",VLOOKUP(C2488,' Disaggregation - Section E '!A$618:J3177,8,0)),"")</f>
        <v/>
      </c>
      <c r="J2488" s="391" t="str">
        <f ca="1">IFERROR(IF(VLOOKUP(C2488,' Disaggregation - Section E '!A$618:J3177,9,0)="","",VLOOKUP(C2488,' Disaggregation - Section E '!A$618:J3177,9,0)),"")</f>
        <v/>
      </c>
      <c r="K2488" s="387" t="str">
        <f ca="1">IFERROR(VLOOKUP(C2488,' Disaggregation - Section E '!A$618:J3177,3,0),"")</f>
        <v/>
      </c>
      <c r="L2488" s="387"/>
      <c r="M2488" s="387" t="str">
        <f ca="1">IFERROR(IF(VLOOKUP(C2488,' Disaggregation - Section E '!A$618:O1500,15,0)=0,"",VLOOKUP(C2488,' Disaggregation - Section E '!A$618:O1500,15,0)),"")</f>
        <v/>
      </c>
      <c r="N2488" s="391" t="str">
        <f ca="1">IFERROR(IF(VLOOKUP(C2488,' Disaggregation - Section E '!A$618:J3177,10,0)=0,"",VLOOKUP(C2488,' Disaggregation - Section E '!A$618:J3177,10,0)),"")</f>
        <v/>
      </c>
      <c r="O2488" s="387"/>
      <c r="P2488" s="387" t="str">
        <f ca="1">IFERROR(IF(VLOOKUP(C2488,' Disaggregation - Section E '!A$618:R1500,18,0)=0,"",VLOOKUP(C2488,' Disaggregation - Section E '!A$618:R1500,18,0)),"")</f>
        <v/>
      </c>
    </row>
    <row r="2489" spans="1:16">
      <c r="A2489" s="387" t="b">
        <f t="shared" ca="1" si="169"/>
        <v>0</v>
      </c>
      <c r="B2489" s="387"/>
      <c r="C2489" s="396" t="str">
        <f ca="1">IF(COUNTA(O$1610:O2489)=1,"",OFFSET(B2487,-COUNTA(O$1610:O2489)+3,1))</f>
        <v>a16Dm000000M3u0IAC</v>
      </c>
      <c r="D2489" s="392"/>
      <c r="E2489" s="389" t="str">
        <f ca="1">IFERROR(IF(VLOOKUP(C2489,' Disaggregation - Section E '!A$618:J3178,7,0)="","",VLOOKUP(C2489,' Disaggregation - Section E '!A$618:J3178,7,0)*100),"")</f>
        <v/>
      </c>
      <c r="F2489" s="391" t="str">
        <f ca="1">IFERROR(VLOOKUP(C2489,' Disaggregation - Section E '!A$618:J3178,5,0),"")</f>
        <v/>
      </c>
      <c r="G2489" s="390" t="str">
        <f ca="1">IFERROR(IF(VLOOKUP(C2489,' Disaggregation - Section E '!A$618:J3178,6,0)="","",VLOOKUP(C2489,' Disaggregation - Section E '!A$618:J3178,6,0)),"")</f>
        <v/>
      </c>
      <c r="H2489" s="390" t="str">
        <f ca="1">IFERROR(IF(INDEX(' Disaggregation - Section E '!F$618:F3178,MATCH(C2489,' Disaggregation - Section E '!A$618:A3178,0)+1,1)&lt;&gt;0,INDEX(' Disaggregation - Section E '!F$618:F3178,MATCH(C2489,' Disaggregation - Section E '!A$618:A3178,0)+1,1),""),"")</f>
        <v/>
      </c>
      <c r="I2489" s="391" t="str">
        <f ca="1">IFERROR(IF(VLOOKUP(C2489,' Disaggregation - Section E '!A$618:J3178,8,0)=0,"",VLOOKUP(C2489,' Disaggregation - Section E '!A$618:J3178,8,0)),"")</f>
        <v/>
      </c>
      <c r="J2489" s="391" t="str">
        <f ca="1">IFERROR(IF(VLOOKUP(C2489,' Disaggregation - Section E '!A$618:J3178,9,0)="","",VLOOKUP(C2489,' Disaggregation - Section E '!A$618:J3178,9,0)),"")</f>
        <v/>
      </c>
      <c r="K2489" s="387" t="str">
        <f ca="1">IFERROR(VLOOKUP(C2489,' Disaggregation - Section E '!A$618:J3178,3,0),"")</f>
        <v/>
      </c>
      <c r="L2489" s="387"/>
      <c r="M2489" s="387" t="str">
        <f ca="1">IFERROR(IF(VLOOKUP(C2489,' Disaggregation - Section E '!A$618:O1501,15,0)=0,"",VLOOKUP(C2489,' Disaggregation - Section E '!A$618:O1501,15,0)),"")</f>
        <v/>
      </c>
      <c r="N2489" s="391" t="str">
        <f ca="1">IFERROR(IF(VLOOKUP(C2489,' Disaggregation - Section E '!A$618:J3178,10,0)=0,"",VLOOKUP(C2489,' Disaggregation - Section E '!A$618:J3178,10,0)),"")</f>
        <v/>
      </c>
      <c r="O2489" s="387"/>
      <c r="P2489" s="387" t="str">
        <f ca="1">IFERROR(IF(VLOOKUP(C2489,' Disaggregation - Section E '!A$618:R1501,18,0)=0,"",VLOOKUP(C2489,' Disaggregation - Section E '!A$618:R1501,18,0)),"")</f>
        <v/>
      </c>
    </row>
    <row r="2490" spans="1:16">
      <c r="A2490" s="387" t="b">
        <f t="shared" ca="1" si="169"/>
        <v>0</v>
      </c>
      <c r="B2490" s="387"/>
      <c r="C2490" s="396" t="str">
        <f ca="1">IF(COUNTA(O$1610:O2490)=1,"",OFFSET(B2488,-COUNTA(O$1610:O2490)+3,1))</f>
        <v>a16Dm000000M3u1IAC</v>
      </c>
      <c r="D2490" s="392"/>
      <c r="E2490" s="389" t="str">
        <f ca="1">IFERROR(IF(VLOOKUP(C2490,' Disaggregation - Section E '!A$618:J3179,7,0)="","",VLOOKUP(C2490,' Disaggregation - Section E '!A$618:J3179,7,0)*100),"")</f>
        <v/>
      </c>
      <c r="F2490" s="391" t="str">
        <f ca="1">IFERROR(VLOOKUP(C2490,' Disaggregation - Section E '!A$618:J3179,5,0),"")</f>
        <v/>
      </c>
      <c r="G2490" s="390" t="str">
        <f ca="1">IFERROR(IF(VLOOKUP(C2490,' Disaggregation - Section E '!A$618:J3179,6,0)="","",VLOOKUP(C2490,' Disaggregation - Section E '!A$618:J3179,6,0)),"")</f>
        <v/>
      </c>
      <c r="H2490" s="390" t="str">
        <f ca="1">IFERROR(IF(INDEX(' Disaggregation - Section E '!F$618:F3179,MATCH(C2490,' Disaggregation - Section E '!A$618:A3179,0)+1,1)&lt;&gt;0,INDEX(' Disaggregation - Section E '!F$618:F3179,MATCH(C2490,' Disaggregation - Section E '!A$618:A3179,0)+1,1),""),"")</f>
        <v/>
      </c>
      <c r="I2490" s="391" t="str">
        <f ca="1">IFERROR(IF(VLOOKUP(C2490,' Disaggregation - Section E '!A$618:J3179,8,0)=0,"",VLOOKUP(C2490,' Disaggregation - Section E '!A$618:J3179,8,0)),"")</f>
        <v/>
      </c>
      <c r="J2490" s="391" t="str">
        <f ca="1">IFERROR(IF(VLOOKUP(C2490,' Disaggregation - Section E '!A$618:J3179,9,0)="","",VLOOKUP(C2490,' Disaggregation - Section E '!A$618:J3179,9,0)),"")</f>
        <v/>
      </c>
      <c r="K2490" s="387" t="str">
        <f ca="1">IFERROR(VLOOKUP(C2490,' Disaggregation - Section E '!A$618:J3179,3,0),"")</f>
        <v/>
      </c>
      <c r="L2490" s="387"/>
      <c r="M2490" s="387" t="str">
        <f ca="1">IFERROR(IF(VLOOKUP(C2490,' Disaggregation - Section E '!A$618:O1502,15,0)=0,"",VLOOKUP(C2490,' Disaggregation - Section E '!A$618:O1502,15,0)),"")</f>
        <v/>
      </c>
      <c r="N2490" s="391" t="str">
        <f ca="1">IFERROR(IF(VLOOKUP(C2490,' Disaggregation - Section E '!A$618:J3179,10,0)=0,"",VLOOKUP(C2490,' Disaggregation - Section E '!A$618:J3179,10,0)),"")</f>
        <v/>
      </c>
      <c r="O2490" s="387"/>
      <c r="P2490" s="387" t="str">
        <f ca="1">IFERROR(IF(VLOOKUP(C2490,' Disaggregation - Section E '!A$618:R1502,18,0)=0,"",VLOOKUP(C2490,' Disaggregation - Section E '!A$618:R1502,18,0)),"")</f>
        <v/>
      </c>
    </row>
    <row r="2491" spans="1:16">
      <c r="A2491" s="387" t="b">
        <f t="shared" ca="1" si="169"/>
        <v>0</v>
      </c>
      <c r="B2491" s="387"/>
      <c r="C2491" s="396" t="str">
        <f ca="1">IF(COUNTA(O$1610:O2491)=1,"",OFFSET(B2489,-COUNTA(O$1610:O2491)+3,1))</f>
        <v>a16Dm000000M3u2IAC</v>
      </c>
      <c r="D2491" s="392"/>
      <c r="E2491" s="389" t="str">
        <f ca="1">IFERROR(IF(VLOOKUP(C2491,' Disaggregation - Section E '!A$618:J3180,7,0)="","",VLOOKUP(C2491,' Disaggregation - Section E '!A$618:J3180,7,0)*100),"")</f>
        <v/>
      </c>
      <c r="F2491" s="391" t="str">
        <f ca="1">IFERROR(VLOOKUP(C2491,' Disaggregation - Section E '!A$618:J3180,5,0),"")</f>
        <v/>
      </c>
      <c r="G2491" s="390" t="str">
        <f ca="1">IFERROR(IF(VLOOKUP(C2491,' Disaggregation - Section E '!A$618:J3180,6,0)="","",VLOOKUP(C2491,' Disaggregation - Section E '!A$618:J3180,6,0)),"")</f>
        <v/>
      </c>
      <c r="H2491" s="390" t="str">
        <f ca="1">IFERROR(IF(INDEX(' Disaggregation - Section E '!F$618:F3180,MATCH(C2491,' Disaggregation - Section E '!A$618:A3180,0)+1,1)&lt;&gt;0,INDEX(' Disaggregation - Section E '!F$618:F3180,MATCH(C2491,' Disaggregation - Section E '!A$618:A3180,0)+1,1),""),"")</f>
        <v/>
      </c>
      <c r="I2491" s="391" t="str">
        <f ca="1">IFERROR(IF(VLOOKUP(C2491,' Disaggregation - Section E '!A$618:J3180,8,0)=0,"",VLOOKUP(C2491,' Disaggregation - Section E '!A$618:J3180,8,0)),"")</f>
        <v/>
      </c>
      <c r="J2491" s="391" t="str">
        <f ca="1">IFERROR(IF(VLOOKUP(C2491,' Disaggregation - Section E '!A$618:J3180,9,0)="","",VLOOKUP(C2491,' Disaggregation - Section E '!A$618:J3180,9,0)),"")</f>
        <v/>
      </c>
      <c r="K2491" s="387" t="str">
        <f ca="1">IFERROR(VLOOKUP(C2491,' Disaggregation - Section E '!A$618:J3180,3,0),"")</f>
        <v/>
      </c>
      <c r="L2491" s="387"/>
      <c r="M2491" s="387" t="str">
        <f ca="1">IFERROR(IF(VLOOKUP(C2491,' Disaggregation - Section E '!A$618:O1503,15,0)=0,"",VLOOKUP(C2491,' Disaggregation - Section E '!A$618:O1503,15,0)),"")</f>
        <v/>
      </c>
      <c r="N2491" s="391" t="str">
        <f ca="1">IFERROR(IF(VLOOKUP(C2491,' Disaggregation - Section E '!A$618:J3180,10,0)=0,"",VLOOKUP(C2491,' Disaggregation - Section E '!A$618:J3180,10,0)),"")</f>
        <v/>
      </c>
      <c r="O2491" s="387"/>
      <c r="P2491" s="387" t="str">
        <f ca="1">IFERROR(IF(VLOOKUP(C2491,' Disaggregation - Section E '!A$618:R1503,18,0)=0,"",VLOOKUP(C2491,' Disaggregation - Section E '!A$618:R1503,18,0)),"")</f>
        <v/>
      </c>
    </row>
    <row r="2492" spans="1:16">
      <c r="A2492" s="387" t="b">
        <f t="shared" ca="1" si="169"/>
        <v>1</v>
      </c>
      <c r="B2492" s="387"/>
      <c r="C2492" s="396" t="str">
        <f ca="1">IF(COUNTA(O$1610:O2492)=1,"",OFFSET(B2490,-COUNTA(O$1610:O2492)+3,1))</f>
        <v>a16Dm000000M3u3IAC</v>
      </c>
      <c r="D2492" s="392"/>
      <c r="E2492" s="389" t="str">
        <f ca="1">IFERROR(IF(VLOOKUP(C2492,' Disaggregation - Section E '!A$618:J3181,7,0)="","",VLOOKUP(C2492,' Disaggregation - Section E '!A$618:J3181,7,0)*100),"")</f>
        <v/>
      </c>
      <c r="F2492" s="391" t="str">
        <f ca="1">IFERROR(VLOOKUP(C2492,' Disaggregation - Section E '!A$618:J3181,5,0),"")</f>
        <v>25+</v>
      </c>
      <c r="G2492" s="390" t="str">
        <f ca="1">IFERROR(IF(VLOOKUP(C2492,' Disaggregation - Section E '!A$618:J3181,6,0)="","",VLOOKUP(C2492,' Disaggregation - Section E '!A$618:J3181,6,0)),"")</f>
        <v/>
      </c>
      <c r="H2492" s="390" t="str">
        <f ca="1">IFERROR(IF(INDEX(' Disaggregation - Section E '!F$618:F3181,MATCH(C2492,' Disaggregation - Section E '!A$618:A3181,0)+1,1)&lt;&gt;0,INDEX(' Disaggregation - Section E '!F$618:F3181,MATCH(C2492,' Disaggregation - Section E '!A$618:A3181,0)+1,1),""),"")</f>
        <v/>
      </c>
      <c r="I2492" s="391" t="str">
        <f ca="1">IFERROR(IF(VLOOKUP(C2492,' Disaggregation - Section E '!A$618:J3181,8,0)=0,"",VLOOKUP(C2492,' Disaggregation - Section E '!A$618:J3181,8,0)),"")</f>
        <v/>
      </c>
      <c r="J2492" s="391" t="str">
        <f ca="1">IFERROR(IF(VLOOKUP(C2492,' Disaggregation - Section E '!A$618:J3181,9,0)="","",VLOOKUP(C2492,' Disaggregation - Section E '!A$618:J3181,9,0)),"")</f>
        <v/>
      </c>
      <c r="K2492" s="387" t="str">
        <f ca="1">IFERROR(VLOOKUP(C2492,' Disaggregation - Section E '!A$618:J3181,3,0),"")</f>
        <v>KP-1a Percentage of men who have sex with men reached with HIV prevention programs - defined package of services</v>
      </c>
      <c r="L2492" s="387"/>
      <c r="M2492" s="387" t="str">
        <f ca="1">IFERROR(IF(VLOOKUP(C2492,' Disaggregation - Section E '!A$618:O1504,15,0)=0,"",VLOOKUP(C2492,' Disaggregation - Section E '!A$618:O1504,15,0)),"")</f>
        <v>IDR-01165</v>
      </c>
      <c r="N2492" s="391" t="str">
        <f ca="1">IFERROR(IF(VLOOKUP(C2492,' Disaggregation - Section E '!A$618:J3181,10,0)=0,"",VLOOKUP(C2492,' Disaggregation - Section E '!A$618:J3181,10,0)),"")</f>
        <v>Disaggregated data not available. The activity will be taken into account from 2024 onwards</v>
      </c>
      <c r="O2492" s="387"/>
      <c r="P2492" s="387" t="str">
        <f ca="1">IFERROR(IF(VLOOKUP(C2492,' Disaggregation - Section E '!A$618:R1504,18,0)=0,"",VLOOKUP(C2492,' Disaggregation - Section E '!A$618:R1504,18,0)),"")</f>
        <v>a1LDm000000Cb1XMAS</v>
      </c>
    </row>
    <row r="2493" spans="1:16">
      <c r="A2493" s="387" t="b">
        <f t="shared" ca="1" si="169"/>
        <v>1</v>
      </c>
      <c r="B2493" s="387"/>
      <c r="C2493" s="396" t="str">
        <f ca="1">IF(COUNTA(O$1610:O2493)=1,"",OFFSET(B2491,-COUNTA(O$1610:O2493)+3,1))</f>
        <v>a16Dm000000M3u4IAC</v>
      </c>
      <c r="D2493" s="392"/>
      <c r="E2493" s="389" t="str">
        <f ca="1">IFERROR(IF(VLOOKUP(C2493,' Disaggregation - Section E '!A$618:J3182,7,0)="","",VLOOKUP(C2493,' Disaggregation - Section E '!A$618:J3182,7,0)*100),"")</f>
        <v/>
      </c>
      <c r="F2493" s="391" t="str">
        <f ca="1">IFERROR(VLOOKUP(C2493,' Disaggregation - Section E '!A$618:J3182,5,0),"")</f>
        <v>20-24</v>
      </c>
      <c r="G2493" s="390" t="str">
        <f ca="1">IFERROR(IF(VLOOKUP(C2493,' Disaggregation - Section E '!A$618:J3182,6,0)="","",VLOOKUP(C2493,' Disaggregation - Section E '!A$618:J3182,6,0)),"")</f>
        <v/>
      </c>
      <c r="H2493" s="390" t="str">
        <f ca="1">IFERROR(IF(INDEX(' Disaggregation - Section E '!F$618:F3182,MATCH(C2493,' Disaggregation - Section E '!A$618:A3182,0)+1,1)&lt;&gt;0,INDEX(' Disaggregation - Section E '!F$618:F3182,MATCH(C2493,' Disaggregation - Section E '!A$618:A3182,0)+1,1),""),"")</f>
        <v/>
      </c>
      <c r="I2493" s="391" t="str">
        <f ca="1">IFERROR(IF(VLOOKUP(C2493,' Disaggregation - Section E '!A$618:J3182,8,0)=0,"",VLOOKUP(C2493,' Disaggregation - Section E '!A$618:J3182,8,0)),"")</f>
        <v/>
      </c>
      <c r="J2493" s="391" t="str">
        <f ca="1">IFERROR(IF(VLOOKUP(C2493,' Disaggregation - Section E '!A$618:J3182,9,0)="","",VLOOKUP(C2493,' Disaggregation - Section E '!A$618:J3182,9,0)),"")</f>
        <v/>
      </c>
      <c r="K2493" s="387" t="str">
        <f ca="1">IFERROR(VLOOKUP(C2493,' Disaggregation - Section E '!A$618:J3182,3,0),"")</f>
        <v>KP-1a Percentage of men who have sex with men reached with HIV prevention programs - defined package of services</v>
      </c>
      <c r="L2493" s="387"/>
      <c r="M2493" s="387" t="str">
        <f ca="1">IFERROR(IF(VLOOKUP(C2493,' Disaggregation - Section E '!A$618:O1505,15,0)=0,"",VLOOKUP(C2493,' Disaggregation - Section E '!A$618:O1505,15,0)),"")</f>
        <v>IDR-01164</v>
      </c>
      <c r="N2493" s="391" t="str">
        <f ca="1">IFERROR(IF(VLOOKUP(C2493,' Disaggregation - Section E '!A$618:J3182,10,0)=0,"",VLOOKUP(C2493,' Disaggregation - Section E '!A$618:J3182,10,0)),"")</f>
        <v>Disaggregated data not available. The activity will be taken into account from 2024 onwards</v>
      </c>
      <c r="O2493" s="387"/>
      <c r="P2493" s="387" t="str">
        <f ca="1">IFERROR(IF(VLOOKUP(C2493,' Disaggregation - Section E '!A$618:R1505,18,0)=0,"",VLOOKUP(C2493,' Disaggregation - Section E '!A$618:R1505,18,0)),"")</f>
        <v>a1LDm000000Cb1WMAS</v>
      </c>
    </row>
    <row r="2494" spans="1:16">
      <c r="A2494" s="387" t="b">
        <f t="shared" ca="1" si="169"/>
        <v>1</v>
      </c>
      <c r="B2494" s="387"/>
      <c r="C2494" s="396" t="str">
        <f ca="1">IF(COUNTA(O$1610:O2494)=1,"",OFFSET(B2492,-COUNTA(O$1610:O2494)+3,1))</f>
        <v>a16Dm000000M3u5IAC</v>
      </c>
      <c r="D2494" s="392"/>
      <c r="E2494" s="389" t="str">
        <f ca="1">IFERROR(IF(VLOOKUP(C2494,' Disaggregation - Section E '!A$618:J3183,7,0)="","",VLOOKUP(C2494,' Disaggregation - Section E '!A$618:J3183,7,0)*100),"")</f>
        <v/>
      </c>
      <c r="F2494" s="391" t="str">
        <f ca="1">IFERROR(VLOOKUP(C2494,' Disaggregation - Section E '!A$618:J3183,5,0),"")</f>
        <v>15-19</v>
      </c>
      <c r="G2494" s="390" t="str">
        <f ca="1">IFERROR(IF(VLOOKUP(C2494,' Disaggregation - Section E '!A$618:J3183,6,0)="","",VLOOKUP(C2494,' Disaggregation - Section E '!A$618:J3183,6,0)),"")</f>
        <v/>
      </c>
      <c r="H2494" s="390" t="str">
        <f ca="1">IFERROR(IF(INDEX(' Disaggregation - Section E '!F$618:F3183,MATCH(C2494,' Disaggregation - Section E '!A$618:A3183,0)+1,1)&lt;&gt;0,INDEX(' Disaggregation - Section E '!F$618:F3183,MATCH(C2494,' Disaggregation - Section E '!A$618:A3183,0)+1,1),""),"")</f>
        <v/>
      </c>
      <c r="I2494" s="391" t="str">
        <f ca="1">IFERROR(IF(VLOOKUP(C2494,' Disaggregation - Section E '!A$618:J3183,8,0)=0,"",VLOOKUP(C2494,' Disaggregation - Section E '!A$618:J3183,8,0)),"")</f>
        <v/>
      </c>
      <c r="J2494" s="391" t="str">
        <f ca="1">IFERROR(IF(VLOOKUP(C2494,' Disaggregation - Section E '!A$618:J3183,9,0)="","",VLOOKUP(C2494,' Disaggregation - Section E '!A$618:J3183,9,0)),"")</f>
        <v/>
      </c>
      <c r="K2494" s="387" t="str">
        <f ca="1">IFERROR(VLOOKUP(C2494,' Disaggregation - Section E '!A$618:J3183,3,0),"")</f>
        <v>KP-1a Percentage of men who have sex with men reached with HIV prevention programs - defined package of services</v>
      </c>
      <c r="L2494" s="387"/>
      <c r="M2494" s="387" t="str">
        <f ca="1">IFERROR(IF(VLOOKUP(C2494,' Disaggregation - Section E '!A$618:O1506,15,0)=0,"",VLOOKUP(C2494,' Disaggregation - Section E '!A$618:O1506,15,0)),"")</f>
        <v>IDR-01163</v>
      </c>
      <c r="N2494" s="391" t="str">
        <f ca="1">IFERROR(IF(VLOOKUP(C2494,' Disaggregation - Section E '!A$618:J3183,10,0)=0,"",VLOOKUP(C2494,' Disaggregation - Section E '!A$618:J3183,10,0)),"")</f>
        <v>Disaggregated data not available. The activity will be taken into account from 2024 onwards</v>
      </c>
      <c r="O2494" s="387"/>
      <c r="P2494" s="387" t="str">
        <f ca="1">IFERROR(IF(VLOOKUP(C2494,' Disaggregation - Section E '!A$618:R1506,18,0)=0,"",VLOOKUP(C2494,' Disaggregation - Section E '!A$618:R1506,18,0)),"")</f>
        <v>a1LDm000000Cb1VMAS</v>
      </c>
    </row>
    <row r="2495" spans="1:16">
      <c r="A2495" s="387" t="b">
        <f t="shared" ca="1" si="169"/>
        <v>0</v>
      </c>
      <c r="B2495" s="387"/>
      <c r="C2495" s="396" t="str">
        <f ca="1">IF(COUNTA(O$1610:O2495)=1,"",OFFSET(B2493,-COUNTA(O$1610:O2495)+3,1))</f>
        <v>a16Dm000000M3u6IAC</v>
      </c>
      <c r="D2495" s="392"/>
      <c r="E2495" s="389" t="str">
        <f ca="1">IFERROR(IF(VLOOKUP(C2495,' Disaggregation - Section E '!A$618:J3184,7,0)="","",VLOOKUP(C2495,' Disaggregation - Section E '!A$618:J3184,7,0)*100),"")</f>
        <v/>
      </c>
      <c r="F2495" s="391" t="str">
        <f ca="1">IFERROR(VLOOKUP(C2495,' Disaggregation - Section E '!A$618:J3184,5,0),"")</f>
        <v/>
      </c>
      <c r="G2495" s="390" t="str">
        <f ca="1">IFERROR(IF(VLOOKUP(C2495,' Disaggregation - Section E '!A$618:J3184,6,0)="","",VLOOKUP(C2495,' Disaggregation - Section E '!A$618:J3184,6,0)),"")</f>
        <v/>
      </c>
      <c r="H2495" s="390" t="str">
        <f ca="1">IFERROR(IF(INDEX(' Disaggregation - Section E '!F$618:F3184,MATCH(C2495,' Disaggregation - Section E '!A$618:A3184,0)+1,1)&lt;&gt;0,INDEX(' Disaggregation - Section E '!F$618:F3184,MATCH(C2495,' Disaggregation - Section E '!A$618:A3184,0)+1,1),""),"")</f>
        <v/>
      </c>
      <c r="I2495" s="391" t="str">
        <f ca="1">IFERROR(IF(VLOOKUP(C2495,' Disaggregation - Section E '!A$618:J3184,8,0)=0,"",VLOOKUP(C2495,' Disaggregation - Section E '!A$618:J3184,8,0)),"")</f>
        <v/>
      </c>
      <c r="J2495" s="391" t="str">
        <f ca="1">IFERROR(IF(VLOOKUP(C2495,' Disaggregation - Section E '!A$618:J3184,9,0)="","",VLOOKUP(C2495,' Disaggregation - Section E '!A$618:J3184,9,0)),"")</f>
        <v/>
      </c>
      <c r="K2495" s="387" t="str">
        <f ca="1">IFERROR(VLOOKUP(C2495,' Disaggregation - Section E '!A$618:J3184,3,0),"")</f>
        <v>KP-1a Percentage of men who have sex with men reached with HIV prevention programs - defined package of services</v>
      </c>
      <c r="L2495" s="387"/>
      <c r="M2495" s="387" t="str">
        <f ca="1">IFERROR(IF(VLOOKUP(C2495,' Disaggregation - Section E '!A$618:O1507,15,0)=0,"",VLOOKUP(C2495,' Disaggregation - Section E '!A$618:O1507,15,0)),"")</f>
        <v/>
      </c>
      <c r="N2495" s="391" t="str">
        <f ca="1">IFERROR(IF(VLOOKUP(C2495,' Disaggregation - Section E '!A$618:J3184,10,0)=0,"",VLOOKUP(C2495,' Disaggregation - Section E '!A$618:J3184,10,0)),"")</f>
        <v/>
      </c>
      <c r="O2495" s="387"/>
      <c r="P2495" s="387" t="str">
        <f ca="1">IFERROR(IF(VLOOKUP(C2495,' Disaggregation - Section E '!A$618:R1507,18,0)=0,"",VLOOKUP(C2495,' Disaggregation - Section E '!A$618:R1507,18,0)),"")</f>
        <v/>
      </c>
    </row>
    <row r="2496" spans="1:16">
      <c r="A2496" s="387" t="b">
        <f t="shared" ca="1" si="169"/>
        <v>0</v>
      </c>
      <c r="B2496" s="387"/>
      <c r="C2496" s="396" t="str">
        <f ca="1">IF(COUNTA(O$1610:O2496)=1,"",OFFSET(B2494,-COUNTA(O$1610:O2496)+3,1))</f>
        <v>a16Dm000000M3u7IAC</v>
      </c>
      <c r="D2496" s="392"/>
      <c r="E2496" s="389" t="str">
        <f ca="1">IFERROR(IF(VLOOKUP(C2496,' Disaggregation - Section E '!A$618:J3185,7,0)="","",VLOOKUP(C2496,' Disaggregation - Section E '!A$618:J3185,7,0)*100),"")</f>
        <v/>
      </c>
      <c r="F2496" s="391" t="str">
        <f ca="1">IFERROR(VLOOKUP(C2496,' Disaggregation - Section E '!A$618:J3185,5,0),"")</f>
        <v/>
      </c>
      <c r="G2496" s="390" t="str">
        <f ca="1">IFERROR(IF(VLOOKUP(C2496,' Disaggregation - Section E '!A$618:J3185,6,0)="","",VLOOKUP(C2496,' Disaggregation - Section E '!A$618:J3185,6,0)),"")</f>
        <v/>
      </c>
      <c r="H2496" s="390" t="str">
        <f ca="1">IFERROR(IF(INDEX(' Disaggregation - Section E '!F$618:F3185,MATCH(C2496,' Disaggregation - Section E '!A$618:A3185,0)+1,1)&lt;&gt;0,INDEX(' Disaggregation - Section E '!F$618:F3185,MATCH(C2496,' Disaggregation - Section E '!A$618:A3185,0)+1,1),""),"")</f>
        <v/>
      </c>
      <c r="I2496" s="391" t="str">
        <f ca="1">IFERROR(IF(VLOOKUP(C2496,' Disaggregation - Section E '!A$618:J3185,8,0)=0,"",VLOOKUP(C2496,' Disaggregation - Section E '!A$618:J3185,8,0)),"")</f>
        <v/>
      </c>
      <c r="J2496" s="391" t="str">
        <f ca="1">IFERROR(IF(VLOOKUP(C2496,' Disaggregation - Section E '!A$618:J3185,9,0)="","",VLOOKUP(C2496,' Disaggregation - Section E '!A$618:J3185,9,0)),"")</f>
        <v/>
      </c>
      <c r="K2496" s="387" t="str">
        <f ca="1">IFERROR(VLOOKUP(C2496,' Disaggregation - Section E '!A$618:J3185,3,0),"")</f>
        <v>KP-1a Percentage of men who have sex with men reached with HIV prevention programs - defined package of services</v>
      </c>
      <c r="L2496" s="387"/>
      <c r="M2496" s="387" t="str">
        <f ca="1">IFERROR(IF(VLOOKUP(C2496,' Disaggregation - Section E '!A$618:O1508,15,0)=0,"",VLOOKUP(C2496,' Disaggregation - Section E '!A$618:O1508,15,0)),"")</f>
        <v/>
      </c>
      <c r="N2496" s="391" t="str">
        <f ca="1">IFERROR(IF(VLOOKUP(C2496,' Disaggregation - Section E '!A$618:J3185,10,0)=0,"",VLOOKUP(C2496,' Disaggregation - Section E '!A$618:J3185,10,0)),"")</f>
        <v/>
      </c>
      <c r="O2496" s="387"/>
      <c r="P2496" s="387" t="str">
        <f ca="1">IFERROR(IF(VLOOKUP(C2496,' Disaggregation - Section E '!A$618:R1508,18,0)=0,"",VLOOKUP(C2496,' Disaggregation - Section E '!A$618:R1508,18,0)),"")</f>
        <v/>
      </c>
    </row>
    <row r="2497" spans="1:16">
      <c r="A2497" s="387" t="b">
        <f t="shared" ca="1" si="169"/>
        <v>0</v>
      </c>
      <c r="B2497" s="387"/>
      <c r="C2497" s="396" t="str">
        <f ca="1">IF(COUNTA(O$1610:O2497)=1,"",OFFSET(B2495,-COUNTA(O$1610:O2497)+3,1))</f>
        <v>a16Dm000000M3u8IAC</v>
      </c>
      <c r="D2497" s="392"/>
      <c r="E2497" s="389" t="str">
        <f ca="1">IFERROR(IF(VLOOKUP(C2497,' Disaggregation - Section E '!A$618:J3186,7,0)="","",VLOOKUP(C2497,' Disaggregation - Section E '!A$618:J3186,7,0)*100),"")</f>
        <v/>
      </c>
      <c r="F2497" s="391" t="str">
        <f ca="1">IFERROR(VLOOKUP(C2497,' Disaggregation - Section E '!A$618:J3186,5,0),"")</f>
        <v/>
      </c>
      <c r="G2497" s="390" t="str">
        <f ca="1">IFERROR(IF(VLOOKUP(C2497,' Disaggregation - Section E '!A$618:J3186,6,0)="","",VLOOKUP(C2497,' Disaggregation - Section E '!A$618:J3186,6,0)),"")</f>
        <v/>
      </c>
      <c r="H2497" s="390" t="str">
        <f ca="1">IFERROR(IF(INDEX(' Disaggregation - Section E '!F$618:F3186,MATCH(C2497,' Disaggregation - Section E '!A$618:A3186,0)+1,1)&lt;&gt;0,INDEX(' Disaggregation - Section E '!F$618:F3186,MATCH(C2497,' Disaggregation - Section E '!A$618:A3186,0)+1,1),""),"")</f>
        <v/>
      </c>
      <c r="I2497" s="391" t="str">
        <f ca="1">IFERROR(IF(VLOOKUP(C2497,' Disaggregation - Section E '!A$618:J3186,8,0)=0,"",VLOOKUP(C2497,' Disaggregation - Section E '!A$618:J3186,8,0)),"")</f>
        <v/>
      </c>
      <c r="J2497" s="391" t="str">
        <f ca="1">IFERROR(IF(VLOOKUP(C2497,' Disaggregation - Section E '!A$618:J3186,9,0)="","",VLOOKUP(C2497,' Disaggregation - Section E '!A$618:J3186,9,0)),"")</f>
        <v/>
      </c>
      <c r="K2497" s="387" t="str">
        <f ca="1">IFERROR(VLOOKUP(C2497,' Disaggregation - Section E '!A$618:J3186,3,0),"")</f>
        <v>KP-1a Percentage of men who have sex with men reached with HIV prevention programs - defined package of services</v>
      </c>
      <c r="L2497" s="387"/>
      <c r="M2497" s="387" t="str">
        <f ca="1">IFERROR(IF(VLOOKUP(C2497,' Disaggregation - Section E '!A$618:O1509,15,0)=0,"",VLOOKUP(C2497,' Disaggregation - Section E '!A$618:O1509,15,0)),"")</f>
        <v/>
      </c>
      <c r="N2497" s="391" t="str">
        <f ca="1">IFERROR(IF(VLOOKUP(C2497,' Disaggregation - Section E '!A$618:J3186,10,0)=0,"",VLOOKUP(C2497,' Disaggregation - Section E '!A$618:J3186,10,0)),"")</f>
        <v/>
      </c>
      <c r="O2497" s="387"/>
      <c r="P2497" s="387" t="str">
        <f ca="1">IFERROR(IF(VLOOKUP(C2497,' Disaggregation - Section E '!A$618:R1509,18,0)=0,"",VLOOKUP(C2497,' Disaggregation - Section E '!A$618:R1509,18,0)),"")</f>
        <v/>
      </c>
    </row>
    <row r="2498" spans="1:16">
      <c r="A2498" s="387" t="b">
        <f t="shared" ca="1" si="169"/>
        <v>0</v>
      </c>
      <c r="B2498" s="387"/>
      <c r="C2498" s="396" t="str">
        <f ca="1">IF(COUNTA(O$1610:O2498)=1,"",OFFSET(B2496,-COUNTA(O$1610:O2498)+3,1))</f>
        <v>a16Dm000000M3u9IAC</v>
      </c>
      <c r="D2498" s="392"/>
      <c r="E2498" s="389" t="str">
        <f ca="1">IFERROR(IF(VLOOKUP(C2498,' Disaggregation - Section E '!A$618:J3187,7,0)="","",VLOOKUP(C2498,' Disaggregation - Section E '!A$618:J3187,7,0)*100),"")</f>
        <v/>
      </c>
      <c r="F2498" s="391" t="str">
        <f ca="1">IFERROR(VLOOKUP(C2498,' Disaggregation - Section E '!A$618:J3187,5,0),"")</f>
        <v/>
      </c>
      <c r="G2498" s="390" t="str">
        <f ca="1">IFERROR(IF(VLOOKUP(C2498,' Disaggregation - Section E '!A$618:J3187,6,0)="","",VLOOKUP(C2498,' Disaggregation - Section E '!A$618:J3187,6,0)),"")</f>
        <v/>
      </c>
      <c r="H2498" s="390" t="str">
        <f ca="1">IFERROR(IF(INDEX(' Disaggregation - Section E '!F$618:F3187,MATCH(C2498,' Disaggregation - Section E '!A$618:A3187,0)+1,1)&lt;&gt;0,INDEX(' Disaggregation - Section E '!F$618:F3187,MATCH(C2498,' Disaggregation - Section E '!A$618:A3187,0)+1,1),""),"")</f>
        <v/>
      </c>
      <c r="I2498" s="391" t="str">
        <f ca="1">IFERROR(IF(VLOOKUP(C2498,' Disaggregation - Section E '!A$618:J3187,8,0)=0,"",VLOOKUP(C2498,' Disaggregation - Section E '!A$618:J3187,8,0)),"")</f>
        <v/>
      </c>
      <c r="J2498" s="391" t="str">
        <f ca="1">IFERROR(IF(VLOOKUP(C2498,' Disaggregation - Section E '!A$618:J3187,9,0)="","",VLOOKUP(C2498,' Disaggregation - Section E '!A$618:J3187,9,0)),"")</f>
        <v/>
      </c>
      <c r="K2498" s="387" t="str">
        <f ca="1">IFERROR(VLOOKUP(C2498,' Disaggregation - Section E '!A$618:J3187,3,0),"")</f>
        <v>KP-1a Percentage of men who have sex with men reached with HIV prevention programs - defined package of services</v>
      </c>
      <c r="L2498" s="387"/>
      <c r="M2498" s="387" t="str">
        <f ca="1">IFERROR(IF(VLOOKUP(C2498,' Disaggregation - Section E '!A$618:O1510,15,0)=0,"",VLOOKUP(C2498,' Disaggregation - Section E '!A$618:O1510,15,0)),"")</f>
        <v/>
      </c>
      <c r="N2498" s="391" t="str">
        <f ca="1">IFERROR(IF(VLOOKUP(C2498,' Disaggregation - Section E '!A$618:J3187,10,0)=0,"",VLOOKUP(C2498,' Disaggregation - Section E '!A$618:J3187,10,0)),"")</f>
        <v/>
      </c>
      <c r="O2498" s="387"/>
      <c r="P2498" s="387" t="str">
        <f ca="1">IFERROR(IF(VLOOKUP(C2498,' Disaggregation - Section E '!A$618:R1510,18,0)=0,"",VLOOKUP(C2498,' Disaggregation - Section E '!A$618:R1510,18,0)),"")</f>
        <v/>
      </c>
    </row>
    <row r="2499" spans="1:16">
      <c r="A2499" s="387" t="b">
        <f t="shared" ca="1" si="169"/>
        <v>0</v>
      </c>
      <c r="B2499" s="387"/>
      <c r="C2499" s="396" t="str">
        <f ca="1">IF(COUNTA(O$1610:O2499)=1,"",OFFSET(B2497,-COUNTA(O$1610:O2499)+3,1))</f>
        <v>a16Dm000000M3uAIAS</v>
      </c>
      <c r="D2499" s="392"/>
      <c r="E2499" s="389" t="str">
        <f ca="1">IFERROR(IF(VLOOKUP(C2499,' Disaggregation - Section E '!A$618:J3188,7,0)="","",VLOOKUP(C2499,' Disaggregation - Section E '!A$618:J3188,7,0)*100),"")</f>
        <v/>
      </c>
      <c r="F2499" s="391" t="str">
        <f ca="1">IFERROR(VLOOKUP(C2499,' Disaggregation - Section E '!A$618:J3188,5,0),"")</f>
        <v/>
      </c>
      <c r="G2499" s="390" t="str">
        <f ca="1">IFERROR(IF(VLOOKUP(C2499,' Disaggregation - Section E '!A$618:J3188,6,0)="","",VLOOKUP(C2499,' Disaggregation - Section E '!A$618:J3188,6,0)),"")</f>
        <v/>
      </c>
      <c r="H2499" s="390" t="str">
        <f ca="1">IFERROR(IF(INDEX(' Disaggregation - Section E '!F$618:F3188,MATCH(C2499,' Disaggregation - Section E '!A$618:A3188,0)+1,1)&lt;&gt;0,INDEX(' Disaggregation - Section E '!F$618:F3188,MATCH(C2499,' Disaggregation - Section E '!A$618:A3188,0)+1,1),""),"")</f>
        <v/>
      </c>
      <c r="I2499" s="391" t="str">
        <f ca="1">IFERROR(IF(VLOOKUP(C2499,' Disaggregation - Section E '!A$618:J3188,8,0)=0,"",VLOOKUP(C2499,' Disaggregation - Section E '!A$618:J3188,8,0)),"")</f>
        <v/>
      </c>
      <c r="J2499" s="391" t="str">
        <f ca="1">IFERROR(IF(VLOOKUP(C2499,' Disaggregation - Section E '!A$618:J3188,9,0)="","",VLOOKUP(C2499,' Disaggregation - Section E '!A$618:J3188,9,0)),"")</f>
        <v/>
      </c>
      <c r="K2499" s="387" t="str">
        <f ca="1">IFERROR(VLOOKUP(C2499,' Disaggregation - Section E '!A$618:J3188,3,0),"")</f>
        <v>KP-1a Percentage of men who have sex with men reached with HIV prevention programs - defined package of services</v>
      </c>
      <c r="L2499" s="387"/>
      <c r="M2499" s="387" t="str">
        <f ca="1">IFERROR(IF(VLOOKUP(C2499,' Disaggregation - Section E '!A$618:O1511,15,0)=0,"",VLOOKUP(C2499,' Disaggregation - Section E '!A$618:O1511,15,0)),"")</f>
        <v/>
      </c>
      <c r="N2499" s="391" t="str">
        <f ca="1">IFERROR(IF(VLOOKUP(C2499,' Disaggregation - Section E '!A$618:J3188,10,0)=0,"",VLOOKUP(C2499,' Disaggregation - Section E '!A$618:J3188,10,0)),"")</f>
        <v/>
      </c>
      <c r="O2499" s="387"/>
      <c r="P2499" s="387" t="str">
        <f ca="1">IFERROR(IF(VLOOKUP(C2499,' Disaggregation - Section E '!A$618:R1511,18,0)=0,"",VLOOKUP(C2499,' Disaggregation - Section E '!A$618:R1511,18,0)),"")</f>
        <v/>
      </c>
    </row>
    <row r="2500" spans="1:16">
      <c r="A2500" s="387" t="b">
        <f t="shared" ca="1" si="169"/>
        <v>0</v>
      </c>
      <c r="B2500" s="387"/>
      <c r="C2500" s="396" t="str">
        <f ca="1">IF(COUNTA(O$1610:O2500)=1,"",OFFSET(B2498,-COUNTA(O$1610:O2500)+3,1))</f>
        <v>a16Dm000000M3uBIAS</v>
      </c>
      <c r="D2500" s="392"/>
      <c r="E2500" s="389" t="str">
        <f ca="1">IFERROR(IF(VLOOKUP(C2500,' Disaggregation - Section E '!A$618:J3189,7,0)="","",VLOOKUP(C2500,' Disaggregation - Section E '!A$618:J3189,7,0)*100),"")</f>
        <v/>
      </c>
      <c r="F2500" s="391" t="str">
        <f ca="1">IFERROR(VLOOKUP(C2500,' Disaggregation - Section E '!A$618:J3189,5,0),"")</f>
        <v/>
      </c>
      <c r="G2500" s="390" t="str">
        <f ca="1">IFERROR(IF(VLOOKUP(C2500,' Disaggregation - Section E '!A$618:J3189,6,0)="","",VLOOKUP(C2500,' Disaggregation - Section E '!A$618:J3189,6,0)),"")</f>
        <v/>
      </c>
      <c r="H2500" s="390" t="str">
        <f ca="1">IFERROR(IF(INDEX(' Disaggregation - Section E '!F$618:F3189,MATCH(C2500,' Disaggregation - Section E '!A$618:A3189,0)+1,1)&lt;&gt;0,INDEX(' Disaggregation - Section E '!F$618:F3189,MATCH(C2500,' Disaggregation - Section E '!A$618:A3189,0)+1,1),""),"")</f>
        <v/>
      </c>
      <c r="I2500" s="391" t="str">
        <f ca="1">IFERROR(IF(VLOOKUP(C2500,' Disaggregation - Section E '!A$618:J3189,8,0)=0,"",VLOOKUP(C2500,' Disaggregation - Section E '!A$618:J3189,8,0)),"")</f>
        <v/>
      </c>
      <c r="J2500" s="391" t="str">
        <f ca="1">IFERROR(IF(VLOOKUP(C2500,' Disaggregation - Section E '!A$618:J3189,9,0)="","",VLOOKUP(C2500,' Disaggregation - Section E '!A$618:J3189,9,0)),"")</f>
        <v/>
      </c>
      <c r="K2500" s="387" t="str">
        <f ca="1">IFERROR(VLOOKUP(C2500,' Disaggregation - Section E '!A$618:J3189,3,0),"")</f>
        <v>KP-1a Percentage of men who have sex with men reached with HIV prevention programs - defined package of services</v>
      </c>
      <c r="L2500" s="387"/>
      <c r="M2500" s="387" t="str">
        <f ca="1">IFERROR(IF(VLOOKUP(C2500,' Disaggregation - Section E '!A$618:O1512,15,0)=0,"",VLOOKUP(C2500,' Disaggregation - Section E '!A$618:O1512,15,0)),"")</f>
        <v/>
      </c>
      <c r="N2500" s="391" t="str">
        <f ca="1">IFERROR(IF(VLOOKUP(C2500,' Disaggregation - Section E '!A$618:J3189,10,0)=0,"",VLOOKUP(C2500,' Disaggregation - Section E '!A$618:J3189,10,0)),"")</f>
        <v/>
      </c>
      <c r="O2500" s="387"/>
      <c r="P2500" s="387" t="str">
        <f ca="1">IFERROR(IF(VLOOKUP(C2500,' Disaggregation - Section E '!A$618:R1512,18,0)=0,"",VLOOKUP(C2500,' Disaggregation - Section E '!A$618:R1512,18,0)),"")</f>
        <v/>
      </c>
    </row>
    <row r="2501" spans="1:16">
      <c r="A2501" s="387" t="b">
        <f t="shared" ca="1" si="169"/>
        <v>0</v>
      </c>
      <c r="B2501" s="387"/>
      <c r="C2501" s="396" t="str">
        <f ca="1">IF(COUNTA(O$1610:O2501)=1,"",OFFSET(B2499,-COUNTA(O$1610:O2501)+3,1))</f>
        <v>a16Dm000000M3uCIAS</v>
      </c>
      <c r="D2501" s="392"/>
      <c r="E2501" s="389" t="str">
        <f ca="1">IFERROR(IF(VLOOKUP(C2501,' Disaggregation - Section E '!A$618:J3190,7,0)="","",VLOOKUP(C2501,' Disaggregation - Section E '!A$618:J3190,7,0)*100),"")</f>
        <v/>
      </c>
      <c r="F2501" s="391" t="str">
        <f ca="1">IFERROR(VLOOKUP(C2501,' Disaggregation - Section E '!A$618:J3190,5,0),"")</f>
        <v/>
      </c>
      <c r="G2501" s="390" t="str">
        <f ca="1">IFERROR(IF(VLOOKUP(C2501,' Disaggregation - Section E '!A$618:J3190,6,0)="","",VLOOKUP(C2501,' Disaggregation - Section E '!A$618:J3190,6,0)),"")</f>
        <v/>
      </c>
      <c r="H2501" s="390" t="str">
        <f ca="1">IFERROR(IF(INDEX(' Disaggregation - Section E '!F$618:F3190,MATCH(C2501,' Disaggregation - Section E '!A$618:A3190,0)+1,1)&lt;&gt;0,INDEX(' Disaggregation - Section E '!F$618:F3190,MATCH(C2501,' Disaggregation - Section E '!A$618:A3190,0)+1,1),""),"")</f>
        <v/>
      </c>
      <c r="I2501" s="391" t="str">
        <f ca="1">IFERROR(IF(VLOOKUP(C2501,' Disaggregation - Section E '!A$618:J3190,8,0)=0,"",VLOOKUP(C2501,' Disaggregation - Section E '!A$618:J3190,8,0)),"")</f>
        <v/>
      </c>
      <c r="J2501" s="391" t="str">
        <f ca="1">IFERROR(IF(VLOOKUP(C2501,' Disaggregation - Section E '!A$618:J3190,9,0)="","",VLOOKUP(C2501,' Disaggregation - Section E '!A$618:J3190,9,0)),"")</f>
        <v/>
      </c>
      <c r="K2501" s="387" t="str">
        <f ca="1">IFERROR(VLOOKUP(C2501,' Disaggregation - Section E '!A$618:J3190,3,0),"")</f>
        <v>KP-1a Percentage of men who have sex with men reached with HIV prevention programs - defined package of services</v>
      </c>
      <c r="L2501" s="387"/>
      <c r="M2501" s="387" t="str">
        <f ca="1">IFERROR(IF(VLOOKUP(C2501,' Disaggregation - Section E '!A$618:O1513,15,0)=0,"",VLOOKUP(C2501,' Disaggregation - Section E '!A$618:O1513,15,0)),"")</f>
        <v/>
      </c>
      <c r="N2501" s="391" t="str">
        <f ca="1">IFERROR(IF(VLOOKUP(C2501,' Disaggregation - Section E '!A$618:J3190,10,0)=0,"",VLOOKUP(C2501,' Disaggregation - Section E '!A$618:J3190,10,0)),"")</f>
        <v/>
      </c>
      <c r="O2501" s="387"/>
      <c r="P2501" s="387" t="str">
        <f ca="1">IFERROR(IF(VLOOKUP(C2501,' Disaggregation - Section E '!A$618:R1513,18,0)=0,"",VLOOKUP(C2501,' Disaggregation - Section E '!A$618:R1513,18,0)),"")</f>
        <v/>
      </c>
    </row>
    <row r="2502" spans="1:16">
      <c r="A2502" s="387" t="b">
        <f t="shared" ca="1" si="169"/>
        <v>0</v>
      </c>
      <c r="B2502" s="387"/>
      <c r="C2502" s="396" t="str">
        <f ca="1">IF(COUNTA(O$1610:O2502)=1,"",OFFSET(B2500,-COUNTA(O$1610:O2502)+3,1))</f>
        <v>a16Dm000000M3uDIAS</v>
      </c>
      <c r="D2502" s="392"/>
      <c r="E2502" s="389" t="str">
        <f ca="1">IFERROR(IF(VLOOKUP(C2502,' Disaggregation - Section E '!A$618:J3191,7,0)="","",VLOOKUP(C2502,' Disaggregation - Section E '!A$618:J3191,7,0)*100),"")</f>
        <v/>
      </c>
      <c r="F2502" s="391" t="str">
        <f ca="1">IFERROR(VLOOKUP(C2502,' Disaggregation - Section E '!A$618:J3191,5,0),"")</f>
        <v/>
      </c>
      <c r="G2502" s="390" t="str">
        <f ca="1">IFERROR(IF(VLOOKUP(C2502,' Disaggregation - Section E '!A$618:J3191,6,0)="","",VLOOKUP(C2502,' Disaggregation - Section E '!A$618:J3191,6,0)),"")</f>
        <v/>
      </c>
      <c r="H2502" s="390" t="str">
        <f ca="1">IFERROR(IF(INDEX(' Disaggregation - Section E '!F$618:F3191,MATCH(C2502,' Disaggregation - Section E '!A$618:A3191,0)+1,1)&lt;&gt;0,INDEX(' Disaggregation - Section E '!F$618:F3191,MATCH(C2502,' Disaggregation - Section E '!A$618:A3191,0)+1,1),""),"")</f>
        <v/>
      </c>
      <c r="I2502" s="391" t="str">
        <f ca="1">IFERROR(IF(VLOOKUP(C2502,' Disaggregation - Section E '!A$618:J3191,8,0)=0,"",VLOOKUP(C2502,' Disaggregation - Section E '!A$618:J3191,8,0)),"")</f>
        <v/>
      </c>
      <c r="J2502" s="391" t="str">
        <f ca="1">IFERROR(IF(VLOOKUP(C2502,' Disaggregation - Section E '!A$618:J3191,9,0)="","",VLOOKUP(C2502,' Disaggregation - Section E '!A$618:J3191,9,0)),"")</f>
        <v/>
      </c>
      <c r="K2502" s="387" t="str">
        <f ca="1">IFERROR(VLOOKUP(C2502,' Disaggregation - Section E '!A$618:J3191,3,0),"")</f>
        <v>KP-1a Percentage of men who have sex with men reached with HIV prevention programs - defined package of services</v>
      </c>
      <c r="L2502" s="387"/>
      <c r="M2502" s="387" t="str">
        <f ca="1">IFERROR(IF(VLOOKUP(C2502,' Disaggregation - Section E '!A$618:O1514,15,0)=0,"",VLOOKUP(C2502,' Disaggregation - Section E '!A$618:O1514,15,0)),"")</f>
        <v/>
      </c>
      <c r="N2502" s="391" t="str">
        <f ca="1">IFERROR(IF(VLOOKUP(C2502,' Disaggregation - Section E '!A$618:J3191,10,0)=0,"",VLOOKUP(C2502,' Disaggregation - Section E '!A$618:J3191,10,0)),"")</f>
        <v/>
      </c>
      <c r="O2502" s="387"/>
      <c r="P2502" s="387" t="str">
        <f ca="1">IFERROR(IF(VLOOKUP(C2502,' Disaggregation - Section E '!A$618:R1514,18,0)=0,"",VLOOKUP(C2502,' Disaggregation - Section E '!A$618:R1514,18,0)),"")</f>
        <v/>
      </c>
    </row>
    <row r="2503" spans="1:16">
      <c r="A2503" s="387" t="b">
        <f t="shared" ca="1" si="169"/>
        <v>0</v>
      </c>
      <c r="B2503" s="387"/>
      <c r="C2503" s="396" t="str">
        <f ca="1">IF(COUNTA(O$1610:O2503)=1,"",OFFSET(B2501,-COUNTA(O$1610:O2503)+3,1))</f>
        <v>a16Dm000000M3uEIAS</v>
      </c>
      <c r="D2503" s="392"/>
      <c r="E2503" s="389" t="str">
        <f ca="1">IFERROR(IF(VLOOKUP(C2503,' Disaggregation - Section E '!A$618:J3192,7,0)="","",VLOOKUP(C2503,' Disaggregation - Section E '!A$618:J3192,7,0)*100),"")</f>
        <v/>
      </c>
      <c r="F2503" s="391" t="str">
        <f ca="1">IFERROR(VLOOKUP(C2503,' Disaggregation - Section E '!A$618:J3192,5,0),"")</f>
        <v/>
      </c>
      <c r="G2503" s="390" t="str">
        <f ca="1">IFERROR(IF(VLOOKUP(C2503,' Disaggregation - Section E '!A$618:J3192,6,0)="","",VLOOKUP(C2503,' Disaggregation - Section E '!A$618:J3192,6,0)),"")</f>
        <v/>
      </c>
      <c r="H2503" s="390" t="str">
        <f ca="1">IFERROR(IF(INDEX(' Disaggregation - Section E '!F$618:F3192,MATCH(C2503,' Disaggregation - Section E '!A$618:A3192,0)+1,1)&lt;&gt;0,INDEX(' Disaggregation - Section E '!F$618:F3192,MATCH(C2503,' Disaggregation - Section E '!A$618:A3192,0)+1,1),""),"")</f>
        <v/>
      </c>
      <c r="I2503" s="391" t="str">
        <f ca="1">IFERROR(IF(VLOOKUP(C2503,' Disaggregation - Section E '!A$618:J3192,8,0)=0,"",VLOOKUP(C2503,' Disaggregation - Section E '!A$618:J3192,8,0)),"")</f>
        <v/>
      </c>
      <c r="J2503" s="391" t="str">
        <f ca="1">IFERROR(IF(VLOOKUP(C2503,' Disaggregation - Section E '!A$618:J3192,9,0)="","",VLOOKUP(C2503,' Disaggregation - Section E '!A$618:J3192,9,0)),"")</f>
        <v/>
      </c>
      <c r="K2503" s="387" t="str">
        <f ca="1">IFERROR(VLOOKUP(C2503,' Disaggregation - Section E '!A$618:J3192,3,0),"")</f>
        <v>KP-1a Percentage of men who have sex with men reached with HIV prevention programs - defined package of services</v>
      </c>
      <c r="L2503" s="387"/>
      <c r="M2503" s="387" t="str">
        <f ca="1">IFERROR(IF(VLOOKUP(C2503,' Disaggregation - Section E '!A$618:O1515,15,0)=0,"",VLOOKUP(C2503,' Disaggregation - Section E '!A$618:O1515,15,0)),"")</f>
        <v/>
      </c>
      <c r="N2503" s="391" t="str">
        <f ca="1">IFERROR(IF(VLOOKUP(C2503,' Disaggregation - Section E '!A$618:J3192,10,0)=0,"",VLOOKUP(C2503,' Disaggregation - Section E '!A$618:J3192,10,0)),"")</f>
        <v/>
      </c>
      <c r="O2503" s="387"/>
      <c r="P2503" s="387" t="str">
        <f ca="1">IFERROR(IF(VLOOKUP(C2503,' Disaggregation - Section E '!A$618:R1515,18,0)=0,"",VLOOKUP(C2503,' Disaggregation - Section E '!A$618:R1515,18,0)),"")</f>
        <v/>
      </c>
    </row>
    <row r="2504" spans="1:16">
      <c r="A2504" s="387" t="b">
        <f t="shared" ca="1" si="169"/>
        <v>0</v>
      </c>
      <c r="B2504" s="387"/>
      <c r="C2504" s="396" t="str">
        <f ca="1">IF(COUNTA(O$1610:O2504)=1,"",OFFSET(B2502,-COUNTA(O$1610:O2504)+3,1))</f>
        <v>a16Dm000000M3uFIAS</v>
      </c>
      <c r="D2504" s="392"/>
      <c r="E2504" s="389" t="str">
        <f ca="1">IFERROR(IF(VLOOKUP(C2504,' Disaggregation - Section E '!A$618:J3193,7,0)="","",VLOOKUP(C2504,' Disaggregation - Section E '!A$618:J3193,7,0)*100),"")</f>
        <v/>
      </c>
      <c r="F2504" s="391" t="str">
        <f ca="1">IFERROR(VLOOKUP(C2504,' Disaggregation - Section E '!A$618:J3193,5,0),"")</f>
        <v/>
      </c>
      <c r="G2504" s="390" t="str">
        <f ca="1">IFERROR(IF(VLOOKUP(C2504,' Disaggregation - Section E '!A$618:J3193,6,0)="","",VLOOKUP(C2504,' Disaggregation - Section E '!A$618:J3193,6,0)),"")</f>
        <v/>
      </c>
      <c r="H2504" s="390" t="str">
        <f ca="1">IFERROR(IF(INDEX(' Disaggregation - Section E '!F$618:F3193,MATCH(C2504,' Disaggregation - Section E '!A$618:A3193,0)+1,1)&lt;&gt;0,INDEX(' Disaggregation - Section E '!F$618:F3193,MATCH(C2504,' Disaggregation - Section E '!A$618:A3193,0)+1,1),""),"")</f>
        <v/>
      </c>
      <c r="I2504" s="391" t="str">
        <f ca="1">IFERROR(IF(VLOOKUP(C2504,' Disaggregation - Section E '!A$618:J3193,8,0)=0,"",VLOOKUP(C2504,' Disaggregation - Section E '!A$618:J3193,8,0)),"")</f>
        <v/>
      </c>
      <c r="J2504" s="391" t="str">
        <f ca="1">IFERROR(IF(VLOOKUP(C2504,' Disaggregation - Section E '!A$618:J3193,9,0)="","",VLOOKUP(C2504,' Disaggregation - Section E '!A$618:J3193,9,0)),"")</f>
        <v/>
      </c>
      <c r="K2504" s="387" t="str">
        <f ca="1">IFERROR(VLOOKUP(C2504,' Disaggregation - Section E '!A$618:J3193,3,0),"")</f>
        <v>KP-1a Percentage of men who have sex with men reached with HIV prevention programs - defined package of services</v>
      </c>
      <c r="L2504" s="387"/>
      <c r="M2504" s="387" t="str">
        <f ca="1">IFERROR(IF(VLOOKUP(C2504,' Disaggregation - Section E '!A$618:O1516,15,0)=0,"",VLOOKUP(C2504,' Disaggregation - Section E '!A$618:O1516,15,0)),"")</f>
        <v/>
      </c>
      <c r="N2504" s="391" t="str">
        <f ca="1">IFERROR(IF(VLOOKUP(C2504,' Disaggregation - Section E '!A$618:J3193,10,0)=0,"",VLOOKUP(C2504,' Disaggregation - Section E '!A$618:J3193,10,0)),"")</f>
        <v/>
      </c>
      <c r="O2504" s="387"/>
      <c r="P2504" s="387" t="str">
        <f ca="1">IFERROR(IF(VLOOKUP(C2504,' Disaggregation - Section E '!A$618:R1516,18,0)=0,"",VLOOKUP(C2504,' Disaggregation - Section E '!A$618:R1516,18,0)),"")</f>
        <v/>
      </c>
    </row>
    <row r="2505" spans="1:16">
      <c r="A2505" s="387" t="b">
        <f t="shared" ca="1" si="169"/>
        <v>0</v>
      </c>
      <c r="B2505" s="387"/>
      <c r="C2505" s="396" t="str">
        <f ca="1">IF(COUNTA(O$1610:O2505)=1,"",OFFSET(B2503,-COUNTA(O$1610:O2505)+3,1))</f>
        <v>a16Dm000000M3uGIAS</v>
      </c>
      <c r="D2505" s="392"/>
      <c r="E2505" s="389" t="str">
        <f ca="1">IFERROR(IF(VLOOKUP(C2505,' Disaggregation - Section E '!A$618:J3194,7,0)="","",VLOOKUP(C2505,' Disaggregation - Section E '!A$618:J3194,7,0)*100),"")</f>
        <v/>
      </c>
      <c r="F2505" s="391" t="str">
        <f ca="1">IFERROR(VLOOKUP(C2505,' Disaggregation - Section E '!A$618:J3194,5,0),"")</f>
        <v/>
      </c>
      <c r="G2505" s="390" t="str">
        <f ca="1">IFERROR(IF(VLOOKUP(C2505,' Disaggregation - Section E '!A$618:J3194,6,0)="","",VLOOKUP(C2505,' Disaggregation - Section E '!A$618:J3194,6,0)),"")</f>
        <v/>
      </c>
      <c r="H2505" s="390" t="str">
        <f ca="1">IFERROR(IF(INDEX(' Disaggregation - Section E '!F$618:F3194,MATCH(C2505,' Disaggregation - Section E '!A$618:A3194,0)+1,1)&lt;&gt;0,INDEX(' Disaggregation - Section E '!F$618:F3194,MATCH(C2505,' Disaggregation - Section E '!A$618:A3194,0)+1,1),""),"")</f>
        <v/>
      </c>
      <c r="I2505" s="391" t="str">
        <f ca="1">IFERROR(IF(VLOOKUP(C2505,' Disaggregation - Section E '!A$618:J3194,8,0)=0,"",VLOOKUP(C2505,' Disaggregation - Section E '!A$618:J3194,8,0)),"")</f>
        <v/>
      </c>
      <c r="J2505" s="391" t="str">
        <f ca="1">IFERROR(IF(VLOOKUP(C2505,' Disaggregation - Section E '!A$618:J3194,9,0)="","",VLOOKUP(C2505,' Disaggregation - Section E '!A$618:J3194,9,0)),"")</f>
        <v/>
      </c>
      <c r="K2505" s="387" t="str">
        <f ca="1">IFERROR(VLOOKUP(C2505,' Disaggregation - Section E '!A$618:J3194,3,0),"")</f>
        <v>KP-1a Percentage of men who have sex with men reached with HIV prevention programs - defined package of services</v>
      </c>
      <c r="L2505" s="387"/>
      <c r="M2505" s="387" t="str">
        <f ca="1">IFERROR(IF(VLOOKUP(C2505,' Disaggregation - Section E '!A$618:O1517,15,0)=0,"",VLOOKUP(C2505,' Disaggregation - Section E '!A$618:O1517,15,0)),"")</f>
        <v/>
      </c>
      <c r="N2505" s="391" t="str">
        <f ca="1">IFERROR(IF(VLOOKUP(C2505,' Disaggregation - Section E '!A$618:J3194,10,0)=0,"",VLOOKUP(C2505,' Disaggregation - Section E '!A$618:J3194,10,0)),"")</f>
        <v/>
      </c>
      <c r="O2505" s="387"/>
      <c r="P2505" s="387" t="str">
        <f ca="1">IFERROR(IF(VLOOKUP(C2505,' Disaggregation - Section E '!A$618:R1517,18,0)=0,"",VLOOKUP(C2505,' Disaggregation - Section E '!A$618:R1517,18,0)),"")</f>
        <v/>
      </c>
    </row>
    <row r="2506" spans="1:16">
      <c r="A2506" s="387" t="b">
        <f t="shared" ca="1" si="169"/>
        <v>0</v>
      </c>
      <c r="B2506" s="387"/>
      <c r="C2506" s="396" t="str">
        <f ca="1">IF(COUNTA(O$1610:O2506)=1,"",OFFSET(B2504,-COUNTA(O$1610:O2506)+3,1))</f>
        <v>a16Dm000000M3uHIAS</v>
      </c>
      <c r="D2506" s="392"/>
      <c r="E2506" s="389" t="str">
        <f ca="1">IFERROR(IF(VLOOKUP(C2506,' Disaggregation - Section E '!A$618:J3195,7,0)="","",VLOOKUP(C2506,' Disaggregation - Section E '!A$618:J3195,7,0)*100),"")</f>
        <v/>
      </c>
      <c r="F2506" s="391" t="str">
        <f ca="1">IFERROR(VLOOKUP(C2506,' Disaggregation - Section E '!A$618:J3195,5,0),"")</f>
        <v/>
      </c>
      <c r="G2506" s="390" t="str">
        <f ca="1">IFERROR(IF(VLOOKUP(C2506,' Disaggregation - Section E '!A$618:J3195,6,0)="","",VLOOKUP(C2506,' Disaggregation - Section E '!A$618:J3195,6,0)),"")</f>
        <v/>
      </c>
      <c r="H2506" s="390" t="str">
        <f ca="1">IFERROR(IF(INDEX(' Disaggregation - Section E '!F$618:F3195,MATCH(C2506,' Disaggregation - Section E '!A$618:A3195,0)+1,1)&lt;&gt;0,INDEX(' Disaggregation - Section E '!F$618:F3195,MATCH(C2506,' Disaggregation - Section E '!A$618:A3195,0)+1,1),""),"")</f>
        <v/>
      </c>
      <c r="I2506" s="391" t="str">
        <f ca="1">IFERROR(IF(VLOOKUP(C2506,' Disaggregation - Section E '!A$618:J3195,8,0)=0,"",VLOOKUP(C2506,' Disaggregation - Section E '!A$618:J3195,8,0)),"")</f>
        <v/>
      </c>
      <c r="J2506" s="391" t="str">
        <f ca="1">IFERROR(IF(VLOOKUP(C2506,' Disaggregation - Section E '!A$618:J3195,9,0)="","",VLOOKUP(C2506,' Disaggregation - Section E '!A$618:J3195,9,0)),"")</f>
        <v/>
      </c>
      <c r="K2506" s="387" t="str">
        <f ca="1">IFERROR(VLOOKUP(C2506,' Disaggregation - Section E '!A$618:J3195,3,0),"")</f>
        <v>KP-1a Percentage of men who have sex with men reached with HIV prevention programs - defined package of services</v>
      </c>
      <c r="L2506" s="387"/>
      <c r="M2506" s="387" t="str">
        <f ca="1">IFERROR(IF(VLOOKUP(C2506,' Disaggregation - Section E '!A$618:O1518,15,0)=0,"",VLOOKUP(C2506,' Disaggregation - Section E '!A$618:O1518,15,0)),"")</f>
        <v/>
      </c>
      <c r="N2506" s="391" t="str">
        <f ca="1">IFERROR(IF(VLOOKUP(C2506,' Disaggregation - Section E '!A$618:J3195,10,0)=0,"",VLOOKUP(C2506,' Disaggregation - Section E '!A$618:J3195,10,0)),"")</f>
        <v/>
      </c>
      <c r="O2506" s="387"/>
      <c r="P2506" s="387" t="str">
        <f ca="1">IFERROR(IF(VLOOKUP(C2506,' Disaggregation - Section E '!A$618:R1518,18,0)=0,"",VLOOKUP(C2506,' Disaggregation - Section E '!A$618:R1518,18,0)),"")</f>
        <v/>
      </c>
    </row>
    <row r="2507" spans="1:16">
      <c r="A2507" s="387" t="b">
        <f t="shared" ca="1" si="169"/>
        <v>0</v>
      </c>
      <c r="B2507" s="387"/>
      <c r="C2507" s="396" t="str">
        <f ca="1">IF(COUNTA(O$1610:O2507)=1,"",OFFSET(B2505,-COUNTA(O$1610:O2507)+3,1))</f>
        <v>a16Dm000000M3uIIAS</v>
      </c>
      <c r="D2507" s="392"/>
      <c r="E2507" s="389" t="str">
        <f ca="1">IFERROR(IF(VLOOKUP(C2507,' Disaggregation - Section E '!A$618:J3196,7,0)="","",VLOOKUP(C2507,' Disaggregation - Section E '!A$618:J3196,7,0)*100),"")</f>
        <v/>
      </c>
      <c r="F2507" s="391" t="str">
        <f ca="1">IFERROR(VLOOKUP(C2507,' Disaggregation - Section E '!A$618:J3196,5,0),"")</f>
        <v/>
      </c>
      <c r="G2507" s="390" t="str">
        <f ca="1">IFERROR(IF(VLOOKUP(C2507,' Disaggregation - Section E '!A$618:J3196,6,0)="","",VLOOKUP(C2507,' Disaggregation - Section E '!A$618:J3196,6,0)),"")</f>
        <v/>
      </c>
      <c r="H2507" s="390" t="str">
        <f ca="1">IFERROR(IF(INDEX(' Disaggregation - Section E '!F$618:F3196,MATCH(C2507,' Disaggregation - Section E '!A$618:A3196,0)+1,1)&lt;&gt;0,INDEX(' Disaggregation - Section E '!F$618:F3196,MATCH(C2507,' Disaggregation - Section E '!A$618:A3196,0)+1,1),""),"")</f>
        <v/>
      </c>
      <c r="I2507" s="391" t="str">
        <f ca="1">IFERROR(IF(VLOOKUP(C2507,' Disaggregation - Section E '!A$618:J3196,8,0)=0,"",VLOOKUP(C2507,' Disaggregation - Section E '!A$618:J3196,8,0)),"")</f>
        <v/>
      </c>
      <c r="J2507" s="391" t="str">
        <f ca="1">IFERROR(IF(VLOOKUP(C2507,' Disaggregation - Section E '!A$618:J3196,9,0)="","",VLOOKUP(C2507,' Disaggregation - Section E '!A$618:J3196,9,0)),"")</f>
        <v/>
      </c>
      <c r="K2507" s="387" t="str">
        <f ca="1">IFERROR(VLOOKUP(C2507,' Disaggregation - Section E '!A$618:J3196,3,0),"")</f>
        <v>KP-1a Percentage of men who have sex with men reached with HIV prevention programs - defined package of services</v>
      </c>
      <c r="L2507" s="387"/>
      <c r="M2507" s="387" t="str">
        <f ca="1">IFERROR(IF(VLOOKUP(C2507,' Disaggregation - Section E '!A$618:O1519,15,0)=0,"",VLOOKUP(C2507,' Disaggregation - Section E '!A$618:O1519,15,0)),"")</f>
        <v/>
      </c>
      <c r="N2507" s="391" t="str">
        <f ca="1">IFERROR(IF(VLOOKUP(C2507,' Disaggregation - Section E '!A$618:J3196,10,0)=0,"",VLOOKUP(C2507,' Disaggregation - Section E '!A$618:J3196,10,0)),"")</f>
        <v/>
      </c>
      <c r="O2507" s="387"/>
      <c r="P2507" s="387" t="str">
        <f ca="1">IFERROR(IF(VLOOKUP(C2507,' Disaggregation - Section E '!A$618:R1519,18,0)=0,"",VLOOKUP(C2507,' Disaggregation - Section E '!A$618:R1519,18,0)),"")</f>
        <v/>
      </c>
    </row>
    <row r="2508" spans="1:16">
      <c r="A2508" s="387" t="b">
        <f t="shared" ref="A2508:A2571" ca="1" si="170">IF(M2508&lt;&gt;"",TRUE,FALSE)</f>
        <v>0</v>
      </c>
      <c r="B2508" s="387"/>
      <c r="C2508" s="396" t="str">
        <f ca="1">IF(COUNTA(O$1610:O2508)=1,"",OFFSET(B2506,-COUNTA(O$1610:O2508)+3,1))</f>
        <v>a16Dm000000M3uJIAS</v>
      </c>
      <c r="D2508" s="392"/>
      <c r="E2508" s="389" t="str">
        <f ca="1">IFERROR(IF(VLOOKUP(C2508,' Disaggregation - Section E '!A$618:J3197,7,0)="","",VLOOKUP(C2508,' Disaggregation - Section E '!A$618:J3197,7,0)*100),"")</f>
        <v/>
      </c>
      <c r="F2508" s="391" t="str">
        <f ca="1">IFERROR(VLOOKUP(C2508,' Disaggregation - Section E '!A$618:J3197,5,0),"")</f>
        <v/>
      </c>
      <c r="G2508" s="390" t="str">
        <f ca="1">IFERROR(IF(VLOOKUP(C2508,' Disaggregation - Section E '!A$618:J3197,6,0)="","",VLOOKUP(C2508,' Disaggregation - Section E '!A$618:J3197,6,0)),"")</f>
        <v/>
      </c>
      <c r="H2508" s="390" t="str">
        <f ca="1">IFERROR(IF(INDEX(' Disaggregation - Section E '!F$618:F3197,MATCH(C2508,' Disaggregation - Section E '!A$618:A3197,0)+1,1)&lt;&gt;0,INDEX(' Disaggregation - Section E '!F$618:F3197,MATCH(C2508,' Disaggregation - Section E '!A$618:A3197,0)+1,1),""),"")</f>
        <v/>
      </c>
      <c r="I2508" s="391" t="str">
        <f ca="1">IFERROR(IF(VLOOKUP(C2508,' Disaggregation - Section E '!A$618:J3197,8,0)=0,"",VLOOKUP(C2508,' Disaggregation - Section E '!A$618:J3197,8,0)),"")</f>
        <v/>
      </c>
      <c r="J2508" s="391" t="str">
        <f ca="1">IFERROR(IF(VLOOKUP(C2508,' Disaggregation - Section E '!A$618:J3197,9,0)="","",VLOOKUP(C2508,' Disaggregation - Section E '!A$618:J3197,9,0)),"")</f>
        <v/>
      </c>
      <c r="K2508" s="387" t="str">
        <f ca="1">IFERROR(VLOOKUP(C2508,' Disaggregation - Section E '!A$618:J3197,3,0),"")</f>
        <v>KP-1a Percentage of men who have sex with men reached with HIV prevention programs - defined package of services</v>
      </c>
      <c r="L2508" s="387"/>
      <c r="M2508" s="387" t="str">
        <f ca="1">IFERROR(IF(VLOOKUP(C2508,' Disaggregation - Section E '!A$618:O1520,15,0)=0,"",VLOOKUP(C2508,' Disaggregation - Section E '!A$618:O1520,15,0)),"")</f>
        <v/>
      </c>
      <c r="N2508" s="391" t="str">
        <f ca="1">IFERROR(IF(VLOOKUP(C2508,' Disaggregation - Section E '!A$618:J3197,10,0)=0,"",VLOOKUP(C2508,' Disaggregation - Section E '!A$618:J3197,10,0)),"")</f>
        <v/>
      </c>
      <c r="O2508" s="387"/>
      <c r="P2508" s="387" t="str">
        <f ca="1">IFERROR(IF(VLOOKUP(C2508,' Disaggregation - Section E '!A$618:R1520,18,0)=0,"",VLOOKUP(C2508,' Disaggregation - Section E '!A$618:R1520,18,0)),"")</f>
        <v/>
      </c>
    </row>
    <row r="2509" spans="1:16">
      <c r="A2509" s="387" t="b">
        <f t="shared" ca="1" si="170"/>
        <v>0</v>
      </c>
      <c r="B2509" s="387"/>
      <c r="C2509" s="396" t="str">
        <f ca="1">IF(COUNTA(O$1610:O2509)=1,"",OFFSET(B2507,-COUNTA(O$1610:O2509)+3,1))</f>
        <v>a16Dm000000M3uKIAS</v>
      </c>
      <c r="D2509" s="392"/>
      <c r="E2509" s="389" t="str">
        <f ca="1">IFERROR(IF(VLOOKUP(C2509,' Disaggregation - Section E '!A$618:J3198,7,0)="","",VLOOKUP(C2509,' Disaggregation - Section E '!A$618:J3198,7,0)*100),"")</f>
        <v/>
      </c>
      <c r="F2509" s="391" t="str">
        <f ca="1">IFERROR(VLOOKUP(C2509,' Disaggregation - Section E '!A$618:J3198,5,0),"")</f>
        <v/>
      </c>
      <c r="G2509" s="390" t="str">
        <f ca="1">IFERROR(IF(VLOOKUP(C2509,' Disaggregation - Section E '!A$618:J3198,6,0)="","",VLOOKUP(C2509,' Disaggregation - Section E '!A$618:J3198,6,0)),"")</f>
        <v/>
      </c>
      <c r="H2509" s="390" t="str">
        <f ca="1">IFERROR(IF(INDEX(' Disaggregation - Section E '!F$618:F3198,MATCH(C2509,' Disaggregation - Section E '!A$618:A3198,0)+1,1)&lt;&gt;0,INDEX(' Disaggregation - Section E '!F$618:F3198,MATCH(C2509,' Disaggregation - Section E '!A$618:A3198,0)+1,1),""),"")</f>
        <v/>
      </c>
      <c r="I2509" s="391" t="str">
        <f ca="1">IFERROR(IF(VLOOKUP(C2509,' Disaggregation - Section E '!A$618:J3198,8,0)=0,"",VLOOKUP(C2509,' Disaggregation - Section E '!A$618:J3198,8,0)),"")</f>
        <v/>
      </c>
      <c r="J2509" s="391" t="str">
        <f ca="1">IFERROR(IF(VLOOKUP(C2509,' Disaggregation - Section E '!A$618:J3198,9,0)="","",VLOOKUP(C2509,' Disaggregation - Section E '!A$618:J3198,9,0)),"")</f>
        <v/>
      </c>
      <c r="K2509" s="387" t="str">
        <f ca="1">IFERROR(VLOOKUP(C2509,' Disaggregation - Section E '!A$618:J3198,3,0),"")</f>
        <v>KP-1a Percentage of men who have sex with men reached with HIV prevention programs - defined package of services</v>
      </c>
      <c r="L2509" s="387"/>
      <c r="M2509" s="387" t="str">
        <f ca="1">IFERROR(IF(VLOOKUP(C2509,' Disaggregation - Section E '!A$618:O1521,15,0)=0,"",VLOOKUP(C2509,' Disaggregation - Section E '!A$618:O1521,15,0)),"")</f>
        <v/>
      </c>
      <c r="N2509" s="391" t="str">
        <f ca="1">IFERROR(IF(VLOOKUP(C2509,' Disaggregation - Section E '!A$618:J3198,10,0)=0,"",VLOOKUP(C2509,' Disaggregation - Section E '!A$618:J3198,10,0)),"")</f>
        <v/>
      </c>
      <c r="O2509" s="387"/>
      <c r="P2509" s="387" t="str">
        <f ca="1">IFERROR(IF(VLOOKUP(C2509,' Disaggregation - Section E '!A$618:R1521,18,0)=0,"",VLOOKUP(C2509,' Disaggregation - Section E '!A$618:R1521,18,0)),"")</f>
        <v/>
      </c>
    </row>
    <row r="2510" spans="1:16">
      <c r="A2510" s="387" t="b">
        <f t="shared" ca="1" si="170"/>
        <v>0</v>
      </c>
      <c r="B2510" s="387"/>
      <c r="C2510" s="396" t="str">
        <f ca="1">IF(COUNTA(O$1610:O2510)=1,"",OFFSET(B2508,-COUNTA(O$1610:O2510)+3,1))</f>
        <v>a16Dm000000M3uLIAS</v>
      </c>
      <c r="D2510" s="392"/>
      <c r="E2510" s="389" t="str">
        <f ca="1">IFERROR(IF(VLOOKUP(C2510,' Disaggregation - Section E '!A$618:J3199,7,0)="","",VLOOKUP(C2510,' Disaggregation - Section E '!A$618:J3199,7,0)*100),"")</f>
        <v/>
      </c>
      <c r="F2510" s="391" t="str">
        <f ca="1">IFERROR(VLOOKUP(C2510,' Disaggregation - Section E '!A$618:J3199,5,0),"")</f>
        <v/>
      </c>
      <c r="G2510" s="390" t="str">
        <f ca="1">IFERROR(IF(VLOOKUP(C2510,' Disaggregation - Section E '!A$618:J3199,6,0)="","",VLOOKUP(C2510,' Disaggregation - Section E '!A$618:J3199,6,0)),"")</f>
        <v/>
      </c>
      <c r="H2510" s="390" t="str">
        <f ca="1">IFERROR(IF(INDEX(' Disaggregation - Section E '!F$618:F3199,MATCH(C2510,' Disaggregation - Section E '!A$618:A3199,0)+1,1)&lt;&gt;0,INDEX(' Disaggregation - Section E '!F$618:F3199,MATCH(C2510,' Disaggregation - Section E '!A$618:A3199,0)+1,1),""),"")</f>
        <v/>
      </c>
      <c r="I2510" s="391" t="str">
        <f ca="1">IFERROR(IF(VLOOKUP(C2510,' Disaggregation - Section E '!A$618:J3199,8,0)=0,"",VLOOKUP(C2510,' Disaggregation - Section E '!A$618:J3199,8,0)),"")</f>
        <v/>
      </c>
      <c r="J2510" s="391" t="str">
        <f ca="1">IFERROR(IF(VLOOKUP(C2510,' Disaggregation - Section E '!A$618:J3199,9,0)="","",VLOOKUP(C2510,' Disaggregation - Section E '!A$618:J3199,9,0)),"")</f>
        <v/>
      </c>
      <c r="K2510" s="387" t="str">
        <f ca="1">IFERROR(VLOOKUP(C2510,' Disaggregation - Section E '!A$618:J3199,3,0),"")</f>
        <v>KP-1a Percentage of men who have sex with men reached with HIV prevention programs - defined package of services</v>
      </c>
      <c r="L2510" s="387"/>
      <c r="M2510" s="387" t="str">
        <f ca="1">IFERROR(IF(VLOOKUP(C2510,' Disaggregation - Section E '!A$618:O1522,15,0)=0,"",VLOOKUP(C2510,' Disaggregation - Section E '!A$618:O1522,15,0)),"")</f>
        <v/>
      </c>
      <c r="N2510" s="391" t="str">
        <f ca="1">IFERROR(IF(VLOOKUP(C2510,' Disaggregation - Section E '!A$618:J3199,10,0)=0,"",VLOOKUP(C2510,' Disaggregation - Section E '!A$618:J3199,10,0)),"")</f>
        <v/>
      </c>
      <c r="O2510" s="387"/>
      <c r="P2510" s="387" t="str">
        <f ca="1">IFERROR(IF(VLOOKUP(C2510,' Disaggregation - Section E '!A$618:R1522,18,0)=0,"",VLOOKUP(C2510,' Disaggregation - Section E '!A$618:R1522,18,0)),"")</f>
        <v/>
      </c>
    </row>
    <row r="2511" spans="1:16">
      <c r="A2511" s="387" t="b">
        <f t="shared" ca="1" si="170"/>
        <v>0</v>
      </c>
      <c r="B2511" s="387"/>
      <c r="C2511" s="396" t="str">
        <f ca="1">IF(COUNTA(O$1610:O2511)=1,"",OFFSET(B2509,-COUNTA(O$1610:O2511)+3,1))</f>
        <v>a16Dm000000M3uMIAS</v>
      </c>
      <c r="D2511" s="392"/>
      <c r="E2511" s="389" t="str">
        <f ca="1">IFERROR(IF(VLOOKUP(C2511,' Disaggregation - Section E '!A$618:J3200,7,0)="","",VLOOKUP(C2511,' Disaggregation - Section E '!A$618:J3200,7,0)*100),"")</f>
        <v/>
      </c>
      <c r="F2511" s="391" t="str">
        <f ca="1">IFERROR(VLOOKUP(C2511,' Disaggregation - Section E '!A$618:J3200,5,0),"")</f>
        <v/>
      </c>
      <c r="G2511" s="390" t="str">
        <f ca="1">IFERROR(IF(VLOOKUP(C2511,' Disaggregation - Section E '!A$618:J3200,6,0)="","",VLOOKUP(C2511,' Disaggregation - Section E '!A$618:J3200,6,0)),"")</f>
        <v/>
      </c>
      <c r="H2511" s="390" t="str">
        <f ca="1">IFERROR(IF(INDEX(' Disaggregation - Section E '!F$618:F3200,MATCH(C2511,' Disaggregation - Section E '!A$618:A3200,0)+1,1)&lt;&gt;0,INDEX(' Disaggregation - Section E '!F$618:F3200,MATCH(C2511,' Disaggregation - Section E '!A$618:A3200,0)+1,1),""),"")</f>
        <v/>
      </c>
      <c r="I2511" s="391" t="str">
        <f ca="1">IFERROR(IF(VLOOKUP(C2511,' Disaggregation - Section E '!A$618:J3200,8,0)=0,"",VLOOKUP(C2511,' Disaggregation - Section E '!A$618:J3200,8,0)),"")</f>
        <v/>
      </c>
      <c r="J2511" s="391" t="str">
        <f ca="1">IFERROR(IF(VLOOKUP(C2511,' Disaggregation - Section E '!A$618:J3200,9,0)="","",VLOOKUP(C2511,' Disaggregation - Section E '!A$618:J3200,9,0)),"")</f>
        <v/>
      </c>
      <c r="K2511" s="387" t="str">
        <f ca="1">IFERROR(VLOOKUP(C2511,' Disaggregation - Section E '!A$618:J3200,3,0),"")</f>
        <v>KP-1a Percentage of men who have sex with men reached with HIV prevention programs - defined package of services</v>
      </c>
      <c r="L2511" s="387"/>
      <c r="M2511" s="387" t="str">
        <f ca="1">IFERROR(IF(VLOOKUP(C2511,' Disaggregation - Section E '!A$618:O1523,15,0)=0,"",VLOOKUP(C2511,' Disaggregation - Section E '!A$618:O1523,15,0)),"")</f>
        <v/>
      </c>
      <c r="N2511" s="391" t="str">
        <f ca="1">IFERROR(IF(VLOOKUP(C2511,' Disaggregation - Section E '!A$618:J3200,10,0)=0,"",VLOOKUP(C2511,' Disaggregation - Section E '!A$618:J3200,10,0)),"")</f>
        <v/>
      </c>
      <c r="O2511" s="387"/>
      <c r="P2511" s="387" t="str">
        <f ca="1">IFERROR(IF(VLOOKUP(C2511,' Disaggregation - Section E '!A$618:R1523,18,0)=0,"",VLOOKUP(C2511,' Disaggregation - Section E '!A$618:R1523,18,0)),"")</f>
        <v/>
      </c>
    </row>
    <row r="2512" spans="1:16">
      <c r="A2512" s="387" t="b">
        <f t="shared" ca="1" si="170"/>
        <v>1</v>
      </c>
      <c r="B2512" s="387"/>
      <c r="C2512" s="396" t="str">
        <f ca="1">IF(COUNTA(O$1610:O2512)=1,"",OFFSET(B2510,-COUNTA(O$1610:O2512)+3,1))</f>
        <v>a16Dm000000M3uNIAS</v>
      </c>
      <c r="D2512" s="392"/>
      <c r="E2512" s="389" t="str">
        <f ca="1">IFERROR(IF(VLOOKUP(C2512,' Disaggregation - Section E '!A$618:J3201,7,0)="","",VLOOKUP(C2512,' Disaggregation - Section E '!A$618:J3201,7,0)*100),"")</f>
        <v/>
      </c>
      <c r="F2512" s="391" t="str">
        <f ca="1">IFERROR(VLOOKUP(C2512,' Disaggregation - Section E '!A$618:J3201,5,0),"")</f>
        <v>25+</v>
      </c>
      <c r="G2512" s="390" t="str">
        <f ca="1">IFERROR(IF(VLOOKUP(C2512,' Disaggregation - Section E '!A$618:J3201,6,0)="","",VLOOKUP(C2512,' Disaggregation - Section E '!A$618:J3201,6,0)),"")</f>
        <v/>
      </c>
      <c r="H2512" s="390" t="str">
        <f ca="1">IFERROR(IF(INDEX(' Disaggregation - Section E '!F$618:F3201,MATCH(C2512,' Disaggregation - Section E '!A$618:A3201,0)+1,1)&lt;&gt;0,INDEX(' Disaggregation - Section E '!F$618:F3201,MATCH(C2512,' Disaggregation - Section E '!A$618:A3201,0)+1,1),""),"")</f>
        <v/>
      </c>
      <c r="I2512" s="391" t="str">
        <f ca="1">IFERROR(IF(VLOOKUP(C2512,' Disaggregation - Section E '!A$618:J3201,8,0)=0,"",VLOOKUP(C2512,' Disaggregation - Section E '!A$618:J3201,8,0)),"")</f>
        <v/>
      </c>
      <c r="J2512" s="391" t="str">
        <f ca="1">IFERROR(IF(VLOOKUP(C2512,' Disaggregation - Section E '!A$618:J3201,9,0)="","",VLOOKUP(C2512,' Disaggregation - Section E '!A$618:J3201,9,0)),"")</f>
        <v/>
      </c>
      <c r="K2512" s="387" t="str">
        <f ca="1">IFERROR(VLOOKUP(C2512,' Disaggregation - Section E '!A$618:J3201,3,0),"")</f>
        <v>KP-6a Number of MSM who received any PrEP product at least once during the reporting period</v>
      </c>
      <c r="L2512" s="387"/>
      <c r="M2512" s="387" t="str">
        <f ca="1">IFERROR(IF(VLOOKUP(C2512,' Disaggregation - Section E '!A$618:O1524,15,0)=0,"",VLOOKUP(C2512,' Disaggregation - Section E '!A$618:O1524,15,0)),"")</f>
        <v>IDR-01171</v>
      </c>
      <c r="N2512" s="391" t="str">
        <f ca="1">IFERROR(IF(VLOOKUP(C2512,' Disaggregation - Section E '!A$618:J3201,10,0)=0,"",VLOOKUP(C2512,' Disaggregation - Section E '!A$618:J3201,10,0)),"")</f>
        <v>Disaggregated data not available. The activity will be taken into account from 2024 onwards</v>
      </c>
      <c r="O2512" s="387"/>
      <c r="P2512" s="387" t="str">
        <f ca="1">IFERROR(IF(VLOOKUP(C2512,' Disaggregation - Section E '!A$618:R1524,18,0)=0,"",VLOOKUP(C2512,' Disaggregation - Section E '!A$618:R1524,18,0)),"")</f>
        <v>a1LDm000000Cb1dMAC</v>
      </c>
    </row>
    <row r="2513" spans="1:16">
      <c r="A2513" s="387" t="b">
        <f t="shared" ca="1" si="170"/>
        <v>1</v>
      </c>
      <c r="B2513" s="387"/>
      <c r="C2513" s="396" t="str">
        <f ca="1">IF(COUNTA(O$1610:O2513)=1,"",OFFSET(B2511,-COUNTA(O$1610:O2513)+3,1))</f>
        <v>a16Dm000000M3uOIAS</v>
      </c>
      <c r="D2513" s="392"/>
      <c r="E2513" s="389" t="str">
        <f ca="1">IFERROR(IF(VLOOKUP(C2513,' Disaggregation - Section E '!A$618:J3202,7,0)="","",VLOOKUP(C2513,' Disaggregation - Section E '!A$618:J3202,7,0)*100),"")</f>
        <v/>
      </c>
      <c r="F2513" s="391" t="str">
        <f ca="1">IFERROR(VLOOKUP(C2513,' Disaggregation - Section E '!A$618:J3202,5,0),"")</f>
        <v>20-24</v>
      </c>
      <c r="G2513" s="390" t="str">
        <f ca="1">IFERROR(IF(VLOOKUP(C2513,' Disaggregation - Section E '!A$618:J3202,6,0)="","",VLOOKUP(C2513,' Disaggregation - Section E '!A$618:J3202,6,0)),"")</f>
        <v/>
      </c>
      <c r="H2513" s="390" t="str">
        <f ca="1">IFERROR(IF(INDEX(' Disaggregation - Section E '!F$618:F3202,MATCH(C2513,' Disaggregation - Section E '!A$618:A3202,0)+1,1)&lt;&gt;0,INDEX(' Disaggregation - Section E '!F$618:F3202,MATCH(C2513,' Disaggregation - Section E '!A$618:A3202,0)+1,1),""),"")</f>
        <v/>
      </c>
      <c r="I2513" s="391" t="str">
        <f ca="1">IFERROR(IF(VLOOKUP(C2513,' Disaggregation - Section E '!A$618:J3202,8,0)=0,"",VLOOKUP(C2513,' Disaggregation - Section E '!A$618:J3202,8,0)),"")</f>
        <v/>
      </c>
      <c r="J2513" s="391" t="str">
        <f ca="1">IFERROR(IF(VLOOKUP(C2513,' Disaggregation - Section E '!A$618:J3202,9,0)="","",VLOOKUP(C2513,' Disaggregation - Section E '!A$618:J3202,9,0)),"")</f>
        <v/>
      </c>
      <c r="K2513" s="387" t="str">
        <f ca="1">IFERROR(VLOOKUP(C2513,' Disaggregation - Section E '!A$618:J3202,3,0),"")</f>
        <v>KP-6a Number of MSM who received any PrEP product at least once during the reporting period</v>
      </c>
      <c r="L2513" s="387"/>
      <c r="M2513" s="387" t="str">
        <f ca="1">IFERROR(IF(VLOOKUP(C2513,' Disaggregation - Section E '!A$618:O1525,15,0)=0,"",VLOOKUP(C2513,' Disaggregation - Section E '!A$618:O1525,15,0)),"")</f>
        <v>IDR-01170</v>
      </c>
      <c r="N2513" s="391" t="str">
        <f ca="1">IFERROR(IF(VLOOKUP(C2513,' Disaggregation - Section E '!A$618:J3202,10,0)=0,"",VLOOKUP(C2513,' Disaggregation - Section E '!A$618:J3202,10,0)),"")</f>
        <v>Disaggregated data not available. The activity will be taken into account from 2024 onwards</v>
      </c>
      <c r="O2513" s="387"/>
      <c r="P2513" s="387" t="str">
        <f ca="1">IFERROR(IF(VLOOKUP(C2513,' Disaggregation - Section E '!A$618:R1525,18,0)=0,"",VLOOKUP(C2513,' Disaggregation - Section E '!A$618:R1525,18,0)),"")</f>
        <v>a1LDm000000Cb1cMAC</v>
      </c>
    </row>
    <row r="2514" spans="1:16">
      <c r="A2514" s="387" t="b">
        <f t="shared" ca="1" si="170"/>
        <v>1</v>
      </c>
      <c r="B2514" s="387"/>
      <c r="C2514" s="396" t="str">
        <f ca="1">IF(COUNTA(O$1610:O2514)=1,"",OFFSET(B2512,-COUNTA(O$1610:O2514)+3,1))</f>
        <v>a16Dm000000M3uPIAS</v>
      </c>
      <c r="D2514" s="392"/>
      <c r="E2514" s="389" t="str">
        <f ca="1">IFERROR(IF(VLOOKUP(C2514,' Disaggregation - Section E '!A$618:J3203,7,0)="","",VLOOKUP(C2514,' Disaggregation - Section E '!A$618:J3203,7,0)*100),"")</f>
        <v/>
      </c>
      <c r="F2514" s="391" t="str">
        <f ca="1">IFERROR(VLOOKUP(C2514,' Disaggregation - Section E '!A$618:J3203,5,0),"")</f>
        <v>15-19</v>
      </c>
      <c r="G2514" s="390" t="str">
        <f ca="1">IFERROR(IF(VLOOKUP(C2514,' Disaggregation - Section E '!A$618:J3203,6,0)="","",VLOOKUP(C2514,' Disaggregation - Section E '!A$618:J3203,6,0)),"")</f>
        <v/>
      </c>
      <c r="H2514" s="390" t="str">
        <f ca="1">IFERROR(IF(INDEX(' Disaggregation - Section E '!F$618:F3203,MATCH(C2514,' Disaggregation - Section E '!A$618:A3203,0)+1,1)&lt;&gt;0,INDEX(' Disaggregation - Section E '!F$618:F3203,MATCH(C2514,' Disaggregation - Section E '!A$618:A3203,0)+1,1),""),"")</f>
        <v/>
      </c>
      <c r="I2514" s="391" t="str">
        <f ca="1">IFERROR(IF(VLOOKUP(C2514,' Disaggregation - Section E '!A$618:J3203,8,0)=0,"",VLOOKUP(C2514,' Disaggregation - Section E '!A$618:J3203,8,0)),"")</f>
        <v/>
      </c>
      <c r="J2514" s="391" t="str">
        <f ca="1">IFERROR(IF(VLOOKUP(C2514,' Disaggregation - Section E '!A$618:J3203,9,0)="","",VLOOKUP(C2514,' Disaggregation - Section E '!A$618:J3203,9,0)),"")</f>
        <v/>
      </c>
      <c r="K2514" s="387" t="str">
        <f ca="1">IFERROR(VLOOKUP(C2514,' Disaggregation - Section E '!A$618:J3203,3,0),"")</f>
        <v>KP-6a Number of MSM who received any PrEP product at least once during the reporting period</v>
      </c>
      <c r="L2514" s="387"/>
      <c r="M2514" s="387" t="str">
        <f ca="1">IFERROR(IF(VLOOKUP(C2514,' Disaggregation - Section E '!A$618:O1526,15,0)=0,"",VLOOKUP(C2514,' Disaggregation - Section E '!A$618:O1526,15,0)),"")</f>
        <v>IDR-01169</v>
      </c>
      <c r="N2514" s="391" t="str">
        <f ca="1">IFERROR(IF(VLOOKUP(C2514,' Disaggregation - Section E '!A$618:J3203,10,0)=0,"",VLOOKUP(C2514,' Disaggregation - Section E '!A$618:J3203,10,0)),"")</f>
        <v>Disaggregated data not available. The activity will be taken into account from 2024 onwards</v>
      </c>
      <c r="O2514" s="387"/>
      <c r="P2514" s="387" t="str">
        <f ca="1">IFERROR(IF(VLOOKUP(C2514,' Disaggregation - Section E '!A$618:R1526,18,0)=0,"",VLOOKUP(C2514,' Disaggregation - Section E '!A$618:R1526,18,0)),"")</f>
        <v>a1LDm000000Cb1bMAC</v>
      </c>
    </row>
    <row r="2515" spans="1:16">
      <c r="A2515" s="387" t="b">
        <f t="shared" ca="1" si="170"/>
        <v>1</v>
      </c>
      <c r="B2515" s="387"/>
      <c r="C2515" s="396" t="str">
        <f ca="1">IF(COUNTA(O$1610:O2515)=1,"",OFFSET(B2513,-COUNTA(O$1610:O2515)+3,1))</f>
        <v>a16Dm000000M3uQIAS</v>
      </c>
      <c r="D2515" s="392"/>
      <c r="E2515" s="389" t="str">
        <f ca="1">IFERROR(IF(VLOOKUP(C2515,' Disaggregation - Section E '!A$618:J3204,7,0)="","",VLOOKUP(C2515,' Disaggregation - Section E '!A$618:J3204,7,0)*100),"")</f>
        <v/>
      </c>
      <c r="F2515" s="391" t="str">
        <f ca="1">IFERROR(VLOOKUP(C2515,' Disaggregation - Section E '!A$618:J3204,5,0),"")</f>
        <v>DPV-VR</v>
      </c>
      <c r="G2515" s="390" t="str">
        <f ca="1">IFERROR(IF(VLOOKUP(C2515,' Disaggregation - Section E '!A$618:J3204,6,0)="","",VLOOKUP(C2515,' Disaggregation - Section E '!A$618:J3204,6,0)),"")</f>
        <v/>
      </c>
      <c r="H2515" s="390" t="str">
        <f ca="1">IFERROR(IF(INDEX(' Disaggregation - Section E '!F$618:F3204,MATCH(C2515,' Disaggregation - Section E '!A$618:A3204,0)+1,1)&lt;&gt;0,INDEX(' Disaggregation - Section E '!F$618:F3204,MATCH(C2515,' Disaggregation - Section E '!A$618:A3204,0)+1,1),""),"")</f>
        <v/>
      </c>
      <c r="I2515" s="391" t="str">
        <f ca="1">IFERROR(IF(VLOOKUP(C2515,' Disaggregation - Section E '!A$618:J3204,8,0)=0,"",VLOOKUP(C2515,' Disaggregation - Section E '!A$618:J3204,8,0)),"")</f>
        <v/>
      </c>
      <c r="J2515" s="391" t="str">
        <f ca="1">IFERROR(IF(VLOOKUP(C2515,' Disaggregation - Section E '!A$618:J3204,9,0)="","",VLOOKUP(C2515,' Disaggregation - Section E '!A$618:J3204,9,0)),"")</f>
        <v/>
      </c>
      <c r="K2515" s="387" t="str">
        <f ca="1">IFERROR(VLOOKUP(C2515,' Disaggregation - Section E '!A$618:J3204,3,0),"")</f>
        <v>KP-6a Number of MSM who received any PrEP product at least once during the reporting period</v>
      </c>
      <c r="L2515" s="387"/>
      <c r="M2515" s="387" t="str">
        <f ca="1">IFERROR(IF(VLOOKUP(C2515,' Disaggregation - Section E '!A$618:O1527,15,0)=0,"",VLOOKUP(C2515,' Disaggregation - Section E '!A$618:O1527,15,0)),"")</f>
        <v>IDR-01168</v>
      </c>
      <c r="N2515" s="391" t="str">
        <f ca="1">IFERROR(IF(VLOOKUP(C2515,' Disaggregation - Section E '!A$618:J3204,10,0)=0,"",VLOOKUP(C2515,' Disaggregation - Section E '!A$618:J3204,10,0)),"")</f>
        <v>Disaggregated data not available. The activity will be taken into account from 2024 onwards</v>
      </c>
      <c r="O2515" s="387"/>
      <c r="P2515" s="387" t="str">
        <f ca="1">IFERROR(IF(VLOOKUP(C2515,' Disaggregation - Section E '!A$618:R1527,18,0)=0,"",VLOOKUP(C2515,' Disaggregation - Section E '!A$618:R1527,18,0)),"")</f>
        <v>a1LDm000000Cb1aMAC</v>
      </c>
    </row>
    <row r="2516" spans="1:16">
      <c r="A2516" s="387" t="b">
        <f t="shared" ca="1" si="170"/>
        <v>1</v>
      </c>
      <c r="B2516" s="387"/>
      <c r="C2516" s="396" t="str">
        <f ca="1">IF(COUNTA(O$1610:O2516)=1,"",OFFSET(B2514,-COUNTA(O$1610:O2516)+3,1))</f>
        <v>a16Dm000000M3uRIAS</v>
      </c>
      <c r="D2516" s="392"/>
      <c r="E2516" s="389" t="str">
        <f ca="1">IFERROR(IF(VLOOKUP(C2516,' Disaggregation - Section E '!A$618:J3205,7,0)="","",VLOOKUP(C2516,' Disaggregation - Section E '!A$618:J3205,7,0)*100),"")</f>
        <v/>
      </c>
      <c r="F2516" s="391" t="str">
        <f ca="1">IFERROR(VLOOKUP(C2516,' Disaggregation - Section E '!A$618:J3205,5,0),"")</f>
        <v>Injectable PrEP</v>
      </c>
      <c r="G2516" s="390" t="str">
        <f ca="1">IFERROR(IF(VLOOKUP(C2516,' Disaggregation - Section E '!A$618:J3205,6,0)="","",VLOOKUP(C2516,' Disaggregation - Section E '!A$618:J3205,6,0)),"")</f>
        <v/>
      </c>
      <c r="H2516" s="390" t="str">
        <f ca="1">IFERROR(IF(INDEX(' Disaggregation - Section E '!F$618:F3205,MATCH(C2516,' Disaggregation - Section E '!A$618:A3205,0)+1,1)&lt;&gt;0,INDEX(' Disaggregation - Section E '!F$618:F3205,MATCH(C2516,' Disaggregation - Section E '!A$618:A3205,0)+1,1),""),"")</f>
        <v/>
      </c>
      <c r="I2516" s="391" t="str">
        <f ca="1">IFERROR(IF(VLOOKUP(C2516,' Disaggregation - Section E '!A$618:J3205,8,0)=0,"",VLOOKUP(C2516,' Disaggregation - Section E '!A$618:J3205,8,0)),"")</f>
        <v/>
      </c>
      <c r="J2516" s="391" t="str">
        <f ca="1">IFERROR(IF(VLOOKUP(C2516,' Disaggregation - Section E '!A$618:J3205,9,0)="","",VLOOKUP(C2516,' Disaggregation - Section E '!A$618:J3205,9,0)),"")</f>
        <v/>
      </c>
      <c r="K2516" s="387" t="str">
        <f ca="1">IFERROR(VLOOKUP(C2516,' Disaggregation - Section E '!A$618:J3205,3,0),"")</f>
        <v>KP-6a Number of MSM who received any PrEP product at least once during the reporting period</v>
      </c>
      <c r="L2516" s="387"/>
      <c r="M2516" s="387" t="str">
        <f ca="1">IFERROR(IF(VLOOKUP(C2516,' Disaggregation - Section E '!A$618:O1528,15,0)=0,"",VLOOKUP(C2516,' Disaggregation - Section E '!A$618:O1528,15,0)),"")</f>
        <v>IDR-01167</v>
      </c>
      <c r="N2516" s="391" t="str">
        <f ca="1">IFERROR(IF(VLOOKUP(C2516,' Disaggregation - Section E '!A$618:J3205,10,0)=0,"",VLOOKUP(C2516,' Disaggregation - Section E '!A$618:J3205,10,0)),"")</f>
        <v>Disaggregated data not available. The activity will be taken into account from 2024 onwards</v>
      </c>
      <c r="O2516" s="387"/>
      <c r="P2516" s="387" t="str">
        <f ca="1">IFERROR(IF(VLOOKUP(C2516,' Disaggregation - Section E '!A$618:R1528,18,0)=0,"",VLOOKUP(C2516,' Disaggregation - Section E '!A$618:R1528,18,0)),"")</f>
        <v>a1LDm000000Cb1ZMAS</v>
      </c>
    </row>
    <row r="2517" spans="1:16">
      <c r="A2517" s="387" t="b">
        <f t="shared" ca="1" si="170"/>
        <v>1</v>
      </c>
      <c r="B2517" s="387"/>
      <c r="C2517" s="396" t="str">
        <f ca="1">IF(COUNTA(O$1610:O2517)=1,"",OFFSET(B2515,-COUNTA(O$1610:O2517)+3,1))</f>
        <v>a16Dm000000M3uSIAS</v>
      </c>
      <c r="D2517" s="392"/>
      <c r="E2517" s="389" t="str">
        <f ca="1">IFERROR(IF(VLOOKUP(C2517,' Disaggregation - Section E '!A$618:J3206,7,0)="","",VLOOKUP(C2517,' Disaggregation - Section E '!A$618:J3206,7,0)*100),"")</f>
        <v/>
      </c>
      <c r="F2517" s="391" t="str">
        <f ca="1">IFERROR(VLOOKUP(C2517,' Disaggregation - Section E '!A$618:J3206,5,0),"")</f>
        <v>Oral PrEP</v>
      </c>
      <c r="G2517" s="390" t="str">
        <f ca="1">IFERROR(IF(VLOOKUP(C2517,' Disaggregation - Section E '!A$618:J3206,6,0)="","",VLOOKUP(C2517,' Disaggregation - Section E '!A$618:J3206,6,0)),"")</f>
        <v/>
      </c>
      <c r="H2517" s="390" t="str">
        <f ca="1">IFERROR(IF(INDEX(' Disaggregation - Section E '!F$618:F3206,MATCH(C2517,' Disaggregation - Section E '!A$618:A3206,0)+1,1)&lt;&gt;0,INDEX(' Disaggregation - Section E '!F$618:F3206,MATCH(C2517,' Disaggregation - Section E '!A$618:A3206,0)+1,1),""),"")</f>
        <v/>
      </c>
      <c r="I2517" s="391" t="str">
        <f ca="1">IFERROR(IF(VLOOKUP(C2517,' Disaggregation - Section E '!A$618:J3206,8,0)=0,"",VLOOKUP(C2517,' Disaggregation - Section E '!A$618:J3206,8,0)),"")</f>
        <v/>
      </c>
      <c r="J2517" s="391" t="str">
        <f ca="1">IFERROR(IF(VLOOKUP(C2517,' Disaggregation - Section E '!A$618:J3206,9,0)="","",VLOOKUP(C2517,' Disaggregation - Section E '!A$618:J3206,9,0)),"")</f>
        <v/>
      </c>
      <c r="K2517" s="387" t="str">
        <f ca="1">IFERROR(VLOOKUP(C2517,' Disaggregation - Section E '!A$618:J3206,3,0),"")</f>
        <v>KP-6a Number of MSM who received any PrEP product at least once during the reporting period</v>
      </c>
      <c r="L2517" s="387"/>
      <c r="M2517" s="387" t="str">
        <f ca="1">IFERROR(IF(VLOOKUP(C2517,' Disaggregation - Section E '!A$618:O1529,15,0)=0,"",VLOOKUP(C2517,' Disaggregation - Section E '!A$618:O1529,15,0)),"")</f>
        <v>IDR-01166</v>
      </c>
      <c r="N2517" s="391" t="str">
        <f ca="1">IFERROR(IF(VLOOKUP(C2517,' Disaggregation - Section E '!A$618:J3206,10,0)=0,"",VLOOKUP(C2517,' Disaggregation - Section E '!A$618:J3206,10,0)),"")</f>
        <v>Disaggregated data not available. The activity will be taken into account from 2024 onwards</v>
      </c>
      <c r="O2517" s="387"/>
      <c r="P2517" s="387" t="str">
        <f ca="1">IFERROR(IF(VLOOKUP(C2517,' Disaggregation - Section E '!A$618:R1529,18,0)=0,"",VLOOKUP(C2517,' Disaggregation - Section E '!A$618:R1529,18,0)),"")</f>
        <v>a1LDm000000Cb1YMAS</v>
      </c>
    </row>
    <row r="2518" spans="1:16">
      <c r="A2518" s="387" t="b">
        <f t="shared" ca="1" si="170"/>
        <v>0</v>
      </c>
      <c r="B2518" s="387"/>
      <c r="C2518" s="396" t="str">
        <f ca="1">IF(COUNTA(O$1610:O2518)=1,"",OFFSET(B2516,-COUNTA(O$1610:O2518)+3,1))</f>
        <v>a16Dm000000M3uTIAS</v>
      </c>
      <c r="D2518" s="392"/>
      <c r="E2518" s="389" t="str">
        <f ca="1">IFERROR(IF(VLOOKUP(C2518,' Disaggregation - Section E '!A$618:J3207,7,0)="","",VLOOKUP(C2518,' Disaggregation - Section E '!A$618:J3207,7,0)*100),"")</f>
        <v/>
      </c>
      <c r="F2518" s="391" t="str">
        <f ca="1">IFERROR(VLOOKUP(C2518,' Disaggregation - Section E '!A$618:J3207,5,0),"")</f>
        <v/>
      </c>
      <c r="G2518" s="390" t="str">
        <f ca="1">IFERROR(IF(VLOOKUP(C2518,' Disaggregation - Section E '!A$618:J3207,6,0)="","",VLOOKUP(C2518,' Disaggregation - Section E '!A$618:J3207,6,0)),"")</f>
        <v/>
      </c>
      <c r="H2518" s="390" t="str">
        <f ca="1">IFERROR(IF(INDEX(' Disaggregation - Section E '!F$618:F3207,MATCH(C2518,' Disaggregation - Section E '!A$618:A3207,0)+1,1)&lt;&gt;0,INDEX(' Disaggregation - Section E '!F$618:F3207,MATCH(C2518,' Disaggregation - Section E '!A$618:A3207,0)+1,1),""),"")</f>
        <v/>
      </c>
      <c r="I2518" s="391" t="str">
        <f ca="1">IFERROR(IF(VLOOKUP(C2518,' Disaggregation - Section E '!A$618:J3207,8,0)=0,"",VLOOKUP(C2518,' Disaggregation - Section E '!A$618:J3207,8,0)),"")</f>
        <v/>
      </c>
      <c r="J2518" s="391" t="str">
        <f ca="1">IFERROR(IF(VLOOKUP(C2518,' Disaggregation - Section E '!A$618:J3207,9,0)="","",VLOOKUP(C2518,' Disaggregation - Section E '!A$618:J3207,9,0)),"")</f>
        <v/>
      </c>
      <c r="K2518" s="387" t="str">
        <f ca="1">IFERROR(VLOOKUP(C2518,' Disaggregation - Section E '!A$618:J3207,3,0),"")</f>
        <v>KP-6a Number of MSM who received any PrEP product at least once during the reporting period</v>
      </c>
      <c r="L2518" s="387"/>
      <c r="M2518" s="387" t="str">
        <f ca="1">IFERROR(IF(VLOOKUP(C2518,' Disaggregation - Section E '!A$618:O1530,15,0)=0,"",VLOOKUP(C2518,' Disaggregation - Section E '!A$618:O1530,15,0)),"")</f>
        <v/>
      </c>
      <c r="N2518" s="391" t="str">
        <f ca="1">IFERROR(IF(VLOOKUP(C2518,' Disaggregation - Section E '!A$618:J3207,10,0)=0,"",VLOOKUP(C2518,' Disaggregation - Section E '!A$618:J3207,10,0)),"")</f>
        <v/>
      </c>
      <c r="O2518" s="387"/>
      <c r="P2518" s="387" t="str">
        <f ca="1">IFERROR(IF(VLOOKUP(C2518,' Disaggregation - Section E '!A$618:R1530,18,0)=0,"",VLOOKUP(C2518,' Disaggregation - Section E '!A$618:R1530,18,0)),"")</f>
        <v/>
      </c>
    </row>
    <row r="2519" spans="1:16">
      <c r="A2519" s="387" t="b">
        <f t="shared" ca="1" si="170"/>
        <v>0</v>
      </c>
      <c r="B2519" s="387"/>
      <c r="C2519" s="396" t="str">
        <f ca="1">IF(COUNTA(O$1610:O2519)=1,"",OFFSET(B2517,-COUNTA(O$1610:O2519)+3,1))</f>
        <v>a16Dm000000M3uUIAS</v>
      </c>
      <c r="D2519" s="392"/>
      <c r="E2519" s="389" t="str">
        <f ca="1">IFERROR(IF(VLOOKUP(C2519,' Disaggregation - Section E '!A$618:J3208,7,0)="","",VLOOKUP(C2519,' Disaggregation - Section E '!A$618:J3208,7,0)*100),"")</f>
        <v/>
      </c>
      <c r="F2519" s="391" t="str">
        <f ca="1">IFERROR(VLOOKUP(C2519,' Disaggregation - Section E '!A$618:J3208,5,0),"")</f>
        <v/>
      </c>
      <c r="G2519" s="390" t="str">
        <f ca="1">IFERROR(IF(VLOOKUP(C2519,' Disaggregation - Section E '!A$618:J3208,6,0)="","",VLOOKUP(C2519,' Disaggregation - Section E '!A$618:J3208,6,0)),"")</f>
        <v/>
      </c>
      <c r="H2519" s="390" t="str">
        <f ca="1">IFERROR(IF(INDEX(' Disaggregation - Section E '!F$618:F3208,MATCH(C2519,' Disaggregation - Section E '!A$618:A3208,0)+1,1)&lt;&gt;0,INDEX(' Disaggregation - Section E '!F$618:F3208,MATCH(C2519,' Disaggregation - Section E '!A$618:A3208,0)+1,1),""),"")</f>
        <v/>
      </c>
      <c r="I2519" s="391" t="str">
        <f ca="1">IFERROR(IF(VLOOKUP(C2519,' Disaggregation - Section E '!A$618:J3208,8,0)=0,"",VLOOKUP(C2519,' Disaggregation - Section E '!A$618:J3208,8,0)),"")</f>
        <v/>
      </c>
      <c r="J2519" s="391" t="str">
        <f ca="1">IFERROR(IF(VLOOKUP(C2519,' Disaggregation - Section E '!A$618:J3208,9,0)="","",VLOOKUP(C2519,' Disaggregation - Section E '!A$618:J3208,9,0)),"")</f>
        <v/>
      </c>
      <c r="K2519" s="387" t="str">
        <f ca="1">IFERROR(VLOOKUP(C2519,' Disaggregation - Section E '!A$618:J3208,3,0),"")</f>
        <v>KP-6a Number of MSM who received any PrEP product at least once during the reporting period</v>
      </c>
      <c r="L2519" s="387"/>
      <c r="M2519" s="387" t="str">
        <f ca="1">IFERROR(IF(VLOOKUP(C2519,' Disaggregation - Section E '!A$618:O1531,15,0)=0,"",VLOOKUP(C2519,' Disaggregation - Section E '!A$618:O1531,15,0)),"")</f>
        <v/>
      </c>
      <c r="N2519" s="391" t="str">
        <f ca="1">IFERROR(IF(VLOOKUP(C2519,' Disaggregation - Section E '!A$618:J3208,10,0)=0,"",VLOOKUP(C2519,' Disaggregation - Section E '!A$618:J3208,10,0)),"")</f>
        <v/>
      </c>
      <c r="O2519" s="387"/>
      <c r="P2519" s="387" t="str">
        <f ca="1">IFERROR(IF(VLOOKUP(C2519,' Disaggregation - Section E '!A$618:R1531,18,0)=0,"",VLOOKUP(C2519,' Disaggregation - Section E '!A$618:R1531,18,0)),"")</f>
        <v/>
      </c>
    </row>
    <row r="2520" spans="1:16">
      <c r="A2520" s="387" t="b">
        <f t="shared" ca="1" si="170"/>
        <v>0</v>
      </c>
      <c r="B2520" s="387"/>
      <c r="C2520" s="396" t="str">
        <f ca="1">IF(COUNTA(O$1610:O2520)=1,"",OFFSET(B2518,-COUNTA(O$1610:O2520)+3,1))</f>
        <v>a16Dm000000M3uVIAS</v>
      </c>
      <c r="D2520" s="392"/>
      <c r="E2520" s="389" t="str">
        <f ca="1">IFERROR(IF(VLOOKUP(C2520,' Disaggregation - Section E '!A$618:J3209,7,0)="","",VLOOKUP(C2520,' Disaggregation - Section E '!A$618:J3209,7,0)*100),"")</f>
        <v/>
      </c>
      <c r="F2520" s="391" t="str">
        <f ca="1">IFERROR(VLOOKUP(C2520,' Disaggregation - Section E '!A$618:J3209,5,0),"")</f>
        <v/>
      </c>
      <c r="G2520" s="390" t="str">
        <f ca="1">IFERROR(IF(VLOOKUP(C2520,' Disaggregation - Section E '!A$618:J3209,6,0)="","",VLOOKUP(C2520,' Disaggregation - Section E '!A$618:J3209,6,0)),"")</f>
        <v/>
      </c>
      <c r="H2520" s="390" t="str">
        <f ca="1">IFERROR(IF(INDEX(' Disaggregation - Section E '!F$618:F3209,MATCH(C2520,' Disaggregation - Section E '!A$618:A3209,0)+1,1)&lt;&gt;0,INDEX(' Disaggregation - Section E '!F$618:F3209,MATCH(C2520,' Disaggregation - Section E '!A$618:A3209,0)+1,1),""),"")</f>
        <v/>
      </c>
      <c r="I2520" s="391" t="str">
        <f ca="1">IFERROR(IF(VLOOKUP(C2520,' Disaggregation - Section E '!A$618:J3209,8,0)=0,"",VLOOKUP(C2520,' Disaggregation - Section E '!A$618:J3209,8,0)),"")</f>
        <v/>
      </c>
      <c r="J2520" s="391" t="str">
        <f ca="1">IFERROR(IF(VLOOKUP(C2520,' Disaggregation - Section E '!A$618:J3209,9,0)="","",VLOOKUP(C2520,' Disaggregation - Section E '!A$618:J3209,9,0)),"")</f>
        <v/>
      </c>
      <c r="K2520" s="387" t="str">
        <f ca="1">IFERROR(VLOOKUP(C2520,' Disaggregation - Section E '!A$618:J3209,3,0),"")</f>
        <v>KP-6a Number of MSM who received any PrEP product at least once during the reporting period</v>
      </c>
      <c r="L2520" s="387"/>
      <c r="M2520" s="387" t="str">
        <f ca="1">IFERROR(IF(VLOOKUP(C2520,' Disaggregation - Section E '!A$618:O1532,15,0)=0,"",VLOOKUP(C2520,' Disaggregation - Section E '!A$618:O1532,15,0)),"")</f>
        <v/>
      </c>
      <c r="N2520" s="391" t="str">
        <f ca="1">IFERROR(IF(VLOOKUP(C2520,' Disaggregation - Section E '!A$618:J3209,10,0)=0,"",VLOOKUP(C2520,' Disaggregation - Section E '!A$618:J3209,10,0)),"")</f>
        <v/>
      </c>
      <c r="O2520" s="387"/>
      <c r="P2520" s="387" t="str">
        <f ca="1">IFERROR(IF(VLOOKUP(C2520,' Disaggregation - Section E '!A$618:R1532,18,0)=0,"",VLOOKUP(C2520,' Disaggregation - Section E '!A$618:R1532,18,0)),"")</f>
        <v/>
      </c>
    </row>
    <row r="2521" spans="1:16">
      <c r="A2521" s="387" t="b">
        <f t="shared" ca="1" si="170"/>
        <v>0</v>
      </c>
      <c r="B2521" s="387"/>
      <c r="C2521" s="396" t="str">
        <f ca="1">IF(COUNTA(O$1610:O2521)=1,"",OFFSET(B2519,-COUNTA(O$1610:O2521)+3,1))</f>
        <v>a16Dm000000M3uWIAS</v>
      </c>
      <c r="D2521" s="392"/>
      <c r="E2521" s="389" t="str">
        <f ca="1">IFERROR(IF(VLOOKUP(C2521,' Disaggregation - Section E '!A$618:J3210,7,0)="","",VLOOKUP(C2521,' Disaggregation - Section E '!A$618:J3210,7,0)*100),"")</f>
        <v/>
      </c>
      <c r="F2521" s="391" t="str">
        <f ca="1">IFERROR(VLOOKUP(C2521,' Disaggregation - Section E '!A$618:J3210,5,0),"")</f>
        <v/>
      </c>
      <c r="G2521" s="390" t="str">
        <f ca="1">IFERROR(IF(VLOOKUP(C2521,' Disaggregation - Section E '!A$618:J3210,6,0)="","",VLOOKUP(C2521,' Disaggregation - Section E '!A$618:J3210,6,0)),"")</f>
        <v/>
      </c>
      <c r="H2521" s="390" t="str">
        <f ca="1">IFERROR(IF(INDEX(' Disaggregation - Section E '!F$618:F3210,MATCH(C2521,' Disaggregation - Section E '!A$618:A3210,0)+1,1)&lt;&gt;0,INDEX(' Disaggregation - Section E '!F$618:F3210,MATCH(C2521,' Disaggregation - Section E '!A$618:A3210,0)+1,1),""),"")</f>
        <v/>
      </c>
      <c r="I2521" s="391" t="str">
        <f ca="1">IFERROR(IF(VLOOKUP(C2521,' Disaggregation - Section E '!A$618:J3210,8,0)=0,"",VLOOKUP(C2521,' Disaggregation - Section E '!A$618:J3210,8,0)),"")</f>
        <v/>
      </c>
      <c r="J2521" s="391" t="str">
        <f ca="1">IFERROR(IF(VLOOKUP(C2521,' Disaggregation - Section E '!A$618:J3210,9,0)="","",VLOOKUP(C2521,' Disaggregation - Section E '!A$618:J3210,9,0)),"")</f>
        <v/>
      </c>
      <c r="K2521" s="387" t="str">
        <f ca="1">IFERROR(VLOOKUP(C2521,' Disaggregation - Section E '!A$618:J3210,3,0),"")</f>
        <v>KP-6a Number of MSM who received any PrEP product at least once during the reporting period</v>
      </c>
      <c r="L2521" s="387"/>
      <c r="M2521" s="387" t="str">
        <f ca="1">IFERROR(IF(VLOOKUP(C2521,' Disaggregation - Section E '!A$618:O1533,15,0)=0,"",VLOOKUP(C2521,' Disaggregation - Section E '!A$618:O1533,15,0)),"")</f>
        <v/>
      </c>
      <c r="N2521" s="391" t="str">
        <f ca="1">IFERROR(IF(VLOOKUP(C2521,' Disaggregation - Section E '!A$618:J3210,10,0)=0,"",VLOOKUP(C2521,' Disaggregation - Section E '!A$618:J3210,10,0)),"")</f>
        <v/>
      </c>
      <c r="O2521" s="387"/>
      <c r="P2521" s="387" t="str">
        <f ca="1">IFERROR(IF(VLOOKUP(C2521,' Disaggregation - Section E '!A$618:R1533,18,0)=0,"",VLOOKUP(C2521,' Disaggregation - Section E '!A$618:R1533,18,0)),"")</f>
        <v/>
      </c>
    </row>
    <row r="2522" spans="1:16">
      <c r="A2522" s="387" t="b">
        <f t="shared" ca="1" si="170"/>
        <v>0</v>
      </c>
      <c r="B2522" s="387"/>
      <c r="C2522" s="396" t="str">
        <f ca="1">IF(COUNTA(O$1610:O2522)=1,"",OFFSET(B2520,-COUNTA(O$1610:O2522)+3,1))</f>
        <v>a16Dm000000M3uXIAS</v>
      </c>
      <c r="D2522" s="392"/>
      <c r="E2522" s="389" t="str">
        <f ca="1">IFERROR(IF(VLOOKUP(C2522,' Disaggregation - Section E '!A$618:J3211,7,0)="","",VLOOKUP(C2522,' Disaggregation - Section E '!A$618:J3211,7,0)*100),"")</f>
        <v/>
      </c>
      <c r="F2522" s="391" t="str">
        <f ca="1">IFERROR(VLOOKUP(C2522,' Disaggregation - Section E '!A$618:J3211,5,0),"")</f>
        <v/>
      </c>
      <c r="G2522" s="390" t="str">
        <f ca="1">IFERROR(IF(VLOOKUP(C2522,' Disaggregation - Section E '!A$618:J3211,6,0)="","",VLOOKUP(C2522,' Disaggregation - Section E '!A$618:J3211,6,0)),"")</f>
        <v/>
      </c>
      <c r="H2522" s="390" t="str">
        <f ca="1">IFERROR(IF(INDEX(' Disaggregation - Section E '!F$618:F3211,MATCH(C2522,' Disaggregation - Section E '!A$618:A3211,0)+1,1)&lt;&gt;0,INDEX(' Disaggregation - Section E '!F$618:F3211,MATCH(C2522,' Disaggregation - Section E '!A$618:A3211,0)+1,1),""),"")</f>
        <v/>
      </c>
      <c r="I2522" s="391" t="str">
        <f ca="1">IFERROR(IF(VLOOKUP(C2522,' Disaggregation - Section E '!A$618:J3211,8,0)=0,"",VLOOKUP(C2522,' Disaggregation - Section E '!A$618:J3211,8,0)),"")</f>
        <v/>
      </c>
      <c r="J2522" s="391" t="str">
        <f ca="1">IFERROR(IF(VLOOKUP(C2522,' Disaggregation - Section E '!A$618:J3211,9,0)="","",VLOOKUP(C2522,' Disaggregation - Section E '!A$618:J3211,9,0)),"")</f>
        <v/>
      </c>
      <c r="K2522" s="387" t="str">
        <f ca="1">IFERROR(VLOOKUP(C2522,' Disaggregation - Section E '!A$618:J3211,3,0),"")</f>
        <v>KP-6a Number of MSM who received any PrEP product at least once during the reporting period</v>
      </c>
      <c r="L2522" s="387"/>
      <c r="M2522" s="387" t="str">
        <f ca="1">IFERROR(IF(VLOOKUP(C2522,' Disaggregation - Section E '!A$618:O1534,15,0)=0,"",VLOOKUP(C2522,' Disaggregation - Section E '!A$618:O1534,15,0)),"")</f>
        <v/>
      </c>
      <c r="N2522" s="391" t="str">
        <f ca="1">IFERROR(IF(VLOOKUP(C2522,' Disaggregation - Section E '!A$618:J3211,10,0)=0,"",VLOOKUP(C2522,' Disaggregation - Section E '!A$618:J3211,10,0)),"")</f>
        <v/>
      </c>
      <c r="O2522" s="387"/>
      <c r="P2522" s="387" t="str">
        <f ca="1">IFERROR(IF(VLOOKUP(C2522,' Disaggregation - Section E '!A$618:R1534,18,0)=0,"",VLOOKUP(C2522,' Disaggregation - Section E '!A$618:R1534,18,0)),"")</f>
        <v/>
      </c>
    </row>
    <row r="2523" spans="1:16">
      <c r="A2523" s="387" t="b">
        <f t="shared" ca="1" si="170"/>
        <v>0</v>
      </c>
      <c r="B2523" s="387"/>
      <c r="C2523" s="396" t="str">
        <f ca="1">IF(COUNTA(O$1610:O2523)=1,"",OFFSET(B2521,-COUNTA(O$1610:O2523)+3,1))</f>
        <v>a16Dm000000M3uYIAS</v>
      </c>
      <c r="D2523" s="392"/>
      <c r="E2523" s="389" t="str">
        <f ca="1">IFERROR(IF(VLOOKUP(C2523,' Disaggregation - Section E '!A$618:J3212,7,0)="","",VLOOKUP(C2523,' Disaggregation - Section E '!A$618:J3212,7,0)*100),"")</f>
        <v/>
      </c>
      <c r="F2523" s="391" t="str">
        <f ca="1">IFERROR(VLOOKUP(C2523,' Disaggregation - Section E '!A$618:J3212,5,0),"")</f>
        <v/>
      </c>
      <c r="G2523" s="390" t="str">
        <f ca="1">IFERROR(IF(VLOOKUP(C2523,' Disaggregation - Section E '!A$618:J3212,6,0)="","",VLOOKUP(C2523,' Disaggregation - Section E '!A$618:J3212,6,0)),"")</f>
        <v/>
      </c>
      <c r="H2523" s="390" t="str">
        <f ca="1">IFERROR(IF(INDEX(' Disaggregation - Section E '!F$618:F3212,MATCH(C2523,' Disaggregation - Section E '!A$618:A3212,0)+1,1)&lt;&gt;0,INDEX(' Disaggregation - Section E '!F$618:F3212,MATCH(C2523,' Disaggregation - Section E '!A$618:A3212,0)+1,1),""),"")</f>
        <v/>
      </c>
      <c r="I2523" s="391" t="str">
        <f ca="1">IFERROR(IF(VLOOKUP(C2523,' Disaggregation - Section E '!A$618:J3212,8,0)=0,"",VLOOKUP(C2523,' Disaggregation - Section E '!A$618:J3212,8,0)),"")</f>
        <v/>
      </c>
      <c r="J2523" s="391" t="str">
        <f ca="1">IFERROR(IF(VLOOKUP(C2523,' Disaggregation - Section E '!A$618:J3212,9,0)="","",VLOOKUP(C2523,' Disaggregation - Section E '!A$618:J3212,9,0)),"")</f>
        <v/>
      </c>
      <c r="K2523" s="387" t="str">
        <f ca="1">IFERROR(VLOOKUP(C2523,' Disaggregation - Section E '!A$618:J3212,3,0),"")</f>
        <v>KP-6a Number of MSM who received any PrEP product at least once during the reporting period</v>
      </c>
      <c r="L2523" s="387"/>
      <c r="M2523" s="387" t="str">
        <f ca="1">IFERROR(IF(VLOOKUP(C2523,' Disaggregation - Section E '!A$618:O1535,15,0)=0,"",VLOOKUP(C2523,' Disaggregation - Section E '!A$618:O1535,15,0)),"")</f>
        <v/>
      </c>
      <c r="N2523" s="391" t="str">
        <f ca="1">IFERROR(IF(VLOOKUP(C2523,' Disaggregation - Section E '!A$618:J3212,10,0)=0,"",VLOOKUP(C2523,' Disaggregation - Section E '!A$618:J3212,10,0)),"")</f>
        <v/>
      </c>
      <c r="O2523" s="387"/>
      <c r="P2523" s="387" t="str">
        <f ca="1">IFERROR(IF(VLOOKUP(C2523,' Disaggregation - Section E '!A$618:R1535,18,0)=0,"",VLOOKUP(C2523,' Disaggregation - Section E '!A$618:R1535,18,0)),"")</f>
        <v/>
      </c>
    </row>
    <row r="2524" spans="1:16">
      <c r="A2524" s="387" t="b">
        <f t="shared" ca="1" si="170"/>
        <v>0</v>
      </c>
      <c r="B2524" s="387"/>
      <c r="C2524" s="396" t="str">
        <f ca="1">IF(COUNTA(O$1610:O2524)=1,"",OFFSET(B2522,-COUNTA(O$1610:O2524)+3,1))</f>
        <v>a16Dm000000M3uZIAS</v>
      </c>
      <c r="D2524" s="392"/>
      <c r="E2524" s="389" t="str">
        <f ca="1">IFERROR(IF(VLOOKUP(C2524,' Disaggregation - Section E '!A$618:J3213,7,0)="","",VLOOKUP(C2524,' Disaggregation - Section E '!A$618:J3213,7,0)*100),"")</f>
        <v/>
      </c>
      <c r="F2524" s="391" t="str">
        <f ca="1">IFERROR(VLOOKUP(C2524,' Disaggregation - Section E '!A$618:J3213,5,0),"")</f>
        <v/>
      </c>
      <c r="G2524" s="390" t="str">
        <f ca="1">IFERROR(IF(VLOOKUP(C2524,' Disaggregation - Section E '!A$618:J3213,6,0)="","",VLOOKUP(C2524,' Disaggregation - Section E '!A$618:J3213,6,0)),"")</f>
        <v/>
      </c>
      <c r="H2524" s="390" t="str">
        <f ca="1">IFERROR(IF(INDEX(' Disaggregation - Section E '!F$618:F3213,MATCH(C2524,' Disaggregation - Section E '!A$618:A3213,0)+1,1)&lt;&gt;0,INDEX(' Disaggregation - Section E '!F$618:F3213,MATCH(C2524,' Disaggregation - Section E '!A$618:A3213,0)+1,1),""),"")</f>
        <v/>
      </c>
      <c r="I2524" s="391" t="str">
        <f ca="1">IFERROR(IF(VLOOKUP(C2524,' Disaggregation - Section E '!A$618:J3213,8,0)=0,"",VLOOKUP(C2524,' Disaggregation - Section E '!A$618:J3213,8,0)),"")</f>
        <v/>
      </c>
      <c r="J2524" s="391" t="str">
        <f ca="1">IFERROR(IF(VLOOKUP(C2524,' Disaggregation - Section E '!A$618:J3213,9,0)="","",VLOOKUP(C2524,' Disaggregation - Section E '!A$618:J3213,9,0)),"")</f>
        <v/>
      </c>
      <c r="K2524" s="387" t="str">
        <f ca="1">IFERROR(VLOOKUP(C2524,' Disaggregation - Section E '!A$618:J3213,3,0),"")</f>
        <v>KP-6a Number of MSM who received any PrEP product at least once during the reporting period</v>
      </c>
      <c r="L2524" s="387"/>
      <c r="M2524" s="387" t="str">
        <f ca="1">IFERROR(IF(VLOOKUP(C2524,' Disaggregation - Section E '!A$618:O1536,15,0)=0,"",VLOOKUP(C2524,' Disaggregation - Section E '!A$618:O1536,15,0)),"")</f>
        <v/>
      </c>
      <c r="N2524" s="391" t="str">
        <f ca="1">IFERROR(IF(VLOOKUP(C2524,' Disaggregation - Section E '!A$618:J3213,10,0)=0,"",VLOOKUP(C2524,' Disaggregation - Section E '!A$618:J3213,10,0)),"")</f>
        <v/>
      </c>
      <c r="O2524" s="387"/>
      <c r="P2524" s="387" t="str">
        <f ca="1">IFERROR(IF(VLOOKUP(C2524,' Disaggregation - Section E '!A$618:R1536,18,0)=0,"",VLOOKUP(C2524,' Disaggregation - Section E '!A$618:R1536,18,0)),"")</f>
        <v/>
      </c>
    </row>
    <row r="2525" spans="1:16">
      <c r="A2525" s="387" t="b">
        <f t="shared" ca="1" si="170"/>
        <v>0</v>
      </c>
      <c r="B2525" s="387"/>
      <c r="C2525" s="396" t="str">
        <f ca="1">IF(COUNTA(O$1610:O2525)=1,"",OFFSET(B2523,-COUNTA(O$1610:O2525)+3,1))</f>
        <v>a16Dm000000M3uaIAC</v>
      </c>
      <c r="D2525" s="392"/>
      <c r="E2525" s="389" t="str">
        <f ca="1">IFERROR(IF(VLOOKUP(C2525,' Disaggregation - Section E '!A$618:J3214,7,0)="","",VLOOKUP(C2525,' Disaggregation - Section E '!A$618:J3214,7,0)*100),"")</f>
        <v/>
      </c>
      <c r="F2525" s="391" t="str">
        <f ca="1">IFERROR(VLOOKUP(C2525,' Disaggregation - Section E '!A$618:J3214,5,0),"")</f>
        <v/>
      </c>
      <c r="G2525" s="390" t="str">
        <f ca="1">IFERROR(IF(VLOOKUP(C2525,' Disaggregation - Section E '!A$618:J3214,6,0)="","",VLOOKUP(C2525,' Disaggregation - Section E '!A$618:J3214,6,0)),"")</f>
        <v/>
      </c>
      <c r="H2525" s="390" t="str">
        <f ca="1">IFERROR(IF(INDEX(' Disaggregation - Section E '!F$618:F3214,MATCH(C2525,' Disaggregation - Section E '!A$618:A3214,0)+1,1)&lt;&gt;0,INDEX(' Disaggregation - Section E '!F$618:F3214,MATCH(C2525,' Disaggregation - Section E '!A$618:A3214,0)+1,1),""),"")</f>
        <v/>
      </c>
      <c r="I2525" s="391" t="str">
        <f ca="1">IFERROR(IF(VLOOKUP(C2525,' Disaggregation - Section E '!A$618:J3214,8,0)=0,"",VLOOKUP(C2525,' Disaggregation - Section E '!A$618:J3214,8,0)),"")</f>
        <v/>
      </c>
      <c r="J2525" s="391" t="str">
        <f ca="1">IFERROR(IF(VLOOKUP(C2525,' Disaggregation - Section E '!A$618:J3214,9,0)="","",VLOOKUP(C2525,' Disaggregation - Section E '!A$618:J3214,9,0)),"")</f>
        <v/>
      </c>
      <c r="K2525" s="387" t="str">
        <f ca="1">IFERROR(VLOOKUP(C2525,' Disaggregation - Section E '!A$618:J3214,3,0),"")</f>
        <v>KP-6a Number of MSM who received any PrEP product at least once during the reporting period</v>
      </c>
      <c r="L2525" s="387"/>
      <c r="M2525" s="387" t="str">
        <f ca="1">IFERROR(IF(VLOOKUP(C2525,' Disaggregation - Section E '!A$618:O1537,15,0)=0,"",VLOOKUP(C2525,' Disaggregation - Section E '!A$618:O1537,15,0)),"")</f>
        <v/>
      </c>
      <c r="N2525" s="391" t="str">
        <f ca="1">IFERROR(IF(VLOOKUP(C2525,' Disaggregation - Section E '!A$618:J3214,10,0)=0,"",VLOOKUP(C2525,' Disaggregation - Section E '!A$618:J3214,10,0)),"")</f>
        <v/>
      </c>
      <c r="O2525" s="387"/>
      <c r="P2525" s="387" t="str">
        <f ca="1">IFERROR(IF(VLOOKUP(C2525,' Disaggregation - Section E '!A$618:R1537,18,0)=0,"",VLOOKUP(C2525,' Disaggregation - Section E '!A$618:R1537,18,0)),"")</f>
        <v/>
      </c>
    </row>
    <row r="2526" spans="1:16">
      <c r="A2526" s="387" t="b">
        <f t="shared" ca="1" si="170"/>
        <v>0</v>
      </c>
      <c r="B2526" s="387"/>
      <c r="C2526" s="396" t="str">
        <f ca="1">IF(COUNTA(O$1610:O2526)=1,"",OFFSET(B2524,-COUNTA(O$1610:O2526)+3,1))</f>
        <v>a16Dm000000M3ubIAC</v>
      </c>
      <c r="D2526" s="392"/>
      <c r="E2526" s="389" t="str">
        <f ca="1">IFERROR(IF(VLOOKUP(C2526,' Disaggregation - Section E '!A$618:J3215,7,0)="","",VLOOKUP(C2526,' Disaggregation - Section E '!A$618:J3215,7,0)*100),"")</f>
        <v/>
      </c>
      <c r="F2526" s="391" t="str">
        <f ca="1">IFERROR(VLOOKUP(C2526,' Disaggregation - Section E '!A$618:J3215,5,0),"")</f>
        <v/>
      </c>
      <c r="G2526" s="390" t="str">
        <f ca="1">IFERROR(IF(VLOOKUP(C2526,' Disaggregation - Section E '!A$618:J3215,6,0)="","",VLOOKUP(C2526,' Disaggregation - Section E '!A$618:J3215,6,0)),"")</f>
        <v/>
      </c>
      <c r="H2526" s="390" t="str">
        <f ca="1">IFERROR(IF(INDEX(' Disaggregation - Section E '!F$618:F3215,MATCH(C2526,' Disaggregation - Section E '!A$618:A3215,0)+1,1)&lt;&gt;0,INDEX(' Disaggregation - Section E '!F$618:F3215,MATCH(C2526,' Disaggregation - Section E '!A$618:A3215,0)+1,1),""),"")</f>
        <v/>
      </c>
      <c r="I2526" s="391" t="str">
        <f ca="1">IFERROR(IF(VLOOKUP(C2526,' Disaggregation - Section E '!A$618:J3215,8,0)=0,"",VLOOKUP(C2526,' Disaggregation - Section E '!A$618:J3215,8,0)),"")</f>
        <v/>
      </c>
      <c r="J2526" s="391" t="str">
        <f ca="1">IFERROR(IF(VLOOKUP(C2526,' Disaggregation - Section E '!A$618:J3215,9,0)="","",VLOOKUP(C2526,' Disaggregation - Section E '!A$618:J3215,9,0)),"")</f>
        <v/>
      </c>
      <c r="K2526" s="387" t="str">
        <f ca="1">IFERROR(VLOOKUP(C2526,' Disaggregation - Section E '!A$618:J3215,3,0),"")</f>
        <v>KP-6a Number of MSM who received any PrEP product at least once during the reporting period</v>
      </c>
      <c r="L2526" s="387"/>
      <c r="M2526" s="387" t="str">
        <f ca="1">IFERROR(IF(VLOOKUP(C2526,' Disaggregation - Section E '!A$618:O1538,15,0)=0,"",VLOOKUP(C2526,' Disaggregation - Section E '!A$618:O1538,15,0)),"")</f>
        <v/>
      </c>
      <c r="N2526" s="391" t="str">
        <f ca="1">IFERROR(IF(VLOOKUP(C2526,' Disaggregation - Section E '!A$618:J3215,10,0)=0,"",VLOOKUP(C2526,' Disaggregation - Section E '!A$618:J3215,10,0)),"")</f>
        <v/>
      </c>
      <c r="O2526" s="387"/>
      <c r="P2526" s="387" t="str">
        <f ca="1">IFERROR(IF(VLOOKUP(C2526,' Disaggregation - Section E '!A$618:R1538,18,0)=0,"",VLOOKUP(C2526,' Disaggregation - Section E '!A$618:R1538,18,0)),"")</f>
        <v/>
      </c>
    </row>
    <row r="2527" spans="1:16">
      <c r="A2527" s="387" t="b">
        <f t="shared" ca="1" si="170"/>
        <v>0</v>
      </c>
      <c r="B2527" s="387"/>
      <c r="C2527" s="396" t="str">
        <f ca="1">IF(COUNTA(O$1610:O2527)=1,"",OFFSET(B2525,-COUNTA(O$1610:O2527)+3,1))</f>
        <v>a16Dm000000M3ucIAC</v>
      </c>
      <c r="D2527" s="392"/>
      <c r="E2527" s="389" t="str">
        <f ca="1">IFERROR(IF(VLOOKUP(C2527,' Disaggregation - Section E '!A$618:J3216,7,0)="","",VLOOKUP(C2527,' Disaggregation - Section E '!A$618:J3216,7,0)*100),"")</f>
        <v/>
      </c>
      <c r="F2527" s="391" t="str">
        <f ca="1">IFERROR(VLOOKUP(C2527,' Disaggregation - Section E '!A$618:J3216,5,0),"")</f>
        <v/>
      </c>
      <c r="G2527" s="390" t="str">
        <f ca="1">IFERROR(IF(VLOOKUP(C2527,' Disaggregation - Section E '!A$618:J3216,6,0)="","",VLOOKUP(C2527,' Disaggregation - Section E '!A$618:J3216,6,0)),"")</f>
        <v/>
      </c>
      <c r="H2527" s="390" t="str">
        <f ca="1">IFERROR(IF(INDEX(' Disaggregation - Section E '!F$618:F3216,MATCH(C2527,' Disaggregation - Section E '!A$618:A3216,0)+1,1)&lt;&gt;0,INDEX(' Disaggregation - Section E '!F$618:F3216,MATCH(C2527,' Disaggregation - Section E '!A$618:A3216,0)+1,1),""),"")</f>
        <v/>
      </c>
      <c r="I2527" s="391" t="str">
        <f ca="1">IFERROR(IF(VLOOKUP(C2527,' Disaggregation - Section E '!A$618:J3216,8,0)=0,"",VLOOKUP(C2527,' Disaggregation - Section E '!A$618:J3216,8,0)),"")</f>
        <v/>
      </c>
      <c r="J2527" s="391" t="str">
        <f ca="1">IFERROR(IF(VLOOKUP(C2527,' Disaggregation - Section E '!A$618:J3216,9,0)="","",VLOOKUP(C2527,' Disaggregation - Section E '!A$618:J3216,9,0)),"")</f>
        <v/>
      </c>
      <c r="K2527" s="387" t="str">
        <f ca="1">IFERROR(VLOOKUP(C2527,' Disaggregation - Section E '!A$618:J3216,3,0),"")</f>
        <v>KP-6a Number of MSM who received any PrEP product at least once during the reporting period</v>
      </c>
      <c r="L2527" s="387"/>
      <c r="M2527" s="387" t="str">
        <f ca="1">IFERROR(IF(VLOOKUP(C2527,' Disaggregation - Section E '!A$618:O1539,15,0)=0,"",VLOOKUP(C2527,' Disaggregation - Section E '!A$618:O1539,15,0)),"")</f>
        <v/>
      </c>
      <c r="N2527" s="391" t="str">
        <f ca="1">IFERROR(IF(VLOOKUP(C2527,' Disaggregation - Section E '!A$618:J3216,10,0)=0,"",VLOOKUP(C2527,' Disaggregation - Section E '!A$618:J3216,10,0)),"")</f>
        <v/>
      </c>
      <c r="O2527" s="387"/>
      <c r="P2527" s="387" t="str">
        <f ca="1">IFERROR(IF(VLOOKUP(C2527,' Disaggregation - Section E '!A$618:R1539,18,0)=0,"",VLOOKUP(C2527,' Disaggregation - Section E '!A$618:R1539,18,0)),"")</f>
        <v/>
      </c>
    </row>
    <row r="2528" spans="1:16">
      <c r="A2528" s="387" t="b">
        <f t="shared" ca="1" si="170"/>
        <v>0</v>
      </c>
      <c r="B2528" s="387"/>
      <c r="C2528" s="396" t="str">
        <f ca="1">IF(COUNTA(O$1610:O2528)=1,"",OFFSET(B2526,-COUNTA(O$1610:O2528)+3,1))</f>
        <v>a16Dm000000M3udIAC</v>
      </c>
      <c r="D2528" s="392"/>
      <c r="E2528" s="389" t="str">
        <f ca="1">IFERROR(IF(VLOOKUP(C2528,' Disaggregation - Section E '!A$618:J3217,7,0)="","",VLOOKUP(C2528,' Disaggregation - Section E '!A$618:J3217,7,0)*100),"")</f>
        <v/>
      </c>
      <c r="F2528" s="391" t="str">
        <f ca="1">IFERROR(VLOOKUP(C2528,' Disaggregation - Section E '!A$618:J3217,5,0),"")</f>
        <v/>
      </c>
      <c r="G2528" s="390" t="str">
        <f ca="1">IFERROR(IF(VLOOKUP(C2528,' Disaggregation - Section E '!A$618:J3217,6,0)="","",VLOOKUP(C2528,' Disaggregation - Section E '!A$618:J3217,6,0)),"")</f>
        <v/>
      </c>
      <c r="H2528" s="390" t="str">
        <f ca="1">IFERROR(IF(INDEX(' Disaggregation - Section E '!F$618:F3217,MATCH(C2528,' Disaggregation - Section E '!A$618:A3217,0)+1,1)&lt;&gt;0,INDEX(' Disaggregation - Section E '!F$618:F3217,MATCH(C2528,' Disaggregation - Section E '!A$618:A3217,0)+1,1),""),"")</f>
        <v/>
      </c>
      <c r="I2528" s="391" t="str">
        <f ca="1">IFERROR(IF(VLOOKUP(C2528,' Disaggregation - Section E '!A$618:J3217,8,0)=0,"",VLOOKUP(C2528,' Disaggregation - Section E '!A$618:J3217,8,0)),"")</f>
        <v/>
      </c>
      <c r="J2528" s="391" t="str">
        <f ca="1">IFERROR(IF(VLOOKUP(C2528,' Disaggregation - Section E '!A$618:J3217,9,0)="","",VLOOKUP(C2528,' Disaggregation - Section E '!A$618:J3217,9,0)),"")</f>
        <v/>
      </c>
      <c r="K2528" s="387" t="str">
        <f ca="1">IFERROR(VLOOKUP(C2528,' Disaggregation - Section E '!A$618:J3217,3,0),"")</f>
        <v>KP-6a Number of MSM who received any PrEP product at least once during the reporting period</v>
      </c>
      <c r="L2528" s="387"/>
      <c r="M2528" s="387" t="str">
        <f ca="1">IFERROR(IF(VLOOKUP(C2528,' Disaggregation - Section E '!A$618:O1540,15,0)=0,"",VLOOKUP(C2528,' Disaggregation - Section E '!A$618:O1540,15,0)),"")</f>
        <v/>
      </c>
      <c r="N2528" s="391" t="str">
        <f ca="1">IFERROR(IF(VLOOKUP(C2528,' Disaggregation - Section E '!A$618:J3217,10,0)=0,"",VLOOKUP(C2528,' Disaggregation - Section E '!A$618:J3217,10,0)),"")</f>
        <v/>
      </c>
      <c r="O2528" s="387"/>
      <c r="P2528" s="387" t="str">
        <f ca="1">IFERROR(IF(VLOOKUP(C2528,' Disaggregation - Section E '!A$618:R1540,18,0)=0,"",VLOOKUP(C2528,' Disaggregation - Section E '!A$618:R1540,18,0)),"")</f>
        <v/>
      </c>
    </row>
    <row r="2529" spans="1:16">
      <c r="A2529" s="387" t="b">
        <f t="shared" ca="1" si="170"/>
        <v>0</v>
      </c>
      <c r="B2529" s="387"/>
      <c r="C2529" s="396" t="str">
        <f ca="1">IF(COUNTA(O$1610:O2529)=1,"",OFFSET(B2527,-COUNTA(O$1610:O2529)+3,1))</f>
        <v>a16Dm000000M3ueIAC</v>
      </c>
      <c r="D2529" s="392"/>
      <c r="E2529" s="389" t="str">
        <f ca="1">IFERROR(IF(VLOOKUP(C2529,' Disaggregation - Section E '!A$618:J3218,7,0)="","",VLOOKUP(C2529,' Disaggregation - Section E '!A$618:J3218,7,0)*100),"")</f>
        <v/>
      </c>
      <c r="F2529" s="391" t="str">
        <f ca="1">IFERROR(VLOOKUP(C2529,' Disaggregation - Section E '!A$618:J3218,5,0),"")</f>
        <v/>
      </c>
      <c r="G2529" s="390" t="str">
        <f ca="1">IFERROR(IF(VLOOKUP(C2529,' Disaggregation - Section E '!A$618:J3218,6,0)="","",VLOOKUP(C2529,' Disaggregation - Section E '!A$618:J3218,6,0)),"")</f>
        <v/>
      </c>
      <c r="H2529" s="390" t="str">
        <f ca="1">IFERROR(IF(INDEX(' Disaggregation - Section E '!F$618:F3218,MATCH(C2529,' Disaggregation - Section E '!A$618:A3218,0)+1,1)&lt;&gt;0,INDEX(' Disaggregation - Section E '!F$618:F3218,MATCH(C2529,' Disaggregation - Section E '!A$618:A3218,0)+1,1),""),"")</f>
        <v/>
      </c>
      <c r="I2529" s="391" t="str">
        <f ca="1">IFERROR(IF(VLOOKUP(C2529,' Disaggregation - Section E '!A$618:J3218,8,0)=0,"",VLOOKUP(C2529,' Disaggregation - Section E '!A$618:J3218,8,0)),"")</f>
        <v/>
      </c>
      <c r="J2529" s="391" t="str">
        <f ca="1">IFERROR(IF(VLOOKUP(C2529,' Disaggregation - Section E '!A$618:J3218,9,0)="","",VLOOKUP(C2529,' Disaggregation - Section E '!A$618:J3218,9,0)),"")</f>
        <v/>
      </c>
      <c r="K2529" s="387" t="str">
        <f ca="1">IFERROR(VLOOKUP(C2529,' Disaggregation - Section E '!A$618:J3218,3,0),"")</f>
        <v>KP-6a Number of MSM who received any PrEP product at least once during the reporting period</v>
      </c>
      <c r="L2529" s="387"/>
      <c r="M2529" s="387" t="str">
        <f ca="1">IFERROR(IF(VLOOKUP(C2529,' Disaggregation - Section E '!A$618:O1541,15,0)=0,"",VLOOKUP(C2529,' Disaggregation - Section E '!A$618:O1541,15,0)),"")</f>
        <v/>
      </c>
      <c r="N2529" s="391" t="str">
        <f ca="1">IFERROR(IF(VLOOKUP(C2529,' Disaggregation - Section E '!A$618:J3218,10,0)=0,"",VLOOKUP(C2529,' Disaggregation - Section E '!A$618:J3218,10,0)),"")</f>
        <v/>
      </c>
      <c r="O2529" s="387"/>
      <c r="P2529" s="387" t="str">
        <f ca="1">IFERROR(IF(VLOOKUP(C2529,' Disaggregation - Section E '!A$618:R1541,18,0)=0,"",VLOOKUP(C2529,' Disaggregation - Section E '!A$618:R1541,18,0)),"")</f>
        <v/>
      </c>
    </row>
    <row r="2530" spans="1:16">
      <c r="A2530" s="387" t="b">
        <f t="shared" ca="1" si="170"/>
        <v>0</v>
      </c>
      <c r="B2530" s="387"/>
      <c r="C2530" s="396" t="str">
        <f ca="1">IF(COUNTA(O$1610:O2530)=1,"",OFFSET(B2528,-COUNTA(O$1610:O2530)+3,1))</f>
        <v>a16Dm000000M3ufIAC</v>
      </c>
      <c r="D2530" s="392"/>
      <c r="E2530" s="389" t="str">
        <f ca="1">IFERROR(IF(VLOOKUP(C2530,' Disaggregation - Section E '!A$618:J3219,7,0)="","",VLOOKUP(C2530,' Disaggregation - Section E '!A$618:J3219,7,0)*100),"")</f>
        <v/>
      </c>
      <c r="F2530" s="391" t="str">
        <f ca="1">IFERROR(VLOOKUP(C2530,' Disaggregation - Section E '!A$618:J3219,5,0),"")</f>
        <v/>
      </c>
      <c r="G2530" s="390" t="str">
        <f ca="1">IFERROR(IF(VLOOKUP(C2530,' Disaggregation - Section E '!A$618:J3219,6,0)="","",VLOOKUP(C2530,' Disaggregation - Section E '!A$618:J3219,6,0)),"")</f>
        <v/>
      </c>
      <c r="H2530" s="390" t="str">
        <f ca="1">IFERROR(IF(INDEX(' Disaggregation - Section E '!F$618:F3219,MATCH(C2530,' Disaggregation - Section E '!A$618:A3219,0)+1,1)&lt;&gt;0,INDEX(' Disaggregation - Section E '!F$618:F3219,MATCH(C2530,' Disaggregation - Section E '!A$618:A3219,0)+1,1),""),"")</f>
        <v/>
      </c>
      <c r="I2530" s="391" t="str">
        <f ca="1">IFERROR(IF(VLOOKUP(C2530,' Disaggregation - Section E '!A$618:J3219,8,0)=0,"",VLOOKUP(C2530,' Disaggregation - Section E '!A$618:J3219,8,0)),"")</f>
        <v/>
      </c>
      <c r="J2530" s="391" t="str">
        <f ca="1">IFERROR(IF(VLOOKUP(C2530,' Disaggregation - Section E '!A$618:J3219,9,0)="","",VLOOKUP(C2530,' Disaggregation - Section E '!A$618:J3219,9,0)),"")</f>
        <v/>
      </c>
      <c r="K2530" s="387" t="str">
        <f ca="1">IFERROR(VLOOKUP(C2530,' Disaggregation - Section E '!A$618:J3219,3,0),"")</f>
        <v>KP-6a Number of MSM who received any PrEP product at least once during the reporting period</v>
      </c>
      <c r="L2530" s="387"/>
      <c r="M2530" s="387" t="str">
        <f ca="1">IFERROR(IF(VLOOKUP(C2530,' Disaggregation - Section E '!A$618:O1542,15,0)=0,"",VLOOKUP(C2530,' Disaggregation - Section E '!A$618:O1542,15,0)),"")</f>
        <v/>
      </c>
      <c r="N2530" s="391" t="str">
        <f ca="1">IFERROR(IF(VLOOKUP(C2530,' Disaggregation - Section E '!A$618:J3219,10,0)=0,"",VLOOKUP(C2530,' Disaggregation - Section E '!A$618:J3219,10,0)),"")</f>
        <v/>
      </c>
      <c r="O2530" s="387"/>
      <c r="P2530" s="387" t="str">
        <f ca="1">IFERROR(IF(VLOOKUP(C2530,' Disaggregation - Section E '!A$618:R1542,18,0)=0,"",VLOOKUP(C2530,' Disaggregation - Section E '!A$618:R1542,18,0)),"")</f>
        <v/>
      </c>
    </row>
    <row r="2531" spans="1:16">
      <c r="A2531" s="387" t="b">
        <f t="shared" ca="1" si="170"/>
        <v>0</v>
      </c>
      <c r="B2531" s="387"/>
      <c r="C2531" s="396" t="str">
        <f ca="1">IF(COUNTA(O$1610:O2531)=1,"",OFFSET(B2529,-COUNTA(O$1610:O2531)+3,1))</f>
        <v>a16Dm000000M3ugIAC</v>
      </c>
      <c r="D2531" s="392"/>
      <c r="E2531" s="389" t="str">
        <f ca="1">IFERROR(IF(VLOOKUP(C2531,' Disaggregation - Section E '!A$618:J3220,7,0)="","",VLOOKUP(C2531,' Disaggregation - Section E '!A$618:J3220,7,0)*100),"")</f>
        <v/>
      </c>
      <c r="F2531" s="391" t="str">
        <f ca="1">IFERROR(VLOOKUP(C2531,' Disaggregation - Section E '!A$618:J3220,5,0),"")</f>
        <v/>
      </c>
      <c r="G2531" s="390" t="str">
        <f ca="1">IFERROR(IF(VLOOKUP(C2531,' Disaggregation - Section E '!A$618:J3220,6,0)="","",VLOOKUP(C2531,' Disaggregation - Section E '!A$618:J3220,6,0)),"")</f>
        <v/>
      </c>
      <c r="H2531" s="390" t="str">
        <f ca="1">IFERROR(IF(INDEX(' Disaggregation - Section E '!F$618:F3220,MATCH(C2531,' Disaggregation - Section E '!A$618:A3220,0)+1,1)&lt;&gt;0,INDEX(' Disaggregation - Section E '!F$618:F3220,MATCH(C2531,' Disaggregation - Section E '!A$618:A3220,0)+1,1),""),"")</f>
        <v/>
      </c>
      <c r="I2531" s="391" t="str">
        <f ca="1">IFERROR(IF(VLOOKUP(C2531,' Disaggregation - Section E '!A$618:J3220,8,0)=0,"",VLOOKUP(C2531,' Disaggregation - Section E '!A$618:J3220,8,0)),"")</f>
        <v/>
      </c>
      <c r="J2531" s="391" t="str">
        <f ca="1">IFERROR(IF(VLOOKUP(C2531,' Disaggregation - Section E '!A$618:J3220,9,0)="","",VLOOKUP(C2531,' Disaggregation - Section E '!A$618:J3220,9,0)),"")</f>
        <v/>
      </c>
      <c r="K2531" s="387" t="str">
        <f ca="1">IFERROR(VLOOKUP(C2531,' Disaggregation - Section E '!A$618:J3220,3,0),"")</f>
        <v>KP-6a Number of MSM who received any PrEP product at least once during the reporting period</v>
      </c>
      <c r="L2531" s="387"/>
      <c r="M2531" s="387" t="str">
        <f ca="1">IFERROR(IF(VLOOKUP(C2531,' Disaggregation - Section E '!A$618:O1543,15,0)=0,"",VLOOKUP(C2531,' Disaggregation - Section E '!A$618:O1543,15,0)),"")</f>
        <v/>
      </c>
      <c r="N2531" s="391" t="str">
        <f ca="1">IFERROR(IF(VLOOKUP(C2531,' Disaggregation - Section E '!A$618:J3220,10,0)=0,"",VLOOKUP(C2531,' Disaggregation - Section E '!A$618:J3220,10,0)),"")</f>
        <v/>
      </c>
      <c r="O2531" s="387"/>
      <c r="P2531" s="387" t="str">
        <f ca="1">IFERROR(IF(VLOOKUP(C2531,' Disaggregation - Section E '!A$618:R1543,18,0)=0,"",VLOOKUP(C2531,' Disaggregation - Section E '!A$618:R1543,18,0)),"")</f>
        <v/>
      </c>
    </row>
    <row r="2532" spans="1:16">
      <c r="A2532" s="387" t="b">
        <f t="shared" ca="1" si="170"/>
        <v>1</v>
      </c>
      <c r="B2532" s="387"/>
      <c r="C2532" s="396" t="str">
        <f ca="1">IF(COUNTA(O$1610:O2532)=1,"",OFFSET(B2530,-COUNTA(O$1610:O2532)+3,1))</f>
        <v>a16Dm000000M3uhIAC</v>
      </c>
      <c r="D2532" s="392"/>
      <c r="E2532" s="389" t="str">
        <f ca="1">IFERROR(IF(VLOOKUP(C2532,' Disaggregation - Section E '!A$618:J3221,7,0)="","",VLOOKUP(C2532,' Disaggregation - Section E '!A$618:J3221,7,0)*100),"")</f>
        <v/>
      </c>
      <c r="F2532" s="391" t="str">
        <f ca="1">IFERROR(VLOOKUP(C2532,' Disaggregation - Section E '!A$618:J3221,5,0),"")</f>
        <v>25+</v>
      </c>
      <c r="G2532" s="390" t="str">
        <f ca="1">IFERROR(IF(VLOOKUP(C2532,' Disaggregation - Section E '!A$618:J3221,6,0)="","",VLOOKUP(C2532,' Disaggregation - Section E '!A$618:J3221,6,0)),"")</f>
        <v/>
      </c>
      <c r="H2532" s="390" t="str">
        <f ca="1">IFERROR(IF(INDEX(' Disaggregation - Section E '!F$618:F3221,MATCH(C2532,' Disaggregation - Section E '!A$618:A3221,0)+1,1)&lt;&gt;0,INDEX(' Disaggregation - Section E '!F$618:F3221,MATCH(C2532,' Disaggregation - Section E '!A$618:A3221,0)+1,1),""),"")</f>
        <v/>
      </c>
      <c r="I2532" s="391" t="str">
        <f ca="1">IFERROR(IF(VLOOKUP(C2532,' Disaggregation - Section E '!A$618:J3221,8,0)=0,"",VLOOKUP(C2532,' Disaggregation - Section E '!A$618:J3221,8,0)),"")</f>
        <v/>
      </c>
      <c r="J2532" s="391" t="str">
        <f ca="1">IFERROR(IF(VLOOKUP(C2532,' Disaggregation - Section E '!A$618:J3221,9,0)="","",VLOOKUP(C2532,' Disaggregation - Section E '!A$618:J3221,9,0)),"")</f>
        <v/>
      </c>
      <c r="K2532" s="387" t="str">
        <f ca="1">IFERROR(VLOOKUP(C2532,' Disaggregation - Section E '!A$618:J3221,3,0),"")</f>
        <v>KP-1c Percentage of sex workers reached with HIV prevention programs - defined package of services</v>
      </c>
      <c r="L2532" s="387"/>
      <c r="M2532" s="387" t="str">
        <f ca="1">IFERROR(IF(VLOOKUP(C2532,' Disaggregation - Section E '!A$618:O1544,15,0)=0,"",VLOOKUP(C2532,' Disaggregation - Section E '!A$618:O1544,15,0)),"")</f>
        <v>IDR-01202</v>
      </c>
      <c r="N2532" s="391" t="str">
        <f ca="1">IFERROR(IF(VLOOKUP(C2532,' Disaggregation - Section E '!A$618:J3221,10,0)=0,"",VLOOKUP(C2532,' Disaggregation - Section E '!A$618:J3221,10,0)),"")</f>
        <v>Disaggregated data not available. The activity will be taken into account from 2024 onwards</v>
      </c>
      <c r="O2532" s="387"/>
      <c r="P2532" s="387" t="str">
        <f ca="1">IFERROR(IF(VLOOKUP(C2532,' Disaggregation - Section E '!A$618:R1544,18,0)=0,"",VLOOKUP(C2532,' Disaggregation - Section E '!A$618:R1544,18,0)),"")</f>
        <v>a1LDm000000Cb28MAC</v>
      </c>
    </row>
    <row r="2533" spans="1:16">
      <c r="A2533" s="387" t="b">
        <f t="shared" ca="1" si="170"/>
        <v>1</v>
      </c>
      <c r="B2533" s="387"/>
      <c r="C2533" s="396" t="str">
        <f ca="1">IF(COUNTA(O$1610:O2533)=1,"",OFFSET(B2531,-COUNTA(O$1610:O2533)+3,1))</f>
        <v>a16Dm000000M3uiIAC</v>
      </c>
      <c r="D2533" s="392"/>
      <c r="E2533" s="389" t="str">
        <f ca="1">IFERROR(IF(VLOOKUP(C2533,' Disaggregation - Section E '!A$618:J3222,7,0)="","",VLOOKUP(C2533,' Disaggregation - Section E '!A$618:J3222,7,0)*100),"")</f>
        <v/>
      </c>
      <c r="F2533" s="391" t="str">
        <f ca="1">IFERROR(VLOOKUP(C2533,' Disaggregation - Section E '!A$618:J3222,5,0),"")</f>
        <v>20-24</v>
      </c>
      <c r="G2533" s="390" t="str">
        <f ca="1">IFERROR(IF(VLOOKUP(C2533,' Disaggregation - Section E '!A$618:J3222,6,0)="","",VLOOKUP(C2533,' Disaggregation - Section E '!A$618:J3222,6,0)),"")</f>
        <v/>
      </c>
      <c r="H2533" s="390" t="str">
        <f ca="1">IFERROR(IF(INDEX(' Disaggregation - Section E '!F$618:F3222,MATCH(C2533,' Disaggregation - Section E '!A$618:A3222,0)+1,1)&lt;&gt;0,INDEX(' Disaggregation - Section E '!F$618:F3222,MATCH(C2533,' Disaggregation - Section E '!A$618:A3222,0)+1,1),""),"")</f>
        <v/>
      </c>
      <c r="I2533" s="391" t="str">
        <f ca="1">IFERROR(IF(VLOOKUP(C2533,' Disaggregation - Section E '!A$618:J3222,8,0)=0,"",VLOOKUP(C2533,' Disaggregation - Section E '!A$618:J3222,8,0)),"")</f>
        <v/>
      </c>
      <c r="J2533" s="391" t="str">
        <f ca="1">IFERROR(IF(VLOOKUP(C2533,' Disaggregation - Section E '!A$618:J3222,9,0)="","",VLOOKUP(C2533,' Disaggregation - Section E '!A$618:J3222,9,0)),"")</f>
        <v/>
      </c>
      <c r="K2533" s="387" t="str">
        <f ca="1">IFERROR(VLOOKUP(C2533,' Disaggregation - Section E '!A$618:J3222,3,0),"")</f>
        <v>KP-1c Percentage of sex workers reached with HIV prevention programs - defined package of services</v>
      </c>
      <c r="L2533" s="387"/>
      <c r="M2533" s="387" t="str">
        <f ca="1">IFERROR(IF(VLOOKUP(C2533,' Disaggregation - Section E '!A$618:O1545,15,0)=0,"",VLOOKUP(C2533,' Disaggregation - Section E '!A$618:O1545,15,0)),"")</f>
        <v>IDR-01201</v>
      </c>
      <c r="N2533" s="391" t="str">
        <f ca="1">IFERROR(IF(VLOOKUP(C2533,' Disaggregation - Section E '!A$618:J3222,10,0)=0,"",VLOOKUP(C2533,' Disaggregation - Section E '!A$618:J3222,10,0)),"")</f>
        <v>Disaggregated data not available. The activity will be taken into account from 2024 onwards</v>
      </c>
      <c r="O2533" s="387"/>
      <c r="P2533" s="387" t="str">
        <f ca="1">IFERROR(IF(VLOOKUP(C2533,' Disaggregation - Section E '!A$618:R1545,18,0)=0,"",VLOOKUP(C2533,' Disaggregation - Section E '!A$618:R1545,18,0)),"")</f>
        <v>a1LDm000000Cb27MAC</v>
      </c>
    </row>
    <row r="2534" spans="1:16">
      <c r="A2534" s="387" t="b">
        <f t="shared" ca="1" si="170"/>
        <v>1</v>
      </c>
      <c r="B2534" s="387"/>
      <c r="C2534" s="396" t="str">
        <f ca="1">IF(COUNTA(O$1610:O2534)=1,"",OFFSET(B2532,-COUNTA(O$1610:O2534)+3,1))</f>
        <v>a16Dm000000M3ujIAC</v>
      </c>
      <c r="D2534" s="392"/>
      <c r="E2534" s="389" t="str">
        <f ca="1">IFERROR(IF(VLOOKUP(C2534,' Disaggregation - Section E '!A$618:J3223,7,0)="","",VLOOKUP(C2534,' Disaggregation - Section E '!A$618:J3223,7,0)*100),"")</f>
        <v/>
      </c>
      <c r="F2534" s="391" t="str">
        <f ca="1">IFERROR(VLOOKUP(C2534,' Disaggregation - Section E '!A$618:J3223,5,0),"")</f>
        <v>15-19</v>
      </c>
      <c r="G2534" s="390" t="str">
        <f ca="1">IFERROR(IF(VLOOKUP(C2534,' Disaggregation - Section E '!A$618:J3223,6,0)="","",VLOOKUP(C2534,' Disaggregation - Section E '!A$618:J3223,6,0)),"")</f>
        <v/>
      </c>
      <c r="H2534" s="390" t="str">
        <f ca="1">IFERROR(IF(INDEX(' Disaggregation - Section E '!F$618:F3223,MATCH(C2534,' Disaggregation - Section E '!A$618:A3223,0)+1,1)&lt;&gt;0,INDEX(' Disaggregation - Section E '!F$618:F3223,MATCH(C2534,' Disaggregation - Section E '!A$618:A3223,0)+1,1),""),"")</f>
        <v/>
      </c>
      <c r="I2534" s="391" t="str">
        <f ca="1">IFERROR(IF(VLOOKUP(C2534,' Disaggregation - Section E '!A$618:J3223,8,0)=0,"",VLOOKUP(C2534,' Disaggregation - Section E '!A$618:J3223,8,0)),"")</f>
        <v/>
      </c>
      <c r="J2534" s="391" t="str">
        <f ca="1">IFERROR(IF(VLOOKUP(C2534,' Disaggregation - Section E '!A$618:J3223,9,0)="","",VLOOKUP(C2534,' Disaggregation - Section E '!A$618:J3223,9,0)),"")</f>
        <v/>
      </c>
      <c r="K2534" s="387" t="str">
        <f ca="1">IFERROR(VLOOKUP(C2534,' Disaggregation - Section E '!A$618:J3223,3,0),"")</f>
        <v>KP-1c Percentage of sex workers reached with HIV prevention programs - defined package of services</v>
      </c>
      <c r="L2534" s="387"/>
      <c r="M2534" s="387" t="str">
        <f ca="1">IFERROR(IF(VLOOKUP(C2534,' Disaggregation - Section E '!A$618:O1546,15,0)=0,"",VLOOKUP(C2534,' Disaggregation - Section E '!A$618:O1546,15,0)),"")</f>
        <v>IDR-01200</v>
      </c>
      <c r="N2534" s="391" t="str">
        <f ca="1">IFERROR(IF(VLOOKUP(C2534,' Disaggregation - Section E '!A$618:J3223,10,0)=0,"",VLOOKUP(C2534,' Disaggregation - Section E '!A$618:J3223,10,0)),"")</f>
        <v>Disaggregated data not available. The activity will be taken into account from 2024 onwards</v>
      </c>
      <c r="O2534" s="387"/>
      <c r="P2534" s="387" t="str">
        <f ca="1">IFERROR(IF(VLOOKUP(C2534,' Disaggregation - Section E '!A$618:R1546,18,0)=0,"",VLOOKUP(C2534,' Disaggregation - Section E '!A$618:R1546,18,0)),"")</f>
        <v>a1LDm000000Cb26MAC</v>
      </c>
    </row>
    <row r="2535" spans="1:16">
      <c r="A2535" s="387" t="b">
        <f t="shared" ca="1" si="170"/>
        <v>1</v>
      </c>
      <c r="B2535" s="387"/>
      <c r="C2535" s="396" t="str">
        <f ca="1">IF(COUNTA(O$1610:O2535)=1,"",OFFSET(B2533,-COUNTA(O$1610:O2535)+3,1))</f>
        <v>a16Dm000000M3ukIAC</v>
      </c>
      <c r="D2535" s="392"/>
      <c r="E2535" s="389" t="str">
        <f ca="1">IFERROR(IF(VLOOKUP(C2535,' Disaggregation - Section E '!A$618:J3224,7,0)="","",VLOOKUP(C2535,' Disaggregation - Section E '!A$618:J3224,7,0)*100),"")</f>
        <v/>
      </c>
      <c r="F2535" s="391" t="str">
        <f ca="1">IFERROR(VLOOKUP(C2535,' Disaggregation - Section E '!A$618:J3224,5,0),"")</f>
        <v>Transgender</v>
      </c>
      <c r="G2535" s="390" t="str">
        <f ca="1">IFERROR(IF(VLOOKUP(C2535,' Disaggregation - Section E '!A$618:J3224,6,0)="","",VLOOKUP(C2535,' Disaggregation - Section E '!A$618:J3224,6,0)),"")</f>
        <v/>
      </c>
      <c r="H2535" s="390" t="str">
        <f ca="1">IFERROR(IF(INDEX(' Disaggregation - Section E '!F$618:F3224,MATCH(C2535,' Disaggregation - Section E '!A$618:A3224,0)+1,1)&lt;&gt;0,INDEX(' Disaggregation - Section E '!F$618:F3224,MATCH(C2535,' Disaggregation - Section E '!A$618:A3224,0)+1,1),""),"")</f>
        <v/>
      </c>
      <c r="I2535" s="391" t="str">
        <f ca="1">IFERROR(IF(VLOOKUP(C2535,' Disaggregation - Section E '!A$618:J3224,8,0)=0,"",VLOOKUP(C2535,' Disaggregation - Section E '!A$618:J3224,8,0)),"")</f>
        <v/>
      </c>
      <c r="J2535" s="391" t="str">
        <f ca="1">IFERROR(IF(VLOOKUP(C2535,' Disaggregation - Section E '!A$618:J3224,9,0)="","",VLOOKUP(C2535,' Disaggregation - Section E '!A$618:J3224,9,0)),"")</f>
        <v/>
      </c>
      <c r="K2535" s="387" t="str">
        <f ca="1">IFERROR(VLOOKUP(C2535,' Disaggregation - Section E '!A$618:J3224,3,0),"")</f>
        <v>KP-1c Percentage of sex workers reached with HIV prevention programs - defined package of services</v>
      </c>
      <c r="L2535" s="387"/>
      <c r="M2535" s="387" t="str">
        <f ca="1">IFERROR(IF(VLOOKUP(C2535,' Disaggregation - Section E '!A$618:O1547,15,0)=0,"",VLOOKUP(C2535,' Disaggregation - Section E '!A$618:O1547,15,0)),"")</f>
        <v>IDR-01199</v>
      </c>
      <c r="N2535" s="391" t="str">
        <f ca="1">IFERROR(IF(VLOOKUP(C2535,' Disaggregation - Section E '!A$618:J3224,10,0)=0,"",VLOOKUP(C2535,' Disaggregation - Section E '!A$618:J3224,10,0)),"")</f>
        <v>Disaggregated data not available. The activity will be taken into account from 2024 onwards</v>
      </c>
      <c r="O2535" s="387"/>
      <c r="P2535" s="387" t="str">
        <f ca="1">IFERROR(IF(VLOOKUP(C2535,' Disaggregation - Section E '!A$618:R1547,18,0)=0,"",VLOOKUP(C2535,' Disaggregation - Section E '!A$618:R1547,18,0)),"")</f>
        <v>a1LDm000000Cb25MAC</v>
      </c>
    </row>
    <row r="2536" spans="1:16">
      <c r="A2536" s="387" t="b">
        <f t="shared" ca="1" si="170"/>
        <v>1</v>
      </c>
      <c r="B2536" s="387"/>
      <c r="C2536" s="396" t="str">
        <f ca="1">IF(COUNTA(O$1610:O2536)=1,"",OFFSET(B2534,-COUNTA(O$1610:O2536)+3,1))</f>
        <v>a16Dm000000M3ulIAC</v>
      </c>
      <c r="D2536" s="392"/>
      <c r="E2536" s="389" t="str">
        <f ca="1">IFERROR(IF(VLOOKUP(C2536,' Disaggregation - Section E '!A$618:J3225,7,0)="","",VLOOKUP(C2536,' Disaggregation - Section E '!A$618:J3225,7,0)*100),"")</f>
        <v/>
      </c>
      <c r="F2536" s="391" t="str">
        <f ca="1">IFERROR(VLOOKUP(C2536,' Disaggregation - Section E '!A$618:J3225,5,0),"")</f>
        <v>Male</v>
      </c>
      <c r="G2536" s="390" t="str">
        <f ca="1">IFERROR(IF(VLOOKUP(C2536,' Disaggregation - Section E '!A$618:J3225,6,0)="","",VLOOKUP(C2536,' Disaggregation - Section E '!A$618:J3225,6,0)),"")</f>
        <v/>
      </c>
      <c r="H2536" s="390" t="str">
        <f ca="1">IFERROR(IF(INDEX(' Disaggregation - Section E '!F$618:F3225,MATCH(C2536,' Disaggregation - Section E '!A$618:A3225,0)+1,1)&lt;&gt;0,INDEX(' Disaggregation - Section E '!F$618:F3225,MATCH(C2536,' Disaggregation - Section E '!A$618:A3225,0)+1,1),""),"")</f>
        <v/>
      </c>
      <c r="I2536" s="391" t="str">
        <f ca="1">IFERROR(IF(VLOOKUP(C2536,' Disaggregation - Section E '!A$618:J3225,8,0)=0,"",VLOOKUP(C2536,' Disaggregation - Section E '!A$618:J3225,8,0)),"")</f>
        <v/>
      </c>
      <c r="J2536" s="391" t="str">
        <f ca="1">IFERROR(IF(VLOOKUP(C2536,' Disaggregation - Section E '!A$618:J3225,9,0)="","",VLOOKUP(C2536,' Disaggregation - Section E '!A$618:J3225,9,0)),"")</f>
        <v/>
      </c>
      <c r="K2536" s="387" t="str">
        <f ca="1">IFERROR(VLOOKUP(C2536,' Disaggregation - Section E '!A$618:J3225,3,0),"")</f>
        <v>KP-1c Percentage of sex workers reached with HIV prevention programs - defined package of services</v>
      </c>
      <c r="L2536" s="387"/>
      <c r="M2536" s="387" t="str">
        <f ca="1">IFERROR(IF(VLOOKUP(C2536,' Disaggregation - Section E '!A$618:O1548,15,0)=0,"",VLOOKUP(C2536,' Disaggregation - Section E '!A$618:O1548,15,0)),"")</f>
        <v>IDR-01198</v>
      </c>
      <c r="N2536" s="391" t="str">
        <f ca="1">IFERROR(IF(VLOOKUP(C2536,' Disaggregation - Section E '!A$618:J3225,10,0)=0,"",VLOOKUP(C2536,' Disaggregation - Section E '!A$618:J3225,10,0)),"")</f>
        <v>Disaggregated data not available. The activity will be taken into account from 2024 onwards</v>
      </c>
      <c r="O2536" s="387"/>
      <c r="P2536" s="387" t="str">
        <f ca="1">IFERROR(IF(VLOOKUP(C2536,' Disaggregation - Section E '!A$618:R1548,18,0)=0,"",VLOOKUP(C2536,' Disaggregation - Section E '!A$618:R1548,18,0)),"")</f>
        <v>a1LDm000000Cb24MAC</v>
      </c>
    </row>
    <row r="2537" spans="1:16">
      <c r="A2537" s="387" t="b">
        <f t="shared" ca="1" si="170"/>
        <v>1</v>
      </c>
      <c r="B2537" s="387"/>
      <c r="C2537" s="396" t="str">
        <f ca="1">IF(COUNTA(O$1610:O2537)=1,"",OFFSET(B2535,-COUNTA(O$1610:O2537)+3,1))</f>
        <v>a16Dm000000M3umIAC</v>
      </c>
      <c r="D2537" s="392"/>
      <c r="E2537" s="389" t="str">
        <f ca="1">IFERROR(IF(VLOOKUP(C2537,' Disaggregation - Section E '!A$618:J3226,7,0)="","",VLOOKUP(C2537,' Disaggregation - Section E '!A$618:J3226,7,0)*100),"")</f>
        <v/>
      </c>
      <c r="F2537" s="391" t="str">
        <f ca="1">IFERROR(VLOOKUP(C2537,' Disaggregation - Section E '!A$618:J3226,5,0),"")</f>
        <v>Female</v>
      </c>
      <c r="G2537" s="390" t="str">
        <f ca="1">IFERROR(IF(VLOOKUP(C2537,' Disaggregation - Section E '!A$618:J3226,6,0)="","",VLOOKUP(C2537,' Disaggregation - Section E '!A$618:J3226,6,0)),"")</f>
        <v/>
      </c>
      <c r="H2537" s="390" t="str">
        <f ca="1">IFERROR(IF(INDEX(' Disaggregation - Section E '!F$618:F3226,MATCH(C2537,' Disaggregation - Section E '!A$618:A3226,0)+1,1)&lt;&gt;0,INDEX(' Disaggregation - Section E '!F$618:F3226,MATCH(C2537,' Disaggregation - Section E '!A$618:A3226,0)+1,1),""),"")</f>
        <v/>
      </c>
      <c r="I2537" s="391" t="str">
        <f ca="1">IFERROR(IF(VLOOKUP(C2537,' Disaggregation - Section E '!A$618:J3226,8,0)=0,"",VLOOKUP(C2537,' Disaggregation - Section E '!A$618:J3226,8,0)),"")</f>
        <v/>
      </c>
      <c r="J2537" s="391" t="str">
        <f ca="1">IFERROR(IF(VLOOKUP(C2537,' Disaggregation - Section E '!A$618:J3226,9,0)="","",VLOOKUP(C2537,' Disaggregation - Section E '!A$618:J3226,9,0)),"")</f>
        <v/>
      </c>
      <c r="K2537" s="387" t="str">
        <f ca="1">IFERROR(VLOOKUP(C2537,' Disaggregation - Section E '!A$618:J3226,3,0),"")</f>
        <v>KP-1c Percentage of sex workers reached with HIV prevention programs - defined package of services</v>
      </c>
      <c r="L2537" s="387"/>
      <c r="M2537" s="387" t="str">
        <f ca="1">IFERROR(IF(VLOOKUP(C2537,' Disaggregation - Section E '!A$618:O1549,15,0)=0,"",VLOOKUP(C2537,' Disaggregation - Section E '!A$618:O1549,15,0)),"")</f>
        <v>IDR-01197</v>
      </c>
      <c r="N2537" s="391" t="str">
        <f ca="1">IFERROR(IF(VLOOKUP(C2537,' Disaggregation - Section E '!A$618:J3226,10,0)=0,"",VLOOKUP(C2537,' Disaggregation - Section E '!A$618:J3226,10,0)),"")</f>
        <v>Disaggregated data not available. The activity will be taken into account from 2024 onwards</v>
      </c>
      <c r="O2537" s="387"/>
      <c r="P2537" s="387" t="str">
        <f ca="1">IFERROR(IF(VLOOKUP(C2537,' Disaggregation - Section E '!A$618:R1549,18,0)=0,"",VLOOKUP(C2537,' Disaggregation - Section E '!A$618:R1549,18,0)),"")</f>
        <v>a1LDm000000Cb23MAC</v>
      </c>
    </row>
    <row r="2538" spans="1:16">
      <c r="A2538" s="387" t="b">
        <f t="shared" ca="1" si="170"/>
        <v>0</v>
      </c>
      <c r="B2538" s="387"/>
      <c r="C2538" s="396" t="str">
        <f ca="1">IF(COUNTA(O$1610:O2538)=1,"",OFFSET(B2536,-COUNTA(O$1610:O2538)+3,1))</f>
        <v>a16Dm000000M3unIAC</v>
      </c>
      <c r="D2538" s="392"/>
      <c r="E2538" s="389" t="str">
        <f ca="1">IFERROR(IF(VLOOKUP(C2538,' Disaggregation - Section E '!A$618:J3227,7,0)="","",VLOOKUP(C2538,' Disaggregation - Section E '!A$618:J3227,7,0)*100),"")</f>
        <v/>
      </c>
      <c r="F2538" s="391" t="str">
        <f ca="1">IFERROR(VLOOKUP(C2538,' Disaggregation - Section E '!A$618:J3227,5,0),"")</f>
        <v/>
      </c>
      <c r="G2538" s="390" t="str">
        <f ca="1">IFERROR(IF(VLOOKUP(C2538,' Disaggregation - Section E '!A$618:J3227,6,0)="","",VLOOKUP(C2538,' Disaggregation - Section E '!A$618:J3227,6,0)),"")</f>
        <v/>
      </c>
      <c r="H2538" s="390" t="str">
        <f ca="1">IFERROR(IF(INDEX(' Disaggregation - Section E '!F$618:F3227,MATCH(C2538,' Disaggregation - Section E '!A$618:A3227,0)+1,1)&lt;&gt;0,INDEX(' Disaggregation - Section E '!F$618:F3227,MATCH(C2538,' Disaggregation - Section E '!A$618:A3227,0)+1,1),""),"")</f>
        <v/>
      </c>
      <c r="I2538" s="391" t="str">
        <f ca="1">IFERROR(IF(VLOOKUP(C2538,' Disaggregation - Section E '!A$618:J3227,8,0)=0,"",VLOOKUP(C2538,' Disaggregation - Section E '!A$618:J3227,8,0)),"")</f>
        <v/>
      </c>
      <c r="J2538" s="391" t="str">
        <f ca="1">IFERROR(IF(VLOOKUP(C2538,' Disaggregation - Section E '!A$618:J3227,9,0)="","",VLOOKUP(C2538,' Disaggregation - Section E '!A$618:J3227,9,0)),"")</f>
        <v/>
      </c>
      <c r="K2538" s="387" t="str">
        <f ca="1">IFERROR(VLOOKUP(C2538,' Disaggregation - Section E '!A$618:J3227,3,0),"")</f>
        <v>KP-1c Percentage of sex workers reached with HIV prevention programs - defined package of services</v>
      </c>
      <c r="L2538" s="387"/>
      <c r="M2538" s="387" t="str">
        <f ca="1">IFERROR(IF(VLOOKUP(C2538,' Disaggregation - Section E '!A$618:O1550,15,0)=0,"",VLOOKUP(C2538,' Disaggregation - Section E '!A$618:O1550,15,0)),"")</f>
        <v/>
      </c>
      <c r="N2538" s="391" t="str">
        <f ca="1">IFERROR(IF(VLOOKUP(C2538,' Disaggregation - Section E '!A$618:J3227,10,0)=0,"",VLOOKUP(C2538,' Disaggregation - Section E '!A$618:J3227,10,0)),"")</f>
        <v/>
      </c>
      <c r="O2538" s="387"/>
      <c r="P2538" s="387" t="str">
        <f ca="1">IFERROR(IF(VLOOKUP(C2538,' Disaggregation - Section E '!A$618:R1550,18,0)=0,"",VLOOKUP(C2538,' Disaggregation - Section E '!A$618:R1550,18,0)),"")</f>
        <v/>
      </c>
    </row>
    <row r="2539" spans="1:16">
      <c r="A2539" s="387" t="b">
        <f t="shared" ca="1" si="170"/>
        <v>0</v>
      </c>
      <c r="B2539" s="387"/>
      <c r="C2539" s="396" t="str">
        <f ca="1">IF(COUNTA(O$1610:O2539)=1,"",OFFSET(B2537,-COUNTA(O$1610:O2539)+3,1))</f>
        <v>a16Dm000000M3uoIAC</v>
      </c>
      <c r="D2539" s="392"/>
      <c r="E2539" s="389" t="str">
        <f ca="1">IFERROR(IF(VLOOKUP(C2539,' Disaggregation - Section E '!A$618:J3228,7,0)="","",VLOOKUP(C2539,' Disaggregation - Section E '!A$618:J3228,7,0)*100),"")</f>
        <v/>
      </c>
      <c r="F2539" s="391" t="str">
        <f ca="1">IFERROR(VLOOKUP(C2539,' Disaggregation - Section E '!A$618:J3228,5,0),"")</f>
        <v/>
      </c>
      <c r="G2539" s="390" t="str">
        <f ca="1">IFERROR(IF(VLOOKUP(C2539,' Disaggregation - Section E '!A$618:J3228,6,0)="","",VLOOKUP(C2539,' Disaggregation - Section E '!A$618:J3228,6,0)),"")</f>
        <v/>
      </c>
      <c r="H2539" s="390" t="str">
        <f ca="1">IFERROR(IF(INDEX(' Disaggregation - Section E '!F$618:F3228,MATCH(C2539,' Disaggregation - Section E '!A$618:A3228,0)+1,1)&lt;&gt;0,INDEX(' Disaggregation - Section E '!F$618:F3228,MATCH(C2539,' Disaggregation - Section E '!A$618:A3228,0)+1,1),""),"")</f>
        <v/>
      </c>
      <c r="I2539" s="391" t="str">
        <f ca="1">IFERROR(IF(VLOOKUP(C2539,' Disaggregation - Section E '!A$618:J3228,8,0)=0,"",VLOOKUP(C2539,' Disaggregation - Section E '!A$618:J3228,8,0)),"")</f>
        <v/>
      </c>
      <c r="J2539" s="391" t="str">
        <f ca="1">IFERROR(IF(VLOOKUP(C2539,' Disaggregation - Section E '!A$618:J3228,9,0)="","",VLOOKUP(C2539,' Disaggregation - Section E '!A$618:J3228,9,0)),"")</f>
        <v/>
      </c>
      <c r="K2539" s="387" t="str">
        <f ca="1">IFERROR(VLOOKUP(C2539,' Disaggregation - Section E '!A$618:J3228,3,0),"")</f>
        <v>KP-1c Percentage of sex workers reached with HIV prevention programs - defined package of services</v>
      </c>
      <c r="L2539" s="387"/>
      <c r="M2539" s="387" t="str">
        <f ca="1">IFERROR(IF(VLOOKUP(C2539,' Disaggregation - Section E '!A$618:O1551,15,0)=0,"",VLOOKUP(C2539,' Disaggregation - Section E '!A$618:O1551,15,0)),"")</f>
        <v/>
      </c>
      <c r="N2539" s="391" t="str">
        <f ca="1">IFERROR(IF(VLOOKUP(C2539,' Disaggregation - Section E '!A$618:J3228,10,0)=0,"",VLOOKUP(C2539,' Disaggregation - Section E '!A$618:J3228,10,0)),"")</f>
        <v/>
      </c>
      <c r="O2539" s="387"/>
      <c r="P2539" s="387" t="str">
        <f ca="1">IFERROR(IF(VLOOKUP(C2539,' Disaggregation - Section E '!A$618:R1551,18,0)=0,"",VLOOKUP(C2539,' Disaggregation - Section E '!A$618:R1551,18,0)),"")</f>
        <v/>
      </c>
    </row>
    <row r="2540" spans="1:16">
      <c r="A2540" s="387" t="b">
        <f t="shared" ca="1" si="170"/>
        <v>0</v>
      </c>
      <c r="B2540" s="387"/>
      <c r="C2540" s="396" t="str">
        <f ca="1">IF(COUNTA(O$1610:O2540)=1,"",OFFSET(B2538,-COUNTA(O$1610:O2540)+3,1))</f>
        <v>a16Dm000000M3upIAC</v>
      </c>
      <c r="D2540" s="392"/>
      <c r="E2540" s="389" t="str">
        <f ca="1">IFERROR(IF(VLOOKUP(C2540,' Disaggregation - Section E '!A$618:J3229,7,0)="","",VLOOKUP(C2540,' Disaggregation - Section E '!A$618:J3229,7,0)*100),"")</f>
        <v/>
      </c>
      <c r="F2540" s="391" t="str">
        <f ca="1">IFERROR(VLOOKUP(C2540,' Disaggregation - Section E '!A$618:J3229,5,0),"")</f>
        <v/>
      </c>
      <c r="G2540" s="390" t="str">
        <f ca="1">IFERROR(IF(VLOOKUP(C2540,' Disaggregation - Section E '!A$618:J3229,6,0)="","",VLOOKUP(C2540,' Disaggregation - Section E '!A$618:J3229,6,0)),"")</f>
        <v/>
      </c>
      <c r="H2540" s="390" t="str">
        <f ca="1">IFERROR(IF(INDEX(' Disaggregation - Section E '!F$618:F3229,MATCH(C2540,' Disaggregation - Section E '!A$618:A3229,0)+1,1)&lt;&gt;0,INDEX(' Disaggregation - Section E '!F$618:F3229,MATCH(C2540,' Disaggregation - Section E '!A$618:A3229,0)+1,1),""),"")</f>
        <v/>
      </c>
      <c r="I2540" s="391" t="str">
        <f ca="1">IFERROR(IF(VLOOKUP(C2540,' Disaggregation - Section E '!A$618:J3229,8,0)=0,"",VLOOKUP(C2540,' Disaggregation - Section E '!A$618:J3229,8,0)),"")</f>
        <v/>
      </c>
      <c r="J2540" s="391" t="str">
        <f ca="1">IFERROR(IF(VLOOKUP(C2540,' Disaggregation - Section E '!A$618:J3229,9,0)="","",VLOOKUP(C2540,' Disaggregation - Section E '!A$618:J3229,9,0)),"")</f>
        <v/>
      </c>
      <c r="K2540" s="387" t="str">
        <f ca="1">IFERROR(VLOOKUP(C2540,' Disaggregation - Section E '!A$618:J3229,3,0),"")</f>
        <v>KP-1c Percentage of sex workers reached with HIV prevention programs - defined package of services</v>
      </c>
      <c r="L2540" s="387"/>
      <c r="M2540" s="387" t="str">
        <f ca="1">IFERROR(IF(VLOOKUP(C2540,' Disaggregation - Section E '!A$618:O1552,15,0)=0,"",VLOOKUP(C2540,' Disaggregation - Section E '!A$618:O1552,15,0)),"")</f>
        <v/>
      </c>
      <c r="N2540" s="391" t="str">
        <f ca="1">IFERROR(IF(VLOOKUP(C2540,' Disaggregation - Section E '!A$618:J3229,10,0)=0,"",VLOOKUP(C2540,' Disaggregation - Section E '!A$618:J3229,10,0)),"")</f>
        <v/>
      </c>
      <c r="O2540" s="387"/>
      <c r="P2540" s="387" t="str">
        <f ca="1">IFERROR(IF(VLOOKUP(C2540,' Disaggregation - Section E '!A$618:R1552,18,0)=0,"",VLOOKUP(C2540,' Disaggregation - Section E '!A$618:R1552,18,0)),"")</f>
        <v/>
      </c>
    </row>
    <row r="2541" spans="1:16">
      <c r="A2541" s="387" t="b">
        <f t="shared" ca="1" si="170"/>
        <v>0</v>
      </c>
      <c r="B2541" s="387"/>
      <c r="C2541" s="396" t="str">
        <f ca="1">IF(COUNTA(O$1610:O2541)=1,"",OFFSET(B2539,-COUNTA(O$1610:O2541)+3,1))</f>
        <v>a16Dm000000M3uqIAC</v>
      </c>
      <c r="D2541" s="392"/>
      <c r="E2541" s="389" t="str">
        <f ca="1">IFERROR(IF(VLOOKUP(C2541,' Disaggregation - Section E '!A$618:J3230,7,0)="","",VLOOKUP(C2541,' Disaggregation - Section E '!A$618:J3230,7,0)*100),"")</f>
        <v/>
      </c>
      <c r="F2541" s="391" t="str">
        <f ca="1">IFERROR(VLOOKUP(C2541,' Disaggregation - Section E '!A$618:J3230,5,0),"")</f>
        <v/>
      </c>
      <c r="G2541" s="390" t="str">
        <f ca="1">IFERROR(IF(VLOOKUP(C2541,' Disaggregation - Section E '!A$618:J3230,6,0)="","",VLOOKUP(C2541,' Disaggregation - Section E '!A$618:J3230,6,0)),"")</f>
        <v/>
      </c>
      <c r="H2541" s="390" t="str">
        <f ca="1">IFERROR(IF(INDEX(' Disaggregation - Section E '!F$618:F3230,MATCH(C2541,' Disaggregation - Section E '!A$618:A3230,0)+1,1)&lt;&gt;0,INDEX(' Disaggregation - Section E '!F$618:F3230,MATCH(C2541,' Disaggregation - Section E '!A$618:A3230,0)+1,1),""),"")</f>
        <v/>
      </c>
      <c r="I2541" s="391" t="str">
        <f ca="1">IFERROR(IF(VLOOKUP(C2541,' Disaggregation - Section E '!A$618:J3230,8,0)=0,"",VLOOKUP(C2541,' Disaggregation - Section E '!A$618:J3230,8,0)),"")</f>
        <v/>
      </c>
      <c r="J2541" s="391" t="str">
        <f ca="1">IFERROR(IF(VLOOKUP(C2541,' Disaggregation - Section E '!A$618:J3230,9,0)="","",VLOOKUP(C2541,' Disaggregation - Section E '!A$618:J3230,9,0)),"")</f>
        <v/>
      </c>
      <c r="K2541" s="387" t="str">
        <f ca="1">IFERROR(VLOOKUP(C2541,' Disaggregation - Section E '!A$618:J3230,3,0),"")</f>
        <v>KP-1c Percentage of sex workers reached with HIV prevention programs - defined package of services</v>
      </c>
      <c r="L2541" s="387"/>
      <c r="M2541" s="387" t="str">
        <f ca="1">IFERROR(IF(VLOOKUP(C2541,' Disaggregation - Section E '!A$618:O1553,15,0)=0,"",VLOOKUP(C2541,' Disaggregation - Section E '!A$618:O1553,15,0)),"")</f>
        <v/>
      </c>
      <c r="N2541" s="391" t="str">
        <f ca="1">IFERROR(IF(VLOOKUP(C2541,' Disaggregation - Section E '!A$618:J3230,10,0)=0,"",VLOOKUP(C2541,' Disaggregation - Section E '!A$618:J3230,10,0)),"")</f>
        <v/>
      </c>
      <c r="O2541" s="387"/>
      <c r="P2541" s="387" t="str">
        <f ca="1">IFERROR(IF(VLOOKUP(C2541,' Disaggregation - Section E '!A$618:R1553,18,0)=0,"",VLOOKUP(C2541,' Disaggregation - Section E '!A$618:R1553,18,0)),"")</f>
        <v/>
      </c>
    </row>
    <row r="2542" spans="1:16">
      <c r="A2542" s="387" t="b">
        <f t="shared" ca="1" si="170"/>
        <v>0</v>
      </c>
      <c r="B2542" s="387"/>
      <c r="C2542" s="396" t="str">
        <f ca="1">IF(COUNTA(O$1610:O2542)=1,"",OFFSET(B2540,-COUNTA(O$1610:O2542)+3,1))</f>
        <v>a16Dm000000M3urIAC</v>
      </c>
      <c r="D2542" s="392"/>
      <c r="E2542" s="389" t="str">
        <f ca="1">IFERROR(IF(VLOOKUP(C2542,' Disaggregation - Section E '!A$618:J3231,7,0)="","",VLOOKUP(C2542,' Disaggregation - Section E '!A$618:J3231,7,0)*100),"")</f>
        <v/>
      </c>
      <c r="F2542" s="391" t="str">
        <f ca="1">IFERROR(VLOOKUP(C2542,' Disaggregation - Section E '!A$618:J3231,5,0),"")</f>
        <v/>
      </c>
      <c r="G2542" s="390" t="str">
        <f ca="1">IFERROR(IF(VLOOKUP(C2542,' Disaggregation - Section E '!A$618:J3231,6,0)="","",VLOOKUP(C2542,' Disaggregation - Section E '!A$618:J3231,6,0)),"")</f>
        <v/>
      </c>
      <c r="H2542" s="390" t="str">
        <f ca="1">IFERROR(IF(INDEX(' Disaggregation - Section E '!F$618:F3231,MATCH(C2542,' Disaggregation - Section E '!A$618:A3231,0)+1,1)&lt;&gt;0,INDEX(' Disaggregation - Section E '!F$618:F3231,MATCH(C2542,' Disaggregation - Section E '!A$618:A3231,0)+1,1),""),"")</f>
        <v/>
      </c>
      <c r="I2542" s="391" t="str">
        <f ca="1">IFERROR(IF(VLOOKUP(C2542,' Disaggregation - Section E '!A$618:J3231,8,0)=0,"",VLOOKUP(C2542,' Disaggregation - Section E '!A$618:J3231,8,0)),"")</f>
        <v/>
      </c>
      <c r="J2542" s="391" t="str">
        <f ca="1">IFERROR(IF(VLOOKUP(C2542,' Disaggregation - Section E '!A$618:J3231,9,0)="","",VLOOKUP(C2542,' Disaggregation - Section E '!A$618:J3231,9,0)),"")</f>
        <v/>
      </c>
      <c r="K2542" s="387" t="str">
        <f ca="1">IFERROR(VLOOKUP(C2542,' Disaggregation - Section E '!A$618:J3231,3,0),"")</f>
        <v>KP-1c Percentage of sex workers reached with HIV prevention programs - defined package of services</v>
      </c>
      <c r="L2542" s="387"/>
      <c r="M2542" s="387" t="str">
        <f ca="1">IFERROR(IF(VLOOKUP(C2542,' Disaggregation - Section E '!A$618:O1554,15,0)=0,"",VLOOKUP(C2542,' Disaggregation - Section E '!A$618:O1554,15,0)),"")</f>
        <v/>
      </c>
      <c r="N2542" s="391" t="str">
        <f ca="1">IFERROR(IF(VLOOKUP(C2542,' Disaggregation - Section E '!A$618:J3231,10,0)=0,"",VLOOKUP(C2542,' Disaggregation - Section E '!A$618:J3231,10,0)),"")</f>
        <v/>
      </c>
      <c r="O2542" s="387"/>
      <c r="P2542" s="387" t="str">
        <f ca="1">IFERROR(IF(VLOOKUP(C2542,' Disaggregation - Section E '!A$618:R1554,18,0)=0,"",VLOOKUP(C2542,' Disaggregation - Section E '!A$618:R1554,18,0)),"")</f>
        <v/>
      </c>
    </row>
    <row r="2543" spans="1:16">
      <c r="A2543" s="387" t="b">
        <f t="shared" ca="1" si="170"/>
        <v>0</v>
      </c>
      <c r="B2543" s="387"/>
      <c r="C2543" s="396" t="str">
        <f ca="1">IF(COUNTA(O$1610:O2543)=1,"",OFFSET(B2541,-COUNTA(O$1610:O2543)+3,1))</f>
        <v>a16Dm000000M3usIAC</v>
      </c>
      <c r="D2543" s="392"/>
      <c r="E2543" s="389" t="str">
        <f ca="1">IFERROR(IF(VLOOKUP(C2543,' Disaggregation - Section E '!A$618:J3232,7,0)="","",VLOOKUP(C2543,' Disaggregation - Section E '!A$618:J3232,7,0)*100),"")</f>
        <v/>
      </c>
      <c r="F2543" s="391" t="str">
        <f ca="1">IFERROR(VLOOKUP(C2543,' Disaggregation - Section E '!A$618:J3232,5,0),"")</f>
        <v/>
      </c>
      <c r="G2543" s="390" t="str">
        <f ca="1">IFERROR(IF(VLOOKUP(C2543,' Disaggregation - Section E '!A$618:J3232,6,0)="","",VLOOKUP(C2543,' Disaggregation - Section E '!A$618:J3232,6,0)),"")</f>
        <v/>
      </c>
      <c r="H2543" s="390" t="str">
        <f ca="1">IFERROR(IF(INDEX(' Disaggregation - Section E '!F$618:F3232,MATCH(C2543,' Disaggregation - Section E '!A$618:A3232,0)+1,1)&lt;&gt;0,INDEX(' Disaggregation - Section E '!F$618:F3232,MATCH(C2543,' Disaggregation - Section E '!A$618:A3232,0)+1,1),""),"")</f>
        <v/>
      </c>
      <c r="I2543" s="391" t="str">
        <f ca="1">IFERROR(IF(VLOOKUP(C2543,' Disaggregation - Section E '!A$618:J3232,8,0)=0,"",VLOOKUP(C2543,' Disaggregation - Section E '!A$618:J3232,8,0)),"")</f>
        <v/>
      </c>
      <c r="J2543" s="391" t="str">
        <f ca="1">IFERROR(IF(VLOOKUP(C2543,' Disaggregation - Section E '!A$618:J3232,9,0)="","",VLOOKUP(C2543,' Disaggregation - Section E '!A$618:J3232,9,0)),"")</f>
        <v/>
      </c>
      <c r="K2543" s="387" t="str">
        <f ca="1">IFERROR(VLOOKUP(C2543,' Disaggregation - Section E '!A$618:J3232,3,0),"")</f>
        <v>KP-1c Percentage of sex workers reached with HIV prevention programs - defined package of services</v>
      </c>
      <c r="L2543" s="387"/>
      <c r="M2543" s="387" t="str">
        <f ca="1">IFERROR(IF(VLOOKUP(C2543,' Disaggregation - Section E '!A$618:O1555,15,0)=0,"",VLOOKUP(C2543,' Disaggregation - Section E '!A$618:O1555,15,0)),"")</f>
        <v/>
      </c>
      <c r="N2543" s="391" t="str">
        <f ca="1">IFERROR(IF(VLOOKUP(C2543,' Disaggregation - Section E '!A$618:J3232,10,0)=0,"",VLOOKUP(C2543,' Disaggregation - Section E '!A$618:J3232,10,0)),"")</f>
        <v/>
      </c>
      <c r="O2543" s="387"/>
      <c r="P2543" s="387" t="str">
        <f ca="1">IFERROR(IF(VLOOKUP(C2543,' Disaggregation - Section E '!A$618:R1555,18,0)=0,"",VLOOKUP(C2543,' Disaggregation - Section E '!A$618:R1555,18,0)),"")</f>
        <v/>
      </c>
    </row>
    <row r="2544" spans="1:16">
      <c r="A2544" s="387" t="b">
        <f t="shared" ca="1" si="170"/>
        <v>0</v>
      </c>
      <c r="B2544" s="387"/>
      <c r="C2544" s="396" t="str">
        <f ca="1">IF(COUNTA(O$1610:O2544)=1,"",OFFSET(B2542,-COUNTA(O$1610:O2544)+3,1))</f>
        <v>a16Dm000000M3utIAC</v>
      </c>
      <c r="D2544" s="392"/>
      <c r="E2544" s="389" t="str">
        <f ca="1">IFERROR(IF(VLOOKUP(C2544,' Disaggregation - Section E '!A$618:J3233,7,0)="","",VLOOKUP(C2544,' Disaggregation - Section E '!A$618:J3233,7,0)*100),"")</f>
        <v/>
      </c>
      <c r="F2544" s="391" t="str">
        <f ca="1">IFERROR(VLOOKUP(C2544,' Disaggregation - Section E '!A$618:J3233,5,0),"")</f>
        <v/>
      </c>
      <c r="G2544" s="390" t="str">
        <f ca="1">IFERROR(IF(VLOOKUP(C2544,' Disaggregation - Section E '!A$618:J3233,6,0)="","",VLOOKUP(C2544,' Disaggregation - Section E '!A$618:J3233,6,0)),"")</f>
        <v/>
      </c>
      <c r="H2544" s="390" t="str">
        <f ca="1">IFERROR(IF(INDEX(' Disaggregation - Section E '!F$618:F3233,MATCH(C2544,' Disaggregation - Section E '!A$618:A3233,0)+1,1)&lt;&gt;0,INDEX(' Disaggregation - Section E '!F$618:F3233,MATCH(C2544,' Disaggregation - Section E '!A$618:A3233,0)+1,1),""),"")</f>
        <v/>
      </c>
      <c r="I2544" s="391" t="str">
        <f ca="1">IFERROR(IF(VLOOKUP(C2544,' Disaggregation - Section E '!A$618:J3233,8,0)=0,"",VLOOKUP(C2544,' Disaggregation - Section E '!A$618:J3233,8,0)),"")</f>
        <v/>
      </c>
      <c r="J2544" s="391" t="str">
        <f ca="1">IFERROR(IF(VLOOKUP(C2544,' Disaggregation - Section E '!A$618:J3233,9,0)="","",VLOOKUP(C2544,' Disaggregation - Section E '!A$618:J3233,9,0)),"")</f>
        <v/>
      </c>
      <c r="K2544" s="387" t="str">
        <f ca="1">IFERROR(VLOOKUP(C2544,' Disaggregation - Section E '!A$618:J3233,3,0),"")</f>
        <v>KP-1c Percentage of sex workers reached with HIV prevention programs - defined package of services</v>
      </c>
      <c r="L2544" s="387"/>
      <c r="M2544" s="387" t="str">
        <f ca="1">IFERROR(IF(VLOOKUP(C2544,' Disaggregation - Section E '!A$618:O1556,15,0)=0,"",VLOOKUP(C2544,' Disaggregation - Section E '!A$618:O1556,15,0)),"")</f>
        <v/>
      </c>
      <c r="N2544" s="391" t="str">
        <f ca="1">IFERROR(IF(VLOOKUP(C2544,' Disaggregation - Section E '!A$618:J3233,10,0)=0,"",VLOOKUP(C2544,' Disaggregation - Section E '!A$618:J3233,10,0)),"")</f>
        <v/>
      </c>
      <c r="O2544" s="387"/>
      <c r="P2544" s="387" t="str">
        <f ca="1">IFERROR(IF(VLOOKUP(C2544,' Disaggregation - Section E '!A$618:R1556,18,0)=0,"",VLOOKUP(C2544,' Disaggregation - Section E '!A$618:R1556,18,0)),"")</f>
        <v/>
      </c>
    </row>
    <row r="2545" spans="1:16">
      <c r="A2545" s="387" t="b">
        <f t="shared" ca="1" si="170"/>
        <v>0</v>
      </c>
      <c r="B2545" s="387"/>
      <c r="C2545" s="396" t="str">
        <f ca="1">IF(COUNTA(O$1610:O2545)=1,"",OFFSET(B2543,-COUNTA(O$1610:O2545)+3,1))</f>
        <v>a16Dm000000M3uuIAC</v>
      </c>
      <c r="D2545" s="392"/>
      <c r="E2545" s="389" t="str">
        <f ca="1">IFERROR(IF(VLOOKUP(C2545,' Disaggregation - Section E '!A$618:J3234,7,0)="","",VLOOKUP(C2545,' Disaggregation - Section E '!A$618:J3234,7,0)*100),"")</f>
        <v/>
      </c>
      <c r="F2545" s="391" t="str">
        <f ca="1">IFERROR(VLOOKUP(C2545,' Disaggregation - Section E '!A$618:J3234,5,0),"")</f>
        <v/>
      </c>
      <c r="G2545" s="390" t="str">
        <f ca="1">IFERROR(IF(VLOOKUP(C2545,' Disaggregation - Section E '!A$618:J3234,6,0)="","",VLOOKUP(C2545,' Disaggregation - Section E '!A$618:J3234,6,0)),"")</f>
        <v/>
      </c>
      <c r="H2545" s="390" t="str">
        <f ca="1">IFERROR(IF(INDEX(' Disaggregation - Section E '!F$618:F3234,MATCH(C2545,' Disaggregation - Section E '!A$618:A3234,0)+1,1)&lt;&gt;0,INDEX(' Disaggregation - Section E '!F$618:F3234,MATCH(C2545,' Disaggregation - Section E '!A$618:A3234,0)+1,1),""),"")</f>
        <v/>
      </c>
      <c r="I2545" s="391" t="str">
        <f ca="1">IFERROR(IF(VLOOKUP(C2545,' Disaggregation - Section E '!A$618:J3234,8,0)=0,"",VLOOKUP(C2545,' Disaggregation - Section E '!A$618:J3234,8,0)),"")</f>
        <v/>
      </c>
      <c r="J2545" s="391" t="str">
        <f ca="1">IFERROR(IF(VLOOKUP(C2545,' Disaggregation - Section E '!A$618:J3234,9,0)="","",VLOOKUP(C2545,' Disaggregation - Section E '!A$618:J3234,9,0)),"")</f>
        <v/>
      </c>
      <c r="K2545" s="387" t="str">
        <f ca="1">IFERROR(VLOOKUP(C2545,' Disaggregation - Section E '!A$618:J3234,3,0),"")</f>
        <v>KP-1c Percentage of sex workers reached with HIV prevention programs - defined package of services</v>
      </c>
      <c r="L2545" s="387"/>
      <c r="M2545" s="387" t="str">
        <f ca="1">IFERROR(IF(VLOOKUP(C2545,' Disaggregation - Section E '!A$618:O1557,15,0)=0,"",VLOOKUP(C2545,' Disaggregation - Section E '!A$618:O1557,15,0)),"")</f>
        <v/>
      </c>
      <c r="N2545" s="391" t="str">
        <f ca="1">IFERROR(IF(VLOOKUP(C2545,' Disaggregation - Section E '!A$618:J3234,10,0)=0,"",VLOOKUP(C2545,' Disaggregation - Section E '!A$618:J3234,10,0)),"")</f>
        <v/>
      </c>
      <c r="O2545" s="387"/>
      <c r="P2545" s="387" t="str">
        <f ca="1">IFERROR(IF(VLOOKUP(C2545,' Disaggregation - Section E '!A$618:R1557,18,0)=0,"",VLOOKUP(C2545,' Disaggregation - Section E '!A$618:R1557,18,0)),"")</f>
        <v/>
      </c>
    </row>
    <row r="2546" spans="1:16">
      <c r="A2546" s="387" t="b">
        <f t="shared" ca="1" si="170"/>
        <v>0</v>
      </c>
      <c r="B2546" s="387"/>
      <c r="C2546" s="396" t="str">
        <f ca="1">IF(COUNTA(O$1610:O2546)=1,"",OFFSET(B2544,-COUNTA(O$1610:O2546)+3,1))</f>
        <v>a16Dm000000M3uvIAC</v>
      </c>
      <c r="D2546" s="392"/>
      <c r="E2546" s="389" t="str">
        <f ca="1">IFERROR(IF(VLOOKUP(C2546,' Disaggregation - Section E '!A$618:J3235,7,0)="","",VLOOKUP(C2546,' Disaggregation - Section E '!A$618:J3235,7,0)*100),"")</f>
        <v/>
      </c>
      <c r="F2546" s="391" t="str">
        <f ca="1">IFERROR(VLOOKUP(C2546,' Disaggregation - Section E '!A$618:J3235,5,0),"")</f>
        <v/>
      </c>
      <c r="G2546" s="390" t="str">
        <f ca="1">IFERROR(IF(VLOOKUP(C2546,' Disaggregation - Section E '!A$618:J3235,6,0)="","",VLOOKUP(C2546,' Disaggregation - Section E '!A$618:J3235,6,0)),"")</f>
        <v/>
      </c>
      <c r="H2546" s="390" t="str">
        <f ca="1">IFERROR(IF(INDEX(' Disaggregation - Section E '!F$618:F3235,MATCH(C2546,' Disaggregation - Section E '!A$618:A3235,0)+1,1)&lt;&gt;0,INDEX(' Disaggregation - Section E '!F$618:F3235,MATCH(C2546,' Disaggregation - Section E '!A$618:A3235,0)+1,1),""),"")</f>
        <v/>
      </c>
      <c r="I2546" s="391" t="str">
        <f ca="1">IFERROR(IF(VLOOKUP(C2546,' Disaggregation - Section E '!A$618:J3235,8,0)=0,"",VLOOKUP(C2546,' Disaggregation - Section E '!A$618:J3235,8,0)),"")</f>
        <v/>
      </c>
      <c r="J2546" s="391" t="str">
        <f ca="1">IFERROR(IF(VLOOKUP(C2546,' Disaggregation - Section E '!A$618:J3235,9,0)="","",VLOOKUP(C2546,' Disaggregation - Section E '!A$618:J3235,9,0)),"")</f>
        <v/>
      </c>
      <c r="K2546" s="387" t="str">
        <f ca="1">IFERROR(VLOOKUP(C2546,' Disaggregation - Section E '!A$618:J3235,3,0),"")</f>
        <v>KP-1c Percentage of sex workers reached with HIV prevention programs - defined package of services</v>
      </c>
      <c r="L2546" s="387"/>
      <c r="M2546" s="387" t="str">
        <f ca="1">IFERROR(IF(VLOOKUP(C2546,' Disaggregation - Section E '!A$618:O1558,15,0)=0,"",VLOOKUP(C2546,' Disaggregation - Section E '!A$618:O1558,15,0)),"")</f>
        <v/>
      </c>
      <c r="N2546" s="391" t="str">
        <f ca="1">IFERROR(IF(VLOOKUP(C2546,' Disaggregation - Section E '!A$618:J3235,10,0)=0,"",VLOOKUP(C2546,' Disaggregation - Section E '!A$618:J3235,10,0)),"")</f>
        <v/>
      </c>
      <c r="O2546" s="387"/>
      <c r="P2546" s="387" t="str">
        <f ca="1">IFERROR(IF(VLOOKUP(C2546,' Disaggregation - Section E '!A$618:R1558,18,0)=0,"",VLOOKUP(C2546,' Disaggregation - Section E '!A$618:R1558,18,0)),"")</f>
        <v/>
      </c>
    </row>
    <row r="2547" spans="1:16">
      <c r="A2547" s="387" t="b">
        <f t="shared" ca="1" si="170"/>
        <v>0</v>
      </c>
      <c r="B2547" s="387"/>
      <c r="C2547" s="396" t="str">
        <f ca="1">IF(COUNTA(O$1610:O2547)=1,"",OFFSET(B2545,-COUNTA(O$1610:O2547)+3,1))</f>
        <v>a16Dm000000M3uwIAC</v>
      </c>
      <c r="D2547" s="392"/>
      <c r="E2547" s="389" t="str">
        <f ca="1">IFERROR(IF(VLOOKUP(C2547,' Disaggregation - Section E '!A$618:J3236,7,0)="","",VLOOKUP(C2547,' Disaggregation - Section E '!A$618:J3236,7,0)*100),"")</f>
        <v/>
      </c>
      <c r="F2547" s="391" t="str">
        <f ca="1">IFERROR(VLOOKUP(C2547,' Disaggregation - Section E '!A$618:J3236,5,0),"")</f>
        <v/>
      </c>
      <c r="G2547" s="390" t="str">
        <f ca="1">IFERROR(IF(VLOOKUP(C2547,' Disaggregation - Section E '!A$618:J3236,6,0)="","",VLOOKUP(C2547,' Disaggregation - Section E '!A$618:J3236,6,0)),"")</f>
        <v/>
      </c>
      <c r="H2547" s="390" t="str">
        <f ca="1">IFERROR(IF(INDEX(' Disaggregation - Section E '!F$618:F3236,MATCH(C2547,' Disaggregation - Section E '!A$618:A3236,0)+1,1)&lt;&gt;0,INDEX(' Disaggregation - Section E '!F$618:F3236,MATCH(C2547,' Disaggregation - Section E '!A$618:A3236,0)+1,1),""),"")</f>
        <v/>
      </c>
      <c r="I2547" s="391" t="str">
        <f ca="1">IFERROR(IF(VLOOKUP(C2547,' Disaggregation - Section E '!A$618:J3236,8,0)=0,"",VLOOKUP(C2547,' Disaggregation - Section E '!A$618:J3236,8,0)),"")</f>
        <v/>
      </c>
      <c r="J2547" s="391" t="str">
        <f ca="1">IFERROR(IF(VLOOKUP(C2547,' Disaggregation - Section E '!A$618:J3236,9,0)="","",VLOOKUP(C2547,' Disaggregation - Section E '!A$618:J3236,9,0)),"")</f>
        <v/>
      </c>
      <c r="K2547" s="387" t="str">
        <f ca="1">IFERROR(VLOOKUP(C2547,' Disaggregation - Section E '!A$618:J3236,3,0),"")</f>
        <v>KP-1c Percentage of sex workers reached with HIV prevention programs - defined package of services</v>
      </c>
      <c r="L2547" s="387"/>
      <c r="M2547" s="387" t="str">
        <f ca="1">IFERROR(IF(VLOOKUP(C2547,' Disaggregation - Section E '!A$618:O1559,15,0)=0,"",VLOOKUP(C2547,' Disaggregation - Section E '!A$618:O1559,15,0)),"")</f>
        <v/>
      </c>
      <c r="N2547" s="391" t="str">
        <f ca="1">IFERROR(IF(VLOOKUP(C2547,' Disaggregation - Section E '!A$618:J3236,10,0)=0,"",VLOOKUP(C2547,' Disaggregation - Section E '!A$618:J3236,10,0)),"")</f>
        <v/>
      </c>
      <c r="O2547" s="387"/>
      <c r="P2547" s="387" t="str">
        <f ca="1">IFERROR(IF(VLOOKUP(C2547,' Disaggregation - Section E '!A$618:R1559,18,0)=0,"",VLOOKUP(C2547,' Disaggregation - Section E '!A$618:R1559,18,0)),"")</f>
        <v/>
      </c>
    </row>
    <row r="2548" spans="1:16">
      <c r="A2548" s="387" t="b">
        <f t="shared" ca="1" si="170"/>
        <v>0</v>
      </c>
      <c r="B2548" s="387"/>
      <c r="C2548" s="396" t="str">
        <f ca="1">IF(COUNTA(O$1610:O2548)=1,"",OFFSET(B2546,-COUNTA(O$1610:O2548)+3,1))</f>
        <v>a16Dm000000M3uxIAC</v>
      </c>
      <c r="D2548" s="392"/>
      <c r="E2548" s="389" t="str">
        <f ca="1">IFERROR(IF(VLOOKUP(C2548,' Disaggregation - Section E '!A$618:J3237,7,0)="","",VLOOKUP(C2548,' Disaggregation - Section E '!A$618:J3237,7,0)*100),"")</f>
        <v/>
      </c>
      <c r="F2548" s="391" t="str">
        <f ca="1">IFERROR(VLOOKUP(C2548,' Disaggregation - Section E '!A$618:J3237,5,0),"")</f>
        <v/>
      </c>
      <c r="G2548" s="390" t="str">
        <f ca="1">IFERROR(IF(VLOOKUP(C2548,' Disaggregation - Section E '!A$618:J3237,6,0)="","",VLOOKUP(C2548,' Disaggregation - Section E '!A$618:J3237,6,0)),"")</f>
        <v/>
      </c>
      <c r="H2548" s="390" t="str">
        <f ca="1">IFERROR(IF(INDEX(' Disaggregation - Section E '!F$618:F3237,MATCH(C2548,' Disaggregation - Section E '!A$618:A3237,0)+1,1)&lt;&gt;0,INDEX(' Disaggregation - Section E '!F$618:F3237,MATCH(C2548,' Disaggregation - Section E '!A$618:A3237,0)+1,1),""),"")</f>
        <v/>
      </c>
      <c r="I2548" s="391" t="str">
        <f ca="1">IFERROR(IF(VLOOKUP(C2548,' Disaggregation - Section E '!A$618:J3237,8,0)=0,"",VLOOKUP(C2548,' Disaggregation - Section E '!A$618:J3237,8,0)),"")</f>
        <v/>
      </c>
      <c r="J2548" s="391" t="str">
        <f ca="1">IFERROR(IF(VLOOKUP(C2548,' Disaggregation - Section E '!A$618:J3237,9,0)="","",VLOOKUP(C2548,' Disaggregation - Section E '!A$618:J3237,9,0)),"")</f>
        <v/>
      </c>
      <c r="K2548" s="387" t="str">
        <f ca="1">IFERROR(VLOOKUP(C2548,' Disaggregation - Section E '!A$618:J3237,3,0),"")</f>
        <v>KP-1c Percentage of sex workers reached with HIV prevention programs - defined package of services</v>
      </c>
      <c r="L2548" s="387"/>
      <c r="M2548" s="387" t="str">
        <f ca="1">IFERROR(IF(VLOOKUP(C2548,' Disaggregation - Section E '!A$618:O1560,15,0)=0,"",VLOOKUP(C2548,' Disaggregation - Section E '!A$618:O1560,15,0)),"")</f>
        <v/>
      </c>
      <c r="N2548" s="391" t="str">
        <f ca="1">IFERROR(IF(VLOOKUP(C2548,' Disaggregation - Section E '!A$618:J3237,10,0)=0,"",VLOOKUP(C2548,' Disaggregation - Section E '!A$618:J3237,10,0)),"")</f>
        <v/>
      </c>
      <c r="O2548" s="387"/>
      <c r="P2548" s="387" t="str">
        <f ca="1">IFERROR(IF(VLOOKUP(C2548,' Disaggregation - Section E '!A$618:R1560,18,0)=0,"",VLOOKUP(C2548,' Disaggregation - Section E '!A$618:R1560,18,0)),"")</f>
        <v/>
      </c>
    </row>
    <row r="2549" spans="1:16">
      <c r="A2549" s="387" t="b">
        <f t="shared" ca="1" si="170"/>
        <v>0</v>
      </c>
      <c r="B2549" s="387"/>
      <c r="C2549" s="396" t="str">
        <f ca="1">IF(COUNTA(O$1610:O2549)=1,"",OFFSET(B2547,-COUNTA(O$1610:O2549)+3,1))</f>
        <v>a16Dm000000M3uyIAC</v>
      </c>
      <c r="D2549" s="392"/>
      <c r="E2549" s="389" t="str">
        <f ca="1">IFERROR(IF(VLOOKUP(C2549,' Disaggregation - Section E '!A$618:J3238,7,0)="","",VLOOKUP(C2549,' Disaggregation - Section E '!A$618:J3238,7,0)*100),"")</f>
        <v/>
      </c>
      <c r="F2549" s="391" t="str">
        <f ca="1">IFERROR(VLOOKUP(C2549,' Disaggregation - Section E '!A$618:J3238,5,0),"")</f>
        <v/>
      </c>
      <c r="G2549" s="390" t="str">
        <f ca="1">IFERROR(IF(VLOOKUP(C2549,' Disaggregation - Section E '!A$618:J3238,6,0)="","",VLOOKUP(C2549,' Disaggregation - Section E '!A$618:J3238,6,0)),"")</f>
        <v/>
      </c>
      <c r="H2549" s="390" t="str">
        <f ca="1">IFERROR(IF(INDEX(' Disaggregation - Section E '!F$618:F3238,MATCH(C2549,' Disaggregation - Section E '!A$618:A3238,0)+1,1)&lt;&gt;0,INDEX(' Disaggregation - Section E '!F$618:F3238,MATCH(C2549,' Disaggregation - Section E '!A$618:A3238,0)+1,1),""),"")</f>
        <v/>
      </c>
      <c r="I2549" s="391" t="str">
        <f ca="1">IFERROR(IF(VLOOKUP(C2549,' Disaggregation - Section E '!A$618:J3238,8,0)=0,"",VLOOKUP(C2549,' Disaggregation - Section E '!A$618:J3238,8,0)),"")</f>
        <v/>
      </c>
      <c r="J2549" s="391" t="str">
        <f ca="1">IFERROR(IF(VLOOKUP(C2549,' Disaggregation - Section E '!A$618:J3238,9,0)="","",VLOOKUP(C2549,' Disaggregation - Section E '!A$618:J3238,9,0)),"")</f>
        <v/>
      </c>
      <c r="K2549" s="387" t="str">
        <f ca="1">IFERROR(VLOOKUP(C2549,' Disaggregation - Section E '!A$618:J3238,3,0),"")</f>
        <v>KP-1c Percentage of sex workers reached with HIV prevention programs - defined package of services</v>
      </c>
      <c r="L2549" s="387"/>
      <c r="M2549" s="387" t="str">
        <f ca="1">IFERROR(IF(VLOOKUP(C2549,' Disaggregation - Section E '!A$618:O1561,15,0)=0,"",VLOOKUP(C2549,' Disaggregation - Section E '!A$618:O1561,15,0)),"")</f>
        <v/>
      </c>
      <c r="N2549" s="391" t="str">
        <f ca="1">IFERROR(IF(VLOOKUP(C2549,' Disaggregation - Section E '!A$618:J3238,10,0)=0,"",VLOOKUP(C2549,' Disaggregation - Section E '!A$618:J3238,10,0)),"")</f>
        <v/>
      </c>
      <c r="O2549" s="387"/>
      <c r="P2549" s="387" t="str">
        <f ca="1">IFERROR(IF(VLOOKUP(C2549,' Disaggregation - Section E '!A$618:R1561,18,0)=0,"",VLOOKUP(C2549,' Disaggregation - Section E '!A$618:R1561,18,0)),"")</f>
        <v/>
      </c>
    </row>
    <row r="2550" spans="1:16">
      <c r="A2550" s="387" t="b">
        <f t="shared" ca="1" si="170"/>
        <v>0</v>
      </c>
      <c r="B2550" s="387"/>
      <c r="C2550" s="396" t="str">
        <f ca="1">IF(COUNTA(O$1610:O2550)=1,"",OFFSET(B2548,-COUNTA(O$1610:O2550)+3,1))</f>
        <v>a16Dm000000M3uzIAC</v>
      </c>
      <c r="D2550" s="392"/>
      <c r="E2550" s="389" t="str">
        <f ca="1">IFERROR(IF(VLOOKUP(C2550,' Disaggregation - Section E '!A$618:J3239,7,0)="","",VLOOKUP(C2550,' Disaggregation - Section E '!A$618:J3239,7,0)*100),"")</f>
        <v/>
      </c>
      <c r="F2550" s="391" t="str">
        <f ca="1">IFERROR(VLOOKUP(C2550,' Disaggregation - Section E '!A$618:J3239,5,0),"")</f>
        <v/>
      </c>
      <c r="G2550" s="390" t="str">
        <f ca="1">IFERROR(IF(VLOOKUP(C2550,' Disaggregation - Section E '!A$618:J3239,6,0)="","",VLOOKUP(C2550,' Disaggregation - Section E '!A$618:J3239,6,0)),"")</f>
        <v/>
      </c>
      <c r="H2550" s="390" t="str">
        <f ca="1">IFERROR(IF(INDEX(' Disaggregation - Section E '!F$618:F3239,MATCH(C2550,' Disaggregation - Section E '!A$618:A3239,0)+1,1)&lt;&gt;0,INDEX(' Disaggregation - Section E '!F$618:F3239,MATCH(C2550,' Disaggregation - Section E '!A$618:A3239,0)+1,1),""),"")</f>
        <v/>
      </c>
      <c r="I2550" s="391" t="str">
        <f ca="1">IFERROR(IF(VLOOKUP(C2550,' Disaggregation - Section E '!A$618:J3239,8,0)=0,"",VLOOKUP(C2550,' Disaggregation - Section E '!A$618:J3239,8,0)),"")</f>
        <v/>
      </c>
      <c r="J2550" s="391" t="str">
        <f ca="1">IFERROR(IF(VLOOKUP(C2550,' Disaggregation - Section E '!A$618:J3239,9,0)="","",VLOOKUP(C2550,' Disaggregation - Section E '!A$618:J3239,9,0)),"")</f>
        <v/>
      </c>
      <c r="K2550" s="387" t="str">
        <f ca="1">IFERROR(VLOOKUP(C2550,' Disaggregation - Section E '!A$618:J3239,3,0),"")</f>
        <v>KP-1c Percentage of sex workers reached with HIV prevention programs - defined package of services</v>
      </c>
      <c r="L2550" s="387"/>
      <c r="M2550" s="387" t="str">
        <f ca="1">IFERROR(IF(VLOOKUP(C2550,' Disaggregation - Section E '!A$618:O1562,15,0)=0,"",VLOOKUP(C2550,' Disaggregation - Section E '!A$618:O1562,15,0)),"")</f>
        <v/>
      </c>
      <c r="N2550" s="391" t="str">
        <f ca="1">IFERROR(IF(VLOOKUP(C2550,' Disaggregation - Section E '!A$618:J3239,10,0)=0,"",VLOOKUP(C2550,' Disaggregation - Section E '!A$618:J3239,10,0)),"")</f>
        <v/>
      </c>
      <c r="O2550" s="387"/>
      <c r="P2550" s="387" t="str">
        <f ca="1">IFERROR(IF(VLOOKUP(C2550,' Disaggregation - Section E '!A$618:R1562,18,0)=0,"",VLOOKUP(C2550,' Disaggregation - Section E '!A$618:R1562,18,0)),"")</f>
        <v/>
      </c>
    </row>
    <row r="2551" spans="1:16">
      <c r="A2551" s="387" t="b">
        <f t="shared" ca="1" si="170"/>
        <v>0</v>
      </c>
      <c r="B2551" s="387"/>
      <c r="C2551" s="396" t="str">
        <f ca="1">IF(COUNTA(O$1610:O2551)=1,"",OFFSET(B2549,-COUNTA(O$1610:O2551)+3,1))</f>
        <v>a16Dm000000M3v0IAC</v>
      </c>
      <c r="D2551" s="392"/>
      <c r="E2551" s="389" t="str">
        <f ca="1">IFERROR(IF(VLOOKUP(C2551,' Disaggregation - Section E '!A$618:J3240,7,0)="","",VLOOKUP(C2551,' Disaggregation - Section E '!A$618:J3240,7,0)*100),"")</f>
        <v/>
      </c>
      <c r="F2551" s="391" t="str">
        <f ca="1">IFERROR(VLOOKUP(C2551,' Disaggregation - Section E '!A$618:J3240,5,0),"")</f>
        <v/>
      </c>
      <c r="G2551" s="390" t="str">
        <f ca="1">IFERROR(IF(VLOOKUP(C2551,' Disaggregation - Section E '!A$618:J3240,6,0)="","",VLOOKUP(C2551,' Disaggregation - Section E '!A$618:J3240,6,0)),"")</f>
        <v/>
      </c>
      <c r="H2551" s="390" t="str">
        <f ca="1">IFERROR(IF(INDEX(' Disaggregation - Section E '!F$618:F3240,MATCH(C2551,' Disaggregation - Section E '!A$618:A3240,0)+1,1)&lt;&gt;0,INDEX(' Disaggregation - Section E '!F$618:F3240,MATCH(C2551,' Disaggregation - Section E '!A$618:A3240,0)+1,1),""),"")</f>
        <v/>
      </c>
      <c r="I2551" s="391" t="str">
        <f ca="1">IFERROR(IF(VLOOKUP(C2551,' Disaggregation - Section E '!A$618:J3240,8,0)=0,"",VLOOKUP(C2551,' Disaggregation - Section E '!A$618:J3240,8,0)),"")</f>
        <v/>
      </c>
      <c r="J2551" s="391" t="str">
        <f ca="1">IFERROR(IF(VLOOKUP(C2551,' Disaggregation - Section E '!A$618:J3240,9,0)="","",VLOOKUP(C2551,' Disaggregation - Section E '!A$618:J3240,9,0)),"")</f>
        <v/>
      </c>
      <c r="K2551" s="387" t="str">
        <f ca="1">IFERROR(VLOOKUP(C2551,' Disaggregation - Section E '!A$618:J3240,3,0),"")</f>
        <v>KP-1c Percentage of sex workers reached with HIV prevention programs - defined package of services</v>
      </c>
      <c r="L2551" s="387"/>
      <c r="M2551" s="387" t="str">
        <f ca="1">IFERROR(IF(VLOOKUP(C2551,' Disaggregation - Section E '!A$618:O1563,15,0)=0,"",VLOOKUP(C2551,' Disaggregation - Section E '!A$618:O1563,15,0)),"")</f>
        <v/>
      </c>
      <c r="N2551" s="391" t="str">
        <f ca="1">IFERROR(IF(VLOOKUP(C2551,' Disaggregation - Section E '!A$618:J3240,10,0)=0,"",VLOOKUP(C2551,' Disaggregation - Section E '!A$618:J3240,10,0)),"")</f>
        <v/>
      </c>
      <c r="O2551" s="387"/>
      <c r="P2551" s="387" t="str">
        <f ca="1">IFERROR(IF(VLOOKUP(C2551,' Disaggregation - Section E '!A$618:R1563,18,0)=0,"",VLOOKUP(C2551,' Disaggregation - Section E '!A$618:R1563,18,0)),"")</f>
        <v/>
      </c>
    </row>
    <row r="2552" spans="1:16">
      <c r="A2552" s="387" t="b">
        <f t="shared" ca="1" si="170"/>
        <v>1</v>
      </c>
      <c r="B2552" s="387"/>
      <c r="C2552" s="396" t="str">
        <f ca="1">IF(COUNTA(O$1610:O2552)=1,"",OFFSET(B2550,-COUNTA(O$1610:O2552)+3,1))</f>
        <v>a16Dm000000M3v1IAC</v>
      </c>
      <c r="D2552" s="392"/>
      <c r="E2552" s="389" t="str">
        <f ca="1">IFERROR(IF(VLOOKUP(C2552,' Disaggregation - Section E '!A$618:J3241,7,0)="","",VLOOKUP(C2552,' Disaggregation - Section E '!A$618:J3241,7,0)*100),"")</f>
        <v/>
      </c>
      <c r="F2552" s="391" t="str">
        <f ca="1">IFERROR(VLOOKUP(C2552,' Disaggregation - Section E '!A$618:J3241,5,0),"")</f>
        <v>25+</v>
      </c>
      <c r="G2552" s="390" t="str">
        <f ca="1">IFERROR(IF(VLOOKUP(C2552,' Disaggregation - Section E '!A$618:J3241,6,0)="","",VLOOKUP(C2552,' Disaggregation - Section E '!A$618:J3241,6,0)),"")</f>
        <v/>
      </c>
      <c r="H2552" s="390" t="str">
        <f ca="1">IFERROR(IF(INDEX(' Disaggregation - Section E '!F$618:F3241,MATCH(C2552,' Disaggregation - Section E '!A$618:A3241,0)+1,1)&lt;&gt;0,INDEX(' Disaggregation - Section E '!F$618:F3241,MATCH(C2552,' Disaggregation - Section E '!A$618:A3241,0)+1,1),""),"")</f>
        <v/>
      </c>
      <c r="I2552" s="391" t="str">
        <f ca="1">IFERROR(IF(VLOOKUP(C2552,' Disaggregation - Section E '!A$618:J3241,8,0)=0,"",VLOOKUP(C2552,' Disaggregation - Section E '!A$618:J3241,8,0)),"")</f>
        <v/>
      </c>
      <c r="J2552" s="391" t="str">
        <f ca="1">IFERROR(IF(VLOOKUP(C2552,' Disaggregation - Section E '!A$618:J3241,9,0)="","",VLOOKUP(C2552,' Disaggregation - Section E '!A$618:J3241,9,0)),"")</f>
        <v/>
      </c>
      <c r="K2552" s="387" t="str">
        <f ca="1">IFERROR(VLOOKUP(C2552,' Disaggregation - Section E '!A$618:J3241,3,0),"")</f>
        <v>KP-6c Number of sex workers who received any PrEP product at least once during the reporting period</v>
      </c>
      <c r="L2552" s="387"/>
      <c r="M2552" s="387" t="str">
        <f ca="1">IFERROR(IF(VLOOKUP(C2552,' Disaggregation - Section E '!A$618:O1564,15,0)=0,"",VLOOKUP(C2552,' Disaggregation - Section E '!A$618:O1564,15,0)),"")</f>
        <v>IDR-01211</v>
      </c>
      <c r="N2552" s="391" t="str">
        <f ca="1">IFERROR(IF(VLOOKUP(C2552,' Disaggregation - Section E '!A$618:J3241,10,0)=0,"",VLOOKUP(C2552,' Disaggregation - Section E '!A$618:J3241,10,0)),"")</f>
        <v>Disaggregated data not available. The activity will be taken into account from 2024 onwards</v>
      </c>
      <c r="O2552" s="387"/>
      <c r="P2552" s="387" t="str">
        <f ca="1">IFERROR(IF(VLOOKUP(C2552,' Disaggregation - Section E '!A$618:R1564,18,0)=0,"",VLOOKUP(C2552,' Disaggregation - Section E '!A$618:R1564,18,0)),"")</f>
        <v>a1LDm000000Cb2HMAS</v>
      </c>
    </row>
    <row r="2553" spans="1:16">
      <c r="A2553" s="387" t="b">
        <f t="shared" ca="1" si="170"/>
        <v>1</v>
      </c>
      <c r="B2553" s="387"/>
      <c r="C2553" s="396" t="str">
        <f ca="1">IF(COUNTA(O$1610:O2553)=1,"",OFFSET(B2551,-COUNTA(O$1610:O2553)+3,1))</f>
        <v>a16Dm000000M3v2IAC</v>
      </c>
      <c r="D2553" s="392"/>
      <c r="E2553" s="389" t="str">
        <f ca="1">IFERROR(IF(VLOOKUP(C2553,' Disaggregation - Section E '!A$618:J3242,7,0)="","",VLOOKUP(C2553,' Disaggregation - Section E '!A$618:J3242,7,0)*100),"")</f>
        <v/>
      </c>
      <c r="F2553" s="391" t="str">
        <f ca="1">IFERROR(VLOOKUP(C2553,' Disaggregation - Section E '!A$618:J3242,5,0),"")</f>
        <v>20-24</v>
      </c>
      <c r="G2553" s="390" t="str">
        <f ca="1">IFERROR(IF(VLOOKUP(C2553,' Disaggregation - Section E '!A$618:J3242,6,0)="","",VLOOKUP(C2553,' Disaggregation - Section E '!A$618:J3242,6,0)),"")</f>
        <v/>
      </c>
      <c r="H2553" s="390" t="str">
        <f ca="1">IFERROR(IF(INDEX(' Disaggregation - Section E '!F$618:F3242,MATCH(C2553,' Disaggregation - Section E '!A$618:A3242,0)+1,1)&lt;&gt;0,INDEX(' Disaggregation - Section E '!F$618:F3242,MATCH(C2553,' Disaggregation - Section E '!A$618:A3242,0)+1,1),""),"")</f>
        <v/>
      </c>
      <c r="I2553" s="391" t="str">
        <f ca="1">IFERROR(IF(VLOOKUP(C2553,' Disaggregation - Section E '!A$618:J3242,8,0)=0,"",VLOOKUP(C2553,' Disaggregation - Section E '!A$618:J3242,8,0)),"")</f>
        <v/>
      </c>
      <c r="J2553" s="391" t="str">
        <f ca="1">IFERROR(IF(VLOOKUP(C2553,' Disaggregation - Section E '!A$618:J3242,9,0)="","",VLOOKUP(C2553,' Disaggregation - Section E '!A$618:J3242,9,0)),"")</f>
        <v/>
      </c>
      <c r="K2553" s="387" t="str">
        <f ca="1">IFERROR(VLOOKUP(C2553,' Disaggregation - Section E '!A$618:J3242,3,0),"")</f>
        <v>KP-6c Number of sex workers who received any PrEP product at least once during the reporting period</v>
      </c>
      <c r="L2553" s="387"/>
      <c r="M2553" s="387" t="str">
        <f ca="1">IFERROR(IF(VLOOKUP(C2553,' Disaggregation - Section E '!A$618:O1565,15,0)=0,"",VLOOKUP(C2553,' Disaggregation - Section E '!A$618:O1565,15,0)),"")</f>
        <v>IDR-01210</v>
      </c>
      <c r="N2553" s="391" t="str">
        <f ca="1">IFERROR(IF(VLOOKUP(C2553,' Disaggregation - Section E '!A$618:J3242,10,0)=0,"",VLOOKUP(C2553,' Disaggregation - Section E '!A$618:J3242,10,0)),"")</f>
        <v>Disaggregated data not available. The activity will be taken into account from 2024 onwards</v>
      </c>
      <c r="O2553" s="387"/>
      <c r="P2553" s="387" t="str">
        <f ca="1">IFERROR(IF(VLOOKUP(C2553,' Disaggregation - Section E '!A$618:R1565,18,0)=0,"",VLOOKUP(C2553,' Disaggregation - Section E '!A$618:R1565,18,0)),"")</f>
        <v>a1LDm000000Cb2GMAS</v>
      </c>
    </row>
    <row r="2554" spans="1:16">
      <c r="A2554" s="387" t="b">
        <f t="shared" ca="1" si="170"/>
        <v>1</v>
      </c>
      <c r="B2554" s="387"/>
      <c r="C2554" s="396" t="str">
        <f ca="1">IF(COUNTA(O$1610:O2554)=1,"",OFFSET(B2552,-COUNTA(O$1610:O2554)+3,1))</f>
        <v>a16Dm000000M3v3IAC</v>
      </c>
      <c r="D2554" s="392"/>
      <c r="E2554" s="389" t="str">
        <f ca="1">IFERROR(IF(VLOOKUP(C2554,' Disaggregation - Section E '!A$618:J3243,7,0)="","",VLOOKUP(C2554,' Disaggregation - Section E '!A$618:J3243,7,0)*100),"")</f>
        <v/>
      </c>
      <c r="F2554" s="391" t="str">
        <f ca="1">IFERROR(VLOOKUP(C2554,' Disaggregation - Section E '!A$618:J3243,5,0),"")</f>
        <v>15-19</v>
      </c>
      <c r="G2554" s="390" t="str">
        <f ca="1">IFERROR(IF(VLOOKUP(C2554,' Disaggregation - Section E '!A$618:J3243,6,0)="","",VLOOKUP(C2554,' Disaggregation - Section E '!A$618:J3243,6,0)),"")</f>
        <v/>
      </c>
      <c r="H2554" s="390" t="str">
        <f ca="1">IFERROR(IF(INDEX(' Disaggregation - Section E '!F$618:F3243,MATCH(C2554,' Disaggregation - Section E '!A$618:A3243,0)+1,1)&lt;&gt;0,INDEX(' Disaggregation - Section E '!F$618:F3243,MATCH(C2554,' Disaggregation - Section E '!A$618:A3243,0)+1,1),""),"")</f>
        <v/>
      </c>
      <c r="I2554" s="391" t="str">
        <f ca="1">IFERROR(IF(VLOOKUP(C2554,' Disaggregation - Section E '!A$618:J3243,8,0)=0,"",VLOOKUP(C2554,' Disaggregation - Section E '!A$618:J3243,8,0)),"")</f>
        <v/>
      </c>
      <c r="J2554" s="391" t="str">
        <f ca="1">IFERROR(IF(VLOOKUP(C2554,' Disaggregation - Section E '!A$618:J3243,9,0)="","",VLOOKUP(C2554,' Disaggregation - Section E '!A$618:J3243,9,0)),"")</f>
        <v/>
      </c>
      <c r="K2554" s="387" t="str">
        <f ca="1">IFERROR(VLOOKUP(C2554,' Disaggregation - Section E '!A$618:J3243,3,0),"")</f>
        <v>KP-6c Number of sex workers who received any PrEP product at least once during the reporting period</v>
      </c>
      <c r="L2554" s="387"/>
      <c r="M2554" s="387" t="str">
        <f ca="1">IFERROR(IF(VLOOKUP(C2554,' Disaggregation - Section E '!A$618:O1566,15,0)=0,"",VLOOKUP(C2554,' Disaggregation - Section E '!A$618:O1566,15,0)),"")</f>
        <v>IDR-01209</v>
      </c>
      <c r="N2554" s="391" t="str">
        <f ca="1">IFERROR(IF(VLOOKUP(C2554,' Disaggregation - Section E '!A$618:J3243,10,0)=0,"",VLOOKUP(C2554,' Disaggregation - Section E '!A$618:J3243,10,0)),"")</f>
        <v>Disaggregated data not available. The activity will be taken into account from 2024 onwards</v>
      </c>
      <c r="O2554" s="387"/>
      <c r="P2554" s="387" t="str">
        <f ca="1">IFERROR(IF(VLOOKUP(C2554,' Disaggregation - Section E '!A$618:R1566,18,0)=0,"",VLOOKUP(C2554,' Disaggregation - Section E '!A$618:R1566,18,0)),"")</f>
        <v>a1LDm000000Cb2FMAS</v>
      </c>
    </row>
    <row r="2555" spans="1:16">
      <c r="A2555" s="387" t="b">
        <f t="shared" ca="1" si="170"/>
        <v>1</v>
      </c>
      <c r="B2555" s="387"/>
      <c r="C2555" s="396" t="str">
        <f ca="1">IF(COUNTA(O$1610:O2555)=1,"",OFFSET(B2553,-COUNTA(O$1610:O2555)+3,1))</f>
        <v>a16Dm000000M3v4IAC</v>
      </c>
      <c r="D2555" s="392"/>
      <c r="E2555" s="389" t="str">
        <f ca="1">IFERROR(IF(VLOOKUP(C2555,' Disaggregation - Section E '!A$618:J3244,7,0)="","",VLOOKUP(C2555,' Disaggregation - Section E '!A$618:J3244,7,0)*100),"")</f>
        <v/>
      </c>
      <c r="F2555" s="391" t="str">
        <f ca="1">IFERROR(VLOOKUP(C2555,' Disaggregation - Section E '!A$618:J3244,5,0),"")</f>
        <v>Transgender</v>
      </c>
      <c r="G2555" s="390" t="str">
        <f ca="1">IFERROR(IF(VLOOKUP(C2555,' Disaggregation - Section E '!A$618:J3244,6,0)="","",VLOOKUP(C2555,' Disaggregation - Section E '!A$618:J3244,6,0)),"")</f>
        <v/>
      </c>
      <c r="H2555" s="390" t="str">
        <f ca="1">IFERROR(IF(INDEX(' Disaggregation - Section E '!F$618:F3244,MATCH(C2555,' Disaggregation - Section E '!A$618:A3244,0)+1,1)&lt;&gt;0,INDEX(' Disaggregation - Section E '!F$618:F3244,MATCH(C2555,' Disaggregation - Section E '!A$618:A3244,0)+1,1),""),"")</f>
        <v/>
      </c>
      <c r="I2555" s="391" t="str">
        <f ca="1">IFERROR(IF(VLOOKUP(C2555,' Disaggregation - Section E '!A$618:J3244,8,0)=0,"",VLOOKUP(C2555,' Disaggregation - Section E '!A$618:J3244,8,0)),"")</f>
        <v/>
      </c>
      <c r="J2555" s="391" t="str">
        <f ca="1">IFERROR(IF(VLOOKUP(C2555,' Disaggregation - Section E '!A$618:J3244,9,0)="","",VLOOKUP(C2555,' Disaggregation - Section E '!A$618:J3244,9,0)),"")</f>
        <v/>
      </c>
      <c r="K2555" s="387" t="str">
        <f ca="1">IFERROR(VLOOKUP(C2555,' Disaggregation - Section E '!A$618:J3244,3,0),"")</f>
        <v>KP-6c Number of sex workers who received any PrEP product at least once during the reporting period</v>
      </c>
      <c r="L2555" s="387"/>
      <c r="M2555" s="387" t="str">
        <f ca="1">IFERROR(IF(VLOOKUP(C2555,' Disaggregation - Section E '!A$618:O1567,15,0)=0,"",VLOOKUP(C2555,' Disaggregation - Section E '!A$618:O1567,15,0)),"")</f>
        <v>IDR-01208</v>
      </c>
      <c r="N2555" s="391" t="str">
        <f ca="1">IFERROR(IF(VLOOKUP(C2555,' Disaggregation - Section E '!A$618:J3244,10,0)=0,"",VLOOKUP(C2555,' Disaggregation - Section E '!A$618:J3244,10,0)),"")</f>
        <v>Disaggregated data not available. The activity will be taken into account from 2024 onwards</v>
      </c>
      <c r="O2555" s="387"/>
      <c r="P2555" s="387" t="str">
        <f ca="1">IFERROR(IF(VLOOKUP(C2555,' Disaggregation - Section E '!A$618:R1567,18,0)=0,"",VLOOKUP(C2555,' Disaggregation - Section E '!A$618:R1567,18,0)),"")</f>
        <v>a1LDm000000Cb2EMAS</v>
      </c>
    </row>
    <row r="2556" spans="1:16">
      <c r="A2556" s="387" t="b">
        <f t="shared" ca="1" si="170"/>
        <v>1</v>
      </c>
      <c r="B2556" s="387"/>
      <c r="C2556" s="396" t="str">
        <f ca="1">IF(COUNTA(O$1610:O2556)=1,"",OFFSET(B2554,-COUNTA(O$1610:O2556)+3,1))</f>
        <v>a16Dm000000M3v5IAC</v>
      </c>
      <c r="D2556" s="392"/>
      <c r="E2556" s="389" t="str">
        <f ca="1">IFERROR(IF(VLOOKUP(C2556,' Disaggregation - Section E '!A$618:J3245,7,0)="","",VLOOKUP(C2556,' Disaggregation - Section E '!A$618:J3245,7,0)*100),"")</f>
        <v/>
      </c>
      <c r="F2556" s="391" t="str">
        <f ca="1">IFERROR(VLOOKUP(C2556,' Disaggregation - Section E '!A$618:J3245,5,0),"")</f>
        <v>DPV-VR</v>
      </c>
      <c r="G2556" s="390" t="str">
        <f ca="1">IFERROR(IF(VLOOKUP(C2556,' Disaggregation - Section E '!A$618:J3245,6,0)="","",VLOOKUP(C2556,' Disaggregation - Section E '!A$618:J3245,6,0)),"")</f>
        <v/>
      </c>
      <c r="H2556" s="390" t="str">
        <f ca="1">IFERROR(IF(INDEX(' Disaggregation - Section E '!F$618:F3245,MATCH(C2556,' Disaggregation - Section E '!A$618:A3245,0)+1,1)&lt;&gt;0,INDEX(' Disaggregation - Section E '!F$618:F3245,MATCH(C2556,' Disaggregation - Section E '!A$618:A3245,0)+1,1),""),"")</f>
        <v/>
      </c>
      <c r="I2556" s="391" t="str">
        <f ca="1">IFERROR(IF(VLOOKUP(C2556,' Disaggregation - Section E '!A$618:J3245,8,0)=0,"",VLOOKUP(C2556,' Disaggregation - Section E '!A$618:J3245,8,0)),"")</f>
        <v/>
      </c>
      <c r="J2556" s="391" t="str">
        <f ca="1">IFERROR(IF(VLOOKUP(C2556,' Disaggregation - Section E '!A$618:J3245,9,0)="","",VLOOKUP(C2556,' Disaggregation - Section E '!A$618:J3245,9,0)),"")</f>
        <v/>
      </c>
      <c r="K2556" s="387" t="str">
        <f ca="1">IFERROR(VLOOKUP(C2556,' Disaggregation - Section E '!A$618:J3245,3,0),"")</f>
        <v>KP-6c Number of sex workers who received any PrEP product at least once during the reporting period</v>
      </c>
      <c r="L2556" s="387"/>
      <c r="M2556" s="387" t="str">
        <f ca="1">IFERROR(IF(VLOOKUP(C2556,' Disaggregation - Section E '!A$618:O1568,15,0)=0,"",VLOOKUP(C2556,' Disaggregation - Section E '!A$618:O1568,15,0)),"")</f>
        <v>IDR-01207</v>
      </c>
      <c r="N2556" s="391" t="str">
        <f ca="1">IFERROR(IF(VLOOKUP(C2556,' Disaggregation - Section E '!A$618:J3245,10,0)=0,"",VLOOKUP(C2556,' Disaggregation - Section E '!A$618:J3245,10,0)),"")</f>
        <v>Disaggregated data not available. The activity will be taken into account from 2024 onwards</v>
      </c>
      <c r="O2556" s="387"/>
      <c r="P2556" s="387" t="str">
        <f ca="1">IFERROR(IF(VLOOKUP(C2556,' Disaggregation - Section E '!A$618:R1568,18,0)=0,"",VLOOKUP(C2556,' Disaggregation - Section E '!A$618:R1568,18,0)),"")</f>
        <v>a1LDm000000Cb2DMAS</v>
      </c>
    </row>
    <row r="2557" spans="1:16">
      <c r="A2557" s="387" t="b">
        <f t="shared" ca="1" si="170"/>
        <v>1</v>
      </c>
      <c r="B2557" s="387"/>
      <c r="C2557" s="396" t="str">
        <f ca="1">IF(COUNTA(O$1610:O2557)=1,"",OFFSET(B2555,-COUNTA(O$1610:O2557)+3,1))</f>
        <v>a16Dm000000M3v6IAC</v>
      </c>
      <c r="D2557" s="392"/>
      <c r="E2557" s="389" t="str">
        <f ca="1">IFERROR(IF(VLOOKUP(C2557,' Disaggregation - Section E '!A$618:J3246,7,0)="","",VLOOKUP(C2557,' Disaggregation - Section E '!A$618:J3246,7,0)*100),"")</f>
        <v/>
      </c>
      <c r="F2557" s="391" t="str">
        <f ca="1">IFERROR(VLOOKUP(C2557,' Disaggregation - Section E '!A$618:J3246,5,0),"")</f>
        <v>Injectable PrEP</v>
      </c>
      <c r="G2557" s="390" t="str">
        <f ca="1">IFERROR(IF(VLOOKUP(C2557,' Disaggregation - Section E '!A$618:J3246,6,0)="","",VLOOKUP(C2557,' Disaggregation - Section E '!A$618:J3246,6,0)),"")</f>
        <v/>
      </c>
      <c r="H2557" s="390" t="str">
        <f ca="1">IFERROR(IF(INDEX(' Disaggregation - Section E '!F$618:F3246,MATCH(C2557,' Disaggregation - Section E '!A$618:A3246,0)+1,1)&lt;&gt;0,INDEX(' Disaggregation - Section E '!F$618:F3246,MATCH(C2557,' Disaggregation - Section E '!A$618:A3246,0)+1,1),""),"")</f>
        <v/>
      </c>
      <c r="I2557" s="391" t="str">
        <f ca="1">IFERROR(IF(VLOOKUP(C2557,' Disaggregation - Section E '!A$618:J3246,8,0)=0,"",VLOOKUP(C2557,' Disaggregation - Section E '!A$618:J3246,8,0)),"")</f>
        <v/>
      </c>
      <c r="J2557" s="391" t="str">
        <f ca="1">IFERROR(IF(VLOOKUP(C2557,' Disaggregation - Section E '!A$618:J3246,9,0)="","",VLOOKUP(C2557,' Disaggregation - Section E '!A$618:J3246,9,0)),"")</f>
        <v/>
      </c>
      <c r="K2557" s="387" t="str">
        <f ca="1">IFERROR(VLOOKUP(C2557,' Disaggregation - Section E '!A$618:J3246,3,0),"")</f>
        <v>KP-6c Number of sex workers who received any PrEP product at least once during the reporting period</v>
      </c>
      <c r="L2557" s="387"/>
      <c r="M2557" s="387" t="str">
        <f ca="1">IFERROR(IF(VLOOKUP(C2557,' Disaggregation - Section E '!A$618:O1569,15,0)=0,"",VLOOKUP(C2557,' Disaggregation - Section E '!A$618:O1569,15,0)),"")</f>
        <v>IDR-01206</v>
      </c>
      <c r="N2557" s="391" t="str">
        <f ca="1">IFERROR(IF(VLOOKUP(C2557,' Disaggregation - Section E '!A$618:J3246,10,0)=0,"",VLOOKUP(C2557,' Disaggregation - Section E '!A$618:J3246,10,0)),"")</f>
        <v>Disaggregated data not available. The activity will be taken into account from 2024 onwards</v>
      </c>
      <c r="O2557" s="387"/>
      <c r="P2557" s="387" t="str">
        <f ca="1">IFERROR(IF(VLOOKUP(C2557,' Disaggregation - Section E '!A$618:R1569,18,0)=0,"",VLOOKUP(C2557,' Disaggregation - Section E '!A$618:R1569,18,0)),"")</f>
        <v>a1LDm000000Cb2CMAS</v>
      </c>
    </row>
    <row r="2558" spans="1:16">
      <c r="A2558" s="387" t="b">
        <f t="shared" ca="1" si="170"/>
        <v>1</v>
      </c>
      <c r="B2558" s="387"/>
      <c r="C2558" s="396" t="str">
        <f ca="1">IF(COUNTA(O$1610:O2558)=1,"",OFFSET(B2556,-COUNTA(O$1610:O2558)+3,1))</f>
        <v>a16Dm000000M3v7IAC</v>
      </c>
      <c r="D2558" s="392"/>
      <c r="E2558" s="389" t="str">
        <f ca="1">IFERROR(IF(VLOOKUP(C2558,' Disaggregation - Section E '!A$618:J3247,7,0)="","",VLOOKUP(C2558,' Disaggregation - Section E '!A$618:J3247,7,0)*100),"")</f>
        <v/>
      </c>
      <c r="F2558" s="391" t="str">
        <f ca="1">IFERROR(VLOOKUP(C2558,' Disaggregation - Section E '!A$618:J3247,5,0),"")</f>
        <v>Male</v>
      </c>
      <c r="G2558" s="390" t="str">
        <f ca="1">IFERROR(IF(VLOOKUP(C2558,' Disaggregation - Section E '!A$618:J3247,6,0)="","",VLOOKUP(C2558,' Disaggregation - Section E '!A$618:J3247,6,0)),"")</f>
        <v/>
      </c>
      <c r="H2558" s="390" t="str">
        <f ca="1">IFERROR(IF(INDEX(' Disaggregation - Section E '!F$618:F3247,MATCH(C2558,' Disaggregation - Section E '!A$618:A3247,0)+1,1)&lt;&gt;0,INDEX(' Disaggregation - Section E '!F$618:F3247,MATCH(C2558,' Disaggregation - Section E '!A$618:A3247,0)+1,1),""),"")</f>
        <v/>
      </c>
      <c r="I2558" s="391" t="str">
        <f ca="1">IFERROR(IF(VLOOKUP(C2558,' Disaggregation - Section E '!A$618:J3247,8,0)=0,"",VLOOKUP(C2558,' Disaggregation - Section E '!A$618:J3247,8,0)),"")</f>
        <v/>
      </c>
      <c r="J2558" s="391" t="str">
        <f ca="1">IFERROR(IF(VLOOKUP(C2558,' Disaggregation - Section E '!A$618:J3247,9,0)="","",VLOOKUP(C2558,' Disaggregation - Section E '!A$618:J3247,9,0)),"")</f>
        <v/>
      </c>
      <c r="K2558" s="387" t="str">
        <f ca="1">IFERROR(VLOOKUP(C2558,' Disaggregation - Section E '!A$618:J3247,3,0),"")</f>
        <v>KP-6c Number of sex workers who received any PrEP product at least once during the reporting period</v>
      </c>
      <c r="L2558" s="387"/>
      <c r="M2558" s="387" t="str">
        <f ca="1">IFERROR(IF(VLOOKUP(C2558,' Disaggregation - Section E '!A$618:O1570,15,0)=0,"",VLOOKUP(C2558,' Disaggregation - Section E '!A$618:O1570,15,0)),"")</f>
        <v>IDR-01205</v>
      </c>
      <c r="N2558" s="391" t="str">
        <f ca="1">IFERROR(IF(VLOOKUP(C2558,' Disaggregation - Section E '!A$618:J3247,10,0)=0,"",VLOOKUP(C2558,' Disaggregation - Section E '!A$618:J3247,10,0)),"")</f>
        <v>Disaggregated data not available. The activity will be taken into account from 2024 onwards</v>
      </c>
      <c r="O2558" s="387"/>
      <c r="P2558" s="387" t="str">
        <f ca="1">IFERROR(IF(VLOOKUP(C2558,' Disaggregation - Section E '!A$618:R1570,18,0)=0,"",VLOOKUP(C2558,' Disaggregation - Section E '!A$618:R1570,18,0)),"")</f>
        <v>a1LDm000000Cb2BMAS</v>
      </c>
    </row>
    <row r="2559" spans="1:16">
      <c r="A2559" s="387" t="b">
        <f t="shared" ca="1" si="170"/>
        <v>1</v>
      </c>
      <c r="B2559" s="387"/>
      <c r="C2559" s="396" t="str">
        <f ca="1">IF(COUNTA(O$1610:O2559)=1,"",OFFSET(B2557,-COUNTA(O$1610:O2559)+3,1))</f>
        <v>a16Dm000000M3v8IAC</v>
      </c>
      <c r="D2559" s="392"/>
      <c r="E2559" s="389" t="str">
        <f ca="1">IFERROR(IF(VLOOKUP(C2559,' Disaggregation - Section E '!A$618:J3248,7,0)="","",VLOOKUP(C2559,' Disaggregation - Section E '!A$618:J3248,7,0)*100),"")</f>
        <v/>
      </c>
      <c r="F2559" s="391" t="str">
        <f ca="1">IFERROR(VLOOKUP(C2559,' Disaggregation - Section E '!A$618:J3248,5,0),"")</f>
        <v>Female</v>
      </c>
      <c r="G2559" s="390" t="str">
        <f ca="1">IFERROR(IF(VLOOKUP(C2559,' Disaggregation - Section E '!A$618:J3248,6,0)="","",VLOOKUP(C2559,' Disaggregation - Section E '!A$618:J3248,6,0)),"")</f>
        <v/>
      </c>
      <c r="H2559" s="390" t="str">
        <f ca="1">IFERROR(IF(INDEX(' Disaggregation - Section E '!F$618:F3248,MATCH(C2559,' Disaggregation - Section E '!A$618:A3248,0)+1,1)&lt;&gt;0,INDEX(' Disaggregation - Section E '!F$618:F3248,MATCH(C2559,' Disaggregation - Section E '!A$618:A3248,0)+1,1),""),"")</f>
        <v/>
      </c>
      <c r="I2559" s="391" t="str">
        <f ca="1">IFERROR(IF(VLOOKUP(C2559,' Disaggregation - Section E '!A$618:J3248,8,0)=0,"",VLOOKUP(C2559,' Disaggregation - Section E '!A$618:J3248,8,0)),"")</f>
        <v/>
      </c>
      <c r="J2559" s="391" t="str">
        <f ca="1">IFERROR(IF(VLOOKUP(C2559,' Disaggregation - Section E '!A$618:J3248,9,0)="","",VLOOKUP(C2559,' Disaggregation - Section E '!A$618:J3248,9,0)),"")</f>
        <v/>
      </c>
      <c r="K2559" s="387" t="str">
        <f ca="1">IFERROR(VLOOKUP(C2559,' Disaggregation - Section E '!A$618:J3248,3,0),"")</f>
        <v>KP-6c Number of sex workers who received any PrEP product at least once during the reporting period</v>
      </c>
      <c r="L2559" s="387"/>
      <c r="M2559" s="387" t="str">
        <f ca="1">IFERROR(IF(VLOOKUP(C2559,' Disaggregation - Section E '!A$618:O1571,15,0)=0,"",VLOOKUP(C2559,' Disaggregation - Section E '!A$618:O1571,15,0)),"")</f>
        <v>IDR-01204</v>
      </c>
      <c r="N2559" s="391" t="str">
        <f ca="1">IFERROR(IF(VLOOKUP(C2559,' Disaggregation - Section E '!A$618:J3248,10,0)=0,"",VLOOKUP(C2559,' Disaggregation - Section E '!A$618:J3248,10,0)),"")</f>
        <v>Disaggregated data not available. The activity will be taken into account from 2024 onwards</v>
      </c>
      <c r="O2559" s="387"/>
      <c r="P2559" s="387" t="str">
        <f ca="1">IFERROR(IF(VLOOKUP(C2559,' Disaggregation - Section E '!A$618:R1571,18,0)=0,"",VLOOKUP(C2559,' Disaggregation - Section E '!A$618:R1571,18,0)),"")</f>
        <v>a1LDm000000Cb2AMAS</v>
      </c>
    </row>
    <row r="2560" spans="1:16">
      <c r="A2560" s="387" t="b">
        <f t="shared" ca="1" si="170"/>
        <v>1</v>
      </c>
      <c r="B2560" s="387"/>
      <c r="C2560" s="396" t="str">
        <f ca="1">IF(COUNTA(O$1610:O2560)=1,"",OFFSET(B2558,-COUNTA(O$1610:O2560)+3,1))</f>
        <v>a16Dm000000M3v9IAC</v>
      </c>
      <c r="D2560" s="392"/>
      <c r="E2560" s="389" t="str">
        <f ca="1">IFERROR(IF(VLOOKUP(C2560,' Disaggregation - Section E '!A$618:J3249,7,0)="","",VLOOKUP(C2560,' Disaggregation - Section E '!A$618:J3249,7,0)*100),"")</f>
        <v/>
      </c>
      <c r="F2560" s="391" t="str">
        <f ca="1">IFERROR(VLOOKUP(C2560,' Disaggregation - Section E '!A$618:J3249,5,0),"")</f>
        <v>Oral PrEP</v>
      </c>
      <c r="G2560" s="390" t="str">
        <f ca="1">IFERROR(IF(VLOOKUP(C2560,' Disaggregation - Section E '!A$618:J3249,6,0)="","",VLOOKUP(C2560,' Disaggregation - Section E '!A$618:J3249,6,0)),"")</f>
        <v/>
      </c>
      <c r="H2560" s="390" t="str">
        <f ca="1">IFERROR(IF(INDEX(' Disaggregation - Section E '!F$618:F3249,MATCH(C2560,' Disaggregation - Section E '!A$618:A3249,0)+1,1)&lt;&gt;0,INDEX(' Disaggregation - Section E '!F$618:F3249,MATCH(C2560,' Disaggregation - Section E '!A$618:A3249,0)+1,1),""),"")</f>
        <v/>
      </c>
      <c r="I2560" s="391" t="str">
        <f ca="1">IFERROR(IF(VLOOKUP(C2560,' Disaggregation - Section E '!A$618:J3249,8,0)=0,"",VLOOKUP(C2560,' Disaggregation - Section E '!A$618:J3249,8,0)),"")</f>
        <v/>
      </c>
      <c r="J2560" s="391" t="str">
        <f ca="1">IFERROR(IF(VLOOKUP(C2560,' Disaggregation - Section E '!A$618:J3249,9,0)="","",VLOOKUP(C2560,' Disaggregation - Section E '!A$618:J3249,9,0)),"")</f>
        <v/>
      </c>
      <c r="K2560" s="387" t="str">
        <f ca="1">IFERROR(VLOOKUP(C2560,' Disaggregation - Section E '!A$618:J3249,3,0),"")</f>
        <v>KP-6c Number of sex workers who received any PrEP product at least once during the reporting period</v>
      </c>
      <c r="L2560" s="387"/>
      <c r="M2560" s="387" t="str">
        <f ca="1">IFERROR(IF(VLOOKUP(C2560,' Disaggregation - Section E '!A$618:O1572,15,0)=0,"",VLOOKUP(C2560,' Disaggregation - Section E '!A$618:O1572,15,0)),"")</f>
        <v>IDR-01203</v>
      </c>
      <c r="N2560" s="391" t="str">
        <f ca="1">IFERROR(IF(VLOOKUP(C2560,' Disaggregation - Section E '!A$618:J3249,10,0)=0,"",VLOOKUP(C2560,' Disaggregation - Section E '!A$618:J3249,10,0)),"")</f>
        <v>Disaggregated data not available. The activity will be taken into account from 2024 onwards</v>
      </c>
      <c r="O2560" s="387"/>
      <c r="P2560" s="387" t="str">
        <f ca="1">IFERROR(IF(VLOOKUP(C2560,' Disaggregation - Section E '!A$618:R1572,18,0)=0,"",VLOOKUP(C2560,' Disaggregation - Section E '!A$618:R1572,18,0)),"")</f>
        <v>a1LDm000000Cb29MAC</v>
      </c>
    </row>
    <row r="2561" spans="1:16">
      <c r="A2561" s="387" t="b">
        <f t="shared" ca="1" si="170"/>
        <v>0</v>
      </c>
      <c r="B2561" s="387"/>
      <c r="C2561" s="396" t="str">
        <f ca="1">IF(COUNTA(O$1610:O2561)=1,"",OFFSET(B2559,-COUNTA(O$1610:O2561)+3,1))</f>
        <v>a16Dm000000M3vAIAS</v>
      </c>
      <c r="D2561" s="392"/>
      <c r="E2561" s="389" t="str">
        <f ca="1">IFERROR(IF(VLOOKUP(C2561,' Disaggregation - Section E '!A$618:J3250,7,0)="","",VLOOKUP(C2561,' Disaggregation - Section E '!A$618:J3250,7,0)*100),"")</f>
        <v/>
      </c>
      <c r="F2561" s="391" t="str">
        <f ca="1">IFERROR(VLOOKUP(C2561,' Disaggregation - Section E '!A$618:J3250,5,0),"")</f>
        <v/>
      </c>
      <c r="G2561" s="390" t="str">
        <f ca="1">IFERROR(IF(VLOOKUP(C2561,' Disaggregation - Section E '!A$618:J3250,6,0)="","",VLOOKUP(C2561,' Disaggregation - Section E '!A$618:J3250,6,0)),"")</f>
        <v/>
      </c>
      <c r="H2561" s="390" t="str">
        <f ca="1">IFERROR(IF(INDEX(' Disaggregation - Section E '!F$618:F3250,MATCH(C2561,' Disaggregation - Section E '!A$618:A3250,0)+1,1)&lt;&gt;0,INDEX(' Disaggregation - Section E '!F$618:F3250,MATCH(C2561,' Disaggregation - Section E '!A$618:A3250,0)+1,1),""),"")</f>
        <v/>
      </c>
      <c r="I2561" s="391" t="str">
        <f ca="1">IFERROR(IF(VLOOKUP(C2561,' Disaggregation - Section E '!A$618:J3250,8,0)=0,"",VLOOKUP(C2561,' Disaggregation - Section E '!A$618:J3250,8,0)),"")</f>
        <v/>
      </c>
      <c r="J2561" s="391" t="str">
        <f ca="1">IFERROR(IF(VLOOKUP(C2561,' Disaggregation - Section E '!A$618:J3250,9,0)="","",VLOOKUP(C2561,' Disaggregation - Section E '!A$618:J3250,9,0)),"")</f>
        <v/>
      </c>
      <c r="K2561" s="387" t="str">
        <f ca="1">IFERROR(VLOOKUP(C2561,' Disaggregation - Section E '!A$618:J3250,3,0),"")</f>
        <v>KP-6c Number of sex workers who received any PrEP product at least once during the reporting period</v>
      </c>
      <c r="L2561" s="387"/>
      <c r="M2561" s="387" t="str">
        <f ca="1">IFERROR(IF(VLOOKUP(C2561,' Disaggregation - Section E '!A$618:O1573,15,0)=0,"",VLOOKUP(C2561,' Disaggregation - Section E '!A$618:O1573,15,0)),"")</f>
        <v/>
      </c>
      <c r="N2561" s="391" t="str">
        <f ca="1">IFERROR(IF(VLOOKUP(C2561,' Disaggregation - Section E '!A$618:J3250,10,0)=0,"",VLOOKUP(C2561,' Disaggregation - Section E '!A$618:J3250,10,0)),"")</f>
        <v/>
      </c>
      <c r="O2561" s="387"/>
      <c r="P2561" s="387" t="str">
        <f ca="1">IFERROR(IF(VLOOKUP(C2561,' Disaggregation - Section E '!A$618:R1573,18,0)=0,"",VLOOKUP(C2561,' Disaggregation - Section E '!A$618:R1573,18,0)),"")</f>
        <v/>
      </c>
    </row>
    <row r="2562" spans="1:16">
      <c r="A2562" s="387" t="b">
        <f t="shared" ca="1" si="170"/>
        <v>0</v>
      </c>
      <c r="B2562" s="387"/>
      <c r="C2562" s="396" t="str">
        <f ca="1">IF(COUNTA(O$1610:O2562)=1,"",OFFSET(B2560,-COUNTA(O$1610:O2562)+3,1))</f>
        <v>a16Dm000000M3vBIAS</v>
      </c>
      <c r="D2562" s="392"/>
      <c r="E2562" s="389" t="str">
        <f ca="1">IFERROR(IF(VLOOKUP(C2562,' Disaggregation - Section E '!A$618:J3251,7,0)="","",VLOOKUP(C2562,' Disaggregation - Section E '!A$618:J3251,7,0)*100),"")</f>
        <v/>
      </c>
      <c r="F2562" s="391" t="str">
        <f ca="1">IFERROR(VLOOKUP(C2562,' Disaggregation - Section E '!A$618:J3251,5,0),"")</f>
        <v/>
      </c>
      <c r="G2562" s="390" t="str">
        <f ca="1">IFERROR(IF(VLOOKUP(C2562,' Disaggregation - Section E '!A$618:J3251,6,0)="","",VLOOKUP(C2562,' Disaggregation - Section E '!A$618:J3251,6,0)),"")</f>
        <v/>
      </c>
      <c r="H2562" s="390" t="str">
        <f ca="1">IFERROR(IF(INDEX(' Disaggregation - Section E '!F$618:F3251,MATCH(C2562,' Disaggregation - Section E '!A$618:A3251,0)+1,1)&lt;&gt;0,INDEX(' Disaggregation - Section E '!F$618:F3251,MATCH(C2562,' Disaggregation - Section E '!A$618:A3251,0)+1,1),""),"")</f>
        <v/>
      </c>
      <c r="I2562" s="391" t="str">
        <f ca="1">IFERROR(IF(VLOOKUP(C2562,' Disaggregation - Section E '!A$618:J3251,8,0)=0,"",VLOOKUP(C2562,' Disaggregation - Section E '!A$618:J3251,8,0)),"")</f>
        <v/>
      </c>
      <c r="J2562" s="391" t="str">
        <f ca="1">IFERROR(IF(VLOOKUP(C2562,' Disaggregation - Section E '!A$618:J3251,9,0)="","",VLOOKUP(C2562,' Disaggregation - Section E '!A$618:J3251,9,0)),"")</f>
        <v/>
      </c>
      <c r="K2562" s="387" t="str">
        <f ca="1">IFERROR(VLOOKUP(C2562,' Disaggregation - Section E '!A$618:J3251,3,0),"")</f>
        <v>KP-6c Number of sex workers who received any PrEP product at least once during the reporting period</v>
      </c>
      <c r="L2562" s="387"/>
      <c r="M2562" s="387" t="str">
        <f ca="1">IFERROR(IF(VLOOKUP(C2562,' Disaggregation - Section E '!A$618:O1574,15,0)=0,"",VLOOKUP(C2562,' Disaggregation - Section E '!A$618:O1574,15,0)),"")</f>
        <v/>
      </c>
      <c r="N2562" s="391" t="str">
        <f ca="1">IFERROR(IF(VLOOKUP(C2562,' Disaggregation - Section E '!A$618:J3251,10,0)=0,"",VLOOKUP(C2562,' Disaggregation - Section E '!A$618:J3251,10,0)),"")</f>
        <v/>
      </c>
      <c r="O2562" s="387"/>
      <c r="P2562" s="387" t="str">
        <f ca="1">IFERROR(IF(VLOOKUP(C2562,' Disaggregation - Section E '!A$618:R1574,18,0)=0,"",VLOOKUP(C2562,' Disaggregation - Section E '!A$618:R1574,18,0)),"")</f>
        <v/>
      </c>
    </row>
    <row r="2563" spans="1:16">
      <c r="A2563" s="387" t="b">
        <f t="shared" ca="1" si="170"/>
        <v>0</v>
      </c>
      <c r="B2563" s="387"/>
      <c r="C2563" s="396" t="str">
        <f ca="1">IF(COUNTA(O$1610:O2563)=1,"",OFFSET(B2561,-COUNTA(O$1610:O2563)+3,1))</f>
        <v>a16Dm000000M3vCIAS</v>
      </c>
      <c r="D2563" s="392"/>
      <c r="E2563" s="389" t="str">
        <f ca="1">IFERROR(IF(VLOOKUP(C2563,' Disaggregation - Section E '!A$618:J3252,7,0)="","",VLOOKUP(C2563,' Disaggregation - Section E '!A$618:J3252,7,0)*100),"")</f>
        <v/>
      </c>
      <c r="F2563" s="391" t="str">
        <f ca="1">IFERROR(VLOOKUP(C2563,' Disaggregation - Section E '!A$618:J3252,5,0),"")</f>
        <v/>
      </c>
      <c r="G2563" s="390" t="str">
        <f ca="1">IFERROR(IF(VLOOKUP(C2563,' Disaggregation - Section E '!A$618:J3252,6,0)="","",VLOOKUP(C2563,' Disaggregation - Section E '!A$618:J3252,6,0)),"")</f>
        <v/>
      </c>
      <c r="H2563" s="390" t="str">
        <f ca="1">IFERROR(IF(INDEX(' Disaggregation - Section E '!F$618:F3252,MATCH(C2563,' Disaggregation - Section E '!A$618:A3252,0)+1,1)&lt;&gt;0,INDEX(' Disaggregation - Section E '!F$618:F3252,MATCH(C2563,' Disaggregation - Section E '!A$618:A3252,0)+1,1),""),"")</f>
        <v/>
      </c>
      <c r="I2563" s="391" t="str">
        <f ca="1">IFERROR(IF(VLOOKUP(C2563,' Disaggregation - Section E '!A$618:J3252,8,0)=0,"",VLOOKUP(C2563,' Disaggregation - Section E '!A$618:J3252,8,0)),"")</f>
        <v/>
      </c>
      <c r="J2563" s="391" t="str">
        <f ca="1">IFERROR(IF(VLOOKUP(C2563,' Disaggregation - Section E '!A$618:J3252,9,0)="","",VLOOKUP(C2563,' Disaggregation - Section E '!A$618:J3252,9,0)),"")</f>
        <v/>
      </c>
      <c r="K2563" s="387" t="str">
        <f ca="1">IFERROR(VLOOKUP(C2563,' Disaggregation - Section E '!A$618:J3252,3,0),"")</f>
        <v>KP-6c Number of sex workers who received any PrEP product at least once during the reporting period</v>
      </c>
      <c r="L2563" s="387"/>
      <c r="M2563" s="387" t="str">
        <f ca="1">IFERROR(IF(VLOOKUP(C2563,' Disaggregation - Section E '!A$618:O1575,15,0)=0,"",VLOOKUP(C2563,' Disaggregation - Section E '!A$618:O1575,15,0)),"")</f>
        <v/>
      </c>
      <c r="N2563" s="391" t="str">
        <f ca="1">IFERROR(IF(VLOOKUP(C2563,' Disaggregation - Section E '!A$618:J3252,10,0)=0,"",VLOOKUP(C2563,' Disaggregation - Section E '!A$618:J3252,10,0)),"")</f>
        <v/>
      </c>
      <c r="O2563" s="387"/>
      <c r="P2563" s="387" t="str">
        <f ca="1">IFERROR(IF(VLOOKUP(C2563,' Disaggregation - Section E '!A$618:R1575,18,0)=0,"",VLOOKUP(C2563,' Disaggregation - Section E '!A$618:R1575,18,0)),"")</f>
        <v/>
      </c>
    </row>
    <row r="2564" spans="1:16">
      <c r="A2564" s="387" t="b">
        <f t="shared" ca="1" si="170"/>
        <v>0</v>
      </c>
      <c r="B2564" s="387"/>
      <c r="C2564" s="396" t="str">
        <f ca="1">IF(COUNTA(O$1610:O2564)=1,"",OFFSET(B2562,-COUNTA(O$1610:O2564)+3,1))</f>
        <v>a16Dm000000M3vDIAS</v>
      </c>
      <c r="D2564" s="392"/>
      <c r="E2564" s="389" t="str">
        <f ca="1">IFERROR(IF(VLOOKUP(C2564,' Disaggregation - Section E '!A$618:J3253,7,0)="","",VLOOKUP(C2564,' Disaggregation - Section E '!A$618:J3253,7,0)*100),"")</f>
        <v/>
      </c>
      <c r="F2564" s="391" t="str">
        <f ca="1">IFERROR(VLOOKUP(C2564,' Disaggregation - Section E '!A$618:J3253,5,0),"")</f>
        <v/>
      </c>
      <c r="G2564" s="390" t="str">
        <f ca="1">IFERROR(IF(VLOOKUP(C2564,' Disaggregation - Section E '!A$618:J3253,6,0)="","",VLOOKUP(C2564,' Disaggregation - Section E '!A$618:J3253,6,0)),"")</f>
        <v/>
      </c>
      <c r="H2564" s="390" t="str">
        <f ca="1">IFERROR(IF(INDEX(' Disaggregation - Section E '!F$618:F3253,MATCH(C2564,' Disaggregation - Section E '!A$618:A3253,0)+1,1)&lt;&gt;0,INDEX(' Disaggregation - Section E '!F$618:F3253,MATCH(C2564,' Disaggregation - Section E '!A$618:A3253,0)+1,1),""),"")</f>
        <v/>
      </c>
      <c r="I2564" s="391" t="str">
        <f ca="1">IFERROR(IF(VLOOKUP(C2564,' Disaggregation - Section E '!A$618:J3253,8,0)=0,"",VLOOKUP(C2564,' Disaggregation - Section E '!A$618:J3253,8,0)),"")</f>
        <v/>
      </c>
      <c r="J2564" s="391" t="str">
        <f ca="1">IFERROR(IF(VLOOKUP(C2564,' Disaggregation - Section E '!A$618:J3253,9,0)="","",VLOOKUP(C2564,' Disaggregation - Section E '!A$618:J3253,9,0)),"")</f>
        <v/>
      </c>
      <c r="K2564" s="387" t="str">
        <f ca="1">IFERROR(VLOOKUP(C2564,' Disaggregation - Section E '!A$618:J3253,3,0),"")</f>
        <v>KP-6c Number of sex workers who received any PrEP product at least once during the reporting period</v>
      </c>
      <c r="L2564" s="387"/>
      <c r="M2564" s="387" t="str">
        <f ca="1">IFERROR(IF(VLOOKUP(C2564,' Disaggregation - Section E '!A$618:O1576,15,0)=0,"",VLOOKUP(C2564,' Disaggregation - Section E '!A$618:O1576,15,0)),"")</f>
        <v/>
      </c>
      <c r="N2564" s="391" t="str">
        <f ca="1">IFERROR(IF(VLOOKUP(C2564,' Disaggregation - Section E '!A$618:J3253,10,0)=0,"",VLOOKUP(C2564,' Disaggregation - Section E '!A$618:J3253,10,0)),"")</f>
        <v/>
      </c>
      <c r="O2564" s="387"/>
      <c r="P2564" s="387" t="str">
        <f ca="1">IFERROR(IF(VLOOKUP(C2564,' Disaggregation - Section E '!A$618:R1576,18,0)=0,"",VLOOKUP(C2564,' Disaggregation - Section E '!A$618:R1576,18,0)),"")</f>
        <v/>
      </c>
    </row>
    <row r="2565" spans="1:16">
      <c r="A2565" s="387" t="b">
        <f t="shared" ca="1" si="170"/>
        <v>0</v>
      </c>
      <c r="B2565" s="387"/>
      <c r="C2565" s="396" t="str">
        <f ca="1">IF(COUNTA(O$1610:O2565)=1,"",OFFSET(B2563,-COUNTA(O$1610:O2565)+3,1))</f>
        <v>a16Dm000000M3vEIAS</v>
      </c>
      <c r="D2565" s="392"/>
      <c r="E2565" s="389" t="str">
        <f ca="1">IFERROR(IF(VLOOKUP(C2565,' Disaggregation - Section E '!A$618:J3254,7,0)="","",VLOOKUP(C2565,' Disaggregation - Section E '!A$618:J3254,7,0)*100),"")</f>
        <v/>
      </c>
      <c r="F2565" s="391" t="str">
        <f ca="1">IFERROR(VLOOKUP(C2565,' Disaggregation - Section E '!A$618:J3254,5,0),"")</f>
        <v/>
      </c>
      <c r="G2565" s="390" t="str">
        <f ca="1">IFERROR(IF(VLOOKUP(C2565,' Disaggregation - Section E '!A$618:J3254,6,0)="","",VLOOKUP(C2565,' Disaggregation - Section E '!A$618:J3254,6,0)),"")</f>
        <v/>
      </c>
      <c r="H2565" s="390" t="str">
        <f ca="1">IFERROR(IF(INDEX(' Disaggregation - Section E '!F$618:F3254,MATCH(C2565,' Disaggregation - Section E '!A$618:A3254,0)+1,1)&lt;&gt;0,INDEX(' Disaggregation - Section E '!F$618:F3254,MATCH(C2565,' Disaggregation - Section E '!A$618:A3254,0)+1,1),""),"")</f>
        <v/>
      </c>
      <c r="I2565" s="391" t="str">
        <f ca="1">IFERROR(IF(VLOOKUP(C2565,' Disaggregation - Section E '!A$618:J3254,8,0)=0,"",VLOOKUP(C2565,' Disaggregation - Section E '!A$618:J3254,8,0)),"")</f>
        <v/>
      </c>
      <c r="J2565" s="391" t="str">
        <f ca="1">IFERROR(IF(VLOOKUP(C2565,' Disaggregation - Section E '!A$618:J3254,9,0)="","",VLOOKUP(C2565,' Disaggregation - Section E '!A$618:J3254,9,0)),"")</f>
        <v/>
      </c>
      <c r="K2565" s="387" t="str">
        <f ca="1">IFERROR(VLOOKUP(C2565,' Disaggregation - Section E '!A$618:J3254,3,0),"")</f>
        <v>KP-6c Number of sex workers who received any PrEP product at least once during the reporting period</v>
      </c>
      <c r="L2565" s="387"/>
      <c r="M2565" s="387" t="str">
        <f ca="1">IFERROR(IF(VLOOKUP(C2565,' Disaggregation - Section E '!A$618:O1577,15,0)=0,"",VLOOKUP(C2565,' Disaggregation - Section E '!A$618:O1577,15,0)),"")</f>
        <v/>
      </c>
      <c r="N2565" s="391" t="str">
        <f ca="1">IFERROR(IF(VLOOKUP(C2565,' Disaggregation - Section E '!A$618:J3254,10,0)=0,"",VLOOKUP(C2565,' Disaggregation - Section E '!A$618:J3254,10,0)),"")</f>
        <v/>
      </c>
      <c r="O2565" s="387"/>
      <c r="P2565" s="387" t="str">
        <f ca="1">IFERROR(IF(VLOOKUP(C2565,' Disaggregation - Section E '!A$618:R1577,18,0)=0,"",VLOOKUP(C2565,' Disaggregation - Section E '!A$618:R1577,18,0)),"")</f>
        <v/>
      </c>
    </row>
    <row r="2566" spans="1:16">
      <c r="A2566" s="387" t="b">
        <f t="shared" ca="1" si="170"/>
        <v>0</v>
      </c>
      <c r="B2566" s="387"/>
      <c r="C2566" s="396" t="str">
        <f ca="1">IF(COUNTA(O$1610:O2566)=1,"",OFFSET(B2564,-COUNTA(O$1610:O2566)+3,1))</f>
        <v>a16Dm000000M3vFIAS</v>
      </c>
      <c r="D2566" s="392"/>
      <c r="E2566" s="389" t="str">
        <f ca="1">IFERROR(IF(VLOOKUP(C2566,' Disaggregation - Section E '!A$618:J3255,7,0)="","",VLOOKUP(C2566,' Disaggregation - Section E '!A$618:J3255,7,0)*100),"")</f>
        <v/>
      </c>
      <c r="F2566" s="391" t="str">
        <f ca="1">IFERROR(VLOOKUP(C2566,' Disaggregation - Section E '!A$618:J3255,5,0),"")</f>
        <v/>
      </c>
      <c r="G2566" s="390" t="str">
        <f ca="1">IFERROR(IF(VLOOKUP(C2566,' Disaggregation - Section E '!A$618:J3255,6,0)="","",VLOOKUP(C2566,' Disaggregation - Section E '!A$618:J3255,6,0)),"")</f>
        <v/>
      </c>
      <c r="H2566" s="390" t="str">
        <f ca="1">IFERROR(IF(INDEX(' Disaggregation - Section E '!F$618:F3255,MATCH(C2566,' Disaggregation - Section E '!A$618:A3255,0)+1,1)&lt;&gt;0,INDEX(' Disaggregation - Section E '!F$618:F3255,MATCH(C2566,' Disaggregation - Section E '!A$618:A3255,0)+1,1),""),"")</f>
        <v/>
      </c>
      <c r="I2566" s="391" t="str">
        <f ca="1">IFERROR(IF(VLOOKUP(C2566,' Disaggregation - Section E '!A$618:J3255,8,0)=0,"",VLOOKUP(C2566,' Disaggregation - Section E '!A$618:J3255,8,0)),"")</f>
        <v/>
      </c>
      <c r="J2566" s="391" t="str">
        <f ca="1">IFERROR(IF(VLOOKUP(C2566,' Disaggregation - Section E '!A$618:J3255,9,0)="","",VLOOKUP(C2566,' Disaggregation - Section E '!A$618:J3255,9,0)),"")</f>
        <v/>
      </c>
      <c r="K2566" s="387" t="str">
        <f ca="1">IFERROR(VLOOKUP(C2566,' Disaggregation - Section E '!A$618:J3255,3,0),"")</f>
        <v>KP-6c Number of sex workers who received any PrEP product at least once during the reporting period</v>
      </c>
      <c r="L2566" s="387"/>
      <c r="M2566" s="387" t="str">
        <f ca="1">IFERROR(IF(VLOOKUP(C2566,' Disaggregation - Section E '!A$618:O1578,15,0)=0,"",VLOOKUP(C2566,' Disaggregation - Section E '!A$618:O1578,15,0)),"")</f>
        <v/>
      </c>
      <c r="N2566" s="391" t="str">
        <f ca="1">IFERROR(IF(VLOOKUP(C2566,' Disaggregation - Section E '!A$618:J3255,10,0)=0,"",VLOOKUP(C2566,' Disaggregation - Section E '!A$618:J3255,10,0)),"")</f>
        <v/>
      </c>
      <c r="O2566" s="387"/>
      <c r="P2566" s="387" t="str">
        <f ca="1">IFERROR(IF(VLOOKUP(C2566,' Disaggregation - Section E '!A$618:R1578,18,0)=0,"",VLOOKUP(C2566,' Disaggregation - Section E '!A$618:R1578,18,0)),"")</f>
        <v/>
      </c>
    </row>
    <row r="2567" spans="1:16">
      <c r="A2567" s="387" t="b">
        <f t="shared" ca="1" si="170"/>
        <v>0</v>
      </c>
      <c r="B2567" s="387"/>
      <c r="C2567" s="396" t="str">
        <f ca="1">IF(COUNTA(O$1610:O2567)=1,"",OFFSET(B2565,-COUNTA(O$1610:O2567)+3,1))</f>
        <v>a16Dm000000M3vGIAS</v>
      </c>
      <c r="D2567" s="392"/>
      <c r="E2567" s="389" t="str">
        <f ca="1">IFERROR(IF(VLOOKUP(C2567,' Disaggregation - Section E '!A$618:J3256,7,0)="","",VLOOKUP(C2567,' Disaggregation - Section E '!A$618:J3256,7,0)*100),"")</f>
        <v/>
      </c>
      <c r="F2567" s="391" t="str">
        <f ca="1">IFERROR(VLOOKUP(C2567,' Disaggregation - Section E '!A$618:J3256,5,0),"")</f>
        <v/>
      </c>
      <c r="G2567" s="390" t="str">
        <f ca="1">IFERROR(IF(VLOOKUP(C2567,' Disaggregation - Section E '!A$618:J3256,6,0)="","",VLOOKUP(C2567,' Disaggregation - Section E '!A$618:J3256,6,0)),"")</f>
        <v/>
      </c>
      <c r="H2567" s="390" t="str">
        <f ca="1">IFERROR(IF(INDEX(' Disaggregation - Section E '!F$618:F3256,MATCH(C2567,' Disaggregation - Section E '!A$618:A3256,0)+1,1)&lt;&gt;0,INDEX(' Disaggregation - Section E '!F$618:F3256,MATCH(C2567,' Disaggregation - Section E '!A$618:A3256,0)+1,1),""),"")</f>
        <v/>
      </c>
      <c r="I2567" s="391" t="str">
        <f ca="1">IFERROR(IF(VLOOKUP(C2567,' Disaggregation - Section E '!A$618:J3256,8,0)=0,"",VLOOKUP(C2567,' Disaggregation - Section E '!A$618:J3256,8,0)),"")</f>
        <v/>
      </c>
      <c r="J2567" s="391" t="str">
        <f ca="1">IFERROR(IF(VLOOKUP(C2567,' Disaggregation - Section E '!A$618:J3256,9,0)="","",VLOOKUP(C2567,' Disaggregation - Section E '!A$618:J3256,9,0)),"")</f>
        <v/>
      </c>
      <c r="K2567" s="387" t="str">
        <f ca="1">IFERROR(VLOOKUP(C2567,' Disaggregation - Section E '!A$618:J3256,3,0),"")</f>
        <v>KP-6c Number of sex workers who received any PrEP product at least once during the reporting period</v>
      </c>
      <c r="L2567" s="387"/>
      <c r="M2567" s="387" t="str">
        <f ca="1">IFERROR(IF(VLOOKUP(C2567,' Disaggregation - Section E '!A$618:O1579,15,0)=0,"",VLOOKUP(C2567,' Disaggregation - Section E '!A$618:O1579,15,0)),"")</f>
        <v/>
      </c>
      <c r="N2567" s="391" t="str">
        <f ca="1">IFERROR(IF(VLOOKUP(C2567,' Disaggregation - Section E '!A$618:J3256,10,0)=0,"",VLOOKUP(C2567,' Disaggregation - Section E '!A$618:J3256,10,0)),"")</f>
        <v/>
      </c>
      <c r="O2567" s="387"/>
      <c r="P2567" s="387" t="str">
        <f ca="1">IFERROR(IF(VLOOKUP(C2567,' Disaggregation - Section E '!A$618:R1579,18,0)=0,"",VLOOKUP(C2567,' Disaggregation - Section E '!A$618:R1579,18,0)),"")</f>
        <v/>
      </c>
    </row>
    <row r="2568" spans="1:16">
      <c r="A2568" s="387" t="b">
        <f t="shared" ca="1" si="170"/>
        <v>0</v>
      </c>
      <c r="B2568" s="387"/>
      <c r="C2568" s="396" t="str">
        <f ca="1">IF(COUNTA(O$1610:O2568)=1,"",OFFSET(B2566,-COUNTA(O$1610:O2568)+3,1))</f>
        <v>a16Dm000000M3vHIAS</v>
      </c>
      <c r="D2568" s="392"/>
      <c r="E2568" s="389" t="str">
        <f ca="1">IFERROR(IF(VLOOKUP(C2568,' Disaggregation - Section E '!A$618:J3257,7,0)="","",VLOOKUP(C2568,' Disaggregation - Section E '!A$618:J3257,7,0)*100),"")</f>
        <v/>
      </c>
      <c r="F2568" s="391" t="str">
        <f ca="1">IFERROR(VLOOKUP(C2568,' Disaggregation - Section E '!A$618:J3257,5,0),"")</f>
        <v/>
      </c>
      <c r="G2568" s="390" t="str">
        <f ca="1">IFERROR(IF(VLOOKUP(C2568,' Disaggregation - Section E '!A$618:J3257,6,0)="","",VLOOKUP(C2568,' Disaggregation - Section E '!A$618:J3257,6,0)),"")</f>
        <v/>
      </c>
      <c r="H2568" s="390" t="str">
        <f ca="1">IFERROR(IF(INDEX(' Disaggregation - Section E '!F$618:F3257,MATCH(C2568,' Disaggregation - Section E '!A$618:A3257,0)+1,1)&lt;&gt;0,INDEX(' Disaggregation - Section E '!F$618:F3257,MATCH(C2568,' Disaggregation - Section E '!A$618:A3257,0)+1,1),""),"")</f>
        <v/>
      </c>
      <c r="I2568" s="391" t="str">
        <f ca="1">IFERROR(IF(VLOOKUP(C2568,' Disaggregation - Section E '!A$618:J3257,8,0)=0,"",VLOOKUP(C2568,' Disaggregation - Section E '!A$618:J3257,8,0)),"")</f>
        <v/>
      </c>
      <c r="J2568" s="391" t="str">
        <f ca="1">IFERROR(IF(VLOOKUP(C2568,' Disaggregation - Section E '!A$618:J3257,9,0)="","",VLOOKUP(C2568,' Disaggregation - Section E '!A$618:J3257,9,0)),"")</f>
        <v/>
      </c>
      <c r="K2568" s="387" t="str">
        <f ca="1">IFERROR(VLOOKUP(C2568,' Disaggregation - Section E '!A$618:J3257,3,0),"")</f>
        <v>KP-6c Number of sex workers who received any PrEP product at least once during the reporting period</v>
      </c>
      <c r="L2568" s="387"/>
      <c r="M2568" s="387" t="str">
        <f ca="1">IFERROR(IF(VLOOKUP(C2568,' Disaggregation - Section E '!A$618:O1580,15,0)=0,"",VLOOKUP(C2568,' Disaggregation - Section E '!A$618:O1580,15,0)),"")</f>
        <v/>
      </c>
      <c r="N2568" s="391" t="str">
        <f ca="1">IFERROR(IF(VLOOKUP(C2568,' Disaggregation - Section E '!A$618:J3257,10,0)=0,"",VLOOKUP(C2568,' Disaggregation - Section E '!A$618:J3257,10,0)),"")</f>
        <v/>
      </c>
      <c r="O2568" s="387"/>
      <c r="P2568" s="387" t="str">
        <f ca="1">IFERROR(IF(VLOOKUP(C2568,' Disaggregation - Section E '!A$618:R1580,18,0)=0,"",VLOOKUP(C2568,' Disaggregation - Section E '!A$618:R1580,18,0)),"")</f>
        <v/>
      </c>
    </row>
    <row r="2569" spans="1:16">
      <c r="A2569" s="387" t="b">
        <f t="shared" ca="1" si="170"/>
        <v>0</v>
      </c>
      <c r="B2569" s="387"/>
      <c r="C2569" s="396" t="str">
        <f ca="1">IF(COUNTA(O$1610:O2569)=1,"",OFFSET(B2567,-COUNTA(O$1610:O2569)+3,1))</f>
        <v>a16Dm000000M3vIIAS</v>
      </c>
      <c r="D2569" s="392"/>
      <c r="E2569" s="389" t="str">
        <f ca="1">IFERROR(IF(VLOOKUP(C2569,' Disaggregation - Section E '!A$618:J3258,7,0)="","",VLOOKUP(C2569,' Disaggregation - Section E '!A$618:J3258,7,0)*100),"")</f>
        <v/>
      </c>
      <c r="F2569" s="391" t="str">
        <f ca="1">IFERROR(VLOOKUP(C2569,' Disaggregation - Section E '!A$618:J3258,5,0),"")</f>
        <v/>
      </c>
      <c r="G2569" s="390" t="str">
        <f ca="1">IFERROR(IF(VLOOKUP(C2569,' Disaggregation - Section E '!A$618:J3258,6,0)="","",VLOOKUP(C2569,' Disaggregation - Section E '!A$618:J3258,6,0)),"")</f>
        <v/>
      </c>
      <c r="H2569" s="390" t="str">
        <f ca="1">IFERROR(IF(INDEX(' Disaggregation - Section E '!F$618:F3258,MATCH(C2569,' Disaggregation - Section E '!A$618:A3258,0)+1,1)&lt;&gt;0,INDEX(' Disaggregation - Section E '!F$618:F3258,MATCH(C2569,' Disaggregation - Section E '!A$618:A3258,0)+1,1),""),"")</f>
        <v/>
      </c>
      <c r="I2569" s="391" t="str">
        <f ca="1">IFERROR(IF(VLOOKUP(C2569,' Disaggregation - Section E '!A$618:J3258,8,0)=0,"",VLOOKUP(C2569,' Disaggregation - Section E '!A$618:J3258,8,0)),"")</f>
        <v/>
      </c>
      <c r="J2569" s="391" t="str">
        <f ca="1">IFERROR(IF(VLOOKUP(C2569,' Disaggregation - Section E '!A$618:J3258,9,0)="","",VLOOKUP(C2569,' Disaggregation - Section E '!A$618:J3258,9,0)),"")</f>
        <v/>
      </c>
      <c r="K2569" s="387" t="str">
        <f ca="1">IFERROR(VLOOKUP(C2569,' Disaggregation - Section E '!A$618:J3258,3,0),"")</f>
        <v>KP-6c Number of sex workers who received any PrEP product at least once during the reporting period</v>
      </c>
      <c r="L2569" s="387"/>
      <c r="M2569" s="387" t="str">
        <f ca="1">IFERROR(IF(VLOOKUP(C2569,' Disaggregation - Section E '!A$618:O1581,15,0)=0,"",VLOOKUP(C2569,' Disaggregation - Section E '!A$618:O1581,15,0)),"")</f>
        <v/>
      </c>
      <c r="N2569" s="391" t="str">
        <f ca="1">IFERROR(IF(VLOOKUP(C2569,' Disaggregation - Section E '!A$618:J3258,10,0)=0,"",VLOOKUP(C2569,' Disaggregation - Section E '!A$618:J3258,10,0)),"")</f>
        <v/>
      </c>
      <c r="O2569" s="387"/>
      <c r="P2569" s="387" t="str">
        <f ca="1">IFERROR(IF(VLOOKUP(C2569,' Disaggregation - Section E '!A$618:R1581,18,0)=0,"",VLOOKUP(C2569,' Disaggregation - Section E '!A$618:R1581,18,0)),"")</f>
        <v/>
      </c>
    </row>
    <row r="2570" spans="1:16">
      <c r="A2570" s="387" t="b">
        <f t="shared" ca="1" si="170"/>
        <v>0</v>
      </c>
      <c r="B2570" s="387"/>
      <c r="C2570" s="396" t="str">
        <f ca="1">IF(COUNTA(O$1610:O2570)=1,"",OFFSET(B2568,-COUNTA(O$1610:O2570)+3,1))</f>
        <v>a16Dm000000M3vJIAS</v>
      </c>
      <c r="D2570" s="392"/>
      <c r="E2570" s="389" t="str">
        <f ca="1">IFERROR(IF(VLOOKUP(C2570,' Disaggregation - Section E '!A$618:J3259,7,0)="","",VLOOKUP(C2570,' Disaggregation - Section E '!A$618:J3259,7,0)*100),"")</f>
        <v/>
      </c>
      <c r="F2570" s="391" t="str">
        <f ca="1">IFERROR(VLOOKUP(C2570,' Disaggregation - Section E '!A$618:J3259,5,0),"")</f>
        <v/>
      </c>
      <c r="G2570" s="390" t="str">
        <f ca="1">IFERROR(IF(VLOOKUP(C2570,' Disaggregation - Section E '!A$618:J3259,6,0)="","",VLOOKUP(C2570,' Disaggregation - Section E '!A$618:J3259,6,0)),"")</f>
        <v/>
      </c>
      <c r="H2570" s="390" t="str">
        <f ca="1">IFERROR(IF(INDEX(' Disaggregation - Section E '!F$618:F3259,MATCH(C2570,' Disaggregation - Section E '!A$618:A3259,0)+1,1)&lt;&gt;0,INDEX(' Disaggregation - Section E '!F$618:F3259,MATCH(C2570,' Disaggregation - Section E '!A$618:A3259,0)+1,1),""),"")</f>
        <v/>
      </c>
      <c r="I2570" s="391" t="str">
        <f ca="1">IFERROR(IF(VLOOKUP(C2570,' Disaggregation - Section E '!A$618:J3259,8,0)=0,"",VLOOKUP(C2570,' Disaggregation - Section E '!A$618:J3259,8,0)),"")</f>
        <v/>
      </c>
      <c r="J2570" s="391" t="str">
        <f ca="1">IFERROR(IF(VLOOKUP(C2570,' Disaggregation - Section E '!A$618:J3259,9,0)="","",VLOOKUP(C2570,' Disaggregation - Section E '!A$618:J3259,9,0)),"")</f>
        <v/>
      </c>
      <c r="K2570" s="387" t="str">
        <f ca="1">IFERROR(VLOOKUP(C2570,' Disaggregation - Section E '!A$618:J3259,3,0),"")</f>
        <v>KP-6c Number of sex workers who received any PrEP product at least once during the reporting period</v>
      </c>
      <c r="L2570" s="387"/>
      <c r="M2570" s="387" t="str">
        <f ca="1">IFERROR(IF(VLOOKUP(C2570,' Disaggregation - Section E '!A$618:O1582,15,0)=0,"",VLOOKUP(C2570,' Disaggregation - Section E '!A$618:O1582,15,0)),"")</f>
        <v/>
      </c>
      <c r="N2570" s="391" t="str">
        <f ca="1">IFERROR(IF(VLOOKUP(C2570,' Disaggregation - Section E '!A$618:J3259,10,0)=0,"",VLOOKUP(C2570,' Disaggregation - Section E '!A$618:J3259,10,0)),"")</f>
        <v/>
      </c>
      <c r="O2570" s="387"/>
      <c r="P2570" s="387" t="str">
        <f ca="1">IFERROR(IF(VLOOKUP(C2570,' Disaggregation - Section E '!A$618:R1582,18,0)=0,"",VLOOKUP(C2570,' Disaggregation - Section E '!A$618:R1582,18,0)),"")</f>
        <v/>
      </c>
    </row>
    <row r="2571" spans="1:16">
      <c r="A2571" s="387" t="b">
        <f t="shared" ca="1" si="170"/>
        <v>0</v>
      </c>
      <c r="B2571" s="387"/>
      <c r="C2571" s="396" t="str">
        <f ca="1">IF(COUNTA(O$1610:O2571)=1,"",OFFSET(B2569,-COUNTA(O$1610:O2571)+3,1))</f>
        <v>a16Dm000000M3vKIAS</v>
      </c>
      <c r="D2571" s="392"/>
      <c r="E2571" s="389" t="str">
        <f ca="1">IFERROR(IF(VLOOKUP(C2571,' Disaggregation - Section E '!A$618:J3260,7,0)="","",VLOOKUP(C2571,' Disaggregation - Section E '!A$618:J3260,7,0)*100),"")</f>
        <v/>
      </c>
      <c r="F2571" s="391" t="str">
        <f ca="1">IFERROR(VLOOKUP(C2571,' Disaggregation - Section E '!A$618:J3260,5,0),"")</f>
        <v/>
      </c>
      <c r="G2571" s="390" t="str">
        <f ca="1">IFERROR(IF(VLOOKUP(C2571,' Disaggregation - Section E '!A$618:J3260,6,0)="","",VLOOKUP(C2571,' Disaggregation - Section E '!A$618:J3260,6,0)),"")</f>
        <v/>
      </c>
      <c r="H2571" s="390" t="str">
        <f ca="1">IFERROR(IF(INDEX(' Disaggregation - Section E '!F$618:F3260,MATCH(C2571,' Disaggregation - Section E '!A$618:A3260,0)+1,1)&lt;&gt;0,INDEX(' Disaggregation - Section E '!F$618:F3260,MATCH(C2571,' Disaggregation - Section E '!A$618:A3260,0)+1,1),""),"")</f>
        <v/>
      </c>
      <c r="I2571" s="391" t="str">
        <f ca="1">IFERROR(IF(VLOOKUP(C2571,' Disaggregation - Section E '!A$618:J3260,8,0)=0,"",VLOOKUP(C2571,' Disaggregation - Section E '!A$618:J3260,8,0)),"")</f>
        <v/>
      </c>
      <c r="J2571" s="391" t="str">
        <f ca="1">IFERROR(IF(VLOOKUP(C2571,' Disaggregation - Section E '!A$618:J3260,9,0)="","",VLOOKUP(C2571,' Disaggregation - Section E '!A$618:J3260,9,0)),"")</f>
        <v/>
      </c>
      <c r="K2571" s="387" t="str">
        <f ca="1">IFERROR(VLOOKUP(C2571,' Disaggregation - Section E '!A$618:J3260,3,0),"")</f>
        <v>KP-6c Number of sex workers who received any PrEP product at least once during the reporting period</v>
      </c>
      <c r="L2571" s="387"/>
      <c r="M2571" s="387" t="str">
        <f ca="1">IFERROR(IF(VLOOKUP(C2571,' Disaggregation - Section E '!A$618:O1583,15,0)=0,"",VLOOKUP(C2571,' Disaggregation - Section E '!A$618:O1583,15,0)),"")</f>
        <v/>
      </c>
      <c r="N2571" s="391" t="str">
        <f ca="1">IFERROR(IF(VLOOKUP(C2571,' Disaggregation - Section E '!A$618:J3260,10,0)=0,"",VLOOKUP(C2571,' Disaggregation - Section E '!A$618:J3260,10,0)),"")</f>
        <v/>
      </c>
      <c r="O2571" s="387"/>
      <c r="P2571" s="387" t="str">
        <f ca="1">IFERROR(IF(VLOOKUP(C2571,' Disaggregation - Section E '!A$618:R1583,18,0)=0,"",VLOOKUP(C2571,' Disaggregation - Section E '!A$618:R1583,18,0)),"")</f>
        <v/>
      </c>
    </row>
    <row r="2572" spans="1:16">
      <c r="A2572" s="387" t="b">
        <f t="shared" ref="A2572:A2635" ca="1" si="171">IF(M2572&lt;&gt;"",TRUE,FALSE)</f>
        <v>1</v>
      </c>
      <c r="B2572" s="387"/>
      <c r="C2572" s="396" t="str">
        <f ca="1">IF(COUNTA(O$1610:O2572)=1,"",OFFSET(B2570,-COUNTA(O$1610:O2572)+3,1))</f>
        <v>a16Dm000000M3vLIAS</v>
      </c>
      <c r="D2572" s="392"/>
      <c r="E2572" s="389" t="str">
        <f ca="1">IFERROR(IF(VLOOKUP(C2572,' Disaggregation - Section E '!A$618:J3261,7,0)="","",VLOOKUP(C2572,' Disaggregation - Section E '!A$618:J3261,7,0)*100),"")</f>
        <v/>
      </c>
      <c r="F2572" s="391" t="str">
        <f ca="1">IFERROR(VLOOKUP(C2572,' Disaggregation - Section E '!A$618:J3261,5,0),"")</f>
        <v>25+</v>
      </c>
      <c r="G2572" s="390" t="str">
        <f ca="1">IFERROR(IF(VLOOKUP(C2572,' Disaggregation - Section E '!A$618:J3261,6,0)="","",VLOOKUP(C2572,' Disaggregation - Section E '!A$618:J3261,6,0)),"")</f>
        <v/>
      </c>
      <c r="H2572" s="390" t="str">
        <f ca="1">IFERROR(IF(INDEX(' Disaggregation - Section E '!F$618:F3261,MATCH(C2572,' Disaggregation - Section E '!A$618:A3261,0)+1,1)&lt;&gt;0,INDEX(' Disaggregation - Section E '!F$618:F3261,MATCH(C2572,' Disaggregation - Section E '!A$618:A3261,0)+1,1),""),"")</f>
        <v/>
      </c>
      <c r="I2572" s="391" t="str">
        <f ca="1">IFERROR(IF(VLOOKUP(C2572,' Disaggregation - Section E '!A$618:J3261,8,0)=0,"",VLOOKUP(C2572,' Disaggregation - Section E '!A$618:J3261,8,0)),"")</f>
        <v/>
      </c>
      <c r="J2572" s="391" t="str">
        <f ca="1">IFERROR(IF(VLOOKUP(C2572,' Disaggregation - Section E '!A$618:J3261,9,0)="","",VLOOKUP(C2572,' Disaggregation - Section E '!A$618:J3261,9,0)),"")</f>
        <v/>
      </c>
      <c r="K2572" s="387" t="str">
        <f ca="1">IFERROR(VLOOKUP(C2572,' Disaggregation - Section E '!A$618:J3261,3,0),"")</f>
        <v>KP-1b Percentage of transgender people reached with HIV prevention programs - defined package of services</v>
      </c>
      <c r="L2572" s="387"/>
      <c r="M2572" s="387" t="str">
        <f ca="1">IFERROR(IF(VLOOKUP(C2572,' Disaggregation - Section E '!A$618:O1584,15,0)=0,"",VLOOKUP(C2572,' Disaggregation - Section E '!A$618:O1584,15,0)),"")</f>
        <v>IDR-01181</v>
      </c>
      <c r="N2572" s="391" t="str">
        <f ca="1">IFERROR(IF(VLOOKUP(C2572,' Disaggregation - Section E '!A$618:J3261,10,0)=0,"",VLOOKUP(C2572,' Disaggregation - Section E '!A$618:J3261,10,0)),"")</f>
        <v>Disaggregated data not available. The activity will be taken into account from 2024 onwards</v>
      </c>
      <c r="O2572" s="387"/>
      <c r="P2572" s="387" t="str">
        <f ca="1">IFERROR(IF(VLOOKUP(C2572,' Disaggregation - Section E '!A$618:R1584,18,0)=0,"",VLOOKUP(C2572,' Disaggregation - Section E '!A$618:R1584,18,0)),"")</f>
        <v>a1LDm000000Cb1nMAC</v>
      </c>
    </row>
    <row r="2573" spans="1:16">
      <c r="A2573" s="387" t="b">
        <f t="shared" ca="1" si="171"/>
        <v>1</v>
      </c>
      <c r="B2573" s="387"/>
      <c r="C2573" s="396" t="str">
        <f ca="1">IF(COUNTA(O$1610:O2573)=1,"",OFFSET(B2571,-COUNTA(O$1610:O2573)+3,1))</f>
        <v>a16Dm000000M3vMIAS</v>
      </c>
      <c r="D2573" s="392"/>
      <c r="E2573" s="389" t="str">
        <f ca="1">IFERROR(IF(VLOOKUP(C2573,' Disaggregation - Section E '!A$618:J3262,7,0)="","",VLOOKUP(C2573,' Disaggregation - Section E '!A$618:J3262,7,0)*100),"")</f>
        <v/>
      </c>
      <c r="F2573" s="391" t="str">
        <f ca="1">IFERROR(VLOOKUP(C2573,' Disaggregation - Section E '!A$618:J3262,5,0),"")</f>
        <v>20-24</v>
      </c>
      <c r="G2573" s="390" t="str">
        <f ca="1">IFERROR(IF(VLOOKUP(C2573,' Disaggregation - Section E '!A$618:J3262,6,0)="","",VLOOKUP(C2573,' Disaggregation - Section E '!A$618:J3262,6,0)),"")</f>
        <v/>
      </c>
      <c r="H2573" s="390" t="str">
        <f ca="1">IFERROR(IF(INDEX(' Disaggregation - Section E '!F$618:F3262,MATCH(C2573,' Disaggregation - Section E '!A$618:A3262,0)+1,1)&lt;&gt;0,INDEX(' Disaggregation - Section E '!F$618:F3262,MATCH(C2573,' Disaggregation - Section E '!A$618:A3262,0)+1,1),""),"")</f>
        <v/>
      </c>
      <c r="I2573" s="391" t="str">
        <f ca="1">IFERROR(IF(VLOOKUP(C2573,' Disaggregation - Section E '!A$618:J3262,8,0)=0,"",VLOOKUP(C2573,' Disaggregation - Section E '!A$618:J3262,8,0)),"")</f>
        <v/>
      </c>
      <c r="J2573" s="391" t="str">
        <f ca="1">IFERROR(IF(VLOOKUP(C2573,' Disaggregation - Section E '!A$618:J3262,9,0)="","",VLOOKUP(C2573,' Disaggregation - Section E '!A$618:J3262,9,0)),"")</f>
        <v/>
      </c>
      <c r="K2573" s="387" t="str">
        <f ca="1">IFERROR(VLOOKUP(C2573,' Disaggregation - Section E '!A$618:J3262,3,0),"")</f>
        <v>KP-1b Percentage of transgender people reached with HIV prevention programs - defined package of services</v>
      </c>
      <c r="L2573" s="387"/>
      <c r="M2573" s="387" t="str">
        <f ca="1">IFERROR(IF(VLOOKUP(C2573,' Disaggregation - Section E '!A$618:O1585,15,0)=0,"",VLOOKUP(C2573,' Disaggregation - Section E '!A$618:O1585,15,0)),"")</f>
        <v>IDR-01180</v>
      </c>
      <c r="N2573" s="391" t="str">
        <f ca="1">IFERROR(IF(VLOOKUP(C2573,' Disaggregation - Section E '!A$618:J3262,10,0)=0,"",VLOOKUP(C2573,' Disaggregation - Section E '!A$618:J3262,10,0)),"")</f>
        <v>Disaggregated data not available. The activity will be taken into account from 2024 onwards</v>
      </c>
      <c r="O2573" s="387"/>
      <c r="P2573" s="387" t="str">
        <f ca="1">IFERROR(IF(VLOOKUP(C2573,' Disaggregation - Section E '!A$618:R1585,18,0)=0,"",VLOOKUP(C2573,' Disaggregation - Section E '!A$618:R1585,18,0)),"")</f>
        <v>a1LDm000000Cb1mMAC</v>
      </c>
    </row>
    <row r="2574" spans="1:16">
      <c r="A2574" s="387" t="b">
        <f t="shared" ca="1" si="171"/>
        <v>1</v>
      </c>
      <c r="B2574" s="387"/>
      <c r="C2574" s="396" t="str">
        <f ca="1">IF(COUNTA(O$1610:O2574)=1,"",OFFSET(B2572,-COUNTA(O$1610:O2574)+3,1))</f>
        <v>a16Dm000000M3vNIAS</v>
      </c>
      <c r="D2574" s="392"/>
      <c r="E2574" s="389" t="str">
        <f ca="1">IFERROR(IF(VLOOKUP(C2574,' Disaggregation - Section E '!A$618:J3263,7,0)="","",VLOOKUP(C2574,' Disaggregation - Section E '!A$618:J3263,7,0)*100),"")</f>
        <v/>
      </c>
      <c r="F2574" s="391" t="str">
        <f ca="1">IFERROR(VLOOKUP(C2574,' Disaggregation - Section E '!A$618:J3263,5,0),"")</f>
        <v>Transwomen</v>
      </c>
      <c r="G2574" s="390" t="str">
        <f ca="1">IFERROR(IF(VLOOKUP(C2574,' Disaggregation - Section E '!A$618:J3263,6,0)="","",VLOOKUP(C2574,' Disaggregation - Section E '!A$618:J3263,6,0)),"")</f>
        <v/>
      </c>
      <c r="H2574" s="390" t="str">
        <f ca="1">IFERROR(IF(INDEX(' Disaggregation - Section E '!F$618:F3263,MATCH(C2574,' Disaggregation - Section E '!A$618:A3263,0)+1,1)&lt;&gt;0,INDEX(' Disaggregation - Section E '!F$618:F3263,MATCH(C2574,' Disaggregation - Section E '!A$618:A3263,0)+1,1),""),"")</f>
        <v/>
      </c>
      <c r="I2574" s="391" t="str">
        <f ca="1">IFERROR(IF(VLOOKUP(C2574,' Disaggregation - Section E '!A$618:J3263,8,0)=0,"",VLOOKUP(C2574,' Disaggregation - Section E '!A$618:J3263,8,0)),"")</f>
        <v/>
      </c>
      <c r="J2574" s="391" t="str">
        <f ca="1">IFERROR(IF(VLOOKUP(C2574,' Disaggregation - Section E '!A$618:J3263,9,0)="","",VLOOKUP(C2574,' Disaggregation - Section E '!A$618:J3263,9,0)),"")</f>
        <v/>
      </c>
      <c r="K2574" s="387" t="str">
        <f ca="1">IFERROR(VLOOKUP(C2574,' Disaggregation - Section E '!A$618:J3263,3,0),"")</f>
        <v>KP-1b Percentage of transgender people reached with HIV prevention programs - defined package of services</v>
      </c>
      <c r="L2574" s="387"/>
      <c r="M2574" s="387" t="str">
        <f ca="1">IFERROR(IF(VLOOKUP(C2574,' Disaggregation - Section E '!A$618:O1586,15,0)=0,"",VLOOKUP(C2574,' Disaggregation - Section E '!A$618:O1586,15,0)),"")</f>
        <v>IDR-01179</v>
      </c>
      <c r="N2574" s="391" t="str">
        <f ca="1">IFERROR(IF(VLOOKUP(C2574,' Disaggregation - Section E '!A$618:J3263,10,0)=0,"",VLOOKUP(C2574,' Disaggregation - Section E '!A$618:J3263,10,0)),"")</f>
        <v>Disaggregated data not available. The activity will be taken into account from 2024 onwards</v>
      </c>
      <c r="O2574" s="387"/>
      <c r="P2574" s="387" t="str">
        <f ca="1">IFERROR(IF(VLOOKUP(C2574,' Disaggregation - Section E '!A$618:R1586,18,0)=0,"",VLOOKUP(C2574,' Disaggregation - Section E '!A$618:R1586,18,0)),"")</f>
        <v>a1LDm000000Cb1lMAC</v>
      </c>
    </row>
    <row r="2575" spans="1:16">
      <c r="A2575" s="387" t="b">
        <f t="shared" ca="1" si="171"/>
        <v>1</v>
      </c>
      <c r="B2575" s="387"/>
      <c r="C2575" s="396" t="str">
        <f ca="1">IF(COUNTA(O$1610:O2575)=1,"",OFFSET(B2573,-COUNTA(O$1610:O2575)+3,1))</f>
        <v>a16Dm000000M3vOIAS</v>
      </c>
      <c r="D2575" s="392"/>
      <c r="E2575" s="389" t="str">
        <f ca="1">IFERROR(IF(VLOOKUP(C2575,' Disaggregation - Section E '!A$618:J3264,7,0)="","",VLOOKUP(C2575,' Disaggregation - Section E '!A$618:J3264,7,0)*100),"")</f>
        <v/>
      </c>
      <c r="F2575" s="391" t="str">
        <f ca="1">IFERROR(VLOOKUP(C2575,' Disaggregation - Section E '!A$618:J3264,5,0),"")</f>
        <v>Transmen</v>
      </c>
      <c r="G2575" s="390" t="str">
        <f ca="1">IFERROR(IF(VLOOKUP(C2575,' Disaggregation - Section E '!A$618:J3264,6,0)="","",VLOOKUP(C2575,' Disaggregation - Section E '!A$618:J3264,6,0)),"")</f>
        <v/>
      </c>
      <c r="H2575" s="390" t="str">
        <f ca="1">IFERROR(IF(INDEX(' Disaggregation - Section E '!F$618:F3264,MATCH(C2575,' Disaggregation - Section E '!A$618:A3264,0)+1,1)&lt;&gt;0,INDEX(' Disaggregation - Section E '!F$618:F3264,MATCH(C2575,' Disaggregation - Section E '!A$618:A3264,0)+1,1),""),"")</f>
        <v/>
      </c>
      <c r="I2575" s="391" t="str">
        <f ca="1">IFERROR(IF(VLOOKUP(C2575,' Disaggregation - Section E '!A$618:J3264,8,0)=0,"",VLOOKUP(C2575,' Disaggregation - Section E '!A$618:J3264,8,0)),"")</f>
        <v/>
      </c>
      <c r="J2575" s="391" t="str">
        <f ca="1">IFERROR(IF(VLOOKUP(C2575,' Disaggregation - Section E '!A$618:J3264,9,0)="","",VLOOKUP(C2575,' Disaggregation - Section E '!A$618:J3264,9,0)),"")</f>
        <v/>
      </c>
      <c r="K2575" s="387" t="str">
        <f ca="1">IFERROR(VLOOKUP(C2575,' Disaggregation - Section E '!A$618:J3264,3,0),"")</f>
        <v>KP-1b Percentage of transgender people reached with HIV prevention programs - defined package of services</v>
      </c>
      <c r="L2575" s="387"/>
      <c r="M2575" s="387" t="str">
        <f ca="1">IFERROR(IF(VLOOKUP(C2575,' Disaggregation - Section E '!A$618:O1587,15,0)=0,"",VLOOKUP(C2575,' Disaggregation - Section E '!A$618:O1587,15,0)),"")</f>
        <v>IDR-01178</v>
      </c>
      <c r="N2575" s="391" t="str">
        <f ca="1">IFERROR(IF(VLOOKUP(C2575,' Disaggregation - Section E '!A$618:J3264,10,0)=0,"",VLOOKUP(C2575,' Disaggregation - Section E '!A$618:J3264,10,0)),"")</f>
        <v>Disaggregated data not available. The activity will be taken into account from 2024 onwards</v>
      </c>
      <c r="O2575" s="387"/>
      <c r="P2575" s="387" t="str">
        <f ca="1">IFERROR(IF(VLOOKUP(C2575,' Disaggregation - Section E '!A$618:R1587,18,0)=0,"",VLOOKUP(C2575,' Disaggregation - Section E '!A$618:R1587,18,0)),"")</f>
        <v>a1LDm000000Cb1kMAC</v>
      </c>
    </row>
    <row r="2576" spans="1:16">
      <c r="A2576" s="387" t="b">
        <f t="shared" ca="1" si="171"/>
        <v>1</v>
      </c>
      <c r="B2576" s="387"/>
      <c r="C2576" s="396" t="str">
        <f ca="1">IF(COUNTA(O$1610:O2576)=1,"",OFFSET(B2574,-COUNTA(O$1610:O2576)+3,1))</f>
        <v>a16Dm000000M3vPIAS</v>
      </c>
      <c r="D2576" s="392"/>
      <c r="E2576" s="389" t="str">
        <f ca="1">IFERROR(IF(VLOOKUP(C2576,' Disaggregation - Section E '!A$618:J3265,7,0)="","",VLOOKUP(C2576,' Disaggregation - Section E '!A$618:J3265,7,0)*100),"")</f>
        <v/>
      </c>
      <c r="F2576" s="391" t="str">
        <f ca="1">IFERROR(VLOOKUP(C2576,' Disaggregation - Section E '!A$618:J3265,5,0),"")</f>
        <v>15-19</v>
      </c>
      <c r="G2576" s="390" t="str">
        <f ca="1">IFERROR(IF(VLOOKUP(C2576,' Disaggregation - Section E '!A$618:J3265,6,0)="","",VLOOKUP(C2576,' Disaggregation - Section E '!A$618:J3265,6,0)),"")</f>
        <v/>
      </c>
      <c r="H2576" s="390" t="str">
        <f ca="1">IFERROR(IF(INDEX(' Disaggregation - Section E '!F$618:F3265,MATCH(C2576,' Disaggregation - Section E '!A$618:A3265,0)+1,1)&lt;&gt;0,INDEX(' Disaggregation - Section E '!F$618:F3265,MATCH(C2576,' Disaggregation - Section E '!A$618:A3265,0)+1,1),""),"")</f>
        <v/>
      </c>
      <c r="I2576" s="391" t="str">
        <f ca="1">IFERROR(IF(VLOOKUP(C2576,' Disaggregation - Section E '!A$618:J3265,8,0)=0,"",VLOOKUP(C2576,' Disaggregation - Section E '!A$618:J3265,8,0)),"")</f>
        <v/>
      </c>
      <c r="J2576" s="391" t="str">
        <f ca="1">IFERROR(IF(VLOOKUP(C2576,' Disaggregation - Section E '!A$618:J3265,9,0)="","",VLOOKUP(C2576,' Disaggregation - Section E '!A$618:J3265,9,0)),"")</f>
        <v/>
      </c>
      <c r="K2576" s="387" t="str">
        <f ca="1">IFERROR(VLOOKUP(C2576,' Disaggregation - Section E '!A$618:J3265,3,0),"")</f>
        <v>KP-1b Percentage of transgender people reached with HIV prevention programs - defined package of services</v>
      </c>
      <c r="L2576" s="387"/>
      <c r="M2576" s="387" t="str">
        <f ca="1">IFERROR(IF(VLOOKUP(C2576,' Disaggregation - Section E '!A$618:O1588,15,0)=0,"",VLOOKUP(C2576,' Disaggregation - Section E '!A$618:O1588,15,0)),"")</f>
        <v>IDR-01177</v>
      </c>
      <c r="N2576" s="391" t="str">
        <f ca="1">IFERROR(IF(VLOOKUP(C2576,' Disaggregation - Section E '!A$618:J3265,10,0)=0,"",VLOOKUP(C2576,' Disaggregation - Section E '!A$618:J3265,10,0)),"")</f>
        <v>Disaggregated data not available. The activity will be taken into account from 2024 onwards</v>
      </c>
      <c r="O2576" s="387"/>
      <c r="P2576" s="387" t="str">
        <f ca="1">IFERROR(IF(VLOOKUP(C2576,' Disaggregation - Section E '!A$618:R1588,18,0)=0,"",VLOOKUP(C2576,' Disaggregation - Section E '!A$618:R1588,18,0)),"")</f>
        <v>a1LDm000000Cb1jMAC</v>
      </c>
    </row>
    <row r="2577" spans="1:16">
      <c r="A2577" s="387" t="b">
        <f t="shared" ca="1" si="171"/>
        <v>0</v>
      </c>
      <c r="B2577" s="387"/>
      <c r="C2577" s="396" t="str">
        <f ca="1">IF(COUNTA(O$1610:O2577)=1,"",OFFSET(B2575,-COUNTA(O$1610:O2577)+3,1))</f>
        <v>a16Dm000000M3vQIAS</v>
      </c>
      <c r="D2577" s="392"/>
      <c r="E2577" s="389" t="str">
        <f ca="1">IFERROR(IF(VLOOKUP(C2577,' Disaggregation - Section E '!A$618:J3266,7,0)="","",VLOOKUP(C2577,' Disaggregation - Section E '!A$618:J3266,7,0)*100),"")</f>
        <v/>
      </c>
      <c r="F2577" s="391" t="str">
        <f ca="1">IFERROR(VLOOKUP(C2577,' Disaggregation - Section E '!A$618:J3266,5,0),"")</f>
        <v/>
      </c>
      <c r="G2577" s="390" t="str">
        <f ca="1">IFERROR(IF(VLOOKUP(C2577,' Disaggregation - Section E '!A$618:J3266,6,0)="","",VLOOKUP(C2577,' Disaggregation - Section E '!A$618:J3266,6,0)),"")</f>
        <v/>
      </c>
      <c r="H2577" s="390" t="str">
        <f ca="1">IFERROR(IF(INDEX(' Disaggregation - Section E '!F$618:F3266,MATCH(C2577,' Disaggregation - Section E '!A$618:A3266,0)+1,1)&lt;&gt;0,INDEX(' Disaggregation - Section E '!F$618:F3266,MATCH(C2577,' Disaggregation - Section E '!A$618:A3266,0)+1,1),""),"")</f>
        <v/>
      </c>
      <c r="I2577" s="391" t="str">
        <f ca="1">IFERROR(IF(VLOOKUP(C2577,' Disaggregation - Section E '!A$618:J3266,8,0)=0,"",VLOOKUP(C2577,' Disaggregation - Section E '!A$618:J3266,8,0)),"")</f>
        <v/>
      </c>
      <c r="J2577" s="391" t="str">
        <f ca="1">IFERROR(IF(VLOOKUP(C2577,' Disaggregation - Section E '!A$618:J3266,9,0)="","",VLOOKUP(C2577,' Disaggregation - Section E '!A$618:J3266,9,0)),"")</f>
        <v/>
      </c>
      <c r="K2577" s="387" t="str">
        <f ca="1">IFERROR(VLOOKUP(C2577,' Disaggregation - Section E '!A$618:J3266,3,0),"")</f>
        <v>KP-1b Percentage of transgender people reached with HIV prevention programs - defined package of services</v>
      </c>
      <c r="L2577" s="387"/>
      <c r="M2577" s="387" t="str">
        <f ca="1">IFERROR(IF(VLOOKUP(C2577,' Disaggregation - Section E '!A$618:O1589,15,0)=0,"",VLOOKUP(C2577,' Disaggregation - Section E '!A$618:O1589,15,0)),"")</f>
        <v/>
      </c>
      <c r="N2577" s="391" t="str">
        <f ca="1">IFERROR(IF(VLOOKUP(C2577,' Disaggregation - Section E '!A$618:J3266,10,0)=0,"",VLOOKUP(C2577,' Disaggregation - Section E '!A$618:J3266,10,0)),"")</f>
        <v/>
      </c>
      <c r="O2577" s="387"/>
      <c r="P2577" s="387" t="str">
        <f ca="1">IFERROR(IF(VLOOKUP(C2577,' Disaggregation - Section E '!A$618:R1589,18,0)=0,"",VLOOKUP(C2577,' Disaggregation - Section E '!A$618:R1589,18,0)),"")</f>
        <v/>
      </c>
    </row>
    <row r="2578" spans="1:16">
      <c r="A2578" s="387" t="b">
        <f t="shared" ca="1" si="171"/>
        <v>0</v>
      </c>
      <c r="B2578" s="387"/>
      <c r="C2578" s="396" t="str">
        <f ca="1">IF(COUNTA(O$1610:O2578)=1,"",OFFSET(B2576,-COUNTA(O$1610:O2578)+3,1))</f>
        <v>a16Dm000000M3vRIAS</v>
      </c>
      <c r="D2578" s="392"/>
      <c r="E2578" s="389" t="str">
        <f ca="1">IFERROR(IF(VLOOKUP(C2578,' Disaggregation - Section E '!A$618:J3267,7,0)="","",VLOOKUP(C2578,' Disaggregation - Section E '!A$618:J3267,7,0)*100),"")</f>
        <v/>
      </c>
      <c r="F2578" s="391" t="str">
        <f ca="1">IFERROR(VLOOKUP(C2578,' Disaggregation - Section E '!A$618:J3267,5,0),"")</f>
        <v/>
      </c>
      <c r="G2578" s="390" t="str">
        <f ca="1">IFERROR(IF(VLOOKUP(C2578,' Disaggregation - Section E '!A$618:J3267,6,0)="","",VLOOKUP(C2578,' Disaggregation - Section E '!A$618:J3267,6,0)),"")</f>
        <v/>
      </c>
      <c r="H2578" s="390" t="str">
        <f ca="1">IFERROR(IF(INDEX(' Disaggregation - Section E '!F$618:F3267,MATCH(C2578,' Disaggregation - Section E '!A$618:A3267,0)+1,1)&lt;&gt;0,INDEX(' Disaggregation - Section E '!F$618:F3267,MATCH(C2578,' Disaggregation - Section E '!A$618:A3267,0)+1,1),""),"")</f>
        <v/>
      </c>
      <c r="I2578" s="391" t="str">
        <f ca="1">IFERROR(IF(VLOOKUP(C2578,' Disaggregation - Section E '!A$618:J3267,8,0)=0,"",VLOOKUP(C2578,' Disaggregation - Section E '!A$618:J3267,8,0)),"")</f>
        <v/>
      </c>
      <c r="J2578" s="391" t="str">
        <f ca="1">IFERROR(IF(VLOOKUP(C2578,' Disaggregation - Section E '!A$618:J3267,9,0)="","",VLOOKUP(C2578,' Disaggregation - Section E '!A$618:J3267,9,0)),"")</f>
        <v/>
      </c>
      <c r="K2578" s="387" t="str">
        <f ca="1">IFERROR(VLOOKUP(C2578,' Disaggregation - Section E '!A$618:J3267,3,0),"")</f>
        <v>KP-1b Percentage of transgender people reached with HIV prevention programs - defined package of services</v>
      </c>
      <c r="L2578" s="387"/>
      <c r="M2578" s="387" t="str">
        <f ca="1">IFERROR(IF(VLOOKUP(C2578,' Disaggregation - Section E '!A$618:O1590,15,0)=0,"",VLOOKUP(C2578,' Disaggregation - Section E '!A$618:O1590,15,0)),"")</f>
        <v/>
      </c>
      <c r="N2578" s="391" t="str">
        <f ca="1">IFERROR(IF(VLOOKUP(C2578,' Disaggregation - Section E '!A$618:J3267,10,0)=0,"",VLOOKUP(C2578,' Disaggregation - Section E '!A$618:J3267,10,0)),"")</f>
        <v/>
      </c>
      <c r="O2578" s="387"/>
      <c r="P2578" s="387" t="str">
        <f ca="1">IFERROR(IF(VLOOKUP(C2578,' Disaggregation - Section E '!A$618:R1590,18,0)=0,"",VLOOKUP(C2578,' Disaggregation - Section E '!A$618:R1590,18,0)),"")</f>
        <v/>
      </c>
    </row>
    <row r="2579" spans="1:16">
      <c r="A2579" s="387" t="b">
        <f t="shared" ca="1" si="171"/>
        <v>0</v>
      </c>
      <c r="B2579" s="387"/>
      <c r="C2579" s="396" t="str">
        <f ca="1">IF(COUNTA(O$1610:O2579)=1,"",OFFSET(B2577,-COUNTA(O$1610:O2579)+3,1))</f>
        <v>a16Dm000000M3vSIAS</v>
      </c>
      <c r="D2579" s="392"/>
      <c r="E2579" s="389" t="str">
        <f ca="1">IFERROR(IF(VLOOKUP(C2579,' Disaggregation - Section E '!A$618:J3268,7,0)="","",VLOOKUP(C2579,' Disaggregation - Section E '!A$618:J3268,7,0)*100),"")</f>
        <v/>
      </c>
      <c r="F2579" s="391" t="str">
        <f ca="1">IFERROR(VLOOKUP(C2579,' Disaggregation - Section E '!A$618:J3268,5,0),"")</f>
        <v/>
      </c>
      <c r="G2579" s="390" t="str">
        <f ca="1">IFERROR(IF(VLOOKUP(C2579,' Disaggregation - Section E '!A$618:J3268,6,0)="","",VLOOKUP(C2579,' Disaggregation - Section E '!A$618:J3268,6,0)),"")</f>
        <v/>
      </c>
      <c r="H2579" s="390" t="str">
        <f ca="1">IFERROR(IF(INDEX(' Disaggregation - Section E '!F$618:F3268,MATCH(C2579,' Disaggregation - Section E '!A$618:A3268,0)+1,1)&lt;&gt;0,INDEX(' Disaggregation - Section E '!F$618:F3268,MATCH(C2579,' Disaggregation - Section E '!A$618:A3268,0)+1,1),""),"")</f>
        <v/>
      </c>
      <c r="I2579" s="391" t="str">
        <f ca="1">IFERROR(IF(VLOOKUP(C2579,' Disaggregation - Section E '!A$618:J3268,8,0)=0,"",VLOOKUP(C2579,' Disaggregation - Section E '!A$618:J3268,8,0)),"")</f>
        <v/>
      </c>
      <c r="J2579" s="391" t="str">
        <f ca="1">IFERROR(IF(VLOOKUP(C2579,' Disaggregation - Section E '!A$618:J3268,9,0)="","",VLOOKUP(C2579,' Disaggregation - Section E '!A$618:J3268,9,0)),"")</f>
        <v/>
      </c>
      <c r="K2579" s="387" t="str">
        <f ca="1">IFERROR(VLOOKUP(C2579,' Disaggregation - Section E '!A$618:J3268,3,0),"")</f>
        <v>KP-1b Percentage of transgender people reached with HIV prevention programs - defined package of services</v>
      </c>
      <c r="L2579" s="387"/>
      <c r="M2579" s="387" t="str">
        <f ca="1">IFERROR(IF(VLOOKUP(C2579,' Disaggregation - Section E '!A$618:O1591,15,0)=0,"",VLOOKUP(C2579,' Disaggregation - Section E '!A$618:O1591,15,0)),"")</f>
        <v/>
      </c>
      <c r="N2579" s="391" t="str">
        <f ca="1">IFERROR(IF(VLOOKUP(C2579,' Disaggregation - Section E '!A$618:J3268,10,0)=0,"",VLOOKUP(C2579,' Disaggregation - Section E '!A$618:J3268,10,0)),"")</f>
        <v/>
      </c>
      <c r="O2579" s="387"/>
      <c r="P2579" s="387" t="str">
        <f ca="1">IFERROR(IF(VLOOKUP(C2579,' Disaggregation - Section E '!A$618:R1591,18,0)=0,"",VLOOKUP(C2579,' Disaggregation - Section E '!A$618:R1591,18,0)),"")</f>
        <v/>
      </c>
    </row>
    <row r="2580" spans="1:16">
      <c r="A2580" s="387" t="b">
        <f t="shared" ca="1" si="171"/>
        <v>0</v>
      </c>
      <c r="B2580" s="387"/>
      <c r="C2580" s="396" t="str">
        <f ca="1">IF(COUNTA(O$1610:O2580)=1,"",OFFSET(B2578,-COUNTA(O$1610:O2580)+3,1))</f>
        <v>a16Dm000000M3vTIAS</v>
      </c>
      <c r="D2580" s="392"/>
      <c r="E2580" s="389" t="str">
        <f ca="1">IFERROR(IF(VLOOKUP(C2580,' Disaggregation - Section E '!A$618:J3269,7,0)="","",VLOOKUP(C2580,' Disaggregation - Section E '!A$618:J3269,7,0)*100),"")</f>
        <v/>
      </c>
      <c r="F2580" s="391" t="str">
        <f ca="1">IFERROR(VLOOKUP(C2580,' Disaggregation - Section E '!A$618:J3269,5,0),"")</f>
        <v/>
      </c>
      <c r="G2580" s="390" t="str">
        <f ca="1">IFERROR(IF(VLOOKUP(C2580,' Disaggregation - Section E '!A$618:J3269,6,0)="","",VLOOKUP(C2580,' Disaggregation - Section E '!A$618:J3269,6,0)),"")</f>
        <v/>
      </c>
      <c r="H2580" s="390" t="str">
        <f ca="1">IFERROR(IF(INDEX(' Disaggregation - Section E '!F$618:F3269,MATCH(C2580,' Disaggregation - Section E '!A$618:A3269,0)+1,1)&lt;&gt;0,INDEX(' Disaggregation - Section E '!F$618:F3269,MATCH(C2580,' Disaggregation - Section E '!A$618:A3269,0)+1,1),""),"")</f>
        <v/>
      </c>
      <c r="I2580" s="391" t="str">
        <f ca="1">IFERROR(IF(VLOOKUP(C2580,' Disaggregation - Section E '!A$618:J3269,8,0)=0,"",VLOOKUP(C2580,' Disaggregation - Section E '!A$618:J3269,8,0)),"")</f>
        <v/>
      </c>
      <c r="J2580" s="391" t="str">
        <f ca="1">IFERROR(IF(VLOOKUP(C2580,' Disaggregation - Section E '!A$618:J3269,9,0)="","",VLOOKUP(C2580,' Disaggregation - Section E '!A$618:J3269,9,0)),"")</f>
        <v/>
      </c>
      <c r="K2580" s="387" t="str">
        <f ca="1">IFERROR(VLOOKUP(C2580,' Disaggregation - Section E '!A$618:J3269,3,0),"")</f>
        <v>KP-1b Percentage of transgender people reached with HIV prevention programs - defined package of services</v>
      </c>
      <c r="L2580" s="387"/>
      <c r="M2580" s="387" t="str">
        <f ca="1">IFERROR(IF(VLOOKUP(C2580,' Disaggregation - Section E '!A$618:O1592,15,0)=0,"",VLOOKUP(C2580,' Disaggregation - Section E '!A$618:O1592,15,0)),"")</f>
        <v/>
      </c>
      <c r="N2580" s="391" t="str">
        <f ca="1">IFERROR(IF(VLOOKUP(C2580,' Disaggregation - Section E '!A$618:J3269,10,0)=0,"",VLOOKUP(C2580,' Disaggregation - Section E '!A$618:J3269,10,0)),"")</f>
        <v/>
      </c>
      <c r="O2580" s="387"/>
      <c r="P2580" s="387" t="str">
        <f ca="1">IFERROR(IF(VLOOKUP(C2580,' Disaggregation - Section E '!A$618:R1592,18,0)=0,"",VLOOKUP(C2580,' Disaggregation - Section E '!A$618:R1592,18,0)),"")</f>
        <v/>
      </c>
    </row>
    <row r="2581" spans="1:16">
      <c r="A2581" s="387" t="b">
        <f t="shared" ca="1" si="171"/>
        <v>0</v>
      </c>
      <c r="B2581" s="387"/>
      <c r="C2581" s="396" t="str">
        <f ca="1">IF(COUNTA(O$1610:O2581)=1,"",OFFSET(B2579,-COUNTA(O$1610:O2581)+3,1))</f>
        <v>a16Dm000000M3vUIAS</v>
      </c>
      <c r="D2581" s="392"/>
      <c r="E2581" s="389" t="str">
        <f ca="1">IFERROR(IF(VLOOKUP(C2581,' Disaggregation - Section E '!A$618:J3270,7,0)="","",VLOOKUP(C2581,' Disaggregation - Section E '!A$618:J3270,7,0)*100),"")</f>
        <v/>
      </c>
      <c r="F2581" s="391" t="str">
        <f ca="1">IFERROR(VLOOKUP(C2581,' Disaggregation - Section E '!A$618:J3270,5,0),"")</f>
        <v/>
      </c>
      <c r="G2581" s="390" t="str">
        <f ca="1">IFERROR(IF(VLOOKUP(C2581,' Disaggregation - Section E '!A$618:J3270,6,0)="","",VLOOKUP(C2581,' Disaggregation - Section E '!A$618:J3270,6,0)),"")</f>
        <v/>
      </c>
      <c r="H2581" s="390" t="str">
        <f ca="1">IFERROR(IF(INDEX(' Disaggregation - Section E '!F$618:F3270,MATCH(C2581,' Disaggregation - Section E '!A$618:A3270,0)+1,1)&lt;&gt;0,INDEX(' Disaggregation - Section E '!F$618:F3270,MATCH(C2581,' Disaggregation - Section E '!A$618:A3270,0)+1,1),""),"")</f>
        <v/>
      </c>
      <c r="I2581" s="391" t="str">
        <f ca="1">IFERROR(IF(VLOOKUP(C2581,' Disaggregation - Section E '!A$618:J3270,8,0)=0,"",VLOOKUP(C2581,' Disaggregation - Section E '!A$618:J3270,8,0)),"")</f>
        <v/>
      </c>
      <c r="J2581" s="391" t="str">
        <f ca="1">IFERROR(IF(VLOOKUP(C2581,' Disaggregation - Section E '!A$618:J3270,9,0)="","",VLOOKUP(C2581,' Disaggregation - Section E '!A$618:J3270,9,0)),"")</f>
        <v/>
      </c>
      <c r="K2581" s="387" t="str">
        <f ca="1">IFERROR(VLOOKUP(C2581,' Disaggregation - Section E '!A$618:J3270,3,0),"")</f>
        <v>KP-1b Percentage of transgender people reached with HIV prevention programs - defined package of services</v>
      </c>
      <c r="L2581" s="387"/>
      <c r="M2581" s="387" t="str">
        <f ca="1">IFERROR(IF(VLOOKUP(C2581,' Disaggregation - Section E '!A$618:O1593,15,0)=0,"",VLOOKUP(C2581,' Disaggregation - Section E '!A$618:O1593,15,0)),"")</f>
        <v/>
      </c>
      <c r="N2581" s="391" t="str">
        <f ca="1">IFERROR(IF(VLOOKUP(C2581,' Disaggregation - Section E '!A$618:J3270,10,0)=0,"",VLOOKUP(C2581,' Disaggregation - Section E '!A$618:J3270,10,0)),"")</f>
        <v/>
      </c>
      <c r="O2581" s="387"/>
      <c r="P2581" s="387" t="str">
        <f ca="1">IFERROR(IF(VLOOKUP(C2581,' Disaggregation - Section E '!A$618:R1593,18,0)=0,"",VLOOKUP(C2581,' Disaggregation - Section E '!A$618:R1593,18,0)),"")</f>
        <v/>
      </c>
    </row>
    <row r="2582" spans="1:16">
      <c r="A2582" s="387" t="b">
        <f t="shared" ca="1" si="171"/>
        <v>0</v>
      </c>
      <c r="B2582" s="387"/>
      <c r="C2582" s="396" t="str">
        <f ca="1">IF(COUNTA(O$1610:O2582)=1,"",OFFSET(B2580,-COUNTA(O$1610:O2582)+3,1))</f>
        <v>a16Dm000000M3vVIAS</v>
      </c>
      <c r="D2582" s="392"/>
      <c r="E2582" s="389" t="str">
        <f ca="1">IFERROR(IF(VLOOKUP(C2582,' Disaggregation - Section E '!A$618:J3271,7,0)="","",VLOOKUP(C2582,' Disaggregation - Section E '!A$618:J3271,7,0)*100),"")</f>
        <v/>
      </c>
      <c r="F2582" s="391" t="str">
        <f ca="1">IFERROR(VLOOKUP(C2582,' Disaggregation - Section E '!A$618:J3271,5,0),"")</f>
        <v/>
      </c>
      <c r="G2582" s="390" t="str">
        <f ca="1">IFERROR(IF(VLOOKUP(C2582,' Disaggregation - Section E '!A$618:J3271,6,0)="","",VLOOKUP(C2582,' Disaggregation - Section E '!A$618:J3271,6,0)),"")</f>
        <v/>
      </c>
      <c r="H2582" s="390" t="str">
        <f ca="1">IFERROR(IF(INDEX(' Disaggregation - Section E '!F$618:F3271,MATCH(C2582,' Disaggregation - Section E '!A$618:A3271,0)+1,1)&lt;&gt;0,INDEX(' Disaggregation - Section E '!F$618:F3271,MATCH(C2582,' Disaggregation - Section E '!A$618:A3271,0)+1,1),""),"")</f>
        <v/>
      </c>
      <c r="I2582" s="391" t="str">
        <f ca="1">IFERROR(IF(VLOOKUP(C2582,' Disaggregation - Section E '!A$618:J3271,8,0)=0,"",VLOOKUP(C2582,' Disaggregation - Section E '!A$618:J3271,8,0)),"")</f>
        <v/>
      </c>
      <c r="J2582" s="391" t="str">
        <f ca="1">IFERROR(IF(VLOOKUP(C2582,' Disaggregation - Section E '!A$618:J3271,9,0)="","",VLOOKUP(C2582,' Disaggregation - Section E '!A$618:J3271,9,0)),"")</f>
        <v/>
      </c>
      <c r="K2582" s="387" t="str">
        <f ca="1">IFERROR(VLOOKUP(C2582,' Disaggregation - Section E '!A$618:J3271,3,0),"")</f>
        <v>KP-1b Percentage of transgender people reached with HIV prevention programs - defined package of services</v>
      </c>
      <c r="L2582" s="387"/>
      <c r="M2582" s="387" t="str">
        <f ca="1">IFERROR(IF(VLOOKUP(C2582,' Disaggregation - Section E '!A$618:O1594,15,0)=0,"",VLOOKUP(C2582,' Disaggregation - Section E '!A$618:O1594,15,0)),"")</f>
        <v/>
      </c>
      <c r="N2582" s="391" t="str">
        <f ca="1">IFERROR(IF(VLOOKUP(C2582,' Disaggregation - Section E '!A$618:J3271,10,0)=0,"",VLOOKUP(C2582,' Disaggregation - Section E '!A$618:J3271,10,0)),"")</f>
        <v/>
      </c>
      <c r="O2582" s="387"/>
      <c r="P2582" s="387" t="str">
        <f ca="1">IFERROR(IF(VLOOKUP(C2582,' Disaggregation - Section E '!A$618:R1594,18,0)=0,"",VLOOKUP(C2582,' Disaggregation - Section E '!A$618:R1594,18,0)),"")</f>
        <v/>
      </c>
    </row>
    <row r="2583" spans="1:16">
      <c r="A2583" s="387" t="b">
        <f t="shared" ca="1" si="171"/>
        <v>0</v>
      </c>
      <c r="B2583" s="387"/>
      <c r="C2583" s="396" t="str">
        <f ca="1">IF(COUNTA(O$1610:O2583)=1,"",OFFSET(B2581,-COUNTA(O$1610:O2583)+3,1))</f>
        <v>a16Dm000000M3vWIAS</v>
      </c>
      <c r="D2583" s="392"/>
      <c r="E2583" s="389" t="str">
        <f ca="1">IFERROR(IF(VLOOKUP(C2583,' Disaggregation - Section E '!A$618:J3272,7,0)="","",VLOOKUP(C2583,' Disaggregation - Section E '!A$618:J3272,7,0)*100),"")</f>
        <v/>
      </c>
      <c r="F2583" s="391" t="str">
        <f ca="1">IFERROR(VLOOKUP(C2583,' Disaggregation - Section E '!A$618:J3272,5,0),"")</f>
        <v/>
      </c>
      <c r="G2583" s="390" t="str">
        <f ca="1">IFERROR(IF(VLOOKUP(C2583,' Disaggregation - Section E '!A$618:J3272,6,0)="","",VLOOKUP(C2583,' Disaggregation - Section E '!A$618:J3272,6,0)),"")</f>
        <v/>
      </c>
      <c r="H2583" s="390" t="str">
        <f ca="1">IFERROR(IF(INDEX(' Disaggregation - Section E '!F$618:F3272,MATCH(C2583,' Disaggregation - Section E '!A$618:A3272,0)+1,1)&lt;&gt;0,INDEX(' Disaggregation - Section E '!F$618:F3272,MATCH(C2583,' Disaggregation - Section E '!A$618:A3272,0)+1,1),""),"")</f>
        <v/>
      </c>
      <c r="I2583" s="391" t="str">
        <f ca="1">IFERROR(IF(VLOOKUP(C2583,' Disaggregation - Section E '!A$618:J3272,8,0)=0,"",VLOOKUP(C2583,' Disaggregation - Section E '!A$618:J3272,8,0)),"")</f>
        <v/>
      </c>
      <c r="J2583" s="391" t="str">
        <f ca="1">IFERROR(IF(VLOOKUP(C2583,' Disaggregation - Section E '!A$618:J3272,9,0)="","",VLOOKUP(C2583,' Disaggregation - Section E '!A$618:J3272,9,0)),"")</f>
        <v/>
      </c>
      <c r="K2583" s="387" t="str">
        <f ca="1">IFERROR(VLOOKUP(C2583,' Disaggregation - Section E '!A$618:J3272,3,0),"")</f>
        <v>KP-1b Percentage of transgender people reached with HIV prevention programs - defined package of services</v>
      </c>
      <c r="L2583" s="387"/>
      <c r="M2583" s="387" t="str">
        <f ca="1">IFERROR(IF(VLOOKUP(C2583,' Disaggregation - Section E '!A$618:O1595,15,0)=0,"",VLOOKUP(C2583,' Disaggregation - Section E '!A$618:O1595,15,0)),"")</f>
        <v/>
      </c>
      <c r="N2583" s="391" t="str">
        <f ca="1">IFERROR(IF(VLOOKUP(C2583,' Disaggregation - Section E '!A$618:J3272,10,0)=0,"",VLOOKUP(C2583,' Disaggregation - Section E '!A$618:J3272,10,0)),"")</f>
        <v/>
      </c>
      <c r="O2583" s="387"/>
      <c r="P2583" s="387" t="str">
        <f ca="1">IFERROR(IF(VLOOKUP(C2583,' Disaggregation - Section E '!A$618:R1595,18,0)=0,"",VLOOKUP(C2583,' Disaggregation - Section E '!A$618:R1595,18,0)),"")</f>
        <v/>
      </c>
    </row>
    <row r="2584" spans="1:16">
      <c r="A2584" s="387" t="b">
        <f t="shared" ca="1" si="171"/>
        <v>0</v>
      </c>
      <c r="B2584" s="387"/>
      <c r="C2584" s="396" t="str">
        <f ca="1">IF(COUNTA(O$1610:O2584)=1,"",OFFSET(B2582,-COUNTA(O$1610:O2584)+3,1))</f>
        <v>a16Dm000000M3vXIAS</v>
      </c>
      <c r="D2584" s="392"/>
      <c r="E2584" s="389" t="str">
        <f ca="1">IFERROR(IF(VLOOKUP(C2584,' Disaggregation - Section E '!A$618:J3273,7,0)="","",VLOOKUP(C2584,' Disaggregation - Section E '!A$618:J3273,7,0)*100),"")</f>
        <v/>
      </c>
      <c r="F2584" s="391" t="str">
        <f ca="1">IFERROR(VLOOKUP(C2584,' Disaggregation - Section E '!A$618:J3273,5,0),"")</f>
        <v/>
      </c>
      <c r="G2584" s="390" t="str">
        <f ca="1">IFERROR(IF(VLOOKUP(C2584,' Disaggregation - Section E '!A$618:J3273,6,0)="","",VLOOKUP(C2584,' Disaggregation - Section E '!A$618:J3273,6,0)),"")</f>
        <v/>
      </c>
      <c r="H2584" s="390" t="str">
        <f ca="1">IFERROR(IF(INDEX(' Disaggregation - Section E '!F$618:F3273,MATCH(C2584,' Disaggregation - Section E '!A$618:A3273,0)+1,1)&lt;&gt;0,INDEX(' Disaggregation - Section E '!F$618:F3273,MATCH(C2584,' Disaggregation - Section E '!A$618:A3273,0)+1,1),""),"")</f>
        <v/>
      </c>
      <c r="I2584" s="391" t="str">
        <f ca="1">IFERROR(IF(VLOOKUP(C2584,' Disaggregation - Section E '!A$618:J3273,8,0)=0,"",VLOOKUP(C2584,' Disaggregation - Section E '!A$618:J3273,8,0)),"")</f>
        <v/>
      </c>
      <c r="J2584" s="391" t="str">
        <f ca="1">IFERROR(IF(VLOOKUP(C2584,' Disaggregation - Section E '!A$618:J3273,9,0)="","",VLOOKUP(C2584,' Disaggregation - Section E '!A$618:J3273,9,0)),"")</f>
        <v/>
      </c>
      <c r="K2584" s="387" t="str">
        <f ca="1">IFERROR(VLOOKUP(C2584,' Disaggregation - Section E '!A$618:J3273,3,0),"")</f>
        <v>KP-1b Percentage of transgender people reached with HIV prevention programs - defined package of services</v>
      </c>
      <c r="L2584" s="387"/>
      <c r="M2584" s="387" t="str">
        <f ca="1">IFERROR(IF(VLOOKUP(C2584,' Disaggregation - Section E '!A$618:O1596,15,0)=0,"",VLOOKUP(C2584,' Disaggregation - Section E '!A$618:O1596,15,0)),"")</f>
        <v/>
      </c>
      <c r="N2584" s="391" t="str">
        <f ca="1">IFERROR(IF(VLOOKUP(C2584,' Disaggregation - Section E '!A$618:J3273,10,0)=0,"",VLOOKUP(C2584,' Disaggregation - Section E '!A$618:J3273,10,0)),"")</f>
        <v/>
      </c>
      <c r="O2584" s="387"/>
      <c r="P2584" s="387" t="str">
        <f ca="1">IFERROR(IF(VLOOKUP(C2584,' Disaggregation - Section E '!A$618:R1596,18,0)=0,"",VLOOKUP(C2584,' Disaggregation - Section E '!A$618:R1596,18,0)),"")</f>
        <v/>
      </c>
    </row>
    <row r="2585" spans="1:16">
      <c r="A2585" s="387" t="b">
        <f t="shared" ca="1" si="171"/>
        <v>0</v>
      </c>
      <c r="B2585" s="387"/>
      <c r="C2585" s="396" t="str">
        <f ca="1">IF(COUNTA(O$1610:O2585)=1,"",OFFSET(B2583,-COUNTA(O$1610:O2585)+3,1))</f>
        <v>a16Dm000000M3vYIAS</v>
      </c>
      <c r="D2585" s="392"/>
      <c r="E2585" s="389" t="str">
        <f ca="1">IFERROR(IF(VLOOKUP(C2585,' Disaggregation - Section E '!A$618:J3274,7,0)="","",VLOOKUP(C2585,' Disaggregation - Section E '!A$618:J3274,7,0)*100),"")</f>
        <v/>
      </c>
      <c r="F2585" s="391" t="str">
        <f ca="1">IFERROR(VLOOKUP(C2585,' Disaggregation - Section E '!A$618:J3274,5,0),"")</f>
        <v/>
      </c>
      <c r="G2585" s="390" t="str">
        <f ca="1">IFERROR(IF(VLOOKUP(C2585,' Disaggregation - Section E '!A$618:J3274,6,0)="","",VLOOKUP(C2585,' Disaggregation - Section E '!A$618:J3274,6,0)),"")</f>
        <v/>
      </c>
      <c r="H2585" s="390" t="str">
        <f ca="1">IFERROR(IF(INDEX(' Disaggregation - Section E '!F$618:F3274,MATCH(C2585,' Disaggregation - Section E '!A$618:A3274,0)+1,1)&lt;&gt;0,INDEX(' Disaggregation - Section E '!F$618:F3274,MATCH(C2585,' Disaggregation - Section E '!A$618:A3274,0)+1,1),""),"")</f>
        <v/>
      </c>
      <c r="I2585" s="391" t="str">
        <f ca="1">IFERROR(IF(VLOOKUP(C2585,' Disaggregation - Section E '!A$618:J3274,8,0)=0,"",VLOOKUP(C2585,' Disaggregation - Section E '!A$618:J3274,8,0)),"")</f>
        <v/>
      </c>
      <c r="J2585" s="391" t="str">
        <f ca="1">IFERROR(IF(VLOOKUP(C2585,' Disaggregation - Section E '!A$618:J3274,9,0)="","",VLOOKUP(C2585,' Disaggregation - Section E '!A$618:J3274,9,0)),"")</f>
        <v/>
      </c>
      <c r="K2585" s="387" t="str">
        <f ca="1">IFERROR(VLOOKUP(C2585,' Disaggregation - Section E '!A$618:J3274,3,0),"")</f>
        <v>KP-1b Percentage of transgender people reached with HIV prevention programs - defined package of services</v>
      </c>
      <c r="L2585" s="387"/>
      <c r="M2585" s="387" t="str">
        <f ca="1">IFERROR(IF(VLOOKUP(C2585,' Disaggregation - Section E '!A$618:O1597,15,0)=0,"",VLOOKUP(C2585,' Disaggregation - Section E '!A$618:O1597,15,0)),"")</f>
        <v/>
      </c>
      <c r="N2585" s="391" t="str">
        <f ca="1">IFERROR(IF(VLOOKUP(C2585,' Disaggregation - Section E '!A$618:J3274,10,0)=0,"",VLOOKUP(C2585,' Disaggregation - Section E '!A$618:J3274,10,0)),"")</f>
        <v/>
      </c>
      <c r="O2585" s="387"/>
      <c r="P2585" s="387" t="str">
        <f ca="1">IFERROR(IF(VLOOKUP(C2585,' Disaggregation - Section E '!A$618:R1597,18,0)=0,"",VLOOKUP(C2585,' Disaggregation - Section E '!A$618:R1597,18,0)),"")</f>
        <v/>
      </c>
    </row>
    <row r="2586" spans="1:16">
      <c r="A2586" s="387" t="b">
        <f t="shared" ca="1" si="171"/>
        <v>0</v>
      </c>
      <c r="B2586" s="387"/>
      <c r="C2586" s="396" t="str">
        <f ca="1">IF(COUNTA(O$1610:O2586)=1,"",OFFSET(B2584,-COUNTA(O$1610:O2586)+3,1))</f>
        <v>a16Dm000000M3vZIAS</v>
      </c>
      <c r="D2586" s="392"/>
      <c r="E2586" s="389" t="str">
        <f ca="1">IFERROR(IF(VLOOKUP(C2586,' Disaggregation - Section E '!A$618:J3275,7,0)="","",VLOOKUP(C2586,' Disaggregation - Section E '!A$618:J3275,7,0)*100),"")</f>
        <v/>
      </c>
      <c r="F2586" s="391" t="str">
        <f ca="1">IFERROR(VLOOKUP(C2586,' Disaggregation - Section E '!A$618:J3275,5,0),"")</f>
        <v/>
      </c>
      <c r="G2586" s="390" t="str">
        <f ca="1">IFERROR(IF(VLOOKUP(C2586,' Disaggregation - Section E '!A$618:J3275,6,0)="","",VLOOKUP(C2586,' Disaggregation - Section E '!A$618:J3275,6,0)),"")</f>
        <v/>
      </c>
      <c r="H2586" s="390" t="str">
        <f ca="1">IFERROR(IF(INDEX(' Disaggregation - Section E '!F$618:F3275,MATCH(C2586,' Disaggregation - Section E '!A$618:A3275,0)+1,1)&lt;&gt;0,INDEX(' Disaggregation - Section E '!F$618:F3275,MATCH(C2586,' Disaggregation - Section E '!A$618:A3275,0)+1,1),""),"")</f>
        <v/>
      </c>
      <c r="I2586" s="391" t="str">
        <f ca="1">IFERROR(IF(VLOOKUP(C2586,' Disaggregation - Section E '!A$618:J3275,8,0)=0,"",VLOOKUP(C2586,' Disaggregation - Section E '!A$618:J3275,8,0)),"")</f>
        <v/>
      </c>
      <c r="J2586" s="391" t="str">
        <f ca="1">IFERROR(IF(VLOOKUP(C2586,' Disaggregation - Section E '!A$618:J3275,9,0)="","",VLOOKUP(C2586,' Disaggregation - Section E '!A$618:J3275,9,0)),"")</f>
        <v/>
      </c>
      <c r="K2586" s="387" t="str">
        <f ca="1">IFERROR(VLOOKUP(C2586,' Disaggregation - Section E '!A$618:J3275,3,0),"")</f>
        <v>KP-1b Percentage of transgender people reached with HIV prevention programs - defined package of services</v>
      </c>
      <c r="L2586" s="387"/>
      <c r="M2586" s="387" t="str">
        <f ca="1">IFERROR(IF(VLOOKUP(C2586,' Disaggregation - Section E '!A$618:O1598,15,0)=0,"",VLOOKUP(C2586,' Disaggregation - Section E '!A$618:O1598,15,0)),"")</f>
        <v/>
      </c>
      <c r="N2586" s="391" t="str">
        <f ca="1">IFERROR(IF(VLOOKUP(C2586,' Disaggregation - Section E '!A$618:J3275,10,0)=0,"",VLOOKUP(C2586,' Disaggregation - Section E '!A$618:J3275,10,0)),"")</f>
        <v/>
      </c>
      <c r="O2586" s="387"/>
      <c r="P2586" s="387" t="str">
        <f ca="1">IFERROR(IF(VLOOKUP(C2586,' Disaggregation - Section E '!A$618:R1598,18,0)=0,"",VLOOKUP(C2586,' Disaggregation - Section E '!A$618:R1598,18,0)),"")</f>
        <v/>
      </c>
    </row>
    <row r="2587" spans="1:16">
      <c r="A2587" s="387" t="b">
        <f t="shared" ca="1" si="171"/>
        <v>0</v>
      </c>
      <c r="B2587" s="387"/>
      <c r="C2587" s="396" t="str">
        <f ca="1">IF(COUNTA(O$1610:O2587)=1,"",OFFSET(B2585,-COUNTA(O$1610:O2587)+3,1))</f>
        <v>a16Dm000000M3vaIAC</v>
      </c>
      <c r="D2587" s="392"/>
      <c r="E2587" s="389" t="str">
        <f ca="1">IFERROR(IF(VLOOKUP(C2587,' Disaggregation - Section E '!A$618:J3276,7,0)="","",VLOOKUP(C2587,' Disaggregation - Section E '!A$618:J3276,7,0)*100),"")</f>
        <v/>
      </c>
      <c r="F2587" s="391" t="str">
        <f ca="1">IFERROR(VLOOKUP(C2587,' Disaggregation - Section E '!A$618:J3276,5,0),"")</f>
        <v/>
      </c>
      <c r="G2587" s="390" t="str">
        <f ca="1">IFERROR(IF(VLOOKUP(C2587,' Disaggregation - Section E '!A$618:J3276,6,0)="","",VLOOKUP(C2587,' Disaggregation - Section E '!A$618:J3276,6,0)),"")</f>
        <v/>
      </c>
      <c r="H2587" s="390" t="str">
        <f ca="1">IFERROR(IF(INDEX(' Disaggregation - Section E '!F$618:F3276,MATCH(C2587,' Disaggregation - Section E '!A$618:A3276,0)+1,1)&lt;&gt;0,INDEX(' Disaggregation - Section E '!F$618:F3276,MATCH(C2587,' Disaggregation - Section E '!A$618:A3276,0)+1,1),""),"")</f>
        <v/>
      </c>
      <c r="I2587" s="391" t="str">
        <f ca="1">IFERROR(IF(VLOOKUP(C2587,' Disaggregation - Section E '!A$618:J3276,8,0)=0,"",VLOOKUP(C2587,' Disaggregation - Section E '!A$618:J3276,8,0)),"")</f>
        <v/>
      </c>
      <c r="J2587" s="391" t="str">
        <f ca="1">IFERROR(IF(VLOOKUP(C2587,' Disaggregation - Section E '!A$618:J3276,9,0)="","",VLOOKUP(C2587,' Disaggregation - Section E '!A$618:J3276,9,0)),"")</f>
        <v/>
      </c>
      <c r="K2587" s="387" t="str">
        <f ca="1">IFERROR(VLOOKUP(C2587,' Disaggregation - Section E '!A$618:J3276,3,0),"")</f>
        <v>KP-1b Percentage of transgender people reached with HIV prevention programs - defined package of services</v>
      </c>
      <c r="L2587" s="387"/>
      <c r="M2587" s="387" t="str">
        <f ca="1">IFERROR(IF(VLOOKUP(C2587,' Disaggregation - Section E '!A$618:O1599,15,0)=0,"",VLOOKUP(C2587,' Disaggregation - Section E '!A$618:O1599,15,0)),"")</f>
        <v/>
      </c>
      <c r="N2587" s="391" t="str">
        <f ca="1">IFERROR(IF(VLOOKUP(C2587,' Disaggregation - Section E '!A$618:J3276,10,0)=0,"",VLOOKUP(C2587,' Disaggregation - Section E '!A$618:J3276,10,0)),"")</f>
        <v/>
      </c>
      <c r="O2587" s="387"/>
      <c r="P2587" s="387" t="str">
        <f ca="1">IFERROR(IF(VLOOKUP(C2587,' Disaggregation - Section E '!A$618:R1599,18,0)=0,"",VLOOKUP(C2587,' Disaggregation - Section E '!A$618:R1599,18,0)),"")</f>
        <v/>
      </c>
    </row>
    <row r="2588" spans="1:16">
      <c r="A2588" s="387" t="b">
        <f t="shared" ca="1" si="171"/>
        <v>0</v>
      </c>
      <c r="B2588" s="387"/>
      <c r="C2588" s="396" t="str">
        <f ca="1">IF(COUNTA(O$1610:O2588)=1,"",OFFSET(B2586,-COUNTA(O$1610:O2588)+3,1))</f>
        <v>a16Dm000000M3vbIAC</v>
      </c>
      <c r="D2588" s="392"/>
      <c r="E2588" s="389" t="str">
        <f ca="1">IFERROR(IF(VLOOKUP(C2588,' Disaggregation - Section E '!A$618:J3277,7,0)="","",VLOOKUP(C2588,' Disaggregation - Section E '!A$618:J3277,7,0)*100),"")</f>
        <v/>
      </c>
      <c r="F2588" s="391" t="str">
        <f ca="1">IFERROR(VLOOKUP(C2588,' Disaggregation - Section E '!A$618:J3277,5,0),"")</f>
        <v/>
      </c>
      <c r="G2588" s="390" t="str">
        <f ca="1">IFERROR(IF(VLOOKUP(C2588,' Disaggregation - Section E '!A$618:J3277,6,0)="","",VLOOKUP(C2588,' Disaggregation - Section E '!A$618:J3277,6,0)),"")</f>
        <v/>
      </c>
      <c r="H2588" s="390" t="str">
        <f ca="1">IFERROR(IF(INDEX(' Disaggregation - Section E '!F$618:F3277,MATCH(C2588,' Disaggregation - Section E '!A$618:A3277,0)+1,1)&lt;&gt;0,INDEX(' Disaggregation - Section E '!F$618:F3277,MATCH(C2588,' Disaggregation - Section E '!A$618:A3277,0)+1,1),""),"")</f>
        <v/>
      </c>
      <c r="I2588" s="391" t="str">
        <f ca="1">IFERROR(IF(VLOOKUP(C2588,' Disaggregation - Section E '!A$618:J3277,8,0)=0,"",VLOOKUP(C2588,' Disaggregation - Section E '!A$618:J3277,8,0)),"")</f>
        <v/>
      </c>
      <c r="J2588" s="391" t="str">
        <f ca="1">IFERROR(IF(VLOOKUP(C2588,' Disaggregation - Section E '!A$618:J3277,9,0)="","",VLOOKUP(C2588,' Disaggregation - Section E '!A$618:J3277,9,0)),"")</f>
        <v/>
      </c>
      <c r="K2588" s="387" t="str">
        <f ca="1">IFERROR(VLOOKUP(C2588,' Disaggregation - Section E '!A$618:J3277,3,0),"")</f>
        <v>KP-1b Percentage of transgender people reached with HIV prevention programs - defined package of services</v>
      </c>
      <c r="L2588" s="387"/>
      <c r="M2588" s="387" t="str">
        <f ca="1">IFERROR(IF(VLOOKUP(C2588,' Disaggregation - Section E '!A$618:O1600,15,0)=0,"",VLOOKUP(C2588,' Disaggregation - Section E '!A$618:O1600,15,0)),"")</f>
        <v/>
      </c>
      <c r="N2588" s="391" t="str">
        <f ca="1">IFERROR(IF(VLOOKUP(C2588,' Disaggregation - Section E '!A$618:J3277,10,0)=0,"",VLOOKUP(C2588,' Disaggregation - Section E '!A$618:J3277,10,0)),"")</f>
        <v/>
      </c>
      <c r="O2588" s="387"/>
      <c r="P2588" s="387" t="str">
        <f ca="1">IFERROR(IF(VLOOKUP(C2588,' Disaggregation - Section E '!A$618:R1600,18,0)=0,"",VLOOKUP(C2588,' Disaggregation - Section E '!A$618:R1600,18,0)),"")</f>
        <v/>
      </c>
    </row>
    <row r="2589" spans="1:16">
      <c r="A2589" s="387" t="b">
        <f t="shared" ca="1" si="171"/>
        <v>0</v>
      </c>
      <c r="B2589" s="387"/>
      <c r="C2589" s="396" t="str">
        <f ca="1">IF(COUNTA(O$1610:O2589)=1,"",OFFSET(B2587,-COUNTA(O$1610:O2589)+3,1))</f>
        <v>a16Dm000000M3vcIAC</v>
      </c>
      <c r="D2589" s="392"/>
      <c r="E2589" s="389" t="str">
        <f ca="1">IFERROR(IF(VLOOKUP(C2589,' Disaggregation - Section E '!A$618:J3278,7,0)="","",VLOOKUP(C2589,' Disaggregation - Section E '!A$618:J3278,7,0)*100),"")</f>
        <v/>
      </c>
      <c r="F2589" s="391" t="str">
        <f ca="1">IFERROR(VLOOKUP(C2589,' Disaggregation - Section E '!A$618:J3278,5,0),"")</f>
        <v/>
      </c>
      <c r="G2589" s="390" t="str">
        <f ca="1">IFERROR(IF(VLOOKUP(C2589,' Disaggregation - Section E '!A$618:J3278,6,0)="","",VLOOKUP(C2589,' Disaggregation - Section E '!A$618:J3278,6,0)),"")</f>
        <v/>
      </c>
      <c r="H2589" s="390" t="str">
        <f ca="1">IFERROR(IF(INDEX(' Disaggregation - Section E '!F$618:F3278,MATCH(C2589,' Disaggregation - Section E '!A$618:A3278,0)+1,1)&lt;&gt;0,INDEX(' Disaggregation - Section E '!F$618:F3278,MATCH(C2589,' Disaggregation - Section E '!A$618:A3278,0)+1,1),""),"")</f>
        <v/>
      </c>
      <c r="I2589" s="391" t="str">
        <f ca="1">IFERROR(IF(VLOOKUP(C2589,' Disaggregation - Section E '!A$618:J3278,8,0)=0,"",VLOOKUP(C2589,' Disaggregation - Section E '!A$618:J3278,8,0)),"")</f>
        <v/>
      </c>
      <c r="J2589" s="391" t="str">
        <f ca="1">IFERROR(IF(VLOOKUP(C2589,' Disaggregation - Section E '!A$618:J3278,9,0)="","",VLOOKUP(C2589,' Disaggregation - Section E '!A$618:J3278,9,0)),"")</f>
        <v/>
      </c>
      <c r="K2589" s="387" t="str">
        <f ca="1">IFERROR(VLOOKUP(C2589,' Disaggregation - Section E '!A$618:J3278,3,0),"")</f>
        <v>KP-1b Percentage of transgender people reached with HIV prevention programs - defined package of services</v>
      </c>
      <c r="L2589" s="387"/>
      <c r="M2589" s="387" t="str">
        <f ca="1">IFERROR(IF(VLOOKUP(C2589,' Disaggregation - Section E '!A$618:O1601,15,0)=0,"",VLOOKUP(C2589,' Disaggregation - Section E '!A$618:O1601,15,0)),"")</f>
        <v/>
      </c>
      <c r="N2589" s="391" t="str">
        <f ca="1">IFERROR(IF(VLOOKUP(C2589,' Disaggregation - Section E '!A$618:J3278,10,0)=0,"",VLOOKUP(C2589,' Disaggregation - Section E '!A$618:J3278,10,0)),"")</f>
        <v/>
      </c>
      <c r="O2589" s="387"/>
      <c r="P2589" s="387" t="str">
        <f ca="1">IFERROR(IF(VLOOKUP(C2589,' Disaggregation - Section E '!A$618:R1601,18,0)=0,"",VLOOKUP(C2589,' Disaggregation - Section E '!A$618:R1601,18,0)),"")</f>
        <v/>
      </c>
    </row>
    <row r="2590" spans="1:16">
      <c r="A2590" s="387" t="b">
        <f t="shared" ca="1" si="171"/>
        <v>0</v>
      </c>
      <c r="B2590" s="387"/>
      <c r="C2590" s="396" t="str">
        <f ca="1">IF(COUNTA(O$1610:O2590)=1,"",OFFSET(B2588,-COUNTA(O$1610:O2590)+3,1))</f>
        <v>a16Dm000000M3vdIAC</v>
      </c>
      <c r="D2590" s="392"/>
      <c r="E2590" s="389" t="str">
        <f ca="1">IFERROR(IF(VLOOKUP(C2590,' Disaggregation - Section E '!A$618:J3279,7,0)="","",VLOOKUP(C2590,' Disaggregation - Section E '!A$618:J3279,7,0)*100),"")</f>
        <v/>
      </c>
      <c r="F2590" s="391" t="str">
        <f ca="1">IFERROR(VLOOKUP(C2590,' Disaggregation - Section E '!A$618:J3279,5,0),"")</f>
        <v/>
      </c>
      <c r="G2590" s="390" t="str">
        <f ca="1">IFERROR(IF(VLOOKUP(C2590,' Disaggregation - Section E '!A$618:J3279,6,0)="","",VLOOKUP(C2590,' Disaggregation - Section E '!A$618:J3279,6,0)),"")</f>
        <v/>
      </c>
      <c r="H2590" s="390" t="str">
        <f ca="1">IFERROR(IF(INDEX(' Disaggregation - Section E '!F$618:F3279,MATCH(C2590,' Disaggregation - Section E '!A$618:A3279,0)+1,1)&lt;&gt;0,INDEX(' Disaggregation - Section E '!F$618:F3279,MATCH(C2590,' Disaggregation - Section E '!A$618:A3279,0)+1,1),""),"")</f>
        <v/>
      </c>
      <c r="I2590" s="391" t="str">
        <f ca="1">IFERROR(IF(VLOOKUP(C2590,' Disaggregation - Section E '!A$618:J3279,8,0)=0,"",VLOOKUP(C2590,' Disaggregation - Section E '!A$618:J3279,8,0)),"")</f>
        <v/>
      </c>
      <c r="J2590" s="391" t="str">
        <f ca="1">IFERROR(IF(VLOOKUP(C2590,' Disaggregation - Section E '!A$618:J3279,9,0)="","",VLOOKUP(C2590,' Disaggregation - Section E '!A$618:J3279,9,0)),"")</f>
        <v/>
      </c>
      <c r="K2590" s="387" t="str">
        <f ca="1">IFERROR(VLOOKUP(C2590,' Disaggregation - Section E '!A$618:J3279,3,0),"")</f>
        <v>KP-1b Percentage of transgender people reached with HIV prevention programs - defined package of services</v>
      </c>
      <c r="L2590" s="387"/>
      <c r="M2590" s="387" t="str">
        <f ca="1">IFERROR(IF(VLOOKUP(C2590,' Disaggregation - Section E '!A$618:O1602,15,0)=0,"",VLOOKUP(C2590,' Disaggregation - Section E '!A$618:O1602,15,0)),"")</f>
        <v/>
      </c>
      <c r="N2590" s="391" t="str">
        <f ca="1">IFERROR(IF(VLOOKUP(C2590,' Disaggregation - Section E '!A$618:J3279,10,0)=0,"",VLOOKUP(C2590,' Disaggregation - Section E '!A$618:J3279,10,0)),"")</f>
        <v/>
      </c>
      <c r="O2590" s="387"/>
      <c r="P2590" s="387" t="str">
        <f ca="1">IFERROR(IF(VLOOKUP(C2590,' Disaggregation - Section E '!A$618:R1602,18,0)=0,"",VLOOKUP(C2590,' Disaggregation - Section E '!A$618:R1602,18,0)),"")</f>
        <v/>
      </c>
    </row>
    <row r="2591" spans="1:16">
      <c r="A2591" s="387" t="b">
        <f t="shared" ca="1" si="171"/>
        <v>0</v>
      </c>
      <c r="B2591" s="387"/>
      <c r="C2591" s="396" t="str">
        <f ca="1">IF(COUNTA(O$1610:O2591)=1,"",OFFSET(B2589,-COUNTA(O$1610:O2591)+3,1))</f>
        <v>a16Dm000000M3veIAC</v>
      </c>
      <c r="D2591" s="392"/>
      <c r="E2591" s="389" t="str">
        <f ca="1">IFERROR(IF(VLOOKUP(C2591,' Disaggregation - Section E '!A$618:J3280,7,0)="","",VLOOKUP(C2591,' Disaggregation - Section E '!A$618:J3280,7,0)*100),"")</f>
        <v/>
      </c>
      <c r="F2591" s="391" t="str">
        <f ca="1">IFERROR(VLOOKUP(C2591,' Disaggregation - Section E '!A$618:J3280,5,0),"")</f>
        <v/>
      </c>
      <c r="G2591" s="390" t="str">
        <f ca="1">IFERROR(IF(VLOOKUP(C2591,' Disaggregation - Section E '!A$618:J3280,6,0)="","",VLOOKUP(C2591,' Disaggregation - Section E '!A$618:J3280,6,0)),"")</f>
        <v/>
      </c>
      <c r="H2591" s="390" t="str">
        <f ca="1">IFERROR(IF(INDEX(' Disaggregation - Section E '!F$618:F3280,MATCH(C2591,' Disaggregation - Section E '!A$618:A3280,0)+1,1)&lt;&gt;0,INDEX(' Disaggregation - Section E '!F$618:F3280,MATCH(C2591,' Disaggregation - Section E '!A$618:A3280,0)+1,1),""),"")</f>
        <v/>
      </c>
      <c r="I2591" s="391" t="str">
        <f ca="1">IFERROR(IF(VLOOKUP(C2591,' Disaggregation - Section E '!A$618:J3280,8,0)=0,"",VLOOKUP(C2591,' Disaggregation - Section E '!A$618:J3280,8,0)),"")</f>
        <v/>
      </c>
      <c r="J2591" s="391" t="str">
        <f ca="1">IFERROR(IF(VLOOKUP(C2591,' Disaggregation - Section E '!A$618:J3280,9,0)="","",VLOOKUP(C2591,' Disaggregation - Section E '!A$618:J3280,9,0)),"")</f>
        <v/>
      </c>
      <c r="K2591" s="387" t="str">
        <f ca="1">IFERROR(VLOOKUP(C2591,' Disaggregation - Section E '!A$618:J3280,3,0),"")</f>
        <v>KP-1b Percentage of transgender people reached with HIV prevention programs - defined package of services</v>
      </c>
      <c r="L2591" s="387"/>
      <c r="M2591" s="387" t="str">
        <f ca="1">IFERROR(IF(VLOOKUP(C2591,' Disaggregation - Section E '!A$618:O1603,15,0)=0,"",VLOOKUP(C2591,' Disaggregation - Section E '!A$618:O1603,15,0)),"")</f>
        <v/>
      </c>
      <c r="N2591" s="391" t="str">
        <f ca="1">IFERROR(IF(VLOOKUP(C2591,' Disaggregation - Section E '!A$618:J3280,10,0)=0,"",VLOOKUP(C2591,' Disaggregation - Section E '!A$618:J3280,10,0)),"")</f>
        <v/>
      </c>
      <c r="O2591" s="387"/>
      <c r="P2591" s="387" t="str">
        <f ca="1">IFERROR(IF(VLOOKUP(C2591,' Disaggregation - Section E '!A$618:R1603,18,0)=0,"",VLOOKUP(C2591,' Disaggregation - Section E '!A$618:R1603,18,0)),"")</f>
        <v/>
      </c>
    </row>
    <row r="2592" spans="1:16">
      <c r="A2592" s="387" t="b">
        <f t="shared" ca="1" si="171"/>
        <v>1</v>
      </c>
      <c r="B2592" s="387"/>
      <c r="C2592" s="396" t="str">
        <f ca="1">IF(COUNTA(O$1610:O2592)=1,"",OFFSET(B2590,-COUNTA(O$1610:O2592)+3,1))</f>
        <v>a16Dm000000M3vfIAC</v>
      </c>
      <c r="D2592" s="392"/>
      <c r="E2592" s="389" t="str">
        <f ca="1">IFERROR(IF(VLOOKUP(C2592,' Disaggregation - Section E '!A$618:J3281,7,0)="","",VLOOKUP(C2592,' Disaggregation - Section E '!A$618:J3281,7,0)*100),"")</f>
        <v/>
      </c>
      <c r="F2592" s="391" t="str">
        <f ca="1">IFERROR(VLOOKUP(C2592,' Disaggregation - Section E '!A$618:J3281,5,0),"")</f>
        <v>25+</v>
      </c>
      <c r="G2592" s="390" t="str">
        <f ca="1">IFERROR(IF(VLOOKUP(C2592,' Disaggregation - Section E '!A$618:J3281,6,0)="","",VLOOKUP(C2592,' Disaggregation - Section E '!A$618:J3281,6,0)),"")</f>
        <v/>
      </c>
      <c r="H2592" s="390" t="str">
        <f ca="1">IFERROR(IF(INDEX(' Disaggregation - Section E '!F$618:F3281,MATCH(C2592,' Disaggregation - Section E '!A$618:A3281,0)+1,1)&lt;&gt;0,INDEX(' Disaggregation - Section E '!F$618:F3281,MATCH(C2592,' Disaggregation - Section E '!A$618:A3281,0)+1,1),""),"")</f>
        <v/>
      </c>
      <c r="I2592" s="391" t="str">
        <f ca="1">IFERROR(IF(VLOOKUP(C2592,' Disaggregation - Section E '!A$618:J3281,8,0)=0,"",VLOOKUP(C2592,' Disaggregation - Section E '!A$618:J3281,8,0)),"")</f>
        <v/>
      </c>
      <c r="J2592" s="391" t="str">
        <f ca="1">IFERROR(IF(VLOOKUP(C2592,' Disaggregation - Section E '!A$618:J3281,9,0)="","",VLOOKUP(C2592,' Disaggregation - Section E '!A$618:J3281,9,0)),"")</f>
        <v/>
      </c>
      <c r="K2592" s="387" t="str">
        <f ca="1">IFERROR(VLOOKUP(C2592,' Disaggregation - Section E '!A$618:J3281,3,0),"")</f>
        <v>KP-6b Number of transgender people who received any PrEP product at least once during the reporting period</v>
      </c>
      <c r="L2592" s="387"/>
      <c r="M2592" s="387" t="str">
        <f ca="1">IFERROR(IF(VLOOKUP(C2592,' Disaggregation - Section E '!A$618:O1604,15,0)=0,"",VLOOKUP(C2592,' Disaggregation - Section E '!A$618:O1604,15,0)),"")</f>
        <v>IDR-01189</v>
      </c>
      <c r="N2592" s="391" t="str">
        <f ca="1">IFERROR(IF(VLOOKUP(C2592,' Disaggregation - Section E '!A$618:J3281,10,0)=0,"",VLOOKUP(C2592,' Disaggregation - Section E '!A$618:J3281,10,0)),"")</f>
        <v>Disaggregated data not available. The activity will be taken into account from 2024 onwards</v>
      </c>
      <c r="O2592" s="387"/>
      <c r="P2592" s="387" t="str">
        <f ca="1">IFERROR(IF(VLOOKUP(C2592,' Disaggregation - Section E '!A$618:R1604,18,0)=0,"",VLOOKUP(C2592,' Disaggregation - Section E '!A$618:R1604,18,0)),"")</f>
        <v>a1LDm000000Cb1vMAC</v>
      </c>
    </row>
    <row r="2593" spans="1:16">
      <c r="A2593" s="387" t="b">
        <f t="shared" ca="1" si="171"/>
        <v>1</v>
      </c>
      <c r="B2593" s="387"/>
      <c r="C2593" s="396" t="str">
        <f ca="1">IF(COUNTA(O$1610:O2593)=1,"",OFFSET(B2591,-COUNTA(O$1610:O2593)+3,1))</f>
        <v>a16Dm000000M3vgIAC</v>
      </c>
      <c r="D2593" s="392"/>
      <c r="E2593" s="389" t="str">
        <f ca="1">IFERROR(IF(VLOOKUP(C2593,' Disaggregation - Section E '!A$618:J3282,7,0)="","",VLOOKUP(C2593,' Disaggregation - Section E '!A$618:J3282,7,0)*100),"")</f>
        <v/>
      </c>
      <c r="F2593" s="391" t="str">
        <f ca="1">IFERROR(VLOOKUP(C2593,' Disaggregation - Section E '!A$618:J3282,5,0),"")</f>
        <v>20-24</v>
      </c>
      <c r="G2593" s="390" t="str">
        <f ca="1">IFERROR(IF(VLOOKUP(C2593,' Disaggregation - Section E '!A$618:J3282,6,0)="","",VLOOKUP(C2593,' Disaggregation - Section E '!A$618:J3282,6,0)),"")</f>
        <v/>
      </c>
      <c r="H2593" s="390" t="str">
        <f ca="1">IFERROR(IF(INDEX(' Disaggregation - Section E '!F$618:F3282,MATCH(C2593,' Disaggregation - Section E '!A$618:A3282,0)+1,1)&lt;&gt;0,INDEX(' Disaggregation - Section E '!F$618:F3282,MATCH(C2593,' Disaggregation - Section E '!A$618:A3282,0)+1,1),""),"")</f>
        <v/>
      </c>
      <c r="I2593" s="391" t="str">
        <f ca="1">IFERROR(IF(VLOOKUP(C2593,' Disaggregation - Section E '!A$618:J3282,8,0)=0,"",VLOOKUP(C2593,' Disaggregation - Section E '!A$618:J3282,8,0)),"")</f>
        <v/>
      </c>
      <c r="J2593" s="391" t="str">
        <f ca="1">IFERROR(IF(VLOOKUP(C2593,' Disaggregation - Section E '!A$618:J3282,9,0)="","",VLOOKUP(C2593,' Disaggregation - Section E '!A$618:J3282,9,0)),"")</f>
        <v/>
      </c>
      <c r="K2593" s="387" t="str">
        <f ca="1">IFERROR(VLOOKUP(C2593,' Disaggregation - Section E '!A$618:J3282,3,0),"")</f>
        <v>KP-6b Number of transgender people who received any PrEP product at least once during the reporting period</v>
      </c>
      <c r="L2593" s="387"/>
      <c r="M2593" s="387" t="str">
        <f ca="1">IFERROR(IF(VLOOKUP(C2593,' Disaggregation - Section E '!A$618:O1605,15,0)=0,"",VLOOKUP(C2593,' Disaggregation - Section E '!A$618:O1605,15,0)),"")</f>
        <v>IDR-01188</v>
      </c>
      <c r="N2593" s="391" t="str">
        <f ca="1">IFERROR(IF(VLOOKUP(C2593,' Disaggregation - Section E '!A$618:J3282,10,0)=0,"",VLOOKUP(C2593,' Disaggregation - Section E '!A$618:J3282,10,0)),"")</f>
        <v>Disaggregated data not available. The activity will be taken into account from 2024 onwards</v>
      </c>
      <c r="O2593" s="387"/>
      <c r="P2593" s="387" t="str">
        <f ca="1">IFERROR(IF(VLOOKUP(C2593,' Disaggregation - Section E '!A$618:R1605,18,0)=0,"",VLOOKUP(C2593,' Disaggregation - Section E '!A$618:R1605,18,0)),"")</f>
        <v>a1LDm000000Cb1uMAC</v>
      </c>
    </row>
    <row r="2594" spans="1:16">
      <c r="A2594" s="387" t="b">
        <f t="shared" ca="1" si="171"/>
        <v>1</v>
      </c>
      <c r="B2594" s="387"/>
      <c r="C2594" s="396" t="str">
        <f ca="1">IF(COUNTA(O$1610:O2594)=1,"",OFFSET(B2592,-COUNTA(O$1610:O2594)+3,1))</f>
        <v>a16Dm000000M3vhIAC</v>
      </c>
      <c r="D2594" s="392"/>
      <c r="E2594" s="389" t="str">
        <f ca="1">IFERROR(IF(VLOOKUP(C2594,' Disaggregation - Section E '!A$618:J3283,7,0)="","",VLOOKUP(C2594,' Disaggregation - Section E '!A$618:J3283,7,0)*100),"")</f>
        <v/>
      </c>
      <c r="F2594" s="391" t="str">
        <f ca="1">IFERROR(VLOOKUP(C2594,' Disaggregation - Section E '!A$618:J3283,5,0),"")</f>
        <v>Transwomen</v>
      </c>
      <c r="G2594" s="390" t="str">
        <f ca="1">IFERROR(IF(VLOOKUP(C2594,' Disaggregation - Section E '!A$618:J3283,6,0)="","",VLOOKUP(C2594,' Disaggregation - Section E '!A$618:J3283,6,0)),"")</f>
        <v/>
      </c>
      <c r="H2594" s="390" t="str">
        <f ca="1">IFERROR(IF(INDEX(' Disaggregation - Section E '!F$618:F3283,MATCH(C2594,' Disaggregation - Section E '!A$618:A3283,0)+1,1)&lt;&gt;0,INDEX(' Disaggregation - Section E '!F$618:F3283,MATCH(C2594,' Disaggregation - Section E '!A$618:A3283,0)+1,1),""),"")</f>
        <v/>
      </c>
      <c r="I2594" s="391" t="str">
        <f ca="1">IFERROR(IF(VLOOKUP(C2594,' Disaggregation - Section E '!A$618:J3283,8,0)=0,"",VLOOKUP(C2594,' Disaggregation - Section E '!A$618:J3283,8,0)),"")</f>
        <v/>
      </c>
      <c r="J2594" s="391" t="str">
        <f ca="1">IFERROR(IF(VLOOKUP(C2594,' Disaggregation - Section E '!A$618:J3283,9,0)="","",VLOOKUP(C2594,' Disaggregation - Section E '!A$618:J3283,9,0)),"")</f>
        <v/>
      </c>
      <c r="K2594" s="387" t="str">
        <f ca="1">IFERROR(VLOOKUP(C2594,' Disaggregation - Section E '!A$618:J3283,3,0),"")</f>
        <v>KP-6b Number of transgender people who received any PrEP product at least once during the reporting period</v>
      </c>
      <c r="L2594" s="387"/>
      <c r="M2594" s="387" t="str">
        <f ca="1">IFERROR(IF(VLOOKUP(C2594,' Disaggregation - Section E '!A$618:O1606,15,0)=0,"",VLOOKUP(C2594,' Disaggregation - Section E '!A$618:O1606,15,0)),"")</f>
        <v>IDR-01187</v>
      </c>
      <c r="N2594" s="391" t="str">
        <f ca="1">IFERROR(IF(VLOOKUP(C2594,' Disaggregation - Section E '!A$618:J3283,10,0)=0,"",VLOOKUP(C2594,' Disaggregation - Section E '!A$618:J3283,10,0)),"")</f>
        <v>Disaggregated data not available. The activity will be taken into account from 2024 onwards</v>
      </c>
      <c r="O2594" s="387"/>
      <c r="P2594" s="387" t="str">
        <f ca="1">IFERROR(IF(VLOOKUP(C2594,' Disaggregation - Section E '!A$618:R1606,18,0)=0,"",VLOOKUP(C2594,' Disaggregation - Section E '!A$618:R1606,18,0)),"")</f>
        <v>a1LDm000000Cb1tMAC</v>
      </c>
    </row>
    <row r="2595" spans="1:16">
      <c r="A2595" s="387" t="b">
        <f t="shared" ca="1" si="171"/>
        <v>1</v>
      </c>
      <c r="B2595" s="387"/>
      <c r="C2595" s="396" t="str">
        <f ca="1">IF(COUNTA(O$1610:O2595)=1,"",OFFSET(B2593,-COUNTA(O$1610:O2595)+3,1))</f>
        <v>a16Dm000000M3viIAC</v>
      </c>
      <c r="D2595" s="392"/>
      <c r="E2595" s="389" t="str">
        <f ca="1">IFERROR(IF(VLOOKUP(C2595,' Disaggregation - Section E '!A$618:J3284,7,0)="","",VLOOKUP(C2595,' Disaggregation - Section E '!A$618:J3284,7,0)*100),"")</f>
        <v/>
      </c>
      <c r="F2595" s="391" t="str">
        <f ca="1">IFERROR(VLOOKUP(C2595,' Disaggregation - Section E '!A$618:J3284,5,0),"")</f>
        <v>15-19</v>
      </c>
      <c r="G2595" s="390" t="str">
        <f ca="1">IFERROR(IF(VLOOKUP(C2595,' Disaggregation - Section E '!A$618:J3284,6,0)="","",VLOOKUP(C2595,' Disaggregation - Section E '!A$618:J3284,6,0)),"")</f>
        <v/>
      </c>
      <c r="H2595" s="390" t="str">
        <f ca="1">IFERROR(IF(INDEX(' Disaggregation - Section E '!F$618:F3284,MATCH(C2595,' Disaggregation - Section E '!A$618:A3284,0)+1,1)&lt;&gt;0,INDEX(' Disaggregation - Section E '!F$618:F3284,MATCH(C2595,' Disaggregation - Section E '!A$618:A3284,0)+1,1),""),"")</f>
        <v/>
      </c>
      <c r="I2595" s="391" t="str">
        <f ca="1">IFERROR(IF(VLOOKUP(C2595,' Disaggregation - Section E '!A$618:J3284,8,0)=0,"",VLOOKUP(C2595,' Disaggregation - Section E '!A$618:J3284,8,0)),"")</f>
        <v/>
      </c>
      <c r="J2595" s="391" t="str">
        <f ca="1">IFERROR(IF(VLOOKUP(C2595,' Disaggregation - Section E '!A$618:J3284,9,0)="","",VLOOKUP(C2595,' Disaggregation - Section E '!A$618:J3284,9,0)),"")</f>
        <v/>
      </c>
      <c r="K2595" s="387" t="str">
        <f ca="1">IFERROR(VLOOKUP(C2595,' Disaggregation - Section E '!A$618:J3284,3,0),"")</f>
        <v>KP-6b Number of transgender people who received any PrEP product at least once during the reporting period</v>
      </c>
      <c r="L2595" s="387"/>
      <c r="M2595" s="387" t="str">
        <f ca="1">IFERROR(IF(VLOOKUP(C2595,' Disaggregation - Section E '!A$618:O1607,15,0)=0,"",VLOOKUP(C2595,' Disaggregation - Section E '!A$618:O1607,15,0)),"")</f>
        <v>IDR-01186</v>
      </c>
      <c r="N2595" s="391" t="str">
        <f ca="1">IFERROR(IF(VLOOKUP(C2595,' Disaggregation - Section E '!A$618:J3284,10,0)=0,"",VLOOKUP(C2595,' Disaggregation - Section E '!A$618:J3284,10,0)),"")</f>
        <v>Disaggregated data not available. The activity will be taken into account from 2024 onwards</v>
      </c>
      <c r="O2595" s="387"/>
      <c r="P2595" s="387" t="str">
        <f ca="1">IFERROR(IF(VLOOKUP(C2595,' Disaggregation - Section E '!A$618:R1607,18,0)=0,"",VLOOKUP(C2595,' Disaggregation - Section E '!A$618:R1607,18,0)),"")</f>
        <v>a1LDm000000Cb1sMAC</v>
      </c>
    </row>
    <row r="2596" spans="1:16">
      <c r="A2596" s="387" t="b">
        <f t="shared" ca="1" si="171"/>
        <v>1</v>
      </c>
      <c r="B2596" s="387"/>
      <c r="C2596" s="396" t="str">
        <f ca="1">IF(COUNTA(O$1610:O2596)=1,"",OFFSET(B2594,-COUNTA(O$1610:O2596)+3,1))</f>
        <v>a16Dm000000M3vjIAC</v>
      </c>
      <c r="D2596" s="392"/>
      <c r="E2596" s="389" t="str">
        <f ca="1">IFERROR(IF(VLOOKUP(C2596,' Disaggregation - Section E '!A$618:J3285,7,0)="","",VLOOKUP(C2596,' Disaggregation - Section E '!A$618:J3285,7,0)*100),"")</f>
        <v/>
      </c>
      <c r="F2596" s="391" t="str">
        <f ca="1">IFERROR(VLOOKUP(C2596,' Disaggregation - Section E '!A$618:J3285,5,0),"")</f>
        <v>Transmen</v>
      </c>
      <c r="G2596" s="390" t="str">
        <f ca="1">IFERROR(IF(VLOOKUP(C2596,' Disaggregation - Section E '!A$618:J3285,6,0)="","",VLOOKUP(C2596,' Disaggregation - Section E '!A$618:J3285,6,0)),"")</f>
        <v/>
      </c>
      <c r="H2596" s="390" t="str">
        <f ca="1">IFERROR(IF(INDEX(' Disaggregation - Section E '!F$618:F3285,MATCH(C2596,' Disaggregation - Section E '!A$618:A3285,0)+1,1)&lt;&gt;0,INDEX(' Disaggregation - Section E '!F$618:F3285,MATCH(C2596,' Disaggregation - Section E '!A$618:A3285,0)+1,1),""),"")</f>
        <v/>
      </c>
      <c r="I2596" s="391" t="str">
        <f ca="1">IFERROR(IF(VLOOKUP(C2596,' Disaggregation - Section E '!A$618:J3285,8,0)=0,"",VLOOKUP(C2596,' Disaggregation - Section E '!A$618:J3285,8,0)),"")</f>
        <v/>
      </c>
      <c r="J2596" s="391" t="str">
        <f ca="1">IFERROR(IF(VLOOKUP(C2596,' Disaggregation - Section E '!A$618:J3285,9,0)="","",VLOOKUP(C2596,' Disaggregation - Section E '!A$618:J3285,9,0)),"")</f>
        <v/>
      </c>
      <c r="K2596" s="387" t="str">
        <f ca="1">IFERROR(VLOOKUP(C2596,' Disaggregation - Section E '!A$618:J3285,3,0),"")</f>
        <v>KP-6b Number of transgender people who received any PrEP product at least once during the reporting period</v>
      </c>
      <c r="L2596" s="387"/>
      <c r="M2596" s="387" t="str">
        <f ca="1">IFERROR(IF(VLOOKUP(C2596,' Disaggregation - Section E '!A$618:O1608,15,0)=0,"",VLOOKUP(C2596,' Disaggregation - Section E '!A$618:O1608,15,0)),"")</f>
        <v>IDR-01185</v>
      </c>
      <c r="N2596" s="391" t="str">
        <f ca="1">IFERROR(IF(VLOOKUP(C2596,' Disaggregation - Section E '!A$618:J3285,10,0)=0,"",VLOOKUP(C2596,' Disaggregation - Section E '!A$618:J3285,10,0)),"")</f>
        <v>Disaggregated data not available. The activity will be taken into account from 2024 onwards</v>
      </c>
      <c r="O2596" s="387"/>
      <c r="P2596" s="387" t="str">
        <f ca="1">IFERROR(IF(VLOOKUP(C2596,' Disaggregation - Section E '!A$618:R1608,18,0)=0,"",VLOOKUP(C2596,' Disaggregation - Section E '!A$618:R1608,18,0)),"")</f>
        <v>a1LDm000000Cb1rMAC</v>
      </c>
    </row>
    <row r="2597" spans="1:16">
      <c r="A2597" s="387" t="b">
        <f t="shared" ca="1" si="171"/>
        <v>1</v>
      </c>
      <c r="B2597" s="387"/>
      <c r="C2597" s="396" t="str">
        <f ca="1">IF(COUNTA(O$1610:O2597)=1,"",OFFSET(B2595,-COUNTA(O$1610:O2597)+3,1))</f>
        <v>a16Dm000000M3vkIAC</v>
      </c>
      <c r="D2597" s="392"/>
      <c r="E2597" s="389" t="str">
        <f ca="1">IFERROR(IF(VLOOKUP(C2597,' Disaggregation - Section E '!A$618:J3286,7,0)="","",VLOOKUP(C2597,' Disaggregation - Section E '!A$618:J3286,7,0)*100),"")</f>
        <v/>
      </c>
      <c r="F2597" s="391" t="str">
        <f ca="1">IFERROR(VLOOKUP(C2597,' Disaggregation - Section E '!A$618:J3286,5,0),"")</f>
        <v>DPV-VR</v>
      </c>
      <c r="G2597" s="390" t="str">
        <f ca="1">IFERROR(IF(VLOOKUP(C2597,' Disaggregation - Section E '!A$618:J3286,6,0)="","",VLOOKUP(C2597,' Disaggregation - Section E '!A$618:J3286,6,0)),"")</f>
        <v/>
      </c>
      <c r="H2597" s="390" t="str">
        <f ca="1">IFERROR(IF(INDEX(' Disaggregation - Section E '!F$618:F3286,MATCH(C2597,' Disaggregation - Section E '!A$618:A3286,0)+1,1)&lt;&gt;0,INDEX(' Disaggregation - Section E '!F$618:F3286,MATCH(C2597,' Disaggregation - Section E '!A$618:A3286,0)+1,1),""),"")</f>
        <v/>
      </c>
      <c r="I2597" s="391" t="str">
        <f ca="1">IFERROR(IF(VLOOKUP(C2597,' Disaggregation - Section E '!A$618:J3286,8,0)=0,"",VLOOKUP(C2597,' Disaggregation - Section E '!A$618:J3286,8,0)),"")</f>
        <v/>
      </c>
      <c r="J2597" s="391" t="str">
        <f ca="1">IFERROR(IF(VLOOKUP(C2597,' Disaggregation - Section E '!A$618:J3286,9,0)="","",VLOOKUP(C2597,' Disaggregation - Section E '!A$618:J3286,9,0)),"")</f>
        <v/>
      </c>
      <c r="K2597" s="387" t="str">
        <f ca="1">IFERROR(VLOOKUP(C2597,' Disaggregation - Section E '!A$618:J3286,3,0),"")</f>
        <v>KP-6b Number of transgender people who received any PrEP product at least once during the reporting period</v>
      </c>
      <c r="L2597" s="387"/>
      <c r="M2597" s="387" t="str">
        <f ca="1">IFERROR(IF(VLOOKUP(C2597,' Disaggregation - Section E '!A$618:O1609,15,0)=0,"",VLOOKUP(C2597,' Disaggregation - Section E '!A$618:O1609,15,0)),"")</f>
        <v>IDR-01184</v>
      </c>
      <c r="N2597" s="391" t="str">
        <f ca="1">IFERROR(IF(VLOOKUP(C2597,' Disaggregation - Section E '!A$618:J3286,10,0)=0,"",VLOOKUP(C2597,' Disaggregation - Section E '!A$618:J3286,10,0)),"")</f>
        <v>Disaggregated data not available. The activity will be taken into account from 2024 onwards</v>
      </c>
      <c r="O2597" s="387"/>
      <c r="P2597" s="387" t="str">
        <f ca="1">IFERROR(IF(VLOOKUP(C2597,' Disaggregation - Section E '!A$618:R1609,18,0)=0,"",VLOOKUP(C2597,' Disaggregation - Section E '!A$618:R1609,18,0)),"")</f>
        <v>a1LDm000000Cb1qMAC</v>
      </c>
    </row>
    <row r="2598" spans="1:16">
      <c r="A2598" s="387" t="b">
        <f t="shared" ca="1" si="171"/>
        <v>1</v>
      </c>
      <c r="B2598" s="387"/>
      <c r="C2598" s="396" t="str">
        <f ca="1">IF(COUNTA(O$1610:O2598)=1,"",OFFSET(B2596,-COUNTA(O$1610:O2598)+3,1))</f>
        <v>a16Dm000000M3vlIAC</v>
      </c>
      <c r="D2598" s="392"/>
      <c r="E2598" s="389" t="str">
        <f ca="1">IFERROR(IF(VLOOKUP(C2598,' Disaggregation - Section E '!A$618:J3287,7,0)="","",VLOOKUP(C2598,' Disaggregation - Section E '!A$618:J3287,7,0)*100),"")</f>
        <v/>
      </c>
      <c r="F2598" s="391" t="str">
        <f ca="1">IFERROR(VLOOKUP(C2598,' Disaggregation - Section E '!A$618:J3287,5,0),"")</f>
        <v>Injectable PrEP</v>
      </c>
      <c r="G2598" s="390" t="str">
        <f ca="1">IFERROR(IF(VLOOKUP(C2598,' Disaggregation - Section E '!A$618:J3287,6,0)="","",VLOOKUP(C2598,' Disaggregation - Section E '!A$618:J3287,6,0)),"")</f>
        <v/>
      </c>
      <c r="H2598" s="390" t="str">
        <f ca="1">IFERROR(IF(INDEX(' Disaggregation - Section E '!F$618:F3287,MATCH(C2598,' Disaggregation - Section E '!A$618:A3287,0)+1,1)&lt;&gt;0,INDEX(' Disaggregation - Section E '!F$618:F3287,MATCH(C2598,' Disaggregation - Section E '!A$618:A3287,0)+1,1),""),"")</f>
        <v/>
      </c>
      <c r="I2598" s="391" t="str">
        <f ca="1">IFERROR(IF(VLOOKUP(C2598,' Disaggregation - Section E '!A$618:J3287,8,0)=0,"",VLOOKUP(C2598,' Disaggregation - Section E '!A$618:J3287,8,0)),"")</f>
        <v/>
      </c>
      <c r="J2598" s="391" t="str">
        <f ca="1">IFERROR(IF(VLOOKUP(C2598,' Disaggregation - Section E '!A$618:J3287,9,0)="","",VLOOKUP(C2598,' Disaggregation - Section E '!A$618:J3287,9,0)),"")</f>
        <v/>
      </c>
      <c r="K2598" s="387" t="str">
        <f ca="1">IFERROR(VLOOKUP(C2598,' Disaggregation - Section E '!A$618:J3287,3,0),"")</f>
        <v>KP-6b Number of transgender people who received any PrEP product at least once during the reporting period</v>
      </c>
      <c r="L2598" s="387"/>
      <c r="M2598" s="387" t="str">
        <f ca="1">IFERROR(IF(VLOOKUP(C2598,' Disaggregation - Section E '!A$618:O1610,15,0)=0,"",VLOOKUP(C2598,' Disaggregation - Section E '!A$618:O1610,15,0)),"")</f>
        <v>IDR-01183</v>
      </c>
      <c r="N2598" s="391" t="str">
        <f ca="1">IFERROR(IF(VLOOKUP(C2598,' Disaggregation - Section E '!A$618:J3287,10,0)=0,"",VLOOKUP(C2598,' Disaggregation - Section E '!A$618:J3287,10,0)),"")</f>
        <v>Disaggregated data not available. The activity will be taken into account from 2024 onwards</v>
      </c>
      <c r="O2598" s="387"/>
      <c r="P2598" s="387" t="str">
        <f ca="1">IFERROR(IF(VLOOKUP(C2598,' Disaggregation - Section E '!A$618:R1610,18,0)=0,"",VLOOKUP(C2598,' Disaggregation - Section E '!A$618:R1610,18,0)),"")</f>
        <v>a1LDm000000Cb1pMAC</v>
      </c>
    </row>
    <row r="2599" spans="1:16">
      <c r="A2599" s="387" t="b">
        <f t="shared" ca="1" si="171"/>
        <v>1</v>
      </c>
      <c r="B2599" s="387"/>
      <c r="C2599" s="396" t="str">
        <f ca="1">IF(COUNTA(O$1610:O2599)=1,"",OFFSET(B2597,-COUNTA(O$1610:O2599)+3,1))</f>
        <v>a16Dm000000M3vmIAC</v>
      </c>
      <c r="D2599" s="392"/>
      <c r="E2599" s="389" t="str">
        <f ca="1">IFERROR(IF(VLOOKUP(C2599,' Disaggregation - Section E '!A$618:J3288,7,0)="","",VLOOKUP(C2599,' Disaggregation - Section E '!A$618:J3288,7,0)*100),"")</f>
        <v/>
      </c>
      <c r="F2599" s="391" t="str">
        <f ca="1">IFERROR(VLOOKUP(C2599,' Disaggregation - Section E '!A$618:J3288,5,0),"")</f>
        <v>Oral PrEP</v>
      </c>
      <c r="G2599" s="390" t="str">
        <f ca="1">IFERROR(IF(VLOOKUP(C2599,' Disaggregation - Section E '!A$618:J3288,6,0)="","",VLOOKUP(C2599,' Disaggregation - Section E '!A$618:J3288,6,0)),"")</f>
        <v/>
      </c>
      <c r="H2599" s="390" t="str">
        <f ca="1">IFERROR(IF(INDEX(' Disaggregation - Section E '!F$618:F3288,MATCH(C2599,' Disaggregation - Section E '!A$618:A3288,0)+1,1)&lt;&gt;0,INDEX(' Disaggregation - Section E '!F$618:F3288,MATCH(C2599,' Disaggregation - Section E '!A$618:A3288,0)+1,1),""),"")</f>
        <v/>
      </c>
      <c r="I2599" s="391" t="str">
        <f ca="1">IFERROR(IF(VLOOKUP(C2599,' Disaggregation - Section E '!A$618:J3288,8,0)=0,"",VLOOKUP(C2599,' Disaggregation - Section E '!A$618:J3288,8,0)),"")</f>
        <v/>
      </c>
      <c r="J2599" s="391" t="str">
        <f ca="1">IFERROR(IF(VLOOKUP(C2599,' Disaggregation - Section E '!A$618:J3288,9,0)="","",VLOOKUP(C2599,' Disaggregation - Section E '!A$618:J3288,9,0)),"")</f>
        <v/>
      </c>
      <c r="K2599" s="387" t="str">
        <f ca="1">IFERROR(VLOOKUP(C2599,' Disaggregation - Section E '!A$618:J3288,3,0),"")</f>
        <v>KP-6b Number of transgender people who received any PrEP product at least once during the reporting period</v>
      </c>
      <c r="L2599" s="387"/>
      <c r="M2599" s="387" t="str">
        <f ca="1">IFERROR(IF(VLOOKUP(C2599,' Disaggregation - Section E '!A$618:O1611,15,0)=0,"",VLOOKUP(C2599,' Disaggregation - Section E '!A$618:O1611,15,0)),"")</f>
        <v>IDR-01182</v>
      </c>
      <c r="N2599" s="391" t="str">
        <f ca="1">IFERROR(IF(VLOOKUP(C2599,' Disaggregation - Section E '!A$618:J3288,10,0)=0,"",VLOOKUP(C2599,' Disaggregation - Section E '!A$618:J3288,10,0)),"")</f>
        <v>Disaggregated data not available. The activity will be taken into account from 2024 onwards</v>
      </c>
      <c r="O2599" s="387"/>
      <c r="P2599" s="387" t="str">
        <f ca="1">IFERROR(IF(VLOOKUP(C2599,' Disaggregation - Section E '!A$618:R1611,18,0)=0,"",VLOOKUP(C2599,' Disaggregation - Section E '!A$618:R1611,18,0)),"")</f>
        <v>a1LDm000000Cb1oMAC</v>
      </c>
    </row>
    <row r="2600" spans="1:16">
      <c r="A2600" s="387" t="b">
        <f t="shared" ca="1" si="171"/>
        <v>0</v>
      </c>
      <c r="B2600" s="387"/>
      <c r="C2600" s="396" t="str">
        <f ca="1">IF(COUNTA(O$1610:O2600)=1,"",OFFSET(B2598,-COUNTA(O$1610:O2600)+3,1))</f>
        <v>a16Dm000000M3vnIAC</v>
      </c>
      <c r="D2600" s="392"/>
      <c r="E2600" s="389" t="str">
        <f ca="1">IFERROR(IF(VLOOKUP(C2600,' Disaggregation - Section E '!A$618:J3289,7,0)="","",VLOOKUP(C2600,' Disaggregation - Section E '!A$618:J3289,7,0)*100),"")</f>
        <v/>
      </c>
      <c r="F2600" s="391" t="str">
        <f ca="1">IFERROR(VLOOKUP(C2600,' Disaggregation - Section E '!A$618:J3289,5,0),"")</f>
        <v/>
      </c>
      <c r="G2600" s="390" t="str">
        <f ca="1">IFERROR(IF(VLOOKUP(C2600,' Disaggregation - Section E '!A$618:J3289,6,0)="","",VLOOKUP(C2600,' Disaggregation - Section E '!A$618:J3289,6,0)),"")</f>
        <v/>
      </c>
      <c r="H2600" s="390" t="str">
        <f ca="1">IFERROR(IF(INDEX(' Disaggregation - Section E '!F$618:F3289,MATCH(C2600,' Disaggregation - Section E '!A$618:A3289,0)+1,1)&lt;&gt;0,INDEX(' Disaggregation - Section E '!F$618:F3289,MATCH(C2600,' Disaggregation - Section E '!A$618:A3289,0)+1,1),""),"")</f>
        <v/>
      </c>
      <c r="I2600" s="391" t="str">
        <f ca="1">IFERROR(IF(VLOOKUP(C2600,' Disaggregation - Section E '!A$618:J3289,8,0)=0,"",VLOOKUP(C2600,' Disaggregation - Section E '!A$618:J3289,8,0)),"")</f>
        <v/>
      </c>
      <c r="J2600" s="391" t="str">
        <f ca="1">IFERROR(IF(VLOOKUP(C2600,' Disaggregation - Section E '!A$618:J3289,9,0)="","",VLOOKUP(C2600,' Disaggregation - Section E '!A$618:J3289,9,0)),"")</f>
        <v/>
      </c>
      <c r="K2600" s="387" t="str">
        <f ca="1">IFERROR(VLOOKUP(C2600,' Disaggregation - Section E '!A$618:J3289,3,0),"")</f>
        <v>KP-6b Number of transgender people who received any PrEP product at least once during the reporting period</v>
      </c>
      <c r="L2600" s="387"/>
      <c r="M2600" s="387" t="str">
        <f ca="1">IFERROR(IF(VLOOKUP(C2600,' Disaggregation - Section E '!A$618:O1612,15,0)=0,"",VLOOKUP(C2600,' Disaggregation - Section E '!A$618:O1612,15,0)),"")</f>
        <v/>
      </c>
      <c r="N2600" s="391" t="str">
        <f ca="1">IFERROR(IF(VLOOKUP(C2600,' Disaggregation - Section E '!A$618:J3289,10,0)=0,"",VLOOKUP(C2600,' Disaggregation - Section E '!A$618:J3289,10,0)),"")</f>
        <v/>
      </c>
      <c r="O2600" s="387"/>
      <c r="P2600" s="387" t="str">
        <f ca="1">IFERROR(IF(VLOOKUP(C2600,' Disaggregation - Section E '!A$618:R1612,18,0)=0,"",VLOOKUP(C2600,' Disaggregation - Section E '!A$618:R1612,18,0)),"")</f>
        <v/>
      </c>
    </row>
    <row r="2601" spans="1:16">
      <c r="A2601" s="387" t="b">
        <f t="shared" ca="1" si="171"/>
        <v>0</v>
      </c>
      <c r="B2601" s="387"/>
      <c r="C2601" s="396" t="str">
        <f ca="1">IF(COUNTA(O$1610:O2601)=1,"",OFFSET(B2599,-COUNTA(O$1610:O2601)+3,1))</f>
        <v>a16Dm000000M3voIAC</v>
      </c>
      <c r="D2601" s="392"/>
      <c r="E2601" s="389" t="str">
        <f ca="1">IFERROR(IF(VLOOKUP(C2601,' Disaggregation - Section E '!A$618:J3290,7,0)="","",VLOOKUP(C2601,' Disaggregation - Section E '!A$618:J3290,7,0)*100),"")</f>
        <v/>
      </c>
      <c r="F2601" s="391" t="str">
        <f ca="1">IFERROR(VLOOKUP(C2601,' Disaggregation - Section E '!A$618:J3290,5,0),"")</f>
        <v/>
      </c>
      <c r="G2601" s="390" t="str">
        <f ca="1">IFERROR(IF(VLOOKUP(C2601,' Disaggregation - Section E '!A$618:J3290,6,0)="","",VLOOKUP(C2601,' Disaggregation - Section E '!A$618:J3290,6,0)),"")</f>
        <v/>
      </c>
      <c r="H2601" s="390" t="str">
        <f ca="1">IFERROR(IF(INDEX(' Disaggregation - Section E '!F$618:F3290,MATCH(C2601,' Disaggregation - Section E '!A$618:A3290,0)+1,1)&lt;&gt;0,INDEX(' Disaggregation - Section E '!F$618:F3290,MATCH(C2601,' Disaggregation - Section E '!A$618:A3290,0)+1,1),""),"")</f>
        <v/>
      </c>
      <c r="I2601" s="391" t="str">
        <f ca="1">IFERROR(IF(VLOOKUP(C2601,' Disaggregation - Section E '!A$618:J3290,8,0)=0,"",VLOOKUP(C2601,' Disaggregation - Section E '!A$618:J3290,8,0)),"")</f>
        <v/>
      </c>
      <c r="J2601" s="391" t="str">
        <f ca="1">IFERROR(IF(VLOOKUP(C2601,' Disaggregation - Section E '!A$618:J3290,9,0)="","",VLOOKUP(C2601,' Disaggregation - Section E '!A$618:J3290,9,0)),"")</f>
        <v/>
      </c>
      <c r="K2601" s="387" t="str">
        <f ca="1">IFERROR(VLOOKUP(C2601,' Disaggregation - Section E '!A$618:J3290,3,0),"")</f>
        <v>KP-6b Number of transgender people who received any PrEP product at least once during the reporting period</v>
      </c>
      <c r="L2601" s="387"/>
      <c r="M2601" s="387" t="str">
        <f ca="1">IFERROR(IF(VLOOKUP(C2601,' Disaggregation - Section E '!A$618:O1613,15,0)=0,"",VLOOKUP(C2601,' Disaggregation - Section E '!A$618:O1613,15,0)),"")</f>
        <v/>
      </c>
      <c r="N2601" s="391" t="str">
        <f ca="1">IFERROR(IF(VLOOKUP(C2601,' Disaggregation - Section E '!A$618:J3290,10,0)=0,"",VLOOKUP(C2601,' Disaggregation - Section E '!A$618:J3290,10,0)),"")</f>
        <v/>
      </c>
      <c r="O2601" s="387"/>
      <c r="P2601" s="387" t="str">
        <f ca="1">IFERROR(IF(VLOOKUP(C2601,' Disaggregation - Section E '!A$618:R1613,18,0)=0,"",VLOOKUP(C2601,' Disaggregation - Section E '!A$618:R1613,18,0)),"")</f>
        <v/>
      </c>
    </row>
    <row r="2602" spans="1:16">
      <c r="A2602" s="387" t="b">
        <f t="shared" ca="1" si="171"/>
        <v>0</v>
      </c>
      <c r="B2602" s="387"/>
      <c r="C2602" s="396" t="str">
        <f ca="1">IF(COUNTA(O$1610:O2602)=1,"",OFFSET(B2600,-COUNTA(O$1610:O2602)+3,1))</f>
        <v>a16Dm000000M3vpIAC</v>
      </c>
      <c r="D2602" s="392"/>
      <c r="E2602" s="389" t="str">
        <f ca="1">IFERROR(IF(VLOOKUP(C2602,' Disaggregation - Section E '!A$618:J3291,7,0)="","",VLOOKUP(C2602,' Disaggregation - Section E '!A$618:J3291,7,0)*100),"")</f>
        <v/>
      </c>
      <c r="F2602" s="391" t="str">
        <f ca="1">IFERROR(VLOOKUP(C2602,' Disaggregation - Section E '!A$618:J3291,5,0),"")</f>
        <v/>
      </c>
      <c r="G2602" s="390" t="str">
        <f ca="1">IFERROR(IF(VLOOKUP(C2602,' Disaggregation - Section E '!A$618:J3291,6,0)="","",VLOOKUP(C2602,' Disaggregation - Section E '!A$618:J3291,6,0)),"")</f>
        <v/>
      </c>
      <c r="H2602" s="390" t="str">
        <f ca="1">IFERROR(IF(INDEX(' Disaggregation - Section E '!F$618:F3291,MATCH(C2602,' Disaggregation - Section E '!A$618:A3291,0)+1,1)&lt;&gt;0,INDEX(' Disaggregation - Section E '!F$618:F3291,MATCH(C2602,' Disaggregation - Section E '!A$618:A3291,0)+1,1),""),"")</f>
        <v/>
      </c>
      <c r="I2602" s="391" t="str">
        <f ca="1">IFERROR(IF(VLOOKUP(C2602,' Disaggregation - Section E '!A$618:J3291,8,0)=0,"",VLOOKUP(C2602,' Disaggregation - Section E '!A$618:J3291,8,0)),"")</f>
        <v/>
      </c>
      <c r="J2602" s="391" t="str">
        <f ca="1">IFERROR(IF(VLOOKUP(C2602,' Disaggregation - Section E '!A$618:J3291,9,0)="","",VLOOKUP(C2602,' Disaggregation - Section E '!A$618:J3291,9,0)),"")</f>
        <v/>
      </c>
      <c r="K2602" s="387" t="str">
        <f ca="1">IFERROR(VLOOKUP(C2602,' Disaggregation - Section E '!A$618:J3291,3,0),"")</f>
        <v>KP-6b Number of transgender people who received any PrEP product at least once during the reporting period</v>
      </c>
      <c r="L2602" s="387"/>
      <c r="M2602" s="387" t="str">
        <f ca="1">IFERROR(IF(VLOOKUP(C2602,' Disaggregation - Section E '!A$618:O1614,15,0)=0,"",VLOOKUP(C2602,' Disaggregation - Section E '!A$618:O1614,15,0)),"")</f>
        <v/>
      </c>
      <c r="N2602" s="391" t="str">
        <f ca="1">IFERROR(IF(VLOOKUP(C2602,' Disaggregation - Section E '!A$618:J3291,10,0)=0,"",VLOOKUP(C2602,' Disaggregation - Section E '!A$618:J3291,10,0)),"")</f>
        <v/>
      </c>
      <c r="O2602" s="387"/>
      <c r="P2602" s="387" t="str">
        <f ca="1">IFERROR(IF(VLOOKUP(C2602,' Disaggregation - Section E '!A$618:R1614,18,0)=0,"",VLOOKUP(C2602,' Disaggregation - Section E '!A$618:R1614,18,0)),"")</f>
        <v/>
      </c>
    </row>
    <row r="2603" spans="1:16">
      <c r="A2603" s="387" t="b">
        <f t="shared" ca="1" si="171"/>
        <v>0</v>
      </c>
      <c r="B2603" s="387"/>
      <c r="C2603" s="396" t="str">
        <f ca="1">IF(COUNTA(O$1610:O2603)=1,"",OFFSET(B2601,-COUNTA(O$1610:O2603)+3,1))</f>
        <v>a16Dm000000M3vqIAC</v>
      </c>
      <c r="D2603" s="392"/>
      <c r="E2603" s="389" t="str">
        <f ca="1">IFERROR(IF(VLOOKUP(C2603,' Disaggregation - Section E '!A$618:J3292,7,0)="","",VLOOKUP(C2603,' Disaggregation - Section E '!A$618:J3292,7,0)*100),"")</f>
        <v/>
      </c>
      <c r="F2603" s="391" t="str">
        <f ca="1">IFERROR(VLOOKUP(C2603,' Disaggregation - Section E '!A$618:J3292,5,0),"")</f>
        <v/>
      </c>
      <c r="G2603" s="390" t="str">
        <f ca="1">IFERROR(IF(VLOOKUP(C2603,' Disaggregation - Section E '!A$618:J3292,6,0)="","",VLOOKUP(C2603,' Disaggregation - Section E '!A$618:J3292,6,0)),"")</f>
        <v/>
      </c>
      <c r="H2603" s="390" t="str">
        <f ca="1">IFERROR(IF(INDEX(' Disaggregation - Section E '!F$618:F3292,MATCH(C2603,' Disaggregation - Section E '!A$618:A3292,0)+1,1)&lt;&gt;0,INDEX(' Disaggregation - Section E '!F$618:F3292,MATCH(C2603,' Disaggregation - Section E '!A$618:A3292,0)+1,1),""),"")</f>
        <v/>
      </c>
      <c r="I2603" s="391" t="str">
        <f ca="1">IFERROR(IF(VLOOKUP(C2603,' Disaggregation - Section E '!A$618:J3292,8,0)=0,"",VLOOKUP(C2603,' Disaggregation - Section E '!A$618:J3292,8,0)),"")</f>
        <v/>
      </c>
      <c r="J2603" s="391" t="str">
        <f ca="1">IFERROR(IF(VLOOKUP(C2603,' Disaggregation - Section E '!A$618:J3292,9,0)="","",VLOOKUP(C2603,' Disaggregation - Section E '!A$618:J3292,9,0)),"")</f>
        <v/>
      </c>
      <c r="K2603" s="387" t="str">
        <f ca="1">IFERROR(VLOOKUP(C2603,' Disaggregation - Section E '!A$618:J3292,3,0),"")</f>
        <v>KP-6b Number of transgender people who received any PrEP product at least once during the reporting period</v>
      </c>
      <c r="L2603" s="387"/>
      <c r="M2603" s="387" t="str">
        <f ca="1">IFERROR(IF(VLOOKUP(C2603,' Disaggregation - Section E '!A$618:O1615,15,0)=0,"",VLOOKUP(C2603,' Disaggregation - Section E '!A$618:O1615,15,0)),"")</f>
        <v/>
      </c>
      <c r="N2603" s="391" t="str">
        <f ca="1">IFERROR(IF(VLOOKUP(C2603,' Disaggregation - Section E '!A$618:J3292,10,0)=0,"",VLOOKUP(C2603,' Disaggregation - Section E '!A$618:J3292,10,0)),"")</f>
        <v/>
      </c>
      <c r="O2603" s="387"/>
      <c r="P2603" s="387" t="str">
        <f ca="1">IFERROR(IF(VLOOKUP(C2603,' Disaggregation - Section E '!A$618:R1615,18,0)=0,"",VLOOKUP(C2603,' Disaggregation - Section E '!A$618:R1615,18,0)),"")</f>
        <v/>
      </c>
    </row>
    <row r="2604" spans="1:16">
      <c r="A2604" s="387" t="b">
        <f t="shared" ca="1" si="171"/>
        <v>0</v>
      </c>
      <c r="B2604" s="387"/>
      <c r="C2604" s="396" t="str">
        <f ca="1">IF(COUNTA(O$1610:O2604)=1,"",OFFSET(B2602,-COUNTA(O$1610:O2604)+3,1))</f>
        <v>a16Dm000000M3vrIAC</v>
      </c>
      <c r="D2604" s="392"/>
      <c r="E2604" s="389" t="str">
        <f ca="1">IFERROR(IF(VLOOKUP(C2604,' Disaggregation - Section E '!A$618:J3293,7,0)="","",VLOOKUP(C2604,' Disaggregation - Section E '!A$618:J3293,7,0)*100),"")</f>
        <v/>
      </c>
      <c r="F2604" s="391" t="str">
        <f ca="1">IFERROR(VLOOKUP(C2604,' Disaggregation - Section E '!A$618:J3293,5,0),"")</f>
        <v/>
      </c>
      <c r="G2604" s="390" t="str">
        <f ca="1">IFERROR(IF(VLOOKUP(C2604,' Disaggregation - Section E '!A$618:J3293,6,0)="","",VLOOKUP(C2604,' Disaggregation - Section E '!A$618:J3293,6,0)),"")</f>
        <v/>
      </c>
      <c r="H2604" s="390" t="str">
        <f ca="1">IFERROR(IF(INDEX(' Disaggregation - Section E '!F$618:F3293,MATCH(C2604,' Disaggregation - Section E '!A$618:A3293,0)+1,1)&lt;&gt;0,INDEX(' Disaggregation - Section E '!F$618:F3293,MATCH(C2604,' Disaggregation - Section E '!A$618:A3293,0)+1,1),""),"")</f>
        <v/>
      </c>
      <c r="I2604" s="391" t="str">
        <f ca="1">IFERROR(IF(VLOOKUP(C2604,' Disaggregation - Section E '!A$618:J3293,8,0)=0,"",VLOOKUP(C2604,' Disaggregation - Section E '!A$618:J3293,8,0)),"")</f>
        <v/>
      </c>
      <c r="J2604" s="391" t="str">
        <f ca="1">IFERROR(IF(VLOOKUP(C2604,' Disaggregation - Section E '!A$618:J3293,9,0)="","",VLOOKUP(C2604,' Disaggregation - Section E '!A$618:J3293,9,0)),"")</f>
        <v/>
      </c>
      <c r="K2604" s="387" t="str">
        <f ca="1">IFERROR(VLOOKUP(C2604,' Disaggregation - Section E '!A$618:J3293,3,0),"")</f>
        <v>KP-6b Number of transgender people who received any PrEP product at least once during the reporting period</v>
      </c>
      <c r="L2604" s="387"/>
      <c r="M2604" s="387" t="str">
        <f ca="1">IFERROR(IF(VLOOKUP(C2604,' Disaggregation - Section E '!A$618:O1616,15,0)=0,"",VLOOKUP(C2604,' Disaggregation - Section E '!A$618:O1616,15,0)),"")</f>
        <v/>
      </c>
      <c r="N2604" s="391" t="str">
        <f ca="1">IFERROR(IF(VLOOKUP(C2604,' Disaggregation - Section E '!A$618:J3293,10,0)=0,"",VLOOKUP(C2604,' Disaggregation - Section E '!A$618:J3293,10,0)),"")</f>
        <v/>
      </c>
      <c r="O2604" s="387"/>
      <c r="P2604" s="387" t="str">
        <f ca="1">IFERROR(IF(VLOOKUP(C2604,' Disaggregation - Section E '!A$618:R1616,18,0)=0,"",VLOOKUP(C2604,' Disaggregation - Section E '!A$618:R1616,18,0)),"")</f>
        <v/>
      </c>
    </row>
    <row r="2605" spans="1:16">
      <c r="A2605" s="387" t="b">
        <f t="shared" ca="1" si="171"/>
        <v>0</v>
      </c>
      <c r="B2605" s="387"/>
      <c r="C2605" s="396" t="str">
        <f ca="1">IF(COUNTA(O$1610:O2605)=1,"",OFFSET(B2603,-COUNTA(O$1610:O2605)+3,1))</f>
        <v>a16Dm000000M3vsIAC</v>
      </c>
      <c r="D2605" s="392"/>
      <c r="E2605" s="389" t="str">
        <f ca="1">IFERROR(IF(VLOOKUP(C2605,' Disaggregation - Section E '!A$618:J3294,7,0)="","",VLOOKUP(C2605,' Disaggregation - Section E '!A$618:J3294,7,0)*100),"")</f>
        <v/>
      </c>
      <c r="F2605" s="391" t="str">
        <f ca="1">IFERROR(VLOOKUP(C2605,' Disaggregation - Section E '!A$618:J3294,5,0),"")</f>
        <v/>
      </c>
      <c r="G2605" s="390" t="str">
        <f ca="1">IFERROR(IF(VLOOKUP(C2605,' Disaggregation - Section E '!A$618:J3294,6,0)="","",VLOOKUP(C2605,' Disaggregation - Section E '!A$618:J3294,6,0)),"")</f>
        <v/>
      </c>
      <c r="H2605" s="390" t="str">
        <f ca="1">IFERROR(IF(INDEX(' Disaggregation - Section E '!F$618:F3294,MATCH(C2605,' Disaggregation - Section E '!A$618:A3294,0)+1,1)&lt;&gt;0,INDEX(' Disaggregation - Section E '!F$618:F3294,MATCH(C2605,' Disaggregation - Section E '!A$618:A3294,0)+1,1),""),"")</f>
        <v/>
      </c>
      <c r="I2605" s="391" t="str">
        <f ca="1">IFERROR(IF(VLOOKUP(C2605,' Disaggregation - Section E '!A$618:J3294,8,0)=0,"",VLOOKUP(C2605,' Disaggregation - Section E '!A$618:J3294,8,0)),"")</f>
        <v/>
      </c>
      <c r="J2605" s="391" t="str">
        <f ca="1">IFERROR(IF(VLOOKUP(C2605,' Disaggregation - Section E '!A$618:J3294,9,0)="","",VLOOKUP(C2605,' Disaggregation - Section E '!A$618:J3294,9,0)),"")</f>
        <v/>
      </c>
      <c r="K2605" s="387" t="str">
        <f ca="1">IFERROR(VLOOKUP(C2605,' Disaggregation - Section E '!A$618:J3294,3,0),"")</f>
        <v>KP-6b Number of transgender people who received any PrEP product at least once during the reporting period</v>
      </c>
      <c r="L2605" s="387"/>
      <c r="M2605" s="387" t="str">
        <f ca="1">IFERROR(IF(VLOOKUP(C2605,' Disaggregation - Section E '!A$618:O1617,15,0)=0,"",VLOOKUP(C2605,' Disaggregation - Section E '!A$618:O1617,15,0)),"")</f>
        <v/>
      </c>
      <c r="N2605" s="391" t="str">
        <f ca="1">IFERROR(IF(VLOOKUP(C2605,' Disaggregation - Section E '!A$618:J3294,10,0)=0,"",VLOOKUP(C2605,' Disaggregation - Section E '!A$618:J3294,10,0)),"")</f>
        <v/>
      </c>
      <c r="O2605" s="387"/>
      <c r="P2605" s="387" t="str">
        <f ca="1">IFERROR(IF(VLOOKUP(C2605,' Disaggregation - Section E '!A$618:R1617,18,0)=0,"",VLOOKUP(C2605,' Disaggregation - Section E '!A$618:R1617,18,0)),"")</f>
        <v/>
      </c>
    </row>
    <row r="2606" spans="1:16">
      <c r="A2606" s="387" t="b">
        <f t="shared" ca="1" si="171"/>
        <v>0</v>
      </c>
      <c r="B2606" s="387"/>
      <c r="C2606" s="396" t="str">
        <f ca="1">IF(COUNTA(O$1610:O2606)=1,"",OFFSET(B2604,-COUNTA(O$1610:O2606)+3,1))</f>
        <v>a16Dm000000M3vtIAC</v>
      </c>
      <c r="D2606" s="392"/>
      <c r="E2606" s="389" t="str">
        <f ca="1">IFERROR(IF(VLOOKUP(C2606,' Disaggregation - Section E '!A$618:J3295,7,0)="","",VLOOKUP(C2606,' Disaggregation - Section E '!A$618:J3295,7,0)*100),"")</f>
        <v/>
      </c>
      <c r="F2606" s="391" t="str">
        <f ca="1">IFERROR(VLOOKUP(C2606,' Disaggregation - Section E '!A$618:J3295,5,0),"")</f>
        <v/>
      </c>
      <c r="G2606" s="390" t="str">
        <f ca="1">IFERROR(IF(VLOOKUP(C2606,' Disaggregation - Section E '!A$618:J3295,6,0)="","",VLOOKUP(C2606,' Disaggregation - Section E '!A$618:J3295,6,0)),"")</f>
        <v/>
      </c>
      <c r="H2606" s="390" t="str">
        <f ca="1">IFERROR(IF(INDEX(' Disaggregation - Section E '!F$618:F3295,MATCH(C2606,' Disaggregation - Section E '!A$618:A3295,0)+1,1)&lt;&gt;0,INDEX(' Disaggregation - Section E '!F$618:F3295,MATCH(C2606,' Disaggregation - Section E '!A$618:A3295,0)+1,1),""),"")</f>
        <v/>
      </c>
      <c r="I2606" s="391" t="str">
        <f ca="1">IFERROR(IF(VLOOKUP(C2606,' Disaggregation - Section E '!A$618:J3295,8,0)=0,"",VLOOKUP(C2606,' Disaggregation - Section E '!A$618:J3295,8,0)),"")</f>
        <v/>
      </c>
      <c r="J2606" s="391" t="str">
        <f ca="1">IFERROR(IF(VLOOKUP(C2606,' Disaggregation - Section E '!A$618:J3295,9,0)="","",VLOOKUP(C2606,' Disaggregation - Section E '!A$618:J3295,9,0)),"")</f>
        <v/>
      </c>
      <c r="K2606" s="387" t="str">
        <f ca="1">IFERROR(VLOOKUP(C2606,' Disaggregation - Section E '!A$618:J3295,3,0),"")</f>
        <v>KP-6b Number of transgender people who received any PrEP product at least once during the reporting period</v>
      </c>
      <c r="L2606" s="387"/>
      <c r="M2606" s="387" t="str">
        <f ca="1">IFERROR(IF(VLOOKUP(C2606,' Disaggregation - Section E '!A$618:O1618,15,0)=0,"",VLOOKUP(C2606,' Disaggregation - Section E '!A$618:O1618,15,0)),"")</f>
        <v/>
      </c>
      <c r="N2606" s="391" t="str">
        <f ca="1">IFERROR(IF(VLOOKUP(C2606,' Disaggregation - Section E '!A$618:J3295,10,0)=0,"",VLOOKUP(C2606,' Disaggregation - Section E '!A$618:J3295,10,0)),"")</f>
        <v/>
      </c>
      <c r="O2606" s="387"/>
      <c r="P2606" s="387" t="str">
        <f ca="1">IFERROR(IF(VLOOKUP(C2606,' Disaggregation - Section E '!A$618:R1618,18,0)=0,"",VLOOKUP(C2606,' Disaggregation - Section E '!A$618:R1618,18,0)),"")</f>
        <v/>
      </c>
    </row>
    <row r="2607" spans="1:16">
      <c r="A2607" s="387" t="b">
        <f t="shared" ca="1" si="171"/>
        <v>0</v>
      </c>
      <c r="B2607" s="387"/>
      <c r="C2607" s="396" t="str">
        <f ca="1">IF(COUNTA(O$1610:O2607)=1,"",OFFSET(B2605,-COUNTA(O$1610:O2607)+3,1))</f>
        <v>a16Dm000000M3vuIAC</v>
      </c>
      <c r="D2607" s="392"/>
      <c r="E2607" s="389" t="str">
        <f ca="1">IFERROR(IF(VLOOKUP(C2607,' Disaggregation - Section E '!A$618:J3296,7,0)="","",VLOOKUP(C2607,' Disaggregation - Section E '!A$618:J3296,7,0)*100),"")</f>
        <v/>
      </c>
      <c r="F2607" s="391" t="str">
        <f ca="1">IFERROR(VLOOKUP(C2607,' Disaggregation - Section E '!A$618:J3296,5,0),"")</f>
        <v/>
      </c>
      <c r="G2607" s="390" t="str">
        <f ca="1">IFERROR(IF(VLOOKUP(C2607,' Disaggregation - Section E '!A$618:J3296,6,0)="","",VLOOKUP(C2607,' Disaggregation - Section E '!A$618:J3296,6,0)),"")</f>
        <v/>
      </c>
      <c r="H2607" s="390" t="str">
        <f ca="1">IFERROR(IF(INDEX(' Disaggregation - Section E '!F$618:F3296,MATCH(C2607,' Disaggregation - Section E '!A$618:A3296,0)+1,1)&lt;&gt;0,INDEX(' Disaggregation - Section E '!F$618:F3296,MATCH(C2607,' Disaggregation - Section E '!A$618:A3296,0)+1,1),""),"")</f>
        <v/>
      </c>
      <c r="I2607" s="391" t="str">
        <f ca="1">IFERROR(IF(VLOOKUP(C2607,' Disaggregation - Section E '!A$618:J3296,8,0)=0,"",VLOOKUP(C2607,' Disaggregation - Section E '!A$618:J3296,8,0)),"")</f>
        <v/>
      </c>
      <c r="J2607" s="391" t="str">
        <f ca="1">IFERROR(IF(VLOOKUP(C2607,' Disaggregation - Section E '!A$618:J3296,9,0)="","",VLOOKUP(C2607,' Disaggregation - Section E '!A$618:J3296,9,0)),"")</f>
        <v/>
      </c>
      <c r="K2607" s="387" t="str">
        <f ca="1">IFERROR(VLOOKUP(C2607,' Disaggregation - Section E '!A$618:J3296,3,0),"")</f>
        <v>KP-6b Number of transgender people who received any PrEP product at least once during the reporting period</v>
      </c>
      <c r="L2607" s="387"/>
      <c r="M2607" s="387" t="str">
        <f ca="1">IFERROR(IF(VLOOKUP(C2607,' Disaggregation - Section E '!A$618:O1619,15,0)=0,"",VLOOKUP(C2607,' Disaggregation - Section E '!A$618:O1619,15,0)),"")</f>
        <v/>
      </c>
      <c r="N2607" s="391" t="str">
        <f ca="1">IFERROR(IF(VLOOKUP(C2607,' Disaggregation - Section E '!A$618:J3296,10,0)=0,"",VLOOKUP(C2607,' Disaggregation - Section E '!A$618:J3296,10,0)),"")</f>
        <v/>
      </c>
      <c r="O2607" s="387"/>
      <c r="P2607" s="387" t="str">
        <f ca="1">IFERROR(IF(VLOOKUP(C2607,' Disaggregation - Section E '!A$618:R1619,18,0)=0,"",VLOOKUP(C2607,' Disaggregation - Section E '!A$618:R1619,18,0)),"")</f>
        <v/>
      </c>
    </row>
    <row r="2608" spans="1:16">
      <c r="A2608" s="387" t="b">
        <f t="shared" ca="1" si="171"/>
        <v>0</v>
      </c>
      <c r="B2608" s="387"/>
      <c r="C2608" s="396" t="str">
        <f ca="1">IF(COUNTA(O$1610:O2608)=1,"",OFFSET(B2606,-COUNTA(O$1610:O2608)+3,1))</f>
        <v>a16Dm000000M3vvIAC</v>
      </c>
      <c r="D2608" s="392"/>
      <c r="E2608" s="389" t="str">
        <f ca="1">IFERROR(IF(VLOOKUP(C2608,' Disaggregation - Section E '!A$618:J3297,7,0)="","",VLOOKUP(C2608,' Disaggregation - Section E '!A$618:J3297,7,0)*100),"")</f>
        <v/>
      </c>
      <c r="F2608" s="391" t="str">
        <f ca="1">IFERROR(VLOOKUP(C2608,' Disaggregation - Section E '!A$618:J3297,5,0),"")</f>
        <v/>
      </c>
      <c r="G2608" s="390" t="str">
        <f ca="1">IFERROR(IF(VLOOKUP(C2608,' Disaggregation - Section E '!A$618:J3297,6,0)="","",VLOOKUP(C2608,' Disaggregation - Section E '!A$618:J3297,6,0)),"")</f>
        <v/>
      </c>
      <c r="H2608" s="390" t="str">
        <f ca="1">IFERROR(IF(INDEX(' Disaggregation - Section E '!F$618:F3297,MATCH(C2608,' Disaggregation - Section E '!A$618:A3297,0)+1,1)&lt;&gt;0,INDEX(' Disaggregation - Section E '!F$618:F3297,MATCH(C2608,' Disaggregation - Section E '!A$618:A3297,0)+1,1),""),"")</f>
        <v/>
      </c>
      <c r="I2608" s="391" t="str">
        <f ca="1">IFERROR(IF(VLOOKUP(C2608,' Disaggregation - Section E '!A$618:J3297,8,0)=0,"",VLOOKUP(C2608,' Disaggregation - Section E '!A$618:J3297,8,0)),"")</f>
        <v/>
      </c>
      <c r="J2608" s="391" t="str">
        <f ca="1">IFERROR(IF(VLOOKUP(C2608,' Disaggregation - Section E '!A$618:J3297,9,0)="","",VLOOKUP(C2608,' Disaggregation - Section E '!A$618:J3297,9,0)),"")</f>
        <v/>
      </c>
      <c r="K2608" s="387" t="str">
        <f ca="1">IFERROR(VLOOKUP(C2608,' Disaggregation - Section E '!A$618:J3297,3,0),"")</f>
        <v>KP-6b Number of transgender people who received any PrEP product at least once during the reporting period</v>
      </c>
      <c r="L2608" s="387"/>
      <c r="M2608" s="387" t="str">
        <f ca="1">IFERROR(IF(VLOOKUP(C2608,' Disaggregation - Section E '!A$618:O1620,15,0)=0,"",VLOOKUP(C2608,' Disaggregation - Section E '!A$618:O1620,15,0)),"")</f>
        <v/>
      </c>
      <c r="N2608" s="391" t="str">
        <f ca="1">IFERROR(IF(VLOOKUP(C2608,' Disaggregation - Section E '!A$618:J3297,10,0)=0,"",VLOOKUP(C2608,' Disaggregation - Section E '!A$618:J3297,10,0)),"")</f>
        <v/>
      </c>
      <c r="O2608" s="387"/>
      <c r="P2608" s="387" t="str">
        <f ca="1">IFERROR(IF(VLOOKUP(C2608,' Disaggregation - Section E '!A$618:R1620,18,0)=0,"",VLOOKUP(C2608,' Disaggregation - Section E '!A$618:R1620,18,0)),"")</f>
        <v/>
      </c>
    </row>
    <row r="2609" spans="1:16">
      <c r="A2609" s="387" t="b">
        <f t="shared" ca="1" si="171"/>
        <v>0</v>
      </c>
      <c r="B2609" s="387"/>
      <c r="C2609" s="396" t="str">
        <f ca="1">IF(COUNTA(O$1610:O2609)=1,"",OFFSET(B2607,-COUNTA(O$1610:O2609)+3,1))</f>
        <v>a16Dm000000M3vwIAC</v>
      </c>
      <c r="D2609" s="392"/>
      <c r="E2609" s="389" t="str">
        <f ca="1">IFERROR(IF(VLOOKUP(C2609,' Disaggregation - Section E '!A$618:J3298,7,0)="","",VLOOKUP(C2609,' Disaggregation - Section E '!A$618:J3298,7,0)*100),"")</f>
        <v/>
      </c>
      <c r="F2609" s="391" t="str">
        <f ca="1">IFERROR(VLOOKUP(C2609,' Disaggregation - Section E '!A$618:J3298,5,0),"")</f>
        <v/>
      </c>
      <c r="G2609" s="390" t="str">
        <f ca="1">IFERROR(IF(VLOOKUP(C2609,' Disaggregation - Section E '!A$618:J3298,6,0)="","",VLOOKUP(C2609,' Disaggregation - Section E '!A$618:J3298,6,0)),"")</f>
        <v/>
      </c>
      <c r="H2609" s="390" t="str">
        <f ca="1">IFERROR(IF(INDEX(' Disaggregation - Section E '!F$618:F3298,MATCH(C2609,' Disaggregation - Section E '!A$618:A3298,0)+1,1)&lt;&gt;0,INDEX(' Disaggregation - Section E '!F$618:F3298,MATCH(C2609,' Disaggregation - Section E '!A$618:A3298,0)+1,1),""),"")</f>
        <v/>
      </c>
      <c r="I2609" s="391" t="str">
        <f ca="1">IFERROR(IF(VLOOKUP(C2609,' Disaggregation - Section E '!A$618:J3298,8,0)=0,"",VLOOKUP(C2609,' Disaggregation - Section E '!A$618:J3298,8,0)),"")</f>
        <v/>
      </c>
      <c r="J2609" s="391" t="str">
        <f ca="1">IFERROR(IF(VLOOKUP(C2609,' Disaggregation - Section E '!A$618:J3298,9,0)="","",VLOOKUP(C2609,' Disaggregation - Section E '!A$618:J3298,9,0)),"")</f>
        <v/>
      </c>
      <c r="K2609" s="387" t="str">
        <f ca="1">IFERROR(VLOOKUP(C2609,' Disaggregation - Section E '!A$618:J3298,3,0),"")</f>
        <v>KP-6b Number of transgender people who received any PrEP product at least once during the reporting period</v>
      </c>
      <c r="L2609" s="387"/>
      <c r="M2609" s="387" t="str">
        <f ca="1">IFERROR(IF(VLOOKUP(C2609,' Disaggregation - Section E '!A$618:O1621,15,0)=0,"",VLOOKUP(C2609,' Disaggregation - Section E '!A$618:O1621,15,0)),"")</f>
        <v/>
      </c>
      <c r="N2609" s="391" t="str">
        <f ca="1">IFERROR(IF(VLOOKUP(C2609,' Disaggregation - Section E '!A$618:J3298,10,0)=0,"",VLOOKUP(C2609,' Disaggregation - Section E '!A$618:J3298,10,0)),"")</f>
        <v/>
      </c>
      <c r="O2609" s="387"/>
      <c r="P2609" s="387" t="str">
        <f ca="1">IFERROR(IF(VLOOKUP(C2609,' Disaggregation - Section E '!A$618:R1621,18,0)=0,"",VLOOKUP(C2609,' Disaggregation - Section E '!A$618:R1621,18,0)),"")</f>
        <v/>
      </c>
    </row>
    <row r="2610" spans="1:16">
      <c r="A2610" s="387" t="b">
        <f t="shared" ca="1" si="171"/>
        <v>0</v>
      </c>
      <c r="B2610" s="387"/>
      <c r="C2610" s="396" t="str">
        <f ca="1">IF(COUNTA(O$1610:O2610)=1,"",OFFSET(B2608,-COUNTA(O$1610:O2610)+3,1))</f>
        <v>a16Dm000000M3vxIAC</v>
      </c>
      <c r="D2610" s="392"/>
      <c r="E2610" s="389" t="str">
        <f ca="1">IFERROR(IF(VLOOKUP(C2610,' Disaggregation - Section E '!A$618:J3299,7,0)="","",VLOOKUP(C2610,' Disaggregation - Section E '!A$618:J3299,7,0)*100),"")</f>
        <v/>
      </c>
      <c r="F2610" s="391" t="str">
        <f ca="1">IFERROR(VLOOKUP(C2610,' Disaggregation - Section E '!A$618:J3299,5,0),"")</f>
        <v/>
      </c>
      <c r="G2610" s="390" t="str">
        <f ca="1">IFERROR(IF(VLOOKUP(C2610,' Disaggregation - Section E '!A$618:J3299,6,0)="","",VLOOKUP(C2610,' Disaggregation - Section E '!A$618:J3299,6,0)),"")</f>
        <v/>
      </c>
      <c r="H2610" s="390" t="str">
        <f ca="1">IFERROR(IF(INDEX(' Disaggregation - Section E '!F$618:F3299,MATCH(C2610,' Disaggregation - Section E '!A$618:A3299,0)+1,1)&lt;&gt;0,INDEX(' Disaggregation - Section E '!F$618:F3299,MATCH(C2610,' Disaggregation - Section E '!A$618:A3299,0)+1,1),""),"")</f>
        <v/>
      </c>
      <c r="I2610" s="391" t="str">
        <f ca="1">IFERROR(IF(VLOOKUP(C2610,' Disaggregation - Section E '!A$618:J3299,8,0)=0,"",VLOOKUP(C2610,' Disaggregation - Section E '!A$618:J3299,8,0)),"")</f>
        <v/>
      </c>
      <c r="J2610" s="391" t="str">
        <f ca="1">IFERROR(IF(VLOOKUP(C2610,' Disaggregation - Section E '!A$618:J3299,9,0)="","",VLOOKUP(C2610,' Disaggregation - Section E '!A$618:J3299,9,0)),"")</f>
        <v/>
      </c>
      <c r="K2610" s="387" t="str">
        <f ca="1">IFERROR(VLOOKUP(C2610,' Disaggregation - Section E '!A$618:J3299,3,0),"")</f>
        <v>KP-6b Number of transgender people who received any PrEP product at least once during the reporting period</v>
      </c>
      <c r="L2610" s="387"/>
      <c r="M2610" s="387" t="str">
        <f ca="1">IFERROR(IF(VLOOKUP(C2610,' Disaggregation - Section E '!A$618:O1622,15,0)=0,"",VLOOKUP(C2610,' Disaggregation - Section E '!A$618:O1622,15,0)),"")</f>
        <v/>
      </c>
      <c r="N2610" s="391" t="str">
        <f ca="1">IFERROR(IF(VLOOKUP(C2610,' Disaggregation - Section E '!A$618:J3299,10,0)=0,"",VLOOKUP(C2610,' Disaggregation - Section E '!A$618:J3299,10,0)),"")</f>
        <v/>
      </c>
      <c r="O2610" s="387"/>
      <c r="P2610" s="387" t="str">
        <f ca="1">IFERROR(IF(VLOOKUP(C2610,' Disaggregation - Section E '!A$618:R1622,18,0)=0,"",VLOOKUP(C2610,' Disaggregation - Section E '!A$618:R1622,18,0)),"")</f>
        <v/>
      </c>
    </row>
    <row r="2611" spans="1:16">
      <c r="A2611" s="387" t="b">
        <f t="shared" ca="1" si="171"/>
        <v>0</v>
      </c>
      <c r="B2611" s="387"/>
      <c r="C2611" s="396" t="str">
        <f ca="1">IF(COUNTA(O$1610:O2611)=1,"",OFFSET(B2609,-COUNTA(O$1610:O2611)+3,1))</f>
        <v>a16Dm000000M3vyIAC</v>
      </c>
      <c r="D2611" s="392"/>
      <c r="E2611" s="389" t="str">
        <f ca="1">IFERROR(IF(VLOOKUP(C2611,' Disaggregation - Section E '!A$618:J3300,7,0)="","",VLOOKUP(C2611,' Disaggregation - Section E '!A$618:J3300,7,0)*100),"")</f>
        <v/>
      </c>
      <c r="F2611" s="391" t="str">
        <f ca="1">IFERROR(VLOOKUP(C2611,' Disaggregation - Section E '!A$618:J3300,5,0),"")</f>
        <v/>
      </c>
      <c r="G2611" s="390" t="str">
        <f ca="1">IFERROR(IF(VLOOKUP(C2611,' Disaggregation - Section E '!A$618:J3300,6,0)="","",VLOOKUP(C2611,' Disaggregation - Section E '!A$618:J3300,6,0)),"")</f>
        <v/>
      </c>
      <c r="H2611" s="390" t="str">
        <f ca="1">IFERROR(IF(INDEX(' Disaggregation - Section E '!F$618:F3300,MATCH(C2611,' Disaggregation - Section E '!A$618:A3300,0)+1,1)&lt;&gt;0,INDEX(' Disaggregation - Section E '!F$618:F3300,MATCH(C2611,' Disaggregation - Section E '!A$618:A3300,0)+1,1),""),"")</f>
        <v/>
      </c>
      <c r="I2611" s="391" t="str">
        <f ca="1">IFERROR(IF(VLOOKUP(C2611,' Disaggregation - Section E '!A$618:J3300,8,0)=0,"",VLOOKUP(C2611,' Disaggregation - Section E '!A$618:J3300,8,0)),"")</f>
        <v/>
      </c>
      <c r="J2611" s="391" t="str">
        <f ca="1">IFERROR(IF(VLOOKUP(C2611,' Disaggregation - Section E '!A$618:J3300,9,0)="","",VLOOKUP(C2611,' Disaggregation - Section E '!A$618:J3300,9,0)),"")</f>
        <v/>
      </c>
      <c r="K2611" s="387" t="str">
        <f ca="1">IFERROR(VLOOKUP(C2611,' Disaggregation - Section E '!A$618:J3300,3,0),"")</f>
        <v>KP-6b Number of transgender people who received any PrEP product at least once during the reporting period</v>
      </c>
      <c r="L2611" s="387"/>
      <c r="M2611" s="387" t="str">
        <f ca="1">IFERROR(IF(VLOOKUP(C2611,' Disaggregation - Section E '!A$618:O1623,15,0)=0,"",VLOOKUP(C2611,' Disaggregation - Section E '!A$618:O1623,15,0)),"")</f>
        <v/>
      </c>
      <c r="N2611" s="391" t="str">
        <f ca="1">IFERROR(IF(VLOOKUP(C2611,' Disaggregation - Section E '!A$618:J3300,10,0)=0,"",VLOOKUP(C2611,' Disaggregation - Section E '!A$618:J3300,10,0)),"")</f>
        <v/>
      </c>
      <c r="O2611" s="387"/>
      <c r="P2611" s="387" t="str">
        <f ca="1">IFERROR(IF(VLOOKUP(C2611,' Disaggregation - Section E '!A$618:R1623,18,0)=0,"",VLOOKUP(C2611,' Disaggregation - Section E '!A$618:R1623,18,0)),"")</f>
        <v/>
      </c>
    </row>
    <row r="2612" spans="1:16">
      <c r="A2612" s="387" t="b">
        <f t="shared" ca="1" si="171"/>
        <v>1</v>
      </c>
      <c r="B2612" s="387"/>
      <c r="C2612" s="396" t="str">
        <f ca="1">IF(COUNTA(O$1610:O2612)=1,"",OFFSET(B2610,-COUNTA(O$1610:O2612)+3,1))</f>
        <v>a16Dm000000M3vzIAC</v>
      </c>
      <c r="D2612" s="392"/>
      <c r="E2612" s="389" t="str">
        <f ca="1">IFERROR(IF(VLOOKUP(C2612,' Disaggregation - Section E '!A$618:J3301,7,0)="","",VLOOKUP(C2612,' Disaggregation - Section E '!A$618:J3301,7,0)*100),"")</f>
        <v/>
      </c>
      <c r="F2612" s="391" t="str">
        <f ca="1">IFERROR(VLOOKUP(C2612,' Disaggregation - Section E '!A$618:J3301,5,0),"")</f>
        <v>25+</v>
      </c>
      <c r="G2612" s="390" t="str">
        <f ca="1">IFERROR(IF(VLOOKUP(C2612,' Disaggregation - Section E '!A$618:J3301,6,0)="","",VLOOKUP(C2612,' Disaggregation - Section E '!A$618:J3301,6,0)),"")</f>
        <v/>
      </c>
      <c r="H2612" s="390" t="str">
        <f ca="1">IFERROR(IF(INDEX(' Disaggregation - Section E '!F$618:F3301,MATCH(C2612,' Disaggregation - Section E '!A$618:A3301,0)+1,1)&lt;&gt;0,INDEX(' Disaggregation - Section E '!F$618:F3301,MATCH(C2612,' Disaggregation - Section E '!A$618:A3301,0)+1,1),""),"")</f>
        <v/>
      </c>
      <c r="I2612" s="391" t="str">
        <f ca="1">IFERROR(IF(VLOOKUP(C2612,' Disaggregation - Section E '!A$618:J3301,8,0)=0,"",VLOOKUP(C2612,' Disaggregation - Section E '!A$618:J3301,8,0)),"")</f>
        <v/>
      </c>
      <c r="J2612" s="391" t="str">
        <f ca="1">IFERROR(IF(VLOOKUP(C2612,' Disaggregation - Section E '!A$618:J3301,9,0)="","",VLOOKUP(C2612,' Disaggregation - Section E '!A$618:J3301,9,0)),"")</f>
        <v/>
      </c>
      <c r="K2612" s="387" t="str">
        <f ca="1">IFERROR(VLOOKUP(C2612,' Disaggregation - Section E '!A$618:J3301,3,0),"")</f>
        <v>KP-1d Percentage of people who inject drugs reached with HIV prevention programs - defined package of services</v>
      </c>
      <c r="L2612" s="387"/>
      <c r="M2612" s="387" t="str">
        <f ca="1">IFERROR(IF(VLOOKUP(C2612,' Disaggregation - Section E '!A$618:O1624,15,0)=0,"",VLOOKUP(C2612,' Disaggregation - Section E '!A$618:O1624,15,0)),"")</f>
        <v>IDR-01224</v>
      </c>
      <c r="N2612" s="391" t="str">
        <f ca="1">IFERROR(IF(VLOOKUP(C2612,' Disaggregation - Section E '!A$618:J3301,10,0)=0,"",VLOOKUP(C2612,' Disaggregation - Section E '!A$618:J3301,10,0)),"")</f>
        <v>Disaggregated data not available. The activity will be taken into account from 2024 onwards</v>
      </c>
      <c r="O2612" s="387"/>
      <c r="P2612" s="387" t="str">
        <f ca="1">IFERROR(IF(VLOOKUP(C2612,' Disaggregation - Section E '!A$618:R1624,18,0)=0,"",VLOOKUP(C2612,' Disaggregation - Section E '!A$618:R1624,18,0)),"")</f>
        <v>a1LDm000000Cb2UMAS</v>
      </c>
    </row>
    <row r="2613" spans="1:16">
      <c r="A2613" s="387" t="b">
        <f t="shared" ca="1" si="171"/>
        <v>1</v>
      </c>
      <c r="B2613" s="387"/>
      <c r="C2613" s="396" t="str">
        <f ca="1">IF(COUNTA(O$1610:O2613)=1,"",OFFSET(B2611,-COUNTA(O$1610:O2613)+3,1))</f>
        <v>a16Dm000000M3w0IAC</v>
      </c>
      <c r="D2613" s="392"/>
      <c r="E2613" s="389" t="str">
        <f ca="1">IFERROR(IF(VLOOKUP(C2613,' Disaggregation - Section E '!A$618:J3302,7,0)="","",VLOOKUP(C2613,' Disaggregation - Section E '!A$618:J3302,7,0)*100),"")</f>
        <v/>
      </c>
      <c r="F2613" s="391" t="str">
        <f ca="1">IFERROR(VLOOKUP(C2613,' Disaggregation - Section E '!A$618:J3302,5,0),"")</f>
        <v>20-24</v>
      </c>
      <c r="G2613" s="390" t="str">
        <f ca="1">IFERROR(IF(VLOOKUP(C2613,' Disaggregation - Section E '!A$618:J3302,6,0)="","",VLOOKUP(C2613,' Disaggregation - Section E '!A$618:J3302,6,0)),"")</f>
        <v/>
      </c>
      <c r="H2613" s="390" t="str">
        <f ca="1">IFERROR(IF(INDEX(' Disaggregation - Section E '!F$618:F3302,MATCH(C2613,' Disaggregation - Section E '!A$618:A3302,0)+1,1)&lt;&gt;0,INDEX(' Disaggregation - Section E '!F$618:F3302,MATCH(C2613,' Disaggregation - Section E '!A$618:A3302,0)+1,1),""),"")</f>
        <v/>
      </c>
      <c r="I2613" s="391" t="str">
        <f ca="1">IFERROR(IF(VLOOKUP(C2613,' Disaggregation - Section E '!A$618:J3302,8,0)=0,"",VLOOKUP(C2613,' Disaggregation - Section E '!A$618:J3302,8,0)),"")</f>
        <v/>
      </c>
      <c r="J2613" s="391" t="str">
        <f ca="1">IFERROR(IF(VLOOKUP(C2613,' Disaggregation - Section E '!A$618:J3302,9,0)="","",VLOOKUP(C2613,' Disaggregation - Section E '!A$618:J3302,9,0)),"")</f>
        <v/>
      </c>
      <c r="K2613" s="387" t="str">
        <f ca="1">IFERROR(VLOOKUP(C2613,' Disaggregation - Section E '!A$618:J3302,3,0),"")</f>
        <v>KP-1d Percentage of people who inject drugs reached with HIV prevention programs - defined package of services</v>
      </c>
      <c r="L2613" s="387"/>
      <c r="M2613" s="387" t="str">
        <f ca="1">IFERROR(IF(VLOOKUP(C2613,' Disaggregation - Section E '!A$618:O1625,15,0)=0,"",VLOOKUP(C2613,' Disaggregation - Section E '!A$618:O1625,15,0)),"")</f>
        <v>IDR-01223</v>
      </c>
      <c r="N2613" s="391" t="str">
        <f ca="1">IFERROR(IF(VLOOKUP(C2613,' Disaggregation - Section E '!A$618:J3302,10,0)=0,"",VLOOKUP(C2613,' Disaggregation - Section E '!A$618:J3302,10,0)),"")</f>
        <v>Disaggregated data not available. The activity will be taken into account from 2024 onwards</v>
      </c>
      <c r="O2613" s="387"/>
      <c r="P2613" s="387" t="str">
        <f ca="1">IFERROR(IF(VLOOKUP(C2613,' Disaggregation - Section E '!A$618:R1625,18,0)=0,"",VLOOKUP(C2613,' Disaggregation - Section E '!A$618:R1625,18,0)),"")</f>
        <v>a1LDm000000Cb2TMAS</v>
      </c>
    </row>
    <row r="2614" spans="1:16">
      <c r="A2614" s="387" t="b">
        <f t="shared" ca="1" si="171"/>
        <v>1</v>
      </c>
      <c r="B2614" s="387"/>
      <c r="C2614" s="396" t="str">
        <f ca="1">IF(COUNTA(O$1610:O2614)=1,"",OFFSET(B2612,-COUNTA(O$1610:O2614)+3,1))</f>
        <v>a16Dm000000M3w1IAC</v>
      </c>
      <c r="D2614" s="392"/>
      <c r="E2614" s="389" t="str">
        <f ca="1">IFERROR(IF(VLOOKUP(C2614,' Disaggregation - Section E '!A$618:J3303,7,0)="","",VLOOKUP(C2614,' Disaggregation - Section E '!A$618:J3303,7,0)*100),"")</f>
        <v/>
      </c>
      <c r="F2614" s="391" t="str">
        <f ca="1">IFERROR(VLOOKUP(C2614,' Disaggregation - Section E '!A$618:J3303,5,0),"")</f>
        <v>15-19</v>
      </c>
      <c r="G2614" s="390" t="str">
        <f ca="1">IFERROR(IF(VLOOKUP(C2614,' Disaggregation - Section E '!A$618:J3303,6,0)="","",VLOOKUP(C2614,' Disaggregation - Section E '!A$618:J3303,6,0)),"")</f>
        <v/>
      </c>
      <c r="H2614" s="390" t="str">
        <f ca="1">IFERROR(IF(INDEX(' Disaggregation - Section E '!F$618:F3303,MATCH(C2614,' Disaggregation - Section E '!A$618:A3303,0)+1,1)&lt;&gt;0,INDEX(' Disaggregation - Section E '!F$618:F3303,MATCH(C2614,' Disaggregation - Section E '!A$618:A3303,0)+1,1),""),"")</f>
        <v/>
      </c>
      <c r="I2614" s="391" t="str">
        <f ca="1">IFERROR(IF(VLOOKUP(C2614,' Disaggregation - Section E '!A$618:J3303,8,0)=0,"",VLOOKUP(C2614,' Disaggregation - Section E '!A$618:J3303,8,0)),"")</f>
        <v/>
      </c>
      <c r="J2614" s="391" t="str">
        <f ca="1">IFERROR(IF(VLOOKUP(C2614,' Disaggregation - Section E '!A$618:J3303,9,0)="","",VLOOKUP(C2614,' Disaggregation - Section E '!A$618:J3303,9,0)),"")</f>
        <v/>
      </c>
      <c r="K2614" s="387" t="str">
        <f ca="1">IFERROR(VLOOKUP(C2614,' Disaggregation - Section E '!A$618:J3303,3,0),"")</f>
        <v>KP-1d Percentage of people who inject drugs reached with HIV prevention programs - defined package of services</v>
      </c>
      <c r="L2614" s="387"/>
      <c r="M2614" s="387" t="str">
        <f ca="1">IFERROR(IF(VLOOKUP(C2614,' Disaggregation - Section E '!A$618:O1626,15,0)=0,"",VLOOKUP(C2614,' Disaggregation - Section E '!A$618:O1626,15,0)),"")</f>
        <v>IDR-01222</v>
      </c>
      <c r="N2614" s="391" t="str">
        <f ca="1">IFERROR(IF(VLOOKUP(C2614,' Disaggregation - Section E '!A$618:J3303,10,0)=0,"",VLOOKUP(C2614,' Disaggregation - Section E '!A$618:J3303,10,0)),"")</f>
        <v>Disaggregated data not available. The activity will be taken into account from 2024 onwards</v>
      </c>
      <c r="O2614" s="387"/>
      <c r="P2614" s="387" t="str">
        <f ca="1">IFERROR(IF(VLOOKUP(C2614,' Disaggregation - Section E '!A$618:R1626,18,0)=0,"",VLOOKUP(C2614,' Disaggregation - Section E '!A$618:R1626,18,0)),"")</f>
        <v>a1LDm000000Cb2SMAS</v>
      </c>
    </row>
    <row r="2615" spans="1:16">
      <c r="A2615" s="387" t="b">
        <f t="shared" ca="1" si="171"/>
        <v>1</v>
      </c>
      <c r="B2615" s="387"/>
      <c r="C2615" s="396" t="str">
        <f ca="1">IF(COUNTA(O$1610:O2615)=1,"",OFFSET(B2613,-COUNTA(O$1610:O2615)+3,1))</f>
        <v>a16Dm000000M3w2IAC</v>
      </c>
      <c r="D2615" s="392"/>
      <c r="E2615" s="389" t="str">
        <f ca="1">IFERROR(IF(VLOOKUP(C2615,' Disaggregation - Section E '!A$618:J3304,7,0)="","",VLOOKUP(C2615,' Disaggregation - Section E '!A$618:J3304,7,0)*100),"")</f>
        <v/>
      </c>
      <c r="F2615" s="391" t="str">
        <f ca="1">IFERROR(VLOOKUP(C2615,' Disaggregation - Section E '!A$618:J3304,5,0),"")</f>
        <v>Male</v>
      </c>
      <c r="G2615" s="390" t="str">
        <f ca="1">IFERROR(IF(VLOOKUP(C2615,' Disaggregation - Section E '!A$618:J3304,6,0)="","",VLOOKUP(C2615,' Disaggregation - Section E '!A$618:J3304,6,0)),"")</f>
        <v/>
      </c>
      <c r="H2615" s="390" t="str">
        <f ca="1">IFERROR(IF(INDEX(' Disaggregation - Section E '!F$618:F3304,MATCH(C2615,' Disaggregation - Section E '!A$618:A3304,0)+1,1)&lt;&gt;0,INDEX(' Disaggregation - Section E '!F$618:F3304,MATCH(C2615,' Disaggregation - Section E '!A$618:A3304,0)+1,1),""),"")</f>
        <v/>
      </c>
      <c r="I2615" s="391" t="str">
        <f ca="1">IFERROR(IF(VLOOKUP(C2615,' Disaggregation - Section E '!A$618:J3304,8,0)=0,"",VLOOKUP(C2615,' Disaggregation - Section E '!A$618:J3304,8,0)),"")</f>
        <v/>
      </c>
      <c r="J2615" s="391" t="str">
        <f ca="1">IFERROR(IF(VLOOKUP(C2615,' Disaggregation - Section E '!A$618:J3304,9,0)="","",VLOOKUP(C2615,' Disaggregation - Section E '!A$618:J3304,9,0)),"")</f>
        <v/>
      </c>
      <c r="K2615" s="387" t="str">
        <f ca="1">IFERROR(VLOOKUP(C2615,' Disaggregation - Section E '!A$618:J3304,3,0),"")</f>
        <v>KP-1d Percentage of people who inject drugs reached with HIV prevention programs - defined package of services</v>
      </c>
      <c r="L2615" s="387"/>
      <c r="M2615" s="387" t="str">
        <f ca="1">IFERROR(IF(VLOOKUP(C2615,' Disaggregation - Section E '!A$618:O1627,15,0)=0,"",VLOOKUP(C2615,' Disaggregation - Section E '!A$618:O1627,15,0)),"")</f>
        <v>IDR-01221</v>
      </c>
      <c r="N2615" s="391" t="str">
        <f ca="1">IFERROR(IF(VLOOKUP(C2615,' Disaggregation - Section E '!A$618:J3304,10,0)=0,"",VLOOKUP(C2615,' Disaggregation - Section E '!A$618:J3304,10,0)),"")</f>
        <v>Disaggregated data not available. The activity will be taken into account from 2024 onwards</v>
      </c>
      <c r="O2615" s="387"/>
      <c r="P2615" s="387" t="str">
        <f ca="1">IFERROR(IF(VLOOKUP(C2615,' Disaggregation - Section E '!A$618:R1627,18,0)=0,"",VLOOKUP(C2615,' Disaggregation - Section E '!A$618:R1627,18,0)),"")</f>
        <v>a1LDm000000Cb2RMAS</v>
      </c>
    </row>
    <row r="2616" spans="1:16">
      <c r="A2616" s="387" t="b">
        <f t="shared" ca="1" si="171"/>
        <v>1</v>
      </c>
      <c r="B2616" s="387"/>
      <c r="C2616" s="396" t="str">
        <f ca="1">IF(COUNTA(O$1610:O2616)=1,"",OFFSET(B2614,-COUNTA(O$1610:O2616)+3,1))</f>
        <v>a16Dm000000M3w3IAC</v>
      </c>
      <c r="D2616" s="392"/>
      <c r="E2616" s="389" t="str">
        <f ca="1">IFERROR(IF(VLOOKUP(C2616,' Disaggregation - Section E '!A$618:J3305,7,0)="","",VLOOKUP(C2616,' Disaggregation - Section E '!A$618:J3305,7,0)*100),"")</f>
        <v/>
      </c>
      <c r="F2616" s="391" t="str">
        <f ca="1">IFERROR(VLOOKUP(C2616,' Disaggregation - Section E '!A$618:J3305,5,0),"")</f>
        <v>Female</v>
      </c>
      <c r="G2616" s="390" t="str">
        <f ca="1">IFERROR(IF(VLOOKUP(C2616,' Disaggregation - Section E '!A$618:J3305,6,0)="","",VLOOKUP(C2616,' Disaggregation - Section E '!A$618:J3305,6,0)),"")</f>
        <v/>
      </c>
      <c r="H2616" s="390" t="str">
        <f ca="1">IFERROR(IF(INDEX(' Disaggregation - Section E '!F$618:F3305,MATCH(C2616,' Disaggregation - Section E '!A$618:A3305,0)+1,1)&lt;&gt;0,INDEX(' Disaggregation - Section E '!F$618:F3305,MATCH(C2616,' Disaggregation - Section E '!A$618:A3305,0)+1,1),""),"")</f>
        <v/>
      </c>
      <c r="I2616" s="391" t="str">
        <f ca="1">IFERROR(IF(VLOOKUP(C2616,' Disaggregation - Section E '!A$618:J3305,8,0)=0,"",VLOOKUP(C2616,' Disaggregation - Section E '!A$618:J3305,8,0)),"")</f>
        <v/>
      </c>
      <c r="J2616" s="391" t="str">
        <f ca="1">IFERROR(IF(VLOOKUP(C2616,' Disaggregation - Section E '!A$618:J3305,9,0)="","",VLOOKUP(C2616,' Disaggregation - Section E '!A$618:J3305,9,0)),"")</f>
        <v/>
      </c>
      <c r="K2616" s="387" t="str">
        <f ca="1">IFERROR(VLOOKUP(C2616,' Disaggregation - Section E '!A$618:J3305,3,0),"")</f>
        <v>KP-1d Percentage of people who inject drugs reached with HIV prevention programs - defined package of services</v>
      </c>
      <c r="L2616" s="387"/>
      <c r="M2616" s="387" t="str">
        <f ca="1">IFERROR(IF(VLOOKUP(C2616,' Disaggregation - Section E '!A$618:O1628,15,0)=0,"",VLOOKUP(C2616,' Disaggregation - Section E '!A$618:O1628,15,0)),"")</f>
        <v>IDR-01220</v>
      </c>
      <c r="N2616" s="391" t="str">
        <f ca="1">IFERROR(IF(VLOOKUP(C2616,' Disaggregation - Section E '!A$618:J3305,10,0)=0,"",VLOOKUP(C2616,' Disaggregation - Section E '!A$618:J3305,10,0)),"")</f>
        <v>Disaggregated data not available. The activity will be taken into account from 2024 onwards</v>
      </c>
      <c r="O2616" s="387"/>
      <c r="P2616" s="387" t="str">
        <f ca="1">IFERROR(IF(VLOOKUP(C2616,' Disaggregation - Section E '!A$618:R1628,18,0)=0,"",VLOOKUP(C2616,' Disaggregation - Section E '!A$618:R1628,18,0)),"")</f>
        <v>a1LDm000000Cb2QMAS</v>
      </c>
    </row>
    <row r="2617" spans="1:16">
      <c r="A2617" s="387" t="b">
        <f t="shared" ca="1" si="171"/>
        <v>0</v>
      </c>
      <c r="B2617" s="387"/>
      <c r="C2617" s="396" t="str">
        <f ca="1">IF(COUNTA(O$1610:O2617)=1,"",OFFSET(B2615,-COUNTA(O$1610:O2617)+3,1))</f>
        <v>a16Dm000000M3w4IAC</v>
      </c>
      <c r="D2617" s="392"/>
      <c r="E2617" s="389" t="str">
        <f ca="1">IFERROR(IF(VLOOKUP(C2617,' Disaggregation - Section E '!A$618:J3306,7,0)="","",VLOOKUP(C2617,' Disaggregation - Section E '!A$618:J3306,7,0)*100),"")</f>
        <v/>
      </c>
      <c r="F2617" s="391" t="str">
        <f ca="1">IFERROR(VLOOKUP(C2617,' Disaggregation - Section E '!A$618:J3306,5,0),"")</f>
        <v/>
      </c>
      <c r="G2617" s="390" t="str">
        <f ca="1">IFERROR(IF(VLOOKUP(C2617,' Disaggregation - Section E '!A$618:J3306,6,0)="","",VLOOKUP(C2617,' Disaggregation - Section E '!A$618:J3306,6,0)),"")</f>
        <v/>
      </c>
      <c r="H2617" s="390" t="str">
        <f ca="1">IFERROR(IF(INDEX(' Disaggregation - Section E '!F$618:F3306,MATCH(C2617,' Disaggregation - Section E '!A$618:A3306,0)+1,1)&lt;&gt;0,INDEX(' Disaggregation - Section E '!F$618:F3306,MATCH(C2617,' Disaggregation - Section E '!A$618:A3306,0)+1,1),""),"")</f>
        <v/>
      </c>
      <c r="I2617" s="391" t="str">
        <f ca="1">IFERROR(IF(VLOOKUP(C2617,' Disaggregation - Section E '!A$618:J3306,8,0)=0,"",VLOOKUP(C2617,' Disaggregation - Section E '!A$618:J3306,8,0)),"")</f>
        <v/>
      </c>
      <c r="J2617" s="391" t="str">
        <f ca="1">IFERROR(IF(VLOOKUP(C2617,' Disaggregation - Section E '!A$618:J3306,9,0)="","",VLOOKUP(C2617,' Disaggregation - Section E '!A$618:J3306,9,0)),"")</f>
        <v/>
      </c>
      <c r="K2617" s="387" t="str">
        <f ca="1">IFERROR(VLOOKUP(C2617,' Disaggregation - Section E '!A$618:J3306,3,0),"")</f>
        <v>KP-1d Percentage of people who inject drugs reached with HIV prevention programs - defined package of services</v>
      </c>
      <c r="L2617" s="387"/>
      <c r="M2617" s="387" t="str">
        <f ca="1">IFERROR(IF(VLOOKUP(C2617,' Disaggregation - Section E '!A$618:O1629,15,0)=0,"",VLOOKUP(C2617,' Disaggregation - Section E '!A$618:O1629,15,0)),"")</f>
        <v/>
      </c>
      <c r="N2617" s="391" t="str">
        <f ca="1">IFERROR(IF(VLOOKUP(C2617,' Disaggregation - Section E '!A$618:J3306,10,0)=0,"",VLOOKUP(C2617,' Disaggregation - Section E '!A$618:J3306,10,0)),"")</f>
        <v/>
      </c>
      <c r="O2617" s="387"/>
      <c r="P2617" s="387" t="str">
        <f ca="1">IFERROR(IF(VLOOKUP(C2617,' Disaggregation - Section E '!A$618:R1629,18,0)=0,"",VLOOKUP(C2617,' Disaggregation - Section E '!A$618:R1629,18,0)),"")</f>
        <v/>
      </c>
    </row>
    <row r="2618" spans="1:16">
      <c r="A2618" s="387" t="b">
        <f t="shared" ca="1" si="171"/>
        <v>0</v>
      </c>
      <c r="B2618" s="387"/>
      <c r="C2618" s="396" t="str">
        <f ca="1">IF(COUNTA(O$1610:O2618)=1,"",OFFSET(B2616,-COUNTA(O$1610:O2618)+3,1))</f>
        <v>a16Dm000000M3w5IAC</v>
      </c>
      <c r="D2618" s="392"/>
      <c r="E2618" s="389" t="str">
        <f ca="1">IFERROR(IF(VLOOKUP(C2618,' Disaggregation - Section E '!A$618:J3307,7,0)="","",VLOOKUP(C2618,' Disaggregation - Section E '!A$618:J3307,7,0)*100),"")</f>
        <v/>
      </c>
      <c r="F2618" s="391" t="str">
        <f ca="1">IFERROR(VLOOKUP(C2618,' Disaggregation - Section E '!A$618:J3307,5,0),"")</f>
        <v/>
      </c>
      <c r="G2618" s="390" t="str">
        <f ca="1">IFERROR(IF(VLOOKUP(C2618,' Disaggregation - Section E '!A$618:J3307,6,0)="","",VLOOKUP(C2618,' Disaggregation - Section E '!A$618:J3307,6,0)),"")</f>
        <v/>
      </c>
      <c r="H2618" s="390" t="str">
        <f ca="1">IFERROR(IF(INDEX(' Disaggregation - Section E '!F$618:F3307,MATCH(C2618,' Disaggregation - Section E '!A$618:A3307,0)+1,1)&lt;&gt;0,INDEX(' Disaggregation - Section E '!F$618:F3307,MATCH(C2618,' Disaggregation - Section E '!A$618:A3307,0)+1,1),""),"")</f>
        <v/>
      </c>
      <c r="I2618" s="391" t="str">
        <f ca="1">IFERROR(IF(VLOOKUP(C2618,' Disaggregation - Section E '!A$618:J3307,8,0)=0,"",VLOOKUP(C2618,' Disaggregation - Section E '!A$618:J3307,8,0)),"")</f>
        <v/>
      </c>
      <c r="J2618" s="391" t="str">
        <f ca="1">IFERROR(IF(VLOOKUP(C2618,' Disaggregation - Section E '!A$618:J3307,9,0)="","",VLOOKUP(C2618,' Disaggregation - Section E '!A$618:J3307,9,0)),"")</f>
        <v/>
      </c>
      <c r="K2618" s="387" t="str">
        <f ca="1">IFERROR(VLOOKUP(C2618,' Disaggregation - Section E '!A$618:J3307,3,0),"")</f>
        <v>KP-1d Percentage of people who inject drugs reached with HIV prevention programs - defined package of services</v>
      </c>
      <c r="L2618" s="387"/>
      <c r="M2618" s="387" t="str">
        <f ca="1">IFERROR(IF(VLOOKUP(C2618,' Disaggregation - Section E '!A$618:O1630,15,0)=0,"",VLOOKUP(C2618,' Disaggregation - Section E '!A$618:O1630,15,0)),"")</f>
        <v/>
      </c>
      <c r="N2618" s="391" t="str">
        <f ca="1">IFERROR(IF(VLOOKUP(C2618,' Disaggregation - Section E '!A$618:J3307,10,0)=0,"",VLOOKUP(C2618,' Disaggregation - Section E '!A$618:J3307,10,0)),"")</f>
        <v/>
      </c>
      <c r="O2618" s="387"/>
      <c r="P2618" s="387" t="str">
        <f ca="1">IFERROR(IF(VLOOKUP(C2618,' Disaggregation - Section E '!A$618:R1630,18,0)=0,"",VLOOKUP(C2618,' Disaggregation - Section E '!A$618:R1630,18,0)),"")</f>
        <v/>
      </c>
    </row>
    <row r="2619" spans="1:16">
      <c r="A2619" s="387" t="b">
        <f t="shared" ca="1" si="171"/>
        <v>0</v>
      </c>
      <c r="B2619" s="387"/>
      <c r="C2619" s="396" t="str">
        <f ca="1">IF(COUNTA(O$1610:O2619)=1,"",OFFSET(B2617,-COUNTA(O$1610:O2619)+3,1))</f>
        <v>a16Dm000000M3w6IAC</v>
      </c>
      <c r="D2619" s="392"/>
      <c r="E2619" s="389" t="str">
        <f ca="1">IFERROR(IF(VLOOKUP(C2619,' Disaggregation - Section E '!A$618:J3308,7,0)="","",VLOOKUP(C2619,' Disaggregation - Section E '!A$618:J3308,7,0)*100),"")</f>
        <v/>
      </c>
      <c r="F2619" s="391" t="str">
        <f ca="1">IFERROR(VLOOKUP(C2619,' Disaggregation - Section E '!A$618:J3308,5,0),"")</f>
        <v/>
      </c>
      <c r="G2619" s="390" t="str">
        <f ca="1">IFERROR(IF(VLOOKUP(C2619,' Disaggregation - Section E '!A$618:J3308,6,0)="","",VLOOKUP(C2619,' Disaggregation - Section E '!A$618:J3308,6,0)),"")</f>
        <v/>
      </c>
      <c r="H2619" s="390" t="str">
        <f ca="1">IFERROR(IF(INDEX(' Disaggregation - Section E '!F$618:F3308,MATCH(C2619,' Disaggregation - Section E '!A$618:A3308,0)+1,1)&lt;&gt;0,INDEX(' Disaggregation - Section E '!F$618:F3308,MATCH(C2619,' Disaggregation - Section E '!A$618:A3308,0)+1,1),""),"")</f>
        <v/>
      </c>
      <c r="I2619" s="391" t="str">
        <f ca="1">IFERROR(IF(VLOOKUP(C2619,' Disaggregation - Section E '!A$618:J3308,8,0)=0,"",VLOOKUP(C2619,' Disaggregation - Section E '!A$618:J3308,8,0)),"")</f>
        <v/>
      </c>
      <c r="J2619" s="391" t="str">
        <f ca="1">IFERROR(IF(VLOOKUP(C2619,' Disaggregation - Section E '!A$618:J3308,9,0)="","",VLOOKUP(C2619,' Disaggregation - Section E '!A$618:J3308,9,0)),"")</f>
        <v/>
      </c>
      <c r="K2619" s="387" t="str">
        <f ca="1">IFERROR(VLOOKUP(C2619,' Disaggregation - Section E '!A$618:J3308,3,0),"")</f>
        <v>KP-1d Percentage of people who inject drugs reached with HIV prevention programs - defined package of services</v>
      </c>
      <c r="L2619" s="387"/>
      <c r="M2619" s="387" t="str">
        <f ca="1">IFERROR(IF(VLOOKUP(C2619,' Disaggregation - Section E '!A$618:O1631,15,0)=0,"",VLOOKUP(C2619,' Disaggregation - Section E '!A$618:O1631,15,0)),"")</f>
        <v/>
      </c>
      <c r="N2619" s="391" t="str">
        <f ca="1">IFERROR(IF(VLOOKUP(C2619,' Disaggregation - Section E '!A$618:J3308,10,0)=0,"",VLOOKUP(C2619,' Disaggregation - Section E '!A$618:J3308,10,0)),"")</f>
        <v/>
      </c>
      <c r="O2619" s="387"/>
      <c r="P2619" s="387" t="str">
        <f ca="1">IFERROR(IF(VLOOKUP(C2619,' Disaggregation - Section E '!A$618:R1631,18,0)=0,"",VLOOKUP(C2619,' Disaggregation - Section E '!A$618:R1631,18,0)),"")</f>
        <v/>
      </c>
    </row>
    <row r="2620" spans="1:16">
      <c r="A2620" s="387" t="b">
        <f t="shared" ca="1" si="171"/>
        <v>0</v>
      </c>
      <c r="B2620" s="387"/>
      <c r="C2620" s="396" t="str">
        <f ca="1">IF(COUNTA(O$1610:O2620)=1,"",OFFSET(B2618,-COUNTA(O$1610:O2620)+3,1))</f>
        <v>a16Dm000000M3w7IAC</v>
      </c>
      <c r="D2620" s="392"/>
      <c r="E2620" s="389" t="str">
        <f ca="1">IFERROR(IF(VLOOKUP(C2620,' Disaggregation - Section E '!A$618:J3309,7,0)="","",VLOOKUP(C2620,' Disaggregation - Section E '!A$618:J3309,7,0)*100),"")</f>
        <v/>
      </c>
      <c r="F2620" s="391" t="str">
        <f ca="1">IFERROR(VLOOKUP(C2620,' Disaggregation - Section E '!A$618:J3309,5,0),"")</f>
        <v/>
      </c>
      <c r="G2620" s="390" t="str">
        <f ca="1">IFERROR(IF(VLOOKUP(C2620,' Disaggregation - Section E '!A$618:J3309,6,0)="","",VLOOKUP(C2620,' Disaggregation - Section E '!A$618:J3309,6,0)),"")</f>
        <v/>
      </c>
      <c r="H2620" s="390" t="str">
        <f ca="1">IFERROR(IF(INDEX(' Disaggregation - Section E '!F$618:F3309,MATCH(C2620,' Disaggregation - Section E '!A$618:A3309,0)+1,1)&lt;&gt;0,INDEX(' Disaggregation - Section E '!F$618:F3309,MATCH(C2620,' Disaggregation - Section E '!A$618:A3309,0)+1,1),""),"")</f>
        <v/>
      </c>
      <c r="I2620" s="391" t="str">
        <f ca="1">IFERROR(IF(VLOOKUP(C2620,' Disaggregation - Section E '!A$618:J3309,8,0)=0,"",VLOOKUP(C2620,' Disaggregation - Section E '!A$618:J3309,8,0)),"")</f>
        <v/>
      </c>
      <c r="J2620" s="391" t="str">
        <f ca="1">IFERROR(IF(VLOOKUP(C2620,' Disaggregation - Section E '!A$618:J3309,9,0)="","",VLOOKUP(C2620,' Disaggregation - Section E '!A$618:J3309,9,0)),"")</f>
        <v/>
      </c>
      <c r="K2620" s="387" t="str">
        <f ca="1">IFERROR(VLOOKUP(C2620,' Disaggregation - Section E '!A$618:J3309,3,0),"")</f>
        <v>KP-1d Percentage of people who inject drugs reached with HIV prevention programs - defined package of services</v>
      </c>
      <c r="L2620" s="387"/>
      <c r="M2620" s="387" t="str">
        <f ca="1">IFERROR(IF(VLOOKUP(C2620,' Disaggregation - Section E '!A$618:O1632,15,0)=0,"",VLOOKUP(C2620,' Disaggregation - Section E '!A$618:O1632,15,0)),"")</f>
        <v/>
      </c>
      <c r="N2620" s="391" t="str">
        <f ca="1">IFERROR(IF(VLOOKUP(C2620,' Disaggregation - Section E '!A$618:J3309,10,0)=0,"",VLOOKUP(C2620,' Disaggregation - Section E '!A$618:J3309,10,0)),"")</f>
        <v/>
      </c>
      <c r="O2620" s="387"/>
      <c r="P2620" s="387" t="str">
        <f ca="1">IFERROR(IF(VLOOKUP(C2620,' Disaggregation - Section E '!A$618:R1632,18,0)=0,"",VLOOKUP(C2620,' Disaggregation - Section E '!A$618:R1632,18,0)),"")</f>
        <v/>
      </c>
    </row>
    <row r="2621" spans="1:16">
      <c r="A2621" s="387" t="b">
        <f t="shared" ca="1" si="171"/>
        <v>0</v>
      </c>
      <c r="B2621" s="387"/>
      <c r="C2621" s="396" t="str">
        <f ca="1">IF(COUNTA(O$1610:O2621)=1,"",OFFSET(B2619,-COUNTA(O$1610:O2621)+3,1))</f>
        <v>a16Dm000000M3w8IAC</v>
      </c>
      <c r="D2621" s="392"/>
      <c r="E2621" s="389" t="str">
        <f ca="1">IFERROR(IF(VLOOKUP(C2621,' Disaggregation - Section E '!A$618:J3310,7,0)="","",VLOOKUP(C2621,' Disaggregation - Section E '!A$618:J3310,7,0)*100),"")</f>
        <v/>
      </c>
      <c r="F2621" s="391" t="str">
        <f ca="1">IFERROR(VLOOKUP(C2621,' Disaggregation - Section E '!A$618:J3310,5,0),"")</f>
        <v/>
      </c>
      <c r="G2621" s="390" t="str">
        <f ca="1">IFERROR(IF(VLOOKUP(C2621,' Disaggregation - Section E '!A$618:J3310,6,0)="","",VLOOKUP(C2621,' Disaggregation - Section E '!A$618:J3310,6,0)),"")</f>
        <v/>
      </c>
      <c r="H2621" s="390" t="str">
        <f ca="1">IFERROR(IF(INDEX(' Disaggregation - Section E '!F$618:F3310,MATCH(C2621,' Disaggregation - Section E '!A$618:A3310,0)+1,1)&lt;&gt;0,INDEX(' Disaggregation - Section E '!F$618:F3310,MATCH(C2621,' Disaggregation - Section E '!A$618:A3310,0)+1,1),""),"")</f>
        <v/>
      </c>
      <c r="I2621" s="391" t="str">
        <f ca="1">IFERROR(IF(VLOOKUP(C2621,' Disaggregation - Section E '!A$618:J3310,8,0)=0,"",VLOOKUP(C2621,' Disaggregation - Section E '!A$618:J3310,8,0)),"")</f>
        <v/>
      </c>
      <c r="J2621" s="391" t="str">
        <f ca="1">IFERROR(IF(VLOOKUP(C2621,' Disaggregation - Section E '!A$618:J3310,9,0)="","",VLOOKUP(C2621,' Disaggregation - Section E '!A$618:J3310,9,0)),"")</f>
        <v/>
      </c>
      <c r="K2621" s="387" t="str">
        <f ca="1">IFERROR(VLOOKUP(C2621,' Disaggregation - Section E '!A$618:J3310,3,0),"")</f>
        <v>KP-1d Percentage of people who inject drugs reached with HIV prevention programs - defined package of services</v>
      </c>
      <c r="L2621" s="387"/>
      <c r="M2621" s="387" t="str">
        <f ca="1">IFERROR(IF(VLOOKUP(C2621,' Disaggregation - Section E '!A$618:O1633,15,0)=0,"",VLOOKUP(C2621,' Disaggregation - Section E '!A$618:O1633,15,0)),"")</f>
        <v/>
      </c>
      <c r="N2621" s="391" t="str">
        <f ca="1">IFERROR(IF(VLOOKUP(C2621,' Disaggregation - Section E '!A$618:J3310,10,0)=0,"",VLOOKUP(C2621,' Disaggregation - Section E '!A$618:J3310,10,0)),"")</f>
        <v/>
      </c>
      <c r="O2621" s="387"/>
      <c r="P2621" s="387" t="str">
        <f ca="1">IFERROR(IF(VLOOKUP(C2621,' Disaggregation - Section E '!A$618:R1633,18,0)=0,"",VLOOKUP(C2621,' Disaggregation - Section E '!A$618:R1633,18,0)),"")</f>
        <v/>
      </c>
    </row>
    <row r="2622" spans="1:16">
      <c r="A2622" s="387" t="b">
        <f t="shared" ca="1" si="171"/>
        <v>0</v>
      </c>
      <c r="B2622" s="387"/>
      <c r="C2622" s="396" t="str">
        <f ca="1">IF(COUNTA(O$1610:O2622)=1,"",OFFSET(B2620,-COUNTA(O$1610:O2622)+3,1))</f>
        <v>a16Dm000000M3w9IAC</v>
      </c>
      <c r="D2622" s="392"/>
      <c r="E2622" s="389" t="str">
        <f ca="1">IFERROR(IF(VLOOKUP(C2622,' Disaggregation - Section E '!A$618:J3311,7,0)="","",VLOOKUP(C2622,' Disaggregation - Section E '!A$618:J3311,7,0)*100),"")</f>
        <v/>
      </c>
      <c r="F2622" s="391" t="str">
        <f ca="1">IFERROR(VLOOKUP(C2622,' Disaggregation - Section E '!A$618:J3311,5,0),"")</f>
        <v/>
      </c>
      <c r="G2622" s="390" t="str">
        <f ca="1">IFERROR(IF(VLOOKUP(C2622,' Disaggregation - Section E '!A$618:J3311,6,0)="","",VLOOKUP(C2622,' Disaggregation - Section E '!A$618:J3311,6,0)),"")</f>
        <v/>
      </c>
      <c r="H2622" s="390" t="str">
        <f ca="1">IFERROR(IF(INDEX(' Disaggregation - Section E '!F$618:F3311,MATCH(C2622,' Disaggregation - Section E '!A$618:A3311,0)+1,1)&lt;&gt;0,INDEX(' Disaggregation - Section E '!F$618:F3311,MATCH(C2622,' Disaggregation - Section E '!A$618:A3311,0)+1,1),""),"")</f>
        <v/>
      </c>
      <c r="I2622" s="391" t="str">
        <f ca="1">IFERROR(IF(VLOOKUP(C2622,' Disaggregation - Section E '!A$618:J3311,8,0)=0,"",VLOOKUP(C2622,' Disaggregation - Section E '!A$618:J3311,8,0)),"")</f>
        <v/>
      </c>
      <c r="J2622" s="391" t="str">
        <f ca="1">IFERROR(IF(VLOOKUP(C2622,' Disaggregation - Section E '!A$618:J3311,9,0)="","",VLOOKUP(C2622,' Disaggregation - Section E '!A$618:J3311,9,0)),"")</f>
        <v/>
      </c>
      <c r="K2622" s="387" t="str">
        <f ca="1">IFERROR(VLOOKUP(C2622,' Disaggregation - Section E '!A$618:J3311,3,0),"")</f>
        <v>KP-1d Percentage of people who inject drugs reached with HIV prevention programs - defined package of services</v>
      </c>
      <c r="L2622" s="387"/>
      <c r="M2622" s="387" t="str">
        <f ca="1">IFERROR(IF(VLOOKUP(C2622,' Disaggregation - Section E '!A$618:O1634,15,0)=0,"",VLOOKUP(C2622,' Disaggregation - Section E '!A$618:O1634,15,0)),"")</f>
        <v/>
      </c>
      <c r="N2622" s="391" t="str">
        <f ca="1">IFERROR(IF(VLOOKUP(C2622,' Disaggregation - Section E '!A$618:J3311,10,0)=0,"",VLOOKUP(C2622,' Disaggregation - Section E '!A$618:J3311,10,0)),"")</f>
        <v/>
      </c>
      <c r="O2622" s="387"/>
      <c r="P2622" s="387" t="str">
        <f ca="1">IFERROR(IF(VLOOKUP(C2622,' Disaggregation - Section E '!A$618:R1634,18,0)=0,"",VLOOKUP(C2622,' Disaggregation - Section E '!A$618:R1634,18,0)),"")</f>
        <v/>
      </c>
    </row>
    <row r="2623" spans="1:16">
      <c r="A2623" s="387" t="b">
        <f t="shared" ca="1" si="171"/>
        <v>0</v>
      </c>
      <c r="B2623" s="387"/>
      <c r="C2623" s="396" t="str">
        <f ca="1">IF(COUNTA(O$1610:O2623)=1,"",OFFSET(B2621,-COUNTA(O$1610:O2623)+3,1))</f>
        <v>a16Dm000000M3wAIAS</v>
      </c>
      <c r="D2623" s="392"/>
      <c r="E2623" s="389" t="str">
        <f ca="1">IFERROR(IF(VLOOKUP(C2623,' Disaggregation - Section E '!A$618:J3312,7,0)="","",VLOOKUP(C2623,' Disaggregation - Section E '!A$618:J3312,7,0)*100),"")</f>
        <v/>
      </c>
      <c r="F2623" s="391" t="str">
        <f ca="1">IFERROR(VLOOKUP(C2623,' Disaggregation - Section E '!A$618:J3312,5,0),"")</f>
        <v/>
      </c>
      <c r="G2623" s="390" t="str">
        <f ca="1">IFERROR(IF(VLOOKUP(C2623,' Disaggregation - Section E '!A$618:J3312,6,0)="","",VLOOKUP(C2623,' Disaggregation - Section E '!A$618:J3312,6,0)),"")</f>
        <v/>
      </c>
      <c r="H2623" s="390" t="str">
        <f ca="1">IFERROR(IF(INDEX(' Disaggregation - Section E '!F$618:F3312,MATCH(C2623,' Disaggregation - Section E '!A$618:A3312,0)+1,1)&lt;&gt;0,INDEX(' Disaggregation - Section E '!F$618:F3312,MATCH(C2623,' Disaggregation - Section E '!A$618:A3312,0)+1,1),""),"")</f>
        <v/>
      </c>
      <c r="I2623" s="391" t="str">
        <f ca="1">IFERROR(IF(VLOOKUP(C2623,' Disaggregation - Section E '!A$618:J3312,8,0)=0,"",VLOOKUP(C2623,' Disaggregation - Section E '!A$618:J3312,8,0)),"")</f>
        <v/>
      </c>
      <c r="J2623" s="391" t="str">
        <f ca="1">IFERROR(IF(VLOOKUP(C2623,' Disaggregation - Section E '!A$618:J3312,9,0)="","",VLOOKUP(C2623,' Disaggregation - Section E '!A$618:J3312,9,0)),"")</f>
        <v/>
      </c>
      <c r="K2623" s="387" t="str">
        <f ca="1">IFERROR(VLOOKUP(C2623,' Disaggregation - Section E '!A$618:J3312,3,0),"")</f>
        <v>KP-1d Percentage of people who inject drugs reached with HIV prevention programs - defined package of services</v>
      </c>
      <c r="L2623" s="387"/>
      <c r="M2623" s="387" t="str">
        <f ca="1">IFERROR(IF(VLOOKUP(C2623,' Disaggregation - Section E '!A$618:O1635,15,0)=0,"",VLOOKUP(C2623,' Disaggregation - Section E '!A$618:O1635,15,0)),"")</f>
        <v/>
      </c>
      <c r="N2623" s="391" t="str">
        <f ca="1">IFERROR(IF(VLOOKUP(C2623,' Disaggregation - Section E '!A$618:J3312,10,0)=0,"",VLOOKUP(C2623,' Disaggregation - Section E '!A$618:J3312,10,0)),"")</f>
        <v/>
      </c>
      <c r="O2623" s="387"/>
      <c r="P2623" s="387" t="str">
        <f ca="1">IFERROR(IF(VLOOKUP(C2623,' Disaggregation - Section E '!A$618:R1635,18,0)=0,"",VLOOKUP(C2623,' Disaggregation - Section E '!A$618:R1635,18,0)),"")</f>
        <v/>
      </c>
    </row>
    <row r="2624" spans="1:16">
      <c r="A2624" s="387" t="b">
        <f t="shared" ca="1" si="171"/>
        <v>0</v>
      </c>
      <c r="B2624" s="387"/>
      <c r="C2624" s="396" t="str">
        <f ca="1">IF(COUNTA(O$1610:O2624)=1,"",OFFSET(B2622,-COUNTA(O$1610:O2624)+3,1))</f>
        <v>a16Dm000000M3wBIAS</v>
      </c>
      <c r="D2624" s="392"/>
      <c r="E2624" s="389" t="str">
        <f ca="1">IFERROR(IF(VLOOKUP(C2624,' Disaggregation - Section E '!A$618:J3313,7,0)="","",VLOOKUP(C2624,' Disaggregation - Section E '!A$618:J3313,7,0)*100),"")</f>
        <v/>
      </c>
      <c r="F2624" s="391" t="str">
        <f ca="1">IFERROR(VLOOKUP(C2624,' Disaggregation - Section E '!A$618:J3313,5,0),"")</f>
        <v/>
      </c>
      <c r="G2624" s="390" t="str">
        <f ca="1">IFERROR(IF(VLOOKUP(C2624,' Disaggregation - Section E '!A$618:J3313,6,0)="","",VLOOKUP(C2624,' Disaggregation - Section E '!A$618:J3313,6,0)),"")</f>
        <v/>
      </c>
      <c r="H2624" s="390" t="str">
        <f ca="1">IFERROR(IF(INDEX(' Disaggregation - Section E '!F$618:F3313,MATCH(C2624,' Disaggregation - Section E '!A$618:A3313,0)+1,1)&lt;&gt;0,INDEX(' Disaggregation - Section E '!F$618:F3313,MATCH(C2624,' Disaggregation - Section E '!A$618:A3313,0)+1,1),""),"")</f>
        <v/>
      </c>
      <c r="I2624" s="391" t="str">
        <f ca="1">IFERROR(IF(VLOOKUP(C2624,' Disaggregation - Section E '!A$618:J3313,8,0)=0,"",VLOOKUP(C2624,' Disaggregation - Section E '!A$618:J3313,8,0)),"")</f>
        <v/>
      </c>
      <c r="J2624" s="391" t="str">
        <f ca="1">IFERROR(IF(VLOOKUP(C2624,' Disaggregation - Section E '!A$618:J3313,9,0)="","",VLOOKUP(C2624,' Disaggregation - Section E '!A$618:J3313,9,0)),"")</f>
        <v/>
      </c>
      <c r="K2624" s="387" t="str">
        <f ca="1">IFERROR(VLOOKUP(C2624,' Disaggregation - Section E '!A$618:J3313,3,0),"")</f>
        <v>KP-1d Percentage of people who inject drugs reached with HIV prevention programs - defined package of services</v>
      </c>
      <c r="L2624" s="387"/>
      <c r="M2624" s="387" t="str">
        <f ca="1">IFERROR(IF(VLOOKUP(C2624,' Disaggregation - Section E '!A$618:O1636,15,0)=0,"",VLOOKUP(C2624,' Disaggregation - Section E '!A$618:O1636,15,0)),"")</f>
        <v/>
      </c>
      <c r="N2624" s="391" t="str">
        <f ca="1">IFERROR(IF(VLOOKUP(C2624,' Disaggregation - Section E '!A$618:J3313,10,0)=0,"",VLOOKUP(C2624,' Disaggregation - Section E '!A$618:J3313,10,0)),"")</f>
        <v/>
      </c>
      <c r="O2624" s="387"/>
      <c r="P2624" s="387" t="str">
        <f ca="1">IFERROR(IF(VLOOKUP(C2624,' Disaggregation - Section E '!A$618:R1636,18,0)=0,"",VLOOKUP(C2624,' Disaggregation - Section E '!A$618:R1636,18,0)),"")</f>
        <v/>
      </c>
    </row>
    <row r="2625" spans="1:16">
      <c r="A2625" s="387" t="b">
        <f t="shared" ca="1" si="171"/>
        <v>0</v>
      </c>
      <c r="B2625" s="387"/>
      <c r="C2625" s="396" t="str">
        <f ca="1">IF(COUNTA(O$1610:O2625)=1,"",OFFSET(B2623,-COUNTA(O$1610:O2625)+3,1))</f>
        <v>a16Dm000000M3wCIAS</v>
      </c>
      <c r="D2625" s="392"/>
      <c r="E2625" s="389" t="str">
        <f ca="1">IFERROR(IF(VLOOKUP(C2625,' Disaggregation - Section E '!A$618:J3314,7,0)="","",VLOOKUP(C2625,' Disaggregation - Section E '!A$618:J3314,7,0)*100),"")</f>
        <v/>
      </c>
      <c r="F2625" s="391" t="str">
        <f ca="1">IFERROR(VLOOKUP(C2625,' Disaggregation - Section E '!A$618:J3314,5,0),"")</f>
        <v/>
      </c>
      <c r="G2625" s="390" t="str">
        <f ca="1">IFERROR(IF(VLOOKUP(C2625,' Disaggregation - Section E '!A$618:J3314,6,0)="","",VLOOKUP(C2625,' Disaggregation - Section E '!A$618:J3314,6,0)),"")</f>
        <v/>
      </c>
      <c r="H2625" s="390" t="str">
        <f ca="1">IFERROR(IF(INDEX(' Disaggregation - Section E '!F$618:F3314,MATCH(C2625,' Disaggregation - Section E '!A$618:A3314,0)+1,1)&lt;&gt;0,INDEX(' Disaggregation - Section E '!F$618:F3314,MATCH(C2625,' Disaggregation - Section E '!A$618:A3314,0)+1,1),""),"")</f>
        <v/>
      </c>
      <c r="I2625" s="391" t="str">
        <f ca="1">IFERROR(IF(VLOOKUP(C2625,' Disaggregation - Section E '!A$618:J3314,8,0)=0,"",VLOOKUP(C2625,' Disaggregation - Section E '!A$618:J3314,8,0)),"")</f>
        <v/>
      </c>
      <c r="J2625" s="391" t="str">
        <f ca="1">IFERROR(IF(VLOOKUP(C2625,' Disaggregation - Section E '!A$618:J3314,9,0)="","",VLOOKUP(C2625,' Disaggregation - Section E '!A$618:J3314,9,0)),"")</f>
        <v/>
      </c>
      <c r="K2625" s="387" t="str">
        <f ca="1">IFERROR(VLOOKUP(C2625,' Disaggregation - Section E '!A$618:J3314,3,0),"")</f>
        <v>KP-1d Percentage of people who inject drugs reached with HIV prevention programs - defined package of services</v>
      </c>
      <c r="L2625" s="387"/>
      <c r="M2625" s="387" t="str">
        <f ca="1">IFERROR(IF(VLOOKUP(C2625,' Disaggregation - Section E '!A$618:O1637,15,0)=0,"",VLOOKUP(C2625,' Disaggregation - Section E '!A$618:O1637,15,0)),"")</f>
        <v/>
      </c>
      <c r="N2625" s="391" t="str">
        <f ca="1">IFERROR(IF(VLOOKUP(C2625,' Disaggregation - Section E '!A$618:J3314,10,0)=0,"",VLOOKUP(C2625,' Disaggregation - Section E '!A$618:J3314,10,0)),"")</f>
        <v/>
      </c>
      <c r="O2625" s="387"/>
      <c r="P2625" s="387" t="str">
        <f ca="1">IFERROR(IF(VLOOKUP(C2625,' Disaggregation - Section E '!A$618:R1637,18,0)=0,"",VLOOKUP(C2625,' Disaggregation - Section E '!A$618:R1637,18,0)),"")</f>
        <v/>
      </c>
    </row>
    <row r="2626" spans="1:16">
      <c r="A2626" s="387" t="b">
        <f t="shared" ca="1" si="171"/>
        <v>0</v>
      </c>
      <c r="B2626" s="387"/>
      <c r="C2626" s="396" t="str">
        <f ca="1">IF(COUNTA(O$1610:O2626)=1,"",OFFSET(B2624,-COUNTA(O$1610:O2626)+3,1))</f>
        <v>a16Dm000000M3wDIAS</v>
      </c>
      <c r="D2626" s="392"/>
      <c r="E2626" s="389" t="str">
        <f ca="1">IFERROR(IF(VLOOKUP(C2626,' Disaggregation - Section E '!A$618:J3315,7,0)="","",VLOOKUP(C2626,' Disaggregation - Section E '!A$618:J3315,7,0)*100),"")</f>
        <v/>
      </c>
      <c r="F2626" s="391" t="str">
        <f ca="1">IFERROR(VLOOKUP(C2626,' Disaggregation - Section E '!A$618:J3315,5,0),"")</f>
        <v/>
      </c>
      <c r="G2626" s="390" t="str">
        <f ca="1">IFERROR(IF(VLOOKUP(C2626,' Disaggregation - Section E '!A$618:J3315,6,0)="","",VLOOKUP(C2626,' Disaggregation - Section E '!A$618:J3315,6,0)),"")</f>
        <v/>
      </c>
      <c r="H2626" s="390" t="str">
        <f ca="1">IFERROR(IF(INDEX(' Disaggregation - Section E '!F$618:F3315,MATCH(C2626,' Disaggregation - Section E '!A$618:A3315,0)+1,1)&lt;&gt;0,INDEX(' Disaggregation - Section E '!F$618:F3315,MATCH(C2626,' Disaggregation - Section E '!A$618:A3315,0)+1,1),""),"")</f>
        <v/>
      </c>
      <c r="I2626" s="391" t="str">
        <f ca="1">IFERROR(IF(VLOOKUP(C2626,' Disaggregation - Section E '!A$618:J3315,8,0)=0,"",VLOOKUP(C2626,' Disaggregation - Section E '!A$618:J3315,8,0)),"")</f>
        <v/>
      </c>
      <c r="J2626" s="391" t="str">
        <f ca="1">IFERROR(IF(VLOOKUP(C2626,' Disaggregation - Section E '!A$618:J3315,9,0)="","",VLOOKUP(C2626,' Disaggregation - Section E '!A$618:J3315,9,0)),"")</f>
        <v/>
      </c>
      <c r="K2626" s="387" t="str">
        <f ca="1">IFERROR(VLOOKUP(C2626,' Disaggregation - Section E '!A$618:J3315,3,0),"")</f>
        <v>KP-1d Percentage of people who inject drugs reached with HIV prevention programs - defined package of services</v>
      </c>
      <c r="L2626" s="387"/>
      <c r="M2626" s="387" t="str">
        <f ca="1">IFERROR(IF(VLOOKUP(C2626,' Disaggregation - Section E '!A$618:O1638,15,0)=0,"",VLOOKUP(C2626,' Disaggregation - Section E '!A$618:O1638,15,0)),"")</f>
        <v/>
      </c>
      <c r="N2626" s="391" t="str">
        <f ca="1">IFERROR(IF(VLOOKUP(C2626,' Disaggregation - Section E '!A$618:J3315,10,0)=0,"",VLOOKUP(C2626,' Disaggregation - Section E '!A$618:J3315,10,0)),"")</f>
        <v/>
      </c>
      <c r="O2626" s="387"/>
      <c r="P2626" s="387" t="str">
        <f ca="1">IFERROR(IF(VLOOKUP(C2626,' Disaggregation - Section E '!A$618:R1638,18,0)=0,"",VLOOKUP(C2626,' Disaggregation - Section E '!A$618:R1638,18,0)),"")</f>
        <v/>
      </c>
    </row>
    <row r="2627" spans="1:16">
      <c r="A2627" s="387" t="b">
        <f t="shared" ca="1" si="171"/>
        <v>0</v>
      </c>
      <c r="B2627" s="387"/>
      <c r="C2627" s="396" t="str">
        <f ca="1">IF(COUNTA(O$1610:O2627)=1,"",OFFSET(B2625,-COUNTA(O$1610:O2627)+3,1))</f>
        <v>a16Dm000000M3wEIAS</v>
      </c>
      <c r="D2627" s="392"/>
      <c r="E2627" s="389" t="str">
        <f ca="1">IFERROR(IF(VLOOKUP(C2627,' Disaggregation - Section E '!A$618:J3316,7,0)="","",VLOOKUP(C2627,' Disaggregation - Section E '!A$618:J3316,7,0)*100),"")</f>
        <v/>
      </c>
      <c r="F2627" s="391" t="str">
        <f ca="1">IFERROR(VLOOKUP(C2627,' Disaggregation - Section E '!A$618:J3316,5,0),"")</f>
        <v/>
      </c>
      <c r="G2627" s="390" t="str">
        <f ca="1">IFERROR(IF(VLOOKUP(C2627,' Disaggregation - Section E '!A$618:J3316,6,0)="","",VLOOKUP(C2627,' Disaggregation - Section E '!A$618:J3316,6,0)),"")</f>
        <v/>
      </c>
      <c r="H2627" s="390" t="str">
        <f ca="1">IFERROR(IF(INDEX(' Disaggregation - Section E '!F$618:F3316,MATCH(C2627,' Disaggregation - Section E '!A$618:A3316,0)+1,1)&lt;&gt;0,INDEX(' Disaggregation - Section E '!F$618:F3316,MATCH(C2627,' Disaggregation - Section E '!A$618:A3316,0)+1,1),""),"")</f>
        <v/>
      </c>
      <c r="I2627" s="391" t="str">
        <f ca="1">IFERROR(IF(VLOOKUP(C2627,' Disaggregation - Section E '!A$618:J3316,8,0)=0,"",VLOOKUP(C2627,' Disaggregation - Section E '!A$618:J3316,8,0)),"")</f>
        <v/>
      </c>
      <c r="J2627" s="391" t="str">
        <f ca="1">IFERROR(IF(VLOOKUP(C2627,' Disaggregation - Section E '!A$618:J3316,9,0)="","",VLOOKUP(C2627,' Disaggregation - Section E '!A$618:J3316,9,0)),"")</f>
        <v/>
      </c>
      <c r="K2627" s="387" t="str">
        <f ca="1">IFERROR(VLOOKUP(C2627,' Disaggregation - Section E '!A$618:J3316,3,0),"")</f>
        <v>KP-1d Percentage of people who inject drugs reached with HIV prevention programs - defined package of services</v>
      </c>
      <c r="L2627" s="387"/>
      <c r="M2627" s="387" t="str">
        <f ca="1">IFERROR(IF(VLOOKUP(C2627,' Disaggregation - Section E '!A$618:O1639,15,0)=0,"",VLOOKUP(C2627,' Disaggregation - Section E '!A$618:O1639,15,0)),"")</f>
        <v/>
      </c>
      <c r="N2627" s="391" t="str">
        <f ca="1">IFERROR(IF(VLOOKUP(C2627,' Disaggregation - Section E '!A$618:J3316,10,0)=0,"",VLOOKUP(C2627,' Disaggregation - Section E '!A$618:J3316,10,0)),"")</f>
        <v/>
      </c>
      <c r="O2627" s="387"/>
      <c r="P2627" s="387" t="str">
        <f ca="1">IFERROR(IF(VLOOKUP(C2627,' Disaggregation - Section E '!A$618:R1639,18,0)=0,"",VLOOKUP(C2627,' Disaggregation - Section E '!A$618:R1639,18,0)),"")</f>
        <v/>
      </c>
    </row>
    <row r="2628" spans="1:16">
      <c r="A2628" s="387" t="b">
        <f t="shared" ca="1" si="171"/>
        <v>0</v>
      </c>
      <c r="B2628" s="387"/>
      <c r="C2628" s="396" t="str">
        <f ca="1">IF(COUNTA(O$1610:O2628)=1,"",OFFSET(B2626,-COUNTA(O$1610:O2628)+3,1))</f>
        <v>a16Dm000000M3wFIAS</v>
      </c>
      <c r="D2628" s="392"/>
      <c r="E2628" s="389" t="str">
        <f ca="1">IFERROR(IF(VLOOKUP(C2628,' Disaggregation - Section E '!A$618:J3317,7,0)="","",VLOOKUP(C2628,' Disaggregation - Section E '!A$618:J3317,7,0)*100),"")</f>
        <v/>
      </c>
      <c r="F2628" s="391" t="str">
        <f ca="1">IFERROR(VLOOKUP(C2628,' Disaggregation - Section E '!A$618:J3317,5,0),"")</f>
        <v/>
      </c>
      <c r="G2628" s="390" t="str">
        <f ca="1">IFERROR(IF(VLOOKUP(C2628,' Disaggregation - Section E '!A$618:J3317,6,0)="","",VLOOKUP(C2628,' Disaggregation - Section E '!A$618:J3317,6,0)),"")</f>
        <v/>
      </c>
      <c r="H2628" s="390" t="str">
        <f ca="1">IFERROR(IF(INDEX(' Disaggregation - Section E '!F$618:F3317,MATCH(C2628,' Disaggregation - Section E '!A$618:A3317,0)+1,1)&lt;&gt;0,INDEX(' Disaggregation - Section E '!F$618:F3317,MATCH(C2628,' Disaggregation - Section E '!A$618:A3317,0)+1,1),""),"")</f>
        <v/>
      </c>
      <c r="I2628" s="391" t="str">
        <f ca="1">IFERROR(IF(VLOOKUP(C2628,' Disaggregation - Section E '!A$618:J3317,8,0)=0,"",VLOOKUP(C2628,' Disaggregation - Section E '!A$618:J3317,8,0)),"")</f>
        <v/>
      </c>
      <c r="J2628" s="391" t="str">
        <f ca="1">IFERROR(IF(VLOOKUP(C2628,' Disaggregation - Section E '!A$618:J3317,9,0)="","",VLOOKUP(C2628,' Disaggregation - Section E '!A$618:J3317,9,0)),"")</f>
        <v/>
      </c>
      <c r="K2628" s="387" t="str">
        <f ca="1">IFERROR(VLOOKUP(C2628,' Disaggregation - Section E '!A$618:J3317,3,0),"")</f>
        <v>KP-1d Percentage of people who inject drugs reached with HIV prevention programs - defined package of services</v>
      </c>
      <c r="L2628" s="387"/>
      <c r="M2628" s="387" t="str">
        <f ca="1">IFERROR(IF(VLOOKUP(C2628,' Disaggregation - Section E '!A$618:O1640,15,0)=0,"",VLOOKUP(C2628,' Disaggregation - Section E '!A$618:O1640,15,0)),"")</f>
        <v/>
      </c>
      <c r="N2628" s="391" t="str">
        <f ca="1">IFERROR(IF(VLOOKUP(C2628,' Disaggregation - Section E '!A$618:J3317,10,0)=0,"",VLOOKUP(C2628,' Disaggregation - Section E '!A$618:J3317,10,0)),"")</f>
        <v/>
      </c>
      <c r="O2628" s="387"/>
      <c r="P2628" s="387" t="str">
        <f ca="1">IFERROR(IF(VLOOKUP(C2628,' Disaggregation - Section E '!A$618:R1640,18,0)=0,"",VLOOKUP(C2628,' Disaggregation - Section E '!A$618:R1640,18,0)),"")</f>
        <v/>
      </c>
    </row>
    <row r="2629" spans="1:16">
      <c r="A2629" s="387" t="b">
        <f t="shared" ca="1" si="171"/>
        <v>0</v>
      </c>
      <c r="B2629" s="387"/>
      <c r="C2629" s="396" t="str">
        <f ca="1">IF(COUNTA(O$1610:O2629)=1,"",OFFSET(B2627,-COUNTA(O$1610:O2629)+3,1))</f>
        <v>a16Dm000000M3wGIAS</v>
      </c>
      <c r="D2629" s="392"/>
      <c r="E2629" s="389" t="str">
        <f ca="1">IFERROR(IF(VLOOKUP(C2629,' Disaggregation - Section E '!A$618:J3318,7,0)="","",VLOOKUP(C2629,' Disaggregation - Section E '!A$618:J3318,7,0)*100),"")</f>
        <v/>
      </c>
      <c r="F2629" s="391" t="str">
        <f ca="1">IFERROR(VLOOKUP(C2629,' Disaggregation - Section E '!A$618:J3318,5,0),"")</f>
        <v/>
      </c>
      <c r="G2629" s="390" t="str">
        <f ca="1">IFERROR(IF(VLOOKUP(C2629,' Disaggregation - Section E '!A$618:J3318,6,0)="","",VLOOKUP(C2629,' Disaggregation - Section E '!A$618:J3318,6,0)),"")</f>
        <v/>
      </c>
      <c r="H2629" s="390" t="str">
        <f ca="1">IFERROR(IF(INDEX(' Disaggregation - Section E '!F$618:F3318,MATCH(C2629,' Disaggregation - Section E '!A$618:A3318,0)+1,1)&lt;&gt;0,INDEX(' Disaggregation - Section E '!F$618:F3318,MATCH(C2629,' Disaggregation - Section E '!A$618:A3318,0)+1,1),""),"")</f>
        <v/>
      </c>
      <c r="I2629" s="391" t="str">
        <f ca="1">IFERROR(IF(VLOOKUP(C2629,' Disaggregation - Section E '!A$618:J3318,8,0)=0,"",VLOOKUP(C2629,' Disaggregation - Section E '!A$618:J3318,8,0)),"")</f>
        <v/>
      </c>
      <c r="J2629" s="391" t="str">
        <f ca="1">IFERROR(IF(VLOOKUP(C2629,' Disaggregation - Section E '!A$618:J3318,9,0)="","",VLOOKUP(C2629,' Disaggregation - Section E '!A$618:J3318,9,0)),"")</f>
        <v/>
      </c>
      <c r="K2629" s="387" t="str">
        <f ca="1">IFERROR(VLOOKUP(C2629,' Disaggregation - Section E '!A$618:J3318,3,0),"")</f>
        <v>KP-1d Percentage of people who inject drugs reached with HIV prevention programs - defined package of services</v>
      </c>
      <c r="L2629" s="387"/>
      <c r="M2629" s="387" t="str">
        <f ca="1">IFERROR(IF(VLOOKUP(C2629,' Disaggregation - Section E '!A$618:O1641,15,0)=0,"",VLOOKUP(C2629,' Disaggregation - Section E '!A$618:O1641,15,0)),"")</f>
        <v/>
      </c>
      <c r="N2629" s="391" t="str">
        <f ca="1">IFERROR(IF(VLOOKUP(C2629,' Disaggregation - Section E '!A$618:J3318,10,0)=0,"",VLOOKUP(C2629,' Disaggregation - Section E '!A$618:J3318,10,0)),"")</f>
        <v/>
      </c>
      <c r="O2629" s="387"/>
      <c r="P2629" s="387" t="str">
        <f ca="1">IFERROR(IF(VLOOKUP(C2629,' Disaggregation - Section E '!A$618:R1641,18,0)=0,"",VLOOKUP(C2629,' Disaggregation - Section E '!A$618:R1641,18,0)),"")</f>
        <v/>
      </c>
    </row>
    <row r="2630" spans="1:16">
      <c r="A2630" s="387" t="b">
        <f t="shared" ca="1" si="171"/>
        <v>0</v>
      </c>
      <c r="B2630" s="387"/>
      <c r="C2630" s="396" t="str">
        <f ca="1">IF(COUNTA(O$1610:O2630)=1,"",OFFSET(B2628,-COUNTA(O$1610:O2630)+3,1))</f>
        <v>a16Dm000000M3wHIAS</v>
      </c>
      <c r="D2630" s="392"/>
      <c r="E2630" s="389" t="str">
        <f ca="1">IFERROR(IF(VLOOKUP(C2630,' Disaggregation - Section E '!A$618:J3319,7,0)="","",VLOOKUP(C2630,' Disaggregation - Section E '!A$618:J3319,7,0)*100),"")</f>
        <v/>
      </c>
      <c r="F2630" s="391" t="str">
        <f ca="1">IFERROR(VLOOKUP(C2630,' Disaggregation - Section E '!A$618:J3319,5,0),"")</f>
        <v/>
      </c>
      <c r="G2630" s="390" t="str">
        <f ca="1">IFERROR(IF(VLOOKUP(C2630,' Disaggregation - Section E '!A$618:J3319,6,0)="","",VLOOKUP(C2630,' Disaggregation - Section E '!A$618:J3319,6,0)),"")</f>
        <v/>
      </c>
      <c r="H2630" s="390" t="str">
        <f ca="1">IFERROR(IF(INDEX(' Disaggregation - Section E '!F$618:F3319,MATCH(C2630,' Disaggregation - Section E '!A$618:A3319,0)+1,1)&lt;&gt;0,INDEX(' Disaggregation - Section E '!F$618:F3319,MATCH(C2630,' Disaggregation - Section E '!A$618:A3319,0)+1,1),""),"")</f>
        <v/>
      </c>
      <c r="I2630" s="391" t="str">
        <f ca="1">IFERROR(IF(VLOOKUP(C2630,' Disaggregation - Section E '!A$618:J3319,8,0)=0,"",VLOOKUP(C2630,' Disaggregation - Section E '!A$618:J3319,8,0)),"")</f>
        <v/>
      </c>
      <c r="J2630" s="391" t="str">
        <f ca="1">IFERROR(IF(VLOOKUP(C2630,' Disaggregation - Section E '!A$618:J3319,9,0)="","",VLOOKUP(C2630,' Disaggregation - Section E '!A$618:J3319,9,0)),"")</f>
        <v/>
      </c>
      <c r="K2630" s="387" t="str">
        <f ca="1">IFERROR(VLOOKUP(C2630,' Disaggregation - Section E '!A$618:J3319,3,0),"")</f>
        <v>KP-1d Percentage of people who inject drugs reached with HIV prevention programs - defined package of services</v>
      </c>
      <c r="L2630" s="387"/>
      <c r="M2630" s="387" t="str">
        <f ca="1">IFERROR(IF(VLOOKUP(C2630,' Disaggregation - Section E '!A$618:O1642,15,0)=0,"",VLOOKUP(C2630,' Disaggregation - Section E '!A$618:O1642,15,0)),"")</f>
        <v/>
      </c>
      <c r="N2630" s="391" t="str">
        <f ca="1">IFERROR(IF(VLOOKUP(C2630,' Disaggregation - Section E '!A$618:J3319,10,0)=0,"",VLOOKUP(C2630,' Disaggregation - Section E '!A$618:J3319,10,0)),"")</f>
        <v/>
      </c>
      <c r="O2630" s="387"/>
      <c r="P2630" s="387" t="str">
        <f ca="1">IFERROR(IF(VLOOKUP(C2630,' Disaggregation - Section E '!A$618:R1642,18,0)=0,"",VLOOKUP(C2630,' Disaggregation - Section E '!A$618:R1642,18,0)),"")</f>
        <v/>
      </c>
    </row>
    <row r="2631" spans="1:16">
      <c r="A2631" s="387" t="b">
        <f t="shared" ca="1" si="171"/>
        <v>0</v>
      </c>
      <c r="B2631" s="387"/>
      <c r="C2631" s="396" t="str">
        <f ca="1">IF(COUNTA(O$1610:O2631)=1,"",OFFSET(B2629,-COUNTA(O$1610:O2631)+3,1))</f>
        <v>a16Dm000000M3wIIAS</v>
      </c>
      <c r="D2631" s="392"/>
      <c r="E2631" s="389" t="str">
        <f ca="1">IFERROR(IF(VLOOKUP(C2631,' Disaggregation - Section E '!A$618:J3320,7,0)="","",VLOOKUP(C2631,' Disaggregation - Section E '!A$618:J3320,7,0)*100),"")</f>
        <v/>
      </c>
      <c r="F2631" s="391" t="str">
        <f ca="1">IFERROR(VLOOKUP(C2631,' Disaggregation - Section E '!A$618:J3320,5,0),"")</f>
        <v/>
      </c>
      <c r="G2631" s="390" t="str">
        <f ca="1">IFERROR(IF(VLOOKUP(C2631,' Disaggregation - Section E '!A$618:J3320,6,0)="","",VLOOKUP(C2631,' Disaggregation - Section E '!A$618:J3320,6,0)),"")</f>
        <v/>
      </c>
      <c r="H2631" s="390" t="str">
        <f ca="1">IFERROR(IF(INDEX(' Disaggregation - Section E '!F$618:F3320,MATCH(C2631,' Disaggregation - Section E '!A$618:A3320,0)+1,1)&lt;&gt;0,INDEX(' Disaggregation - Section E '!F$618:F3320,MATCH(C2631,' Disaggregation - Section E '!A$618:A3320,0)+1,1),""),"")</f>
        <v/>
      </c>
      <c r="I2631" s="391" t="str">
        <f ca="1">IFERROR(IF(VLOOKUP(C2631,' Disaggregation - Section E '!A$618:J3320,8,0)=0,"",VLOOKUP(C2631,' Disaggregation - Section E '!A$618:J3320,8,0)),"")</f>
        <v/>
      </c>
      <c r="J2631" s="391" t="str">
        <f ca="1">IFERROR(IF(VLOOKUP(C2631,' Disaggregation - Section E '!A$618:J3320,9,0)="","",VLOOKUP(C2631,' Disaggregation - Section E '!A$618:J3320,9,0)),"")</f>
        <v/>
      </c>
      <c r="K2631" s="387" t="str">
        <f ca="1">IFERROR(VLOOKUP(C2631,' Disaggregation - Section E '!A$618:J3320,3,0),"")</f>
        <v>KP-1d Percentage of people who inject drugs reached with HIV prevention programs - defined package of services</v>
      </c>
      <c r="L2631" s="387"/>
      <c r="M2631" s="387" t="str">
        <f ca="1">IFERROR(IF(VLOOKUP(C2631,' Disaggregation - Section E '!A$618:O1643,15,0)=0,"",VLOOKUP(C2631,' Disaggregation - Section E '!A$618:O1643,15,0)),"")</f>
        <v/>
      </c>
      <c r="N2631" s="391" t="str">
        <f ca="1">IFERROR(IF(VLOOKUP(C2631,' Disaggregation - Section E '!A$618:J3320,10,0)=0,"",VLOOKUP(C2631,' Disaggregation - Section E '!A$618:J3320,10,0)),"")</f>
        <v/>
      </c>
      <c r="O2631" s="387"/>
      <c r="P2631" s="387" t="str">
        <f ca="1">IFERROR(IF(VLOOKUP(C2631,' Disaggregation - Section E '!A$618:R1643,18,0)=0,"",VLOOKUP(C2631,' Disaggregation - Section E '!A$618:R1643,18,0)),"")</f>
        <v/>
      </c>
    </row>
    <row r="2632" spans="1:16">
      <c r="A2632" s="387" t="b">
        <f t="shared" ca="1" si="171"/>
        <v>1</v>
      </c>
      <c r="B2632" s="387"/>
      <c r="C2632" s="396" t="str">
        <f ca="1">IF(COUNTA(O$1610:O2632)=1,"",OFFSET(B2630,-COUNTA(O$1610:O2632)+3,1))</f>
        <v>a16Dm000000M3wJIAS</v>
      </c>
      <c r="D2632" s="392"/>
      <c r="E2632" s="389" t="str">
        <f ca="1">IFERROR(IF(VLOOKUP(C2632,' Disaggregation - Section E '!A$618:J3321,7,0)="","",VLOOKUP(C2632,' Disaggregation - Section E '!A$618:J3321,7,0)*100),"")</f>
        <v/>
      </c>
      <c r="F2632" s="391" t="str">
        <f ca="1">IFERROR(VLOOKUP(C2632,' Disaggregation - Section E '!A$618:J3321,5,0),"")</f>
        <v>25+</v>
      </c>
      <c r="G2632" s="390" t="str">
        <f ca="1">IFERROR(IF(VLOOKUP(C2632,' Disaggregation - Section E '!A$618:J3321,6,0)="","",VLOOKUP(C2632,' Disaggregation - Section E '!A$618:J3321,6,0)),"")</f>
        <v/>
      </c>
      <c r="H2632" s="390" t="str">
        <f ca="1">IFERROR(IF(INDEX(' Disaggregation - Section E '!F$618:F3321,MATCH(C2632,' Disaggregation - Section E '!A$618:A3321,0)+1,1)&lt;&gt;0,INDEX(' Disaggregation - Section E '!F$618:F3321,MATCH(C2632,' Disaggregation - Section E '!A$618:A3321,0)+1,1),""),"")</f>
        <v/>
      </c>
      <c r="I2632" s="391" t="str">
        <f ca="1">IFERROR(IF(VLOOKUP(C2632,' Disaggregation - Section E '!A$618:J3321,8,0)=0,"",VLOOKUP(C2632,' Disaggregation - Section E '!A$618:J3321,8,0)),"")</f>
        <v/>
      </c>
      <c r="J2632" s="391" t="str">
        <f ca="1">IFERROR(IF(VLOOKUP(C2632,' Disaggregation - Section E '!A$618:J3321,9,0)="","",VLOOKUP(C2632,' Disaggregation - Section E '!A$618:J3321,9,0)),"")</f>
        <v/>
      </c>
      <c r="K2632" s="387" t="str">
        <f ca="1">IFERROR(VLOOKUP(C2632,' Disaggregation - Section E '!A$618:J3321,3,0),"")</f>
        <v>KP-6d Number of PWID who received any PrEP product at least once during the reporting period</v>
      </c>
      <c r="L2632" s="387"/>
      <c r="M2632" s="387" t="str">
        <f ca="1">IFERROR(IF(VLOOKUP(C2632,' Disaggregation - Section E '!A$618:O1644,15,0)=0,"",VLOOKUP(C2632,' Disaggregation - Section E '!A$618:O1644,15,0)),"")</f>
        <v>IDR-01237</v>
      </c>
      <c r="N2632" s="391" t="str">
        <f ca="1">IFERROR(IF(VLOOKUP(C2632,' Disaggregation - Section E '!A$618:J3321,10,0)=0,"",VLOOKUP(C2632,' Disaggregation - Section E '!A$618:J3321,10,0)),"")</f>
        <v>Disaggregated data not available. The activity will be taken into account from 2024 onwards</v>
      </c>
      <c r="O2632" s="387"/>
      <c r="P2632" s="387" t="str">
        <f ca="1">IFERROR(IF(VLOOKUP(C2632,' Disaggregation - Section E '!A$618:R1644,18,0)=0,"",VLOOKUP(C2632,' Disaggregation - Section E '!A$618:R1644,18,0)),"")</f>
        <v>a1LDm000000Cb2hMAC</v>
      </c>
    </row>
    <row r="2633" spans="1:16">
      <c r="A2633" s="387" t="b">
        <f t="shared" ca="1" si="171"/>
        <v>1</v>
      </c>
      <c r="B2633" s="387"/>
      <c r="C2633" s="396" t="str">
        <f ca="1">IF(COUNTA(O$1610:O2633)=1,"",OFFSET(B2631,-COUNTA(O$1610:O2633)+3,1))</f>
        <v>a16Dm000000M3wKIAS</v>
      </c>
      <c r="D2633" s="392"/>
      <c r="E2633" s="389" t="str">
        <f ca="1">IFERROR(IF(VLOOKUP(C2633,' Disaggregation - Section E '!A$618:J3322,7,0)="","",VLOOKUP(C2633,' Disaggregation - Section E '!A$618:J3322,7,0)*100),"")</f>
        <v/>
      </c>
      <c r="F2633" s="391" t="str">
        <f ca="1">IFERROR(VLOOKUP(C2633,' Disaggregation - Section E '!A$618:J3322,5,0),"")</f>
        <v>20-24</v>
      </c>
      <c r="G2633" s="390" t="str">
        <f ca="1">IFERROR(IF(VLOOKUP(C2633,' Disaggregation - Section E '!A$618:J3322,6,0)="","",VLOOKUP(C2633,' Disaggregation - Section E '!A$618:J3322,6,0)),"")</f>
        <v/>
      </c>
      <c r="H2633" s="390" t="str">
        <f ca="1">IFERROR(IF(INDEX(' Disaggregation - Section E '!F$618:F3322,MATCH(C2633,' Disaggregation - Section E '!A$618:A3322,0)+1,1)&lt;&gt;0,INDEX(' Disaggregation - Section E '!F$618:F3322,MATCH(C2633,' Disaggregation - Section E '!A$618:A3322,0)+1,1),""),"")</f>
        <v/>
      </c>
      <c r="I2633" s="391" t="str">
        <f ca="1">IFERROR(IF(VLOOKUP(C2633,' Disaggregation - Section E '!A$618:J3322,8,0)=0,"",VLOOKUP(C2633,' Disaggregation - Section E '!A$618:J3322,8,0)),"")</f>
        <v/>
      </c>
      <c r="J2633" s="391" t="str">
        <f ca="1">IFERROR(IF(VLOOKUP(C2633,' Disaggregation - Section E '!A$618:J3322,9,0)="","",VLOOKUP(C2633,' Disaggregation - Section E '!A$618:J3322,9,0)),"")</f>
        <v/>
      </c>
      <c r="K2633" s="387" t="str">
        <f ca="1">IFERROR(VLOOKUP(C2633,' Disaggregation - Section E '!A$618:J3322,3,0),"")</f>
        <v>KP-6d Number of PWID who received any PrEP product at least once during the reporting period</v>
      </c>
      <c r="L2633" s="387"/>
      <c r="M2633" s="387" t="str">
        <f ca="1">IFERROR(IF(VLOOKUP(C2633,' Disaggregation - Section E '!A$618:O1645,15,0)=0,"",VLOOKUP(C2633,' Disaggregation - Section E '!A$618:O1645,15,0)),"")</f>
        <v>IDR-01236</v>
      </c>
      <c r="N2633" s="391" t="str">
        <f ca="1">IFERROR(IF(VLOOKUP(C2633,' Disaggregation - Section E '!A$618:J3322,10,0)=0,"",VLOOKUP(C2633,' Disaggregation - Section E '!A$618:J3322,10,0)),"")</f>
        <v>Disaggregated data not available. The activity will be taken into account from 2024 onwards</v>
      </c>
      <c r="O2633" s="387"/>
      <c r="P2633" s="387" t="str">
        <f ca="1">IFERROR(IF(VLOOKUP(C2633,' Disaggregation - Section E '!A$618:R1645,18,0)=0,"",VLOOKUP(C2633,' Disaggregation - Section E '!A$618:R1645,18,0)),"")</f>
        <v>a1LDm000000Cb2gMAC</v>
      </c>
    </row>
    <row r="2634" spans="1:16">
      <c r="A2634" s="387" t="b">
        <f t="shared" ca="1" si="171"/>
        <v>1</v>
      </c>
      <c r="B2634" s="387"/>
      <c r="C2634" s="396" t="str">
        <f ca="1">IF(COUNTA(O$1610:O2634)=1,"",OFFSET(B2632,-COUNTA(O$1610:O2634)+3,1))</f>
        <v>a16Dm000000M3wLIAS</v>
      </c>
      <c r="D2634" s="392"/>
      <c r="E2634" s="389" t="str">
        <f ca="1">IFERROR(IF(VLOOKUP(C2634,' Disaggregation - Section E '!A$618:J3323,7,0)="","",VLOOKUP(C2634,' Disaggregation - Section E '!A$618:J3323,7,0)*100),"")</f>
        <v/>
      </c>
      <c r="F2634" s="391" t="str">
        <f ca="1">IFERROR(VLOOKUP(C2634,' Disaggregation - Section E '!A$618:J3323,5,0),"")</f>
        <v>15-19</v>
      </c>
      <c r="G2634" s="390" t="str">
        <f ca="1">IFERROR(IF(VLOOKUP(C2634,' Disaggregation - Section E '!A$618:J3323,6,0)="","",VLOOKUP(C2634,' Disaggregation - Section E '!A$618:J3323,6,0)),"")</f>
        <v/>
      </c>
      <c r="H2634" s="390" t="str">
        <f ca="1">IFERROR(IF(INDEX(' Disaggregation - Section E '!F$618:F3323,MATCH(C2634,' Disaggregation - Section E '!A$618:A3323,0)+1,1)&lt;&gt;0,INDEX(' Disaggregation - Section E '!F$618:F3323,MATCH(C2634,' Disaggregation - Section E '!A$618:A3323,0)+1,1),""),"")</f>
        <v/>
      </c>
      <c r="I2634" s="391" t="str">
        <f ca="1">IFERROR(IF(VLOOKUP(C2634,' Disaggregation - Section E '!A$618:J3323,8,0)=0,"",VLOOKUP(C2634,' Disaggregation - Section E '!A$618:J3323,8,0)),"")</f>
        <v/>
      </c>
      <c r="J2634" s="391" t="str">
        <f ca="1">IFERROR(IF(VLOOKUP(C2634,' Disaggregation - Section E '!A$618:J3323,9,0)="","",VLOOKUP(C2634,' Disaggregation - Section E '!A$618:J3323,9,0)),"")</f>
        <v/>
      </c>
      <c r="K2634" s="387" t="str">
        <f ca="1">IFERROR(VLOOKUP(C2634,' Disaggregation - Section E '!A$618:J3323,3,0),"")</f>
        <v>KP-6d Number of PWID who received any PrEP product at least once during the reporting period</v>
      </c>
      <c r="L2634" s="387"/>
      <c r="M2634" s="387" t="str">
        <f ca="1">IFERROR(IF(VLOOKUP(C2634,' Disaggregation - Section E '!A$618:O1646,15,0)=0,"",VLOOKUP(C2634,' Disaggregation - Section E '!A$618:O1646,15,0)),"")</f>
        <v>IDR-01235</v>
      </c>
      <c r="N2634" s="391" t="str">
        <f ca="1">IFERROR(IF(VLOOKUP(C2634,' Disaggregation - Section E '!A$618:J3323,10,0)=0,"",VLOOKUP(C2634,' Disaggregation - Section E '!A$618:J3323,10,0)),"")</f>
        <v>Disaggregated data not available. The activity will be taken into account from 2024 onwards</v>
      </c>
      <c r="O2634" s="387"/>
      <c r="P2634" s="387" t="str">
        <f ca="1">IFERROR(IF(VLOOKUP(C2634,' Disaggregation - Section E '!A$618:R1646,18,0)=0,"",VLOOKUP(C2634,' Disaggregation - Section E '!A$618:R1646,18,0)),"")</f>
        <v>a1LDm000000Cb2fMAC</v>
      </c>
    </row>
    <row r="2635" spans="1:16">
      <c r="A2635" s="387" t="b">
        <f t="shared" ca="1" si="171"/>
        <v>1</v>
      </c>
      <c r="B2635" s="387"/>
      <c r="C2635" s="396" t="str">
        <f ca="1">IF(COUNTA(O$1610:O2635)=1,"",OFFSET(B2633,-COUNTA(O$1610:O2635)+3,1))</f>
        <v>a16Dm000000M3wMIAS</v>
      </c>
      <c r="D2635" s="392"/>
      <c r="E2635" s="389" t="str">
        <f ca="1">IFERROR(IF(VLOOKUP(C2635,' Disaggregation - Section E '!A$618:J3324,7,0)="","",VLOOKUP(C2635,' Disaggregation - Section E '!A$618:J3324,7,0)*100),"")</f>
        <v/>
      </c>
      <c r="F2635" s="391" t="str">
        <f ca="1">IFERROR(VLOOKUP(C2635,' Disaggregation - Section E '!A$618:J3324,5,0),"")</f>
        <v>DPV-VR</v>
      </c>
      <c r="G2635" s="390" t="str">
        <f ca="1">IFERROR(IF(VLOOKUP(C2635,' Disaggregation - Section E '!A$618:J3324,6,0)="","",VLOOKUP(C2635,' Disaggregation - Section E '!A$618:J3324,6,0)),"")</f>
        <v/>
      </c>
      <c r="H2635" s="390" t="str">
        <f ca="1">IFERROR(IF(INDEX(' Disaggregation - Section E '!F$618:F3324,MATCH(C2635,' Disaggregation - Section E '!A$618:A3324,0)+1,1)&lt;&gt;0,INDEX(' Disaggregation - Section E '!F$618:F3324,MATCH(C2635,' Disaggregation - Section E '!A$618:A3324,0)+1,1),""),"")</f>
        <v/>
      </c>
      <c r="I2635" s="391" t="str">
        <f ca="1">IFERROR(IF(VLOOKUP(C2635,' Disaggregation - Section E '!A$618:J3324,8,0)=0,"",VLOOKUP(C2635,' Disaggregation - Section E '!A$618:J3324,8,0)),"")</f>
        <v/>
      </c>
      <c r="J2635" s="391" t="str">
        <f ca="1">IFERROR(IF(VLOOKUP(C2635,' Disaggregation - Section E '!A$618:J3324,9,0)="","",VLOOKUP(C2635,' Disaggregation - Section E '!A$618:J3324,9,0)),"")</f>
        <v/>
      </c>
      <c r="K2635" s="387" t="str">
        <f ca="1">IFERROR(VLOOKUP(C2635,' Disaggregation - Section E '!A$618:J3324,3,0),"")</f>
        <v>KP-6d Number of PWID who received any PrEP product at least once during the reporting period</v>
      </c>
      <c r="L2635" s="387"/>
      <c r="M2635" s="387" t="str">
        <f ca="1">IFERROR(IF(VLOOKUP(C2635,' Disaggregation - Section E '!A$618:O1647,15,0)=0,"",VLOOKUP(C2635,' Disaggregation - Section E '!A$618:O1647,15,0)),"")</f>
        <v>IDR-01234</v>
      </c>
      <c r="N2635" s="391" t="str">
        <f ca="1">IFERROR(IF(VLOOKUP(C2635,' Disaggregation - Section E '!A$618:J3324,10,0)=0,"",VLOOKUP(C2635,' Disaggregation - Section E '!A$618:J3324,10,0)),"")</f>
        <v>Disaggregated data not available. The activity will be taken into account from 2024 onwards</v>
      </c>
      <c r="O2635" s="387"/>
      <c r="P2635" s="387" t="str">
        <f ca="1">IFERROR(IF(VLOOKUP(C2635,' Disaggregation - Section E '!A$618:R1647,18,0)=0,"",VLOOKUP(C2635,' Disaggregation - Section E '!A$618:R1647,18,0)),"")</f>
        <v>a1LDm000000Cb2eMAC</v>
      </c>
    </row>
    <row r="2636" spans="1:16">
      <c r="A2636" s="387" t="b">
        <f t="shared" ref="A2636:A2699" ca="1" si="172">IF(M2636&lt;&gt;"",TRUE,FALSE)</f>
        <v>1</v>
      </c>
      <c r="B2636" s="387"/>
      <c r="C2636" s="396" t="str">
        <f ca="1">IF(COUNTA(O$1610:O2636)=1,"",OFFSET(B2634,-COUNTA(O$1610:O2636)+3,1))</f>
        <v>a16Dm000000M3wNIAS</v>
      </c>
      <c r="D2636" s="392"/>
      <c r="E2636" s="389" t="str">
        <f ca="1">IFERROR(IF(VLOOKUP(C2636,' Disaggregation - Section E '!A$618:J3325,7,0)="","",VLOOKUP(C2636,' Disaggregation - Section E '!A$618:J3325,7,0)*100),"")</f>
        <v/>
      </c>
      <c r="F2636" s="391" t="str">
        <f ca="1">IFERROR(VLOOKUP(C2636,' Disaggregation - Section E '!A$618:J3325,5,0),"")</f>
        <v>Male</v>
      </c>
      <c r="G2636" s="390" t="str">
        <f ca="1">IFERROR(IF(VLOOKUP(C2636,' Disaggregation - Section E '!A$618:J3325,6,0)="","",VLOOKUP(C2636,' Disaggregation - Section E '!A$618:J3325,6,0)),"")</f>
        <v/>
      </c>
      <c r="H2636" s="390" t="str">
        <f ca="1">IFERROR(IF(INDEX(' Disaggregation - Section E '!F$618:F3325,MATCH(C2636,' Disaggregation - Section E '!A$618:A3325,0)+1,1)&lt;&gt;0,INDEX(' Disaggregation - Section E '!F$618:F3325,MATCH(C2636,' Disaggregation - Section E '!A$618:A3325,0)+1,1),""),"")</f>
        <v/>
      </c>
      <c r="I2636" s="391" t="str">
        <f ca="1">IFERROR(IF(VLOOKUP(C2636,' Disaggregation - Section E '!A$618:J3325,8,0)=0,"",VLOOKUP(C2636,' Disaggregation - Section E '!A$618:J3325,8,0)),"")</f>
        <v/>
      </c>
      <c r="J2636" s="391" t="str">
        <f ca="1">IFERROR(IF(VLOOKUP(C2636,' Disaggregation - Section E '!A$618:J3325,9,0)="","",VLOOKUP(C2636,' Disaggregation - Section E '!A$618:J3325,9,0)),"")</f>
        <v/>
      </c>
      <c r="K2636" s="387" t="str">
        <f ca="1">IFERROR(VLOOKUP(C2636,' Disaggregation - Section E '!A$618:J3325,3,0),"")</f>
        <v>KP-6d Number of PWID who received any PrEP product at least once during the reporting period</v>
      </c>
      <c r="L2636" s="387"/>
      <c r="M2636" s="387" t="str">
        <f ca="1">IFERROR(IF(VLOOKUP(C2636,' Disaggregation - Section E '!A$618:O1648,15,0)=0,"",VLOOKUP(C2636,' Disaggregation - Section E '!A$618:O1648,15,0)),"")</f>
        <v>IDR-01233</v>
      </c>
      <c r="N2636" s="391" t="str">
        <f ca="1">IFERROR(IF(VLOOKUP(C2636,' Disaggregation - Section E '!A$618:J3325,10,0)=0,"",VLOOKUP(C2636,' Disaggregation - Section E '!A$618:J3325,10,0)),"")</f>
        <v>Disaggregated data not available. The activity will be taken into account from 2024 onwards</v>
      </c>
      <c r="O2636" s="387"/>
      <c r="P2636" s="387" t="str">
        <f ca="1">IFERROR(IF(VLOOKUP(C2636,' Disaggregation - Section E '!A$618:R1648,18,0)=0,"",VLOOKUP(C2636,' Disaggregation - Section E '!A$618:R1648,18,0)),"")</f>
        <v>a1LDm000000Cb2dMAC</v>
      </c>
    </row>
    <row r="2637" spans="1:16">
      <c r="A2637" s="387" t="b">
        <f t="shared" ca="1" si="172"/>
        <v>1</v>
      </c>
      <c r="B2637" s="387"/>
      <c r="C2637" s="396" t="str">
        <f ca="1">IF(COUNTA(O$1610:O2637)=1,"",OFFSET(B2635,-COUNTA(O$1610:O2637)+3,1))</f>
        <v>a16Dm000000M3wOIAS</v>
      </c>
      <c r="D2637" s="392"/>
      <c r="E2637" s="389" t="str">
        <f ca="1">IFERROR(IF(VLOOKUP(C2637,' Disaggregation - Section E '!A$618:J3326,7,0)="","",VLOOKUP(C2637,' Disaggregation - Section E '!A$618:J3326,7,0)*100),"")</f>
        <v/>
      </c>
      <c r="F2637" s="391" t="str">
        <f ca="1">IFERROR(VLOOKUP(C2637,' Disaggregation - Section E '!A$618:J3326,5,0),"")</f>
        <v>Injectable PrEP</v>
      </c>
      <c r="G2637" s="390" t="str">
        <f ca="1">IFERROR(IF(VLOOKUP(C2637,' Disaggregation - Section E '!A$618:J3326,6,0)="","",VLOOKUP(C2637,' Disaggregation - Section E '!A$618:J3326,6,0)),"")</f>
        <v/>
      </c>
      <c r="H2637" s="390" t="str">
        <f ca="1">IFERROR(IF(INDEX(' Disaggregation - Section E '!F$618:F3326,MATCH(C2637,' Disaggregation - Section E '!A$618:A3326,0)+1,1)&lt;&gt;0,INDEX(' Disaggregation - Section E '!F$618:F3326,MATCH(C2637,' Disaggregation - Section E '!A$618:A3326,0)+1,1),""),"")</f>
        <v/>
      </c>
      <c r="I2637" s="391" t="str">
        <f ca="1">IFERROR(IF(VLOOKUP(C2637,' Disaggregation - Section E '!A$618:J3326,8,0)=0,"",VLOOKUP(C2637,' Disaggregation - Section E '!A$618:J3326,8,0)),"")</f>
        <v/>
      </c>
      <c r="J2637" s="391" t="str">
        <f ca="1">IFERROR(IF(VLOOKUP(C2637,' Disaggregation - Section E '!A$618:J3326,9,0)="","",VLOOKUP(C2637,' Disaggregation - Section E '!A$618:J3326,9,0)),"")</f>
        <v/>
      </c>
      <c r="K2637" s="387" t="str">
        <f ca="1">IFERROR(VLOOKUP(C2637,' Disaggregation - Section E '!A$618:J3326,3,0),"")</f>
        <v>KP-6d Number of PWID who received any PrEP product at least once during the reporting period</v>
      </c>
      <c r="L2637" s="387"/>
      <c r="M2637" s="387" t="str">
        <f ca="1">IFERROR(IF(VLOOKUP(C2637,' Disaggregation - Section E '!A$618:O1649,15,0)=0,"",VLOOKUP(C2637,' Disaggregation - Section E '!A$618:O1649,15,0)),"")</f>
        <v>IDR-01232</v>
      </c>
      <c r="N2637" s="391" t="str">
        <f ca="1">IFERROR(IF(VLOOKUP(C2637,' Disaggregation - Section E '!A$618:J3326,10,0)=0,"",VLOOKUP(C2637,' Disaggregation - Section E '!A$618:J3326,10,0)),"")</f>
        <v>Disaggregated data not available. The activity will be taken into account from 2024 onwards</v>
      </c>
      <c r="O2637" s="387"/>
      <c r="P2637" s="387" t="str">
        <f ca="1">IFERROR(IF(VLOOKUP(C2637,' Disaggregation - Section E '!A$618:R1649,18,0)=0,"",VLOOKUP(C2637,' Disaggregation - Section E '!A$618:R1649,18,0)),"")</f>
        <v>a1LDm000000Cb2cMAC</v>
      </c>
    </row>
    <row r="2638" spans="1:16">
      <c r="A2638" s="387" t="b">
        <f t="shared" ca="1" si="172"/>
        <v>1</v>
      </c>
      <c r="B2638" s="387"/>
      <c r="C2638" s="396" t="str">
        <f ca="1">IF(COUNTA(O$1610:O2638)=1,"",OFFSET(B2636,-COUNTA(O$1610:O2638)+3,1))</f>
        <v>a16Dm000000M3wPIAS</v>
      </c>
      <c r="D2638" s="392"/>
      <c r="E2638" s="389" t="str">
        <f ca="1">IFERROR(IF(VLOOKUP(C2638,' Disaggregation - Section E '!A$618:J3327,7,0)="","",VLOOKUP(C2638,' Disaggregation - Section E '!A$618:J3327,7,0)*100),"")</f>
        <v/>
      </c>
      <c r="F2638" s="391" t="str">
        <f ca="1">IFERROR(VLOOKUP(C2638,' Disaggregation - Section E '!A$618:J3327,5,0),"")</f>
        <v>Female</v>
      </c>
      <c r="G2638" s="390" t="str">
        <f ca="1">IFERROR(IF(VLOOKUP(C2638,' Disaggregation - Section E '!A$618:J3327,6,0)="","",VLOOKUP(C2638,' Disaggregation - Section E '!A$618:J3327,6,0)),"")</f>
        <v/>
      </c>
      <c r="H2638" s="390" t="str">
        <f ca="1">IFERROR(IF(INDEX(' Disaggregation - Section E '!F$618:F3327,MATCH(C2638,' Disaggregation - Section E '!A$618:A3327,0)+1,1)&lt;&gt;0,INDEX(' Disaggregation - Section E '!F$618:F3327,MATCH(C2638,' Disaggregation - Section E '!A$618:A3327,0)+1,1),""),"")</f>
        <v/>
      </c>
      <c r="I2638" s="391" t="str">
        <f ca="1">IFERROR(IF(VLOOKUP(C2638,' Disaggregation - Section E '!A$618:J3327,8,0)=0,"",VLOOKUP(C2638,' Disaggregation - Section E '!A$618:J3327,8,0)),"")</f>
        <v/>
      </c>
      <c r="J2638" s="391" t="str">
        <f ca="1">IFERROR(IF(VLOOKUP(C2638,' Disaggregation - Section E '!A$618:J3327,9,0)="","",VLOOKUP(C2638,' Disaggregation - Section E '!A$618:J3327,9,0)),"")</f>
        <v/>
      </c>
      <c r="K2638" s="387" t="str">
        <f ca="1">IFERROR(VLOOKUP(C2638,' Disaggregation - Section E '!A$618:J3327,3,0),"")</f>
        <v>KP-6d Number of PWID who received any PrEP product at least once during the reporting period</v>
      </c>
      <c r="L2638" s="387"/>
      <c r="M2638" s="387" t="str">
        <f ca="1">IFERROR(IF(VLOOKUP(C2638,' Disaggregation - Section E '!A$618:O1650,15,0)=0,"",VLOOKUP(C2638,' Disaggregation - Section E '!A$618:O1650,15,0)),"")</f>
        <v>IDR-01231</v>
      </c>
      <c r="N2638" s="391" t="str">
        <f ca="1">IFERROR(IF(VLOOKUP(C2638,' Disaggregation - Section E '!A$618:J3327,10,0)=0,"",VLOOKUP(C2638,' Disaggregation - Section E '!A$618:J3327,10,0)),"")</f>
        <v>Disaggregated data not available. The activity will be taken into account from 2024 onwards</v>
      </c>
      <c r="O2638" s="387"/>
      <c r="P2638" s="387" t="str">
        <f ca="1">IFERROR(IF(VLOOKUP(C2638,' Disaggregation - Section E '!A$618:R1650,18,0)=0,"",VLOOKUP(C2638,' Disaggregation - Section E '!A$618:R1650,18,0)),"")</f>
        <v>a1LDm000000Cb2bMAC</v>
      </c>
    </row>
    <row r="2639" spans="1:16">
      <c r="A2639" s="387" t="b">
        <f t="shared" ca="1" si="172"/>
        <v>1</v>
      </c>
      <c r="B2639" s="387"/>
      <c r="C2639" s="396" t="str">
        <f ca="1">IF(COUNTA(O$1610:O2639)=1,"",OFFSET(B2637,-COUNTA(O$1610:O2639)+3,1))</f>
        <v>a16Dm000000M3wQIAS</v>
      </c>
      <c r="D2639" s="392"/>
      <c r="E2639" s="389" t="str">
        <f ca="1">IFERROR(IF(VLOOKUP(C2639,' Disaggregation - Section E '!A$618:J3328,7,0)="","",VLOOKUP(C2639,' Disaggregation - Section E '!A$618:J3328,7,0)*100),"")</f>
        <v/>
      </c>
      <c r="F2639" s="391" t="str">
        <f ca="1">IFERROR(VLOOKUP(C2639,' Disaggregation - Section E '!A$618:J3328,5,0),"")</f>
        <v>Oral PrEP</v>
      </c>
      <c r="G2639" s="390" t="str">
        <f ca="1">IFERROR(IF(VLOOKUP(C2639,' Disaggregation - Section E '!A$618:J3328,6,0)="","",VLOOKUP(C2639,' Disaggregation - Section E '!A$618:J3328,6,0)),"")</f>
        <v/>
      </c>
      <c r="H2639" s="390" t="str">
        <f ca="1">IFERROR(IF(INDEX(' Disaggregation - Section E '!F$618:F3328,MATCH(C2639,' Disaggregation - Section E '!A$618:A3328,0)+1,1)&lt;&gt;0,INDEX(' Disaggregation - Section E '!F$618:F3328,MATCH(C2639,' Disaggregation - Section E '!A$618:A3328,0)+1,1),""),"")</f>
        <v/>
      </c>
      <c r="I2639" s="391" t="str">
        <f ca="1">IFERROR(IF(VLOOKUP(C2639,' Disaggregation - Section E '!A$618:J3328,8,0)=0,"",VLOOKUP(C2639,' Disaggregation - Section E '!A$618:J3328,8,0)),"")</f>
        <v/>
      </c>
      <c r="J2639" s="391" t="str">
        <f ca="1">IFERROR(IF(VLOOKUP(C2639,' Disaggregation - Section E '!A$618:J3328,9,0)="","",VLOOKUP(C2639,' Disaggregation - Section E '!A$618:J3328,9,0)),"")</f>
        <v/>
      </c>
      <c r="K2639" s="387" t="str">
        <f ca="1">IFERROR(VLOOKUP(C2639,' Disaggregation - Section E '!A$618:J3328,3,0),"")</f>
        <v>KP-6d Number of PWID who received any PrEP product at least once during the reporting period</v>
      </c>
      <c r="L2639" s="387"/>
      <c r="M2639" s="387" t="str">
        <f ca="1">IFERROR(IF(VLOOKUP(C2639,' Disaggregation - Section E '!A$618:O1651,15,0)=0,"",VLOOKUP(C2639,' Disaggregation - Section E '!A$618:O1651,15,0)),"")</f>
        <v>IDR-01230</v>
      </c>
      <c r="N2639" s="391" t="str">
        <f ca="1">IFERROR(IF(VLOOKUP(C2639,' Disaggregation - Section E '!A$618:J3328,10,0)=0,"",VLOOKUP(C2639,' Disaggregation - Section E '!A$618:J3328,10,0)),"")</f>
        <v>Disaggregated data not available. The activity will be taken into account from 2024 onwards</v>
      </c>
      <c r="O2639" s="387"/>
      <c r="P2639" s="387" t="str">
        <f ca="1">IFERROR(IF(VLOOKUP(C2639,' Disaggregation - Section E '!A$618:R1651,18,0)=0,"",VLOOKUP(C2639,' Disaggregation - Section E '!A$618:R1651,18,0)),"")</f>
        <v>a1LDm000000Cb2aMAC</v>
      </c>
    </row>
    <row r="2640" spans="1:16">
      <c r="A2640" s="387" t="b">
        <f t="shared" ca="1" si="172"/>
        <v>0</v>
      </c>
      <c r="B2640" s="387"/>
      <c r="C2640" s="396" t="str">
        <f ca="1">IF(COUNTA(O$1610:O2640)=1,"",OFFSET(B2638,-COUNTA(O$1610:O2640)+3,1))</f>
        <v>a16Dm000000M3wRIAS</v>
      </c>
      <c r="D2640" s="392"/>
      <c r="E2640" s="389" t="str">
        <f ca="1">IFERROR(IF(VLOOKUP(C2640,' Disaggregation - Section E '!A$618:J3329,7,0)="","",VLOOKUP(C2640,' Disaggregation - Section E '!A$618:J3329,7,0)*100),"")</f>
        <v/>
      </c>
      <c r="F2640" s="391" t="str">
        <f ca="1">IFERROR(VLOOKUP(C2640,' Disaggregation - Section E '!A$618:J3329,5,0),"")</f>
        <v/>
      </c>
      <c r="G2640" s="390" t="str">
        <f ca="1">IFERROR(IF(VLOOKUP(C2640,' Disaggregation - Section E '!A$618:J3329,6,0)="","",VLOOKUP(C2640,' Disaggregation - Section E '!A$618:J3329,6,0)),"")</f>
        <v/>
      </c>
      <c r="H2640" s="390" t="str">
        <f ca="1">IFERROR(IF(INDEX(' Disaggregation - Section E '!F$618:F3329,MATCH(C2640,' Disaggregation - Section E '!A$618:A3329,0)+1,1)&lt;&gt;0,INDEX(' Disaggregation - Section E '!F$618:F3329,MATCH(C2640,' Disaggregation - Section E '!A$618:A3329,0)+1,1),""),"")</f>
        <v/>
      </c>
      <c r="I2640" s="391" t="str">
        <f ca="1">IFERROR(IF(VLOOKUP(C2640,' Disaggregation - Section E '!A$618:J3329,8,0)=0,"",VLOOKUP(C2640,' Disaggregation - Section E '!A$618:J3329,8,0)),"")</f>
        <v/>
      </c>
      <c r="J2640" s="391" t="str">
        <f ca="1">IFERROR(IF(VLOOKUP(C2640,' Disaggregation - Section E '!A$618:J3329,9,0)="","",VLOOKUP(C2640,' Disaggregation - Section E '!A$618:J3329,9,0)),"")</f>
        <v/>
      </c>
      <c r="K2640" s="387" t="str">
        <f ca="1">IFERROR(VLOOKUP(C2640,' Disaggregation - Section E '!A$618:J3329,3,0),"")</f>
        <v>KP-6d Number of PWID who received any PrEP product at least once during the reporting period</v>
      </c>
      <c r="L2640" s="387"/>
      <c r="M2640" s="387" t="str">
        <f ca="1">IFERROR(IF(VLOOKUP(C2640,' Disaggregation - Section E '!A$618:O1652,15,0)=0,"",VLOOKUP(C2640,' Disaggregation - Section E '!A$618:O1652,15,0)),"")</f>
        <v/>
      </c>
      <c r="N2640" s="391" t="str">
        <f ca="1">IFERROR(IF(VLOOKUP(C2640,' Disaggregation - Section E '!A$618:J3329,10,0)=0,"",VLOOKUP(C2640,' Disaggregation - Section E '!A$618:J3329,10,0)),"")</f>
        <v/>
      </c>
      <c r="O2640" s="387"/>
      <c r="P2640" s="387" t="str">
        <f ca="1">IFERROR(IF(VLOOKUP(C2640,' Disaggregation - Section E '!A$618:R1652,18,0)=0,"",VLOOKUP(C2640,' Disaggregation - Section E '!A$618:R1652,18,0)),"")</f>
        <v/>
      </c>
    </row>
    <row r="2641" spans="1:16">
      <c r="A2641" s="387" t="b">
        <f t="shared" ca="1" si="172"/>
        <v>0</v>
      </c>
      <c r="B2641" s="387"/>
      <c r="C2641" s="396" t="str">
        <f ca="1">IF(COUNTA(O$1610:O2641)=1,"",OFFSET(B2639,-COUNTA(O$1610:O2641)+3,1))</f>
        <v>a16Dm000000M3wSIAS</v>
      </c>
      <c r="D2641" s="392"/>
      <c r="E2641" s="389" t="str">
        <f ca="1">IFERROR(IF(VLOOKUP(C2641,' Disaggregation - Section E '!A$618:J3330,7,0)="","",VLOOKUP(C2641,' Disaggregation - Section E '!A$618:J3330,7,0)*100),"")</f>
        <v/>
      </c>
      <c r="F2641" s="391" t="str">
        <f ca="1">IFERROR(VLOOKUP(C2641,' Disaggregation - Section E '!A$618:J3330,5,0),"")</f>
        <v/>
      </c>
      <c r="G2641" s="390" t="str">
        <f ca="1">IFERROR(IF(VLOOKUP(C2641,' Disaggregation - Section E '!A$618:J3330,6,0)="","",VLOOKUP(C2641,' Disaggregation - Section E '!A$618:J3330,6,0)),"")</f>
        <v/>
      </c>
      <c r="H2641" s="390" t="str">
        <f ca="1">IFERROR(IF(INDEX(' Disaggregation - Section E '!F$618:F3330,MATCH(C2641,' Disaggregation - Section E '!A$618:A3330,0)+1,1)&lt;&gt;0,INDEX(' Disaggregation - Section E '!F$618:F3330,MATCH(C2641,' Disaggregation - Section E '!A$618:A3330,0)+1,1),""),"")</f>
        <v/>
      </c>
      <c r="I2641" s="391" t="str">
        <f ca="1">IFERROR(IF(VLOOKUP(C2641,' Disaggregation - Section E '!A$618:J3330,8,0)=0,"",VLOOKUP(C2641,' Disaggregation - Section E '!A$618:J3330,8,0)),"")</f>
        <v/>
      </c>
      <c r="J2641" s="391" t="str">
        <f ca="1">IFERROR(IF(VLOOKUP(C2641,' Disaggregation - Section E '!A$618:J3330,9,0)="","",VLOOKUP(C2641,' Disaggregation - Section E '!A$618:J3330,9,0)),"")</f>
        <v/>
      </c>
      <c r="K2641" s="387" t="str">
        <f ca="1">IFERROR(VLOOKUP(C2641,' Disaggregation - Section E '!A$618:J3330,3,0),"")</f>
        <v>KP-6d Number of PWID who received any PrEP product at least once during the reporting period</v>
      </c>
      <c r="L2641" s="387"/>
      <c r="M2641" s="387" t="str">
        <f ca="1">IFERROR(IF(VLOOKUP(C2641,' Disaggregation - Section E '!A$618:O1653,15,0)=0,"",VLOOKUP(C2641,' Disaggregation - Section E '!A$618:O1653,15,0)),"")</f>
        <v/>
      </c>
      <c r="N2641" s="391" t="str">
        <f ca="1">IFERROR(IF(VLOOKUP(C2641,' Disaggregation - Section E '!A$618:J3330,10,0)=0,"",VLOOKUP(C2641,' Disaggregation - Section E '!A$618:J3330,10,0)),"")</f>
        <v/>
      </c>
      <c r="O2641" s="387"/>
      <c r="P2641" s="387" t="str">
        <f ca="1">IFERROR(IF(VLOOKUP(C2641,' Disaggregation - Section E '!A$618:R1653,18,0)=0,"",VLOOKUP(C2641,' Disaggregation - Section E '!A$618:R1653,18,0)),"")</f>
        <v/>
      </c>
    </row>
    <row r="2642" spans="1:16">
      <c r="A2642" s="387" t="b">
        <f t="shared" ca="1" si="172"/>
        <v>0</v>
      </c>
      <c r="B2642" s="387"/>
      <c r="C2642" s="396" t="str">
        <f ca="1">IF(COUNTA(O$1610:O2642)=1,"",OFFSET(B2640,-COUNTA(O$1610:O2642)+3,1))</f>
        <v>a16Dm000000M3wTIAS</v>
      </c>
      <c r="D2642" s="392"/>
      <c r="E2642" s="389" t="str">
        <f ca="1">IFERROR(IF(VLOOKUP(C2642,' Disaggregation - Section E '!A$618:J3331,7,0)="","",VLOOKUP(C2642,' Disaggregation - Section E '!A$618:J3331,7,0)*100),"")</f>
        <v/>
      </c>
      <c r="F2642" s="391" t="str">
        <f ca="1">IFERROR(VLOOKUP(C2642,' Disaggregation - Section E '!A$618:J3331,5,0),"")</f>
        <v/>
      </c>
      <c r="G2642" s="390" t="str">
        <f ca="1">IFERROR(IF(VLOOKUP(C2642,' Disaggregation - Section E '!A$618:J3331,6,0)="","",VLOOKUP(C2642,' Disaggregation - Section E '!A$618:J3331,6,0)),"")</f>
        <v/>
      </c>
      <c r="H2642" s="390" t="str">
        <f ca="1">IFERROR(IF(INDEX(' Disaggregation - Section E '!F$618:F3331,MATCH(C2642,' Disaggregation - Section E '!A$618:A3331,0)+1,1)&lt;&gt;0,INDEX(' Disaggregation - Section E '!F$618:F3331,MATCH(C2642,' Disaggregation - Section E '!A$618:A3331,0)+1,1),""),"")</f>
        <v/>
      </c>
      <c r="I2642" s="391" t="str">
        <f ca="1">IFERROR(IF(VLOOKUP(C2642,' Disaggregation - Section E '!A$618:J3331,8,0)=0,"",VLOOKUP(C2642,' Disaggregation - Section E '!A$618:J3331,8,0)),"")</f>
        <v/>
      </c>
      <c r="J2642" s="391" t="str">
        <f ca="1">IFERROR(IF(VLOOKUP(C2642,' Disaggregation - Section E '!A$618:J3331,9,0)="","",VLOOKUP(C2642,' Disaggregation - Section E '!A$618:J3331,9,0)),"")</f>
        <v/>
      </c>
      <c r="K2642" s="387" t="str">
        <f ca="1">IFERROR(VLOOKUP(C2642,' Disaggregation - Section E '!A$618:J3331,3,0),"")</f>
        <v>KP-6d Number of PWID who received any PrEP product at least once during the reporting period</v>
      </c>
      <c r="L2642" s="387"/>
      <c r="M2642" s="387" t="str">
        <f ca="1">IFERROR(IF(VLOOKUP(C2642,' Disaggregation - Section E '!A$618:O1654,15,0)=0,"",VLOOKUP(C2642,' Disaggregation - Section E '!A$618:O1654,15,0)),"")</f>
        <v/>
      </c>
      <c r="N2642" s="391" t="str">
        <f ca="1">IFERROR(IF(VLOOKUP(C2642,' Disaggregation - Section E '!A$618:J3331,10,0)=0,"",VLOOKUP(C2642,' Disaggregation - Section E '!A$618:J3331,10,0)),"")</f>
        <v/>
      </c>
      <c r="O2642" s="387"/>
      <c r="P2642" s="387" t="str">
        <f ca="1">IFERROR(IF(VLOOKUP(C2642,' Disaggregation - Section E '!A$618:R1654,18,0)=0,"",VLOOKUP(C2642,' Disaggregation - Section E '!A$618:R1654,18,0)),"")</f>
        <v/>
      </c>
    </row>
    <row r="2643" spans="1:16">
      <c r="A2643" s="387" t="b">
        <f t="shared" ca="1" si="172"/>
        <v>0</v>
      </c>
      <c r="B2643" s="387"/>
      <c r="C2643" s="396" t="str">
        <f ca="1">IF(COUNTA(O$1610:O2643)=1,"",OFFSET(B2641,-COUNTA(O$1610:O2643)+3,1))</f>
        <v>a16Dm000000M3wUIAS</v>
      </c>
      <c r="D2643" s="392"/>
      <c r="E2643" s="389" t="str">
        <f ca="1">IFERROR(IF(VLOOKUP(C2643,' Disaggregation - Section E '!A$618:J3332,7,0)="","",VLOOKUP(C2643,' Disaggregation - Section E '!A$618:J3332,7,0)*100),"")</f>
        <v/>
      </c>
      <c r="F2643" s="391" t="str">
        <f ca="1">IFERROR(VLOOKUP(C2643,' Disaggregation - Section E '!A$618:J3332,5,0),"")</f>
        <v/>
      </c>
      <c r="G2643" s="390" t="str">
        <f ca="1">IFERROR(IF(VLOOKUP(C2643,' Disaggregation - Section E '!A$618:J3332,6,0)="","",VLOOKUP(C2643,' Disaggregation - Section E '!A$618:J3332,6,0)),"")</f>
        <v/>
      </c>
      <c r="H2643" s="390" t="str">
        <f ca="1">IFERROR(IF(INDEX(' Disaggregation - Section E '!F$618:F3332,MATCH(C2643,' Disaggregation - Section E '!A$618:A3332,0)+1,1)&lt;&gt;0,INDEX(' Disaggregation - Section E '!F$618:F3332,MATCH(C2643,' Disaggregation - Section E '!A$618:A3332,0)+1,1),""),"")</f>
        <v/>
      </c>
      <c r="I2643" s="391" t="str">
        <f ca="1">IFERROR(IF(VLOOKUP(C2643,' Disaggregation - Section E '!A$618:J3332,8,0)=0,"",VLOOKUP(C2643,' Disaggregation - Section E '!A$618:J3332,8,0)),"")</f>
        <v/>
      </c>
      <c r="J2643" s="391" t="str">
        <f ca="1">IFERROR(IF(VLOOKUP(C2643,' Disaggregation - Section E '!A$618:J3332,9,0)="","",VLOOKUP(C2643,' Disaggregation - Section E '!A$618:J3332,9,0)),"")</f>
        <v/>
      </c>
      <c r="K2643" s="387" t="str">
        <f ca="1">IFERROR(VLOOKUP(C2643,' Disaggregation - Section E '!A$618:J3332,3,0),"")</f>
        <v>KP-6d Number of PWID who received any PrEP product at least once during the reporting period</v>
      </c>
      <c r="L2643" s="387"/>
      <c r="M2643" s="387" t="str">
        <f ca="1">IFERROR(IF(VLOOKUP(C2643,' Disaggregation - Section E '!A$618:O1655,15,0)=0,"",VLOOKUP(C2643,' Disaggregation - Section E '!A$618:O1655,15,0)),"")</f>
        <v/>
      </c>
      <c r="N2643" s="391" t="str">
        <f ca="1">IFERROR(IF(VLOOKUP(C2643,' Disaggregation - Section E '!A$618:J3332,10,0)=0,"",VLOOKUP(C2643,' Disaggregation - Section E '!A$618:J3332,10,0)),"")</f>
        <v/>
      </c>
      <c r="O2643" s="387"/>
      <c r="P2643" s="387" t="str">
        <f ca="1">IFERROR(IF(VLOOKUP(C2643,' Disaggregation - Section E '!A$618:R1655,18,0)=0,"",VLOOKUP(C2643,' Disaggregation - Section E '!A$618:R1655,18,0)),"")</f>
        <v/>
      </c>
    </row>
    <row r="2644" spans="1:16">
      <c r="A2644" s="387" t="b">
        <f t="shared" ca="1" si="172"/>
        <v>0</v>
      </c>
      <c r="B2644" s="387"/>
      <c r="C2644" s="396" t="str">
        <f ca="1">IF(COUNTA(O$1610:O2644)=1,"",OFFSET(B2642,-COUNTA(O$1610:O2644)+3,1))</f>
        <v>a16Dm000000M3wVIAS</v>
      </c>
      <c r="D2644" s="392"/>
      <c r="E2644" s="389" t="str">
        <f ca="1">IFERROR(IF(VLOOKUP(C2644,' Disaggregation - Section E '!A$618:J3333,7,0)="","",VLOOKUP(C2644,' Disaggregation - Section E '!A$618:J3333,7,0)*100),"")</f>
        <v/>
      </c>
      <c r="F2644" s="391" t="str">
        <f ca="1">IFERROR(VLOOKUP(C2644,' Disaggregation - Section E '!A$618:J3333,5,0),"")</f>
        <v/>
      </c>
      <c r="G2644" s="390" t="str">
        <f ca="1">IFERROR(IF(VLOOKUP(C2644,' Disaggregation - Section E '!A$618:J3333,6,0)="","",VLOOKUP(C2644,' Disaggregation - Section E '!A$618:J3333,6,0)),"")</f>
        <v/>
      </c>
      <c r="H2644" s="390" t="str">
        <f ca="1">IFERROR(IF(INDEX(' Disaggregation - Section E '!F$618:F3333,MATCH(C2644,' Disaggregation - Section E '!A$618:A3333,0)+1,1)&lt;&gt;0,INDEX(' Disaggregation - Section E '!F$618:F3333,MATCH(C2644,' Disaggregation - Section E '!A$618:A3333,0)+1,1),""),"")</f>
        <v/>
      </c>
      <c r="I2644" s="391" t="str">
        <f ca="1">IFERROR(IF(VLOOKUP(C2644,' Disaggregation - Section E '!A$618:J3333,8,0)=0,"",VLOOKUP(C2644,' Disaggregation - Section E '!A$618:J3333,8,0)),"")</f>
        <v/>
      </c>
      <c r="J2644" s="391" t="str">
        <f ca="1">IFERROR(IF(VLOOKUP(C2644,' Disaggregation - Section E '!A$618:J3333,9,0)="","",VLOOKUP(C2644,' Disaggregation - Section E '!A$618:J3333,9,0)),"")</f>
        <v/>
      </c>
      <c r="K2644" s="387" t="str">
        <f ca="1">IFERROR(VLOOKUP(C2644,' Disaggregation - Section E '!A$618:J3333,3,0),"")</f>
        <v>KP-6d Number of PWID who received any PrEP product at least once during the reporting period</v>
      </c>
      <c r="L2644" s="387"/>
      <c r="M2644" s="387" t="str">
        <f ca="1">IFERROR(IF(VLOOKUP(C2644,' Disaggregation - Section E '!A$618:O1656,15,0)=0,"",VLOOKUP(C2644,' Disaggregation - Section E '!A$618:O1656,15,0)),"")</f>
        <v/>
      </c>
      <c r="N2644" s="391" t="str">
        <f ca="1">IFERROR(IF(VLOOKUP(C2644,' Disaggregation - Section E '!A$618:J3333,10,0)=0,"",VLOOKUP(C2644,' Disaggregation - Section E '!A$618:J3333,10,0)),"")</f>
        <v/>
      </c>
      <c r="O2644" s="387"/>
      <c r="P2644" s="387" t="str">
        <f ca="1">IFERROR(IF(VLOOKUP(C2644,' Disaggregation - Section E '!A$618:R1656,18,0)=0,"",VLOOKUP(C2644,' Disaggregation - Section E '!A$618:R1656,18,0)),"")</f>
        <v/>
      </c>
    </row>
    <row r="2645" spans="1:16">
      <c r="A2645" s="387" t="b">
        <f t="shared" ca="1" si="172"/>
        <v>0</v>
      </c>
      <c r="B2645" s="387"/>
      <c r="C2645" s="396" t="str">
        <f ca="1">IF(COUNTA(O$1610:O2645)=1,"",OFFSET(B2643,-COUNTA(O$1610:O2645)+3,1))</f>
        <v>a16Dm000000M3wWIAS</v>
      </c>
      <c r="D2645" s="392"/>
      <c r="E2645" s="389" t="str">
        <f ca="1">IFERROR(IF(VLOOKUP(C2645,' Disaggregation - Section E '!A$618:J3334,7,0)="","",VLOOKUP(C2645,' Disaggregation - Section E '!A$618:J3334,7,0)*100),"")</f>
        <v/>
      </c>
      <c r="F2645" s="391" t="str">
        <f ca="1">IFERROR(VLOOKUP(C2645,' Disaggregation - Section E '!A$618:J3334,5,0),"")</f>
        <v/>
      </c>
      <c r="G2645" s="390" t="str">
        <f ca="1">IFERROR(IF(VLOOKUP(C2645,' Disaggregation - Section E '!A$618:J3334,6,0)="","",VLOOKUP(C2645,' Disaggregation - Section E '!A$618:J3334,6,0)),"")</f>
        <v/>
      </c>
      <c r="H2645" s="390" t="str">
        <f ca="1">IFERROR(IF(INDEX(' Disaggregation - Section E '!F$618:F3334,MATCH(C2645,' Disaggregation - Section E '!A$618:A3334,0)+1,1)&lt;&gt;0,INDEX(' Disaggregation - Section E '!F$618:F3334,MATCH(C2645,' Disaggregation - Section E '!A$618:A3334,0)+1,1),""),"")</f>
        <v/>
      </c>
      <c r="I2645" s="391" t="str">
        <f ca="1">IFERROR(IF(VLOOKUP(C2645,' Disaggregation - Section E '!A$618:J3334,8,0)=0,"",VLOOKUP(C2645,' Disaggregation - Section E '!A$618:J3334,8,0)),"")</f>
        <v/>
      </c>
      <c r="J2645" s="391" t="str">
        <f ca="1">IFERROR(IF(VLOOKUP(C2645,' Disaggregation - Section E '!A$618:J3334,9,0)="","",VLOOKUP(C2645,' Disaggregation - Section E '!A$618:J3334,9,0)),"")</f>
        <v/>
      </c>
      <c r="K2645" s="387" t="str">
        <f ca="1">IFERROR(VLOOKUP(C2645,' Disaggregation - Section E '!A$618:J3334,3,0),"")</f>
        <v>KP-6d Number of PWID who received any PrEP product at least once during the reporting period</v>
      </c>
      <c r="L2645" s="387"/>
      <c r="M2645" s="387" t="str">
        <f ca="1">IFERROR(IF(VLOOKUP(C2645,' Disaggregation - Section E '!A$618:O1657,15,0)=0,"",VLOOKUP(C2645,' Disaggregation - Section E '!A$618:O1657,15,0)),"")</f>
        <v/>
      </c>
      <c r="N2645" s="391" t="str">
        <f ca="1">IFERROR(IF(VLOOKUP(C2645,' Disaggregation - Section E '!A$618:J3334,10,0)=0,"",VLOOKUP(C2645,' Disaggregation - Section E '!A$618:J3334,10,0)),"")</f>
        <v/>
      </c>
      <c r="O2645" s="387"/>
      <c r="P2645" s="387" t="str">
        <f ca="1">IFERROR(IF(VLOOKUP(C2645,' Disaggregation - Section E '!A$618:R1657,18,0)=0,"",VLOOKUP(C2645,' Disaggregation - Section E '!A$618:R1657,18,0)),"")</f>
        <v/>
      </c>
    </row>
    <row r="2646" spans="1:16">
      <c r="A2646" s="387" t="b">
        <f t="shared" ca="1" si="172"/>
        <v>0</v>
      </c>
      <c r="B2646" s="387"/>
      <c r="C2646" s="396" t="str">
        <f ca="1">IF(COUNTA(O$1610:O2646)=1,"",OFFSET(B2644,-COUNTA(O$1610:O2646)+3,1))</f>
        <v>a16Dm000000M3wXIAS</v>
      </c>
      <c r="D2646" s="392"/>
      <c r="E2646" s="389" t="str">
        <f ca="1">IFERROR(IF(VLOOKUP(C2646,' Disaggregation - Section E '!A$618:J3335,7,0)="","",VLOOKUP(C2646,' Disaggregation - Section E '!A$618:J3335,7,0)*100),"")</f>
        <v/>
      </c>
      <c r="F2646" s="391" t="str">
        <f ca="1">IFERROR(VLOOKUP(C2646,' Disaggregation - Section E '!A$618:J3335,5,0),"")</f>
        <v/>
      </c>
      <c r="G2646" s="390" t="str">
        <f ca="1">IFERROR(IF(VLOOKUP(C2646,' Disaggregation - Section E '!A$618:J3335,6,0)="","",VLOOKUP(C2646,' Disaggregation - Section E '!A$618:J3335,6,0)),"")</f>
        <v/>
      </c>
      <c r="H2646" s="390" t="str">
        <f ca="1">IFERROR(IF(INDEX(' Disaggregation - Section E '!F$618:F3335,MATCH(C2646,' Disaggregation - Section E '!A$618:A3335,0)+1,1)&lt;&gt;0,INDEX(' Disaggregation - Section E '!F$618:F3335,MATCH(C2646,' Disaggregation - Section E '!A$618:A3335,0)+1,1),""),"")</f>
        <v/>
      </c>
      <c r="I2646" s="391" t="str">
        <f ca="1">IFERROR(IF(VLOOKUP(C2646,' Disaggregation - Section E '!A$618:J3335,8,0)=0,"",VLOOKUP(C2646,' Disaggregation - Section E '!A$618:J3335,8,0)),"")</f>
        <v/>
      </c>
      <c r="J2646" s="391" t="str">
        <f ca="1">IFERROR(IF(VLOOKUP(C2646,' Disaggregation - Section E '!A$618:J3335,9,0)="","",VLOOKUP(C2646,' Disaggregation - Section E '!A$618:J3335,9,0)),"")</f>
        <v/>
      </c>
      <c r="K2646" s="387" t="str">
        <f ca="1">IFERROR(VLOOKUP(C2646,' Disaggregation - Section E '!A$618:J3335,3,0),"")</f>
        <v>KP-6d Number of PWID who received any PrEP product at least once during the reporting period</v>
      </c>
      <c r="L2646" s="387"/>
      <c r="M2646" s="387" t="str">
        <f ca="1">IFERROR(IF(VLOOKUP(C2646,' Disaggregation - Section E '!A$618:O1658,15,0)=0,"",VLOOKUP(C2646,' Disaggregation - Section E '!A$618:O1658,15,0)),"")</f>
        <v/>
      </c>
      <c r="N2646" s="391" t="str">
        <f ca="1">IFERROR(IF(VLOOKUP(C2646,' Disaggregation - Section E '!A$618:J3335,10,0)=0,"",VLOOKUP(C2646,' Disaggregation - Section E '!A$618:J3335,10,0)),"")</f>
        <v/>
      </c>
      <c r="O2646" s="387"/>
      <c r="P2646" s="387" t="str">
        <f ca="1">IFERROR(IF(VLOOKUP(C2646,' Disaggregation - Section E '!A$618:R1658,18,0)=0,"",VLOOKUP(C2646,' Disaggregation - Section E '!A$618:R1658,18,0)),"")</f>
        <v/>
      </c>
    </row>
    <row r="2647" spans="1:16">
      <c r="A2647" s="387" t="b">
        <f t="shared" ca="1" si="172"/>
        <v>0</v>
      </c>
      <c r="B2647" s="387"/>
      <c r="C2647" s="396" t="str">
        <f ca="1">IF(COUNTA(O$1610:O2647)=1,"",OFFSET(B2645,-COUNTA(O$1610:O2647)+3,1))</f>
        <v>a16Dm000000M3wYIAS</v>
      </c>
      <c r="D2647" s="392"/>
      <c r="E2647" s="389" t="str">
        <f ca="1">IFERROR(IF(VLOOKUP(C2647,' Disaggregation - Section E '!A$618:J3336,7,0)="","",VLOOKUP(C2647,' Disaggregation - Section E '!A$618:J3336,7,0)*100),"")</f>
        <v/>
      </c>
      <c r="F2647" s="391" t="str">
        <f ca="1">IFERROR(VLOOKUP(C2647,' Disaggregation - Section E '!A$618:J3336,5,0),"")</f>
        <v/>
      </c>
      <c r="G2647" s="390" t="str">
        <f ca="1">IFERROR(IF(VLOOKUP(C2647,' Disaggregation - Section E '!A$618:J3336,6,0)="","",VLOOKUP(C2647,' Disaggregation - Section E '!A$618:J3336,6,0)),"")</f>
        <v/>
      </c>
      <c r="H2647" s="390" t="str">
        <f ca="1">IFERROR(IF(INDEX(' Disaggregation - Section E '!F$618:F3336,MATCH(C2647,' Disaggregation - Section E '!A$618:A3336,0)+1,1)&lt;&gt;0,INDEX(' Disaggregation - Section E '!F$618:F3336,MATCH(C2647,' Disaggregation - Section E '!A$618:A3336,0)+1,1),""),"")</f>
        <v/>
      </c>
      <c r="I2647" s="391" t="str">
        <f ca="1">IFERROR(IF(VLOOKUP(C2647,' Disaggregation - Section E '!A$618:J3336,8,0)=0,"",VLOOKUP(C2647,' Disaggregation - Section E '!A$618:J3336,8,0)),"")</f>
        <v/>
      </c>
      <c r="J2647" s="391" t="str">
        <f ca="1">IFERROR(IF(VLOOKUP(C2647,' Disaggregation - Section E '!A$618:J3336,9,0)="","",VLOOKUP(C2647,' Disaggregation - Section E '!A$618:J3336,9,0)),"")</f>
        <v/>
      </c>
      <c r="K2647" s="387" t="str">
        <f ca="1">IFERROR(VLOOKUP(C2647,' Disaggregation - Section E '!A$618:J3336,3,0),"")</f>
        <v>KP-6d Number of PWID who received any PrEP product at least once during the reporting period</v>
      </c>
      <c r="L2647" s="387"/>
      <c r="M2647" s="387" t="str">
        <f ca="1">IFERROR(IF(VLOOKUP(C2647,' Disaggregation - Section E '!A$618:O1659,15,0)=0,"",VLOOKUP(C2647,' Disaggregation - Section E '!A$618:O1659,15,0)),"")</f>
        <v/>
      </c>
      <c r="N2647" s="391" t="str">
        <f ca="1">IFERROR(IF(VLOOKUP(C2647,' Disaggregation - Section E '!A$618:J3336,10,0)=0,"",VLOOKUP(C2647,' Disaggregation - Section E '!A$618:J3336,10,0)),"")</f>
        <v/>
      </c>
      <c r="O2647" s="387"/>
      <c r="P2647" s="387" t="str">
        <f ca="1">IFERROR(IF(VLOOKUP(C2647,' Disaggregation - Section E '!A$618:R1659,18,0)=0,"",VLOOKUP(C2647,' Disaggregation - Section E '!A$618:R1659,18,0)),"")</f>
        <v/>
      </c>
    </row>
    <row r="2648" spans="1:16">
      <c r="A2648" s="387" t="b">
        <f t="shared" ca="1" si="172"/>
        <v>0</v>
      </c>
      <c r="B2648" s="387"/>
      <c r="C2648" s="396" t="str">
        <f ca="1">IF(COUNTA(O$1610:O2648)=1,"",OFFSET(B2646,-COUNTA(O$1610:O2648)+3,1))</f>
        <v>a16Dm000000M3wZIAS</v>
      </c>
      <c r="D2648" s="392"/>
      <c r="E2648" s="389" t="str">
        <f ca="1">IFERROR(IF(VLOOKUP(C2648,' Disaggregation - Section E '!A$618:J3337,7,0)="","",VLOOKUP(C2648,' Disaggregation - Section E '!A$618:J3337,7,0)*100),"")</f>
        <v/>
      </c>
      <c r="F2648" s="391" t="str">
        <f ca="1">IFERROR(VLOOKUP(C2648,' Disaggregation - Section E '!A$618:J3337,5,0),"")</f>
        <v/>
      </c>
      <c r="G2648" s="390" t="str">
        <f ca="1">IFERROR(IF(VLOOKUP(C2648,' Disaggregation - Section E '!A$618:J3337,6,0)="","",VLOOKUP(C2648,' Disaggregation - Section E '!A$618:J3337,6,0)),"")</f>
        <v/>
      </c>
      <c r="H2648" s="390" t="str">
        <f ca="1">IFERROR(IF(INDEX(' Disaggregation - Section E '!F$618:F3337,MATCH(C2648,' Disaggregation - Section E '!A$618:A3337,0)+1,1)&lt;&gt;0,INDEX(' Disaggregation - Section E '!F$618:F3337,MATCH(C2648,' Disaggregation - Section E '!A$618:A3337,0)+1,1),""),"")</f>
        <v/>
      </c>
      <c r="I2648" s="391" t="str">
        <f ca="1">IFERROR(IF(VLOOKUP(C2648,' Disaggregation - Section E '!A$618:J3337,8,0)=0,"",VLOOKUP(C2648,' Disaggregation - Section E '!A$618:J3337,8,0)),"")</f>
        <v/>
      </c>
      <c r="J2648" s="391" t="str">
        <f ca="1">IFERROR(IF(VLOOKUP(C2648,' Disaggregation - Section E '!A$618:J3337,9,0)="","",VLOOKUP(C2648,' Disaggregation - Section E '!A$618:J3337,9,0)),"")</f>
        <v/>
      </c>
      <c r="K2648" s="387" t="str">
        <f ca="1">IFERROR(VLOOKUP(C2648,' Disaggregation - Section E '!A$618:J3337,3,0),"")</f>
        <v>KP-6d Number of PWID who received any PrEP product at least once during the reporting period</v>
      </c>
      <c r="L2648" s="387"/>
      <c r="M2648" s="387" t="str">
        <f ca="1">IFERROR(IF(VLOOKUP(C2648,' Disaggregation - Section E '!A$618:O1660,15,0)=0,"",VLOOKUP(C2648,' Disaggregation - Section E '!A$618:O1660,15,0)),"")</f>
        <v/>
      </c>
      <c r="N2648" s="391" t="str">
        <f ca="1">IFERROR(IF(VLOOKUP(C2648,' Disaggregation - Section E '!A$618:J3337,10,0)=0,"",VLOOKUP(C2648,' Disaggregation - Section E '!A$618:J3337,10,0)),"")</f>
        <v/>
      </c>
      <c r="O2648" s="387"/>
      <c r="P2648" s="387" t="str">
        <f ca="1">IFERROR(IF(VLOOKUP(C2648,' Disaggregation - Section E '!A$618:R1660,18,0)=0,"",VLOOKUP(C2648,' Disaggregation - Section E '!A$618:R1660,18,0)),"")</f>
        <v/>
      </c>
    </row>
    <row r="2649" spans="1:16">
      <c r="A2649" s="387" t="b">
        <f t="shared" ca="1" si="172"/>
        <v>0</v>
      </c>
      <c r="B2649" s="387"/>
      <c r="C2649" s="396" t="str">
        <f ca="1">IF(COUNTA(O$1610:O2649)=1,"",OFFSET(B2647,-COUNTA(O$1610:O2649)+3,1))</f>
        <v>a16Dm000000M3waIAC</v>
      </c>
      <c r="D2649" s="392"/>
      <c r="E2649" s="389" t="str">
        <f ca="1">IFERROR(IF(VLOOKUP(C2649,' Disaggregation - Section E '!A$618:J3338,7,0)="","",VLOOKUP(C2649,' Disaggregation - Section E '!A$618:J3338,7,0)*100),"")</f>
        <v/>
      </c>
      <c r="F2649" s="391" t="str">
        <f ca="1">IFERROR(VLOOKUP(C2649,' Disaggregation - Section E '!A$618:J3338,5,0),"")</f>
        <v/>
      </c>
      <c r="G2649" s="390" t="str">
        <f ca="1">IFERROR(IF(VLOOKUP(C2649,' Disaggregation - Section E '!A$618:J3338,6,0)="","",VLOOKUP(C2649,' Disaggregation - Section E '!A$618:J3338,6,0)),"")</f>
        <v/>
      </c>
      <c r="H2649" s="390" t="str">
        <f ca="1">IFERROR(IF(INDEX(' Disaggregation - Section E '!F$618:F3338,MATCH(C2649,' Disaggregation - Section E '!A$618:A3338,0)+1,1)&lt;&gt;0,INDEX(' Disaggregation - Section E '!F$618:F3338,MATCH(C2649,' Disaggregation - Section E '!A$618:A3338,0)+1,1),""),"")</f>
        <v/>
      </c>
      <c r="I2649" s="391" t="str">
        <f ca="1">IFERROR(IF(VLOOKUP(C2649,' Disaggregation - Section E '!A$618:J3338,8,0)=0,"",VLOOKUP(C2649,' Disaggregation - Section E '!A$618:J3338,8,0)),"")</f>
        <v/>
      </c>
      <c r="J2649" s="391" t="str">
        <f ca="1">IFERROR(IF(VLOOKUP(C2649,' Disaggregation - Section E '!A$618:J3338,9,0)="","",VLOOKUP(C2649,' Disaggregation - Section E '!A$618:J3338,9,0)),"")</f>
        <v/>
      </c>
      <c r="K2649" s="387" t="str">
        <f ca="1">IFERROR(VLOOKUP(C2649,' Disaggregation - Section E '!A$618:J3338,3,0),"")</f>
        <v>KP-6d Number of PWID who received any PrEP product at least once during the reporting period</v>
      </c>
      <c r="L2649" s="387"/>
      <c r="M2649" s="387" t="str">
        <f ca="1">IFERROR(IF(VLOOKUP(C2649,' Disaggregation - Section E '!A$618:O1661,15,0)=0,"",VLOOKUP(C2649,' Disaggregation - Section E '!A$618:O1661,15,0)),"")</f>
        <v/>
      </c>
      <c r="N2649" s="391" t="str">
        <f ca="1">IFERROR(IF(VLOOKUP(C2649,' Disaggregation - Section E '!A$618:J3338,10,0)=0,"",VLOOKUP(C2649,' Disaggregation - Section E '!A$618:J3338,10,0)),"")</f>
        <v/>
      </c>
      <c r="O2649" s="387"/>
      <c r="P2649" s="387" t="str">
        <f ca="1">IFERROR(IF(VLOOKUP(C2649,' Disaggregation - Section E '!A$618:R1661,18,0)=0,"",VLOOKUP(C2649,' Disaggregation - Section E '!A$618:R1661,18,0)),"")</f>
        <v/>
      </c>
    </row>
    <row r="2650" spans="1:16">
      <c r="A2650" s="387" t="b">
        <f t="shared" ca="1" si="172"/>
        <v>0</v>
      </c>
      <c r="B2650" s="387"/>
      <c r="C2650" s="396" t="str">
        <f ca="1">IF(COUNTA(O$1610:O2650)=1,"",OFFSET(B2648,-COUNTA(O$1610:O2650)+3,1))</f>
        <v>a16Dm000000M3wbIAC</v>
      </c>
      <c r="D2650" s="392"/>
      <c r="E2650" s="389" t="str">
        <f ca="1">IFERROR(IF(VLOOKUP(C2650,' Disaggregation - Section E '!A$618:J3339,7,0)="","",VLOOKUP(C2650,' Disaggregation - Section E '!A$618:J3339,7,0)*100),"")</f>
        <v/>
      </c>
      <c r="F2650" s="391" t="str">
        <f ca="1">IFERROR(VLOOKUP(C2650,' Disaggregation - Section E '!A$618:J3339,5,0),"")</f>
        <v/>
      </c>
      <c r="G2650" s="390" t="str">
        <f ca="1">IFERROR(IF(VLOOKUP(C2650,' Disaggregation - Section E '!A$618:J3339,6,0)="","",VLOOKUP(C2650,' Disaggregation - Section E '!A$618:J3339,6,0)),"")</f>
        <v/>
      </c>
      <c r="H2650" s="390" t="str">
        <f ca="1">IFERROR(IF(INDEX(' Disaggregation - Section E '!F$618:F3339,MATCH(C2650,' Disaggregation - Section E '!A$618:A3339,0)+1,1)&lt;&gt;0,INDEX(' Disaggregation - Section E '!F$618:F3339,MATCH(C2650,' Disaggregation - Section E '!A$618:A3339,0)+1,1),""),"")</f>
        <v/>
      </c>
      <c r="I2650" s="391" t="str">
        <f ca="1">IFERROR(IF(VLOOKUP(C2650,' Disaggregation - Section E '!A$618:J3339,8,0)=0,"",VLOOKUP(C2650,' Disaggregation - Section E '!A$618:J3339,8,0)),"")</f>
        <v/>
      </c>
      <c r="J2650" s="391" t="str">
        <f ca="1">IFERROR(IF(VLOOKUP(C2650,' Disaggregation - Section E '!A$618:J3339,9,0)="","",VLOOKUP(C2650,' Disaggregation - Section E '!A$618:J3339,9,0)),"")</f>
        <v/>
      </c>
      <c r="K2650" s="387" t="str">
        <f ca="1">IFERROR(VLOOKUP(C2650,' Disaggregation - Section E '!A$618:J3339,3,0),"")</f>
        <v>KP-6d Number of PWID who received any PrEP product at least once during the reporting period</v>
      </c>
      <c r="L2650" s="387"/>
      <c r="M2650" s="387" t="str">
        <f ca="1">IFERROR(IF(VLOOKUP(C2650,' Disaggregation - Section E '!A$618:O1662,15,0)=0,"",VLOOKUP(C2650,' Disaggregation - Section E '!A$618:O1662,15,0)),"")</f>
        <v/>
      </c>
      <c r="N2650" s="391" t="str">
        <f ca="1">IFERROR(IF(VLOOKUP(C2650,' Disaggregation - Section E '!A$618:J3339,10,0)=0,"",VLOOKUP(C2650,' Disaggregation - Section E '!A$618:J3339,10,0)),"")</f>
        <v/>
      </c>
      <c r="O2650" s="387"/>
      <c r="P2650" s="387" t="str">
        <f ca="1">IFERROR(IF(VLOOKUP(C2650,' Disaggregation - Section E '!A$618:R1662,18,0)=0,"",VLOOKUP(C2650,' Disaggregation - Section E '!A$618:R1662,18,0)),"")</f>
        <v/>
      </c>
    </row>
    <row r="2651" spans="1:16">
      <c r="A2651" s="387" t="b">
        <f t="shared" ca="1" si="172"/>
        <v>0</v>
      </c>
      <c r="B2651" s="387"/>
      <c r="C2651" s="396" t="str">
        <f ca="1">IF(COUNTA(O$1610:O2651)=1,"",OFFSET(B2649,-COUNTA(O$1610:O2651)+3,1))</f>
        <v>a16Dm000000M3wcIAC</v>
      </c>
      <c r="D2651" s="392"/>
      <c r="E2651" s="389" t="str">
        <f ca="1">IFERROR(IF(VLOOKUP(C2651,' Disaggregation - Section E '!A$618:J3340,7,0)="","",VLOOKUP(C2651,' Disaggregation - Section E '!A$618:J3340,7,0)*100),"")</f>
        <v/>
      </c>
      <c r="F2651" s="391" t="str">
        <f ca="1">IFERROR(VLOOKUP(C2651,' Disaggregation - Section E '!A$618:J3340,5,0),"")</f>
        <v/>
      </c>
      <c r="G2651" s="390" t="str">
        <f ca="1">IFERROR(IF(VLOOKUP(C2651,' Disaggregation - Section E '!A$618:J3340,6,0)="","",VLOOKUP(C2651,' Disaggregation - Section E '!A$618:J3340,6,0)),"")</f>
        <v/>
      </c>
      <c r="H2651" s="390" t="str">
        <f ca="1">IFERROR(IF(INDEX(' Disaggregation - Section E '!F$618:F3340,MATCH(C2651,' Disaggregation - Section E '!A$618:A3340,0)+1,1)&lt;&gt;0,INDEX(' Disaggregation - Section E '!F$618:F3340,MATCH(C2651,' Disaggregation - Section E '!A$618:A3340,0)+1,1),""),"")</f>
        <v/>
      </c>
      <c r="I2651" s="391" t="str">
        <f ca="1">IFERROR(IF(VLOOKUP(C2651,' Disaggregation - Section E '!A$618:J3340,8,0)=0,"",VLOOKUP(C2651,' Disaggregation - Section E '!A$618:J3340,8,0)),"")</f>
        <v/>
      </c>
      <c r="J2651" s="391" t="str">
        <f ca="1">IFERROR(IF(VLOOKUP(C2651,' Disaggregation - Section E '!A$618:J3340,9,0)="","",VLOOKUP(C2651,' Disaggregation - Section E '!A$618:J3340,9,0)),"")</f>
        <v/>
      </c>
      <c r="K2651" s="387" t="str">
        <f ca="1">IFERROR(VLOOKUP(C2651,' Disaggregation - Section E '!A$618:J3340,3,0),"")</f>
        <v>KP-6d Number of PWID who received any PrEP product at least once during the reporting period</v>
      </c>
      <c r="L2651" s="387"/>
      <c r="M2651" s="387" t="str">
        <f ca="1">IFERROR(IF(VLOOKUP(C2651,' Disaggregation - Section E '!A$618:O1663,15,0)=0,"",VLOOKUP(C2651,' Disaggregation - Section E '!A$618:O1663,15,0)),"")</f>
        <v/>
      </c>
      <c r="N2651" s="391" t="str">
        <f ca="1">IFERROR(IF(VLOOKUP(C2651,' Disaggregation - Section E '!A$618:J3340,10,0)=0,"",VLOOKUP(C2651,' Disaggregation - Section E '!A$618:J3340,10,0)),"")</f>
        <v/>
      </c>
      <c r="O2651" s="387"/>
      <c r="P2651" s="387" t="str">
        <f ca="1">IFERROR(IF(VLOOKUP(C2651,' Disaggregation - Section E '!A$618:R1663,18,0)=0,"",VLOOKUP(C2651,' Disaggregation - Section E '!A$618:R1663,18,0)),"")</f>
        <v/>
      </c>
    </row>
    <row r="2652" spans="1:16">
      <c r="A2652" s="387" t="b">
        <f t="shared" ca="1" si="172"/>
        <v>0</v>
      </c>
      <c r="B2652" s="387"/>
      <c r="C2652" s="396" t="str">
        <f ca="1">IF(COUNTA(O$1610:O2652)=1,"",OFFSET(B2650,-COUNTA(O$1610:O2652)+3,1))</f>
        <v>a16Dm000000M3wdIAC</v>
      </c>
      <c r="D2652" s="392"/>
      <c r="E2652" s="389" t="str">
        <f ca="1">IFERROR(IF(VLOOKUP(C2652,' Disaggregation - Section E '!A$618:J3341,7,0)="","",VLOOKUP(C2652,' Disaggregation - Section E '!A$618:J3341,7,0)*100),"")</f>
        <v/>
      </c>
      <c r="F2652" s="391" t="str">
        <f ca="1">IFERROR(VLOOKUP(C2652,' Disaggregation - Section E '!A$618:J3341,5,0),"")</f>
        <v/>
      </c>
      <c r="G2652" s="390" t="str">
        <f ca="1">IFERROR(IF(VLOOKUP(C2652,' Disaggregation - Section E '!A$618:J3341,6,0)="","",VLOOKUP(C2652,' Disaggregation - Section E '!A$618:J3341,6,0)),"")</f>
        <v/>
      </c>
      <c r="H2652" s="390" t="str">
        <f ca="1">IFERROR(IF(INDEX(' Disaggregation - Section E '!F$618:F3341,MATCH(C2652,' Disaggregation - Section E '!A$618:A3341,0)+1,1)&lt;&gt;0,INDEX(' Disaggregation - Section E '!F$618:F3341,MATCH(C2652,' Disaggregation - Section E '!A$618:A3341,0)+1,1),""),"")</f>
        <v/>
      </c>
      <c r="I2652" s="391" t="str">
        <f ca="1">IFERROR(IF(VLOOKUP(C2652,' Disaggregation - Section E '!A$618:J3341,8,0)=0,"",VLOOKUP(C2652,' Disaggregation - Section E '!A$618:J3341,8,0)),"")</f>
        <v/>
      </c>
      <c r="J2652" s="391" t="str">
        <f ca="1">IFERROR(IF(VLOOKUP(C2652,' Disaggregation - Section E '!A$618:J3341,9,0)="","",VLOOKUP(C2652,' Disaggregation - Section E '!A$618:J3341,9,0)),"")</f>
        <v/>
      </c>
      <c r="K2652" s="387" t="str">
        <f ca="1">IFERROR(VLOOKUP(C2652,' Disaggregation - Section E '!A$618:J3341,3,0),"")</f>
        <v>KP-1f Number of people in prisons and other closed settings reached with HIV prevention programs - defined package of services</v>
      </c>
      <c r="L2652" s="387"/>
      <c r="M2652" s="387" t="str">
        <f ca="1">IFERROR(IF(VLOOKUP(C2652,' Disaggregation - Section E '!A$618:O1664,15,0)=0,"",VLOOKUP(C2652,' Disaggregation - Section E '!A$618:O1664,15,0)),"")</f>
        <v/>
      </c>
      <c r="N2652" s="391" t="str">
        <f ca="1">IFERROR(IF(VLOOKUP(C2652,' Disaggregation - Section E '!A$618:J3341,10,0)=0,"",VLOOKUP(C2652,' Disaggregation - Section E '!A$618:J3341,10,0)),"")</f>
        <v/>
      </c>
      <c r="O2652" s="387"/>
      <c r="P2652" s="387" t="str">
        <f ca="1">IFERROR(IF(VLOOKUP(C2652,' Disaggregation - Section E '!A$618:R1664,18,0)=0,"",VLOOKUP(C2652,' Disaggregation - Section E '!A$618:R1664,18,0)),"")</f>
        <v/>
      </c>
    </row>
    <row r="2653" spans="1:16">
      <c r="A2653" s="387" t="b">
        <f t="shared" ca="1" si="172"/>
        <v>0</v>
      </c>
      <c r="B2653" s="387"/>
      <c r="C2653" s="396" t="str">
        <f ca="1">IF(COUNTA(O$1610:O2653)=1,"",OFFSET(B2651,-COUNTA(O$1610:O2653)+3,1))</f>
        <v>a16Dm000000M3weIAC</v>
      </c>
      <c r="D2653" s="392"/>
      <c r="E2653" s="389" t="str">
        <f ca="1">IFERROR(IF(VLOOKUP(C2653,' Disaggregation - Section E '!A$618:J3342,7,0)="","",VLOOKUP(C2653,' Disaggregation - Section E '!A$618:J3342,7,0)*100),"")</f>
        <v/>
      </c>
      <c r="F2653" s="391" t="str">
        <f ca="1">IFERROR(VLOOKUP(C2653,' Disaggregation - Section E '!A$618:J3342,5,0),"")</f>
        <v/>
      </c>
      <c r="G2653" s="390" t="str">
        <f ca="1">IFERROR(IF(VLOOKUP(C2653,' Disaggregation - Section E '!A$618:J3342,6,0)="","",VLOOKUP(C2653,' Disaggregation - Section E '!A$618:J3342,6,0)),"")</f>
        <v/>
      </c>
      <c r="H2653" s="390" t="str">
        <f ca="1">IFERROR(IF(INDEX(' Disaggregation - Section E '!F$618:F3342,MATCH(C2653,' Disaggregation - Section E '!A$618:A3342,0)+1,1)&lt;&gt;0,INDEX(' Disaggregation - Section E '!F$618:F3342,MATCH(C2653,' Disaggregation - Section E '!A$618:A3342,0)+1,1),""),"")</f>
        <v/>
      </c>
      <c r="I2653" s="391" t="str">
        <f ca="1">IFERROR(IF(VLOOKUP(C2653,' Disaggregation - Section E '!A$618:J3342,8,0)=0,"",VLOOKUP(C2653,' Disaggregation - Section E '!A$618:J3342,8,0)),"")</f>
        <v/>
      </c>
      <c r="J2653" s="391" t="str">
        <f ca="1">IFERROR(IF(VLOOKUP(C2653,' Disaggregation - Section E '!A$618:J3342,9,0)="","",VLOOKUP(C2653,' Disaggregation - Section E '!A$618:J3342,9,0)),"")</f>
        <v/>
      </c>
      <c r="K2653" s="387" t="str">
        <f ca="1">IFERROR(VLOOKUP(C2653,' Disaggregation - Section E '!A$618:J3342,3,0),"")</f>
        <v/>
      </c>
      <c r="L2653" s="387"/>
      <c r="M2653" s="387" t="str">
        <f ca="1">IFERROR(IF(VLOOKUP(C2653,' Disaggregation - Section E '!A$618:O1665,15,0)=0,"",VLOOKUP(C2653,' Disaggregation - Section E '!A$618:O1665,15,0)),"")</f>
        <v/>
      </c>
      <c r="N2653" s="391" t="str">
        <f ca="1">IFERROR(IF(VLOOKUP(C2653,' Disaggregation - Section E '!A$618:J3342,10,0)=0,"",VLOOKUP(C2653,' Disaggregation - Section E '!A$618:J3342,10,0)),"")</f>
        <v/>
      </c>
      <c r="O2653" s="387"/>
      <c r="P2653" s="387" t="str">
        <f ca="1">IFERROR(IF(VLOOKUP(C2653,' Disaggregation - Section E '!A$618:R1665,18,0)=0,"",VLOOKUP(C2653,' Disaggregation - Section E '!A$618:R1665,18,0)),"")</f>
        <v/>
      </c>
    </row>
    <row r="2654" spans="1:16">
      <c r="A2654" s="387" t="b">
        <f t="shared" ca="1" si="172"/>
        <v>0</v>
      </c>
      <c r="B2654" s="387"/>
      <c r="C2654" s="396" t="str">
        <f ca="1">IF(COUNTA(O$1610:O2654)=1,"",OFFSET(B2652,-COUNTA(O$1610:O2654)+3,1))</f>
        <v>a16Dm000000M3wfIAC</v>
      </c>
      <c r="D2654" s="392"/>
      <c r="E2654" s="389" t="str">
        <f ca="1">IFERROR(IF(VLOOKUP(C2654,' Disaggregation - Section E '!A$618:J3343,7,0)="","",VLOOKUP(C2654,' Disaggregation - Section E '!A$618:J3343,7,0)*100),"")</f>
        <v/>
      </c>
      <c r="F2654" s="391" t="str">
        <f ca="1">IFERROR(VLOOKUP(C2654,' Disaggregation - Section E '!A$618:J3343,5,0),"")</f>
        <v/>
      </c>
      <c r="G2654" s="390" t="str">
        <f ca="1">IFERROR(IF(VLOOKUP(C2654,' Disaggregation - Section E '!A$618:J3343,6,0)="","",VLOOKUP(C2654,' Disaggregation - Section E '!A$618:J3343,6,0)),"")</f>
        <v/>
      </c>
      <c r="H2654" s="390" t="str">
        <f ca="1">IFERROR(IF(INDEX(' Disaggregation - Section E '!F$618:F3343,MATCH(C2654,' Disaggregation - Section E '!A$618:A3343,0)+1,1)&lt;&gt;0,INDEX(' Disaggregation - Section E '!F$618:F3343,MATCH(C2654,' Disaggregation - Section E '!A$618:A3343,0)+1,1),""),"")</f>
        <v/>
      </c>
      <c r="I2654" s="391" t="str">
        <f ca="1">IFERROR(IF(VLOOKUP(C2654,' Disaggregation - Section E '!A$618:J3343,8,0)=0,"",VLOOKUP(C2654,' Disaggregation - Section E '!A$618:J3343,8,0)),"")</f>
        <v/>
      </c>
      <c r="J2654" s="391" t="str">
        <f ca="1">IFERROR(IF(VLOOKUP(C2654,' Disaggregation - Section E '!A$618:J3343,9,0)="","",VLOOKUP(C2654,' Disaggregation - Section E '!A$618:J3343,9,0)),"")</f>
        <v/>
      </c>
      <c r="K2654" s="387" t="str">
        <f ca="1">IFERROR(VLOOKUP(C2654,' Disaggregation - Section E '!A$618:J3343,3,0),"")</f>
        <v>KP-1f Number of people in prisons and other closed settings reached with HIV prevention programs - defined package of services</v>
      </c>
      <c r="L2654" s="387"/>
      <c r="M2654" s="387" t="str">
        <f ca="1">IFERROR(IF(VLOOKUP(C2654,' Disaggregation - Section E '!A$618:O1666,15,0)=0,"",VLOOKUP(C2654,' Disaggregation - Section E '!A$618:O1666,15,0)),"")</f>
        <v/>
      </c>
      <c r="N2654" s="391" t="str">
        <f ca="1">IFERROR(IF(VLOOKUP(C2654,' Disaggregation - Section E '!A$618:J3343,10,0)=0,"",VLOOKUP(C2654,' Disaggregation - Section E '!A$618:J3343,10,0)),"")</f>
        <v/>
      </c>
      <c r="O2654" s="387"/>
      <c r="P2654" s="387" t="str">
        <f ca="1">IFERROR(IF(VLOOKUP(C2654,' Disaggregation - Section E '!A$618:R1666,18,0)=0,"",VLOOKUP(C2654,' Disaggregation - Section E '!A$618:R1666,18,0)),"")</f>
        <v/>
      </c>
    </row>
    <row r="2655" spans="1:16">
      <c r="A2655" s="387" t="b">
        <f t="shared" ca="1" si="172"/>
        <v>0</v>
      </c>
      <c r="B2655" s="387"/>
      <c r="C2655" s="396" t="str">
        <f ca="1">IF(COUNTA(O$1610:O2655)=1,"",OFFSET(B2653,-COUNTA(O$1610:O2655)+3,1))</f>
        <v>a16Dm000000M3wgIAC</v>
      </c>
      <c r="D2655" s="392"/>
      <c r="E2655" s="389" t="str">
        <f ca="1">IFERROR(IF(VLOOKUP(C2655,' Disaggregation - Section E '!A$618:J3344,7,0)="","",VLOOKUP(C2655,' Disaggregation - Section E '!A$618:J3344,7,0)*100),"")</f>
        <v/>
      </c>
      <c r="F2655" s="391" t="str">
        <f ca="1">IFERROR(VLOOKUP(C2655,' Disaggregation - Section E '!A$618:J3344,5,0),"")</f>
        <v/>
      </c>
      <c r="G2655" s="390" t="str">
        <f ca="1">IFERROR(IF(VLOOKUP(C2655,' Disaggregation - Section E '!A$618:J3344,6,0)="","",VLOOKUP(C2655,' Disaggregation - Section E '!A$618:J3344,6,0)),"")</f>
        <v/>
      </c>
      <c r="H2655" s="390" t="str">
        <f ca="1">IFERROR(IF(INDEX(' Disaggregation - Section E '!F$618:F3344,MATCH(C2655,' Disaggregation - Section E '!A$618:A3344,0)+1,1)&lt;&gt;0,INDEX(' Disaggregation - Section E '!F$618:F3344,MATCH(C2655,' Disaggregation - Section E '!A$618:A3344,0)+1,1),""),"")</f>
        <v/>
      </c>
      <c r="I2655" s="391" t="str">
        <f ca="1">IFERROR(IF(VLOOKUP(C2655,' Disaggregation - Section E '!A$618:J3344,8,0)=0,"",VLOOKUP(C2655,' Disaggregation - Section E '!A$618:J3344,8,0)),"")</f>
        <v/>
      </c>
      <c r="J2655" s="391" t="str">
        <f ca="1">IFERROR(IF(VLOOKUP(C2655,' Disaggregation - Section E '!A$618:J3344,9,0)="","",VLOOKUP(C2655,' Disaggregation - Section E '!A$618:J3344,9,0)),"")</f>
        <v/>
      </c>
      <c r="K2655" s="387" t="str">
        <f ca="1">IFERROR(VLOOKUP(C2655,' Disaggregation - Section E '!A$618:J3344,3,0),"")</f>
        <v>KP-1f Number of people in prisons and other closed settings reached with HIV prevention programs - defined package of services</v>
      </c>
      <c r="L2655" s="387"/>
      <c r="M2655" s="387" t="str">
        <f ca="1">IFERROR(IF(VLOOKUP(C2655,' Disaggregation - Section E '!A$618:O1667,15,0)=0,"",VLOOKUP(C2655,' Disaggregation - Section E '!A$618:O1667,15,0)),"")</f>
        <v/>
      </c>
      <c r="N2655" s="391" t="str">
        <f ca="1">IFERROR(IF(VLOOKUP(C2655,' Disaggregation - Section E '!A$618:J3344,10,0)=0,"",VLOOKUP(C2655,' Disaggregation - Section E '!A$618:J3344,10,0)),"")</f>
        <v/>
      </c>
      <c r="O2655" s="387"/>
      <c r="P2655" s="387" t="str">
        <f ca="1">IFERROR(IF(VLOOKUP(C2655,' Disaggregation - Section E '!A$618:R1667,18,0)=0,"",VLOOKUP(C2655,' Disaggregation - Section E '!A$618:R1667,18,0)),"")</f>
        <v/>
      </c>
    </row>
    <row r="2656" spans="1:16">
      <c r="A2656" s="387" t="b">
        <f t="shared" ca="1" si="172"/>
        <v>0</v>
      </c>
      <c r="B2656" s="387"/>
      <c r="C2656" s="396" t="str">
        <f ca="1">IF(COUNTA(O$1610:O2656)=1,"",OFFSET(B2654,-COUNTA(O$1610:O2656)+3,1))</f>
        <v>a16Dm000000M3whIAC</v>
      </c>
      <c r="D2656" s="392"/>
      <c r="E2656" s="389" t="str">
        <f ca="1">IFERROR(IF(VLOOKUP(C2656,' Disaggregation - Section E '!A$618:J3345,7,0)="","",VLOOKUP(C2656,' Disaggregation - Section E '!A$618:J3345,7,0)*100),"")</f>
        <v/>
      </c>
      <c r="F2656" s="391" t="str">
        <f ca="1">IFERROR(VLOOKUP(C2656,' Disaggregation - Section E '!A$618:J3345,5,0),"")</f>
        <v/>
      </c>
      <c r="G2656" s="390" t="str">
        <f ca="1">IFERROR(IF(VLOOKUP(C2656,' Disaggregation - Section E '!A$618:J3345,6,0)="","",VLOOKUP(C2656,' Disaggregation - Section E '!A$618:J3345,6,0)),"")</f>
        <v/>
      </c>
      <c r="H2656" s="390" t="str">
        <f ca="1">IFERROR(IF(INDEX(' Disaggregation - Section E '!F$618:F3345,MATCH(C2656,' Disaggregation - Section E '!A$618:A3345,0)+1,1)&lt;&gt;0,INDEX(' Disaggregation - Section E '!F$618:F3345,MATCH(C2656,' Disaggregation - Section E '!A$618:A3345,0)+1,1),""),"")</f>
        <v/>
      </c>
      <c r="I2656" s="391" t="str">
        <f ca="1">IFERROR(IF(VLOOKUP(C2656,' Disaggregation - Section E '!A$618:J3345,8,0)=0,"",VLOOKUP(C2656,' Disaggregation - Section E '!A$618:J3345,8,0)),"")</f>
        <v/>
      </c>
      <c r="J2656" s="391" t="str">
        <f ca="1">IFERROR(IF(VLOOKUP(C2656,' Disaggregation - Section E '!A$618:J3345,9,0)="","",VLOOKUP(C2656,' Disaggregation - Section E '!A$618:J3345,9,0)),"")</f>
        <v/>
      </c>
      <c r="K2656" s="387" t="str">
        <f ca="1">IFERROR(VLOOKUP(C2656,' Disaggregation - Section E '!A$618:J3345,3,0),"")</f>
        <v>KP-1f Number of people in prisons and other closed settings reached with HIV prevention programs - defined package of services</v>
      </c>
      <c r="L2656" s="387"/>
      <c r="M2656" s="387" t="str">
        <f ca="1">IFERROR(IF(VLOOKUP(C2656,' Disaggregation - Section E '!A$618:O1668,15,0)=0,"",VLOOKUP(C2656,' Disaggregation - Section E '!A$618:O1668,15,0)),"")</f>
        <v/>
      </c>
      <c r="N2656" s="391" t="str">
        <f ca="1">IFERROR(IF(VLOOKUP(C2656,' Disaggregation - Section E '!A$618:J3345,10,0)=0,"",VLOOKUP(C2656,' Disaggregation - Section E '!A$618:J3345,10,0)),"")</f>
        <v/>
      </c>
      <c r="O2656" s="387"/>
      <c r="P2656" s="387" t="str">
        <f ca="1">IFERROR(IF(VLOOKUP(C2656,' Disaggregation - Section E '!A$618:R1668,18,0)=0,"",VLOOKUP(C2656,' Disaggregation - Section E '!A$618:R1668,18,0)),"")</f>
        <v/>
      </c>
    </row>
    <row r="2657" spans="1:16">
      <c r="A2657" s="387" t="b">
        <f t="shared" ca="1" si="172"/>
        <v>0</v>
      </c>
      <c r="B2657" s="387"/>
      <c r="C2657" s="396" t="str">
        <f ca="1">IF(COUNTA(O$1610:O2657)=1,"",OFFSET(B2655,-COUNTA(O$1610:O2657)+3,1))</f>
        <v>a16Dm000000M3wiIAC</v>
      </c>
      <c r="D2657" s="392"/>
      <c r="E2657" s="389" t="str">
        <f ca="1">IFERROR(IF(VLOOKUP(C2657,' Disaggregation - Section E '!A$618:J3346,7,0)="","",VLOOKUP(C2657,' Disaggregation - Section E '!A$618:J3346,7,0)*100),"")</f>
        <v/>
      </c>
      <c r="F2657" s="391" t="str">
        <f ca="1">IFERROR(VLOOKUP(C2657,' Disaggregation - Section E '!A$618:J3346,5,0),"")</f>
        <v/>
      </c>
      <c r="G2657" s="390" t="str">
        <f ca="1">IFERROR(IF(VLOOKUP(C2657,' Disaggregation - Section E '!A$618:J3346,6,0)="","",VLOOKUP(C2657,' Disaggregation - Section E '!A$618:J3346,6,0)),"")</f>
        <v/>
      </c>
      <c r="H2657" s="390" t="str">
        <f ca="1">IFERROR(IF(INDEX(' Disaggregation - Section E '!F$618:F3346,MATCH(C2657,' Disaggregation - Section E '!A$618:A3346,0)+1,1)&lt;&gt;0,INDEX(' Disaggregation - Section E '!F$618:F3346,MATCH(C2657,' Disaggregation - Section E '!A$618:A3346,0)+1,1),""),"")</f>
        <v/>
      </c>
      <c r="I2657" s="391" t="str">
        <f ca="1">IFERROR(IF(VLOOKUP(C2657,' Disaggregation - Section E '!A$618:J3346,8,0)=0,"",VLOOKUP(C2657,' Disaggregation - Section E '!A$618:J3346,8,0)),"")</f>
        <v/>
      </c>
      <c r="J2657" s="391" t="str">
        <f ca="1">IFERROR(IF(VLOOKUP(C2657,' Disaggregation - Section E '!A$618:J3346,9,0)="","",VLOOKUP(C2657,' Disaggregation - Section E '!A$618:J3346,9,0)),"")</f>
        <v/>
      </c>
      <c r="K2657" s="387" t="str">
        <f ca="1">IFERROR(VLOOKUP(C2657,' Disaggregation - Section E '!A$618:J3346,3,0),"")</f>
        <v>KP-1f Number of people in prisons and other closed settings reached with HIV prevention programs - defined package of services</v>
      </c>
      <c r="L2657" s="387"/>
      <c r="M2657" s="387" t="str">
        <f ca="1">IFERROR(IF(VLOOKUP(C2657,' Disaggregation - Section E '!A$618:O1669,15,0)=0,"",VLOOKUP(C2657,' Disaggregation - Section E '!A$618:O1669,15,0)),"")</f>
        <v/>
      </c>
      <c r="N2657" s="391" t="str">
        <f ca="1">IFERROR(IF(VLOOKUP(C2657,' Disaggregation - Section E '!A$618:J3346,10,0)=0,"",VLOOKUP(C2657,' Disaggregation - Section E '!A$618:J3346,10,0)),"")</f>
        <v/>
      </c>
      <c r="O2657" s="387"/>
      <c r="P2657" s="387" t="str">
        <f ca="1">IFERROR(IF(VLOOKUP(C2657,' Disaggregation - Section E '!A$618:R1669,18,0)=0,"",VLOOKUP(C2657,' Disaggregation - Section E '!A$618:R1669,18,0)),"")</f>
        <v/>
      </c>
    </row>
    <row r="2658" spans="1:16">
      <c r="A2658" s="387" t="b">
        <f t="shared" ca="1" si="172"/>
        <v>0</v>
      </c>
      <c r="B2658" s="387"/>
      <c r="C2658" s="396" t="str">
        <f ca="1">IF(COUNTA(O$1610:O2658)=1,"",OFFSET(B2656,-COUNTA(O$1610:O2658)+3,1))</f>
        <v>a16Dm000000M3wjIAC</v>
      </c>
      <c r="D2658" s="392"/>
      <c r="E2658" s="389" t="str">
        <f ca="1">IFERROR(IF(VLOOKUP(C2658,' Disaggregation - Section E '!A$618:J3347,7,0)="","",VLOOKUP(C2658,' Disaggregation - Section E '!A$618:J3347,7,0)*100),"")</f>
        <v/>
      </c>
      <c r="F2658" s="391" t="str">
        <f ca="1">IFERROR(VLOOKUP(C2658,' Disaggregation - Section E '!A$618:J3347,5,0),"")</f>
        <v/>
      </c>
      <c r="G2658" s="390" t="str">
        <f ca="1">IFERROR(IF(VLOOKUP(C2658,' Disaggregation - Section E '!A$618:J3347,6,0)="","",VLOOKUP(C2658,' Disaggregation - Section E '!A$618:J3347,6,0)),"")</f>
        <v/>
      </c>
      <c r="H2658" s="390" t="str">
        <f ca="1">IFERROR(IF(INDEX(' Disaggregation - Section E '!F$618:F3347,MATCH(C2658,' Disaggregation - Section E '!A$618:A3347,0)+1,1)&lt;&gt;0,INDEX(' Disaggregation - Section E '!F$618:F3347,MATCH(C2658,' Disaggregation - Section E '!A$618:A3347,0)+1,1),""),"")</f>
        <v/>
      </c>
      <c r="I2658" s="391" t="str">
        <f ca="1">IFERROR(IF(VLOOKUP(C2658,' Disaggregation - Section E '!A$618:J3347,8,0)=0,"",VLOOKUP(C2658,' Disaggregation - Section E '!A$618:J3347,8,0)),"")</f>
        <v/>
      </c>
      <c r="J2658" s="391" t="str">
        <f ca="1">IFERROR(IF(VLOOKUP(C2658,' Disaggregation - Section E '!A$618:J3347,9,0)="","",VLOOKUP(C2658,' Disaggregation - Section E '!A$618:J3347,9,0)),"")</f>
        <v/>
      </c>
      <c r="K2658" s="387" t="str">
        <f ca="1">IFERROR(VLOOKUP(C2658,' Disaggregation - Section E '!A$618:J3347,3,0),"")</f>
        <v>KP-1f Number of people in prisons and other closed settings reached with HIV prevention programs - defined package of services</v>
      </c>
      <c r="L2658" s="387"/>
      <c r="M2658" s="387" t="str">
        <f ca="1">IFERROR(IF(VLOOKUP(C2658,' Disaggregation - Section E '!A$618:O1670,15,0)=0,"",VLOOKUP(C2658,' Disaggregation - Section E '!A$618:O1670,15,0)),"")</f>
        <v/>
      </c>
      <c r="N2658" s="391" t="str">
        <f ca="1">IFERROR(IF(VLOOKUP(C2658,' Disaggregation - Section E '!A$618:J3347,10,0)=0,"",VLOOKUP(C2658,' Disaggregation - Section E '!A$618:J3347,10,0)),"")</f>
        <v/>
      </c>
      <c r="O2658" s="387"/>
      <c r="P2658" s="387" t="str">
        <f ca="1">IFERROR(IF(VLOOKUP(C2658,' Disaggregation - Section E '!A$618:R1670,18,0)=0,"",VLOOKUP(C2658,' Disaggregation - Section E '!A$618:R1670,18,0)),"")</f>
        <v/>
      </c>
    </row>
    <row r="2659" spans="1:16">
      <c r="A2659" s="387" t="b">
        <f t="shared" ca="1" si="172"/>
        <v>0</v>
      </c>
      <c r="B2659" s="387"/>
      <c r="C2659" s="396" t="str">
        <f ca="1">IF(COUNTA(O$1610:O2659)=1,"",OFFSET(B2657,-COUNTA(O$1610:O2659)+3,1))</f>
        <v>a16Dm000000M3wkIAC</v>
      </c>
      <c r="D2659" s="392"/>
      <c r="E2659" s="389" t="str">
        <f ca="1">IFERROR(IF(VLOOKUP(C2659,' Disaggregation - Section E '!A$618:J3348,7,0)="","",VLOOKUP(C2659,' Disaggregation - Section E '!A$618:J3348,7,0)*100),"")</f>
        <v/>
      </c>
      <c r="F2659" s="391" t="str">
        <f ca="1">IFERROR(VLOOKUP(C2659,' Disaggregation - Section E '!A$618:J3348,5,0),"")</f>
        <v/>
      </c>
      <c r="G2659" s="390" t="str">
        <f ca="1">IFERROR(IF(VLOOKUP(C2659,' Disaggregation - Section E '!A$618:J3348,6,0)="","",VLOOKUP(C2659,' Disaggregation - Section E '!A$618:J3348,6,0)),"")</f>
        <v/>
      </c>
      <c r="H2659" s="390" t="str">
        <f ca="1">IFERROR(IF(INDEX(' Disaggregation - Section E '!F$618:F3348,MATCH(C2659,' Disaggregation - Section E '!A$618:A3348,0)+1,1)&lt;&gt;0,INDEX(' Disaggregation - Section E '!F$618:F3348,MATCH(C2659,' Disaggregation - Section E '!A$618:A3348,0)+1,1),""),"")</f>
        <v/>
      </c>
      <c r="I2659" s="391" t="str">
        <f ca="1">IFERROR(IF(VLOOKUP(C2659,' Disaggregation - Section E '!A$618:J3348,8,0)=0,"",VLOOKUP(C2659,' Disaggregation - Section E '!A$618:J3348,8,0)),"")</f>
        <v/>
      </c>
      <c r="J2659" s="391" t="str">
        <f ca="1">IFERROR(IF(VLOOKUP(C2659,' Disaggregation - Section E '!A$618:J3348,9,0)="","",VLOOKUP(C2659,' Disaggregation - Section E '!A$618:J3348,9,0)),"")</f>
        <v/>
      </c>
      <c r="K2659" s="387" t="str">
        <f ca="1">IFERROR(VLOOKUP(C2659,' Disaggregation - Section E '!A$618:J3348,3,0),"")</f>
        <v>KP-1f Number of people in prisons and other closed settings reached with HIV prevention programs - defined package of services</v>
      </c>
      <c r="L2659" s="387"/>
      <c r="M2659" s="387" t="str">
        <f ca="1">IFERROR(IF(VLOOKUP(C2659,' Disaggregation - Section E '!A$618:O1671,15,0)=0,"",VLOOKUP(C2659,' Disaggregation - Section E '!A$618:O1671,15,0)),"")</f>
        <v/>
      </c>
      <c r="N2659" s="391" t="str">
        <f ca="1">IFERROR(IF(VLOOKUP(C2659,' Disaggregation - Section E '!A$618:J3348,10,0)=0,"",VLOOKUP(C2659,' Disaggregation - Section E '!A$618:J3348,10,0)),"")</f>
        <v/>
      </c>
      <c r="O2659" s="387"/>
      <c r="P2659" s="387" t="str">
        <f ca="1">IFERROR(IF(VLOOKUP(C2659,' Disaggregation - Section E '!A$618:R1671,18,0)=0,"",VLOOKUP(C2659,' Disaggregation - Section E '!A$618:R1671,18,0)),"")</f>
        <v/>
      </c>
    </row>
    <row r="2660" spans="1:16">
      <c r="A2660" s="387" t="b">
        <f t="shared" ca="1" si="172"/>
        <v>0</v>
      </c>
      <c r="B2660" s="387"/>
      <c r="C2660" s="396" t="str">
        <f ca="1">IF(COUNTA(O$1610:O2660)=1,"",OFFSET(B2658,-COUNTA(O$1610:O2660)+3,1))</f>
        <v>a16Dm000000M3wlIAC</v>
      </c>
      <c r="D2660" s="392"/>
      <c r="E2660" s="389" t="str">
        <f ca="1">IFERROR(IF(VLOOKUP(C2660,' Disaggregation - Section E '!A$618:J3349,7,0)="","",VLOOKUP(C2660,' Disaggregation - Section E '!A$618:J3349,7,0)*100),"")</f>
        <v/>
      </c>
      <c r="F2660" s="391" t="str">
        <f ca="1">IFERROR(VLOOKUP(C2660,' Disaggregation - Section E '!A$618:J3349,5,0),"")</f>
        <v/>
      </c>
      <c r="G2660" s="390" t="str">
        <f ca="1">IFERROR(IF(VLOOKUP(C2660,' Disaggregation - Section E '!A$618:J3349,6,0)="","",VLOOKUP(C2660,' Disaggregation - Section E '!A$618:J3349,6,0)),"")</f>
        <v/>
      </c>
      <c r="H2660" s="390" t="str">
        <f ca="1">IFERROR(IF(INDEX(' Disaggregation - Section E '!F$618:F3349,MATCH(C2660,' Disaggregation - Section E '!A$618:A3349,0)+1,1)&lt;&gt;0,INDEX(' Disaggregation - Section E '!F$618:F3349,MATCH(C2660,' Disaggregation - Section E '!A$618:A3349,0)+1,1),""),"")</f>
        <v/>
      </c>
      <c r="I2660" s="391" t="str">
        <f ca="1">IFERROR(IF(VLOOKUP(C2660,' Disaggregation - Section E '!A$618:J3349,8,0)=0,"",VLOOKUP(C2660,' Disaggregation - Section E '!A$618:J3349,8,0)),"")</f>
        <v/>
      </c>
      <c r="J2660" s="391" t="str">
        <f ca="1">IFERROR(IF(VLOOKUP(C2660,' Disaggregation - Section E '!A$618:J3349,9,0)="","",VLOOKUP(C2660,' Disaggregation - Section E '!A$618:J3349,9,0)),"")</f>
        <v/>
      </c>
      <c r="K2660" s="387" t="str">
        <f ca="1">IFERROR(VLOOKUP(C2660,' Disaggregation - Section E '!A$618:J3349,3,0),"")</f>
        <v>KP-1f Number of people in prisons and other closed settings reached with HIV prevention programs - defined package of services</v>
      </c>
      <c r="L2660" s="387"/>
      <c r="M2660" s="387" t="str">
        <f ca="1">IFERROR(IF(VLOOKUP(C2660,' Disaggregation - Section E '!A$618:O1672,15,0)=0,"",VLOOKUP(C2660,' Disaggregation - Section E '!A$618:O1672,15,0)),"")</f>
        <v/>
      </c>
      <c r="N2660" s="391" t="str">
        <f ca="1">IFERROR(IF(VLOOKUP(C2660,' Disaggregation - Section E '!A$618:J3349,10,0)=0,"",VLOOKUP(C2660,' Disaggregation - Section E '!A$618:J3349,10,0)),"")</f>
        <v/>
      </c>
      <c r="O2660" s="387"/>
      <c r="P2660" s="387" t="str">
        <f ca="1">IFERROR(IF(VLOOKUP(C2660,' Disaggregation - Section E '!A$618:R1672,18,0)=0,"",VLOOKUP(C2660,' Disaggregation - Section E '!A$618:R1672,18,0)),"")</f>
        <v/>
      </c>
    </row>
    <row r="2661" spans="1:16">
      <c r="A2661" s="387" t="b">
        <f t="shared" ca="1" si="172"/>
        <v>0</v>
      </c>
      <c r="B2661" s="387"/>
      <c r="C2661" s="396" t="str">
        <f ca="1">IF(COUNTA(O$1610:O2661)=1,"",OFFSET(B2659,-COUNTA(O$1610:O2661)+3,1))</f>
        <v>a16Dm000000M3wmIAC</v>
      </c>
      <c r="D2661" s="392"/>
      <c r="E2661" s="389" t="str">
        <f ca="1">IFERROR(IF(VLOOKUP(C2661,' Disaggregation - Section E '!A$618:J3350,7,0)="","",VLOOKUP(C2661,' Disaggregation - Section E '!A$618:J3350,7,0)*100),"")</f>
        <v/>
      </c>
      <c r="F2661" s="391" t="str">
        <f ca="1">IFERROR(VLOOKUP(C2661,' Disaggregation - Section E '!A$618:J3350,5,0),"")</f>
        <v/>
      </c>
      <c r="G2661" s="390" t="str">
        <f ca="1">IFERROR(IF(VLOOKUP(C2661,' Disaggregation - Section E '!A$618:J3350,6,0)="","",VLOOKUP(C2661,' Disaggregation - Section E '!A$618:J3350,6,0)),"")</f>
        <v/>
      </c>
      <c r="H2661" s="390" t="str">
        <f ca="1">IFERROR(IF(INDEX(' Disaggregation - Section E '!F$618:F3350,MATCH(C2661,' Disaggregation - Section E '!A$618:A3350,0)+1,1)&lt;&gt;0,INDEX(' Disaggregation - Section E '!F$618:F3350,MATCH(C2661,' Disaggregation - Section E '!A$618:A3350,0)+1,1),""),"")</f>
        <v/>
      </c>
      <c r="I2661" s="391" t="str">
        <f ca="1">IFERROR(IF(VLOOKUP(C2661,' Disaggregation - Section E '!A$618:J3350,8,0)=0,"",VLOOKUP(C2661,' Disaggregation - Section E '!A$618:J3350,8,0)),"")</f>
        <v/>
      </c>
      <c r="J2661" s="391" t="str">
        <f ca="1">IFERROR(IF(VLOOKUP(C2661,' Disaggregation - Section E '!A$618:J3350,9,0)="","",VLOOKUP(C2661,' Disaggregation - Section E '!A$618:J3350,9,0)),"")</f>
        <v/>
      </c>
      <c r="K2661" s="387" t="str">
        <f ca="1">IFERROR(VLOOKUP(C2661,' Disaggregation - Section E '!A$618:J3350,3,0),"")</f>
        <v>KP-1f Number of people in prisons and other closed settings reached with HIV prevention programs - defined package of services</v>
      </c>
      <c r="L2661" s="387"/>
      <c r="M2661" s="387" t="str">
        <f ca="1">IFERROR(IF(VLOOKUP(C2661,' Disaggregation - Section E '!A$618:O1673,15,0)=0,"",VLOOKUP(C2661,' Disaggregation - Section E '!A$618:O1673,15,0)),"")</f>
        <v/>
      </c>
      <c r="N2661" s="391" t="str">
        <f ca="1">IFERROR(IF(VLOOKUP(C2661,' Disaggregation - Section E '!A$618:J3350,10,0)=0,"",VLOOKUP(C2661,' Disaggregation - Section E '!A$618:J3350,10,0)),"")</f>
        <v/>
      </c>
      <c r="O2661" s="387"/>
      <c r="P2661" s="387" t="str">
        <f ca="1">IFERROR(IF(VLOOKUP(C2661,' Disaggregation - Section E '!A$618:R1673,18,0)=0,"",VLOOKUP(C2661,' Disaggregation - Section E '!A$618:R1673,18,0)),"")</f>
        <v/>
      </c>
    </row>
    <row r="2662" spans="1:16">
      <c r="A2662" s="387" t="b">
        <f t="shared" ca="1" si="172"/>
        <v>0</v>
      </c>
      <c r="B2662" s="387"/>
      <c r="C2662" s="396" t="str">
        <f ca="1">IF(COUNTA(O$1610:O2662)=1,"",OFFSET(B2660,-COUNTA(O$1610:O2662)+3,1))</f>
        <v>a16Dm000000M3wnIAC</v>
      </c>
      <c r="D2662" s="392"/>
      <c r="E2662" s="389" t="str">
        <f ca="1">IFERROR(IF(VLOOKUP(C2662,' Disaggregation - Section E '!A$618:J3351,7,0)="","",VLOOKUP(C2662,' Disaggregation - Section E '!A$618:J3351,7,0)*100),"")</f>
        <v/>
      </c>
      <c r="F2662" s="391" t="str">
        <f ca="1">IFERROR(VLOOKUP(C2662,' Disaggregation - Section E '!A$618:J3351,5,0),"")</f>
        <v/>
      </c>
      <c r="G2662" s="390" t="str">
        <f ca="1">IFERROR(IF(VLOOKUP(C2662,' Disaggregation - Section E '!A$618:J3351,6,0)="","",VLOOKUP(C2662,' Disaggregation - Section E '!A$618:J3351,6,0)),"")</f>
        <v/>
      </c>
      <c r="H2662" s="390" t="str">
        <f ca="1">IFERROR(IF(INDEX(' Disaggregation - Section E '!F$618:F3351,MATCH(C2662,' Disaggregation - Section E '!A$618:A3351,0)+1,1)&lt;&gt;0,INDEX(' Disaggregation - Section E '!F$618:F3351,MATCH(C2662,' Disaggregation - Section E '!A$618:A3351,0)+1,1),""),"")</f>
        <v/>
      </c>
      <c r="I2662" s="391" t="str">
        <f ca="1">IFERROR(IF(VLOOKUP(C2662,' Disaggregation - Section E '!A$618:J3351,8,0)=0,"",VLOOKUP(C2662,' Disaggregation - Section E '!A$618:J3351,8,0)),"")</f>
        <v/>
      </c>
      <c r="J2662" s="391" t="str">
        <f ca="1">IFERROR(IF(VLOOKUP(C2662,' Disaggregation - Section E '!A$618:J3351,9,0)="","",VLOOKUP(C2662,' Disaggregation - Section E '!A$618:J3351,9,0)),"")</f>
        <v/>
      </c>
      <c r="K2662" s="387" t="str">
        <f ca="1">IFERROR(VLOOKUP(C2662,' Disaggregation - Section E '!A$618:J3351,3,0),"")</f>
        <v>KP-1f Number of people in prisons and other closed settings reached with HIV prevention programs - defined package of services</v>
      </c>
      <c r="L2662" s="387"/>
      <c r="M2662" s="387" t="str">
        <f ca="1">IFERROR(IF(VLOOKUP(C2662,' Disaggregation - Section E '!A$618:O1674,15,0)=0,"",VLOOKUP(C2662,' Disaggregation - Section E '!A$618:O1674,15,0)),"")</f>
        <v/>
      </c>
      <c r="N2662" s="391" t="str">
        <f ca="1">IFERROR(IF(VLOOKUP(C2662,' Disaggregation - Section E '!A$618:J3351,10,0)=0,"",VLOOKUP(C2662,' Disaggregation - Section E '!A$618:J3351,10,0)),"")</f>
        <v/>
      </c>
      <c r="O2662" s="387"/>
      <c r="P2662" s="387" t="str">
        <f ca="1">IFERROR(IF(VLOOKUP(C2662,' Disaggregation - Section E '!A$618:R1674,18,0)=0,"",VLOOKUP(C2662,' Disaggregation - Section E '!A$618:R1674,18,0)),"")</f>
        <v/>
      </c>
    </row>
    <row r="2663" spans="1:16">
      <c r="A2663" s="387" t="b">
        <f t="shared" ca="1" si="172"/>
        <v>0</v>
      </c>
      <c r="B2663" s="387"/>
      <c r="C2663" s="396" t="str">
        <f ca="1">IF(COUNTA(O$1610:O2663)=1,"",OFFSET(B2661,-COUNTA(O$1610:O2663)+3,1))</f>
        <v>a16Dm000000M3woIAC</v>
      </c>
      <c r="D2663" s="392"/>
      <c r="E2663" s="389" t="str">
        <f ca="1">IFERROR(IF(VLOOKUP(C2663,' Disaggregation - Section E '!A$618:J3352,7,0)="","",VLOOKUP(C2663,' Disaggregation - Section E '!A$618:J3352,7,0)*100),"")</f>
        <v/>
      </c>
      <c r="F2663" s="391" t="str">
        <f ca="1">IFERROR(VLOOKUP(C2663,' Disaggregation - Section E '!A$618:J3352,5,0),"")</f>
        <v/>
      </c>
      <c r="G2663" s="390" t="str">
        <f ca="1">IFERROR(IF(VLOOKUP(C2663,' Disaggregation - Section E '!A$618:J3352,6,0)="","",VLOOKUP(C2663,' Disaggregation - Section E '!A$618:J3352,6,0)),"")</f>
        <v/>
      </c>
      <c r="H2663" s="390" t="str">
        <f ca="1">IFERROR(IF(INDEX(' Disaggregation - Section E '!F$618:F3352,MATCH(C2663,' Disaggregation - Section E '!A$618:A3352,0)+1,1)&lt;&gt;0,INDEX(' Disaggregation - Section E '!F$618:F3352,MATCH(C2663,' Disaggregation - Section E '!A$618:A3352,0)+1,1),""),"")</f>
        <v/>
      </c>
      <c r="I2663" s="391" t="str">
        <f ca="1">IFERROR(IF(VLOOKUP(C2663,' Disaggregation - Section E '!A$618:J3352,8,0)=0,"",VLOOKUP(C2663,' Disaggregation - Section E '!A$618:J3352,8,0)),"")</f>
        <v/>
      </c>
      <c r="J2663" s="391" t="str">
        <f ca="1">IFERROR(IF(VLOOKUP(C2663,' Disaggregation - Section E '!A$618:J3352,9,0)="","",VLOOKUP(C2663,' Disaggregation - Section E '!A$618:J3352,9,0)),"")</f>
        <v/>
      </c>
      <c r="K2663" s="387" t="str">
        <f ca="1">IFERROR(VLOOKUP(C2663,' Disaggregation - Section E '!A$618:J3352,3,0),"")</f>
        <v>KP-1f Number of people in prisons and other closed settings reached with HIV prevention programs - defined package of services</v>
      </c>
      <c r="L2663" s="387"/>
      <c r="M2663" s="387" t="str">
        <f ca="1">IFERROR(IF(VLOOKUP(C2663,' Disaggregation - Section E '!A$618:O1675,15,0)=0,"",VLOOKUP(C2663,' Disaggregation - Section E '!A$618:O1675,15,0)),"")</f>
        <v/>
      </c>
      <c r="N2663" s="391" t="str">
        <f ca="1">IFERROR(IF(VLOOKUP(C2663,' Disaggregation - Section E '!A$618:J3352,10,0)=0,"",VLOOKUP(C2663,' Disaggregation - Section E '!A$618:J3352,10,0)),"")</f>
        <v/>
      </c>
      <c r="O2663" s="387"/>
      <c r="P2663" s="387" t="str">
        <f ca="1">IFERROR(IF(VLOOKUP(C2663,' Disaggregation - Section E '!A$618:R1675,18,0)=0,"",VLOOKUP(C2663,' Disaggregation - Section E '!A$618:R1675,18,0)),"")</f>
        <v/>
      </c>
    </row>
    <row r="2664" spans="1:16">
      <c r="A2664" s="387" t="b">
        <f t="shared" ca="1" si="172"/>
        <v>0</v>
      </c>
      <c r="B2664" s="387"/>
      <c r="C2664" s="396" t="str">
        <f ca="1">IF(COUNTA(O$1610:O2664)=1,"",OFFSET(B2662,-COUNTA(O$1610:O2664)+3,1))</f>
        <v>a16Dm000000M3wpIAC</v>
      </c>
      <c r="D2664" s="392"/>
      <c r="E2664" s="389" t="str">
        <f ca="1">IFERROR(IF(VLOOKUP(C2664,' Disaggregation - Section E '!A$618:J3353,7,0)="","",VLOOKUP(C2664,' Disaggregation - Section E '!A$618:J3353,7,0)*100),"")</f>
        <v/>
      </c>
      <c r="F2664" s="391" t="str">
        <f ca="1">IFERROR(VLOOKUP(C2664,' Disaggregation - Section E '!A$618:J3353,5,0),"")</f>
        <v/>
      </c>
      <c r="G2664" s="390" t="str">
        <f ca="1">IFERROR(IF(VLOOKUP(C2664,' Disaggregation - Section E '!A$618:J3353,6,0)="","",VLOOKUP(C2664,' Disaggregation - Section E '!A$618:J3353,6,0)),"")</f>
        <v/>
      </c>
      <c r="H2664" s="390" t="str">
        <f ca="1">IFERROR(IF(INDEX(' Disaggregation - Section E '!F$618:F3353,MATCH(C2664,' Disaggregation - Section E '!A$618:A3353,0)+1,1)&lt;&gt;0,INDEX(' Disaggregation - Section E '!F$618:F3353,MATCH(C2664,' Disaggregation - Section E '!A$618:A3353,0)+1,1),""),"")</f>
        <v/>
      </c>
      <c r="I2664" s="391" t="str">
        <f ca="1">IFERROR(IF(VLOOKUP(C2664,' Disaggregation - Section E '!A$618:J3353,8,0)=0,"",VLOOKUP(C2664,' Disaggregation - Section E '!A$618:J3353,8,0)),"")</f>
        <v/>
      </c>
      <c r="J2664" s="391" t="str">
        <f ca="1">IFERROR(IF(VLOOKUP(C2664,' Disaggregation - Section E '!A$618:J3353,9,0)="","",VLOOKUP(C2664,' Disaggregation - Section E '!A$618:J3353,9,0)),"")</f>
        <v/>
      </c>
      <c r="K2664" s="387" t="str">
        <f ca="1">IFERROR(VLOOKUP(C2664,' Disaggregation - Section E '!A$618:J3353,3,0),"")</f>
        <v>KP-1f Number of people in prisons and other closed settings reached with HIV prevention programs - defined package of services</v>
      </c>
      <c r="L2664" s="387"/>
      <c r="M2664" s="387" t="str">
        <f ca="1">IFERROR(IF(VLOOKUP(C2664,' Disaggregation - Section E '!A$618:O1676,15,0)=0,"",VLOOKUP(C2664,' Disaggregation - Section E '!A$618:O1676,15,0)),"")</f>
        <v/>
      </c>
      <c r="N2664" s="391" t="str">
        <f ca="1">IFERROR(IF(VLOOKUP(C2664,' Disaggregation - Section E '!A$618:J3353,10,0)=0,"",VLOOKUP(C2664,' Disaggregation - Section E '!A$618:J3353,10,0)),"")</f>
        <v/>
      </c>
      <c r="O2664" s="387"/>
      <c r="P2664" s="387" t="str">
        <f ca="1">IFERROR(IF(VLOOKUP(C2664,' Disaggregation - Section E '!A$618:R1676,18,0)=0,"",VLOOKUP(C2664,' Disaggregation - Section E '!A$618:R1676,18,0)),"")</f>
        <v/>
      </c>
    </row>
    <row r="2665" spans="1:16">
      <c r="A2665" s="387" t="b">
        <f t="shared" ca="1" si="172"/>
        <v>0</v>
      </c>
      <c r="B2665" s="387"/>
      <c r="C2665" s="396" t="str">
        <f ca="1">IF(COUNTA(O$1610:O2665)=1,"",OFFSET(B2663,-COUNTA(O$1610:O2665)+3,1))</f>
        <v>a16Dm000000M3wqIAC</v>
      </c>
      <c r="D2665" s="392"/>
      <c r="E2665" s="389" t="str">
        <f ca="1">IFERROR(IF(VLOOKUP(C2665,' Disaggregation - Section E '!A$618:J3354,7,0)="","",VLOOKUP(C2665,' Disaggregation - Section E '!A$618:J3354,7,0)*100),"")</f>
        <v/>
      </c>
      <c r="F2665" s="391" t="str">
        <f ca="1">IFERROR(VLOOKUP(C2665,' Disaggregation - Section E '!A$618:J3354,5,0),"")</f>
        <v/>
      </c>
      <c r="G2665" s="390" t="str">
        <f ca="1">IFERROR(IF(VLOOKUP(C2665,' Disaggregation - Section E '!A$618:J3354,6,0)="","",VLOOKUP(C2665,' Disaggregation - Section E '!A$618:J3354,6,0)),"")</f>
        <v/>
      </c>
      <c r="H2665" s="390" t="str">
        <f ca="1">IFERROR(IF(INDEX(' Disaggregation - Section E '!F$618:F3354,MATCH(C2665,' Disaggregation - Section E '!A$618:A3354,0)+1,1)&lt;&gt;0,INDEX(' Disaggregation - Section E '!F$618:F3354,MATCH(C2665,' Disaggregation - Section E '!A$618:A3354,0)+1,1),""),"")</f>
        <v/>
      </c>
      <c r="I2665" s="391" t="str">
        <f ca="1">IFERROR(IF(VLOOKUP(C2665,' Disaggregation - Section E '!A$618:J3354,8,0)=0,"",VLOOKUP(C2665,' Disaggregation - Section E '!A$618:J3354,8,0)),"")</f>
        <v/>
      </c>
      <c r="J2665" s="391" t="str">
        <f ca="1">IFERROR(IF(VLOOKUP(C2665,' Disaggregation - Section E '!A$618:J3354,9,0)="","",VLOOKUP(C2665,' Disaggregation - Section E '!A$618:J3354,9,0)),"")</f>
        <v/>
      </c>
      <c r="K2665" s="387" t="str">
        <f ca="1">IFERROR(VLOOKUP(C2665,' Disaggregation - Section E '!A$618:J3354,3,0),"")</f>
        <v>KP-1f Number of people in prisons and other closed settings reached with HIV prevention programs - defined package of services</v>
      </c>
      <c r="L2665" s="387"/>
      <c r="M2665" s="387" t="str">
        <f ca="1">IFERROR(IF(VLOOKUP(C2665,' Disaggregation - Section E '!A$618:O1677,15,0)=0,"",VLOOKUP(C2665,' Disaggregation - Section E '!A$618:O1677,15,0)),"")</f>
        <v/>
      </c>
      <c r="N2665" s="391" t="str">
        <f ca="1">IFERROR(IF(VLOOKUP(C2665,' Disaggregation - Section E '!A$618:J3354,10,0)=0,"",VLOOKUP(C2665,' Disaggregation - Section E '!A$618:J3354,10,0)),"")</f>
        <v/>
      </c>
      <c r="O2665" s="387"/>
      <c r="P2665" s="387" t="str">
        <f ca="1">IFERROR(IF(VLOOKUP(C2665,' Disaggregation - Section E '!A$618:R1677,18,0)=0,"",VLOOKUP(C2665,' Disaggregation - Section E '!A$618:R1677,18,0)),"")</f>
        <v/>
      </c>
    </row>
    <row r="2666" spans="1:16">
      <c r="A2666" s="387" t="b">
        <f t="shared" ca="1" si="172"/>
        <v>0</v>
      </c>
      <c r="B2666" s="387"/>
      <c r="C2666" s="396" t="str">
        <f ca="1">IF(COUNTA(O$1610:O2666)=1,"",OFFSET(B2664,-COUNTA(O$1610:O2666)+3,1))</f>
        <v>a16Dm000000M3wrIAC</v>
      </c>
      <c r="D2666" s="392"/>
      <c r="E2666" s="389" t="str">
        <f ca="1">IFERROR(IF(VLOOKUP(C2666,' Disaggregation - Section E '!A$618:J3355,7,0)="","",VLOOKUP(C2666,' Disaggregation - Section E '!A$618:J3355,7,0)*100),"")</f>
        <v/>
      </c>
      <c r="F2666" s="391" t="str">
        <f ca="1">IFERROR(VLOOKUP(C2666,' Disaggregation - Section E '!A$618:J3355,5,0),"")</f>
        <v/>
      </c>
      <c r="G2666" s="390" t="str">
        <f ca="1">IFERROR(IF(VLOOKUP(C2666,' Disaggregation - Section E '!A$618:J3355,6,0)="","",VLOOKUP(C2666,' Disaggregation - Section E '!A$618:J3355,6,0)),"")</f>
        <v/>
      </c>
      <c r="H2666" s="390" t="str">
        <f ca="1">IFERROR(IF(INDEX(' Disaggregation - Section E '!F$618:F3355,MATCH(C2666,' Disaggregation - Section E '!A$618:A3355,0)+1,1)&lt;&gt;0,INDEX(' Disaggregation - Section E '!F$618:F3355,MATCH(C2666,' Disaggregation - Section E '!A$618:A3355,0)+1,1),""),"")</f>
        <v/>
      </c>
      <c r="I2666" s="391" t="str">
        <f ca="1">IFERROR(IF(VLOOKUP(C2666,' Disaggregation - Section E '!A$618:J3355,8,0)=0,"",VLOOKUP(C2666,' Disaggregation - Section E '!A$618:J3355,8,0)),"")</f>
        <v/>
      </c>
      <c r="J2666" s="391" t="str">
        <f ca="1">IFERROR(IF(VLOOKUP(C2666,' Disaggregation - Section E '!A$618:J3355,9,0)="","",VLOOKUP(C2666,' Disaggregation - Section E '!A$618:J3355,9,0)),"")</f>
        <v/>
      </c>
      <c r="K2666" s="387" t="str">
        <f ca="1">IFERROR(VLOOKUP(C2666,' Disaggregation - Section E '!A$618:J3355,3,0),"")</f>
        <v>KP-1f Number of people in prisons and other closed settings reached with HIV prevention programs - defined package of services</v>
      </c>
      <c r="L2666" s="387"/>
      <c r="M2666" s="387" t="str">
        <f ca="1">IFERROR(IF(VLOOKUP(C2666,' Disaggregation - Section E '!A$618:O1678,15,0)=0,"",VLOOKUP(C2666,' Disaggregation - Section E '!A$618:O1678,15,0)),"")</f>
        <v/>
      </c>
      <c r="N2666" s="391" t="str">
        <f ca="1">IFERROR(IF(VLOOKUP(C2666,' Disaggregation - Section E '!A$618:J3355,10,0)=0,"",VLOOKUP(C2666,' Disaggregation - Section E '!A$618:J3355,10,0)),"")</f>
        <v/>
      </c>
      <c r="O2666" s="387"/>
      <c r="P2666" s="387" t="str">
        <f ca="1">IFERROR(IF(VLOOKUP(C2666,' Disaggregation - Section E '!A$618:R1678,18,0)=0,"",VLOOKUP(C2666,' Disaggregation - Section E '!A$618:R1678,18,0)),"")</f>
        <v/>
      </c>
    </row>
    <row r="2667" spans="1:16">
      <c r="A2667" s="387" t="b">
        <f t="shared" ca="1" si="172"/>
        <v>0</v>
      </c>
      <c r="B2667" s="387"/>
      <c r="C2667" s="396" t="str">
        <f ca="1">IF(COUNTA(O$1610:O2667)=1,"",OFFSET(B2665,-COUNTA(O$1610:O2667)+3,1))</f>
        <v>a16Dm000000M3wsIAC</v>
      </c>
      <c r="D2667" s="392"/>
      <c r="E2667" s="389" t="str">
        <f ca="1">IFERROR(IF(VLOOKUP(C2667,' Disaggregation - Section E '!A$618:J3356,7,0)="","",VLOOKUP(C2667,' Disaggregation - Section E '!A$618:J3356,7,0)*100),"")</f>
        <v/>
      </c>
      <c r="F2667" s="391" t="str">
        <f ca="1">IFERROR(VLOOKUP(C2667,' Disaggregation - Section E '!A$618:J3356,5,0),"")</f>
        <v/>
      </c>
      <c r="G2667" s="390" t="str">
        <f ca="1">IFERROR(IF(VLOOKUP(C2667,' Disaggregation - Section E '!A$618:J3356,6,0)="","",VLOOKUP(C2667,' Disaggregation - Section E '!A$618:J3356,6,0)),"")</f>
        <v/>
      </c>
      <c r="H2667" s="390" t="str">
        <f ca="1">IFERROR(IF(INDEX(' Disaggregation - Section E '!F$618:F3356,MATCH(C2667,' Disaggregation - Section E '!A$618:A3356,0)+1,1)&lt;&gt;0,INDEX(' Disaggregation - Section E '!F$618:F3356,MATCH(C2667,' Disaggregation - Section E '!A$618:A3356,0)+1,1),""),"")</f>
        <v/>
      </c>
      <c r="I2667" s="391" t="str">
        <f ca="1">IFERROR(IF(VLOOKUP(C2667,' Disaggregation - Section E '!A$618:J3356,8,0)=0,"",VLOOKUP(C2667,' Disaggregation - Section E '!A$618:J3356,8,0)),"")</f>
        <v/>
      </c>
      <c r="J2667" s="391" t="str">
        <f ca="1">IFERROR(IF(VLOOKUP(C2667,' Disaggregation - Section E '!A$618:J3356,9,0)="","",VLOOKUP(C2667,' Disaggregation - Section E '!A$618:J3356,9,0)),"")</f>
        <v/>
      </c>
      <c r="K2667" s="387" t="str">
        <f ca="1">IFERROR(VLOOKUP(C2667,' Disaggregation - Section E '!A$618:J3356,3,0),"")</f>
        <v>KP-1f Number of people in prisons and other closed settings reached with HIV prevention programs - defined package of services</v>
      </c>
      <c r="L2667" s="387"/>
      <c r="M2667" s="387" t="str">
        <f ca="1">IFERROR(IF(VLOOKUP(C2667,' Disaggregation - Section E '!A$618:O1679,15,0)=0,"",VLOOKUP(C2667,' Disaggregation - Section E '!A$618:O1679,15,0)),"")</f>
        <v/>
      </c>
      <c r="N2667" s="391" t="str">
        <f ca="1">IFERROR(IF(VLOOKUP(C2667,' Disaggregation - Section E '!A$618:J3356,10,0)=0,"",VLOOKUP(C2667,' Disaggregation - Section E '!A$618:J3356,10,0)),"")</f>
        <v/>
      </c>
      <c r="O2667" s="387"/>
      <c r="P2667" s="387" t="str">
        <f ca="1">IFERROR(IF(VLOOKUP(C2667,' Disaggregation - Section E '!A$618:R1679,18,0)=0,"",VLOOKUP(C2667,' Disaggregation - Section E '!A$618:R1679,18,0)),"")</f>
        <v/>
      </c>
    </row>
    <row r="2668" spans="1:16">
      <c r="A2668" s="387" t="b">
        <f t="shared" ca="1" si="172"/>
        <v>0</v>
      </c>
      <c r="B2668" s="387"/>
      <c r="C2668" s="396" t="str">
        <f ca="1">IF(COUNTA(O$1610:O2668)=1,"",OFFSET(B2666,-COUNTA(O$1610:O2668)+3,1))</f>
        <v>a16Dm000000M3wtIAC</v>
      </c>
      <c r="D2668" s="392"/>
      <c r="E2668" s="389" t="str">
        <f ca="1">IFERROR(IF(VLOOKUP(C2668,' Disaggregation - Section E '!A$618:J3357,7,0)="","",VLOOKUP(C2668,' Disaggregation - Section E '!A$618:J3357,7,0)*100),"")</f>
        <v/>
      </c>
      <c r="F2668" s="391" t="str">
        <f ca="1">IFERROR(VLOOKUP(C2668,' Disaggregation - Section E '!A$618:J3357,5,0),"")</f>
        <v/>
      </c>
      <c r="G2668" s="390" t="str">
        <f ca="1">IFERROR(IF(VLOOKUP(C2668,' Disaggregation - Section E '!A$618:J3357,6,0)="","",VLOOKUP(C2668,' Disaggregation - Section E '!A$618:J3357,6,0)),"")</f>
        <v/>
      </c>
      <c r="H2668" s="390" t="str">
        <f ca="1">IFERROR(IF(INDEX(' Disaggregation - Section E '!F$618:F3357,MATCH(C2668,' Disaggregation - Section E '!A$618:A3357,0)+1,1)&lt;&gt;0,INDEX(' Disaggregation - Section E '!F$618:F3357,MATCH(C2668,' Disaggregation - Section E '!A$618:A3357,0)+1,1),""),"")</f>
        <v/>
      </c>
      <c r="I2668" s="391" t="str">
        <f ca="1">IFERROR(IF(VLOOKUP(C2668,' Disaggregation - Section E '!A$618:J3357,8,0)=0,"",VLOOKUP(C2668,' Disaggregation - Section E '!A$618:J3357,8,0)),"")</f>
        <v/>
      </c>
      <c r="J2668" s="391" t="str">
        <f ca="1">IFERROR(IF(VLOOKUP(C2668,' Disaggregation - Section E '!A$618:J3357,9,0)="","",VLOOKUP(C2668,' Disaggregation - Section E '!A$618:J3357,9,0)),"")</f>
        <v/>
      </c>
      <c r="K2668" s="387" t="str">
        <f ca="1">IFERROR(VLOOKUP(C2668,' Disaggregation - Section E '!A$618:J3357,3,0),"")</f>
        <v>KP-1f Number of people in prisons and other closed settings reached with HIV prevention programs - defined package of services</v>
      </c>
      <c r="L2668" s="387"/>
      <c r="M2668" s="387" t="str">
        <f ca="1">IFERROR(IF(VLOOKUP(C2668,' Disaggregation - Section E '!A$618:O1680,15,0)=0,"",VLOOKUP(C2668,' Disaggregation - Section E '!A$618:O1680,15,0)),"")</f>
        <v/>
      </c>
      <c r="N2668" s="391" t="str">
        <f ca="1">IFERROR(IF(VLOOKUP(C2668,' Disaggregation - Section E '!A$618:J3357,10,0)=0,"",VLOOKUP(C2668,' Disaggregation - Section E '!A$618:J3357,10,0)),"")</f>
        <v/>
      </c>
      <c r="O2668" s="387"/>
      <c r="P2668" s="387" t="str">
        <f ca="1">IFERROR(IF(VLOOKUP(C2668,' Disaggregation - Section E '!A$618:R1680,18,0)=0,"",VLOOKUP(C2668,' Disaggregation - Section E '!A$618:R1680,18,0)),"")</f>
        <v/>
      </c>
    </row>
    <row r="2669" spans="1:16">
      <c r="A2669" s="387" t="b">
        <f t="shared" ca="1" si="172"/>
        <v>0</v>
      </c>
      <c r="B2669" s="387"/>
      <c r="C2669" s="396" t="str">
        <f ca="1">IF(COUNTA(O$1610:O2669)=1,"",OFFSET(B2667,-COUNTA(O$1610:O2669)+3,1))</f>
        <v>a16Dm000000M3wuIAC</v>
      </c>
      <c r="D2669" s="392"/>
      <c r="E2669" s="389" t="str">
        <f ca="1">IFERROR(IF(VLOOKUP(C2669,' Disaggregation - Section E '!A$618:J3358,7,0)="","",VLOOKUP(C2669,' Disaggregation - Section E '!A$618:J3358,7,0)*100),"")</f>
        <v/>
      </c>
      <c r="F2669" s="391" t="str">
        <f ca="1">IFERROR(VLOOKUP(C2669,' Disaggregation - Section E '!A$618:J3358,5,0),"")</f>
        <v/>
      </c>
      <c r="G2669" s="390" t="str">
        <f ca="1">IFERROR(IF(VLOOKUP(C2669,' Disaggregation - Section E '!A$618:J3358,6,0)="","",VLOOKUP(C2669,' Disaggregation - Section E '!A$618:J3358,6,0)),"")</f>
        <v/>
      </c>
      <c r="H2669" s="390" t="str">
        <f ca="1">IFERROR(IF(INDEX(' Disaggregation - Section E '!F$618:F3358,MATCH(C2669,' Disaggregation - Section E '!A$618:A3358,0)+1,1)&lt;&gt;0,INDEX(' Disaggregation - Section E '!F$618:F3358,MATCH(C2669,' Disaggregation - Section E '!A$618:A3358,0)+1,1),""),"")</f>
        <v/>
      </c>
      <c r="I2669" s="391" t="str">
        <f ca="1">IFERROR(IF(VLOOKUP(C2669,' Disaggregation - Section E '!A$618:J3358,8,0)=0,"",VLOOKUP(C2669,' Disaggregation - Section E '!A$618:J3358,8,0)),"")</f>
        <v/>
      </c>
      <c r="J2669" s="391" t="str">
        <f ca="1">IFERROR(IF(VLOOKUP(C2669,' Disaggregation - Section E '!A$618:J3358,9,0)="","",VLOOKUP(C2669,' Disaggregation - Section E '!A$618:J3358,9,0)),"")</f>
        <v/>
      </c>
      <c r="K2669" s="387" t="str">
        <f ca="1">IFERROR(VLOOKUP(C2669,' Disaggregation - Section E '!A$618:J3358,3,0),"")</f>
        <v>KP-1f Number of people in prisons and other closed settings reached with HIV prevention programs - defined package of services</v>
      </c>
      <c r="L2669" s="387"/>
      <c r="M2669" s="387" t="str">
        <f ca="1">IFERROR(IF(VLOOKUP(C2669,' Disaggregation - Section E '!A$618:O1681,15,0)=0,"",VLOOKUP(C2669,' Disaggregation - Section E '!A$618:O1681,15,0)),"")</f>
        <v/>
      </c>
      <c r="N2669" s="391" t="str">
        <f ca="1">IFERROR(IF(VLOOKUP(C2669,' Disaggregation - Section E '!A$618:J3358,10,0)=0,"",VLOOKUP(C2669,' Disaggregation - Section E '!A$618:J3358,10,0)),"")</f>
        <v/>
      </c>
      <c r="O2669" s="387"/>
      <c r="P2669" s="387" t="str">
        <f ca="1">IFERROR(IF(VLOOKUP(C2669,' Disaggregation - Section E '!A$618:R1681,18,0)=0,"",VLOOKUP(C2669,' Disaggregation - Section E '!A$618:R1681,18,0)),"")</f>
        <v/>
      </c>
    </row>
    <row r="2670" spans="1:16">
      <c r="A2670" s="387" t="b">
        <f t="shared" ca="1" si="172"/>
        <v>0</v>
      </c>
      <c r="B2670" s="387"/>
      <c r="C2670" s="396" t="str">
        <f ca="1">IF(COUNTA(O$1610:O2670)=1,"",OFFSET(B2668,-COUNTA(O$1610:O2670)+3,1))</f>
        <v>a16Dm000000M3wvIAC</v>
      </c>
      <c r="D2670" s="392"/>
      <c r="E2670" s="389" t="str">
        <f ca="1">IFERROR(IF(VLOOKUP(C2670,' Disaggregation - Section E '!A$618:J3359,7,0)="","",VLOOKUP(C2670,' Disaggregation - Section E '!A$618:J3359,7,0)*100),"")</f>
        <v/>
      </c>
      <c r="F2670" s="391" t="str">
        <f ca="1">IFERROR(VLOOKUP(C2670,' Disaggregation - Section E '!A$618:J3359,5,0),"")</f>
        <v/>
      </c>
      <c r="G2670" s="390" t="str">
        <f ca="1">IFERROR(IF(VLOOKUP(C2670,' Disaggregation - Section E '!A$618:J3359,6,0)="","",VLOOKUP(C2670,' Disaggregation - Section E '!A$618:J3359,6,0)),"")</f>
        <v/>
      </c>
      <c r="H2670" s="390" t="str">
        <f ca="1">IFERROR(IF(INDEX(' Disaggregation - Section E '!F$618:F3359,MATCH(C2670,' Disaggregation - Section E '!A$618:A3359,0)+1,1)&lt;&gt;0,INDEX(' Disaggregation - Section E '!F$618:F3359,MATCH(C2670,' Disaggregation - Section E '!A$618:A3359,0)+1,1),""),"")</f>
        <v/>
      </c>
      <c r="I2670" s="391" t="str">
        <f ca="1">IFERROR(IF(VLOOKUP(C2670,' Disaggregation - Section E '!A$618:J3359,8,0)=0,"",VLOOKUP(C2670,' Disaggregation - Section E '!A$618:J3359,8,0)),"")</f>
        <v/>
      </c>
      <c r="J2670" s="391" t="str">
        <f ca="1">IFERROR(IF(VLOOKUP(C2670,' Disaggregation - Section E '!A$618:J3359,9,0)="","",VLOOKUP(C2670,' Disaggregation - Section E '!A$618:J3359,9,0)),"")</f>
        <v/>
      </c>
      <c r="K2670" s="387" t="str">
        <f ca="1">IFERROR(VLOOKUP(C2670,' Disaggregation - Section E '!A$618:J3359,3,0),"")</f>
        <v>KP-1f Number of people in prisons and other closed settings reached with HIV prevention programs - defined package of services</v>
      </c>
      <c r="L2670" s="387"/>
      <c r="M2670" s="387" t="str">
        <f ca="1">IFERROR(IF(VLOOKUP(C2670,' Disaggregation - Section E '!A$618:O1682,15,0)=0,"",VLOOKUP(C2670,' Disaggregation - Section E '!A$618:O1682,15,0)),"")</f>
        <v/>
      </c>
      <c r="N2670" s="391" t="str">
        <f ca="1">IFERROR(IF(VLOOKUP(C2670,' Disaggregation - Section E '!A$618:J3359,10,0)=0,"",VLOOKUP(C2670,' Disaggregation - Section E '!A$618:J3359,10,0)),"")</f>
        <v/>
      </c>
      <c r="O2670" s="387"/>
      <c r="P2670" s="387" t="str">
        <f ca="1">IFERROR(IF(VLOOKUP(C2670,' Disaggregation - Section E '!A$618:R1682,18,0)=0,"",VLOOKUP(C2670,' Disaggregation - Section E '!A$618:R1682,18,0)),"")</f>
        <v/>
      </c>
    </row>
    <row r="2671" spans="1:16">
      <c r="A2671" s="387" t="b">
        <f t="shared" ca="1" si="172"/>
        <v>0</v>
      </c>
      <c r="B2671" s="387"/>
      <c r="C2671" s="396" t="str">
        <f ca="1">IF(COUNTA(O$1610:O2671)=1,"",OFFSET(B2669,-COUNTA(O$1610:O2671)+3,1))</f>
        <v>a16Dm000000M3wwIAC</v>
      </c>
      <c r="D2671" s="392"/>
      <c r="E2671" s="389" t="str">
        <f ca="1">IFERROR(IF(VLOOKUP(C2671,' Disaggregation - Section E '!A$618:J3360,7,0)="","",VLOOKUP(C2671,' Disaggregation - Section E '!A$618:J3360,7,0)*100),"")</f>
        <v/>
      </c>
      <c r="F2671" s="391" t="str">
        <f ca="1">IFERROR(VLOOKUP(C2671,' Disaggregation - Section E '!A$618:J3360,5,0),"")</f>
        <v/>
      </c>
      <c r="G2671" s="390" t="str">
        <f ca="1">IFERROR(IF(VLOOKUP(C2671,' Disaggregation - Section E '!A$618:J3360,6,0)="","",VLOOKUP(C2671,' Disaggregation - Section E '!A$618:J3360,6,0)),"")</f>
        <v/>
      </c>
      <c r="H2671" s="390" t="str">
        <f ca="1">IFERROR(IF(INDEX(' Disaggregation - Section E '!F$618:F3360,MATCH(C2671,' Disaggregation - Section E '!A$618:A3360,0)+1,1)&lt;&gt;0,INDEX(' Disaggregation - Section E '!F$618:F3360,MATCH(C2671,' Disaggregation - Section E '!A$618:A3360,0)+1,1),""),"")</f>
        <v/>
      </c>
      <c r="I2671" s="391" t="str">
        <f ca="1">IFERROR(IF(VLOOKUP(C2671,' Disaggregation - Section E '!A$618:J3360,8,0)=0,"",VLOOKUP(C2671,' Disaggregation - Section E '!A$618:J3360,8,0)),"")</f>
        <v/>
      </c>
      <c r="J2671" s="391" t="str">
        <f ca="1">IFERROR(IF(VLOOKUP(C2671,' Disaggregation - Section E '!A$618:J3360,9,0)="","",VLOOKUP(C2671,' Disaggregation - Section E '!A$618:J3360,9,0)),"")</f>
        <v/>
      </c>
      <c r="K2671" s="387" t="str">
        <f ca="1">IFERROR(VLOOKUP(C2671,' Disaggregation - Section E '!A$618:J3360,3,0),"")</f>
        <v>KP-1f Number of people in prisons and other closed settings reached with HIV prevention programs - defined package of services</v>
      </c>
      <c r="L2671" s="387"/>
      <c r="M2671" s="387" t="str">
        <f ca="1">IFERROR(IF(VLOOKUP(C2671,' Disaggregation - Section E '!A$618:O1683,15,0)=0,"",VLOOKUP(C2671,' Disaggregation - Section E '!A$618:O1683,15,0)),"")</f>
        <v/>
      </c>
      <c r="N2671" s="391" t="str">
        <f ca="1">IFERROR(IF(VLOOKUP(C2671,' Disaggregation - Section E '!A$618:J3360,10,0)=0,"",VLOOKUP(C2671,' Disaggregation - Section E '!A$618:J3360,10,0)),"")</f>
        <v/>
      </c>
      <c r="O2671" s="387"/>
      <c r="P2671" s="387" t="str">
        <f ca="1">IFERROR(IF(VLOOKUP(C2671,' Disaggregation - Section E '!A$618:R1683,18,0)=0,"",VLOOKUP(C2671,' Disaggregation - Section E '!A$618:R1683,18,0)),"")</f>
        <v/>
      </c>
    </row>
    <row r="2672" spans="1:16">
      <c r="A2672" s="387" t="b">
        <f t="shared" ca="1" si="172"/>
        <v>1</v>
      </c>
      <c r="B2672" s="387"/>
      <c r="C2672" s="396" t="str">
        <f ca="1">IF(COUNTA(O$1610:O2672)=1,"",OFFSET(B2670,-COUNTA(O$1610:O2672)+3,1))</f>
        <v>a16Dm000000M3wxIAC</v>
      </c>
      <c r="D2672" s="392"/>
      <c r="E2672" s="389" t="str">
        <f ca="1">IFERROR(IF(VLOOKUP(C2672,' Disaggregation - Section E '!A$618:J3361,7,0)="","",VLOOKUP(C2672,' Disaggregation - Section E '!A$618:J3361,7,0)*100),"")</f>
        <v/>
      </c>
      <c r="F2672" s="391" t="str">
        <f ca="1">IFERROR(VLOOKUP(C2672,' Disaggregation - Section E '!A$618:J3361,5,0),"")</f>
        <v>25+</v>
      </c>
      <c r="G2672" s="390" t="str">
        <f ca="1">IFERROR(IF(VLOOKUP(C2672,' Disaggregation - Section E '!A$618:J3361,6,0)="","",VLOOKUP(C2672,' Disaggregation - Section E '!A$618:J3361,6,0)),"")</f>
        <v/>
      </c>
      <c r="H2672" s="390" t="str">
        <f ca="1">IFERROR(IF(INDEX(' Disaggregation - Section E '!F$618:F3361,MATCH(C2672,' Disaggregation - Section E '!A$618:A3361,0)+1,1)&lt;&gt;0,INDEX(' Disaggregation - Section E '!F$618:F3361,MATCH(C2672,' Disaggregation - Section E '!A$618:A3361,0)+1,1),""),"")</f>
        <v/>
      </c>
      <c r="I2672" s="391" t="str">
        <f ca="1">IFERROR(IF(VLOOKUP(C2672,' Disaggregation - Section E '!A$618:J3361,8,0)=0,"",VLOOKUP(C2672,' Disaggregation - Section E '!A$618:J3361,8,0)),"")</f>
        <v/>
      </c>
      <c r="J2672" s="391" t="str">
        <f ca="1">IFERROR(IF(VLOOKUP(C2672,' Disaggregation - Section E '!A$618:J3361,9,0)="","",VLOOKUP(C2672,' Disaggregation - Section E '!A$618:J3361,9,0)),"")</f>
        <v/>
      </c>
      <c r="K2672" s="387" t="str">
        <f ca="1">IFERROR(VLOOKUP(C2672,' Disaggregation - Section E '!A$618:J3361,3,0),"")</f>
        <v>HTS-3a Percentage of MSM that have received an HIV test during the reporting period in KP-specific programs and know their results</v>
      </c>
      <c r="L2672" s="387"/>
      <c r="M2672" s="387" t="str">
        <f ca="1">IFERROR(IF(VLOOKUP(C2672,' Disaggregation - Section E '!A$618:O1684,15,0)=0,"",VLOOKUP(C2672,' Disaggregation - Section E '!A$618:O1684,15,0)),"")</f>
        <v>IDR-01270</v>
      </c>
      <c r="N2672" s="391" t="str">
        <f ca="1">IFERROR(IF(VLOOKUP(C2672,' Disaggregation - Section E '!A$618:J3361,10,0)=0,"",VLOOKUP(C2672,' Disaggregation - Section E '!A$618:J3361,10,0)),"")</f>
        <v>Disaggregated data not available. The activity will be taken into account from 2024 onwards</v>
      </c>
      <c r="O2672" s="387"/>
      <c r="P2672" s="387" t="str">
        <f ca="1">IFERROR(IF(VLOOKUP(C2672,' Disaggregation - Section E '!A$618:R1684,18,0)=0,"",VLOOKUP(C2672,' Disaggregation - Section E '!A$618:R1684,18,0)),"")</f>
        <v>a1LDm000000Cb3EMAS</v>
      </c>
    </row>
    <row r="2673" spans="1:16">
      <c r="A2673" s="387" t="b">
        <f t="shared" ca="1" si="172"/>
        <v>1</v>
      </c>
      <c r="B2673" s="387"/>
      <c r="C2673" s="396" t="str">
        <f ca="1">IF(COUNTA(O$1610:O2673)=1,"",OFFSET(B2671,-COUNTA(O$1610:O2673)+3,1))</f>
        <v>a16Dm000000M3wyIAC</v>
      </c>
      <c r="D2673" s="392"/>
      <c r="E2673" s="389" t="str">
        <f ca="1">IFERROR(IF(VLOOKUP(C2673,' Disaggregation - Section E '!A$618:J3362,7,0)="","",VLOOKUP(C2673,' Disaggregation - Section E '!A$618:J3362,7,0)*100),"")</f>
        <v/>
      </c>
      <c r="F2673" s="391" t="str">
        <f ca="1">IFERROR(VLOOKUP(C2673,' Disaggregation - Section E '!A$618:J3362,5,0),"")</f>
        <v>20-24</v>
      </c>
      <c r="G2673" s="390" t="str">
        <f ca="1">IFERROR(IF(VLOOKUP(C2673,' Disaggregation - Section E '!A$618:J3362,6,0)="","",VLOOKUP(C2673,' Disaggregation - Section E '!A$618:J3362,6,0)),"")</f>
        <v/>
      </c>
      <c r="H2673" s="390" t="str">
        <f ca="1">IFERROR(IF(INDEX(' Disaggregation - Section E '!F$618:F3362,MATCH(C2673,' Disaggregation - Section E '!A$618:A3362,0)+1,1)&lt;&gt;0,INDEX(' Disaggregation - Section E '!F$618:F3362,MATCH(C2673,' Disaggregation - Section E '!A$618:A3362,0)+1,1),""),"")</f>
        <v/>
      </c>
      <c r="I2673" s="391" t="str">
        <f ca="1">IFERROR(IF(VLOOKUP(C2673,' Disaggregation - Section E '!A$618:J3362,8,0)=0,"",VLOOKUP(C2673,' Disaggregation - Section E '!A$618:J3362,8,0)),"")</f>
        <v/>
      </c>
      <c r="J2673" s="391" t="str">
        <f ca="1">IFERROR(IF(VLOOKUP(C2673,' Disaggregation - Section E '!A$618:J3362,9,0)="","",VLOOKUP(C2673,' Disaggregation - Section E '!A$618:J3362,9,0)),"")</f>
        <v/>
      </c>
      <c r="K2673" s="387" t="str">
        <f ca="1">IFERROR(VLOOKUP(C2673,' Disaggregation - Section E '!A$618:J3362,3,0),"")</f>
        <v>HTS-3a Percentage of MSM that have received an HIV test during the reporting period in KP-specific programs and know their results</v>
      </c>
      <c r="L2673" s="387"/>
      <c r="M2673" s="387" t="str">
        <f ca="1">IFERROR(IF(VLOOKUP(C2673,' Disaggregation - Section E '!A$618:O1685,15,0)=0,"",VLOOKUP(C2673,' Disaggregation - Section E '!A$618:O1685,15,0)),"")</f>
        <v>IDR-01269</v>
      </c>
      <c r="N2673" s="391" t="str">
        <f ca="1">IFERROR(IF(VLOOKUP(C2673,' Disaggregation - Section E '!A$618:J3362,10,0)=0,"",VLOOKUP(C2673,' Disaggregation - Section E '!A$618:J3362,10,0)),"")</f>
        <v>Disaggregated data not available. The activity will be taken into account from 2024 onwards</v>
      </c>
      <c r="O2673" s="387"/>
      <c r="P2673" s="387" t="str">
        <f ca="1">IFERROR(IF(VLOOKUP(C2673,' Disaggregation - Section E '!A$618:R1685,18,0)=0,"",VLOOKUP(C2673,' Disaggregation - Section E '!A$618:R1685,18,0)),"")</f>
        <v>a1LDm000000Cb3DMAS</v>
      </c>
    </row>
    <row r="2674" spans="1:16">
      <c r="A2674" s="387" t="b">
        <f t="shared" ca="1" si="172"/>
        <v>1</v>
      </c>
      <c r="B2674" s="387"/>
      <c r="C2674" s="396" t="str">
        <f ca="1">IF(COUNTA(O$1610:O2674)=1,"",OFFSET(B2672,-COUNTA(O$1610:O2674)+3,1))</f>
        <v>a16Dm000000M3wzIAC</v>
      </c>
      <c r="D2674" s="392"/>
      <c r="E2674" s="389" t="str">
        <f ca="1">IFERROR(IF(VLOOKUP(C2674,' Disaggregation - Section E '!A$618:J3363,7,0)="","",VLOOKUP(C2674,' Disaggregation - Section E '!A$618:J3363,7,0)*100),"")</f>
        <v/>
      </c>
      <c r="F2674" s="391" t="str">
        <f ca="1">IFERROR(VLOOKUP(C2674,' Disaggregation - Section E '!A$618:J3363,5,0),"")</f>
        <v>15-19</v>
      </c>
      <c r="G2674" s="390" t="str">
        <f ca="1">IFERROR(IF(VLOOKUP(C2674,' Disaggregation - Section E '!A$618:J3363,6,0)="","",VLOOKUP(C2674,' Disaggregation - Section E '!A$618:J3363,6,0)),"")</f>
        <v/>
      </c>
      <c r="H2674" s="390" t="str">
        <f ca="1">IFERROR(IF(INDEX(' Disaggregation - Section E '!F$618:F3363,MATCH(C2674,' Disaggregation - Section E '!A$618:A3363,0)+1,1)&lt;&gt;0,INDEX(' Disaggregation - Section E '!F$618:F3363,MATCH(C2674,' Disaggregation - Section E '!A$618:A3363,0)+1,1),""),"")</f>
        <v/>
      </c>
      <c r="I2674" s="391" t="str">
        <f ca="1">IFERROR(IF(VLOOKUP(C2674,' Disaggregation - Section E '!A$618:J3363,8,0)=0,"",VLOOKUP(C2674,' Disaggregation - Section E '!A$618:J3363,8,0)),"")</f>
        <v/>
      </c>
      <c r="J2674" s="391" t="str">
        <f ca="1">IFERROR(IF(VLOOKUP(C2674,' Disaggregation - Section E '!A$618:J3363,9,0)="","",VLOOKUP(C2674,' Disaggregation - Section E '!A$618:J3363,9,0)),"")</f>
        <v/>
      </c>
      <c r="K2674" s="387" t="str">
        <f ca="1">IFERROR(VLOOKUP(C2674,' Disaggregation - Section E '!A$618:J3363,3,0),"")</f>
        <v>HTS-3a Percentage of MSM that have received an HIV test during the reporting period in KP-specific programs and know their results</v>
      </c>
      <c r="L2674" s="387"/>
      <c r="M2674" s="387" t="str">
        <f ca="1">IFERROR(IF(VLOOKUP(C2674,' Disaggregation - Section E '!A$618:O1686,15,0)=0,"",VLOOKUP(C2674,' Disaggregation - Section E '!A$618:O1686,15,0)),"")</f>
        <v>IDR-01268</v>
      </c>
      <c r="N2674" s="391" t="str">
        <f ca="1">IFERROR(IF(VLOOKUP(C2674,' Disaggregation - Section E '!A$618:J3363,10,0)=0,"",VLOOKUP(C2674,' Disaggregation - Section E '!A$618:J3363,10,0)),"")</f>
        <v>Disaggregated data not available. The activity will be taken into account from 2024 onwards</v>
      </c>
      <c r="O2674" s="387"/>
      <c r="P2674" s="387" t="str">
        <f ca="1">IFERROR(IF(VLOOKUP(C2674,' Disaggregation - Section E '!A$618:R1686,18,0)=0,"",VLOOKUP(C2674,' Disaggregation - Section E '!A$618:R1686,18,0)),"")</f>
        <v>a1LDm000000Cb3CMAS</v>
      </c>
    </row>
    <row r="2675" spans="1:16">
      <c r="A2675" s="387" t="b">
        <f t="shared" ca="1" si="172"/>
        <v>0</v>
      </c>
      <c r="B2675" s="387"/>
      <c r="C2675" s="396" t="str">
        <f ca="1">IF(COUNTA(O$1610:O2675)=1,"",OFFSET(B2673,-COUNTA(O$1610:O2675)+3,1))</f>
        <v>a16Dm000000M3x0IAC</v>
      </c>
      <c r="D2675" s="392"/>
      <c r="E2675" s="389" t="str">
        <f ca="1">IFERROR(IF(VLOOKUP(C2675,' Disaggregation - Section E '!A$618:J3364,7,0)="","",VLOOKUP(C2675,' Disaggregation - Section E '!A$618:J3364,7,0)*100),"")</f>
        <v/>
      </c>
      <c r="F2675" s="391" t="str">
        <f ca="1">IFERROR(VLOOKUP(C2675,' Disaggregation - Section E '!A$618:J3364,5,0),"")</f>
        <v/>
      </c>
      <c r="G2675" s="390" t="str">
        <f ca="1">IFERROR(IF(VLOOKUP(C2675,' Disaggregation - Section E '!A$618:J3364,6,0)="","",VLOOKUP(C2675,' Disaggregation - Section E '!A$618:J3364,6,0)),"")</f>
        <v/>
      </c>
      <c r="H2675" s="390" t="str">
        <f ca="1">IFERROR(IF(INDEX(' Disaggregation - Section E '!F$618:F3364,MATCH(C2675,' Disaggregation - Section E '!A$618:A3364,0)+1,1)&lt;&gt;0,INDEX(' Disaggregation - Section E '!F$618:F3364,MATCH(C2675,' Disaggregation - Section E '!A$618:A3364,0)+1,1),""),"")</f>
        <v/>
      </c>
      <c r="I2675" s="391" t="str">
        <f ca="1">IFERROR(IF(VLOOKUP(C2675,' Disaggregation - Section E '!A$618:J3364,8,0)=0,"",VLOOKUP(C2675,' Disaggregation - Section E '!A$618:J3364,8,0)),"")</f>
        <v/>
      </c>
      <c r="J2675" s="391" t="str">
        <f ca="1">IFERROR(IF(VLOOKUP(C2675,' Disaggregation - Section E '!A$618:J3364,9,0)="","",VLOOKUP(C2675,' Disaggregation - Section E '!A$618:J3364,9,0)),"")</f>
        <v/>
      </c>
      <c r="K2675" s="387" t="str">
        <f ca="1">IFERROR(VLOOKUP(C2675,' Disaggregation - Section E '!A$618:J3364,3,0),"")</f>
        <v>HTS-3a Percentage of MSM that have received an HIV test during the reporting period in KP-specific programs and know their results</v>
      </c>
      <c r="L2675" s="387"/>
      <c r="M2675" s="387" t="str">
        <f ca="1">IFERROR(IF(VLOOKUP(C2675,' Disaggregation - Section E '!A$618:O1687,15,0)=0,"",VLOOKUP(C2675,' Disaggregation - Section E '!A$618:O1687,15,0)),"")</f>
        <v/>
      </c>
      <c r="N2675" s="391" t="str">
        <f ca="1">IFERROR(IF(VLOOKUP(C2675,' Disaggregation - Section E '!A$618:J3364,10,0)=0,"",VLOOKUP(C2675,' Disaggregation - Section E '!A$618:J3364,10,0)),"")</f>
        <v/>
      </c>
      <c r="O2675" s="387"/>
      <c r="P2675" s="387" t="str">
        <f ca="1">IFERROR(IF(VLOOKUP(C2675,' Disaggregation - Section E '!A$618:R1687,18,0)=0,"",VLOOKUP(C2675,' Disaggregation - Section E '!A$618:R1687,18,0)),"")</f>
        <v/>
      </c>
    </row>
    <row r="2676" spans="1:16">
      <c r="A2676" s="387" t="b">
        <f t="shared" ca="1" si="172"/>
        <v>0</v>
      </c>
      <c r="B2676" s="387"/>
      <c r="C2676" s="396" t="str">
        <f ca="1">IF(COUNTA(O$1610:O2676)=1,"",OFFSET(B2674,-COUNTA(O$1610:O2676)+3,1))</f>
        <v>a16Dm000000M3x1IAC</v>
      </c>
      <c r="D2676" s="392"/>
      <c r="E2676" s="389" t="str">
        <f ca="1">IFERROR(IF(VLOOKUP(C2676,' Disaggregation - Section E '!A$618:J3365,7,0)="","",VLOOKUP(C2676,' Disaggregation - Section E '!A$618:J3365,7,0)*100),"")</f>
        <v/>
      </c>
      <c r="F2676" s="391" t="str">
        <f ca="1">IFERROR(VLOOKUP(C2676,' Disaggregation - Section E '!A$618:J3365,5,0),"")</f>
        <v/>
      </c>
      <c r="G2676" s="390" t="str">
        <f ca="1">IFERROR(IF(VLOOKUP(C2676,' Disaggregation - Section E '!A$618:J3365,6,0)="","",VLOOKUP(C2676,' Disaggregation - Section E '!A$618:J3365,6,0)),"")</f>
        <v/>
      </c>
      <c r="H2676" s="390" t="str">
        <f ca="1">IFERROR(IF(INDEX(' Disaggregation - Section E '!F$618:F3365,MATCH(C2676,' Disaggregation - Section E '!A$618:A3365,0)+1,1)&lt;&gt;0,INDEX(' Disaggregation - Section E '!F$618:F3365,MATCH(C2676,' Disaggregation - Section E '!A$618:A3365,0)+1,1),""),"")</f>
        <v/>
      </c>
      <c r="I2676" s="391" t="str">
        <f ca="1">IFERROR(IF(VLOOKUP(C2676,' Disaggregation - Section E '!A$618:J3365,8,0)=0,"",VLOOKUP(C2676,' Disaggregation - Section E '!A$618:J3365,8,0)),"")</f>
        <v/>
      </c>
      <c r="J2676" s="391" t="str">
        <f ca="1">IFERROR(IF(VLOOKUP(C2676,' Disaggregation - Section E '!A$618:J3365,9,0)="","",VLOOKUP(C2676,' Disaggregation - Section E '!A$618:J3365,9,0)),"")</f>
        <v/>
      </c>
      <c r="K2676" s="387" t="str">
        <f ca="1">IFERROR(VLOOKUP(C2676,' Disaggregation - Section E '!A$618:J3365,3,0),"")</f>
        <v>HTS-3a Percentage of MSM that have received an HIV test during the reporting period in KP-specific programs and know their results</v>
      </c>
      <c r="L2676" s="387"/>
      <c r="M2676" s="387" t="str">
        <f ca="1">IFERROR(IF(VLOOKUP(C2676,' Disaggregation - Section E '!A$618:O1688,15,0)=0,"",VLOOKUP(C2676,' Disaggregation - Section E '!A$618:O1688,15,0)),"")</f>
        <v/>
      </c>
      <c r="N2676" s="391" t="str">
        <f ca="1">IFERROR(IF(VLOOKUP(C2676,' Disaggregation - Section E '!A$618:J3365,10,0)=0,"",VLOOKUP(C2676,' Disaggregation - Section E '!A$618:J3365,10,0)),"")</f>
        <v/>
      </c>
      <c r="O2676" s="387"/>
      <c r="P2676" s="387" t="str">
        <f ca="1">IFERROR(IF(VLOOKUP(C2676,' Disaggregation - Section E '!A$618:R1688,18,0)=0,"",VLOOKUP(C2676,' Disaggregation - Section E '!A$618:R1688,18,0)),"")</f>
        <v/>
      </c>
    </row>
    <row r="2677" spans="1:16">
      <c r="A2677" s="387" t="b">
        <f t="shared" ca="1" si="172"/>
        <v>0</v>
      </c>
      <c r="B2677" s="387"/>
      <c r="C2677" s="396" t="str">
        <f ca="1">IF(COUNTA(O$1610:O2677)=1,"",OFFSET(B2675,-COUNTA(O$1610:O2677)+3,1))</f>
        <v>a16Dm000000M3x2IAC</v>
      </c>
      <c r="D2677" s="392"/>
      <c r="E2677" s="389" t="str">
        <f ca="1">IFERROR(IF(VLOOKUP(C2677,' Disaggregation - Section E '!A$618:J3366,7,0)="","",VLOOKUP(C2677,' Disaggregation - Section E '!A$618:J3366,7,0)*100),"")</f>
        <v/>
      </c>
      <c r="F2677" s="391" t="str">
        <f ca="1">IFERROR(VLOOKUP(C2677,' Disaggregation - Section E '!A$618:J3366,5,0),"")</f>
        <v/>
      </c>
      <c r="G2677" s="390" t="str">
        <f ca="1">IFERROR(IF(VLOOKUP(C2677,' Disaggregation - Section E '!A$618:J3366,6,0)="","",VLOOKUP(C2677,' Disaggregation - Section E '!A$618:J3366,6,0)),"")</f>
        <v/>
      </c>
      <c r="H2677" s="390" t="str">
        <f ca="1">IFERROR(IF(INDEX(' Disaggregation - Section E '!F$618:F3366,MATCH(C2677,' Disaggregation - Section E '!A$618:A3366,0)+1,1)&lt;&gt;0,INDEX(' Disaggregation - Section E '!F$618:F3366,MATCH(C2677,' Disaggregation - Section E '!A$618:A3366,0)+1,1),""),"")</f>
        <v/>
      </c>
      <c r="I2677" s="391" t="str">
        <f ca="1">IFERROR(IF(VLOOKUP(C2677,' Disaggregation - Section E '!A$618:J3366,8,0)=0,"",VLOOKUP(C2677,' Disaggregation - Section E '!A$618:J3366,8,0)),"")</f>
        <v/>
      </c>
      <c r="J2677" s="391" t="str">
        <f ca="1">IFERROR(IF(VLOOKUP(C2677,' Disaggregation - Section E '!A$618:J3366,9,0)="","",VLOOKUP(C2677,' Disaggregation - Section E '!A$618:J3366,9,0)),"")</f>
        <v/>
      </c>
      <c r="K2677" s="387" t="str">
        <f ca="1">IFERROR(VLOOKUP(C2677,' Disaggregation - Section E '!A$618:J3366,3,0),"")</f>
        <v>HTS-3a Percentage of MSM that have received an HIV test during the reporting period in KP-specific programs and know their results</v>
      </c>
      <c r="L2677" s="387"/>
      <c r="M2677" s="387" t="str">
        <f ca="1">IFERROR(IF(VLOOKUP(C2677,' Disaggregation - Section E '!A$618:O1689,15,0)=0,"",VLOOKUP(C2677,' Disaggregation - Section E '!A$618:O1689,15,0)),"")</f>
        <v/>
      </c>
      <c r="N2677" s="391" t="str">
        <f ca="1">IFERROR(IF(VLOOKUP(C2677,' Disaggregation - Section E '!A$618:J3366,10,0)=0,"",VLOOKUP(C2677,' Disaggregation - Section E '!A$618:J3366,10,0)),"")</f>
        <v/>
      </c>
      <c r="O2677" s="387"/>
      <c r="P2677" s="387" t="str">
        <f ca="1">IFERROR(IF(VLOOKUP(C2677,' Disaggregation - Section E '!A$618:R1689,18,0)=0,"",VLOOKUP(C2677,' Disaggregation - Section E '!A$618:R1689,18,0)),"")</f>
        <v/>
      </c>
    </row>
    <row r="2678" spans="1:16">
      <c r="A2678" s="387" t="b">
        <f t="shared" ca="1" si="172"/>
        <v>0</v>
      </c>
      <c r="B2678" s="387"/>
      <c r="C2678" s="396" t="str">
        <f ca="1">IF(COUNTA(O$1610:O2678)=1,"",OFFSET(B2676,-COUNTA(O$1610:O2678)+3,1))</f>
        <v>a16Dm000000M3x3IAC</v>
      </c>
      <c r="D2678" s="392"/>
      <c r="E2678" s="389" t="str">
        <f ca="1">IFERROR(IF(VLOOKUP(C2678,' Disaggregation - Section E '!A$618:J3367,7,0)="","",VLOOKUP(C2678,' Disaggregation - Section E '!A$618:J3367,7,0)*100),"")</f>
        <v/>
      </c>
      <c r="F2678" s="391" t="str">
        <f ca="1">IFERROR(VLOOKUP(C2678,' Disaggregation - Section E '!A$618:J3367,5,0),"")</f>
        <v/>
      </c>
      <c r="G2678" s="390" t="str">
        <f ca="1">IFERROR(IF(VLOOKUP(C2678,' Disaggregation - Section E '!A$618:J3367,6,0)="","",VLOOKUP(C2678,' Disaggregation - Section E '!A$618:J3367,6,0)),"")</f>
        <v/>
      </c>
      <c r="H2678" s="390" t="str">
        <f ca="1">IFERROR(IF(INDEX(' Disaggregation - Section E '!F$618:F3367,MATCH(C2678,' Disaggregation - Section E '!A$618:A3367,0)+1,1)&lt;&gt;0,INDEX(' Disaggregation - Section E '!F$618:F3367,MATCH(C2678,' Disaggregation - Section E '!A$618:A3367,0)+1,1),""),"")</f>
        <v/>
      </c>
      <c r="I2678" s="391" t="str">
        <f ca="1">IFERROR(IF(VLOOKUP(C2678,' Disaggregation - Section E '!A$618:J3367,8,0)=0,"",VLOOKUP(C2678,' Disaggregation - Section E '!A$618:J3367,8,0)),"")</f>
        <v/>
      </c>
      <c r="J2678" s="391" t="str">
        <f ca="1">IFERROR(IF(VLOOKUP(C2678,' Disaggregation - Section E '!A$618:J3367,9,0)="","",VLOOKUP(C2678,' Disaggregation - Section E '!A$618:J3367,9,0)),"")</f>
        <v/>
      </c>
      <c r="K2678" s="387" t="str">
        <f ca="1">IFERROR(VLOOKUP(C2678,' Disaggregation - Section E '!A$618:J3367,3,0),"")</f>
        <v>HTS-3a Percentage of MSM that have received an HIV test during the reporting period in KP-specific programs and know their results</v>
      </c>
      <c r="L2678" s="387"/>
      <c r="M2678" s="387" t="str">
        <f ca="1">IFERROR(IF(VLOOKUP(C2678,' Disaggregation - Section E '!A$618:O1690,15,0)=0,"",VLOOKUP(C2678,' Disaggregation - Section E '!A$618:O1690,15,0)),"")</f>
        <v/>
      </c>
      <c r="N2678" s="391" t="str">
        <f ca="1">IFERROR(IF(VLOOKUP(C2678,' Disaggregation - Section E '!A$618:J3367,10,0)=0,"",VLOOKUP(C2678,' Disaggregation - Section E '!A$618:J3367,10,0)),"")</f>
        <v/>
      </c>
      <c r="O2678" s="387"/>
      <c r="P2678" s="387" t="str">
        <f ca="1">IFERROR(IF(VLOOKUP(C2678,' Disaggregation - Section E '!A$618:R1690,18,0)=0,"",VLOOKUP(C2678,' Disaggregation - Section E '!A$618:R1690,18,0)),"")</f>
        <v/>
      </c>
    </row>
    <row r="2679" spans="1:16">
      <c r="A2679" s="387" t="b">
        <f t="shared" ca="1" si="172"/>
        <v>0</v>
      </c>
      <c r="B2679" s="387"/>
      <c r="C2679" s="396" t="str">
        <f ca="1">IF(COUNTA(O$1610:O2679)=1,"",OFFSET(B2677,-COUNTA(O$1610:O2679)+3,1))</f>
        <v>a16Dm000000M3x4IAC</v>
      </c>
      <c r="D2679" s="392"/>
      <c r="E2679" s="389" t="str">
        <f ca="1">IFERROR(IF(VLOOKUP(C2679,' Disaggregation - Section E '!A$618:J3368,7,0)="","",VLOOKUP(C2679,' Disaggregation - Section E '!A$618:J3368,7,0)*100),"")</f>
        <v/>
      </c>
      <c r="F2679" s="391" t="str">
        <f ca="1">IFERROR(VLOOKUP(C2679,' Disaggregation - Section E '!A$618:J3368,5,0),"")</f>
        <v/>
      </c>
      <c r="G2679" s="390" t="str">
        <f ca="1">IFERROR(IF(VLOOKUP(C2679,' Disaggregation - Section E '!A$618:J3368,6,0)="","",VLOOKUP(C2679,' Disaggregation - Section E '!A$618:J3368,6,0)),"")</f>
        <v/>
      </c>
      <c r="H2679" s="390" t="str">
        <f ca="1">IFERROR(IF(INDEX(' Disaggregation - Section E '!F$618:F3368,MATCH(C2679,' Disaggregation - Section E '!A$618:A3368,0)+1,1)&lt;&gt;0,INDEX(' Disaggregation - Section E '!F$618:F3368,MATCH(C2679,' Disaggregation - Section E '!A$618:A3368,0)+1,1),""),"")</f>
        <v/>
      </c>
      <c r="I2679" s="391" t="str">
        <f ca="1">IFERROR(IF(VLOOKUP(C2679,' Disaggregation - Section E '!A$618:J3368,8,0)=0,"",VLOOKUP(C2679,' Disaggregation - Section E '!A$618:J3368,8,0)),"")</f>
        <v/>
      </c>
      <c r="J2679" s="391" t="str">
        <f ca="1">IFERROR(IF(VLOOKUP(C2679,' Disaggregation - Section E '!A$618:J3368,9,0)="","",VLOOKUP(C2679,' Disaggregation - Section E '!A$618:J3368,9,0)),"")</f>
        <v/>
      </c>
      <c r="K2679" s="387" t="str">
        <f ca="1">IFERROR(VLOOKUP(C2679,' Disaggregation - Section E '!A$618:J3368,3,0),"")</f>
        <v>HTS-3a Percentage of MSM that have received an HIV test during the reporting period in KP-specific programs and know their results</v>
      </c>
      <c r="L2679" s="387"/>
      <c r="M2679" s="387" t="str">
        <f ca="1">IFERROR(IF(VLOOKUP(C2679,' Disaggregation - Section E '!A$618:O1691,15,0)=0,"",VLOOKUP(C2679,' Disaggregation - Section E '!A$618:O1691,15,0)),"")</f>
        <v/>
      </c>
      <c r="N2679" s="391" t="str">
        <f ca="1">IFERROR(IF(VLOOKUP(C2679,' Disaggregation - Section E '!A$618:J3368,10,0)=0,"",VLOOKUP(C2679,' Disaggregation - Section E '!A$618:J3368,10,0)),"")</f>
        <v/>
      </c>
      <c r="O2679" s="387"/>
      <c r="P2679" s="387" t="str">
        <f ca="1">IFERROR(IF(VLOOKUP(C2679,' Disaggregation - Section E '!A$618:R1691,18,0)=0,"",VLOOKUP(C2679,' Disaggregation - Section E '!A$618:R1691,18,0)),"")</f>
        <v/>
      </c>
    </row>
    <row r="2680" spans="1:16">
      <c r="A2680" s="387" t="b">
        <f t="shared" ca="1" si="172"/>
        <v>0</v>
      </c>
      <c r="B2680" s="387"/>
      <c r="C2680" s="396" t="str">
        <f ca="1">IF(COUNTA(O$1610:O2680)=1,"",OFFSET(B2678,-COUNTA(O$1610:O2680)+3,1))</f>
        <v>a16Dm000000M3x5IAC</v>
      </c>
      <c r="D2680" s="392"/>
      <c r="E2680" s="389" t="str">
        <f ca="1">IFERROR(IF(VLOOKUP(C2680,' Disaggregation - Section E '!A$618:J3369,7,0)="","",VLOOKUP(C2680,' Disaggregation - Section E '!A$618:J3369,7,0)*100),"")</f>
        <v/>
      </c>
      <c r="F2680" s="391" t="str">
        <f ca="1">IFERROR(VLOOKUP(C2680,' Disaggregation - Section E '!A$618:J3369,5,0),"")</f>
        <v/>
      </c>
      <c r="G2680" s="390" t="str">
        <f ca="1">IFERROR(IF(VLOOKUP(C2680,' Disaggregation - Section E '!A$618:J3369,6,0)="","",VLOOKUP(C2680,' Disaggregation - Section E '!A$618:J3369,6,0)),"")</f>
        <v/>
      </c>
      <c r="H2680" s="390" t="str">
        <f ca="1">IFERROR(IF(INDEX(' Disaggregation - Section E '!F$618:F3369,MATCH(C2680,' Disaggregation - Section E '!A$618:A3369,0)+1,1)&lt;&gt;0,INDEX(' Disaggregation - Section E '!F$618:F3369,MATCH(C2680,' Disaggregation - Section E '!A$618:A3369,0)+1,1),""),"")</f>
        <v/>
      </c>
      <c r="I2680" s="391" t="str">
        <f ca="1">IFERROR(IF(VLOOKUP(C2680,' Disaggregation - Section E '!A$618:J3369,8,0)=0,"",VLOOKUP(C2680,' Disaggregation - Section E '!A$618:J3369,8,0)),"")</f>
        <v/>
      </c>
      <c r="J2680" s="391" t="str">
        <f ca="1">IFERROR(IF(VLOOKUP(C2680,' Disaggregation - Section E '!A$618:J3369,9,0)="","",VLOOKUP(C2680,' Disaggregation - Section E '!A$618:J3369,9,0)),"")</f>
        <v/>
      </c>
      <c r="K2680" s="387" t="str">
        <f ca="1">IFERROR(VLOOKUP(C2680,' Disaggregation - Section E '!A$618:J3369,3,0),"")</f>
        <v>HTS-3a Percentage of MSM that have received an HIV test during the reporting period in KP-specific programs and know their results</v>
      </c>
      <c r="L2680" s="387"/>
      <c r="M2680" s="387" t="str">
        <f ca="1">IFERROR(IF(VLOOKUP(C2680,' Disaggregation - Section E '!A$618:O1692,15,0)=0,"",VLOOKUP(C2680,' Disaggregation - Section E '!A$618:O1692,15,0)),"")</f>
        <v/>
      </c>
      <c r="N2680" s="391" t="str">
        <f ca="1">IFERROR(IF(VLOOKUP(C2680,' Disaggregation - Section E '!A$618:J3369,10,0)=0,"",VLOOKUP(C2680,' Disaggregation - Section E '!A$618:J3369,10,0)),"")</f>
        <v/>
      </c>
      <c r="O2680" s="387"/>
      <c r="P2680" s="387" t="str">
        <f ca="1">IFERROR(IF(VLOOKUP(C2680,' Disaggregation - Section E '!A$618:R1692,18,0)=0,"",VLOOKUP(C2680,' Disaggregation - Section E '!A$618:R1692,18,0)),"")</f>
        <v/>
      </c>
    </row>
    <row r="2681" spans="1:16">
      <c r="A2681" s="387" t="b">
        <f t="shared" ca="1" si="172"/>
        <v>0</v>
      </c>
      <c r="B2681" s="387"/>
      <c r="C2681" s="396" t="str">
        <f ca="1">IF(COUNTA(O$1610:O2681)=1,"",OFFSET(B2679,-COUNTA(O$1610:O2681)+3,1))</f>
        <v>a16Dm000000M3x6IAC</v>
      </c>
      <c r="D2681" s="392"/>
      <c r="E2681" s="389" t="str">
        <f ca="1">IFERROR(IF(VLOOKUP(C2681,' Disaggregation - Section E '!A$618:J3370,7,0)="","",VLOOKUP(C2681,' Disaggregation - Section E '!A$618:J3370,7,0)*100),"")</f>
        <v/>
      </c>
      <c r="F2681" s="391" t="str">
        <f ca="1">IFERROR(VLOOKUP(C2681,' Disaggregation - Section E '!A$618:J3370,5,0),"")</f>
        <v/>
      </c>
      <c r="G2681" s="390" t="str">
        <f ca="1">IFERROR(IF(VLOOKUP(C2681,' Disaggregation - Section E '!A$618:J3370,6,0)="","",VLOOKUP(C2681,' Disaggregation - Section E '!A$618:J3370,6,0)),"")</f>
        <v/>
      </c>
      <c r="H2681" s="390" t="str">
        <f ca="1">IFERROR(IF(INDEX(' Disaggregation - Section E '!F$618:F3370,MATCH(C2681,' Disaggregation - Section E '!A$618:A3370,0)+1,1)&lt;&gt;0,INDEX(' Disaggregation - Section E '!F$618:F3370,MATCH(C2681,' Disaggregation - Section E '!A$618:A3370,0)+1,1),""),"")</f>
        <v/>
      </c>
      <c r="I2681" s="391" t="str">
        <f ca="1">IFERROR(IF(VLOOKUP(C2681,' Disaggregation - Section E '!A$618:J3370,8,0)=0,"",VLOOKUP(C2681,' Disaggregation - Section E '!A$618:J3370,8,0)),"")</f>
        <v/>
      </c>
      <c r="J2681" s="391" t="str">
        <f ca="1">IFERROR(IF(VLOOKUP(C2681,' Disaggregation - Section E '!A$618:J3370,9,0)="","",VLOOKUP(C2681,' Disaggregation - Section E '!A$618:J3370,9,0)),"")</f>
        <v/>
      </c>
      <c r="K2681" s="387" t="str">
        <f ca="1">IFERROR(VLOOKUP(C2681,' Disaggregation - Section E '!A$618:J3370,3,0),"")</f>
        <v>HTS-3a Percentage of MSM that have received an HIV test during the reporting period in KP-specific programs and know their results</v>
      </c>
      <c r="L2681" s="387"/>
      <c r="M2681" s="387" t="str">
        <f ca="1">IFERROR(IF(VLOOKUP(C2681,' Disaggregation - Section E '!A$618:O1693,15,0)=0,"",VLOOKUP(C2681,' Disaggregation - Section E '!A$618:O1693,15,0)),"")</f>
        <v/>
      </c>
      <c r="N2681" s="391" t="str">
        <f ca="1">IFERROR(IF(VLOOKUP(C2681,' Disaggregation - Section E '!A$618:J3370,10,0)=0,"",VLOOKUP(C2681,' Disaggregation - Section E '!A$618:J3370,10,0)),"")</f>
        <v/>
      </c>
      <c r="O2681" s="387"/>
      <c r="P2681" s="387" t="str">
        <f ca="1">IFERROR(IF(VLOOKUP(C2681,' Disaggregation - Section E '!A$618:R1693,18,0)=0,"",VLOOKUP(C2681,' Disaggregation - Section E '!A$618:R1693,18,0)),"")</f>
        <v/>
      </c>
    </row>
    <row r="2682" spans="1:16">
      <c r="A2682" s="387" t="b">
        <f t="shared" ca="1" si="172"/>
        <v>0</v>
      </c>
      <c r="B2682" s="387"/>
      <c r="C2682" s="396" t="str">
        <f ca="1">IF(COUNTA(O$1610:O2682)=1,"",OFFSET(B2680,-COUNTA(O$1610:O2682)+3,1))</f>
        <v>a16Dm000000M3x7IAC</v>
      </c>
      <c r="D2682" s="392"/>
      <c r="E2682" s="389" t="str">
        <f ca="1">IFERROR(IF(VLOOKUP(C2682,' Disaggregation - Section E '!A$618:J3371,7,0)="","",VLOOKUP(C2682,' Disaggregation - Section E '!A$618:J3371,7,0)*100),"")</f>
        <v/>
      </c>
      <c r="F2682" s="391" t="str">
        <f ca="1">IFERROR(VLOOKUP(C2682,' Disaggregation - Section E '!A$618:J3371,5,0),"")</f>
        <v/>
      </c>
      <c r="G2682" s="390" t="str">
        <f ca="1">IFERROR(IF(VLOOKUP(C2682,' Disaggregation - Section E '!A$618:J3371,6,0)="","",VLOOKUP(C2682,' Disaggregation - Section E '!A$618:J3371,6,0)),"")</f>
        <v/>
      </c>
      <c r="H2682" s="390" t="str">
        <f ca="1">IFERROR(IF(INDEX(' Disaggregation - Section E '!F$618:F3371,MATCH(C2682,' Disaggregation - Section E '!A$618:A3371,0)+1,1)&lt;&gt;0,INDEX(' Disaggregation - Section E '!F$618:F3371,MATCH(C2682,' Disaggregation - Section E '!A$618:A3371,0)+1,1),""),"")</f>
        <v/>
      </c>
      <c r="I2682" s="391" t="str">
        <f ca="1">IFERROR(IF(VLOOKUP(C2682,' Disaggregation - Section E '!A$618:J3371,8,0)=0,"",VLOOKUP(C2682,' Disaggregation - Section E '!A$618:J3371,8,0)),"")</f>
        <v/>
      </c>
      <c r="J2682" s="391" t="str">
        <f ca="1">IFERROR(IF(VLOOKUP(C2682,' Disaggregation - Section E '!A$618:J3371,9,0)="","",VLOOKUP(C2682,' Disaggregation - Section E '!A$618:J3371,9,0)),"")</f>
        <v/>
      </c>
      <c r="K2682" s="387" t="str">
        <f ca="1">IFERROR(VLOOKUP(C2682,' Disaggregation - Section E '!A$618:J3371,3,0),"")</f>
        <v>HTS-3a Percentage of MSM that have received an HIV test during the reporting period in KP-specific programs and know their results</v>
      </c>
      <c r="L2682" s="387"/>
      <c r="M2682" s="387" t="str">
        <f ca="1">IFERROR(IF(VLOOKUP(C2682,' Disaggregation - Section E '!A$618:O1694,15,0)=0,"",VLOOKUP(C2682,' Disaggregation - Section E '!A$618:O1694,15,0)),"")</f>
        <v/>
      </c>
      <c r="N2682" s="391" t="str">
        <f ca="1">IFERROR(IF(VLOOKUP(C2682,' Disaggregation - Section E '!A$618:J3371,10,0)=0,"",VLOOKUP(C2682,' Disaggregation - Section E '!A$618:J3371,10,0)),"")</f>
        <v/>
      </c>
      <c r="O2682" s="387"/>
      <c r="P2682" s="387" t="str">
        <f ca="1">IFERROR(IF(VLOOKUP(C2682,' Disaggregation - Section E '!A$618:R1694,18,0)=0,"",VLOOKUP(C2682,' Disaggregation - Section E '!A$618:R1694,18,0)),"")</f>
        <v/>
      </c>
    </row>
    <row r="2683" spans="1:16">
      <c r="A2683" s="387" t="b">
        <f t="shared" ca="1" si="172"/>
        <v>0</v>
      </c>
      <c r="B2683" s="387"/>
      <c r="C2683" s="396" t="str">
        <f ca="1">IF(COUNTA(O$1610:O2683)=1,"",OFFSET(B2681,-COUNTA(O$1610:O2683)+3,1))</f>
        <v>a16Dm000000M3x8IAC</v>
      </c>
      <c r="D2683" s="392"/>
      <c r="E2683" s="389" t="str">
        <f ca="1">IFERROR(IF(VLOOKUP(C2683,' Disaggregation - Section E '!A$618:J3372,7,0)="","",VLOOKUP(C2683,' Disaggregation - Section E '!A$618:J3372,7,0)*100),"")</f>
        <v/>
      </c>
      <c r="F2683" s="391" t="str">
        <f ca="1">IFERROR(VLOOKUP(C2683,' Disaggregation - Section E '!A$618:J3372,5,0),"")</f>
        <v/>
      </c>
      <c r="G2683" s="390" t="str">
        <f ca="1">IFERROR(IF(VLOOKUP(C2683,' Disaggregation - Section E '!A$618:J3372,6,0)="","",VLOOKUP(C2683,' Disaggregation - Section E '!A$618:J3372,6,0)),"")</f>
        <v/>
      </c>
      <c r="H2683" s="390" t="str">
        <f ca="1">IFERROR(IF(INDEX(' Disaggregation - Section E '!F$618:F3372,MATCH(C2683,' Disaggregation - Section E '!A$618:A3372,0)+1,1)&lt;&gt;0,INDEX(' Disaggregation - Section E '!F$618:F3372,MATCH(C2683,' Disaggregation - Section E '!A$618:A3372,0)+1,1),""),"")</f>
        <v/>
      </c>
      <c r="I2683" s="391" t="str">
        <f ca="1">IFERROR(IF(VLOOKUP(C2683,' Disaggregation - Section E '!A$618:J3372,8,0)=0,"",VLOOKUP(C2683,' Disaggregation - Section E '!A$618:J3372,8,0)),"")</f>
        <v/>
      </c>
      <c r="J2683" s="391" t="str">
        <f ca="1">IFERROR(IF(VLOOKUP(C2683,' Disaggregation - Section E '!A$618:J3372,9,0)="","",VLOOKUP(C2683,' Disaggregation - Section E '!A$618:J3372,9,0)),"")</f>
        <v/>
      </c>
      <c r="K2683" s="387" t="str">
        <f ca="1">IFERROR(VLOOKUP(C2683,' Disaggregation - Section E '!A$618:J3372,3,0),"")</f>
        <v>HTS-3a Percentage of MSM that have received an HIV test during the reporting period in KP-specific programs and know their results</v>
      </c>
      <c r="L2683" s="387"/>
      <c r="M2683" s="387" t="str">
        <f ca="1">IFERROR(IF(VLOOKUP(C2683,' Disaggregation - Section E '!A$618:O1695,15,0)=0,"",VLOOKUP(C2683,' Disaggregation - Section E '!A$618:O1695,15,0)),"")</f>
        <v/>
      </c>
      <c r="N2683" s="391" t="str">
        <f ca="1">IFERROR(IF(VLOOKUP(C2683,' Disaggregation - Section E '!A$618:J3372,10,0)=0,"",VLOOKUP(C2683,' Disaggregation - Section E '!A$618:J3372,10,0)),"")</f>
        <v/>
      </c>
      <c r="O2683" s="387"/>
      <c r="P2683" s="387" t="str">
        <f ca="1">IFERROR(IF(VLOOKUP(C2683,' Disaggregation - Section E '!A$618:R1695,18,0)=0,"",VLOOKUP(C2683,' Disaggregation - Section E '!A$618:R1695,18,0)),"")</f>
        <v/>
      </c>
    </row>
    <row r="2684" spans="1:16">
      <c r="A2684" s="387" t="b">
        <f t="shared" ca="1" si="172"/>
        <v>0</v>
      </c>
      <c r="B2684" s="387"/>
      <c r="C2684" s="396" t="str">
        <f ca="1">IF(COUNTA(O$1610:O2684)=1,"",OFFSET(B2682,-COUNTA(O$1610:O2684)+3,1))</f>
        <v>a16Dm000000M3x9IAC</v>
      </c>
      <c r="D2684" s="392"/>
      <c r="E2684" s="389" t="str">
        <f ca="1">IFERROR(IF(VLOOKUP(C2684,' Disaggregation - Section E '!A$618:J3373,7,0)="","",VLOOKUP(C2684,' Disaggregation - Section E '!A$618:J3373,7,0)*100),"")</f>
        <v/>
      </c>
      <c r="F2684" s="391" t="str">
        <f ca="1">IFERROR(VLOOKUP(C2684,' Disaggregation - Section E '!A$618:J3373,5,0),"")</f>
        <v/>
      </c>
      <c r="G2684" s="390" t="str">
        <f ca="1">IFERROR(IF(VLOOKUP(C2684,' Disaggregation - Section E '!A$618:J3373,6,0)="","",VLOOKUP(C2684,' Disaggregation - Section E '!A$618:J3373,6,0)),"")</f>
        <v/>
      </c>
      <c r="H2684" s="390" t="str">
        <f ca="1">IFERROR(IF(INDEX(' Disaggregation - Section E '!F$618:F3373,MATCH(C2684,' Disaggregation - Section E '!A$618:A3373,0)+1,1)&lt;&gt;0,INDEX(' Disaggregation - Section E '!F$618:F3373,MATCH(C2684,' Disaggregation - Section E '!A$618:A3373,0)+1,1),""),"")</f>
        <v/>
      </c>
      <c r="I2684" s="391" t="str">
        <f ca="1">IFERROR(IF(VLOOKUP(C2684,' Disaggregation - Section E '!A$618:J3373,8,0)=0,"",VLOOKUP(C2684,' Disaggregation - Section E '!A$618:J3373,8,0)),"")</f>
        <v/>
      </c>
      <c r="J2684" s="391" t="str">
        <f ca="1">IFERROR(IF(VLOOKUP(C2684,' Disaggregation - Section E '!A$618:J3373,9,0)="","",VLOOKUP(C2684,' Disaggregation - Section E '!A$618:J3373,9,0)),"")</f>
        <v/>
      </c>
      <c r="K2684" s="387" t="str">
        <f ca="1">IFERROR(VLOOKUP(C2684,' Disaggregation - Section E '!A$618:J3373,3,0),"")</f>
        <v>HTS-3a Percentage of MSM that have received an HIV test during the reporting period in KP-specific programs and know their results</v>
      </c>
      <c r="L2684" s="387"/>
      <c r="M2684" s="387" t="str">
        <f ca="1">IFERROR(IF(VLOOKUP(C2684,' Disaggregation - Section E '!A$618:O1696,15,0)=0,"",VLOOKUP(C2684,' Disaggregation - Section E '!A$618:O1696,15,0)),"")</f>
        <v/>
      </c>
      <c r="N2684" s="391" t="str">
        <f ca="1">IFERROR(IF(VLOOKUP(C2684,' Disaggregation - Section E '!A$618:J3373,10,0)=0,"",VLOOKUP(C2684,' Disaggregation - Section E '!A$618:J3373,10,0)),"")</f>
        <v/>
      </c>
      <c r="O2684" s="387"/>
      <c r="P2684" s="387" t="str">
        <f ca="1">IFERROR(IF(VLOOKUP(C2684,' Disaggregation - Section E '!A$618:R1696,18,0)=0,"",VLOOKUP(C2684,' Disaggregation - Section E '!A$618:R1696,18,0)),"")</f>
        <v/>
      </c>
    </row>
    <row r="2685" spans="1:16">
      <c r="A2685" s="387" t="b">
        <f t="shared" ca="1" si="172"/>
        <v>0</v>
      </c>
      <c r="B2685" s="387"/>
      <c r="C2685" s="396" t="str">
        <f ca="1">IF(COUNTA(O$1610:O2685)=1,"",OFFSET(B2683,-COUNTA(O$1610:O2685)+3,1))</f>
        <v>a16Dm000000M3xAIAS</v>
      </c>
      <c r="D2685" s="392"/>
      <c r="E2685" s="389" t="str">
        <f ca="1">IFERROR(IF(VLOOKUP(C2685,' Disaggregation - Section E '!A$618:J3374,7,0)="","",VLOOKUP(C2685,' Disaggregation - Section E '!A$618:J3374,7,0)*100),"")</f>
        <v/>
      </c>
      <c r="F2685" s="391" t="str">
        <f ca="1">IFERROR(VLOOKUP(C2685,' Disaggregation - Section E '!A$618:J3374,5,0),"")</f>
        <v/>
      </c>
      <c r="G2685" s="390" t="str">
        <f ca="1">IFERROR(IF(VLOOKUP(C2685,' Disaggregation - Section E '!A$618:J3374,6,0)="","",VLOOKUP(C2685,' Disaggregation - Section E '!A$618:J3374,6,0)),"")</f>
        <v/>
      </c>
      <c r="H2685" s="390" t="str">
        <f ca="1">IFERROR(IF(INDEX(' Disaggregation - Section E '!F$618:F3374,MATCH(C2685,' Disaggregation - Section E '!A$618:A3374,0)+1,1)&lt;&gt;0,INDEX(' Disaggregation - Section E '!F$618:F3374,MATCH(C2685,' Disaggregation - Section E '!A$618:A3374,0)+1,1),""),"")</f>
        <v/>
      </c>
      <c r="I2685" s="391" t="str">
        <f ca="1">IFERROR(IF(VLOOKUP(C2685,' Disaggregation - Section E '!A$618:J3374,8,0)=0,"",VLOOKUP(C2685,' Disaggregation - Section E '!A$618:J3374,8,0)),"")</f>
        <v/>
      </c>
      <c r="J2685" s="391" t="str">
        <f ca="1">IFERROR(IF(VLOOKUP(C2685,' Disaggregation - Section E '!A$618:J3374,9,0)="","",VLOOKUP(C2685,' Disaggregation - Section E '!A$618:J3374,9,0)),"")</f>
        <v/>
      </c>
      <c r="K2685" s="387" t="str">
        <f ca="1">IFERROR(VLOOKUP(C2685,' Disaggregation - Section E '!A$618:J3374,3,0),"")</f>
        <v>HTS-3a Percentage of MSM that have received an HIV test during the reporting period in KP-specific programs and know their results</v>
      </c>
      <c r="L2685" s="387"/>
      <c r="M2685" s="387" t="str">
        <f ca="1">IFERROR(IF(VLOOKUP(C2685,' Disaggregation - Section E '!A$618:O1697,15,0)=0,"",VLOOKUP(C2685,' Disaggregation - Section E '!A$618:O1697,15,0)),"")</f>
        <v/>
      </c>
      <c r="N2685" s="391" t="str">
        <f ca="1">IFERROR(IF(VLOOKUP(C2685,' Disaggregation - Section E '!A$618:J3374,10,0)=0,"",VLOOKUP(C2685,' Disaggregation - Section E '!A$618:J3374,10,0)),"")</f>
        <v/>
      </c>
      <c r="O2685" s="387"/>
      <c r="P2685" s="387" t="str">
        <f ca="1">IFERROR(IF(VLOOKUP(C2685,' Disaggregation - Section E '!A$618:R1697,18,0)=0,"",VLOOKUP(C2685,' Disaggregation - Section E '!A$618:R1697,18,0)),"")</f>
        <v/>
      </c>
    </row>
    <row r="2686" spans="1:16">
      <c r="A2686" s="387" t="b">
        <f t="shared" ca="1" si="172"/>
        <v>0</v>
      </c>
      <c r="B2686" s="387"/>
      <c r="C2686" s="396" t="str">
        <f ca="1">IF(COUNTA(O$1610:O2686)=1,"",OFFSET(B2684,-COUNTA(O$1610:O2686)+3,1))</f>
        <v>a16Dm000000M3xBIAS</v>
      </c>
      <c r="D2686" s="392"/>
      <c r="E2686" s="389" t="str">
        <f ca="1">IFERROR(IF(VLOOKUP(C2686,' Disaggregation - Section E '!A$618:J3375,7,0)="","",VLOOKUP(C2686,' Disaggregation - Section E '!A$618:J3375,7,0)*100),"")</f>
        <v/>
      </c>
      <c r="F2686" s="391" t="str">
        <f ca="1">IFERROR(VLOOKUP(C2686,' Disaggregation - Section E '!A$618:J3375,5,0),"")</f>
        <v/>
      </c>
      <c r="G2686" s="390" t="str">
        <f ca="1">IFERROR(IF(VLOOKUP(C2686,' Disaggregation - Section E '!A$618:J3375,6,0)="","",VLOOKUP(C2686,' Disaggregation - Section E '!A$618:J3375,6,0)),"")</f>
        <v/>
      </c>
      <c r="H2686" s="390" t="str">
        <f ca="1">IFERROR(IF(INDEX(' Disaggregation - Section E '!F$618:F3375,MATCH(C2686,' Disaggregation - Section E '!A$618:A3375,0)+1,1)&lt;&gt;0,INDEX(' Disaggregation - Section E '!F$618:F3375,MATCH(C2686,' Disaggregation - Section E '!A$618:A3375,0)+1,1),""),"")</f>
        <v/>
      </c>
      <c r="I2686" s="391" t="str">
        <f ca="1">IFERROR(IF(VLOOKUP(C2686,' Disaggregation - Section E '!A$618:J3375,8,0)=0,"",VLOOKUP(C2686,' Disaggregation - Section E '!A$618:J3375,8,0)),"")</f>
        <v/>
      </c>
      <c r="J2686" s="391" t="str">
        <f ca="1">IFERROR(IF(VLOOKUP(C2686,' Disaggregation - Section E '!A$618:J3375,9,0)="","",VLOOKUP(C2686,' Disaggregation - Section E '!A$618:J3375,9,0)),"")</f>
        <v/>
      </c>
      <c r="K2686" s="387" t="str">
        <f ca="1">IFERROR(VLOOKUP(C2686,' Disaggregation - Section E '!A$618:J3375,3,0),"")</f>
        <v>HTS-3a Percentage of MSM that have received an HIV test during the reporting period in KP-specific programs and know their results</v>
      </c>
      <c r="L2686" s="387"/>
      <c r="M2686" s="387" t="str">
        <f ca="1">IFERROR(IF(VLOOKUP(C2686,' Disaggregation - Section E '!A$618:O1698,15,0)=0,"",VLOOKUP(C2686,' Disaggregation - Section E '!A$618:O1698,15,0)),"")</f>
        <v/>
      </c>
      <c r="N2686" s="391" t="str">
        <f ca="1">IFERROR(IF(VLOOKUP(C2686,' Disaggregation - Section E '!A$618:J3375,10,0)=0,"",VLOOKUP(C2686,' Disaggregation - Section E '!A$618:J3375,10,0)),"")</f>
        <v/>
      </c>
      <c r="O2686" s="387"/>
      <c r="P2686" s="387" t="str">
        <f ca="1">IFERROR(IF(VLOOKUP(C2686,' Disaggregation - Section E '!A$618:R1698,18,0)=0,"",VLOOKUP(C2686,' Disaggregation - Section E '!A$618:R1698,18,0)),"")</f>
        <v/>
      </c>
    </row>
    <row r="2687" spans="1:16">
      <c r="A2687" s="387" t="b">
        <f t="shared" ca="1" si="172"/>
        <v>0</v>
      </c>
      <c r="B2687" s="387"/>
      <c r="C2687" s="396" t="str">
        <f ca="1">IF(COUNTA(O$1610:O2687)=1,"",OFFSET(B2685,-COUNTA(O$1610:O2687)+3,1))</f>
        <v>a16Dm000000M3xCIAS</v>
      </c>
      <c r="D2687" s="392"/>
      <c r="E2687" s="389" t="str">
        <f ca="1">IFERROR(IF(VLOOKUP(C2687,' Disaggregation - Section E '!A$618:J3376,7,0)="","",VLOOKUP(C2687,' Disaggregation - Section E '!A$618:J3376,7,0)*100),"")</f>
        <v/>
      </c>
      <c r="F2687" s="391" t="str">
        <f ca="1">IFERROR(VLOOKUP(C2687,' Disaggregation - Section E '!A$618:J3376,5,0),"")</f>
        <v/>
      </c>
      <c r="G2687" s="390" t="str">
        <f ca="1">IFERROR(IF(VLOOKUP(C2687,' Disaggregation - Section E '!A$618:J3376,6,0)="","",VLOOKUP(C2687,' Disaggregation - Section E '!A$618:J3376,6,0)),"")</f>
        <v/>
      </c>
      <c r="H2687" s="390" t="str">
        <f ca="1">IFERROR(IF(INDEX(' Disaggregation - Section E '!F$618:F3376,MATCH(C2687,' Disaggregation - Section E '!A$618:A3376,0)+1,1)&lt;&gt;0,INDEX(' Disaggregation - Section E '!F$618:F3376,MATCH(C2687,' Disaggregation - Section E '!A$618:A3376,0)+1,1),""),"")</f>
        <v/>
      </c>
      <c r="I2687" s="391" t="str">
        <f ca="1">IFERROR(IF(VLOOKUP(C2687,' Disaggregation - Section E '!A$618:J3376,8,0)=0,"",VLOOKUP(C2687,' Disaggregation - Section E '!A$618:J3376,8,0)),"")</f>
        <v/>
      </c>
      <c r="J2687" s="391" t="str">
        <f ca="1">IFERROR(IF(VLOOKUP(C2687,' Disaggregation - Section E '!A$618:J3376,9,0)="","",VLOOKUP(C2687,' Disaggregation - Section E '!A$618:J3376,9,0)),"")</f>
        <v/>
      </c>
      <c r="K2687" s="387" t="str">
        <f ca="1">IFERROR(VLOOKUP(C2687,' Disaggregation - Section E '!A$618:J3376,3,0),"")</f>
        <v>HTS-3a Percentage of MSM that have received an HIV test during the reporting period in KP-specific programs and know their results</v>
      </c>
      <c r="L2687" s="387"/>
      <c r="M2687" s="387" t="str">
        <f ca="1">IFERROR(IF(VLOOKUP(C2687,' Disaggregation - Section E '!A$618:O1699,15,0)=0,"",VLOOKUP(C2687,' Disaggregation - Section E '!A$618:O1699,15,0)),"")</f>
        <v/>
      </c>
      <c r="N2687" s="391" t="str">
        <f ca="1">IFERROR(IF(VLOOKUP(C2687,' Disaggregation - Section E '!A$618:J3376,10,0)=0,"",VLOOKUP(C2687,' Disaggregation - Section E '!A$618:J3376,10,0)),"")</f>
        <v/>
      </c>
      <c r="O2687" s="387"/>
      <c r="P2687" s="387" t="str">
        <f ca="1">IFERROR(IF(VLOOKUP(C2687,' Disaggregation - Section E '!A$618:R1699,18,0)=0,"",VLOOKUP(C2687,' Disaggregation - Section E '!A$618:R1699,18,0)),"")</f>
        <v/>
      </c>
    </row>
    <row r="2688" spans="1:16">
      <c r="A2688" s="387" t="b">
        <f t="shared" ca="1" si="172"/>
        <v>0</v>
      </c>
      <c r="B2688" s="387"/>
      <c r="C2688" s="396" t="str">
        <f ca="1">IF(COUNTA(O$1610:O2688)=1,"",OFFSET(B2686,-COUNTA(O$1610:O2688)+3,1))</f>
        <v>a16Dm000000M3xDIAS</v>
      </c>
      <c r="D2688" s="392"/>
      <c r="E2688" s="389" t="str">
        <f ca="1">IFERROR(IF(VLOOKUP(C2688,' Disaggregation - Section E '!A$618:J3377,7,0)="","",VLOOKUP(C2688,' Disaggregation - Section E '!A$618:J3377,7,0)*100),"")</f>
        <v/>
      </c>
      <c r="F2688" s="391" t="str">
        <f ca="1">IFERROR(VLOOKUP(C2688,' Disaggregation - Section E '!A$618:J3377,5,0),"")</f>
        <v/>
      </c>
      <c r="G2688" s="390" t="str">
        <f ca="1">IFERROR(IF(VLOOKUP(C2688,' Disaggregation - Section E '!A$618:J3377,6,0)="","",VLOOKUP(C2688,' Disaggregation - Section E '!A$618:J3377,6,0)),"")</f>
        <v/>
      </c>
      <c r="H2688" s="390" t="str">
        <f ca="1">IFERROR(IF(INDEX(' Disaggregation - Section E '!F$618:F3377,MATCH(C2688,' Disaggregation - Section E '!A$618:A3377,0)+1,1)&lt;&gt;0,INDEX(' Disaggregation - Section E '!F$618:F3377,MATCH(C2688,' Disaggregation - Section E '!A$618:A3377,0)+1,1),""),"")</f>
        <v/>
      </c>
      <c r="I2688" s="391" t="str">
        <f ca="1">IFERROR(IF(VLOOKUP(C2688,' Disaggregation - Section E '!A$618:J3377,8,0)=0,"",VLOOKUP(C2688,' Disaggregation - Section E '!A$618:J3377,8,0)),"")</f>
        <v/>
      </c>
      <c r="J2688" s="391" t="str">
        <f ca="1">IFERROR(IF(VLOOKUP(C2688,' Disaggregation - Section E '!A$618:J3377,9,0)="","",VLOOKUP(C2688,' Disaggregation - Section E '!A$618:J3377,9,0)),"")</f>
        <v/>
      </c>
      <c r="K2688" s="387" t="str">
        <f ca="1">IFERROR(VLOOKUP(C2688,' Disaggregation - Section E '!A$618:J3377,3,0),"")</f>
        <v>HTS-3a Percentage of MSM that have received an HIV test during the reporting period in KP-specific programs and know their results</v>
      </c>
      <c r="L2688" s="387"/>
      <c r="M2688" s="387" t="str">
        <f ca="1">IFERROR(IF(VLOOKUP(C2688,' Disaggregation - Section E '!A$618:O1700,15,0)=0,"",VLOOKUP(C2688,' Disaggregation - Section E '!A$618:O1700,15,0)),"")</f>
        <v/>
      </c>
      <c r="N2688" s="391" t="str">
        <f ca="1">IFERROR(IF(VLOOKUP(C2688,' Disaggregation - Section E '!A$618:J3377,10,0)=0,"",VLOOKUP(C2688,' Disaggregation - Section E '!A$618:J3377,10,0)),"")</f>
        <v/>
      </c>
      <c r="O2688" s="387"/>
      <c r="P2688" s="387" t="str">
        <f ca="1">IFERROR(IF(VLOOKUP(C2688,' Disaggregation - Section E '!A$618:R1700,18,0)=0,"",VLOOKUP(C2688,' Disaggregation - Section E '!A$618:R1700,18,0)),"")</f>
        <v/>
      </c>
    </row>
    <row r="2689" spans="1:16">
      <c r="A2689" s="387" t="b">
        <f t="shared" ca="1" si="172"/>
        <v>0</v>
      </c>
      <c r="B2689" s="387"/>
      <c r="C2689" s="396" t="str">
        <f ca="1">IF(COUNTA(O$1610:O2689)=1,"",OFFSET(B2687,-COUNTA(O$1610:O2689)+3,1))</f>
        <v>a16Dm000000M3xEIAS</v>
      </c>
      <c r="D2689" s="392"/>
      <c r="E2689" s="389" t="str">
        <f ca="1">IFERROR(IF(VLOOKUP(C2689,' Disaggregation - Section E '!A$618:J3378,7,0)="","",VLOOKUP(C2689,' Disaggregation - Section E '!A$618:J3378,7,0)*100),"")</f>
        <v/>
      </c>
      <c r="F2689" s="391" t="str">
        <f ca="1">IFERROR(VLOOKUP(C2689,' Disaggregation - Section E '!A$618:J3378,5,0),"")</f>
        <v/>
      </c>
      <c r="G2689" s="390" t="str">
        <f ca="1">IFERROR(IF(VLOOKUP(C2689,' Disaggregation - Section E '!A$618:J3378,6,0)="","",VLOOKUP(C2689,' Disaggregation - Section E '!A$618:J3378,6,0)),"")</f>
        <v/>
      </c>
      <c r="H2689" s="390" t="str">
        <f ca="1">IFERROR(IF(INDEX(' Disaggregation - Section E '!F$618:F3378,MATCH(C2689,' Disaggregation - Section E '!A$618:A3378,0)+1,1)&lt;&gt;0,INDEX(' Disaggregation - Section E '!F$618:F3378,MATCH(C2689,' Disaggregation - Section E '!A$618:A3378,0)+1,1),""),"")</f>
        <v/>
      </c>
      <c r="I2689" s="391" t="str">
        <f ca="1">IFERROR(IF(VLOOKUP(C2689,' Disaggregation - Section E '!A$618:J3378,8,0)=0,"",VLOOKUP(C2689,' Disaggregation - Section E '!A$618:J3378,8,0)),"")</f>
        <v/>
      </c>
      <c r="J2689" s="391" t="str">
        <f ca="1">IFERROR(IF(VLOOKUP(C2689,' Disaggregation - Section E '!A$618:J3378,9,0)="","",VLOOKUP(C2689,' Disaggregation - Section E '!A$618:J3378,9,0)),"")</f>
        <v/>
      </c>
      <c r="K2689" s="387" t="str">
        <f ca="1">IFERROR(VLOOKUP(C2689,' Disaggregation - Section E '!A$618:J3378,3,0),"")</f>
        <v>HTS-3a Percentage of MSM that have received an HIV test during the reporting period in KP-specific programs and know their results</v>
      </c>
      <c r="L2689" s="387"/>
      <c r="M2689" s="387" t="str">
        <f ca="1">IFERROR(IF(VLOOKUP(C2689,' Disaggregation - Section E '!A$618:O1701,15,0)=0,"",VLOOKUP(C2689,' Disaggregation - Section E '!A$618:O1701,15,0)),"")</f>
        <v/>
      </c>
      <c r="N2689" s="391" t="str">
        <f ca="1">IFERROR(IF(VLOOKUP(C2689,' Disaggregation - Section E '!A$618:J3378,10,0)=0,"",VLOOKUP(C2689,' Disaggregation - Section E '!A$618:J3378,10,0)),"")</f>
        <v/>
      </c>
      <c r="O2689" s="387"/>
      <c r="P2689" s="387" t="str">
        <f ca="1">IFERROR(IF(VLOOKUP(C2689,' Disaggregation - Section E '!A$618:R1701,18,0)=0,"",VLOOKUP(C2689,' Disaggregation - Section E '!A$618:R1701,18,0)),"")</f>
        <v/>
      </c>
    </row>
    <row r="2690" spans="1:16">
      <c r="A2690" s="387" t="b">
        <f t="shared" ca="1" si="172"/>
        <v>0</v>
      </c>
      <c r="B2690" s="387"/>
      <c r="C2690" s="396" t="str">
        <f ca="1">IF(COUNTA(O$1610:O2690)=1,"",OFFSET(B2688,-COUNTA(O$1610:O2690)+3,1))</f>
        <v>a16Dm000000M3xFIAS</v>
      </c>
      <c r="D2690" s="392"/>
      <c r="E2690" s="389" t="str">
        <f ca="1">IFERROR(IF(VLOOKUP(C2690,' Disaggregation - Section E '!A$618:J3379,7,0)="","",VLOOKUP(C2690,' Disaggregation - Section E '!A$618:J3379,7,0)*100),"")</f>
        <v/>
      </c>
      <c r="F2690" s="391" t="str">
        <f ca="1">IFERROR(VLOOKUP(C2690,' Disaggregation - Section E '!A$618:J3379,5,0),"")</f>
        <v/>
      </c>
      <c r="G2690" s="390" t="str">
        <f ca="1">IFERROR(IF(VLOOKUP(C2690,' Disaggregation - Section E '!A$618:J3379,6,0)="","",VLOOKUP(C2690,' Disaggregation - Section E '!A$618:J3379,6,0)),"")</f>
        <v/>
      </c>
      <c r="H2690" s="390" t="str">
        <f ca="1">IFERROR(IF(INDEX(' Disaggregation - Section E '!F$618:F3379,MATCH(C2690,' Disaggregation - Section E '!A$618:A3379,0)+1,1)&lt;&gt;0,INDEX(' Disaggregation - Section E '!F$618:F3379,MATCH(C2690,' Disaggregation - Section E '!A$618:A3379,0)+1,1),""),"")</f>
        <v/>
      </c>
      <c r="I2690" s="391" t="str">
        <f ca="1">IFERROR(IF(VLOOKUP(C2690,' Disaggregation - Section E '!A$618:J3379,8,0)=0,"",VLOOKUP(C2690,' Disaggregation - Section E '!A$618:J3379,8,0)),"")</f>
        <v/>
      </c>
      <c r="J2690" s="391" t="str">
        <f ca="1">IFERROR(IF(VLOOKUP(C2690,' Disaggregation - Section E '!A$618:J3379,9,0)="","",VLOOKUP(C2690,' Disaggregation - Section E '!A$618:J3379,9,0)),"")</f>
        <v/>
      </c>
      <c r="K2690" s="387" t="str">
        <f ca="1">IFERROR(VLOOKUP(C2690,' Disaggregation - Section E '!A$618:J3379,3,0),"")</f>
        <v>HTS-3a Percentage of MSM that have received an HIV test during the reporting period in KP-specific programs and know their results</v>
      </c>
      <c r="L2690" s="387"/>
      <c r="M2690" s="387" t="str">
        <f ca="1">IFERROR(IF(VLOOKUP(C2690,' Disaggregation - Section E '!A$618:O1702,15,0)=0,"",VLOOKUP(C2690,' Disaggregation - Section E '!A$618:O1702,15,0)),"")</f>
        <v/>
      </c>
      <c r="N2690" s="391" t="str">
        <f ca="1">IFERROR(IF(VLOOKUP(C2690,' Disaggregation - Section E '!A$618:J3379,10,0)=0,"",VLOOKUP(C2690,' Disaggregation - Section E '!A$618:J3379,10,0)),"")</f>
        <v/>
      </c>
      <c r="O2690" s="387"/>
      <c r="P2690" s="387" t="str">
        <f ca="1">IFERROR(IF(VLOOKUP(C2690,' Disaggregation - Section E '!A$618:R1702,18,0)=0,"",VLOOKUP(C2690,' Disaggregation - Section E '!A$618:R1702,18,0)),"")</f>
        <v/>
      </c>
    </row>
    <row r="2691" spans="1:16">
      <c r="A2691" s="387" t="b">
        <f t="shared" ca="1" si="172"/>
        <v>0</v>
      </c>
      <c r="B2691" s="387"/>
      <c r="C2691" s="396" t="str">
        <f ca="1">IF(COUNTA(O$1610:O2691)=1,"",OFFSET(B2689,-COUNTA(O$1610:O2691)+3,1))</f>
        <v>a16Dm000000M3xGIAS</v>
      </c>
      <c r="D2691" s="392"/>
      <c r="E2691" s="389" t="str">
        <f ca="1">IFERROR(IF(VLOOKUP(C2691,' Disaggregation - Section E '!A$618:J3380,7,0)="","",VLOOKUP(C2691,' Disaggregation - Section E '!A$618:J3380,7,0)*100),"")</f>
        <v/>
      </c>
      <c r="F2691" s="391" t="str">
        <f ca="1">IFERROR(VLOOKUP(C2691,' Disaggregation - Section E '!A$618:J3380,5,0),"")</f>
        <v/>
      </c>
      <c r="G2691" s="390" t="str">
        <f ca="1">IFERROR(IF(VLOOKUP(C2691,' Disaggregation - Section E '!A$618:J3380,6,0)="","",VLOOKUP(C2691,' Disaggregation - Section E '!A$618:J3380,6,0)),"")</f>
        <v/>
      </c>
      <c r="H2691" s="390" t="str">
        <f ca="1">IFERROR(IF(INDEX(' Disaggregation - Section E '!F$618:F3380,MATCH(C2691,' Disaggregation - Section E '!A$618:A3380,0)+1,1)&lt;&gt;0,INDEX(' Disaggregation - Section E '!F$618:F3380,MATCH(C2691,' Disaggregation - Section E '!A$618:A3380,0)+1,1),""),"")</f>
        <v/>
      </c>
      <c r="I2691" s="391" t="str">
        <f ca="1">IFERROR(IF(VLOOKUP(C2691,' Disaggregation - Section E '!A$618:J3380,8,0)=0,"",VLOOKUP(C2691,' Disaggregation - Section E '!A$618:J3380,8,0)),"")</f>
        <v/>
      </c>
      <c r="J2691" s="391" t="str">
        <f ca="1">IFERROR(IF(VLOOKUP(C2691,' Disaggregation - Section E '!A$618:J3380,9,0)="","",VLOOKUP(C2691,' Disaggregation - Section E '!A$618:J3380,9,0)),"")</f>
        <v/>
      </c>
      <c r="K2691" s="387" t="str">
        <f ca="1">IFERROR(VLOOKUP(C2691,' Disaggregation - Section E '!A$618:J3380,3,0),"")</f>
        <v>HTS-3a Percentage of MSM that have received an HIV test during the reporting period in KP-specific programs and know their results</v>
      </c>
      <c r="L2691" s="387"/>
      <c r="M2691" s="387" t="str">
        <f ca="1">IFERROR(IF(VLOOKUP(C2691,' Disaggregation - Section E '!A$618:O1703,15,0)=0,"",VLOOKUP(C2691,' Disaggregation - Section E '!A$618:O1703,15,0)),"")</f>
        <v/>
      </c>
      <c r="N2691" s="391" t="str">
        <f ca="1">IFERROR(IF(VLOOKUP(C2691,' Disaggregation - Section E '!A$618:J3380,10,0)=0,"",VLOOKUP(C2691,' Disaggregation - Section E '!A$618:J3380,10,0)),"")</f>
        <v/>
      </c>
      <c r="O2691" s="387"/>
      <c r="P2691" s="387" t="str">
        <f ca="1">IFERROR(IF(VLOOKUP(C2691,' Disaggregation - Section E '!A$618:R1703,18,0)=0,"",VLOOKUP(C2691,' Disaggregation - Section E '!A$618:R1703,18,0)),"")</f>
        <v/>
      </c>
    </row>
    <row r="2692" spans="1:16">
      <c r="A2692" s="387" t="b">
        <f t="shared" ca="1" si="172"/>
        <v>1</v>
      </c>
      <c r="B2692" s="387"/>
      <c r="C2692" s="396" t="str">
        <f ca="1">IF(COUNTA(O$1610:O2692)=1,"",OFFSET(B2690,-COUNTA(O$1610:O2692)+3,1))</f>
        <v>a16Dm000000M3xHIAS</v>
      </c>
      <c r="D2692" s="392"/>
      <c r="E2692" s="389" t="str">
        <f ca="1">IFERROR(IF(VLOOKUP(C2692,' Disaggregation - Section E '!A$618:J3381,7,0)="","",VLOOKUP(C2692,' Disaggregation - Section E '!A$618:J3381,7,0)*100),"")</f>
        <v/>
      </c>
      <c r="F2692" s="391" t="str">
        <f ca="1">IFERROR(VLOOKUP(C2692,' Disaggregation - Section E '!A$618:J3381,5,0),"")</f>
        <v>25+</v>
      </c>
      <c r="G2692" s="390" t="str">
        <f ca="1">IFERROR(IF(VLOOKUP(C2692,' Disaggregation - Section E '!A$618:J3381,6,0)="","",VLOOKUP(C2692,' Disaggregation - Section E '!A$618:J3381,6,0)),"")</f>
        <v/>
      </c>
      <c r="H2692" s="390" t="str">
        <f ca="1">IFERROR(IF(INDEX(' Disaggregation - Section E '!F$618:F3381,MATCH(C2692,' Disaggregation - Section E '!A$618:A3381,0)+1,1)&lt;&gt;0,INDEX(' Disaggregation - Section E '!F$618:F3381,MATCH(C2692,' Disaggregation - Section E '!A$618:A3381,0)+1,1),""),"")</f>
        <v/>
      </c>
      <c r="I2692" s="391" t="str">
        <f ca="1">IFERROR(IF(VLOOKUP(C2692,' Disaggregation - Section E '!A$618:J3381,8,0)=0,"",VLOOKUP(C2692,' Disaggregation - Section E '!A$618:J3381,8,0)),"")</f>
        <v/>
      </c>
      <c r="J2692" s="391" t="str">
        <f ca="1">IFERROR(IF(VLOOKUP(C2692,' Disaggregation - Section E '!A$618:J3381,9,0)="","",VLOOKUP(C2692,' Disaggregation - Section E '!A$618:J3381,9,0)),"")</f>
        <v/>
      </c>
      <c r="K2692" s="387" t="str">
        <f ca="1">IFERROR(VLOOKUP(C2692,' Disaggregation - Section E '!A$618:J3381,3,0),"")</f>
        <v>HTS-3b Percentage of TG that have received an HIV test during the reporting period in KP-specific programs and know their results</v>
      </c>
      <c r="L2692" s="387"/>
      <c r="M2692" s="387" t="str">
        <f ca="1">IFERROR(IF(VLOOKUP(C2692,' Disaggregation - Section E '!A$618:O1704,15,0)=0,"",VLOOKUP(C2692,' Disaggregation - Section E '!A$618:O1704,15,0)),"")</f>
        <v>IDR-01275</v>
      </c>
      <c r="N2692" s="391" t="str">
        <f ca="1">IFERROR(IF(VLOOKUP(C2692,' Disaggregation - Section E '!A$618:J3381,10,0)=0,"",VLOOKUP(C2692,' Disaggregation - Section E '!A$618:J3381,10,0)),"")</f>
        <v>Disaggregated data not available. The activity will be taken into account from 2024 onwards</v>
      </c>
      <c r="O2692" s="387"/>
      <c r="P2692" s="387" t="str">
        <f ca="1">IFERROR(IF(VLOOKUP(C2692,' Disaggregation - Section E '!A$618:R1704,18,0)=0,"",VLOOKUP(C2692,' Disaggregation - Section E '!A$618:R1704,18,0)),"")</f>
        <v>a1LDm000000Cb3JMAS</v>
      </c>
    </row>
    <row r="2693" spans="1:16">
      <c r="A2693" s="387" t="b">
        <f t="shared" ca="1" si="172"/>
        <v>1</v>
      </c>
      <c r="B2693" s="387"/>
      <c r="C2693" s="396" t="str">
        <f ca="1">IF(COUNTA(O$1610:O2693)=1,"",OFFSET(B2691,-COUNTA(O$1610:O2693)+3,1))</f>
        <v>a16Dm000000M3xIIAS</v>
      </c>
      <c r="D2693" s="392"/>
      <c r="E2693" s="389" t="str">
        <f ca="1">IFERROR(IF(VLOOKUP(C2693,' Disaggregation - Section E '!A$618:J3382,7,0)="","",VLOOKUP(C2693,' Disaggregation - Section E '!A$618:J3382,7,0)*100),"")</f>
        <v/>
      </c>
      <c r="F2693" s="391" t="str">
        <f ca="1">IFERROR(VLOOKUP(C2693,' Disaggregation - Section E '!A$618:J3382,5,0),"")</f>
        <v>20-24</v>
      </c>
      <c r="G2693" s="390" t="str">
        <f ca="1">IFERROR(IF(VLOOKUP(C2693,' Disaggregation - Section E '!A$618:J3382,6,0)="","",VLOOKUP(C2693,' Disaggregation - Section E '!A$618:J3382,6,0)),"")</f>
        <v/>
      </c>
      <c r="H2693" s="390" t="str">
        <f ca="1">IFERROR(IF(INDEX(' Disaggregation - Section E '!F$618:F3382,MATCH(C2693,' Disaggregation - Section E '!A$618:A3382,0)+1,1)&lt;&gt;0,INDEX(' Disaggregation - Section E '!F$618:F3382,MATCH(C2693,' Disaggregation - Section E '!A$618:A3382,0)+1,1),""),"")</f>
        <v/>
      </c>
      <c r="I2693" s="391" t="str">
        <f ca="1">IFERROR(IF(VLOOKUP(C2693,' Disaggregation - Section E '!A$618:J3382,8,0)=0,"",VLOOKUP(C2693,' Disaggregation - Section E '!A$618:J3382,8,0)),"")</f>
        <v/>
      </c>
      <c r="J2693" s="391" t="str">
        <f ca="1">IFERROR(IF(VLOOKUP(C2693,' Disaggregation - Section E '!A$618:J3382,9,0)="","",VLOOKUP(C2693,' Disaggregation - Section E '!A$618:J3382,9,0)),"")</f>
        <v/>
      </c>
      <c r="K2693" s="387" t="str">
        <f ca="1">IFERROR(VLOOKUP(C2693,' Disaggregation - Section E '!A$618:J3382,3,0),"")</f>
        <v>HTS-3b Percentage of TG that have received an HIV test during the reporting period in KP-specific programs and know their results</v>
      </c>
      <c r="L2693" s="387"/>
      <c r="M2693" s="387" t="str">
        <f ca="1">IFERROR(IF(VLOOKUP(C2693,' Disaggregation - Section E '!A$618:O1705,15,0)=0,"",VLOOKUP(C2693,' Disaggregation - Section E '!A$618:O1705,15,0)),"")</f>
        <v>IDR-01274</v>
      </c>
      <c r="N2693" s="391" t="str">
        <f ca="1">IFERROR(IF(VLOOKUP(C2693,' Disaggregation - Section E '!A$618:J3382,10,0)=0,"",VLOOKUP(C2693,' Disaggregation - Section E '!A$618:J3382,10,0)),"")</f>
        <v>Disaggregated data not available. The activity will be taken into account from 2024 onwards</v>
      </c>
      <c r="O2693" s="387"/>
      <c r="P2693" s="387" t="str">
        <f ca="1">IFERROR(IF(VLOOKUP(C2693,' Disaggregation - Section E '!A$618:R1705,18,0)=0,"",VLOOKUP(C2693,' Disaggregation - Section E '!A$618:R1705,18,0)),"")</f>
        <v>a1LDm000000Cb3IMAS</v>
      </c>
    </row>
    <row r="2694" spans="1:16">
      <c r="A2694" s="387" t="b">
        <f t="shared" ca="1" si="172"/>
        <v>1</v>
      </c>
      <c r="B2694" s="387"/>
      <c r="C2694" s="396" t="str">
        <f ca="1">IF(COUNTA(O$1610:O2694)=1,"",OFFSET(B2692,-COUNTA(O$1610:O2694)+3,1))</f>
        <v>a16Dm000000M3xJIAS</v>
      </c>
      <c r="D2694" s="392"/>
      <c r="E2694" s="389" t="str">
        <f ca="1">IFERROR(IF(VLOOKUP(C2694,' Disaggregation - Section E '!A$618:J3383,7,0)="","",VLOOKUP(C2694,' Disaggregation - Section E '!A$618:J3383,7,0)*100),"")</f>
        <v/>
      </c>
      <c r="F2694" s="391" t="str">
        <f ca="1">IFERROR(VLOOKUP(C2694,' Disaggregation - Section E '!A$618:J3383,5,0),"")</f>
        <v>Transwomen</v>
      </c>
      <c r="G2694" s="390" t="str">
        <f ca="1">IFERROR(IF(VLOOKUP(C2694,' Disaggregation - Section E '!A$618:J3383,6,0)="","",VLOOKUP(C2694,' Disaggregation - Section E '!A$618:J3383,6,0)),"")</f>
        <v/>
      </c>
      <c r="H2694" s="390" t="str">
        <f ca="1">IFERROR(IF(INDEX(' Disaggregation - Section E '!F$618:F3383,MATCH(C2694,' Disaggregation - Section E '!A$618:A3383,0)+1,1)&lt;&gt;0,INDEX(' Disaggregation - Section E '!F$618:F3383,MATCH(C2694,' Disaggregation - Section E '!A$618:A3383,0)+1,1),""),"")</f>
        <v/>
      </c>
      <c r="I2694" s="391" t="str">
        <f ca="1">IFERROR(IF(VLOOKUP(C2694,' Disaggregation - Section E '!A$618:J3383,8,0)=0,"",VLOOKUP(C2694,' Disaggregation - Section E '!A$618:J3383,8,0)),"")</f>
        <v/>
      </c>
      <c r="J2694" s="391" t="str">
        <f ca="1">IFERROR(IF(VLOOKUP(C2694,' Disaggregation - Section E '!A$618:J3383,9,0)="","",VLOOKUP(C2694,' Disaggregation - Section E '!A$618:J3383,9,0)),"")</f>
        <v/>
      </c>
      <c r="K2694" s="387" t="str">
        <f ca="1">IFERROR(VLOOKUP(C2694,' Disaggregation - Section E '!A$618:J3383,3,0),"")</f>
        <v>HTS-3b Percentage of TG that have received an HIV test during the reporting period in KP-specific programs and know their results</v>
      </c>
      <c r="L2694" s="387"/>
      <c r="M2694" s="387" t="str">
        <f ca="1">IFERROR(IF(VLOOKUP(C2694,' Disaggregation - Section E '!A$618:O1706,15,0)=0,"",VLOOKUP(C2694,' Disaggregation - Section E '!A$618:O1706,15,0)),"")</f>
        <v>IDR-01273</v>
      </c>
      <c r="N2694" s="391" t="str">
        <f ca="1">IFERROR(IF(VLOOKUP(C2694,' Disaggregation - Section E '!A$618:J3383,10,0)=0,"",VLOOKUP(C2694,' Disaggregation - Section E '!A$618:J3383,10,0)),"")</f>
        <v>Disaggregated data not available. The activity will be taken into account from 2024 onwards</v>
      </c>
      <c r="O2694" s="387"/>
      <c r="P2694" s="387" t="str">
        <f ca="1">IFERROR(IF(VLOOKUP(C2694,' Disaggregation - Section E '!A$618:R1706,18,0)=0,"",VLOOKUP(C2694,' Disaggregation - Section E '!A$618:R1706,18,0)),"")</f>
        <v>a1LDm000000Cb3HMAS</v>
      </c>
    </row>
    <row r="2695" spans="1:16">
      <c r="A2695" s="387" t="b">
        <f t="shared" ca="1" si="172"/>
        <v>1</v>
      </c>
      <c r="B2695" s="387"/>
      <c r="C2695" s="396" t="str">
        <f ca="1">IF(COUNTA(O$1610:O2695)=1,"",OFFSET(B2693,-COUNTA(O$1610:O2695)+3,1))</f>
        <v>a16Dm000000M3xKIAS</v>
      </c>
      <c r="D2695" s="392"/>
      <c r="E2695" s="389" t="str">
        <f ca="1">IFERROR(IF(VLOOKUP(C2695,' Disaggregation - Section E '!A$618:J3384,7,0)="","",VLOOKUP(C2695,' Disaggregation - Section E '!A$618:J3384,7,0)*100),"")</f>
        <v/>
      </c>
      <c r="F2695" s="391" t="str">
        <f ca="1">IFERROR(VLOOKUP(C2695,' Disaggregation - Section E '!A$618:J3384,5,0),"")</f>
        <v>Transmen</v>
      </c>
      <c r="G2695" s="390" t="str">
        <f ca="1">IFERROR(IF(VLOOKUP(C2695,' Disaggregation - Section E '!A$618:J3384,6,0)="","",VLOOKUP(C2695,' Disaggregation - Section E '!A$618:J3384,6,0)),"")</f>
        <v/>
      </c>
      <c r="H2695" s="390" t="str">
        <f ca="1">IFERROR(IF(INDEX(' Disaggregation - Section E '!F$618:F3384,MATCH(C2695,' Disaggregation - Section E '!A$618:A3384,0)+1,1)&lt;&gt;0,INDEX(' Disaggregation - Section E '!F$618:F3384,MATCH(C2695,' Disaggregation - Section E '!A$618:A3384,0)+1,1),""),"")</f>
        <v/>
      </c>
      <c r="I2695" s="391" t="str">
        <f ca="1">IFERROR(IF(VLOOKUP(C2695,' Disaggregation - Section E '!A$618:J3384,8,0)=0,"",VLOOKUP(C2695,' Disaggregation - Section E '!A$618:J3384,8,0)),"")</f>
        <v/>
      </c>
      <c r="J2695" s="391" t="str">
        <f ca="1">IFERROR(IF(VLOOKUP(C2695,' Disaggregation - Section E '!A$618:J3384,9,0)="","",VLOOKUP(C2695,' Disaggregation - Section E '!A$618:J3384,9,0)),"")</f>
        <v/>
      </c>
      <c r="K2695" s="387" t="str">
        <f ca="1">IFERROR(VLOOKUP(C2695,' Disaggregation - Section E '!A$618:J3384,3,0),"")</f>
        <v>HTS-3b Percentage of TG that have received an HIV test during the reporting period in KP-specific programs and know their results</v>
      </c>
      <c r="L2695" s="387"/>
      <c r="M2695" s="387" t="str">
        <f ca="1">IFERROR(IF(VLOOKUP(C2695,' Disaggregation - Section E '!A$618:O1707,15,0)=0,"",VLOOKUP(C2695,' Disaggregation - Section E '!A$618:O1707,15,0)),"")</f>
        <v>IDR-01272</v>
      </c>
      <c r="N2695" s="391" t="str">
        <f ca="1">IFERROR(IF(VLOOKUP(C2695,' Disaggregation - Section E '!A$618:J3384,10,0)=0,"",VLOOKUP(C2695,' Disaggregation - Section E '!A$618:J3384,10,0)),"")</f>
        <v>Disaggregated data not available. The activity will be taken into account from 2024 onwards</v>
      </c>
      <c r="O2695" s="387"/>
      <c r="P2695" s="387" t="str">
        <f ca="1">IFERROR(IF(VLOOKUP(C2695,' Disaggregation - Section E '!A$618:R1707,18,0)=0,"",VLOOKUP(C2695,' Disaggregation - Section E '!A$618:R1707,18,0)),"")</f>
        <v>a1LDm000000Cb3GMAS</v>
      </c>
    </row>
    <row r="2696" spans="1:16">
      <c r="A2696" s="387" t="b">
        <f t="shared" ca="1" si="172"/>
        <v>1</v>
      </c>
      <c r="B2696" s="387"/>
      <c r="C2696" s="396" t="str">
        <f ca="1">IF(COUNTA(O$1610:O2696)=1,"",OFFSET(B2694,-COUNTA(O$1610:O2696)+3,1))</f>
        <v>a16Dm000000M3xLIAS</v>
      </c>
      <c r="D2696" s="392"/>
      <c r="E2696" s="389" t="str">
        <f ca="1">IFERROR(IF(VLOOKUP(C2696,' Disaggregation - Section E '!A$618:J3385,7,0)="","",VLOOKUP(C2696,' Disaggregation - Section E '!A$618:J3385,7,0)*100),"")</f>
        <v/>
      </c>
      <c r="F2696" s="391" t="str">
        <f ca="1">IFERROR(VLOOKUP(C2696,' Disaggregation - Section E '!A$618:J3385,5,0),"")</f>
        <v>15-19</v>
      </c>
      <c r="G2696" s="390" t="str">
        <f ca="1">IFERROR(IF(VLOOKUP(C2696,' Disaggregation - Section E '!A$618:J3385,6,0)="","",VLOOKUP(C2696,' Disaggregation - Section E '!A$618:J3385,6,0)),"")</f>
        <v/>
      </c>
      <c r="H2696" s="390" t="str">
        <f ca="1">IFERROR(IF(INDEX(' Disaggregation - Section E '!F$618:F3385,MATCH(C2696,' Disaggregation - Section E '!A$618:A3385,0)+1,1)&lt;&gt;0,INDEX(' Disaggregation - Section E '!F$618:F3385,MATCH(C2696,' Disaggregation - Section E '!A$618:A3385,0)+1,1),""),"")</f>
        <v/>
      </c>
      <c r="I2696" s="391" t="str">
        <f ca="1">IFERROR(IF(VLOOKUP(C2696,' Disaggregation - Section E '!A$618:J3385,8,0)=0,"",VLOOKUP(C2696,' Disaggregation - Section E '!A$618:J3385,8,0)),"")</f>
        <v/>
      </c>
      <c r="J2696" s="391" t="str">
        <f ca="1">IFERROR(IF(VLOOKUP(C2696,' Disaggregation - Section E '!A$618:J3385,9,0)="","",VLOOKUP(C2696,' Disaggregation - Section E '!A$618:J3385,9,0)),"")</f>
        <v/>
      </c>
      <c r="K2696" s="387" t="str">
        <f ca="1">IFERROR(VLOOKUP(C2696,' Disaggregation - Section E '!A$618:J3385,3,0),"")</f>
        <v>HTS-3b Percentage of TG that have received an HIV test during the reporting period in KP-specific programs and know their results</v>
      </c>
      <c r="L2696" s="387"/>
      <c r="M2696" s="387" t="str">
        <f ca="1">IFERROR(IF(VLOOKUP(C2696,' Disaggregation - Section E '!A$618:O1708,15,0)=0,"",VLOOKUP(C2696,' Disaggregation - Section E '!A$618:O1708,15,0)),"")</f>
        <v>IDR-01271</v>
      </c>
      <c r="N2696" s="391" t="str">
        <f ca="1">IFERROR(IF(VLOOKUP(C2696,' Disaggregation - Section E '!A$618:J3385,10,0)=0,"",VLOOKUP(C2696,' Disaggregation - Section E '!A$618:J3385,10,0)),"")</f>
        <v>Disaggregated data not available. The activity will be taken into account from 2024 onwards</v>
      </c>
      <c r="O2696" s="387"/>
      <c r="P2696" s="387" t="str">
        <f ca="1">IFERROR(IF(VLOOKUP(C2696,' Disaggregation - Section E '!A$618:R1708,18,0)=0,"",VLOOKUP(C2696,' Disaggregation - Section E '!A$618:R1708,18,0)),"")</f>
        <v>a1LDm000000Cb3FMAS</v>
      </c>
    </row>
    <row r="2697" spans="1:16">
      <c r="A2697" s="387" t="b">
        <f t="shared" ca="1" si="172"/>
        <v>0</v>
      </c>
      <c r="B2697" s="387"/>
      <c r="C2697" s="396" t="str">
        <f ca="1">IF(COUNTA(O$1610:O2697)=1,"",OFFSET(B2695,-COUNTA(O$1610:O2697)+3,1))</f>
        <v>a16Dm000000M3xMIAS</v>
      </c>
      <c r="D2697" s="392"/>
      <c r="E2697" s="389" t="str">
        <f ca="1">IFERROR(IF(VLOOKUP(C2697,' Disaggregation - Section E '!A$618:J3386,7,0)="","",VLOOKUP(C2697,' Disaggregation - Section E '!A$618:J3386,7,0)*100),"")</f>
        <v/>
      </c>
      <c r="F2697" s="391" t="str">
        <f ca="1">IFERROR(VLOOKUP(C2697,' Disaggregation - Section E '!A$618:J3386,5,0),"")</f>
        <v/>
      </c>
      <c r="G2697" s="390" t="str">
        <f ca="1">IFERROR(IF(VLOOKUP(C2697,' Disaggregation - Section E '!A$618:J3386,6,0)="","",VLOOKUP(C2697,' Disaggregation - Section E '!A$618:J3386,6,0)),"")</f>
        <v/>
      </c>
      <c r="H2697" s="390" t="str">
        <f ca="1">IFERROR(IF(INDEX(' Disaggregation - Section E '!F$618:F3386,MATCH(C2697,' Disaggregation - Section E '!A$618:A3386,0)+1,1)&lt;&gt;0,INDEX(' Disaggregation - Section E '!F$618:F3386,MATCH(C2697,' Disaggregation - Section E '!A$618:A3386,0)+1,1),""),"")</f>
        <v/>
      </c>
      <c r="I2697" s="391" t="str">
        <f ca="1">IFERROR(IF(VLOOKUP(C2697,' Disaggregation - Section E '!A$618:J3386,8,0)=0,"",VLOOKUP(C2697,' Disaggregation - Section E '!A$618:J3386,8,0)),"")</f>
        <v/>
      </c>
      <c r="J2697" s="391" t="str">
        <f ca="1">IFERROR(IF(VLOOKUP(C2697,' Disaggregation - Section E '!A$618:J3386,9,0)="","",VLOOKUP(C2697,' Disaggregation - Section E '!A$618:J3386,9,0)),"")</f>
        <v/>
      </c>
      <c r="K2697" s="387" t="str">
        <f ca="1">IFERROR(VLOOKUP(C2697,' Disaggregation - Section E '!A$618:J3386,3,0),"")</f>
        <v>HTS-3b Percentage of TG that have received an HIV test during the reporting period in KP-specific programs and know their results</v>
      </c>
      <c r="L2697" s="387"/>
      <c r="M2697" s="387" t="str">
        <f ca="1">IFERROR(IF(VLOOKUP(C2697,' Disaggregation - Section E '!A$618:O1709,15,0)=0,"",VLOOKUP(C2697,' Disaggregation - Section E '!A$618:O1709,15,0)),"")</f>
        <v/>
      </c>
      <c r="N2697" s="391" t="str">
        <f ca="1">IFERROR(IF(VLOOKUP(C2697,' Disaggregation - Section E '!A$618:J3386,10,0)=0,"",VLOOKUP(C2697,' Disaggregation - Section E '!A$618:J3386,10,0)),"")</f>
        <v/>
      </c>
      <c r="O2697" s="387"/>
      <c r="P2697" s="387" t="str">
        <f ca="1">IFERROR(IF(VLOOKUP(C2697,' Disaggregation - Section E '!A$618:R1709,18,0)=0,"",VLOOKUP(C2697,' Disaggregation - Section E '!A$618:R1709,18,0)),"")</f>
        <v/>
      </c>
    </row>
    <row r="2698" spans="1:16">
      <c r="A2698" s="387" t="b">
        <f t="shared" ca="1" si="172"/>
        <v>0</v>
      </c>
      <c r="B2698" s="387"/>
      <c r="C2698" s="396" t="str">
        <f ca="1">IF(COUNTA(O$1610:O2698)=1,"",OFFSET(B2696,-COUNTA(O$1610:O2698)+3,1))</f>
        <v>a16Dm000000M3xNIAS</v>
      </c>
      <c r="D2698" s="392"/>
      <c r="E2698" s="389" t="str">
        <f ca="1">IFERROR(IF(VLOOKUP(C2698,' Disaggregation - Section E '!A$618:J3387,7,0)="","",VLOOKUP(C2698,' Disaggregation - Section E '!A$618:J3387,7,0)*100),"")</f>
        <v/>
      </c>
      <c r="F2698" s="391" t="str">
        <f ca="1">IFERROR(VLOOKUP(C2698,' Disaggregation - Section E '!A$618:J3387,5,0),"")</f>
        <v/>
      </c>
      <c r="G2698" s="390" t="str">
        <f ca="1">IFERROR(IF(VLOOKUP(C2698,' Disaggregation - Section E '!A$618:J3387,6,0)="","",VLOOKUP(C2698,' Disaggregation - Section E '!A$618:J3387,6,0)),"")</f>
        <v/>
      </c>
      <c r="H2698" s="390" t="str">
        <f ca="1">IFERROR(IF(INDEX(' Disaggregation - Section E '!F$618:F3387,MATCH(C2698,' Disaggregation - Section E '!A$618:A3387,0)+1,1)&lt;&gt;0,INDEX(' Disaggregation - Section E '!F$618:F3387,MATCH(C2698,' Disaggregation - Section E '!A$618:A3387,0)+1,1),""),"")</f>
        <v/>
      </c>
      <c r="I2698" s="391" t="str">
        <f ca="1">IFERROR(IF(VLOOKUP(C2698,' Disaggregation - Section E '!A$618:J3387,8,0)=0,"",VLOOKUP(C2698,' Disaggregation - Section E '!A$618:J3387,8,0)),"")</f>
        <v/>
      </c>
      <c r="J2698" s="391" t="str">
        <f ca="1">IFERROR(IF(VLOOKUP(C2698,' Disaggregation - Section E '!A$618:J3387,9,0)="","",VLOOKUP(C2698,' Disaggregation - Section E '!A$618:J3387,9,0)),"")</f>
        <v/>
      </c>
      <c r="K2698" s="387" t="str">
        <f ca="1">IFERROR(VLOOKUP(C2698,' Disaggregation - Section E '!A$618:J3387,3,0),"")</f>
        <v>HTS-3b Percentage of TG that have received an HIV test during the reporting period in KP-specific programs and know their results</v>
      </c>
      <c r="L2698" s="387"/>
      <c r="M2698" s="387" t="str">
        <f ca="1">IFERROR(IF(VLOOKUP(C2698,' Disaggregation - Section E '!A$618:O1710,15,0)=0,"",VLOOKUP(C2698,' Disaggregation - Section E '!A$618:O1710,15,0)),"")</f>
        <v/>
      </c>
      <c r="N2698" s="391" t="str">
        <f ca="1">IFERROR(IF(VLOOKUP(C2698,' Disaggregation - Section E '!A$618:J3387,10,0)=0,"",VLOOKUP(C2698,' Disaggregation - Section E '!A$618:J3387,10,0)),"")</f>
        <v/>
      </c>
      <c r="O2698" s="387"/>
      <c r="P2698" s="387" t="str">
        <f ca="1">IFERROR(IF(VLOOKUP(C2698,' Disaggregation - Section E '!A$618:R1710,18,0)=0,"",VLOOKUP(C2698,' Disaggregation - Section E '!A$618:R1710,18,0)),"")</f>
        <v/>
      </c>
    </row>
    <row r="2699" spans="1:16">
      <c r="A2699" s="387" t="b">
        <f t="shared" ca="1" si="172"/>
        <v>0</v>
      </c>
      <c r="B2699" s="387"/>
      <c r="C2699" s="396" t="str">
        <f ca="1">IF(COUNTA(O$1610:O2699)=1,"",OFFSET(B2697,-COUNTA(O$1610:O2699)+3,1))</f>
        <v>a16Dm000000M3xOIAS</v>
      </c>
      <c r="D2699" s="392"/>
      <c r="E2699" s="389" t="str">
        <f ca="1">IFERROR(IF(VLOOKUP(C2699,' Disaggregation - Section E '!A$618:J3388,7,0)="","",VLOOKUP(C2699,' Disaggregation - Section E '!A$618:J3388,7,0)*100),"")</f>
        <v/>
      </c>
      <c r="F2699" s="391" t="str">
        <f ca="1">IFERROR(VLOOKUP(C2699,' Disaggregation - Section E '!A$618:J3388,5,0),"")</f>
        <v/>
      </c>
      <c r="G2699" s="390" t="str">
        <f ca="1">IFERROR(IF(VLOOKUP(C2699,' Disaggregation - Section E '!A$618:J3388,6,0)="","",VLOOKUP(C2699,' Disaggregation - Section E '!A$618:J3388,6,0)),"")</f>
        <v/>
      </c>
      <c r="H2699" s="390" t="str">
        <f ca="1">IFERROR(IF(INDEX(' Disaggregation - Section E '!F$618:F3388,MATCH(C2699,' Disaggregation - Section E '!A$618:A3388,0)+1,1)&lt;&gt;0,INDEX(' Disaggregation - Section E '!F$618:F3388,MATCH(C2699,' Disaggregation - Section E '!A$618:A3388,0)+1,1),""),"")</f>
        <v/>
      </c>
      <c r="I2699" s="391" t="str">
        <f ca="1">IFERROR(IF(VLOOKUP(C2699,' Disaggregation - Section E '!A$618:J3388,8,0)=0,"",VLOOKUP(C2699,' Disaggregation - Section E '!A$618:J3388,8,0)),"")</f>
        <v/>
      </c>
      <c r="J2699" s="391" t="str">
        <f ca="1">IFERROR(IF(VLOOKUP(C2699,' Disaggregation - Section E '!A$618:J3388,9,0)="","",VLOOKUP(C2699,' Disaggregation - Section E '!A$618:J3388,9,0)),"")</f>
        <v/>
      </c>
      <c r="K2699" s="387" t="str">
        <f ca="1">IFERROR(VLOOKUP(C2699,' Disaggregation - Section E '!A$618:J3388,3,0),"")</f>
        <v>HTS-3b Percentage of TG that have received an HIV test during the reporting period in KP-specific programs and know their results</v>
      </c>
      <c r="L2699" s="387"/>
      <c r="M2699" s="387" t="str">
        <f ca="1">IFERROR(IF(VLOOKUP(C2699,' Disaggregation - Section E '!A$618:O1711,15,0)=0,"",VLOOKUP(C2699,' Disaggregation - Section E '!A$618:O1711,15,0)),"")</f>
        <v/>
      </c>
      <c r="N2699" s="391" t="str">
        <f ca="1">IFERROR(IF(VLOOKUP(C2699,' Disaggregation - Section E '!A$618:J3388,10,0)=0,"",VLOOKUP(C2699,' Disaggregation - Section E '!A$618:J3388,10,0)),"")</f>
        <v/>
      </c>
      <c r="O2699" s="387"/>
      <c r="P2699" s="387" t="str">
        <f ca="1">IFERROR(IF(VLOOKUP(C2699,' Disaggregation - Section E '!A$618:R1711,18,0)=0,"",VLOOKUP(C2699,' Disaggregation - Section E '!A$618:R1711,18,0)),"")</f>
        <v/>
      </c>
    </row>
    <row r="2700" spans="1:16">
      <c r="A2700" s="387" t="b">
        <f t="shared" ref="A2700:A2763" ca="1" si="173">IF(M2700&lt;&gt;"",TRUE,FALSE)</f>
        <v>0</v>
      </c>
      <c r="B2700" s="387"/>
      <c r="C2700" s="396" t="str">
        <f ca="1">IF(COUNTA(O$1610:O2700)=1,"",OFFSET(B2698,-COUNTA(O$1610:O2700)+3,1))</f>
        <v>a16Dm000000M3xPIAS</v>
      </c>
      <c r="D2700" s="392"/>
      <c r="E2700" s="389" t="str">
        <f ca="1">IFERROR(IF(VLOOKUP(C2700,' Disaggregation - Section E '!A$618:J3389,7,0)="","",VLOOKUP(C2700,' Disaggregation - Section E '!A$618:J3389,7,0)*100),"")</f>
        <v/>
      </c>
      <c r="F2700" s="391" t="str">
        <f ca="1">IFERROR(VLOOKUP(C2700,' Disaggregation - Section E '!A$618:J3389,5,0),"")</f>
        <v/>
      </c>
      <c r="G2700" s="390" t="str">
        <f ca="1">IFERROR(IF(VLOOKUP(C2700,' Disaggregation - Section E '!A$618:J3389,6,0)="","",VLOOKUP(C2700,' Disaggregation - Section E '!A$618:J3389,6,0)),"")</f>
        <v/>
      </c>
      <c r="H2700" s="390" t="str">
        <f ca="1">IFERROR(IF(INDEX(' Disaggregation - Section E '!F$618:F3389,MATCH(C2700,' Disaggregation - Section E '!A$618:A3389,0)+1,1)&lt;&gt;0,INDEX(' Disaggregation - Section E '!F$618:F3389,MATCH(C2700,' Disaggregation - Section E '!A$618:A3389,0)+1,1),""),"")</f>
        <v/>
      </c>
      <c r="I2700" s="391" t="str">
        <f ca="1">IFERROR(IF(VLOOKUP(C2700,' Disaggregation - Section E '!A$618:J3389,8,0)=0,"",VLOOKUP(C2700,' Disaggregation - Section E '!A$618:J3389,8,0)),"")</f>
        <v/>
      </c>
      <c r="J2700" s="391" t="str">
        <f ca="1">IFERROR(IF(VLOOKUP(C2700,' Disaggregation - Section E '!A$618:J3389,9,0)="","",VLOOKUP(C2700,' Disaggregation - Section E '!A$618:J3389,9,0)),"")</f>
        <v/>
      </c>
      <c r="K2700" s="387" t="str">
        <f ca="1">IFERROR(VLOOKUP(C2700,' Disaggregation - Section E '!A$618:J3389,3,0),"")</f>
        <v>HTS-3b Percentage of TG that have received an HIV test during the reporting period in KP-specific programs and know their results</v>
      </c>
      <c r="L2700" s="387"/>
      <c r="M2700" s="387" t="str">
        <f ca="1">IFERROR(IF(VLOOKUP(C2700,' Disaggregation - Section E '!A$618:O1712,15,0)=0,"",VLOOKUP(C2700,' Disaggregation - Section E '!A$618:O1712,15,0)),"")</f>
        <v/>
      </c>
      <c r="N2700" s="391" t="str">
        <f ca="1">IFERROR(IF(VLOOKUP(C2700,' Disaggregation - Section E '!A$618:J3389,10,0)=0,"",VLOOKUP(C2700,' Disaggregation - Section E '!A$618:J3389,10,0)),"")</f>
        <v/>
      </c>
      <c r="O2700" s="387"/>
      <c r="P2700" s="387" t="str">
        <f ca="1">IFERROR(IF(VLOOKUP(C2700,' Disaggregation - Section E '!A$618:R1712,18,0)=0,"",VLOOKUP(C2700,' Disaggregation - Section E '!A$618:R1712,18,0)),"")</f>
        <v/>
      </c>
    </row>
    <row r="2701" spans="1:16">
      <c r="A2701" s="387" t="b">
        <f t="shared" ca="1" si="173"/>
        <v>0</v>
      </c>
      <c r="B2701" s="387"/>
      <c r="C2701" s="396" t="str">
        <f ca="1">IF(COUNTA(O$1610:O2701)=1,"",OFFSET(B2699,-COUNTA(O$1610:O2701)+3,1))</f>
        <v>a16Dm000000M3xQIAS</v>
      </c>
      <c r="D2701" s="392"/>
      <c r="E2701" s="389" t="str">
        <f ca="1">IFERROR(IF(VLOOKUP(C2701,' Disaggregation - Section E '!A$618:J3390,7,0)="","",VLOOKUP(C2701,' Disaggregation - Section E '!A$618:J3390,7,0)*100),"")</f>
        <v/>
      </c>
      <c r="F2701" s="391" t="str">
        <f ca="1">IFERROR(VLOOKUP(C2701,' Disaggregation - Section E '!A$618:J3390,5,0),"")</f>
        <v/>
      </c>
      <c r="G2701" s="390" t="str">
        <f ca="1">IFERROR(IF(VLOOKUP(C2701,' Disaggregation - Section E '!A$618:J3390,6,0)="","",VLOOKUP(C2701,' Disaggregation - Section E '!A$618:J3390,6,0)),"")</f>
        <v/>
      </c>
      <c r="H2701" s="390" t="str">
        <f ca="1">IFERROR(IF(INDEX(' Disaggregation - Section E '!F$618:F3390,MATCH(C2701,' Disaggregation - Section E '!A$618:A3390,0)+1,1)&lt;&gt;0,INDEX(' Disaggregation - Section E '!F$618:F3390,MATCH(C2701,' Disaggregation - Section E '!A$618:A3390,0)+1,1),""),"")</f>
        <v/>
      </c>
      <c r="I2701" s="391" t="str">
        <f ca="1">IFERROR(IF(VLOOKUP(C2701,' Disaggregation - Section E '!A$618:J3390,8,0)=0,"",VLOOKUP(C2701,' Disaggregation - Section E '!A$618:J3390,8,0)),"")</f>
        <v/>
      </c>
      <c r="J2701" s="391" t="str">
        <f ca="1">IFERROR(IF(VLOOKUP(C2701,' Disaggregation - Section E '!A$618:J3390,9,0)="","",VLOOKUP(C2701,' Disaggregation - Section E '!A$618:J3390,9,0)),"")</f>
        <v/>
      </c>
      <c r="K2701" s="387" t="str">
        <f ca="1">IFERROR(VLOOKUP(C2701,' Disaggregation - Section E '!A$618:J3390,3,0),"")</f>
        <v>HTS-3b Percentage of TG that have received an HIV test during the reporting period in KP-specific programs and know their results</v>
      </c>
      <c r="L2701" s="387"/>
      <c r="M2701" s="387" t="str">
        <f ca="1">IFERROR(IF(VLOOKUP(C2701,' Disaggregation - Section E '!A$618:O1713,15,0)=0,"",VLOOKUP(C2701,' Disaggregation - Section E '!A$618:O1713,15,0)),"")</f>
        <v/>
      </c>
      <c r="N2701" s="391" t="str">
        <f ca="1">IFERROR(IF(VLOOKUP(C2701,' Disaggregation - Section E '!A$618:J3390,10,0)=0,"",VLOOKUP(C2701,' Disaggregation - Section E '!A$618:J3390,10,0)),"")</f>
        <v/>
      </c>
      <c r="O2701" s="387"/>
      <c r="P2701" s="387" t="str">
        <f ca="1">IFERROR(IF(VLOOKUP(C2701,' Disaggregation - Section E '!A$618:R1713,18,0)=0,"",VLOOKUP(C2701,' Disaggregation - Section E '!A$618:R1713,18,0)),"")</f>
        <v/>
      </c>
    </row>
    <row r="2702" spans="1:16">
      <c r="A2702" s="387" t="b">
        <f t="shared" ca="1" si="173"/>
        <v>0</v>
      </c>
      <c r="B2702" s="387"/>
      <c r="C2702" s="396" t="str">
        <f ca="1">IF(COUNTA(O$1610:O2702)=1,"",OFFSET(B2700,-COUNTA(O$1610:O2702)+3,1))</f>
        <v>a16Dm000000M3xRIAS</v>
      </c>
      <c r="D2702" s="392"/>
      <c r="E2702" s="389" t="str">
        <f ca="1">IFERROR(IF(VLOOKUP(C2702,' Disaggregation - Section E '!A$618:J3391,7,0)="","",VLOOKUP(C2702,' Disaggregation - Section E '!A$618:J3391,7,0)*100),"")</f>
        <v/>
      </c>
      <c r="F2702" s="391" t="str">
        <f ca="1">IFERROR(VLOOKUP(C2702,' Disaggregation - Section E '!A$618:J3391,5,0),"")</f>
        <v/>
      </c>
      <c r="G2702" s="390" t="str">
        <f ca="1">IFERROR(IF(VLOOKUP(C2702,' Disaggregation - Section E '!A$618:J3391,6,0)="","",VLOOKUP(C2702,' Disaggregation - Section E '!A$618:J3391,6,0)),"")</f>
        <v/>
      </c>
      <c r="H2702" s="390" t="str">
        <f ca="1">IFERROR(IF(INDEX(' Disaggregation - Section E '!F$618:F3391,MATCH(C2702,' Disaggregation - Section E '!A$618:A3391,0)+1,1)&lt;&gt;0,INDEX(' Disaggregation - Section E '!F$618:F3391,MATCH(C2702,' Disaggregation - Section E '!A$618:A3391,0)+1,1),""),"")</f>
        <v/>
      </c>
      <c r="I2702" s="391" t="str">
        <f ca="1">IFERROR(IF(VLOOKUP(C2702,' Disaggregation - Section E '!A$618:J3391,8,0)=0,"",VLOOKUP(C2702,' Disaggregation - Section E '!A$618:J3391,8,0)),"")</f>
        <v/>
      </c>
      <c r="J2702" s="391" t="str">
        <f ca="1">IFERROR(IF(VLOOKUP(C2702,' Disaggregation - Section E '!A$618:J3391,9,0)="","",VLOOKUP(C2702,' Disaggregation - Section E '!A$618:J3391,9,0)),"")</f>
        <v/>
      </c>
      <c r="K2702" s="387" t="str">
        <f ca="1">IFERROR(VLOOKUP(C2702,' Disaggregation - Section E '!A$618:J3391,3,0),"")</f>
        <v>HTS-3b Percentage of TG that have received an HIV test during the reporting period in KP-specific programs and know their results</v>
      </c>
      <c r="L2702" s="387"/>
      <c r="M2702" s="387" t="str">
        <f ca="1">IFERROR(IF(VLOOKUP(C2702,' Disaggregation - Section E '!A$618:O1714,15,0)=0,"",VLOOKUP(C2702,' Disaggregation - Section E '!A$618:O1714,15,0)),"")</f>
        <v/>
      </c>
      <c r="N2702" s="391" t="str">
        <f ca="1">IFERROR(IF(VLOOKUP(C2702,' Disaggregation - Section E '!A$618:J3391,10,0)=0,"",VLOOKUP(C2702,' Disaggregation - Section E '!A$618:J3391,10,0)),"")</f>
        <v/>
      </c>
      <c r="O2702" s="387"/>
      <c r="P2702" s="387" t="str">
        <f ca="1">IFERROR(IF(VLOOKUP(C2702,' Disaggregation - Section E '!A$618:R1714,18,0)=0,"",VLOOKUP(C2702,' Disaggregation - Section E '!A$618:R1714,18,0)),"")</f>
        <v/>
      </c>
    </row>
    <row r="2703" spans="1:16">
      <c r="A2703" s="387" t="b">
        <f t="shared" ca="1" si="173"/>
        <v>0</v>
      </c>
      <c r="B2703" s="387"/>
      <c r="C2703" s="396" t="str">
        <f ca="1">IF(COUNTA(O$1610:O2703)=1,"",OFFSET(B2701,-COUNTA(O$1610:O2703)+3,1))</f>
        <v>a16Dm000000M3xSIAS</v>
      </c>
      <c r="D2703" s="392"/>
      <c r="E2703" s="389" t="str">
        <f ca="1">IFERROR(IF(VLOOKUP(C2703,' Disaggregation - Section E '!A$618:J3392,7,0)="","",VLOOKUP(C2703,' Disaggregation - Section E '!A$618:J3392,7,0)*100),"")</f>
        <v/>
      </c>
      <c r="F2703" s="391" t="str">
        <f ca="1">IFERROR(VLOOKUP(C2703,' Disaggregation - Section E '!A$618:J3392,5,0),"")</f>
        <v/>
      </c>
      <c r="G2703" s="390" t="str">
        <f ca="1">IFERROR(IF(VLOOKUP(C2703,' Disaggregation - Section E '!A$618:J3392,6,0)="","",VLOOKUP(C2703,' Disaggregation - Section E '!A$618:J3392,6,0)),"")</f>
        <v/>
      </c>
      <c r="H2703" s="390" t="str">
        <f ca="1">IFERROR(IF(INDEX(' Disaggregation - Section E '!F$618:F3392,MATCH(C2703,' Disaggregation - Section E '!A$618:A3392,0)+1,1)&lt;&gt;0,INDEX(' Disaggregation - Section E '!F$618:F3392,MATCH(C2703,' Disaggregation - Section E '!A$618:A3392,0)+1,1),""),"")</f>
        <v/>
      </c>
      <c r="I2703" s="391" t="str">
        <f ca="1">IFERROR(IF(VLOOKUP(C2703,' Disaggregation - Section E '!A$618:J3392,8,0)=0,"",VLOOKUP(C2703,' Disaggregation - Section E '!A$618:J3392,8,0)),"")</f>
        <v/>
      </c>
      <c r="J2703" s="391" t="str">
        <f ca="1">IFERROR(IF(VLOOKUP(C2703,' Disaggregation - Section E '!A$618:J3392,9,0)="","",VLOOKUP(C2703,' Disaggregation - Section E '!A$618:J3392,9,0)),"")</f>
        <v/>
      </c>
      <c r="K2703" s="387" t="str">
        <f ca="1">IFERROR(VLOOKUP(C2703,' Disaggregation - Section E '!A$618:J3392,3,0),"")</f>
        <v>HTS-3b Percentage of TG that have received an HIV test during the reporting period in KP-specific programs and know their results</v>
      </c>
      <c r="L2703" s="387"/>
      <c r="M2703" s="387" t="str">
        <f ca="1">IFERROR(IF(VLOOKUP(C2703,' Disaggregation - Section E '!A$618:O1715,15,0)=0,"",VLOOKUP(C2703,' Disaggregation - Section E '!A$618:O1715,15,0)),"")</f>
        <v/>
      </c>
      <c r="N2703" s="391" t="str">
        <f ca="1">IFERROR(IF(VLOOKUP(C2703,' Disaggregation - Section E '!A$618:J3392,10,0)=0,"",VLOOKUP(C2703,' Disaggregation - Section E '!A$618:J3392,10,0)),"")</f>
        <v/>
      </c>
      <c r="O2703" s="387"/>
      <c r="P2703" s="387" t="str">
        <f ca="1">IFERROR(IF(VLOOKUP(C2703,' Disaggregation - Section E '!A$618:R1715,18,0)=0,"",VLOOKUP(C2703,' Disaggregation - Section E '!A$618:R1715,18,0)),"")</f>
        <v/>
      </c>
    </row>
    <row r="2704" spans="1:16">
      <c r="A2704" s="387" t="b">
        <f t="shared" ca="1" si="173"/>
        <v>0</v>
      </c>
      <c r="B2704" s="387"/>
      <c r="C2704" s="396" t="str">
        <f ca="1">IF(COUNTA(O$1610:O2704)=1,"",OFFSET(B2702,-COUNTA(O$1610:O2704)+3,1))</f>
        <v>a16Dm000000M3xTIAS</v>
      </c>
      <c r="D2704" s="392"/>
      <c r="E2704" s="389" t="str">
        <f ca="1">IFERROR(IF(VLOOKUP(C2704,' Disaggregation - Section E '!A$618:J3393,7,0)="","",VLOOKUP(C2704,' Disaggregation - Section E '!A$618:J3393,7,0)*100),"")</f>
        <v/>
      </c>
      <c r="F2704" s="391" t="str">
        <f ca="1">IFERROR(VLOOKUP(C2704,' Disaggregation - Section E '!A$618:J3393,5,0),"")</f>
        <v/>
      </c>
      <c r="G2704" s="390" t="str">
        <f ca="1">IFERROR(IF(VLOOKUP(C2704,' Disaggregation - Section E '!A$618:J3393,6,0)="","",VLOOKUP(C2704,' Disaggregation - Section E '!A$618:J3393,6,0)),"")</f>
        <v/>
      </c>
      <c r="H2704" s="390" t="str">
        <f ca="1">IFERROR(IF(INDEX(' Disaggregation - Section E '!F$618:F3393,MATCH(C2704,' Disaggregation - Section E '!A$618:A3393,0)+1,1)&lt;&gt;0,INDEX(' Disaggregation - Section E '!F$618:F3393,MATCH(C2704,' Disaggregation - Section E '!A$618:A3393,0)+1,1),""),"")</f>
        <v/>
      </c>
      <c r="I2704" s="391" t="str">
        <f ca="1">IFERROR(IF(VLOOKUP(C2704,' Disaggregation - Section E '!A$618:J3393,8,0)=0,"",VLOOKUP(C2704,' Disaggregation - Section E '!A$618:J3393,8,0)),"")</f>
        <v/>
      </c>
      <c r="J2704" s="391" t="str">
        <f ca="1">IFERROR(IF(VLOOKUP(C2704,' Disaggregation - Section E '!A$618:J3393,9,0)="","",VLOOKUP(C2704,' Disaggregation - Section E '!A$618:J3393,9,0)),"")</f>
        <v/>
      </c>
      <c r="K2704" s="387" t="str">
        <f ca="1">IFERROR(VLOOKUP(C2704,' Disaggregation - Section E '!A$618:J3393,3,0),"")</f>
        <v>HTS-3b Percentage of TG that have received an HIV test during the reporting period in KP-specific programs and know their results</v>
      </c>
      <c r="L2704" s="387"/>
      <c r="M2704" s="387" t="str">
        <f ca="1">IFERROR(IF(VLOOKUP(C2704,' Disaggregation - Section E '!A$618:O1716,15,0)=0,"",VLOOKUP(C2704,' Disaggregation - Section E '!A$618:O1716,15,0)),"")</f>
        <v/>
      </c>
      <c r="N2704" s="391" t="str">
        <f ca="1">IFERROR(IF(VLOOKUP(C2704,' Disaggregation - Section E '!A$618:J3393,10,0)=0,"",VLOOKUP(C2704,' Disaggregation - Section E '!A$618:J3393,10,0)),"")</f>
        <v/>
      </c>
      <c r="O2704" s="387"/>
      <c r="P2704" s="387" t="str">
        <f ca="1">IFERROR(IF(VLOOKUP(C2704,' Disaggregation - Section E '!A$618:R1716,18,0)=0,"",VLOOKUP(C2704,' Disaggregation - Section E '!A$618:R1716,18,0)),"")</f>
        <v/>
      </c>
    </row>
    <row r="2705" spans="1:16">
      <c r="A2705" s="387" t="b">
        <f t="shared" ca="1" si="173"/>
        <v>0</v>
      </c>
      <c r="B2705" s="387"/>
      <c r="C2705" s="396" t="str">
        <f ca="1">IF(COUNTA(O$1610:O2705)=1,"",OFFSET(B2703,-COUNTA(O$1610:O2705)+3,1))</f>
        <v>a16Dm000000M3xUIAS</v>
      </c>
      <c r="D2705" s="392"/>
      <c r="E2705" s="389" t="str">
        <f ca="1">IFERROR(IF(VLOOKUP(C2705,' Disaggregation - Section E '!A$618:J3394,7,0)="","",VLOOKUP(C2705,' Disaggregation - Section E '!A$618:J3394,7,0)*100),"")</f>
        <v/>
      </c>
      <c r="F2705" s="391" t="str">
        <f ca="1">IFERROR(VLOOKUP(C2705,' Disaggregation - Section E '!A$618:J3394,5,0),"")</f>
        <v/>
      </c>
      <c r="G2705" s="390" t="str">
        <f ca="1">IFERROR(IF(VLOOKUP(C2705,' Disaggregation - Section E '!A$618:J3394,6,0)="","",VLOOKUP(C2705,' Disaggregation - Section E '!A$618:J3394,6,0)),"")</f>
        <v/>
      </c>
      <c r="H2705" s="390" t="str">
        <f ca="1">IFERROR(IF(INDEX(' Disaggregation - Section E '!F$618:F3394,MATCH(C2705,' Disaggregation - Section E '!A$618:A3394,0)+1,1)&lt;&gt;0,INDEX(' Disaggregation - Section E '!F$618:F3394,MATCH(C2705,' Disaggregation - Section E '!A$618:A3394,0)+1,1),""),"")</f>
        <v/>
      </c>
      <c r="I2705" s="391" t="str">
        <f ca="1">IFERROR(IF(VLOOKUP(C2705,' Disaggregation - Section E '!A$618:J3394,8,0)=0,"",VLOOKUP(C2705,' Disaggregation - Section E '!A$618:J3394,8,0)),"")</f>
        <v/>
      </c>
      <c r="J2705" s="391" t="str">
        <f ca="1">IFERROR(IF(VLOOKUP(C2705,' Disaggregation - Section E '!A$618:J3394,9,0)="","",VLOOKUP(C2705,' Disaggregation - Section E '!A$618:J3394,9,0)),"")</f>
        <v/>
      </c>
      <c r="K2705" s="387" t="str">
        <f ca="1">IFERROR(VLOOKUP(C2705,' Disaggregation - Section E '!A$618:J3394,3,0),"")</f>
        <v>HTS-3b Percentage of TG that have received an HIV test during the reporting period in KP-specific programs and know their results</v>
      </c>
      <c r="L2705" s="387"/>
      <c r="M2705" s="387" t="str">
        <f ca="1">IFERROR(IF(VLOOKUP(C2705,' Disaggregation - Section E '!A$618:O1717,15,0)=0,"",VLOOKUP(C2705,' Disaggregation - Section E '!A$618:O1717,15,0)),"")</f>
        <v/>
      </c>
      <c r="N2705" s="391" t="str">
        <f ca="1">IFERROR(IF(VLOOKUP(C2705,' Disaggregation - Section E '!A$618:J3394,10,0)=0,"",VLOOKUP(C2705,' Disaggregation - Section E '!A$618:J3394,10,0)),"")</f>
        <v/>
      </c>
      <c r="O2705" s="387"/>
      <c r="P2705" s="387" t="str">
        <f ca="1">IFERROR(IF(VLOOKUP(C2705,' Disaggregation - Section E '!A$618:R1717,18,0)=0,"",VLOOKUP(C2705,' Disaggregation - Section E '!A$618:R1717,18,0)),"")</f>
        <v/>
      </c>
    </row>
    <row r="2706" spans="1:16">
      <c r="A2706" s="387" t="b">
        <f t="shared" ca="1" si="173"/>
        <v>0</v>
      </c>
      <c r="B2706" s="387"/>
      <c r="C2706" s="396" t="str">
        <f ca="1">IF(COUNTA(O$1610:O2706)=1,"",OFFSET(B2704,-COUNTA(O$1610:O2706)+3,1))</f>
        <v>a16Dm000000M3xVIAS</v>
      </c>
      <c r="D2706" s="392"/>
      <c r="E2706" s="389" t="str">
        <f ca="1">IFERROR(IF(VLOOKUP(C2706,' Disaggregation - Section E '!A$618:J3395,7,0)="","",VLOOKUP(C2706,' Disaggregation - Section E '!A$618:J3395,7,0)*100),"")</f>
        <v/>
      </c>
      <c r="F2706" s="391" t="str">
        <f ca="1">IFERROR(VLOOKUP(C2706,' Disaggregation - Section E '!A$618:J3395,5,0),"")</f>
        <v/>
      </c>
      <c r="G2706" s="390" t="str">
        <f ca="1">IFERROR(IF(VLOOKUP(C2706,' Disaggregation - Section E '!A$618:J3395,6,0)="","",VLOOKUP(C2706,' Disaggregation - Section E '!A$618:J3395,6,0)),"")</f>
        <v/>
      </c>
      <c r="H2706" s="390" t="str">
        <f ca="1">IFERROR(IF(INDEX(' Disaggregation - Section E '!F$618:F3395,MATCH(C2706,' Disaggregation - Section E '!A$618:A3395,0)+1,1)&lt;&gt;0,INDEX(' Disaggregation - Section E '!F$618:F3395,MATCH(C2706,' Disaggregation - Section E '!A$618:A3395,0)+1,1),""),"")</f>
        <v/>
      </c>
      <c r="I2706" s="391" t="str">
        <f ca="1">IFERROR(IF(VLOOKUP(C2706,' Disaggregation - Section E '!A$618:J3395,8,0)=0,"",VLOOKUP(C2706,' Disaggregation - Section E '!A$618:J3395,8,0)),"")</f>
        <v/>
      </c>
      <c r="J2706" s="391" t="str">
        <f ca="1">IFERROR(IF(VLOOKUP(C2706,' Disaggregation - Section E '!A$618:J3395,9,0)="","",VLOOKUP(C2706,' Disaggregation - Section E '!A$618:J3395,9,0)),"")</f>
        <v/>
      </c>
      <c r="K2706" s="387" t="str">
        <f ca="1">IFERROR(VLOOKUP(C2706,' Disaggregation - Section E '!A$618:J3395,3,0),"")</f>
        <v>HTS-3b Percentage of TG that have received an HIV test during the reporting period in KP-specific programs and know their results</v>
      </c>
      <c r="L2706" s="387"/>
      <c r="M2706" s="387" t="str">
        <f ca="1">IFERROR(IF(VLOOKUP(C2706,' Disaggregation - Section E '!A$618:O1718,15,0)=0,"",VLOOKUP(C2706,' Disaggregation - Section E '!A$618:O1718,15,0)),"")</f>
        <v/>
      </c>
      <c r="N2706" s="391" t="str">
        <f ca="1">IFERROR(IF(VLOOKUP(C2706,' Disaggregation - Section E '!A$618:J3395,10,0)=0,"",VLOOKUP(C2706,' Disaggregation - Section E '!A$618:J3395,10,0)),"")</f>
        <v/>
      </c>
      <c r="O2706" s="387"/>
      <c r="P2706" s="387" t="str">
        <f ca="1">IFERROR(IF(VLOOKUP(C2706,' Disaggregation - Section E '!A$618:R1718,18,0)=0,"",VLOOKUP(C2706,' Disaggregation - Section E '!A$618:R1718,18,0)),"")</f>
        <v/>
      </c>
    </row>
    <row r="2707" spans="1:16">
      <c r="A2707" s="387" t="b">
        <f t="shared" ca="1" si="173"/>
        <v>0</v>
      </c>
      <c r="B2707" s="387"/>
      <c r="C2707" s="396" t="str">
        <f ca="1">IF(COUNTA(O$1610:O2707)=1,"",OFFSET(B2705,-COUNTA(O$1610:O2707)+3,1))</f>
        <v>a16Dm000000M3xWIAS</v>
      </c>
      <c r="D2707" s="392"/>
      <c r="E2707" s="389" t="str">
        <f ca="1">IFERROR(IF(VLOOKUP(C2707,' Disaggregation - Section E '!A$618:J3396,7,0)="","",VLOOKUP(C2707,' Disaggregation - Section E '!A$618:J3396,7,0)*100),"")</f>
        <v/>
      </c>
      <c r="F2707" s="391" t="str">
        <f ca="1">IFERROR(VLOOKUP(C2707,' Disaggregation - Section E '!A$618:J3396,5,0),"")</f>
        <v/>
      </c>
      <c r="G2707" s="390" t="str">
        <f ca="1">IFERROR(IF(VLOOKUP(C2707,' Disaggregation - Section E '!A$618:J3396,6,0)="","",VLOOKUP(C2707,' Disaggregation - Section E '!A$618:J3396,6,0)),"")</f>
        <v/>
      </c>
      <c r="H2707" s="390" t="str">
        <f ca="1">IFERROR(IF(INDEX(' Disaggregation - Section E '!F$618:F3396,MATCH(C2707,' Disaggregation - Section E '!A$618:A3396,0)+1,1)&lt;&gt;0,INDEX(' Disaggregation - Section E '!F$618:F3396,MATCH(C2707,' Disaggregation - Section E '!A$618:A3396,0)+1,1),""),"")</f>
        <v/>
      </c>
      <c r="I2707" s="391" t="str">
        <f ca="1">IFERROR(IF(VLOOKUP(C2707,' Disaggregation - Section E '!A$618:J3396,8,0)=0,"",VLOOKUP(C2707,' Disaggregation - Section E '!A$618:J3396,8,0)),"")</f>
        <v/>
      </c>
      <c r="J2707" s="391" t="str">
        <f ca="1">IFERROR(IF(VLOOKUP(C2707,' Disaggregation - Section E '!A$618:J3396,9,0)="","",VLOOKUP(C2707,' Disaggregation - Section E '!A$618:J3396,9,0)),"")</f>
        <v/>
      </c>
      <c r="K2707" s="387" t="str">
        <f ca="1">IFERROR(VLOOKUP(C2707,' Disaggregation - Section E '!A$618:J3396,3,0),"")</f>
        <v>HTS-3b Percentage of TG that have received an HIV test during the reporting period in KP-specific programs and know their results</v>
      </c>
      <c r="L2707" s="387"/>
      <c r="M2707" s="387" t="str">
        <f ca="1">IFERROR(IF(VLOOKUP(C2707,' Disaggregation - Section E '!A$618:O1719,15,0)=0,"",VLOOKUP(C2707,' Disaggregation - Section E '!A$618:O1719,15,0)),"")</f>
        <v/>
      </c>
      <c r="N2707" s="391" t="str">
        <f ca="1">IFERROR(IF(VLOOKUP(C2707,' Disaggregation - Section E '!A$618:J3396,10,0)=0,"",VLOOKUP(C2707,' Disaggregation - Section E '!A$618:J3396,10,0)),"")</f>
        <v/>
      </c>
      <c r="O2707" s="387"/>
      <c r="P2707" s="387" t="str">
        <f ca="1">IFERROR(IF(VLOOKUP(C2707,' Disaggregation - Section E '!A$618:R1719,18,0)=0,"",VLOOKUP(C2707,' Disaggregation - Section E '!A$618:R1719,18,0)),"")</f>
        <v/>
      </c>
    </row>
    <row r="2708" spans="1:16">
      <c r="A2708" s="387" t="b">
        <f t="shared" ca="1" si="173"/>
        <v>0</v>
      </c>
      <c r="B2708" s="387"/>
      <c r="C2708" s="396" t="str">
        <f ca="1">IF(COUNTA(O$1610:O2708)=1,"",OFFSET(B2706,-COUNTA(O$1610:O2708)+3,1))</f>
        <v>a16Dm000000M3xXIAS</v>
      </c>
      <c r="D2708" s="392"/>
      <c r="E2708" s="389" t="str">
        <f ca="1">IFERROR(IF(VLOOKUP(C2708,' Disaggregation - Section E '!A$618:J3397,7,0)="","",VLOOKUP(C2708,' Disaggregation - Section E '!A$618:J3397,7,0)*100),"")</f>
        <v/>
      </c>
      <c r="F2708" s="391" t="str">
        <f ca="1">IFERROR(VLOOKUP(C2708,' Disaggregation - Section E '!A$618:J3397,5,0),"")</f>
        <v/>
      </c>
      <c r="G2708" s="390" t="str">
        <f ca="1">IFERROR(IF(VLOOKUP(C2708,' Disaggregation - Section E '!A$618:J3397,6,0)="","",VLOOKUP(C2708,' Disaggregation - Section E '!A$618:J3397,6,0)),"")</f>
        <v/>
      </c>
      <c r="H2708" s="390" t="str">
        <f ca="1">IFERROR(IF(INDEX(' Disaggregation - Section E '!F$618:F3397,MATCH(C2708,' Disaggregation - Section E '!A$618:A3397,0)+1,1)&lt;&gt;0,INDEX(' Disaggregation - Section E '!F$618:F3397,MATCH(C2708,' Disaggregation - Section E '!A$618:A3397,0)+1,1),""),"")</f>
        <v/>
      </c>
      <c r="I2708" s="391" t="str">
        <f ca="1">IFERROR(IF(VLOOKUP(C2708,' Disaggregation - Section E '!A$618:J3397,8,0)=0,"",VLOOKUP(C2708,' Disaggregation - Section E '!A$618:J3397,8,0)),"")</f>
        <v/>
      </c>
      <c r="J2708" s="391" t="str">
        <f ca="1">IFERROR(IF(VLOOKUP(C2708,' Disaggregation - Section E '!A$618:J3397,9,0)="","",VLOOKUP(C2708,' Disaggregation - Section E '!A$618:J3397,9,0)),"")</f>
        <v/>
      </c>
      <c r="K2708" s="387" t="str">
        <f ca="1">IFERROR(VLOOKUP(C2708,' Disaggregation - Section E '!A$618:J3397,3,0),"")</f>
        <v>HTS-3b Percentage of TG that have received an HIV test during the reporting period in KP-specific programs and know their results</v>
      </c>
      <c r="L2708" s="387"/>
      <c r="M2708" s="387" t="str">
        <f ca="1">IFERROR(IF(VLOOKUP(C2708,' Disaggregation - Section E '!A$618:O1720,15,0)=0,"",VLOOKUP(C2708,' Disaggregation - Section E '!A$618:O1720,15,0)),"")</f>
        <v/>
      </c>
      <c r="N2708" s="391" t="str">
        <f ca="1">IFERROR(IF(VLOOKUP(C2708,' Disaggregation - Section E '!A$618:J3397,10,0)=0,"",VLOOKUP(C2708,' Disaggregation - Section E '!A$618:J3397,10,0)),"")</f>
        <v/>
      </c>
      <c r="O2708" s="387"/>
      <c r="P2708" s="387" t="str">
        <f ca="1">IFERROR(IF(VLOOKUP(C2708,' Disaggregation - Section E '!A$618:R1720,18,0)=0,"",VLOOKUP(C2708,' Disaggregation - Section E '!A$618:R1720,18,0)),"")</f>
        <v/>
      </c>
    </row>
    <row r="2709" spans="1:16">
      <c r="A2709" s="387" t="b">
        <f t="shared" ca="1" si="173"/>
        <v>0</v>
      </c>
      <c r="B2709" s="387"/>
      <c r="C2709" s="396" t="str">
        <f ca="1">IF(COUNTA(O$1610:O2709)=1,"",OFFSET(B2707,-COUNTA(O$1610:O2709)+3,1))</f>
        <v>a16Dm000000M3xYIAS</v>
      </c>
      <c r="D2709" s="392"/>
      <c r="E2709" s="389" t="str">
        <f ca="1">IFERROR(IF(VLOOKUP(C2709,' Disaggregation - Section E '!A$618:J3398,7,0)="","",VLOOKUP(C2709,' Disaggregation - Section E '!A$618:J3398,7,0)*100),"")</f>
        <v/>
      </c>
      <c r="F2709" s="391" t="str">
        <f ca="1">IFERROR(VLOOKUP(C2709,' Disaggregation - Section E '!A$618:J3398,5,0),"")</f>
        <v/>
      </c>
      <c r="G2709" s="390" t="str">
        <f ca="1">IFERROR(IF(VLOOKUP(C2709,' Disaggregation - Section E '!A$618:J3398,6,0)="","",VLOOKUP(C2709,' Disaggregation - Section E '!A$618:J3398,6,0)),"")</f>
        <v/>
      </c>
      <c r="H2709" s="390" t="str">
        <f ca="1">IFERROR(IF(INDEX(' Disaggregation - Section E '!F$618:F3398,MATCH(C2709,' Disaggregation - Section E '!A$618:A3398,0)+1,1)&lt;&gt;0,INDEX(' Disaggregation - Section E '!F$618:F3398,MATCH(C2709,' Disaggregation - Section E '!A$618:A3398,0)+1,1),""),"")</f>
        <v/>
      </c>
      <c r="I2709" s="391" t="str">
        <f ca="1">IFERROR(IF(VLOOKUP(C2709,' Disaggregation - Section E '!A$618:J3398,8,0)=0,"",VLOOKUP(C2709,' Disaggregation - Section E '!A$618:J3398,8,0)),"")</f>
        <v/>
      </c>
      <c r="J2709" s="391" t="str">
        <f ca="1">IFERROR(IF(VLOOKUP(C2709,' Disaggregation - Section E '!A$618:J3398,9,0)="","",VLOOKUP(C2709,' Disaggregation - Section E '!A$618:J3398,9,0)),"")</f>
        <v/>
      </c>
      <c r="K2709" s="387" t="str">
        <f ca="1">IFERROR(VLOOKUP(C2709,' Disaggregation - Section E '!A$618:J3398,3,0),"")</f>
        <v>HTS-3b Percentage of TG that have received an HIV test during the reporting period in KP-specific programs and know their results</v>
      </c>
      <c r="L2709" s="387"/>
      <c r="M2709" s="387" t="str">
        <f ca="1">IFERROR(IF(VLOOKUP(C2709,' Disaggregation - Section E '!A$618:O1721,15,0)=0,"",VLOOKUP(C2709,' Disaggregation - Section E '!A$618:O1721,15,0)),"")</f>
        <v/>
      </c>
      <c r="N2709" s="391" t="str">
        <f ca="1">IFERROR(IF(VLOOKUP(C2709,' Disaggregation - Section E '!A$618:J3398,10,0)=0,"",VLOOKUP(C2709,' Disaggregation - Section E '!A$618:J3398,10,0)),"")</f>
        <v/>
      </c>
      <c r="O2709" s="387"/>
      <c r="P2709" s="387" t="str">
        <f ca="1">IFERROR(IF(VLOOKUP(C2709,' Disaggregation - Section E '!A$618:R1721,18,0)=0,"",VLOOKUP(C2709,' Disaggregation - Section E '!A$618:R1721,18,0)),"")</f>
        <v/>
      </c>
    </row>
    <row r="2710" spans="1:16">
      <c r="A2710" s="387" t="b">
        <f t="shared" ca="1" si="173"/>
        <v>0</v>
      </c>
      <c r="B2710" s="387"/>
      <c r="C2710" s="396" t="str">
        <f ca="1">IF(COUNTA(O$1610:O2710)=1,"",OFFSET(B2708,-COUNTA(O$1610:O2710)+3,1))</f>
        <v>a16Dm000000M3xZIAS</v>
      </c>
      <c r="D2710" s="392"/>
      <c r="E2710" s="389" t="str">
        <f ca="1">IFERROR(IF(VLOOKUP(C2710,' Disaggregation - Section E '!A$618:J3399,7,0)="","",VLOOKUP(C2710,' Disaggregation - Section E '!A$618:J3399,7,0)*100),"")</f>
        <v/>
      </c>
      <c r="F2710" s="391" t="str">
        <f ca="1">IFERROR(VLOOKUP(C2710,' Disaggregation - Section E '!A$618:J3399,5,0),"")</f>
        <v/>
      </c>
      <c r="G2710" s="390" t="str">
        <f ca="1">IFERROR(IF(VLOOKUP(C2710,' Disaggregation - Section E '!A$618:J3399,6,0)="","",VLOOKUP(C2710,' Disaggregation - Section E '!A$618:J3399,6,0)),"")</f>
        <v/>
      </c>
      <c r="H2710" s="390" t="str">
        <f ca="1">IFERROR(IF(INDEX(' Disaggregation - Section E '!F$618:F3399,MATCH(C2710,' Disaggregation - Section E '!A$618:A3399,0)+1,1)&lt;&gt;0,INDEX(' Disaggregation - Section E '!F$618:F3399,MATCH(C2710,' Disaggregation - Section E '!A$618:A3399,0)+1,1),""),"")</f>
        <v/>
      </c>
      <c r="I2710" s="391" t="str">
        <f ca="1">IFERROR(IF(VLOOKUP(C2710,' Disaggregation - Section E '!A$618:J3399,8,0)=0,"",VLOOKUP(C2710,' Disaggregation - Section E '!A$618:J3399,8,0)),"")</f>
        <v/>
      </c>
      <c r="J2710" s="391" t="str">
        <f ca="1">IFERROR(IF(VLOOKUP(C2710,' Disaggregation - Section E '!A$618:J3399,9,0)="","",VLOOKUP(C2710,' Disaggregation - Section E '!A$618:J3399,9,0)),"")</f>
        <v/>
      </c>
      <c r="K2710" s="387" t="str">
        <f ca="1">IFERROR(VLOOKUP(C2710,' Disaggregation - Section E '!A$618:J3399,3,0),"")</f>
        <v>HTS-3b Percentage of TG that have received an HIV test during the reporting period in KP-specific programs and know their results</v>
      </c>
      <c r="L2710" s="387"/>
      <c r="M2710" s="387" t="str">
        <f ca="1">IFERROR(IF(VLOOKUP(C2710,' Disaggregation - Section E '!A$618:O1722,15,0)=0,"",VLOOKUP(C2710,' Disaggregation - Section E '!A$618:O1722,15,0)),"")</f>
        <v/>
      </c>
      <c r="N2710" s="391" t="str">
        <f ca="1">IFERROR(IF(VLOOKUP(C2710,' Disaggregation - Section E '!A$618:J3399,10,0)=0,"",VLOOKUP(C2710,' Disaggregation - Section E '!A$618:J3399,10,0)),"")</f>
        <v/>
      </c>
      <c r="O2710" s="387"/>
      <c r="P2710" s="387" t="str">
        <f ca="1">IFERROR(IF(VLOOKUP(C2710,' Disaggregation - Section E '!A$618:R1722,18,0)=0,"",VLOOKUP(C2710,' Disaggregation - Section E '!A$618:R1722,18,0)),"")</f>
        <v/>
      </c>
    </row>
    <row r="2711" spans="1:16">
      <c r="A2711" s="387" t="b">
        <f t="shared" ca="1" si="173"/>
        <v>0</v>
      </c>
      <c r="B2711" s="387"/>
      <c r="C2711" s="396" t="str">
        <f ca="1">IF(COUNTA(O$1610:O2711)=1,"",OFFSET(B2709,-COUNTA(O$1610:O2711)+3,1))</f>
        <v>a16Dm000000M3xaIAC</v>
      </c>
      <c r="D2711" s="392"/>
      <c r="E2711" s="389" t="str">
        <f ca="1">IFERROR(IF(VLOOKUP(C2711,' Disaggregation - Section E '!A$618:J3400,7,0)="","",VLOOKUP(C2711,' Disaggregation - Section E '!A$618:J3400,7,0)*100),"")</f>
        <v/>
      </c>
      <c r="F2711" s="391" t="str">
        <f ca="1">IFERROR(VLOOKUP(C2711,' Disaggregation - Section E '!A$618:J3400,5,0),"")</f>
        <v/>
      </c>
      <c r="G2711" s="390" t="str">
        <f ca="1">IFERROR(IF(VLOOKUP(C2711,' Disaggregation - Section E '!A$618:J3400,6,0)="","",VLOOKUP(C2711,' Disaggregation - Section E '!A$618:J3400,6,0)),"")</f>
        <v/>
      </c>
      <c r="H2711" s="390" t="str">
        <f ca="1">IFERROR(IF(INDEX(' Disaggregation - Section E '!F$618:F3400,MATCH(C2711,' Disaggregation - Section E '!A$618:A3400,0)+1,1)&lt;&gt;0,INDEX(' Disaggregation - Section E '!F$618:F3400,MATCH(C2711,' Disaggregation - Section E '!A$618:A3400,0)+1,1),""),"")</f>
        <v/>
      </c>
      <c r="I2711" s="391" t="str">
        <f ca="1">IFERROR(IF(VLOOKUP(C2711,' Disaggregation - Section E '!A$618:J3400,8,0)=0,"",VLOOKUP(C2711,' Disaggregation - Section E '!A$618:J3400,8,0)),"")</f>
        <v/>
      </c>
      <c r="J2711" s="391" t="str">
        <f ca="1">IFERROR(IF(VLOOKUP(C2711,' Disaggregation - Section E '!A$618:J3400,9,0)="","",VLOOKUP(C2711,' Disaggregation - Section E '!A$618:J3400,9,0)),"")</f>
        <v/>
      </c>
      <c r="K2711" s="387" t="str">
        <f ca="1">IFERROR(VLOOKUP(C2711,' Disaggregation - Section E '!A$618:J3400,3,0),"")</f>
        <v>HTS-3b Percentage of TG that have received an HIV test during the reporting period in KP-specific programs and know their results</v>
      </c>
      <c r="L2711" s="387"/>
      <c r="M2711" s="387" t="str">
        <f ca="1">IFERROR(IF(VLOOKUP(C2711,' Disaggregation - Section E '!A$618:O1723,15,0)=0,"",VLOOKUP(C2711,' Disaggregation - Section E '!A$618:O1723,15,0)),"")</f>
        <v/>
      </c>
      <c r="N2711" s="391" t="str">
        <f ca="1">IFERROR(IF(VLOOKUP(C2711,' Disaggregation - Section E '!A$618:J3400,10,0)=0,"",VLOOKUP(C2711,' Disaggregation - Section E '!A$618:J3400,10,0)),"")</f>
        <v/>
      </c>
      <c r="O2711" s="387"/>
      <c r="P2711" s="387" t="str">
        <f ca="1">IFERROR(IF(VLOOKUP(C2711,' Disaggregation - Section E '!A$618:R1723,18,0)=0,"",VLOOKUP(C2711,' Disaggregation - Section E '!A$618:R1723,18,0)),"")</f>
        <v/>
      </c>
    </row>
    <row r="2712" spans="1:16">
      <c r="A2712" s="387" t="b">
        <f t="shared" ca="1" si="173"/>
        <v>1</v>
      </c>
      <c r="B2712" s="387"/>
      <c r="C2712" s="396" t="str">
        <f ca="1">IF(COUNTA(O$1610:O2712)=1,"",OFFSET(B2710,-COUNTA(O$1610:O2712)+3,1))</f>
        <v>a16Dm000000M3xbIAC</v>
      </c>
      <c r="D2712" s="392"/>
      <c r="E2712" s="389" t="str">
        <f ca="1">IFERROR(IF(VLOOKUP(C2712,' Disaggregation - Section E '!A$618:J3401,7,0)="","",VLOOKUP(C2712,' Disaggregation - Section E '!A$618:J3401,7,0)*100),"")</f>
        <v/>
      </c>
      <c r="F2712" s="391" t="str">
        <f ca="1">IFERROR(VLOOKUP(C2712,' Disaggregation - Section E '!A$618:J3401,5,0),"")</f>
        <v>25+</v>
      </c>
      <c r="G2712" s="390" t="str">
        <f ca="1">IFERROR(IF(VLOOKUP(C2712,' Disaggregation - Section E '!A$618:J3401,6,0)="","",VLOOKUP(C2712,' Disaggregation - Section E '!A$618:J3401,6,0)),"")</f>
        <v/>
      </c>
      <c r="H2712" s="390" t="str">
        <f ca="1">IFERROR(IF(INDEX(' Disaggregation - Section E '!F$618:F3401,MATCH(C2712,' Disaggregation - Section E '!A$618:A3401,0)+1,1)&lt;&gt;0,INDEX(' Disaggregation - Section E '!F$618:F3401,MATCH(C2712,' Disaggregation - Section E '!A$618:A3401,0)+1,1),""),"")</f>
        <v/>
      </c>
      <c r="I2712" s="391" t="str">
        <f ca="1">IFERROR(IF(VLOOKUP(C2712,' Disaggregation - Section E '!A$618:J3401,8,0)=0,"",VLOOKUP(C2712,' Disaggregation - Section E '!A$618:J3401,8,0)),"")</f>
        <v/>
      </c>
      <c r="J2712" s="391" t="str">
        <f ca="1">IFERROR(IF(VLOOKUP(C2712,' Disaggregation - Section E '!A$618:J3401,9,0)="","",VLOOKUP(C2712,' Disaggregation - Section E '!A$618:J3401,9,0)),"")</f>
        <v/>
      </c>
      <c r="K2712" s="387" t="str">
        <f ca="1">IFERROR(VLOOKUP(C2712,' Disaggregation - Section E '!A$618:J3401,3,0),"")</f>
        <v>HTS-3c Percentage of sex workers that have received an HIV test during the reporting period in KP-specific programs and know their results</v>
      </c>
      <c r="L2712" s="387"/>
      <c r="M2712" s="387" t="str">
        <f ca="1">IFERROR(IF(VLOOKUP(C2712,' Disaggregation - Section E '!A$618:O1724,15,0)=0,"",VLOOKUP(C2712,' Disaggregation - Section E '!A$618:O1724,15,0)),"")</f>
        <v>IDR-01281</v>
      </c>
      <c r="N2712" s="391" t="str">
        <f ca="1">IFERROR(IF(VLOOKUP(C2712,' Disaggregation - Section E '!A$618:J3401,10,0)=0,"",VLOOKUP(C2712,' Disaggregation - Section E '!A$618:J3401,10,0)),"")</f>
        <v>Disaggregated data not available. The activity will be taken into account from 2024 onwards</v>
      </c>
      <c r="O2712" s="387"/>
      <c r="P2712" s="387" t="str">
        <f ca="1">IFERROR(IF(VLOOKUP(C2712,' Disaggregation - Section E '!A$618:R1724,18,0)=0,"",VLOOKUP(C2712,' Disaggregation - Section E '!A$618:R1724,18,0)),"")</f>
        <v>a1LDm000000Cb3PMAS</v>
      </c>
    </row>
    <row r="2713" spans="1:16">
      <c r="A2713" s="387" t="b">
        <f t="shared" ca="1" si="173"/>
        <v>1</v>
      </c>
      <c r="B2713" s="387"/>
      <c r="C2713" s="396" t="str">
        <f ca="1">IF(COUNTA(O$1610:O2713)=1,"",OFFSET(B2711,-COUNTA(O$1610:O2713)+3,1))</f>
        <v>a16Dm000000M3xcIAC</v>
      </c>
      <c r="D2713" s="392"/>
      <c r="E2713" s="389" t="str">
        <f ca="1">IFERROR(IF(VLOOKUP(C2713,' Disaggregation - Section E '!A$618:J3402,7,0)="","",VLOOKUP(C2713,' Disaggregation - Section E '!A$618:J3402,7,0)*100),"")</f>
        <v/>
      </c>
      <c r="F2713" s="391" t="str">
        <f ca="1">IFERROR(VLOOKUP(C2713,' Disaggregation - Section E '!A$618:J3402,5,0),"")</f>
        <v>20-24</v>
      </c>
      <c r="G2713" s="390" t="str">
        <f ca="1">IFERROR(IF(VLOOKUP(C2713,' Disaggregation - Section E '!A$618:J3402,6,0)="","",VLOOKUP(C2713,' Disaggregation - Section E '!A$618:J3402,6,0)),"")</f>
        <v/>
      </c>
      <c r="H2713" s="390" t="str">
        <f ca="1">IFERROR(IF(INDEX(' Disaggregation - Section E '!F$618:F3402,MATCH(C2713,' Disaggregation - Section E '!A$618:A3402,0)+1,1)&lt;&gt;0,INDEX(' Disaggregation - Section E '!F$618:F3402,MATCH(C2713,' Disaggregation - Section E '!A$618:A3402,0)+1,1),""),"")</f>
        <v/>
      </c>
      <c r="I2713" s="391" t="str">
        <f ca="1">IFERROR(IF(VLOOKUP(C2713,' Disaggregation - Section E '!A$618:J3402,8,0)=0,"",VLOOKUP(C2713,' Disaggregation - Section E '!A$618:J3402,8,0)),"")</f>
        <v/>
      </c>
      <c r="J2713" s="391" t="str">
        <f ca="1">IFERROR(IF(VLOOKUP(C2713,' Disaggregation - Section E '!A$618:J3402,9,0)="","",VLOOKUP(C2713,' Disaggregation - Section E '!A$618:J3402,9,0)),"")</f>
        <v/>
      </c>
      <c r="K2713" s="387" t="str">
        <f ca="1">IFERROR(VLOOKUP(C2713,' Disaggregation - Section E '!A$618:J3402,3,0),"")</f>
        <v>HTS-3c Percentage of sex workers that have received an HIV test during the reporting period in KP-specific programs and know their results</v>
      </c>
      <c r="L2713" s="387"/>
      <c r="M2713" s="387" t="str">
        <f ca="1">IFERROR(IF(VLOOKUP(C2713,' Disaggregation - Section E '!A$618:O1725,15,0)=0,"",VLOOKUP(C2713,' Disaggregation - Section E '!A$618:O1725,15,0)),"")</f>
        <v>IDR-01280</v>
      </c>
      <c r="N2713" s="391" t="str">
        <f ca="1">IFERROR(IF(VLOOKUP(C2713,' Disaggregation - Section E '!A$618:J3402,10,0)=0,"",VLOOKUP(C2713,' Disaggregation - Section E '!A$618:J3402,10,0)),"")</f>
        <v>Disaggregated data not available. The activity will be taken into account from 2024 onwards</v>
      </c>
      <c r="O2713" s="387"/>
      <c r="P2713" s="387" t="str">
        <f ca="1">IFERROR(IF(VLOOKUP(C2713,' Disaggregation - Section E '!A$618:R1725,18,0)=0,"",VLOOKUP(C2713,' Disaggregation - Section E '!A$618:R1725,18,0)),"")</f>
        <v>a1LDm000000Cb3OMAS</v>
      </c>
    </row>
    <row r="2714" spans="1:16">
      <c r="A2714" s="387" t="b">
        <f t="shared" ca="1" si="173"/>
        <v>1</v>
      </c>
      <c r="B2714" s="387"/>
      <c r="C2714" s="396" t="str">
        <f ca="1">IF(COUNTA(O$1610:O2714)=1,"",OFFSET(B2712,-COUNTA(O$1610:O2714)+3,1))</f>
        <v>a16Dm000000M3xdIAC</v>
      </c>
      <c r="D2714" s="392"/>
      <c r="E2714" s="389" t="str">
        <f ca="1">IFERROR(IF(VLOOKUP(C2714,' Disaggregation - Section E '!A$618:J3403,7,0)="","",VLOOKUP(C2714,' Disaggregation - Section E '!A$618:J3403,7,0)*100),"")</f>
        <v/>
      </c>
      <c r="F2714" s="391" t="str">
        <f ca="1">IFERROR(VLOOKUP(C2714,' Disaggregation - Section E '!A$618:J3403,5,0),"")</f>
        <v>15-19</v>
      </c>
      <c r="G2714" s="390" t="str">
        <f ca="1">IFERROR(IF(VLOOKUP(C2714,' Disaggregation - Section E '!A$618:J3403,6,0)="","",VLOOKUP(C2714,' Disaggregation - Section E '!A$618:J3403,6,0)),"")</f>
        <v/>
      </c>
      <c r="H2714" s="390" t="str">
        <f ca="1">IFERROR(IF(INDEX(' Disaggregation - Section E '!F$618:F3403,MATCH(C2714,' Disaggregation - Section E '!A$618:A3403,0)+1,1)&lt;&gt;0,INDEX(' Disaggregation - Section E '!F$618:F3403,MATCH(C2714,' Disaggregation - Section E '!A$618:A3403,0)+1,1),""),"")</f>
        <v/>
      </c>
      <c r="I2714" s="391" t="str">
        <f ca="1">IFERROR(IF(VLOOKUP(C2714,' Disaggregation - Section E '!A$618:J3403,8,0)=0,"",VLOOKUP(C2714,' Disaggregation - Section E '!A$618:J3403,8,0)),"")</f>
        <v/>
      </c>
      <c r="J2714" s="391" t="str">
        <f ca="1">IFERROR(IF(VLOOKUP(C2714,' Disaggregation - Section E '!A$618:J3403,9,0)="","",VLOOKUP(C2714,' Disaggregation - Section E '!A$618:J3403,9,0)),"")</f>
        <v/>
      </c>
      <c r="K2714" s="387" t="str">
        <f ca="1">IFERROR(VLOOKUP(C2714,' Disaggregation - Section E '!A$618:J3403,3,0),"")</f>
        <v>HTS-3c Percentage of sex workers that have received an HIV test during the reporting period in KP-specific programs and know their results</v>
      </c>
      <c r="L2714" s="387"/>
      <c r="M2714" s="387" t="str">
        <f ca="1">IFERROR(IF(VLOOKUP(C2714,' Disaggregation - Section E '!A$618:O1726,15,0)=0,"",VLOOKUP(C2714,' Disaggregation - Section E '!A$618:O1726,15,0)),"")</f>
        <v>IDR-01279</v>
      </c>
      <c r="N2714" s="391" t="str">
        <f ca="1">IFERROR(IF(VLOOKUP(C2714,' Disaggregation - Section E '!A$618:J3403,10,0)=0,"",VLOOKUP(C2714,' Disaggregation - Section E '!A$618:J3403,10,0)),"")</f>
        <v>Disaggregated data not available. The activity will be taken into account from 2024 onwards</v>
      </c>
      <c r="O2714" s="387"/>
      <c r="P2714" s="387" t="str">
        <f ca="1">IFERROR(IF(VLOOKUP(C2714,' Disaggregation - Section E '!A$618:R1726,18,0)=0,"",VLOOKUP(C2714,' Disaggregation - Section E '!A$618:R1726,18,0)),"")</f>
        <v>a1LDm000000Cb3NMAS</v>
      </c>
    </row>
    <row r="2715" spans="1:16">
      <c r="A2715" s="387" t="b">
        <f t="shared" ca="1" si="173"/>
        <v>1</v>
      </c>
      <c r="B2715" s="387"/>
      <c r="C2715" s="396" t="str">
        <f ca="1">IF(COUNTA(O$1610:O2715)=1,"",OFFSET(B2713,-COUNTA(O$1610:O2715)+3,1))</f>
        <v>a16Dm000000M3xeIAC</v>
      </c>
      <c r="D2715" s="392"/>
      <c r="E2715" s="389" t="str">
        <f ca="1">IFERROR(IF(VLOOKUP(C2715,' Disaggregation - Section E '!A$618:J3404,7,0)="","",VLOOKUP(C2715,' Disaggregation - Section E '!A$618:J3404,7,0)*100),"")</f>
        <v/>
      </c>
      <c r="F2715" s="391" t="str">
        <f ca="1">IFERROR(VLOOKUP(C2715,' Disaggregation - Section E '!A$618:J3404,5,0),"")</f>
        <v>Transgender</v>
      </c>
      <c r="G2715" s="390" t="str">
        <f ca="1">IFERROR(IF(VLOOKUP(C2715,' Disaggregation - Section E '!A$618:J3404,6,0)="","",VLOOKUP(C2715,' Disaggregation - Section E '!A$618:J3404,6,0)),"")</f>
        <v/>
      </c>
      <c r="H2715" s="390" t="str">
        <f ca="1">IFERROR(IF(INDEX(' Disaggregation - Section E '!F$618:F3404,MATCH(C2715,' Disaggregation - Section E '!A$618:A3404,0)+1,1)&lt;&gt;0,INDEX(' Disaggregation - Section E '!F$618:F3404,MATCH(C2715,' Disaggregation - Section E '!A$618:A3404,0)+1,1),""),"")</f>
        <v/>
      </c>
      <c r="I2715" s="391" t="str">
        <f ca="1">IFERROR(IF(VLOOKUP(C2715,' Disaggregation - Section E '!A$618:J3404,8,0)=0,"",VLOOKUP(C2715,' Disaggregation - Section E '!A$618:J3404,8,0)),"")</f>
        <v/>
      </c>
      <c r="J2715" s="391" t="str">
        <f ca="1">IFERROR(IF(VLOOKUP(C2715,' Disaggregation - Section E '!A$618:J3404,9,0)="","",VLOOKUP(C2715,' Disaggregation - Section E '!A$618:J3404,9,0)),"")</f>
        <v/>
      </c>
      <c r="K2715" s="387" t="str">
        <f ca="1">IFERROR(VLOOKUP(C2715,' Disaggregation - Section E '!A$618:J3404,3,0),"")</f>
        <v>HTS-3c Percentage of sex workers that have received an HIV test during the reporting period in KP-specific programs and know their results</v>
      </c>
      <c r="L2715" s="387"/>
      <c r="M2715" s="387" t="str">
        <f ca="1">IFERROR(IF(VLOOKUP(C2715,' Disaggregation - Section E '!A$618:O1727,15,0)=0,"",VLOOKUP(C2715,' Disaggregation - Section E '!A$618:O1727,15,0)),"")</f>
        <v>IDR-01278</v>
      </c>
      <c r="N2715" s="391" t="str">
        <f ca="1">IFERROR(IF(VLOOKUP(C2715,' Disaggregation - Section E '!A$618:J3404,10,0)=0,"",VLOOKUP(C2715,' Disaggregation - Section E '!A$618:J3404,10,0)),"")</f>
        <v>Disaggregated data not available. The activity will be taken into account from 2024 onwards</v>
      </c>
      <c r="O2715" s="387"/>
      <c r="P2715" s="387" t="str">
        <f ca="1">IFERROR(IF(VLOOKUP(C2715,' Disaggregation - Section E '!A$618:R1727,18,0)=0,"",VLOOKUP(C2715,' Disaggregation - Section E '!A$618:R1727,18,0)),"")</f>
        <v>a1LDm000000Cb3MMAS</v>
      </c>
    </row>
    <row r="2716" spans="1:16">
      <c r="A2716" s="387" t="b">
        <f t="shared" ca="1" si="173"/>
        <v>1</v>
      </c>
      <c r="B2716" s="387"/>
      <c r="C2716" s="396" t="str">
        <f ca="1">IF(COUNTA(O$1610:O2716)=1,"",OFFSET(B2714,-COUNTA(O$1610:O2716)+3,1))</f>
        <v>a16Dm000000M3xfIAC</v>
      </c>
      <c r="D2716" s="392"/>
      <c r="E2716" s="389" t="str">
        <f ca="1">IFERROR(IF(VLOOKUP(C2716,' Disaggregation - Section E '!A$618:J3405,7,0)="","",VLOOKUP(C2716,' Disaggregation - Section E '!A$618:J3405,7,0)*100),"")</f>
        <v/>
      </c>
      <c r="F2716" s="391" t="str">
        <f ca="1">IFERROR(VLOOKUP(C2716,' Disaggregation - Section E '!A$618:J3405,5,0),"")</f>
        <v>Male</v>
      </c>
      <c r="G2716" s="390" t="str">
        <f ca="1">IFERROR(IF(VLOOKUP(C2716,' Disaggregation - Section E '!A$618:J3405,6,0)="","",VLOOKUP(C2716,' Disaggregation - Section E '!A$618:J3405,6,0)),"")</f>
        <v/>
      </c>
      <c r="H2716" s="390" t="str">
        <f ca="1">IFERROR(IF(INDEX(' Disaggregation - Section E '!F$618:F3405,MATCH(C2716,' Disaggregation - Section E '!A$618:A3405,0)+1,1)&lt;&gt;0,INDEX(' Disaggregation - Section E '!F$618:F3405,MATCH(C2716,' Disaggregation - Section E '!A$618:A3405,0)+1,1),""),"")</f>
        <v/>
      </c>
      <c r="I2716" s="391" t="str">
        <f ca="1">IFERROR(IF(VLOOKUP(C2716,' Disaggregation - Section E '!A$618:J3405,8,0)=0,"",VLOOKUP(C2716,' Disaggregation - Section E '!A$618:J3405,8,0)),"")</f>
        <v/>
      </c>
      <c r="J2716" s="391" t="str">
        <f ca="1">IFERROR(IF(VLOOKUP(C2716,' Disaggregation - Section E '!A$618:J3405,9,0)="","",VLOOKUP(C2716,' Disaggregation - Section E '!A$618:J3405,9,0)),"")</f>
        <v/>
      </c>
      <c r="K2716" s="387" t="str">
        <f ca="1">IFERROR(VLOOKUP(C2716,' Disaggregation - Section E '!A$618:J3405,3,0),"")</f>
        <v>HTS-3c Percentage of sex workers that have received an HIV test during the reporting period in KP-specific programs and know their results</v>
      </c>
      <c r="L2716" s="387"/>
      <c r="M2716" s="387" t="str">
        <f ca="1">IFERROR(IF(VLOOKUP(C2716,' Disaggregation - Section E '!A$618:O1728,15,0)=0,"",VLOOKUP(C2716,' Disaggregation - Section E '!A$618:O1728,15,0)),"")</f>
        <v>IDR-01277</v>
      </c>
      <c r="N2716" s="391" t="str">
        <f ca="1">IFERROR(IF(VLOOKUP(C2716,' Disaggregation - Section E '!A$618:J3405,10,0)=0,"",VLOOKUP(C2716,' Disaggregation - Section E '!A$618:J3405,10,0)),"")</f>
        <v>Disaggregated data not available. The activity will be taken into account from 2024 onwards</v>
      </c>
      <c r="O2716" s="387"/>
      <c r="P2716" s="387" t="str">
        <f ca="1">IFERROR(IF(VLOOKUP(C2716,' Disaggregation - Section E '!A$618:R1728,18,0)=0,"",VLOOKUP(C2716,' Disaggregation - Section E '!A$618:R1728,18,0)),"")</f>
        <v>a1LDm000000Cb3LMAS</v>
      </c>
    </row>
    <row r="2717" spans="1:16">
      <c r="A2717" s="387" t="b">
        <f t="shared" ca="1" si="173"/>
        <v>1</v>
      </c>
      <c r="B2717" s="387"/>
      <c r="C2717" s="396" t="str">
        <f ca="1">IF(COUNTA(O$1610:O2717)=1,"",OFFSET(B2715,-COUNTA(O$1610:O2717)+3,1))</f>
        <v>a16Dm000000M3xgIAC</v>
      </c>
      <c r="D2717" s="392"/>
      <c r="E2717" s="389" t="str">
        <f ca="1">IFERROR(IF(VLOOKUP(C2717,' Disaggregation - Section E '!A$618:J3406,7,0)="","",VLOOKUP(C2717,' Disaggregation - Section E '!A$618:J3406,7,0)*100),"")</f>
        <v/>
      </c>
      <c r="F2717" s="391" t="str">
        <f ca="1">IFERROR(VLOOKUP(C2717,' Disaggregation - Section E '!A$618:J3406,5,0),"")</f>
        <v>Female</v>
      </c>
      <c r="G2717" s="390" t="str">
        <f ca="1">IFERROR(IF(VLOOKUP(C2717,' Disaggregation - Section E '!A$618:J3406,6,0)="","",VLOOKUP(C2717,' Disaggregation - Section E '!A$618:J3406,6,0)),"")</f>
        <v/>
      </c>
      <c r="H2717" s="390" t="str">
        <f ca="1">IFERROR(IF(INDEX(' Disaggregation - Section E '!F$618:F3406,MATCH(C2717,' Disaggregation - Section E '!A$618:A3406,0)+1,1)&lt;&gt;0,INDEX(' Disaggregation - Section E '!F$618:F3406,MATCH(C2717,' Disaggregation - Section E '!A$618:A3406,0)+1,1),""),"")</f>
        <v/>
      </c>
      <c r="I2717" s="391" t="str">
        <f ca="1">IFERROR(IF(VLOOKUP(C2717,' Disaggregation - Section E '!A$618:J3406,8,0)=0,"",VLOOKUP(C2717,' Disaggregation - Section E '!A$618:J3406,8,0)),"")</f>
        <v/>
      </c>
      <c r="J2717" s="391" t="str">
        <f ca="1">IFERROR(IF(VLOOKUP(C2717,' Disaggregation - Section E '!A$618:J3406,9,0)="","",VLOOKUP(C2717,' Disaggregation - Section E '!A$618:J3406,9,0)),"")</f>
        <v/>
      </c>
      <c r="K2717" s="387" t="str">
        <f ca="1">IFERROR(VLOOKUP(C2717,' Disaggregation - Section E '!A$618:J3406,3,0),"")</f>
        <v>HTS-3c Percentage of sex workers that have received an HIV test during the reporting period in KP-specific programs and know their results</v>
      </c>
      <c r="L2717" s="387"/>
      <c r="M2717" s="387" t="str">
        <f ca="1">IFERROR(IF(VLOOKUP(C2717,' Disaggregation - Section E '!A$618:O1729,15,0)=0,"",VLOOKUP(C2717,' Disaggregation - Section E '!A$618:O1729,15,0)),"")</f>
        <v>IDR-01276</v>
      </c>
      <c r="N2717" s="391" t="str">
        <f ca="1">IFERROR(IF(VLOOKUP(C2717,' Disaggregation - Section E '!A$618:J3406,10,0)=0,"",VLOOKUP(C2717,' Disaggregation - Section E '!A$618:J3406,10,0)),"")</f>
        <v>Disaggregated data not available. The activity will be taken into account from 2024 onwards</v>
      </c>
      <c r="O2717" s="387"/>
      <c r="P2717" s="387" t="str">
        <f ca="1">IFERROR(IF(VLOOKUP(C2717,' Disaggregation - Section E '!A$618:R1729,18,0)=0,"",VLOOKUP(C2717,' Disaggregation - Section E '!A$618:R1729,18,0)),"")</f>
        <v>a1LDm000000Cb3KMAS</v>
      </c>
    </row>
    <row r="2718" spans="1:16">
      <c r="A2718" s="387" t="b">
        <f t="shared" ca="1" si="173"/>
        <v>0</v>
      </c>
      <c r="B2718" s="387"/>
      <c r="C2718" s="396" t="str">
        <f ca="1">IF(COUNTA(O$1610:O2718)=1,"",OFFSET(B2716,-COUNTA(O$1610:O2718)+3,1))</f>
        <v>a16Dm000000M3xhIAC</v>
      </c>
      <c r="D2718" s="392"/>
      <c r="E2718" s="389" t="str">
        <f ca="1">IFERROR(IF(VLOOKUP(C2718,' Disaggregation - Section E '!A$618:J3407,7,0)="","",VLOOKUP(C2718,' Disaggregation - Section E '!A$618:J3407,7,0)*100),"")</f>
        <v/>
      </c>
      <c r="F2718" s="391" t="str">
        <f ca="1">IFERROR(VLOOKUP(C2718,' Disaggregation - Section E '!A$618:J3407,5,0),"")</f>
        <v/>
      </c>
      <c r="G2718" s="390" t="str">
        <f ca="1">IFERROR(IF(VLOOKUP(C2718,' Disaggregation - Section E '!A$618:J3407,6,0)="","",VLOOKUP(C2718,' Disaggregation - Section E '!A$618:J3407,6,0)),"")</f>
        <v/>
      </c>
      <c r="H2718" s="390" t="str">
        <f ca="1">IFERROR(IF(INDEX(' Disaggregation - Section E '!F$618:F3407,MATCH(C2718,' Disaggregation - Section E '!A$618:A3407,0)+1,1)&lt;&gt;0,INDEX(' Disaggregation - Section E '!F$618:F3407,MATCH(C2718,' Disaggregation - Section E '!A$618:A3407,0)+1,1),""),"")</f>
        <v/>
      </c>
      <c r="I2718" s="391" t="str">
        <f ca="1">IFERROR(IF(VLOOKUP(C2718,' Disaggregation - Section E '!A$618:J3407,8,0)=0,"",VLOOKUP(C2718,' Disaggregation - Section E '!A$618:J3407,8,0)),"")</f>
        <v/>
      </c>
      <c r="J2718" s="391" t="str">
        <f ca="1">IFERROR(IF(VLOOKUP(C2718,' Disaggregation - Section E '!A$618:J3407,9,0)="","",VLOOKUP(C2718,' Disaggregation - Section E '!A$618:J3407,9,0)),"")</f>
        <v/>
      </c>
      <c r="K2718" s="387" t="str">
        <f ca="1">IFERROR(VLOOKUP(C2718,' Disaggregation - Section E '!A$618:J3407,3,0),"")</f>
        <v>HTS-3c Percentage of sex workers that have received an HIV test during the reporting period in KP-specific programs and know their results</v>
      </c>
      <c r="L2718" s="387"/>
      <c r="M2718" s="387" t="str">
        <f ca="1">IFERROR(IF(VLOOKUP(C2718,' Disaggregation - Section E '!A$618:O1730,15,0)=0,"",VLOOKUP(C2718,' Disaggregation - Section E '!A$618:O1730,15,0)),"")</f>
        <v/>
      </c>
      <c r="N2718" s="391" t="str">
        <f ca="1">IFERROR(IF(VLOOKUP(C2718,' Disaggregation - Section E '!A$618:J3407,10,0)=0,"",VLOOKUP(C2718,' Disaggregation - Section E '!A$618:J3407,10,0)),"")</f>
        <v/>
      </c>
      <c r="O2718" s="387"/>
      <c r="P2718" s="387" t="str">
        <f ca="1">IFERROR(IF(VLOOKUP(C2718,' Disaggregation - Section E '!A$618:R1730,18,0)=0,"",VLOOKUP(C2718,' Disaggregation - Section E '!A$618:R1730,18,0)),"")</f>
        <v/>
      </c>
    </row>
    <row r="2719" spans="1:16">
      <c r="A2719" s="387" t="b">
        <f t="shared" ca="1" si="173"/>
        <v>0</v>
      </c>
      <c r="B2719" s="387"/>
      <c r="C2719" s="396" t="str">
        <f ca="1">IF(COUNTA(O$1610:O2719)=1,"",OFFSET(B2717,-COUNTA(O$1610:O2719)+3,1))</f>
        <v>a16Dm000000M3xiIAC</v>
      </c>
      <c r="D2719" s="392"/>
      <c r="E2719" s="389" t="str">
        <f ca="1">IFERROR(IF(VLOOKUP(C2719,' Disaggregation - Section E '!A$618:J3408,7,0)="","",VLOOKUP(C2719,' Disaggregation - Section E '!A$618:J3408,7,0)*100),"")</f>
        <v/>
      </c>
      <c r="F2719" s="391" t="str">
        <f ca="1">IFERROR(VLOOKUP(C2719,' Disaggregation - Section E '!A$618:J3408,5,0),"")</f>
        <v/>
      </c>
      <c r="G2719" s="390" t="str">
        <f ca="1">IFERROR(IF(VLOOKUP(C2719,' Disaggregation - Section E '!A$618:J3408,6,0)="","",VLOOKUP(C2719,' Disaggregation - Section E '!A$618:J3408,6,0)),"")</f>
        <v/>
      </c>
      <c r="H2719" s="390" t="str">
        <f ca="1">IFERROR(IF(INDEX(' Disaggregation - Section E '!F$618:F3408,MATCH(C2719,' Disaggregation - Section E '!A$618:A3408,0)+1,1)&lt;&gt;0,INDEX(' Disaggregation - Section E '!F$618:F3408,MATCH(C2719,' Disaggregation - Section E '!A$618:A3408,0)+1,1),""),"")</f>
        <v/>
      </c>
      <c r="I2719" s="391" t="str">
        <f ca="1">IFERROR(IF(VLOOKUP(C2719,' Disaggregation - Section E '!A$618:J3408,8,0)=0,"",VLOOKUP(C2719,' Disaggregation - Section E '!A$618:J3408,8,0)),"")</f>
        <v/>
      </c>
      <c r="J2719" s="391" t="str">
        <f ca="1">IFERROR(IF(VLOOKUP(C2719,' Disaggregation - Section E '!A$618:J3408,9,0)="","",VLOOKUP(C2719,' Disaggregation - Section E '!A$618:J3408,9,0)),"")</f>
        <v/>
      </c>
      <c r="K2719" s="387" t="str">
        <f ca="1">IFERROR(VLOOKUP(C2719,' Disaggregation - Section E '!A$618:J3408,3,0),"")</f>
        <v>HTS-3c Percentage of sex workers that have received an HIV test during the reporting period in KP-specific programs and know their results</v>
      </c>
      <c r="L2719" s="387"/>
      <c r="M2719" s="387" t="str">
        <f ca="1">IFERROR(IF(VLOOKUP(C2719,' Disaggregation - Section E '!A$618:O1731,15,0)=0,"",VLOOKUP(C2719,' Disaggregation - Section E '!A$618:O1731,15,0)),"")</f>
        <v/>
      </c>
      <c r="N2719" s="391" t="str">
        <f ca="1">IFERROR(IF(VLOOKUP(C2719,' Disaggregation - Section E '!A$618:J3408,10,0)=0,"",VLOOKUP(C2719,' Disaggregation - Section E '!A$618:J3408,10,0)),"")</f>
        <v/>
      </c>
      <c r="O2719" s="387"/>
      <c r="P2719" s="387" t="str">
        <f ca="1">IFERROR(IF(VLOOKUP(C2719,' Disaggregation - Section E '!A$618:R1731,18,0)=0,"",VLOOKUP(C2719,' Disaggregation - Section E '!A$618:R1731,18,0)),"")</f>
        <v/>
      </c>
    </row>
    <row r="2720" spans="1:16">
      <c r="A2720" s="387" t="b">
        <f t="shared" ca="1" si="173"/>
        <v>0</v>
      </c>
      <c r="B2720" s="387"/>
      <c r="C2720" s="396" t="str">
        <f ca="1">IF(COUNTA(O$1610:O2720)=1,"",OFFSET(B2718,-COUNTA(O$1610:O2720)+3,1))</f>
        <v>a16Dm000000M3xjIAC</v>
      </c>
      <c r="D2720" s="392"/>
      <c r="E2720" s="389" t="str">
        <f ca="1">IFERROR(IF(VLOOKUP(C2720,' Disaggregation - Section E '!A$618:J3409,7,0)="","",VLOOKUP(C2720,' Disaggregation - Section E '!A$618:J3409,7,0)*100),"")</f>
        <v/>
      </c>
      <c r="F2720" s="391" t="str">
        <f ca="1">IFERROR(VLOOKUP(C2720,' Disaggregation - Section E '!A$618:J3409,5,0),"")</f>
        <v/>
      </c>
      <c r="G2720" s="390" t="str">
        <f ca="1">IFERROR(IF(VLOOKUP(C2720,' Disaggregation - Section E '!A$618:J3409,6,0)="","",VLOOKUP(C2720,' Disaggregation - Section E '!A$618:J3409,6,0)),"")</f>
        <v/>
      </c>
      <c r="H2720" s="390" t="str">
        <f ca="1">IFERROR(IF(INDEX(' Disaggregation - Section E '!F$618:F3409,MATCH(C2720,' Disaggregation - Section E '!A$618:A3409,0)+1,1)&lt;&gt;0,INDEX(' Disaggregation - Section E '!F$618:F3409,MATCH(C2720,' Disaggregation - Section E '!A$618:A3409,0)+1,1),""),"")</f>
        <v/>
      </c>
      <c r="I2720" s="391" t="str">
        <f ca="1">IFERROR(IF(VLOOKUP(C2720,' Disaggregation - Section E '!A$618:J3409,8,0)=0,"",VLOOKUP(C2720,' Disaggregation - Section E '!A$618:J3409,8,0)),"")</f>
        <v/>
      </c>
      <c r="J2720" s="391" t="str">
        <f ca="1">IFERROR(IF(VLOOKUP(C2720,' Disaggregation - Section E '!A$618:J3409,9,0)="","",VLOOKUP(C2720,' Disaggregation - Section E '!A$618:J3409,9,0)),"")</f>
        <v/>
      </c>
      <c r="K2720" s="387" t="str">
        <f ca="1">IFERROR(VLOOKUP(C2720,' Disaggregation - Section E '!A$618:J3409,3,0),"")</f>
        <v>HTS-3c Percentage of sex workers that have received an HIV test during the reporting period in KP-specific programs and know their results</v>
      </c>
      <c r="L2720" s="387"/>
      <c r="M2720" s="387" t="str">
        <f ca="1">IFERROR(IF(VLOOKUP(C2720,' Disaggregation - Section E '!A$618:O1732,15,0)=0,"",VLOOKUP(C2720,' Disaggregation - Section E '!A$618:O1732,15,0)),"")</f>
        <v/>
      </c>
      <c r="N2720" s="391" t="str">
        <f ca="1">IFERROR(IF(VLOOKUP(C2720,' Disaggregation - Section E '!A$618:J3409,10,0)=0,"",VLOOKUP(C2720,' Disaggregation - Section E '!A$618:J3409,10,0)),"")</f>
        <v/>
      </c>
      <c r="O2720" s="387"/>
      <c r="P2720" s="387" t="str">
        <f ca="1">IFERROR(IF(VLOOKUP(C2720,' Disaggregation - Section E '!A$618:R1732,18,0)=0,"",VLOOKUP(C2720,' Disaggregation - Section E '!A$618:R1732,18,0)),"")</f>
        <v/>
      </c>
    </row>
    <row r="2721" spans="1:16">
      <c r="A2721" s="387" t="b">
        <f t="shared" ca="1" si="173"/>
        <v>0</v>
      </c>
      <c r="B2721" s="387"/>
      <c r="C2721" s="396" t="str">
        <f ca="1">IF(COUNTA(O$1610:O2721)=1,"",OFFSET(B2719,-COUNTA(O$1610:O2721)+3,1))</f>
        <v>a16Dm000000M3xkIAC</v>
      </c>
      <c r="D2721" s="392"/>
      <c r="E2721" s="389" t="str">
        <f ca="1">IFERROR(IF(VLOOKUP(C2721,' Disaggregation - Section E '!A$618:J3410,7,0)="","",VLOOKUP(C2721,' Disaggregation - Section E '!A$618:J3410,7,0)*100),"")</f>
        <v/>
      </c>
      <c r="F2721" s="391" t="str">
        <f ca="1">IFERROR(VLOOKUP(C2721,' Disaggregation - Section E '!A$618:J3410,5,0),"")</f>
        <v/>
      </c>
      <c r="G2721" s="390" t="str">
        <f ca="1">IFERROR(IF(VLOOKUP(C2721,' Disaggregation - Section E '!A$618:J3410,6,0)="","",VLOOKUP(C2721,' Disaggregation - Section E '!A$618:J3410,6,0)),"")</f>
        <v/>
      </c>
      <c r="H2721" s="390" t="str">
        <f ca="1">IFERROR(IF(INDEX(' Disaggregation - Section E '!F$618:F3410,MATCH(C2721,' Disaggregation - Section E '!A$618:A3410,0)+1,1)&lt;&gt;0,INDEX(' Disaggregation - Section E '!F$618:F3410,MATCH(C2721,' Disaggregation - Section E '!A$618:A3410,0)+1,1),""),"")</f>
        <v/>
      </c>
      <c r="I2721" s="391" t="str">
        <f ca="1">IFERROR(IF(VLOOKUP(C2721,' Disaggregation - Section E '!A$618:J3410,8,0)=0,"",VLOOKUP(C2721,' Disaggregation - Section E '!A$618:J3410,8,0)),"")</f>
        <v/>
      </c>
      <c r="J2721" s="391" t="str">
        <f ca="1">IFERROR(IF(VLOOKUP(C2721,' Disaggregation - Section E '!A$618:J3410,9,0)="","",VLOOKUP(C2721,' Disaggregation - Section E '!A$618:J3410,9,0)),"")</f>
        <v/>
      </c>
      <c r="K2721" s="387" t="str">
        <f ca="1">IFERROR(VLOOKUP(C2721,' Disaggregation - Section E '!A$618:J3410,3,0),"")</f>
        <v>HTS-3c Percentage of sex workers that have received an HIV test during the reporting period in KP-specific programs and know their results</v>
      </c>
      <c r="L2721" s="387"/>
      <c r="M2721" s="387" t="str">
        <f ca="1">IFERROR(IF(VLOOKUP(C2721,' Disaggregation - Section E '!A$618:O1733,15,0)=0,"",VLOOKUP(C2721,' Disaggregation - Section E '!A$618:O1733,15,0)),"")</f>
        <v/>
      </c>
      <c r="N2721" s="391" t="str">
        <f ca="1">IFERROR(IF(VLOOKUP(C2721,' Disaggregation - Section E '!A$618:J3410,10,0)=0,"",VLOOKUP(C2721,' Disaggregation - Section E '!A$618:J3410,10,0)),"")</f>
        <v/>
      </c>
      <c r="O2721" s="387"/>
      <c r="P2721" s="387" t="str">
        <f ca="1">IFERROR(IF(VLOOKUP(C2721,' Disaggregation - Section E '!A$618:R1733,18,0)=0,"",VLOOKUP(C2721,' Disaggregation - Section E '!A$618:R1733,18,0)),"")</f>
        <v/>
      </c>
    </row>
    <row r="2722" spans="1:16">
      <c r="A2722" s="387" t="b">
        <f t="shared" ca="1" si="173"/>
        <v>0</v>
      </c>
      <c r="B2722" s="387"/>
      <c r="C2722" s="396" t="str">
        <f ca="1">IF(COUNTA(O$1610:O2722)=1,"",OFFSET(B2720,-COUNTA(O$1610:O2722)+3,1))</f>
        <v>a16Dm000000M3xlIAC</v>
      </c>
      <c r="D2722" s="392"/>
      <c r="E2722" s="389" t="str">
        <f ca="1">IFERROR(IF(VLOOKUP(C2722,' Disaggregation - Section E '!A$618:J3411,7,0)="","",VLOOKUP(C2722,' Disaggregation - Section E '!A$618:J3411,7,0)*100),"")</f>
        <v/>
      </c>
      <c r="F2722" s="391" t="str">
        <f ca="1">IFERROR(VLOOKUP(C2722,' Disaggregation - Section E '!A$618:J3411,5,0),"")</f>
        <v/>
      </c>
      <c r="G2722" s="390" t="str">
        <f ca="1">IFERROR(IF(VLOOKUP(C2722,' Disaggregation - Section E '!A$618:J3411,6,0)="","",VLOOKUP(C2722,' Disaggregation - Section E '!A$618:J3411,6,0)),"")</f>
        <v/>
      </c>
      <c r="H2722" s="390" t="str">
        <f ca="1">IFERROR(IF(INDEX(' Disaggregation - Section E '!F$618:F3411,MATCH(C2722,' Disaggregation - Section E '!A$618:A3411,0)+1,1)&lt;&gt;0,INDEX(' Disaggregation - Section E '!F$618:F3411,MATCH(C2722,' Disaggregation - Section E '!A$618:A3411,0)+1,1),""),"")</f>
        <v/>
      </c>
      <c r="I2722" s="391" t="str">
        <f ca="1">IFERROR(IF(VLOOKUP(C2722,' Disaggregation - Section E '!A$618:J3411,8,0)=0,"",VLOOKUP(C2722,' Disaggregation - Section E '!A$618:J3411,8,0)),"")</f>
        <v/>
      </c>
      <c r="J2722" s="391" t="str">
        <f ca="1">IFERROR(IF(VLOOKUP(C2722,' Disaggregation - Section E '!A$618:J3411,9,0)="","",VLOOKUP(C2722,' Disaggregation - Section E '!A$618:J3411,9,0)),"")</f>
        <v/>
      </c>
      <c r="K2722" s="387" t="str">
        <f ca="1">IFERROR(VLOOKUP(C2722,' Disaggregation - Section E '!A$618:J3411,3,0),"")</f>
        <v>HTS-3c Percentage of sex workers that have received an HIV test during the reporting period in KP-specific programs and know their results</v>
      </c>
      <c r="L2722" s="387"/>
      <c r="M2722" s="387" t="str">
        <f ca="1">IFERROR(IF(VLOOKUP(C2722,' Disaggregation - Section E '!A$618:O1734,15,0)=0,"",VLOOKUP(C2722,' Disaggregation - Section E '!A$618:O1734,15,0)),"")</f>
        <v/>
      </c>
      <c r="N2722" s="391" t="str">
        <f ca="1">IFERROR(IF(VLOOKUP(C2722,' Disaggregation - Section E '!A$618:J3411,10,0)=0,"",VLOOKUP(C2722,' Disaggregation - Section E '!A$618:J3411,10,0)),"")</f>
        <v/>
      </c>
      <c r="O2722" s="387"/>
      <c r="P2722" s="387" t="str">
        <f ca="1">IFERROR(IF(VLOOKUP(C2722,' Disaggregation - Section E '!A$618:R1734,18,0)=0,"",VLOOKUP(C2722,' Disaggregation - Section E '!A$618:R1734,18,0)),"")</f>
        <v/>
      </c>
    </row>
    <row r="2723" spans="1:16">
      <c r="A2723" s="387" t="b">
        <f t="shared" ca="1" si="173"/>
        <v>0</v>
      </c>
      <c r="B2723" s="387"/>
      <c r="C2723" s="396" t="str">
        <f ca="1">IF(COUNTA(O$1610:O2723)=1,"",OFFSET(B2721,-COUNTA(O$1610:O2723)+3,1))</f>
        <v>a16Dm000000M3xmIAC</v>
      </c>
      <c r="D2723" s="392"/>
      <c r="E2723" s="389" t="str">
        <f ca="1">IFERROR(IF(VLOOKUP(C2723,' Disaggregation - Section E '!A$618:J3412,7,0)="","",VLOOKUP(C2723,' Disaggregation - Section E '!A$618:J3412,7,0)*100),"")</f>
        <v/>
      </c>
      <c r="F2723" s="391" t="str">
        <f ca="1">IFERROR(VLOOKUP(C2723,' Disaggregation - Section E '!A$618:J3412,5,0),"")</f>
        <v/>
      </c>
      <c r="G2723" s="390" t="str">
        <f ca="1">IFERROR(IF(VLOOKUP(C2723,' Disaggregation - Section E '!A$618:J3412,6,0)="","",VLOOKUP(C2723,' Disaggregation - Section E '!A$618:J3412,6,0)),"")</f>
        <v/>
      </c>
      <c r="H2723" s="390" t="str">
        <f ca="1">IFERROR(IF(INDEX(' Disaggregation - Section E '!F$618:F3412,MATCH(C2723,' Disaggregation - Section E '!A$618:A3412,0)+1,1)&lt;&gt;0,INDEX(' Disaggregation - Section E '!F$618:F3412,MATCH(C2723,' Disaggregation - Section E '!A$618:A3412,0)+1,1),""),"")</f>
        <v/>
      </c>
      <c r="I2723" s="391" t="str">
        <f ca="1">IFERROR(IF(VLOOKUP(C2723,' Disaggregation - Section E '!A$618:J3412,8,0)=0,"",VLOOKUP(C2723,' Disaggregation - Section E '!A$618:J3412,8,0)),"")</f>
        <v/>
      </c>
      <c r="J2723" s="391" t="str">
        <f ca="1">IFERROR(IF(VLOOKUP(C2723,' Disaggregation - Section E '!A$618:J3412,9,0)="","",VLOOKUP(C2723,' Disaggregation - Section E '!A$618:J3412,9,0)),"")</f>
        <v/>
      </c>
      <c r="K2723" s="387" t="str">
        <f ca="1">IFERROR(VLOOKUP(C2723,' Disaggregation - Section E '!A$618:J3412,3,0),"")</f>
        <v>HTS-3c Percentage of sex workers that have received an HIV test during the reporting period in KP-specific programs and know their results</v>
      </c>
      <c r="L2723" s="387"/>
      <c r="M2723" s="387" t="str">
        <f ca="1">IFERROR(IF(VLOOKUP(C2723,' Disaggregation - Section E '!A$618:O1735,15,0)=0,"",VLOOKUP(C2723,' Disaggregation - Section E '!A$618:O1735,15,0)),"")</f>
        <v/>
      </c>
      <c r="N2723" s="391" t="str">
        <f ca="1">IFERROR(IF(VLOOKUP(C2723,' Disaggregation - Section E '!A$618:J3412,10,0)=0,"",VLOOKUP(C2723,' Disaggregation - Section E '!A$618:J3412,10,0)),"")</f>
        <v/>
      </c>
      <c r="O2723" s="387"/>
      <c r="P2723" s="387" t="str">
        <f ca="1">IFERROR(IF(VLOOKUP(C2723,' Disaggregation - Section E '!A$618:R1735,18,0)=0,"",VLOOKUP(C2723,' Disaggregation - Section E '!A$618:R1735,18,0)),"")</f>
        <v/>
      </c>
    </row>
    <row r="2724" spans="1:16">
      <c r="A2724" s="387" t="b">
        <f t="shared" ca="1" si="173"/>
        <v>0</v>
      </c>
      <c r="B2724" s="387"/>
      <c r="C2724" s="396" t="str">
        <f ca="1">IF(COUNTA(O$1610:O2724)=1,"",OFFSET(B2722,-COUNTA(O$1610:O2724)+3,1))</f>
        <v>a16Dm000000M3xnIAC</v>
      </c>
      <c r="D2724" s="392"/>
      <c r="E2724" s="389" t="str">
        <f ca="1">IFERROR(IF(VLOOKUP(C2724,' Disaggregation - Section E '!A$618:J3413,7,0)="","",VLOOKUP(C2724,' Disaggregation - Section E '!A$618:J3413,7,0)*100),"")</f>
        <v/>
      </c>
      <c r="F2724" s="391" t="str">
        <f ca="1">IFERROR(VLOOKUP(C2724,' Disaggregation - Section E '!A$618:J3413,5,0),"")</f>
        <v/>
      </c>
      <c r="G2724" s="390" t="str">
        <f ca="1">IFERROR(IF(VLOOKUP(C2724,' Disaggregation - Section E '!A$618:J3413,6,0)="","",VLOOKUP(C2724,' Disaggregation - Section E '!A$618:J3413,6,0)),"")</f>
        <v/>
      </c>
      <c r="H2724" s="390" t="str">
        <f ca="1">IFERROR(IF(INDEX(' Disaggregation - Section E '!F$618:F3413,MATCH(C2724,' Disaggregation - Section E '!A$618:A3413,0)+1,1)&lt;&gt;0,INDEX(' Disaggregation - Section E '!F$618:F3413,MATCH(C2724,' Disaggregation - Section E '!A$618:A3413,0)+1,1),""),"")</f>
        <v/>
      </c>
      <c r="I2724" s="391" t="str">
        <f ca="1">IFERROR(IF(VLOOKUP(C2724,' Disaggregation - Section E '!A$618:J3413,8,0)=0,"",VLOOKUP(C2724,' Disaggregation - Section E '!A$618:J3413,8,0)),"")</f>
        <v/>
      </c>
      <c r="J2724" s="391" t="str">
        <f ca="1">IFERROR(IF(VLOOKUP(C2724,' Disaggregation - Section E '!A$618:J3413,9,0)="","",VLOOKUP(C2724,' Disaggregation - Section E '!A$618:J3413,9,0)),"")</f>
        <v/>
      </c>
      <c r="K2724" s="387" t="str">
        <f ca="1">IFERROR(VLOOKUP(C2724,' Disaggregation - Section E '!A$618:J3413,3,0),"")</f>
        <v>HTS-3c Percentage of sex workers that have received an HIV test during the reporting period in KP-specific programs and know their results</v>
      </c>
      <c r="L2724" s="387"/>
      <c r="M2724" s="387" t="str">
        <f ca="1">IFERROR(IF(VLOOKUP(C2724,' Disaggregation - Section E '!A$618:O1736,15,0)=0,"",VLOOKUP(C2724,' Disaggregation - Section E '!A$618:O1736,15,0)),"")</f>
        <v/>
      </c>
      <c r="N2724" s="391" t="str">
        <f ca="1">IFERROR(IF(VLOOKUP(C2724,' Disaggregation - Section E '!A$618:J3413,10,0)=0,"",VLOOKUP(C2724,' Disaggregation - Section E '!A$618:J3413,10,0)),"")</f>
        <v/>
      </c>
      <c r="O2724" s="387"/>
      <c r="P2724" s="387" t="str">
        <f ca="1">IFERROR(IF(VLOOKUP(C2724,' Disaggregation - Section E '!A$618:R1736,18,0)=0,"",VLOOKUP(C2724,' Disaggregation - Section E '!A$618:R1736,18,0)),"")</f>
        <v/>
      </c>
    </row>
    <row r="2725" spans="1:16">
      <c r="A2725" s="387" t="b">
        <f t="shared" ca="1" si="173"/>
        <v>0</v>
      </c>
      <c r="B2725" s="387"/>
      <c r="C2725" s="396" t="str">
        <f ca="1">IF(COUNTA(O$1610:O2725)=1,"",OFFSET(B2723,-COUNTA(O$1610:O2725)+3,1))</f>
        <v>a16Dm000000M3xoIAC</v>
      </c>
      <c r="D2725" s="392"/>
      <c r="E2725" s="389" t="str">
        <f ca="1">IFERROR(IF(VLOOKUP(C2725,' Disaggregation - Section E '!A$618:J3414,7,0)="","",VLOOKUP(C2725,' Disaggregation - Section E '!A$618:J3414,7,0)*100),"")</f>
        <v/>
      </c>
      <c r="F2725" s="391" t="str">
        <f ca="1">IFERROR(VLOOKUP(C2725,' Disaggregation - Section E '!A$618:J3414,5,0),"")</f>
        <v/>
      </c>
      <c r="G2725" s="390" t="str">
        <f ca="1">IFERROR(IF(VLOOKUP(C2725,' Disaggregation - Section E '!A$618:J3414,6,0)="","",VLOOKUP(C2725,' Disaggregation - Section E '!A$618:J3414,6,0)),"")</f>
        <v/>
      </c>
      <c r="H2725" s="390" t="str">
        <f ca="1">IFERROR(IF(INDEX(' Disaggregation - Section E '!F$618:F3414,MATCH(C2725,' Disaggregation - Section E '!A$618:A3414,0)+1,1)&lt;&gt;0,INDEX(' Disaggregation - Section E '!F$618:F3414,MATCH(C2725,' Disaggregation - Section E '!A$618:A3414,0)+1,1),""),"")</f>
        <v/>
      </c>
      <c r="I2725" s="391" t="str">
        <f ca="1">IFERROR(IF(VLOOKUP(C2725,' Disaggregation - Section E '!A$618:J3414,8,0)=0,"",VLOOKUP(C2725,' Disaggregation - Section E '!A$618:J3414,8,0)),"")</f>
        <v/>
      </c>
      <c r="J2725" s="391" t="str">
        <f ca="1">IFERROR(IF(VLOOKUP(C2725,' Disaggregation - Section E '!A$618:J3414,9,0)="","",VLOOKUP(C2725,' Disaggregation - Section E '!A$618:J3414,9,0)),"")</f>
        <v/>
      </c>
      <c r="K2725" s="387" t="str">
        <f ca="1">IFERROR(VLOOKUP(C2725,' Disaggregation - Section E '!A$618:J3414,3,0),"")</f>
        <v>HTS-3c Percentage of sex workers that have received an HIV test during the reporting period in KP-specific programs and know their results</v>
      </c>
      <c r="L2725" s="387"/>
      <c r="M2725" s="387" t="str">
        <f ca="1">IFERROR(IF(VLOOKUP(C2725,' Disaggregation - Section E '!A$618:O1737,15,0)=0,"",VLOOKUP(C2725,' Disaggregation - Section E '!A$618:O1737,15,0)),"")</f>
        <v/>
      </c>
      <c r="N2725" s="391" t="str">
        <f ca="1">IFERROR(IF(VLOOKUP(C2725,' Disaggregation - Section E '!A$618:J3414,10,0)=0,"",VLOOKUP(C2725,' Disaggregation - Section E '!A$618:J3414,10,0)),"")</f>
        <v/>
      </c>
      <c r="O2725" s="387"/>
      <c r="P2725" s="387" t="str">
        <f ca="1">IFERROR(IF(VLOOKUP(C2725,' Disaggregation - Section E '!A$618:R1737,18,0)=0,"",VLOOKUP(C2725,' Disaggregation - Section E '!A$618:R1737,18,0)),"")</f>
        <v/>
      </c>
    </row>
    <row r="2726" spans="1:16">
      <c r="A2726" s="387" t="b">
        <f t="shared" ca="1" si="173"/>
        <v>0</v>
      </c>
      <c r="B2726" s="387"/>
      <c r="C2726" s="396" t="str">
        <f ca="1">IF(COUNTA(O$1610:O2726)=1,"",OFFSET(B2724,-COUNTA(O$1610:O2726)+3,1))</f>
        <v>a16Dm000000M3xpIAC</v>
      </c>
      <c r="D2726" s="392"/>
      <c r="E2726" s="389" t="str">
        <f ca="1">IFERROR(IF(VLOOKUP(C2726,' Disaggregation - Section E '!A$618:J3415,7,0)="","",VLOOKUP(C2726,' Disaggregation - Section E '!A$618:J3415,7,0)*100),"")</f>
        <v/>
      </c>
      <c r="F2726" s="391" t="str">
        <f ca="1">IFERROR(VLOOKUP(C2726,' Disaggregation - Section E '!A$618:J3415,5,0),"")</f>
        <v/>
      </c>
      <c r="G2726" s="390" t="str">
        <f ca="1">IFERROR(IF(VLOOKUP(C2726,' Disaggregation - Section E '!A$618:J3415,6,0)="","",VLOOKUP(C2726,' Disaggregation - Section E '!A$618:J3415,6,0)),"")</f>
        <v/>
      </c>
      <c r="H2726" s="390" t="str">
        <f ca="1">IFERROR(IF(INDEX(' Disaggregation - Section E '!F$618:F3415,MATCH(C2726,' Disaggregation - Section E '!A$618:A3415,0)+1,1)&lt;&gt;0,INDEX(' Disaggregation - Section E '!F$618:F3415,MATCH(C2726,' Disaggregation - Section E '!A$618:A3415,0)+1,1),""),"")</f>
        <v/>
      </c>
      <c r="I2726" s="391" t="str">
        <f ca="1">IFERROR(IF(VLOOKUP(C2726,' Disaggregation - Section E '!A$618:J3415,8,0)=0,"",VLOOKUP(C2726,' Disaggregation - Section E '!A$618:J3415,8,0)),"")</f>
        <v/>
      </c>
      <c r="J2726" s="391" t="str">
        <f ca="1">IFERROR(IF(VLOOKUP(C2726,' Disaggregation - Section E '!A$618:J3415,9,0)="","",VLOOKUP(C2726,' Disaggregation - Section E '!A$618:J3415,9,0)),"")</f>
        <v/>
      </c>
      <c r="K2726" s="387" t="str">
        <f ca="1">IFERROR(VLOOKUP(C2726,' Disaggregation - Section E '!A$618:J3415,3,0),"")</f>
        <v>HTS-3c Percentage of sex workers that have received an HIV test during the reporting period in KP-specific programs and know their results</v>
      </c>
      <c r="L2726" s="387"/>
      <c r="M2726" s="387" t="str">
        <f ca="1">IFERROR(IF(VLOOKUP(C2726,' Disaggregation - Section E '!A$618:O1738,15,0)=0,"",VLOOKUP(C2726,' Disaggregation - Section E '!A$618:O1738,15,0)),"")</f>
        <v/>
      </c>
      <c r="N2726" s="391" t="str">
        <f ca="1">IFERROR(IF(VLOOKUP(C2726,' Disaggregation - Section E '!A$618:J3415,10,0)=0,"",VLOOKUP(C2726,' Disaggregation - Section E '!A$618:J3415,10,0)),"")</f>
        <v/>
      </c>
      <c r="O2726" s="387"/>
      <c r="P2726" s="387" t="str">
        <f ca="1">IFERROR(IF(VLOOKUP(C2726,' Disaggregation - Section E '!A$618:R1738,18,0)=0,"",VLOOKUP(C2726,' Disaggregation - Section E '!A$618:R1738,18,0)),"")</f>
        <v/>
      </c>
    </row>
    <row r="2727" spans="1:16">
      <c r="A2727" s="387" t="b">
        <f t="shared" ca="1" si="173"/>
        <v>0</v>
      </c>
      <c r="B2727" s="387"/>
      <c r="C2727" s="396" t="str">
        <f ca="1">IF(COUNTA(O$1610:O2727)=1,"",OFFSET(B2725,-COUNTA(O$1610:O2727)+3,1))</f>
        <v>a16Dm000000M3xqIAC</v>
      </c>
      <c r="D2727" s="392"/>
      <c r="E2727" s="389" t="str">
        <f ca="1">IFERROR(IF(VLOOKUP(C2727,' Disaggregation - Section E '!A$618:J3416,7,0)="","",VLOOKUP(C2727,' Disaggregation - Section E '!A$618:J3416,7,0)*100),"")</f>
        <v/>
      </c>
      <c r="F2727" s="391" t="str">
        <f ca="1">IFERROR(VLOOKUP(C2727,' Disaggregation - Section E '!A$618:J3416,5,0),"")</f>
        <v/>
      </c>
      <c r="G2727" s="390" t="str">
        <f ca="1">IFERROR(IF(VLOOKUP(C2727,' Disaggregation - Section E '!A$618:J3416,6,0)="","",VLOOKUP(C2727,' Disaggregation - Section E '!A$618:J3416,6,0)),"")</f>
        <v/>
      </c>
      <c r="H2727" s="390" t="str">
        <f ca="1">IFERROR(IF(INDEX(' Disaggregation - Section E '!F$618:F3416,MATCH(C2727,' Disaggregation - Section E '!A$618:A3416,0)+1,1)&lt;&gt;0,INDEX(' Disaggregation - Section E '!F$618:F3416,MATCH(C2727,' Disaggregation - Section E '!A$618:A3416,0)+1,1),""),"")</f>
        <v/>
      </c>
      <c r="I2727" s="391" t="str">
        <f ca="1">IFERROR(IF(VLOOKUP(C2727,' Disaggregation - Section E '!A$618:J3416,8,0)=0,"",VLOOKUP(C2727,' Disaggregation - Section E '!A$618:J3416,8,0)),"")</f>
        <v/>
      </c>
      <c r="J2727" s="391" t="str">
        <f ca="1">IFERROR(IF(VLOOKUP(C2727,' Disaggregation - Section E '!A$618:J3416,9,0)="","",VLOOKUP(C2727,' Disaggregation - Section E '!A$618:J3416,9,0)),"")</f>
        <v/>
      </c>
      <c r="K2727" s="387" t="str">
        <f ca="1">IFERROR(VLOOKUP(C2727,' Disaggregation - Section E '!A$618:J3416,3,0),"")</f>
        <v>HTS-3c Percentage of sex workers that have received an HIV test during the reporting period in KP-specific programs and know their results</v>
      </c>
      <c r="L2727" s="387"/>
      <c r="M2727" s="387" t="str">
        <f ca="1">IFERROR(IF(VLOOKUP(C2727,' Disaggregation - Section E '!A$618:O1739,15,0)=0,"",VLOOKUP(C2727,' Disaggregation - Section E '!A$618:O1739,15,0)),"")</f>
        <v/>
      </c>
      <c r="N2727" s="391" t="str">
        <f ca="1">IFERROR(IF(VLOOKUP(C2727,' Disaggregation - Section E '!A$618:J3416,10,0)=0,"",VLOOKUP(C2727,' Disaggregation - Section E '!A$618:J3416,10,0)),"")</f>
        <v/>
      </c>
      <c r="O2727" s="387"/>
      <c r="P2727" s="387" t="str">
        <f ca="1">IFERROR(IF(VLOOKUP(C2727,' Disaggregation - Section E '!A$618:R1739,18,0)=0,"",VLOOKUP(C2727,' Disaggregation - Section E '!A$618:R1739,18,0)),"")</f>
        <v/>
      </c>
    </row>
    <row r="2728" spans="1:16">
      <c r="A2728" s="387" t="b">
        <f t="shared" ca="1" si="173"/>
        <v>0</v>
      </c>
      <c r="B2728" s="387"/>
      <c r="C2728" s="396" t="str">
        <f ca="1">IF(COUNTA(O$1610:O2728)=1,"",OFFSET(B2726,-COUNTA(O$1610:O2728)+3,1))</f>
        <v>a16Dm000000M3xrIAC</v>
      </c>
      <c r="D2728" s="392"/>
      <c r="E2728" s="389" t="str">
        <f ca="1">IFERROR(IF(VLOOKUP(C2728,' Disaggregation - Section E '!A$618:J3417,7,0)="","",VLOOKUP(C2728,' Disaggregation - Section E '!A$618:J3417,7,0)*100),"")</f>
        <v/>
      </c>
      <c r="F2728" s="391" t="str">
        <f ca="1">IFERROR(VLOOKUP(C2728,' Disaggregation - Section E '!A$618:J3417,5,0),"")</f>
        <v/>
      </c>
      <c r="G2728" s="390" t="str">
        <f ca="1">IFERROR(IF(VLOOKUP(C2728,' Disaggregation - Section E '!A$618:J3417,6,0)="","",VLOOKUP(C2728,' Disaggregation - Section E '!A$618:J3417,6,0)),"")</f>
        <v/>
      </c>
      <c r="H2728" s="390" t="str">
        <f ca="1">IFERROR(IF(INDEX(' Disaggregation - Section E '!F$618:F3417,MATCH(C2728,' Disaggregation - Section E '!A$618:A3417,0)+1,1)&lt;&gt;0,INDEX(' Disaggregation - Section E '!F$618:F3417,MATCH(C2728,' Disaggregation - Section E '!A$618:A3417,0)+1,1),""),"")</f>
        <v/>
      </c>
      <c r="I2728" s="391" t="str">
        <f ca="1">IFERROR(IF(VLOOKUP(C2728,' Disaggregation - Section E '!A$618:J3417,8,0)=0,"",VLOOKUP(C2728,' Disaggregation - Section E '!A$618:J3417,8,0)),"")</f>
        <v/>
      </c>
      <c r="J2728" s="391" t="str">
        <f ca="1">IFERROR(IF(VLOOKUP(C2728,' Disaggregation - Section E '!A$618:J3417,9,0)="","",VLOOKUP(C2728,' Disaggregation - Section E '!A$618:J3417,9,0)),"")</f>
        <v/>
      </c>
      <c r="K2728" s="387" t="str">
        <f ca="1">IFERROR(VLOOKUP(C2728,' Disaggregation - Section E '!A$618:J3417,3,0),"")</f>
        <v>HTS-3c Percentage of sex workers that have received an HIV test during the reporting period in KP-specific programs and know their results</v>
      </c>
      <c r="L2728" s="387"/>
      <c r="M2728" s="387" t="str">
        <f ca="1">IFERROR(IF(VLOOKUP(C2728,' Disaggregation - Section E '!A$618:O1740,15,0)=0,"",VLOOKUP(C2728,' Disaggregation - Section E '!A$618:O1740,15,0)),"")</f>
        <v/>
      </c>
      <c r="N2728" s="391" t="str">
        <f ca="1">IFERROR(IF(VLOOKUP(C2728,' Disaggregation - Section E '!A$618:J3417,10,0)=0,"",VLOOKUP(C2728,' Disaggregation - Section E '!A$618:J3417,10,0)),"")</f>
        <v/>
      </c>
      <c r="O2728" s="387"/>
      <c r="P2728" s="387" t="str">
        <f ca="1">IFERROR(IF(VLOOKUP(C2728,' Disaggregation - Section E '!A$618:R1740,18,0)=0,"",VLOOKUP(C2728,' Disaggregation - Section E '!A$618:R1740,18,0)),"")</f>
        <v/>
      </c>
    </row>
    <row r="2729" spans="1:16">
      <c r="A2729" s="387" t="b">
        <f t="shared" ca="1" si="173"/>
        <v>0</v>
      </c>
      <c r="B2729" s="387"/>
      <c r="C2729" s="396" t="str">
        <f ca="1">IF(COUNTA(O$1610:O2729)=1,"",OFFSET(B2727,-COUNTA(O$1610:O2729)+3,1))</f>
        <v>a16Dm000000M3xsIAC</v>
      </c>
      <c r="D2729" s="392"/>
      <c r="E2729" s="389" t="str">
        <f ca="1">IFERROR(IF(VLOOKUP(C2729,' Disaggregation - Section E '!A$618:J3418,7,0)="","",VLOOKUP(C2729,' Disaggregation - Section E '!A$618:J3418,7,0)*100),"")</f>
        <v/>
      </c>
      <c r="F2729" s="391" t="str">
        <f ca="1">IFERROR(VLOOKUP(C2729,' Disaggregation - Section E '!A$618:J3418,5,0),"")</f>
        <v/>
      </c>
      <c r="G2729" s="390" t="str">
        <f ca="1">IFERROR(IF(VLOOKUP(C2729,' Disaggregation - Section E '!A$618:J3418,6,0)="","",VLOOKUP(C2729,' Disaggregation - Section E '!A$618:J3418,6,0)),"")</f>
        <v/>
      </c>
      <c r="H2729" s="390" t="str">
        <f ca="1">IFERROR(IF(INDEX(' Disaggregation - Section E '!F$618:F3418,MATCH(C2729,' Disaggregation - Section E '!A$618:A3418,0)+1,1)&lt;&gt;0,INDEX(' Disaggregation - Section E '!F$618:F3418,MATCH(C2729,' Disaggregation - Section E '!A$618:A3418,0)+1,1),""),"")</f>
        <v/>
      </c>
      <c r="I2729" s="391" t="str">
        <f ca="1">IFERROR(IF(VLOOKUP(C2729,' Disaggregation - Section E '!A$618:J3418,8,0)=0,"",VLOOKUP(C2729,' Disaggregation - Section E '!A$618:J3418,8,0)),"")</f>
        <v/>
      </c>
      <c r="J2729" s="391" t="str">
        <f ca="1">IFERROR(IF(VLOOKUP(C2729,' Disaggregation - Section E '!A$618:J3418,9,0)="","",VLOOKUP(C2729,' Disaggregation - Section E '!A$618:J3418,9,0)),"")</f>
        <v/>
      </c>
      <c r="K2729" s="387" t="str">
        <f ca="1">IFERROR(VLOOKUP(C2729,' Disaggregation - Section E '!A$618:J3418,3,0),"")</f>
        <v>HTS-3c Percentage of sex workers that have received an HIV test during the reporting period in KP-specific programs and know their results</v>
      </c>
      <c r="L2729" s="387"/>
      <c r="M2729" s="387" t="str">
        <f ca="1">IFERROR(IF(VLOOKUP(C2729,' Disaggregation - Section E '!A$618:O1741,15,0)=0,"",VLOOKUP(C2729,' Disaggregation - Section E '!A$618:O1741,15,0)),"")</f>
        <v/>
      </c>
      <c r="N2729" s="391" t="str">
        <f ca="1">IFERROR(IF(VLOOKUP(C2729,' Disaggregation - Section E '!A$618:J3418,10,0)=0,"",VLOOKUP(C2729,' Disaggregation - Section E '!A$618:J3418,10,0)),"")</f>
        <v/>
      </c>
      <c r="O2729" s="387"/>
      <c r="P2729" s="387" t="str">
        <f ca="1">IFERROR(IF(VLOOKUP(C2729,' Disaggregation - Section E '!A$618:R1741,18,0)=0,"",VLOOKUP(C2729,' Disaggregation - Section E '!A$618:R1741,18,0)),"")</f>
        <v/>
      </c>
    </row>
    <row r="2730" spans="1:16">
      <c r="A2730" s="387" t="b">
        <f t="shared" ca="1" si="173"/>
        <v>0</v>
      </c>
      <c r="B2730" s="387"/>
      <c r="C2730" s="396" t="str">
        <f ca="1">IF(COUNTA(O$1610:O2730)=1,"",OFFSET(B2728,-COUNTA(O$1610:O2730)+3,1))</f>
        <v>a16Dm000000M3xtIAC</v>
      </c>
      <c r="D2730" s="392"/>
      <c r="E2730" s="389" t="str">
        <f ca="1">IFERROR(IF(VLOOKUP(C2730,' Disaggregation - Section E '!A$618:J3419,7,0)="","",VLOOKUP(C2730,' Disaggregation - Section E '!A$618:J3419,7,0)*100),"")</f>
        <v/>
      </c>
      <c r="F2730" s="391" t="str">
        <f ca="1">IFERROR(VLOOKUP(C2730,' Disaggregation - Section E '!A$618:J3419,5,0),"")</f>
        <v/>
      </c>
      <c r="G2730" s="390" t="str">
        <f ca="1">IFERROR(IF(VLOOKUP(C2730,' Disaggregation - Section E '!A$618:J3419,6,0)="","",VLOOKUP(C2730,' Disaggregation - Section E '!A$618:J3419,6,0)),"")</f>
        <v/>
      </c>
      <c r="H2730" s="390" t="str">
        <f ca="1">IFERROR(IF(INDEX(' Disaggregation - Section E '!F$618:F3419,MATCH(C2730,' Disaggregation - Section E '!A$618:A3419,0)+1,1)&lt;&gt;0,INDEX(' Disaggregation - Section E '!F$618:F3419,MATCH(C2730,' Disaggregation - Section E '!A$618:A3419,0)+1,1),""),"")</f>
        <v/>
      </c>
      <c r="I2730" s="391" t="str">
        <f ca="1">IFERROR(IF(VLOOKUP(C2730,' Disaggregation - Section E '!A$618:J3419,8,0)=0,"",VLOOKUP(C2730,' Disaggregation - Section E '!A$618:J3419,8,0)),"")</f>
        <v/>
      </c>
      <c r="J2730" s="391" t="str">
        <f ca="1">IFERROR(IF(VLOOKUP(C2730,' Disaggregation - Section E '!A$618:J3419,9,0)="","",VLOOKUP(C2730,' Disaggregation - Section E '!A$618:J3419,9,0)),"")</f>
        <v/>
      </c>
      <c r="K2730" s="387" t="str">
        <f ca="1">IFERROR(VLOOKUP(C2730,' Disaggregation - Section E '!A$618:J3419,3,0),"")</f>
        <v>HTS-3c Percentage of sex workers that have received an HIV test during the reporting period in KP-specific programs and know their results</v>
      </c>
      <c r="L2730" s="387"/>
      <c r="M2730" s="387" t="str">
        <f ca="1">IFERROR(IF(VLOOKUP(C2730,' Disaggregation - Section E '!A$618:O1742,15,0)=0,"",VLOOKUP(C2730,' Disaggregation - Section E '!A$618:O1742,15,0)),"")</f>
        <v/>
      </c>
      <c r="N2730" s="391" t="str">
        <f ca="1">IFERROR(IF(VLOOKUP(C2730,' Disaggregation - Section E '!A$618:J3419,10,0)=0,"",VLOOKUP(C2730,' Disaggregation - Section E '!A$618:J3419,10,0)),"")</f>
        <v/>
      </c>
      <c r="O2730" s="387"/>
      <c r="P2730" s="387" t="str">
        <f ca="1">IFERROR(IF(VLOOKUP(C2730,' Disaggregation - Section E '!A$618:R1742,18,0)=0,"",VLOOKUP(C2730,' Disaggregation - Section E '!A$618:R1742,18,0)),"")</f>
        <v/>
      </c>
    </row>
    <row r="2731" spans="1:16">
      <c r="A2731" s="387" t="b">
        <f t="shared" ca="1" si="173"/>
        <v>0</v>
      </c>
      <c r="B2731" s="387"/>
      <c r="C2731" s="396" t="str">
        <f ca="1">IF(COUNTA(O$1610:O2731)=1,"",OFFSET(B2729,-COUNTA(O$1610:O2731)+3,1))</f>
        <v>a16Dm000000M3xuIAC</v>
      </c>
      <c r="D2731" s="392"/>
      <c r="E2731" s="389" t="str">
        <f ca="1">IFERROR(IF(VLOOKUP(C2731,' Disaggregation - Section E '!A$618:J3420,7,0)="","",VLOOKUP(C2731,' Disaggregation - Section E '!A$618:J3420,7,0)*100),"")</f>
        <v/>
      </c>
      <c r="F2731" s="391" t="str">
        <f ca="1">IFERROR(VLOOKUP(C2731,' Disaggregation - Section E '!A$618:J3420,5,0),"")</f>
        <v/>
      </c>
      <c r="G2731" s="390" t="str">
        <f ca="1">IFERROR(IF(VLOOKUP(C2731,' Disaggregation - Section E '!A$618:J3420,6,0)="","",VLOOKUP(C2731,' Disaggregation - Section E '!A$618:J3420,6,0)),"")</f>
        <v/>
      </c>
      <c r="H2731" s="390" t="str">
        <f ca="1">IFERROR(IF(INDEX(' Disaggregation - Section E '!F$618:F3420,MATCH(C2731,' Disaggregation - Section E '!A$618:A3420,0)+1,1)&lt;&gt;0,INDEX(' Disaggregation - Section E '!F$618:F3420,MATCH(C2731,' Disaggregation - Section E '!A$618:A3420,0)+1,1),""),"")</f>
        <v/>
      </c>
      <c r="I2731" s="391" t="str">
        <f ca="1">IFERROR(IF(VLOOKUP(C2731,' Disaggregation - Section E '!A$618:J3420,8,0)=0,"",VLOOKUP(C2731,' Disaggregation - Section E '!A$618:J3420,8,0)),"")</f>
        <v/>
      </c>
      <c r="J2731" s="391" t="str">
        <f ca="1">IFERROR(IF(VLOOKUP(C2731,' Disaggregation - Section E '!A$618:J3420,9,0)="","",VLOOKUP(C2731,' Disaggregation - Section E '!A$618:J3420,9,0)),"")</f>
        <v/>
      </c>
      <c r="K2731" s="387" t="str">
        <f ca="1">IFERROR(VLOOKUP(C2731,' Disaggregation - Section E '!A$618:J3420,3,0),"")</f>
        <v>HTS-3c Percentage of sex workers that have received an HIV test during the reporting period in KP-specific programs and know their results</v>
      </c>
      <c r="L2731" s="387"/>
      <c r="M2731" s="387" t="str">
        <f ca="1">IFERROR(IF(VLOOKUP(C2731,' Disaggregation - Section E '!A$618:O1743,15,0)=0,"",VLOOKUP(C2731,' Disaggregation - Section E '!A$618:O1743,15,0)),"")</f>
        <v/>
      </c>
      <c r="N2731" s="391" t="str">
        <f ca="1">IFERROR(IF(VLOOKUP(C2731,' Disaggregation - Section E '!A$618:J3420,10,0)=0,"",VLOOKUP(C2731,' Disaggregation - Section E '!A$618:J3420,10,0)),"")</f>
        <v/>
      </c>
      <c r="O2731" s="387"/>
      <c r="P2731" s="387" t="str">
        <f ca="1">IFERROR(IF(VLOOKUP(C2731,' Disaggregation - Section E '!A$618:R1743,18,0)=0,"",VLOOKUP(C2731,' Disaggregation - Section E '!A$618:R1743,18,0)),"")</f>
        <v/>
      </c>
    </row>
    <row r="2732" spans="1:16">
      <c r="A2732" s="387" t="b">
        <f t="shared" ca="1" si="173"/>
        <v>1</v>
      </c>
      <c r="B2732" s="387"/>
      <c r="C2732" s="396" t="str">
        <f ca="1">IF(COUNTA(O$1610:O2732)=1,"",OFFSET(B2730,-COUNTA(O$1610:O2732)+3,1))</f>
        <v>a16Dm000000M3xvIAC</v>
      </c>
      <c r="D2732" s="392"/>
      <c r="E2732" s="389" t="str">
        <f ca="1">IFERROR(IF(VLOOKUP(C2732,' Disaggregation - Section E '!A$618:J3421,7,0)="","",VLOOKUP(C2732,' Disaggregation - Section E '!A$618:J3421,7,0)*100),"")</f>
        <v/>
      </c>
      <c r="F2732" s="391" t="str">
        <f ca="1">IFERROR(VLOOKUP(C2732,' Disaggregation - Section E '!A$618:J3421,5,0),"")</f>
        <v>25+</v>
      </c>
      <c r="G2732" s="390" t="str">
        <f ca="1">IFERROR(IF(VLOOKUP(C2732,' Disaggregation - Section E '!A$618:J3421,6,0)="","",VLOOKUP(C2732,' Disaggregation - Section E '!A$618:J3421,6,0)),"")</f>
        <v/>
      </c>
      <c r="H2732" s="390" t="str">
        <f ca="1">IFERROR(IF(INDEX(' Disaggregation - Section E '!F$618:F3421,MATCH(C2732,' Disaggregation - Section E '!A$618:A3421,0)+1,1)&lt;&gt;0,INDEX(' Disaggregation - Section E '!F$618:F3421,MATCH(C2732,' Disaggregation - Section E '!A$618:A3421,0)+1,1),""),"")</f>
        <v/>
      </c>
      <c r="I2732" s="391" t="str">
        <f ca="1">IFERROR(IF(VLOOKUP(C2732,' Disaggregation - Section E '!A$618:J3421,8,0)=0,"",VLOOKUP(C2732,' Disaggregation - Section E '!A$618:J3421,8,0)),"")</f>
        <v/>
      </c>
      <c r="J2732" s="391" t="str">
        <f ca="1">IFERROR(IF(VLOOKUP(C2732,' Disaggregation - Section E '!A$618:J3421,9,0)="","",VLOOKUP(C2732,' Disaggregation - Section E '!A$618:J3421,9,0)),"")</f>
        <v/>
      </c>
      <c r="K2732" s="387" t="str">
        <f ca="1">IFERROR(VLOOKUP(C2732,' Disaggregation - Section E '!A$618:J3421,3,0),"")</f>
        <v>HTS-3d Percentage of people who inject drugs that have received an HIV test during the reporting period in KP-specific programs and know their results</v>
      </c>
      <c r="L2732" s="387"/>
      <c r="M2732" s="387" t="str">
        <f ca="1">IFERROR(IF(VLOOKUP(C2732,' Disaggregation - Section E '!A$618:O1744,15,0)=0,"",VLOOKUP(C2732,' Disaggregation - Section E '!A$618:O1744,15,0)),"")</f>
        <v>IDR-01286</v>
      </c>
      <c r="N2732" s="391" t="str">
        <f ca="1">IFERROR(IF(VLOOKUP(C2732,' Disaggregation - Section E '!A$618:J3421,10,0)=0,"",VLOOKUP(C2732,' Disaggregation - Section E '!A$618:J3421,10,0)),"")</f>
        <v>Disaggregated data not available. The activity will be taken into account from 2024 onwards</v>
      </c>
      <c r="O2732" s="387"/>
      <c r="P2732" s="387" t="str">
        <f ca="1">IFERROR(IF(VLOOKUP(C2732,' Disaggregation - Section E '!A$618:R1744,18,0)=0,"",VLOOKUP(C2732,' Disaggregation - Section E '!A$618:R1744,18,0)),"")</f>
        <v>a1LDm000000Cb3UMAS</v>
      </c>
    </row>
    <row r="2733" spans="1:16">
      <c r="A2733" s="387" t="b">
        <f t="shared" ca="1" si="173"/>
        <v>1</v>
      </c>
      <c r="B2733" s="387"/>
      <c r="C2733" s="396" t="str">
        <f ca="1">IF(COUNTA(O$1610:O2733)=1,"",OFFSET(B2731,-COUNTA(O$1610:O2733)+3,1))</f>
        <v>a16Dm000000M3xwIAC</v>
      </c>
      <c r="D2733" s="392"/>
      <c r="E2733" s="389" t="str">
        <f ca="1">IFERROR(IF(VLOOKUP(C2733,' Disaggregation - Section E '!A$618:J3422,7,0)="","",VLOOKUP(C2733,' Disaggregation - Section E '!A$618:J3422,7,0)*100),"")</f>
        <v/>
      </c>
      <c r="F2733" s="391" t="str">
        <f ca="1">IFERROR(VLOOKUP(C2733,' Disaggregation - Section E '!A$618:J3422,5,0),"")</f>
        <v>20-24</v>
      </c>
      <c r="G2733" s="390" t="str">
        <f ca="1">IFERROR(IF(VLOOKUP(C2733,' Disaggregation - Section E '!A$618:J3422,6,0)="","",VLOOKUP(C2733,' Disaggregation - Section E '!A$618:J3422,6,0)),"")</f>
        <v/>
      </c>
      <c r="H2733" s="390" t="str">
        <f ca="1">IFERROR(IF(INDEX(' Disaggregation - Section E '!F$618:F3422,MATCH(C2733,' Disaggregation - Section E '!A$618:A3422,0)+1,1)&lt;&gt;0,INDEX(' Disaggregation - Section E '!F$618:F3422,MATCH(C2733,' Disaggregation - Section E '!A$618:A3422,0)+1,1),""),"")</f>
        <v/>
      </c>
      <c r="I2733" s="391" t="str">
        <f ca="1">IFERROR(IF(VLOOKUP(C2733,' Disaggregation - Section E '!A$618:J3422,8,0)=0,"",VLOOKUP(C2733,' Disaggregation - Section E '!A$618:J3422,8,0)),"")</f>
        <v/>
      </c>
      <c r="J2733" s="391" t="str">
        <f ca="1">IFERROR(IF(VLOOKUP(C2733,' Disaggregation - Section E '!A$618:J3422,9,0)="","",VLOOKUP(C2733,' Disaggregation - Section E '!A$618:J3422,9,0)),"")</f>
        <v/>
      </c>
      <c r="K2733" s="387" t="str">
        <f ca="1">IFERROR(VLOOKUP(C2733,' Disaggregation - Section E '!A$618:J3422,3,0),"")</f>
        <v>HTS-3d Percentage of people who inject drugs that have received an HIV test during the reporting period in KP-specific programs and know their results</v>
      </c>
      <c r="L2733" s="387"/>
      <c r="M2733" s="387" t="str">
        <f ca="1">IFERROR(IF(VLOOKUP(C2733,' Disaggregation - Section E '!A$618:O1745,15,0)=0,"",VLOOKUP(C2733,' Disaggregation - Section E '!A$618:O1745,15,0)),"")</f>
        <v>IDR-01285</v>
      </c>
      <c r="N2733" s="391" t="str">
        <f ca="1">IFERROR(IF(VLOOKUP(C2733,' Disaggregation - Section E '!A$618:J3422,10,0)=0,"",VLOOKUP(C2733,' Disaggregation - Section E '!A$618:J3422,10,0)),"")</f>
        <v>Disaggregated data not available. The activity will be taken into account from 2024 onwards</v>
      </c>
      <c r="O2733" s="387"/>
      <c r="P2733" s="387" t="str">
        <f ca="1">IFERROR(IF(VLOOKUP(C2733,' Disaggregation - Section E '!A$618:R1745,18,0)=0,"",VLOOKUP(C2733,' Disaggregation - Section E '!A$618:R1745,18,0)),"")</f>
        <v>a1LDm000000Cb3TMAS</v>
      </c>
    </row>
    <row r="2734" spans="1:16">
      <c r="A2734" s="387" t="b">
        <f t="shared" ca="1" si="173"/>
        <v>1</v>
      </c>
      <c r="B2734" s="387"/>
      <c r="C2734" s="396" t="str">
        <f ca="1">IF(COUNTA(O$1610:O2734)=1,"",OFFSET(B2732,-COUNTA(O$1610:O2734)+3,1))</f>
        <v>a16Dm000000M3xxIAC</v>
      </c>
      <c r="D2734" s="392"/>
      <c r="E2734" s="389" t="str">
        <f ca="1">IFERROR(IF(VLOOKUP(C2734,' Disaggregation - Section E '!A$618:J3423,7,0)="","",VLOOKUP(C2734,' Disaggregation - Section E '!A$618:J3423,7,0)*100),"")</f>
        <v/>
      </c>
      <c r="F2734" s="391" t="str">
        <f ca="1">IFERROR(VLOOKUP(C2734,' Disaggregation - Section E '!A$618:J3423,5,0),"")</f>
        <v>15-19</v>
      </c>
      <c r="G2734" s="390" t="str">
        <f ca="1">IFERROR(IF(VLOOKUP(C2734,' Disaggregation - Section E '!A$618:J3423,6,0)="","",VLOOKUP(C2734,' Disaggregation - Section E '!A$618:J3423,6,0)),"")</f>
        <v/>
      </c>
      <c r="H2734" s="390" t="str">
        <f ca="1">IFERROR(IF(INDEX(' Disaggregation - Section E '!F$618:F3423,MATCH(C2734,' Disaggregation - Section E '!A$618:A3423,0)+1,1)&lt;&gt;0,INDEX(' Disaggregation - Section E '!F$618:F3423,MATCH(C2734,' Disaggregation - Section E '!A$618:A3423,0)+1,1),""),"")</f>
        <v/>
      </c>
      <c r="I2734" s="391" t="str">
        <f ca="1">IFERROR(IF(VLOOKUP(C2734,' Disaggregation - Section E '!A$618:J3423,8,0)=0,"",VLOOKUP(C2734,' Disaggregation - Section E '!A$618:J3423,8,0)),"")</f>
        <v/>
      </c>
      <c r="J2734" s="391" t="str">
        <f ca="1">IFERROR(IF(VLOOKUP(C2734,' Disaggregation - Section E '!A$618:J3423,9,0)="","",VLOOKUP(C2734,' Disaggregation - Section E '!A$618:J3423,9,0)),"")</f>
        <v/>
      </c>
      <c r="K2734" s="387" t="str">
        <f ca="1">IFERROR(VLOOKUP(C2734,' Disaggregation - Section E '!A$618:J3423,3,0),"")</f>
        <v>HTS-3d Percentage of people who inject drugs that have received an HIV test during the reporting period in KP-specific programs and know their results</v>
      </c>
      <c r="L2734" s="387"/>
      <c r="M2734" s="387" t="str">
        <f ca="1">IFERROR(IF(VLOOKUP(C2734,' Disaggregation - Section E '!A$618:O1746,15,0)=0,"",VLOOKUP(C2734,' Disaggregation - Section E '!A$618:O1746,15,0)),"")</f>
        <v>IDR-01284</v>
      </c>
      <c r="N2734" s="391" t="str">
        <f ca="1">IFERROR(IF(VLOOKUP(C2734,' Disaggregation - Section E '!A$618:J3423,10,0)=0,"",VLOOKUP(C2734,' Disaggregation - Section E '!A$618:J3423,10,0)),"")</f>
        <v>Disaggregated data not available. The activity will be taken into account from 2024 onwards</v>
      </c>
      <c r="O2734" s="387"/>
      <c r="P2734" s="387" t="str">
        <f ca="1">IFERROR(IF(VLOOKUP(C2734,' Disaggregation - Section E '!A$618:R1746,18,0)=0,"",VLOOKUP(C2734,' Disaggregation - Section E '!A$618:R1746,18,0)),"")</f>
        <v>a1LDm000000Cb3SMAS</v>
      </c>
    </row>
    <row r="2735" spans="1:16">
      <c r="A2735" s="387" t="b">
        <f t="shared" ca="1" si="173"/>
        <v>1</v>
      </c>
      <c r="B2735" s="387"/>
      <c r="C2735" s="396" t="str">
        <f ca="1">IF(COUNTA(O$1610:O2735)=1,"",OFFSET(B2733,-COUNTA(O$1610:O2735)+3,1))</f>
        <v>a16Dm000000M3xyIAC</v>
      </c>
      <c r="D2735" s="392"/>
      <c r="E2735" s="389" t="str">
        <f ca="1">IFERROR(IF(VLOOKUP(C2735,' Disaggregation - Section E '!A$618:J3424,7,0)="","",VLOOKUP(C2735,' Disaggregation - Section E '!A$618:J3424,7,0)*100),"")</f>
        <v/>
      </c>
      <c r="F2735" s="391" t="str">
        <f ca="1">IFERROR(VLOOKUP(C2735,' Disaggregation - Section E '!A$618:J3424,5,0),"")</f>
        <v>Male</v>
      </c>
      <c r="G2735" s="390" t="str">
        <f ca="1">IFERROR(IF(VLOOKUP(C2735,' Disaggregation - Section E '!A$618:J3424,6,0)="","",VLOOKUP(C2735,' Disaggregation - Section E '!A$618:J3424,6,0)),"")</f>
        <v/>
      </c>
      <c r="H2735" s="390" t="str">
        <f ca="1">IFERROR(IF(INDEX(' Disaggregation - Section E '!F$618:F3424,MATCH(C2735,' Disaggregation - Section E '!A$618:A3424,0)+1,1)&lt;&gt;0,INDEX(' Disaggregation - Section E '!F$618:F3424,MATCH(C2735,' Disaggregation - Section E '!A$618:A3424,0)+1,1),""),"")</f>
        <v/>
      </c>
      <c r="I2735" s="391" t="str">
        <f ca="1">IFERROR(IF(VLOOKUP(C2735,' Disaggregation - Section E '!A$618:J3424,8,0)=0,"",VLOOKUP(C2735,' Disaggregation - Section E '!A$618:J3424,8,0)),"")</f>
        <v/>
      </c>
      <c r="J2735" s="391" t="str">
        <f ca="1">IFERROR(IF(VLOOKUP(C2735,' Disaggregation - Section E '!A$618:J3424,9,0)="","",VLOOKUP(C2735,' Disaggregation - Section E '!A$618:J3424,9,0)),"")</f>
        <v/>
      </c>
      <c r="K2735" s="387" t="str">
        <f ca="1">IFERROR(VLOOKUP(C2735,' Disaggregation - Section E '!A$618:J3424,3,0),"")</f>
        <v>HTS-3d Percentage of people who inject drugs that have received an HIV test during the reporting period in KP-specific programs and know their results</v>
      </c>
      <c r="L2735" s="387"/>
      <c r="M2735" s="387" t="str">
        <f ca="1">IFERROR(IF(VLOOKUP(C2735,' Disaggregation - Section E '!A$618:O1747,15,0)=0,"",VLOOKUP(C2735,' Disaggregation - Section E '!A$618:O1747,15,0)),"")</f>
        <v>IDR-01283</v>
      </c>
      <c r="N2735" s="391" t="str">
        <f ca="1">IFERROR(IF(VLOOKUP(C2735,' Disaggregation - Section E '!A$618:J3424,10,0)=0,"",VLOOKUP(C2735,' Disaggregation - Section E '!A$618:J3424,10,0)),"")</f>
        <v>Disaggregated data not available. The activity will be taken into account from 2024 onwards</v>
      </c>
      <c r="O2735" s="387"/>
      <c r="P2735" s="387" t="str">
        <f ca="1">IFERROR(IF(VLOOKUP(C2735,' Disaggregation - Section E '!A$618:R1747,18,0)=0,"",VLOOKUP(C2735,' Disaggregation - Section E '!A$618:R1747,18,0)),"")</f>
        <v>a1LDm000000Cb3RMAS</v>
      </c>
    </row>
    <row r="2736" spans="1:16">
      <c r="A2736" s="387" t="b">
        <f t="shared" ca="1" si="173"/>
        <v>1</v>
      </c>
      <c r="B2736" s="387"/>
      <c r="C2736" s="396" t="str">
        <f ca="1">IF(COUNTA(O$1610:O2736)=1,"",OFFSET(B2734,-COUNTA(O$1610:O2736)+3,1))</f>
        <v>a16Dm000000M3xzIAC</v>
      </c>
      <c r="D2736" s="392"/>
      <c r="E2736" s="389" t="str">
        <f ca="1">IFERROR(IF(VLOOKUP(C2736,' Disaggregation - Section E '!A$618:J3425,7,0)="","",VLOOKUP(C2736,' Disaggregation - Section E '!A$618:J3425,7,0)*100),"")</f>
        <v/>
      </c>
      <c r="F2736" s="391" t="str">
        <f ca="1">IFERROR(VLOOKUP(C2736,' Disaggregation - Section E '!A$618:J3425,5,0),"")</f>
        <v>Female</v>
      </c>
      <c r="G2736" s="390" t="str">
        <f ca="1">IFERROR(IF(VLOOKUP(C2736,' Disaggregation - Section E '!A$618:J3425,6,0)="","",VLOOKUP(C2736,' Disaggregation - Section E '!A$618:J3425,6,0)),"")</f>
        <v/>
      </c>
      <c r="H2736" s="390" t="str">
        <f ca="1">IFERROR(IF(INDEX(' Disaggregation - Section E '!F$618:F3425,MATCH(C2736,' Disaggregation - Section E '!A$618:A3425,0)+1,1)&lt;&gt;0,INDEX(' Disaggregation - Section E '!F$618:F3425,MATCH(C2736,' Disaggregation - Section E '!A$618:A3425,0)+1,1),""),"")</f>
        <v/>
      </c>
      <c r="I2736" s="391" t="str">
        <f ca="1">IFERROR(IF(VLOOKUP(C2736,' Disaggregation - Section E '!A$618:J3425,8,0)=0,"",VLOOKUP(C2736,' Disaggregation - Section E '!A$618:J3425,8,0)),"")</f>
        <v/>
      </c>
      <c r="J2736" s="391" t="str">
        <f ca="1">IFERROR(IF(VLOOKUP(C2736,' Disaggregation - Section E '!A$618:J3425,9,0)="","",VLOOKUP(C2736,' Disaggregation - Section E '!A$618:J3425,9,0)),"")</f>
        <v/>
      </c>
      <c r="K2736" s="387" t="str">
        <f ca="1">IFERROR(VLOOKUP(C2736,' Disaggregation - Section E '!A$618:J3425,3,0),"")</f>
        <v>HTS-3d Percentage of people who inject drugs that have received an HIV test during the reporting period in KP-specific programs and know their results</v>
      </c>
      <c r="L2736" s="387"/>
      <c r="M2736" s="387" t="str">
        <f ca="1">IFERROR(IF(VLOOKUP(C2736,' Disaggregation - Section E '!A$618:O1748,15,0)=0,"",VLOOKUP(C2736,' Disaggregation - Section E '!A$618:O1748,15,0)),"")</f>
        <v>IDR-01282</v>
      </c>
      <c r="N2736" s="391" t="str">
        <f ca="1">IFERROR(IF(VLOOKUP(C2736,' Disaggregation - Section E '!A$618:J3425,10,0)=0,"",VLOOKUP(C2736,' Disaggregation - Section E '!A$618:J3425,10,0)),"")</f>
        <v>Disaggregated data not available. The activity will be taken into account from 2024 onwards</v>
      </c>
      <c r="O2736" s="387"/>
      <c r="P2736" s="387" t="str">
        <f ca="1">IFERROR(IF(VLOOKUP(C2736,' Disaggregation - Section E '!A$618:R1748,18,0)=0,"",VLOOKUP(C2736,' Disaggregation - Section E '!A$618:R1748,18,0)),"")</f>
        <v>a1LDm000000Cb3QMAS</v>
      </c>
    </row>
    <row r="2737" spans="1:16">
      <c r="A2737" s="387" t="b">
        <f t="shared" ca="1" si="173"/>
        <v>0</v>
      </c>
      <c r="B2737" s="387"/>
      <c r="C2737" s="396" t="str">
        <f ca="1">IF(COUNTA(O$1610:O2737)=1,"",OFFSET(B2735,-COUNTA(O$1610:O2737)+3,1))</f>
        <v>a16Dm000000M3y0IAC</v>
      </c>
      <c r="D2737" s="392"/>
      <c r="E2737" s="389" t="str">
        <f ca="1">IFERROR(IF(VLOOKUP(C2737,' Disaggregation - Section E '!A$618:J3426,7,0)="","",VLOOKUP(C2737,' Disaggregation - Section E '!A$618:J3426,7,0)*100),"")</f>
        <v/>
      </c>
      <c r="F2737" s="391" t="str">
        <f ca="1">IFERROR(VLOOKUP(C2737,' Disaggregation - Section E '!A$618:J3426,5,0),"")</f>
        <v/>
      </c>
      <c r="G2737" s="390" t="str">
        <f ca="1">IFERROR(IF(VLOOKUP(C2737,' Disaggregation - Section E '!A$618:J3426,6,0)="","",VLOOKUP(C2737,' Disaggregation - Section E '!A$618:J3426,6,0)),"")</f>
        <v/>
      </c>
      <c r="H2737" s="390" t="str">
        <f ca="1">IFERROR(IF(INDEX(' Disaggregation - Section E '!F$618:F3426,MATCH(C2737,' Disaggregation - Section E '!A$618:A3426,0)+1,1)&lt;&gt;0,INDEX(' Disaggregation - Section E '!F$618:F3426,MATCH(C2737,' Disaggregation - Section E '!A$618:A3426,0)+1,1),""),"")</f>
        <v/>
      </c>
      <c r="I2737" s="391" t="str">
        <f ca="1">IFERROR(IF(VLOOKUP(C2737,' Disaggregation - Section E '!A$618:J3426,8,0)=0,"",VLOOKUP(C2737,' Disaggregation - Section E '!A$618:J3426,8,0)),"")</f>
        <v/>
      </c>
      <c r="J2737" s="391" t="str">
        <f ca="1">IFERROR(IF(VLOOKUP(C2737,' Disaggregation - Section E '!A$618:J3426,9,0)="","",VLOOKUP(C2737,' Disaggregation - Section E '!A$618:J3426,9,0)),"")</f>
        <v/>
      </c>
      <c r="K2737" s="387" t="str">
        <f ca="1">IFERROR(VLOOKUP(C2737,' Disaggregation - Section E '!A$618:J3426,3,0),"")</f>
        <v>HTS-3d Percentage of people who inject drugs that have received an HIV test during the reporting period in KP-specific programs and know their results</v>
      </c>
      <c r="L2737" s="387"/>
      <c r="M2737" s="387" t="str">
        <f ca="1">IFERROR(IF(VLOOKUP(C2737,' Disaggregation - Section E '!A$618:O1749,15,0)=0,"",VLOOKUP(C2737,' Disaggregation - Section E '!A$618:O1749,15,0)),"")</f>
        <v/>
      </c>
      <c r="N2737" s="391" t="str">
        <f ca="1">IFERROR(IF(VLOOKUP(C2737,' Disaggregation - Section E '!A$618:J3426,10,0)=0,"",VLOOKUP(C2737,' Disaggregation - Section E '!A$618:J3426,10,0)),"")</f>
        <v/>
      </c>
      <c r="O2737" s="387"/>
      <c r="P2737" s="387" t="str">
        <f ca="1">IFERROR(IF(VLOOKUP(C2737,' Disaggregation - Section E '!A$618:R1749,18,0)=0,"",VLOOKUP(C2737,' Disaggregation - Section E '!A$618:R1749,18,0)),"")</f>
        <v/>
      </c>
    </row>
    <row r="2738" spans="1:16">
      <c r="A2738" s="387" t="b">
        <f t="shared" ca="1" si="173"/>
        <v>0</v>
      </c>
      <c r="B2738" s="387"/>
      <c r="C2738" s="396" t="str">
        <f ca="1">IF(COUNTA(O$1610:O2738)=1,"",OFFSET(B2736,-COUNTA(O$1610:O2738)+3,1))</f>
        <v>a16Dm000000M3y1IAC</v>
      </c>
      <c r="D2738" s="392"/>
      <c r="E2738" s="389" t="str">
        <f ca="1">IFERROR(IF(VLOOKUP(C2738,' Disaggregation - Section E '!A$618:J3427,7,0)="","",VLOOKUP(C2738,' Disaggregation - Section E '!A$618:J3427,7,0)*100),"")</f>
        <v/>
      </c>
      <c r="F2738" s="391" t="str">
        <f ca="1">IFERROR(VLOOKUP(C2738,' Disaggregation - Section E '!A$618:J3427,5,0),"")</f>
        <v/>
      </c>
      <c r="G2738" s="390" t="str">
        <f ca="1">IFERROR(IF(VLOOKUP(C2738,' Disaggregation - Section E '!A$618:J3427,6,0)="","",VLOOKUP(C2738,' Disaggregation - Section E '!A$618:J3427,6,0)),"")</f>
        <v/>
      </c>
      <c r="H2738" s="390" t="str">
        <f ca="1">IFERROR(IF(INDEX(' Disaggregation - Section E '!F$618:F3427,MATCH(C2738,' Disaggregation - Section E '!A$618:A3427,0)+1,1)&lt;&gt;0,INDEX(' Disaggregation - Section E '!F$618:F3427,MATCH(C2738,' Disaggregation - Section E '!A$618:A3427,0)+1,1),""),"")</f>
        <v/>
      </c>
      <c r="I2738" s="391" t="str">
        <f ca="1">IFERROR(IF(VLOOKUP(C2738,' Disaggregation - Section E '!A$618:J3427,8,0)=0,"",VLOOKUP(C2738,' Disaggregation - Section E '!A$618:J3427,8,0)),"")</f>
        <v/>
      </c>
      <c r="J2738" s="391" t="str">
        <f ca="1">IFERROR(IF(VLOOKUP(C2738,' Disaggregation - Section E '!A$618:J3427,9,0)="","",VLOOKUP(C2738,' Disaggregation - Section E '!A$618:J3427,9,0)),"")</f>
        <v/>
      </c>
      <c r="K2738" s="387" t="str">
        <f ca="1">IFERROR(VLOOKUP(C2738,' Disaggregation - Section E '!A$618:J3427,3,0),"")</f>
        <v>HTS-3d Percentage of people who inject drugs that have received an HIV test during the reporting period in KP-specific programs and know their results</v>
      </c>
      <c r="L2738" s="387"/>
      <c r="M2738" s="387" t="str">
        <f ca="1">IFERROR(IF(VLOOKUP(C2738,' Disaggregation - Section E '!A$618:O1750,15,0)=0,"",VLOOKUP(C2738,' Disaggregation - Section E '!A$618:O1750,15,0)),"")</f>
        <v/>
      </c>
      <c r="N2738" s="391" t="str">
        <f ca="1">IFERROR(IF(VLOOKUP(C2738,' Disaggregation - Section E '!A$618:J3427,10,0)=0,"",VLOOKUP(C2738,' Disaggregation - Section E '!A$618:J3427,10,0)),"")</f>
        <v/>
      </c>
      <c r="O2738" s="387"/>
      <c r="P2738" s="387" t="str">
        <f ca="1">IFERROR(IF(VLOOKUP(C2738,' Disaggregation - Section E '!A$618:R1750,18,0)=0,"",VLOOKUP(C2738,' Disaggregation - Section E '!A$618:R1750,18,0)),"")</f>
        <v/>
      </c>
    </row>
    <row r="2739" spans="1:16">
      <c r="A2739" s="387" t="b">
        <f t="shared" ca="1" si="173"/>
        <v>0</v>
      </c>
      <c r="B2739" s="387"/>
      <c r="C2739" s="396" t="str">
        <f ca="1">IF(COUNTA(O$1610:O2739)=1,"",OFFSET(B2737,-COUNTA(O$1610:O2739)+3,1))</f>
        <v>a16Dm000000M3y2IAC</v>
      </c>
      <c r="D2739" s="392"/>
      <c r="E2739" s="389" t="str">
        <f ca="1">IFERROR(IF(VLOOKUP(C2739,' Disaggregation - Section E '!A$618:J3428,7,0)="","",VLOOKUP(C2739,' Disaggregation - Section E '!A$618:J3428,7,0)*100),"")</f>
        <v/>
      </c>
      <c r="F2739" s="391" t="str">
        <f ca="1">IFERROR(VLOOKUP(C2739,' Disaggregation - Section E '!A$618:J3428,5,0),"")</f>
        <v/>
      </c>
      <c r="G2739" s="390" t="str">
        <f ca="1">IFERROR(IF(VLOOKUP(C2739,' Disaggregation - Section E '!A$618:J3428,6,0)="","",VLOOKUP(C2739,' Disaggregation - Section E '!A$618:J3428,6,0)),"")</f>
        <v/>
      </c>
      <c r="H2739" s="390" t="str">
        <f ca="1">IFERROR(IF(INDEX(' Disaggregation - Section E '!F$618:F3428,MATCH(C2739,' Disaggregation - Section E '!A$618:A3428,0)+1,1)&lt;&gt;0,INDEX(' Disaggregation - Section E '!F$618:F3428,MATCH(C2739,' Disaggregation - Section E '!A$618:A3428,0)+1,1),""),"")</f>
        <v/>
      </c>
      <c r="I2739" s="391" t="str">
        <f ca="1">IFERROR(IF(VLOOKUP(C2739,' Disaggregation - Section E '!A$618:J3428,8,0)=0,"",VLOOKUP(C2739,' Disaggregation - Section E '!A$618:J3428,8,0)),"")</f>
        <v/>
      </c>
      <c r="J2739" s="391" t="str">
        <f ca="1">IFERROR(IF(VLOOKUP(C2739,' Disaggregation - Section E '!A$618:J3428,9,0)="","",VLOOKUP(C2739,' Disaggregation - Section E '!A$618:J3428,9,0)),"")</f>
        <v/>
      </c>
      <c r="K2739" s="387" t="str">
        <f ca="1">IFERROR(VLOOKUP(C2739,' Disaggregation - Section E '!A$618:J3428,3,0),"")</f>
        <v>HTS-3d Percentage of people who inject drugs that have received an HIV test during the reporting period in KP-specific programs and know their results</v>
      </c>
      <c r="L2739" s="387"/>
      <c r="M2739" s="387" t="str">
        <f ca="1">IFERROR(IF(VLOOKUP(C2739,' Disaggregation - Section E '!A$618:O1751,15,0)=0,"",VLOOKUP(C2739,' Disaggregation - Section E '!A$618:O1751,15,0)),"")</f>
        <v/>
      </c>
      <c r="N2739" s="391" t="str">
        <f ca="1">IFERROR(IF(VLOOKUP(C2739,' Disaggregation - Section E '!A$618:J3428,10,0)=0,"",VLOOKUP(C2739,' Disaggregation - Section E '!A$618:J3428,10,0)),"")</f>
        <v/>
      </c>
      <c r="O2739" s="387"/>
      <c r="P2739" s="387" t="str">
        <f ca="1">IFERROR(IF(VLOOKUP(C2739,' Disaggregation - Section E '!A$618:R1751,18,0)=0,"",VLOOKUP(C2739,' Disaggregation - Section E '!A$618:R1751,18,0)),"")</f>
        <v/>
      </c>
    </row>
    <row r="2740" spans="1:16">
      <c r="A2740" s="387" t="b">
        <f t="shared" ca="1" si="173"/>
        <v>0</v>
      </c>
      <c r="B2740" s="387"/>
      <c r="C2740" s="396" t="str">
        <f ca="1">IF(COUNTA(O$1610:O2740)=1,"",OFFSET(B2738,-COUNTA(O$1610:O2740)+3,1))</f>
        <v>a16Dm000000M3y3IAC</v>
      </c>
      <c r="D2740" s="392"/>
      <c r="E2740" s="389" t="str">
        <f ca="1">IFERROR(IF(VLOOKUP(C2740,' Disaggregation - Section E '!A$618:J3429,7,0)="","",VLOOKUP(C2740,' Disaggregation - Section E '!A$618:J3429,7,0)*100),"")</f>
        <v/>
      </c>
      <c r="F2740" s="391" t="str">
        <f ca="1">IFERROR(VLOOKUP(C2740,' Disaggregation - Section E '!A$618:J3429,5,0),"")</f>
        <v/>
      </c>
      <c r="G2740" s="390" t="str">
        <f ca="1">IFERROR(IF(VLOOKUP(C2740,' Disaggregation - Section E '!A$618:J3429,6,0)="","",VLOOKUP(C2740,' Disaggregation - Section E '!A$618:J3429,6,0)),"")</f>
        <v/>
      </c>
      <c r="H2740" s="390" t="str">
        <f ca="1">IFERROR(IF(INDEX(' Disaggregation - Section E '!F$618:F3429,MATCH(C2740,' Disaggregation - Section E '!A$618:A3429,0)+1,1)&lt;&gt;0,INDEX(' Disaggregation - Section E '!F$618:F3429,MATCH(C2740,' Disaggregation - Section E '!A$618:A3429,0)+1,1),""),"")</f>
        <v/>
      </c>
      <c r="I2740" s="391" t="str">
        <f ca="1">IFERROR(IF(VLOOKUP(C2740,' Disaggregation - Section E '!A$618:J3429,8,0)=0,"",VLOOKUP(C2740,' Disaggregation - Section E '!A$618:J3429,8,0)),"")</f>
        <v/>
      </c>
      <c r="J2740" s="391" t="str">
        <f ca="1">IFERROR(IF(VLOOKUP(C2740,' Disaggregation - Section E '!A$618:J3429,9,0)="","",VLOOKUP(C2740,' Disaggregation - Section E '!A$618:J3429,9,0)),"")</f>
        <v/>
      </c>
      <c r="K2740" s="387" t="str">
        <f ca="1">IFERROR(VLOOKUP(C2740,' Disaggregation - Section E '!A$618:J3429,3,0),"")</f>
        <v>HTS-3d Percentage of people who inject drugs that have received an HIV test during the reporting period in KP-specific programs and know their results</v>
      </c>
      <c r="L2740" s="387"/>
      <c r="M2740" s="387" t="str">
        <f ca="1">IFERROR(IF(VLOOKUP(C2740,' Disaggregation - Section E '!A$618:O1752,15,0)=0,"",VLOOKUP(C2740,' Disaggregation - Section E '!A$618:O1752,15,0)),"")</f>
        <v/>
      </c>
      <c r="N2740" s="391" t="str">
        <f ca="1">IFERROR(IF(VLOOKUP(C2740,' Disaggregation - Section E '!A$618:J3429,10,0)=0,"",VLOOKUP(C2740,' Disaggregation - Section E '!A$618:J3429,10,0)),"")</f>
        <v/>
      </c>
      <c r="O2740" s="387"/>
      <c r="P2740" s="387" t="str">
        <f ca="1">IFERROR(IF(VLOOKUP(C2740,' Disaggregation - Section E '!A$618:R1752,18,0)=0,"",VLOOKUP(C2740,' Disaggregation - Section E '!A$618:R1752,18,0)),"")</f>
        <v/>
      </c>
    </row>
    <row r="2741" spans="1:16">
      <c r="A2741" s="387" t="b">
        <f t="shared" ca="1" si="173"/>
        <v>0</v>
      </c>
      <c r="B2741" s="387"/>
      <c r="C2741" s="396" t="str">
        <f ca="1">IF(COUNTA(O$1610:O2741)=1,"",OFFSET(B2739,-COUNTA(O$1610:O2741)+3,1))</f>
        <v>a16Dm000000M3y4IAC</v>
      </c>
      <c r="D2741" s="392"/>
      <c r="E2741" s="389" t="str">
        <f ca="1">IFERROR(IF(VLOOKUP(C2741,' Disaggregation - Section E '!A$618:J3430,7,0)="","",VLOOKUP(C2741,' Disaggregation - Section E '!A$618:J3430,7,0)*100),"")</f>
        <v/>
      </c>
      <c r="F2741" s="391" t="str">
        <f ca="1">IFERROR(VLOOKUP(C2741,' Disaggregation - Section E '!A$618:J3430,5,0),"")</f>
        <v/>
      </c>
      <c r="G2741" s="390" t="str">
        <f ca="1">IFERROR(IF(VLOOKUP(C2741,' Disaggregation - Section E '!A$618:J3430,6,0)="","",VLOOKUP(C2741,' Disaggregation - Section E '!A$618:J3430,6,0)),"")</f>
        <v/>
      </c>
      <c r="H2741" s="390" t="str">
        <f ca="1">IFERROR(IF(INDEX(' Disaggregation - Section E '!F$618:F3430,MATCH(C2741,' Disaggregation - Section E '!A$618:A3430,0)+1,1)&lt;&gt;0,INDEX(' Disaggregation - Section E '!F$618:F3430,MATCH(C2741,' Disaggregation - Section E '!A$618:A3430,0)+1,1),""),"")</f>
        <v/>
      </c>
      <c r="I2741" s="391" t="str">
        <f ca="1">IFERROR(IF(VLOOKUP(C2741,' Disaggregation - Section E '!A$618:J3430,8,0)=0,"",VLOOKUP(C2741,' Disaggregation - Section E '!A$618:J3430,8,0)),"")</f>
        <v/>
      </c>
      <c r="J2741" s="391" t="str">
        <f ca="1">IFERROR(IF(VLOOKUP(C2741,' Disaggregation - Section E '!A$618:J3430,9,0)="","",VLOOKUP(C2741,' Disaggregation - Section E '!A$618:J3430,9,0)),"")</f>
        <v/>
      </c>
      <c r="K2741" s="387" t="str">
        <f ca="1">IFERROR(VLOOKUP(C2741,' Disaggregation - Section E '!A$618:J3430,3,0),"")</f>
        <v>HTS-3d Percentage of people who inject drugs that have received an HIV test during the reporting period in KP-specific programs and know their results</v>
      </c>
      <c r="L2741" s="387"/>
      <c r="M2741" s="387" t="str">
        <f ca="1">IFERROR(IF(VLOOKUP(C2741,' Disaggregation - Section E '!A$618:O1753,15,0)=0,"",VLOOKUP(C2741,' Disaggregation - Section E '!A$618:O1753,15,0)),"")</f>
        <v/>
      </c>
      <c r="N2741" s="391" t="str">
        <f ca="1">IFERROR(IF(VLOOKUP(C2741,' Disaggregation - Section E '!A$618:J3430,10,0)=0,"",VLOOKUP(C2741,' Disaggregation - Section E '!A$618:J3430,10,0)),"")</f>
        <v/>
      </c>
      <c r="O2741" s="387"/>
      <c r="P2741" s="387" t="str">
        <f ca="1">IFERROR(IF(VLOOKUP(C2741,' Disaggregation - Section E '!A$618:R1753,18,0)=0,"",VLOOKUP(C2741,' Disaggregation - Section E '!A$618:R1753,18,0)),"")</f>
        <v/>
      </c>
    </row>
    <row r="2742" spans="1:16">
      <c r="A2742" s="387" t="b">
        <f t="shared" ca="1" si="173"/>
        <v>0</v>
      </c>
      <c r="B2742" s="387"/>
      <c r="C2742" s="396" t="str">
        <f ca="1">IF(COUNTA(O$1610:O2742)=1,"",OFFSET(B2740,-COUNTA(O$1610:O2742)+3,1))</f>
        <v>a16Dm000000M3y5IAC</v>
      </c>
      <c r="D2742" s="392"/>
      <c r="E2742" s="389" t="str">
        <f ca="1">IFERROR(IF(VLOOKUP(C2742,' Disaggregation - Section E '!A$618:J3431,7,0)="","",VLOOKUP(C2742,' Disaggregation - Section E '!A$618:J3431,7,0)*100),"")</f>
        <v/>
      </c>
      <c r="F2742" s="391" t="str">
        <f ca="1">IFERROR(VLOOKUP(C2742,' Disaggregation - Section E '!A$618:J3431,5,0),"")</f>
        <v/>
      </c>
      <c r="G2742" s="390" t="str">
        <f ca="1">IFERROR(IF(VLOOKUP(C2742,' Disaggregation - Section E '!A$618:J3431,6,0)="","",VLOOKUP(C2742,' Disaggregation - Section E '!A$618:J3431,6,0)),"")</f>
        <v/>
      </c>
      <c r="H2742" s="390" t="str">
        <f ca="1">IFERROR(IF(INDEX(' Disaggregation - Section E '!F$618:F3431,MATCH(C2742,' Disaggregation - Section E '!A$618:A3431,0)+1,1)&lt;&gt;0,INDEX(' Disaggregation - Section E '!F$618:F3431,MATCH(C2742,' Disaggregation - Section E '!A$618:A3431,0)+1,1),""),"")</f>
        <v/>
      </c>
      <c r="I2742" s="391" t="str">
        <f ca="1">IFERROR(IF(VLOOKUP(C2742,' Disaggregation - Section E '!A$618:J3431,8,0)=0,"",VLOOKUP(C2742,' Disaggregation - Section E '!A$618:J3431,8,0)),"")</f>
        <v/>
      </c>
      <c r="J2742" s="391" t="str">
        <f ca="1">IFERROR(IF(VLOOKUP(C2742,' Disaggregation - Section E '!A$618:J3431,9,0)="","",VLOOKUP(C2742,' Disaggregation - Section E '!A$618:J3431,9,0)),"")</f>
        <v/>
      </c>
      <c r="K2742" s="387" t="str">
        <f ca="1">IFERROR(VLOOKUP(C2742,' Disaggregation - Section E '!A$618:J3431,3,0),"")</f>
        <v>HTS-3d Percentage of people who inject drugs that have received an HIV test during the reporting period in KP-specific programs and know their results</v>
      </c>
      <c r="L2742" s="387"/>
      <c r="M2742" s="387" t="str">
        <f ca="1">IFERROR(IF(VLOOKUP(C2742,' Disaggregation - Section E '!A$618:O1754,15,0)=0,"",VLOOKUP(C2742,' Disaggregation - Section E '!A$618:O1754,15,0)),"")</f>
        <v/>
      </c>
      <c r="N2742" s="391" t="str">
        <f ca="1">IFERROR(IF(VLOOKUP(C2742,' Disaggregation - Section E '!A$618:J3431,10,0)=0,"",VLOOKUP(C2742,' Disaggregation - Section E '!A$618:J3431,10,0)),"")</f>
        <v/>
      </c>
      <c r="O2742" s="387"/>
      <c r="P2742" s="387" t="str">
        <f ca="1">IFERROR(IF(VLOOKUP(C2742,' Disaggregation - Section E '!A$618:R1754,18,0)=0,"",VLOOKUP(C2742,' Disaggregation - Section E '!A$618:R1754,18,0)),"")</f>
        <v/>
      </c>
    </row>
    <row r="2743" spans="1:16">
      <c r="A2743" s="387" t="b">
        <f t="shared" ca="1" si="173"/>
        <v>0</v>
      </c>
      <c r="B2743" s="387"/>
      <c r="C2743" s="396" t="str">
        <f ca="1">IF(COUNTA(O$1610:O2743)=1,"",OFFSET(B2741,-COUNTA(O$1610:O2743)+3,1))</f>
        <v>a16Dm000000M3y6IAC</v>
      </c>
      <c r="D2743" s="392"/>
      <c r="E2743" s="389" t="str">
        <f ca="1">IFERROR(IF(VLOOKUP(C2743,' Disaggregation - Section E '!A$618:J3432,7,0)="","",VLOOKUP(C2743,' Disaggregation - Section E '!A$618:J3432,7,0)*100),"")</f>
        <v/>
      </c>
      <c r="F2743" s="391" t="str">
        <f ca="1">IFERROR(VLOOKUP(C2743,' Disaggregation - Section E '!A$618:J3432,5,0),"")</f>
        <v/>
      </c>
      <c r="G2743" s="390" t="str">
        <f ca="1">IFERROR(IF(VLOOKUP(C2743,' Disaggregation - Section E '!A$618:J3432,6,0)="","",VLOOKUP(C2743,' Disaggregation - Section E '!A$618:J3432,6,0)),"")</f>
        <v/>
      </c>
      <c r="H2743" s="390" t="str">
        <f ca="1">IFERROR(IF(INDEX(' Disaggregation - Section E '!F$618:F3432,MATCH(C2743,' Disaggregation - Section E '!A$618:A3432,0)+1,1)&lt;&gt;0,INDEX(' Disaggregation - Section E '!F$618:F3432,MATCH(C2743,' Disaggregation - Section E '!A$618:A3432,0)+1,1),""),"")</f>
        <v/>
      </c>
      <c r="I2743" s="391" t="str">
        <f ca="1">IFERROR(IF(VLOOKUP(C2743,' Disaggregation - Section E '!A$618:J3432,8,0)=0,"",VLOOKUP(C2743,' Disaggregation - Section E '!A$618:J3432,8,0)),"")</f>
        <v/>
      </c>
      <c r="J2743" s="391" t="str">
        <f ca="1">IFERROR(IF(VLOOKUP(C2743,' Disaggregation - Section E '!A$618:J3432,9,0)="","",VLOOKUP(C2743,' Disaggregation - Section E '!A$618:J3432,9,0)),"")</f>
        <v/>
      </c>
      <c r="K2743" s="387" t="str">
        <f ca="1">IFERROR(VLOOKUP(C2743,' Disaggregation - Section E '!A$618:J3432,3,0),"")</f>
        <v>HTS-3d Percentage of people who inject drugs that have received an HIV test during the reporting period in KP-specific programs and know their results</v>
      </c>
      <c r="L2743" s="387"/>
      <c r="M2743" s="387" t="str">
        <f ca="1">IFERROR(IF(VLOOKUP(C2743,' Disaggregation - Section E '!A$618:O1755,15,0)=0,"",VLOOKUP(C2743,' Disaggregation - Section E '!A$618:O1755,15,0)),"")</f>
        <v/>
      </c>
      <c r="N2743" s="391" t="str">
        <f ca="1">IFERROR(IF(VLOOKUP(C2743,' Disaggregation - Section E '!A$618:J3432,10,0)=0,"",VLOOKUP(C2743,' Disaggregation - Section E '!A$618:J3432,10,0)),"")</f>
        <v/>
      </c>
      <c r="O2743" s="387"/>
      <c r="P2743" s="387" t="str">
        <f ca="1">IFERROR(IF(VLOOKUP(C2743,' Disaggregation - Section E '!A$618:R1755,18,0)=0,"",VLOOKUP(C2743,' Disaggregation - Section E '!A$618:R1755,18,0)),"")</f>
        <v/>
      </c>
    </row>
    <row r="2744" spans="1:16">
      <c r="A2744" s="387" t="b">
        <f t="shared" ca="1" si="173"/>
        <v>0</v>
      </c>
      <c r="B2744" s="387"/>
      <c r="C2744" s="396" t="str">
        <f ca="1">IF(COUNTA(O$1610:O2744)=1,"",OFFSET(B2742,-COUNTA(O$1610:O2744)+3,1))</f>
        <v>a16Dm000000M3y7IAC</v>
      </c>
      <c r="D2744" s="392"/>
      <c r="E2744" s="389" t="str">
        <f ca="1">IFERROR(IF(VLOOKUP(C2744,' Disaggregation - Section E '!A$618:J3433,7,0)="","",VLOOKUP(C2744,' Disaggregation - Section E '!A$618:J3433,7,0)*100),"")</f>
        <v/>
      </c>
      <c r="F2744" s="391" t="str">
        <f ca="1">IFERROR(VLOOKUP(C2744,' Disaggregation - Section E '!A$618:J3433,5,0),"")</f>
        <v/>
      </c>
      <c r="G2744" s="390" t="str">
        <f ca="1">IFERROR(IF(VLOOKUP(C2744,' Disaggregation - Section E '!A$618:J3433,6,0)="","",VLOOKUP(C2744,' Disaggregation - Section E '!A$618:J3433,6,0)),"")</f>
        <v/>
      </c>
      <c r="H2744" s="390" t="str">
        <f ca="1">IFERROR(IF(INDEX(' Disaggregation - Section E '!F$618:F3433,MATCH(C2744,' Disaggregation - Section E '!A$618:A3433,0)+1,1)&lt;&gt;0,INDEX(' Disaggregation - Section E '!F$618:F3433,MATCH(C2744,' Disaggregation - Section E '!A$618:A3433,0)+1,1),""),"")</f>
        <v/>
      </c>
      <c r="I2744" s="391" t="str">
        <f ca="1">IFERROR(IF(VLOOKUP(C2744,' Disaggregation - Section E '!A$618:J3433,8,0)=0,"",VLOOKUP(C2744,' Disaggregation - Section E '!A$618:J3433,8,0)),"")</f>
        <v/>
      </c>
      <c r="J2744" s="391" t="str">
        <f ca="1">IFERROR(IF(VLOOKUP(C2744,' Disaggregation - Section E '!A$618:J3433,9,0)="","",VLOOKUP(C2744,' Disaggregation - Section E '!A$618:J3433,9,0)),"")</f>
        <v/>
      </c>
      <c r="K2744" s="387" t="str">
        <f ca="1">IFERROR(VLOOKUP(C2744,' Disaggregation - Section E '!A$618:J3433,3,0),"")</f>
        <v>HTS-3d Percentage of people who inject drugs that have received an HIV test during the reporting period in KP-specific programs and know their results</v>
      </c>
      <c r="L2744" s="387"/>
      <c r="M2744" s="387" t="str">
        <f ca="1">IFERROR(IF(VLOOKUP(C2744,' Disaggregation - Section E '!A$618:O1756,15,0)=0,"",VLOOKUP(C2744,' Disaggregation - Section E '!A$618:O1756,15,0)),"")</f>
        <v/>
      </c>
      <c r="N2744" s="391" t="str">
        <f ca="1">IFERROR(IF(VLOOKUP(C2744,' Disaggregation - Section E '!A$618:J3433,10,0)=0,"",VLOOKUP(C2744,' Disaggregation - Section E '!A$618:J3433,10,0)),"")</f>
        <v/>
      </c>
      <c r="O2744" s="387"/>
      <c r="P2744" s="387" t="str">
        <f ca="1">IFERROR(IF(VLOOKUP(C2744,' Disaggregation - Section E '!A$618:R1756,18,0)=0,"",VLOOKUP(C2744,' Disaggregation - Section E '!A$618:R1756,18,0)),"")</f>
        <v/>
      </c>
    </row>
    <row r="2745" spans="1:16">
      <c r="A2745" s="387" t="b">
        <f t="shared" ca="1" si="173"/>
        <v>0</v>
      </c>
      <c r="B2745" s="387"/>
      <c r="C2745" s="396" t="str">
        <f ca="1">IF(COUNTA(O$1610:O2745)=1,"",OFFSET(B2743,-COUNTA(O$1610:O2745)+3,1))</f>
        <v>a16Dm000000M3y8IAC</v>
      </c>
      <c r="D2745" s="392"/>
      <c r="E2745" s="389" t="str">
        <f ca="1">IFERROR(IF(VLOOKUP(C2745,' Disaggregation - Section E '!A$618:J3434,7,0)="","",VLOOKUP(C2745,' Disaggregation - Section E '!A$618:J3434,7,0)*100),"")</f>
        <v/>
      </c>
      <c r="F2745" s="391" t="str">
        <f ca="1">IFERROR(VLOOKUP(C2745,' Disaggregation - Section E '!A$618:J3434,5,0),"")</f>
        <v/>
      </c>
      <c r="G2745" s="390" t="str">
        <f ca="1">IFERROR(IF(VLOOKUP(C2745,' Disaggregation - Section E '!A$618:J3434,6,0)="","",VLOOKUP(C2745,' Disaggregation - Section E '!A$618:J3434,6,0)),"")</f>
        <v/>
      </c>
      <c r="H2745" s="390" t="str">
        <f ca="1">IFERROR(IF(INDEX(' Disaggregation - Section E '!F$618:F3434,MATCH(C2745,' Disaggregation - Section E '!A$618:A3434,0)+1,1)&lt;&gt;0,INDEX(' Disaggregation - Section E '!F$618:F3434,MATCH(C2745,' Disaggregation - Section E '!A$618:A3434,0)+1,1),""),"")</f>
        <v/>
      </c>
      <c r="I2745" s="391" t="str">
        <f ca="1">IFERROR(IF(VLOOKUP(C2745,' Disaggregation - Section E '!A$618:J3434,8,0)=0,"",VLOOKUP(C2745,' Disaggregation - Section E '!A$618:J3434,8,0)),"")</f>
        <v/>
      </c>
      <c r="J2745" s="391" t="str">
        <f ca="1">IFERROR(IF(VLOOKUP(C2745,' Disaggregation - Section E '!A$618:J3434,9,0)="","",VLOOKUP(C2745,' Disaggregation - Section E '!A$618:J3434,9,0)),"")</f>
        <v/>
      </c>
      <c r="K2745" s="387" t="str">
        <f ca="1">IFERROR(VLOOKUP(C2745,' Disaggregation - Section E '!A$618:J3434,3,0),"")</f>
        <v>HTS-3d Percentage of people who inject drugs that have received an HIV test during the reporting period in KP-specific programs and know their results</v>
      </c>
      <c r="L2745" s="387"/>
      <c r="M2745" s="387" t="str">
        <f ca="1">IFERROR(IF(VLOOKUP(C2745,' Disaggregation - Section E '!A$618:O1757,15,0)=0,"",VLOOKUP(C2745,' Disaggregation - Section E '!A$618:O1757,15,0)),"")</f>
        <v/>
      </c>
      <c r="N2745" s="391" t="str">
        <f ca="1">IFERROR(IF(VLOOKUP(C2745,' Disaggregation - Section E '!A$618:J3434,10,0)=0,"",VLOOKUP(C2745,' Disaggregation - Section E '!A$618:J3434,10,0)),"")</f>
        <v/>
      </c>
      <c r="O2745" s="387"/>
      <c r="P2745" s="387" t="str">
        <f ca="1">IFERROR(IF(VLOOKUP(C2745,' Disaggregation - Section E '!A$618:R1757,18,0)=0,"",VLOOKUP(C2745,' Disaggregation - Section E '!A$618:R1757,18,0)),"")</f>
        <v/>
      </c>
    </row>
    <row r="2746" spans="1:16">
      <c r="A2746" s="387" t="b">
        <f t="shared" ca="1" si="173"/>
        <v>0</v>
      </c>
      <c r="B2746" s="387"/>
      <c r="C2746" s="396" t="str">
        <f ca="1">IF(COUNTA(O$1610:O2746)=1,"",OFFSET(B2744,-COUNTA(O$1610:O2746)+3,1))</f>
        <v>a16Dm000000M3y9IAC</v>
      </c>
      <c r="D2746" s="392"/>
      <c r="E2746" s="389" t="str">
        <f ca="1">IFERROR(IF(VLOOKUP(C2746,' Disaggregation - Section E '!A$618:J3435,7,0)="","",VLOOKUP(C2746,' Disaggregation - Section E '!A$618:J3435,7,0)*100),"")</f>
        <v/>
      </c>
      <c r="F2746" s="391" t="str">
        <f ca="1">IFERROR(VLOOKUP(C2746,' Disaggregation - Section E '!A$618:J3435,5,0),"")</f>
        <v/>
      </c>
      <c r="G2746" s="390" t="str">
        <f ca="1">IFERROR(IF(VLOOKUP(C2746,' Disaggregation - Section E '!A$618:J3435,6,0)="","",VLOOKUP(C2746,' Disaggregation - Section E '!A$618:J3435,6,0)),"")</f>
        <v/>
      </c>
      <c r="H2746" s="390" t="str">
        <f ca="1">IFERROR(IF(INDEX(' Disaggregation - Section E '!F$618:F3435,MATCH(C2746,' Disaggregation - Section E '!A$618:A3435,0)+1,1)&lt;&gt;0,INDEX(' Disaggregation - Section E '!F$618:F3435,MATCH(C2746,' Disaggregation - Section E '!A$618:A3435,0)+1,1),""),"")</f>
        <v/>
      </c>
      <c r="I2746" s="391" t="str">
        <f ca="1">IFERROR(IF(VLOOKUP(C2746,' Disaggregation - Section E '!A$618:J3435,8,0)=0,"",VLOOKUP(C2746,' Disaggregation - Section E '!A$618:J3435,8,0)),"")</f>
        <v/>
      </c>
      <c r="J2746" s="391" t="str">
        <f ca="1">IFERROR(IF(VLOOKUP(C2746,' Disaggregation - Section E '!A$618:J3435,9,0)="","",VLOOKUP(C2746,' Disaggregation - Section E '!A$618:J3435,9,0)),"")</f>
        <v/>
      </c>
      <c r="K2746" s="387" t="str">
        <f ca="1">IFERROR(VLOOKUP(C2746,' Disaggregation - Section E '!A$618:J3435,3,0),"")</f>
        <v>HTS-3d Percentage of people who inject drugs that have received an HIV test during the reporting period in KP-specific programs and know their results</v>
      </c>
      <c r="L2746" s="387"/>
      <c r="M2746" s="387" t="str">
        <f ca="1">IFERROR(IF(VLOOKUP(C2746,' Disaggregation - Section E '!A$618:O1758,15,0)=0,"",VLOOKUP(C2746,' Disaggregation - Section E '!A$618:O1758,15,0)),"")</f>
        <v/>
      </c>
      <c r="N2746" s="391" t="str">
        <f ca="1">IFERROR(IF(VLOOKUP(C2746,' Disaggregation - Section E '!A$618:J3435,10,0)=0,"",VLOOKUP(C2746,' Disaggregation - Section E '!A$618:J3435,10,0)),"")</f>
        <v/>
      </c>
      <c r="O2746" s="387"/>
      <c r="P2746" s="387" t="str">
        <f ca="1">IFERROR(IF(VLOOKUP(C2746,' Disaggregation - Section E '!A$618:R1758,18,0)=0,"",VLOOKUP(C2746,' Disaggregation - Section E '!A$618:R1758,18,0)),"")</f>
        <v/>
      </c>
    </row>
    <row r="2747" spans="1:16">
      <c r="A2747" s="387" t="b">
        <f t="shared" ca="1" si="173"/>
        <v>0</v>
      </c>
      <c r="B2747" s="387"/>
      <c r="C2747" s="396" t="str">
        <f ca="1">IF(COUNTA(O$1610:O2747)=1,"",OFFSET(B2745,-COUNTA(O$1610:O2747)+3,1))</f>
        <v>a16Dm000000M3yAIAS</v>
      </c>
      <c r="D2747" s="392"/>
      <c r="E2747" s="389" t="str">
        <f ca="1">IFERROR(IF(VLOOKUP(C2747,' Disaggregation - Section E '!A$618:J3436,7,0)="","",VLOOKUP(C2747,' Disaggregation - Section E '!A$618:J3436,7,0)*100),"")</f>
        <v/>
      </c>
      <c r="F2747" s="391" t="str">
        <f ca="1">IFERROR(VLOOKUP(C2747,' Disaggregation - Section E '!A$618:J3436,5,0),"")</f>
        <v/>
      </c>
      <c r="G2747" s="390" t="str">
        <f ca="1">IFERROR(IF(VLOOKUP(C2747,' Disaggregation - Section E '!A$618:J3436,6,0)="","",VLOOKUP(C2747,' Disaggregation - Section E '!A$618:J3436,6,0)),"")</f>
        <v/>
      </c>
      <c r="H2747" s="390" t="str">
        <f ca="1">IFERROR(IF(INDEX(' Disaggregation - Section E '!F$618:F3436,MATCH(C2747,' Disaggregation - Section E '!A$618:A3436,0)+1,1)&lt;&gt;0,INDEX(' Disaggregation - Section E '!F$618:F3436,MATCH(C2747,' Disaggregation - Section E '!A$618:A3436,0)+1,1),""),"")</f>
        <v/>
      </c>
      <c r="I2747" s="391" t="str">
        <f ca="1">IFERROR(IF(VLOOKUP(C2747,' Disaggregation - Section E '!A$618:J3436,8,0)=0,"",VLOOKUP(C2747,' Disaggregation - Section E '!A$618:J3436,8,0)),"")</f>
        <v/>
      </c>
      <c r="J2747" s="391" t="str">
        <f ca="1">IFERROR(IF(VLOOKUP(C2747,' Disaggregation - Section E '!A$618:J3436,9,0)="","",VLOOKUP(C2747,' Disaggregation - Section E '!A$618:J3436,9,0)),"")</f>
        <v/>
      </c>
      <c r="K2747" s="387" t="str">
        <f ca="1">IFERROR(VLOOKUP(C2747,' Disaggregation - Section E '!A$618:J3436,3,0),"")</f>
        <v>HTS-3d Percentage of people who inject drugs that have received an HIV test during the reporting period in KP-specific programs and know their results</v>
      </c>
      <c r="L2747" s="387"/>
      <c r="M2747" s="387" t="str">
        <f ca="1">IFERROR(IF(VLOOKUP(C2747,' Disaggregation - Section E '!A$618:O1759,15,0)=0,"",VLOOKUP(C2747,' Disaggregation - Section E '!A$618:O1759,15,0)),"")</f>
        <v/>
      </c>
      <c r="N2747" s="391" t="str">
        <f ca="1">IFERROR(IF(VLOOKUP(C2747,' Disaggregation - Section E '!A$618:J3436,10,0)=0,"",VLOOKUP(C2747,' Disaggregation - Section E '!A$618:J3436,10,0)),"")</f>
        <v/>
      </c>
      <c r="O2747" s="387"/>
      <c r="P2747" s="387" t="str">
        <f ca="1">IFERROR(IF(VLOOKUP(C2747,' Disaggregation - Section E '!A$618:R1759,18,0)=0,"",VLOOKUP(C2747,' Disaggregation - Section E '!A$618:R1759,18,0)),"")</f>
        <v/>
      </c>
    </row>
    <row r="2748" spans="1:16">
      <c r="A2748" s="387" t="b">
        <f t="shared" ca="1" si="173"/>
        <v>0</v>
      </c>
      <c r="B2748" s="387"/>
      <c r="C2748" s="396" t="str">
        <f ca="1">IF(COUNTA(O$1610:O2748)=1,"",OFFSET(B2746,-COUNTA(O$1610:O2748)+3,1))</f>
        <v>a16Dm000000M3yBIAS</v>
      </c>
      <c r="D2748" s="392"/>
      <c r="E2748" s="389" t="str">
        <f ca="1">IFERROR(IF(VLOOKUP(C2748,' Disaggregation - Section E '!A$618:J3437,7,0)="","",VLOOKUP(C2748,' Disaggregation - Section E '!A$618:J3437,7,0)*100),"")</f>
        <v/>
      </c>
      <c r="F2748" s="391" t="str">
        <f ca="1">IFERROR(VLOOKUP(C2748,' Disaggregation - Section E '!A$618:J3437,5,0),"")</f>
        <v/>
      </c>
      <c r="G2748" s="390" t="str">
        <f ca="1">IFERROR(IF(VLOOKUP(C2748,' Disaggregation - Section E '!A$618:J3437,6,0)="","",VLOOKUP(C2748,' Disaggregation - Section E '!A$618:J3437,6,0)),"")</f>
        <v/>
      </c>
      <c r="H2748" s="390" t="str">
        <f ca="1">IFERROR(IF(INDEX(' Disaggregation - Section E '!F$618:F3437,MATCH(C2748,' Disaggregation - Section E '!A$618:A3437,0)+1,1)&lt;&gt;0,INDEX(' Disaggregation - Section E '!F$618:F3437,MATCH(C2748,' Disaggregation - Section E '!A$618:A3437,0)+1,1),""),"")</f>
        <v/>
      </c>
      <c r="I2748" s="391" t="str">
        <f ca="1">IFERROR(IF(VLOOKUP(C2748,' Disaggregation - Section E '!A$618:J3437,8,0)=0,"",VLOOKUP(C2748,' Disaggregation - Section E '!A$618:J3437,8,0)),"")</f>
        <v/>
      </c>
      <c r="J2748" s="391" t="str">
        <f ca="1">IFERROR(IF(VLOOKUP(C2748,' Disaggregation - Section E '!A$618:J3437,9,0)="","",VLOOKUP(C2748,' Disaggregation - Section E '!A$618:J3437,9,0)),"")</f>
        <v/>
      </c>
      <c r="K2748" s="387" t="str">
        <f ca="1">IFERROR(VLOOKUP(C2748,' Disaggregation - Section E '!A$618:J3437,3,0),"")</f>
        <v>HTS-3d Percentage of people who inject drugs that have received an HIV test during the reporting period in KP-specific programs and know their results</v>
      </c>
      <c r="L2748" s="387"/>
      <c r="M2748" s="387" t="str">
        <f ca="1">IFERROR(IF(VLOOKUP(C2748,' Disaggregation - Section E '!A$618:O1760,15,0)=0,"",VLOOKUP(C2748,' Disaggregation - Section E '!A$618:O1760,15,0)),"")</f>
        <v/>
      </c>
      <c r="N2748" s="391" t="str">
        <f ca="1">IFERROR(IF(VLOOKUP(C2748,' Disaggregation - Section E '!A$618:J3437,10,0)=0,"",VLOOKUP(C2748,' Disaggregation - Section E '!A$618:J3437,10,0)),"")</f>
        <v/>
      </c>
      <c r="O2748" s="387"/>
      <c r="P2748" s="387" t="str">
        <f ca="1">IFERROR(IF(VLOOKUP(C2748,' Disaggregation - Section E '!A$618:R1760,18,0)=0,"",VLOOKUP(C2748,' Disaggregation - Section E '!A$618:R1760,18,0)),"")</f>
        <v/>
      </c>
    </row>
    <row r="2749" spans="1:16">
      <c r="A2749" s="387" t="b">
        <f t="shared" ca="1" si="173"/>
        <v>0</v>
      </c>
      <c r="B2749" s="387"/>
      <c r="C2749" s="396" t="str">
        <f ca="1">IF(COUNTA(O$1610:O2749)=1,"",OFFSET(B2747,-COUNTA(O$1610:O2749)+3,1))</f>
        <v>a16Dm000000M3yCIAS</v>
      </c>
      <c r="D2749" s="392"/>
      <c r="E2749" s="389" t="str">
        <f ca="1">IFERROR(IF(VLOOKUP(C2749,' Disaggregation - Section E '!A$618:J3438,7,0)="","",VLOOKUP(C2749,' Disaggregation - Section E '!A$618:J3438,7,0)*100),"")</f>
        <v/>
      </c>
      <c r="F2749" s="391" t="str">
        <f ca="1">IFERROR(VLOOKUP(C2749,' Disaggregation - Section E '!A$618:J3438,5,0),"")</f>
        <v/>
      </c>
      <c r="G2749" s="390" t="str">
        <f ca="1">IFERROR(IF(VLOOKUP(C2749,' Disaggregation - Section E '!A$618:J3438,6,0)="","",VLOOKUP(C2749,' Disaggregation - Section E '!A$618:J3438,6,0)),"")</f>
        <v/>
      </c>
      <c r="H2749" s="390" t="str">
        <f ca="1">IFERROR(IF(INDEX(' Disaggregation - Section E '!F$618:F3438,MATCH(C2749,' Disaggregation - Section E '!A$618:A3438,0)+1,1)&lt;&gt;0,INDEX(' Disaggregation - Section E '!F$618:F3438,MATCH(C2749,' Disaggregation - Section E '!A$618:A3438,0)+1,1),""),"")</f>
        <v/>
      </c>
      <c r="I2749" s="391" t="str">
        <f ca="1">IFERROR(IF(VLOOKUP(C2749,' Disaggregation - Section E '!A$618:J3438,8,0)=0,"",VLOOKUP(C2749,' Disaggregation - Section E '!A$618:J3438,8,0)),"")</f>
        <v/>
      </c>
      <c r="J2749" s="391" t="str">
        <f ca="1">IFERROR(IF(VLOOKUP(C2749,' Disaggregation - Section E '!A$618:J3438,9,0)="","",VLOOKUP(C2749,' Disaggregation - Section E '!A$618:J3438,9,0)),"")</f>
        <v/>
      </c>
      <c r="K2749" s="387" t="str">
        <f ca="1">IFERROR(VLOOKUP(C2749,' Disaggregation - Section E '!A$618:J3438,3,0),"")</f>
        <v>HTS-3d Percentage of people who inject drugs that have received an HIV test during the reporting period in KP-specific programs and know their results</v>
      </c>
      <c r="L2749" s="387"/>
      <c r="M2749" s="387" t="str">
        <f ca="1">IFERROR(IF(VLOOKUP(C2749,' Disaggregation - Section E '!A$618:O1761,15,0)=0,"",VLOOKUP(C2749,' Disaggregation - Section E '!A$618:O1761,15,0)),"")</f>
        <v/>
      </c>
      <c r="N2749" s="391" t="str">
        <f ca="1">IFERROR(IF(VLOOKUP(C2749,' Disaggregation - Section E '!A$618:J3438,10,0)=0,"",VLOOKUP(C2749,' Disaggregation - Section E '!A$618:J3438,10,0)),"")</f>
        <v/>
      </c>
      <c r="O2749" s="387"/>
      <c r="P2749" s="387" t="str">
        <f ca="1">IFERROR(IF(VLOOKUP(C2749,' Disaggregation - Section E '!A$618:R1761,18,0)=0,"",VLOOKUP(C2749,' Disaggregation - Section E '!A$618:R1761,18,0)),"")</f>
        <v/>
      </c>
    </row>
    <row r="2750" spans="1:16">
      <c r="A2750" s="387" t="b">
        <f t="shared" ca="1" si="173"/>
        <v>0</v>
      </c>
      <c r="B2750" s="387"/>
      <c r="C2750" s="396" t="str">
        <f ca="1">IF(COUNTA(O$1610:O2750)=1,"",OFFSET(B2748,-COUNTA(O$1610:O2750)+3,1))</f>
        <v>a16Dm000000M3yDIAS</v>
      </c>
      <c r="D2750" s="392"/>
      <c r="E2750" s="389" t="str">
        <f ca="1">IFERROR(IF(VLOOKUP(C2750,' Disaggregation - Section E '!A$618:J3439,7,0)="","",VLOOKUP(C2750,' Disaggregation - Section E '!A$618:J3439,7,0)*100),"")</f>
        <v/>
      </c>
      <c r="F2750" s="391" t="str">
        <f ca="1">IFERROR(VLOOKUP(C2750,' Disaggregation - Section E '!A$618:J3439,5,0),"")</f>
        <v/>
      </c>
      <c r="G2750" s="390" t="str">
        <f ca="1">IFERROR(IF(VLOOKUP(C2750,' Disaggregation - Section E '!A$618:J3439,6,0)="","",VLOOKUP(C2750,' Disaggregation - Section E '!A$618:J3439,6,0)),"")</f>
        <v/>
      </c>
      <c r="H2750" s="390" t="str">
        <f ca="1">IFERROR(IF(INDEX(' Disaggregation - Section E '!F$618:F3439,MATCH(C2750,' Disaggregation - Section E '!A$618:A3439,0)+1,1)&lt;&gt;0,INDEX(' Disaggregation - Section E '!F$618:F3439,MATCH(C2750,' Disaggregation - Section E '!A$618:A3439,0)+1,1),""),"")</f>
        <v/>
      </c>
      <c r="I2750" s="391" t="str">
        <f ca="1">IFERROR(IF(VLOOKUP(C2750,' Disaggregation - Section E '!A$618:J3439,8,0)=0,"",VLOOKUP(C2750,' Disaggregation - Section E '!A$618:J3439,8,0)),"")</f>
        <v/>
      </c>
      <c r="J2750" s="391" t="str">
        <f ca="1">IFERROR(IF(VLOOKUP(C2750,' Disaggregation - Section E '!A$618:J3439,9,0)="","",VLOOKUP(C2750,' Disaggregation - Section E '!A$618:J3439,9,0)),"")</f>
        <v/>
      </c>
      <c r="K2750" s="387" t="str">
        <f ca="1">IFERROR(VLOOKUP(C2750,' Disaggregation - Section E '!A$618:J3439,3,0),"")</f>
        <v>HTS-3d Percentage of people who inject drugs that have received an HIV test during the reporting period in KP-specific programs and know their results</v>
      </c>
      <c r="L2750" s="387"/>
      <c r="M2750" s="387" t="str">
        <f ca="1">IFERROR(IF(VLOOKUP(C2750,' Disaggregation - Section E '!A$618:O1762,15,0)=0,"",VLOOKUP(C2750,' Disaggregation - Section E '!A$618:O1762,15,0)),"")</f>
        <v/>
      </c>
      <c r="N2750" s="391" t="str">
        <f ca="1">IFERROR(IF(VLOOKUP(C2750,' Disaggregation - Section E '!A$618:J3439,10,0)=0,"",VLOOKUP(C2750,' Disaggregation - Section E '!A$618:J3439,10,0)),"")</f>
        <v/>
      </c>
      <c r="O2750" s="387"/>
      <c r="P2750" s="387" t="str">
        <f ca="1">IFERROR(IF(VLOOKUP(C2750,' Disaggregation - Section E '!A$618:R1762,18,0)=0,"",VLOOKUP(C2750,' Disaggregation - Section E '!A$618:R1762,18,0)),"")</f>
        <v/>
      </c>
    </row>
    <row r="2751" spans="1:16">
      <c r="A2751" s="387" t="b">
        <f t="shared" ca="1" si="173"/>
        <v>0</v>
      </c>
      <c r="B2751" s="387"/>
      <c r="C2751" s="396" t="str">
        <f ca="1">IF(COUNTA(O$1610:O2751)=1,"",OFFSET(B2749,-COUNTA(O$1610:O2751)+3,1))</f>
        <v>a16Dm000000M3yEIAS</v>
      </c>
      <c r="D2751" s="392"/>
      <c r="E2751" s="389" t="str">
        <f ca="1">IFERROR(IF(VLOOKUP(C2751,' Disaggregation - Section E '!A$618:J3440,7,0)="","",VLOOKUP(C2751,' Disaggregation - Section E '!A$618:J3440,7,0)*100),"")</f>
        <v/>
      </c>
      <c r="F2751" s="391" t="str">
        <f ca="1">IFERROR(VLOOKUP(C2751,' Disaggregation - Section E '!A$618:J3440,5,0),"")</f>
        <v/>
      </c>
      <c r="G2751" s="390" t="str">
        <f ca="1">IFERROR(IF(VLOOKUP(C2751,' Disaggregation - Section E '!A$618:J3440,6,0)="","",VLOOKUP(C2751,' Disaggregation - Section E '!A$618:J3440,6,0)),"")</f>
        <v/>
      </c>
      <c r="H2751" s="390" t="str">
        <f ca="1">IFERROR(IF(INDEX(' Disaggregation - Section E '!F$618:F3440,MATCH(C2751,' Disaggregation - Section E '!A$618:A3440,0)+1,1)&lt;&gt;0,INDEX(' Disaggregation - Section E '!F$618:F3440,MATCH(C2751,' Disaggregation - Section E '!A$618:A3440,0)+1,1),""),"")</f>
        <v/>
      </c>
      <c r="I2751" s="391" t="str">
        <f ca="1">IFERROR(IF(VLOOKUP(C2751,' Disaggregation - Section E '!A$618:J3440,8,0)=0,"",VLOOKUP(C2751,' Disaggregation - Section E '!A$618:J3440,8,0)),"")</f>
        <v/>
      </c>
      <c r="J2751" s="391" t="str">
        <f ca="1">IFERROR(IF(VLOOKUP(C2751,' Disaggregation - Section E '!A$618:J3440,9,0)="","",VLOOKUP(C2751,' Disaggregation - Section E '!A$618:J3440,9,0)),"")</f>
        <v/>
      </c>
      <c r="K2751" s="387" t="str">
        <f ca="1">IFERROR(VLOOKUP(C2751,' Disaggregation - Section E '!A$618:J3440,3,0),"")</f>
        <v>HTS-3d Percentage of people who inject drugs that have received an HIV test during the reporting period in KP-specific programs and know their results</v>
      </c>
      <c r="L2751" s="387"/>
      <c r="M2751" s="387" t="str">
        <f ca="1">IFERROR(IF(VLOOKUP(C2751,' Disaggregation - Section E '!A$618:O1763,15,0)=0,"",VLOOKUP(C2751,' Disaggregation - Section E '!A$618:O1763,15,0)),"")</f>
        <v/>
      </c>
      <c r="N2751" s="391" t="str">
        <f ca="1">IFERROR(IF(VLOOKUP(C2751,' Disaggregation - Section E '!A$618:J3440,10,0)=0,"",VLOOKUP(C2751,' Disaggregation - Section E '!A$618:J3440,10,0)),"")</f>
        <v/>
      </c>
      <c r="O2751" s="387"/>
      <c r="P2751" s="387" t="str">
        <f ca="1">IFERROR(IF(VLOOKUP(C2751,' Disaggregation - Section E '!A$618:R1763,18,0)=0,"",VLOOKUP(C2751,' Disaggregation - Section E '!A$618:R1763,18,0)),"")</f>
        <v/>
      </c>
    </row>
    <row r="2752" spans="1:16">
      <c r="A2752" s="387" t="b">
        <f t="shared" ca="1" si="173"/>
        <v>1</v>
      </c>
      <c r="B2752" s="387"/>
      <c r="C2752" s="396" t="str">
        <f ca="1">IF(COUNTA(O$1610:O2752)=1,"",OFFSET(B2750,-COUNTA(O$1610:O2752)+3,1))</f>
        <v>a16Dm000000M3yFIAS</v>
      </c>
      <c r="D2752" s="392"/>
      <c r="E2752" s="389" t="str">
        <f ca="1">IFERROR(IF(VLOOKUP(C2752,' Disaggregation - Section E '!A$618:J3441,7,0)="","",VLOOKUP(C2752,' Disaggregation - Section E '!A$618:J3441,7,0)*100),"")</f>
        <v/>
      </c>
      <c r="F2752" s="391" t="str">
        <f ca="1">IFERROR(VLOOKUP(C2752,' Disaggregation - Section E '!A$618:J3441,5,0),"")</f>
        <v>Male</v>
      </c>
      <c r="G2752" s="390" t="str">
        <f ca="1">IFERROR(IF(VLOOKUP(C2752,' Disaggregation - Section E '!A$618:J3441,6,0)="","",VLOOKUP(C2752,' Disaggregation - Section E '!A$618:J3441,6,0)),"")</f>
        <v/>
      </c>
      <c r="H2752" s="390" t="str">
        <f ca="1">IFERROR(IF(INDEX(' Disaggregation - Section E '!F$618:F3441,MATCH(C2752,' Disaggregation - Section E '!A$618:A3441,0)+1,1)&lt;&gt;0,INDEX(' Disaggregation - Section E '!F$618:F3441,MATCH(C2752,' Disaggregation - Section E '!A$618:A3441,0)+1,1),""),"")</f>
        <v/>
      </c>
      <c r="I2752" s="391" t="str">
        <f ca="1">IFERROR(IF(VLOOKUP(C2752,' Disaggregation - Section E '!A$618:J3441,8,0)=0,"",VLOOKUP(C2752,' Disaggregation - Section E '!A$618:J3441,8,0)),"")</f>
        <v/>
      </c>
      <c r="J2752" s="391" t="str">
        <f ca="1">IFERROR(IF(VLOOKUP(C2752,' Disaggregation - Section E '!A$618:J3441,9,0)="","",VLOOKUP(C2752,' Disaggregation - Section E '!A$618:J3441,9,0)),"")</f>
        <v/>
      </c>
      <c r="K2752" s="387" t="str">
        <f ca="1">IFERROR(VLOOKUP(C2752,' Disaggregation - Section E '!A$618:J3441,3,0),"")</f>
        <v>HTS-3f Number of people in prisons and other closed settings that have received an HIV test during the reporting period and know their results</v>
      </c>
      <c r="L2752" s="387"/>
      <c r="M2752" s="387" t="str">
        <f ca="1">IFERROR(IF(VLOOKUP(C2752,' Disaggregation - Section E '!A$618:O1764,15,0)=0,"",VLOOKUP(C2752,' Disaggregation - Section E '!A$618:O1764,15,0)),"")</f>
        <v>IDR-01288</v>
      </c>
      <c r="N2752" s="391" t="str">
        <f ca="1">IFERROR(IF(VLOOKUP(C2752,' Disaggregation - Section E '!A$618:J3441,10,0)=0,"",VLOOKUP(C2752,' Disaggregation - Section E '!A$618:J3441,10,0)),"")</f>
        <v>Disaggregated data not available. The activity will be taken into account from 2024 onwards</v>
      </c>
      <c r="O2752" s="387"/>
      <c r="P2752" s="387" t="str">
        <f ca="1">IFERROR(IF(VLOOKUP(C2752,' Disaggregation - Section E '!A$618:R1764,18,0)=0,"",VLOOKUP(C2752,' Disaggregation - Section E '!A$618:R1764,18,0)),"")</f>
        <v>a1LDm000000Cb3WMAS</v>
      </c>
    </row>
    <row r="2753" spans="1:16">
      <c r="A2753" s="387" t="b">
        <f t="shared" ca="1" si="173"/>
        <v>1</v>
      </c>
      <c r="B2753" s="387"/>
      <c r="C2753" s="396" t="str">
        <f ca="1">IF(COUNTA(O$1610:O2753)=1,"",OFFSET(B2751,-COUNTA(O$1610:O2753)+3,1))</f>
        <v>a16Dm000000M3yGIAS</v>
      </c>
      <c r="D2753" s="392"/>
      <c r="E2753" s="389" t="str">
        <f ca="1">IFERROR(IF(VLOOKUP(C2753,' Disaggregation - Section E '!A$618:J3442,7,0)="","",VLOOKUP(C2753,' Disaggregation - Section E '!A$618:J3442,7,0)*100),"")</f>
        <v/>
      </c>
      <c r="F2753" s="391" t="str">
        <f ca="1">IFERROR(VLOOKUP(C2753,' Disaggregation - Section E '!A$618:J3442,5,0),"")</f>
        <v>Female</v>
      </c>
      <c r="G2753" s="390" t="str">
        <f ca="1">IFERROR(IF(VLOOKUP(C2753,' Disaggregation - Section E '!A$618:J3442,6,0)="","",VLOOKUP(C2753,' Disaggregation - Section E '!A$618:J3442,6,0)),"")</f>
        <v/>
      </c>
      <c r="H2753" s="390" t="str">
        <f ca="1">IFERROR(IF(INDEX(' Disaggregation - Section E '!F$618:F3442,MATCH(C2753,' Disaggregation - Section E '!A$618:A3442,0)+1,1)&lt;&gt;0,INDEX(' Disaggregation - Section E '!F$618:F3442,MATCH(C2753,' Disaggregation - Section E '!A$618:A3442,0)+1,1),""),"")</f>
        <v/>
      </c>
      <c r="I2753" s="391" t="str">
        <f ca="1">IFERROR(IF(VLOOKUP(C2753,' Disaggregation - Section E '!A$618:J3442,8,0)=0,"",VLOOKUP(C2753,' Disaggregation - Section E '!A$618:J3442,8,0)),"")</f>
        <v/>
      </c>
      <c r="J2753" s="391" t="str">
        <f ca="1">IFERROR(IF(VLOOKUP(C2753,' Disaggregation - Section E '!A$618:J3442,9,0)="","",VLOOKUP(C2753,' Disaggregation - Section E '!A$618:J3442,9,0)),"")</f>
        <v/>
      </c>
      <c r="K2753" s="387" t="str">
        <f ca="1">IFERROR(VLOOKUP(C2753,' Disaggregation - Section E '!A$618:J3442,3,0),"")</f>
        <v>HTS-3f Number of people in prisons and other closed settings that have received an HIV test during the reporting period and know their results</v>
      </c>
      <c r="L2753" s="387"/>
      <c r="M2753" s="387" t="str">
        <f ca="1">IFERROR(IF(VLOOKUP(C2753,' Disaggregation - Section E '!A$618:O1765,15,0)=0,"",VLOOKUP(C2753,' Disaggregation - Section E '!A$618:O1765,15,0)),"")</f>
        <v>IDR-01287</v>
      </c>
      <c r="N2753" s="391" t="str">
        <f ca="1">IFERROR(IF(VLOOKUP(C2753,' Disaggregation - Section E '!A$618:J3442,10,0)=0,"",VLOOKUP(C2753,' Disaggregation - Section E '!A$618:J3442,10,0)),"")</f>
        <v>Disaggregated data not available. The activity will be taken into account from 2024 onwards</v>
      </c>
      <c r="O2753" s="387"/>
      <c r="P2753" s="387" t="str">
        <f ca="1">IFERROR(IF(VLOOKUP(C2753,' Disaggregation - Section E '!A$618:R1765,18,0)=0,"",VLOOKUP(C2753,' Disaggregation - Section E '!A$618:R1765,18,0)),"")</f>
        <v>a1LDm000000Cb3VMAS</v>
      </c>
    </row>
    <row r="2754" spans="1:16">
      <c r="A2754" s="387" t="b">
        <f t="shared" ca="1" si="173"/>
        <v>0</v>
      </c>
      <c r="B2754" s="387"/>
      <c r="C2754" s="396" t="str">
        <f ca="1">IF(COUNTA(O$1610:O2754)=1,"",OFFSET(B2752,-COUNTA(O$1610:O2754)+3,1))</f>
        <v>a16Dm000000M3yHIAS</v>
      </c>
      <c r="D2754" s="392"/>
      <c r="E2754" s="389" t="str">
        <f ca="1">IFERROR(IF(VLOOKUP(C2754,' Disaggregation - Section E '!A$618:J3443,7,0)="","",VLOOKUP(C2754,' Disaggregation - Section E '!A$618:J3443,7,0)*100),"")</f>
        <v/>
      </c>
      <c r="F2754" s="391" t="str">
        <f ca="1">IFERROR(VLOOKUP(C2754,' Disaggregation - Section E '!A$618:J3443,5,0),"")</f>
        <v/>
      </c>
      <c r="G2754" s="390" t="str">
        <f ca="1">IFERROR(IF(VLOOKUP(C2754,' Disaggregation - Section E '!A$618:J3443,6,0)="","",VLOOKUP(C2754,' Disaggregation - Section E '!A$618:J3443,6,0)),"")</f>
        <v/>
      </c>
      <c r="H2754" s="390" t="str">
        <f ca="1">IFERROR(IF(INDEX(' Disaggregation - Section E '!F$618:F3443,MATCH(C2754,' Disaggregation - Section E '!A$618:A3443,0)+1,1)&lt;&gt;0,INDEX(' Disaggregation - Section E '!F$618:F3443,MATCH(C2754,' Disaggregation - Section E '!A$618:A3443,0)+1,1),""),"")</f>
        <v/>
      </c>
      <c r="I2754" s="391" t="str">
        <f ca="1">IFERROR(IF(VLOOKUP(C2754,' Disaggregation - Section E '!A$618:J3443,8,0)=0,"",VLOOKUP(C2754,' Disaggregation - Section E '!A$618:J3443,8,0)),"")</f>
        <v/>
      </c>
      <c r="J2754" s="391" t="str">
        <f ca="1">IFERROR(IF(VLOOKUP(C2754,' Disaggregation - Section E '!A$618:J3443,9,0)="","",VLOOKUP(C2754,' Disaggregation - Section E '!A$618:J3443,9,0)),"")</f>
        <v/>
      </c>
      <c r="K2754" s="387" t="str">
        <f ca="1">IFERROR(VLOOKUP(C2754,' Disaggregation - Section E '!A$618:J3443,3,0),"")</f>
        <v>HTS-3f Number of people in prisons and other closed settings that have received an HIV test during the reporting period and know their results</v>
      </c>
      <c r="L2754" s="387"/>
      <c r="M2754" s="387" t="str">
        <f ca="1">IFERROR(IF(VLOOKUP(C2754,' Disaggregation - Section E '!A$618:O1766,15,0)=0,"",VLOOKUP(C2754,' Disaggregation - Section E '!A$618:O1766,15,0)),"")</f>
        <v/>
      </c>
      <c r="N2754" s="391" t="str">
        <f ca="1">IFERROR(IF(VLOOKUP(C2754,' Disaggregation - Section E '!A$618:J3443,10,0)=0,"",VLOOKUP(C2754,' Disaggregation - Section E '!A$618:J3443,10,0)),"")</f>
        <v/>
      </c>
      <c r="O2754" s="387"/>
      <c r="P2754" s="387" t="str">
        <f ca="1">IFERROR(IF(VLOOKUP(C2754,' Disaggregation - Section E '!A$618:R1766,18,0)=0,"",VLOOKUP(C2754,' Disaggregation - Section E '!A$618:R1766,18,0)),"")</f>
        <v/>
      </c>
    </row>
    <row r="2755" spans="1:16">
      <c r="A2755" s="387" t="b">
        <f t="shared" ca="1" si="173"/>
        <v>0</v>
      </c>
      <c r="B2755" s="387"/>
      <c r="C2755" s="396" t="str">
        <f ca="1">IF(COUNTA(O$1610:O2755)=1,"",OFFSET(B2753,-COUNTA(O$1610:O2755)+3,1))</f>
        <v>a16Dm000000M3yIIAS</v>
      </c>
      <c r="D2755" s="392"/>
      <c r="E2755" s="389" t="str">
        <f ca="1">IFERROR(IF(VLOOKUP(C2755,' Disaggregation - Section E '!A$618:J3444,7,0)="","",VLOOKUP(C2755,' Disaggregation - Section E '!A$618:J3444,7,0)*100),"")</f>
        <v/>
      </c>
      <c r="F2755" s="391" t="str">
        <f ca="1">IFERROR(VLOOKUP(C2755,' Disaggregation - Section E '!A$618:J3444,5,0),"")</f>
        <v/>
      </c>
      <c r="G2755" s="390" t="str">
        <f ca="1">IFERROR(IF(VLOOKUP(C2755,' Disaggregation - Section E '!A$618:J3444,6,0)="","",VLOOKUP(C2755,' Disaggregation - Section E '!A$618:J3444,6,0)),"")</f>
        <v/>
      </c>
      <c r="H2755" s="390" t="str">
        <f ca="1">IFERROR(IF(INDEX(' Disaggregation - Section E '!F$618:F3444,MATCH(C2755,' Disaggregation - Section E '!A$618:A3444,0)+1,1)&lt;&gt;0,INDEX(' Disaggregation - Section E '!F$618:F3444,MATCH(C2755,' Disaggregation - Section E '!A$618:A3444,0)+1,1),""),"")</f>
        <v/>
      </c>
      <c r="I2755" s="391" t="str">
        <f ca="1">IFERROR(IF(VLOOKUP(C2755,' Disaggregation - Section E '!A$618:J3444,8,0)=0,"",VLOOKUP(C2755,' Disaggregation - Section E '!A$618:J3444,8,0)),"")</f>
        <v/>
      </c>
      <c r="J2755" s="391" t="str">
        <f ca="1">IFERROR(IF(VLOOKUP(C2755,' Disaggregation - Section E '!A$618:J3444,9,0)="","",VLOOKUP(C2755,' Disaggregation - Section E '!A$618:J3444,9,0)),"")</f>
        <v/>
      </c>
      <c r="K2755" s="387" t="str">
        <f ca="1">IFERROR(VLOOKUP(C2755,' Disaggregation - Section E '!A$618:J3444,3,0),"")</f>
        <v>HTS-3f Number of people in prisons and other closed settings that have received an HIV test during the reporting period and know their results</v>
      </c>
      <c r="L2755" s="387"/>
      <c r="M2755" s="387" t="str">
        <f ca="1">IFERROR(IF(VLOOKUP(C2755,' Disaggregation - Section E '!A$618:O1767,15,0)=0,"",VLOOKUP(C2755,' Disaggregation - Section E '!A$618:O1767,15,0)),"")</f>
        <v/>
      </c>
      <c r="N2755" s="391" t="str">
        <f ca="1">IFERROR(IF(VLOOKUP(C2755,' Disaggregation - Section E '!A$618:J3444,10,0)=0,"",VLOOKUP(C2755,' Disaggregation - Section E '!A$618:J3444,10,0)),"")</f>
        <v/>
      </c>
      <c r="O2755" s="387"/>
      <c r="P2755" s="387" t="str">
        <f ca="1">IFERROR(IF(VLOOKUP(C2755,' Disaggregation - Section E '!A$618:R1767,18,0)=0,"",VLOOKUP(C2755,' Disaggregation - Section E '!A$618:R1767,18,0)),"")</f>
        <v/>
      </c>
    </row>
    <row r="2756" spans="1:16">
      <c r="A2756" s="387" t="b">
        <f t="shared" ca="1" si="173"/>
        <v>0</v>
      </c>
      <c r="B2756" s="387"/>
      <c r="C2756" s="396" t="str">
        <f ca="1">IF(COUNTA(O$1610:O2756)=1,"",OFFSET(B2754,-COUNTA(O$1610:O2756)+3,1))</f>
        <v>a16Dm000000M3yJIAS</v>
      </c>
      <c r="D2756" s="392"/>
      <c r="E2756" s="389" t="str">
        <f ca="1">IFERROR(IF(VLOOKUP(C2756,' Disaggregation - Section E '!A$618:J3445,7,0)="","",VLOOKUP(C2756,' Disaggregation - Section E '!A$618:J3445,7,0)*100),"")</f>
        <v/>
      </c>
      <c r="F2756" s="391" t="str">
        <f ca="1">IFERROR(VLOOKUP(C2756,' Disaggregation - Section E '!A$618:J3445,5,0),"")</f>
        <v/>
      </c>
      <c r="G2756" s="390" t="str">
        <f ca="1">IFERROR(IF(VLOOKUP(C2756,' Disaggregation - Section E '!A$618:J3445,6,0)="","",VLOOKUP(C2756,' Disaggregation - Section E '!A$618:J3445,6,0)),"")</f>
        <v/>
      </c>
      <c r="H2756" s="390" t="str">
        <f ca="1">IFERROR(IF(INDEX(' Disaggregation - Section E '!F$618:F3445,MATCH(C2756,' Disaggregation - Section E '!A$618:A3445,0)+1,1)&lt;&gt;0,INDEX(' Disaggregation - Section E '!F$618:F3445,MATCH(C2756,' Disaggregation - Section E '!A$618:A3445,0)+1,1),""),"")</f>
        <v/>
      </c>
      <c r="I2756" s="391" t="str">
        <f ca="1">IFERROR(IF(VLOOKUP(C2756,' Disaggregation - Section E '!A$618:J3445,8,0)=0,"",VLOOKUP(C2756,' Disaggregation - Section E '!A$618:J3445,8,0)),"")</f>
        <v/>
      </c>
      <c r="J2756" s="391" t="str">
        <f ca="1">IFERROR(IF(VLOOKUP(C2756,' Disaggregation - Section E '!A$618:J3445,9,0)="","",VLOOKUP(C2756,' Disaggregation - Section E '!A$618:J3445,9,0)),"")</f>
        <v/>
      </c>
      <c r="K2756" s="387" t="str">
        <f ca="1">IFERROR(VLOOKUP(C2756,' Disaggregation - Section E '!A$618:J3445,3,0),"")</f>
        <v>HTS-3f Number of people in prisons and other closed settings that have received an HIV test during the reporting period and know their results</v>
      </c>
      <c r="L2756" s="387"/>
      <c r="M2756" s="387" t="str">
        <f ca="1">IFERROR(IF(VLOOKUP(C2756,' Disaggregation - Section E '!A$618:O1768,15,0)=0,"",VLOOKUP(C2756,' Disaggregation - Section E '!A$618:O1768,15,0)),"")</f>
        <v/>
      </c>
      <c r="N2756" s="391" t="str">
        <f ca="1">IFERROR(IF(VLOOKUP(C2756,' Disaggregation - Section E '!A$618:J3445,10,0)=0,"",VLOOKUP(C2756,' Disaggregation - Section E '!A$618:J3445,10,0)),"")</f>
        <v/>
      </c>
      <c r="O2756" s="387"/>
      <c r="P2756" s="387" t="str">
        <f ca="1">IFERROR(IF(VLOOKUP(C2756,' Disaggregation - Section E '!A$618:R1768,18,0)=0,"",VLOOKUP(C2756,' Disaggregation - Section E '!A$618:R1768,18,0)),"")</f>
        <v/>
      </c>
    </row>
    <row r="2757" spans="1:16">
      <c r="A2757" s="387" t="b">
        <f t="shared" ca="1" si="173"/>
        <v>0</v>
      </c>
      <c r="B2757" s="387"/>
      <c r="C2757" s="396" t="str">
        <f ca="1">IF(COUNTA(O$1610:O2757)=1,"",OFFSET(B2755,-COUNTA(O$1610:O2757)+3,1))</f>
        <v>a16Dm000000M3yKIAS</v>
      </c>
      <c r="D2757" s="392"/>
      <c r="E2757" s="389" t="str">
        <f ca="1">IFERROR(IF(VLOOKUP(C2757,' Disaggregation - Section E '!A$618:J3446,7,0)="","",VLOOKUP(C2757,' Disaggregation - Section E '!A$618:J3446,7,0)*100),"")</f>
        <v/>
      </c>
      <c r="F2757" s="391" t="str">
        <f ca="1">IFERROR(VLOOKUP(C2757,' Disaggregation - Section E '!A$618:J3446,5,0),"")</f>
        <v/>
      </c>
      <c r="G2757" s="390" t="str">
        <f ca="1">IFERROR(IF(VLOOKUP(C2757,' Disaggregation - Section E '!A$618:J3446,6,0)="","",VLOOKUP(C2757,' Disaggregation - Section E '!A$618:J3446,6,0)),"")</f>
        <v/>
      </c>
      <c r="H2757" s="390" t="str">
        <f ca="1">IFERROR(IF(INDEX(' Disaggregation - Section E '!F$618:F3446,MATCH(C2757,' Disaggregation - Section E '!A$618:A3446,0)+1,1)&lt;&gt;0,INDEX(' Disaggregation - Section E '!F$618:F3446,MATCH(C2757,' Disaggregation - Section E '!A$618:A3446,0)+1,1),""),"")</f>
        <v/>
      </c>
      <c r="I2757" s="391" t="str">
        <f ca="1">IFERROR(IF(VLOOKUP(C2757,' Disaggregation - Section E '!A$618:J3446,8,0)=0,"",VLOOKUP(C2757,' Disaggregation - Section E '!A$618:J3446,8,0)),"")</f>
        <v/>
      </c>
      <c r="J2757" s="391" t="str">
        <f ca="1">IFERROR(IF(VLOOKUP(C2757,' Disaggregation - Section E '!A$618:J3446,9,0)="","",VLOOKUP(C2757,' Disaggregation - Section E '!A$618:J3446,9,0)),"")</f>
        <v/>
      </c>
      <c r="K2757" s="387" t="str">
        <f ca="1">IFERROR(VLOOKUP(C2757,' Disaggregation - Section E '!A$618:J3446,3,0),"")</f>
        <v>HTS-3f Number of people in prisons and other closed settings that have received an HIV test during the reporting period and know their results</v>
      </c>
      <c r="L2757" s="387"/>
      <c r="M2757" s="387" t="str">
        <f ca="1">IFERROR(IF(VLOOKUP(C2757,' Disaggregation - Section E '!A$618:O1769,15,0)=0,"",VLOOKUP(C2757,' Disaggregation - Section E '!A$618:O1769,15,0)),"")</f>
        <v/>
      </c>
      <c r="N2757" s="391" t="str">
        <f ca="1">IFERROR(IF(VLOOKUP(C2757,' Disaggregation - Section E '!A$618:J3446,10,0)=0,"",VLOOKUP(C2757,' Disaggregation - Section E '!A$618:J3446,10,0)),"")</f>
        <v/>
      </c>
      <c r="O2757" s="387"/>
      <c r="P2757" s="387" t="str">
        <f ca="1">IFERROR(IF(VLOOKUP(C2757,' Disaggregation - Section E '!A$618:R1769,18,0)=0,"",VLOOKUP(C2757,' Disaggregation - Section E '!A$618:R1769,18,0)),"")</f>
        <v/>
      </c>
    </row>
    <row r="2758" spans="1:16">
      <c r="A2758" s="387" t="b">
        <f t="shared" ca="1" si="173"/>
        <v>0</v>
      </c>
      <c r="B2758" s="387"/>
      <c r="C2758" s="396" t="str">
        <f ca="1">IF(COUNTA(O$1610:O2758)=1,"",OFFSET(B2756,-COUNTA(O$1610:O2758)+3,1))</f>
        <v>a16Dm000000M3yLIAS</v>
      </c>
      <c r="D2758" s="392"/>
      <c r="E2758" s="389" t="str">
        <f ca="1">IFERROR(IF(VLOOKUP(C2758,' Disaggregation - Section E '!A$618:J3447,7,0)="","",VLOOKUP(C2758,' Disaggregation - Section E '!A$618:J3447,7,0)*100),"")</f>
        <v/>
      </c>
      <c r="F2758" s="391" t="str">
        <f ca="1">IFERROR(VLOOKUP(C2758,' Disaggregation - Section E '!A$618:J3447,5,0),"")</f>
        <v/>
      </c>
      <c r="G2758" s="390" t="str">
        <f ca="1">IFERROR(IF(VLOOKUP(C2758,' Disaggregation - Section E '!A$618:J3447,6,0)="","",VLOOKUP(C2758,' Disaggregation - Section E '!A$618:J3447,6,0)),"")</f>
        <v/>
      </c>
      <c r="H2758" s="390" t="str">
        <f ca="1">IFERROR(IF(INDEX(' Disaggregation - Section E '!F$618:F3447,MATCH(C2758,' Disaggregation - Section E '!A$618:A3447,0)+1,1)&lt;&gt;0,INDEX(' Disaggregation - Section E '!F$618:F3447,MATCH(C2758,' Disaggregation - Section E '!A$618:A3447,0)+1,1),""),"")</f>
        <v/>
      </c>
      <c r="I2758" s="391" t="str">
        <f ca="1">IFERROR(IF(VLOOKUP(C2758,' Disaggregation - Section E '!A$618:J3447,8,0)=0,"",VLOOKUP(C2758,' Disaggregation - Section E '!A$618:J3447,8,0)),"")</f>
        <v/>
      </c>
      <c r="J2758" s="391" t="str">
        <f ca="1">IFERROR(IF(VLOOKUP(C2758,' Disaggregation - Section E '!A$618:J3447,9,0)="","",VLOOKUP(C2758,' Disaggregation - Section E '!A$618:J3447,9,0)),"")</f>
        <v/>
      </c>
      <c r="K2758" s="387" t="str">
        <f ca="1">IFERROR(VLOOKUP(C2758,' Disaggregation - Section E '!A$618:J3447,3,0),"")</f>
        <v>HTS-3f Number of people in prisons and other closed settings that have received an HIV test during the reporting period and know their results</v>
      </c>
      <c r="L2758" s="387"/>
      <c r="M2758" s="387" t="str">
        <f ca="1">IFERROR(IF(VLOOKUP(C2758,' Disaggregation - Section E '!A$618:O1770,15,0)=0,"",VLOOKUP(C2758,' Disaggregation - Section E '!A$618:O1770,15,0)),"")</f>
        <v/>
      </c>
      <c r="N2758" s="391" t="str">
        <f ca="1">IFERROR(IF(VLOOKUP(C2758,' Disaggregation - Section E '!A$618:J3447,10,0)=0,"",VLOOKUP(C2758,' Disaggregation - Section E '!A$618:J3447,10,0)),"")</f>
        <v/>
      </c>
      <c r="O2758" s="387"/>
      <c r="P2758" s="387" t="str">
        <f ca="1">IFERROR(IF(VLOOKUP(C2758,' Disaggregation - Section E '!A$618:R1770,18,0)=0,"",VLOOKUP(C2758,' Disaggregation - Section E '!A$618:R1770,18,0)),"")</f>
        <v/>
      </c>
    </row>
    <row r="2759" spans="1:16">
      <c r="A2759" s="387" t="b">
        <f t="shared" ca="1" si="173"/>
        <v>0</v>
      </c>
      <c r="B2759" s="387"/>
      <c r="C2759" s="396" t="str">
        <f ca="1">IF(COUNTA(O$1610:O2759)=1,"",OFFSET(B2757,-COUNTA(O$1610:O2759)+3,1))</f>
        <v>a16Dm000000M3yMIAS</v>
      </c>
      <c r="D2759" s="392"/>
      <c r="E2759" s="389" t="str">
        <f ca="1">IFERROR(IF(VLOOKUP(C2759,' Disaggregation - Section E '!A$618:J3448,7,0)="","",VLOOKUP(C2759,' Disaggregation - Section E '!A$618:J3448,7,0)*100),"")</f>
        <v/>
      </c>
      <c r="F2759" s="391" t="str">
        <f ca="1">IFERROR(VLOOKUP(C2759,' Disaggregation - Section E '!A$618:J3448,5,0),"")</f>
        <v/>
      </c>
      <c r="G2759" s="390" t="str">
        <f ca="1">IFERROR(IF(VLOOKUP(C2759,' Disaggregation - Section E '!A$618:J3448,6,0)="","",VLOOKUP(C2759,' Disaggregation - Section E '!A$618:J3448,6,0)),"")</f>
        <v/>
      </c>
      <c r="H2759" s="390" t="str">
        <f ca="1">IFERROR(IF(INDEX(' Disaggregation - Section E '!F$618:F3448,MATCH(C2759,' Disaggregation - Section E '!A$618:A3448,0)+1,1)&lt;&gt;0,INDEX(' Disaggregation - Section E '!F$618:F3448,MATCH(C2759,' Disaggregation - Section E '!A$618:A3448,0)+1,1),""),"")</f>
        <v/>
      </c>
      <c r="I2759" s="391" t="str">
        <f ca="1">IFERROR(IF(VLOOKUP(C2759,' Disaggregation - Section E '!A$618:J3448,8,0)=0,"",VLOOKUP(C2759,' Disaggregation - Section E '!A$618:J3448,8,0)),"")</f>
        <v/>
      </c>
      <c r="J2759" s="391" t="str">
        <f ca="1">IFERROR(IF(VLOOKUP(C2759,' Disaggregation - Section E '!A$618:J3448,9,0)="","",VLOOKUP(C2759,' Disaggregation - Section E '!A$618:J3448,9,0)),"")</f>
        <v/>
      </c>
      <c r="K2759" s="387" t="str">
        <f ca="1">IFERROR(VLOOKUP(C2759,' Disaggregation - Section E '!A$618:J3448,3,0),"")</f>
        <v>HTS-3f Number of people in prisons and other closed settings that have received an HIV test during the reporting period and know their results</v>
      </c>
      <c r="L2759" s="387"/>
      <c r="M2759" s="387" t="str">
        <f ca="1">IFERROR(IF(VLOOKUP(C2759,' Disaggregation - Section E '!A$618:O1771,15,0)=0,"",VLOOKUP(C2759,' Disaggregation - Section E '!A$618:O1771,15,0)),"")</f>
        <v/>
      </c>
      <c r="N2759" s="391" t="str">
        <f ca="1">IFERROR(IF(VLOOKUP(C2759,' Disaggregation - Section E '!A$618:J3448,10,0)=0,"",VLOOKUP(C2759,' Disaggregation - Section E '!A$618:J3448,10,0)),"")</f>
        <v/>
      </c>
      <c r="O2759" s="387"/>
      <c r="P2759" s="387" t="str">
        <f ca="1">IFERROR(IF(VLOOKUP(C2759,' Disaggregation - Section E '!A$618:R1771,18,0)=0,"",VLOOKUP(C2759,' Disaggregation - Section E '!A$618:R1771,18,0)),"")</f>
        <v/>
      </c>
    </row>
    <row r="2760" spans="1:16">
      <c r="A2760" s="387" t="b">
        <f t="shared" ca="1" si="173"/>
        <v>0</v>
      </c>
      <c r="B2760" s="387"/>
      <c r="C2760" s="396" t="str">
        <f ca="1">IF(COUNTA(O$1610:O2760)=1,"",OFFSET(B2758,-COUNTA(O$1610:O2760)+3,1))</f>
        <v>a16Dm000000M3yNIAS</v>
      </c>
      <c r="D2760" s="392"/>
      <c r="E2760" s="389" t="str">
        <f ca="1">IFERROR(IF(VLOOKUP(C2760,' Disaggregation - Section E '!A$618:J3449,7,0)="","",VLOOKUP(C2760,' Disaggregation - Section E '!A$618:J3449,7,0)*100),"")</f>
        <v/>
      </c>
      <c r="F2760" s="391" t="str">
        <f ca="1">IFERROR(VLOOKUP(C2760,' Disaggregation - Section E '!A$618:J3449,5,0),"")</f>
        <v/>
      </c>
      <c r="G2760" s="390" t="str">
        <f ca="1">IFERROR(IF(VLOOKUP(C2760,' Disaggregation - Section E '!A$618:J3449,6,0)="","",VLOOKUP(C2760,' Disaggregation - Section E '!A$618:J3449,6,0)),"")</f>
        <v/>
      </c>
      <c r="H2760" s="390" t="str">
        <f ca="1">IFERROR(IF(INDEX(' Disaggregation - Section E '!F$618:F3449,MATCH(C2760,' Disaggregation - Section E '!A$618:A3449,0)+1,1)&lt;&gt;0,INDEX(' Disaggregation - Section E '!F$618:F3449,MATCH(C2760,' Disaggregation - Section E '!A$618:A3449,0)+1,1),""),"")</f>
        <v/>
      </c>
      <c r="I2760" s="391" t="str">
        <f ca="1">IFERROR(IF(VLOOKUP(C2760,' Disaggregation - Section E '!A$618:J3449,8,0)=0,"",VLOOKUP(C2760,' Disaggregation - Section E '!A$618:J3449,8,0)),"")</f>
        <v/>
      </c>
      <c r="J2760" s="391" t="str">
        <f ca="1">IFERROR(IF(VLOOKUP(C2760,' Disaggregation - Section E '!A$618:J3449,9,0)="","",VLOOKUP(C2760,' Disaggregation - Section E '!A$618:J3449,9,0)),"")</f>
        <v/>
      </c>
      <c r="K2760" s="387" t="str">
        <f ca="1">IFERROR(VLOOKUP(C2760,' Disaggregation - Section E '!A$618:J3449,3,0),"")</f>
        <v>HTS-3f Number of people in prisons and other closed settings that have received an HIV test during the reporting period and know their results</v>
      </c>
      <c r="L2760" s="387"/>
      <c r="M2760" s="387" t="str">
        <f ca="1">IFERROR(IF(VLOOKUP(C2760,' Disaggregation - Section E '!A$618:O1772,15,0)=0,"",VLOOKUP(C2760,' Disaggregation - Section E '!A$618:O1772,15,0)),"")</f>
        <v/>
      </c>
      <c r="N2760" s="391" t="str">
        <f ca="1">IFERROR(IF(VLOOKUP(C2760,' Disaggregation - Section E '!A$618:J3449,10,0)=0,"",VLOOKUP(C2760,' Disaggregation - Section E '!A$618:J3449,10,0)),"")</f>
        <v/>
      </c>
      <c r="O2760" s="387"/>
      <c r="P2760" s="387" t="str">
        <f ca="1">IFERROR(IF(VLOOKUP(C2760,' Disaggregation - Section E '!A$618:R1772,18,0)=0,"",VLOOKUP(C2760,' Disaggregation - Section E '!A$618:R1772,18,0)),"")</f>
        <v/>
      </c>
    </row>
    <row r="2761" spans="1:16">
      <c r="A2761" s="387" t="b">
        <f t="shared" ca="1" si="173"/>
        <v>0</v>
      </c>
      <c r="B2761" s="387"/>
      <c r="C2761" s="396" t="str">
        <f ca="1">IF(COUNTA(O$1610:O2761)=1,"",OFFSET(B2759,-COUNTA(O$1610:O2761)+3,1))</f>
        <v>a16Dm000000M3yOIAS</v>
      </c>
      <c r="D2761" s="392"/>
      <c r="E2761" s="389" t="str">
        <f ca="1">IFERROR(IF(VLOOKUP(C2761,' Disaggregation - Section E '!A$618:J3450,7,0)="","",VLOOKUP(C2761,' Disaggregation - Section E '!A$618:J3450,7,0)*100),"")</f>
        <v/>
      </c>
      <c r="F2761" s="391" t="str">
        <f ca="1">IFERROR(VLOOKUP(C2761,' Disaggregation - Section E '!A$618:J3450,5,0),"")</f>
        <v/>
      </c>
      <c r="G2761" s="390" t="str">
        <f ca="1">IFERROR(IF(VLOOKUP(C2761,' Disaggregation - Section E '!A$618:J3450,6,0)="","",VLOOKUP(C2761,' Disaggregation - Section E '!A$618:J3450,6,0)),"")</f>
        <v/>
      </c>
      <c r="H2761" s="390" t="str">
        <f ca="1">IFERROR(IF(INDEX(' Disaggregation - Section E '!F$618:F3450,MATCH(C2761,' Disaggregation - Section E '!A$618:A3450,0)+1,1)&lt;&gt;0,INDEX(' Disaggregation - Section E '!F$618:F3450,MATCH(C2761,' Disaggregation - Section E '!A$618:A3450,0)+1,1),""),"")</f>
        <v/>
      </c>
      <c r="I2761" s="391" t="str">
        <f ca="1">IFERROR(IF(VLOOKUP(C2761,' Disaggregation - Section E '!A$618:J3450,8,0)=0,"",VLOOKUP(C2761,' Disaggregation - Section E '!A$618:J3450,8,0)),"")</f>
        <v/>
      </c>
      <c r="J2761" s="391" t="str">
        <f ca="1">IFERROR(IF(VLOOKUP(C2761,' Disaggregation - Section E '!A$618:J3450,9,0)="","",VLOOKUP(C2761,' Disaggregation - Section E '!A$618:J3450,9,0)),"")</f>
        <v/>
      </c>
      <c r="K2761" s="387" t="str">
        <f ca="1">IFERROR(VLOOKUP(C2761,' Disaggregation - Section E '!A$618:J3450,3,0),"")</f>
        <v>HTS-3f Number of people in prisons and other closed settings that have received an HIV test during the reporting period and know their results</v>
      </c>
      <c r="L2761" s="387"/>
      <c r="M2761" s="387" t="str">
        <f ca="1">IFERROR(IF(VLOOKUP(C2761,' Disaggregation - Section E '!A$618:O1773,15,0)=0,"",VLOOKUP(C2761,' Disaggregation - Section E '!A$618:O1773,15,0)),"")</f>
        <v/>
      </c>
      <c r="N2761" s="391" t="str">
        <f ca="1">IFERROR(IF(VLOOKUP(C2761,' Disaggregation - Section E '!A$618:J3450,10,0)=0,"",VLOOKUP(C2761,' Disaggregation - Section E '!A$618:J3450,10,0)),"")</f>
        <v/>
      </c>
      <c r="O2761" s="387"/>
      <c r="P2761" s="387" t="str">
        <f ca="1">IFERROR(IF(VLOOKUP(C2761,' Disaggregation - Section E '!A$618:R1773,18,0)=0,"",VLOOKUP(C2761,' Disaggregation - Section E '!A$618:R1773,18,0)),"")</f>
        <v/>
      </c>
    </row>
    <row r="2762" spans="1:16">
      <c r="A2762" s="387" t="b">
        <f t="shared" ca="1" si="173"/>
        <v>0</v>
      </c>
      <c r="B2762" s="387"/>
      <c r="C2762" s="396" t="str">
        <f ca="1">IF(COUNTA(O$1610:O2762)=1,"",OFFSET(B2760,-COUNTA(O$1610:O2762)+3,1))</f>
        <v>a16Dm000000M3yPIAS</v>
      </c>
      <c r="D2762" s="392"/>
      <c r="E2762" s="389" t="str">
        <f ca="1">IFERROR(IF(VLOOKUP(C2762,' Disaggregation - Section E '!A$618:J3451,7,0)="","",VLOOKUP(C2762,' Disaggregation - Section E '!A$618:J3451,7,0)*100),"")</f>
        <v/>
      </c>
      <c r="F2762" s="391" t="str">
        <f ca="1">IFERROR(VLOOKUP(C2762,' Disaggregation - Section E '!A$618:J3451,5,0),"")</f>
        <v/>
      </c>
      <c r="G2762" s="390" t="str">
        <f ca="1">IFERROR(IF(VLOOKUP(C2762,' Disaggregation - Section E '!A$618:J3451,6,0)="","",VLOOKUP(C2762,' Disaggregation - Section E '!A$618:J3451,6,0)),"")</f>
        <v/>
      </c>
      <c r="H2762" s="390" t="str">
        <f ca="1">IFERROR(IF(INDEX(' Disaggregation - Section E '!F$618:F3451,MATCH(C2762,' Disaggregation - Section E '!A$618:A3451,0)+1,1)&lt;&gt;0,INDEX(' Disaggregation - Section E '!F$618:F3451,MATCH(C2762,' Disaggregation - Section E '!A$618:A3451,0)+1,1),""),"")</f>
        <v/>
      </c>
      <c r="I2762" s="391" t="str">
        <f ca="1">IFERROR(IF(VLOOKUP(C2762,' Disaggregation - Section E '!A$618:J3451,8,0)=0,"",VLOOKUP(C2762,' Disaggregation - Section E '!A$618:J3451,8,0)),"")</f>
        <v/>
      </c>
      <c r="J2762" s="391" t="str">
        <f ca="1">IFERROR(IF(VLOOKUP(C2762,' Disaggregation - Section E '!A$618:J3451,9,0)="","",VLOOKUP(C2762,' Disaggregation - Section E '!A$618:J3451,9,0)),"")</f>
        <v/>
      </c>
      <c r="K2762" s="387" t="str">
        <f ca="1">IFERROR(VLOOKUP(C2762,' Disaggregation - Section E '!A$618:J3451,3,0),"")</f>
        <v>HTS-3f Number of people in prisons and other closed settings that have received an HIV test during the reporting period and know their results</v>
      </c>
      <c r="L2762" s="387"/>
      <c r="M2762" s="387" t="str">
        <f ca="1">IFERROR(IF(VLOOKUP(C2762,' Disaggregation - Section E '!A$618:O1774,15,0)=0,"",VLOOKUP(C2762,' Disaggregation - Section E '!A$618:O1774,15,0)),"")</f>
        <v/>
      </c>
      <c r="N2762" s="391" t="str">
        <f ca="1">IFERROR(IF(VLOOKUP(C2762,' Disaggregation - Section E '!A$618:J3451,10,0)=0,"",VLOOKUP(C2762,' Disaggregation - Section E '!A$618:J3451,10,0)),"")</f>
        <v/>
      </c>
      <c r="O2762" s="387"/>
      <c r="P2762" s="387" t="str">
        <f ca="1">IFERROR(IF(VLOOKUP(C2762,' Disaggregation - Section E '!A$618:R1774,18,0)=0,"",VLOOKUP(C2762,' Disaggregation - Section E '!A$618:R1774,18,0)),"")</f>
        <v/>
      </c>
    </row>
    <row r="2763" spans="1:16">
      <c r="A2763" s="387" t="b">
        <f t="shared" ca="1" si="173"/>
        <v>0</v>
      </c>
      <c r="B2763" s="387"/>
      <c r="C2763" s="396" t="str">
        <f ca="1">IF(COUNTA(O$1610:O2763)=1,"",OFFSET(B2761,-COUNTA(O$1610:O2763)+3,1))</f>
        <v>a16Dm000000M3yQIAS</v>
      </c>
      <c r="D2763" s="392"/>
      <c r="E2763" s="389" t="str">
        <f ca="1">IFERROR(IF(VLOOKUP(C2763,' Disaggregation - Section E '!A$618:J3452,7,0)="","",VLOOKUP(C2763,' Disaggregation - Section E '!A$618:J3452,7,0)*100),"")</f>
        <v/>
      </c>
      <c r="F2763" s="391" t="str">
        <f ca="1">IFERROR(VLOOKUP(C2763,' Disaggregation - Section E '!A$618:J3452,5,0),"")</f>
        <v/>
      </c>
      <c r="G2763" s="390" t="str">
        <f ca="1">IFERROR(IF(VLOOKUP(C2763,' Disaggregation - Section E '!A$618:J3452,6,0)="","",VLOOKUP(C2763,' Disaggregation - Section E '!A$618:J3452,6,0)),"")</f>
        <v/>
      </c>
      <c r="H2763" s="390" t="str">
        <f ca="1">IFERROR(IF(INDEX(' Disaggregation - Section E '!F$618:F3452,MATCH(C2763,' Disaggregation - Section E '!A$618:A3452,0)+1,1)&lt;&gt;0,INDEX(' Disaggregation - Section E '!F$618:F3452,MATCH(C2763,' Disaggregation - Section E '!A$618:A3452,0)+1,1),""),"")</f>
        <v/>
      </c>
      <c r="I2763" s="391" t="str">
        <f ca="1">IFERROR(IF(VLOOKUP(C2763,' Disaggregation - Section E '!A$618:J3452,8,0)=0,"",VLOOKUP(C2763,' Disaggregation - Section E '!A$618:J3452,8,0)),"")</f>
        <v/>
      </c>
      <c r="J2763" s="391" t="str">
        <f ca="1">IFERROR(IF(VLOOKUP(C2763,' Disaggregation - Section E '!A$618:J3452,9,0)="","",VLOOKUP(C2763,' Disaggregation - Section E '!A$618:J3452,9,0)),"")</f>
        <v/>
      </c>
      <c r="K2763" s="387" t="str">
        <f ca="1">IFERROR(VLOOKUP(C2763,' Disaggregation - Section E '!A$618:J3452,3,0),"")</f>
        <v>HTS-3f Number of people in prisons and other closed settings that have received an HIV test during the reporting period and know their results</v>
      </c>
      <c r="L2763" s="387"/>
      <c r="M2763" s="387" t="str">
        <f ca="1">IFERROR(IF(VLOOKUP(C2763,' Disaggregation - Section E '!A$618:O1775,15,0)=0,"",VLOOKUP(C2763,' Disaggregation - Section E '!A$618:O1775,15,0)),"")</f>
        <v/>
      </c>
      <c r="N2763" s="391" t="str">
        <f ca="1">IFERROR(IF(VLOOKUP(C2763,' Disaggregation - Section E '!A$618:J3452,10,0)=0,"",VLOOKUP(C2763,' Disaggregation - Section E '!A$618:J3452,10,0)),"")</f>
        <v/>
      </c>
      <c r="O2763" s="387"/>
      <c r="P2763" s="387" t="str">
        <f ca="1">IFERROR(IF(VLOOKUP(C2763,' Disaggregation - Section E '!A$618:R1775,18,0)=0,"",VLOOKUP(C2763,' Disaggregation - Section E '!A$618:R1775,18,0)),"")</f>
        <v/>
      </c>
    </row>
    <row r="2764" spans="1:16">
      <c r="A2764" s="387" t="b">
        <f t="shared" ref="A2764:A2827" ca="1" si="174">IF(M2764&lt;&gt;"",TRUE,FALSE)</f>
        <v>0</v>
      </c>
      <c r="B2764" s="387"/>
      <c r="C2764" s="396" t="str">
        <f ca="1">IF(COUNTA(O$1610:O2764)=1,"",OFFSET(B2762,-COUNTA(O$1610:O2764)+3,1))</f>
        <v>a16Dm000000M3yRIAS</v>
      </c>
      <c r="D2764" s="392"/>
      <c r="E2764" s="389" t="str">
        <f ca="1">IFERROR(IF(VLOOKUP(C2764,' Disaggregation - Section E '!A$618:J3453,7,0)="","",VLOOKUP(C2764,' Disaggregation - Section E '!A$618:J3453,7,0)*100),"")</f>
        <v/>
      </c>
      <c r="F2764" s="391" t="str">
        <f ca="1">IFERROR(VLOOKUP(C2764,' Disaggregation - Section E '!A$618:J3453,5,0),"")</f>
        <v/>
      </c>
      <c r="G2764" s="390" t="str">
        <f ca="1">IFERROR(IF(VLOOKUP(C2764,' Disaggregation - Section E '!A$618:J3453,6,0)="","",VLOOKUP(C2764,' Disaggregation - Section E '!A$618:J3453,6,0)),"")</f>
        <v/>
      </c>
      <c r="H2764" s="390" t="str">
        <f ca="1">IFERROR(IF(INDEX(' Disaggregation - Section E '!F$618:F3453,MATCH(C2764,' Disaggregation - Section E '!A$618:A3453,0)+1,1)&lt;&gt;0,INDEX(' Disaggregation - Section E '!F$618:F3453,MATCH(C2764,' Disaggregation - Section E '!A$618:A3453,0)+1,1),""),"")</f>
        <v/>
      </c>
      <c r="I2764" s="391" t="str">
        <f ca="1">IFERROR(IF(VLOOKUP(C2764,' Disaggregation - Section E '!A$618:J3453,8,0)=0,"",VLOOKUP(C2764,' Disaggregation - Section E '!A$618:J3453,8,0)),"")</f>
        <v/>
      </c>
      <c r="J2764" s="391" t="str">
        <f ca="1">IFERROR(IF(VLOOKUP(C2764,' Disaggregation - Section E '!A$618:J3453,9,0)="","",VLOOKUP(C2764,' Disaggregation - Section E '!A$618:J3453,9,0)),"")</f>
        <v/>
      </c>
      <c r="K2764" s="387" t="str">
        <f ca="1">IFERROR(VLOOKUP(C2764,' Disaggregation - Section E '!A$618:J3453,3,0),"")</f>
        <v>HTS-3f Number of people in prisons and other closed settings that have received an HIV test during the reporting period and know their results</v>
      </c>
      <c r="L2764" s="387"/>
      <c r="M2764" s="387" t="str">
        <f ca="1">IFERROR(IF(VLOOKUP(C2764,' Disaggregation - Section E '!A$618:O1776,15,0)=0,"",VLOOKUP(C2764,' Disaggregation - Section E '!A$618:O1776,15,0)),"")</f>
        <v/>
      </c>
      <c r="N2764" s="391" t="str">
        <f ca="1">IFERROR(IF(VLOOKUP(C2764,' Disaggregation - Section E '!A$618:J3453,10,0)=0,"",VLOOKUP(C2764,' Disaggregation - Section E '!A$618:J3453,10,0)),"")</f>
        <v/>
      </c>
      <c r="O2764" s="387"/>
      <c r="P2764" s="387" t="str">
        <f ca="1">IFERROR(IF(VLOOKUP(C2764,' Disaggregation - Section E '!A$618:R1776,18,0)=0,"",VLOOKUP(C2764,' Disaggregation - Section E '!A$618:R1776,18,0)),"")</f>
        <v/>
      </c>
    </row>
    <row r="2765" spans="1:16">
      <c r="A2765" s="387" t="b">
        <f t="shared" ca="1" si="174"/>
        <v>0</v>
      </c>
      <c r="B2765" s="387"/>
      <c r="C2765" s="396" t="str">
        <f ca="1">IF(COUNTA(O$1610:O2765)=1,"",OFFSET(B2763,-COUNTA(O$1610:O2765)+3,1))</f>
        <v>a16Dm000000M3ySIAS</v>
      </c>
      <c r="D2765" s="392"/>
      <c r="E2765" s="389" t="str">
        <f ca="1">IFERROR(IF(VLOOKUP(C2765,' Disaggregation - Section E '!A$618:J3454,7,0)="","",VLOOKUP(C2765,' Disaggregation - Section E '!A$618:J3454,7,0)*100),"")</f>
        <v/>
      </c>
      <c r="F2765" s="391" t="str">
        <f ca="1">IFERROR(VLOOKUP(C2765,' Disaggregation - Section E '!A$618:J3454,5,0),"")</f>
        <v/>
      </c>
      <c r="G2765" s="390" t="str">
        <f ca="1">IFERROR(IF(VLOOKUP(C2765,' Disaggregation - Section E '!A$618:J3454,6,0)="","",VLOOKUP(C2765,' Disaggregation - Section E '!A$618:J3454,6,0)),"")</f>
        <v/>
      </c>
      <c r="H2765" s="390" t="str">
        <f ca="1">IFERROR(IF(INDEX(' Disaggregation - Section E '!F$618:F3454,MATCH(C2765,' Disaggregation - Section E '!A$618:A3454,0)+1,1)&lt;&gt;0,INDEX(' Disaggregation - Section E '!F$618:F3454,MATCH(C2765,' Disaggregation - Section E '!A$618:A3454,0)+1,1),""),"")</f>
        <v/>
      </c>
      <c r="I2765" s="391" t="str">
        <f ca="1">IFERROR(IF(VLOOKUP(C2765,' Disaggregation - Section E '!A$618:J3454,8,0)=0,"",VLOOKUP(C2765,' Disaggregation - Section E '!A$618:J3454,8,0)),"")</f>
        <v/>
      </c>
      <c r="J2765" s="391" t="str">
        <f ca="1">IFERROR(IF(VLOOKUP(C2765,' Disaggregation - Section E '!A$618:J3454,9,0)="","",VLOOKUP(C2765,' Disaggregation - Section E '!A$618:J3454,9,0)),"")</f>
        <v/>
      </c>
      <c r="K2765" s="387" t="str">
        <f ca="1">IFERROR(VLOOKUP(C2765,' Disaggregation - Section E '!A$618:J3454,3,0),"")</f>
        <v>HTS-3f Number of people in prisons and other closed settings that have received an HIV test during the reporting period and know their results</v>
      </c>
      <c r="L2765" s="387"/>
      <c r="M2765" s="387" t="str">
        <f ca="1">IFERROR(IF(VLOOKUP(C2765,' Disaggregation - Section E '!A$618:O1777,15,0)=0,"",VLOOKUP(C2765,' Disaggregation - Section E '!A$618:O1777,15,0)),"")</f>
        <v/>
      </c>
      <c r="N2765" s="391" t="str">
        <f ca="1">IFERROR(IF(VLOOKUP(C2765,' Disaggregation - Section E '!A$618:J3454,10,0)=0,"",VLOOKUP(C2765,' Disaggregation - Section E '!A$618:J3454,10,0)),"")</f>
        <v/>
      </c>
      <c r="O2765" s="387"/>
      <c r="P2765" s="387" t="str">
        <f ca="1">IFERROR(IF(VLOOKUP(C2765,' Disaggregation - Section E '!A$618:R1777,18,0)=0,"",VLOOKUP(C2765,' Disaggregation - Section E '!A$618:R1777,18,0)),"")</f>
        <v/>
      </c>
    </row>
    <row r="2766" spans="1:16">
      <c r="A2766" s="387" t="b">
        <f t="shared" ca="1" si="174"/>
        <v>0</v>
      </c>
      <c r="B2766" s="387"/>
      <c r="C2766" s="396" t="str">
        <f ca="1">IF(COUNTA(O$1610:O2766)=1,"",OFFSET(B2764,-COUNTA(O$1610:O2766)+3,1))</f>
        <v>a16Dm000000M3yTIAS</v>
      </c>
      <c r="D2766" s="392"/>
      <c r="E2766" s="389" t="str">
        <f ca="1">IFERROR(IF(VLOOKUP(C2766,' Disaggregation - Section E '!A$618:J3455,7,0)="","",VLOOKUP(C2766,' Disaggregation - Section E '!A$618:J3455,7,0)*100),"")</f>
        <v/>
      </c>
      <c r="F2766" s="391" t="str">
        <f ca="1">IFERROR(VLOOKUP(C2766,' Disaggregation - Section E '!A$618:J3455,5,0),"")</f>
        <v/>
      </c>
      <c r="G2766" s="390" t="str">
        <f ca="1">IFERROR(IF(VLOOKUP(C2766,' Disaggregation - Section E '!A$618:J3455,6,0)="","",VLOOKUP(C2766,' Disaggregation - Section E '!A$618:J3455,6,0)),"")</f>
        <v/>
      </c>
      <c r="H2766" s="390" t="str">
        <f ca="1">IFERROR(IF(INDEX(' Disaggregation - Section E '!F$618:F3455,MATCH(C2766,' Disaggregation - Section E '!A$618:A3455,0)+1,1)&lt;&gt;0,INDEX(' Disaggregation - Section E '!F$618:F3455,MATCH(C2766,' Disaggregation - Section E '!A$618:A3455,0)+1,1),""),"")</f>
        <v/>
      </c>
      <c r="I2766" s="391" t="str">
        <f ca="1">IFERROR(IF(VLOOKUP(C2766,' Disaggregation - Section E '!A$618:J3455,8,0)=0,"",VLOOKUP(C2766,' Disaggregation - Section E '!A$618:J3455,8,0)),"")</f>
        <v/>
      </c>
      <c r="J2766" s="391" t="str">
        <f ca="1">IFERROR(IF(VLOOKUP(C2766,' Disaggregation - Section E '!A$618:J3455,9,0)="","",VLOOKUP(C2766,' Disaggregation - Section E '!A$618:J3455,9,0)),"")</f>
        <v/>
      </c>
      <c r="K2766" s="387" t="str">
        <f ca="1">IFERROR(VLOOKUP(C2766,' Disaggregation - Section E '!A$618:J3455,3,0),"")</f>
        <v>HTS-3f Number of people in prisons and other closed settings that have received an HIV test during the reporting period and know their results</v>
      </c>
      <c r="L2766" s="387"/>
      <c r="M2766" s="387" t="str">
        <f ca="1">IFERROR(IF(VLOOKUP(C2766,' Disaggregation - Section E '!A$618:O1778,15,0)=0,"",VLOOKUP(C2766,' Disaggregation - Section E '!A$618:O1778,15,0)),"")</f>
        <v/>
      </c>
      <c r="N2766" s="391" t="str">
        <f ca="1">IFERROR(IF(VLOOKUP(C2766,' Disaggregation - Section E '!A$618:J3455,10,0)=0,"",VLOOKUP(C2766,' Disaggregation - Section E '!A$618:J3455,10,0)),"")</f>
        <v/>
      </c>
      <c r="O2766" s="387"/>
      <c r="P2766" s="387" t="str">
        <f ca="1">IFERROR(IF(VLOOKUP(C2766,' Disaggregation - Section E '!A$618:R1778,18,0)=0,"",VLOOKUP(C2766,' Disaggregation - Section E '!A$618:R1778,18,0)),"")</f>
        <v/>
      </c>
    </row>
    <row r="2767" spans="1:16">
      <c r="A2767" s="387" t="b">
        <f t="shared" ca="1" si="174"/>
        <v>0</v>
      </c>
      <c r="B2767" s="387"/>
      <c r="C2767" s="396" t="str">
        <f ca="1">IF(COUNTA(O$1610:O2767)=1,"",OFFSET(B2765,-COUNTA(O$1610:O2767)+3,1))</f>
        <v>a16Dm000000M3yUIAS</v>
      </c>
      <c r="D2767" s="392"/>
      <c r="E2767" s="389" t="str">
        <f ca="1">IFERROR(IF(VLOOKUP(C2767,' Disaggregation - Section E '!A$618:J3456,7,0)="","",VLOOKUP(C2767,' Disaggregation - Section E '!A$618:J3456,7,0)*100),"")</f>
        <v/>
      </c>
      <c r="F2767" s="391" t="str">
        <f ca="1">IFERROR(VLOOKUP(C2767,' Disaggregation - Section E '!A$618:J3456,5,0),"")</f>
        <v/>
      </c>
      <c r="G2767" s="390" t="str">
        <f ca="1">IFERROR(IF(VLOOKUP(C2767,' Disaggregation - Section E '!A$618:J3456,6,0)="","",VLOOKUP(C2767,' Disaggregation - Section E '!A$618:J3456,6,0)),"")</f>
        <v/>
      </c>
      <c r="H2767" s="390" t="str">
        <f ca="1">IFERROR(IF(INDEX(' Disaggregation - Section E '!F$618:F3456,MATCH(C2767,' Disaggregation - Section E '!A$618:A3456,0)+1,1)&lt;&gt;0,INDEX(' Disaggregation - Section E '!F$618:F3456,MATCH(C2767,' Disaggregation - Section E '!A$618:A3456,0)+1,1),""),"")</f>
        <v/>
      </c>
      <c r="I2767" s="391" t="str">
        <f ca="1">IFERROR(IF(VLOOKUP(C2767,' Disaggregation - Section E '!A$618:J3456,8,0)=0,"",VLOOKUP(C2767,' Disaggregation - Section E '!A$618:J3456,8,0)),"")</f>
        <v/>
      </c>
      <c r="J2767" s="391" t="str">
        <f ca="1">IFERROR(IF(VLOOKUP(C2767,' Disaggregation - Section E '!A$618:J3456,9,0)="","",VLOOKUP(C2767,' Disaggregation - Section E '!A$618:J3456,9,0)),"")</f>
        <v/>
      </c>
      <c r="K2767" s="387" t="str">
        <f ca="1">IFERROR(VLOOKUP(C2767,' Disaggregation - Section E '!A$618:J3456,3,0),"")</f>
        <v>HTS-3f Number of people in prisons and other closed settings that have received an HIV test during the reporting period and know their results</v>
      </c>
      <c r="L2767" s="387"/>
      <c r="M2767" s="387" t="str">
        <f ca="1">IFERROR(IF(VLOOKUP(C2767,' Disaggregation - Section E '!A$618:O1779,15,0)=0,"",VLOOKUP(C2767,' Disaggregation - Section E '!A$618:O1779,15,0)),"")</f>
        <v/>
      </c>
      <c r="N2767" s="391" t="str">
        <f ca="1">IFERROR(IF(VLOOKUP(C2767,' Disaggregation - Section E '!A$618:J3456,10,0)=0,"",VLOOKUP(C2767,' Disaggregation - Section E '!A$618:J3456,10,0)),"")</f>
        <v/>
      </c>
      <c r="O2767" s="387"/>
      <c r="P2767" s="387" t="str">
        <f ca="1">IFERROR(IF(VLOOKUP(C2767,' Disaggregation - Section E '!A$618:R1779,18,0)=0,"",VLOOKUP(C2767,' Disaggregation - Section E '!A$618:R1779,18,0)),"")</f>
        <v/>
      </c>
    </row>
    <row r="2768" spans="1:16">
      <c r="A2768" s="387" t="b">
        <f t="shared" ca="1" si="174"/>
        <v>0</v>
      </c>
      <c r="B2768" s="387"/>
      <c r="C2768" s="396" t="str">
        <f ca="1">IF(COUNTA(O$1610:O2768)=1,"",OFFSET(B2766,-COUNTA(O$1610:O2768)+3,1))</f>
        <v>a16Dm000000M3yVIAS</v>
      </c>
      <c r="D2768" s="392"/>
      <c r="E2768" s="389" t="str">
        <f ca="1">IFERROR(IF(VLOOKUP(C2768,' Disaggregation - Section E '!A$618:J3457,7,0)="","",VLOOKUP(C2768,' Disaggregation - Section E '!A$618:J3457,7,0)*100),"")</f>
        <v/>
      </c>
      <c r="F2768" s="391" t="str">
        <f ca="1">IFERROR(VLOOKUP(C2768,' Disaggregation - Section E '!A$618:J3457,5,0),"")</f>
        <v/>
      </c>
      <c r="G2768" s="390" t="str">
        <f ca="1">IFERROR(IF(VLOOKUP(C2768,' Disaggregation - Section E '!A$618:J3457,6,0)="","",VLOOKUP(C2768,' Disaggregation - Section E '!A$618:J3457,6,0)),"")</f>
        <v/>
      </c>
      <c r="H2768" s="390" t="str">
        <f ca="1">IFERROR(IF(INDEX(' Disaggregation - Section E '!F$618:F3457,MATCH(C2768,' Disaggregation - Section E '!A$618:A3457,0)+1,1)&lt;&gt;0,INDEX(' Disaggregation - Section E '!F$618:F3457,MATCH(C2768,' Disaggregation - Section E '!A$618:A3457,0)+1,1),""),"")</f>
        <v/>
      </c>
      <c r="I2768" s="391" t="str">
        <f ca="1">IFERROR(IF(VLOOKUP(C2768,' Disaggregation - Section E '!A$618:J3457,8,0)=0,"",VLOOKUP(C2768,' Disaggregation - Section E '!A$618:J3457,8,0)),"")</f>
        <v/>
      </c>
      <c r="J2768" s="391" t="str">
        <f ca="1">IFERROR(IF(VLOOKUP(C2768,' Disaggregation - Section E '!A$618:J3457,9,0)="","",VLOOKUP(C2768,' Disaggregation - Section E '!A$618:J3457,9,0)),"")</f>
        <v/>
      </c>
      <c r="K2768" s="387" t="str">
        <f ca="1">IFERROR(VLOOKUP(C2768,' Disaggregation - Section E '!A$618:J3457,3,0),"")</f>
        <v>HTS-3f Number of people in prisons and other closed settings that have received an HIV test during the reporting period and know their results</v>
      </c>
      <c r="L2768" s="387"/>
      <c r="M2768" s="387" t="str">
        <f ca="1">IFERROR(IF(VLOOKUP(C2768,' Disaggregation - Section E '!A$618:O1780,15,0)=0,"",VLOOKUP(C2768,' Disaggregation - Section E '!A$618:O1780,15,0)),"")</f>
        <v/>
      </c>
      <c r="N2768" s="391" t="str">
        <f ca="1">IFERROR(IF(VLOOKUP(C2768,' Disaggregation - Section E '!A$618:J3457,10,0)=0,"",VLOOKUP(C2768,' Disaggregation - Section E '!A$618:J3457,10,0)),"")</f>
        <v/>
      </c>
      <c r="O2768" s="387"/>
      <c r="P2768" s="387" t="str">
        <f ca="1">IFERROR(IF(VLOOKUP(C2768,' Disaggregation - Section E '!A$618:R1780,18,0)=0,"",VLOOKUP(C2768,' Disaggregation - Section E '!A$618:R1780,18,0)),"")</f>
        <v/>
      </c>
    </row>
    <row r="2769" spans="1:16">
      <c r="A2769" s="387" t="b">
        <f t="shared" ca="1" si="174"/>
        <v>0</v>
      </c>
      <c r="B2769" s="387"/>
      <c r="C2769" s="396" t="str">
        <f ca="1">IF(COUNTA(O$1610:O2769)=1,"",OFFSET(B2767,-COUNTA(O$1610:O2769)+3,1))</f>
        <v>a16Dm000000M3yWIAS</v>
      </c>
      <c r="D2769" s="392"/>
      <c r="E2769" s="389" t="str">
        <f ca="1">IFERROR(IF(VLOOKUP(C2769,' Disaggregation - Section E '!A$618:J3458,7,0)="","",VLOOKUP(C2769,' Disaggregation - Section E '!A$618:J3458,7,0)*100),"")</f>
        <v/>
      </c>
      <c r="F2769" s="391" t="str">
        <f ca="1">IFERROR(VLOOKUP(C2769,' Disaggregation - Section E '!A$618:J3458,5,0),"")</f>
        <v/>
      </c>
      <c r="G2769" s="390" t="str">
        <f ca="1">IFERROR(IF(VLOOKUP(C2769,' Disaggregation - Section E '!A$618:J3458,6,0)="","",VLOOKUP(C2769,' Disaggregation - Section E '!A$618:J3458,6,0)),"")</f>
        <v/>
      </c>
      <c r="H2769" s="390" t="str">
        <f ca="1">IFERROR(IF(INDEX(' Disaggregation - Section E '!F$618:F3458,MATCH(C2769,' Disaggregation - Section E '!A$618:A3458,0)+1,1)&lt;&gt;0,INDEX(' Disaggregation - Section E '!F$618:F3458,MATCH(C2769,' Disaggregation - Section E '!A$618:A3458,0)+1,1),""),"")</f>
        <v/>
      </c>
      <c r="I2769" s="391" t="str">
        <f ca="1">IFERROR(IF(VLOOKUP(C2769,' Disaggregation - Section E '!A$618:J3458,8,0)=0,"",VLOOKUP(C2769,' Disaggregation - Section E '!A$618:J3458,8,0)),"")</f>
        <v/>
      </c>
      <c r="J2769" s="391" t="str">
        <f ca="1">IFERROR(IF(VLOOKUP(C2769,' Disaggregation - Section E '!A$618:J3458,9,0)="","",VLOOKUP(C2769,' Disaggregation - Section E '!A$618:J3458,9,0)),"")</f>
        <v/>
      </c>
      <c r="K2769" s="387" t="str">
        <f ca="1">IFERROR(VLOOKUP(C2769,' Disaggregation - Section E '!A$618:J3458,3,0),"")</f>
        <v>HTS-3f Number of people in prisons and other closed settings that have received an HIV test during the reporting period and know their results</v>
      </c>
      <c r="L2769" s="387"/>
      <c r="M2769" s="387" t="str">
        <f ca="1">IFERROR(IF(VLOOKUP(C2769,' Disaggregation - Section E '!A$618:O1781,15,0)=0,"",VLOOKUP(C2769,' Disaggregation - Section E '!A$618:O1781,15,0)),"")</f>
        <v/>
      </c>
      <c r="N2769" s="391" t="str">
        <f ca="1">IFERROR(IF(VLOOKUP(C2769,' Disaggregation - Section E '!A$618:J3458,10,0)=0,"",VLOOKUP(C2769,' Disaggregation - Section E '!A$618:J3458,10,0)),"")</f>
        <v/>
      </c>
      <c r="O2769" s="387"/>
      <c r="P2769" s="387" t="str">
        <f ca="1">IFERROR(IF(VLOOKUP(C2769,' Disaggregation - Section E '!A$618:R1781,18,0)=0,"",VLOOKUP(C2769,' Disaggregation - Section E '!A$618:R1781,18,0)),"")</f>
        <v/>
      </c>
    </row>
    <row r="2770" spans="1:16">
      <c r="A2770" s="387" t="b">
        <f t="shared" ca="1" si="174"/>
        <v>0</v>
      </c>
      <c r="B2770" s="387"/>
      <c r="C2770" s="396" t="str">
        <f ca="1">IF(COUNTA(O$1610:O2770)=1,"",OFFSET(B2768,-COUNTA(O$1610:O2770)+3,1))</f>
        <v>a16Dm000000M3yXIAS</v>
      </c>
      <c r="D2770" s="392"/>
      <c r="E2770" s="389" t="str">
        <f ca="1">IFERROR(IF(VLOOKUP(C2770,' Disaggregation - Section E '!A$618:J3459,7,0)="","",VLOOKUP(C2770,' Disaggregation - Section E '!A$618:J3459,7,0)*100),"")</f>
        <v/>
      </c>
      <c r="F2770" s="391" t="str">
        <f ca="1">IFERROR(VLOOKUP(C2770,' Disaggregation - Section E '!A$618:J3459,5,0),"")</f>
        <v/>
      </c>
      <c r="G2770" s="390" t="str">
        <f ca="1">IFERROR(IF(VLOOKUP(C2770,' Disaggregation - Section E '!A$618:J3459,6,0)="","",VLOOKUP(C2770,' Disaggregation - Section E '!A$618:J3459,6,0)),"")</f>
        <v/>
      </c>
      <c r="H2770" s="390" t="str">
        <f ca="1">IFERROR(IF(INDEX(' Disaggregation - Section E '!F$618:F3459,MATCH(C2770,' Disaggregation - Section E '!A$618:A3459,0)+1,1)&lt;&gt;0,INDEX(' Disaggregation - Section E '!F$618:F3459,MATCH(C2770,' Disaggregation - Section E '!A$618:A3459,0)+1,1),""),"")</f>
        <v/>
      </c>
      <c r="I2770" s="391" t="str">
        <f ca="1">IFERROR(IF(VLOOKUP(C2770,' Disaggregation - Section E '!A$618:J3459,8,0)=0,"",VLOOKUP(C2770,' Disaggregation - Section E '!A$618:J3459,8,0)),"")</f>
        <v/>
      </c>
      <c r="J2770" s="391" t="str">
        <f ca="1">IFERROR(IF(VLOOKUP(C2770,' Disaggregation - Section E '!A$618:J3459,9,0)="","",VLOOKUP(C2770,' Disaggregation - Section E '!A$618:J3459,9,0)),"")</f>
        <v/>
      </c>
      <c r="K2770" s="387" t="str">
        <f ca="1">IFERROR(VLOOKUP(C2770,' Disaggregation - Section E '!A$618:J3459,3,0),"")</f>
        <v>HTS-3f Number of people in prisons and other closed settings that have received an HIV test during the reporting period and know their results</v>
      </c>
      <c r="L2770" s="387"/>
      <c r="M2770" s="387" t="str">
        <f ca="1">IFERROR(IF(VLOOKUP(C2770,' Disaggregation - Section E '!A$618:O1782,15,0)=0,"",VLOOKUP(C2770,' Disaggregation - Section E '!A$618:O1782,15,0)),"")</f>
        <v/>
      </c>
      <c r="N2770" s="391" t="str">
        <f ca="1">IFERROR(IF(VLOOKUP(C2770,' Disaggregation - Section E '!A$618:J3459,10,0)=0,"",VLOOKUP(C2770,' Disaggregation - Section E '!A$618:J3459,10,0)),"")</f>
        <v/>
      </c>
      <c r="O2770" s="387"/>
      <c r="P2770" s="387" t="str">
        <f ca="1">IFERROR(IF(VLOOKUP(C2770,' Disaggregation - Section E '!A$618:R1782,18,0)=0,"",VLOOKUP(C2770,' Disaggregation - Section E '!A$618:R1782,18,0)),"")</f>
        <v/>
      </c>
    </row>
    <row r="2771" spans="1:16">
      <c r="A2771" s="387" t="b">
        <f t="shared" ca="1" si="174"/>
        <v>0</v>
      </c>
      <c r="B2771" s="387"/>
      <c r="C2771" s="396" t="str">
        <f ca="1">IF(COUNTA(O$1610:O2771)=1,"",OFFSET(B2769,-COUNTA(O$1610:O2771)+3,1))</f>
        <v>a16Dm000000M3yYIAS</v>
      </c>
      <c r="D2771" s="392"/>
      <c r="E2771" s="389" t="str">
        <f ca="1">IFERROR(IF(VLOOKUP(C2771,' Disaggregation - Section E '!A$618:J3460,7,0)="","",VLOOKUP(C2771,' Disaggregation - Section E '!A$618:J3460,7,0)*100),"")</f>
        <v/>
      </c>
      <c r="F2771" s="391" t="str">
        <f ca="1">IFERROR(VLOOKUP(C2771,' Disaggregation - Section E '!A$618:J3460,5,0),"")</f>
        <v/>
      </c>
      <c r="G2771" s="390" t="str">
        <f ca="1">IFERROR(IF(VLOOKUP(C2771,' Disaggregation - Section E '!A$618:J3460,6,0)="","",VLOOKUP(C2771,' Disaggregation - Section E '!A$618:J3460,6,0)),"")</f>
        <v/>
      </c>
      <c r="H2771" s="390" t="str">
        <f ca="1">IFERROR(IF(INDEX(' Disaggregation - Section E '!F$618:F3460,MATCH(C2771,' Disaggregation - Section E '!A$618:A3460,0)+1,1)&lt;&gt;0,INDEX(' Disaggregation - Section E '!F$618:F3460,MATCH(C2771,' Disaggregation - Section E '!A$618:A3460,0)+1,1),""),"")</f>
        <v/>
      </c>
      <c r="I2771" s="391" t="str">
        <f ca="1">IFERROR(IF(VLOOKUP(C2771,' Disaggregation - Section E '!A$618:J3460,8,0)=0,"",VLOOKUP(C2771,' Disaggregation - Section E '!A$618:J3460,8,0)),"")</f>
        <v/>
      </c>
      <c r="J2771" s="391" t="str">
        <f ca="1">IFERROR(IF(VLOOKUP(C2771,' Disaggregation - Section E '!A$618:J3460,9,0)="","",VLOOKUP(C2771,' Disaggregation - Section E '!A$618:J3460,9,0)),"")</f>
        <v/>
      </c>
      <c r="K2771" s="387" t="str">
        <f ca="1">IFERROR(VLOOKUP(C2771,' Disaggregation - Section E '!A$618:J3460,3,0),"")</f>
        <v>HTS-3f Number of people in prisons and other closed settings that have received an HIV test during the reporting period and know their results</v>
      </c>
      <c r="L2771" s="387"/>
      <c r="M2771" s="387" t="str">
        <f ca="1">IFERROR(IF(VLOOKUP(C2771,' Disaggregation - Section E '!A$618:O1783,15,0)=0,"",VLOOKUP(C2771,' Disaggregation - Section E '!A$618:O1783,15,0)),"")</f>
        <v/>
      </c>
      <c r="N2771" s="391" t="str">
        <f ca="1">IFERROR(IF(VLOOKUP(C2771,' Disaggregation - Section E '!A$618:J3460,10,0)=0,"",VLOOKUP(C2771,' Disaggregation - Section E '!A$618:J3460,10,0)),"")</f>
        <v/>
      </c>
      <c r="O2771" s="387"/>
      <c r="P2771" s="387" t="str">
        <f ca="1">IFERROR(IF(VLOOKUP(C2771,' Disaggregation - Section E '!A$618:R1783,18,0)=0,"",VLOOKUP(C2771,' Disaggregation - Section E '!A$618:R1783,18,0)),"")</f>
        <v/>
      </c>
    </row>
    <row r="2772" spans="1:16">
      <c r="A2772" s="387" t="b">
        <f t="shared" ca="1" si="174"/>
        <v>0</v>
      </c>
      <c r="B2772" s="387"/>
      <c r="C2772" s="396" t="str">
        <f ca="1">IF(COUNTA(O$1610:O2772)=1,"",OFFSET(B2770,-COUNTA(O$1610:O2772)+3,1))</f>
        <v>a16Dm000000M3yZIAS</v>
      </c>
      <c r="D2772" s="392"/>
      <c r="E2772" s="389" t="str">
        <f ca="1">IFERROR(IF(VLOOKUP(C2772,' Disaggregation - Section E '!A$618:J3461,7,0)="","",VLOOKUP(C2772,' Disaggregation - Section E '!A$618:J3461,7,0)*100),"")</f>
        <v/>
      </c>
      <c r="F2772" s="391" t="str">
        <f ca="1">IFERROR(VLOOKUP(C2772,' Disaggregation - Section E '!A$618:J3461,5,0),"")</f>
        <v/>
      </c>
      <c r="G2772" s="390" t="str">
        <f ca="1">IFERROR(IF(VLOOKUP(C2772,' Disaggregation - Section E '!A$618:J3461,6,0)="","",VLOOKUP(C2772,' Disaggregation - Section E '!A$618:J3461,6,0)),"")</f>
        <v/>
      </c>
      <c r="H2772" s="390" t="str">
        <f ca="1">IFERROR(IF(INDEX(' Disaggregation - Section E '!F$618:F3461,MATCH(C2772,' Disaggregation - Section E '!A$618:A3461,0)+1,1)&lt;&gt;0,INDEX(' Disaggregation - Section E '!F$618:F3461,MATCH(C2772,' Disaggregation - Section E '!A$618:A3461,0)+1,1),""),"")</f>
        <v/>
      </c>
      <c r="I2772" s="391" t="str">
        <f ca="1">IFERROR(IF(VLOOKUP(C2772,' Disaggregation - Section E '!A$618:J3461,8,0)=0,"",VLOOKUP(C2772,' Disaggregation - Section E '!A$618:J3461,8,0)),"")</f>
        <v/>
      </c>
      <c r="J2772" s="391" t="str">
        <f ca="1">IFERROR(IF(VLOOKUP(C2772,' Disaggregation - Section E '!A$618:J3461,9,0)="","",VLOOKUP(C2772,' Disaggregation - Section E '!A$618:J3461,9,0)),"")</f>
        <v/>
      </c>
      <c r="K2772" s="387" t="str">
        <f ca="1">IFERROR(VLOOKUP(C2772,' Disaggregation - Section E '!A$618:J3461,3,0),"")</f>
        <v>HTS-6 Number of individual HIV self-test kits distributed</v>
      </c>
      <c r="L2772" s="387"/>
      <c r="M2772" s="387" t="str">
        <f ca="1">IFERROR(IF(VLOOKUP(C2772,' Disaggregation - Section E '!A$618:O1784,15,0)=0,"",VLOOKUP(C2772,' Disaggregation - Section E '!A$618:O1784,15,0)),"")</f>
        <v/>
      </c>
      <c r="N2772" s="391" t="str">
        <f ca="1">IFERROR(IF(VLOOKUP(C2772,' Disaggregation - Section E '!A$618:J3461,10,0)=0,"",VLOOKUP(C2772,' Disaggregation - Section E '!A$618:J3461,10,0)),"")</f>
        <v/>
      </c>
      <c r="O2772" s="387"/>
      <c r="P2772" s="387" t="str">
        <f ca="1">IFERROR(IF(VLOOKUP(C2772,' Disaggregation - Section E '!A$618:R1784,18,0)=0,"",VLOOKUP(C2772,' Disaggregation - Section E '!A$618:R1784,18,0)),"")</f>
        <v/>
      </c>
    </row>
    <row r="2773" spans="1:16">
      <c r="A2773" s="387" t="b">
        <f t="shared" ca="1" si="174"/>
        <v>0</v>
      </c>
      <c r="B2773" s="387"/>
      <c r="C2773" s="396" t="str">
        <f ca="1">IF(COUNTA(O$1610:O2773)=1,"",OFFSET(B2771,-COUNTA(O$1610:O2773)+3,1))</f>
        <v>a16Dm000000M3yaIAC</v>
      </c>
      <c r="D2773" s="392"/>
      <c r="E2773" s="389" t="str">
        <f ca="1">IFERROR(IF(VLOOKUP(C2773,' Disaggregation - Section E '!A$618:J3462,7,0)="","",VLOOKUP(C2773,' Disaggregation - Section E '!A$618:J3462,7,0)*100),"")</f>
        <v/>
      </c>
      <c r="F2773" s="391" t="str">
        <f ca="1">IFERROR(VLOOKUP(C2773,' Disaggregation - Section E '!A$618:J3462,5,0),"")</f>
        <v/>
      </c>
      <c r="G2773" s="390" t="str">
        <f ca="1">IFERROR(IF(VLOOKUP(C2773,' Disaggregation - Section E '!A$618:J3462,6,0)="","",VLOOKUP(C2773,' Disaggregation - Section E '!A$618:J3462,6,0)),"")</f>
        <v/>
      </c>
      <c r="H2773" s="390" t="str">
        <f ca="1">IFERROR(IF(INDEX(' Disaggregation - Section E '!F$618:F3462,MATCH(C2773,' Disaggregation - Section E '!A$618:A3462,0)+1,1)&lt;&gt;0,INDEX(' Disaggregation - Section E '!F$618:F3462,MATCH(C2773,' Disaggregation - Section E '!A$618:A3462,0)+1,1),""),"")</f>
        <v/>
      </c>
      <c r="I2773" s="391" t="str">
        <f ca="1">IFERROR(IF(VLOOKUP(C2773,' Disaggregation - Section E '!A$618:J3462,8,0)=0,"",VLOOKUP(C2773,' Disaggregation - Section E '!A$618:J3462,8,0)),"")</f>
        <v/>
      </c>
      <c r="J2773" s="391" t="str">
        <f ca="1">IFERROR(IF(VLOOKUP(C2773,' Disaggregation - Section E '!A$618:J3462,9,0)="","",VLOOKUP(C2773,' Disaggregation - Section E '!A$618:J3462,9,0)),"")</f>
        <v/>
      </c>
      <c r="K2773" s="387" t="str">
        <f ca="1">IFERROR(VLOOKUP(C2773,' Disaggregation - Section E '!A$618:J3462,3,0),"")</f>
        <v>HTS-6 Number of individual HIV self-test kits distributed</v>
      </c>
      <c r="L2773" s="387"/>
      <c r="M2773" s="387" t="str">
        <f ca="1">IFERROR(IF(VLOOKUP(C2773,' Disaggregation - Section E '!A$618:O1785,15,0)=0,"",VLOOKUP(C2773,' Disaggregation - Section E '!A$618:O1785,15,0)),"")</f>
        <v/>
      </c>
      <c r="N2773" s="391" t="str">
        <f ca="1">IFERROR(IF(VLOOKUP(C2773,' Disaggregation - Section E '!A$618:J3462,10,0)=0,"",VLOOKUP(C2773,' Disaggregation - Section E '!A$618:J3462,10,0)),"")</f>
        <v/>
      </c>
      <c r="O2773" s="387"/>
      <c r="P2773" s="387" t="str">
        <f ca="1">IFERROR(IF(VLOOKUP(C2773,' Disaggregation - Section E '!A$618:R1785,18,0)=0,"",VLOOKUP(C2773,' Disaggregation - Section E '!A$618:R1785,18,0)),"")</f>
        <v/>
      </c>
    </row>
    <row r="2774" spans="1:16">
      <c r="A2774" s="387" t="b">
        <f t="shared" ca="1" si="174"/>
        <v>0</v>
      </c>
      <c r="B2774" s="387"/>
      <c r="C2774" s="396" t="str">
        <f ca="1">IF(COUNTA(O$1610:O2774)=1,"",OFFSET(B2772,-COUNTA(O$1610:O2774)+3,1))</f>
        <v>a16Dm000000M3ybIAC</v>
      </c>
      <c r="D2774" s="392"/>
      <c r="E2774" s="389" t="str">
        <f ca="1">IFERROR(IF(VLOOKUP(C2774,' Disaggregation - Section E '!A$618:J3463,7,0)="","",VLOOKUP(C2774,' Disaggregation - Section E '!A$618:J3463,7,0)*100),"")</f>
        <v/>
      </c>
      <c r="F2774" s="391" t="str">
        <f ca="1">IFERROR(VLOOKUP(C2774,' Disaggregation - Section E '!A$618:J3463,5,0),"")</f>
        <v/>
      </c>
      <c r="G2774" s="390" t="str">
        <f ca="1">IFERROR(IF(VLOOKUP(C2774,' Disaggregation - Section E '!A$618:J3463,6,0)="","",VLOOKUP(C2774,' Disaggregation - Section E '!A$618:J3463,6,0)),"")</f>
        <v/>
      </c>
      <c r="H2774" s="390" t="str">
        <f ca="1">IFERROR(IF(INDEX(' Disaggregation - Section E '!F$618:F3463,MATCH(C2774,' Disaggregation - Section E '!A$618:A3463,0)+1,1)&lt;&gt;0,INDEX(' Disaggregation - Section E '!F$618:F3463,MATCH(C2774,' Disaggregation - Section E '!A$618:A3463,0)+1,1),""),"")</f>
        <v/>
      </c>
      <c r="I2774" s="391" t="str">
        <f ca="1">IFERROR(IF(VLOOKUP(C2774,' Disaggregation - Section E '!A$618:J3463,8,0)=0,"",VLOOKUP(C2774,' Disaggregation - Section E '!A$618:J3463,8,0)),"")</f>
        <v/>
      </c>
      <c r="J2774" s="391" t="str">
        <f ca="1">IFERROR(IF(VLOOKUP(C2774,' Disaggregation - Section E '!A$618:J3463,9,0)="","",VLOOKUP(C2774,' Disaggregation - Section E '!A$618:J3463,9,0)),"")</f>
        <v/>
      </c>
      <c r="K2774" s="387" t="str">
        <f ca="1">IFERROR(VLOOKUP(C2774,' Disaggregation - Section E '!A$618:J3463,3,0),"")</f>
        <v>HTS-6 Number of individual HIV self-test kits distributed</v>
      </c>
      <c r="L2774" s="387"/>
      <c r="M2774" s="387" t="str">
        <f ca="1">IFERROR(IF(VLOOKUP(C2774,' Disaggregation - Section E '!A$618:O1786,15,0)=0,"",VLOOKUP(C2774,' Disaggregation - Section E '!A$618:O1786,15,0)),"")</f>
        <v/>
      </c>
      <c r="N2774" s="391" t="str">
        <f ca="1">IFERROR(IF(VLOOKUP(C2774,' Disaggregation - Section E '!A$618:J3463,10,0)=0,"",VLOOKUP(C2774,' Disaggregation - Section E '!A$618:J3463,10,0)),"")</f>
        <v/>
      </c>
      <c r="O2774" s="387"/>
      <c r="P2774" s="387" t="str">
        <f ca="1">IFERROR(IF(VLOOKUP(C2774,' Disaggregation - Section E '!A$618:R1786,18,0)=0,"",VLOOKUP(C2774,' Disaggregation - Section E '!A$618:R1786,18,0)),"")</f>
        <v/>
      </c>
    </row>
    <row r="2775" spans="1:16">
      <c r="A2775" s="387" t="b">
        <f t="shared" ca="1" si="174"/>
        <v>0</v>
      </c>
      <c r="B2775" s="387"/>
      <c r="C2775" s="396" t="str">
        <f ca="1">IF(COUNTA(O$1610:O2775)=1,"",OFFSET(B2773,-COUNTA(O$1610:O2775)+3,1))</f>
        <v>a16Dm000000M3ycIAC</v>
      </c>
      <c r="D2775" s="392"/>
      <c r="E2775" s="389" t="str">
        <f ca="1">IFERROR(IF(VLOOKUP(C2775,' Disaggregation - Section E '!A$618:J3464,7,0)="","",VLOOKUP(C2775,' Disaggregation - Section E '!A$618:J3464,7,0)*100),"")</f>
        <v/>
      </c>
      <c r="F2775" s="391" t="str">
        <f ca="1">IFERROR(VLOOKUP(C2775,' Disaggregation - Section E '!A$618:J3464,5,0),"")</f>
        <v/>
      </c>
      <c r="G2775" s="390" t="str">
        <f ca="1">IFERROR(IF(VLOOKUP(C2775,' Disaggregation - Section E '!A$618:J3464,6,0)="","",VLOOKUP(C2775,' Disaggregation - Section E '!A$618:J3464,6,0)),"")</f>
        <v/>
      </c>
      <c r="H2775" s="390" t="str">
        <f ca="1">IFERROR(IF(INDEX(' Disaggregation - Section E '!F$618:F3464,MATCH(C2775,' Disaggregation - Section E '!A$618:A3464,0)+1,1)&lt;&gt;0,INDEX(' Disaggregation - Section E '!F$618:F3464,MATCH(C2775,' Disaggregation - Section E '!A$618:A3464,0)+1,1),""),"")</f>
        <v/>
      </c>
      <c r="I2775" s="391" t="str">
        <f ca="1">IFERROR(IF(VLOOKUP(C2775,' Disaggregation - Section E '!A$618:J3464,8,0)=0,"",VLOOKUP(C2775,' Disaggregation - Section E '!A$618:J3464,8,0)),"")</f>
        <v/>
      </c>
      <c r="J2775" s="391" t="str">
        <f ca="1">IFERROR(IF(VLOOKUP(C2775,' Disaggregation - Section E '!A$618:J3464,9,0)="","",VLOOKUP(C2775,' Disaggregation - Section E '!A$618:J3464,9,0)),"")</f>
        <v/>
      </c>
      <c r="K2775" s="387" t="str">
        <f ca="1">IFERROR(VLOOKUP(C2775,' Disaggregation - Section E '!A$618:J3464,3,0),"")</f>
        <v>HTS-6 Number of individual HIV self-test kits distributed</v>
      </c>
      <c r="L2775" s="387"/>
      <c r="M2775" s="387" t="str">
        <f ca="1">IFERROR(IF(VLOOKUP(C2775,' Disaggregation - Section E '!A$618:O1787,15,0)=0,"",VLOOKUP(C2775,' Disaggregation - Section E '!A$618:O1787,15,0)),"")</f>
        <v/>
      </c>
      <c r="N2775" s="391" t="str">
        <f ca="1">IFERROR(IF(VLOOKUP(C2775,' Disaggregation - Section E '!A$618:J3464,10,0)=0,"",VLOOKUP(C2775,' Disaggregation - Section E '!A$618:J3464,10,0)),"")</f>
        <v/>
      </c>
      <c r="O2775" s="387"/>
      <c r="P2775" s="387" t="str">
        <f ca="1">IFERROR(IF(VLOOKUP(C2775,' Disaggregation - Section E '!A$618:R1787,18,0)=0,"",VLOOKUP(C2775,' Disaggregation - Section E '!A$618:R1787,18,0)),"")</f>
        <v/>
      </c>
    </row>
    <row r="2776" spans="1:16">
      <c r="A2776" s="387" t="b">
        <f t="shared" ca="1" si="174"/>
        <v>0</v>
      </c>
      <c r="B2776" s="387"/>
      <c r="C2776" s="396" t="str">
        <f ca="1">IF(COUNTA(O$1610:O2776)=1,"",OFFSET(B2774,-COUNTA(O$1610:O2776)+3,1))</f>
        <v>a16Dm000000M3ydIAC</v>
      </c>
      <c r="D2776" s="392"/>
      <c r="E2776" s="389" t="str">
        <f ca="1">IFERROR(IF(VLOOKUP(C2776,' Disaggregation - Section E '!A$618:J3465,7,0)="","",VLOOKUP(C2776,' Disaggregation - Section E '!A$618:J3465,7,0)*100),"")</f>
        <v/>
      </c>
      <c r="F2776" s="391" t="str">
        <f ca="1">IFERROR(VLOOKUP(C2776,' Disaggregation - Section E '!A$618:J3465,5,0),"")</f>
        <v/>
      </c>
      <c r="G2776" s="390" t="str">
        <f ca="1">IFERROR(IF(VLOOKUP(C2776,' Disaggregation - Section E '!A$618:J3465,6,0)="","",VLOOKUP(C2776,' Disaggregation - Section E '!A$618:J3465,6,0)),"")</f>
        <v/>
      </c>
      <c r="H2776" s="390" t="str">
        <f ca="1">IFERROR(IF(INDEX(' Disaggregation - Section E '!F$618:F3465,MATCH(C2776,' Disaggregation - Section E '!A$618:A3465,0)+1,1)&lt;&gt;0,INDEX(' Disaggregation - Section E '!F$618:F3465,MATCH(C2776,' Disaggregation - Section E '!A$618:A3465,0)+1,1),""),"")</f>
        <v/>
      </c>
      <c r="I2776" s="391" t="str">
        <f ca="1">IFERROR(IF(VLOOKUP(C2776,' Disaggregation - Section E '!A$618:J3465,8,0)=0,"",VLOOKUP(C2776,' Disaggregation - Section E '!A$618:J3465,8,0)),"")</f>
        <v/>
      </c>
      <c r="J2776" s="391" t="str">
        <f ca="1">IFERROR(IF(VLOOKUP(C2776,' Disaggregation - Section E '!A$618:J3465,9,0)="","",VLOOKUP(C2776,' Disaggregation - Section E '!A$618:J3465,9,0)),"")</f>
        <v/>
      </c>
      <c r="K2776" s="387" t="str">
        <f ca="1">IFERROR(VLOOKUP(C2776,' Disaggregation - Section E '!A$618:J3465,3,0),"")</f>
        <v>HTS-6 Number of individual HIV self-test kits distributed</v>
      </c>
      <c r="L2776" s="387"/>
      <c r="M2776" s="387" t="str">
        <f ca="1">IFERROR(IF(VLOOKUP(C2776,' Disaggregation - Section E '!A$618:O1788,15,0)=0,"",VLOOKUP(C2776,' Disaggregation - Section E '!A$618:O1788,15,0)),"")</f>
        <v/>
      </c>
      <c r="N2776" s="391" t="str">
        <f ca="1">IFERROR(IF(VLOOKUP(C2776,' Disaggregation - Section E '!A$618:J3465,10,0)=0,"",VLOOKUP(C2776,' Disaggregation - Section E '!A$618:J3465,10,0)),"")</f>
        <v/>
      </c>
      <c r="O2776" s="387"/>
      <c r="P2776" s="387" t="str">
        <f ca="1">IFERROR(IF(VLOOKUP(C2776,' Disaggregation - Section E '!A$618:R1788,18,0)=0,"",VLOOKUP(C2776,' Disaggregation - Section E '!A$618:R1788,18,0)),"")</f>
        <v/>
      </c>
    </row>
    <row r="2777" spans="1:16">
      <c r="A2777" s="387" t="b">
        <f t="shared" ca="1" si="174"/>
        <v>0</v>
      </c>
      <c r="B2777" s="387"/>
      <c r="C2777" s="396" t="str">
        <f ca="1">IF(COUNTA(O$1610:O2777)=1,"",OFFSET(B2775,-COUNTA(O$1610:O2777)+3,1))</f>
        <v>a16Dm000000M3yeIAC</v>
      </c>
      <c r="D2777" s="392"/>
      <c r="E2777" s="389" t="str">
        <f ca="1">IFERROR(IF(VLOOKUP(C2777,' Disaggregation - Section E '!A$618:J3466,7,0)="","",VLOOKUP(C2777,' Disaggregation - Section E '!A$618:J3466,7,0)*100),"")</f>
        <v/>
      </c>
      <c r="F2777" s="391" t="str">
        <f ca="1">IFERROR(VLOOKUP(C2777,' Disaggregation - Section E '!A$618:J3466,5,0),"")</f>
        <v/>
      </c>
      <c r="G2777" s="390" t="str">
        <f ca="1">IFERROR(IF(VLOOKUP(C2777,' Disaggregation - Section E '!A$618:J3466,6,0)="","",VLOOKUP(C2777,' Disaggregation - Section E '!A$618:J3466,6,0)),"")</f>
        <v/>
      </c>
      <c r="H2777" s="390" t="str">
        <f ca="1">IFERROR(IF(INDEX(' Disaggregation - Section E '!F$618:F3466,MATCH(C2777,' Disaggregation - Section E '!A$618:A3466,0)+1,1)&lt;&gt;0,INDEX(' Disaggregation - Section E '!F$618:F3466,MATCH(C2777,' Disaggregation - Section E '!A$618:A3466,0)+1,1),""),"")</f>
        <v/>
      </c>
      <c r="I2777" s="391" t="str">
        <f ca="1">IFERROR(IF(VLOOKUP(C2777,' Disaggregation - Section E '!A$618:J3466,8,0)=0,"",VLOOKUP(C2777,' Disaggregation - Section E '!A$618:J3466,8,0)),"")</f>
        <v/>
      </c>
      <c r="J2777" s="391" t="str">
        <f ca="1">IFERROR(IF(VLOOKUP(C2777,' Disaggregation - Section E '!A$618:J3466,9,0)="","",VLOOKUP(C2777,' Disaggregation - Section E '!A$618:J3466,9,0)),"")</f>
        <v/>
      </c>
      <c r="K2777" s="387" t="str">
        <f ca="1">IFERROR(VLOOKUP(C2777,' Disaggregation - Section E '!A$618:J3466,3,0),"")</f>
        <v>HTS-6 Number of individual HIV self-test kits distributed</v>
      </c>
      <c r="L2777" s="387"/>
      <c r="M2777" s="387" t="str">
        <f ca="1">IFERROR(IF(VLOOKUP(C2777,' Disaggregation - Section E '!A$618:O1789,15,0)=0,"",VLOOKUP(C2777,' Disaggregation - Section E '!A$618:O1789,15,0)),"")</f>
        <v/>
      </c>
      <c r="N2777" s="391" t="str">
        <f ca="1">IFERROR(IF(VLOOKUP(C2777,' Disaggregation - Section E '!A$618:J3466,10,0)=0,"",VLOOKUP(C2777,' Disaggregation - Section E '!A$618:J3466,10,0)),"")</f>
        <v/>
      </c>
      <c r="O2777" s="387"/>
      <c r="P2777" s="387" t="str">
        <f ca="1">IFERROR(IF(VLOOKUP(C2777,' Disaggregation - Section E '!A$618:R1789,18,0)=0,"",VLOOKUP(C2777,' Disaggregation - Section E '!A$618:R1789,18,0)),"")</f>
        <v/>
      </c>
    </row>
    <row r="2778" spans="1:16">
      <c r="A2778" s="387" t="b">
        <f t="shared" ca="1" si="174"/>
        <v>0</v>
      </c>
      <c r="B2778" s="387"/>
      <c r="C2778" s="396" t="str">
        <f ca="1">IF(COUNTA(O$1610:O2778)=1,"",OFFSET(B2776,-COUNTA(O$1610:O2778)+3,1))</f>
        <v>a16Dm000000M3yfIAC</v>
      </c>
      <c r="D2778" s="392"/>
      <c r="E2778" s="389" t="str">
        <f ca="1">IFERROR(IF(VLOOKUP(C2778,' Disaggregation - Section E '!A$618:J3467,7,0)="","",VLOOKUP(C2778,' Disaggregation - Section E '!A$618:J3467,7,0)*100),"")</f>
        <v/>
      </c>
      <c r="F2778" s="391" t="str">
        <f ca="1">IFERROR(VLOOKUP(C2778,' Disaggregation - Section E '!A$618:J3467,5,0),"")</f>
        <v/>
      </c>
      <c r="G2778" s="390" t="str">
        <f ca="1">IFERROR(IF(VLOOKUP(C2778,' Disaggregation - Section E '!A$618:J3467,6,0)="","",VLOOKUP(C2778,' Disaggregation - Section E '!A$618:J3467,6,0)),"")</f>
        <v/>
      </c>
      <c r="H2778" s="390" t="str">
        <f ca="1">IFERROR(IF(INDEX(' Disaggregation - Section E '!F$618:F3467,MATCH(C2778,' Disaggregation - Section E '!A$618:A3467,0)+1,1)&lt;&gt;0,INDEX(' Disaggregation - Section E '!F$618:F3467,MATCH(C2778,' Disaggregation - Section E '!A$618:A3467,0)+1,1),""),"")</f>
        <v/>
      </c>
      <c r="I2778" s="391" t="str">
        <f ca="1">IFERROR(IF(VLOOKUP(C2778,' Disaggregation - Section E '!A$618:J3467,8,0)=0,"",VLOOKUP(C2778,' Disaggregation - Section E '!A$618:J3467,8,0)),"")</f>
        <v/>
      </c>
      <c r="J2778" s="391" t="str">
        <f ca="1">IFERROR(IF(VLOOKUP(C2778,' Disaggregation - Section E '!A$618:J3467,9,0)="","",VLOOKUP(C2778,' Disaggregation - Section E '!A$618:J3467,9,0)),"")</f>
        <v/>
      </c>
      <c r="K2778" s="387" t="str">
        <f ca="1">IFERROR(VLOOKUP(C2778,' Disaggregation - Section E '!A$618:J3467,3,0),"")</f>
        <v>HTS-6 Number of individual HIV self-test kits distributed</v>
      </c>
      <c r="L2778" s="387"/>
      <c r="M2778" s="387" t="str">
        <f ca="1">IFERROR(IF(VLOOKUP(C2778,' Disaggregation - Section E '!A$618:O1790,15,0)=0,"",VLOOKUP(C2778,' Disaggregation - Section E '!A$618:O1790,15,0)),"")</f>
        <v/>
      </c>
      <c r="N2778" s="391" t="str">
        <f ca="1">IFERROR(IF(VLOOKUP(C2778,' Disaggregation - Section E '!A$618:J3467,10,0)=0,"",VLOOKUP(C2778,' Disaggregation - Section E '!A$618:J3467,10,0)),"")</f>
        <v/>
      </c>
      <c r="O2778" s="387"/>
      <c r="P2778" s="387" t="str">
        <f ca="1">IFERROR(IF(VLOOKUP(C2778,' Disaggregation - Section E '!A$618:R1790,18,0)=0,"",VLOOKUP(C2778,' Disaggregation - Section E '!A$618:R1790,18,0)),"")</f>
        <v/>
      </c>
    </row>
    <row r="2779" spans="1:16">
      <c r="A2779" s="387" t="b">
        <f t="shared" ca="1" si="174"/>
        <v>0</v>
      </c>
      <c r="B2779" s="387"/>
      <c r="C2779" s="396" t="str">
        <f ca="1">IF(COUNTA(O$1610:O2779)=1,"",OFFSET(B2777,-COUNTA(O$1610:O2779)+3,1))</f>
        <v>a16Dm000000M3ygIAC</v>
      </c>
      <c r="D2779" s="392"/>
      <c r="E2779" s="389" t="str">
        <f ca="1">IFERROR(IF(VLOOKUP(C2779,' Disaggregation - Section E '!A$618:J3468,7,0)="","",VLOOKUP(C2779,' Disaggregation - Section E '!A$618:J3468,7,0)*100),"")</f>
        <v/>
      </c>
      <c r="F2779" s="391" t="str">
        <f ca="1">IFERROR(VLOOKUP(C2779,' Disaggregation - Section E '!A$618:J3468,5,0),"")</f>
        <v/>
      </c>
      <c r="G2779" s="390" t="str">
        <f ca="1">IFERROR(IF(VLOOKUP(C2779,' Disaggregation - Section E '!A$618:J3468,6,0)="","",VLOOKUP(C2779,' Disaggregation - Section E '!A$618:J3468,6,0)),"")</f>
        <v/>
      </c>
      <c r="H2779" s="390" t="str">
        <f ca="1">IFERROR(IF(INDEX(' Disaggregation - Section E '!F$618:F3468,MATCH(C2779,' Disaggregation - Section E '!A$618:A3468,0)+1,1)&lt;&gt;0,INDEX(' Disaggregation - Section E '!F$618:F3468,MATCH(C2779,' Disaggregation - Section E '!A$618:A3468,0)+1,1),""),"")</f>
        <v/>
      </c>
      <c r="I2779" s="391" t="str">
        <f ca="1">IFERROR(IF(VLOOKUP(C2779,' Disaggregation - Section E '!A$618:J3468,8,0)=0,"",VLOOKUP(C2779,' Disaggregation - Section E '!A$618:J3468,8,0)),"")</f>
        <v/>
      </c>
      <c r="J2779" s="391" t="str">
        <f ca="1">IFERROR(IF(VLOOKUP(C2779,' Disaggregation - Section E '!A$618:J3468,9,0)="","",VLOOKUP(C2779,' Disaggregation - Section E '!A$618:J3468,9,0)),"")</f>
        <v/>
      </c>
      <c r="K2779" s="387" t="str">
        <f ca="1">IFERROR(VLOOKUP(C2779,' Disaggregation - Section E '!A$618:J3468,3,0),"")</f>
        <v>HTS-6 Number of individual HIV self-test kits distributed</v>
      </c>
      <c r="L2779" s="387"/>
      <c r="M2779" s="387" t="str">
        <f ca="1">IFERROR(IF(VLOOKUP(C2779,' Disaggregation - Section E '!A$618:O1791,15,0)=0,"",VLOOKUP(C2779,' Disaggregation - Section E '!A$618:O1791,15,0)),"")</f>
        <v/>
      </c>
      <c r="N2779" s="391" t="str">
        <f ca="1">IFERROR(IF(VLOOKUP(C2779,' Disaggregation - Section E '!A$618:J3468,10,0)=0,"",VLOOKUP(C2779,' Disaggregation - Section E '!A$618:J3468,10,0)),"")</f>
        <v/>
      </c>
      <c r="O2779" s="387"/>
      <c r="P2779" s="387" t="str">
        <f ca="1">IFERROR(IF(VLOOKUP(C2779,' Disaggregation - Section E '!A$618:R1791,18,0)=0,"",VLOOKUP(C2779,' Disaggregation - Section E '!A$618:R1791,18,0)),"")</f>
        <v/>
      </c>
    </row>
    <row r="2780" spans="1:16">
      <c r="A2780" s="387" t="b">
        <f t="shared" ca="1" si="174"/>
        <v>0</v>
      </c>
      <c r="B2780" s="387"/>
      <c r="C2780" s="396" t="str">
        <f ca="1">IF(COUNTA(O$1610:O2780)=1,"",OFFSET(B2778,-COUNTA(O$1610:O2780)+3,1))</f>
        <v>a16Dm000000M3yhIAC</v>
      </c>
      <c r="D2780" s="392"/>
      <c r="E2780" s="389" t="str">
        <f ca="1">IFERROR(IF(VLOOKUP(C2780,' Disaggregation - Section E '!A$618:J3469,7,0)="","",VLOOKUP(C2780,' Disaggregation - Section E '!A$618:J3469,7,0)*100),"")</f>
        <v/>
      </c>
      <c r="F2780" s="391" t="str">
        <f ca="1">IFERROR(VLOOKUP(C2780,' Disaggregation - Section E '!A$618:J3469,5,0),"")</f>
        <v/>
      </c>
      <c r="G2780" s="390" t="str">
        <f ca="1">IFERROR(IF(VLOOKUP(C2780,' Disaggregation - Section E '!A$618:J3469,6,0)="","",VLOOKUP(C2780,' Disaggregation - Section E '!A$618:J3469,6,0)),"")</f>
        <v/>
      </c>
      <c r="H2780" s="390" t="str">
        <f ca="1">IFERROR(IF(INDEX(' Disaggregation - Section E '!F$618:F3469,MATCH(C2780,' Disaggregation - Section E '!A$618:A3469,0)+1,1)&lt;&gt;0,INDEX(' Disaggregation - Section E '!F$618:F3469,MATCH(C2780,' Disaggregation - Section E '!A$618:A3469,0)+1,1),""),"")</f>
        <v/>
      </c>
      <c r="I2780" s="391" t="str">
        <f ca="1">IFERROR(IF(VLOOKUP(C2780,' Disaggregation - Section E '!A$618:J3469,8,0)=0,"",VLOOKUP(C2780,' Disaggregation - Section E '!A$618:J3469,8,0)),"")</f>
        <v/>
      </c>
      <c r="J2780" s="391" t="str">
        <f ca="1">IFERROR(IF(VLOOKUP(C2780,' Disaggregation - Section E '!A$618:J3469,9,0)="","",VLOOKUP(C2780,' Disaggregation - Section E '!A$618:J3469,9,0)),"")</f>
        <v/>
      </c>
      <c r="K2780" s="387" t="str">
        <f ca="1">IFERROR(VLOOKUP(C2780,' Disaggregation - Section E '!A$618:J3469,3,0),"")</f>
        <v>HTS-6 Number of individual HIV self-test kits distributed</v>
      </c>
      <c r="L2780" s="387"/>
      <c r="M2780" s="387" t="str">
        <f ca="1">IFERROR(IF(VLOOKUP(C2780,' Disaggregation - Section E '!A$618:O1792,15,0)=0,"",VLOOKUP(C2780,' Disaggregation - Section E '!A$618:O1792,15,0)),"")</f>
        <v/>
      </c>
      <c r="N2780" s="391" t="str">
        <f ca="1">IFERROR(IF(VLOOKUP(C2780,' Disaggregation - Section E '!A$618:J3469,10,0)=0,"",VLOOKUP(C2780,' Disaggregation - Section E '!A$618:J3469,10,0)),"")</f>
        <v/>
      </c>
      <c r="O2780" s="387"/>
      <c r="P2780" s="387" t="str">
        <f ca="1">IFERROR(IF(VLOOKUP(C2780,' Disaggregation - Section E '!A$618:R1792,18,0)=0,"",VLOOKUP(C2780,' Disaggregation - Section E '!A$618:R1792,18,0)),"")</f>
        <v/>
      </c>
    </row>
    <row r="2781" spans="1:16">
      <c r="A2781" s="387" t="b">
        <f t="shared" ca="1" si="174"/>
        <v>0</v>
      </c>
      <c r="B2781" s="387"/>
      <c r="C2781" s="396" t="str">
        <f ca="1">IF(COUNTA(O$1610:O2781)=1,"",OFFSET(B2779,-COUNTA(O$1610:O2781)+3,1))</f>
        <v>a16Dm000000M3yiIAC</v>
      </c>
      <c r="D2781" s="392"/>
      <c r="E2781" s="389" t="str">
        <f ca="1">IFERROR(IF(VLOOKUP(C2781,' Disaggregation - Section E '!A$618:J3470,7,0)="","",VLOOKUP(C2781,' Disaggregation - Section E '!A$618:J3470,7,0)*100),"")</f>
        <v/>
      </c>
      <c r="F2781" s="391" t="str">
        <f ca="1">IFERROR(VLOOKUP(C2781,' Disaggregation - Section E '!A$618:J3470,5,0),"")</f>
        <v/>
      </c>
      <c r="G2781" s="390" t="str">
        <f ca="1">IFERROR(IF(VLOOKUP(C2781,' Disaggregation - Section E '!A$618:J3470,6,0)="","",VLOOKUP(C2781,' Disaggregation - Section E '!A$618:J3470,6,0)),"")</f>
        <v/>
      </c>
      <c r="H2781" s="390" t="str">
        <f ca="1">IFERROR(IF(INDEX(' Disaggregation - Section E '!F$618:F3470,MATCH(C2781,' Disaggregation - Section E '!A$618:A3470,0)+1,1)&lt;&gt;0,INDEX(' Disaggregation - Section E '!F$618:F3470,MATCH(C2781,' Disaggregation - Section E '!A$618:A3470,0)+1,1),""),"")</f>
        <v/>
      </c>
      <c r="I2781" s="391" t="str">
        <f ca="1">IFERROR(IF(VLOOKUP(C2781,' Disaggregation - Section E '!A$618:J3470,8,0)=0,"",VLOOKUP(C2781,' Disaggregation - Section E '!A$618:J3470,8,0)),"")</f>
        <v/>
      </c>
      <c r="J2781" s="391" t="str">
        <f ca="1">IFERROR(IF(VLOOKUP(C2781,' Disaggregation - Section E '!A$618:J3470,9,0)="","",VLOOKUP(C2781,' Disaggregation - Section E '!A$618:J3470,9,0)),"")</f>
        <v/>
      </c>
      <c r="K2781" s="387" t="str">
        <f ca="1">IFERROR(VLOOKUP(C2781,' Disaggregation - Section E '!A$618:J3470,3,0),"")</f>
        <v>HTS-6 Number of individual HIV self-test kits distributed</v>
      </c>
      <c r="L2781" s="387"/>
      <c r="M2781" s="387" t="str">
        <f ca="1">IFERROR(IF(VLOOKUP(C2781,' Disaggregation - Section E '!A$618:O1793,15,0)=0,"",VLOOKUP(C2781,' Disaggregation - Section E '!A$618:O1793,15,0)),"")</f>
        <v/>
      </c>
      <c r="N2781" s="391" t="str">
        <f ca="1">IFERROR(IF(VLOOKUP(C2781,' Disaggregation - Section E '!A$618:J3470,10,0)=0,"",VLOOKUP(C2781,' Disaggregation - Section E '!A$618:J3470,10,0)),"")</f>
        <v/>
      </c>
      <c r="O2781" s="387"/>
      <c r="P2781" s="387" t="str">
        <f ca="1">IFERROR(IF(VLOOKUP(C2781,' Disaggregation - Section E '!A$618:R1793,18,0)=0,"",VLOOKUP(C2781,' Disaggregation - Section E '!A$618:R1793,18,0)),"")</f>
        <v/>
      </c>
    </row>
    <row r="2782" spans="1:16">
      <c r="A2782" s="387" t="b">
        <f t="shared" ca="1" si="174"/>
        <v>0</v>
      </c>
      <c r="B2782" s="387"/>
      <c r="C2782" s="396" t="str">
        <f ca="1">IF(COUNTA(O$1610:O2782)=1,"",OFFSET(B2780,-COUNTA(O$1610:O2782)+3,1))</f>
        <v>a16Dm000000M3yjIAC</v>
      </c>
      <c r="D2782" s="392"/>
      <c r="E2782" s="389" t="str">
        <f ca="1">IFERROR(IF(VLOOKUP(C2782,' Disaggregation - Section E '!A$618:J3471,7,0)="","",VLOOKUP(C2782,' Disaggregation - Section E '!A$618:J3471,7,0)*100),"")</f>
        <v/>
      </c>
      <c r="F2782" s="391" t="str">
        <f ca="1">IFERROR(VLOOKUP(C2782,' Disaggregation - Section E '!A$618:J3471,5,0),"")</f>
        <v/>
      </c>
      <c r="G2782" s="390" t="str">
        <f ca="1">IFERROR(IF(VLOOKUP(C2782,' Disaggregation - Section E '!A$618:J3471,6,0)="","",VLOOKUP(C2782,' Disaggregation - Section E '!A$618:J3471,6,0)),"")</f>
        <v/>
      </c>
      <c r="H2782" s="390" t="str">
        <f ca="1">IFERROR(IF(INDEX(' Disaggregation - Section E '!F$618:F3471,MATCH(C2782,' Disaggregation - Section E '!A$618:A3471,0)+1,1)&lt;&gt;0,INDEX(' Disaggregation - Section E '!F$618:F3471,MATCH(C2782,' Disaggregation - Section E '!A$618:A3471,0)+1,1),""),"")</f>
        <v/>
      </c>
      <c r="I2782" s="391" t="str">
        <f ca="1">IFERROR(IF(VLOOKUP(C2782,' Disaggregation - Section E '!A$618:J3471,8,0)=0,"",VLOOKUP(C2782,' Disaggregation - Section E '!A$618:J3471,8,0)),"")</f>
        <v/>
      </c>
      <c r="J2782" s="391" t="str">
        <f ca="1">IFERROR(IF(VLOOKUP(C2782,' Disaggregation - Section E '!A$618:J3471,9,0)="","",VLOOKUP(C2782,' Disaggregation - Section E '!A$618:J3471,9,0)),"")</f>
        <v/>
      </c>
      <c r="K2782" s="387" t="str">
        <f ca="1">IFERROR(VLOOKUP(C2782,' Disaggregation - Section E '!A$618:J3471,3,0),"")</f>
        <v>HTS-6 Number of individual HIV self-test kits distributed</v>
      </c>
      <c r="L2782" s="387"/>
      <c r="M2782" s="387" t="str">
        <f ca="1">IFERROR(IF(VLOOKUP(C2782,' Disaggregation - Section E '!A$618:O1794,15,0)=0,"",VLOOKUP(C2782,' Disaggregation - Section E '!A$618:O1794,15,0)),"")</f>
        <v/>
      </c>
      <c r="N2782" s="391" t="str">
        <f ca="1">IFERROR(IF(VLOOKUP(C2782,' Disaggregation - Section E '!A$618:J3471,10,0)=0,"",VLOOKUP(C2782,' Disaggregation - Section E '!A$618:J3471,10,0)),"")</f>
        <v/>
      </c>
      <c r="O2782" s="387"/>
      <c r="P2782" s="387" t="str">
        <f ca="1">IFERROR(IF(VLOOKUP(C2782,' Disaggregation - Section E '!A$618:R1794,18,0)=0,"",VLOOKUP(C2782,' Disaggregation - Section E '!A$618:R1794,18,0)),"")</f>
        <v/>
      </c>
    </row>
    <row r="2783" spans="1:16">
      <c r="A2783" s="387" t="b">
        <f t="shared" ca="1" si="174"/>
        <v>0</v>
      </c>
      <c r="B2783" s="387"/>
      <c r="C2783" s="396" t="str">
        <f ca="1">IF(COUNTA(O$1610:O2783)=1,"",OFFSET(B2781,-COUNTA(O$1610:O2783)+3,1))</f>
        <v>a16Dm000000M3ykIAC</v>
      </c>
      <c r="D2783" s="392"/>
      <c r="E2783" s="389" t="str">
        <f ca="1">IFERROR(IF(VLOOKUP(C2783,' Disaggregation - Section E '!A$618:J3472,7,0)="","",VLOOKUP(C2783,' Disaggregation - Section E '!A$618:J3472,7,0)*100),"")</f>
        <v/>
      </c>
      <c r="F2783" s="391" t="str">
        <f ca="1">IFERROR(VLOOKUP(C2783,' Disaggregation - Section E '!A$618:J3472,5,0),"")</f>
        <v/>
      </c>
      <c r="G2783" s="390" t="str">
        <f ca="1">IFERROR(IF(VLOOKUP(C2783,' Disaggregation - Section E '!A$618:J3472,6,0)="","",VLOOKUP(C2783,' Disaggregation - Section E '!A$618:J3472,6,0)),"")</f>
        <v/>
      </c>
      <c r="H2783" s="390" t="str">
        <f ca="1">IFERROR(IF(INDEX(' Disaggregation - Section E '!F$618:F3472,MATCH(C2783,' Disaggregation - Section E '!A$618:A3472,0)+1,1)&lt;&gt;0,INDEX(' Disaggregation - Section E '!F$618:F3472,MATCH(C2783,' Disaggregation - Section E '!A$618:A3472,0)+1,1),""),"")</f>
        <v/>
      </c>
      <c r="I2783" s="391" t="str">
        <f ca="1">IFERROR(IF(VLOOKUP(C2783,' Disaggregation - Section E '!A$618:J3472,8,0)=0,"",VLOOKUP(C2783,' Disaggregation - Section E '!A$618:J3472,8,0)),"")</f>
        <v/>
      </c>
      <c r="J2783" s="391" t="str">
        <f ca="1">IFERROR(IF(VLOOKUP(C2783,' Disaggregation - Section E '!A$618:J3472,9,0)="","",VLOOKUP(C2783,' Disaggregation - Section E '!A$618:J3472,9,0)),"")</f>
        <v/>
      </c>
      <c r="K2783" s="387" t="str">
        <f ca="1">IFERROR(VLOOKUP(C2783,' Disaggregation - Section E '!A$618:J3472,3,0),"")</f>
        <v>HTS-6 Number of individual HIV self-test kits distributed</v>
      </c>
      <c r="L2783" s="387"/>
      <c r="M2783" s="387" t="str">
        <f ca="1">IFERROR(IF(VLOOKUP(C2783,' Disaggregation - Section E '!A$618:O1795,15,0)=0,"",VLOOKUP(C2783,' Disaggregation - Section E '!A$618:O1795,15,0)),"")</f>
        <v/>
      </c>
      <c r="N2783" s="391" t="str">
        <f ca="1">IFERROR(IF(VLOOKUP(C2783,' Disaggregation - Section E '!A$618:J3472,10,0)=0,"",VLOOKUP(C2783,' Disaggregation - Section E '!A$618:J3472,10,0)),"")</f>
        <v/>
      </c>
      <c r="O2783" s="387"/>
      <c r="P2783" s="387" t="str">
        <f ca="1">IFERROR(IF(VLOOKUP(C2783,' Disaggregation - Section E '!A$618:R1795,18,0)=0,"",VLOOKUP(C2783,' Disaggregation - Section E '!A$618:R1795,18,0)),"")</f>
        <v/>
      </c>
    </row>
    <row r="2784" spans="1:16">
      <c r="A2784" s="387" t="b">
        <f t="shared" ca="1" si="174"/>
        <v>0</v>
      </c>
      <c r="B2784" s="387"/>
      <c r="C2784" s="396" t="str">
        <f ca="1">IF(COUNTA(O$1610:O2784)=1,"",OFFSET(B2782,-COUNTA(O$1610:O2784)+3,1))</f>
        <v>a16Dm000000M3ylIAC</v>
      </c>
      <c r="D2784" s="392"/>
      <c r="E2784" s="389" t="str">
        <f ca="1">IFERROR(IF(VLOOKUP(C2784,' Disaggregation - Section E '!A$618:J3473,7,0)="","",VLOOKUP(C2784,' Disaggregation - Section E '!A$618:J3473,7,0)*100),"")</f>
        <v/>
      </c>
      <c r="F2784" s="391" t="str">
        <f ca="1">IFERROR(VLOOKUP(C2784,' Disaggregation - Section E '!A$618:J3473,5,0),"")</f>
        <v/>
      </c>
      <c r="G2784" s="390" t="str">
        <f ca="1">IFERROR(IF(VLOOKUP(C2784,' Disaggregation - Section E '!A$618:J3473,6,0)="","",VLOOKUP(C2784,' Disaggregation - Section E '!A$618:J3473,6,0)),"")</f>
        <v/>
      </c>
      <c r="H2784" s="390" t="str">
        <f ca="1">IFERROR(IF(INDEX(' Disaggregation - Section E '!F$618:F3473,MATCH(C2784,' Disaggregation - Section E '!A$618:A3473,0)+1,1)&lt;&gt;0,INDEX(' Disaggregation - Section E '!F$618:F3473,MATCH(C2784,' Disaggregation - Section E '!A$618:A3473,0)+1,1),""),"")</f>
        <v/>
      </c>
      <c r="I2784" s="391" t="str">
        <f ca="1">IFERROR(IF(VLOOKUP(C2784,' Disaggregation - Section E '!A$618:J3473,8,0)=0,"",VLOOKUP(C2784,' Disaggregation - Section E '!A$618:J3473,8,0)),"")</f>
        <v/>
      </c>
      <c r="J2784" s="391" t="str">
        <f ca="1">IFERROR(IF(VLOOKUP(C2784,' Disaggregation - Section E '!A$618:J3473,9,0)="","",VLOOKUP(C2784,' Disaggregation - Section E '!A$618:J3473,9,0)),"")</f>
        <v/>
      </c>
      <c r="K2784" s="387" t="str">
        <f ca="1">IFERROR(VLOOKUP(C2784,' Disaggregation - Section E '!A$618:J3473,3,0),"")</f>
        <v>HTS-6 Number of individual HIV self-test kits distributed</v>
      </c>
      <c r="L2784" s="387"/>
      <c r="M2784" s="387" t="str">
        <f ca="1">IFERROR(IF(VLOOKUP(C2784,' Disaggregation - Section E '!A$618:O1796,15,0)=0,"",VLOOKUP(C2784,' Disaggregation - Section E '!A$618:O1796,15,0)),"")</f>
        <v/>
      </c>
      <c r="N2784" s="391" t="str">
        <f ca="1">IFERROR(IF(VLOOKUP(C2784,' Disaggregation - Section E '!A$618:J3473,10,0)=0,"",VLOOKUP(C2784,' Disaggregation - Section E '!A$618:J3473,10,0)),"")</f>
        <v/>
      </c>
      <c r="O2784" s="387"/>
      <c r="P2784" s="387" t="str">
        <f ca="1">IFERROR(IF(VLOOKUP(C2784,' Disaggregation - Section E '!A$618:R1796,18,0)=0,"",VLOOKUP(C2784,' Disaggregation - Section E '!A$618:R1796,18,0)),"")</f>
        <v/>
      </c>
    </row>
    <row r="2785" spans="1:16">
      <c r="A2785" s="387" t="b">
        <f t="shared" ca="1" si="174"/>
        <v>0</v>
      </c>
      <c r="B2785" s="387"/>
      <c r="C2785" s="396" t="str">
        <f ca="1">IF(COUNTA(O$1610:O2785)=1,"",OFFSET(B2783,-COUNTA(O$1610:O2785)+3,1))</f>
        <v>a16Dm000000M3ymIAC</v>
      </c>
      <c r="D2785" s="392"/>
      <c r="E2785" s="389" t="str">
        <f ca="1">IFERROR(IF(VLOOKUP(C2785,' Disaggregation - Section E '!A$618:J3474,7,0)="","",VLOOKUP(C2785,' Disaggregation - Section E '!A$618:J3474,7,0)*100),"")</f>
        <v/>
      </c>
      <c r="F2785" s="391" t="str">
        <f ca="1">IFERROR(VLOOKUP(C2785,' Disaggregation - Section E '!A$618:J3474,5,0),"")</f>
        <v/>
      </c>
      <c r="G2785" s="390" t="str">
        <f ca="1">IFERROR(IF(VLOOKUP(C2785,' Disaggregation - Section E '!A$618:J3474,6,0)="","",VLOOKUP(C2785,' Disaggregation - Section E '!A$618:J3474,6,0)),"")</f>
        <v/>
      </c>
      <c r="H2785" s="390" t="str">
        <f ca="1">IFERROR(IF(INDEX(' Disaggregation - Section E '!F$618:F3474,MATCH(C2785,' Disaggregation - Section E '!A$618:A3474,0)+1,1)&lt;&gt;0,INDEX(' Disaggregation - Section E '!F$618:F3474,MATCH(C2785,' Disaggregation - Section E '!A$618:A3474,0)+1,1),""),"")</f>
        <v/>
      </c>
      <c r="I2785" s="391" t="str">
        <f ca="1">IFERROR(IF(VLOOKUP(C2785,' Disaggregation - Section E '!A$618:J3474,8,0)=0,"",VLOOKUP(C2785,' Disaggregation - Section E '!A$618:J3474,8,0)),"")</f>
        <v/>
      </c>
      <c r="J2785" s="391" t="str">
        <f ca="1">IFERROR(IF(VLOOKUP(C2785,' Disaggregation - Section E '!A$618:J3474,9,0)="","",VLOOKUP(C2785,' Disaggregation - Section E '!A$618:J3474,9,0)),"")</f>
        <v/>
      </c>
      <c r="K2785" s="387" t="str">
        <f ca="1">IFERROR(VLOOKUP(C2785,' Disaggregation - Section E '!A$618:J3474,3,0),"")</f>
        <v>HTS-6 Number of individual HIV self-test kits distributed</v>
      </c>
      <c r="L2785" s="387"/>
      <c r="M2785" s="387" t="str">
        <f ca="1">IFERROR(IF(VLOOKUP(C2785,' Disaggregation - Section E '!A$618:O1797,15,0)=0,"",VLOOKUP(C2785,' Disaggregation - Section E '!A$618:O1797,15,0)),"")</f>
        <v/>
      </c>
      <c r="N2785" s="391" t="str">
        <f ca="1">IFERROR(IF(VLOOKUP(C2785,' Disaggregation - Section E '!A$618:J3474,10,0)=0,"",VLOOKUP(C2785,' Disaggregation - Section E '!A$618:J3474,10,0)),"")</f>
        <v/>
      </c>
      <c r="O2785" s="387"/>
      <c r="P2785" s="387" t="str">
        <f ca="1">IFERROR(IF(VLOOKUP(C2785,' Disaggregation - Section E '!A$618:R1797,18,0)=0,"",VLOOKUP(C2785,' Disaggregation - Section E '!A$618:R1797,18,0)),"")</f>
        <v/>
      </c>
    </row>
    <row r="2786" spans="1:16">
      <c r="A2786" s="387" t="b">
        <f t="shared" ca="1" si="174"/>
        <v>0</v>
      </c>
      <c r="B2786" s="387"/>
      <c r="C2786" s="396" t="str">
        <f ca="1">IF(COUNTA(O$1610:O2786)=1,"",OFFSET(B2784,-COUNTA(O$1610:O2786)+3,1))</f>
        <v>a16Dm000000M3ynIAC</v>
      </c>
      <c r="D2786" s="392"/>
      <c r="E2786" s="389" t="str">
        <f ca="1">IFERROR(IF(VLOOKUP(C2786,' Disaggregation - Section E '!A$618:J3475,7,0)="","",VLOOKUP(C2786,' Disaggregation - Section E '!A$618:J3475,7,0)*100),"")</f>
        <v/>
      </c>
      <c r="F2786" s="391" t="str">
        <f ca="1">IFERROR(VLOOKUP(C2786,' Disaggregation - Section E '!A$618:J3475,5,0),"")</f>
        <v/>
      </c>
      <c r="G2786" s="390" t="str">
        <f ca="1">IFERROR(IF(VLOOKUP(C2786,' Disaggregation - Section E '!A$618:J3475,6,0)="","",VLOOKUP(C2786,' Disaggregation - Section E '!A$618:J3475,6,0)),"")</f>
        <v/>
      </c>
      <c r="H2786" s="390" t="str">
        <f ca="1">IFERROR(IF(INDEX(' Disaggregation - Section E '!F$618:F3475,MATCH(C2786,' Disaggregation - Section E '!A$618:A3475,0)+1,1)&lt;&gt;0,INDEX(' Disaggregation - Section E '!F$618:F3475,MATCH(C2786,' Disaggregation - Section E '!A$618:A3475,0)+1,1),""),"")</f>
        <v/>
      </c>
      <c r="I2786" s="391" t="str">
        <f ca="1">IFERROR(IF(VLOOKUP(C2786,' Disaggregation - Section E '!A$618:J3475,8,0)=0,"",VLOOKUP(C2786,' Disaggregation - Section E '!A$618:J3475,8,0)),"")</f>
        <v/>
      </c>
      <c r="J2786" s="391" t="str">
        <f ca="1">IFERROR(IF(VLOOKUP(C2786,' Disaggregation - Section E '!A$618:J3475,9,0)="","",VLOOKUP(C2786,' Disaggregation - Section E '!A$618:J3475,9,0)),"")</f>
        <v/>
      </c>
      <c r="K2786" s="387" t="str">
        <f ca="1">IFERROR(VLOOKUP(C2786,' Disaggregation - Section E '!A$618:J3475,3,0),"")</f>
        <v>HTS-6 Number of individual HIV self-test kits distributed</v>
      </c>
      <c r="L2786" s="387"/>
      <c r="M2786" s="387" t="str">
        <f ca="1">IFERROR(IF(VLOOKUP(C2786,' Disaggregation - Section E '!A$618:O1798,15,0)=0,"",VLOOKUP(C2786,' Disaggregation - Section E '!A$618:O1798,15,0)),"")</f>
        <v/>
      </c>
      <c r="N2786" s="391" t="str">
        <f ca="1">IFERROR(IF(VLOOKUP(C2786,' Disaggregation - Section E '!A$618:J3475,10,0)=0,"",VLOOKUP(C2786,' Disaggregation - Section E '!A$618:J3475,10,0)),"")</f>
        <v/>
      </c>
      <c r="O2786" s="387"/>
      <c r="P2786" s="387" t="str">
        <f ca="1">IFERROR(IF(VLOOKUP(C2786,' Disaggregation - Section E '!A$618:R1798,18,0)=0,"",VLOOKUP(C2786,' Disaggregation - Section E '!A$618:R1798,18,0)),"")</f>
        <v/>
      </c>
    </row>
    <row r="2787" spans="1:16">
      <c r="A2787" s="387" t="b">
        <f t="shared" ca="1" si="174"/>
        <v>0</v>
      </c>
      <c r="B2787" s="387"/>
      <c r="C2787" s="396" t="str">
        <f ca="1">IF(COUNTA(O$1610:O2787)=1,"",OFFSET(B2785,-COUNTA(O$1610:O2787)+3,1))</f>
        <v>a16Dm000000M3yoIAC</v>
      </c>
      <c r="D2787" s="392"/>
      <c r="E2787" s="389" t="str">
        <f ca="1">IFERROR(IF(VLOOKUP(C2787,' Disaggregation - Section E '!A$618:J3476,7,0)="","",VLOOKUP(C2787,' Disaggregation - Section E '!A$618:J3476,7,0)*100),"")</f>
        <v/>
      </c>
      <c r="F2787" s="391" t="str">
        <f ca="1">IFERROR(VLOOKUP(C2787,' Disaggregation - Section E '!A$618:J3476,5,0),"")</f>
        <v/>
      </c>
      <c r="G2787" s="390" t="str">
        <f ca="1">IFERROR(IF(VLOOKUP(C2787,' Disaggregation - Section E '!A$618:J3476,6,0)="","",VLOOKUP(C2787,' Disaggregation - Section E '!A$618:J3476,6,0)),"")</f>
        <v/>
      </c>
      <c r="H2787" s="390" t="str">
        <f ca="1">IFERROR(IF(INDEX(' Disaggregation - Section E '!F$618:F3476,MATCH(C2787,' Disaggregation - Section E '!A$618:A3476,0)+1,1)&lt;&gt;0,INDEX(' Disaggregation - Section E '!F$618:F3476,MATCH(C2787,' Disaggregation - Section E '!A$618:A3476,0)+1,1),""),"")</f>
        <v/>
      </c>
      <c r="I2787" s="391" t="str">
        <f ca="1">IFERROR(IF(VLOOKUP(C2787,' Disaggregation - Section E '!A$618:J3476,8,0)=0,"",VLOOKUP(C2787,' Disaggregation - Section E '!A$618:J3476,8,0)),"")</f>
        <v/>
      </c>
      <c r="J2787" s="391" t="str">
        <f ca="1">IFERROR(IF(VLOOKUP(C2787,' Disaggregation - Section E '!A$618:J3476,9,0)="","",VLOOKUP(C2787,' Disaggregation - Section E '!A$618:J3476,9,0)),"")</f>
        <v/>
      </c>
      <c r="K2787" s="387" t="str">
        <f ca="1">IFERROR(VLOOKUP(C2787,' Disaggregation - Section E '!A$618:J3476,3,0),"")</f>
        <v>HTS-6 Number of individual HIV self-test kits distributed</v>
      </c>
      <c r="L2787" s="387"/>
      <c r="M2787" s="387" t="str">
        <f ca="1">IFERROR(IF(VLOOKUP(C2787,' Disaggregation - Section E '!A$618:O1799,15,0)=0,"",VLOOKUP(C2787,' Disaggregation - Section E '!A$618:O1799,15,0)),"")</f>
        <v/>
      </c>
      <c r="N2787" s="391" t="str">
        <f ca="1">IFERROR(IF(VLOOKUP(C2787,' Disaggregation - Section E '!A$618:J3476,10,0)=0,"",VLOOKUP(C2787,' Disaggregation - Section E '!A$618:J3476,10,0)),"")</f>
        <v/>
      </c>
      <c r="O2787" s="387"/>
      <c r="P2787" s="387" t="str">
        <f ca="1">IFERROR(IF(VLOOKUP(C2787,' Disaggregation - Section E '!A$618:R1799,18,0)=0,"",VLOOKUP(C2787,' Disaggregation - Section E '!A$618:R1799,18,0)),"")</f>
        <v/>
      </c>
    </row>
    <row r="2788" spans="1:16">
      <c r="A2788" s="387" t="b">
        <f t="shared" ca="1" si="174"/>
        <v>0</v>
      </c>
      <c r="B2788" s="387"/>
      <c r="C2788" s="396" t="str">
        <f ca="1">IF(COUNTA(O$1610:O2788)=1,"",OFFSET(B2786,-COUNTA(O$1610:O2788)+3,1))</f>
        <v>a16Dm000000M3ypIAC</v>
      </c>
      <c r="D2788" s="392"/>
      <c r="E2788" s="389" t="str">
        <f ca="1">IFERROR(IF(VLOOKUP(C2788,' Disaggregation - Section E '!A$618:J3477,7,0)="","",VLOOKUP(C2788,' Disaggregation - Section E '!A$618:J3477,7,0)*100),"")</f>
        <v/>
      </c>
      <c r="F2788" s="391" t="str">
        <f ca="1">IFERROR(VLOOKUP(C2788,' Disaggregation - Section E '!A$618:J3477,5,0),"")</f>
        <v/>
      </c>
      <c r="G2788" s="390" t="str">
        <f ca="1">IFERROR(IF(VLOOKUP(C2788,' Disaggregation - Section E '!A$618:J3477,6,0)="","",VLOOKUP(C2788,' Disaggregation - Section E '!A$618:J3477,6,0)),"")</f>
        <v/>
      </c>
      <c r="H2788" s="390" t="str">
        <f ca="1">IFERROR(IF(INDEX(' Disaggregation - Section E '!F$618:F3477,MATCH(C2788,' Disaggregation - Section E '!A$618:A3477,0)+1,1)&lt;&gt;0,INDEX(' Disaggregation - Section E '!F$618:F3477,MATCH(C2788,' Disaggregation - Section E '!A$618:A3477,0)+1,1),""),"")</f>
        <v/>
      </c>
      <c r="I2788" s="391" t="str">
        <f ca="1">IFERROR(IF(VLOOKUP(C2788,' Disaggregation - Section E '!A$618:J3477,8,0)=0,"",VLOOKUP(C2788,' Disaggregation - Section E '!A$618:J3477,8,0)),"")</f>
        <v/>
      </c>
      <c r="J2788" s="391" t="str">
        <f ca="1">IFERROR(IF(VLOOKUP(C2788,' Disaggregation - Section E '!A$618:J3477,9,0)="","",VLOOKUP(C2788,' Disaggregation - Section E '!A$618:J3477,9,0)),"")</f>
        <v/>
      </c>
      <c r="K2788" s="387" t="str">
        <f ca="1">IFERROR(VLOOKUP(C2788,' Disaggregation - Section E '!A$618:J3477,3,0),"")</f>
        <v>HTS-6 Number of individual HIV self-test kits distributed</v>
      </c>
      <c r="L2788" s="387"/>
      <c r="M2788" s="387" t="str">
        <f ca="1">IFERROR(IF(VLOOKUP(C2788,' Disaggregation - Section E '!A$618:O1800,15,0)=0,"",VLOOKUP(C2788,' Disaggregation - Section E '!A$618:O1800,15,0)),"")</f>
        <v/>
      </c>
      <c r="N2788" s="391" t="str">
        <f ca="1">IFERROR(IF(VLOOKUP(C2788,' Disaggregation - Section E '!A$618:J3477,10,0)=0,"",VLOOKUP(C2788,' Disaggregation - Section E '!A$618:J3477,10,0)),"")</f>
        <v/>
      </c>
      <c r="O2788" s="387"/>
      <c r="P2788" s="387" t="str">
        <f ca="1">IFERROR(IF(VLOOKUP(C2788,' Disaggregation - Section E '!A$618:R1800,18,0)=0,"",VLOOKUP(C2788,' Disaggregation - Section E '!A$618:R1800,18,0)),"")</f>
        <v/>
      </c>
    </row>
    <row r="2789" spans="1:16">
      <c r="A2789" s="387" t="b">
        <f t="shared" ca="1" si="174"/>
        <v>0</v>
      </c>
      <c r="B2789" s="387"/>
      <c r="C2789" s="396" t="str">
        <f ca="1">IF(COUNTA(O$1610:O2789)=1,"",OFFSET(B2787,-COUNTA(O$1610:O2789)+3,1))</f>
        <v>a16Dm000000M3yqIAC</v>
      </c>
      <c r="D2789" s="392"/>
      <c r="E2789" s="389" t="str">
        <f ca="1">IFERROR(IF(VLOOKUP(C2789,' Disaggregation - Section E '!A$618:J3478,7,0)="","",VLOOKUP(C2789,' Disaggregation - Section E '!A$618:J3478,7,0)*100),"")</f>
        <v/>
      </c>
      <c r="F2789" s="391" t="str">
        <f ca="1">IFERROR(VLOOKUP(C2789,' Disaggregation - Section E '!A$618:J3478,5,0),"")</f>
        <v/>
      </c>
      <c r="G2789" s="390" t="str">
        <f ca="1">IFERROR(IF(VLOOKUP(C2789,' Disaggregation - Section E '!A$618:J3478,6,0)="","",VLOOKUP(C2789,' Disaggregation - Section E '!A$618:J3478,6,0)),"")</f>
        <v/>
      </c>
      <c r="H2789" s="390" t="str">
        <f ca="1">IFERROR(IF(INDEX(' Disaggregation - Section E '!F$618:F3478,MATCH(C2789,' Disaggregation - Section E '!A$618:A3478,0)+1,1)&lt;&gt;0,INDEX(' Disaggregation - Section E '!F$618:F3478,MATCH(C2789,' Disaggregation - Section E '!A$618:A3478,0)+1,1),""),"")</f>
        <v/>
      </c>
      <c r="I2789" s="391" t="str">
        <f ca="1">IFERROR(IF(VLOOKUP(C2789,' Disaggregation - Section E '!A$618:J3478,8,0)=0,"",VLOOKUP(C2789,' Disaggregation - Section E '!A$618:J3478,8,0)),"")</f>
        <v/>
      </c>
      <c r="J2789" s="391" t="str">
        <f ca="1">IFERROR(IF(VLOOKUP(C2789,' Disaggregation - Section E '!A$618:J3478,9,0)="","",VLOOKUP(C2789,' Disaggregation - Section E '!A$618:J3478,9,0)),"")</f>
        <v/>
      </c>
      <c r="K2789" s="387" t="str">
        <f ca="1">IFERROR(VLOOKUP(C2789,' Disaggregation - Section E '!A$618:J3478,3,0),"")</f>
        <v>HTS-6 Number of individual HIV self-test kits distributed</v>
      </c>
      <c r="L2789" s="387"/>
      <c r="M2789" s="387" t="str">
        <f ca="1">IFERROR(IF(VLOOKUP(C2789,' Disaggregation - Section E '!A$618:O1801,15,0)=0,"",VLOOKUP(C2789,' Disaggregation - Section E '!A$618:O1801,15,0)),"")</f>
        <v/>
      </c>
      <c r="N2789" s="391" t="str">
        <f ca="1">IFERROR(IF(VLOOKUP(C2789,' Disaggregation - Section E '!A$618:J3478,10,0)=0,"",VLOOKUP(C2789,' Disaggregation - Section E '!A$618:J3478,10,0)),"")</f>
        <v/>
      </c>
      <c r="O2789" s="387"/>
      <c r="P2789" s="387" t="str">
        <f ca="1">IFERROR(IF(VLOOKUP(C2789,' Disaggregation - Section E '!A$618:R1801,18,0)=0,"",VLOOKUP(C2789,' Disaggregation - Section E '!A$618:R1801,18,0)),"")</f>
        <v/>
      </c>
    </row>
    <row r="2790" spans="1:16">
      <c r="A2790" s="387" t="b">
        <f t="shared" ca="1" si="174"/>
        <v>0</v>
      </c>
      <c r="B2790" s="387"/>
      <c r="C2790" s="396" t="str">
        <f ca="1">IF(COUNTA(O$1610:O2790)=1,"",OFFSET(B2788,-COUNTA(O$1610:O2790)+3,1))</f>
        <v>a16Dm000000M3yrIAC</v>
      </c>
      <c r="D2790" s="392"/>
      <c r="E2790" s="389" t="str">
        <f ca="1">IFERROR(IF(VLOOKUP(C2790,' Disaggregation - Section E '!A$618:J3479,7,0)="","",VLOOKUP(C2790,' Disaggregation - Section E '!A$618:J3479,7,0)*100),"")</f>
        <v/>
      </c>
      <c r="F2790" s="391" t="str">
        <f ca="1">IFERROR(VLOOKUP(C2790,' Disaggregation - Section E '!A$618:J3479,5,0),"")</f>
        <v/>
      </c>
      <c r="G2790" s="390" t="str">
        <f ca="1">IFERROR(IF(VLOOKUP(C2790,' Disaggregation - Section E '!A$618:J3479,6,0)="","",VLOOKUP(C2790,' Disaggregation - Section E '!A$618:J3479,6,0)),"")</f>
        <v/>
      </c>
      <c r="H2790" s="390" t="str">
        <f ca="1">IFERROR(IF(INDEX(' Disaggregation - Section E '!F$618:F3479,MATCH(C2790,' Disaggregation - Section E '!A$618:A3479,0)+1,1)&lt;&gt;0,INDEX(' Disaggregation - Section E '!F$618:F3479,MATCH(C2790,' Disaggregation - Section E '!A$618:A3479,0)+1,1),""),"")</f>
        <v/>
      </c>
      <c r="I2790" s="391" t="str">
        <f ca="1">IFERROR(IF(VLOOKUP(C2790,' Disaggregation - Section E '!A$618:J3479,8,0)=0,"",VLOOKUP(C2790,' Disaggregation - Section E '!A$618:J3479,8,0)),"")</f>
        <v/>
      </c>
      <c r="J2790" s="391" t="str">
        <f ca="1">IFERROR(IF(VLOOKUP(C2790,' Disaggregation - Section E '!A$618:J3479,9,0)="","",VLOOKUP(C2790,' Disaggregation - Section E '!A$618:J3479,9,0)),"")</f>
        <v/>
      </c>
      <c r="K2790" s="387" t="str">
        <f ca="1">IFERROR(VLOOKUP(C2790,' Disaggregation - Section E '!A$618:J3479,3,0),"")</f>
        <v>HTS-6 Number of individual HIV self-test kits distributed</v>
      </c>
      <c r="L2790" s="387"/>
      <c r="M2790" s="387" t="str">
        <f ca="1">IFERROR(IF(VLOOKUP(C2790,' Disaggregation - Section E '!A$618:O1802,15,0)=0,"",VLOOKUP(C2790,' Disaggregation - Section E '!A$618:O1802,15,0)),"")</f>
        <v/>
      </c>
      <c r="N2790" s="391" t="str">
        <f ca="1">IFERROR(IF(VLOOKUP(C2790,' Disaggregation - Section E '!A$618:J3479,10,0)=0,"",VLOOKUP(C2790,' Disaggregation - Section E '!A$618:J3479,10,0)),"")</f>
        <v/>
      </c>
      <c r="O2790" s="387"/>
      <c r="P2790" s="387" t="str">
        <f ca="1">IFERROR(IF(VLOOKUP(C2790,' Disaggregation - Section E '!A$618:R1802,18,0)=0,"",VLOOKUP(C2790,' Disaggregation - Section E '!A$618:R1802,18,0)),"")</f>
        <v/>
      </c>
    </row>
    <row r="2791" spans="1:16">
      <c r="A2791" s="387" t="b">
        <f t="shared" ca="1" si="174"/>
        <v>0</v>
      </c>
      <c r="B2791" s="387"/>
      <c r="C2791" s="396" t="str">
        <f ca="1">IF(COUNTA(O$1610:O2791)=1,"",OFFSET(B2789,-COUNTA(O$1610:O2791)+3,1))</f>
        <v>a16Dm000000M3ysIAC</v>
      </c>
      <c r="D2791" s="392"/>
      <c r="E2791" s="389" t="str">
        <f ca="1">IFERROR(IF(VLOOKUP(C2791,' Disaggregation - Section E '!A$618:J3480,7,0)="","",VLOOKUP(C2791,' Disaggregation - Section E '!A$618:J3480,7,0)*100),"")</f>
        <v/>
      </c>
      <c r="F2791" s="391" t="str">
        <f ca="1">IFERROR(VLOOKUP(C2791,' Disaggregation - Section E '!A$618:J3480,5,0),"")</f>
        <v/>
      </c>
      <c r="G2791" s="390" t="str">
        <f ca="1">IFERROR(IF(VLOOKUP(C2791,' Disaggregation - Section E '!A$618:J3480,6,0)="","",VLOOKUP(C2791,' Disaggregation - Section E '!A$618:J3480,6,0)),"")</f>
        <v/>
      </c>
      <c r="H2791" s="390" t="str">
        <f ca="1">IFERROR(IF(INDEX(' Disaggregation - Section E '!F$618:F3480,MATCH(C2791,' Disaggregation - Section E '!A$618:A3480,0)+1,1)&lt;&gt;0,INDEX(' Disaggregation - Section E '!F$618:F3480,MATCH(C2791,' Disaggregation - Section E '!A$618:A3480,0)+1,1),""),"")</f>
        <v/>
      </c>
      <c r="I2791" s="391" t="str">
        <f ca="1">IFERROR(IF(VLOOKUP(C2791,' Disaggregation - Section E '!A$618:J3480,8,0)=0,"",VLOOKUP(C2791,' Disaggregation - Section E '!A$618:J3480,8,0)),"")</f>
        <v/>
      </c>
      <c r="J2791" s="391" t="str">
        <f ca="1">IFERROR(IF(VLOOKUP(C2791,' Disaggregation - Section E '!A$618:J3480,9,0)="","",VLOOKUP(C2791,' Disaggregation - Section E '!A$618:J3480,9,0)),"")</f>
        <v/>
      </c>
      <c r="K2791" s="387" t="str">
        <f ca="1">IFERROR(VLOOKUP(C2791,' Disaggregation - Section E '!A$618:J3480,3,0),"")</f>
        <v>HTS-6 Number of individual HIV self-test kits distributed</v>
      </c>
      <c r="L2791" s="387"/>
      <c r="M2791" s="387" t="str">
        <f ca="1">IFERROR(IF(VLOOKUP(C2791,' Disaggregation - Section E '!A$618:O1803,15,0)=0,"",VLOOKUP(C2791,' Disaggregation - Section E '!A$618:O1803,15,0)),"")</f>
        <v/>
      </c>
      <c r="N2791" s="391" t="str">
        <f ca="1">IFERROR(IF(VLOOKUP(C2791,' Disaggregation - Section E '!A$618:J3480,10,0)=0,"",VLOOKUP(C2791,' Disaggregation - Section E '!A$618:J3480,10,0)),"")</f>
        <v/>
      </c>
      <c r="O2791" s="387"/>
      <c r="P2791" s="387" t="str">
        <f ca="1">IFERROR(IF(VLOOKUP(C2791,' Disaggregation - Section E '!A$618:R1803,18,0)=0,"",VLOOKUP(C2791,' Disaggregation - Section E '!A$618:R1803,18,0)),"")</f>
        <v/>
      </c>
    </row>
    <row r="2792" spans="1:16">
      <c r="A2792" s="387" t="b">
        <f t="shared" ca="1" si="174"/>
        <v>1</v>
      </c>
      <c r="B2792" s="387"/>
      <c r="C2792" s="396" t="str">
        <f ca="1">IF(COUNTA(O$1610:O2792)=1,"",OFFSET(B2790,-COUNTA(O$1610:O2792)+3,1))</f>
        <v>a16Dm000000M3ytIAC</v>
      </c>
      <c r="D2792" s="392"/>
      <c r="E2792" s="389" t="str">
        <f ca="1">IFERROR(IF(VLOOKUP(C2792,' Disaggregation - Section E '!A$618:J3481,7,0)="","",VLOOKUP(C2792,' Disaggregation - Section E '!A$618:J3481,7,0)*100),"")</f>
        <v/>
      </c>
      <c r="F2792" s="391" t="str">
        <f ca="1">IFERROR(VLOOKUP(C2792,' Disaggregation - Section E '!A$618:J3481,5,0),"")</f>
        <v>Unknown</v>
      </c>
      <c r="G2792" s="390" t="str">
        <f ca="1">IFERROR(IF(VLOOKUP(C2792,' Disaggregation - Section E '!A$618:J3481,6,0)="","",VLOOKUP(C2792,' Disaggregation - Section E '!A$618:J3481,6,0)),"")</f>
        <v/>
      </c>
      <c r="H2792" s="390" t="str">
        <f ca="1">IFERROR(IF(INDEX(' Disaggregation - Section E '!F$618:F3481,MATCH(C2792,' Disaggregation - Section E '!A$618:A3481,0)+1,1)&lt;&gt;0,INDEX(' Disaggregation - Section E '!F$618:F3481,MATCH(C2792,' Disaggregation - Section E '!A$618:A3481,0)+1,1),""),"")</f>
        <v/>
      </c>
      <c r="I2792" s="391" t="str">
        <f ca="1">IFERROR(IF(VLOOKUP(C2792,' Disaggregation - Section E '!A$618:J3481,8,0)=0,"",VLOOKUP(C2792,' Disaggregation - Section E '!A$618:J3481,8,0)),"")</f>
        <v/>
      </c>
      <c r="J2792" s="391" t="str">
        <f ca="1">IFERROR(IF(VLOOKUP(C2792,' Disaggregation - Section E '!A$618:J3481,9,0)="","",VLOOKUP(C2792,' Disaggregation - Section E '!A$618:J3481,9,0)),"")</f>
        <v/>
      </c>
      <c r="K2792" s="387" t="str">
        <f ca="1">IFERROR(VLOOKUP(C2792,' Disaggregation - Section E '!A$618:J3481,3,0),"")</f>
        <v>VT-1 Percentage of pregnant women who know their HIV status</v>
      </c>
      <c r="L2792" s="387"/>
      <c r="M2792" s="387" t="str">
        <f ca="1">IFERROR(IF(VLOOKUP(C2792,' Disaggregation - Section E '!A$618:O1804,15,0)=0,"",VLOOKUP(C2792,' Disaggregation - Section E '!A$618:O1804,15,0)),"")</f>
        <v>IDR-01262</v>
      </c>
      <c r="N2792" s="391" t="str">
        <f ca="1">IFERROR(IF(VLOOKUP(C2792,' Disaggregation - Section E '!A$618:J3481,10,0)=0,"",VLOOKUP(C2792,' Disaggregation - Section E '!A$618:J3481,10,0)),"")</f>
        <v>Disaggregated data not available. The activity will be taken into account from 2024 onwards</v>
      </c>
      <c r="O2792" s="387"/>
      <c r="P2792" s="387" t="str">
        <f ca="1">IFERROR(IF(VLOOKUP(C2792,' Disaggregation - Section E '!A$618:R1804,18,0)=0,"",VLOOKUP(C2792,' Disaggregation - Section E '!A$618:R1804,18,0)),"")</f>
        <v>a1LDm000000Cb36MAC</v>
      </c>
    </row>
    <row r="2793" spans="1:16">
      <c r="A2793" s="387" t="b">
        <f t="shared" ca="1" si="174"/>
        <v>1</v>
      </c>
      <c r="B2793" s="387"/>
      <c r="C2793" s="396" t="str">
        <f ca="1">IF(COUNTA(O$1610:O2793)=1,"",OFFSET(B2791,-COUNTA(O$1610:O2793)+3,1))</f>
        <v>a16Dm000000M3yuIAC</v>
      </c>
      <c r="D2793" s="392"/>
      <c r="E2793" s="389" t="str">
        <f ca="1">IFERROR(IF(VLOOKUP(C2793,' Disaggregation - Section E '!A$618:J3482,7,0)="","",VLOOKUP(C2793,' Disaggregation - Section E '!A$618:J3482,7,0)*100),"")</f>
        <v/>
      </c>
      <c r="F2793" s="391" t="str">
        <f ca="1">IFERROR(VLOOKUP(C2793,' Disaggregation - Section E '!A$618:J3482,5,0),"")</f>
        <v>Negative</v>
      </c>
      <c r="G2793" s="390" t="str">
        <f ca="1">IFERROR(IF(VLOOKUP(C2793,' Disaggregation - Section E '!A$618:J3482,6,0)="","",VLOOKUP(C2793,' Disaggregation - Section E '!A$618:J3482,6,0)),"")</f>
        <v/>
      </c>
      <c r="H2793" s="390" t="str">
        <f ca="1">IFERROR(IF(INDEX(' Disaggregation - Section E '!F$618:F3482,MATCH(C2793,' Disaggregation - Section E '!A$618:A3482,0)+1,1)&lt;&gt;0,INDEX(' Disaggregation - Section E '!F$618:F3482,MATCH(C2793,' Disaggregation - Section E '!A$618:A3482,0)+1,1),""),"")</f>
        <v/>
      </c>
      <c r="I2793" s="391" t="str">
        <f ca="1">IFERROR(IF(VLOOKUP(C2793,' Disaggregation - Section E '!A$618:J3482,8,0)=0,"",VLOOKUP(C2793,' Disaggregation - Section E '!A$618:J3482,8,0)),"")</f>
        <v/>
      </c>
      <c r="J2793" s="391" t="str">
        <f ca="1">IFERROR(IF(VLOOKUP(C2793,' Disaggregation - Section E '!A$618:J3482,9,0)="","",VLOOKUP(C2793,' Disaggregation - Section E '!A$618:J3482,9,0)),"")</f>
        <v/>
      </c>
      <c r="K2793" s="387" t="str">
        <f ca="1">IFERROR(VLOOKUP(C2793,' Disaggregation - Section E '!A$618:J3482,3,0),"")</f>
        <v>VT-1 Percentage of pregnant women who know their HIV status</v>
      </c>
      <c r="L2793" s="387"/>
      <c r="M2793" s="387" t="str">
        <f ca="1">IFERROR(IF(VLOOKUP(C2793,' Disaggregation - Section E '!A$618:O1805,15,0)=0,"",VLOOKUP(C2793,' Disaggregation - Section E '!A$618:O1805,15,0)),"")</f>
        <v>IDR-01261</v>
      </c>
      <c r="N2793" s="391" t="str">
        <f ca="1">IFERROR(IF(VLOOKUP(C2793,' Disaggregation - Section E '!A$618:J3482,10,0)=0,"",VLOOKUP(C2793,' Disaggregation - Section E '!A$618:J3482,10,0)),"")</f>
        <v>Disaggregated data not available. The activity will be taken into account from 2024 onwards</v>
      </c>
      <c r="O2793" s="387"/>
      <c r="P2793" s="387" t="str">
        <f ca="1">IFERROR(IF(VLOOKUP(C2793,' Disaggregation - Section E '!A$618:R1805,18,0)=0,"",VLOOKUP(C2793,' Disaggregation - Section E '!A$618:R1805,18,0)),"")</f>
        <v>a1LDm000000Cb35MAC</v>
      </c>
    </row>
    <row r="2794" spans="1:16">
      <c r="A2794" s="387" t="b">
        <f t="shared" ca="1" si="174"/>
        <v>1</v>
      </c>
      <c r="B2794" s="387"/>
      <c r="C2794" s="396" t="str">
        <f ca="1">IF(COUNTA(O$1610:O2794)=1,"",OFFSET(B2792,-COUNTA(O$1610:O2794)+3,1))</f>
        <v>a16Dm000000M3yvIAC</v>
      </c>
      <c r="D2794" s="392"/>
      <c r="E2794" s="389" t="str">
        <f ca="1">IFERROR(IF(VLOOKUP(C2794,' Disaggregation - Section E '!A$618:J3483,7,0)="","",VLOOKUP(C2794,' Disaggregation - Section E '!A$618:J3483,7,0)*100),"")</f>
        <v/>
      </c>
      <c r="F2794" s="391" t="str">
        <f ca="1">IFERROR(VLOOKUP(C2794,' Disaggregation - Section E '!A$618:J3483,5,0),"")</f>
        <v>Positive</v>
      </c>
      <c r="G2794" s="390" t="str">
        <f ca="1">IFERROR(IF(VLOOKUP(C2794,' Disaggregation - Section E '!A$618:J3483,6,0)="","",VLOOKUP(C2794,' Disaggregation - Section E '!A$618:J3483,6,0)),"")</f>
        <v/>
      </c>
      <c r="H2794" s="390" t="str">
        <f ca="1">IFERROR(IF(INDEX(' Disaggregation - Section E '!F$618:F3483,MATCH(C2794,' Disaggregation - Section E '!A$618:A3483,0)+1,1)&lt;&gt;0,INDEX(' Disaggregation - Section E '!F$618:F3483,MATCH(C2794,' Disaggregation - Section E '!A$618:A3483,0)+1,1),""),"")</f>
        <v/>
      </c>
      <c r="I2794" s="391" t="str">
        <f ca="1">IFERROR(IF(VLOOKUP(C2794,' Disaggregation - Section E '!A$618:J3483,8,0)=0,"",VLOOKUP(C2794,' Disaggregation - Section E '!A$618:J3483,8,0)),"")</f>
        <v/>
      </c>
      <c r="J2794" s="391" t="str">
        <f ca="1">IFERROR(IF(VLOOKUP(C2794,' Disaggregation - Section E '!A$618:J3483,9,0)="","",VLOOKUP(C2794,' Disaggregation - Section E '!A$618:J3483,9,0)),"")</f>
        <v/>
      </c>
      <c r="K2794" s="387" t="str">
        <f ca="1">IFERROR(VLOOKUP(C2794,' Disaggregation - Section E '!A$618:J3483,3,0),"")</f>
        <v>VT-1 Percentage of pregnant women who know their HIV status</v>
      </c>
      <c r="L2794" s="387"/>
      <c r="M2794" s="387" t="str">
        <f ca="1">IFERROR(IF(VLOOKUP(C2794,' Disaggregation - Section E '!A$618:O1806,15,0)=0,"",VLOOKUP(C2794,' Disaggregation - Section E '!A$618:O1806,15,0)),"")</f>
        <v>IDR-01260</v>
      </c>
      <c r="N2794" s="391" t="str">
        <f ca="1">IFERROR(IF(VLOOKUP(C2794,' Disaggregation - Section E '!A$618:J3483,10,0)=0,"",VLOOKUP(C2794,' Disaggregation - Section E '!A$618:J3483,10,0)),"")</f>
        <v>Disaggregated data not available. The activity will be taken into account from 2024 onwards</v>
      </c>
      <c r="O2794" s="387"/>
      <c r="P2794" s="387" t="str">
        <f ca="1">IFERROR(IF(VLOOKUP(C2794,' Disaggregation - Section E '!A$618:R1806,18,0)=0,"",VLOOKUP(C2794,' Disaggregation - Section E '!A$618:R1806,18,0)),"")</f>
        <v>a1LDm000000Cb34MAC</v>
      </c>
    </row>
    <row r="2795" spans="1:16">
      <c r="A2795" s="387" t="b">
        <f t="shared" ca="1" si="174"/>
        <v>0</v>
      </c>
      <c r="B2795" s="387"/>
      <c r="C2795" s="396" t="str">
        <f ca="1">IF(COUNTA(O$1610:O2795)=1,"",OFFSET(B2793,-COUNTA(O$1610:O2795)+3,1))</f>
        <v>a16Dm000000M3ywIAC</v>
      </c>
      <c r="D2795" s="392"/>
      <c r="E2795" s="389" t="str">
        <f ca="1">IFERROR(IF(VLOOKUP(C2795,' Disaggregation - Section E '!A$618:J3484,7,0)="","",VLOOKUP(C2795,' Disaggregation - Section E '!A$618:J3484,7,0)*100),"")</f>
        <v/>
      </c>
      <c r="F2795" s="391" t="str">
        <f ca="1">IFERROR(VLOOKUP(C2795,' Disaggregation - Section E '!A$618:J3484,5,0),"")</f>
        <v/>
      </c>
      <c r="G2795" s="390" t="str">
        <f ca="1">IFERROR(IF(VLOOKUP(C2795,' Disaggregation - Section E '!A$618:J3484,6,0)="","",VLOOKUP(C2795,' Disaggregation - Section E '!A$618:J3484,6,0)),"")</f>
        <v/>
      </c>
      <c r="H2795" s="390" t="str">
        <f ca="1">IFERROR(IF(INDEX(' Disaggregation - Section E '!F$618:F3484,MATCH(C2795,' Disaggregation - Section E '!A$618:A3484,0)+1,1)&lt;&gt;0,INDEX(' Disaggregation - Section E '!F$618:F3484,MATCH(C2795,' Disaggregation - Section E '!A$618:A3484,0)+1,1),""),"")</f>
        <v/>
      </c>
      <c r="I2795" s="391" t="str">
        <f ca="1">IFERROR(IF(VLOOKUP(C2795,' Disaggregation - Section E '!A$618:J3484,8,0)=0,"",VLOOKUP(C2795,' Disaggregation - Section E '!A$618:J3484,8,0)),"")</f>
        <v/>
      </c>
      <c r="J2795" s="391" t="str">
        <f ca="1">IFERROR(IF(VLOOKUP(C2795,' Disaggregation - Section E '!A$618:J3484,9,0)="","",VLOOKUP(C2795,' Disaggregation - Section E '!A$618:J3484,9,0)),"")</f>
        <v/>
      </c>
      <c r="K2795" s="387" t="str">
        <f ca="1">IFERROR(VLOOKUP(C2795,' Disaggregation - Section E '!A$618:J3484,3,0),"")</f>
        <v>VT-1 Percentage of pregnant women who know their HIV status</v>
      </c>
      <c r="L2795" s="387"/>
      <c r="M2795" s="387" t="str">
        <f ca="1">IFERROR(IF(VLOOKUP(C2795,' Disaggregation - Section E '!A$618:O1807,15,0)=0,"",VLOOKUP(C2795,' Disaggregation - Section E '!A$618:O1807,15,0)),"")</f>
        <v/>
      </c>
      <c r="N2795" s="391" t="str">
        <f ca="1">IFERROR(IF(VLOOKUP(C2795,' Disaggregation - Section E '!A$618:J3484,10,0)=0,"",VLOOKUP(C2795,' Disaggregation - Section E '!A$618:J3484,10,0)),"")</f>
        <v/>
      </c>
      <c r="O2795" s="387"/>
      <c r="P2795" s="387" t="str">
        <f ca="1">IFERROR(IF(VLOOKUP(C2795,' Disaggregation - Section E '!A$618:R1807,18,0)=0,"",VLOOKUP(C2795,' Disaggregation - Section E '!A$618:R1807,18,0)),"")</f>
        <v/>
      </c>
    </row>
    <row r="2796" spans="1:16">
      <c r="A2796" s="387" t="b">
        <f t="shared" ca="1" si="174"/>
        <v>0</v>
      </c>
      <c r="B2796" s="387"/>
      <c r="C2796" s="396" t="str">
        <f ca="1">IF(COUNTA(O$1610:O2796)=1,"",OFFSET(B2794,-COUNTA(O$1610:O2796)+3,1))</f>
        <v>a16Dm000000M3yxIAC</v>
      </c>
      <c r="D2796" s="392"/>
      <c r="E2796" s="389" t="str">
        <f ca="1">IFERROR(IF(VLOOKUP(C2796,' Disaggregation - Section E '!A$618:J3485,7,0)="","",VLOOKUP(C2796,' Disaggregation - Section E '!A$618:J3485,7,0)*100),"")</f>
        <v/>
      </c>
      <c r="F2796" s="391" t="str">
        <f ca="1">IFERROR(VLOOKUP(C2796,' Disaggregation - Section E '!A$618:J3485,5,0),"")</f>
        <v/>
      </c>
      <c r="G2796" s="390" t="str">
        <f ca="1">IFERROR(IF(VLOOKUP(C2796,' Disaggregation - Section E '!A$618:J3485,6,0)="","",VLOOKUP(C2796,' Disaggregation - Section E '!A$618:J3485,6,0)),"")</f>
        <v/>
      </c>
      <c r="H2796" s="390" t="str">
        <f ca="1">IFERROR(IF(INDEX(' Disaggregation - Section E '!F$618:F3485,MATCH(C2796,' Disaggregation - Section E '!A$618:A3485,0)+1,1)&lt;&gt;0,INDEX(' Disaggregation - Section E '!F$618:F3485,MATCH(C2796,' Disaggregation - Section E '!A$618:A3485,0)+1,1),""),"")</f>
        <v/>
      </c>
      <c r="I2796" s="391" t="str">
        <f ca="1">IFERROR(IF(VLOOKUP(C2796,' Disaggregation - Section E '!A$618:J3485,8,0)=0,"",VLOOKUP(C2796,' Disaggregation - Section E '!A$618:J3485,8,0)),"")</f>
        <v/>
      </c>
      <c r="J2796" s="391" t="str">
        <f ca="1">IFERROR(IF(VLOOKUP(C2796,' Disaggregation - Section E '!A$618:J3485,9,0)="","",VLOOKUP(C2796,' Disaggregation - Section E '!A$618:J3485,9,0)),"")</f>
        <v/>
      </c>
      <c r="K2796" s="387" t="str">
        <f ca="1">IFERROR(VLOOKUP(C2796,' Disaggregation - Section E '!A$618:J3485,3,0),"")</f>
        <v>VT-1 Percentage of pregnant women who know their HIV status</v>
      </c>
      <c r="L2796" s="387"/>
      <c r="M2796" s="387" t="str">
        <f ca="1">IFERROR(IF(VLOOKUP(C2796,' Disaggregation - Section E '!A$618:O1808,15,0)=0,"",VLOOKUP(C2796,' Disaggregation - Section E '!A$618:O1808,15,0)),"")</f>
        <v/>
      </c>
      <c r="N2796" s="391" t="str">
        <f ca="1">IFERROR(IF(VLOOKUP(C2796,' Disaggregation - Section E '!A$618:J3485,10,0)=0,"",VLOOKUP(C2796,' Disaggregation - Section E '!A$618:J3485,10,0)),"")</f>
        <v/>
      </c>
      <c r="O2796" s="387"/>
      <c r="P2796" s="387" t="str">
        <f ca="1">IFERROR(IF(VLOOKUP(C2796,' Disaggregation - Section E '!A$618:R1808,18,0)=0,"",VLOOKUP(C2796,' Disaggregation - Section E '!A$618:R1808,18,0)),"")</f>
        <v/>
      </c>
    </row>
    <row r="2797" spans="1:16">
      <c r="A2797" s="387" t="b">
        <f t="shared" ca="1" si="174"/>
        <v>0</v>
      </c>
      <c r="B2797" s="387"/>
      <c r="C2797" s="396" t="str">
        <f ca="1">IF(COUNTA(O$1610:O2797)=1,"",OFFSET(B2795,-COUNTA(O$1610:O2797)+3,1))</f>
        <v>a16Dm000000M3yyIAC</v>
      </c>
      <c r="D2797" s="392"/>
      <c r="E2797" s="389" t="str">
        <f ca="1">IFERROR(IF(VLOOKUP(C2797,' Disaggregation - Section E '!A$618:J3486,7,0)="","",VLOOKUP(C2797,' Disaggregation - Section E '!A$618:J3486,7,0)*100),"")</f>
        <v/>
      </c>
      <c r="F2797" s="391" t="str">
        <f ca="1">IFERROR(VLOOKUP(C2797,' Disaggregation - Section E '!A$618:J3486,5,0),"")</f>
        <v/>
      </c>
      <c r="G2797" s="390" t="str">
        <f ca="1">IFERROR(IF(VLOOKUP(C2797,' Disaggregation - Section E '!A$618:J3486,6,0)="","",VLOOKUP(C2797,' Disaggregation - Section E '!A$618:J3486,6,0)),"")</f>
        <v/>
      </c>
      <c r="H2797" s="390" t="str">
        <f ca="1">IFERROR(IF(INDEX(' Disaggregation - Section E '!F$618:F3486,MATCH(C2797,' Disaggregation - Section E '!A$618:A3486,0)+1,1)&lt;&gt;0,INDEX(' Disaggregation - Section E '!F$618:F3486,MATCH(C2797,' Disaggregation - Section E '!A$618:A3486,0)+1,1),""),"")</f>
        <v/>
      </c>
      <c r="I2797" s="391" t="str">
        <f ca="1">IFERROR(IF(VLOOKUP(C2797,' Disaggregation - Section E '!A$618:J3486,8,0)=0,"",VLOOKUP(C2797,' Disaggregation - Section E '!A$618:J3486,8,0)),"")</f>
        <v/>
      </c>
      <c r="J2797" s="391" t="str">
        <f ca="1">IFERROR(IF(VLOOKUP(C2797,' Disaggregation - Section E '!A$618:J3486,9,0)="","",VLOOKUP(C2797,' Disaggregation - Section E '!A$618:J3486,9,0)),"")</f>
        <v/>
      </c>
      <c r="K2797" s="387" t="str">
        <f ca="1">IFERROR(VLOOKUP(C2797,' Disaggregation - Section E '!A$618:J3486,3,0),"")</f>
        <v>VT-1 Percentage of pregnant women who know their HIV status</v>
      </c>
      <c r="L2797" s="387"/>
      <c r="M2797" s="387" t="str">
        <f ca="1">IFERROR(IF(VLOOKUP(C2797,' Disaggregation - Section E '!A$618:O1809,15,0)=0,"",VLOOKUP(C2797,' Disaggregation - Section E '!A$618:O1809,15,0)),"")</f>
        <v/>
      </c>
      <c r="N2797" s="391" t="str">
        <f ca="1">IFERROR(IF(VLOOKUP(C2797,' Disaggregation - Section E '!A$618:J3486,10,0)=0,"",VLOOKUP(C2797,' Disaggregation - Section E '!A$618:J3486,10,0)),"")</f>
        <v/>
      </c>
      <c r="O2797" s="387"/>
      <c r="P2797" s="387" t="str">
        <f ca="1">IFERROR(IF(VLOOKUP(C2797,' Disaggregation - Section E '!A$618:R1809,18,0)=0,"",VLOOKUP(C2797,' Disaggregation - Section E '!A$618:R1809,18,0)),"")</f>
        <v/>
      </c>
    </row>
    <row r="2798" spans="1:16">
      <c r="A2798" s="387" t="b">
        <f t="shared" ca="1" si="174"/>
        <v>0</v>
      </c>
      <c r="B2798" s="387"/>
      <c r="C2798" s="396" t="str">
        <f ca="1">IF(COUNTA(O$1610:O2798)=1,"",OFFSET(B2796,-COUNTA(O$1610:O2798)+3,1))</f>
        <v>a16Dm000000M3yzIAC</v>
      </c>
      <c r="D2798" s="392"/>
      <c r="E2798" s="389" t="str">
        <f ca="1">IFERROR(IF(VLOOKUP(C2798,' Disaggregation - Section E '!A$618:J3487,7,0)="","",VLOOKUP(C2798,' Disaggregation - Section E '!A$618:J3487,7,0)*100),"")</f>
        <v/>
      </c>
      <c r="F2798" s="391" t="str">
        <f ca="1">IFERROR(VLOOKUP(C2798,' Disaggregation - Section E '!A$618:J3487,5,0),"")</f>
        <v/>
      </c>
      <c r="G2798" s="390" t="str">
        <f ca="1">IFERROR(IF(VLOOKUP(C2798,' Disaggregation - Section E '!A$618:J3487,6,0)="","",VLOOKUP(C2798,' Disaggregation - Section E '!A$618:J3487,6,0)),"")</f>
        <v/>
      </c>
      <c r="H2798" s="390" t="str">
        <f ca="1">IFERROR(IF(INDEX(' Disaggregation - Section E '!F$618:F3487,MATCH(C2798,' Disaggregation - Section E '!A$618:A3487,0)+1,1)&lt;&gt;0,INDEX(' Disaggregation - Section E '!F$618:F3487,MATCH(C2798,' Disaggregation - Section E '!A$618:A3487,0)+1,1),""),"")</f>
        <v/>
      </c>
      <c r="I2798" s="391" t="str">
        <f ca="1">IFERROR(IF(VLOOKUP(C2798,' Disaggregation - Section E '!A$618:J3487,8,0)=0,"",VLOOKUP(C2798,' Disaggregation - Section E '!A$618:J3487,8,0)),"")</f>
        <v/>
      </c>
      <c r="J2798" s="391" t="str">
        <f ca="1">IFERROR(IF(VLOOKUP(C2798,' Disaggregation - Section E '!A$618:J3487,9,0)="","",VLOOKUP(C2798,' Disaggregation - Section E '!A$618:J3487,9,0)),"")</f>
        <v/>
      </c>
      <c r="K2798" s="387" t="str">
        <f ca="1">IFERROR(VLOOKUP(C2798,' Disaggregation - Section E '!A$618:J3487,3,0),"")</f>
        <v>VT-1 Percentage of pregnant women who know their HIV status</v>
      </c>
      <c r="L2798" s="387"/>
      <c r="M2798" s="387" t="str">
        <f ca="1">IFERROR(IF(VLOOKUP(C2798,' Disaggregation - Section E '!A$618:O1810,15,0)=0,"",VLOOKUP(C2798,' Disaggregation - Section E '!A$618:O1810,15,0)),"")</f>
        <v/>
      </c>
      <c r="N2798" s="391" t="str">
        <f ca="1">IFERROR(IF(VLOOKUP(C2798,' Disaggregation - Section E '!A$618:J3487,10,0)=0,"",VLOOKUP(C2798,' Disaggregation - Section E '!A$618:J3487,10,0)),"")</f>
        <v/>
      </c>
      <c r="O2798" s="387"/>
      <c r="P2798" s="387" t="str">
        <f ca="1">IFERROR(IF(VLOOKUP(C2798,' Disaggregation - Section E '!A$618:R1810,18,0)=0,"",VLOOKUP(C2798,' Disaggregation - Section E '!A$618:R1810,18,0)),"")</f>
        <v/>
      </c>
    </row>
    <row r="2799" spans="1:16">
      <c r="A2799" s="387" t="b">
        <f t="shared" ca="1" si="174"/>
        <v>0</v>
      </c>
      <c r="B2799" s="387"/>
      <c r="C2799" s="396" t="str">
        <f ca="1">IF(COUNTA(O$1610:O2799)=1,"",OFFSET(B2797,-COUNTA(O$1610:O2799)+3,1))</f>
        <v>a16Dm000000M3z0IAC</v>
      </c>
      <c r="D2799" s="392"/>
      <c r="E2799" s="389" t="str">
        <f ca="1">IFERROR(IF(VLOOKUP(C2799,' Disaggregation - Section E '!A$618:J3488,7,0)="","",VLOOKUP(C2799,' Disaggregation - Section E '!A$618:J3488,7,0)*100),"")</f>
        <v/>
      </c>
      <c r="F2799" s="391" t="str">
        <f ca="1">IFERROR(VLOOKUP(C2799,' Disaggregation - Section E '!A$618:J3488,5,0),"")</f>
        <v/>
      </c>
      <c r="G2799" s="390" t="str">
        <f ca="1">IFERROR(IF(VLOOKUP(C2799,' Disaggregation - Section E '!A$618:J3488,6,0)="","",VLOOKUP(C2799,' Disaggregation - Section E '!A$618:J3488,6,0)),"")</f>
        <v/>
      </c>
      <c r="H2799" s="390" t="str">
        <f ca="1">IFERROR(IF(INDEX(' Disaggregation - Section E '!F$618:F3488,MATCH(C2799,' Disaggregation - Section E '!A$618:A3488,0)+1,1)&lt;&gt;0,INDEX(' Disaggregation - Section E '!F$618:F3488,MATCH(C2799,' Disaggregation - Section E '!A$618:A3488,0)+1,1),""),"")</f>
        <v/>
      </c>
      <c r="I2799" s="391" t="str">
        <f ca="1">IFERROR(IF(VLOOKUP(C2799,' Disaggregation - Section E '!A$618:J3488,8,0)=0,"",VLOOKUP(C2799,' Disaggregation - Section E '!A$618:J3488,8,0)),"")</f>
        <v/>
      </c>
      <c r="J2799" s="391" t="str">
        <f ca="1">IFERROR(IF(VLOOKUP(C2799,' Disaggregation - Section E '!A$618:J3488,9,0)="","",VLOOKUP(C2799,' Disaggregation - Section E '!A$618:J3488,9,0)),"")</f>
        <v/>
      </c>
      <c r="K2799" s="387" t="str">
        <f ca="1">IFERROR(VLOOKUP(C2799,' Disaggregation - Section E '!A$618:J3488,3,0),"")</f>
        <v>VT-1 Percentage of pregnant women who know their HIV status</v>
      </c>
      <c r="L2799" s="387"/>
      <c r="M2799" s="387" t="str">
        <f ca="1">IFERROR(IF(VLOOKUP(C2799,' Disaggregation - Section E '!A$618:O1811,15,0)=0,"",VLOOKUP(C2799,' Disaggregation - Section E '!A$618:O1811,15,0)),"")</f>
        <v/>
      </c>
      <c r="N2799" s="391" t="str">
        <f ca="1">IFERROR(IF(VLOOKUP(C2799,' Disaggregation - Section E '!A$618:J3488,10,0)=0,"",VLOOKUP(C2799,' Disaggregation - Section E '!A$618:J3488,10,0)),"")</f>
        <v/>
      </c>
      <c r="O2799" s="387"/>
      <c r="P2799" s="387" t="str">
        <f ca="1">IFERROR(IF(VLOOKUP(C2799,' Disaggregation - Section E '!A$618:R1811,18,0)=0,"",VLOOKUP(C2799,' Disaggregation - Section E '!A$618:R1811,18,0)),"")</f>
        <v/>
      </c>
    </row>
    <row r="2800" spans="1:16">
      <c r="A2800" s="387" t="b">
        <f t="shared" ca="1" si="174"/>
        <v>0</v>
      </c>
      <c r="B2800" s="387"/>
      <c r="C2800" s="396" t="str">
        <f ca="1">IF(COUNTA(O$1610:O2800)=1,"",OFFSET(B2798,-COUNTA(O$1610:O2800)+3,1))</f>
        <v>a16Dm000000M3z1IAC</v>
      </c>
      <c r="D2800" s="392"/>
      <c r="E2800" s="389" t="str">
        <f ca="1">IFERROR(IF(VLOOKUP(C2800,' Disaggregation - Section E '!A$618:J3489,7,0)="","",VLOOKUP(C2800,' Disaggregation - Section E '!A$618:J3489,7,0)*100),"")</f>
        <v/>
      </c>
      <c r="F2800" s="391" t="str">
        <f ca="1">IFERROR(VLOOKUP(C2800,' Disaggregation - Section E '!A$618:J3489,5,0),"")</f>
        <v/>
      </c>
      <c r="G2800" s="390" t="str">
        <f ca="1">IFERROR(IF(VLOOKUP(C2800,' Disaggregation - Section E '!A$618:J3489,6,0)="","",VLOOKUP(C2800,' Disaggregation - Section E '!A$618:J3489,6,0)),"")</f>
        <v/>
      </c>
      <c r="H2800" s="390" t="str">
        <f ca="1">IFERROR(IF(INDEX(' Disaggregation - Section E '!F$618:F3489,MATCH(C2800,' Disaggregation - Section E '!A$618:A3489,0)+1,1)&lt;&gt;0,INDEX(' Disaggregation - Section E '!F$618:F3489,MATCH(C2800,' Disaggregation - Section E '!A$618:A3489,0)+1,1),""),"")</f>
        <v/>
      </c>
      <c r="I2800" s="391" t="str">
        <f ca="1">IFERROR(IF(VLOOKUP(C2800,' Disaggregation - Section E '!A$618:J3489,8,0)=0,"",VLOOKUP(C2800,' Disaggregation - Section E '!A$618:J3489,8,0)),"")</f>
        <v/>
      </c>
      <c r="J2800" s="391" t="str">
        <f ca="1">IFERROR(IF(VLOOKUP(C2800,' Disaggregation - Section E '!A$618:J3489,9,0)="","",VLOOKUP(C2800,' Disaggregation - Section E '!A$618:J3489,9,0)),"")</f>
        <v/>
      </c>
      <c r="K2800" s="387" t="str">
        <f ca="1">IFERROR(VLOOKUP(C2800,' Disaggregation - Section E '!A$618:J3489,3,0),"")</f>
        <v>VT-1 Percentage of pregnant women who know their HIV status</v>
      </c>
      <c r="L2800" s="387"/>
      <c r="M2800" s="387" t="str">
        <f ca="1">IFERROR(IF(VLOOKUP(C2800,' Disaggregation - Section E '!A$618:O1812,15,0)=0,"",VLOOKUP(C2800,' Disaggregation - Section E '!A$618:O1812,15,0)),"")</f>
        <v/>
      </c>
      <c r="N2800" s="391" t="str">
        <f ca="1">IFERROR(IF(VLOOKUP(C2800,' Disaggregation - Section E '!A$618:J3489,10,0)=0,"",VLOOKUP(C2800,' Disaggregation - Section E '!A$618:J3489,10,0)),"")</f>
        <v/>
      </c>
      <c r="O2800" s="387"/>
      <c r="P2800" s="387" t="str">
        <f ca="1">IFERROR(IF(VLOOKUP(C2800,' Disaggregation - Section E '!A$618:R1812,18,0)=0,"",VLOOKUP(C2800,' Disaggregation - Section E '!A$618:R1812,18,0)),"")</f>
        <v/>
      </c>
    </row>
    <row r="2801" spans="1:16">
      <c r="A2801" s="387" t="b">
        <f t="shared" ca="1" si="174"/>
        <v>0</v>
      </c>
      <c r="B2801" s="387"/>
      <c r="C2801" s="396" t="str">
        <f ca="1">IF(COUNTA(O$1610:O2801)=1,"",OFFSET(B2799,-COUNTA(O$1610:O2801)+3,1))</f>
        <v>a16Dm000000M3z2IAC</v>
      </c>
      <c r="D2801" s="392"/>
      <c r="E2801" s="389" t="str">
        <f ca="1">IFERROR(IF(VLOOKUP(C2801,' Disaggregation - Section E '!A$618:J3490,7,0)="","",VLOOKUP(C2801,' Disaggregation - Section E '!A$618:J3490,7,0)*100),"")</f>
        <v/>
      </c>
      <c r="F2801" s="391" t="str">
        <f ca="1">IFERROR(VLOOKUP(C2801,' Disaggregation - Section E '!A$618:J3490,5,0),"")</f>
        <v/>
      </c>
      <c r="G2801" s="390" t="str">
        <f ca="1">IFERROR(IF(VLOOKUP(C2801,' Disaggregation - Section E '!A$618:J3490,6,0)="","",VLOOKUP(C2801,' Disaggregation - Section E '!A$618:J3490,6,0)),"")</f>
        <v/>
      </c>
      <c r="H2801" s="390" t="str">
        <f ca="1">IFERROR(IF(INDEX(' Disaggregation - Section E '!F$618:F3490,MATCH(C2801,' Disaggregation - Section E '!A$618:A3490,0)+1,1)&lt;&gt;0,INDEX(' Disaggregation - Section E '!F$618:F3490,MATCH(C2801,' Disaggregation - Section E '!A$618:A3490,0)+1,1),""),"")</f>
        <v/>
      </c>
      <c r="I2801" s="391" t="str">
        <f ca="1">IFERROR(IF(VLOOKUP(C2801,' Disaggregation - Section E '!A$618:J3490,8,0)=0,"",VLOOKUP(C2801,' Disaggregation - Section E '!A$618:J3490,8,0)),"")</f>
        <v/>
      </c>
      <c r="J2801" s="391" t="str">
        <f ca="1">IFERROR(IF(VLOOKUP(C2801,' Disaggregation - Section E '!A$618:J3490,9,0)="","",VLOOKUP(C2801,' Disaggregation - Section E '!A$618:J3490,9,0)),"")</f>
        <v/>
      </c>
      <c r="K2801" s="387" t="str">
        <f ca="1">IFERROR(VLOOKUP(C2801,' Disaggregation - Section E '!A$618:J3490,3,0),"")</f>
        <v>VT-1 Percentage of pregnant women who know their HIV status</v>
      </c>
      <c r="L2801" s="387"/>
      <c r="M2801" s="387" t="str">
        <f ca="1">IFERROR(IF(VLOOKUP(C2801,' Disaggregation - Section E '!A$618:O1813,15,0)=0,"",VLOOKUP(C2801,' Disaggregation - Section E '!A$618:O1813,15,0)),"")</f>
        <v/>
      </c>
      <c r="N2801" s="391" t="str">
        <f ca="1">IFERROR(IF(VLOOKUP(C2801,' Disaggregation - Section E '!A$618:J3490,10,0)=0,"",VLOOKUP(C2801,' Disaggregation - Section E '!A$618:J3490,10,0)),"")</f>
        <v/>
      </c>
      <c r="O2801" s="387"/>
      <c r="P2801" s="387" t="str">
        <f ca="1">IFERROR(IF(VLOOKUP(C2801,' Disaggregation - Section E '!A$618:R1813,18,0)=0,"",VLOOKUP(C2801,' Disaggregation - Section E '!A$618:R1813,18,0)),"")</f>
        <v/>
      </c>
    </row>
    <row r="2802" spans="1:16">
      <c r="A2802" s="387" t="b">
        <f t="shared" ca="1" si="174"/>
        <v>0</v>
      </c>
      <c r="B2802" s="387"/>
      <c r="C2802" s="396" t="str">
        <f ca="1">IF(COUNTA(O$1610:O2802)=1,"",OFFSET(B2800,-COUNTA(O$1610:O2802)+3,1))</f>
        <v>a16Dm000000M3z3IAC</v>
      </c>
      <c r="D2802" s="392"/>
      <c r="E2802" s="389" t="str">
        <f ca="1">IFERROR(IF(VLOOKUP(C2802,' Disaggregation - Section E '!A$618:J3491,7,0)="","",VLOOKUP(C2802,' Disaggregation - Section E '!A$618:J3491,7,0)*100),"")</f>
        <v/>
      </c>
      <c r="F2802" s="391" t="str">
        <f ca="1">IFERROR(VLOOKUP(C2802,' Disaggregation - Section E '!A$618:J3491,5,0),"")</f>
        <v/>
      </c>
      <c r="G2802" s="390" t="str">
        <f ca="1">IFERROR(IF(VLOOKUP(C2802,' Disaggregation - Section E '!A$618:J3491,6,0)="","",VLOOKUP(C2802,' Disaggregation - Section E '!A$618:J3491,6,0)),"")</f>
        <v/>
      </c>
      <c r="H2802" s="390" t="str">
        <f ca="1">IFERROR(IF(INDEX(' Disaggregation - Section E '!F$618:F3491,MATCH(C2802,' Disaggregation - Section E '!A$618:A3491,0)+1,1)&lt;&gt;0,INDEX(' Disaggregation - Section E '!F$618:F3491,MATCH(C2802,' Disaggregation - Section E '!A$618:A3491,0)+1,1),""),"")</f>
        <v/>
      </c>
      <c r="I2802" s="391" t="str">
        <f ca="1">IFERROR(IF(VLOOKUP(C2802,' Disaggregation - Section E '!A$618:J3491,8,0)=0,"",VLOOKUP(C2802,' Disaggregation - Section E '!A$618:J3491,8,0)),"")</f>
        <v/>
      </c>
      <c r="J2802" s="391" t="str">
        <f ca="1">IFERROR(IF(VLOOKUP(C2802,' Disaggregation - Section E '!A$618:J3491,9,0)="","",VLOOKUP(C2802,' Disaggregation - Section E '!A$618:J3491,9,0)),"")</f>
        <v/>
      </c>
      <c r="K2802" s="387" t="str">
        <f ca="1">IFERROR(VLOOKUP(C2802,' Disaggregation - Section E '!A$618:J3491,3,0),"")</f>
        <v>VT-1 Percentage of pregnant women who know their HIV status</v>
      </c>
      <c r="L2802" s="387"/>
      <c r="M2802" s="387" t="str">
        <f ca="1">IFERROR(IF(VLOOKUP(C2802,' Disaggregation - Section E '!A$618:O1814,15,0)=0,"",VLOOKUP(C2802,' Disaggregation - Section E '!A$618:O1814,15,0)),"")</f>
        <v/>
      </c>
      <c r="N2802" s="391" t="str">
        <f ca="1">IFERROR(IF(VLOOKUP(C2802,' Disaggregation - Section E '!A$618:J3491,10,0)=0,"",VLOOKUP(C2802,' Disaggregation - Section E '!A$618:J3491,10,0)),"")</f>
        <v/>
      </c>
      <c r="O2802" s="387"/>
      <c r="P2802" s="387" t="str">
        <f ca="1">IFERROR(IF(VLOOKUP(C2802,' Disaggregation - Section E '!A$618:R1814,18,0)=0,"",VLOOKUP(C2802,' Disaggregation - Section E '!A$618:R1814,18,0)),"")</f>
        <v/>
      </c>
    </row>
    <row r="2803" spans="1:16">
      <c r="A2803" s="387" t="b">
        <f t="shared" ca="1" si="174"/>
        <v>0</v>
      </c>
      <c r="B2803" s="387"/>
      <c r="C2803" s="396" t="str">
        <f ca="1">IF(COUNTA(O$1610:O2803)=1,"",OFFSET(B2801,-COUNTA(O$1610:O2803)+3,1))</f>
        <v>a16Dm000000M3z4IAC</v>
      </c>
      <c r="D2803" s="392"/>
      <c r="E2803" s="389" t="str">
        <f ca="1">IFERROR(IF(VLOOKUP(C2803,' Disaggregation - Section E '!A$618:J3492,7,0)="","",VLOOKUP(C2803,' Disaggregation - Section E '!A$618:J3492,7,0)*100),"")</f>
        <v/>
      </c>
      <c r="F2803" s="391" t="str">
        <f ca="1">IFERROR(VLOOKUP(C2803,' Disaggregation - Section E '!A$618:J3492,5,0),"")</f>
        <v/>
      </c>
      <c r="G2803" s="390" t="str">
        <f ca="1">IFERROR(IF(VLOOKUP(C2803,' Disaggregation - Section E '!A$618:J3492,6,0)="","",VLOOKUP(C2803,' Disaggregation - Section E '!A$618:J3492,6,0)),"")</f>
        <v/>
      </c>
      <c r="H2803" s="390" t="str">
        <f ca="1">IFERROR(IF(INDEX(' Disaggregation - Section E '!F$618:F3492,MATCH(C2803,' Disaggregation - Section E '!A$618:A3492,0)+1,1)&lt;&gt;0,INDEX(' Disaggregation - Section E '!F$618:F3492,MATCH(C2803,' Disaggregation - Section E '!A$618:A3492,0)+1,1),""),"")</f>
        <v/>
      </c>
      <c r="I2803" s="391" t="str">
        <f ca="1">IFERROR(IF(VLOOKUP(C2803,' Disaggregation - Section E '!A$618:J3492,8,0)=0,"",VLOOKUP(C2803,' Disaggregation - Section E '!A$618:J3492,8,0)),"")</f>
        <v/>
      </c>
      <c r="J2803" s="391" t="str">
        <f ca="1">IFERROR(IF(VLOOKUP(C2803,' Disaggregation - Section E '!A$618:J3492,9,0)="","",VLOOKUP(C2803,' Disaggregation - Section E '!A$618:J3492,9,0)),"")</f>
        <v/>
      </c>
      <c r="K2803" s="387" t="str">
        <f ca="1">IFERROR(VLOOKUP(C2803,' Disaggregation - Section E '!A$618:J3492,3,0),"")</f>
        <v>VT-1 Percentage of pregnant women who know their HIV status</v>
      </c>
      <c r="L2803" s="387"/>
      <c r="M2803" s="387" t="str">
        <f ca="1">IFERROR(IF(VLOOKUP(C2803,' Disaggregation - Section E '!A$618:O1815,15,0)=0,"",VLOOKUP(C2803,' Disaggregation - Section E '!A$618:O1815,15,0)),"")</f>
        <v/>
      </c>
      <c r="N2803" s="391" t="str">
        <f ca="1">IFERROR(IF(VLOOKUP(C2803,' Disaggregation - Section E '!A$618:J3492,10,0)=0,"",VLOOKUP(C2803,' Disaggregation - Section E '!A$618:J3492,10,0)),"")</f>
        <v/>
      </c>
      <c r="O2803" s="387"/>
      <c r="P2803" s="387" t="str">
        <f ca="1">IFERROR(IF(VLOOKUP(C2803,' Disaggregation - Section E '!A$618:R1815,18,0)=0,"",VLOOKUP(C2803,' Disaggregation - Section E '!A$618:R1815,18,0)),"")</f>
        <v/>
      </c>
    </row>
    <row r="2804" spans="1:16">
      <c r="A2804" s="387" t="b">
        <f t="shared" ca="1" si="174"/>
        <v>0</v>
      </c>
      <c r="B2804" s="387"/>
      <c r="C2804" s="396" t="str">
        <f ca="1">IF(COUNTA(O$1610:O2804)=1,"",OFFSET(B2802,-COUNTA(O$1610:O2804)+3,1))</f>
        <v>a16Dm000000M3z5IAC</v>
      </c>
      <c r="D2804" s="392"/>
      <c r="E2804" s="389" t="str">
        <f ca="1">IFERROR(IF(VLOOKUP(C2804,' Disaggregation - Section E '!A$618:J3493,7,0)="","",VLOOKUP(C2804,' Disaggregation - Section E '!A$618:J3493,7,0)*100),"")</f>
        <v/>
      </c>
      <c r="F2804" s="391" t="str">
        <f ca="1">IFERROR(VLOOKUP(C2804,' Disaggregation - Section E '!A$618:J3493,5,0),"")</f>
        <v/>
      </c>
      <c r="G2804" s="390" t="str">
        <f ca="1">IFERROR(IF(VLOOKUP(C2804,' Disaggregation - Section E '!A$618:J3493,6,0)="","",VLOOKUP(C2804,' Disaggregation - Section E '!A$618:J3493,6,0)),"")</f>
        <v/>
      </c>
      <c r="H2804" s="390" t="str">
        <f ca="1">IFERROR(IF(INDEX(' Disaggregation - Section E '!F$618:F3493,MATCH(C2804,' Disaggregation - Section E '!A$618:A3493,0)+1,1)&lt;&gt;0,INDEX(' Disaggregation - Section E '!F$618:F3493,MATCH(C2804,' Disaggregation - Section E '!A$618:A3493,0)+1,1),""),"")</f>
        <v/>
      </c>
      <c r="I2804" s="391" t="str">
        <f ca="1">IFERROR(IF(VLOOKUP(C2804,' Disaggregation - Section E '!A$618:J3493,8,0)=0,"",VLOOKUP(C2804,' Disaggregation - Section E '!A$618:J3493,8,0)),"")</f>
        <v/>
      </c>
      <c r="J2804" s="391" t="str">
        <f ca="1">IFERROR(IF(VLOOKUP(C2804,' Disaggregation - Section E '!A$618:J3493,9,0)="","",VLOOKUP(C2804,' Disaggregation - Section E '!A$618:J3493,9,0)),"")</f>
        <v/>
      </c>
      <c r="K2804" s="387" t="str">
        <f ca="1">IFERROR(VLOOKUP(C2804,' Disaggregation - Section E '!A$618:J3493,3,0),"")</f>
        <v>VT-1 Percentage of pregnant women who know their HIV status</v>
      </c>
      <c r="L2804" s="387"/>
      <c r="M2804" s="387" t="str">
        <f ca="1">IFERROR(IF(VLOOKUP(C2804,' Disaggregation - Section E '!A$618:O1816,15,0)=0,"",VLOOKUP(C2804,' Disaggregation - Section E '!A$618:O1816,15,0)),"")</f>
        <v/>
      </c>
      <c r="N2804" s="391" t="str">
        <f ca="1">IFERROR(IF(VLOOKUP(C2804,' Disaggregation - Section E '!A$618:J3493,10,0)=0,"",VLOOKUP(C2804,' Disaggregation - Section E '!A$618:J3493,10,0)),"")</f>
        <v/>
      </c>
      <c r="O2804" s="387"/>
      <c r="P2804" s="387" t="str">
        <f ca="1">IFERROR(IF(VLOOKUP(C2804,' Disaggregation - Section E '!A$618:R1816,18,0)=0,"",VLOOKUP(C2804,' Disaggregation - Section E '!A$618:R1816,18,0)),"")</f>
        <v/>
      </c>
    </row>
    <row r="2805" spans="1:16">
      <c r="A2805" s="387" t="b">
        <f t="shared" ca="1" si="174"/>
        <v>0</v>
      </c>
      <c r="B2805" s="387"/>
      <c r="C2805" s="396" t="str">
        <f ca="1">IF(COUNTA(O$1610:O2805)=1,"",OFFSET(B2803,-COUNTA(O$1610:O2805)+3,1))</f>
        <v>a16Dm000000M3z6IAC</v>
      </c>
      <c r="D2805" s="392"/>
      <c r="E2805" s="389" t="str">
        <f ca="1">IFERROR(IF(VLOOKUP(C2805,' Disaggregation - Section E '!A$618:J3494,7,0)="","",VLOOKUP(C2805,' Disaggregation - Section E '!A$618:J3494,7,0)*100),"")</f>
        <v/>
      </c>
      <c r="F2805" s="391" t="str">
        <f ca="1">IFERROR(VLOOKUP(C2805,' Disaggregation - Section E '!A$618:J3494,5,0),"")</f>
        <v/>
      </c>
      <c r="G2805" s="390" t="str">
        <f ca="1">IFERROR(IF(VLOOKUP(C2805,' Disaggregation - Section E '!A$618:J3494,6,0)="","",VLOOKUP(C2805,' Disaggregation - Section E '!A$618:J3494,6,0)),"")</f>
        <v/>
      </c>
      <c r="H2805" s="390" t="str">
        <f ca="1">IFERROR(IF(INDEX(' Disaggregation - Section E '!F$618:F3494,MATCH(C2805,' Disaggregation - Section E '!A$618:A3494,0)+1,1)&lt;&gt;0,INDEX(' Disaggregation - Section E '!F$618:F3494,MATCH(C2805,' Disaggregation - Section E '!A$618:A3494,0)+1,1),""),"")</f>
        <v/>
      </c>
      <c r="I2805" s="391" t="str">
        <f ca="1">IFERROR(IF(VLOOKUP(C2805,' Disaggregation - Section E '!A$618:J3494,8,0)=0,"",VLOOKUP(C2805,' Disaggregation - Section E '!A$618:J3494,8,0)),"")</f>
        <v/>
      </c>
      <c r="J2805" s="391" t="str">
        <f ca="1">IFERROR(IF(VLOOKUP(C2805,' Disaggregation - Section E '!A$618:J3494,9,0)="","",VLOOKUP(C2805,' Disaggregation - Section E '!A$618:J3494,9,0)),"")</f>
        <v/>
      </c>
      <c r="K2805" s="387" t="str">
        <f ca="1">IFERROR(VLOOKUP(C2805,' Disaggregation - Section E '!A$618:J3494,3,0),"")</f>
        <v>VT-1 Percentage of pregnant women who know their HIV status</v>
      </c>
      <c r="L2805" s="387"/>
      <c r="M2805" s="387" t="str">
        <f ca="1">IFERROR(IF(VLOOKUP(C2805,' Disaggregation - Section E '!A$618:O1817,15,0)=0,"",VLOOKUP(C2805,' Disaggregation - Section E '!A$618:O1817,15,0)),"")</f>
        <v/>
      </c>
      <c r="N2805" s="391" t="str">
        <f ca="1">IFERROR(IF(VLOOKUP(C2805,' Disaggregation - Section E '!A$618:J3494,10,0)=0,"",VLOOKUP(C2805,' Disaggregation - Section E '!A$618:J3494,10,0)),"")</f>
        <v/>
      </c>
      <c r="O2805" s="387"/>
      <c r="P2805" s="387" t="str">
        <f ca="1">IFERROR(IF(VLOOKUP(C2805,' Disaggregation - Section E '!A$618:R1817,18,0)=0,"",VLOOKUP(C2805,' Disaggregation - Section E '!A$618:R1817,18,0)),"")</f>
        <v/>
      </c>
    </row>
    <row r="2806" spans="1:16">
      <c r="A2806" s="387" t="b">
        <f t="shared" ca="1" si="174"/>
        <v>0</v>
      </c>
      <c r="B2806" s="387"/>
      <c r="C2806" s="396" t="str">
        <f ca="1">IF(COUNTA(O$1610:O2806)=1,"",OFFSET(B2804,-COUNTA(O$1610:O2806)+3,1))</f>
        <v>a16Dm000000M3z7IAC</v>
      </c>
      <c r="D2806" s="392"/>
      <c r="E2806" s="389" t="str">
        <f ca="1">IFERROR(IF(VLOOKUP(C2806,' Disaggregation - Section E '!A$618:J3495,7,0)="","",VLOOKUP(C2806,' Disaggregation - Section E '!A$618:J3495,7,0)*100),"")</f>
        <v/>
      </c>
      <c r="F2806" s="391" t="str">
        <f ca="1">IFERROR(VLOOKUP(C2806,' Disaggregation - Section E '!A$618:J3495,5,0),"")</f>
        <v/>
      </c>
      <c r="G2806" s="390" t="str">
        <f ca="1">IFERROR(IF(VLOOKUP(C2806,' Disaggregation - Section E '!A$618:J3495,6,0)="","",VLOOKUP(C2806,' Disaggregation - Section E '!A$618:J3495,6,0)),"")</f>
        <v/>
      </c>
      <c r="H2806" s="390" t="str">
        <f ca="1">IFERROR(IF(INDEX(' Disaggregation - Section E '!F$618:F3495,MATCH(C2806,' Disaggregation - Section E '!A$618:A3495,0)+1,1)&lt;&gt;0,INDEX(' Disaggregation - Section E '!F$618:F3495,MATCH(C2806,' Disaggregation - Section E '!A$618:A3495,0)+1,1),""),"")</f>
        <v/>
      </c>
      <c r="I2806" s="391" t="str">
        <f ca="1">IFERROR(IF(VLOOKUP(C2806,' Disaggregation - Section E '!A$618:J3495,8,0)=0,"",VLOOKUP(C2806,' Disaggregation - Section E '!A$618:J3495,8,0)),"")</f>
        <v/>
      </c>
      <c r="J2806" s="391" t="str">
        <f ca="1">IFERROR(IF(VLOOKUP(C2806,' Disaggregation - Section E '!A$618:J3495,9,0)="","",VLOOKUP(C2806,' Disaggregation - Section E '!A$618:J3495,9,0)),"")</f>
        <v/>
      </c>
      <c r="K2806" s="387" t="str">
        <f ca="1">IFERROR(VLOOKUP(C2806,' Disaggregation - Section E '!A$618:J3495,3,0),"")</f>
        <v>VT-1 Percentage of pregnant women who know their HIV status</v>
      </c>
      <c r="L2806" s="387"/>
      <c r="M2806" s="387" t="str">
        <f ca="1">IFERROR(IF(VLOOKUP(C2806,' Disaggregation - Section E '!A$618:O1818,15,0)=0,"",VLOOKUP(C2806,' Disaggregation - Section E '!A$618:O1818,15,0)),"")</f>
        <v/>
      </c>
      <c r="N2806" s="391" t="str">
        <f ca="1">IFERROR(IF(VLOOKUP(C2806,' Disaggregation - Section E '!A$618:J3495,10,0)=0,"",VLOOKUP(C2806,' Disaggregation - Section E '!A$618:J3495,10,0)),"")</f>
        <v/>
      </c>
      <c r="O2806" s="387"/>
      <c r="P2806" s="387" t="str">
        <f ca="1">IFERROR(IF(VLOOKUP(C2806,' Disaggregation - Section E '!A$618:R1818,18,0)=0,"",VLOOKUP(C2806,' Disaggregation - Section E '!A$618:R1818,18,0)),"")</f>
        <v/>
      </c>
    </row>
    <row r="2807" spans="1:16">
      <c r="A2807" s="387" t="b">
        <f t="shared" ca="1" si="174"/>
        <v>0</v>
      </c>
      <c r="B2807" s="387"/>
      <c r="C2807" s="396" t="str">
        <f ca="1">IF(COUNTA(O$1610:O2807)=1,"",OFFSET(B2805,-COUNTA(O$1610:O2807)+3,1))</f>
        <v>a16Dm000000M3z8IAC</v>
      </c>
      <c r="D2807" s="392"/>
      <c r="E2807" s="389" t="str">
        <f ca="1">IFERROR(IF(VLOOKUP(C2807,' Disaggregation - Section E '!A$618:J3496,7,0)="","",VLOOKUP(C2807,' Disaggregation - Section E '!A$618:J3496,7,0)*100),"")</f>
        <v/>
      </c>
      <c r="F2807" s="391" t="str">
        <f ca="1">IFERROR(VLOOKUP(C2807,' Disaggregation - Section E '!A$618:J3496,5,0),"")</f>
        <v/>
      </c>
      <c r="G2807" s="390" t="str">
        <f ca="1">IFERROR(IF(VLOOKUP(C2807,' Disaggregation - Section E '!A$618:J3496,6,0)="","",VLOOKUP(C2807,' Disaggregation - Section E '!A$618:J3496,6,0)),"")</f>
        <v/>
      </c>
      <c r="H2807" s="390" t="str">
        <f ca="1">IFERROR(IF(INDEX(' Disaggregation - Section E '!F$618:F3496,MATCH(C2807,' Disaggregation - Section E '!A$618:A3496,0)+1,1)&lt;&gt;0,INDEX(' Disaggregation - Section E '!F$618:F3496,MATCH(C2807,' Disaggregation - Section E '!A$618:A3496,0)+1,1),""),"")</f>
        <v/>
      </c>
      <c r="I2807" s="391" t="str">
        <f ca="1">IFERROR(IF(VLOOKUP(C2807,' Disaggregation - Section E '!A$618:J3496,8,0)=0,"",VLOOKUP(C2807,' Disaggregation - Section E '!A$618:J3496,8,0)),"")</f>
        <v/>
      </c>
      <c r="J2807" s="391" t="str">
        <f ca="1">IFERROR(IF(VLOOKUP(C2807,' Disaggregation - Section E '!A$618:J3496,9,0)="","",VLOOKUP(C2807,' Disaggregation - Section E '!A$618:J3496,9,0)),"")</f>
        <v/>
      </c>
      <c r="K2807" s="387" t="str">
        <f ca="1">IFERROR(VLOOKUP(C2807,' Disaggregation - Section E '!A$618:J3496,3,0),"")</f>
        <v>VT-1 Percentage of pregnant women who know their HIV status</v>
      </c>
      <c r="L2807" s="387"/>
      <c r="M2807" s="387" t="str">
        <f ca="1">IFERROR(IF(VLOOKUP(C2807,' Disaggregation - Section E '!A$618:O2299,15,0)=0,"",VLOOKUP(C2807,' Disaggregation - Section E '!A$618:O2299,15,0)),"")</f>
        <v/>
      </c>
      <c r="N2807" s="391" t="str">
        <f ca="1">IFERROR(IF(VLOOKUP(C2807,' Disaggregation - Section E '!A$618:J3496,10,0)=0,"",VLOOKUP(C2807,' Disaggregation - Section E '!A$618:J3496,10,0)),"")</f>
        <v/>
      </c>
      <c r="O2807" s="387"/>
      <c r="P2807" s="387" t="str">
        <f ca="1">IFERROR(IF(VLOOKUP(C2807,' Disaggregation - Section E '!A$618:R2299,18,0)=0,"",VLOOKUP(C2807,' Disaggregation - Section E '!A$618:R2299,18,0)),"")</f>
        <v/>
      </c>
    </row>
    <row r="2808" spans="1:16">
      <c r="A2808" s="387" t="b">
        <f t="shared" ca="1" si="174"/>
        <v>0</v>
      </c>
      <c r="B2808" s="387"/>
      <c r="C2808" s="396" t="str">
        <f ca="1">IF(COUNTA(O$1610:O2808)=1,"",OFFSET(B2806,-COUNTA(O$1610:O2808)+3,1))</f>
        <v>a16Dm000000M3z9IAC</v>
      </c>
      <c r="D2808" s="392"/>
      <c r="E2808" s="389" t="str">
        <f ca="1">IFERROR(IF(VLOOKUP(C2808,' Disaggregation - Section E '!A$618:J3497,7,0)="","",VLOOKUP(C2808,' Disaggregation - Section E '!A$618:J3497,7,0)*100),"")</f>
        <v/>
      </c>
      <c r="F2808" s="391" t="str">
        <f ca="1">IFERROR(VLOOKUP(C2808,' Disaggregation - Section E '!A$618:J3497,5,0),"")</f>
        <v/>
      </c>
      <c r="G2808" s="390" t="str">
        <f ca="1">IFERROR(IF(VLOOKUP(C2808,' Disaggregation - Section E '!A$618:J3497,6,0)="","",VLOOKUP(C2808,' Disaggregation - Section E '!A$618:J3497,6,0)),"")</f>
        <v/>
      </c>
      <c r="H2808" s="390" t="str">
        <f ca="1">IFERROR(IF(INDEX(' Disaggregation - Section E '!F$618:F3497,MATCH(C2808,' Disaggregation - Section E '!A$618:A3497,0)+1,1)&lt;&gt;0,INDEX(' Disaggregation - Section E '!F$618:F3497,MATCH(C2808,' Disaggregation - Section E '!A$618:A3497,0)+1,1),""),"")</f>
        <v/>
      </c>
      <c r="I2808" s="391" t="str">
        <f ca="1">IFERROR(IF(VLOOKUP(C2808,' Disaggregation - Section E '!A$618:J3497,8,0)=0,"",VLOOKUP(C2808,' Disaggregation - Section E '!A$618:J3497,8,0)),"")</f>
        <v/>
      </c>
      <c r="J2808" s="391" t="str">
        <f ca="1">IFERROR(IF(VLOOKUP(C2808,' Disaggregation - Section E '!A$618:J3497,9,0)="","",VLOOKUP(C2808,' Disaggregation - Section E '!A$618:J3497,9,0)),"")</f>
        <v/>
      </c>
      <c r="K2808" s="387" t="str">
        <f ca="1">IFERROR(VLOOKUP(C2808,' Disaggregation - Section E '!A$618:J3497,3,0),"")</f>
        <v>VT-1 Percentage of pregnant women who know their HIV status</v>
      </c>
      <c r="L2808" s="387"/>
      <c r="M2808" s="387" t="str">
        <f ca="1">IFERROR(IF(VLOOKUP(C2808,' Disaggregation - Section E '!A$618:O2300,15,0)=0,"",VLOOKUP(C2808,' Disaggregation - Section E '!A$618:O2300,15,0)),"")</f>
        <v/>
      </c>
      <c r="N2808" s="391" t="str">
        <f ca="1">IFERROR(IF(VLOOKUP(C2808,' Disaggregation - Section E '!A$618:J3497,10,0)=0,"",VLOOKUP(C2808,' Disaggregation - Section E '!A$618:J3497,10,0)),"")</f>
        <v/>
      </c>
      <c r="O2808" s="387"/>
      <c r="P2808" s="387" t="str">
        <f ca="1">IFERROR(IF(VLOOKUP(C2808,' Disaggregation - Section E '!A$618:R2300,18,0)=0,"",VLOOKUP(C2808,' Disaggregation - Section E '!A$618:R2300,18,0)),"")</f>
        <v/>
      </c>
    </row>
    <row r="2809" spans="1:16">
      <c r="A2809" s="387" t="b">
        <f t="shared" ca="1" si="174"/>
        <v>0</v>
      </c>
      <c r="B2809" s="387"/>
      <c r="C2809" s="396" t="str">
        <f ca="1">IF(COUNTA(O$1610:O2809)=1,"",OFFSET(B2807,-COUNTA(O$1610:O2809)+3,1))</f>
        <v>a16Dm000000M3zAIAS</v>
      </c>
      <c r="D2809" s="392"/>
      <c r="E2809" s="389" t="str">
        <f ca="1">IFERROR(IF(VLOOKUP(C2809,' Disaggregation - Section E '!A$618:J3498,7,0)="","",VLOOKUP(C2809,' Disaggregation - Section E '!A$618:J3498,7,0)*100),"")</f>
        <v/>
      </c>
      <c r="F2809" s="391" t="str">
        <f ca="1">IFERROR(VLOOKUP(C2809,' Disaggregation - Section E '!A$618:J3498,5,0),"")</f>
        <v/>
      </c>
      <c r="G2809" s="390" t="str">
        <f ca="1">IFERROR(IF(VLOOKUP(C2809,' Disaggregation - Section E '!A$618:J3498,6,0)="","",VLOOKUP(C2809,' Disaggregation - Section E '!A$618:J3498,6,0)),"")</f>
        <v/>
      </c>
      <c r="H2809" s="390" t="str">
        <f ca="1">IFERROR(IF(INDEX(' Disaggregation - Section E '!F$618:F3498,MATCH(C2809,' Disaggregation - Section E '!A$618:A3498,0)+1,1)&lt;&gt;0,INDEX(' Disaggregation - Section E '!F$618:F3498,MATCH(C2809,' Disaggregation - Section E '!A$618:A3498,0)+1,1),""),"")</f>
        <v/>
      </c>
      <c r="I2809" s="391" t="str">
        <f ca="1">IFERROR(IF(VLOOKUP(C2809,' Disaggregation - Section E '!A$618:J3498,8,0)=0,"",VLOOKUP(C2809,' Disaggregation - Section E '!A$618:J3498,8,0)),"")</f>
        <v/>
      </c>
      <c r="J2809" s="391" t="str">
        <f ca="1">IFERROR(IF(VLOOKUP(C2809,' Disaggregation - Section E '!A$618:J3498,9,0)="","",VLOOKUP(C2809,' Disaggregation - Section E '!A$618:J3498,9,0)),"")</f>
        <v/>
      </c>
      <c r="K2809" s="387" t="str">
        <f ca="1">IFERROR(VLOOKUP(C2809,' Disaggregation - Section E '!A$618:J3498,3,0),"")</f>
        <v>VT-1 Percentage of pregnant women who know their HIV status</v>
      </c>
      <c r="L2809" s="387"/>
      <c r="M2809" s="387" t="str">
        <f ca="1">IFERROR(IF(VLOOKUP(C2809,' Disaggregation - Section E '!A$618:O2301,15,0)=0,"",VLOOKUP(C2809,' Disaggregation - Section E '!A$618:O2301,15,0)),"")</f>
        <v/>
      </c>
      <c r="N2809" s="391" t="str">
        <f ca="1">IFERROR(IF(VLOOKUP(C2809,' Disaggregation - Section E '!A$618:J3498,10,0)=0,"",VLOOKUP(C2809,' Disaggregation - Section E '!A$618:J3498,10,0)),"")</f>
        <v/>
      </c>
      <c r="O2809" s="387"/>
      <c r="P2809" s="387" t="str">
        <f ca="1">IFERROR(IF(VLOOKUP(C2809,' Disaggregation - Section E '!A$618:R2301,18,0)=0,"",VLOOKUP(C2809,' Disaggregation - Section E '!A$618:R2301,18,0)),"")</f>
        <v/>
      </c>
    </row>
    <row r="2810" spans="1:16">
      <c r="A2810" s="387" t="b">
        <f t="shared" ca="1" si="174"/>
        <v>0</v>
      </c>
      <c r="B2810" s="387"/>
      <c r="C2810" s="396" t="str">
        <f ca="1">IF(COUNTA(O$1610:O2810)=1,"",OFFSET(B2808,-COUNTA(O$1610:O2810)+3,1))</f>
        <v>a16Dm000000M3zBIAS</v>
      </c>
      <c r="D2810" s="392"/>
      <c r="E2810" s="389" t="str">
        <f ca="1">IFERROR(IF(VLOOKUP(C2810,' Disaggregation - Section E '!A$618:J3499,7,0)="","",VLOOKUP(C2810,' Disaggregation - Section E '!A$618:J3499,7,0)*100),"")</f>
        <v/>
      </c>
      <c r="F2810" s="391" t="str">
        <f ca="1">IFERROR(VLOOKUP(C2810,' Disaggregation - Section E '!A$618:J3499,5,0),"")</f>
        <v/>
      </c>
      <c r="G2810" s="390" t="str">
        <f ca="1">IFERROR(IF(VLOOKUP(C2810,' Disaggregation - Section E '!A$618:J3499,6,0)="","",VLOOKUP(C2810,' Disaggregation - Section E '!A$618:J3499,6,0)),"")</f>
        <v/>
      </c>
      <c r="H2810" s="390" t="str">
        <f ca="1">IFERROR(IF(INDEX(' Disaggregation - Section E '!F$618:F3499,MATCH(C2810,' Disaggregation - Section E '!A$618:A3499,0)+1,1)&lt;&gt;0,INDEX(' Disaggregation - Section E '!F$618:F3499,MATCH(C2810,' Disaggregation - Section E '!A$618:A3499,0)+1,1),""),"")</f>
        <v/>
      </c>
      <c r="I2810" s="391" t="str">
        <f ca="1">IFERROR(IF(VLOOKUP(C2810,' Disaggregation - Section E '!A$618:J3499,8,0)=0,"",VLOOKUP(C2810,' Disaggregation - Section E '!A$618:J3499,8,0)),"")</f>
        <v/>
      </c>
      <c r="J2810" s="391" t="str">
        <f ca="1">IFERROR(IF(VLOOKUP(C2810,' Disaggregation - Section E '!A$618:J3499,9,0)="","",VLOOKUP(C2810,' Disaggregation - Section E '!A$618:J3499,9,0)),"")</f>
        <v/>
      </c>
      <c r="K2810" s="387" t="str">
        <f ca="1">IFERROR(VLOOKUP(C2810,' Disaggregation - Section E '!A$618:J3499,3,0),"")</f>
        <v>VT-1 Percentage of pregnant women who know their HIV status</v>
      </c>
      <c r="L2810" s="387"/>
      <c r="M2810" s="387" t="str">
        <f ca="1">IFERROR(IF(VLOOKUP(C2810,' Disaggregation - Section E '!A$618:O2302,15,0)=0,"",VLOOKUP(C2810,' Disaggregation - Section E '!A$618:O2302,15,0)),"")</f>
        <v/>
      </c>
      <c r="N2810" s="391" t="str">
        <f ca="1">IFERROR(IF(VLOOKUP(C2810,' Disaggregation - Section E '!A$618:J3499,10,0)=0,"",VLOOKUP(C2810,' Disaggregation - Section E '!A$618:J3499,10,0)),"")</f>
        <v/>
      </c>
      <c r="O2810" s="387"/>
      <c r="P2810" s="387" t="str">
        <f ca="1">IFERROR(IF(VLOOKUP(C2810,' Disaggregation - Section E '!A$618:R2302,18,0)=0,"",VLOOKUP(C2810,' Disaggregation - Section E '!A$618:R2302,18,0)),"")</f>
        <v/>
      </c>
    </row>
    <row r="2811" spans="1:16">
      <c r="A2811" s="387" t="b">
        <f t="shared" ca="1" si="174"/>
        <v>0</v>
      </c>
      <c r="B2811" s="387"/>
      <c r="C2811" s="396" t="str">
        <f ca="1">IF(COUNTA(O$1610:O2811)=1,"",OFFSET(B2809,-COUNTA(O$1610:O2811)+3,1))</f>
        <v>a16Dm000000M3zCIAS</v>
      </c>
      <c r="D2811" s="392"/>
      <c r="E2811" s="389" t="str">
        <f ca="1">IFERROR(IF(VLOOKUP(C2811,' Disaggregation - Section E '!A$618:J3500,7,0)="","",VLOOKUP(C2811,' Disaggregation - Section E '!A$618:J3500,7,0)*100),"")</f>
        <v/>
      </c>
      <c r="F2811" s="391" t="str">
        <f ca="1">IFERROR(VLOOKUP(C2811,' Disaggregation - Section E '!A$618:J3500,5,0),"")</f>
        <v/>
      </c>
      <c r="G2811" s="390" t="str">
        <f ca="1">IFERROR(IF(VLOOKUP(C2811,' Disaggregation - Section E '!A$618:J3500,6,0)="","",VLOOKUP(C2811,' Disaggregation - Section E '!A$618:J3500,6,0)),"")</f>
        <v/>
      </c>
      <c r="H2811" s="390" t="str">
        <f ca="1">IFERROR(IF(INDEX(' Disaggregation - Section E '!F$618:F3500,MATCH(C2811,' Disaggregation - Section E '!A$618:A3500,0)+1,1)&lt;&gt;0,INDEX(' Disaggregation - Section E '!F$618:F3500,MATCH(C2811,' Disaggregation - Section E '!A$618:A3500,0)+1,1),""),"")</f>
        <v/>
      </c>
      <c r="I2811" s="391" t="str">
        <f ca="1">IFERROR(IF(VLOOKUP(C2811,' Disaggregation - Section E '!A$618:J3500,8,0)=0,"",VLOOKUP(C2811,' Disaggregation - Section E '!A$618:J3500,8,0)),"")</f>
        <v/>
      </c>
      <c r="J2811" s="391" t="str">
        <f ca="1">IFERROR(IF(VLOOKUP(C2811,' Disaggregation - Section E '!A$618:J3500,9,0)="","",VLOOKUP(C2811,' Disaggregation - Section E '!A$618:J3500,9,0)),"")</f>
        <v/>
      </c>
      <c r="K2811" s="387" t="str">
        <f ca="1">IFERROR(VLOOKUP(C2811,' Disaggregation - Section E '!A$618:J3500,3,0),"")</f>
        <v>VT-1 Percentage of pregnant women who know their HIV status</v>
      </c>
      <c r="L2811" s="387"/>
      <c r="M2811" s="387" t="str">
        <f ca="1">IFERROR(IF(VLOOKUP(C2811,' Disaggregation - Section E '!A$618:O2303,15,0)=0,"",VLOOKUP(C2811,' Disaggregation - Section E '!A$618:O2303,15,0)),"")</f>
        <v/>
      </c>
      <c r="N2811" s="391" t="str">
        <f ca="1">IFERROR(IF(VLOOKUP(C2811,' Disaggregation - Section E '!A$618:J3500,10,0)=0,"",VLOOKUP(C2811,' Disaggregation - Section E '!A$618:J3500,10,0)),"")</f>
        <v/>
      </c>
      <c r="O2811" s="387"/>
      <c r="P2811" s="387" t="str">
        <f ca="1">IFERROR(IF(VLOOKUP(C2811,' Disaggregation - Section E '!A$618:R2303,18,0)=0,"",VLOOKUP(C2811,' Disaggregation - Section E '!A$618:R2303,18,0)),"")</f>
        <v/>
      </c>
    </row>
    <row r="2812" spans="1:16">
      <c r="A2812" s="387" t="b">
        <f t="shared" ca="1" si="174"/>
        <v>1</v>
      </c>
      <c r="B2812" s="387"/>
      <c r="C2812" s="396" t="str">
        <f ca="1">IF(COUNTA(O$1610:O2812)=1,"",OFFSET(B2810,-COUNTA(O$1610:O2812)+3,1))</f>
        <v>a16Dm000000M3zDIAS</v>
      </c>
      <c r="D2812" s="392"/>
      <c r="E2812" s="389" t="str">
        <f ca="1">IFERROR(IF(VLOOKUP(C2812,' Disaggregation - Section E '!A$618:J3501,7,0)="","",VLOOKUP(C2812,' Disaggregation - Section E '!A$618:J3501,7,0)*100),"")</f>
        <v/>
      </c>
      <c r="F2812" s="391" t="str">
        <f ca="1">IFERROR(VLOOKUP(C2812,' Disaggregation - Section E '!A$618:J3501,5,0),"")</f>
        <v>Unknown</v>
      </c>
      <c r="G2812" s="390" t="str">
        <f ca="1">IFERROR(IF(VLOOKUP(C2812,' Disaggregation - Section E '!A$618:J3501,6,0)="","",VLOOKUP(C2812,' Disaggregation - Section E '!A$618:J3501,6,0)),"")</f>
        <v/>
      </c>
      <c r="H2812" s="390" t="str">
        <f ca="1">IFERROR(IF(INDEX(' Disaggregation - Section E '!F$618:F3501,MATCH(C2812,' Disaggregation - Section E '!A$618:A3501,0)+1,1)&lt;&gt;0,INDEX(' Disaggregation - Section E '!F$618:F3501,MATCH(C2812,' Disaggregation - Section E '!A$618:A3501,0)+1,1),""),"")</f>
        <v/>
      </c>
      <c r="I2812" s="391" t="str">
        <f ca="1">IFERROR(IF(VLOOKUP(C2812,' Disaggregation - Section E '!A$618:J3501,8,0)=0,"",VLOOKUP(C2812,' Disaggregation - Section E '!A$618:J3501,8,0)),"")</f>
        <v/>
      </c>
      <c r="J2812" s="391" t="str">
        <f ca="1">IFERROR(IF(VLOOKUP(C2812,' Disaggregation - Section E '!A$618:J3501,9,0)="","",VLOOKUP(C2812,' Disaggregation - Section E '!A$618:J3501,9,0)),"")</f>
        <v/>
      </c>
      <c r="K2812" s="387" t="str">
        <f ca="1">IFERROR(VLOOKUP(C2812,' Disaggregation - Section E '!A$618:J3501,3,0),"")</f>
        <v>VT-2 Percentage of HIV-exposed infants receiving a virological test for HIV within 2 months of birth</v>
      </c>
      <c r="L2812" s="387"/>
      <c r="M2812" s="387" t="str">
        <f ca="1">IFERROR(IF(VLOOKUP(C2812,' Disaggregation - Section E '!A$618:O2304,15,0)=0,"",VLOOKUP(C2812,' Disaggregation - Section E '!A$618:O2304,15,0)),"")</f>
        <v>IDR-01265</v>
      </c>
      <c r="N2812" s="391" t="str">
        <f ca="1">IFERROR(IF(VLOOKUP(C2812,' Disaggregation - Section E '!A$618:J3501,10,0)=0,"",VLOOKUP(C2812,' Disaggregation - Section E '!A$618:J3501,10,0)),"")</f>
        <v>Disaggregated data not available. The activity will be taken into account from 2024 onwards</v>
      </c>
      <c r="O2812" s="387"/>
      <c r="P2812" s="387" t="str">
        <f ca="1">IFERROR(IF(VLOOKUP(C2812,' Disaggregation - Section E '!A$618:R2304,18,0)=0,"",VLOOKUP(C2812,' Disaggregation - Section E '!A$618:R2304,18,0)),"")</f>
        <v>a1LDm000000Cb39MAC</v>
      </c>
    </row>
    <row r="2813" spans="1:16">
      <c r="A2813" s="387" t="b">
        <f t="shared" ca="1" si="174"/>
        <v>1</v>
      </c>
      <c r="B2813" s="387"/>
      <c r="C2813" s="396" t="str">
        <f ca="1">IF(COUNTA(O$1610:O2813)=1,"",OFFSET(B2811,-COUNTA(O$1610:O2813)+3,1))</f>
        <v>a16Dm000000M3zEIAS</v>
      </c>
      <c r="D2813" s="392"/>
      <c r="E2813" s="389" t="str">
        <f ca="1">IFERROR(IF(VLOOKUP(C2813,' Disaggregation - Section E '!A$618:J3502,7,0)="","",VLOOKUP(C2813,' Disaggregation - Section E '!A$618:J3502,7,0)*100),"")</f>
        <v/>
      </c>
      <c r="F2813" s="391" t="str">
        <f ca="1">IFERROR(VLOOKUP(C2813,' Disaggregation - Section E '!A$618:J3502,5,0),"")</f>
        <v>Negative</v>
      </c>
      <c r="G2813" s="390" t="str">
        <f ca="1">IFERROR(IF(VLOOKUP(C2813,' Disaggregation - Section E '!A$618:J3502,6,0)="","",VLOOKUP(C2813,' Disaggregation - Section E '!A$618:J3502,6,0)),"")</f>
        <v/>
      </c>
      <c r="H2813" s="390" t="str">
        <f ca="1">IFERROR(IF(INDEX(' Disaggregation - Section E '!F$618:F3502,MATCH(C2813,' Disaggregation - Section E '!A$618:A3502,0)+1,1)&lt;&gt;0,INDEX(' Disaggregation - Section E '!F$618:F3502,MATCH(C2813,' Disaggregation - Section E '!A$618:A3502,0)+1,1),""),"")</f>
        <v/>
      </c>
      <c r="I2813" s="391" t="str">
        <f ca="1">IFERROR(IF(VLOOKUP(C2813,' Disaggregation - Section E '!A$618:J3502,8,0)=0,"",VLOOKUP(C2813,' Disaggregation - Section E '!A$618:J3502,8,0)),"")</f>
        <v/>
      </c>
      <c r="J2813" s="391" t="str">
        <f ca="1">IFERROR(IF(VLOOKUP(C2813,' Disaggregation - Section E '!A$618:J3502,9,0)="","",VLOOKUP(C2813,' Disaggregation - Section E '!A$618:J3502,9,0)),"")</f>
        <v/>
      </c>
      <c r="K2813" s="387" t="str">
        <f ca="1">IFERROR(VLOOKUP(C2813,' Disaggregation - Section E '!A$618:J3502,3,0),"")</f>
        <v>VT-2 Percentage of HIV-exposed infants receiving a virological test for HIV within 2 months of birth</v>
      </c>
      <c r="L2813" s="387"/>
      <c r="M2813" s="387" t="str">
        <f ca="1">IFERROR(IF(VLOOKUP(C2813,' Disaggregation - Section E '!A$618:O2305,15,0)=0,"",VLOOKUP(C2813,' Disaggregation - Section E '!A$618:O2305,15,0)),"")</f>
        <v>IDR-01264</v>
      </c>
      <c r="N2813" s="391" t="str">
        <f ca="1">IFERROR(IF(VLOOKUP(C2813,' Disaggregation - Section E '!A$618:J3502,10,0)=0,"",VLOOKUP(C2813,' Disaggregation - Section E '!A$618:J3502,10,0)),"")</f>
        <v>Disaggregated data not available. The activity will be taken into account from 2024 onwards</v>
      </c>
      <c r="O2813" s="387"/>
      <c r="P2813" s="387" t="str">
        <f ca="1">IFERROR(IF(VLOOKUP(C2813,' Disaggregation - Section E '!A$618:R2305,18,0)=0,"",VLOOKUP(C2813,' Disaggregation - Section E '!A$618:R2305,18,0)),"")</f>
        <v>a1LDm000000Cb38MAC</v>
      </c>
    </row>
    <row r="2814" spans="1:16">
      <c r="A2814" s="387" t="b">
        <f t="shared" ca="1" si="174"/>
        <v>1</v>
      </c>
      <c r="B2814" s="387"/>
      <c r="C2814" s="396" t="str">
        <f ca="1">IF(COUNTA(O$1610:O2814)=1,"",OFFSET(B2812,-COUNTA(O$1610:O2814)+3,1))</f>
        <v>a16Dm000000M3zFIAS</v>
      </c>
      <c r="D2814" s="392"/>
      <c r="E2814" s="389" t="str">
        <f ca="1">IFERROR(IF(VLOOKUP(C2814,' Disaggregation - Section E '!A$618:J3503,7,0)="","",VLOOKUP(C2814,' Disaggregation - Section E '!A$618:J3503,7,0)*100),"")</f>
        <v/>
      </c>
      <c r="F2814" s="391" t="str">
        <f ca="1">IFERROR(VLOOKUP(C2814,' Disaggregation - Section E '!A$618:J3503,5,0),"")</f>
        <v>Positive</v>
      </c>
      <c r="G2814" s="390" t="str">
        <f ca="1">IFERROR(IF(VLOOKUP(C2814,' Disaggregation - Section E '!A$618:J3503,6,0)="","",VLOOKUP(C2814,' Disaggregation - Section E '!A$618:J3503,6,0)),"")</f>
        <v/>
      </c>
      <c r="H2814" s="390" t="str">
        <f ca="1">IFERROR(IF(INDEX(' Disaggregation - Section E '!F$618:F3503,MATCH(C2814,' Disaggregation - Section E '!A$618:A3503,0)+1,1)&lt;&gt;0,INDEX(' Disaggregation - Section E '!F$618:F3503,MATCH(C2814,' Disaggregation - Section E '!A$618:A3503,0)+1,1),""),"")</f>
        <v/>
      </c>
      <c r="I2814" s="391" t="str">
        <f ca="1">IFERROR(IF(VLOOKUP(C2814,' Disaggregation - Section E '!A$618:J3503,8,0)=0,"",VLOOKUP(C2814,' Disaggregation - Section E '!A$618:J3503,8,0)),"")</f>
        <v/>
      </c>
      <c r="J2814" s="391" t="str">
        <f ca="1">IFERROR(IF(VLOOKUP(C2814,' Disaggregation - Section E '!A$618:J3503,9,0)="","",VLOOKUP(C2814,' Disaggregation - Section E '!A$618:J3503,9,0)),"")</f>
        <v/>
      </c>
      <c r="K2814" s="387" t="str">
        <f ca="1">IFERROR(VLOOKUP(C2814,' Disaggregation - Section E '!A$618:J3503,3,0),"")</f>
        <v>VT-2 Percentage of HIV-exposed infants receiving a virological test for HIV within 2 months of birth</v>
      </c>
      <c r="L2814" s="387"/>
      <c r="M2814" s="387" t="str">
        <f ca="1">IFERROR(IF(VLOOKUP(C2814,' Disaggregation - Section E '!A$618:O2306,15,0)=0,"",VLOOKUP(C2814,' Disaggregation - Section E '!A$618:O2306,15,0)),"")</f>
        <v>IDR-01263</v>
      </c>
      <c r="N2814" s="391" t="str">
        <f ca="1">IFERROR(IF(VLOOKUP(C2814,' Disaggregation - Section E '!A$618:J3503,10,0)=0,"",VLOOKUP(C2814,' Disaggregation - Section E '!A$618:J3503,10,0)),"")</f>
        <v>Disaggregated data not available. The activity will be taken into account from 2024 onwards</v>
      </c>
      <c r="O2814" s="387"/>
      <c r="P2814" s="387" t="str">
        <f ca="1">IFERROR(IF(VLOOKUP(C2814,' Disaggregation - Section E '!A$618:R2306,18,0)=0,"",VLOOKUP(C2814,' Disaggregation - Section E '!A$618:R2306,18,0)),"")</f>
        <v>a1LDm000000Cb37MAC</v>
      </c>
    </row>
    <row r="2815" spans="1:16">
      <c r="A2815" s="387" t="b">
        <f t="shared" ca="1" si="174"/>
        <v>0</v>
      </c>
      <c r="B2815" s="387"/>
      <c r="C2815" s="396" t="str">
        <f ca="1">IF(COUNTA(O$1610:O2815)=1,"",OFFSET(B2813,-COUNTA(O$1610:O2815)+3,1))</f>
        <v>a16Dm000000M3zGIAS</v>
      </c>
      <c r="D2815" s="392"/>
      <c r="E2815" s="389" t="str">
        <f ca="1">IFERROR(IF(VLOOKUP(C2815,' Disaggregation - Section E '!A$618:J3504,7,0)="","",VLOOKUP(C2815,' Disaggregation - Section E '!A$618:J3504,7,0)*100),"")</f>
        <v/>
      </c>
      <c r="F2815" s="391" t="str">
        <f ca="1">IFERROR(VLOOKUP(C2815,' Disaggregation - Section E '!A$618:J3504,5,0),"")</f>
        <v/>
      </c>
      <c r="G2815" s="390" t="str">
        <f ca="1">IFERROR(IF(VLOOKUP(C2815,' Disaggregation - Section E '!A$618:J3504,6,0)="","",VLOOKUP(C2815,' Disaggregation - Section E '!A$618:J3504,6,0)),"")</f>
        <v/>
      </c>
      <c r="H2815" s="390" t="str">
        <f ca="1">IFERROR(IF(INDEX(' Disaggregation - Section E '!F$618:F3504,MATCH(C2815,' Disaggregation - Section E '!A$618:A3504,0)+1,1)&lt;&gt;0,INDEX(' Disaggregation - Section E '!F$618:F3504,MATCH(C2815,' Disaggregation - Section E '!A$618:A3504,0)+1,1),""),"")</f>
        <v/>
      </c>
      <c r="I2815" s="391" t="str">
        <f ca="1">IFERROR(IF(VLOOKUP(C2815,' Disaggregation - Section E '!A$618:J3504,8,0)=0,"",VLOOKUP(C2815,' Disaggregation - Section E '!A$618:J3504,8,0)),"")</f>
        <v/>
      </c>
      <c r="J2815" s="391" t="str">
        <f ca="1">IFERROR(IF(VLOOKUP(C2815,' Disaggregation - Section E '!A$618:J3504,9,0)="","",VLOOKUP(C2815,' Disaggregation - Section E '!A$618:J3504,9,0)),"")</f>
        <v/>
      </c>
      <c r="K2815" s="387" t="str">
        <f ca="1">IFERROR(VLOOKUP(C2815,' Disaggregation - Section E '!A$618:J3504,3,0),"")</f>
        <v>VT-2 Percentage of HIV-exposed infants receiving a virological test for HIV within 2 months of birth</v>
      </c>
      <c r="L2815" s="387"/>
      <c r="M2815" s="387" t="str">
        <f ca="1">IFERROR(IF(VLOOKUP(C2815,' Disaggregation - Section E '!A$618:O2307,15,0)=0,"",VLOOKUP(C2815,' Disaggregation - Section E '!A$618:O2307,15,0)),"")</f>
        <v/>
      </c>
      <c r="N2815" s="391" t="str">
        <f ca="1">IFERROR(IF(VLOOKUP(C2815,' Disaggregation - Section E '!A$618:J3504,10,0)=0,"",VLOOKUP(C2815,' Disaggregation - Section E '!A$618:J3504,10,0)),"")</f>
        <v/>
      </c>
      <c r="O2815" s="387"/>
      <c r="P2815" s="387" t="str">
        <f ca="1">IFERROR(IF(VLOOKUP(C2815,' Disaggregation - Section E '!A$618:R2307,18,0)=0,"",VLOOKUP(C2815,' Disaggregation - Section E '!A$618:R2307,18,0)),"")</f>
        <v/>
      </c>
    </row>
    <row r="2816" spans="1:16">
      <c r="A2816" s="387" t="b">
        <f t="shared" ca="1" si="174"/>
        <v>0</v>
      </c>
      <c r="B2816" s="387"/>
      <c r="C2816" s="396" t="str">
        <f ca="1">IF(COUNTA(O$1610:O2816)=1,"",OFFSET(B2814,-COUNTA(O$1610:O2816)+3,1))</f>
        <v>a16Dm000000M3zHIAS</v>
      </c>
      <c r="D2816" s="392"/>
      <c r="E2816" s="389" t="str">
        <f ca="1">IFERROR(IF(VLOOKUP(C2816,' Disaggregation - Section E '!A$618:J3505,7,0)="","",VLOOKUP(C2816,' Disaggregation - Section E '!A$618:J3505,7,0)*100),"")</f>
        <v/>
      </c>
      <c r="F2816" s="391" t="str">
        <f ca="1">IFERROR(VLOOKUP(C2816,' Disaggregation - Section E '!A$618:J3505,5,0),"")</f>
        <v/>
      </c>
      <c r="G2816" s="390" t="str">
        <f ca="1">IFERROR(IF(VLOOKUP(C2816,' Disaggregation - Section E '!A$618:J3505,6,0)="","",VLOOKUP(C2816,' Disaggregation - Section E '!A$618:J3505,6,0)),"")</f>
        <v/>
      </c>
      <c r="H2816" s="390" t="str">
        <f ca="1">IFERROR(IF(INDEX(' Disaggregation - Section E '!F$618:F3505,MATCH(C2816,' Disaggregation - Section E '!A$618:A3505,0)+1,1)&lt;&gt;0,INDEX(' Disaggregation - Section E '!F$618:F3505,MATCH(C2816,' Disaggregation - Section E '!A$618:A3505,0)+1,1),""),"")</f>
        <v/>
      </c>
      <c r="I2816" s="391" t="str">
        <f ca="1">IFERROR(IF(VLOOKUP(C2816,' Disaggregation - Section E '!A$618:J3505,8,0)=0,"",VLOOKUP(C2816,' Disaggregation - Section E '!A$618:J3505,8,0)),"")</f>
        <v/>
      </c>
      <c r="J2816" s="391" t="str">
        <f ca="1">IFERROR(IF(VLOOKUP(C2816,' Disaggregation - Section E '!A$618:J3505,9,0)="","",VLOOKUP(C2816,' Disaggregation - Section E '!A$618:J3505,9,0)),"")</f>
        <v/>
      </c>
      <c r="K2816" s="387" t="str">
        <f ca="1">IFERROR(VLOOKUP(C2816,' Disaggregation - Section E '!A$618:J3505,3,0),"")</f>
        <v>VT-2 Percentage of HIV-exposed infants receiving a virological test for HIV within 2 months of birth</v>
      </c>
      <c r="L2816" s="387"/>
      <c r="M2816" s="387" t="str">
        <f ca="1">IFERROR(IF(VLOOKUP(C2816,' Disaggregation - Section E '!A$618:O2308,15,0)=0,"",VLOOKUP(C2816,' Disaggregation - Section E '!A$618:O2308,15,0)),"")</f>
        <v/>
      </c>
      <c r="N2816" s="391" t="str">
        <f ca="1">IFERROR(IF(VLOOKUP(C2816,' Disaggregation - Section E '!A$618:J3505,10,0)=0,"",VLOOKUP(C2816,' Disaggregation - Section E '!A$618:J3505,10,0)),"")</f>
        <v/>
      </c>
      <c r="O2816" s="387"/>
      <c r="P2816" s="387" t="str">
        <f ca="1">IFERROR(IF(VLOOKUP(C2816,' Disaggregation - Section E '!A$618:R2308,18,0)=0,"",VLOOKUP(C2816,' Disaggregation - Section E '!A$618:R2308,18,0)),"")</f>
        <v/>
      </c>
    </row>
    <row r="2817" spans="1:16">
      <c r="A2817" s="387" t="b">
        <f t="shared" ca="1" si="174"/>
        <v>0</v>
      </c>
      <c r="B2817" s="387"/>
      <c r="C2817" s="396" t="str">
        <f ca="1">IF(COUNTA(O$1610:O2817)=1,"",OFFSET(B2815,-COUNTA(O$1610:O2817)+3,1))</f>
        <v>a16Dm000000M3zIIAS</v>
      </c>
      <c r="D2817" s="392"/>
      <c r="E2817" s="389" t="str">
        <f ca="1">IFERROR(IF(VLOOKUP(C2817,' Disaggregation - Section E '!A$618:J3506,7,0)="","",VLOOKUP(C2817,' Disaggregation - Section E '!A$618:J3506,7,0)*100),"")</f>
        <v/>
      </c>
      <c r="F2817" s="391" t="str">
        <f ca="1">IFERROR(VLOOKUP(C2817,' Disaggregation - Section E '!A$618:J3506,5,0),"")</f>
        <v/>
      </c>
      <c r="G2817" s="390" t="str">
        <f ca="1">IFERROR(IF(VLOOKUP(C2817,' Disaggregation - Section E '!A$618:J3506,6,0)="","",VLOOKUP(C2817,' Disaggregation - Section E '!A$618:J3506,6,0)),"")</f>
        <v/>
      </c>
      <c r="H2817" s="390" t="str">
        <f ca="1">IFERROR(IF(INDEX(' Disaggregation - Section E '!F$618:F3506,MATCH(C2817,' Disaggregation - Section E '!A$618:A3506,0)+1,1)&lt;&gt;0,INDEX(' Disaggregation - Section E '!F$618:F3506,MATCH(C2817,' Disaggregation - Section E '!A$618:A3506,0)+1,1),""),"")</f>
        <v/>
      </c>
      <c r="I2817" s="391" t="str">
        <f ca="1">IFERROR(IF(VLOOKUP(C2817,' Disaggregation - Section E '!A$618:J3506,8,0)=0,"",VLOOKUP(C2817,' Disaggregation - Section E '!A$618:J3506,8,0)),"")</f>
        <v/>
      </c>
      <c r="J2817" s="391" t="str">
        <f ca="1">IFERROR(IF(VLOOKUP(C2817,' Disaggregation - Section E '!A$618:J3506,9,0)="","",VLOOKUP(C2817,' Disaggregation - Section E '!A$618:J3506,9,0)),"")</f>
        <v/>
      </c>
      <c r="K2817" s="387" t="str">
        <f ca="1">IFERROR(VLOOKUP(C2817,' Disaggregation - Section E '!A$618:J3506,3,0),"")</f>
        <v>VT-2 Percentage of HIV-exposed infants receiving a virological test for HIV within 2 months of birth</v>
      </c>
      <c r="L2817" s="387"/>
      <c r="M2817" s="387" t="str">
        <f ca="1">IFERROR(IF(VLOOKUP(C2817,' Disaggregation - Section E '!A$618:O2309,15,0)=0,"",VLOOKUP(C2817,' Disaggregation - Section E '!A$618:O2309,15,0)),"")</f>
        <v/>
      </c>
      <c r="N2817" s="391" t="str">
        <f ca="1">IFERROR(IF(VLOOKUP(C2817,' Disaggregation - Section E '!A$618:J3506,10,0)=0,"",VLOOKUP(C2817,' Disaggregation - Section E '!A$618:J3506,10,0)),"")</f>
        <v/>
      </c>
      <c r="O2817" s="387"/>
      <c r="P2817" s="387" t="str">
        <f ca="1">IFERROR(IF(VLOOKUP(C2817,' Disaggregation - Section E '!A$618:R2309,18,0)=0,"",VLOOKUP(C2817,' Disaggregation - Section E '!A$618:R2309,18,0)),"")</f>
        <v/>
      </c>
    </row>
    <row r="2818" spans="1:16">
      <c r="A2818" s="387" t="b">
        <f t="shared" ca="1" si="174"/>
        <v>0</v>
      </c>
      <c r="B2818" s="387"/>
      <c r="C2818" s="396" t="str">
        <f ca="1">IF(COUNTA(O$1610:O2818)=1,"",OFFSET(B2816,-COUNTA(O$1610:O2818)+3,1))</f>
        <v>a16Dm000000M3zJIAS</v>
      </c>
      <c r="D2818" s="392"/>
      <c r="E2818" s="389" t="str">
        <f ca="1">IFERROR(IF(VLOOKUP(C2818,' Disaggregation - Section E '!A$618:J3507,7,0)="","",VLOOKUP(C2818,' Disaggregation - Section E '!A$618:J3507,7,0)*100),"")</f>
        <v/>
      </c>
      <c r="F2818" s="391" t="str">
        <f ca="1">IFERROR(VLOOKUP(C2818,' Disaggregation - Section E '!A$618:J3507,5,0),"")</f>
        <v/>
      </c>
      <c r="G2818" s="390" t="str">
        <f ca="1">IFERROR(IF(VLOOKUP(C2818,' Disaggregation - Section E '!A$618:J3507,6,0)="","",VLOOKUP(C2818,' Disaggregation - Section E '!A$618:J3507,6,0)),"")</f>
        <v/>
      </c>
      <c r="H2818" s="390" t="str">
        <f ca="1">IFERROR(IF(INDEX(' Disaggregation - Section E '!F$618:F3507,MATCH(C2818,' Disaggregation - Section E '!A$618:A3507,0)+1,1)&lt;&gt;0,INDEX(' Disaggregation - Section E '!F$618:F3507,MATCH(C2818,' Disaggregation - Section E '!A$618:A3507,0)+1,1),""),"")</f>
        <v/>
      </c>
      <c r="I2818" s="391" t="str">
        <f ca="1">IFERROR(IF(VLOOKUP(C2818,' Disaggregation - Section E '!A$618:J3507,8,0)=0,"",VLOOKUP(C2818,' Disaggregation - Section E '!A$618:J3507,8,0)),"")</f>
        <v/>
      </c>
      <c r="J2818" s="391" t="str">
        <f ca="1">IFERROR(IF(VLOOKUP(C2818,' Disaggregation - Section E '!A$618:J3507,9,0)="","",VLOOKUP(C2818,' Disaggregation - Section E '!A$618:J3507,9,0)),"")</f>
        <v/>
      </c>
      <c r="K2818" s="387" t="str">
        <f ca="1">IFERROR(VLOOKUP(C2818,' Disaggregation - Section E '!A$618:J3507,3,0),"")</f>
        <v>VT-2 Percentage of HIV-exposed infants receiving a virological test for HIV within 2 months of birth</v>
      </c>
      <c r="L2818" s="387"/>
      <c r="M2818" s="387" t="str">
        <f ca="1">IFERROR(IF(VLOOKUP(C2818,' Disaggregation - Section E '!A$618:O2310,15,0)=0,"",VLOOKUP(C2818,' Disaggregation - Section E '!A$618:O2310,15,0)),"")</f>
        <v/>
      </c>
      <c r="N2818" s="391" t="str">
        <f ca="1">IFERROR(IF(VLOOKUP(C2818,' Disaggregation - Section E '!A$618:J3507,10,0)=0,"",VLOOKUP(C2818,' Disaggregation - Section E '!A$618:J3507,10,0)),"")</f>
        <v/>
      </c>
      <c r="O2818" s="387"/>
      <c r="P2818" s="387" t="str">
        <f ca="1">IFERROR(IF(VLOOKUP(C2818,' Disaggregation - Section E '!A$618:R2310,18,0)=0,"",VLOOKUP(C2818,' Disaggregation - Section E '!A$618:R2310,18,0)),"")</f>
        <v/>
      </c>
    </row>
    <row r="2819" spans="1:16">
      <c r="A2819" s="387" t="b">
        <f t="shared" ca="1" si="174"/>
        <v>0</v>
      </c>
      <c r="B2819" s="387"/>
      <c r="C2819" s="396" t="str">
        <f ca="1">IF(COUNTA(O$1610:O2819)=1,"",OFFSET(B2817,-COUNTA(O$1610:O2819)+3,1))</f>
        <v>a16Dm000000M3zKIAS</v>
      </c>
      <c r="D2819" s="392"/>
      <c r="E2819" s="389" t="str">
        <f ca="1">IFERROR(IF(VLOOKUP(C2819,' Disaggregation - Section E '!A$618:J3508,7,0)="","",VLOOKUP(C2819,' Disaggregation - Section E '!A$618:J3508,7,0)*100),"")</f>
        <v/>
      </c>
      <c r="F2819" s="391" t="str">
        <f ca="1">IFERROR(VLOOKUP(C2819,' Disaggregation - Section E '!A$618:J3508,5,0),"")</f>
        <v/>
      </c>
      <c r="G2819" s="390" t="str">
        <f ca="1">IFERROR(IF(VLOOKUP(C2819,' Disaggregation - Section E '!A$618:J3508,6,0)="","",VLOOKUP(C2819,' Disaggregation - Section E '!A$618:J3508,6,0)),"")</f>
        <v/>
      </c>
      <c r="H2819" s="390" t="str">
        <f ca="1">IFERROR(IF(INDEX(' Disaggregation - Section E '!F$618:F3508,MATCH(C2819,' Disaggregation - Section E '!A$618:A3508,0)+1,1)&lt;&gt;0,INDEX(' Disaggregation - Section E '!F$618:F3508,MATCH(C2819,' Disaggregation - Section E '!A$618:A3508,0)+1,1),""),"")</f>
        <v/>
      </c>
      <c r="I2819" s="391" t="str">
        <f ca="1">IFERROR(IF(VLOOKUP(C2819,' Disaggregation - Section E '!A$618:J3508,8,0)=0,"",VLOOKUP(C2819,' Disaggregation - Section E '!A$618:J3508,8,0)),"")</f>
        <v/>
      </c>
      <c r="J2819" s="391" t="str">
        <f ca="1">IFERROR(IF(VLOOKUP(C2819,' Disaggregation - Section E '!A$618:J3508,9,0)="","",VLOOKUP(C2819,' Disaggregation - Section E '!A$618:J3508,9,0)),"")</f>
        <v/>
      </c>
      <c r="K2819" s="387" t="str">
        <f ca="1">IFERROR(VLOOKUP(C2819,' Disaggregation - Section E '!A$618:J3508,3,0),"")</f>
        <v>VT-2 Percentage of HIV-exposed infants receiving a virological test for HIV within 2 months of birth</v>
      </c>
      <c r="L2819" s="387"/>
      <c r="M2819" s="387" t="str">
        <f ca="1">IFERROR(IF(VLOOKUP(C2819,' Disaggregation - Section E '!A$618:O2311,15,0)=0,"",VLOOKUP(C2819,' Disaggregation - Section E '!A$618:O2311,15,0)),"")</f>
        <v/>
      </c>
      <c r="N2819" s="391" t="str">
        <f ca="1">IFERROR(IF(VLOOKUP(C2819,' Disaggregation - Section E '!A$618:J3508,10,0)=0,"",VLOOKUP(C2819,' Disaggregation - Section E '!A$618:J3508,10,0)),"")</f>
        <v/>
      </c>
      <c r="O2819" s="387"/>
      <c r="P2819" s="387" t="str">
        <f ca="1">IFERROR(IF(VLOOKUP(C2819,' Disaggregation - Section E '!A$618:R2311,18,0)=0,"",VLOOKUP(C2819,' Disaggregation - Section E '!A$618:R2311,18,0)),"")</f>
        <v/>
      </c>
    </row>
    <row r="2820" spans="1:16">
      <c r="A2820" s="387" t="b">
        <f t="shared" ca="1" si="174"/>
        <v>0</v>
      </c>
      <c r="B2820" s="387"/>
      <c r="C2820" s="396" t="str">
        <f ca="1">IF(COUNTA(O$1610:O2820)=1,"",OFFSET(B2818,-COUNTA(O$1610:O2820)+3,1))</f>
        <v>a16Dm000000M3zLIAS</v>
      </c>
      <c r="D2820" s="392"/>
      <c r="E2820" s="389" t="str">
        <f ca="1">IFERROR(IF(VLOOKUP(C2820,' Disaggregation - Section E '!A$618:J3509,7,0)="","",VLOOKUP(C2820,' Disaggregation - Section E '!A$618:J3509,7,0)*100),"")</f>
        <v/>
      </c>
      <c r="F2820" s="391" t="str">
        <f ca="1">IFERROR(VLOOKUP(C2820,' Disaggregation - Section E '!A$618:J3509,5,0),"")</f>
        <v/>
      </c>
      <c r="G2820" s="390" t="str">
        <f ca="1">IFERROR(IF(VLOOKUP(C2820,' Disaggregation - Section E '!A$618:J3509,6,0)="","",VLOOKUP(C2820,' Disaggregation - Section E '!A$618:J3509,6,0)),"")</f>
        <v/>
      </c>
      <c r="H2820" s="390" t="str">
        <f ca="1">IFERROR(IF(INDEX(' Disaggregation - Section E '!F$618:F3509,MATCH(C2820,' Disaggregation - Section E '!A$618:A3509,0)+1,1)&lt;&gt;0,INDEX(' Disaggregation - Section E '!F$618:F3509,MATCH(C2820,' Disaggregation - Section E '!A$618:A3509,0)+1,1),""),"")</f>
        <v/>
      </c>
      <c r="I2820" s="391" t="str">
        <f ca="1">IFERROR(IF(VLOOKUP(C2820,' Disaggregation - Section E '!A$618:J3509,8,0)=0,"",VLOOKUP(C2820,' Disaggregation - Section E '!A$618:J3509,8,0)),"")</f>
        <v/>
      </c>
      <c r="J2820" s="391" t="str">
        <f ca="1">IFERROR(IF(VLOOKUP(C2820,' Disaggregation - Section E '!A$618:J3509,9,0)="","",VLOOKUP(C2820,' Disaggregation - Section E '!A$618:J3509,9,0)),"")</f>
        <v/>
      </c>
      <c r="K2820" s="387" t="str">
        <f ca="1">IFERROR(VLOOKUP(C2820,' Disaggregation - Section E '!A$618:J3509,3,0),"")</f>
        <v>VT-2 Percentage of HIV-exposed infants receiving a virological test for HIV within 2 months of birth</v>
      </c>
      <c r="L2820" s="387"/>
      <c r="M2820" s="387" t="str">
        <f ca="1">IFERROR(IF(VLOOKUP(C2820,' Disaggregation - Section E '!A$618:O2312,15,0)=0,"",VLOOKUP(C2820,' Disaggregation - Section E '!A$618:O2312,15,0)),"")</f>
        <v/>
      </c>
      <c r="N2820" s="391" t="str">
        <f ca="1">IFERROR(IF(VLOOKUP(C2820,' Disaggregation - Section E '!A$618:J3509,10,0)=0,"",VLOOKUP(C2820,' Disaggregation - Section E '!A$618:J3509,10,0)),"")</f>
        <v/>
      </c>
      <c r="O2820" s="387"/>
      <c r="P2820" s="387" t="str">
        <f ca="1">IFERROR(IF(VLOOKUP(C2820,' Disaggregation - Section E '!A$618:R2312,18,0)=0,"",VLOOKUP(C2820,' Disaggregation - Section E '!A$618:R2312,18,0)),"")</f>
        <v/>
      </c>
    </row>
    <row r="2821" spans="1:16">
      <c r="A2821" s="387" t="b">
        <f t="shared" ca="1" si="174"/>
        <v>0</v>
      </c>
      <c r="B2821" s="387"/>
      <c r="C2821" s="396" t="str">
        <f ca="1">IF(COUNTA(O$1610:O2821)=1,"",OFFSET(B2819,-COUNTA(O$1610:O2821)+3,1))</f>
        <v>a16Dm000000M3zMIAS</v>
      </c>
      <c r="D2821" s="392"/>
      <c r="E2821" s="389" t="str">
        <f ca="1">IFERROR(IF(VLOOKUP(C2821,' Disaggregation - Section E '!A$618:J3510,7,0)="","",VLOOKUP(C2821,' Disaggregation - Section E '!A$618:J3510,7,0)*100),"")</f>
        <v/>
      </c>
      <c r="F2821" s="391" t="str">
        <f ca="1">IFERROR(VLOOKUP(C2821,' Disaggregation - Section E '!A$618:J3510,5,0),"")</f>
        <v/>
      </c>
      <c r="G2821" s="390" t="str">
        <f ca="1">IFERROR(IF(VLOOKUP(C2821,' Disaggregation - Section E '!A$618:J3510,6,0)="","",VLOOKUP(C2821,' Disaggregation - Section E '!A$618:J3510,6,0)),"")</f>
        <v/>
      </c>
      <c r="H2821" s="390" t="str">
        <f ca="1">IFERROR(IF(INDEX(' Disaggregation - Section E '!F$618:F3510,MATCH(C2821,' Disaggregation - Section E '!A$618:A3510,0)+1,1)&lt;&gt;0,INDEX(' Disaggregation - Section E '!F$618:F3510,MATCH(C2821,' Disaggregation - Section E '!A$618:A3510,0)+1,1),""),"")</f>
        <v/>
      </c>
      <c r="I2821" s="391" t="str">
        <f ca="1">IFERROR(IF(VLOOKUP(C2821,' Disaggregation - Section E '!A$618:J3510,8,0)=0,"",VLOOKUP(C2821,' Disaggregation - Section E '!A$618:J3510,8,0)),"")</f>
        <v/>
      </c>
      <c r="J2821" s="391" t="str">
        <f ca="1">IFERROR(IF(VLOOKUP(C2821,' Disaggregation - Section E '!A$618:J3510,9,0)="","",VLOOKUP(C2821,' Disaggregation - Section E '!A$618:J3510,9,0)),"")</f>
        <v/>
      </c>
      <c r="K2821" s="387" t="str">
        <f ca="1">IFERROR(VLOOKUP(C2821,' Disaggregation - Section E '!A$618:J3510,3,0),"")</f>
        <v>VT-2 Percentage of HIV-exposed infants receiving a virological test for HIV within 2 months of birth</v>
      </c>
      <c r="L2821" s="387"/>
      <c r="M2821" s="387" t="str">
        <f ca="1">IFERROR(IF(VLOOKUP(C2821,' Disaggregation - Section E '!A$618:O2313,15,0)=0,"",VLOOKUP(C2821,' Disaggregation - Section E '!A$618:O2313,15,0)),"")</f>
        <v/>
      </c>
      <c r="N2821" s="391" t="str">
        <f ca="1">IFERROR(IF(VLOOKUP(C2821,' Disaggregation - Section E '!A$618:J3510,10,0)=0,"",VLOOKUP(C2821,' Disaggregation - Section E '!A$618:J3510,10,0)),"")</f>
        <v/>
      </c>
      <c r="O2821" s="387"/>
      <c r="P2821" s="387" t="str">
        <f ca="1">IFERROR(IF(VLOOKUP(C2821,' Disaggregation - Section E '!A$618:R2313,18,0)=0,"",VLOOKUP(C2821,' Disaggregation - Section E '!A$618:R2313,18,0)),"")</f>
        <v/>
      </c>
    </row>
    <row r="2822" spans="1:16">
      <c r="A2822" s="387" t="b">
        <f t="shared" ca="1" si="174"/>
        <v>0</v>
      </c>
      <c r="B2822" s="387"/>
      <c r="C2822" s="396" t="str">
        <f ca="1">IF(COUNTA(O$1610:O2822)=1,"",OFFSET(B2820,-COUNTA(O$1610:O2822)+3,1))</f>
        <v>a16Dm000000M3zNIAS</v>
      </c>
      <c r="D2822" s="392"/>
      <c r="E2822" s="389" t="str">
        <f ca="1">IFERROR(IF(VLOOKUP(C2822,' Disaggregation - Section E '!A$618:J3511,7,0)="","",VLOOKUP(C2822,' Disaggregation - Section E '!A$618:J3511,7,0)*100),"")</f>
        <v/>
      </c>
      <c r="F2822" s="391" t="str">
        <f ca="1">IFERROR(VLOOKUP(C2822,' Disaggregation - Section E '!A$618:J3511,5,0),"")</f>
        <v/>
      </c>
      <c r="G2822" s="390" t="str">
        <f ca="1">IFERROR(IF(VLOOKUP(C2822,' Disaggregation - Section E '!A$618:J3511,6,0)="","",VLOOKUP(C2822,' Disaggregation - Section E '!A$618:J3511,6,0)),"")</f>
        <v/>
      </c>
      <c r="H2822" s="390" t="str">
        <f ca="1">IFERROR(IF(INDEX(' Disaggregation - Section E '!F$618:F3511,MATCH(C2822,' Disaggregation - Section E '!A$618:A3511,0)+1,1)&lt;&gt;0,INDEX(' Disaggregation - Section E '!F$618:F3511,MATCH(C2822,' Disaggregation - Section E '!A$618:A3511,0)+1,1),""),"")</f>
        <v/>
      </c>
      <c r="I2822" s="391" t="str">
        <f ca="1">IFERROR(IF(VLOOKUP(C2822,' Disaggregation - Section E '!A$618:J3511,8,0)=0,"",VLOOKUP(C2822,' Disaggregation - Section E '!A$618:J3511,8,0)),"")</f>
        <v/>
      </c>
      <c r="J2822" s="391" t="str">
        <f ca="1">IFERROR(IF(VLOOKUP(C2822,' Disaggregation - Section E '!A$618:J3511,9,0)="","",VLOOKUP(C2822,' Disaggregation - Section E '!A$618:J3511,9,0)),"")</f>
        <v/>
      </c>
      <c r="K2822" s="387" t="str">
        <f ca="1">IFERROR(VLOOKUP(C2822,' Disaggregation - Section E '!A$618:J3511,3,0),"")</f>
        <v>VT-2 Percentage of HIV-exposed infants receiving a virological test for HIV within 2 months of birth</v>
      </c>
      <c r="L2822" s="387"/>
      <c r="M2822" s="387" t="str">
        <f ca="1">IFERROR(IF(VLOOKUP(C2822,' Disaggregation - Section E '!A$618:O2314,15,0)=0,"",VLOOKUP(C2822,' Disaggregation - Section E '!A$618:O2314,15,0)),"")</f>
        <v/>
      </c>
      <c r="N2822" s="391" t="str">
        <f ca="1">IFERROR(IF(VLOOKUP(C2822,' Disaggregation - Section E '!A$618:J3511,10,0)=0,"",VLOOKUP(C2822,' Disaggregation - Section E '!A$618:J3511,10,0)),"")</f>
        <v/>
      </c>
      <c r="O2822" s="387"/>
      <c r="P2822" s="387" t="str">
        <f ca="1">IFERROR(IF(VLOOKUP(C2822,' Disaggregation - Section E '!A$618:R2314,18,0)=0,"",VLOOKUP(C2822,' Disaggregation - Section E '!A$618:R2314,18,0)),"")</f>
        <v/>
      </c>
    </row>
    <row r="2823" spans="1:16">
      <c r="A2823" s="387" t="b">
        <f t="shared" ca="1" si="174"/>
        <v>0</v>
      </c>
      <c r="B2823" s="387"/>
      <c r="C2823" s="396" t="str">
        <f ca="1">IF(COUNTA(O$1610:O2823)=1,"",OFFSET(B2821,-COUNTA(O$1610:O2823)+3,1))</f>
        <v>a16Dm000000M3zOIAS</v>
      </c>
      <c r="D2823" s="392"/>
      <c r="E2823" s="389" t="str">
        <f ca="1">IFERROR(IF(VLOOKUP(C2823,' Disaggregation - Section E '!A$618:J3512,7,0)="","",VLOOKUP(C2823,' Disaggregation - Section E '!A$618:J3512,7,0)*100),"")</f>
        <v/>
      </c>
      <c r="F2823" s="391" t="str">
        <f ca="1">IFERROR(VLOOKUP(C2823,' Disaggregation - Section E '!A$618:J3512,5,0),"")</f>
        <v/>
      </c>
      <c r="G2823" s="390" t="str">
        <f ca="1">IFERROR(IF(VLOOKUP(C2823,' Disaggregation - Section E '!A$618:J3512,6,0)="","",VLOOKUP(C2823,' Disaggregation - Section E '!A$618:J3512,6,0)),"")</f>
        <v/>
      </c>
      <c r="H2823" s="390" t="str">
        <f ca="1">IFERROR(IF(INDEX(' Disaggregation - Section E '!F$618:F3512,MATCH(C2823,' Disaggregation - Section E '!A$618:A3512,0)+1,1)&lt;&gt;0,INDEX(' Disaggregation - Section E '!F$618:F3512,MATCH(C2823,' Disaggregation - Section E '!A$618:A3512,0)+1,1),""),"")</f>
        <v/>
      </c>
      <c r="I2823" s="391" t="str">
        <f ca="1">IFERROR(IF(VLOOKUP(C2823,' Disaggregation - Section E '!A$618:J3512,8,0)=0,"",VLOOKUP(C2823,' Disaggregation - Section E '!A$618:J3512,8,0)),"")</f>
        <v/>
      </c>
      <c r="J2823" s="391" t="str">
        <f ca="1">IFERROR(IF(VLOOKUP(C2823,' Disaggregation - Section E '!A$618:J3512,9,0)="","",VLOOKUP(C2823,' Disaggregation - Section E '!A$618:J3512,9,0)),"")</f>
        <v/>
      </c>
      <c r="K2823" s="387" t="str">
        <f ca="1">IFERROR(VLOOKUP(C2823,' Disaggregation - Section E '!A$618:J3512,3,0),"")</f>
        <v>VT-2 Percentage of HIV-exposed infants receiving a virological test for HIV within 2 months of birth</v>
      </c>
      <c r="L2823" s="387"/>
      <c r="M2823" s="387" t="str">
        <f ca="1">IFERROR(IF(VLOOKUP(C2823,' Disaggregation - Section E '!A$618:O2315,15,0)=0,"",VLOOKUP(C2823,' Disaggregation - Section E '!A$618:O2315,15,0)),"")</f>
        <v/>
      </c>
      <c r="N2823" s="391" t="str">
        <f ca="1">IFERROR(IF(VLOOKUP(C2823,' Disaggregation - Section E '!A$618:J3512,10,0)=0,"",VLOOKUP(C2823,' Disaggregation - Section E '!A$618:J3512,10,0)),"")</f>
        <v/>
      </c>
      <c r="O2823" s="387"/>
      <c r="P2823" s="387" t="str">
        <f ca="1">IFERROR(IF(VLOOKUP(C2823,' Disaggregation - Section E '!A$618:R2315,18,0)=0,"",VLOOKUP(C2823,' Disaggregation - Section E '!A$618:R2315,18,0)),"")</f>
        <v/>
      </c>
    </row>
    <row r="2824" spans="1:16">
      <c r="A2824" s="387" t="b">
        <f t="shared" ca="1" si="174"/>
        <v>0</v>
      </c>
      <c r="B2824" s="387"/>
      <c r="C2824" s="396" t="str">
        <f ca="1">IF(COUNTA(O$1610:O2824)=1,"",OFFSET(B2822,-COUNTA(O$1610:O2824)+3,1))</f>
        <v>a16Dm000000M3zPIAS</v>
      </c>
      <c r="D2824" s="392"/>
      <c r="E2824" s="389" t="str">
        <f ca="1">IFERROR(IF(VLOOKUP(C2824,' Disaggregation - Section E '!A$618:J3513,7,0)="","",VLOOKUP(C2824,' Disaggregation - Section E '!A$618:J3513,7,0)*100),"")</f>
        <v/>
      </c>
      <c r="F2824" s="391" t="str">
        <f ca="1">IFERROR(VLOOKUP(C2824,' Disaggregation - Section E '!A$618:J3513,5,0),"")</f>
        <v/>
      </c>
      <c r="G2824" s="390" t="str">
        <f ca="1">IFERROR(IF(VLOOKUP(C2824,' Disaggregation - Section E '!A$618:J3513,6,0)="","",VLOOKUP(C2824,' Disaggregation - Section E '!A$618:J3513,6,0)),"")</f>
        <v/>
      </c>
      <c r="H2824" s="390" t="str">
        <f ca="1">IFERROR(IF(INDEX(' Disaggregation - Section E '!F$618:F3513,MATCH(C2824,' Disaggregation - Section E '!A$618:A3513,0)+1,1)&lt;&gt;0,INDEX(' Disaggregation - Section E '!F$618:F3513,MATCH(C2824,' Disaggregation - Section E '!A$618:A3513,0)+1,1),""),"")</f>
        <v/>
      </c>
      <c r="I2824" s="391" t="str">
        <f ca="1">IFERROR(IF(VLOOKUP(C2824,' Disaggregation - Section E '!A$618:J3513,8,0)=0,"",VLOOKUP(C2824,' Disaggregation - Section E '!A$618:J3513,8,0)),"")</f>
        <v/>
      </c>
      <c r="J2824" s="391" t="str">
        <f ca="1">IFERROR(IF(VLOOKUP(C2824,' Disaggregation - Section E '!A$618:J3513,9,0)="","",VLOOKUP(C2824,' Disaggregation - Section E '!A$618:J3513,9,0)),"")</f>
        <v/>
      </c>
      <c r="K2824" s="387" t="str">
        <f ca="1">IFERROR(VLOOKUP(C2824,' Disaggregation - Section E '!A$618:J3513,3,0),"")</f>
        <v>VT-2 Percentage of HIV-exposed infants receiving a virological test for HIV within 2 months of birth</v>
      </c>
      <c r="L2824" s="387"/>
      <c r="M2824" s="387" t="str">
        <f ca="1">IFERROR(IF(VLOOKUP(C2824,' Disaggregation - Section E '!A$618:O2316,15,0)=0,"",VLOOKUP(C2824,' Disaggregation - Section E '!A$618:O2316,15,0)),"")</f>
        <v/>
      </c>
      <c r="N2824" s="391" t="str">
        <f ca="1">IFERROR(IF(VLOOKUP(C2824,' Disaggregation - Section E '!A$618:J3513,10,0)=0,"",VLOOKUP(C2824,' Disaggregation - Section E '!A$618:J3513,10,0)),"")</f>
        <v/>
      </c>
      <c r="O2824" s="387"/>
      <c r="P2824" s="387" t="str">
        <f ca="1">IFERROR(IF(VLOOKUP(C2824,' Disaggregation - Section E '!A$618:R2316,18,0)=0,"",VLOOKUP(C2824,' Disaggregation - Section E '!A$618:R2316,18,0)),"")</f>
        <v/>
      </c>
    </row>
    <row r="2825" spans="1:16">
      <c r="A2825" s="387" t="b">
        <f t="shared" ca="1" si="174"/>
        <v>0</v>
      </c>
      <c r="B2825" s="387"/>
      <c r="C2825" s="396" t="str">
        <f ca="1">IF(COUNTA(O$1610:O2825)=1,"",OFFSET(B2823,-COUNTA(O$1610:O2825)+3,1))</f>
        <v>a16Dm000000M3zQIAS</v>
      </c>
      <c r="D2825" s="392"/>
      <c r="E2825" s="389" t="str">
        <f ca="1">IFERROR(IF(VLOOKUP(C2825,' Disaggregation - Section E '!A$618:J3514,7,0)="","",VLOOKUP(C2825,' Disaggregation - Section E '!A$618:J3514,7,0)*100),"")</f>
        <v/>
      </c>
      <c r="F2825" s="391" t="str">
        <f ca="1">IFERROR(VLOOKUP(C2825,' Disaggregation - Section E '!A$618:J3514,5,0),"")</f>
        <v/>
      </c>
      <c r="G2825" s="390" t="str">
        <f ca="1">IFERROR(IF(VLOOKUP(C2825,' Disaggregation - Section E '!A$618:J3514,6,0)="","",VLOOKUP(C2825,' Disaggregation - Section E '!A$618:J3514,6,0)),"")</f>
        <v/>
      </c>
      <c r="H2825" s="390" t="str">
        <f ca="1">IFERROR(IF(INDEX(' Disaggregation - Section E '!F$618:F3514,MATCH(C2825,' Disaggregation - Section E '!A$618:A3514,0)+1,1)&lt;&gt;0,INDEX(' Disaggregation - Section E '!F$618:F3514,MATCH(C2825,' Disaggregation - Section E '!A$618:A3514,0)+1,1),""),"")</f>
        <v/>
      </c>
      <c r="I2825" s="391" t="str">
        <f ca="1">IFERROR(IF(VLOOKUP(C2825,' Disaggregation - Section E '!A$618:J3514,8,0)=0,"",VLOOKUP(C2825,' Disaggregation - Section E '!A$618:J3514,8,0)),"")</f>
        <v/>
      </c>
      <c r="J2825" s="391" t="str">
        <f ca="1">IFERROR(IF(VLOOKUP(C2825,' Disaggregation - Section E '!A$618:J3514,9,0)="","",VLOOKUP(C2825,' Disaggregation - Section E '!A$618:J3514,9,0)),"")</f>
        <v/>
      </c>
      <c r="K2825" s="387" t="str">
        <f ca="1">IFERROR(VLOOKUP(C2825,' Disaggregation - Section E '!A$618:J3514,3,0),"")</f>
        <v>VT-2 Percentage of HIV-exposed infants receiving a virological test for HIV within 2 months of birth</v>
      </c>
      <c r="L2825" s="387"/>
      <c r="M2825" s="387" t="str">
        <f ca="1">IFERROR(IF(VLOOKUP(C2825,' Disaggregation - Section E '!A$618:O2317,15,0)=0,"",VLOOKUP(C2825,' Disaggregation - Section E '!A$618:O2317,15,0)),"")</f>
        <v/>
      </c>
      <c r="N2825" s="391" t="str">
        <f ca="1">IFERROR(IF(VLOOKUP(C2825,' Disaggregation - Section E '!A$618:J3514,10,0)=0,"",VLOOKUP(C2825,' Disaggregation - Section E '!A$618:J3514,10,0)),"")</f>
        <v/>
      </c>
      <c r="O2825" s="387"/>
      <c r="P2825" s="387" t="str">
        <f ca="1">IFERROR(IF(VLOOKUP(C2825,' Disaggregation - Section E '!A$618:R2317,18,0)=0,"",VLOOKUP(C2825,' Disaggregation - Section E '!A$618:R2317,18,0)),"")</f>
        <v/>
      </c>
    </row>
    <row r="2826" spans="1:16">
      <c r="A2826" s="387" t="b">
        <f t="shared" ca="1" si="174"/>
        <v>0</v>
      </c>
      <c r="B2826" s="387"/>
      <c r="C2826" s="396" t="str">
        <f ca="1">IF(COUNTA(O$1610:O2826)=1,"",OFFSET(B2824,-COUNTA(O$1610:O2826)+3,1))</f>
        <v>a16Dm000000M3zRIAS</v>
      </c>
      <c r="D2826" s="392"/>
      <c r="E2826" s="389" t="str">
        <f ca="1">IFERROR(IF(VLOOKUP(C2826,' Disaggregation - Section E '!A$618:J3515,7,0)="","",VLOOKUP(C2826,' Disaggregation - Section E '!A$618:J3515,7,0)*100),"")</f>
        <v/>
      </c>
      <c r="F2826" s="391" t="str">
        <f ca="1">IFERROR(VLOOKUP(C2826,' Disaggregation - Section E '!A$618:J3515,5,0),"")</f>
        <v/>
      </c>
      <c r="G2826" s="390" t="str">
        <f ca="1">IFERROR(IF(VLOOKUP(C2826,' Disaggregation - Section E '!A$618:J3515,6,0)="","",VLOOKUP(C2826,' Disaggregation - Section E '!A$618:J3515,6,0)),"")</f>
        <v/>
      </c>
      <c r="H2826" s="390" t="str">
        <f ca="1">IFERROR(IF(INDEX(' Disaggregation - Section E '!F$618:F3515,MATCH(C2826,' Disaggregation - Section E '!A$618:A3515,0)+1,1)&lt;&gt;0,INDEX(' Disaggregation - Section E '!F$618:F3515,MATCH(C2826,' Disaggregation - Section E '!A$618:A3515,0)+1,1),""),"")</f>
        <v/>
      </c>
      <c r="I2826" s="391" t="str">
        <f ca="1">IFERROR(IF(VLOOKUP(C2826,' Disaggregation - Section E '!A$618:J3515,8,0)=0,"",VLOOKUP(C2826,' Disaggregation - Section E '!A$618:J3515,8,0)),"")</f>
        <v/>
      </c>
      <c r="J2826" s="391" t="str">
        <f ca="1">IFERROR(IF(VLOOKUP(C2826,' Disaggregation - Section E '!A$618:J3515,9,0)="","",VLOOKUP(C2826,' Disaggregation - Section E '!A$618:J3515,9,0)),"")</f>
        <v/>
      </c>
      <c r="K2826" s="387" t="str">
        <f ca="1">IFERROR(VLOOKUP(C2826,' Disaggregation - Section E '!A$618:J3515,3,0),"")</f>
        <v>VT-2 Percentage of HIV-exposed infants receiving a virological test for HIV within 2 months of birth</v>
      </c>
      <c r="L2826" s="387"/>
      <c r="M2826" s="387" t="str">
        <f ca="1">IFERROR(IF(VLOOKUP(C2826,' Disaggregation - Section E '!A$618:O2318,15,0)=0,"",VLOOKUP(C2826,' Disaggregation - Section E '!A$618:O2318,15,0)),"")</f>
        <v/>
      </c>
      <c r="N2826" s="391" t="str">
        <f ca="1">IFERROR(IF(VLOOKUP(C2826,' Disaggregation - Section E '!A$618:J3515,10,0)=0,"",VLOOKUP(C2826,' Disaggregation - Section E '!A$618:J3515,10,0)),"")</f>
        <v/>
      </c>
      <c r="O2826" s="387"/>
      <c r="P2826" s="387" t="str">
        <f ca="1">IFERROR(IF(VLOOKUP(C2826,' Disaggregation - Section E '!A$618:R2318,18,0)=0,"",VLOOKUP(C2826,' Disaggregation - Section E '!A$618:R2318,18,0)),"")</f>
        <v/>
      </c>
    </row>
    <row r="2827" spans="1:16">
      <c r="A2827" s="387" t="b">
        <f t="shared" ca="1" si="174"/>
        <v>0</v>
      </c>
      <c r="B2827" s="387"/>
      <c r="C2827" s="396" t="str">
        <f ca="1">IF(COUNTA(O$1610:O2827)=1,"",OFFSET(B2825,-COUNTA(O$1610:O2827)+3,1))</f>
        <v>a16Dm000000M3zSIAS</v>
      </c>
      <c r="D2827" s="392"/>
      <c r="E2827" s="389" t="str">
        <f ca="1">IFERROR(IF(VLOOKUP(C2827,' Disaggregation - Section E '!A$618:J3516,7,0)="","",VLOOKUP(C2827,' Disaggregation - Section E '!A$618:J3516,7,0)*100),"")</f>
        <v/>
      </c>
      <c r="F2827" s="391" t="str">
        <f ca="1">IFERROR(VLOOKUP(C2827,' Disaggregation - Section E '!A$618:J3516,5,0),"")</f>
        <v/>
      </c>
      <c r="G2827" s="390" t="str">
        <f ca="1">IFERROR(IF(VLOOKUP(C2827,' Disaggregation - Section E '!A$618:J3516,6,0)="","",VLOOKUP(C2827,' Disaggregation - Section E '!A$618:J3516,6,0)),"")</f>
        <v/>
      </c>
      <c r="H2827" s="390" t="str">
        <f ca="1">IFERROR(IF(INDEX(' Disaggregation - Section E '!F$618:F3516,MATCH(C2827,' Disaggregation - Section E '!A$618:A3516,0)+1,1)&lt;&gt;0,INDEX(' Disaggregation - Section E '!F$618:F3516,MATCH(C2827,' Disaggregation - Section E '!A$618:A3516,0)+1,1),""),"")</f>
        <v/>
      </c>
      <c r="I2827" s="391" t="str">
        <f ca="1">IFERROR(IF(VLOOKUP(C2827,' Disaggregation - Section E '!A$618:J3516,8,0)=0,"",VLOOKUP(C2827,' Disaggregation - Section E '!A$618:J3516,8,0)),"")</f>
        <v/>
      </c>
      <c r="J2827" s="391" t="str">
        <f ca="1">IFERROR(IF(VLOOKUP(C2827,' Disaggregation - Section E '!A$618:J3516,9,0)="","",VLOOKUP(C2827,' Disaggregation - Section E '!A$618:J3516,9,0)),"")</f>
        <v/>
      </c>
      <c r="K2827" s="387" t="str">
        <f ca="1">IFERROR(VLOOKUP(C2827,' Disaggregation - Section E '!A$618:J3516,3,0),"")</f>
        <v>VT-2 Percentage of HIV-exposed infants receiving a virological test for HIV within 2 months of birth</v>
      </c>
      <c r="L2827" s="387"/>
      <c r="M2827" s="387" t="str">
        <f ca="1">IFERROR(IF(VLOOKUP(C2827,' Disaggregation - Section E '!A$618:O2319,15,0)=0,"",VLOOKUP(C2827,' Disaggregation - Section E '!A$618:O2319,15,0)),"")</f>
        <v/>
      </c>
      <c r="N2827" s="391" t="str">
        <f ca="1">IFERROR(IF(VLOOKUP(C2827,' Disaggregation - Section E '!A$618:J3516,10,0)=0,"",VLOOKUP(C2827,' Disaggregation - Section E '!A$618:J3516,10,0)),"")</f>
        <v/>
      </c>
      <c r="O2827" s="387"/>
      <c r="P2827" s="387" t="str">
        <f ca="1">IFERROR(IF(VLOOKUP(C2827,' Disaggregation - Section E '!A$618:R2319,18,0)=0,"",VLOOKUP(C2827,' Disaggregation - Section E '!A$618:R2319,18,0)),"")</f>
        <v/>
      </c>
    </row>
    <row r="2828" spans="1:16">
      <c r="A2828" s="387" t="b">
        <f t="shared" ref="A2828:A2891" ca="1" si="175">IF(M2828&lt;&gt;"",TRUE,FALSE)</f>
        <v>0</v>
      </c>
      <c r="B2828" s="387"/>
      <c r="C2828" s="396" t="str">
        <f ca="1">IF(COUNTA(O$1610:O2828)=1,"",OFFSET(B2826,-COUNTA(O$1610:O2828)+3,1))</f>
        <v>a16Dm000000M3zTIAS</v>
      </c>
      <c r="D2828" s="392"/>
      <c r="E2828" s="389" t="str">
        <f ca="1">IFERROR(IF(VLOOKUP(C2828,' Disaggregation - Section E '!A$618:J3517,7,0)="","",VLOOKUP(C2828,' Disaggregation - Section E '!A$618:J3517,7,0)*100),"")</f>
        <v/>
      </c>
      <c r="F2828" s="391" t="str">
        <f ca="1">IFERROR(VLOOKUP(C2828,' Disaggregation - Section E '!A$618:J3517,5,0),"")</f>
        <v/>
      </c>
      <c r="G2828" s="390" t="str">
        <f ca="1">IFERROR(IF(VLOOKUP(C2828,' Disaggregation - Section E '!A$618:J3517,6,0)="","",VLOOKUP(C2828,' Disaggregation - Section E '!A$618:J3517,6,0)),"")</f>
        <v/>
      </c>
      <c r="H2828" s="390" t="str">
        <f ca="1">IFERROR(IF(INDEX(' Disaggregation - Section E '!F$618:F3517,MATCH(C2828,' Disaggregation - Section E '!A$618:A3517,0)+1,1)&lt;&gt;0,INDEX(' Disaggregation - Section E '!F$618:F3517,MATCH(C2828,' Disaggregation - Section E '!A$618:A3517,0)+1,1),""),"")</f>
        <v/>
      </c>
      <c r="I2828" s="391" t="str">
        <f ca="1">IFERROR(IF(VLOOKUP(C2828,' Disaggregation - Section E '!A$618:J3517,8,0)=0,"",VLOOKUP(C2828,' Disaggregation - Section E '!A$618:J3517,8,0)),"")</f>
        <v/>
      </c>
      <c r="J2828" s="391" t="str">
        <f ca="1">IFERROR(IF(VLOOKUP(C2828,' Disaggregation - Section E '!A$618:J3517,9,0)="","",VLOOKUP(C2828,' Disaggregation - Section E '!A$618:J3517,9,0)),"")</f>
        <v/>
      </c>
      <c r="K2828" s="387" t="str">
        <f ca="1">IFERROR(VLOOKUP(C2828,' Disaggregation - Section E '!A$618:J3517,3,0),"")</f>
        <v>VT-2 Percentage of HIV-exposed infants receiving a virological test for HIV within 2 months of birth</v>
      </c>
      <c r="L2828" s="387"/>
      <c r="M2828" s="387" t="str">
        <f ca="1">IFERROR(IF(VLOOKUP(C2828,' Disaggregation - Section E '!A$618:O2320,15,0)=0,"",VLOOKUP(C2828,' Disaggregation - Section E '!A$618:O2320,15,0)),"")</f>
        <v/>
      </c>
      <c r="N2828" s="391" t="str">
        <f ca="1">IFERROR(IF(VLOOKUP(C2828,' Disaggregation - Section E '!A$618:J3517,10,0)=0,"",VLOOKUP(C2828,' Disaggregation - Section E '!A$618:J3517,10,0)),"")</f>
        <v/>
      </c>
      <c r="O2828" s="387"/>
      <c r="P2828" s="387" t="str">
        <f ca="1">IFERROR(IF(VLOOKUP(C2828,' Disaggregation - Section E '!A$618:R2320,18,0)=0,"",VLOOKUP(C2828,' Disaggregation - Section E '!A$618:R2320,18,0)),"")</f>
        <v/>
      </c>
    </row>
    <row r="2829" spans="1:16">
      <c r="A2829" s="387" t="b">
        <f t="shared" ca="1" si="175"/>
        <v>0</v>
      </c>
      <c r="B2829" s="387"/>
      <c r="C2829" s="396" t="str">
        <f ca="1">IF(COUNTA(O$1610:O2829)=1,"",OFFSET(B2827,-COUNTA(O$1610:O2829)+3,1))</f>
        <v>a16Dm000000M3zUIAS</v>
      </c>
      <c r="D2829" s="392"/>
      <c r="E2829" s="389" t="str">
        <f ca="1">IFERROR(IF(VLOOKUP(C2829,' Disaggregation - Section E '!A$618:J3518,7,0)="","",VLOOKUP(C2829,' Disaggregation - Section E '!A$618:J3518,7,0)*100),"")</f>
        <v/>
      </c>
      <c r="F2829" s="391" t="str">
        <f ca="1">IFERROR(VLOOKUP(C2829,' Disaggregation - Section E '!A$618:J3518,5,0),"")</f>
        <v/>
      </c>
      <c r="G2829" s="390" t="str">
        <f ca="1">IFERROR(IF(VLOOKUP(C2829,' Disaggregation - Section E '!A$618:J3518,6,0)="","",VLOOKUP(C2829,' Disaggregation - Section E '!A$618:J3518,6,0)),"")</f>
        <v/>
      </c>
      <c r="H2829" s="390" t="str">
        <f ca="1">IFERROR(IF(INDEX(' Disaggregation - Section E '!F$618:F3518,MATCH(C2829,' Disaggregation - Section E '!A$618:A3518,0)+1,1)&lt;&gt;0,INDEX(' Disaggregation - Section E '!F$618:F3518,MATCH(C2829,' Disaggregation - Section E '!A$618:A3518,0)+1,1),""),"")</f>
        <v/>
      </c>
      <c r="I2829" s="391" t="str">
        <f ca="1">IFERROR(IF(VLOOKUP(C2829,' Disaggregation - Section E '!A$618:J3518,8,0)=0,"",VLOOKUP(C2829,' Disaggregation - Section E '!A$618:J3518,8,0)),"")</f>
        <v/>
      </c>
      <c r="J2829" s="391" t="str">
        <f ca="1">IFERROR(IF(VLOOKUP(C2829,' Disaggregation - Section E '!A$618:J3518,9,0)="","",VLOOKUP(C2829,' Disaggregation - Section E '!A$618:J3518,9,0)),"")</f>
        <v/>
      </c>
      <c r="K2829" s="387" t="str">
        <f ca="1">IFERROR(VLOOKUP(C2829,' Disaggregation - Section E '!A$618:J3518,3,0),"")</f>
        <v>VT-2 Percentage of HIV-exposed infants receiving a virological test for HIV within 2 months of birth</v>
      </c>
      <c r="L2829" s="387"/>
      <c r="M2829" s="387" t="str">
        <f ca="1">IFERROR(IF(VLOOKUP(C2829,' Disaggregation - Section E '!A$618:O2321,15,0)=0,"",VLOOKUP(C2829,' Disaggregation - Section E '!A$618:O2321,15,0)),"")</f>
        <v/>
      </c>
      <c r="N2829" s="391" t="str">
        <f ca="1">IFERROR(IF(VLOOKUP(C2829,' Disaggregation - Section E '!A$618:J3518,10,0)=0,"",VLOOKUP(C2829,' Disaggregation - Section E '!A$618:J3518,10,0)),"")</f>
        <v/>
      </c>
      <c r="O2829" s="387"/>
      <c r="P2829" s="387" t="str">
        <f ca="1">IFERROR(IF(VLOOKUP(C2829,' Disaggregation - Section E '!A$618:R2321,18,0)=0,"",VLOOKUP(C2829,' Disaggregation - Section E '!A$618:R2321,18,0)),"")</f>
        <v/>
      </c>
    </row>
    <row r="2830" spans="1:16">
      <c r="A2830" s="387" t="b">
        <f t="shared" ca="1" si="175"/>
        <v>0</v>
      </c>
      <c r="B2830" s="387"/>
      <c r="C2830" s="396" t="str">
        <f ca="1">IF(COUNTA(O$1610:O2830)=1,"",OFFSET(B2828,-COUNTA(O$1610:O2830)+3,1))</f>
        <v>a16Dm000000M3zVIAS</v>
      </c>
      <c r="D2830" s="392"/>
      <c r="E2830" s="389" t="str">
        <f ca="1">IFERROR(IF(VLOOKUP(C2830,' Disaggregation - Section E '!A$618:J3519,7,0)="","",VLOOKUP(C2830,' Disaggregation - Section E '!A$618:J3519,7,0)*100),"")</f>
        <v/>
      </c>
      <c r="F2830" s="391" t="str">
        <f ca="1">IFERROR(VLOOKUP(C2830,' Disaggregation - Section E '!A$618:J3519,5,0),"")</f>
        <v/>
      </c>
      <c r="G2830" s="390" t="str">
        <f ca="1">IFERROR(IF(VLOOKUP(C2830,' Disaggregation - Section E '!A$618:J3519,6,0)="","",VLOOKUP(C2830,' Disaggregation - Section E '!A$618:J3519,6,0)),"")</f>
        <v/>
      </c>
      <c r="H2830" s="390" t="str">
        <f ca="1">IFERROR(IF(INDEX(' Disaggregation - Section E '!F$618:F3519,MATCH(C2830,' Disaggregation - Section E '!A$618:A3519,0)+1,1)&lt;&gt;0,INDEX(' Disaggregation - Section E '!F$618:F3519,MATCH(C2830,' Disaggregation - Section E '!A$618:A3519,0)+1,1),""),"")</f>
        <v/>
      </c>
      <c r="I2830" s="391" t="str">
        <f ca="1">IFERROR(IF(VLOOKUP(C2830,' Disaggregation - Section E '!A$618:J3519,8,0)=0,"",VLOOKUP(C2830,' Disaggregation - Section E '!A$618:J3519,8,0)),"")</f>
        <v/>
      </c>
      <c r="J2830" s="391" t="str">
        <f ca="1">IFERROR(IF(VLOOKUP(C2830,' Disaggregation - Section E '!A$618:J3519,9,0)="","",VLOOKUP(C2830,' Disaggregation - Section E '!A$618:J3519,9,0)),"")</f>
        <v/>
      </c>
      <c r="K2830" s="387" t="str">
        <f ca="1">IFERROR(VLOOKUP(C2830,' Disaggregation - Section E '!A$618:J3519,3,0),"")</f>
        <v>VT-2 Percentage of HIV-exposed infants receiving a virological test for HIV within 2 months of birth</v>
      </c>
      <c r="L2830" s="387"/>
      <c r="M2830" s="387" t="str">
        <f ca="1">IFERROR(IF(VLOOKUP(C2830,' Disaggregation - Section E '!A$618:O2322,15,0)=0,"",VLOOKUP(C2830,' Disaggregation - Section E '!A$618:O2322,15,0)),"")</f>
        <v/>
      </c>
      <c r="N2830" s="391" t="str">
        <f ca="1">IFERROR(IF(VLOOKUP(C2830,' Disaggregation - Section E '!A$618:J3519,10,0)=0,"",VLOOKUP(C2830,' Disaggregation - Section E '!A$618:J3519,10,0)),"")</f>
        <v/>
      </c>
      <c r="O2830" s="387"/>
      <c r="P2830" s="387" t="str">
        <f ca="1">IFERROR(IF(VLOOKUP(C2830,' Disaggregation - Section E '!A$618:R2322,18,0)=0,"",VLOOKUP(C2830,' Disaggregation - Section E '!A$618:R2322,18,0)),"")</f>
        <v/>
      </c>
    </row>
    <row r="2831" spans="1:16">
      <c r="A2831" s="387" t="b">
        <f t="shared" ca="1" si="175"/>
        <v>0</v>
      </c>
      <c r="B2831" s="387"/>
      <c r="C2831" s="396" t="str">
        <f ca="1">IF(COUNTA(O$1610:O2831)=1,"",OFFSET(B2829,-COUNTA(O$1610:O2831)+3,1))</f>
        <v>a16Dm000000M3zWIAS</v>
      </c>
      <c r="D2831" s="392"/>
      <c r="E2831" s="389" t="str">
        <f ca="1">IFERROR(IF(VLOOKUP(C2831,' Disaggregation - Section E '!A$618:J3520,7,0)="","",VLOOKUP(C2831,' Disaggregation - Section E '!A$618:J3520,7,0)*100),"")</f>
        <v/>
      </c>
      <c r="F2831" s="391" t="str">
        <f ca="1">IFERROR(VLOOKUP(C2831,' Disaggregation - Section E '!A$618:J3520,5,0),"")</f>
        <v/>
      </c>
      <c r="G2831" s="390" t="str">
        <f ca="1">IFERROR(IF(VLOOKUP(C2831,' Disaggregation - Section E '!A$618:J3520,6,0)="","",VLOOKUP(C2831,' Disaggregation - Section E '!A$618:J3520,6,0)),"")</f>
        <v/>
      </c>
      <c r="H2831" s="390" t="str">
        <f ca="1">IFERROR(IF(INDEX(' Disaggregation - Section E '!F$618:F3520,MATCH(C2831,' Disaggregation - Section E '!A$618:A3520,0)+1,1)&lt;&gt;0,INDEX(' Disaggregation - Section E '!F$618:F3520,MATCH(C2831,' Disaggregation - Section E '!A$618:A3520,0)+1,1),""),"")</f>
        <v/>
      </c>
      <c r="I2831" s="391" t="str">
        <f ca="1">IFERROR(IF(VLOOKUP(C2831,' Disaggregation - Section E '!A$618:J3520,8,0)=0,"",VLOOKUP(C2831,' Disaggregation - Section E '!A$618:J3520,8,0)),"")</f>
        <v/>
      </c>
      <c r="J2831" s="391" t="str">
        <f ca="1">IFERROR(IF(VLOOKUP(C2831,' Disaggregation - Section E '!A$618:J3520,9,0)="","",VLOOKUP(C2831,' Disaggregation - Section E '!A$618:J3520,9,0)),"")</f>
        <v/>
      </c>
      <c r="K2831" s="387" t="str">
        <f ca="1">IFERROR(VLOOKUP(C2831,' Disaggregation - Section E '!A$618:J3520,3,0),"")</f>
        <v>VT-2 Percentage of HIV-exposed infants receiving a virological test for HIV within 2 months of birth</v>
      </c>
      <c r="L2831" s="387"/>
      <c r="M2831" s="387" t="str">
        <f ca="1">IFERROR(IF(VLOOKUP(C2831,' Disaggregation - Section E '!A$618:O2323,15,0)=0,"",VLOOKUP(C2831,' Disaggregation - Section E '!A$618:O2323,15,0)),"")</f>
        <v/>
      </c>
      <c r="N2831" s="391" t="str">
        <f ca="1">IFERROR(IF(VLOOKUP(C2831,' Disaggregation - Section E '!A$618:J3520,10,0)=0,"",VLOOKUP(C2831,' Disaggregation - Section E '!A$618:J3520,10,0)),"")</f>
        <v/>
      </c>
      <c r="O2831" s="387"/>
      <c r="P2831" s="387" t="str">
        <f ca="1">IFERROR(IF(VLOOKUP(C2831,' Disaggregation - Section E '!A$618:R2323,18,0)=0,"",VLOOKUP(C2831,' Disaggregation - Section E '!A$618:R2323,18,0)),"")</f>
        <v/>
      </c>
    </row>
    <row r="2832" spans="1:16">
      <c r="A2832" s="387" t="b">
        <f t="shared" ca="1" si="175"/>
        <v>0</v>
      </c>
      <c r="B2832" s="387"/>
      <c r="C2832" s="396" t="str">
        <f ca="1">IF(COUNTA(O$1610:O2832)=1,"",OFFSET(B2830,-COUNTA(O$1610:O2832)+3,1))</f>
        <v>a16Dm000000M3zXIAS</v>
      </c>
      <c r="D2832" s="392"/>
      <c r="E2832" s="389" t="str">
        <f ca="1">IFERROR(IF(VLOOKUP(C2832,' Disaggregation - Section E '!A$618:J3521,7,0)="","",VLOOKUP(C2832,' Disaggregation - Section E '!A$618:J3521,7,0)*100),"")</f>
        <v/>
      </c>
      <c r="F2832" s="391" t="str">
        <f ca="1">IFERROR(VLOOKUP(C2832,' Disaggregation - Section E '!A$618:J3521,5,0),"")</f>
        <v/>
      </c>
      <c r="G2832" s="390" t="str">
        <f ca="1">IFERROR(IF(VLOOKUP(C2832,' Disaggregation - Section E '!A$618:J3521,6,0)="","",VLOOKUP(C2832,' Disaggregation - Section E '!A$618:J3521,6,0)),"")</f>
        <v/>
      </c>
      <c r="H2832" s="390" t="str">
        <f ca="1">IFERROR(IF(INDEX(' Disaggregation - Section E '!F$618:F3521,MATCH(C2832,' Disaggregation - Section E '!A$618:A3521,0)+1,1)&lt;&gt;0,INDEX(' Disaggregation - Section E '!F$618:F3521,MATCH(C2832,' Disaggregation - Section E '!A$618:A3521,0)+1,1),""),"")</f>
        <v/>
      </c>
      <c r="I2832" s="391" t="str">
        <f ca="1">IFERROR(IF(VLOOKUP(C2832,' Disaggregation - Section E '!A$618:J3521,8,0)=0,"",VLOOKUP(C2832,' Disaggregation - Section E '!A$618:J3521,8,0)),"")</f>
        <v/>
      </c>
      <c r="J2832" s="391" t="str">
        <f ca="1">IFERROR(IF(VLOOKUP(C2832,' Disaggregation - Section E '!A$618:J3521,9,0)="","",VLOOKUP(C2832,' Disaggregation - Section E '!A$618:J3521,9,0)),"")</f>
        <v/>
      </c>
      <c r="K2832" s="387" t="str">
        <f ca="1">IFERROR(VLOOKUP(C2832,' Disaggregation - Section E '!A$618:J3521,3,0),"")</f>
        <v>VT-3 Percentage of women accessing antenatal care services who were tested for syphilis</v>
      </c>
      <c r="L2832" s="387"/>
      <c r="M2832" s="387" t="str">
        <f ca="1">IFERROR(IF(VLOOKUP(C2832,' Disaggregation - Section E '!A$618:O2324,15,0)=0,"",VLOOKUP(C2832,' Disaggregation - Section E '!A$618:O2324,15,0)),"")</f>
        <v/>
      </c>
      <c r="N2832" s="391" t="str">
        <f ca="1">IFERROR(IF(VLOOKUP(C2832,' Disaggregation - Section E '!A$618:J3521,10,0)=0,"",VLOOKUP(C2832,' Disaggregation - Section E '!A$618:J3521,10,0)),"")</f>
        <v/>
      </c>
      <c r="O2832" s="387"/>
      <c r="P2832" s="387" t="str">
        <f ca="1">IFERROR(IF(VLOOKUP(C2832,' Disaggregation - Section E '!A$618:R2324,18,0)=0,"",VLOOKUP(C2832,' Disaggregation - Section E '!A$618:R2324,18,0)),"")</f>
        <v/>
      </c>
    </row>
    <row r="2833" spans="1:16">
      <c r="A2833" s="387" t="b">
        <f t="shared" ca="1" si="175"/>
        <v>0</v>
      </c>
      <c r="B2833" s="387"/>
      <c r="C2833" s="396" t="str">
        <f ca="1">IF(COUNTA(O$1610:O2833)=1,"",OFFSET(B2831,-COUNTA(O$1610:O2833)+3,1))</f>
        <v>a16Dm000000M3zYIAS</v>
      </c>
      <c r="D2833" s="392"/>
      <c r="E2833" s="389" t="str">
        <f ca="1">IFERROR(IF(VLOOKUP(C2833,' Disaggregation - Section E '!A$618:J3522,7,0)="","",VLOOKUP(C2833,' Disaggregation - Section E '!A$618:J3522,7,0)*100),"")</f>
        <v/>
      </c>
      <c r="F2833" s="391" t="str">
        <f ca="1">IFERROR(VLOOKUP(C2833,' Disaggregation - Section E '!A$618:J3522,5,0),"")</f>
        <v/>
      </c>
      <c r="G2833" s="390" t="str">
        <f ca="1">IFERROR(IF(VLOOKUP(C2833,' Disaggregation - Section E '!A$618:J3522,6,0)="","",VLOOKUP(C2833,' Disaggregation - Section E '!A$618:J3522,6,0)),"")</f>
        <v/>
      </c>
      <c r="H2833" s="390" t="str">
        <f ca="1">IFERROR(IF(INDEX(' Disaggregation - Section E '!F$618:F3522,MATCH(C2833,' Disaggregation - Section E '!A$618:A3522,0)+1,1)&lt;&gt;0,INDEX(' Disaggregation - Section E '!F$618:F3522,MATCH(C2833,' Disaggregation - Section E '!A$618:A3522,0)+1,1),""),"")</f>
        <v/>
      </c>
      <c r="I2833" s="391" t="str">
        <f ca="1">IFERROR(IF(VLOOKUP(C2833,' Disaggregation - Section E '!A$618:J3522,8,0)=0,"",VLOOKUP(C2833,' Disaggregation - Section E '!A$618:J3522,8,0)),"")</f>
        <v/>
      </c>
      <c r="J2833" s="391" t="str">
        <f ca="1">IFERROR(IF(VLOOKUP(C2833,' Disaggregation - Section E '!A$618:J3522,9,0)="","",VLOOKUP(C2833,' Disaggregation - Section E '!A$618:J3522,9,0)),"")</f>
        <v/>
      </c>
      <c r="K2833" s="387" t="str">
        <f ca="1">IFERROR(VLOOKUP(C2833,' Disaggregation - Section E '!A$618:J3522,3,0),"")</f>
        <v>VT-3 Percentage of women accessing antenatal care services who were tested for syphilis</v>
      </c>
      <c r="L2833" s="387"/>
      <c r="M2833" s="387" t="str">
        <f ca="1">IFERROR(IF(VLOOKUP(C2833,' Disaggregation - Section E '!A$618:O2325,15,0)=0,"",VLOOKUP(C2833,' Disaggregation - Section E '!A$618:O2325,15,0)),"")</f>
        <v/>
      </c>
      <c r="N2833" s="391" t="str">
        <f ca="1">IFERROR(IF(VLOOKUP(C2833,' Disaggregation - Section E '!A$618:J3522,10,0)=0,"",VLOOKUP(C2833,' Disaggregation - Section E '!A$618:J3522,10,0)),"")</f>
        <v/>
      </c>
      <c r="O2833" s="387"/>
      <c r="P2833" s="387" t="str">
        <f ca="1">IFERROR(IF(VLOOKUP(C2833,' Disaggregation - Section E '!A$618:R2325,18,0)=0,"",VLOOKUP(C2833,' Disaggregation - Section E '!A$618:R2325,18,0)),"")</f>
        <v/>
      </c>
    </row>
    <row r="2834" spans="1:16">
      <c r="A2834" s="387" t="b">
        <f t="shared" ca="1" si="175"/>
        <v>0</v>
      </c>
      <c r="B2834" s="387"/>
      <c r="C2834" s="396" t="str">
        <f ca="1">IF(COUNTA(O$1610:O2834)=1,"",OFFSET(B2832,-COUNTA(O$1610:O2834)+3,1))</f>
        <v>a16Dm000000M3zZIAS</v>
      </c>
      <c r="D2834" s="392"/>
      <c r="E2834" s="389" t="str">
        <f ca="1">IFERROR(IF(VLOOKUP(C2834,' Disaggregation - Section E '!A$618:J3523,7,0)="","",VLOOKUP(C2834,' Disaggregation - Section E '!A$618:J3523,7,0)*100),"")</f>
        <v/>
      </c>
      <c r="F2834" s="391" t="str">
        <f ca="1">IFERROR(VLOOKUP(C2834,' Disaggregation - Section E '!A$618:J3523,5,0),"")</f>
        <v/>
      </c>
      <c r="G2834" s="390" t="str">
        <f ca="1">IFERROR(IF(VLOOKUP(C2834,' Disaggregation - Section E '!A$618:J3523,6,0)="","",VLOOKUP(C2834,' Disaggregation - Section E '!A$618:J3523,6,0)),"")</f>
        <v/>
      </c>
      <c r="H2834" s="390" t="str">
        <f ca="1">IFERROR(IF(INDEX(' Disaggregation - Section E '!F$618:F3523,MATCH(C2834,' Disaggregation - Section E '!A$618:A3523,0)+1,1)&lt;&gt;0,INDEX(' Disaggregation - Section E '!F$618:F3523,MATCH(C2834,' Disaggregation - Section E '!A$618:A3523,0)+1,1),""),"")</f>
        <v/>
      </c>
      <c r="I2834" s="391" t="str">
        <f ca="1">IFERROR(IF(VLOOKUP(C2834,' Disaggregation - Section E '!A$618:J3523,8,0)=0,"",VLOOKUP(C2834,' Disaggregation - Section E '!A$618:J3523,8,0)),"")</f>
        <v/>
      </c>
      <c r="J2834" s="391" t="str">
        <f ca="1">IFERROR(IF(VLOOKUP(C2834,' Disaggregation - Section E '!A$618:J3523,9,0)="","",VLOOKUP(C2834,' Disaggregation - Section E '!A$618:J3523,9,0)),"")</f>
        <v/>
      </c>
      <c r="K2834" s="387" t="str">
        <f ca="1">IFERROR(VLOOKUP(C2834,' Disaggregation - Section E '!A$618:J3523,3,0),"")</f>
        <v>VT-3 Percentage of women accessing antenatal care services who were tested for syphilis</v>
      </c>
      <c r="L2834" s="387"/>
      <c r="M2834" s="387" t="str">
        <f ca="1">IFERROR(IF(VLOOKUP(C2834,' Disaggregation - Section E '!A$618:O2326,15,0)=0,"",VLOOKUP(C2834,' Disaggregation - Section E '!A$618:O2326,15,0)),"")</f>
        <v/>
      </c>
      <c r="N2834" s="391" t="str">
        <f ca="1">IFERROR(IF(VLOOKUP(C2834,' Disaggregation - Section E '!A$618:J3523,10,0)=0,"",VLOOKUP(C2834,' Disaggregation - Section E '!A$618:J3523,10,0)),"")</f>
        <v/>
      </c>
      <c r="O2834" s="387"/>
      <c r="P2834" s="387" t="str">
        <f ca="1">IFERROR(IF(VLOOKUP(C2834,' Disaggregation - Section E '!A$618:R2326,18,0)=0,"",VLOOKUP(C2834,' Disaggregation - Section E '!A$618:R2326,18,0)),"")</f>
        <v/>
      </c>
    </row>
    <row r="2835" spans="1:16">
      <c r="A2835" s="387" t="b">
        <f t="shared" ca="1" si="175"/>
        <v>0</v>
      </c>
      <c r="B2835" s="387"/>
      <c r="C2835" s="396" t="str">
        <f ca="1">IF(COUNTA(O$1610:O2835)=1,"",OFFSET(B2833,-COUNTA(O$1610:O2835)+3,1))</f>
        <v>a16Dm000000M3zaIAC</v>
      </c>
      <c r="D2835" s="392"/>
      <c r="E2835" s="389" t="str">
        <f ca="1">IFERROR(IF(VLOOKUP(C2835,' Disaggregation - Section E '!A$618:J3524,7,0)="","",VLOOKUP(C2835,' Disaggregation - Section E '!A$618:J3524,7,0)*100),"")</f>
        <v/>
      </c>
      <c r="F2835" s="391" t="str">
        <f ca="1">IFERROR(VLOOKUP(C2835,' Disaggregation - Section E '!A$618:J3524,5,0),"")</f>
        <v/>
      </c>
      <c r="G2835" s="390" t="str">
        <f ca="1">IFERROR(IF(VLOOKUP(C2835,' Disaggregation - Section E '!A$618:J3524,6,0)="","",VLOOKUP(C2835,' Disaggregation - Section E '!A$618:J3524,6,0)),"")</f>
        <v/>
      </c>
      <c r="H2835" s="390" t="str">
        <f ca="1">IFERROR(IF(INDEX(' Disaggregation - Section E '!F$618:F3524,MATCH(C2835,' Disaggregation - Section E '!A$618:A3524,0)+1,1)&lt;&gt;0,INDEX(' Disaggregation - Section E '!F$618:F3524,MATCH(C2835,' Disaggregation - Section E '!A$618:A3524,0)+1,1),""),"")</f>
        <v/>
      </c>
      <c r="I2835" s="391" t="str">
        <f ca="1">IFERROR(IF(VLOOKUP(C2835,' Disaggregation - Section E '!A$618:J3524,8,0)=0,"",VLOOKUP(C2835,' Disaggregation - Section E '!A$618:J3524,8,0)),"")</f>
        <v/>
      </c>
      <c r="J2835" s="391" t="str">
        <f ca="1">IFERROR(IF(VLOOKUP(C2835,' Disaggregation - Section E '!A$618:J3524,9,0)="","",VLOOKUP(C2835,' Disaggregation - Section E '!A$618:J3524,9,0)),"")</f>
        <v/>
      </c>
      <c r="K2835" s="387" t="str">
        <f ca="1">IFERROR(VLOOKUP(C2835,' Disaggregation - Section E '!A$618:J3524,3,0),"")</f>
        <v>VT-3 Percentage of women accessing antenatal care services who were tested for syphilis</v>
      </c>
      <c r="L2835" s="387"/>
      <c r="M2835" s="387" t="str">
        <f ca="1">IFERROR(IF(VLOOKUP(C2835,' Disaggregation - Section E '!A$618:O2327,15,0)=0,"",VLOOKUP(C2835,' Disaggregation - Section E '!A$618:O2327,15,0)),"")</f>
        <v/>
      </c>
      <c r="N2835" s="391" t="str">
        <f ca="1">IFERROR(IF(VLOOKUP(C2835,' Disaggregation - Section E '!A$618:J3524,10,0)=0,"",VLOOKUP(C2835,' Disaggregation - Section E '!A$618:J3524,10,0)),"")</f>
        <v/>
      </c>
      <c r="O2835" s="387"/>
      <c r="P2835" s="387" t="str">
        <f ca="1">IFERROR(IF(VLOOKUP(C2835,' Disaggregation - Section E '!A$618:R2327,18,0)=0,"",VLOOKUP(C2835,' Disaggregation - Section E '!A$618:R2327,18,0)),"")</f>
        <v/>
      </c>
    </row>
    <row r="2836" spans="1:16">
      <c r="A2836" s="387" t="b">
        <f t="shared" ca="1" si="175"/>
        <v>0</v>
      </c>
      <c r="B2836" s="387"/>
      <c r="C2836" s="396" t="str">
        <f ca="1">IF(COUNTA(O$1610:O2836)=1,"",OFFSET(B2834,-COUNTA(O$1610:O2836)+3,1))</f>
        <v>a16Dm000000M3zbIAC</v>
      </c>
      <c r="D2836" s="392"/>
      <c r="E2836" s="389" t="str">
        <f ca="1">IFERROR(IF(VLOOKUP(C2836,' Disaggregation - Section E '!A$618:J3525,7,0)="","",VLOOKUP(C2836,' Disaggregation - Section E '!A$618:J3525,7,0)*100),"")</f>
        <v/>
      </c>
      <c r="F2836" s="391" t="str">
        <f ca="1">IFERROR(VLOOKUP(C2836,' Disaggregation - Section E '!A$618:J3525,5,0),"")</f>
        <v/>
      </c>
      <c r="G2836" s="390" t="str">
        <f ca="1">IFERROR(IF(VLOOKUP(C2836,' Disaggregation - Section E '!A$618:J3525,6,0)="","",VLOOKUP(C2836,' Disaggregation - Section E '!A$618:J3525,6,0)),"")</f>
        <v/>
      </c>
      <c r="H2836" s="390" t="str">
        <f ca="1">IFERROR(IF(INDEX(' Disaggregation - Section E '!F$618:F3525,MATCH(C2836,' Disaggregation - Section E '!A$618:A3525,0)+1,1)&lt;&gt;0,INDEX(' Disaggregation - Section E '!F$618:F3525,MATCH(C2836,' Disaggregation - Section E '!A$618:A3525,0)+1,1),""),"")</f>
        <v/>
      </c>
      <c r="I2836" s="391" t="str">
        <f ca="1">IFERROR(IF(VLOOKUP(C2836,' Disaggregation - Section E '!A$618:J3525,8,0)=0,"",VLOOKUP(C2836,' Disaggregation - Section E '!A$618:J3525,8,0)),"")</f>
        <v/>
      </c>
      <c r="J2836" s="391" t="str">
        <f ca="1">IFERROR(IF(VLOOKUP(C2836,' Disaggregation - Section E '!A$618:J3525,9,0)="","",VLOOKUP(C2836,' Disaggregation - Section E '!A$618:J3525,9,0)),"")</f>
        <v/>
      </c>
      <c r="K2836" s="387" t="str">
        <f ca="1">IFERROR(VLOOKUP(C2836,' Disaggregation - Section E '!A$618:J3525,3,0),"")</f>
        <v>VT-3 Percentage of women accessing antenatal care services who were tested for syphilis</v>
      </c>
      <c r="L2836" s="387"/>
      <c r="M2836" s="387" t="str">
        <f ca="1">IFERROR(IF(VLOOKUP(C2836,' Disaggregation - Section E '!A$618:O2328,15,0)=0,"",VLOOKUP(C2836,' Disaggregation - Section E '!A$618:O2328,15,0)),"")</f>
        <v/>
      </c>
      <c r="N2836" s="391" t="str">
        <f ca="1">IFERROR(IF(VLOOKUP(C2836,' Disaggregation - Section E '!A$618:J3525,10,0)=0,"",VLOOKUP(C2836,' Disaggregation - Section E '!A$618:J3525,10,0)),"")</f>
        <v/>
      </c>
      <c r="O2836" s="387"/>
      <c r="P2836" s="387" t="str">
        <f ca="1">IFERROR(IF(VLOOKUP(C2836,' Disaggregation - Section E '!A$618:R2328,18,0)=0,"",VLOOKUP(C2836,' Disaggregation - Section E '!A$618:R2328,18,0)),"")</f>
        <v/>
      </c>
    </row>
    <row r="2837" spans="1:16">
      <c r="A2837" s="387" t="b">
        <f t="shared" ca="1" si="175"/>
        <v>0</v>
      </c>
      <c r="B2837" s="387"/>
      <c r="C2837" s="396" t="str">
        <f ca="1">IF(COUNTA(O$1610:O2837)=1,"",OFFSET(B2835,-COUNTA(O$1610:O2837)+3,1))</f>
        <v>a16Dm000000M3zcIAC</v>
      </c>
      <c r="D2837" s="392"/>
      <c r="E2837" s="389" t="str">
        <f ca="1">IFERROR(IF(VLOOKUP(C2837,' Disaggregation - Section E '!A$618:J3526,7,0)="","",VLOOKUP(C2837,' Disaggregation - Section E '!A$618:J3526,7,0)*100),"")</f>
        <v/>
      </c>
      <c r="F2837" s="391" t="str">
        <f ca="1">IFERROR(VLOOKUP(C2837,' Disaggregation - Section E '!A$618:J3526,5,0),"")</f>
        <v/>
      </c>
      <c r="G2837" s="390" t="str">
        <f ca="1">IFERROR(IF(VLOOKUP(C2837,' Disaggregation - Section E '!A$618:J3526,6,0)="","",VLOOKUP(C2837,' Disaggregation - Section E '!A$618:J3526,6,0)),"")</f>
        <v/>
      </c>
      <c r="H2837" s="390" t="str">
        <f ca="1">IFERROR(IF(INDEX(' Disaggregation - Section E '!F$618:F3526,MATCH(C2837,' Disaggregation - Section E '!A$618:A3526,0)+1,1)&lt;&gt;0,INDEX(' Disaggregation - Section E '!F$618:F3526,MATCH(C2837,' Disaggregation - Section E '!A$618:A3526,0)+1,1),""),"")</f>
        <v/>
      </c>
      <c r="I2837" s="391" t="str">
        <f ca="1">IFERROR(IF(VLOOKUP(C2837,' Disaggregation - Section E '!A$618:J3526,8,0)=0,"",VLOOKUP(C2837,' Disaggregation - Section E '!A$618:J3526,8,0)),"")</f>
        <v/>
      </c>
      <c r="J2837" s="391" t="str">
        <f ca="1">IFERROR(IF(VLOOKUP(C2837,' Disaggregation - Section E '!A$618:J3526,9,0)="","",VLOOKUP(C2837,' Disaggregation - Section E '!A$618:J3526,9,0)),"")</f>
        <v/>
      </c>
      <c r="K2837" s="387" t="str">
        <f ca="1">IFERROR(VLOOKUP(C2837,' Disaggregation - Section E '!A$618:J3526,3,0),"")</f>
        <v>VT-3 Percentage of women accessing antenatal care services who were tested for syphilis</v>
      </c>
      <c r="L2837" s="387"/>
      <c r="M2837" s="387" t="str">
        <f ca="1">IFERROR(IF(VLOOKUP(C2837,' Disaggregation - Section E '!A$618:O2329,15,0)=0,"",VLOOKUP(C2837,' Disaggregation - Section E '!A$618:O2329,15,0)),"")</f>
        <v/>
      </c>
      <c r="N2837" s="391" t="str">
        <f ca="1">IFERROR(IF(VLOOKUP(C2837,' Disaggregation - Section E '!A$618:J3526,10,0)=0,"",VLOOKUP(C2837,' Disaggregation - Section E '!A$618:J3526,10,0)),"")</f>
        <v/>
      </c>
      <c r="O2837" s="387"/>
      <c r="P2837" s="387" t="str">
        <f ca="1">IFERROR(IF(VLOOKUP(C2837,' Disaggregation - Section E '!A$618:R2329,18,0)=0,"",VLOOKUP(C2837,' Disaggregation - Section E '!A$618:R2329,18,0)),"")</f>
        <v/>
      </c>
    </row>
    <row r="2838" spans="1:16">
      <c r="A2838" s="387" t="b">
        <f t="shared" ca="1" si="175"/>
        <v>0</v>
      </c>
      <c r="B2838" s="387"/>
      <c r="C2838" s="396" t="str">
        <f ca="1">IF(COUNTA(O$1610:O2838)=1,"",OFFSET(B2836,-COUNTA(O$1610:O2838)+3,1))</f>
        <v>a16Dm000000M3zdIAC</v>
      </c>
      <c r="D2838" s="392"/>
      <c r="E2838" s="389" t="str">
        <f ca="1">IFERROR(IF(VLOOKUP(C2838,' Disaggregation - Section E '!A$618:J3527,7,0)="","",VLOOKUP(C2838,' Disaggregation - Section E '!A$618:J3527,7,0)*100),"")</f>
        <v/>
      </c>
      <c r="F2838" s="391" t="str">
        <f ca="1">IFERROR(VLOOKUP(C2838,' Disaggregation - Section E '!A$618:J3527,5,0),"")</f>
        <v/>
      </c>
      <c r="G2838" s="390" t="str">
        <f ca="1">IFERROR(IF(VLOOKUP(C2838,' Disaggregation - Section E '!A$618:J3527,6,0)="","",VLOOKUP(C2838,' Disaggregation - Section E '!A$618:J3527,6,0)),"")</f>
        <v/>
      </c>
      <c r="H2838" s="390" t="str">
        <f ca="1">IFERROR(IF(INDEX(' Disaggregation - Section E '!F$618:F3527,MATCH(C2838,' Disaggregation - Section E '!A$618:A3527,0)+1,1)&lt;&gt;0,INDEX(' Disaggregation - Section E '!F$618:F3527,MATCH(C2838,' Disaggregation - Section E '!A$618:A3527,0)+1,1),""),"")</f>
        <v/>
      </c>
      <c r="I2838" s="391" t="str">
        <f ca="1">IFERROR(IF(VLOOKUP(C2838,' Disaggregation - Section E '!A$618:J3527,8,0)=0,"",VLOOKUP(C2838,' Disaggregation - Section E '!A$618:J3527,8,0)),"")</f>
        <v/>
      </c>
      <c r="J2838" s="391" t="str">
        <f ca="1">IFERROR(IF(VLOOKUP(C2838,' Disaggregation - Section E '!A$618:J3527,9,0)="","",VLOOKUP(C2838,' Disaggregation - Section E '!A$618:J3527,9,0)),"")</f>
        <v/>
      </c>
      <c r="K2838" s="387" t="str">
        <f ca="1">IFERROR(VLOOKUP(C2838,' Disaggregation - Section E '!A$618:J3527,3,0),"")</f>
        <v>VT-3 Percentage of women accessing antenatal care services who were tested for syphilis</v>
      </c>
      <c r="L2838" s="387"/>
      <c r="M2838" s="387" t="str">
        <f ca="1">IFERROR(IF(VLOOKUP(C2838,' Disaggregation - Section E '!A$618:O2330,15,0)=0,"",VLOOKUP(C2838,' Disaggregation - Section E '!A$618:O2330,15,0)),"")</f>
        <v/>
      </c>
      <c r="N2838" s="391" t="str">
        <f ca="1">IFERROR(IF(VLOOKUP(C2838,' Disaggregation - Section E '!A$618:J3527,10,0)=0,"",VLOOKUP(C2838,' Disaggregation - Section E '!A$618:J3527,10,0)),"")</f>
        <v/>
      </c>
      <c r="O2838" s="387"/>
      <c r="P2838" s="387" t="str">
        <f ca="1">IFERROR(IF(VLOOKUP(C2838,' Disaggregation - Section E '!A$618:R2330,18,0)=0,"",VLOOKUP(C2838,' Disaggregation - Section E '!A$618:R2330,18,0)),"")</f>
        <v/>
      </c>
    </row>
    <row r="2839" spans="1:16">
      <c r="A2839" s="387" t="b">
        <f t="shared" ca="1" si="175"/>
        <v>0</v>
      </c>
      <c r="B2839" s="387"/>
      <c r="C2839" s="396" t="str">
        <f ca="1">IF(COUNTA(O$1610:O2839)=1,"",OFFSET(B2837,-COUNTA(O$1610:O2839)+3,1))</f>
        <v>a16Dm000000M3zeIAC</v>
      </c>
      <c r="D2839" s="392"/>
      <c r="E2839" s="389" t="str">
        <f ca="1">IFERROR(IF(VLOOKUP(C2839,' Disaggregation - Section E '!A$618:J3528,7,0)="","",VLOOKUP(C2839,' Disaggregation - Section E '!A$618:J3528,7,0)*100),"")</f>
        <v/>
      </c>
      <c r="F2839" s="391" t="str">
        <f ca="1">IFERROR(VLOOKUP(C2839,' Disaggregation - Section E '!A$618:J3528,5,0),"")</f>
        <v/>
      </c>
      <c r="G2839" s="390" t="str">
        <f ca="1">IFERROR(IF(VLOOKUP(C2839,' Disaggregation - Section E '!A$618:J3528,6,0)="","",VLOOKUP(C2839,' Disaggregation - Section E '!A$618:J3528,6,0)),"")</f>
        <v/>
      </c>
      <c r="H2839" s="390" t="str">
        <f ca="1">IFERROR(IF(INDEX(' Disaggregation - Section E '!F$618:F3528,MATCH(C2839,' Disaggregation - Section E '!A$618:A3528,0)+1,1)&lt;&gt;0,INDEX(' Disaggregation - Section E '!F$618:F3528,MATCH(C2839,' Disaggregation - Section E '!A$618:A3528,0)+1,1),""),"")</f>
        <v/>
      </c>
      <c r="I2839" s="391" t="str">
        <f ca="1">IFERROR(IF(VLOOKUP(C2839,' Disaggregation - Section E '!A$618:J3528,8,0)=0,"",VLOOKUP(C2839,' Disaggregation - Section E '!A$618:J3528,8,0)),"")</f>
        <v/>
      </c>
      <c r="J2839" s="391" t="str">
        <f ca="1">IFERROR(IF(VLOOKUP(C2839,' Disaggregation - Section E '!A$618:J3528,9,0)="","",VLOOKUP(C2839,' Disaggregation - Section E '!A$618:J3528,9,0)),"")</f>
        <v/>
      </c>
      <c r="K2839" s="387" t="str">
        <f ca="1">IFERROR(VLOOKUP(C2839,' Disaggregation - Section E '!A$618:J3528,3,0),"")</f>
        <v>VT-3 Percentage of women accessing antenatal care services who were tested for syphilis</v>
      </c>
      <c r="L2839" s="387"/>
      <c r="M2839" s="387" t="str">
        <f ca="1">IFERROR(IF(VLOOKUP(C2839,' Disaggregation - Section E '!A$618:O2331,15,0)=0,"",VLOOKUP(C2839,' Disaggregation - Section E '!A$618:O2331,15,0)),"")</f>
        <v/>
      </c>
      <c r="N2839" s="391" t="str">
        <f ca="1">IFERROR(IF(VLOOKUP(C2839,' Disaggregation - Section E '!A$618:J3528,10,0)=0,"",VLOOKUP(C2839,' Disaggregation - Section E '!A$618:J3528,10,0)),"")</f>
        <v/>
      </c>
      <c r="O2839" s="387"/>
      <c r="P2839" s="387" t="str">
        <f ca="1">IFERROR(IF(VLOOKUP(C2839,' Disaggregation - Section E '!A$618:R2331,18,0)=0,"",VLOOKUP(C2839,' Disaggregation - Section E '!A$618:R2331,18,0)),"")</f>
        <v/>
      </c>
    </row>
    <row r="2840" spans="1:16">
      <c r="A2840" s="387" t="b">
        <f t="shared" ca="1" si="175"/>
        <v>0</v>
      </c>
      <c r="B2840" s="387"/>
      <c r="C2840" s="396" t="str">
        <f ca="1">IF(COUNTA(O$1610:O2840)=1,"",OFFSET(B2838,-COUNTA(O$1610:O2840)+3,1))</f>
        <v>a16Dm000000M3zfIAC</v>
      </c>
      <c r="D2840" s="392"/>
      <c r="E2840" s="389" t="str">
        <f ca="1">IFERROR(IF(VLOOKUP(C2840,' Disaggregation - Section E '!A$618:J3529,7,0)="","",VLOOKUP(C2840,' Disaggregation - Section E '!A$618:J3529,7,0)*100),"")</f>
        <v/>
      </c>
      <c r="F2840" s="391" t="str">
        <f ca="1">IFERROR(VLOOKUP(C2840,' Disaggregation - Section E '!A$618:J3529,5,0),"")</f>
        <v/>
      </c>
      <c r="G2840" s="390" t="str">
        <f ca="1">IFERROR(IF(VLOOKUP(C2840,' Disaggregation - Section E '!A$618:J3529,6,0)="","",VLOOKUP(C2840,' Disaggregation - Section E '!A$618:J3529,6,0)),"")</f>
        <v/>
      </c>
      <c r="H2840" s="390" t="str">
        <f ca="1">IFERROR(IF(INDEX(' Disaggregation - Section E '!F$618:F3529,MATCH(C2840,' Disaggregation - Section E '!A$618:A3529,0)+1,1)&lt;&gt;0,INDEX(' Disaggregation - Section E '!F$618:F3529,MATCH(C2840,' Disaggregation - Section E '!A$618:A3529,0)+1,1),""),"")</f>
        <v/>
      </c>
      <c r="I2840" s="391" t="str">
        <f ca="1">IFERROR(IF(VLOOKUP(C2840,' Disaggregation - Section E '!A$618:J3529,8,0)=0,"",VLOOKUP(C2840,' Disaggregation - Section E '!A$618:J3529,8,0)),"")</f>
        <v/>
      </c>
      <c r="J2840" s="391" t="str">
        <f ca="1">IFERROR(IF(VLOOKUP(C2840,' Disaggregation - Section E '!A$618:J3529,9,0)="","",VLOOKUP(C2840,' Disaggregation - Section E '!A$618:J3529,9,0)),"")</f>
        <v/>
      </c>
      <c r="K2840" s="387" t="str">
        <f ca="1">IFERROR(VLOOKUP(C2840,' Disaggregation - Section E '!A$618:J3529,3,0),"")</f>
        <v>VT-3 Percentage of women accessing antenatal care services who were tested for syphilis</v>
      </c>
      <c r="L2840" s="387"/>
      <c r="M2840" s="387" t="str">
        <f ca="1">IFERROR(IF(VLOOKUP(C2840,' Disaggregation - Section E '!A$618:O2332,15,0)=0,"",VLOOKUP(C2840,' Disaggregation - Section E '!A$618:O2332,15,0)),"")</f>
        <v/>
      </c>
      <c r="N2840" s="391" t="str">
        <f ca="1">IFERROR(IF(VLOOKUP(C2840,' Disaggregation - Section E '!A$618:J3529,10,0)=0,"",VLOOKUP(C2840,' Disaggregation - Section E '!A$618:J3529,10,0)),"")</f>
        <v/>
      </c>
      <c r="O2840" s="387"/>
      <c r="P2840" s="387" t="str">
        <f ca="1">IFERROR(IF(VLOOKUP(C2840,' Disaggregation - Section E '!A$618:R2332,18,0)=0,"",VLOOKUP(C2840,' Disaggregation - Section E '!A$618:R2332,18,0)),"")</f>
        <v/>
      </c>
    </row>
    <row r="2841" spans="1:16">
      <c r="A2841" s="387" t="b">
        <f t="shared" ca="1" si="175"/>
        <v>0</v>
      </c>
      <c r="B2841" s="387"/>
      <c r="C2841" s="396" t="str">
        <f ca="1">IF(COUNTA(O$1610:O2841)=1,"",OFFSET(B2839,-COUNTA(O$1610:O2841)+3,1))</f>
        <v>a16Dm000000M3zgIAC</v>
      </c>
      <c r="D2841" s="392"/>
      <c r="E2841" s="389" t="str">
        <f ca="1">IFERROR(IF(VLOOKUP(C2841,' Disaggregation - Section E '!A$618:J3530,7,0)="","",VLOOKUP(C2841,' Disaggregation - Section E '!A$618:J3530,7,0)*100),"")</f>
        <v/>
      </c>
      <c r="F2841" s="391" t="str">
        <f ca="1">IFERROR(VLOOKUP(C2841,' Disaggregation - Section E '!A$618:J3530,5,0),"")</f>
        <v/>
      </c>
      <c r="G2841" s="390" t="str">
        <f ca="1">IFERROR(IF(VLOOKUP(C2841,' Disaggregation - Section E '!A$618:J3530,6,0)="","",VLOOKUP(C2841,' Disaggregation - Section E '!A$618:J3530,6,0)),"")</f>
        <v/>
      </c>
      <c r="H2841" s="390" t="str">
        <f ca="1">IFERROR(IF(INDEX(' Disaggregation - Section E '!F$618:F3530,MATCH(C2841,' Disaggregation - Section E '!A$618:A3530,0)+1,1)&lt;&gt;0,INDEX(' Disaggregation - Section E '!F$618:F3530,MATCH(C2841,' Disaggregation - Section E '!A$618:A3530,0)+1,1),""),"")</f>
        <v/>
      </c>
      <c r="I2841" s="391" t="str">
        <f ca="1">IFERROR(IF(VLOOKUP(C2841,' Disaggregation - Section E '!A$618:J3530,8,0)=0,"",VLOOKUP(C2841,' Disaggregation - Section E '!A$618:J3530,8,0)),"")</f>
        <v/>
      </c>
      <c r="J2841" s="391" t="str">
        <f ca="1">IFERROR(IF(VLOOKUP(C2841,' Disaggregation - Section E '!A$618:J3530,9,0)="","",VLOOKUP(C2841,' Disaggregation - Section E '!A$618:J3530,9,0)),"")</f>
        <v/>
      </c>
      <c r="K2841" s="387" t="str">
        <f ca="1">IFERROR(VLOOKUP(C2841,' Disaggregation - Section E '!A$618:J3530,3,0),"")</f>
        <v>VT-3 Percentage of women accessing antenatal care services who were tested for syphilis</v>
      </c>
      <c r="L2841" s="387"/>
      <c r="M2841" s="387" t="str">
        <f ca="1">IFERROR(IF(VLOOKUP(C2841,' Disaggregation - Section E '!A$618:O2333,15,0)=0,"",VLOOKUP(C2841,' Disaggregation - Section E '!A$618:O2333,15,0)),"")</f>
        <v/>
      </c>
      <c r="N2841" s="391" t="str">
        <f ca="1">IFERROR(IF(VLOOKUP(C2841,' Disaggregation - Section E '!A$618:J3530,10,0)=0,"",VLOOKUP(C2841,' Disaggregation - Section E '!A$618:J3530,10,0)),"")</f>
        <v/>
      </c>
      <c r="O2841" s="387"/>
      <c r="P2841" s="387" t="str">
        <f ca="1">IFERROR(IF(VLOOKUP(C2841,' Disaggregation - Section E '!A$618:R2333,18,0)=0,"",VLOOKUP(C2841,' Disaggregation - Section E '!A$618:R2333,18,0)),"")</f>
        <v/>
      </c>
    </row>
    <row r="2842" spans="1:16">
      <c r="A2842" s="387" t="b">
        <f t="shared" ca="1" si="175"/>
        <v>0</v>
      </c>
      <c r="B2842" s="387"/>
      <c r="C2842" s="396" t="str">
        <f ca="1">IF(COUNTA(O$1610:O2842)=1,"",OFFSET(B2840,-COUNTA(O$1610:O2842)+3,1))</f>
        <v>a16Dm000000M3zhIAC</v>
      </c>
      <c r="D2842" s="392"/>
      <c r="E2842" s="389" t="str">
        <f ca="1">IFERROR(IF(VLOOKUP(C2842,' Disaggregation - Section E '!A$618:J3531,7,0)="","",VLOOKUP(C2842,' Disaggregation - Section E '!A$618:J3531,7,0)*100),"")</f>
        <v/>
      </c>
      <c r="F2842" s="391" t="str">
        <f ca="1">IFERROR(VLOOKUP(C2842,' Disaggregation - Section E '!A$618:J3531,5,0),"")</f>
        <v/>
      </c>
      <c r="G2842" s="390" t="str">
        <f ca="1">IFERROR(IF(VLOOKUP(C2842,' Disaggregation - Section E '!A$618:J3531,6,0)="","",VLOOKUP(C2842,' Disaggregation - Section E '!A$618:J3531,6,0)),"")</f>
        <v/>
      </c>
      <c r="H2842" s="390" t="str">
        <f ca="1">IFERROR(IF(INDEX(' Disaggregation - Section E '!F$618:F3531,MATCH(C2842,' Disaggregation - Section E '!A$618:A3531,0)+1,1)&lt;&gt;0,INDEX(' Disaggregation - Section E '!F$618:F3531,MATCH(C2842,' Disaggregation - Section E '!A$618:A3531,0)+1,1),""),"")</f>
        <v/>
      </c>
      <c r="I2842" s="391" t="str">
        <f ca="1">IFERROR(IF(VLOOKUP(C2842,' Disaggregation - Section E '!A$618:J3531,8,0)=0,"",VLOOKUP(C2842,' Disaggregation - Section E '!A$618:J3531,8,0)),"")</f>
        <v/>
      </c>
      <c r="J2842" s="391" t="str">
        <f ca="1">IFERROR(IF(VLOOKUP(C2842,' Disaggregation - Section E '!A$618:J3531,9,0)="","",VLOOKUP(C2842,' Disaggregation - Section E '!A$618:J3531,9,0)),"")</f>
        <v/>
      </c>
      <c r="K2842" s="387" t="str">
        <f ca="1">IFERROR(VLOOKUP(C2842,' Disaggregation - Section E '!A$618:J3531,3,0),"")</f>
        <v>VT-3 Percentage of women accessing antenatal care services who were tested for syphilis</v>
      </c>
      <c r="L2842" s="387"/>
      <c r="M2842" s="387" t="str">
        <f ca="1">IFERROR(IF(VLOOKUP(C2842,' Disaggregation - Section E '!A$618:O2334,15,0)=0,"",VLOOKUP(C2842,' Disaggregation - Section E '!A$618:O2334,15,0)),"")</f>
        <v/>
      </c>
      <c r="N2842" s="391" t="str">
        <f ca="1">IFERROR(IF(VLOOKUP(C2842,' Disaggregation - Section E '!A$618:J3531,10,0)=0,"",VLOOKUP(C2842,' Disaggregation - Section E '!A$618:J3531,10,0)),"")</f>
        <v/>
      </c>
      <c r="O2842" s="387"/>
      <c r="P2842" s="387" t="str">
        <f ca="1">IFERROR(IF(VLOOKUP(C2842,' Disaggregation - Section E '!A$618:R2334,18,0)=0,"",VLOOKUP(C2842,' Disaggregation - Section E '!A$618:R2334,18,0)),"")</f>
        <v/>
      </c>
    </row>
    <row r="2843" spans="1:16">
      <c r="A2843" s="387" t="b">
        <f t="shared" ca="1" si="175"/>
        <v>0</v>
      </c>
      <c r="B2843" s="387"/>
      <c r="C2843" s="396" t="str">
        <f ca="1">IF(COUNTA(O$1610:O2843)=1,"",OFFSET(B2841,-COUNTA(O$1610:O2843)+3,1))</f>
        <v>a16Dm000000M3ziIAC</v>
      </c>
      <c r="D2843" s="392"/>
      <c r="E2843" s="389" t="str">
        <f ca="1">IFERROR(IF(VLOOKUP(C2843,' Disaggregation - Section E '!A$618:J3532,7,0)="","",VLOOKUP(C2843,' Disaggregation - Section E '!A$618:J3532,7,0)*100),"")</f>
        <v/>
      </c>
      <c r="F2843" s="391" t="str">
        <f ca="1">IFERROR(VLOOKUP(C2843,' Disaggregation - Section E '!A$618:J3532,5,0),"")</f>
        <v/>
      </c>
      <c r="G2843" s="390" t="str">
        <f ca="1">IFERROR(IF(VLOOKUP(C2843,' Disaggregation - Section E '!A$618:J3532,6,0)="","",VLOOKUP(C2843,' Disaggregation - Section E '!A$618:J3532,6,0)),"")</f>
        <v/>
      </c>
      <c r="H2843" s="390" t="str">
        <f ca="1">IFERROR(IF(INDEX(' Disaggregation - Section E '!F$618:F3532,MATCH(C2843,' Disaggregation - Section E '!A$618:A3532,0)+1,1)&lt;&gt;0,INDEX(' Disaggregation - Section E '!F$618:F3532,MATCH(C2843,' Disaggregation - Section E '!A$618:A3532,0)+1,1),""),"")</f>
        <v/>
      </c>
      <c r="I2843" s="391" t="str">
        <f ca="1">IFERROR(IF(VLOOKUP(C2843,' Disaggregation - Section E '!A$618:J3532,8,0)=0,"",VLOOKUP(C2843,' Disaggregation - Section E '!A$618:J3532,8,0)),"")</f>
        <v/>
      </c>
      <c r="J2843" s="391" t="str">
        <f ca="1">IFERROR(IF(VLOOKUP(C2843,' Disaggregation - Section E '!A$618:J3532,9,0)="","",VLOOKUP(C2843,' Disaggregation - Section E '!A$618:J3532,9,0)),"")</f>
        <v/>
      </c>
      <c r="K2843" s="387" t="str">
        <f ca="1">IFERROR(VLOOKUP(C2843,' Disaggregation - Section E '!A$618:J3532,3,0),"")</f>
        <v>VT-3 Percentage of women accessing antenatal care services who were tested for syphilis</v>
      </c>
      <c r="L2843" s="387"/>
      <c r="M2843" s="387" t="str">
        <f ca="1">IFERROR(IF(VLOOKUP(C2843,' Disaggregation - Section E '!A$618:O2335,15,0)=0,"",VLOOKUP(C2843,' Disaggregation - Section E '!A$618:O2335,15,0)),"")</f>
        <v/>
      </c>
      <c r="N2843" s="391" t="str">
        <f ca="1">IFERROR(IF(VLOOKUP(C2843,' Disaggregation - Section E '!A$618:J3532,10,0)=0,"",VLOOKUP(C2843,' Disaggregation - Section E '!A$618:J3532,10,0)),"")</f>
        <v/>
      </c>
      <c r="O2843" s="387"/>
      <c r="P2843" s="387" t="str">
        <f ca="1">IFERROR(IF(VLOOKUP(C2843,' Disaggregation - Section E '!A$618:R2335,18,0)=0,"",VLOOKUP(C2843,' Disaggregation - Section E '!A$618:R2335,18,0)),"")</f>
        <v/>
      </c>
    </row>
    <row r="2844" spans="1:16">
      <c r="A2844" s="387" t="b">
        <f t="shared" ca="1" si="175"/>
        <v>0</v>
      </c>
      <c r="B2844" s="387"/>
      <c r="C2844" s="396" t="str">
        <f ca="1">IF(COUNTA(O$1610:O2844)=1,"",OFFSET(B2842,-COUNTA(O$1610:O2844)+3,1))</f>
        <v>a16Dm000000M3zjIAC</v>
      </c>
      <c r="D2844" s="392"/>
      <c r="E2844" s="389" t="str">
        <f ca="1">IFERROR(IF(VLOOKUP(C2844,' Disaggregation - Section E '!A$618:J3533,7,0)="","",VLOOKUP(C2844,' Disaggregation - Section E '!A$618:J3533,7,0)*100),"")</f>
        <v/>
      </c>
      <c r="F2844" s="391" t="str">
        <f ca="1">IFERROR(VLOOKUP(C2844,' Disaggregation - Section E '!A$618:J3533,5,0),"")</f>
        <v/>
      </c>
      <c r="G2844" s="390" t="str">
        <f ca="1">IFERROR(IF(VLOOKUP(C2844,' Disaggregation - Section E '!A$618:J3533,6,0)="","",VLOOKUP(C2844,' Disaggregation - Section E '!A$618:J3533,6,0)),"")</f>
        <v/>
      </c>
      <c r="H2844" s="390" t="str">
        <f ca="1">IFERROR(IF(INDEX(' Disaggregation - Section E '!F$618:F3533,MATCH(C2844,' Disaggregation - Section E '!A$618:A3533,0)+1,1)&lt;&gt;0,INDEX(' Disaggregation - Section E '!F$618:F3533,MATCH(C2844,' Disaggregation - Section E '!A$618:A3533,0)+1,1),""),"")</f>
        <v/>
      </c>
      <c r="I2844" s="391" t="str">
        <f ca="1">IFERROR(IF(VLOOKUP(C2844,' Disaggregation - Section E '!A$618:J3533,8,0)=0,"",VLOOKUP(C2844,' Disaggregation - Section E '!A$618:J3533,8,0)),"")</f>
        <v/>
      </c>
      <c r="J2844" s="391" t="str">
        <f ca="1">IFERROR(IF(VLOOKUP(C2844,' Disaggregation - Section E '!A$618:J3533,9,0)="","",VLOOKUP(C2844,' Disaggregation - Section E '!A$618:J3533,9,0)),"")</f>
        <v/>
      </c>
      <c r="K2844" s="387" t="str">
        <f ca="1">IFERROR(VLOOKUP(C2844,' Disaggregation - Section E '!A$618:J3533,3,0),"")</f>
        <v>VT-3 Percentage of women accessing antenatal care services who were tested for syphilis</v>
      </c>
      <c r="L2844" s="387"/>
      <c r="M2844" s="387" t="str">
        <f ca="1">IFERROR(IF(VLOOKUP(C2844,' Disaggregation - Section E '!A$618:O2336,15,0)=0,"",VLOOKUP(C2844,' Disaggregation - Section E '!A$618:O2336,15,0)),"")</f>
        <v/>
      </c>
      <c r="N2844" s="391" t="str">
        <f ca="1">IFERROR(IF(VLOOKUP(C2844,' Disaggregation - Section E '!A$618:J3533,10,0)=0,"",VLOOKUP(C2844,' Disaggregation - Section E '!A$618:J3533,10,0)),"")</f>
        <v/>
      </c>
      <c r="O2844" s="387"/>
      <c r="P2844" s="387" t="str">
        <f ca="1">IFERROR(IF(VLOOKUP(C2844,' Disaggregation - Section E '!A$618:R2336,18,0)=0,"",VLOOKUP(C2844,' Disaggregation - Section E '!A$618:R2336,18,0)),"")</f>
        <v/>
      </c>
    </row>
    <row r="2845" spans="1:16">
      <c r="A2845" s="387" t="b">
        <f t="shared" ca="1" si="175"/>
        <v>0</v>
      </c>
      <c r="B2845" s="387"/>
      <c r="C2845" s="396" t="str">
        <f ca="1">IF(COUNTA(O$1610:O2845)=1,"",OFFSET(B2843,-COUNTA(O$1610:O2845)+3,1))</f>
        <v>a16Dm000000M3zkIAC</v>
      </c>
      <c r="D2845" s="392"/>
      <c r="E2845" s="389" t="str">
        <f ca="1">IFERROR(IF(VLOOKUP(C2845,' Disaggregation - Section E '!A$618:J3534,7,0)="","",VLOOKUP(C2845,' Disaggregation - Section E '!A$618:J3534,7,0)*100),"")</f>
        <v/>
      </c>
      <c r="F2845" s="391" t="str">
        <f ca="1">IFERROR(VLOOKUP(C2845,' Disaggregation - Section E '!A$618:J3534,5,0),"")</f>
        <v/>
      </c>
      <c r="G2845" s="390" t="str">
        <f ca="1">IFERROR(IF(VLOOKUP(C2845,' Disaggregation - Section E '!A$618:J3534,6,0)="","",VLOOKUP(C2845,' Disaggregation - Section E '!A$618:J3534,6,0)),"")</f>
        <v/>
      </c>
      <c r="H2845" s="390" t="str">
        <f ca="1">IFERROR(IF(INDEX(' Disaggregation - Section E '!F$618:F3534,MATCH(C2845,' Disaggregation - Section E '!A$618:A3534,0)+1,1)&lt;&gt;0,INDEX(' Disaggregation - Section E '!F$618:F3534,MATCH(C2845,' Disaggregation - Section E '!A$618:A3534,0)+1,1),""),"")</f>
        <v/>
      </c>
      <c r="I2845" s="391" t="str">
        <f ca="1">IFERROR(IF(VLOOKUP(C2845,' Disaggregation - Section E '!A$618:J3534,8,0)=0,"",VLOOKUP(C2845,' Disaggregation - Section E '!A$618:J3534,8,0)),"")</f>
        <v/>
      </c>
      <c r="J2845" s="391" t="str">
        <f ca="1">IFERROR(IF(VLOOKUP(C2845,' Disaggregation - Section E '!A$618:J3534,9,0)="","",VLOOKUP(C2845,' Disaggregation - Section E '!A$618:J3534,9,0)),"")</f>
        <v/>
      </c>
      <c r="K2845" s="387" t="str">
        <f ca="1">IFERROR(VLOOKUP(C2845,' Disaggregation - Section E '!A$618:J3534,3,0),"")</f>
        <v>VT-3 Percentage of women accessing antenatal care services who were tested for syphilis</v>
      </c>
      <c r="L2845" s="387"/>
      <c r="M2845" s="387" t="str">
        <f ca="1">IFERROR(IF(VLOOKUP(C2845,' Disaggregation - Section E '!A$618:O2337,15,0)=0,"",VLOOKUP(C2845,' Disaggregation - Section E '!A$618:O2337,15,0)),"")</f>
        <v/>
      </c>
      <c r="N2845" s="391" t="str">
        <f ca="1">IFERROR(IF(VLOOKUP(C2845,' Disaggregation - Section E '!A$618:J3534,10,0)=0,"",VLOOKUP(C2845,' Disaggregation - Section E '!A$618:J3534,10,0)),"")</f>
        <v/>
      </c>
      <c r="O2845" s="387"/>
      <c r="P2845" s="387" t="str">
        <f ca="1">IFERROR(IF(VLOOKUP(C2845,' Disaggregation - Section E '!A$618:R2337,18,0)=0,"",VLOOKUP(C2845,' Disaggregation - Section E '!A$618:R2337,18,0)),"")</f>
        <v/>
      </c>
    </row>
    <row r="2846" spans="1:16">
      <c r="A2846" s="387" t="b">
        <f t="shared" ca="1" si="175"/>
        <v>0</v>
      </c>
      <c r="B2846" s="387"/>
      <c r="C2846" s="396" t="str">
        <f ca="1">IF(COUNTA(O$1610:O2846)=1,"",OFFSET(B2844,-COUNTA(O$1610:O2846)+3,1))</f>
        <v>a16Dm000000M3zlIAC</v>
      </c>
      <c r="D2846" s="392"/>
      <c r="E2846" s="389" t="str">
        <f ca="1">IFERROR(IF(VLOOKUP(C2846,' Disaggregation - Section E '!A$618:J3535,7,0)="","",VLOOKUP(C2846,' Disaggregation - Section E '!A$618:J3535,7,0)*100),"")</f>
        <v/>
      </c>
      <c r="F2846" s="391" t="str">
        <f ca="1">IFERROR(VLOOKUP(C2846,' Disaggregation - Section E '!A$618:J3535,5,0),"")</f>
        <v/>
      </c>
      <c r="G2846" s="390" t="str">
        <f ca="1">IFERROR(IF(VLOOKUP(C2846,' Disaggregation - Section E '!A$618:J3535,6,0)="","",VLOOKUP(C2846,' Disaggregation - Section E '!A$618:J3535,6,0)),"")</f>
        <v/>
      </c>
      <c r="H2846" s="390" t="str">
        <f ca="1">IFERROR(IF(INDEX(' Disaggregation - Section E '!F$618:F3535,MATCH(C2846,' Disaggregation - Section E '!A$618:A3535,0)+1,1)&lt;&gt;0,INDEX(' Disaggregation - Section E '!F$618:F3535,MATCH(C2846,' Disaggregation - Section E '!A$618:A3535,0)+1,1),""),"")</f>
        <v/>
      </c>
      <c r="I2846" s="391" t="str">
        <f ca="1">IFERROR(IF(VLOOKUP(C2846,' Disaggregation - Section E '!A$618:J3535,8,0)=0,"",VLOOKUP(C2846,' Disaggregation - Section E '!A$618:J3535,8,0)),"")</f>
        <v/>
      </c>
      <c r="J2846" s="391" t="str">
        <f ca="1">IFERROR(IF(VLOOKUP(C2846,' Disaggregation - Section E '!A$618:J3535,9,0)="","",VLOOKUP(C2846,' Disaggregation - Section E '!A$618:J3535,9,0)),"")</f>
        <v/>
      </c>
      <c r="K2846" s="387" t="str">
        <f ca="1">IFERROR(VLOOKUP(C2846,' Disaggregation - Section E '!A$618:J3535,3,0),"")</f>
        <v>VT-3 Percentage of women accessing antenatal care services who were tested for syphilis</v>
      </c>
      <c r="L2846" s="387"/>
      <c r="M2846" s="387" t="str">
        <f ca="1">IFERROR(IF(VLOOKUP(C2846,' Disaggregation - Section E '!A$618:O2338,15,0)=0,"",VLOOKUP(C2846,' Disaggregation - Section E '!A$618:O2338,15,0)),"")</f>
        <v/>
      </c>
      <c r="N2846" s="391" t="str">
        <f ca="1">IFERROR(IF(VLOOKUP(C2846,' Disaggregation - Section E '!A$618:J3535,10,0)=0,"",VLOOKUP(C2846,' Disaggregation - Section E '!A$618:J3535,10,0)),"")</f>
        <v/>
      </c>
      <c r="O2846" s="387"/>
      <c r="P2846" s="387" t="str">
        <f ca="1">IFERROR(IF(VLOOKUP(C2846,' Disaggregation - Section E '!A$618:R2338,18,0)=0,"",VLOOKUP(C2846,' Disaggregation - Section E '!A$618:R2338,18,0)),"")</f>
        <v/>
      </c>
    </row>
    <row r="2847" spans="1:16">
      <c r="A2847" s="387" t="b">
        <f t="shared" ca="1" si="175"/>
        <v>0</v>
      </c>
      <c r="B2847" s="387"/>
      <c r="C2847" s="396" t="str">
        <f ca="1">IF(COUNTA(O$1610:O2847)=1,"",OFFSET(B2845,-COUNTA(O$1610:O2847)+3,1))</f>
        <v>a16Dm000000M3zmIAC</v>
      </c>
      <c r="D2847" s="392"/>
      <c r="E2847" s="389" t="str">
        <f ca="1">IFERROR(IF(VLOOKUP(C2847,' Disaggregation - Section E '!A$618:J3536,7,0)="","",VLOOKUP(C2847,' Disaggregation - Section E '!A$618:J3536,7,0)*100),"")</f>
        <v/>
      </c>
      <c r="F2847" s="391" t="str">
        <f ca="1">IFERROR(VLOOKUP(C2847,' Disaggregation - Section E '!A$618:J3536,5,0),"")</f>
        <v/>
      </c>
      <c r="G2847" s="390" t="str">
        <f ca="1">IFERROR(IF(VLOOKUP(C2847,' Disaggregation - Section E '!A$618:J3536,6,0)="","",VLOOKUP(C2847,' Disaggregation - Section E '!A$618:J3536,6,0)),"")</f>
        <v/>
      </c>
      <c r="H2847" s="390" t="str">
        <f ca="1">IFERROR(IF(INDEX(' Disaggregation - Section E '!F$618:F3536,MATCH(C2847,' Disaggregation - Section E '!A$618:A3536,0)+1,1)&lt;&gt;0,INDEX(' Disaggregation - Section E '!F$618:F3536,MATCH(C2847,' Disaggregation - Section E '!A$618:A3536,0)+1,1),""),"")</f>
        <v/>
      </c>
      <c r="I2847" s="391" t="str">
        <f ca="1">IFERROR(IF(VLOOKUP(C2847,' Disaggregation - Section E '!A$618:J3536,8,0)=0,"",VLOOKUP(C2847,' Disaggregation - Section E '!A$618:J3536,8,0)),"")</f>
        <v/>
      </c>
      <c r="J2847" s="391" t="str">
        <f ca="1">IFERROR(IF(VLOOKUP(C2847,' Disaggregation - Section E '!A$618:J3536,9,0)="","",VLOOKUP(C2847,' Disaggregation - Section E '!A$618:J3536,9,0)),"")</f>
        <v/>
      </c>
      <c r="K2847" s="387" t="str">
        <f ca="1">IFERROR(VLOOKUP(C2847,' Disaggregation - Section E '!A$618:J3536,3,0),"")</f>
        <v>VT-3 Percentage of women accessing antenatal care services who were tested for syphilis</v>
      </c>
      <c r="L2847" s="387"/>
      <c r="M2847" s="387" t="str">
        <f ca="1">IFERROR(IF(VLOOKUP(C2847,' Disaggregation - Section E '!A$618:O2339,15,0)=0,"",VLOOKUP(C2847,' Disaggregation - Section E '!A$618:O2339,15,0)),"")</f>
        <v/>
      </c>
      <c r="N2847" s="391" t="str">
        <f ca="1">IFERROR(IF(VLOOKUP(C2847,' Disaggregation - Section E '!A$618:J3536,10,0)=0,"",VLOOKUP(C2847,' Disaggregation - Section E '!A$618:J3536,10,0)),"")</f>
        <v/>
      </c>
      <c r="O2847" s="387"/>
      <c r="P2847" s="387" t="str">
        <f ca="1">IFERROR(IF(VLOOKUP(C2847,' Disaggregation - Section E '!A$618:R2339,18,0)=0,"",VLOOKUP(C2847,' Disaggregation - Section E '!A$618:R2339,18,0)),"")</f>
        <v/>
      </c>
    </row>
    <row r="2848" spans="1:16">
      <c r="A2848" s="387" t="b">
        <f t="shared" ca="1" si="175"/>
        <v>0</v>
      </c>
      <c r="B2848" s="387"/>
      <c r="C2848" s="396" t="str">
        <f ca="1">IF(COUNTA(O$1610:O2848)=1,"",OFFSET(B2846,-COUNTA(O$1610:O2848)+3,1))</f>
        <v>a16Dm000000M3znIAC</v>
      </c>
      <c r="D2848" s="392"/>
      <c r="E2848" s="389" t="str">
        <f ca="1">IFERROR(IF(VLOOKUP(C2848,' Disaggregation - Section E '!A$618:J3537,7,0)="","",VLOOKUP(C2848,' Disaggregation - Section E '!A$618:J3537,7,0)*100),"")</f>
        <v/>
      </c>
      <c r="F2848" s="391" t="str">
        <f ca="1">IFERROR(VLOOKUP(C2848,' Disaggregation - Section E '!A$618:J3537,5,0),"")</f>
        <v/>
      </c>
      <c r="G2848" s="390" t="str">
        <f ca="1">IFERROR(IF(VLOOKUP(C2848,' Disaggregation - Section E '!A$618:J3537,6,0)="","",VLOOKUP(C2848,' Disaggregation - Section E '!A$618:J3537,6,0)),"")</f>
        <v/>
      </c>
      <c r="H2848" s="390" t="str">
        <f ca="1">IFERROR(IF(INDEX(' Disaggregation - Section E '!F$618:F3537,MATCH(C2848,' Disaggregation - Section E '!A$618:A3537,0)+1,1)&lt;&gt;0,INDEX(' Disaggregation - Section E '!F$618:F3537,MATCH(C2848,' Disaggregation - Section E '!A$618:A3537,0)+1,1),""),"")</f>
        <v/>
      </c>
      <c r="I2848" s="391" t="str">
        <f ca="1">IFERROR(IF(VLOOKUP(C2848,' Disaggregation - Section E '!A$618:J3537,8,0)=0,"",VLOOKUP(C2848,' Disaggregation - Section E '!A$618:J3537,8,0)),"")</f>
        <v/>
      </c>
      <c r="J2848" s="391" t="str">
        <f ca="1">IFERROR(IF(VLOOKUP(C2848,' Disaggregation - Section E '!A$618:J3537,9,0)="","",VLOOKUP(C2848,' Disaggregation - Section E '!A$618:J3537,9,0)),"")</f>
        <v/>
      </c>
      <c r="K2848" s="387" t="str">
        <f ca="1">IFERROR(VLOOKUP(C2848,' Disaggregation - Section E '!A$618:J3537,3,0),"")</f>
        <v>VT-3 Percentage of women accessing antenatal care services who were tested for syphilis</v>
      </c>
      <c r="L2848" s="387"/>
      <c r="M2848" s="387" t="str">
        <f ca="1">IFERROR(IF(VLOOKUP(C2848,' Disaggregation - Section E '!A$618:O2340,15,0)=0,"",VLOOKUP(C2848,' Disaggregation - Section E '!A$618:O2340,15,0)),"")</f>
        <v/>
      </c>
      <c r="N2848" s="391" t="str">
        <f ca="1">IFERROR(IF(VLOOKUP(C2848,' Disaggregation - Section E '!A$618:J3537,10,0)=0,"",VLOOKUP(C2848,' Disaggregation - Section E '!A$618:J3537,10,0)),"")</f>
        <v/>
      </c>
      <c r="O2848" s="387"/>
      <c r="P2848" s="387" t="str">
        <f ca="1">IFERROR(IF(VLOOKUP(C2848,' Disaggregation - Section E '!A$618:R2340,18,0)=0,"",VLOOKUP(C2848,' Disaggregation - Section E '!A$618:R2340,18,0)),"")</f>
        <v/>
      </c>
    </row>
    <row r="2849" spans="1:16">
      <c r="A2849" s="387" t="b">
        <f t="shared" ca="1" si="175"/>
        <v>0</v>
      </c>
      <c r="B2849" s="387"/>
      <c r="C2849" s="396" t="str">
        <f ca="1">IF(COUNTA(O$1610:O2849)=1,"",OFFSET(B2847,-COUNTA(O$1610:O2849)+3,1))</f>
        <v>a16Dm000000M3zoIAC</v>
      </c>
      <c r="D2849" s="392"/>
      <c r="E2849" s="389" t="str">
        <f ca="1">IFERROR(IF(VLOOKUP(C2849,' Disaggregation - Section E '!A$618:J3538,7,0)="","",VLOOKUP(C2849,' Disaggregation - Section E '!A$618:J3538,7,0)*100),"")</f>
        <v/>
      </c>
      <c r="F2849" s="391" t="str">
        <f ca="1">IFERROR(VLOOKUP(C2849,' Disaggregation - Section E '!A$618:J3538,5,0),"")</f>
        <v/>
      </c>
      <c r="G2849" s="390" t="str">
        <f ca="1">IFERROR(IF(VLOOKUP(C2849,' Disaggregation - Section E '!A$618:J3538,6,0)="","",VLOOKUP(C2849,' Disaggregation - Section E '!A$618:J3538,6,0)),"")</f>
        <v/>
      </c>
      <c r="H2849" s="390" t="str">
        <f ca="1">IFERROR(IF(INDEX(' Disaggregation - Section E '!F$618:F3538,MATCH(C2849,' Disaggregation - Section E '!A$618:A3538,0)+1,1)&lt;&gt;0,INDEX(' Disaggregation - Section E '!F$618:F3538,MATCH(C2849,' Disaggregation - Section E '!A$618:A3538,0)+1,1),""),"")</f>
        <v/>
      </c>
      <c r="I2849" s="391" t="str">
        <f ca="1">IFERROR(IF(VLOOKUP(C2849,' Disaggregation - Section E '!A$618:J3538,8,0)=0,"",VLOOKUP(C2849,' Disaggregation - Section E '!A$618:J3538,8,0)),"")</f>
        <v/>
      </c>
      <c r="J2849" s="391" t="str">
        <f ca="1">IFERROR(IF(VLOOKUP(C2849,' Disaggregation - Section E '!A$618:J3538,9,0)="","",VLOOKUP(C2849,' Disaggregation - Section E '!A$618:J3538,9,0)),"")</f>
        <v/>
      </c>
      <c r="K2849" s="387" t="str">
        <f ca="1">IFERROR(VLOOKUP(C2849,' Disaggregation - Section E '!A$618:J3538,3,0),"")</f>
        <v>VT-3 Percentage of women accessing antenatal care services who were tested for syphilis</v>
      </c>
      <c r="L2849" s="387"/>
      <c r="M2849" s="387" t="str">
        <f ca="1">IFERROR(IF(VLOOKUP(C2849,' Disaggregation - Section E '!A$618:O2341,15,0)=0,"",VLOOKUP(C2849,' Disaggregation - Section E '!A$618:O2341,15,0)),"")</f>
        <v/>
      </c>
      <c r="N2849" s="391" t="str">
        <f ca="1">IFERROR(IF(VLOOKUP(C2849,' Disaggregation - Section E '!A$618:J3538,10,0)=0,"",VLOOKUP(C2849,' Disaggregation - Section E '!A$618:J3538,10,0)),"")</f>
        <v/>
      </c>
      <c r="O2849" s="387"/>
      <c r="P2849" s="387" t="str">
        <f ca="1">IFERROR(IF(VLOOKUP(C2849,' Disaggregation - Section E '!A$618:R2341,18,0)=0,"",VLOOKUP(C2849,' Disaggregation - Section E '!A$618:R2341,18,0)),"")</f>
        <v/>
      </c>
    </row>
    <row r="2850" spans="1:16">
      <c r="A2850" s="387" t="b">
        <f t="shared" ca="1" si="175"/>
        <v>0</v>
      </c>
      <c r="B2850" s="387"/>
      <c r="C2850" s="396" t="str">
        <f ca="1">IF(COUNTA(O$1610:O2850)=1,"",OFFSET(B2848,-COUNTA(O$1610:O2850)+3,1))</f>
        <v>a16Dm000000M3zpIAC</v>
      </c>
      <c r="D2850" s="392"/>
      <c r="E2850" s="389" t="str">
        <f ca="1">IFERROR(IF(VLOOKUP(C2850,' Disaggregation - Section E '!A$618:J3539,7,0)="","",VLOOKUP(C2850,' Disaggregation - Section E '!A$618:J3539,7,0)*100),"")</f>
        <v/>
      </c>
      <c r="F2850" s="391" t="str">
        <f ca="1">IFERROR(VLOOKUP(C2850,' Disaggregation - Section E '!A$618:J3539,5,0),"")</f>
        <v/>
      </c>
      <c r="G2850" s="390" t="str">
        <f ca="1">IFERROR(IF(VLOOKUP(C2850,' Disaggregation - Section E '!A$618:J3539,6,0)="","",VLOOKUP(C2850,' Disaggregation - Section E '!A$618:J3539,6,0)),"")</f>
        <v/>
      </c>
      <c r="H2850" s="390" t="str">
        <f ca="1">IFERROR(IF(INDEX(' Disaggregation - Section E '!F$618:F3539,MATCH(C2850,' Disaggregation - Section E '!A$618:A3539,0)+1,1)&lt;&gt;0,INDEX(' Disaggregation - Section E '!F$618:F3539,MATCH(C2850,' Disaggregation - Section E '!A$618:A3539,0)+1,1),""),"")</f>
        <v/>
      </c>
      <c r="I2850" s="391" t="str">
        <f ca="1">IFERROR(IF(VLOOKUP(C2850,' Disaggregation - Section E '!A$618:J3539,8,0)=0,"",VLOOKUP(C2850,' Disaggregation - Section E '!A$618:J3539,8,0)),"")</f>
        <v/>
      </c>
      <c r="J2850" s="391" t="str">
        <f ca="1">IFERROR(IF(VLOOKUP(C2850,' Disaggregation - Section E '!A$618:J3539,9,0)="","",VLOOKUP(C2850,' Disaggregation - Section E '!A$618:J3539,9,0)),"")</f>
        <v/>
      </c>
      <c r="K2850" s="387" t="str">
        <f ca="1">IFERROR(VLOOKUP(C2850,' Disaggregation - Section E '!A$618:J3539,3,0),"")</f>
        <v>VT-3 Percentage of women accessing antenatal care services who were tested for syphilis</v>
      </c>
      <c r="L2850" s="387"/>
      <c r="M2850" s="387" t="str">
        <f ca="1">IFERROR(IF(VLOOKUP(C2850,' Disaggregation - Section E '!A$618:O2342,15,0)=0,"",VLOOKUP(C2850,' Disaggregation - Section E '!A$618:O2342,15,0)),"")</f>
        <v/>
      </c>
      <c r="N2850" s="391" t="str">
        <f ca="1">IFERROR(IF(VLOOKUP(C2850,' Disaggregation - Section E '!A$618:J3539,10,0)=0,"",VLOOKUP(C2850,' Disaggregation - Section E '!A$618:J3539,10,0)),"")</f>
        <v/>
      </c>
      <c r="O2850" s="387"/>
      <c r="P2850" s="387" t="str">
        <f ca="1">IFERROR(IF(VLOOKUP(C2850,' Disaggregation - Section E '!A$618:R2342,18,0)=0,"",VLOOKUP(C2850,' Disaggregation - Section E '!A$618:R2342,18,0)),"")</f>
        <v/>
      </c>
    </row>
    <row r="2851" spans="1:16">
      <c r="A2851" s="387" t="b">
        <f t="shared" ca="1" si="175"/>
        <v>0</v>
      </c>
      <c r="B2851" s="387"/>
      <c r="C2851" s="396" t="str">
        <f ca="1">IF(COUNTA(O$1610:O2851)=1,"",OFFSET(B2849,-COUNTA(O$1610:O2851)+3,1))</f>
        <v>a16Dm000000M3zqIAC</v>
      </c>
      <c r="D2851" s="392"/>
      <c r="E2851" s="389" t="str">
        <f ca="1">IFERROR(IF(VLOOKUP(C2851,' Disaggregation - Section E '!A$618:J3540,7,0)="","",VLOOKUP(C2851,' Disaggregation - Section E '!A$618:J3540,7,0)*100),"")</f>
        <v/>
      </c>
      <c r="F2851" s="391" t="str">
        <f ca="1">IFERROR(VLOOKUP(C2851,' Disaggregation - Section E '!A$618:J3540,5,0),"")</f>
        <v/>
      </c>
      <c r="G2851" s="390" t="str">
        <f ca="1">IFERROR(IF(VLOOKUP(C2851,' Disaggregation - Section E '!A$618:J3540,6,0)="","",VLOOKUP(C2851,' Disaggregation - Section E '!A$618:J3540,6,0)),"")</f>
        <v/>
      </c>
      <c r="H2851" s="390" t="str">
        <f ca="1">IFERROR(IF(INDEX(' Disaggregation - Section E '!F$618:F3540,MATCH(C2851,' Disaggregation - Section E '!A$618:A3540,0)+1,1)&lt;&gt;0,INDEX(' Disaggregation - Section E '!F$618:F3540,MATCH(C2851,' Disaggregation - Section E '!A$618:A3540,0)+1,1),""),"")</f>
        <v/>
      </c>
      <c r="I2851" s="391" t="str">
        <f ca="1">IFERROR(IF(VLOOKUP(C2851,' Disaggregation - Section E '!A$618:J3540,8,0)=0,"",VLOOKUP(C2851,' Disaggregation - Section E '!A$618:J3540,8,0)),"")</f>
        <v/>
      </c>
      <c r="J2851" s="391" t="str">
        <f ca="1">IFERROR(IF(VLOOKUP(C2851,' Disaggregation - Section E '!A$618:J3540,9,0)="","",VLOOKUP(C2851,' Disaggregation - Section E '!A$618:J3540,9,0)),"")</f>
        <v/>
      </c>
      <c r="K2851" s="387" t="str">
        <f ca="1">IFERROR(VLOOKUP(C2851,' Disaggregation - Section E '!A$618:J3540,3,0),"")</f>
        <v>HPM Other- 3: Pourcentage des établissements de santé disposant de médicaments traceurs pour la tuberculose le jour de la visite ou du rapportage</v>
      </c>
      <c r="L2851" s="387"/>
      <c r="M2851" s="387" t="str">
        <f ca="1">IFERROR(IF(VLOOKUP(C2851,' Disaggregation - Section E '!A$618:O2343,15,0)=0,"",VLOOKUP(C2851,' Disaggregation - Section E '!A$618:O2343,15,0)),"")</f>
        <v/>
      </c>
      <c r="N2851" s="391" t="str">
        <f ca="1">IFERROR(IF(VLOOKUP(C2851,' Disaggregation - Section E '!A$618:J3540,10,0)=0,"",VLOOKUP(C2851,' Disaggregation - Section E '!A$618:J3540,10,0)),"")</f>
        <v/>
      </c>
      <c r="O2851" s="387"/>
      <c r="P2851" s="387" t="str">
        <f ca="1">IFERROR(IF(VLOOKUP(C2851,' Disaggregation - Section E '!A$618:R2343,18,0)=0,"",VLOOKUP(C2851,' Disaggregation - Section E '!A$618:R2343,18,0)),"")</f>
        <v/>
      </c>
    </row>
    <row r="2852" spans="1:16">
      <c r="A2852" s="387" t="b">
        <f t="shared" ca="1" si="175"/>
        <v>0</v>
      </c>
      <c r="B2852" s="387"/>
      <c r="C2852" s="396" t="str">
        <f ca="1">IF(COUNTA(O$1610:O2852)=1,"",OFFSET(B2850,-COUNTA(O$1610:O2852)+3,1))</f>
        <v>a16Dm000000NK9XIAW</v>
      </c>
      <c r="D2852" s="392"/>
      <c r="E2852" s="389" t="str">
        <f ca="1">IFERROR(IF(VLOOKUP(C2852,' Disaggregation - Section E '!A$618:J3541,7,0)="","",VLOOKUP(C2852,' Disaggregation - Section E '!A$618:J3541,7,0)*100),"")</f>
        <v/>
      </c>
      <c r="F2852" s="391" t="str">
        <f ca="1">IFERROR(VLOOKUP(C2852,' Disaggregation - Section E '!A$618:J3541,5,0),"")</f>
        <v/>
      </c>
      <c r="G2852" s="390" t="str">
        <f ca="1">IFERROR(IF(VLOOKUP(C2852,' Disaggregation - Section E '!A$618:J3541,6,0)="","",VLOOKUP(C2852,' Disaggregation - Section E '!A$618:J3541,6,0)),"")</f>
        <v/>
      </c>
      <c r="H2852" s="390" t="str">
        <f ca="1">IFERROR(IF(INDEX(' Disaggregation - Section E '!F$618:F3541,MATCH(C2852,' Disaggregation - Section E '!A$618:A3541,0)+1,1)&lt;&gt;0,INDEX(' Disaggregation - Section E '!F$618:F3541,MATCH(C2852,' Disaggregation - Section E '!A$618:A3541,0)+1,1),""),"")</f>
        <v/>
      </c>
      <c r="I2852" s="391" t="str">
        <f ca="1">IFERROR(IF(VLOOKUP(C2852,' Disaggregation - Section E '!A$618:J3541,8,0)=0,"",VLOOKUP(C2852,' Disaggregation - Section E '!A$618:J3541,8,0)),"")</f>
        <v/>
      </c>
      <c r="J2852" s="391" t="str">
        <f ca="1">IFERROR(IF(VLOOKUP(C2852,' Disaggregation - Section E '!A$618:J3541,9,0)="","",VLOOKUP(C2852,' Disaggregation - Section E '!A$618:J3541,9,0)),"")</f>
        <v/>
      </c>
      <c r="K2852" s="387" t="str">
        <f ca="1">IFERROR(VLOOKUP(C2852,' Disaggregation - Section E '!A$618:J3541,3,0),"")</f>
        <v/>
      </c>
      <c r="L2852" s="387"/>
      <c r="M2852" s="387" t="str">
        <f ca="1">IFERROR(IF(VLOOKUP(C2852,' Disaggregation - Section E '!A$618:O2344,15,0)=0,"",VLOOKUP(C2852,' Disaggregation - Section E '!A$618:O2344,15,0)),"")</f>
        <v/>
      </c>
      <c r="N2852" s="391" t="str">
        <f ca="1">IFERROR(IF(VLOOKUP(C2852,' Disaggregation - Section E '!A$618:J3541,10,0)=0,"",VLOOKUP(C2852,' Disaggregation - Section E '!A$618:J3541,10,0)),"")</f>
        <v/>
      </c>
      <c r="O2852" s="387"/>
      <c r="P2852" s="387" t="str">
        <f ca="1">IFERROR(IF(VLOOKUP(C2852,' Disaggregation - Section E '!A$618:R2344,18,0)=0,"",VLOOKUP(C2852,' Disaggregation - Section E '!A$618:R2344,18,0)),"")</f>
        <v/>
      </c>
    </row>
    <row r="2853" spans="1:16">
      <c r="A2853" s="387" t="b">
        <f t="shared" ca="1" si="175"/>
        <v>0</v>
      </c>
      <c r="B2853" s="387"/>
      <c r="C2853" s="396" t="str">
        <f ca="1">IF(COUNTA(O$1610:O2853)=1,"",OFFSET(B2851,-COUNTA(O$1610:O2853)+3,1))</f>
        <v>a16Dm000000NK9YIAW</v>
      </c>
      <c r="D2853" s="392"/>
      <c r="E2853" s="389" t="str">
        <f ca="1">IFERROR(IF(VLOOKUP(C2853,' Disaggregation - Section E '!A$618:J3542,7,0)="","",VLOOKUP(C2853,' Disaggregation - Section E '!A$618:J3542,7,0)*100),"")</f>
        <v/>
      </c>
      <c r="F2853" s="391" t="str">
        <f ca="1">IFERROR(VLOOKUP(C2853,' Disaggregation - Section E '!A$618:J3542,5,0),"")</f>
        <v/>
      </c>
      <c r="G2853" s="390" t="str">
        <f ca="1">IFERROR(IF(VLOOKUP(C2853,' Disaggregation - Section E '!A$618:J3542,6,0)="","",VLOOKUP(C2853,' Disaggregation - Section E '!A$618:J3542,6,0)),"")</f>
        <v/>
      </c>
      <c r="H2853" s="390" t="str">
        <f ca="1">IFERROR(IF(INDEX(' Disaggregation - Section E '!F$618:F3542,MATCH(C2853,' Disaggregation - Section E '!A$618:A3542,0)+1,1)&lt;&gt;0,INDEX(' Disaggregation - Section E '!F$618:F3542,MATCH(C2853,' Disaggregation - Section E '!A$618:A3542,0)+1,1),""),"")</f>
        <v/>
      </c>
      <c r="I2853" s="391" t="str">
        <f ca="1">IFERROR(IF(VLOOKUP(C2853,' Disaggregation - Section E '!A$618:J3542,8,0)=0,"",VLOOKUP(C2853,' Disaggregation - Section E '!A$618:J3542,8,0)),"")</f>
        <v/>
      </c>
      <c r="J2853" s="391" t="str">
        <f ca="1">IFERROR(IF(VLOOKUP(C2853,' Disaggregation - Section E '!A$618:J3542,9,0)="","",VLOOKUP(C2853,' Disaggregation - Section E '!A$618:J3542,9,0)),"")</f>
        <v/>
      </c>
      <c r="K2853" s="387" t="str">
        <f ca="1">IFERROR(VLOOKUP(C2853,' Disaggregation - Section E '!A$618:J3542,3,0),"")</f>
        <v/>
      </c>
      <c r="L2853" s="387"/>
      <c r="M2853" s="387" t="str">
        <f ca="1">IFERROR(IF(VLOOKUP(C2853,' Disaggregation - Section E '!A$618:O2345,15,0)=0,"",VLOOKUP(C2853,' Disaggregation - Section E '!A$618:O2345,15,0)),"")</f>
        <v/>
      </c>
      <c r="N2853" s="391" t="str">
        <f ca="1">IFERROR(IF(VLOOKUP(C2853,' Disaggregation - Section E '!A$618:J3542,10,0)=0,"",VLOOKUP(C2853,' Disaggregation - Section E '!A$618:J3542,10,0)),"")</f>
        <v/>
      </c>
      <c r="O2853" s="387"/>
      <c r="P2853" s="387" t="str">
        <f ca="1">IFERROR(IF(VLOOKUP(C2853,' Disaggregation - Section E '!A$618:R2345,18,0)=0,"",VLOOKUP(C2853,' Disaggregation - Section E '!A$618:R2345,18,0)),"")</f>
        <v/>
      </c>
    </row>
    <row r="2854" spans="1:16">
      <c r="A2854" s="387" t="b">
        <f t="shared" ca="1" si="175"/>
        <v>0</v>
      </c>
      <c r="B2854" s="387"/>
      <c r="C2854" s="396" t="str">
        <f ca="1">IF(COUNTA(O$1610:O2854)=1,"",OFFSET(B2852,-COUNTA(O$1610:O2854)+3,1))</f>
        <v>a16Dm000000NK9ZIAW</v>
      </c>
      <c r="D2854" s="392"/>
      <c r="E2854" s="389" t="str">
        <f ca="1">IFERROR(IF(VLOOKUP(C2854,' Disaggregation - Section E '!A$618:J3543,7,0)="","",VLOOKUP(C2854,' Disaggregation - Section E '!A$618:J3543,7,0)*100),"")</f>
        <v/>
      </c>
      <c r="F2854" s="391" t="str">
        <f ca="1">IFERROR(VLOOKUP(C2854,' Disaggregation - Section E '!A$618:J3543,5,0),"")</f>
        <v/>
      </c>
      <c r="G2854" s="390" t="str">
        <f ca="1">IFERROR(IF(VLOOKUP(C2854,' Disaggregation - Section E '!A$618:J3543,6,0)="","",VLOOKUP(C2854,' Disaggregation - Section E '!A$618:J3543,6,0)),"")</f>
        <v/>
      </c>
      <c r="H2854" s="390" t="str">
        <f ca="1">IFERROR(IF(INDEX(' Disaggregation - Section E '!F$618:F3543,MATCH(C2854,' Disaggregation - Section E '!A$618:A3543,0)+1,1)&lt;&gt;0,INDEX(' Disaggregation - Section E '!F$618:F3543,MATCH(C2854,' Disaggregation - Section E '!A$618:A3543,0)+1,1),""),"")</f>
        <v/>
      </c>
      <c r="I2854" s="391" t="str">
        <f ca="1">IFERROR(IF(VLOOKUP(C2854,' Disaggregation - Section E '!A$618:J3543,8,0)=0,"",VLOOKUP(C2854,' Disaggregation - Section E '!A$618:J3543,8,0)),"")</f>
        <v/>
      </c>
      <c r="J2854" s="391" t="str">
        <f ca="1">IFERROR(IF(VLOOKUP(C2854,' Disaggregation - Section E '!A$618:J3543,9,0)="","",VLOOKUP(C2854,' Disaggregation - Section E '!A$618:J3543,9,0)),"")</f>
        <v/>
      </c>
      <c r="K2854" s="387" t="str">
        <f ca="1">IFERROR(VLOOKUP(C2854,' Disaggregation - Section E '!A$618:J3543,3,0),"")</f>
        <v/>
      </c>
      <c r="L2854" s="387"/>
      <c r="M2854" s="387" t="str">
        <f ca="1">IFERROR(IF(VLOOKUP(C2854,' Disaggregation - Section E '!A$618:O2346,15,0)=0,"",VLOOKUP(C2854,' Disaggregation - Section E '!A$618:O2346,15,0)),"")</f>
        <v/>
      </c>
      <c r="N2854" s="391" t="str">
        <f ca="1">IFERROR(IF(VLOOKUP(C2854,' Disaggregation - Section E '!A$618:J3543,10,0)=0,"",VLOOKUP(C2854,' Disaggregation - Section E '!A$618:J3543,10,0)),"")</f>
        <v/>
      </c>
      <c r="O2854" s="387"/>
      <c r="P2854" s="387" t="str">
        <f ca="1">IFERROR(IF(VLOOKUP(C2854,' Disaggregation - Section E '!A$618:R2346,18,0)=0,"",VLOOKUP(C2854,' Disaggregation - Section E '!A$618:R2346,18,0)),"")</f>
        <v/>
      </c>
    </row>
    <row r="2855" spans="1:16">
      <c r="A2855" s="387" t="b">
        <f t="shared" ca="1" si="175"/>
        <v>0</v>
      </c>
      <c r="B2855" s="387"/>
      <c r="C2855" s="396" t="str">
        <f ca="1">IF(COUNTA(O$1610:O2855)=1,"",OFFSET(B2853,-COUNTA(O$1610:O2855)+3,1))</f>
        <v>a16Dm000000NK9aIAG</v>
      </c>
      <c r="D2855" s="392"/>
      <c r="E2855" s="389" t="str">
        <f ca="1">IFERROR(IF(VLOOKUP(C2855,' Disaggregation - Section E '!A$618:J3544,7,0)="","",VLOOKUP(C2855,' Disaggregation - Section E '!A$618:J3544,7,0)*100),"")</f>
        <v/>
      </c>
      <c r="F2855" s="391" t="str">
        <f ca="1">IFERROR(VLOOKUP(C2855,' Disaggregation - Section E '!A$618:J3544,5,0),"")</f>
        <v/>
      </c>
      <c r="G2855" s="390" t="str">
        <f ca="1">IFERROR(IF(VLOOKUP(C2855,' Disaggregation - Section E '!A$618:J3544,6,0)="","",VLOOKUP(C2855,' Disaggregation - Section E '!A$618:J3544,6,0)),"")</f>
        <v/>
      </c>
      <c r="H2855" s="390" t="str">
        <f ca="1">IFERROR(IF(INDEX(' Disaggregation - Section E '!F$618:F3544,MATCH(C2855,' Disaggregation - Section E '!A$618:A3544,0)+1,1)&lt;&gt;0,INDEX(' Disaggregation - Section E '!F$618:F3544,MATCH(C2855,' Disaggregation - Section E '!A$618:A3544,0)+1,1),""),"")</f>
        <v/>
      </c>
      <c r="I2855" s="391" t="str">
        <f ca="1">IFERROR(IF(VLOOKUP(C2855,' Disaggregation - Section E '!A$618:J3544,8,0)=0,"",VLOOKUP(C2855,' Disaggregation - Section E '!A$618:J3544,8,0)),"")</f>
        <v/>
      </c>
      <c r="J2855" s="391" t="str">
        <f ca="1">IFERROR(IF(VLOOKUP(C2855,' Disaggregation - Section E '!A$618:J3544,9,0)="","",VLOOKUP(C2855,' Disaggregation - Section E '!A$618:J3544,9,0)),"")</f>
        <v/>
      </c>
      <c r="K2855" s="387" t="str">
        <f ca="1">IFERROR(VLOOKUP(C2855,' Disaggregation - Section E '!A$618:J3544,3,0),"")</f>
        <v/>
      </c>
      <c r="L2855" s="387"/>
      <c r="M2855" s="387" t="str">
        <f ca="1">IFERROR(IF(VLOOKUP(C2855,' Disaggregation - Section E '!A$618:O2347,15,0)=0,"",VLOOKUP(C2855,' Disaggregation - Section E '!A$618:O2347,15,0)),"")</f>
        <v/>
      </c>
      <c r="N2855" s="391" t="str">
        <f ca="1">IFERROR(IF(VLOOKUP(C2855,' Disaggregation - Section E '!A$618:J3544,10,0)=0,"",VLOOKUP(C2855,' Disaggregation - Section E '!A$618:J3544,10,0)),"")</f>
        <v/>
      </c>
      <c r="O2855" s="387"/>
      <c r="P2855" s="387" t="str">
        <f ca="1">IFERROR(IF(VLOOKUP(C2855,' Disaggregation - Section E '!A$618:R2347,18,0)=0,"",VLOOKUP(C2855,' Disaggregation - Section E '!A$618:R2347,18,0)),"")</f>
        <v/>
      </c>
    </row>
    <row r="2856" spans="1:16">
      <c r="A2856" s="387" t="b">
        <f t="shared" ca="1" si="175"/>
        <v>0</v>
      </c>
      <c r="B2856" s="387"/>
      <c r="C2856" s="396" t="str">
        <f ca="1">IF(COUNTA(O$1610:O2856)=1,"",OFFSET(B2854,-COUNTA(O$1610:O2856)+3,1))</f>
        <v>a16Dm000000NK9bIAG</v>
      </c>
      <c r="D2856" s="392"/>
      <c r="E2856" s="389" t="str">
        <f ca="1">IFERROR(IF(VLOOKUP(C2856,' Disaggregation - Section E '!A$618:J3545,7,0)="","",VLOOKUP(C2856,' Disaggregation - Section E '!A$618:J3545,7,0)*100),"")</f>
        <v/>
      </c>
      <c r="F2856" s="391" t="str">
        <f ca="1">IFERROR(VLOOKUP(C2856,' Disaggregation - Section E '!A$618:J3545,5,0),"")</f>
        <v/>
      </c>
      <c r="G2856" s="390" t="str">
        <f ca="1">IFERROR(IF(VLOOKUP(C2856,' Disaggregation - Section E '!A$618:J3545,6,0)="","",VLOOKUP(C2856,' Disaggregation - Section E '!A$618:J3545,6,0)),"")</f>
        <v/>
      </c>
      <c r="H2856" s="390" t="str">
        <f ca="1">IFERROR(IF(INDEX(' Disaggregation - Section E '!F$618:F3545,MATCH(C2856,' Disaggregation - Section E '!A$618:A3545,0)+1,1)&lt;&gt;0,INDEX(' Disaggregation - Section E '!F$618:F3545,MATCH(C2856,' Disaggregation - Section E '!A$618:A3545,0)+1,1),""),"")</f>
        <v/>
      </c>
      <c r="I2856" s="391" t="str">
        <f ca="1">IFERROR(IF(VLOOKUP(C2856,' Disaggregation - Section E '!A$618:J3545,8,0)=0,"",VLOOKUP(C2856,' Disaggregation - Section E '!A$618:J3545,8,0)),"")</f>
        <v/>
      </c>
      <c r="J2856" s="391" t="str">
        <f ca="1">IFERROR(IF(VLOOKUP(C2856,' Disaggregation - Section E '!A$618:J3545,9,0)="","",VLOOKUP(C2856,' Disaggregation - Section E '!A$618:J3545,9,0)),"")</f>
        <v/>
      </c>
      <c r="K2856" s="387" t="str">
        <f ca="1">IFERROR(VLOOKUP(C2856,' Disaggregation - Section E '!A$618:J3545,3,0),"")</f>
        <v/>
      </c>
      <c r="L2856" s="387"/>
      <c r="M2856" s="387" t="str">
        <f ca="1">IFERROR(IF(VLOOKUP(C2856,' Disaggregation - Section E '!A$618:O2348,15,0)=0,"",VLOOKUP(C2856,' Disaggregation - Section E '!A$618:O2348,15,0)),"")</f>
        <v/>
      </c>
      <c r="N2856" s="391" t="str">
        <f ca="1">IFERROR(IF(VLOOKUP(C2856,' Disaggregation - Section E '!A$618:J3545,10,0)=0,"",VLOOKUP(C2856,' Disaggregation - Section E '!A$618:J3545,10,0)),"")</f>
        <v/>
      </c>
      <c r="O2856" s="387"/>
      <c r="P2856" s="387" t="str">
        <f ca="1">IFERROR(IF(VLOOKUP(C2856,' Disaggregation - Section E '!A$618:R2348,18,0)=0,"",VLOOKUP(C2856,' Disaggregation - Section E '!A$618:R2348,18,0)),"")</f>
        <v/>
      </c>
    </row>
    <row r="2857" spans="1:16">
      <c r="A2857" s="387" t="b">
        <f t="shared" ca="1" si="175"/>
        <v>0</v>
      </c>
      <c r="B2857" s="387"/>
      <c r="C2857" s="396" t="str">
        <f ca="1">IF(COUNTA(O$1610:O2857)=1,"",OFFSET(B2855,-COUNTA(O$1610:O2857)+3,1))</f>
        <v>a16Dm000000NK9cIAG</v>
      </c>
      <c r="D2857" s="392"/>
      <c r="E2857" s="389" t="str">
        <f ca="1">IFERROR(IF(VLOOKUP(C2857,' Disaggregation - Section E '!A$618:J3546,7,0)="","",VLOOKUP(C2857,' Disaggregation - Section E '!A$618:J3546,7,0)*100),"")</f>
        <v/>
      </c>
      <c r="F2857" s="391" t="str">
        <f ca="1">IFERROR(VLOOKUP(C2857,' Disaggregation - Section E '!A$618:J3546,5,0),"")</f>
        <v/>
      </c>
      <c r="G2857" s="390" t="str">
        <f ca="1">IFERROR(IF(VLOOKUP(C2857,' Disaggregation - Section E '!A$618:J3546,6,0)="","",VLOOKUP(C2857,' Disaggregation - Section E '!A$618:J3546,6,0)),"")</f>
        <v/>
      </c>
      <c r="H2857" s="390" t="str">
        <f ca="1">IFERROR(IF(INDEX(' Disaggregation - Section E '!F$618:F3546,MATCH(C2857,' Disaggregation - Section E '!A$618:A3546,0)+1,1)&lt;&gt;0,INDEX(' Disaggregation - Section E '!F$618:F3546,MATCH(C2857,' Disaggregation - Section E '!A$618:A3546,0)+1,1),""),"")</f>
        <v/>
      </c>
      <c r="I2857" s="391" t="str">
        <f ca="1">IFERROR(IF(VLOOKUP(C2857,' Disaggregation - Section E '!A$618:J3546,8,0)=0,"",VLOOKUP(C2857,' Disaggregation - Section E '!A$618:J3546,8,0)),"")</f>
        <v/>
      </c>
      <c r="J2857" s="391" t="str">
        <f ca="1">IFERROR(IF(VLOOKUP(C2857,' Disaggregation - Section E '!A$618:J3546,9,0)="","",VLOOKUP(C2857,' Disaggregation - Section E '!A$618:J3546,9,0)),"")</f>
        <v/>
      </c>
      <c r="K2857" s="387" t="str">
        <f ca="1">IFERROR(VLOOKUP(C2857,' Disaggregation - Section E '!A$618:J3546,3,0),"")</f>
        <v/>
      </c>
      <c r="L2857" s="387"/>
      <c r="M2857" s="387" t="str">
        <f ca="1">IFERROR(IF(VLOOKUP(C2857,' Disaggregation - Section E '!A$618:O2349,15,0)=0,"",VLOOKUP(C2857,' Disaggregation - Section E '!A$618:O2349,15,0)),"")</f>
        <v/>
      </c>
      <c r="N2857" s="391" t="str">
        <f ca="1">IFERROR(IF(VLOOKUP(C2857,' Disaggregation - Section E '!A$618:J3546,10,0)=0,"",VLOOKUP(C2857,' Disaggregation - Section E '!A$618:J3546,10,0)),"")</f>
        <v/>
      </c>
      <c r="O2857" s="387"/>
      <c r="P2857" s="387" t="str">
        <f ca="1">IFERROR(IF(VLOOKUP(C2857,' Disaggregation - Section E '!A$618:R2349,18,0)=0,"",VLOOKUP(C2857,' Disaggregation - Section E '!A$618:R2349,18,0)),"")</f>
        <v/>
      </c>
    </row>
    <row r="2858" spans="1:16">
      <c r="A2858" s="387" t="b">
        <f t="shared" ca="1" si="175"/>
        <v>0</v>
      </c>
      <c r="B2858" s="387"/>
      <c r="C2858" s="396" t="str">
        <f ca="1">IF(COUNTA(O$1610:O2858)=1,"",OFFSET(B2856,-COUNTA(O$1610:O2858)+3,1))</f>
        <v>a16Dm000000NK9dIAG</v>
      </c>
      <c r="D2858" s="392"/>
      <c r="E2858" s="389" t="str">
        <f ca="1">IFERROR(IF(VLOOKUP(C2858,' Disaggregation - Section E '!A$618:J3547,7,0)="","",VLOOKUP(C2858,' Disaggregation - Section E '!A$618:J3547,7,0)*100),"")</f>
        <v/>
      </c>
      <c r="F2858" s="391" t="str">
        <f ca="1">IFERROR(VLOOKUP(C2858,' Disaggregation - Section E '!A$618:J3547,5,0),"")</f>
        <v/>
      </c>
      <c r="G2858" s="390" t="str">
        <f ca="1">IFERROR(IF(VLOOKUP(C2858,' Disaggregation - Section E '!A$618:J3547,6,0)="","",VLOOKUP(C2858,' Disaggregation - Section E '!A$618:J3547,6,0)),"")</f>
        <v/>
      </c>
      <c r="H2858" s="390" t="str">
        <f ca="1">IFERROR(IF(INDEX(' Disaggregation - Section E '!F$618:F3547,MATCH(C2858,' Disaggregation - Section E '!A$618:A3547,0)+1,1)&lt;&gt;0,INDEX(' Disaggregation - Section E '!F$618:F3547,MATCH(C2858,' Disaggregation - Section E '!A$618:A3547,0)+1,1),""),"")</f>
        <v/>
      </c>
      <c r="I2858" s="391" t="str">
        <f ca="1">IFERROR(IF(VLOOKUP(C2858,' Disaggregation - Section E '!A$618:J3547,8,0)=0,"",VLOOKUP(C2858,' Disaggregation - Section E '!A$618:J3547,8,0)),"")</f>
        <v/>
      </c>
      <c r="J2858" s="391" t="str">
        <f ca="1">IFERROR(IF(VLOOKUP(C2858,' Disaggregation - Section E '!A$618:J3547,9,0)="","",VLOOKUP(C2858,' Disaggregation - Section E '!A$618:J3547,9,0)),"")</f>
        <v/>
      </c>
      <c r="K2858" s="387" t="str">
        <f ca="1">IFERROR(VLOOKUP(C2858,' Disaggregation - Section E '!A$618:J3547,3,0),"")</f>
        <v/>
      </c>
      <c r="L2858" s="387"/>
      <c r="M2858" s="387" t="str">
        <f ca="1">IFERROR(IF(VLOOKUP(C2858,' Disaggregation - Section E '!A$618:O2350,15,0)=0,"",VLOOKUP(C2858,' Disaggregation - Section E '!A$618:O2350,15,0)),"")</f>
        <v/>
      </c>
      <c r="N2858" s="391" t="str">
        <f ca="1">IFERROR(IF(VLOOKUP(C2858,' Disaggregation - Section E '!A$618:J3547,10,0)=0,"",VLOOKUP(C2858,' Disaggregation - Section E '!A$618:J3547,10,0)),"")</f>
        <v/>
      </c>
      <c r="O2858" s="387"/>
      <c r="P2858" s="387" t="str">
        <f ca="1">IFERROR(IF(VLOOKUP(C2858,' Disaggregation - Section E '!A$618:R2350,18,0)=0,"",VLOOKUP(C2858,' Disaggregation - Section E '!A$618:R2350,18,0)),"")</f>
        <v/>
      </c>
    </row>
    <row r="2859" spans="1:16">
      <c r="A2859" s="387" t="b">
        <f t="shared" ca="1" si="175"/>
        <v>0</v>
      </c>
      <c r="B2859" s="387"/>
      <c r="C2859" s="396" t="str">
        <f ca="1">IF(COUNTA(O$1610:O2859)=1,"",OFFSET(B2857,-COUNTA(O$1610:O2859)+3,1))</f>
        <v>a16Dm000000NK9eIAG</v>
      </c>
      <c r="D2859" s="392"/>
      <c r="E2859" s="389" t="str">
        <f ca="1">IFERROR(IF(VLOOKUP(C2859,' Disaggregation - Section E '!A$618:J3548,7,0)="","",VLOOKUP(C2859,' Disaggregation - Section E '!A$618:J3548,7,0)*100),"")</f>
        <v/>
      </c>
      <c r="F2859" s="391" t="str">
        <f ca="1">IFERROR(VLOOKUP(C2859,' Disaggregation - Section E '!A$618:J3548,5,0),"")</f>
        <v/>
      </c>
      <c r="G2859" s="390" t="str">
        <f ca="1">IFERROR(IF(VLOOKUP(C2859,' Disaggregation - Section E '!A$618:J3548,6,0)="","",VLOOKUP(C2859,' Disaggregation - Section E '!A$618:J3548,6,0)),"")</f>
        <v/>
      </c>
      <c r="H2859" s="390" t="str">
        <f ca="1">IFERROR(IF(INDEX(' Disaggregation - Section E '!F$618:F3548,MATCH(C2859,' Disaggregation - Section E '!A$618:A3548,0)+1,1)&lt;&gt;0,INDEX(' Disaggregation - Section E '!F$618:F3548,MATCH(C2859,' Disaggregation - Section E '!A$618:A3548,0)+1,1),""),"")</f>
        <v/>
      </c>
      <c r="I2859" s="391" t="str">
        <f ca="1">IFERROR(IF(VLOOKUP(C2859,' Disaggregation - Section E '!A$618:J3548,8,0)=0,"",VLOOKUP(C2859,' Disaggregation - Section E '!A$618:J3548,8,0)),"")</f>
        <v/>
      </c>
      <c r="J2859" s="391" t="str">
        <f ca="1">IFERROR(IF(VLOOKUP(C2859,' Disaggregation - Section E '!A$618:J3548,9,0)="","",VLOOKUP(C2859,' Disaggregation - Section E '!A$618:J3548,9,0)),"")</f>
        <v/>
      </c>
      <c r="K2859" s="387" t="str">
        <f ca="1">IFERROR(VLOOKUP(C2859,' Disaggregation - Section E '!A$618:J3548,3,0),"")</f>
        <v/>
      </c>
      <c r="L2859" s="387"/>
      <c r="M2859" s="387" t="str">
        <f ca="1">IFERROR(IF(VLOOKUP(C2859,' Disaggregation - Section E '!A$618:O2351,15,0)=0,"",VLOOKUP(C2859,' Disaggregation - Section E '!A$618:O2351,15,0)),"")</f>
        <v/>
      </c>
      <c r="N2859" s="391" t="str">
        <f ca="1">IFERROR(IF(VLOOKUP(C2859,' Disaggregation - Section E '!A$618:J3548,10,0)=0,"",VLOOKUP(C2859,' Disaggregation - Section E '!A$618:J3548,10,0)),"")</f>
        <v/>
      </c>
      <c r="O2859" s="387"/>
      <c r="P2859" s="387" t="str">
        <f ca="1">IFERROR(IF(VLOOKUP(C2859,' Disaggregation - Section E '!A$618:R2351,18,0)=0,"",VLOOKUP(C2859,' Disaggregation - Section E '!A$618:R2351,18,0)),"")</f>
        <v/>
      </c>
    </row>
    <row r="2860" spans="1:16">
      <c r="A2860" s="387" t="b">
        <f t="shared" ca="1" si="175"/>
        <v>0</v>
      </c>
      <c r="B2860" s="387"/>
      <c r="C2860" s="396" t="str">
        <f ca="1">IF(COUNTA(O$1610:O2860)=1,"",OFFSET(B2858,-COUNTA(O$1610:O2860)+3,1))</f>
        <v>a16Dm000000NK9fIAG</v>
      </c>
      <c r="D2860" s="392"/>
      <c r="E2860" s="389" t="str">
        <f ca="1">IFERROR(IF(VLOOKUP(C2860,' Disaggregation - Section E '!A$618:J3549,7,0)="","",VLOOKUP(C2860,' Disaggregation - Section E '!A$618:J3549,7,0)*100),"")</f>
        <v/>
      </c>
      <c r="F2860" s="391" t="str">
        <f ca="1">IFERROR(VLOOKUP(C2860,' Disaggregation - Section E '!A$618:J3549,5,0),"")</f>
        <v/>
      </c>
      <c r="G2860" s="390" t="str">
        <f ca="1">IFERROR(IF(VLOOKUP(C2860,' Disaggregation - Section E '!A$618:J3549,6,0)="","",VLOOKUP(C2860,' Disaggregation - Section E '!A$618:J3549,6,0)),"")</f>
        <v/>
      </c>
      <c r="H2860" s="390" t="str">
        <f ca="1">IFERROR(IF(INDEX(' Disaggregation - Section E '!F$618:F3549,MATCH(C2860,' Disaggregation - Section E '!A$618:A3549,0)+1,1)&lt;&gt;0,INDEX(' Disaggregation - Section E '!F$618:F3549,MATCH(C2860,' Disaggregation - Section E '!A$618:A3549,0)+1,1),""),"")</f>
        <v/>
      </c>
      <c r="I2860" s="391" t="str">
        <f ca="1">IFERROR(IF(VLOOKUP(C2860,' Disaggregation - Section E '!A$618:J3549,8,0)=0,"",VLOOKUP(C2860,' Disaggregation - Section E '!A$618:J3549,8,0)),"")</f>
        <v/>
      </c>
      <c r="J2860" s="391" t="str">
        <f ca="1">IFERROR(IF(VLOOKUP(C2860,' Disaggregation - Section E '!A$618:J3549,9,0)="","",VLOOKUP(C2860,' Disaggregation - Section E '!A$618:J3549,9,0)),"")</f>
        <v/>
      </c>
      <c r="K2860" s="387" t="str">
        <f ca="1">IFERROR(VLOOKUP(C2860,' Disaggregation - Section E '!A$618:J3549,3,0),"")</f>
        <v/>
      </c>
      <c r="L2860" s="387"/>
      <c r="M2860" s="387" t="str">
        <f ca="1">IFERROR(IF(VLOOKUP(C2860,' Disaggregation - Section E '!A$618:O2352,15,0)=0,"",VLOOKUP(C2860,' Disaggregation - Section E '!A$618:O2352,15,0)),"")</f>
        <v/>
      </c>
      <c r="N2860" s="391" t="str">
        <f ca="1">IFERROR(IF(VLOOKUP(C2860,' Disaggregation - Section E '!A$618:J3549,10,0)=0,"",VLOOKUP(C2860,' Disaggregation - Section E '!A$618:J3549,10,0)),"")</f>
        <v/>
      </c>
      <c r="O2860" s="387"/>
      <c r="P2860" s="387" t="str">
        <f ca="1">IFERROR(IF(VLOOKUP(C2860,' Disaggregation - Section E '!A$618:R2352,18,0)=0,"",VLOOKUP(C2860,' Disaggregation - Section E '!A$618:R2352,18,0)),"")</f>
        <v/>
      </c>
    </row>
    <row r="2861" spans="1:16">
      <c r="A2861" s="387" t="b">
        <f t="shared" ca="1" si="175"/>
        <v>0</v>
      </c>
      <c r="B2861" s="387"/>
      <c r="C2861" s="396" t="str">
        <f ca="1">IF(COUNTA(O$1610:O2861)=1,"",OFFSET(B2859,-COUNTA(O$1610:O2861)+3,1))</f>
        <v>a16Dm000000NK9gIAG</v>
      </c>
      <c r="D2861" s="392"/>
      <c r="E2861" s="389" t="str">
        <f ca="1">IFERROR(IF(VLOOKUP(C2861,' Disaggregation - Section E '!A$618:J3550,7,0)="","",VLOOKUP(C2861,' Disaggregation - Section E '!A$618:J3550,7,0)*100),"")</f>
        <v/>
      </c>
      <c r="F2861" s="391" t="str">
        <f ca="1">IFERROR(VLOOKUP(C2861,' Disaggregation - Section E '!A$618:J3550,5,0),"")</f>
        <v/>
      </c>
      <c r="G2861" s="390" t="str">
        <f ca="1">IFERROR(IF(VLOOKUP(C2861,' Disaggregation - Section E '!A$618:J3550,6,0)="","",VLOOKUP(C2861,' Disaggregation - Section E '!A$618:J3550,6,0)),"")</f>
        <v/>
      </c>
      <c r="H2861" s="390" t="str">
        <f ca="1">IFERROR(IF(INDEX(' Disaggregation - Section E '!F$618:F3550,MATCH(C2861,' Disaggregation - Section E '!A$618:A3550,0)+1,1)&lt;&gt;0,INDEX(' Disaggregation - Section E '!F$618:F3550,MATCH(C2861,' Disaggregation - Section E '!A$618:A3550,0)+1,1),""),"")</f>
        <v/>
      </c>
      <c r="I2861" s="391" t="str">
        <f ca="1">IFERROR(IF(VLOOKUP(C2861,' Disaggregation - Section E '!A$618:J3550,8,0)=0,"",VLOOKUP(C2861,' Disaggregation - Section E '!A$618:J3550,8,0)),"")</f>
        <v/>
      </c>
      <c r="J2861" s="391" t="str">
        <f ca="1">IFERROR(IF(VLOOKUP(C2861,' Disaggregation - Section E '!A$618:J3550,9,0)="","",VLOOKUP(C2861,' Disaggregation - Section E '!A$618:J3550,9,0)),"")</f>
        <v/>
      </c>
      <c r="K2861" s="387" t="str">
        <f ca="1">IFERROR(VLOOKUP(C2861,' Disaggregation - Section E '!A$618:J3550,3,0),"")</f>
        <v/>
      </c>
      <c r="L2861" s="387"/>
      <c r="M2861" s="387" t="str">
        <f ca="1">IFERROR(IF(VLOOKUP(C2861,' Disaggregation - Section E '!A$618:O2353,15,0)=0,"",VLOOKUP(C2861,' Disaggregation - Section E '!A$618:O2353,15,0)),"")</f>
        <v/>
      </c>
      <c r="N2861" s="391" t="str">
        <f ca="1">IFERROR(IF(VLOOKUP(C2861,' Disaggregation - Section E '!A$618:J3550,10,0)=0,"",VLOOKUP(C2861,' Disaggregation - Section E '!A$618:J3550,10,0)),"")</f>
        <v/>
      </c>
      <c r="O2861" s="387"/>
      <c r="P2861" s="387" t="str">
        <f ca="1">IFERROR(IF(VLOOKUP(C2861,' Disaggregation - Section E '!A$618:R2353,18,0)=0,"",VLOOKUP(C2861,' Disaggregation - Section E '!A$618:R2353,18,0)),"")</f>
        <v/>
      </c>
    </row>
    <row r="2862" spans="1:16">
      <c r="A2862" s="387" t="b">
        <f t="shared" ca="1" si="175"/>
        <v>0</v>
      </c>
      <c r="B2862" s="387"/>
      <c r="C2862" s="396" t="str">
        <f ca="1">IF(COUNTA(O$1610:O2862)=1,"",OFFSET(B2860,-COUNTA(O$1610:O2862)+3,1))</f>
        <v>a16Dm000000NK9hIAG</v>
      </c>
      <c r="D2862" s="392"/>
      <c r="E2862" s="389" t="str">
        <f ca="1">IFERROR(IF(VLOOKUP(C2862,' Disaggregation - Section E '!A$618:J3551,7,0)="","",VLOOKUP(C2862,' Disaggregation - Section E '!A$618:J3551,7,0)*100),"")</f>
        <v/>
      </c>
      <c r="F2862" s="391" t="str">
        <f ca="1">IFERROR(VLOOKUP(C2862,' Disaggregation - Section E '!A$618:J3551,5,0),"")</f>
        <v/>
      </c>
      <c r="G2862" s="390" t="str">
        <f ca="1">IFERROR(IF(VLOOKUP(C2862,' Disaggregation - Section E '!A$618:J3551,6,0)="","",VLOOKUP(C2862,' Disaggregation - Section E '!A$618:J3551,6,0)),"")</f>
        <v/>
      </c>
      <c r="H2862" s="390" t="str">
        <f ca="1">IFERROR(IF(INDEX(' Disaggregation - Section E '!F$618:F3551,MATCH(C2862,' Disaggregation - Section E '!A$618:A3551,0)+1,1)&lt;&gt;0,INDEX(' Disaggregation - Section E '!F$618:F3551,MATCH(C2862,' Disaggregation - Section E '!A$618:A3551,0)+1,1),""),"")</f>
        <v/>
      </c>
      <c r="I2862" s="391" t="str">
        <f ca="1">IFERROR(IF(VLOOKUP(C2862,' Disaggregation - Section E '!A$618:J3551,8,0)=0,"",VLOOKUP(C2862,' Disaggregation - Section E '!A$618:J3551,8,0)),"")</f>
        <v/>
      </c>
      <c r="J2862" s="391" t="str">
        <f ca="1">IFERROR(IF(VLOOKUP(C2862,' Disaggregation - Section E '!A$618:J3551,9,0)="","",VLOOKUP(C2862,' Disaggregation - Section E '!A$618:J3551,9,0)),"")</f>
        <v/>
      </c>
      <c r="K2862" s="387" t="str">
        <f ca="1">IFERROR(VLOOKUP(C2862,' Disaggregation - Section E '!A$618:J3551,3,0),"")</f>
        <v/>
      </c>
      <c r="L2862" s="387"/>
      <c r="M2862" s="387" t="str">
        <f ca="1">IFERROR(IF(VLOOKUP(C2862,' Disaggregation - Section E '!A$618:O2354,15,0)=0,"",VLOOKUP(C2862,' Disaggregation - Section E '!A$618:O2354,15,0)),"")</f>
        <v/>
      </c>
      <c r="N2862" s="391" t="str">
        <f ca="1">IFERROR(IF(VLOOKUP(C2862,' Disaggregation - Section E '!A$618:J3551,10,0)=0,"",VLOOKUP(C2862,' Disaggregation - Section E '!A$618:J3551,10,0)),"")</f>
        <v/>
      </c>
      <c r="O2862" s="387"/>
      <c r="P2862" s="387" t="str">
        <f ca="1">IFERROR(IF(VLOOKUP(C2862,' Disaggregation - Section E '!A$618:R2354,18,0)=0,"",VLOOKUP(C2862,' Disaggregation - Section E '!A$618:R2354,18,0)),"")</f>
        <v/>
      </c>
    </row>
    <row r="2863" spans="1:16">
      <c r="A2863" s="387" t="b">
        <f t="shared" ca="1" si="175"/>
        <v>0</v>
      </c>
      <c r="B2863" s="387"/>
      <c r="C2863" s="396" t="str">
        <f ca="1">IF(COUNTA(O$1610:O2863)=1,"",OFFSET(B2861,-COUNTA(O$1610:O2863)+3,1))</f>
        <v>a16Dm000000NK9iIAG</v>
      </c>
      <c r="D2863" s="392"/>
      <c r="E2863" s="389" t="str">
        <f ca="1">IFERROR(IF(VLOOKUP(C2863,' Disaggregation - Section E '!A$618:J3552,7,0)="","",VLOOKUP(C2863,' Disaggregation - Section E '!A$618:J3552,7,0)*100),"")</f>
        <v/>
      </c>
      <c r="F2863" s="391" t="str">
        <f ca="1">IFERROR(VLOOKUP(C2863,' Disaggregation - Section E '!A$618:J3552,5,0),"")</f>
        <v/>
      </c>
      <c r="G2863" s="390" t="str">
        <f ca="1">IFERROR(IF(VLOOKUP(C2863,' Disaggregation - Section E '!A$618:J3552,6,0)="","",VLOOKUP(C2863,' Disaggregation - Section E '!A$618:J3552,6,0)),"")</f>
        <v/>
      </c>
      <c r="H2863" s="390" t="str">
        <f ca="1">IFERROR(IF(INDEX(' Disaggregation - Section E '!F$618:F3552,MATCH(C2863,' Disaggregation - Section E '!A$618:A3552,0)+1,1)&lt;&gt;0,INDEX(' Disaggregation - Section E '!F$618:F3552,MATCH(C2863,' Disaggregation - Section E '!A$618:A3552,0)+1,1),""),"")</f>
        <v/>
      </c>
      <c r="I2863" s="391" t="str">
        <f ca="1">IFERROR(IF(VLOOKUP(C2863,' Disaggregation - Section E '!A$618:J3552,8,0)=0,"",VLOOKUP(C2863,' Disaggregation - Section E '!A$618:J3552,8,0)),"")</f>
        <v/>
      </c>
      <c r="J2863" s="391" t="str">
        <f ca="1">IFERROR(IF(VLOOKUP(C2863,' Disaggregation - Section E '!A$618:J3552,9,0)="","",VLOOKUP(C2863,' Disaggregation - Section E '!A$618:J3552,9,0)),"")</f>
        <v/>
      </c>
      <c r="K2863" s="387" t="str">
        <f ca="1">IFERROR(VLOOKUP(C2863,' Disaggregation - Section E '!A$618:J3552,3,0),"")</f>
        <v/>
      </c>
      <c r="L2863" s="387"/>
      <c r="M2863" s="387" t="str">
        <f ca="1">IFERROR(IF(VLOOKUP(C2863,' Disaggregation - Section E '!A$618:O2355,15,0)=0,"",VLOOKUP(C2863,' Disaggregation - Section E '!A$618:O2355,15,0)),"")</f>
        <v/>
      </c>
      <c r="N2863" s="391" t="str">
        <f ca="1">IFERROR(IF(VLOOKUP(C2863,' Disaggregation - Section E '!A$618:J3552,10,0)=0,"",VLOOKUP(C2863,' Disaggregation - Section E '!A$618:J3552,10,0)),"")</f>
        <v/>
      </c>
      <c r="O2863" s="387"/>
      <c r="P2863" s="387" t="str">
        <f ca="1">IFERROR(IF(VLOOKUP(C2863,' Disaggregation - Section E '!A$618:R2355,18,0)=0,"",VLOOKUP(C2863,' Disaggregation - Section E '!A$618:R2355,18,0)),"")</f>
        <v/>
      </c>
    </row>
    <row r="2864" spans="1:16">
      <c r="A2864" s="387" t="b">
        <f t="shared" ca="1" si="175"/>
        <v>0</v>
      </c>
      <c r="B2864" s="387"/>
      <c r="C2864" s="396" t="str">
        <f ca="1">IF(COUNTA(O$1610:O2864)=1,"",OFFSET(B2862,-COUNTA(O$1610:O2864)+3,1))</f>
        <v>a16Dm000000NK9jIAG</v>
      </c>
      <c r="D2864" s="392"/>
      <c r="E2864" s="389" t="str">
        <f ca="1">IFERROR(IF(VLOOKUP(C2864,' Disaggregation - Section E '!A$618:J3553,7,0)="","",VLOOKUP(C2864,' Disaggregation - Section E '!A$618:J3553,7,0)*100),"")</f>
        <v/>
      </c>
      <c r="F2864" s="391" t="str">
        <f ca="1">IFERROR(VLOOKUP(C2864,' Disaggregation - Section E '!A$618:J3553,5,0),"")</f>
        <v/>
      </c>
      <c r="G2864" s="390" t="str">
        <f ca="1">IFERROR(IF(VLOOKUP(C2864,' Disaggregation - Section E '!A$618:J3553,6,0)="","",VLOOKUP(C2864,' Disaggregation - Section E '!A$618:J3553,6,0)),"")</f>
        <v/>
      </c>
      <c r="H2864" s="390" t="str">
        <f ca="1">IFERROR(IF(INDEX(' Disaggregation - Section E '!F$618:F3553,MATCH(C2864,' Disaggregation - Section E '!A$618:A3553,0)+1,1)&lt;&gt;0,INDEX(' Disaggregation - Section E '!F$618:F3553,MATCH(C2864,' Disaggregation - Section E '!A$618:A3553,0)+1,1),""),"")</f>
        <v/>
      </c>
      <c r="I2864" s="391" t="str">
        <f ca="1">IFERROR(IF(VLOOKUP(C2864,' Disaggregation - Section E '!A$618:J3553,8,0)=0,"",VLOOKUP(C2864,' Disaggregation - Section E '!A$618:J3553,8,0)),"")</f>
        <v/>
      </c>
      <c r="J2864" s="391" t="str">
        <f ca="1">IFERROR(IF(VLOOKUP(C2864,' Disaggregation - Section E '!A$618:J3553,9,0)="","",VLOOKUP(C2864,' Disaggregation - Section E '!A$618:J3553,9,0)),"")</f>
        <v/>
      </c>
      <c r="K2864" s="387" t="str">
        <f ca="1">IFERROR(VLOOKUP(C2864,' Disaggregation - Section E '!A$618:J3553,3,0),"")</f>
        <v/>
      </c>
      <c r="L2864" s="387"/>
      <c r="M2864" s="387" t="str">
        <f ca="1">IFERROR(IF(VLOOKUP(C2864,' Disaggregation - Section E '!A$618:O2356,15,0)=0,"",VLOOKUP(C2864,' Disaggregation - Section E '!A$618:O2356,15,0)),"")</f>
        <v/>
      </c>
      <c r="N2864" s="391" t="str">
        <f ca="1">IFERROR(IF(VLOOKUP(C2864,' Disaggregation - Section E '!A$618:J3553,10,0)=0,"",VLOOKUP(C2864,' Disaggregation - Section E '!A$618:J3553,10,0)),"")</f>
        <v/>
      </c>
      <c r="O2864" s="387"/>
      <c r="P2864" s="387" t="str">
        <f ca="1">IFERROR(IF(VLOOKUP(C2864,' Disaggregation - Section E '!A$618:R2356,18,0)=0,"",VLOOKUP(C2864,' Disaggregation - Section E '!A$618:R2356,18,0)),"")</f>
        <v/>
      </c>
    </row>
    <row r="2865" spans="1:16">
      <c r="A2865" s="387" t="b">
        <f t="shared" ca="1" si="175"/>
        <v>0</v>
      </c>
      <c r="B2865" s="387"/>
      <c r="C2865" s="396" t="str">
        <f ca="1">IF(COUNTA(O$1610:O2865)=1,"",OFFSET(B2863,-COUNTA(O$1610:O2865)+3,1))</f>
        <v>a16Dm000000NK9kIAG</v>
      </c>
      <c r="D2865" s="392"/>
      <c r="E2865" s="389" t="str">
        <f ca="1">IFERROR(IF(VLOOKUP(C2865,' Disaggregation - Section E '!A$618:J3554,7,0)="","",VLOOKUP(C2865,' Disaggregation - Section E '!A$618:J3554,7,0)*100),"")</f>
        <v/>
      </c>
      <c r="F2865" s="391" t="str">
        <f ca="1">IFERROR(VLOOKUP(C2865,' Disaggregation - Section E '!A$618:J3554,5,0),"")</f>
        <v/>
      </c>
      <c r="G2865" s="390" t="str">
        <f ca="1">IFERROR(IF(VLOOKUP(C2865,' Disaggregation - Section E '!A$618:J3554,6,0)="","",VLOOKUP(C2865,' Disaggregation - Section E '!A$618:J3554,6,0)),"")</f>
        <v/>
      </c>
      <c r="H2865" s="390" t="str">
        <f ca="1">IFERROR(IF(INDEX(' Disaggregation - Section E '!F$618:F3554,MATCH(C2865,' Disaggregation - Section E '!A$618:A3554,0)+1,1)&lt;&gt;0,INDEX(' Disaggregation - Section E '!F$618:F3554,MATCH(C2865,' Disaggregation - Section E '!A$618:A3554,0)+1,1),""),"")</f>
        <v/>
      </c>
      <c r="I2865" s="391" t="str">
        <f ca="1">IFERROR(IF(VLOOKUP(C2865,' Disaggregation - Section E '!A$618:J3554,8,0)=0,"",VLOOKUP(C2865,' Disaggregation - Section E '!A$618:J3554,8,0)),"")</f>
        <v/>
      </c>
      <c r="J2865" s="391" t="str">
        <f ca="1">IFERROR(IF(VLOOKUP(C2865,' Disaggregation - Section E '!A$618:J3554,9,0)="","",VLOOKUP(C2865,' Disaggregation - Section E '!A$618:J3554,9,0)),"")</f>
        <v/>
      </c>
      <c r="K2865" s="387" t="str">
        <f ca="1">IFERROR(VLOOKUP(C2865,' Disaggregation - Section E '!A$618:J3554,3,0),"")</f>
        <v/>
      </c>
      <c r="L2865" s="387"/>
      <c r="M2865" s="387" t="str">
        <f ca="1">IFERROR(IF(VLOOKUP(C2865,' Disaggregation - Section E '!A$618:O2357,15,0)=0,"",VLOOKUP(C2865,' Disaggregation - Section E '!A$618:O2357,15,0)),"")</f>
        <v/>
      </c>
      <c r="N2865" s="391" t="str">
        <f ca="1">IFERROR(IF(VLOOKUP(C2865,' Disaggregation - Section E '!A$618:J3554,10,0)=0,"",VLOOKUP(C2865,' Disaggregation - Section E '!A$618:J3554,10,0)),"")</f>
        <v/>
      </c>
      <c r="O2865" s="387"/>
      <c r="P2865" s="387" t="str">
        <f ca="1">IFERROR(IF(VLOOKUP(C2865,' Disaggregation - Section E '!A$618:R2357,18,0)=0,"",VLOOKUP(C2865,' Disaggregation - Section E '!A$618:R2357,18,0)),"")</f>
        <v/>
      </c>
    </row>
    <row r="2866" spans="1:16">
      <c r="A2866" s="387" t="b">
        <f t="shared" ca="1" si="175"/>
        <v>0</v>
      </c>
      <c r="B2866" s="387"/>
      <c r="C2866" s="396" t="str">
        <f ca="1">IF(COUNTA(O$1610:O2866)=1,"",OFFSET(B2864,-COUNTA(O$1610:O2866)+3,1))</f>
        <v>a16Dm000000NK9lIAG</v>
      </c>
      <c r="D2866" s="392"/>
      <c r="E2866" s="389" t="str">
        <f ca="1">IFERROR(IF(VLOOKUP(C2866,' Disaggregation - Section E '!A$618:J3555,7,0)="","",VLOOKUP(C2866,' Disaggregation - Section E '!A$618:J3555,7,0)*100),"")</f>
        <v/>
      </c>
      <c r="F2866" s="391" t="str">
        <f ca="1">IFERROR(VLOOKUP(C2866,' Disaggregation - Section E '!A$618:J3555,5,0),"")</f>
        <v/>
      </c>
      <c r="G2866" s="390" t="str">
        <f ca="1">IFERROR(IF(VLOOKUP(C2866,' Disaggregation - Section E '!A$618:J3555,6,0)="","",VLOOKUP(C2866,' Disaggregation - Section E '!A$618:J3555,6,0)),"")</f>
        <v/>
      </c>
      <c r="H2866" s="390" t="str">
        <f ca="1">IFERROR(IF(INDEX(' Disaggregation - Section E '!F$618:F3555,MATCH(C2866,' Disaggregation - Section E '!A$618:A3555,0)+1,1)&lt;&gt;0,INDEX(' Disaggregation - Section E '!F$618:F3555,MATCH(C2866,' Disaggregation - Section E '!A$618:A3555,0)+1,1),""),"")</f>
        <v/>
      </c>
      <c r="I2866" s="391" t="str">
        <f ca="1">IFERROR(IF(VLOOKUP(C2866,' Disaggregation - Section E '!A$618:J3555,8,0)=0,"",VLOOKUP(C2866,' Disaggregation - Section E '!A$618:J3555,8,0)),"")</f>
        <v/>
      </c>
      <c r="J2866" s="391" t="str">
        <f ca="1">IFERROR(IF(VLOOKUP(C2866,' Disaggregation - Section E '!A$618:J3555,9,0)="","",VLOOKUP(C2866,' Disaggregation - Section E '!A$618:J3555,9,0)),"")</f>
        <v/>
      </c>
      <c r="K2866" s="387" t="str">
        <f ca="1">IFERROR(VLOOKUP(C2866,' Disaggregation - Section E '!A$618:J3555,3,0),"")</f>
        <v/>
      </c>
      <c r="L2866" s="387"/>
      <c r="M2866" s="387" t="str">
        <f ca="1">IFERROR(IF(VLOOKUP(C2866,' Disaggregation - Section E '!A$618:O2358,15,0)=0,"",VLOOKUP(C2866,' Disaggregation - Section E '!A$618:O2358,15,0)),"")</f>
        <v/>
      </c>
      <c r="N2866" s="391" t="str">
        <f ca="1">IFERROR(IF(VLOOKUP(C2866,' Disaggregation - Section E '!A$618:J3555,10,0)=0,"",VLOOKUP(C2866,' Disaggregation - Section E '!A$618:J3555,10,0)),"")</f>
        <v/>
      </c>
      <c r="O2866" s="387"/>
      <c r="P2866" s="387" t="str">
        <f ca="1">IFERROR(IF(VLOOKUP(C2866,' Disaggregation - Section E '!A$618:R2358,18,0)=0,"",VLOOKUP(C2866,' Disaggregation - Section E '!A$618:R2358,18,0)),"")</f>
        <v/>
      </c>
    </row>
    <row r="2867" spans="1:16">
      <c r="A2867" s="387" t="b">
        <f t="shared" ca="1" si="175"/>
        <v>0</v>
      </c>
      <c r="B2867" s="387"/>
      <c r="C2867" s="396" t="str">
        <f ca="1">IF(COUNTA(O$1610:O2867)=1,"",OFFSET(B2865,-COUNTA(O$1610:O2867)+3,1))</f>
        <v>a16Dm000000NK9mIAG</v>
      </c>
      <c r="D2867" s="392"/>
      <c r="E2867" s="389" t="str">
        <f ca="1">IFERROR(IF(VLOOKUP(C2867,' Disaggregation - Section E '!A$618:J3556,7,0)="","",VLOOKUP(C2867,' Disaggregation - Section E '!A$618:J3556,7,0)*100),"")</f>
        <v/>
      </c>
      <c r="F2867" s="391" t="str">
        <f ca="1">IFERROR(VLOOKUP(C2867,' Disaggregation - Section E '!A$618:J3556,5,0),"")</f>
        <v/>
      </c>
      <c r="G2867" s="390" t="str">
        <f ca="1">IFERROR(IF(VLOOKUP(C2867,' Disaggregation - Section E '!A$618:J3556,6,0)="","",VLOOKUP(C2867,' Disaggregation - Section E '!A$618:J3556,6,0)),"")</f>
        <v/>
      </c>
      <c r="H2867" s="390" t="str">
        <f ca="1">IFERROR(IF(INDEX(' Disaggregation - Section E '!F$618:F3556,MATCH(C2867,' Disaggregation - Section E '!A$618:A3556,0)+1,1)&lt;&gt;0,INDEX(' Disaggregation - Section E '!F$618:F3556,MATCH(C2867,' Disaggregation - Section E '!A$618:A3556,0)+1,1),""),"")</f>
        <v/>
      </c>
      <c r="I2867" s="391" t="str">
        <f ca="1">IFERROR(IF(VLOOKUP(C2867,' Disaggregation - Section E '!A$618:J3556,8,0)=0,"",VLOOKUP(C2867,' Disaggregation - Section E '!A$618:J3556,8,0)),"")</f>
        <v/>
      </c>
      <c r="J2867" s="391" t="str">
        <f ca="1">IFERROR(IF(VLOOKUP(C2867,' Disaggregation - Section E '!A$618:J3556,9,0)="","",VLOOKUP(C2867,' Disaggregation - Section E '!A$618:J3556,9,0)),"")</f>
        <v/>
      </c>
      <c r="K2867" s="387" t="str">
        <f ca="1">IFERROR(VLOOKUP(C2867,' Disaggregation - Section E '!A$618:J3556,3,0),"")</f>
        <v/>
      </c>
      <c r="L2867" s="387"/>
      <c r="M2867" s="387" t="str">
        <f ca="1">IFERROR(IF(VLOOKUP(C2867,' Disaggregation - Section E '!A$618:O2359,15,0)=0,"",VLOOKUP(C2867,' Disaggregation - Section E '!A$618:O2359,15,0)),"")</f>
        <v/>
      </c>
      <c r="N2867" s="391" t="str">
        <f ca="1">IFERROR(IF(VLOOKUP(C2867,' Disaggregation - Section E '!A$618:J3556,10,0)=0,"",VLOOKUP(C2867,' Disaggregation - Section E '!A$618:J3556,10,0)),"")</f>
        <v/>
      </c>
      <c r="O2867" s="387"/>
      <c r="P2867" s="387" t="str">
        <f ca="1">IFERROR(IF(VLOOKUP(C2867,' Disaggregation - Section E '!A$618:R2359,18,0)=0,"",VLOOKUP(C2867,' Disaggregation - Section E '!A$618:R2359,18,0)),"")</f>
        <v/>
      </c>
    </row>
    <row r="2868" spans="1:16">
      <c r="A2868" s="387" t="b">
        <f t="shared" ca="1" si="175"/>
        <v>0</v>
      </c>
      <c r="B2868" s="387"/>
      <c r="C2868" s="396" t="str">
        <f ca="1">IF(COUNTA(O$1610:O2868)=1,"",OFFSET(B2866,-COUNTA(O$1610:O2868)+3,1))</f>
        <v>a16Dm000000NK9nIAG</v>
      </c>
      <c r="D2868" s="392"/>
      <c r="E2868" s="389" t="str">
        <f ca="1">IFERROR(IF(VLOOKUP(C2868,' Disaggregation - Section E '!A$618:J3557,7,0)="","",VLOOKUP(C2868,' Disaggregation - Section E '!A$618:J3557,7,0)*100),"")</f>
        <v/>
      </c>
      <c r="F2868" s="391" t="str">
        <f ca="1">IFERROR(VLOOKUP(C2868,' Disaggregation - Section E '!A$618:J3557,5,0),"")</f>
        <v/>
      </c>
      <c r="G2868" s="390" t="str">
        <f ca="1">IFERROR(IF(VLOOKUP(C2868,' Disaggregation - Section E '!A$618:J3557,6,0)="","",VLOOKUP(C2868,' Disaggregation - Section E '!A$618:J3557,6,0)),"")</f>
        <v/>
      </c>
      <c r="H2868" s="390" t="str">
        <f ca="1">IFERROR(IF(INDEX(' Disaggregation - Section E '!F$618:F3557,MATCH(C2868,' Disaggregation - Section E '!A$618:A3557,0)+1,1)&lt;&gt;0,INDEX(' Disaggregation - Section E '!F$618:F3557,MATCH(C2868,' Disaggregation - Section E '!A$618:A3557,0)+1,1),""),"")</f>
        <v/>
      </c>
      <c r="I2868" s="391" t="str">
        <f ca="1">IFERROR(IF(VLOOKUP(C2868,' Disaggregation - Section E '!A$618:J3557,8,0)=0,"",VLOOKUP(C2868,' Disaggregation - Section E '!A$618:J3557,8,0)),"")</f>
        <v/>
      </c>
      <c r="J2868" s="391" t="str">
        <f ca="1">IFERROR(IF(VLOOKUP(C2868,' Disaggregation - Section E '!A$618:J3557,9,0)="","",VLOOKUP(C2868,' Disaggregation - Section E '!A$618:J3557,9,0)),"")</f>
        <v/>
      </c>
      <c r="K2868" s="387" t="str">
        <f ca="1">IFERROR(VLOOKUP(C2868,' Disaggregation - Section E '!A$618:J3557,3,0),"")</f>
        <v/>
      </c>
      <c r="L2868" s="387"/>
      <c r="M2868" s="387" t="str">
        <f ca="1">IFERROR(IF(VLOOKUP(C2868,' Disaggregation - Section E '!A$618:O2360,15,0)=0,"",VLOOKUP(C2868,' Disaggregation - Section E '!A$618:O2360,15,0)),"")</f>
        <v/>
      </c>
      <c r="N2868" s="391" t="str">
        <f ca="1">IFERROR(IF(VLOOKUP(C2868,' Disaggregation - Section E '!A$618:J3557,10,0)=0,"",VLOOKUP(C2868,' Disaggregation - Section E '!A$618:J3557,10,0)),"")</f>
        <v/>
      </c>
      <c r="O2868" s="387"/>
      <c r="P2868" s="387" t="str">
        <f ca="1">IFERROR(IF(VLOOKUP(C2868,' Disaggregation - Section E '!A$618:R2360,18,0)=0,"",VLOOKUP(C2868,' Disaggregation - Section E '!A$618:R2360,18,0)),"")</f>
        <v/>
      </c>
    </row>
    <row r="2869" spans="1:16">
      <c r="A2869" s="387" t="b">
        <f t="shared" ca="1" si="175"/>
        <v>0</v>
      </c>
      <c r="B2869" s="387"/>
      <c r="C2869" s="396" t="str">
        <f ca="1">IF(COUNTA(O$1610:O2869)=1,"",OFFSET(B2867,-COUNTA(O$1610:O2869)+3,1))</f>
        <v>a16Dm000000NK9oIAG</v>
      </c>
      <c r="D2869" s="392"/>
      <c r="E2869" s="389" t="str">
        <f ca="1">IFERROR(IF(VLOOKUP(C2869,' Disaggregation - Section E '!A$618:J3558,7,0)="","",VLOOKUP(C2869,' Disaggregation - Section E '!A$618:J3558,7,0)*100),"")</f>
        <v/>
      </c>
      <c r="F2869" s="391" t="str">
        <f ca="1">IFERROR(VLOOKUP(C2869,' Disaggregation - Section E '!A$618:J3558,5,0),"")</f>
        <v/>
      </c>
      <c r="G2869" s="390" t="str">
        <f ca="1">IFERROR(IF(VLOOKUP(C2869,' Disaggregation - Section E '!A$618:J3558,6,0)="","",VLOOKUP(C2869,' Disaggregation - Section E '!A$618:J3558,6,0)),"")</f>
        <v/>
      </c>
      <c r="H2869" s="390" t="str">
        <f ca="1">IFERROR(IF(INDEX(' Disaggregation - Section E '!F$618:F3558,MATCH(C2869,' Disaggregation - Section E '!A$618:A3558,0)+1,1)&lt;&gt;0,INDEX(' Disaggregation - Section E '!F$618:F3558,MATCH(C2869,' Disaggregation - Section E '!A$618:A3558,0)+1,1),""),"")</f>
        <v/>
      </c>
      <c r="I2869" s="391" t="str">
        <f ca="1">IFERROR(IF(VLOOKUP(C2869,' Disaggregation - Section E '!A$618:J3558,8,0)=0,"",VLOOKUP(C2869,' Disaggregation - Section E '!A$618:J3558,8,0)),"")</f>
        <v/>
      </c>
      <c r="J2869" s="391" t="str">
        <f ca="1">IFERROR(IF(VLOOKUP(C2869,' Disaggregation - Section E '!A$618:J3558,9,0)="","",VLOOKUP(C2869,' Disaggregation - Section E '!A$618:J3558,9,0)),"")</f>
        <v/>
      </c>
      <c r="K2869" s="387" t="str">
        <f ca="1">IFERROR(VLOOKUP(C2869,' Disaggregation - Section E '!A$618:J3558,3,0),"")</f>
        <v/>
      </c>
      <c r="L2869" s="387"/>
      <c r="M2869" s="387" t="str">
        <f ca="1">IFERROR(IF(VLOOKUP(C2869,' Disaggregation - Section E '!A$618:O2361,15,0)=0,"",VLOOKUP(C2869,' Disaggregation - Section E '!A$618:O2361,15,0)),"")</f>
        <v/>
      </c>
      <c r="N2869" s="391" t="str">
        <f ca="1">IFERROR(IF(VLOOKUP(C2869,' Disaggregation - Section E '!A$618:J3558,10,0)=0,"",VLOOKUP(C2869,' Disaggregation - Section E '!A$618:J3558,10,0)),"")</f>
        <v/>
      </c>
      <c r="O2869" s="387"/>
      <c r="P2869" s="387" t="str">
        <f ca="1">IFERROR(IF(VLOOKUP(C2869,' Disaggregation - Section E '!A$618:R2361,18,0)=0,"",VLOOKUP(C2869,' Disaggregation - Section E '!A$618:R2361,18,0)),"")</f>
        <v/>
      </c>
    </row>
    <row r="2870" spans="1:16">
      <c r="A2870" s="387" t="b">
        <f t="shared" ca="1" si="175"/>
        <v>0</v>
      </c>
      <c r="B2870" s="387"/>
      <c r="C2870" s="396" t="str">
        <f ca="1">IF(COUNTA(O$1610:O2870)=1,"",OFFSET(B2868,-COUNTA(O$1610:O2870)+3,1))</f>
        <v>a16Dm000000NK9pIAG</v>
      </c>
      <c r="D2870" s="392"/>
      <c r="E2870" s="389" t="str">
        <f ca="1">IFERROR(IF(VLOOKUP(C2870,' Disaggregation - Section E '!A$618:J3559,7,0)="","",VLOOKUP(C2870,' Disaggregation - Section E '!A$618:J3559,7,0)*100),"")</f>
        <v/>
      </c>
      <c r="F2870" s="391" t="str">
        <f ca="1">IFERROR(VLOOKUP(C2870,' Disaggregation - Section E '!A$618:J3559,5,0),"")</f>
        <v/>
      </c>
      <c r="G2870" s="390" t="str">
        <f ca="1">IFERROR(IF(VLOOKUP(C2870,' Disaggregation - Section E '!A$618:J3559,6,0)="","",VLOOKUP(C2870,' Disaggregation - Section E '!A$618:J3559,6,0)),"")</f>
        <v/>
      </c>
      <c r="H2870" s="390" t="str">
        <f ca="1">IFERROR(IF(INDEX(' Disaggregation - Section E '!F$618:F3559,MATCH(C2870,' Disaggregation - Section E '!A$618:A3559,0)+1,1)&lt;&gt;0,INDEX(' Disaggregation - Section E '!F$618:F3559,MATCH(C2870,' Disaggregation - Section E '!A$618:A3559,0)+1,1),""),"")</f>
        <v/>
      </c>
      <c r="I2870" s="391" t="str">
        <f ca="1">IFERROR(IF(VLOOKUP(C2870,' Disaggregation - Section E '!A$618:J3559,8,0)=0,"",VLOOKUP(C2870,' Disaggregation - Section E '!A$618:J3559,8,0)),"")</f>
        <v/>
      </c>
      <c r="J2870" s="391" t="str">
        <f ca="1">IFERROR(IF(VLOOKUP(C2870,' Disaggregation - Section E '!A$618:J3559,9,0)="","",VLOOKUP(C2870,' Disaggregation - Section E '!A$618:J3559,9,0)),"")</f>
        <v/>
      </c>
      <c r="K2870" s="387" t="str">
        <f ca="1">IFERROR(VLOOKUP(C2870,' Disaggregation - Section E '!A$618:J3559,3,0),"")</f>
        <v/>
      </c>
      <c r="L2870" s="387"/>
      <c r="M2870" s="387" t="str">
        <f ca="1">IFERROR(IF(VLOOKUP(C2870,' Disaggregation - Section E '!A$618:O2362,15,0)=0,"",VLOOKUP(C2870,' Disaggregation - Section E '!A$618:O2362,15,0)),"")</f>
        <v/>
      </c>
      <c r="N2870" s="391" t="str">
        <f ca="1">IFERROR(IF(VLOOKUP(C2870,' Disaggregation - Section E '!A$618:J3559,10,0)=0,"",VLOOKUP(C2870,' Disaggregation - Section E '!A$618:J3559,10,0)),"")</f>
        <v/>
      </c>
      <c r="O2870" s="387"/>
      <c r="P2870" s="387" t="str">
        <f ca="1">IFERROR(IF(VLOOKUP(C2870,' Disaggregation - Section E '!A$618:R2362,18,0)=0,"",VLOOKUP(C2870,' Disaggregation - Section E '!A$618:R2362,18,0)),"")</f>
        <v/>
      </c>
    </row>
    <row r="2871" spans="1:16">
      <c r="A2871" s="387" t="b">
        <f t="shared" ca="1" si="175"/>
        <v>0</v>
      </c>
      <c r="B2871" s="387"/>
      <c r="C2871" s="396" t="str">
        <f ca="1">IF(COUNTA(O$1610:O2871)=1,"",OFFSET(B2869,-COUNTA(O$1610:O2871)+3,1))</f>
        <v>a16Dm000000NK9qIAG</v>
      </c>
      <c r="D2871" s="392"/>
      <c r="E2871" s="389" t="str">
        <f ca="1">IFERROR(IF(VLOOKUP(C2871,' Disaggregation - Section E '!A$618:J3560,7,0)="","",VLOOKUP(C2871,' Disaggregation - Section E '!A$618:J3560,7,0)*100),"")</f>
        <v/>
      </c>
      <c r="F2871" s="391" t="str">
        <f ca="1">IFERROR(VLOOKUP(C2871,' Disaggregation - Section E '!A$618:J3560,5,0),"")</f>
        <v/>
      </c>
      <c r="G2871" s="390" t="str">
        <f ca="1">IFERROR(IF(VLOOKUP(C2871,' Disaggregation - Section E '!A$618:J3560,6,0)="","",VLOOKUP(C2871,' Disaggregation - Section E '!A$618:J3560,6,0)),"")</f>
        <v/>
      </c>
      <c r="H2871" s="390" t="str">
        <f ca="1">IFERROR(IF(INDEX(' Disaggregation - Section E '!F$618:F3560,MATCH(C2871,' Disaggregation - Section E '!A$618:A3560,0)+1,1)&lt;&gt;0,INDEX(' Disaggregation - Section E '!F$618:F3560,MATCH(C2871,' Disaggregation - Section E '!A$618:A3560,0)+1,1),""),"")</f>
        <v/>
      </c>
      <c r="I2871" s="391" t="str">
        <f ca="1">IFERROR(IF(VLOOKUP(C2871,' Disaggregation - Section E '!A$618:J3560,8,0)=0,"",VLOOKUP(C2871,' Disaggregation - Section E '!A$618:J3560,8,0)),"")</f>
        <v/>
      </c>
      <c r="J2871" s="391" t="str">
        <f ca="1">IFERROR(IF(VLOOKUP(C2871,' Disaggregation - Section E '!A$618:J3560,9,0)="","",VLOOKUP(C2871,' Disaggregation - Section E '!A$618:J3560,9,0)),"")</f>
        <v/>
      </c>
      <c r="K2871" s="387" t="str">
        <f ca="1">IFERROR(VLOOKUP(C2871,' Disaggregation - Section E '!A$618:J3560,3,0),"")</f>
        <v/>
      </c>
      <c r="L2871" s="387"/>
      <c r="M2871" s="387" t="str">
        <f ca="1">IFERROR(IF(VLOOKUP(C2871,' Disaggregation - Section E '!A$618:O2363,15,0)=0,"",VLOOKUP(C2871,' Disaggregation - Section E '!A$618:O2363,15,0)),"")</f>
        <v/>
      </c>
      <c r="N2871" s="391" t="str">
        <f ca="1">IFERROR(IF(VLOOKUP(C2871,' Disaggregation - Section E '!A$618:J3560,10,0)=0,"",VLOOKUP(C2871,' Disaggregation - Section E '!A$618:J3560,10,0)),"")</f>
        <v/>
      </c>
      <c r="O2871" s="387"/>
      <c r="P2871" s="387" t="str">
        <f ca="1">IFERROR(IF(VLOOKUP(C2871,' Disaggregation - Section E '!A$618:R2363,18,0)=0,"",VLOOKUP(C2871,' Disaggregation - Section E '!A$618:R2363,18,0)),"")</f>
        <v/>
      </c>
    </row>
    <row r="2872" spans="1:16">
      <c r="A2872" s="387" t="b">
        <f t="shared" ca="1" si="175"/>
        <v>0</v>
      </c>
      <c r="B2872" s="387"/>
      <c r="C2872" s="396" t="str">
        <f ca="1">IF(COUNTA(O$1610:O2872)=1,"",OFFSET(B2870,-COUNTA(O$1610:O2872)+3,1))</f>
        <v>a16Dm000000NK9rIAG</v>
      </c>
      <c r="D2872" s="392"/>
      <c r="E2872" s="389" t="str">
        <f ca="1">IFERROR(IF(VLOOKUP(C2872,' Disaggregation - Section E '!A$618:J3561,7,0)="","",VLOOKUP(C2872,' Disaggregation - Section E '!A$618:J3561,7,0)*100),"")</f>
        <v/>
      </c>
      <c r="F2872" s="391" t="str">
        <f ca="1">IFERROR(VLOOKUP(C2872,' Disaggregation - Section E '!A$618:J3561,5,0),"")</f>
        <v/>
      </c>
      <c r="G2872" s="390" t="str">
        <f ca="1">IFERROR(IF(VLOOKUP(C2872,' Disaggregation - Section E '!A$618:J3561,6,0)="","",VLOOKUP(C2872,' Disaggregation - Section E '!A$618:J3561,6,0)),"")</f>
        <v/>
      </c>
      <c r="H2872" s="390" t="str">
        <f ca="1">IFERROR(IF(INDEX(' Disaggregation - Section E '!F$618:F3561,MATCH(C2872,' Disaggregation - Section E '!A$618:A3561,0)+1,1)&lt;&gt;0,INDEX(' Disaggregation - Section E '!F$618:F3561,MATCH(C2872,' Disaggregation - Section E '!A$618:A3561,0)+1,1),""),"")</f>
        <v/>
      </c>
      <c r="I2872" s="391" t="str">
        <f ca="1">IFERROR(IF(VLOOKUP(C2872,' Disaggregation - Section E '!A$618:J3561,8,0)=0,"",VLOOKUP(C2872,' Disaggregation - Section E '!A$618:J3561,8,0)),"")</f>
        <v/>
      </c>
      <c r="J2872" s="391" t="str">
        <f ca="1">IFERROR(IF(VLOOKUP(C2872,' Disaggregation - Section E '!A$618:J3561,9,0)="","",VLOOKUP(C2872,' Disaggregation - Section E '!A$618:J3561,9,0)),"")</f>
        <v/>
      </c>
      <c r="K2872" s="387" t="str">
        <f ca="1">IFERROR(VLOOKUP(C2872,' Disaggregation - Section E '!A$618:J3561,3,0),"")</f>
        <v/>
      </c>
      <c r="L2872" s="387"/>
      <c r="M2872" s="387" t="str">
        <f ca="1">IFERROR(IF(VLOOKUP(C2872,' Disaggregation - Section E '!A$618:O2364,15,0)=0,"",VLOOKUP(C2872,' Disaggregation - Section E '!A$618:O2364,15,0)),"")</f>
        <v/>
      </c>
      <c r="N2872" s="391" t="str">
        <f ca="1">IFERROR(IF(VLOOKUP(C2872,' Disaggregation - Section E '!A$618:J3561,10,0)=0,"",VLOOKUP(C2872,' Disaggregation - Section E '!A$618:J3561,10,0)),"")</f>
        <v/>
      </c>
      <c r="O2872" s="387"/>
      <c r="P2872" s="387" t="str">
        <f ca="1">IFERROR(IF(VLOOKUP(C2872,' Disaggregation - Section E '!A$618:R2364,18,0)=0,"",VLOOKUP(C2872,' Disaggregation - Section E '!A$618:R2364,18,0)),"")</f>
        <v/>
      </c>
    </row>
    <row r="2873" spans="1:16">
      <c r="A2873" s="387" t="b">
        <f t="shared" ca="1" si="175"/>
        <v>0</v>
      </c>
      <c r="B2873" s="387"/>
      <c r="C2873" s="396" t="str">
        <f ca="1">IF(COUNTA(O$1610:O2873)=1,"",OFFSET(B2871,-COUNTA(O$1610:O2873)+3,1))</f>
        <v>a16Dm000000NK9sIAG</v>
      </c>
      <c r="D2873" s="392"/>
      <c r="E2873" s="389" t="str">
        <f ca="1">IFERROR(IF(VLOOKUP(C2873,' Disaggregation - Section E '!A$618:J3562,7,0)="","",VLOOKUP(C2873,' Disaggregation - Section E '!A$618:J3562,7,0)*100),"")</f>
        <v/>
      </c>
      <c r="F2873" s="391" t="str">
        <f ca="1">IFERROR(VLOOKUP(C2873,' Disaggregation - Section E '!A$618:J3562,5,0),"")</f>
        <v/>
      </c>
      <c r="G2873" s="390" t="str">
        <f ca="1">IFERROR(IF(VLOOKUP(C2873,' Disaggregation - Section E '!A$618:J3562,6,0)="","",VLOOKUP(C2873,' Disaggregation - Section E '!A$618:J3562,6,0)),"")</f>
        <v/>
      </c>
      <c r="H2873" s="390" t="str">
        <f ca="1">IFERROR(IF(INDEX(' Disaggregation - Section E '!F$618:F3562,MATCH(C2873,' Disaggregation - Section E '!A$618:A3562,0)+1,1)&lt;&gt;0,INDEX(' Disaggregation - Section E '!F$618:F3562,MATCH(C2873,' Disaggregation - Section E '!A$618:A3562,0)+1,1),""),"")</f>
        <v/>
      </c>
      <c r="I2873" s="391" t="str">
        <f ca="1">IFERROR(IF(VLOOKUP(C2873,' Disaggregation - Section E '!A$618:J3562,8,0)=0,"",VLOOKUP(C2873,' Disaggregation - Section E '!A$618:J3562,8,0)),"")</f>
        <v/>
      </c>
      <c r="J2873" s="391" t="str">
        <f ca="1">IFERROR(IF(VLOOKUP(C2873,' Disaggregation - Section E '!A$618:J3562,9,0)="","",VLOOKUP(C2873,' Disaggregation - Section E '!A$618:J3562,9,0)),"")</f>
        <v/>
      </c>
      <c r="K2873" s="387" t="str">
        <f ca="1">IFERROR(VLOOKUP(C2873,' Disaggregation - Section E '!A$618:J3562,3,0),"")</f>
        <v/>
      </c>
      <c r="L2873" s="387"/>
      <c r="M2873" s="387" t="str">
        <f ca="1">IFERROR(IF(VLOOKUP(C2873,' Disaggregation - Section E '!A$618:O2365,15,0)=0,"",VLOOKUP(C2873,' Disaggregation - Section E '!A$618:O2365,15,0)),"")</f>
        <v/>
      </c>
      <c r="N2873" s="391" t="str">
        <f ca="1">IFERROR(IF(VLOOKUP(C2873,' Disaggregation - Section E '!A$618:J3562,10,0)=0,"",VLOOKUP(C2873,' Disaggregation - Section E '!A$618:J3562,10,0)),"")</f>
        <v/>
      </c>
      <c r="O2873" s="387"/>
      <c r="P2873" s="387" t="str">
        <f ca="1">IFERROR(IF(VLOOKUP(C2873,' Disaggregation - Section E '!A$618:R2365,18,0)=0,"",VLOOKUP(C2873,' Disaggregation - Section E '!A$618:R2365,18,0)),"")</f>
        <v/>
      </c>
    </row>
    <row r="2874" spans="1:16">
      <c r="A2874" s="387" t="b">
        <f t="shared" ca="1" si="175"/>
        <v>0</v>
      </c>
      <c r="B2874" s="387"/>
      <c r="C2874" s="396" t="str">
        <f ca="1">IF(COUNTA(O$1610:O2874)=1,"",OFFSET(B2872,-COUNTA(O$1610:O2874)+3,1))</f>
        <v>a16Dm000000NK9tIAG</v>
      </c>
      <c r="D2874" s="392"/>
      <c r="E2874" s="389" t="str">
        <f ca="1">IFERROR(IF(VLOOKUP(C2874,' Disaggregation - Section E '!A$618:J3563,7,0)="","",VLOOKUP(C2874,' Disaggregation - Section E '!A$618:J3563,7,0)*100),"")</f>
        <v/>
      </c>
      <c r="F2874" s="391" t="str">
        <f ca="1">IFERROR(VLOOKUP(C2874,' Disaggregation - Section E '!A$618:J3563,5,0),"")</f>
        <v/>
      </c>
      <c r="G2874" s="390" t="str">
        <f ca="1">IFERROR(IF(VLOOKUP(C2874,' Disaggregation - Section E '!A$618:J3563,6,0)="","",VLOOKUP(C2874,' Disaggregation - Section E '!A$618:J3563,6,0)),"")</f>
        <v/>
      </c>
      <c r="H2874" s="390" t="str">
        <f ca="1">IFERROR(IF(INDEX(' Disaggregation - Section E '!F$618:F3563,MATCH(C2874,' Disaggregation - Section E '!A$618:A3563,0)+1,1)&lt;&gt;0,INDEX(' Disaggregation - Section E '!F$618:F3563,MATCH(C2874,' Disaggregation - Section E '!A$618:A3563,0)+1,1),""),"")</f>
        <v/>
      </c>
      <c r="I2874" s="391" t="str">
        <f ca="1">IFERROR(IF(VLOOKUP(C2874,' Disaggregation - Section E '!A$618:J3563,8,0)=0,"",VLOOKUP(C2874,' Disaggregation - Section E '!A$618:J3563,8,0)),"")</f>
        <v/>
      </c>
      <c r="J2874" s="391" t="str">
        <f ca="1">IFERROR(IF(VLOOKUP(C2874,' Disaggregation - Section E '!A$618:J3563,9,0)="","",VLOOKUP(C2874,' Disaggregation - Section E '!A$618:J3563,9,0)),"")</f>
        <v/>
      </c>
      <c r="K2874" s="387" t="str">
        <f ca="1">IFERROR(VLOOKUP(C2874,' Disaggregation - Section E '!A$618:J3563,3,0),"")</f>
        <v/>
      </c>
      <c r="L2874" s="387"/>
      <c r="M2874" s="387" t="str">
        <f ca="1">IFERROR(IF(VLOOKUP(C2874,' Disaggregation - Section E '!A$618:O2366,15,0)=0,"",VLOOKUP(C2874,' Disaggregation - Section E '!A$618:O2366,15,0)),"")</f>
        <v/>
      </c>
      <c r="N2874" s="391" t="str">
        <f ca="1">IFERROR(IF(VLOOKUP(C2874,' Disaggregation - Section E '!A$618:J3563,10,0)=0,"",VLOOKUP(C2874,' Disaggregation - Section E '!A$618:J3563,10,0)),"")</f>
        <v/>
      </c>
      <c r="O2874" s="387"/>
      <c r="P2874" s="387" t="str">
        <f ca="1">IFERROR(IF(VLOOKUP(C2874,' Disaggregation - Section E '!A$618:R2366,18,0)=0,"",VLOOKUP(C2874,' Disaggregation - Section E '!A$618:R2366,18,0)),"")</f>
        <v/>
      </c>
    </row>
    <row r="2875" spans="1:16">
      <c r="A2875" s="387" t="b">
        <f t="shared" ca="1" si="175"/>
        <v>0</v>
      </c>
      <c r="B2875" s="387"/>
      <c r="C2875" s="396" t="str">
        <f ca="1">IF(COUNTA(O$1610:O2875)=1,"",OFFSET(B2873,-COUNTA(O$1610:O2875)+3,1))</f>
        <v>a16Dm000000NK9uIAG</v>
      </c>
      <c r="D2875" s="392"/>
      <c r="E2875" s="389" t="str">
        <f ca="1">IFERROR(IF(VLOOKUP(C2875,' Disaggregation - Section E '!A$618:J3564,7,0)="","",VLOOKUP(C2875,' Disaggregation - Section E '!A$618:J3564,7,0)*100),"")</f>
        <v/>
      </c>
      <c r="F2875" s="391" t="str">
        <f ca="1">IFERROR(VLOOKUP(C2875,' Disaggregation - Section E '!A$618:J3564,5,0),"")</f>
        <v/>
      </c>
      <c r="G2875" s="390" t="str">
        <f ca="1">IFERROR(IF(VLOOKUP(C2875,' Disaggregation - Section E '!A$618:J3564,6,0)="","",VLOOKUP(C2875,' Disaggregation - Section E '!A$618:J3564,6,0)),"")</f>
        <v/>
      </c>
      <c r="H2875" s="390" t="str">
        <f ca="1">IFERROR(IF(INDEX(' Disaggregation - Section E '!F$618:F3564,MATCH(C2875,' Disaggregation - Section E '!A$618:A3564,0)+1,1)&lt;&gt;0,INDEX(' Disaggregation - Section E '!F$618:F3564,MATCH(C2875,' Disaggregation - Section E '!A$618:A3564,0)+1,1),""),"")</f>
        <v/>
      </c>
      <c r="I2875" s="391" t="str">
        <f ca="1">IFERROR(IF(VLOOKUP(C2875,' Disaggregation - Section E '!A$618:J3564,8,0)=0,"",VLOOKUP(C2875,' Disaggregation - Section E '!A$618:J3564,8,0)),"")</f>
        <v/>
      </c>
      <c r="J2875" s="391" t="str">
        <f ca="1">IFERROR(IF(VLOOKUP(C2875,' Disaggregation - Section E '!A$618:J3564,9,0)="","",VLOOKUP(C2875,' Disaggregation - Section E '!A$618:J3564,9,0)),"")</f>
        <v/>
      </c>
      <c r="K2875" s="387" t="str">
        <f ca="1">IFERROR(VLOOKUP(C2875,' Disaggregation - Section E '!A$618:J3564,3,0),"")</f>
        <v/>
      </c>
      <c r="L2875" s="387"/>
      <c r="M2875" s="387" t="str">
        <f ca="1">IFERROR(IF(VLOOKUP(C2875,' Disaggregation - Section E '!A$618:O2367,15,0)=0,"",VLOOKUP(C2875,' Disaggregation - Section E '!A$618:O2367,15,0)),"")</f>
        <v/>
      </c>
      <c r="N2875" s="391" t="str">
        <f ca="1">IFERROR(IF(VLOOKUP(C2875,' Disaggregation - Section E '!A$618:J3564,10,0)=0,"",VLOOKUP(C2875,' Disaggregation - Section E '!A$618:J3564,10,0)),"")</f>
        <v/>
      </c>
      <c r="O2875" s="387"/>
      <c r="P2875" s="387" t="str">
        <f ca="1">IFERROR(IF(VLOOKUP(C2875,' Disaggregation - Section E '!A$618:R2367,18,0)=0,"",VLOOKUP(C2875,' Disaggregation - Section E '!A$618:R2367,18,0)),"")</f>
        <v/>
      </c>
    </row>
    <row r="2876" spans="1:16">
      <c r="A2876" s="387" t="b">
        <f t="shared" ca="1" si="175"/>
        <v>0</v>
      </c>
      <c r="B2876" s="387"/>
      <c r="C2876" s="396" t="str">
        <f ca="1">IF(COUNTA(O$1610:O2876)=1,"",OFFSET(B2874,-COUNTA(O$1610:O2876)+3,1))</f>
        <v>a16Dm000000NK9vIAG</v>
      </c>
      <c r="D2876" s="392"/>
      <c r="E2876" s="389" t="str">
        <f ca="1">IFERROR(IF(VLOOKUP(C2876,' Disaggregation - Section E '!A$618:J3565,7,0)="","",VLOOKUP(C2876,' Disaggregation - Section E '!A$618:J3565,7,0)*100),"")</f>
        <v/>
      </c>
      <c r="F2876" s="391" t="str">
        <f ca="1">IFERROR(VLOOKUP(C2876,' Disaggregation - Section E '!A$618:J3565,5,0),"")</f>
        <v/>
      </c>
      <c r="G2876" s="390" t="str">
        <f ca="1">IFERROR(IF(VLOOKUP(C2876,' Disaggregation - Section E '!A$618:J3565,6,0)="","",VLOOKUP(C2876,' Disaggregation - Section E '!A$618:J3565,6,0)),"")</f>
        <v/>
      </c>
      <c r="H2876" s="390" t="str">
        <f ca="1">IFERROR(IF(INDEX(' Disaggregation - Section E '!F$618:F3565,MATCH(C2876,' Disaggregation - Section E '!A$618:A3565,0)+1,1)&lt;&gt;0,INDEX(' Disaggregation - Section E '!F$618:F3565,MATCH(C2876,' Disaggregation - Section E '!A$618:A3565,0)+1,1),""),"")</f>
        <v/>
      </c>
      <c r="I2876" s="391" t="str">
        <f ca="1">IFERROR(IF(VLOOKUP(C2876,' Disaggregation - Section E '!A$618:J3565,8,0)=0,"",VLOOKUP(C2876,' Disaggregation - Section E '!A$618:J3565,8,0)),"")</f>
        <v/>
      </c>
      <c r="J2876" s="391" t="str">
        <f ca="1">IFERROR(IF(VLOOKUP(C2876,' Disaggregation - Section E '!A$618:J3565,9,0)="","",VLOOKUP(C2876,' Disaggregation - Section E '!A$618:J3565,9,0)),"")</f>
        <v/>
      </c>
      <c r="K2876" s="387" t="str">
        <f ca="1">IFERROR(VLOOKUP(C2876,' Disaggregation - Section E '!A$618:J3565,3,0),"")</f>
        <v/>
      </c>
      <c r="L2876" s="387"/>
      <c r="M2876" s="387" t="str">
        <f ca="1">IFERROR(IF(VLOOKUP(C2876,' Disaggregation - Section E '!A$618:O2368,15,0)=0,"",VLOOKUP(C2876,' Disaggregation - Section E '!A$618:O2368,15,0)),"")</f>
        <v/>
      </c>
      <c r="N2876" s="391" t="str">
        <f ca="1">IFERROR(IF(VLOOKUP(C2876,' Disaggregation - Section E '!A$618:J3565,10,0)=0,"",VLOOKUP(C2876,' Disaggregation - Section E '!A$618:J3565,10,0)),"")</f>
        <v/>
      </c>
      <c r="O2876" s="387"/>
      <c r="P2876" s="387" t="str">
        <f ca="1">IFERROR(IF(VLOOKUP(C2876,' Disaggregation - Section E '!A$618:R2368,18,0)=0,"",VLOOKUP(C2876,' Disaggregation - Section E '!A$618:R2368,18,0)),"")</f>
        <v/>
      </c>
    </row>
    <row r="2877" spans="1:16">
      <c r="A2877" s="387" t="b">
        <f t="shared" ca="1" si="175"/>
        <v>0</v>
      </c>
      <c r="B2877" s="387"/>
      <c r="C2877" s="396" t="str">
        <f ca="1">IF(COUNTA(O$1610:O2877)=1,"",OFFSET(B2875,-COUNTA(O$1610:O2877)+3,1))</f>
        <v>a16Dm000000NK9wIAG</v>
      </c>
      <c r="D2877" s="392"/>
      <c r="E2877" s="389" t="str">
        <f ca="1">IFERROR(IF(VLOOKUP(C2877,' Disaggregation - Section E '!A$618:J3566,7,0)="","",VLOOKUP(C2877,' Disaggregation - Section E '!A$618:J3566,7,0)*100),"")</f>
        <v/>
      </c>
      <c r="F2877" s="391" t="str">
        <f ca="1">IFERROR(VLOOKUP(C2877,' Disaggregation - Section E '!A$618:J3566,5,0),"")</f>
        <v/>
      </c>
      <c r="G2877" s="390" t="str">
        <f ca="1">IFERROR(IF(VLOOKUP(C2877,' Disaggregation - Section E '!A$618:J3566,6,0)="","",VLOOKUP(C2877,' Disaggregation - Section E '!A$618:J3566,6,0)),"")</f>
        <v/>
      </c>
      <c r="H2877" s="390" t="str">
        <f ca="1">IFERROR(IF(INDEX(' Disaggregation - Section E '!F$618:F3566,MATCH(C2877,' Disaggregation - Section E '!A$618:A3566,0)+1,1)&lt;&gt;0,INDEX(' Disaggregation - Section E '!F$618:F3566,MATCH(C2877,' Disaggregation - Section E '!A$618:A3566,0)+1,1),""),"")</f>
        <v/>
      </c>
      <c r="I2877" s="391" t="str">
        <f ca="1">IFERROR(IF(VLOOKUP(C2877,' Disaggregation - Section E '!A$618:J3566,8,0)=0,"",VLOOKUP(C2877,' Disaggregation - Section E '!A$618:J3566,8,0)),"")</f>
        <v/>
      </c>
      <c r="J2877" s="391" t="str">
        <f ca="1">IFERROR(IF(VLOOKUP(C2877,' Disaggregation - Section E '!A$618:J3566,9,0)="","",VLOOKUP(C2877,' Disaggregation - Section E '!A$618:J3566,9,0)),"")</f>
        <v/>
      </c>
      <c r="K2877" s="387" t="str">
        <f ca="1">IFERROR(VLOOKUP(C2877,' Disaggregation - Section E '!A$618:J3566,3,0),"")</f>
        <v/>
      </c>
      <c r="L2877" s="387"/>
      <c r="M2877" s="387" t="str">
        <f ca="1">IFERROR(IF(VLOOKUP(C2877,' Disaggregation - Section E '!A$618:O2369,15,0)=0,"",VLOOKUP(C2877,' Disaggregation - Section E '!A$618:O2369,15,0)),"")</f>
        <v/>
      </c>
      <c r="N2877" s="391" t="str">
        <f ca="1">IFERROR(IF(VLOOKUP(C2877,' Disaggregation - Section E '!A$618:J3566,10,0)=0,"",VLOOKUP(C2877,' Disaggregation - Section E '!A$618:J3566,10,0)),"")</f>
        <v/>
      </c>
      <c r="O2877" s="387"/>
      <c r="P2877" s="387" t="str">
        <f ca="1">IFERROR(IF(VLOOKUP(C2877,' Disaggregation - Section E '!A$618:R2369,18,0)=0,"",VLOOKUP(C2877,' Disaggregation - Section E '!A$618:R2369,18,0)),"")</f>
        <v/>
      </c>
    </row>
    <row r="2878" spans="1:16">
      <c r="A2878" s="387" t="b">
        <f t="shared" ca="1" si="175"/>
        <v>0</v>
      </c>
      <c r="B2878" s="387"/>
      <c r="C2878" s="396" t="str">
        <f ca="1">IF(COUNTA(O$1610:O2878)=1,"",OFFSET(B2876,-COUNTA(O$1610:O2878)+3,1))</f>
        <v>a16Dm000000NK9xIAG</v>
      </c>
      <c r="D2878" s="392"/>
      <c r="E2878" s="389" t="str">
        <f ca="1">IFERROR(IF(VLOOKUP(C2878,' Disaggregation - Section E '!A$618:J3567,7,0)="","",VLOOKUP(C2878,' Disaggregation - Section E '!A$618:J3567,7,0)*100),"")</f>
        <v/>
      </c>
      <c r="F2878" s="391" t="str">
        <f ca="1">IFERROR(VLOOKUP(C2878,' Disaggregation - Section E '!A$618:J3567,5,0),"")</f>
        <v/>
      </c>
      <c r="G2878" s="390" t="str">
        <f ca="1">IFERROR(IF(VLOOKUP(C2878,' Disaggregation - Section E '!A$618:J3567,6,0)="","",VLOOKUP(C2878,' Disaggregation - Section E '!A$618:J3567,6,0)),"")</f>
        <v/>
      </c>
      <c r="H2878" s="390" t="str">
        <f ca="1">IFERROR(IF(INDEX(' Disaggregation - Section E '!F$618:F3567,MATCH(C2878,' Disaggregation - Section E '!A$618:A3567,0)+1,1)&lt;&gt;0,INDEX(' Disaggregation - Section E '!F$618:F3567,MATCH(C2878,' Disaggregation - Section E '!A$618:A3567,0)+1,1),""),"")</f>
        <v/>
      </c>
      <c r="I2878" s="391" t="str">
        <f ca="1">IFERROR(IF(VLOOKUP(C2878,' Disaggregation - Section E '!A$618:J3567,8,0)=0,"",VLOOKUP(C2878,' Disaggregation - Section E '!A$618:J3567,8,0)),"")</f>
        <v/>
      </c>
      <c r="J2878" s="391" t="str">
        <f ca="1">IFERROR(IF(VLOOKUP(C2878,' Disaggregation - Section E '!A$618:J3567,9,0)="","",VLOOKUP(C2878,' Disaggregation - Section E '!A$618:J3567,9,0)),"")</f>
        <v/>
      </c>
      <c r="K2878" s="387" t="str">
        <f ca="1">IFERROR(VLOOKUP(C2878,' Disaggregation - Section E '!A$618:J3567,3,0),"")</f>
        <v/>
      </c>
      <c r="L2878" s="387"/>
      <c r="M2878" s="387" t="str">
        <f ca="1">IFERROR(IF(VLOOKUP(C2878,' Disaggregation - Section E '!A$618:O2370,15,0)=0,"",VLOOKUP(C2878,' Disaggregation - Section E '!A$618:O2370,15,0)),"")</f>
        <v/>
      </c>
      <c r="N2878" s="391" t="str">
        <f ca="1">IFERROR(IF(VLOOKUP(C2878,' Disaggregation - Section E '!A$618:J3567,10,0)=0,"",VLOOKUP(C2878,' Disaggregation - Section E '!A$618:J3567,10,0)),"")</f>
        <v/>
      </c>
      <c r="O2878" s="387"/>
      <c r="P2878" s="387" t="str">
        <f ca="1">IFERROR(IF(VLOOKUP(C2878,' Disaggregation - Section E '!A$618:R2370,18,0)=0,"",VLOOKUP(C2878,' Disaggregation - Section E '!A$618:R2370,18,0)),"")</f>
        <v/>
      </c>
    </row>
    <row r="2879" spans="1:16">
      <c r="A2879" s="387" t="b">
        <f t="shared" ca="1" si="175"/>
        <v>0</v>
      </c>
      <c r="B2879" s="387"/>
      <c r="C2879" s="396" t="str">
        <f ca="1">IF(COUNTA(O$1610:O2879)=1,"",OFFSET(B2877,-COUNTA(O$1610:O2879)+3,1))</f>
        <v>a16Dm000000NK9yIAG</v>
      </c>
      <c r="D2879" s="392"/>
      <c r="E2879" s="389" t="str">
        <f ca="1">IFERROR(IF(VLOOKUP(C2879,' Disaggregation - Section E '!A$618:J3568,7,0)="","",VLOOKUP(C2879,' Disaggregation - Section E '!A$618:J3568,7,0)*100),"")</f>
        <v/>
      </c>
      <c r="F2879" s="391" t="str">
        <f ca="1">IFERROR(VLOOKUP(C2879,' Disaggregation - Section E '!A$618:J3568,5,0),"")</f>
        <v/>
      </c>
      <c r="G2879" s="390" t="str">
        <f ca="1">IFERROR(IF(VLOOKUP(C2879,' Disaggregation - Section E '!A$618:J3568,6,0)="","",VLOOKUP(C2879,' Disaggregation - Section E '!A$618:J3568,6,0)),"")</f>
        <v/>
      </c>
      <c r="H2879" s="390" t="str">
        <f ca="1">IFERROR(IF(INDEX(' Disaggregation - Section E '!F$618:F3568,MATCH(C2879,' Disaggregation - Section E '!A$618:A3568,0)+1,1)&lt;&gt;0,INDEX(' Disaggregation - Section E '!F$618:F3568,MATCH(C2879,' Disaggregation - Section E '!A$618:A3568,0)+1,1),""),"")</f>
        <v/>
      </c>
      <c r="I2879" s="391" t="str">
        <f ca="1">IFERROR(IF(VLOOKUP(C2879,' Disaggregation - Section E '!A$618:J3568,8,0)=0,"",VLOOKUP(C2879,' Disaggregation - Section E '!A$618:J3568,8,0)),"")</f>
        <v/>
      </c>
      <c r="J2879" s="391" t="str">
        <f ca="1">IFERROR(IF(VLOOKUP(C2879,' Disaggregation - Section E '!A$618:J3568,9,0)="","",VLOOKUP(C2879,' Disaggregation - Section E '!A$618:J3568,9,0)),"")</f>
        <v/>
      </c>
      <c r="K2879" s="387" t="str">
        <f ca="1">IFERROR(VLOOKUP(C2879,' Disaggregation - Section E '!A$618:J3568,3,0),"")</f>
        <v/>
      </c>
      <c r="L2879" s="387"/>
      <c r="M2879" s="387" t="str">
        <f ca="1">IFERROR(IF(VLOOKUP(C2879,' Disaggregation - Section E '!A$618:O2371,15,0)=0,"",VLOOKUP(C2879,' Disaggregation - Section E '!A$618:O2371,15,0)),"")</f>
        <v/>
      </c>
      <c r="N2879" s="391" t="str">
        <f ca="1">IFERROR(IF(VLOOKUP(C2879,' Disaggregation - Section E '!A$618:J3568,10,0)=0,"",VLOOKUP(C2879,' Disaggregation - Section E '!A$618:J3568,10,0)),"")</f>
        <v/>
      </c>
      <c r="O2879" s="387"/>
      <c r="P2879" s="387" t="str">
        <f ca="1">IFERROR(IF(VLOOKUP(C2879,' Disaggregation - Section E '!A$618:R2371,18,0)=0,"",VLOOKUP(C2879,' Disaggregation - Section E '!A$618:R2371,18,0)),"")</f>
        <v/>
      </c>
    </row>
    <row r="2880" spans="1:16">
      <c r="A2880" s="387" t="b">
        <f t="shared" ca="1" si="175"/>
        <v>0</v>
      </c>
      <c r="B2880" s="387"/>
      <c r="C2880" s="396" t="str">
        <f ca="1">IF(COUNTA(O$1610:O2880)=1,"",OFFSET(B2878,-COUNTA(O$1610:O2880)+3,1))</f>
        <v>a16Dm000000NK9zIAG</v>
      </c>
      <c r="D2880" s="392"/>
      <c r="E2880" s="389" t="str">
        <f ca="1">IFERROR(IF(VLOOKUP(C2880,' Disaggregation - Section E '!A$618:J3569,7,0)="","",VLOOKUP(C2880,' Disaggregation - Section E '!A$618:J3569,7,0)*100),"")</f>
        <v/>
      </c>
      <c r="F2880" s="391" t="str">
        <f ca="1">IFERROR(VLOOKUP(C2880,' Disaggregation - Section E '!A$618:J3569,5,0),"")</f>
        <v/>
      </c>
      <c r="G2880" s="390" t="str">
        <f ca="1">IFERROR(IF(VLOOKUP(C2880,' Disaggregation - Section E '!A$618:J3569,6,0)="","",VLOOKUP(C2880,' Disaggregation - Section E '!A$618:J3569,6,0)),"")</f>
        <v/>
      </c>
      <c r="H2880" s="390" t="str">
        <f ca="1">IFERROR(IF(INDEX(' Disaggregation - Section E '!F$618:F3569,MATCH(C2880,' Disaggregation - Section E '!A$618:A3569,0)+1,1)&lt;&gt;0,INDEX(' Disaggregation - Section E '!F$618:F3569,MATCH(C2880,' Disaggregation - Section E '!A$618:A3569,0)+1,1),""),"")</f>
        <v/>
      </c>
      <c r="I2880" s="391" t="str">
        <f ca="1">IFERROR(IF(VLOOKUP(C2880,' Disaggregation - Section E '!A$618:J3569,8,0)=0,"",VLOOKUP(C2880,' Disaggregation - Section E '!A$618:J3569,8,0)),"")</f>
        <v/>
      </c>
      <c r="J2880" s="391" t="str">
        <f ca="1">IFERROR(IF(VLOOKUP(C2880,' Disaggregation - Section E '!A$618:J3569,9,0)="","",VLOOKUP(C2880,' Disaggregation - Section E '!A$618:J3569,9,0)),"")</f>
        <v/>
      </c>
      <c r="K2880" s="387" t="str">
        <f ca="1">IFERROR(VLOOKUP(C2880,' Disaggregation - Section E '!A$618:J3569,3,0),"")</f>
        <v/>
      </c>
      <c r="L2880" s="387"/>
      <c r="M2880" s="387" t="str">
        <f ca="1">IFERROR(IF(VLOOKUP(C2880,' Disaggregation - Section E '!A$618:O2372,15,0)=0,"",VLOOKUP(C2880,' Disaggregation - Section E '!A$618:O2372,15,0)),"")</f>
        <v/>
      </c>
      <c r="N2880" s="391" t="str">
        <f ca="1">IFERROR(IF(VLOOKUP(C2880,' Disaggregation - Section E '!A$618:J3569,10,0)=0,"",VLOOKUP(C2880,' Disaggregation - Section E '!A$618:J3569,10,0)),"")</f>
        <v/>
      </c>
      <c r="O2880" s="387"/>
      <c r="P2880" s="387" t="str">
        <f ca="1">IFERROR(IF(VLOOKUP(C2880,' Disaggregation - Section E '!A$618:R2372,18,0)=0,"",VLOOKUP(C2880,' Disaggregation - Section E '!A$618:R2372,18,0)),"")</f>
        <v/>
      </c>
    </row>
    <row r="2881" spans="1:23">
      <c r="A2881" s="387" t="b">
        <f t="shared" ca="1" si="175"/>
        <v>0</v>
      </c>
      <c r="B2881" s="387"/>
      <c r="C2881" s="396" t="str">
        <f ca="1">IF(COUNTA(O$1610:O2881)=1,"",OFFSET(B2879,-COUNTA(O$1610:O2881)+3,1))</f>
        <v>a16Dm000000NKA0IAO</v>
      </c>
      <c r="D2881" s="392"/>
      <c r="E2881" s="389" t="str">
        <f ca="1">IFERROR(IF(VLOOKUP(C2881,' Disaggregation - Section E '!A$618:J3570,7,0)="","",VLOOKUP(C2881,' Disaggregation - Section E '!A$618:J3570,7,0)*100),"")</f>
        <v/>
      </c>
      <c r="F2881" s="391" t="str">
        <f ca="1">IFERROR(VLOOKUP(C2881,' Disaggregation - Section E '!A$618:J3570,5,0),"")</f>
        <v/>
      </c>
      <c r="G2881" s="390" t="str">
        <f ca="1">IFERROR(IF(VLOOKUP(C2881,' Disaggregation - Section E '!A$618:J3570,6,0)="","",VLOOKUP(C2881,' Disaggregation - Section E '!A$618:J3570,6,0)),"")</f>
        <v/>
      </c>
      <c r="H2881" s="390" t="str">
        <f ca="1">IFERROR(IF(INDEX(' Disaggregation - Section E '!F$618:F3570,MATCH(C2881,' Disaggregation - Section E '!A$618:A3570,0)+1,1)&lt;&gt;0,INDEX(' Disaggregation - Section E '!F$618:F3570,MATCH(C2881,' Disaggregation - Section E '!A$618:A3570,0)+1,1),""),"")</f>
        <v/>
      </c>
      <c r="I2881" s="391" t="str">
        <f ca="1">IFERROR(IF(VLOOKUP(C2881,' Disaggregation - Section E '!A$618:J3570,8,0)=0,"",VLOOKUP(C2881,' Disaggregation - Section E '!A$618:J3570,8,0)),"")</f>
        <v/>
      </c>
      <c r="J2881" s="391" t="str">
        <f ca="1">IFERROR(IF(VLOOKUP(C2881,' Disaggregation - Section E '!A$618:J3570,9,0)="","",VLOOKUP(C2881,' Disaggregation - Section E '!A$618:J3570,9,0)),"")</f>
        <v/>
      </c>
      <c r="K2881" s="387" t="str">
        <f ca="1">IFERROR(VLOOKUP(C2881,' Disaggregation - Section E '!A$618:J3570,3,0),"")</f>
        <v/>
      </c>
      <c r="L2881" s="387"/>
      <c r="M2881" s="387" t="str">
        <f ca="1">IFERROR(IF(VLOOKUP(C2881,' Disaggregation - Section E '!A$618:O2373,15,0)=0,"",VLOOKUP(C2881,' Disaggregation - Section E '!A$618:O2373,15,0)),"")</f>
        <v/>
      </c>
      <c r="N2881" s="391" t="str">
        <f ca="1">IFERROR(IF(VLOOKUP(C2881,' Disaggregation - Section E '!A$618:J3570,10,0)=0,"",VLOOKUP(C2881,' Disaggregation - Section E '!A$618:J3570,10,0)),"")</f>
        <v/>
      </c>
      <c r="O2881" s="387"/>
      <c r="P2881" s="387" t="str">
        <f ca="1">IFERROR(IF(VLOOKUP(C2881,' Disaggregation - Section E '!A$618:R2373,18,0)=0,"",VLOOKUP(C2881,' Disaggregation - Section E '!A$618:R2373,18,0)),"")</f>
        <v/>
      </c>
    </row>
    <row r="2882" spans="1:23">
      <c r="A2882" s="387" t="b">
        <f t="shared" ca="1" si="175"/>
        <v>0</v>
      </c>
      <c r="B2882" s="387"/>
      <c r="C2882" s="396" t="str">
        <f ca="1">IF(COUNTA(O$1610:O2882)=1,"",OFFSET(B2880,-COUNTA(O$1610:O2882)+3,1))</f>
        <v>a16Dm000000NKA1IAO</v>
      </c>
      <c r="D2882" s="392"/>
      <c r="E2882" s="389" t="str">
        <f ca="1">IFERROR(IF(VLOOKUP(C2882,' Disaggregation - Section E '!A$618:J3571,7,0)="","",VLOOKUP(C2882,' Disaggregation - Section E '!A$618:J3571,7,0)*100),"")</f>
        <v/>
      </c>
      <c r="F2882" s="391" t="str">
        <f ca="1">IFERROR(VLOOKUP(C2882,' Disaggregation - Section E '!A$618:J3571,5,0),"")</f>
        <v/>
      </c>
      <c r="G2882" s="390" t="str">
        <f ca="1">IFERROR(IF(VLOOKUP(C2882,' Disaggregation - Section E '!A$618:J3571,6,0)="","",VLOOKUP(C2882,' Disaggregation - Section E '!A$618:J3571,6,0)),"")</f>
        <v/>
      </c>
      <c r="H2882" s="390" t="str">
        <f ca="1">IFERROR(IF(INDEX(' Disaggregation - Section E '!F$618:F3571,MATCH(C2882,' Disaggregation - Section E '!A$618:A3571,0)+1,1)&lt;&gt;0,INDEX(' Disaggregation - Section E '!F$618:F3571,MATCH(C2882,' Disaggregation - Section E '!A$618:A3571,0)+1,1),""),"")</f>
        <v/>
      </c>
      <c r="I2882" s="391" t="str">
        <f ca="1">IFERROR(IF(VLOOKUP(C2882,' Disaggregation - Section E '!A$618:J3571,8,0)=0,"",VLOOKUP(C2882,' Disaggregation - Section E '!A$618:J3571,8,0)),"")</f>
        <v/>
      </c>
      <c r="J2882" s="391" t="str">
        <f ca="1">IFERROR(IF(VLOOKUP(C2882,' Disaggregation - Section E '!A$618:J3571,9,0)="","",VLOOKUP(C2882,' Disaggregation - Section E '!A$618:J3571,9,0)),"")</f>
        <v/>
      </c>
      <c r="K2882" s="387" t="str">
        <f ca="1">IFERROR(VLOOKUP(C2882,' Disaggregation - Section E '!A$618:J3571,3,0),"")</f>
        <v/>
      </c>
      <c r="L2882" s="387"/>
      <c r="M2882" s="387" t="str">
        <f ca="1">IFERROR(IF(VLOOKUP(C2882,' Disaggregation - Section E '!A$618:O2374,15,0)=0,"",VLOOKUP(C2882,' Disaggregation - Section E '!A$618:O2374,15,0)),"")</f>
        <v/>
      </c>
      <c r="N2882" s="391" t="str">
        <f ca="1">IFERROR(IF(VLOOKUP(C2882,' Disaggregation - Section E '!A$618:J3571,10,0)=0,"",VLOOKUP(C2882,' Disaggregation - Section E '!A$618:J3571,10,0)),"")</f>
        <v/>
      </c>
      <c r="O2882" s="387"/>
      <c r="P2882" s="387" t="str">
        <f ca="1">IFERROR(IF(VLOOKUP(C2882,' Disaggregation - Section E '!A$618:R2374,18,0)=0,"",VLOOKUP(C2882,' Disaggregation - Section E '!A$618:R2374,18,0)),"")</f>
        <v/>
      </c>
    </row>
    <row r="2883" spans="1:23">
      <c r="A2883" s="387" t="b">
        <f t="shared" ca="1" si="175"/>
        <v>0</v>
      </c>
      <c r="B2883" s="387"/>
      <c r="C2883" s="396" t="str">
        <f ca="1">IF(COUNTA(O$1610:O2883)=1,"",OFFSET(B2881,-COUNTA(O$1610:O2883)+3,1))</f>
        <v>a16Dm000000NKA2IAO</v>
      </c>
      <c r="D2883" s="392"/>
      <c r="E2883" s="389" t="str">
        <f ca="1">IFERROR(IF(VLOOKUP(C2883,' Disaggregation - Section E '!A$618:J3572,7,0)="","",VLOOKUP(C2883,' Disaggregation - Section E '!A$618:J3572,7,0)*100),"")</f>
        <v/>
      </c>
      <c r="F2883" s="391" t="str">
        <f ca="1">IFERROR(VLOOKUP(C2883,' Disaggregation - Section E '!A$618:J3572,5,0),"")</f>
        <v/>
      </c>
      <c r="G2883" s="390" t="str">
        <f ca="1">IFERROR(IF(VLOOKUP(C2883,' Disaggregation - Section E '!A$618:J3572,6,0)="","",VLOOKUP(C2883,' Disaggregation - Section E '!A$618:J3572,6,0)),"")</f>
        <v/>
      </c>
      <c r="H2883" s="390" t="str">
        <f ca="1">IFERROR(IF(INDEX(' Disaggregation - Section E '!F$618:F3572,MATCH(C2883,' Disaggregation - Section E '!A$618:A3572,0)+1,1)&lt;&gt;0,INDEX(' Disaggregation - Section E '!F$618:F3572,MATCH(C2883,' Disaggregation - Section E '!A$618:A3572,0)+1,1),""),"")</f>
        <v/>
      </c>
      <c r="I2883" s="391" t="str">
        <f ca="1">IFERROR(IF(VLOOKUP(C2883,' Disaggregation - Section E '!A$618:J3572,8,0)=0,"",VLOOKUP(C2883,' Disaggregation - Section E '!A$618:J3572,8,0)),"")</f>
        <v/>
      </c>
      <c r="J2883" s="391" t="str">
        <f ca="1">IFERROR(IF(VLOOKUP(C2883,' Disaggregation - Section E '!A$618:J3572,9,0)="","",VLOOKUP(C2883,' Disaggregation - Section E '!A$618:J3572,9,0)),"")</f>
        <v/>
      </c>
      <c r="K2883" s="387" t="str">
        <f ca="1">IFERROR(VLOOKUP(C2883,' Disaggregation - Section E '!A$618:J3572,3,0),"")</f>
        <v/>
      </c>
      <c r="L2883" s="387"/>
      <c r="M2883" s="387" t="str">
        <f ca="1">IFERROR(IF(VLOOKUP(C2883,' Disaggregation - Section E '!A$618:O2375,15,0)=0,"",VLOOKUP(C2883,' Disaggregation - Section E '!A$618:O2375,15,0)),"")</f>
        <v/>
      </c>
      <c r="N2883" s="391" t="str">
        <f ca="1">IFERROR(IF(VLOOKUP(C2883,' Disaggregation - Section E '!A$618:J3572,10,0)=0,"",VLOOKUP(C2883,' Disaggregation - Section E '!A$618:J3572,10,0)),"")</f>
        <v/>
      </c>
      <c r="O2883" s="387"/>
      <c r="P2883" s="387" t="str">
        <f ca="1">IFERROR(IF(VLOOKUP(C2883,' Disaggregation - Section E '!A$618:R2375,18,0)=0,"",VLOOKUP(C2883,' Disaggregation - Section E '!A$618:R2375,18,0)),"")</f>
        <v/>
      </c>
    </row>
    <row r="2884" spans="1:23">
      <c r="A2884" s="387" t="b">
        <f t="shared" ca="1" si="175"/>
        <v>0</v>
      </c>
      <c r="B2884" s="387"/>
      <c r="C2884" s="396" t="str">
        <f ca="1">IF(COUNTA(O$1610:O2884)=1,"",OFFSET(B2882,-COUNTA(O$1610:O2884)+3,1))</f>
        <v>a16Dm000000NKA3IAO</v>
      </c>
      <c r="D2884" s="392"/>
      <c r="E2884" s="389" t="str">
        <f ca="1">IFERROR(IF(VLOOKUP(C2884,' Disaggregation - Section E '!A$618:J3573,7,0)="","",VLOOKUP(C2884,' Disaggregation - Section E '!A$618:J3573,7,0)*100),"")</f>
        <v/>
      </c>
      <c r="F2884" s="391" t="str">
        <f ca="1">IFERROR(VLOOKUP(C2884,' Disaggregation - Section E '!A$618:J3573,5,0),"")</f>
        <v/>
      </c>
      <c r="G2884" s="390" t="str">
        <f ca="1">IFERROR(IF(VLOOKUP(C2884,' Disaggregation - Section E '!A$618:J3573,6,0)="","",VLOOKUP(C2884,' Disaggregation - Section E '!A$618:J3573,6,0)),"")</f>
        <v/>
      </c>
      <c r="H2884" s="390" t="str">
        <f ca="1">IFERROR(IF(INDEX(' Disaggregation - Section E '!F$618:F3573,MATCH(C2884,' Disaggregation - Section E '!A$618:A3573,0)+1,1)&lt;&gt;0,INDEX(' Disaggregation - Section E '!F$618:F3573,MATCH(C2884,' Disaggregation - Section E '!A$618:A3573,0)+1,1),""),"")</f>
        <v/>
      </c>
      <c r="I2884" s="391" t="str">
        <f ca="1">IFERROR(IF(VLOOKUP(C2884,' Disaggregation - Section E '!A$618:J3573,8,0)=0,"",VLOOKUP(C2884,' Disaggregation - Section E '!A$618:J3573,8,0)),"")</f>
        <v/>
      </c>
      <c r="J2884" s="391" t="str">
        <f ca="1">IFERROR(IF(VLOOKUP(C2884,' Disaggregation - Section E '!A$618:J3573,9,0)="","",VLOOKUP(C2884,' Disaggregation - Section E '!A$618:J3573,9,0)),"")</f>
        <v/>
      </c>
      <c r="K2884" s="387" t="str">
        <f ca="1">IFERROR(VLOOKUP(C2884,' Disaggregation - Section E '!A$618:J3573,3,0),"")</f>
        <v/>
      </c>
      <c r="L2884" s="387"/>
      <c r="M2884" s="387" t="str">
        <f ca="1">IFERROR(IF(VLOOKUP(C2884,' Disaggregation - Section E '!A$618:O2376,15,0)=0,"",VLOOKUP(C2884,' Disaggregation - Section E '!A$618:O2376,15,0)),"")</f>
        <v/>
      </c>
      <c r="N2884" s="391" t="str">
        <f ca="1">IFERROR(IF(VLOOKUP(C2884,' Disaggregation - Section E '!A$618:J3573,10,0)=0,"",VLOOKUP(C2884,' Disaggregation - Section E '!A$618:J3573,10,0)),"")</f>
        <v/>
      </c>
      <c r="O2884" s="387"/>
      <c r="P2884" s="387" t="str">
        <f ca="1">IFERROR(IF(VLOOKUP(C2884,' Disaggregation - Section E '!A$618:R2376,18,0)=0,"",VLOOKUP(C2884,' Disaggregation - Section E '!A$618:R2376,18,0)),"")</f>
        <v/>
      </c>
    </row>
    <row r="2885" spans="1:23">
      <c r="A2885" s="387" t="b">
        <f t="shared" ca="1" si="175"/>
        <v>0</v>
      </c>
      <c r="B2885" s="387"/>
      <c r="C2885" s="396" t="str">
        <f ca="1">IF(COUNTA(O$1610:O2885)=1,"",OFFSET(B2883,-COUNTA(O$1610:O2885)+3,1))</f>
        <v>a16Dm000000NKA4IAO</v>
      </c>
      <c r="D2885" s="392"/>
      <c r="E2885" s="389" t="str">
        <f ca="1">IFERROR(IF(VLOOKUP(C2885,' Disaggregation - Section E '!A$618:J3574,7,0)="","",VLOOKUP(C2885,' Disaggregation - Section E '!A$618:J3574,7,0)*100),"")</f>
        <v/>
      </c>
      <c r="F2885" s="391" t="str">
        <f ca="1">IFERROR(VLOOKUP(C2885,' Disaggregation - Section E '!A$618:J3574,5,0),"")</f>
        <v/>
      </c>
      <c r="G2885" s="390" t="str">
        <f ca="1">IFERROR(IF(VLOOKUP(C2885,' Disaggregation - Section E '!A$618:J3574,6,0)="","",VLOOKUP(C2885,' Disaggregation - Section E '!A$618:J3574,6,0)),"")</f>
        <v/>
      </c>
      <c r="H2885" s="390" t="str">
        <f ca="1">IFERROR(IF(INDEX(' Disaggregation - Section E '!F$618:F3574,MATCH(C2885,' Disaggregation - Section E '!A$618:A3574,0)+1,1)&lt;&gt;0,INDEX(' Disaggregation - Section E '!F$618:F3574,MATCH(C2885,' Disaggregation - Section E '!A$618:A3574,0)+1,1),""),"")</f>
        <v/>
      </c>
      <c r="I2885" s="391" t="str">
        <f ca="1">IFERROR(IF(VLOOKUP(C2885,' Disaggregation - Section E '!A$618:J3574,8,0)=0,"",VLOOKUP(C2885,' Disaggregation - Section E '!A$618:J3574,8,0)),"")</f>
        <v/>
      </c>
      <c r="J2885" s="391" t="str">
        <f ca="1">IFERROR(IF(VLOOKUP(C2885,' Disaggregation - Section E '!A$618:J3574,9,0)="","",VLOOKUP(C2885,' Disaggregation - Section E '!A$618:J3574,9,0)),"")</f>
        <v/>
      </c>
      <c r="K2885" s="387" t="str">
        <f ca="1">IFERROR(VLOOKUP(C2885,' Disaggregation - Section E '!A$618:J3574,3,0),"")</f>
        <v/>
      </c>
      <c r="L2885" s="387"/>
      <c r="M2885" s="387" t="str">
        <f ca="1">IFERROR(IF(VLOOKUP(C2885,' Disaggregation - Section E '!A$618:O2377,15,0)=0,"",VLOOKUP(C2885,' Disaggregation - Section E '!A$618:O2377,15,0)),"")</f>
        <v/>
      </c>
      <c r="N2885" s="391" t="str">
        <f ca="1">IFERROR(IF(VLOOKUP(C2885,' Disaggregation - Section E '!A$618:J3574,10,0)=0,"",VLOOKUP(C2885,' Disaggregation - Section E '!A$618:J3574,10,0)),"")</f>
        <v/>
      </c>
      <c r="O2885" s="387"/>
      <c r="P2885" s="387" t="str">
        <f ca="1">IFERROR(IF(VLOOKUP(C2885,' Disaggregation - Section E '!A$618:R2377,18,0)=0,"",VLOOKUP(C2885,' Disaggregation - Section E '!A$618:R2377,18,0)),"")</f>
        <v/>
      </c>
    </row>
    <row r="2886" spans="1:23">
      <c r="A2886" s="387" t="b">
        <f t="shared" ca="1" si="175"/>
        <v>0</v>
      </c>
      <c r="B2886" s="387"/>
      <c r="C2886" s="396" t="str">
        <f ca="1">IF(COUNTA(O$1610:O2886)=1,"",OFFSET(B2884,-COUNTA(O$1610:O2886)+3,1))</f>
        <v>a16Dm000000NKA5IAO</v>
      </c>
      <c r="D2886" s="392"/>
      <c r="E2886" s="389" t="str">
        <f ca="1">IFERROR(IF(VLOOKUP(C2886,' Disaggregation - Section E '!A$618:J3575,7,0)="","",VLOOKUP(C2886,' Disaggregation - Section E '!A$618:J3575,7,0)*100),"")</f>
        <v/>
      </c>
      <c r="F2886" s="391" t="str">
        <f ca="1">IFERROR(VLOOKUP(C2886,' Disaggregation - Section E '!A$618:J3575,5,0),"")</f>
        <v/>
      </c>
      <c r="G2886" s="390" t="str">
        <f ca="1">IFERROR(IF(VLOOKUP(C2886,' Disaggregation - Section E '!A$618:J3575,6,0)="","",VLOOKUP(C2886,' Disaggregation - Section E '!A$618:J3575,6,0)),"")</f>
        <v/>
      </c>
      <c r="H2886" s="390" t="str">
        <f ca="1">IFERROR(IF(INDEX(' Disaggregation - Section E '!F$618:F3575,MATCH(C2886,' Disaggregation - Section E '!A$618:A3575,0)+1,1)&lt;&gt;0,INDEX(' Disaggregation - Section E '!F$618:F3575,MATCH(C2886,' Disaggregation - Section E '!A$618:A3575,0)+1,1),""),"")</f>
        <v/>
      </c>
      <c r="I2886" s="391" t="str">
        <f ca="1">IFERROR(IF(VLOOKUP(C2886,' Disaggregation - Section E '!A$618:J3575,8,0)=0,"",VLOOKUP(C2886,' Disaggregation - Section E '!A$618:J3575,8,0)),"")</f>
        <v/>
      </c>
      <c r="J2886" s="391" t="str">
        <f ca="1">IFERROR(IF(VLOOKUP(C2886,' Disaggregation - Section E '!A$618:J3575,9,0)="","",VLOOKUP(C2886,' Disaggregation - Section E '!A$618:J3575,9,0)),"")</f>
        <v/>
      </c>
      <c r="K2886" s="387" t="str">
        <f ca="1">IFERROR(VLOOKUP(C2886,' Disaggregation - Section E '!A$618:J3575,3,0),"")</f>
        <v/>
      </c>
      <c r="L2886" s="387"/>
      <c r="M2886" s="387" t="str">
        <f ca="1">IFERROR(IF(VLOOKUP(C2886,' Disaggregation - Section E '!A$618:O2378,15,0)=0,"",VLOOKUP(C2886,' Disaggregation - Section E '!A$618:O2378,15,0)),"")</f>
        <v/>
      </c>
      <c r="N2886" s="391" t="str">
        <f ca="1">IFERROR(IF(VLOOKUP(C2886,' Disaggregation - Section E '!A$618:J3575,10,0)=0,"",VLOOKUP(C2886,' Disaggregation - Section E '!A$618:J3575,10,0)),"")</f>
        <v/>
      </c>
      <c r="O2886" s="387"/>
      <c r="P2886" s="387" t="str">
        <f ca="1">IFERROR(IF(VLOOKUP(C2886,' Disaggregation - Section E '!A$618:R2378,18,0)=0,"",VLOOKUP(C2886,' Disaggregation - Section E '!A$618:R2378,18,0)),"")</f>
        <v/>
      </c>
    </row>
    <row r="2887" spans="1:23">
      <c r="A2887" s="387" t="b">
        <f t="shared" ca="1" si="175"/>
        <v>0</v>
      </c>
      <c r="B2887" s="387"/>
      <c r="C2887" s="396" t="str">
        <f ca="1">IF(COUNTA(O$1610:O2887)=1,"",OFFSET(B2885,-COUNTA(O$1610:O2887)+3,1))</f>
        <v>a16Dm000000NKA6IAO</v>
      </c>
      <c r="D2887" s="392"/>
      <c r="E2887" s="389" t="str">
        <f ca="1">IFERROR(IF(VLOOKUP(C2887,' Disaggregation - Section E '!A$618:J3576,7,0)="","",VLOOKUP(C2887,' Disaggregation - Section E '!A$618:J3576,7,0)*100),"")</f>
        <v/>
      </c>
      <c r="F2887" s="391" t="str">
        <f ca="1">IFERROR(VLOOKUP(C2887,' Disaggregation - Section E '!A$618:J3576,5,0),"")</f>
        <v/>
      </c>
      <c r="G2887" s="390" t="str">
        <f ca="1">IFERROR(IF(VLOOKUP(C2887,' Disaggregation - Section E '!A$618:J3576,6,0)="","",VLOOKUP(C2887,' Disaggregation - Section E '!A$618:J3576,6,0)),"")</f>
        <v/>
      </c>
      <c r="H2887" s="390" t="str">
        <f ca="1">IFERROR(IF(INDEX(' Disaggregation - Section E '!F$618:F3576,MATCH(C2887,' Disaggregation - Section E '!A$618:A3576,0)+1,1)&lt;&gt;0,INDEX(' Disaggregation - Section E '!F$618:F3576,MATCH(C2887,' Disaggregation - Section E '!A$618:A3576,0)+1,1),""),"")</f>
        <v/>
      </c>
      <c r="I2887" s="391" t="str">
        <f ca="1">IFERROR(IF(VLOOKUP(C2887,' Disaggregation - Section E '!A$618:J3576,8,0)=0,"",VLOOKUP(C2887,' Disaggregation - Section E '!A$618:J3576,8,0)),"")</f>
        <v/>
      </c>
      <c r="J2887" s="391" t="str">
        <f ca="1">IFERROR(IF(VLOOKUP(C2887,' Disaggregation - Section E '!A$618:J3576,9,0)="","",VLOOKUP(C2887,' Disaggregation - Section E '!A$618:J3576,9,0)),"")</f>
        <v/>
      </c>
      <c r="K2887" s="387" t="str">
        <f ca="1">IFERROR(VLOOKUP(C2887,' Disaggregation - Section E '!A$618:J3576,3,0),"")</f>
        <v/>
      </c>
      <c r="L2887" s="387"/>
      <c r="M2887" s="387" t="str">
        <f ca="1">IFERROR(IF(VLOOKUP(C2887,' Disaggregation - Section E '!A$618:O2379,15,0)=0,"",VLOOKUP(C2887,' Disaggregation - Section E '!A$618:O2379,15,0)),"")</f>
        <v/>
      </c>
      <c r="N2887" s="391" t="str">
        <f ca="1">IFERROR(IF(VLOOKUP(C2887,' Disaggregation - Section E '!A$618:J3576,10,0)=0,"",VLOOKUP(C2887,' Disaggregation - Section E '!A$618:J3576,10,0)),"")</f>
        <v/>
      </c>
      <c r="O2887" s="387"/>
      <c r="P2887" s="387" t="str">
        <f ca="1">IFERROR(IF(VLOOKUP(C2887,' Disaggregation - Section E '!A$618:R2379,18,0)=0,"",VLOOKUP(C2887,' Disaggregation - Section E '!A$618:R2379,18,0)),"")</f>
        <v/>
      </c>
    </row>
    <row r="2888" spans="1:23">
      <c r="A2888" s="387" t="b">
        <f t="shared" ca="1" si="175"/>
        <v>0</v>
      </c>
      <c r="B2888" s="387"/>
      <c r="C2888" s="396" t="str">
        <f ca="1">IF(COUNTA(O$1610:O2888)=1,"",OFFSET(B2886,-COUNTA(O$1610:O2888)+3,1))</f>
        <v>a16Dm000000NKA7IAO</v>
      </c>
      <c r="D2888" s="392"/>
      <c r="E2888" s="389" t="str">
        <f ca="1">IFERROR(IF(VLOOKUP(C2888,' Disaggregation - Section E '!A$618:J3577,7,0)="","",VLOOKUP(C2888,' Disaggregation - Section E '!A$618:J3577,7,0)*100),"")</f>
        <v/>
      </c>
      <c r="F2888" s="391" t="str">
        <f ca="1">IFERROR(VLOOKUP(C2888,' Disaggregation - Section E '!A$618:J3577,5,0),"")</f>
        <v/>
      </c>
      <c r="G2888" s="390" t="str">
        <f ca="1">IFERROR(IF(VLOOKUP(C2888,' Disaggregation - Section E '!A$618:J3577,6,0)="","",VLOOKUP(C2888,' Disaggregation - Section E '!A$618:J3577,6,0)),"")</f>
        <v/>
      </c>
      <c r="H2888" s="390" t="str">
        <f ca="1">IFERROR(IF(INDEX(' Disaggregation - Section E '!F$618:F3577,MATCH(C2888,' Disaggregation - Section E '!A$618:A3577,0)+1,1)&lt;&gt;0,INDEX(' Disaggregation - Section E '!F$618:F3577,MATCH(C2888,' Disaggregation - Section E '!A$618:A3577,0)+1,1),""),"")</f>
        <v/>
      </c>
      <c r="I2888" s="391" t="str">
        <f ca="1">IFERROR(IF(VLOOKUP(C2888,' Disaggregation - Section E '!A$618:J3577,8,0)=0,"",VLOOKUP(C2888,' Disaggregation - Section E '!A$618:J3577,8,0)),"")</f>
        <v/>
      </c>
      <c r="J2888" s="391" t="str">
        <f ca="1">IFERROR(IF(VLOOKUP(C2888,' Disaggregation - Section E '!A$618:J3577,9,0)="","",VLOOKUP(C2888,' Disaggregation - Section E '!A$618:J3577,9,0)),"")</f>
        <v/>
      </c>
      <c r="K2888" s="387" t="str">
        <f ca="1">IFERROR(VLOOKUP(C2888,' Disaggregation - Section E '!A$618:J3577,3,0),"")</f>
        <v/>
      </c>
      <c r="L2888" s="387"/>
      <c r="M2888" s="387" t="str">
        <f ca="1">IFERROR(IF(VLOOKUP(C2888,' Disaggregation - Section E '!A$618:O2380,15,0)=0,"",VLOOKUP(C2888,' Disaggregation - Section E '!A$618:O2380,15,0)),"")</f>
        <v/>
      </c>
      <c r="N2888" s="391" t="str">
        <f ca="1">IFERROR(IF(VLOOKUP(C2888,' Disaggregation - Section E '!A$618:J3577,10,0)=0,"",VLOOKUP(C2888,' Disaggregation - Section E '!A$618:J3577,10,0)),"")</f>
        <v/>
      </c>
      <c r="O2888" s="387"/>
      <c r="P2888" s="387" t="str">
        <f ca="1">IFERROR(IF(VLOOKUP(C2888,' Disaggregation - Section E '!A$618:R2380,18,0)=0,"",VLOOKUP(C2888,' Disaggregation - Section E '!A$618:R2380,18,0)),"")</f>
        <v/>
      </c>
    </row>
    <row r="2889" spans="1:23">
      <c r="A2889" s="387" t="b">
        <f t="shared" ca="1" si="175"/>
        <v>0</v>
      </c>
      <c r="B2889" s="387"/>
      <c r="C2889" s="396" t="str">
        <f ca="1">IF(COUNTA(O$1610:O2889)=1,"",OFFSET(B2887,-COUNTA(O$1610:O2889)+3,1))</f>
        <v>a16Dm000000NKA8IAO</v>
      </c>
      <c r="D2889" s="392"/>
      <c r="E2889" s="389" t="str">
        <f ca="1">IFERROR(IF(VLOOKUP(C2889,' Disaggregation - Section E '!A$618:J3578,7,0)="","",VLOOKUP(C2889,' Disaggregation - Section E '!A$618:J3578,7,0)*100),"")</f>
        <v/>
      </c>
      <c r="F2889" s="391" t="str">
        <f ca="1">IFERROR(VLOOKUP(C2889,' Disaggregation - Section E '!A$618:J3578,5,0),"")</f>
        <v/>
      </c>
      <c r="G2889" s="390" t="str">
        <f ca="1">IFERROR(IF(VLOOKUP(C2889,' Disaggregation - Section E '!A$618:J3578,6,0)="","",VLOOKUP(C2889,' Disaggregation - Section E '!A$618:J3578,6,0)),"")</f>
        <v/>
      </c>
      <c r="H2889" s="390" t="str">
        <f ca="1">IFERROR(IF(INDEX(' Disaggregation - Section E '!F$618:F3578,MATCH(C2889,' Disaggregation - Section E '!A$618:A3578,0)+1,1)&lt;&gt;0,INDEX(' Disaggregation - Section E '!F$618:F3578,MATCH(C2889,' Disaggregation - Section E '!A$618:A3578,0)+1,1),""),"")</f>
        <v/>
      </c>
      <c r="I2889" s="391" t="str">
        <f ca="1">IFERROR(IF(VLOOKUP(C2889,' Disaggregation - Section E '!A$618:J3578,8,0)=0,"",VLOOKUP(C2889,' Disaggregation - Section E '!A$618:J3578,8,0)),"")</f>
        <v/>
      </c>
      <c r="J2889" s="391" t="str">
        <f ca="1">IFERROR(IF(VLOOKUP(C2889,' Disaggregation - Section E '!A$618:J3578,9,0)="","",VLOOKUP(C2889,' Disaggregation - Section E '!A$618:J3578,9,0)),"")</f>
        <v/>
      </c>
      <c r="K2889" s="387" t="str">
        <f ca="1">IFERROR(VLOOKUP(C2889,' Disaggregation - Section E '!A$618:J3578,3,0),"")</f>
        <v/>
      </c>
      <c r="L2889" s="387"/>
      <c r="M2889" s="387" t="str">
        <f ca="1">IFERROR(IF(VLOOKUP(C2889,' Disaggregation - Section E '!A$618:O2381,15,0)=0,"",VLOOKUP(C2889,' Disaggregation - Section E '!A$618:O2381,15,0)),"")</f>
        <v/>
      </c>
      <c r="N2889" s="391" t="str">
        <f ca="1">IFERROR(IF(VLOOKUP(C2889,' Disaggregation - Section E '!A$618:J3578,10,0)=0,"",VLOOKUP(C2889,' Disaggregation - Section E '!A$618:J3578,10,0)),"")</f>
        <v/>
      </c>
      <c r="O2889" s="387"/>
      <c r="P2889" s="387" t="str">
        <f ca="1">IFERROR(IF(VLOOKUP(C2889,' Disaggregation - Section E '!A$618:R2381,18,0)=0,"",VLOOKUP(C2889,' Disaggregation - Section E '!A$618:R2381,18,0)),"")</f>
        <v/>
      </c>
    </row>
    <row r="2890" spans="1:23">
      <c r="A2890" s="387" t="b">
        <f t="shared" ca="1" si="175"/>
        <v>0</v>
      </c>
      <c r="B2890" s="387"/>
      <c r="C2890" s="396" t="str">
        <f ca="1">IF(COUNTA(O$1610:O2890)=1,"",OFFSET(B2888,-COUNTA(O$1610:O2890)+3,1))</f>
        <v>a16Dm000000NKA9IAO</v>
      </c>
      <c r="D2890" s="392"/>
      <c r="E2890" s="389" t="str">
        <f ca="1">IFERROR(IF(VLOOKUP(C2890,' Disaggregation - Section E '!A$618:J3579,7,0)="","",VLOOKUP(C2890,' Disaggregation - Section E '!A$618:J3579,7,0)*100),"")</f>
        <v/>
      </c>
      <c r="F2890" s="391" t="str">
        <f ca="1">IFERROR(VLOOKUP(C2890,' Disaggregation - Section E '!A$618:J3579,5,0),"")</f>
        <v/>
      </c>
      <c r="G2890" s="390" t="str">
        <f ca="1">IFERROR(IF(VLOOKUP(C2890,' Disaggregation - Section E '!A$618:J3579,6,0)="","",VLOOKUP(C2890,' Disaggregation - Section E '!A$618:J3579,6,0)),"")</f>
        <v/>
      </c>
      <c r="H2890" s="390" t="str">
        <f ca="1">IFERROR(IF(INDEX(' Disaggregation - Section E '!F$618:F3579,MATCH(C2890,' Disaggregation - Section E '!A$618:A3579,0)+1,1)&lt;&gt;0,INDEX(' Disaggregation - Section E '!F$618:F3579,MATCH(C2890,' Disaggregation - Section E '!A$618:A3579,0)+1,1),""),"")</f>
        <v/>
      </c>
      <c r="I2890" s="391" t="str">
        <f ca="1">IFERROR(IF(VLOOKUP(C2890,' Disaggregation - Section E '!A$618:J3579,8,0)=0,"",VLOOKUP(C2890,' Disaggregation - Section E '!A$618:J3579,8,0)),"")</f>
        <v/>
      </c>
      <c r="J2890" s="391" t="str">
        <f ca="1">IFERROR(IF(VLOOKUP(C2890,' Disaggregation - Section E '!A$618:J3579,9,0)="","",VLOOKUP(C2890,' Disaggregation - Section E '!A$618:J3579,9,0)),"")</f>
        <v/>
      </c>
      <c r="K2890" s="387" t="str">
        <f ca="1">IFERROR(VLOOKUP(C2890,' Disaggregation - Section E '!A$618:J3579,3,0),"")</f>
        <v/>
      </c>
      <c r="L2890" s="387"/>
      <c r="M2890" s="387" t="str">
        <f ca="1">IFERROR(IF(VLOOKUP(C2890,' Disaggregation - Section E '!A$618:O2382,15,0)=0,"",VLOOKUP(C2890,' Disaggregation - Section E '!A$618:O2382,15,0)),"")</f>
        <v/>
      </c>
      <c r="N2890" s="391" t="str">
        <f ca="1">IFERROR(IF(VLOOKUP(C2890,' Disaggregation - Section E '!A$618:J3579,10,0)=0,"",VLOOKUP(C2890,' Disaggregation - Section E '!A$618:J3579,10,0)),"")</f>
        <v/>
      </c>
      <c r="O2890" s="387"/>
      <c r="P2890" s="387" t="str">
        <f ca="1">IFERROR(IF(VLOOKUP(C2890,' Disaggregation - Section E '!A$618:R2382,18,0)=0,"",VLOOKUP(C2890,' Disaggregation - Section E '!A$618:R2382,18,0)),"")</f>
        <v/>
      </c>
    </row>
    <row r="2891" spans="1:23">
      <c r="A2891" s="387" t="b">
        <f t="shared" ca="1" si="175"/>
        <v>0</v>
      </c>
      <c r="B2891" s="387"/>
      <c r="C2891" s="396" t="str">
        <f ca="1">IF(COUNTA(O$1610:O2891)=1,"",OFFSET(B2889,-COUNTA(O$1610:O2891)+3,1))</f>
        <v>a16Dm000000NKAAIA4</v>
      </c>
      <c r="D2891" s="392"/>
      <c r="E2891" s="389" t="str">
        <f ca="1">IFERROR(IF(VLOOKUP(C2891,' Disaggregation - Section E '!A$618:J3580,7,0)="","",VLOOKUP(C2891,' Disaggregation - Section E '!A$618:J3580,7,0)*100),"")</f>
        <v/>
      </c>
      <c r="F2891" s="391" t="str">
        <f ca="1">IFERROR(VLOOKUP(C2891,' Disaggregation - Section E '!A$618:J3580,5,0),"")</f>
        <v/>
      </c>
      <c r="G2891" s="390" t="str">
        <f ca="1">IFERROR(IF(VLOOKUP(C2891,' Disaggregation - Section E '!A$618:J3580,6,0)="","",VLOOKUP(C2891,' Disaggregation - Section E '!A$618:J3580,6,0)),"")</f>
        <v/>
      </c>
      <c r="H2891" s="390" t="str">
        <f ca="1">IFERROR(IF(INDEX(' Disaggregation - Section E '!F$618:F3580,MATCH(C2891,' Disaggregation - Section E '!A$618:A3580,0)+1,1)&lt;&gt;0,INDEX(' Disaggregation - Section E '!F$618:F3580,MATCH(C2891,' Disaggregation - Section E '!A$618:A3580,0)+1,1),""),"")</f>
        <v/>
      </c>
      <c r="I2891" s="391" t="str">
        <f ca="1">IFERROR(IF(VLOOKUP(C2891,' Disaggregation - Section E '!A$618:J3580,8,0)=0,"",VLOOKUP(C2891,' Disaggregation - Section E '!A$618:J3580,8,0)),"")</f>
        <v/>
      </c>
      <c r="J2891" s="391" t="str">
        <f ca="1">IFERROR(IF(VLOOKUP(C2891,' Disaggregation - Section E '!A$618:J3580,9,0)="","",VLOOKUP(C2891,' Disaggregation - Section E '!A$618:J3580,9,0)),"")</f>
        <v/>
      </c>
      <c r="K2891" s="387" t="str">
        <f ca="1">IFERROR(VLOOKUP(C2891,' Disaggregation - Section E '!A$618:J3580,3,0),"")</f>
        <v/>
      </c>
      <c r="L2891" s="387"/>
      <c r="M2891" s="387" t="str">
        <f ca="1">IFERROR(IF(VLOOKUP(C2891,' Disaggregation - Section E '!A$618:O2383,15,0)=0,"",VLOOKUP(C2891,' Disaggregation - Section E '!A$618:O2383,15,0)),"")</f>
        <v/>
      </c>
      <c r="N2891" s="391" t="str">
        <f ca="1">IFERROR(IF(VLOOKUP(C2891,' Disaggregation - Section E '!A$618:J3580,10,0)=0,"",VLOOKUP(C2891,' Disaggregation - Section E '!A$618:J3580,10,0)),"")</f>
        <v/>
      </c>
      <c r="O2891" s="387"/>
      <c r="P2891" s="387" t="str">
        <f ca="1">IFERROR(IF(VLOOKUP(C2891,' Disaggregation - Section E '!A$618:R2383,18,0)=0,"",VLOOKUP(C2891,' Disaggregation - Section E '!A$618:R2383,18,0)),"")</f>
        <v/>
      </c>
    </row>
    <row r="2892" spans="1:23">
      <c r="J2892" s="386" t="str">
        <f ca="1">IF(ROW()&gt;'Impact Indicator Target Update'!A19,"",INDIRECT("'Impact Indicators - Section B'!A"&amp;'Impact Indicator Target Update'!D19))</f>
        <v/>
      </c>
    </row>
    <row r="2893" spans="1:23">
      <c r="J2893" s="386" t="str">
        <f ca="1">IF(ROW()&gt;'Impact Indicator Target Update'!A20,"",INDIRECT("'Impact Indicators - Section B'!A"&amp;'Impact Indicator Target Update'!D20))</f>
        <v/>
      </c>
    </row>
    <row r="2894" spans="1:23">
      <c r="A2894" s="385" t="s">
        <v>4380</v>
      </c>
      <c r="B2894" s="386" t="s">
        <v>2303</v>
      </c>
      <c r="J2894" s="386" t="str">
        <f ca="1">IF(ROW()&gt;'Impact Indicator Target Update'!A21,"",INDIRECT("'Impact Indicators - Section B'!A"&amp;'Impact Indicator Target Update'!D21))</f>
        <v/>
      </c>
    </row>
    <row r="2895" spans="1:23">
      <c r="A2895" s="387" t="s">
        <v>328</v>
      </c>
      <c r="B2895" s="387">
        <v>7</v>
      </c>
      <c r="C2895" s="387" t="s">
        <v>318</v>
      </c>
      <c r="D2895" s="387" t="s">
        <v>4381</v>
      </c>
      <c r="E2895" s="387" t="s">
        <v>4382</v>
      </c>
      <c r="F2895" s="387" t="s">
        <v>4383</v>
      </c>
      <c r="G2895" s="387" t="s">
        <v>4384</v>
      </c>
      <c r="H2895" s="387"/>
      <c r="I2895" s="387" t="s">
        <v>2320</v>
      </c>
      <c r="J2895" s="387" t="s">
        <v>2104</v>
      </c>
      <c r="K2895" s="387"/>
      <c r="L2895" s="387"/>
      <c r="M2895" s="387" t="s">
        <v>332</v>
      </c>
      <c r="N2895" s="387" t="s">
        <v>330</v>
      </c>
      <c r="O2895" s="387"/>
      <c r="P2895" s="387" t="s">
        <v>176</v>
      </c>
      <c r="Q2895" s="387" t="s">
        <v>1077</v>
      </c>
      <c r="R2895" s="387" t="s">
        <v>258</v>
      </c>
      <c r="S2895" s="387" t="s">
        <v>4381</v>
      </c>
      <c r="T2895" s="387" t="s">
        <v>4385</v>
      </c>
      <c r="U2895" s="387" t="s">
        <v>777</v>
      </c>
      <c r="V2895" s="387" t="s">
        <v>484</v>
      </c>
      <c r="W2895" s="387" t="s">
        <v>4386</v>
      </c>
    </row>
    <row r="2896" spans="1:23" hidden="1">
      <c r="A2896" s="387" t="b">
        <f ca="1">IF(F2896&lt;&gt;"",TRUE,FALSE)</f>
        <v>1</v>
      </c>
      <c r="B2896" s="387">
        <f ca="1">IF(_xlfn.ISFORMULA(J2896),B2895+1,B2895)</f>
        <v>8</v>
      </c>
      <c r="C2896" s="401" t="str">
        <f ca="1">IF(COUNTA($G$2894:G2895)=1,"",OFFSET(B2896,-COUNTA($G$2894:G2895)+1,1))</f>
        <v/>
      </c>
      <c r="D2896" s="387" t="str">
        <f ca="1">IFERROR(IF(INDIRECT("'WPTM - Section F'!AC"&amp;B2896)=0,"",INDIRECT("'WPTM - Section F'!AC"&amp;B2896)),"")</f>
        <v/>
      </c>
      <c r="E2896" s="391"/>
      <c r="F2896" s="391" t="str">
        <f ca="1">IFERROR(IF(INDIRECT("'WPTM - Section F'!D"&amp;B2896)=0,"",INDIRECT("'WPTM - Section F'!D"&amp;B2896)),"")</f>
        <v>Key Activity</v>
      </c>
      <c r="G2896" s="405"/>
      <c r="H2896" s="387"/>
      <c r="I2896" s="387" t="str">
        <f ca="1">IFERROR(VLOOKUP(INDIRECT("'WPTM - Section F'!E"&amp;B2896),'Overview - Section A'!M$31:R41,6,0),IFERROR(VLOOKUP(INDIRECT("'WPTM - Section F'!E"&amp;B2896),'Overview - Section A'!E$27:J30,6,0),""))</f>
        <v/>
      </c>
      <c r="J2896" s="387" t="str">
        <f ca="1">IFERROR(IF(INDIRECT("'WPTM - Section F'!F"&amp;B2896)=0,"",INDIRECT("'WPTM - Section F'!F"&amp;B2896)),"")</f>
        <v>Country</v>
      </c>
      <c r="K2896" s="387"/>
      <c r="L2896" s="387"/>
      <c r="M2896" s="391" t="s">
        <v>320</v>
      </c>
      <c r="N2896" s="391" t="s">
        <v>4387</v>
      </c>
      <c r="O2896" s="387"/>
      <c r="P2896" s="391" t="str">
        <f ca="1">IFERROR(IF(INDIRECT("'WPTM - Section F'!W"&amp;B2896)=0,"",INDIRECT("'WPTM - Section F'!W"&amp;B2896)),"")</f>
        <v>Comments</v>
      </c>
      <c r="Q2896" s="391" t="s">
        <v>4388</v>
      </c>
      <c r="R2896" s="391" t="str">
        <f ca="1">IFERROR(IF(INDIRECT("'WPTM - Section F'!C"&amp;B2896)=0,"",INDIRECT("'WPTM - Section F'!C"&amp;B2896)),"")</f>
        <v>Interventions</v>
      </c>
      <c r="S2896" s="391" t="s">
        <v>497</v>
      </c>
      <c r="T2896" s="392" t="s">
        <v>4389</v>
      </c>
      <c r="U2896" s="387" t="str">
        <f ca="1">IFERROR(IF(INDIRECT("'WPTM - Section F'!AI"&amp;B2896)=0,"",INDIRECT("'WPTM - Section F'!AI"&amp;B2896)),"")</f>
        <v>Country ID</v>
      </c>
      <c r="V2896" s="387" t="str">
        <f ca="1">IFERROR(IF(INDIRECT("'WPTM - Section F'!AH"&amp;B2896)=0,"",INDIRECT("'WPTM - Section F'!AH"&amp;B2896)),"")</f>
        <v>Intervention ID</v>
      </c>
      <c r="W2896" s="387" t="str">
        <f ca="1">IFERROR(VLOOKUP(INDIRECT("'WPTM - Section F'!E"&amp;B2896),'Overview - Section A'!M$31:R41,4,0),IFERROR(VLOOKUP(INDIRECT("'WPTM - Section F'!E"&amp;B2896),'Overview - Section A'!E$27:J30,5,0),""))</f>
        <v/>
      </c>
    </row>
    <row r="2897" spans="1:23">
      <c r="A2897" s="387" t="b">
        <v>0</v>
      </c>
      <c r="B2897" s="387">
        <f t="shared" ref="B2897:B2960" ca="1" si="176">IF(_xlfn.ISFORMULA(J2897),B2896+1,B2896)</f>
        <v>8</v>
      </c>
      <c r="C2897" s="401" t="s">
        <v>4390</v>
      </c>
      <c r="D2897" s="387" t="s">
        <v>499</v>
      </c>
      <c r="E2897" s="391"/>
      <c r="F2897" s="391"/>
      <c r="G2897" s="405" t="s">
        <v>4391</v>
      </c>
      <c r="H2897" s="387"/>
      <c r="I2897" s="387"/>
      <c r="J2897" s="387"/>
      <c r="K2897" s="387"/>
      <c r="L2897" s="387"/>
      <c r="M2897" s="391"/>
      <c r="N2897" s="391"/>
      <c r="O2897" s="387"/>
      <c r="P2897" s="391"/>
      <c r="Q2897" s="391"/>
      <c r="R2897" s="391"/>
      <c r="S2897" s="391"/>
      <c r="T2897" s="392">
        <v>1</v>
      </c>
      <c r="U2897" s="387"/>
      <c r="V2897" s="387" t="s">
        <v>498</v>
      </c>
      <c r="W2897" s="387"/>
    </row>
    <row r="2898" spans="1:23">
      <c r="A2898" s="387" t="b">
        <v>0</v>
      </c>
      <c r="B2898" s="387">
        <f t="shared" ca="1" si="176"/>
        <v>8</v>
      </c>
      <c r="C2898" s="401" t="s">
        <v>4392</v>
      </c>
      <c r="D2898" s="387" t="s">
        <v>499</v>
      </c>
      <c r="E2898" s="391"/>
      <c r="F2898" s="391"/>
      <c r="G2898" s="405" t="s">
        <v>4393</v>
      </c>
      <c r="H2898" s="387"/>
      <c r="I2898" s="387"/>
      <c r="J2898" s="387"/>
      <c r="K2898" s="387"/>
      <c r="L2898" s="387"/>
      <c r="M2898" s="391"/>
      <c r="N2898" s="391"/>
      <c r="O2898" s="387"/>
      <c r="P2898" s="391"/>
      <c r="Q2898" s="391"/>
      <c r="R2898" s="391"/>
      <c r="S2898" s="391"/>
      <c r="T2898" s="392">
        <v>2</v>
      </c>
      <c r="U2898" s="387"/>
      <c r="V2898" s="387" t="s">
        <v>498</v>
      </c>
      <c r="W2898" s="387"/>
    </row>
    <row r="2899" spans="1:23">
      <c r="A2899" s="387" t="b">
        <v>0</v>
      </c>
      <c r="B2899" s="387">
        <f t="shared" ca="1" si="176"/>
        <v>8</v>
      </c>
      <c r="C2899" s="401" t="s">
        <v>4394</v>
      </c>
      <c r="D2899" s="387" t="s">
        <v>499</v>
      </c>
      <c r="E2899" s="391"/>
      <c r="F2899" s="391"/>
      <c r="G2899" s="405" t="s">
        <v>4395</v>
      </c>
      <c r="H2899" s="387"/>
      <c r="I2899" s="387"/>
      <c r="J2899" s="387"/>
      <c r="K2899" s="387"/>
      <c r="L2899" s="387"/>
      <c r="M2899" s="391"/>
      <c r="N2899" s="391"/>
      <c r="O2899" s="387"/>
      <c r="P2899" s="391"/>
      <c r="Q2899" s="391"/>
      <c r="R2899" s="391"/>
      <c r="S2899" s="391"/>
      <c r="T2899" s="392">
        <v>3</v>
      </c>
      <c r="U2899" s="387"/>
      <c r="V2899" s="387" t="s">
        <v>498</v>
      </c>
      <c r="W2899" s="387"/>
    </row>
    <row r="2900" spans="1:23">
      <c r="A2900" s="387" t="b">
        <v>0</v>
      </c>
      <c r="B2900" s="387">
        <f t="shared" ca="1" si="176"/>
        <v>8</v>
      </c>
      <c r="C2900" s="401" t="s">
        <v>4396</v>
      </c>
      <c r="D2900" s="387" t="s">
        <v>499</v>
      </c>
      <c r="E2900" s="391"/>
      <c r="F2900" s="391"/>
      <c r="G2900" s="405" t="s">
        <v>4397</v>
      </c>
      <c r="H2900" s="387"/>
      <c r="I2900" s="387"/>
      <c r="J2900" s="387"/>
      <c r="K2900" s="387"/>
      <c r="L2900" s="387"/>
      <c r="M2900" s="391"/>
      <c r="N2900" s="391"/>
      <c r="O2900" s="387"/>
      <c r="P2900" s="391"/>
      <c r="Q2900" s="391"/>
      <c r="R2900" s="391"/>
      <c r="S2900" s="391"/>
      <c r="T2900" s="392">
        <v>4</v>
      </c>
      <c r="U2900" s="387"/>
      <c r="V2900" s="387" t="s">
        <v>498</v>
      </c>
      <c r="W2900" s="387"/>
    </row>
    <row r="2901" spans="1:23">
      <c r="A2901" s="387" t="b">
        <v>0</v>
      </c>
      <c r="B2901" s="387">
        <f t="shared" ca="1" si="176"/>
        <v>8</v>
      </c>
      <c r="C2901" s="401" t="s">
        <v>4398</v>
      </c>
      <c r="D2901" s="387" t="s">
        <v>499</v>
      </c>
      <c r="E2901" s="391"/>
      <c r="F2901" s="391"/>
      <c r="G2901" s="405" t="s">
        <v>4399</v>
      </c>
      <c r="H2901" s="387"/>
      <c r="I2901" s="387"/>
      <c r="J2901" s="387"/>
      <c r="K2901" s="387"/>
      <c r="L2901" s="387"/>
      <c r="M2901" s="391"/>
      <c r="N2901" s="391"/>
      <c r="O2901" s="387"/>
      <c r="P2901" s="391"/>
      <c r="Q2901" s="391"/>
      <c r="R2901" s="391"/>
      <c r="S2901" s="391"/>
      <c r="T2901" s="392">
        <v>5</v>
      </c>
      <c r="U2901" s="387"/>
      <c r="V2901" s="387" t="s">
        <v>498</v>
      </c>
      <c r="W2901" s="387"/>
    </row>
    <row r="2902" spans="1:23">
      <c r="A2902" s="387" t="b">
        <v>0</v>
      </c>
      <c r="B2902" s="387">
        <f t="shared" ca="1" si="176"/>
        <v>8</v>
      </c>
      <c r="C2902" s="401" t="s">
        <v>4400</v>
      </c>
      <c r="D2902" s="387" t="s">
        <v>499</v>
      </c>
      <c r="E2902" s="391"/>
      <c r="F2902" s="391"/>
      <c r="G2902" s="405" t="s">
        <v>4401</v>
      </c>
      <c r="H2902" s="387"/>
      <c r="I2902" s="387"/>
      <c r="J2902" s="387"/>
      <c r="K2902" s="387"/>
      <c r="L2902" s="387"/>
      <c r="M2902" s="391"/>
      <c r="N2902" s="391"/>
      <c r="O2902" s="387"/>
      <c r="P2902" s="391"/>
      <c r="Q2902" s="391"/>
      <c r="R2902" s="391"/>
      <c r="S2902" s="391"/>
      <c r="T2902" s="392">
        <v>6</v>
      </c>
      <c r="U2902" s="387"/>
      <c r="V2902" s="387" t="s">
        <v>498</v>
      </c>
      <c r="W2902" s="387"/>
    </row>
    <row r="2903" spans="1:23">
      <c r="A2903" s="387" t="b">
        <v>0</v>
      </c>
      <c r="B2903" s="387">
        <f t="shared" ca="1" si="176"/>
        <v>8</v>
      </c>
      <c r="C2903" s="401" t="s">
        <v>4402</v>
      </c>
      <c r="D2903" s="387" t="s">
        <v>499</v>
      </c>
      <c r="E2903" s="391"/>
      <c r="F2903" s="391"/>
      <c r="G2903" s="405" t="s">
        <v>4403</v>
      </c>
      <c r="H2903" s="387"/>
      <c r="I2903" s="387"/>
      <c r="J2903" s="387"/>
      <c r="K2903" s="387"/>
      <c r="L2903" s="387"/>
      <c r="M2903" s="391"/>
      <c r="N2903" s="391"/>
      <c r="O2903" s="387"/>
      <c r="P2903" s="391"/>
      <c r="Q2903" s="391"/>
      <c r="R2903" s="391"/>
      <c r="S2903" s="391"/>
      <c r="T2903" s="392">
        <v>7</v>
      </c>
      <c r="U2903" s="387"/>
      <c r="V2903" s="387" t="s">
        <v>498</v>
      </c>
      <c r="W2903" s="387"/>
    </row>
    <row r="2904" spans="1:23">
      <c r="A2904" s="387" t="b">
        <v>0</v>
      </c>
      <c r="B2904" s="387">
        <f t="shared" ca="1" si="176"/>
        <v>8</v>
      </c>
      <c r="C2904" s="401" t="s">
        <v>4404</v>
      </c>
      <c r="D2904" s="387" t="s">
        <v>499</v>
      </c>
      <c r="E2904" s="391"/>
      <c r="F2904" s="391"/>
      <c r="G2904" s="405" t="s">
        <v>4405</v>
      </c>
      <c r="H2904" s="387"/>
      <c r="I2904" s="387"/>
      <c r="J2904" s="387"/>
      <c r="K2904" s="387"/>
      <c r="L2904" s="387"/>
      <c r="M2904" s="391"/>
      <c r="N2904" s="391"/>
      <c r="O2904" s="387"/>
      <c r="P2904" s="391"/>
      <c r="Q2904" s="391"/>
      <c r="R2904" s="391"/>
      <c r="S2904" s="391"/>
      <c r="T2904" s="392">
        <v>8</v>
      </c>
      <c r="U2904" s="387"/>
      <c r="V2904" s="387" t="s">
        <v>498</v>
      </c>
      <c r="W2904" s="387"/>
    </row>
    <row r="2905" spans="1:23">
      <c r="A2905" s="387" t="b">
        <v>0</v>
      </c>
      <c r="B2905" s="387">
        <f t="shared" ca="1" si="176"/>
        <v>8</v>
      </c>
      <c r="C2905" s="401" t="s">
        <v>4406</v>
      </c>
      <c r="D2905" s="387" t="s">
        <v>499</v>
      </c>
      <c r="E2905" s="391"/>
      <c r="F2905" s="391"/>
      <c r="G2905" s="405" t="s">
        <v>4407</v>
      </c>
      <c r="H2905" s="387"/>
      <c r="I2905" s="387"/>
      <c r="J2905" s="387"/>
      <c r="K2905" s="387"/>
      <c r="L2905" s="387"/>
      <c r="M2905" s="391"/>
      <c r="N2905" s="391"/>
      <c r="O2905" s="387"/>
      <c r="P2905" s="391"/>
      <c r="Q2905" s="391"/>
      <c r="R2905" s="391"/>
      <c r="S2905" s="391"/>
      <c r="T2905" s="392">
        <v>9</v>
      </c>
      <c r="U2905" s="387"/>
      <c r="V2905" s="387" t="s">
        <v>498</v>
      </c>
      <c r="W2905" s="387"/>
    </row>
    <row r="2906" spans="1:23">
      <c r="A2906" s="387" t="b">
        <v>0</v>
      </c>
      <c r="B2906" s="387">
        <f t="shared" ca="1" si="176"/>
        <v>8</v>
      </c>
      <c r="C2906" s="401" t="s">
        <v>4408</v>
      </c>
      <c r="D2906" s="387" t="s">
        <v>499</v>
      </c>
      <c r="E2906" s="391"/>
      <c r="F2906" s="391"/>
      <c r="G2906" s="405" t="s">
        <v>4409</v>
      </c>
      <c r="H2906" s="387"/>
      <c r="I2906" s="387"/>
      <c r="J2906" s="387"/>
      <c r="K2906" s="387"/>
      <c r="L2906" s="387"/>
      <c r="M2906" s="391"/>
      <c r="N2906" s="391"/>
      <c r="O2906" s="387"/>
      <c r="P2906" s="391"/>
      <c r="Q2906" s="391"/>
      <c r="R2906" s="391"/>
      <c r="S2906" s="391"/>
      <c r="T2906" s="392">
        <v>10</v>
      </c>
      <c r="U2906" s="387"/>
      <c r="V2906" s="387" t="s">
        <v>498</v>
      </c>
      <c r="W2906" s="387"/>
    </row>
    <row r="2907" spans="1:23">
      <c r="A2907" s="387" t="b">
        <v>0</v>
      </c>
      <c r="B2907" s="387">
        <f t="shared" ca="1" si="176"/>
        <v>8</v>
      </c>
      <c r="C2907" s="401" t="s">
        <v>4410</v>
      </c>
      <c r="D2907" s="387" t="s">
        <v>499</v>
      </c>
      <c r="E2907" s="391"/>
      <c r="F2907" s="391"/>
      <c r="G2907" s="405" t="s">
        <v>4411</v>
      </c>
      <c r="H2907" s="387"/>
      <c r="I2907" s="387"/>
      <c r="J2907" s="387"/>
      <c r="K2907" s="387"/>
      <c r="L2907" s="387"/>
      <c r="M2907" s="391"/>
      <c r="N2907" s="391"/>
      <c r="O2907" s="387"/>
      <c r="P2907" s="391"/>
      <c r="Q2907" s="391"/>
      <c r="R2907" s="391"/>
      <c r="S2907" s="391"/>
      <c r="T2907" s="392">
        <v>11</v>
      </c>
      <c r="U2907" s="387"/>
      <c r="V2907" s="387" t="s">
        <v>498</v>
      </c>
      <c r="W2907" s="387"/>
    </row>
    <row r="2908" spans="1:23">
      <c r="A2908" s="387" t="b">
        <v>0</v>
      </c>
      <c r="B2908" s="387">
        <f t="shared" ca="1" si="176"/>
        <v>8</v>
      </c>
      <c r="C2908" s="401" t="s">
        <v>4412</v>
      </c>
      <c r="D2908" s="387" t="s">
        <v>499</v>
      </c>
      <c r="E2908" s="391"/>
      <c r="F2908" s="391"/>
      <c r="G2908" s="405" t="s">
        <v>4413</v>
      </c>
      <c r="H2908" s="387"/>
      <c r="I2908" s="387"/>
      <c r="J2908" s="387"/>
      <c r="K2908" s="387"/>
      <c r="L2908" s="387"/>
      <c r="M2908" s="391"/>
      <c r="N2908" s="391"/>
      <c r="O2908" s="387"/>
      <c r="P2908" s="391"/>
      <c r="Q2908" s="391"/>
      <c r="R2908" s="391"/>
      <c r="S2908" s="391"/>
      <c r="T2908" s="392">
        <v>12</v>
      </c>
      <c r="U2908" s="387"/>
      <c r="V2908" s="387" t="s">
        <v>498</v>
      </c>
      <c r="W2908" s="387"/>
    </row>
    <row r="2909" spans="1:23">
      <c r="A2909" s="387" t="b">
        <v>0</v>
      </c>
      <c r="B2909" s="387">
        <f t="shared" ca="1" si="176"/>
        <v>8</v>
      </c>
      <c r="C2909" s="401" t="s">
        <v>4414</v>
      </c>
      <c r="D2909" s="387" t="s">
        <v>499</v>
      </c>
      <c r="E2909" s="391"/>
      <c r="F2909" s="391"/>
      <c r="G2909" s="405" t="s">
        <v>4415</v>
      </c>
      <c r="H2909" s="387"/>
      <c r="I2909" s="387"/>
      <c r="J2909" s="387"/>
      <c r="K2909" s="387"/>
      <c r="L2909" s="387"/>
      <c r="M2909" s="391"/>
      <c r="N2909" s="391"/>
      <c r="O2909" s="387"/>
      <c r="P2909" s="391"/>
      <c r="Q2909" s="391"/>
      <c r="R2909" s="391"/>
      <c r="S2909" s="391"/>
      <c r="T2909" s="392">
        <v>13</v>
      </c>
      <c r="U2909" s="387"/>
      <c r="V2909" s="387" t="s">
        <v>498</v>
      </c>
      <c r="W2909" s="387"/>
    </row>
    <row r="2910" spans="1:23">
      <c r="A2910" s="387" t="b">
        <v>0</v>
      </c>
      <c r="B2910" s="387">
        <f t="shared" ca="1" si="176"/>
        <v>8</v>
      </c>
      <c r="C2910" s="401" t="s">
        <v>4416</v>
      </c>
      <c r="D2910" s="387" t="s">
        <v>499</v>
      </c>
      <c r="E2910" s="391"/>
      <c r="F2910" s="391"/>
      <c r="G2910" s="405" t="s">
        <v>4417</v>
      </c>
      <c r="H2910" s="387"/>
      <c r="I2910" s="387"/>
      <c r="J2910" s="387"/>
      <c r="K2910" s="387"/>
      <c r="L2910" s="387"/>
      <c r="M2910" s="391"/>
      <c r="N2910" s="391"/>
      <c r="O2910" s="387"/>
      <c r="P2910" s="391"/>
      <c r="Q2910" s="391"/>
      <c r="R2910" s="391"/>
      <c r="S2910" s="391"/>
      <c r="T2910" s="392">
        <v>14</v>
      </c>
      <c r="U2910" s="387"/>
      <c r="V2910" s="387" t="s">
        <v>498</v>
      </c>
      <c r="W2910" s="387"/>
    </row>
    <row r="2911" spans="1:23">
      <c r="A2911" s="387" t="b">
        <v>0</v>
      </c>
      <c r="B2911" s="387">
        <f t="shared" ca="1" si="176"/>
        <v>8</v>
      </c>
      <c r="C2911" s="401" t="s">
        <v>4418</v>
      </c>
      <c r="D2911" s="387" t="s">
        <v>499</v>
      </c>
      <c r="E2911" s="391"/>
      <c r="F2911" s="391"/>
      <c r="G2911" s="405" t="s">
        <v>4419</v>
      </c>
      <c r="H2911" s="387"/>
      <c r="I2911" s="387"/>
      <c r="J2911" s="387"/>
      <c r="K2911" s="387"/>
      <c r="L2911" s="387"/>
      <c r="M2911" s="391"/>
      <c r="N2911" s="391"/>
      <c r="O2911" s="387"/>
      <c r="P2911" s="391"/>
      <c r="Q2911" s="391"/>
      <c r="R2911" s="391"/>
      <c r="S2911" s="391"/>
      <c r="T2911" s="392">
        <v>15</v>
      </c>
      <c r="U2911" s="387"/>
      <c r="V2911" s="387" t="s">
        <v>498</v>
      </c>
      <c r="W2911" s="387"/>
    </row>
    <row r="2912" spans="1:23">
      <c r="A2912" s="387" t="b">
        <v>0</v>
      </c>
      <c r="B2912" s="387">
        <f t="shared" ca="1" si="176"/>
        <v>8</v>
      </c>
      <c r="C2912" s="401" t="s">
        <v>4420</v>
      </c>
      <c r="D2912" s="387" t="s">
        <v>499</v>
      </c>
      <c r="E2912" s="391"/>
      <c r="F2912" s="391"/>
      <c r="G2912" s="405" t="s">
        <v>4421</v>
      </c>
      <c r="H2912" s="387"/>
      <c r="I2912" s="387"/>
      <c r="J2912" s="387"/>
      <c r="K2912" s="387"/>
      <c r="L2912" s="387"/>
      <c r="M2912" s="391"/>
      <c r="N2912" s="391"/>
      <c r="O2912" s="387"/>
      <c r="P2912" s="391"/>
      <c r="Q2912" s="391"/>
      <c r="R2912" s="391"/>
      <c r="S2912" s="391"/>
      <c r="T2912" s="392">
        <v>16</v>
      </c>
      <c r="U2912" s="387"/>
      <c r="V2912" s="387" t="s">
        <v>498</v>
      </c>
      <c r="W2912" s="387"/>
    </row>
    <row r="2913" spans="1:23">
      <c r="A2913" s="387" t="b">
        <v>0</v>
      </c>
      <c r="B2913" s="387">
        <f t="shared" ca="1" si="176"/>
        <v>8</v>
      </c>
      <c r="C2913" s="401" t="s">
        <v>4422</v>
      </c>
      <c r="D2913" s="387" t="s">
        <v>499</v>
      </c>
      <c r="E2913" s="391"/>
      <c r="F2913" s="391"/>
      <c r="G2913" s="405" t="s">
        <v>4423</v>
      </c>
      <c r="H2913" s="387"/>
      <c r="I2913" s="387"/>
      <c r="J2913" s="387"/>
      <c r="K2913" s="387"/>
      <c r="L2913" s="387"/>
      <c r="M2913" s="391"/>
      <c r="N2913" s="391"/>
      <c r="O2913" s="387"/>
      <c r="P2913" s="391"/>
      <c r="Q2913" s="391"/>
      <c r="R2913" s="391"/>
      <c r="S2913" s="391"/>
      <c r="T2913" s="392">
        <v>17</v>
      </c>
      <c r="U2913" s="387"/>
      <c r="V2913" s="387" t="s">
        <v>498</v>
      </c>
      <c r="W2913" s="387"/>
    </row>
    <row r="2914" spans="1:23">
      <c r="A2914" s="387" t="b">
        <v>0</v>
      </c>
      <c r="B2914" s="387">
        <f t="shared" ca="1" si="176"/>
        <v>8</v>
      </c>
      <c r="C2914" s="401" t="s">
        <v>4424</v>
      </c>
      <c r="D2914" s="387" t="s">
        <v>499</v>
      </c>
      <c r="E2914" s="391"/>
      <c r="F2914" s="391"/>
      <c r="G2914" s="405" t="s">
        <v>4425</v>
      </c>
      <c r="H2914" s="387"/>
      <c r="I2914" s="387"/>
      <c r="J2914" s="387"/>
      <c r="K2914" s="387"/>
      <c r="L2914" s="387"/>
      <c r="M2914" s="391"/>
      <c r="N2914" s="391"/>
      <c r="O2914" s="387"/>
      <c r="P2914" s="391"/>
      <c r="Q2914" s="391"/>
      <c r="R2914" s="391"/>
      <c r="S2914" s="391"/>
      <c r="T2914" s="392">
        <v>18</v>
      </c>
      <c r="U2914" s="387"/>
      <c r="V2914" s="387" t="s">
        <v>498</v>
      </c>
      <c r="W2914" s="387"/>
    </row>
    <row r="2915" spans="1:23">
      <c r="A2915" s="387" t="b">
        <v>0</v>
      </c>
      <c r="B2915" s="387">
        <f t="shared" ca="1" si="176"/>
        <v>8</v>
      </c>
      <c r="C2915" s="401" t="s">
        <v>4426</v>
      </c>
      <c r="D2915" s="387" t="s">
        <v>499</v>
      </c>
      <c r="E2915" s="391"/>
      <c r="F2915" s="391"/>
      <c r="G2915" s="405" t="s">
        <v>4427</v>
      </c>
      <c r="H2915" s="387"/>
      <c r="I2915" s="387"/>
      <c r="J2915" s="387"/>
      <c r="K2915" s="387"/>
      <c r="L2915" s="387"/>
      <c r="M2915" s="391"/>
      <c r="N2915" s="391"/>
      <c r="O2915" s="387"/>
      <c r="P2915" s="391"/>
      <c r="Q2915" s="391"/>
      <c r="R2915" s="391"/>
      <c r="S2915" s="391"/>
      <c r="T2915" s="392">
        <v>19</v>
      </c>
      <c r="U2915" s="387"/>
      <c r="V2915" s="387" t="s">
        <v>498</v>
      </c>
      <c r="W2915" s="387"/>
    </row>
    <row r="2916" spans="1:23">
      <c r="A2916" s="387" t="b">
        <v>0</v>
      </c>
      <c r="B2916" s="387">
        <f t="shared" ca="1" si="176"/>
        <v>8</v>
      </c>
      <c r="C2916" s="401" t="s">
        <v>4428</v>
      </c>
      <c r="D2916" s="387" t="s">
        <v>499</v>
      </c>
      <c r="E2916" s="391"/>
      <c r="F2916" s="391"/>
      <c r="G2916" s="405" t="s">
        <v>4429</v>
      </c>
      <c r="H2916" s="387"/>
      <c r="I2916" s="387"/>
      <c r="J2916" s="387"/>
      <c r="K2916" s="387"/>
      <c r="L2916" s="387"/>
      <c r="M2916" s="391"/>
      <c r="N2916" s="391"/>
      <c r="O2916" s="387"/>
      <c r="P2916" s="391"/>
      <c r="Q2916" s="391"/>
      <c r="R2916" s="391"/>
      <c r="S2916" s="391"/>
      <c r="T2916" s="392">
        <v>20</v>
      </c>
      <c r="U2916" s="387"/>
      <c r="V2916" s="387" t="s">
        <v>498</v>
      </c>
      <c r="W2916" s="387"/>
    </row>
    <row r="2917" spans="1:23">
      <c r="A2917" s="387" t="b">
        <v>0</v>
      </c>
      <c r="B2917" s="387">
        <f t="shared" ca="1" si="176"/>
        <v>8</v>
      </c>
      <c r="C2917" s="401" t="s">
        <v>4430</v>
      </c>
      <c r="D2917" s="387" t="s">
        <v>499</v>
      </c>
      <c r="E2917" s="391"/>
      <c r="F2917" s="391"/>
      <c r="G2917" s="405" t="s">
        <v>4431</v>
      </c>
      <c r="H2917" s="387"/>
      <c r="I2917" s="387"/>
      <c r="J2917" s="387"/>
      <c r="K2917" s="387"/>
      <c r="L2917" s="387"/>
      <c r="M2917" s="391"/>
      <c r="N2917" s="391"/>
      <c r="O2917" s="387"/>
      <c r="P2917" s="391"/>
      <c r="Q2917" s="391"/>
      <c r="R2917" s="391"/>
      <c r="S2917" s="391"/>
      <c r="T2917" s="392">
        <v>21</v>
      </c>
      <c r="U2917" s="387"/>
      <c r="V2917" s="387" t="s">
        <v>498</v>
      </c>
      <c r="W2917" s="387"/>
    </row>
    <row r="2918" spans="1:23">
      <c r="A2918" s="387" t="b">
        <v>0</v>
      </c>
      <c r="B2918" s="387">
        <f t="shared" ca="1" si="176"/>
        <v>8</v>
      </c>
      <c r="C2918" s="401" t="s">
        <v>4432</v>
      </c>
      <c r="D2918" s="387" t="s">
        <v>499</v>
      </c>
      <c r="E2918" s="391"/>
      <c r="F2918" s="391"/>
      <c r="G2918" s="405" t="s">
        <v>4433</v>
      </c>
      <c r="H2918" s="387"/>
      <c r="I2918" s="387"/>
      <c r="J2918" s="387"/>
      <c r="K2918" s="387"/>
      <c r="L2918" s="387"/>
      <c r="M2918" s="391"/>
      <c r="N2918" s="391"/>
      <c r="O2918" s="387"/>
      <c r="P2918" s="391"/>
      <c r="Q2918" s="391"/>
      <c r="R2918" s="391"/>
      <c r="S2918" s="391"/>
      <c r="T2918" s="392">
        <v>22</v>
      </c>
      <c r="U2918" s="387"/>
      <c r="V2918" s="387" t="s">
        <v>498</v>
      </c>
      <c r="W2918" s="387"/>
    </row>
    <row r="2919" spans="1:23">
      <c r="A2919" s="387" t="b">
        <v>0</v>
      </c>
      <c r="B2919" s="387">
        <f t="shared" ca="1" si="176"/>
        <v>8</v>
      </c>
      <c r="C2919" s="401" t="s">
        <v>4434</v>
      </c>
      <c r="D2919" s="387" t="s">
        <v>499</v>
      </c>
      <c r="E2919" s="391"/>
      <c r="F2919" s="391"/>
      <c r="G2919" s="405" t="s">
        <v>4435</v>
      </c>
      <c r="H2919" s="387"/>
      <c r="I2919" s="387"/>
      <c r="J2919" s="387"/>
      <c r="K2919" s="387"/>
      <c r="L2919" s="387"/>
      <c r="M2919" s="391"/>
      <c r="N2919" s="391"/>
      <c r="O2919" s="387"/>
      <c r="P2919" s="391"/>
      <c r="Q2919" s="391"/>
      <c r="R2919" s="391"/>
      <c r="S2919" s="391"/>
      <c r="T2919" s="392">
        <v>23</v>
      </c>
      <c r="U2919" s="387"/>
      <c r="V2919" s="387" t="s">
        <v>498</v>
      </c>
      <c r="W2919" s="387"/>
    </row>
    <row r="2920" spans="1:23">
      <c r="A2920" s="387" t="b">
        <v>0</v>
      </c>
      <c r="B2920" s="387">
        <f t="shared" ca="1" si="176"/>
        <v>8</v>
      </c>
      <c r="C2920" s="401" t="s">
        <v>4436</v>
      </c>
      <c r="D2920" s="387" t="s">
        <v>499</v>
      </c>
      <c r="E2920" s="391"/>
      <c r="F2920" s="391"/>
      <c r="G2920" s="405" t="s">
        <v>4437</v>
      </c>
      <c r="H2920" s="387"/>
      <c r="I2920" s="387"/>
      <c r="J2920" s="387"/>
      <c r="K2920" s="387"/>
      <c r="L2920" s="387"/>
      <c r="M2920" s="391"/>
      <c r="N2920" s="391"/>
      <c r="O2920" s="387"/>
      <c r="P2920" s="391"/>
      <c r="Q2920" s="391"/>
      <c r="R2920" s="391"/>
      <c r="S2920" s="391"/>
      <c r="T2920" s="392">
        <v>24</v>
      </c>
      <c r="U2920" s="387"/>
      <c r="V2920" s="387" t="s">
        <v>498</v>
      </c>
      <c r="W2920" s="387"/>
    </row>
    <row r="2921" spans="1:23">
      <c r="A2921" s="387" t="b">
        <v>0</v>
      </c>
      <c r="B2921" s="387">
        <f t="shared" ca="1" si="176"/>
        <v>8</v>
      </c>
      <c r="C2921" s="401" t="s">
        <v>4438</v>
      </c>
      <c r="D2921" s="387" t="s">
        <v>499</v>
      </c>
      <c r="E2921" s="391"/>
      <c r="F2921" s="391"/>
      <c r="G2921" s="405" t="s">
        <v>4439</v>
      </c>
      <c r="H2921" s="387"/>
      <c r="I2921" s="387"/>
      <c r="J2921" s="387"/>
      <c r="K2921" s="387"/>
      <c r="L2921" s="387"/>
      <c r="M2921" s="391"/>
      <c r="N2921" s="391"/>
      <c r="O2921" s="387"/>
      <c r="P2921" s="391"/>
      <c r="Q2921" s="391"/>
      <c r="R2921" s="391"/>
      <c r="S2921" s="391"/>
      <c r="T2921" s="392">
        <v>25</v>
      </c>
      <c r="U2921" s="387"/>
      <c r="V2921" s="387" t="s">
        <v>498</v>
      </c>
      <c r="W2921" s="387"/>
    </row>
    <row r="2922" spans="1:23">
      <c r="A2922" s="387" t="b">
        <v>0</v>
      </c>
      <c r="B2922" s="387">
        <f t="shared" ca="1" si="176"/>
        <v>8</v>
      </c>
      <c r="C2922" s="401" t="s">
        <v>4440</v>
      </c>
      <c r="D2922" s="387" t="s">
        <v>499</v>
      </c>
      <c r="E2922" s="391"/>
      <c r="F2922" s="391"/>
      <c r="G2922" s="405" t="s">
        <v>4441</v>
      </c>
      <c r="H2922" s="387"/>
      <c r="I2922" s="387"/>
      <c r="J2922" s="387"/>
      <c r="K2922" s="387"/>
      <c r="L2922" s="387"/>
      <c r="M2922" s="391"/>
      <c r="N2922" s="391"/>
      <c r="O2922" s="387"/>
      <c r="P2922" s="391"/>
      <c r="Q2922" s="391"/>
      <c r="R2922" s="391"/>
      <c r="S2922" s="391"/>
      <c r="T2922" s="392">
        <v>26</v>
      </c>
      <c r="U2922" s="387"/>
      <c r="V2922" s="387" t="s">
        <v>498</v>
      </c>
      <c r="W2922" s="387"/>
    </row>
    <row r="2923" spans="1:23">
      <c r="A2923" s="387" t="b">
        <v>0</v>
      </c>
      <c r="B2923" s="387">
        <f t="shared" ca="1" si="176"/>
        <v>8</v>
      </c>
      <c r="C2923" s="401" t="s">
        <v>4442</v>
      </c>
      <c r="D2923" s="387" t="s">
        <v>499</v>
      </c>
      <c r="E2923" s="391"/>
      <c r="F2923" s="391"/>
      <c r="G2923" s="405" t="s">
        <v>4443</v>
      </c>
      <c r="H2923" s="387"/>
      <c r="I2923" s="387"/>
      <c r="J2923" s="387"/>
      <c r="K2923" s="387"/>
      <c r="L2923" s="387"/>
      <c r="M2923" s="391"/>
      <c r="N2923" s="391"/>
      <c r="O2923" s="387"/>
      <c r="P2923" s="391"/>
      <c r="Q2923" s="391"/>
      <c r="R2923" s="391"/>
      <c r="S2923" s="391"/>
      <c r="T2923" s="392">
        <v>27</v>
      </c>
      <c r="U2923" s="387"/>
      <c r="V2923" s="387" t="s">
        <v>498</v>
      </c>
      <c r="W2923" s="387"/>
    </row>
    <row r="2924" spans="1:23">
      <c r="A2924" s="387" t="b">
        <v>0</v>
      </c>
      <c r="B2924" s="387">
        <f t="shared" ca="1" si="176"/>
        <v>8</v>
      </c>
      <c r="C2924" s="401" t="s">
        <v>4444</v>
      </c>
      <c r="D2924" s="387" t="s">
        <v>499</v>
      </c>
      <c r="E2924" s="391"/>
      <c r="F2924" s="391"/>
      <c r="G2924" s="405" t="s">
        <v>4445</v>
      </c>
      <c r="H2924" s="387"/>
      <c r="I2924" s="387"/>
      <c r="J2924" s="387"/>
      <c r="K2924" s="387"/>
      <c r="L2924" s="387"/>
      <c r="M2924" s="391"/>
      <c r="N2924" s="391"/>
      <c r="O2924" s="387"/>
      <c r="P2924" s="391"/>
      <c r="Q2924" s="391"/>
      <c r="R2924" s="391"/>
      <c r="S2924" s="391"/>
      <c r="T2924" s="392">
        <v>28</v>
      </c>
      <c r="U2924" s="387"/>
      <c r="V2924" s="387" t="s">
        <v>498</v>
      </c>
      <c r="W2924" s="387"/>
    </row>
    <row r="2925" spans="1:23">
      <c r="A2925" s="387" t="b">
        <v>0</v>
      </c>
      <c r="B2925" s="387">
        <f t="shared" ca="1" si="176"/>
        <v>8</v>
      </c>
      <c r="C2925" s="401" t="s">
        <v>4446</v>
      </c>
      <c r="D2925" s="387" t="s">
        <v>499</v>
      </c>
      <c r="E2925" s="391"/>
      <c r="F2925" s="391"/>
      <c r="G2925" s="405" t="s">
        <v>4447</v>
      </c>
      <c r="H2925" s="387"/>
      <c r="I2925" s="387"/>
      <c r="J2925" s="387"/>
      <c r="K2925" s="387"/>
      <c r="L2925" s="387"/>
      <c r="M2925" s="391"/>
      <c r="N2925" s="391"/>
      <c r="O2925" s="387"/>
      <c r="P2925" s="391"/>
      <c r="Q2925" s="391"/>
      <c r="R2925" s="391"/>
      <c r="S2925" s="391"/>
      <c r="T2925" s="392">
        <v>29</v>
      </c>
      <c r="U2925" s="387"/>
      <c r="V2925" s="387" t="s">
        <v>498</v>
      </c>
      <c r="W2925" s="387"/>
    </row>
    <row r="2926" spans="1:23">
      <c r="A2926" s="387" t="b">
        <v>0</v>
      </c>
      <c r="B2926" s="387">
        <f t="shared" ca="1" si="176"/>
        <v>8</v>
      </c>
      <c r="C2926" s="401" t="s">
        <v>4448</v>
      </c>
      <c r="D2926" s="387" t="s">
        <v>499</v>
      </c>
      <c r="E2926" s="391"/>
      <c r="F2926" s="391"/>
      <c r="G2926" s="405" t="s">
        <v>4449</v>
      </c>
      <c r="H2926" s="387"/>
      <c r="I2926" s="387"/>
      <c r="J2926" s="387"/>
      <c r="K2926" s="387"/>
      <c r="L2926" s="387"/>
      <c r="M2926" s="391"/>
      <c r="N2926" s="391"/>
      <c r="O2926" s="387"/>
      <c r="P2926" s="391"/>
      <c r="Q2926" s="391"/>
      <c r="R2926" s="391"/>
      <c r="S2926" s="391"/>
      <c r="T2926" s="392">
        <v>30</v>
      </c>
      <c r="U2926" s="387"/>
      <c r="V2926" s="387" t="s">
        <v>498</v>
      </c>
      <c r="W2926" s="387"/>
    </row>
    <row r="2927" spans="1:23">
      <c r="A2927" s="387" t="b">
        <v>0</v>
      </c>
      <c r="B2927" s="387">
        <f t="shared" ca="1" si="176"/>
        <v>8</v>
      </c>
      <c r="C2927" s="401" t="s">
        <v>4450</v>
      </c>
      <c r="D2927" s="387" t="s">
        <v>499</v>
      </c>
      <c r="E2927" s="391"/>
      <c r="F2927" s="391"/>
      <c r="G2927" s="405" t="s">
        <v>4451</v>
      </c>
      <c r="H2927" s="387"/>
      <c r="I2927" s="387"/>
      <c r="J2927" s="387"/>
      <c r="K2927" s="387"/>
      <c r="L2927" s="387"/>
      <c r="M2927" s="391"/>
      <c r="N2927" s="391"/>
      <c r="O2927" s="387"/>
      <c r="P2927" s="391"/>
      <c r="Q2927" s="391"/>
      <c r="R2927" s="391"/>
      <c r="S2927" s="391"/>
      <c r="T2927" s="392">
        <v>31</v>
      </c>
      <c r="U2927" s="387"/>
      <c r="V2927" s="387" t="s">
        <v>498</v>
      </c>
      <c r="W2927" s="387"/>
    </row>
    <row r="2928" spans="1:23">
      <c r="A2928" s="387" t="b">
        <v>0</v>
      </c>
      <c r="B2928" s="387">
        <f t="shared" ca="1" si="176"/>
        <v>8</v>
      </c>
      <c r="C2928" s="401" t="s">
        <v>4452</v>
      </c>
      <c r="D2928" s="387" t="s">
        <v>499</v>
      </c>
      <c r="E2928" s="391"/>
      <c r="F2928" s="391"/>
      <c r="G2928" s="405" t="s">
        <v>4453</v>
      </c>
      <c r="H2928" s="387"/>
      <c r="I2928" s="387"/>
      <c r="J2928" s="387"/>
      <c r="K2928" s="387"/>
      <c r="L2928" s="387"/>
      <c r="M2928" s="391"/>
      <c r="N2928" s="391"/>
      <c r="O2928" s="387"/>
      <c r="P2928" s="391"/>
      <c r="Q2928" s="391"/>
      <c r="R2928" s="391"/>
      <c r="S2928" s="391"/>
      <c r="T2928" s="392">
        <v>32</v>
      </c>
      <c r="U2928" s="387"/>
      <c r="V2928" s="387" t="s">
        <v>498</v>
      </c>
      <c r="W2928" s="387"/>
    </row>
    <row r="2929" spans="1:23">
      <c r="A2929" s="387" t="b">
        <v>0</v>
      </c>
      <c r="B2929" s="387">
        <f t="shared" ca="1" si="176"/>
        <v>8</v>
      </c>
      <c r="C2929" s="401" t="s">
        <v>4454</v>
      </c>
      <c r="D2929" s="387" t="s">
        <v>499</v>
      </c>
      <c r="E2929" s="391"/>
      <c r="F2929" s="391"/>
      <c r="G2929" s="405" t="s">
        <v>4455</v>
      </c>
      <c r="H2929" s="387"/>
      <c r="I2929" s="387"/>
      <c r="J2929" s="387"/>
      <c r="K2929" s="387"/>
      <c r="L2929" s="387"/>
      <c r="M2929" s="391"/>
      <c r="N2929" s="391"/>
      <c r="O2929" s="387"/>
      <c r="P2929" s="391"/>
      <c r="Q2929" s="391"/>
      <c r="R2929" s="391"/>
      <c r="S2929" s="391"/>
      <c r="T2929" s="392">
        <v>33</v>
      </c>
      <c r="U2929" s="387"/>
      <c r="V2929" s="387" t="s">
        <v>498</v>
      </c>
      <c r="W2929" s="387"/>
    </row>
    <row r="2930" spans="1:23">
      <c r="A2930" s="387" t="b">
        <v>0</v>
      </c>
      <c r="B2930" s="387">
        <f t="shared" ca="1" si="176"/>
        <v>8</v>
      </c>
      <c r="C2930" s="401" t="s">
        <v>4456</v>
      </c>
      <c r="D2930" s="387" t="s">
        <v>499</v>
      </c>
      <c r="E2930" s="391"/>
      <c r="F2930" s="391"/>
      <c r="G2930" s="405" t="s">
        <v>4457</v>
      </c>
      <c r="H2930" s="387"/>
      <c r="I2930" s="387"/>
      <c r="J2930" s="387"/>
      <c r="K2930" s="387"/>
      <c r="L2930" s="387"/>
      <c r="M2930" s="391"/>
      <c r="N2930" s="391"/>
      <c r="O2930" s="387"/>
      <c r="P2930" s="391"/>
      <c r="Q2930" s="391"/>
      <c r="R2930" s="391"/>
      <c r="S2930" s="391"/>
      <c r="T2930" s="392">
        <v>34</v>
      </c>
      <c r="U2930" s="387"/>
      <c r="V2930" s="387" t="s">
        <v>498</v>
      </c>
      <c r="W2930" s="387"/>
    </row>
    <row r="2931" spans="1:23">
      <c r="A2931" s="387" t="b">
        <v>0</v>
      </c>
      <c r="B2931" s="387">
        <f t="shared" ca="1" si="176"/>
        <v>8</v>
      </c>
      <c r="C2931" s="401" t="s">
        <v>4458</v>
      </c>
      <c r="D2931" s="387" t="s">
        <v>499</v>
      </c>
      <c r="E2931" s="391"/>
      <c r="F2931" s="391"/>
      <c r="G2931" s="405" t="s">
        <v>4459</v>
      </c>
      <c r="H2931" s="387"/>
      <c r="I2931" s="387"/>
      <c r="J2931" s="387"/>
      <c r="K2931" s="387"/>
      <c r="L2931" s="387"/>
      <c r="M2931" s="391"/>
      <c r="N2931" s="391"/>
      <c r="O2931" s="387"/>
      <c r="P2931" s="391"/>
      <c r="Q2931" s="391"/>
      <c r="R2931" s="391"/>
      <c r="S2931" s="391"/>
      <c r="T2931" s="392">
        <v>35</v>
      </c>
      <c r="U2931" s="387"/>
      <c r="V2931" s="387" t="s">
        <v>498</v>
      </c>
      <c r="W2931" s="387"/>
    </row>
    <row r="2932" spans="1:23">
      <c r="A2932" s="387" t="b">
        <v>0</v>
      </c>
      <c r="B2932" s="387">
        <f t="shared" ca="1" si="176"/>
        <v>8</v>
      </c>
      <c r="C2932" s="401" t="s">
        <v>4460</v>
      </c>
      <c r="D2932" s="387" t="s">
        <v>499</v>
      </c>
      <c r="E2932" s="391"/>
      <c r="F2932" s="391"/>
      <c r="G2932" s="405" t="s">
        <v>4461</v>
      </c>
      <c r="H2932" s="387"/>
      <c r="I2932" s="387"/>
      <c r="J2932" s="387"/>
      <c r="K2932" s="387"/>
      <c r="L2932" s="387"/>
      <c r="M2932" s="391"/>
      <c r="N2932" s="391"/>
      <c r="O2932" s="387"/>
      <c r="P2932" s="391"/>
      <c r="Q2932" s="391"/>
      <c r="R2932" s="391"/>
      <c r="S2932" s="391"/>
      <c r="T2932" s="392">
        <v>36</v>
      </c>
      <c r="U2932" s="387"/>
      <c r="V2932" s="387" t="s">
        <v>498</v>
      </c>
      <c r="W2932" s="387"/>
    </row>
    <row r="2933" spans="1:23">
      <c r="A2933" s="387" t="b">
        <v>0</v>
      </c>
      <c r="B2933" s="387">
        <f t="shared" ca="1" si="176"/>
        <v>8</v>
      </c>
      <c r="C2933" s="401" t="s">
        <v>4462</v>
      </c>
      <c r="D2933" s="387" t="s">
        <v>499</v>
      </c>
      <c r="E2933" s="391"/>
      <c r="F2933" s="391"/>
      <c r="G2933" s="405" t="s">
        <v>4463</v>
      </c>
      <c r="H2933" s="387"/>
      <c r="I2933" s="387"/>
      <c r="J2933" s="387"/>
      <c r="K2933" s="387"/>
      <c r="L2933" s="387"/>
      <c r="M2933" s="391"/>
      <c r="N2933" s="391"/>
      <c r="O2933" s="387"/>
      <c r="P2933" s="391"/>
      <c r="Q2933" s="391"/>
      <c r="R2933" s="391"/>
      <c r="S2933" s="391"/>
      <c r="T2933" s="392">
        <v>37</v>
      </c>
      <c r="U2933" s="387"/>
      <c r="V2933" s="387" t="s">
        <v>498</v>
      </c>
      <c r="W2933" s="387"/>
    </row>
    <row r="2934" spans="1:23">
      <c r="A2934" s="387" t="b">
        <v>0</v>
      </c>
      <c r="B2934" s="387">
        <f t="shared" ca="1" si="176"/>
        <v>8</v>
      </c>
      <c r="C2934" s="401" t="s">
        <v>4464</v>
      </c>
      <c r="D2934" s="387" t="s">
        <v>499</v>
      </c>
      <c r="E2934" s="391"/>
      <c r="F2934" s="391"/>
      <c r="G2934" s="405" t="s">
        <v>4465</v>
      </c>
      <c r="H2934" s="387"/>
      <c r="I2934" s="387"/>
      <c r="J2934" s="387"/>
      <c r="K2934" s="387"/>
      <c r="L2934" s="387"/>
      <c r="M2934" s="391"/>
      <c r="N2934" s="391"/>
      <c r="O2934" s="387"/>
      <c r="P2934" s="391"/>
      <c r="Q2934" s="391"/>
      <c r="R2934" s="391"/>
      <c r="S2934" s="391"/>
      <c r="T2934" s="392">
        <v>38</v>
      </c>
      <c r="U2934" s="387"/>
      <c r="V2934" s="387" t="s">
        <v>498</v>
      </c>
      <c r="W2934" s="387"/>
    </row>
    <row r="2935" spans="1:23">
      <c r="A2935" s="387" t="b">
        <v>0</v>
      </c>
      <c r="B2935" s="387">
        <f t="shared" ca="1" si="176"/>
        <v>8</v>
      </c>
      <c r="C2935" s="401" t="s">
        <v>4466</v>
      </c>
      <c r="D2935" s="387" t="s">
        <v>499</v>
      </c>
      <c r="E2935" s="391"/>
      <c r="F2935" s="391"/>
      <c r="G2935" s="405" t="s">
        <v>4467</v>
      </c>
      <c r="H2935" s="387"/>
      <c r="I2935" s="387"/>
      <c r="J2935" s="387"/>
      <c r="K2935" s="387"/>
      <c r="L2935" s="387"/>
      <c r="M2935" s="391"/>
      <c r="N2935" s="391"/>
      <c r="O2935" s="387"/>
      <c r="P2935" s="391"/>
      <c r="Q2935" s="391"/>
      <c r="R2935" s="391"/>
      <c r="S2935" s="391"/>
      <c r="T2935" s="392">
        <v>39</v>
      </c>
      <c r="U2935" s="387"/>
      <c r="V2935" s="387" t="s">
        <v>498</v>
      </c>
      <c r="W2935" s="387"/>
    </row>
    <row r="2936" spans="1:23">
      <c r="A2936" s="387" t="b">
        <v>0</v>
      </c>
      <c r="B2936" s="387">
        <f t="shared" ca="1" si="176"/>
        <v>8</v>
      </c>
      <c r="C2936" s="401" t="s">
        <v>4468</v>
      </c>
      <c r="D2936" s="387" t="s">
        <v>499</v>
      </c>
      <c r="E2936" s="391"/>
      <c r="F2936" s="391"/>
      <c r="G2936" s="405" t="s">
        <v>4469</v>
      </c>
      <c r="H2936" s="387"/>
      <c r="I2936" s="387"/>
      <c r="J2936" s="387"/>
      <c r="K2936" s="387"/>
      <c r="L2936" s="387"/>
      <c r="M2936" s="391"/>
      <c r="N2936" s="391"/>
      <c r="O2936" s="387"/>
      <c r="P2936" s="391"/>
      <c r="Q2936" s="391"/>
      <c r="R2936" s="391"/>
      <c r="S2936" s="391"/>
      <c r="T2936" s="392">
        <v>40</v>
      </c>
      <c r="U2936" s="387"/>
      <c r="V2936" s="387" t="s">
        <v>498</v>
      </c>
      <c r="W2936" s="387"/>
    </row>
    <row r="2937" spans="1:23">
      <c r="A2937" s="387" t="b">
        <v>0</v>
      </c>
      <c r="B2937" s="387">
        <f t="shared" ca="1" si="176"/>
        <v>8</v>
      </c>
      <c r="C2937" s="401" t="s">
        <v>4470</v>
      </c>
      <c r="D2937" s="387" t="s">
        <v>499</v>
      </c>
      <c r="E2937" s="391"/>
      <c r="F2937" s="391"/>
      <c r="G2937" s="405" t="s">
        <v>4471</v>
      </c>
      <c r="H2937" s="387"/>
      <c r="I2937" s="387"/>
      <c r="J2937" s="387"/>
      <c r="K2937" s="387"/>
      <c r="L2937" s="387"/>
      <c r="M2937" s="391"/>
      <c r="N2937" s="391"/>
      <c r="O2937" s="387"/>
      <c r="P2937" s="391"/>
      <c r="Q2937" s="391"/>
      <c r="R2937" s="391"/>
      <c r="S2937" s="391"/>
      <c r="T2937" s="392">
        <v>41</v>
      </c>
      <c r="U2937" s="387"/>
      <c r="V2937" s="387" t="s">
        <v>498</v>
      </c>
      <c r="W2937" s="387"/>
    </row>
    <row r="2938" spans="1:23">
      <c r="A2938" s="387" t="b">
        <v>0</v>
      </c>
      <c r="B2938" s="387">
        <f t="shared" ca="1" si="176"/>
        <v>8</v>
      </c>
      <c r="C2938" s="401" t="s">
        <v>4472</v>
      </c>
      <c r="D2938" s="387" t="s">
        <v>499</v>
      </c>
      <c r="E2938" s="391"/>
      <c r="F2938" s="391"/>
      <c r="G2938" s="405" t="s">
        <v>4473</v>
      </c>
      <c r="H2938" s="387"/>
      <c r="I2938" s="387"/>
      <c r="J2938" s="387"/>
      <c r="K2938" s="387"/>
      <c r="L2938" s="387"/>
      <c r="M2938" s="391"/>
      <c r="N2938" s="391"/>
      <c r="O2938" s="387"/>
      <c r="P2938" s="391"/>
      <c r="Q2938" s="391"/>
      <c r="R2938" s="391"/>
      <c r="S2938" s="391"/>
      <c r="T2938" s="392">
        <v>42</v>
      </c>
      <c r="U2938" s="387"/>
      <c r="V2938" s="387" t="s">
        <v>498</v>
      </c>
      <c r="W2938" s="387"/>
    </row>
    <row r="2939" spans="1:23">
      <c r="A2939" s="387" t="b">
        <v>0</v>
      </c>
      <c r="B2939" s="387">
        <f t="shared" ca="1" si="176"/>
        <v>8</v>
      </c>
      <c r="C2939" s="401" t="s">
        <v>4474</v>
      </c>
      <c r="D2939" s="387" t="s">
        <v>499</v>
      </c>
      <c r="E2939" s="391"/>
      <c r="F2939" s="391"/>
      <c r="G2939" s="405" t="s">
        <v>4475</v>
      </c>
      <c r="H2939" s="387"/>
      <c r="I2939" s="387"/>
      <c r="J2939" s="387"/>
      <c r="K2939" s="387"/>
      <c r="L2939" s="387"/>
      <c r="M2939" s="391"/>
      <c r="N2939" s="391"/>
      <c r="O2939" s="387"/>
      <c r="P2939" s="391"/>
      <c r="Q2939" s="391"/>
      <c r="R2939" s="391"/>
      <c r="S2939" s="391"/>
      <c r="T2939" s="392">
        <v>43</v>
      </c>
      <c r="U2939" s="387"/>
      <c r="V2939" s="387" t="s">
        <v>498</v>
      </c>
      <c r="W2939" s="387"/>
    </row>
    <row r="2940" spans="1:23">
      <c r="A2940" s="387" t="b">
        <v>0</v>
      </c>
      <c r="B2940" s="387">
        <f t="shared" ca="1" si="176"/>
        <v>8</v>
      </c>
      <c r="C2940" s="401" t="s">
        <v>4476</v>
      </c>
      <c r="D2940" s="387" t="s">
        <v>499</v>
      </c>
      <c r="E2940" s="391"/>
      <c r="F2940" s="391"/>
      <c r="G2940" s="405" t="s">
        <v>4477</v>
      </c>
      <c r="H2940" s="387"/>
      <c r="I2940" s="387"/>
      <c r="J2940" s="387"/>
      <c r="K2940" s="387"/>
      <c r="L2940" s="387"/>
      <c r="M2940" s="391"/>
      <c r="N2940" s="391"/>
      <c r="O2940" s="387"/>
      <c r="P2940" s="391"/>
      <c r="Q2940" s="391"/>
      <c r="R2940" s="391"/>
      <c r="S2940" s="391"/>
      <c r="T2940" s="392">
        <v>44</v>
      </c>
      <c r="U2940" s="387"/>
      <c r="V2940" s="387" t="s">
        <v>498</v>
      </c>
      <c r="W2940" s="387"/>
    </row>
    <row r="2941" spans="1:23">
      <c r="A2941" s="387" t="b">
        <v>0</v>
      </c>
      <c r="B2941" s="387">
        <f t="shared" ca="1" si="176"/>
        <v>8</v>
      </c>
      <c r="C2941" s="401" t="s">
        <v>4478</v>
      </c>
      <c r="D2941" s="387" t="s">
        <v>499</v>
      </c>
      <c r="E2941" s="391"/>
      <c r="F2941" s="391"/>
      <c r="G2941" s="405" t="s">
        <v>4479</v>
      </c>
      <c r="H2941" s="387"/>
      <c r="I2941" s="387"/>
      <c r="J2941" s="387"/>
      <c r="K2941" s="387"/>
      <c r="L2941" s="387"/>
      <c r="M2941" s="391"/>
      <c r="N2941" s="391"/>
      <c r="O2941" s="387"/>
      <c r="P2941" s="391"/>
      <c r="Q2941" s="391"/>
      <c r="R2941" s="391"/>
      <c r="S2941" s="391"/>
      <c r="T2941" s="392">
        <v>45</v>
      </c>
      <c r="U2941" s="387"/>
      <c r="V2941" s="387" t="s">
        <v>498</v>
      </c>
      <c r="W2941" s="387"/>
    </row>
    <row r="2942" spans="1:23">
      <c r="A2942" s="387" t="b">
        <v>0</v>
      </c>
      <c r="B2942" s="387">
        <f t="shared" ca="1" si="176"/>
        <v>8</v>
      </c>
      <c r="C2942" s="401" t="s">
        <v>4480</v>
      </c>
      <c r="D2942" s="387" t="s">
        <v>499</v>
      </c>
      <c r="E2942" s="391"/>
      <c r="F2942" s="391"/>
      <c r="G2942" s="405" t="s">
        <v>4481</v>
      </c>
      <c r="H2942" s="387"/>
      <c r="I2942" s="387"/>
      <c r="J2942" s="387"/>
      <c r="K2942" s="387"/>
      <c r="L2942" s="387"/>
      <c r="M2942" s="391"/>
      <c r="N2942" s="391"/>
      <c r="O2942" s="387"/>
      <c r="P2942" s="391"/>
      <c r="Q2942" s="391"/>
      <c r="R2942" s="391"/>
      <c r="S2942" s="391"/>
      <c r="T2942" s="392">
        <v>46</v>
      </c>
      <c r="U2942" s="387"/>
      <c r="V2942" s="387" t="s">
        <v>498</v>
      </c>
      <c r="W2942" s="387"/>
    </row>
    <row r="2943" spans="1:23">
      <c r="A2943" s="387" t="b">
        <v>0</v>
      </c>
      <c r="B2943" s="387">
        <f t="shared" ca="1" si="176"/>
        <v>8</v>
      </c>
      <c r="C2943" s="401" t="s">
        <v>4482</v>
      </c>
      <c r="D2943" s="387" t="s">
        <v>499</v>
      </c>
      <c r="E2943" s="391"/>
      <c r="F2943" s="391"/>
      <c r="G2943" s="405" t="s">
        <v>4483</v>
      </c>
      <c r="H2943" s="387"/>
      <c r="I2943" s="387"/>
      <c r="J2943" s="387"/>
      <c r="K2943" s="387"/>
      <c r="L2943" s="387"/>
      <c r="M2943" s="391"/>
      <c r="N2943" s="391"/>
      <c r="O2943" s="387"/>
      <c r="P2943" s="391"/>
      <c r="Q2943" s="391"/>
      <c r="R2943" s="391"/>
      <c r="S2943" s="391"/>
      <c r="T2943" s="392">
        <v>47</v>
      </c>
      <c r="U2943" s="387"/>
      <c r="V2943" s="387" t="s">
        <v>498</v>
      </c>
      <c r="W2943" s="387"/>
    </row>
    <row r="2944" spans="1:23">
      <c r="A2944" s="387" t="b">
        <v>0</v>
      </c>
      <c r="B2944" s="387">
        <f t="shared" ca="1" si="176"/>
        <v>8</v>
      </c>
      <c r="C2944" s="401" t="s">
        <v>4484</v>
      </c>
      <c r="D2944" s="387" t="s">
        <v>499</v>
      </c>
      <c r="E2944" s="391"/>
      <c r="F2944" s="391"/>
      <c r="G2944" s="405" t="s">
        <v>4485</v>
      </c>
      <c r="H2944" s="387"/>
      <c r="I2944" s="387"/>
      <c r="J2944" s="387"/>
      <c r="K2944" s="387"/>
      <c r="L2944" s="387"/>
      <c r="M2944" s="391"/>
      <c r="N2944" s="391"/>
      <c r="O2944" s="387"/>
      <c r="P2944" s="391"/>
      <c r="Q2944" s="391"/>
      <c r="R2944" s="391"/>
      <c r="S2944" s="391"/>
      <c r="T2944" s="392">
        <v>48</v>
      </c>
      <c r="U2944" s="387"/>
      <c r="V2944" s="387" t="s">
        <v>498</v>
      </c>
      <c r="W2944" s="387"/>
    </row>
    <row r="2945" spans="1:23">
      <c r="A2945" s="387" t="b">
        <v>0</v>
      </c>
      <c r="B2945" s="387">
        <f t="shared" ca="1" si="176"/>
        <v>8</v>
      </c>
      <c r="C2945" s="401" t="s">
        <v>4486</v>
      </c>
      <c r="D2945" s="387" t="s">
        <v>499</v>
      </c>
      <c r="E2945" s="391"/>
      <c r="F2945" s="391"/>
      <c r="G2945" s="405" t="s">
        <v>4487</v>
      </c>
      <c r="H2945" s="387"/>
      <c r="I2945" s="387"/>
      <c r="J2945" s="387"/>
      <c r="K2945" s="387"/>
      <c r="L2945" s="387"/>
      <c r="M2945" s="391"/>
      <c r="N2945" s="391"/>
      <c r="O2945" s="387"/>
      <c r="P2945" s="391"/>
      <c r="Q2945" s="391"/>
      <c r="R2945" s="391"/>
      <c r="S2945" s="391"/>
      <c r="T2945" s="392">
        <v>49</v>
      </c>
      <c r="U2945" s="387"/>
      <c r="V2945" s="387" t="s">
        <v>498</v>
      </c>
      <c r="W2945" s="387"/>
    </row>
    <row r="2946" spans="1:23">
      <c r="A2946" s="387" t="b">
        <v>0</v>
      </c>
      <c r="B2946" s="387">
        <f t="shared" ca="1" si="176"/>
        <v>8</v>
      </c>
      <c r="C2946" s="401" t="s">
        <v>4488</v>
      </c>
      <c r="D2946" s="387" t="s">
        <v>499</v>
      </c>
      <c r="E2946" s="391"/>
      <c r="F2946" s="391"/>
      <c r="G2946" s="405" t="s">
        <v>4489</v>
      </c>
      <c r="H2946" s="387"/>
      <c r="I2946" s="387"/>
      <c r="J2946" s="387"/>
      <c r="K2946" s="387"/>
      <c r="L2946" s="387"/>
      <c r="M2946" s="391"/>
      <c r="N2946" s="391"/>
      <c r="O2946" s="387"/>
      <c r="P2946" s="391"/>
      <c r="Q2946" s="391"/>
      <c r="R2946" s="391"/>
      <c r="S2946" s="391"/>
      <c r="T2946" s="392">
        <v>50</v>
      </c>
      <c r="U2946" s="387"/>
      <c r="V2946" s="387" t="s">
        <v>498</v>
      </c>
      <c r="W2946" s="387"/>
    </row>
    <row r="2947" spans="1:23">
      <c r="A2947" s="387" t="b">
        <v>0</v>
      </c>
      <c r="B2947" s="387">
        <f t="shared" ca="1" si="176"/>
        <v>8</v>
      </c>
      <c r="C2947" s="401" t="s">
        <v>4490</v>
      </c>
      <c r="D2947" s="387" t="s">
        <v>499</v>
      </c>
      <c r="E2947" s="391"/>
      <c r="F2947" s="391"/>
      <c r="G2947" s="405" t="s">
        <v>4491</v>
      </c>
      <c r="H2947" s="387"/>
      <c r="I2947" s="387"/>
      <c r="J2947" s="387"/>
      <c r="K2947" s="387"/>
      <c r="L2947" s="387"/>
      <c r="M2947" s="391"/>
      <c r="N2947" s="391"/>
      <c r="O2947" s="387"/>
      <c r="P2947" s="391"/>
      <c r="Q2947" s="391"/>
      <c r="R2947" s="391"/>
      <c r="S2947" s="391"/>
      <c r="T2947" s="392">
        <v>51</v>
      </c>
      <c r="U2947" s="387"/>
      <c r="V2947" s="387" t="s">
        <v>498</v>
      </c>
      <c r="W2947" s="387"/>
    </row>
    <row r="2948" spans="1:23">
      <c r="A2948" s="387" t="b">
        <v>0</v>
      </c>
      <c r="B2948" s="387">
        <f t="shared" ca="1" si="176"/>
        <v>8</v>
      </c>
      <c r="C2948" s="401" t="s">
        <v>4492</v>
      </c>
      <c r="D2948" s="387" t="s">
        <v>499</v>
      </c>
      <c r="E2948" s="391"/>
      <c r="F2948" s="391"/>
      <c r="G2948" s="405" t="s">
        <v>4493</v>
      </c>
      <c r="H2948" s="387"/>
      <c r="I2948" s="387"/>
      <c r="J2948" s="387"/>
      <c r="K2948" s="387"/>
      <c r="L2948" s="387"/>
      <c r="M2948" s="391"/>
      <c r="N2948" s="391"/>
      <c r="O2948" s="387"/>
      <c r="P2948" s="391"/>
      <c r="Q2948" s="391"/>
      <c r="R2948" s="391"/>
      <c r="S2948" s="391"/>
      <c r="T2948" s="392">
        <v>52</v>
      </c>
      <c r="U2948" s="387"/>
      <c r="V2948" s="387" t="s">
        <v>498</v>
      </c>
      <c r="W2948" s="387"/>
    </row>
    <row r="2949" spans="1:23">
      <c r="A2949" s="387" t="b">
        <v>0</v>
      </c>
      <c r="B2949" s="387">
        <f t="shared" ca="1" si="176"/>
        <v>8</v>
      </c>
      <c r="C2949" s="401" t="s">
        <v>4494</v>
      </c>
      <c r="D2949" s="387" t="s">
        <v>499</v>
      </c>
      <c r="E2949" s="391"/>
      <c r="F2949" s="391"/>
      <c r="G2949" s="405" t="s">
        <v>4495</v>
      </c>
      <c r="H2949" s="387"/>
      <c r="I2949" s="387"/>
      <c r="J2949" s="387"/>
      <c r="K2949" s="387"/>
      <c r="L2949" s="387"/>
      <c r="M2949" s="391"/>
      <c r="N2949" s="391"/>
      <c r="O2949" s="387"/>
      <c r="P2949" s="391"/>
      <c r="Q2949" s="391"/>
      <c r="R2949" s="391"/>
      <c r="S2949" s="391"/>
      <c r="T2949" s="392">
        <v>53</v>
      </c>
      <c r="U2949" s="387"/>
      <c r="V2949" s="387" t="s">
        <v>498</v>
      </c>
      <c r="W2949" s="387"/>
    </row>
    <row r="2950" spans="1:23">
      <c r="A2950" s="387" t="b">
        <v>0</v>
      </c>
      <c r="B2950" s="387">
        <f t="shared" ca="1" si="176"/>
        <v>8</v>
      </c>
      <c r="C2950" s="401" t="s">
        <v>4496</v>
      </c>
      <c r="D2950" s="387" t="s">
        <v>499</v>
      </c>
      <c r="E2950" s="391"/>
      <c r="F2950" s="391"/>
      <c r="G2950" s="405" t="s">
        <v>4497</v>
      </c>
      <c r="H2950" s="387"/>
      <c r="I2950" s="387"/>
      <c r="J2950" s="387"/>
      <c r="K2950" s="387"/>
      <c r="L2950" s="387"/>
      <c r="M2950" s="391"/>
      <c r="N2950" s="391"/>
      <c r="O2950" s="387"/>
      <c r="P2950" s="391"/>
      <c r="Q2950" s="391"/>
      <c r="R2950" s="391"/>
      <c r="S2950" s="391"/>
      <c r="T2950" s="392">
        <v>54</v>
      </c>
      <c r="U2950" s="387"/>
      <c r="V2950" s="387" t="s">
        <v>498</v>
      </c>
      <c r="W2950" s="387"/>
    </row>
    <row r="2951" spans="1:23">
      <c r="A2951" s="387" t="b">
        <v>0</v>
      </c>
      <c r="B2951" s="387">
        <f t="shared" ca="1" si="176"/>
        <v>8</v>
      </c>
      <c r="C2951" s="401" t="s">
        <v>4498</v>
      </c>
      <c r="D2951" s="387" t="s">
        <v>499</v>
      </c>
      <c r="E2951" s="391"/>
      <c r="F2951" s="391"/>
      <c r="G2951" s="405" t="s">
        <v>4499</v>
      </c>
      <c r="H2951" s="387"/>
      <c r="I2951" s="387"/>
      <c r="J2951" s="387"/>
      <c r="K2951" s="387"/>
      <c r="L2951" s="387"/>
      <c r="M2951" s="391"/>
      <c r="N2951" s="391"/>
      <c r="O2951" s="387"/>
      <c r="P2951" s="391"/>
      <c r="Q2951" s="391"/>
      <c r="R2951" s="391"/>
      <c r="S2951" s="391"/>
      <c r="T2951" s="392">
        <v>55</v>
      </c>
      <c r="U2951" s="387"/>
      <c r="V2951" s="387" t="s">
        <v>498</v>
      </c>
      <c r="W2951" s="387"/>
    </row>
    <row r="2952" spans="1:23">
      <c r="A2952" s="387" t="b">
        <v>0</v>
      </c>
      <c r="B2952" s="387">
        <f t="shared" ca="1" si="176"/>
        <v>8</v>
      </c>
      <c r="C2952" s="401" t="s">
        <v>4500</v>
      </c>
      <c r="D2952" s="387" t="s">
        <v>499</v>
      </c>
      <c r="E2952" s="391"/>
      <c r="F2952" s="391"/>
      <c r="G2952" s="405" t="s">
        <v>4501</v>
      </c>
      <c r="H2952" s="387"/>
      <c r="I2952" s="387"/>
      <c r="J2952" s="387"/>
      <c r="K2952" s="387"/>
      <c r="L2952" s="387"/>
      <c r="M2952" s="391"/>
      <c r="N2952" s="391"/>
      <c r="O2952" s="387"/>
      <c r="P2952" s="391"/>
      <c r="Q2952" s="391"/>
      <c r="R2952" s="391"/>
      <c r="S2952" s="391"/>
      <c r="T2952" s="392">
        <v>56</v>
      </c>
      <c r="U2952" s="387"/>
      <c r="V2952" s="387" t="s">
        <v>498</v>
      </c>
      <c r="W2952" s="387"/>
    </row>
    <row r="2953" spans="1:23">
      <c r="A2953" s="387" t="b">
        <v>0</v>
      </c>
      <c r="B2953" s="387">
        <f t="shared" ca="1" si="176"/>
        <v>8</v>
      </c>
      <c r="C2953" s="401" t="s">
        <v>4502</v>
      </c>
      <c r="D2953" s="387" t="s">
        <v>499</v>
      </c>
      <c r="E2953" s="391"/>
      <c r="F2953" s="391"/>
      <c r="G2953" s="405" t="s">
        <v>4503</v>
      </c>
      <c r="H2953" s="387"/>
      <c r="I2953" s="387"/>
      <c r="J2953" s="387"/>
      <c r="K2953" s="387"/>
      <c r="L2953" s="387"/>
      <c r="M2953" s="391"/>
      <c r="N2953" s="391"/>
      <c r="O2953" s="387"/>
      <c r="P2953" s="391"/>
      <c r="Q2953" s="391"/>
      <c r="R2953" s="391"/>
      <c r="S2953" s="391"/>
      <c r="T2953" s="392">
        <v>57</v>
      </c>
      <c r="U2953" s="387"/>
      <c r="V2953" s="387" t="s">
        <v>498</v>
      </c>
      <c r="W2953" s="387"/>
    </row>
    <row r="2954" spans="1:23">
      <c r="A2954" s="387" t="b">
        <v>0</v>
      </c>
      <c r="B2954" s="387">
        <f t="shared" ca="1" si="176"/>
        <v>8</v>
      </c>
      <c r="C2954" s="401" t="s">
        <v>4504</v>
      </c>
      <c r="D2954" s="387" t="s">
        <v>499</v>
      </c>
      <c r="E2954" s="391"/>
      <c r="F2954" s="391"/>
      <c r="G2954" s="405" t="s">
        <v>4505</v>
      </c>
      <c r="H2954" s="387"/>
      <c r="I2954" s="387"/>
      <c r="J2954" s="387"/>
      <c r="K2954" s="387"/>
      <c r="L2954" s="387"/>
      <c r="M2954" s="391"/>
      <c r="N2954" s="391"/>
      <c r="O2954" s="387"/>
      <c r="P2954" s="391"/>
      <c r="Q2954" s="391"/>
      <c r="R2954" s="391"/>
      <c r="S2954" s="391"/>
      <c r="T2954" s="392">
        <v>58</v>
      </c>
      <c r="U2954" s="387"/>
      <c r="V2954" s="387" t="s">
        <v>498</v>
      </c>
      <c r="W2954" s="387"/>
    </row>
    <row r="2955" spans="1:23">
      <c r="A2955" s="387" t="b">
        <v>0</v>
      </c>
      <c r="B2955" s="387">
        <f t="shared" ca="1" si="176"/>
        <v>8</v>
      </c>
      <c r="C2955" s="401" t="s">
        <v>4506</v>
      </c>
      <c r="D2955" s="387" t="s">
        <v>499</v>
      </c>
      <c r="E2955" s="391"/>
      <c r="F2955" s="391"/>
      <c r="G2955" s="405" t="s">
        <v>4507</v>
      </c>
      <c r="H2955" s="387"/>
      <c r="I2955" s="387"/>
      <c r="J2955" s="387"/>
      <c r="K2955" s="387"/>
      <c r="L2955" s="387"/>
      <c r="M2955" s="391"/>
      <c r="N2955" s="391"/>
      <c r="O2955" s="387"/>
      <c r="P2955" s="391"/>
      <c r="Q2955" s="391"/>
      <c r="R2955" s="391"/>
      <c r="S2955" s="391"/>
      <c r="T2955" s="392">
        <v>59</v>
      </c>
      <c r="U2955" s="387"/>
      <c r="V2955" s="387" t="s">
        <v>498</v>
      </c>
      <c r="W2955" s="387"/>
    </row>
    <row r="2956" spans="1:23">
      <c r="A2956" s="387" t="b">
        <v>0</v>
      </c>
      <c r="B2956" s="387">
        <f t="shared" ca="1" si="176"/>
        <v>8</v>
      </c>
      <c r="C2956" s="401" t="s">
        <v>4508</v>
      </c>
      <c r="D2956" s="387" t="s">
        <v>499</v>
      </c>
      <c r="E2956" s="391"/>
      <c r="F2956" s="391"/>
      <c r="G2956" s="405" t="s">
        <v>4509</v>
      </c>
      <c r="H2956" s="387"/>
      <c r="I2956" s="387"/>
      <c r="J2956" s="387"/>
      <c r="K2956" s="387"/>
      <c r="L2956" s="387"/>
      <c r="M2956" s="391"/>
      <c r="N2956" s="391"/>
      <c r="O2956" s="387"/>
      <c r="P2956" s="391"/>
      <c r="Q2956" s="391"/>
      <c r="R2956" s="391"/>
      <c r="S2956" s="391"/>
      <c r="T2956" s="392">
        <v>60</v>
      </c>
      <c r="U2956" s="387"/>
      <c r="V2956" s="387" t="s">
        <v>498</v>
      </c>
      <c r="W2956" s="387"/>
    </row>
    <row r="2957" spans="1:23">
      <c r="A2957" s="387" t="b">
        <v>0</v>
      </c>
      <c r="B2957" s="387">
        <f t="shared" ca="1" si="176"/>
        <v>8</v>
      </c>
      <c r="C2957" s="401" t="s">
        <v>4510</v>
      </c>
      <c r="D2957" s="387" t="s">
        <v>499</v>
      </c>
      <c r="E2957" s="391"/>
      <c r="F2957" s="391"/>
      <c r="G2957" s="405" t="s">
        <v>4511</v>
      </c>
      <c r="H2957" s="387"/>
      <c r="I2957" s="387"/>
      <c r="J2957" s="387"/>
      <c r="K2957" s="387"/>
      <c r="L2957" s="387"/>
      <c r="M2957" s="391"/>
      <c r="N2957" s="391"/>
      <c r="O2957" s="387"/>
      <c r="P2957" s="391"/>
      <c r="Q2957" s="391"/>
      <c r="R2957" s="391"/>
      <c r="S2957" s="391"/>
      <c r="T2957" s="392">
        <v>61</v>
      </c>
      <c r="U2957" s="387"/>
      <c r="V2957" s="387" t="s">
        <v>498</v>
      </c>
      <c r="W2957" s="387"/>
    </row>
    <row r="2958" spans="1:23">
      <c r="A2958" s="387" t="b">
        <v>0</v>
      </c>
      <c r="B2958" s="387">
        <f t="shared" ca="1" si="176"/>
        <v>8</v>
      </c>
      <c r="C2958" s="401" t="s">
        <v>4512</v>
      </c>
      <c r="D2958" s="387" t="s">
        <v>499</v>
      </c>
      <c r="E2958" s="391"/>
      <c r="F2958" s="391"/>
      <c r="G2958" s="405" t="s">
        <v>4513</v>
      </c>
      <c r="H2958" s="387"/>
      <c r="I2958" s="387"/>
      <c r="J2958" s="387"/>
      <c r="K2958" s="387"/>
      <c r="L2958" s="387"/>
      <c r="M2958" s="391"/>
      <c r="N2958" s="391"/>
      <c r="O2958" s="387"/>
      <c r="P2958" s="391"/>
      <c r="Q2958" s="391"/>
      <c r="R2958" s="391"/>
      <c r="S2958" s="391"/>
      <c r="T2958" s="392">
        <v>62</v>
      </c>
      <c r="U2958" s="387"/>
      <c r="V2958" s="387" t="s">
        <v>498</v>
      </c>
      <c r="W2958" s="387"/>
    </row>
    <row r="2959" spans="1:23">
      <c r="A2959" s="387" t="b">
        <v>0</v>
      </c>
      <c r="B2959" s="387">
        <f t="shared" ca="1" si="176"/>
        <v>8</v>
      </c>
      <c r="C2959" s="401" t="s">
        <v>4514</v>
      </c>
      <c r="D2959" s="387" t="s">
        <v>499</v>
      </c>
      <c r="E2959" s="391"/>
      <c r="F2959" s="391"/>
      <c r="G2959" s="405" t="s">
        <v>4515</v>
      </c>
      <c r="H2959" s="387"/>
      <c r="I2959" s="387"/>
      <c r="J2959" s="387"/>
      <c r="K2959" s="387"/>
      <c r="L2959" s="387"/>
      <c r="M2959" s="391"/>
      <c r="N2959" s="391"/>
      <c r="O2959" s="387"/>
      <c r="P2959" s="391"/>
      <c r="Q2959" s="391"/>
      <c r="R2959" s="391"/>
      <c r="S2959" s="391"/>
      <c r="T2959" s="392">
        <v>63</v>
      </c>
      <c r="U2959" s="387"/>
      <c r="V2959" s="387" t="s">
        <v>498</v>
      </c>
      <c r="W2959" s="387"/>
    </row>
    <row r="2960" spans="1:23">
      <c r="A2960" s="387" t="b">
        <v>0</v>
      </c>
      <c r="B2960" s="387">
        <f t="shared" ca="1" si="176"/>
        <v>8</v>
      </c>
      <c r="C2960" s="401" t="s">
        <v>4516</v>
      </c>
      <c r="D2960" s="387" t="s">
        <v>499</v>
      </c>
      <c r="E2960" s="391"/>
      <c r="F2960" s="391"/>
      <c r="G2960" s="405" t="s">
        <v>4517</v>
      </c>
      <c r="H2960" s="387"/>
      <c r="I2960" s="387"/>
      <c r="J2960" s="387"/>
      <c r="K2960" s="387"/>
      <c r="L2960" s="387"/>
      <c r="M2960" s="391"/>
      <c r="N2960" s="391"/>
      <c r="O2960" s="387"/>
      <c r="P2960" s="391"/>
      <c r="Q2960" s="391"/>
      <c r="R2960" s="391"/>
      <c r="S2960" s="391"/>
      <c r="T2960" s="392">
        <v>64</v>
      </c>
      <c r="U2960" s="387"/>
      <c r="V2960" s="387" t="s">
        <v>498</v>
      </c>
      <c r="W2960" s="387"/>
    </row>
    <row r="2961" spans="1:23">
      <c r="A2961" s="387" t="b">
        <v>0</v>
      </c>
      <c r="B2961" s="387">
        <f t="shared" ref="B2961:B3024" ca="1" si="177">IF(_xlfn.ISFORMULA(J2961),B2960+1,B2960)</f>
        <v>8</v>
      </c>
      <c r="C2961" s="401" t="s">
        <v>4518</v>
      </c>
      <c r="D2961" s="387" t="s">
        <v>499</v>
      </c>
      <c r="E2961" s="391"/>
      <c r="F2961" s="391"/>
      <c r="G2961" s="405" t="s">
        <v>4519</v>
      </c>
      <c r="H2961" s="387"/>
      <c r="I2961" s="387"/>
      <c r="J2961" s="387"/>
      <c r="K2961" s="387"/>
      <c r="L2961" s="387"/>
      <c r="M2961" s="391"/>
      <c r="N2961" s="391"/>
      <c r="O2961" s="387"/>
      <c r="P2961" s="391"/>
      <c r="Q2961" s="391"/>
      <c r="R2961" s="391"/>
      <c r="S2961" s="391"/>
      <c r="T2961" s="392">
        <v>65</v>
      </c>
      <c r="U2961" s="387"/>
      <c r="V2961" s="387" t="s">
        <v>498</v>
      </c>
      <c r="W2961" s="387"/>
    </row>
    <row r="2962" spans="1:23">
      <c r="A2962" s="387" t="b">
        <v>0</v>
      </c>
      <c r="B2962" s="387">
        <f t="shared" ca="1" si="177"/>
        <v>8</v>
      </c>
      <c r="C2962" s="401" t="s">
        <v>4520</v>
      </c>
      <c r="D2962" s="387" t="s">
        <v>499</v>
      </c>
      <c r="E2962" s="391"/>
      <c r="F2962" s="391"/>
      <c r="G2962" s="405" t="s">
        <v>4521</v>
      </c>
      <c r="H2962" s="387"/>
      <c r="I2962" s="387"/>
      <c r="J2962" s="387"/>
      <c r="K2962" s="387"/>
      <c r="L2962" s="387"/>
      <c r="M2962" s="391"/>
      <c r="N2962" s="391"/>
      <c r="O2962" s="387"/>
      <c r="P2962" s="391"/>
      <c r="Q2962" s="391"/>
      <c r="R2962" s="391"/>
      <c r="S2962" s="391"/>
      <c r="T2962" s="392">
        <v>66</v>
      </c>
      <c r="U2962" s="387"/>
      <c r="V2962" s="387" t="s">
        <v>498</v>
      </c>
      <c r="W2962" s="387"/>
    </row>
    <row r="2963" spans="1:23">
      <c r="A2963" s="387" t="b">
        <v>0</v>
      </c>
      <c r="B2963" s="387">
        <f t="shared" ca="1" si="177"/>
        <v>8</v>
      </c>
      <c r="C2963" s="401" t="s">
        <v>4522</v>
      </c>
      <c r="D2963" s="387" t="s">
        <v>499</v>
      </c>
      <c r="E2963" s="391"/>
      <c r="F2963" s="391"/>
      <c r="G2963" s="405" t="s">
        <v>4523</v>
      </c>
      <c r="H2963" s="387"/>
      <c r="I2963" s="387"/>
      <c r="J2963" s="387"/>
      <c r="K2963" s="387"/>
      <c r="L2963" s="387"/>
      <c r="M2963" s="391"/>
      <c r="N2963" s="391"/>
      <c r="O2963" s="387"/>
      <c r="P2963" s="391"/>
      <c r="Q2963" s="391"/>
      <c r="R2963" s="391"/>
      <c r="S2963" s="391"/>
      <c r="T2963" s="392">
        <v>67</v>
      </c>
      <c r="U2963" s="387"/>
      <c r="V2963" s="387" t="s">
        <v>498</v>
      </c>
      <c r="W2963" s="387"/>
    </row>
    <row r="2964" spans="1:23">
      <c r="A2964" s="387" t="b">
        <v>0</v>
      </c>
      <c r="B2964" s="387">
        <f t="shared" ca="1" si="177"/>
        <v>8</v>
      </c>
      <c r="C2964" s="401" t="s">
        <v>4524</v>
      </c>
      <c r="D2964" s="387" t="s">
        <v>499</v>
      </c>
      <c r="E2964" s="391"/>
      <c r="F2964" s="391"/>
      <c r="G2964" s="405" t="s">
        <v>4525</v>
      </c>
      <c r="H2964" s="387"/>
      <c r="I2964" s="387"/>
      <c r="J2964" s="387"/>
      <c r="K2964" s="387"/>
      <c r="L2964" s="387"/>
      <c r="M2964" s="391"/>
      <c r="N2964" s="391"/>
      <c r="O2964" s="387"/>
      <c r="P2964" s="391"/>
      <c r="Q2964" s="391"/>
      <c r="R2964" s="391"/>
      <c r="S2964" s="391"/>
      <c r="T2964" s="392">
        <v>68</v>
      </c>
      <c r="U2964" s="387"/>
      <c r="V2964" s="387" t="s">
        <v>498</v>
      </c>
      <c r="W2964" s="387"/>
    </row>
    <row r="2965" spans="1:23">
      <c r="A2965" s="387" t="b">
        <v>0</v>
      </c>
      <c r="B2965" s="387">
        <f t="shared" ca="1" si="177"/>
        <v>8</v>
      </c>
      <c r="C2965" s="401" t="s">
        <v>4526</v>
      </c>
      <c r="D2965" s="387" t="s">
        <v>499</v>
      </c>
      <c r="E2965" s="391"/>
      <c r="F2965" s="391"/>
      <c r="G2965" s="405" t="s">
        <v>4527</v>
      </c>
      <c r="H2965" s="387"/>
      <c r="I2965" s="387"/>
      <c r="J2965" s="387"/>
      <c r="K2965" s="387"/>
      <c r="L2965" s="387"/>
      <c r="M2965" s="391"/>
      <c r="N2965" s="391"/>
      <c r="O2965" s="387"/>
      <c r="P2965" s="391"/>
      <c r="Q2965" s="391"/>
      <c r="R2965" s="391"/>
      <c r="S2965" s="391"/>
      <c r="T2965" s="392">
        <v>69</v>
      </c>
      <c r="U2965" s="387"/>
      <c r="V2965" s="387" t="s">
        <v>498</v>
      </c>
      <c r="W2965" s="387"/>
    </row>
    <row r="2966" spans="1:23">
      <c r="A2966" s="387" t="b">
        <v>0</v>
      </c>
      <c r="B2966" s="387">
        <f t="shared" ca="1" si="177"/>
        <v>8</v>
      </c>
      <c r="C2966" s="401" t="s">
        <v>4528</v>
      </c>
      <c r="D2966" s="387" t="s">
        <v>499</v>
      </c>
      <c r="E2966" s="391"/>
      <c r="F2966" s="391"/>
      <c r="G2966" s="405" t="s">
        <v>4529</v>
      </c>
      <c r="H2966" s="387"/>
      <c r="I2966" s="387"/>
      <c r="J2966" s="387"/>
      <c r="K2966" s="387"/>
      <c r="L2966" s="387"/>
      <c r="M2966" s="391"/>
      <c r="N2966" s="391"/>
      <c r="O2966" s="387"/>
      <c r="P2966" s="391"/>
      <c r="Q2966" s="391"/>
      <c r="R2966" s="391"/>
      <c r="S2966" s="391"/>
      <c r="T2966" s="392">
        <v>70</v>
      </c>
      <c r="U2966" s="387"/>
      <c r="V2966" s="387" t="s">
        <v>498</v>
      </c>
      <c r="W2966" s="387"/>
    </row>
    <row r="2967" spans="1:23">
      <c r="A2967" s="387" t="b">
        <v>0</v>
      </c>
      <c r="B2967" s="387">
        <f t="shared" ca="1" si="177"/>
        <v>8</v>
      </c>
      <c r="C2967" s="401" t="s">
        <v>4530</v>
      </c>
      <c r="D2967" s="387" t="s">
        <v>499</v>
      </c>
      <c r="E2967" s="391"/>
      <c r="F2967" s="391"/>
      <c r="G2967" s="405" t="s">
        <v>4531</v>
      </c>
      <c r="H2967" s="387"/>
      <c r="I2967" s="387"/>
      <c r="J2967" s="387"/>
      <c r="K2967" s="387"/>
      <c r="L2967" s="387"/>
      <c r="M2967" s="391"/>
      <c r="N2967" s="391"/>
      <c r="O2967" s="387"/>
      <c r="P2967" s="391"/>
      <c r="Q2967" s="391"/>
      <c r="R2967" s="391"/>
      <c r="S2967" s="391"/>
      <c r="T2967" s="392">
        <v>71</v>
      </c>
      <c r="U2967" s="387"/>
      <c r="V2967" s="387" t="s">
        <v>498</v>
      </c>
      <c r="W2967" s="387"/>
    </row>
    <row r="2968" spans="1:23">
      <c r="A2968" s="387" t="b">
        <v>0</v>
      </c>
      <c r="B2968" s="387">
        <f t="shared" ca="1" si="177"/>
        <v>8</v>
      </c>
      <c r="C2968" s="401" t="s">
        <v>4532</v>
      </c>
      <c r="D2968" s="387" t="s">
        <v>499</v>
      </c>
      <c r="E2968" s="391"/>
      <c r="F2968" s="391"/>
      <c r="G2968" s="405" t="s">
        <v>4533</v>
      </c>
      <c r="H2968" s="387"/>
      <c r="I2968" s="387"/>
      <c r="J2968" s="387"/>
      <c r="K2968" s="387"/>
      <c r="L2968" s="387"/>
      <c r="M2968" s="391"/>
      <c r="N2968" s="391"/>
      <c r="O2968" s="387"/>
      <c r="P2968" s="391"/>
      <c r="Q2968" s="391"/>
      <c r="R2968" s="391"/>
      <c r="S2968" s="391"/>
      <c r="T2968" s="392">
        <v>72</v>
      </c>
      <c r="U2968" s="387"/>
      <c r="V2968" s="387" t="s">
        <v>498</v>
      </c>
      <c r="W2968" s="387"/>
    </row>
    <row r="2969" spans="1:23">
      <c r="A2969" s="387" t="b">
        <v>0</v>
      </c>
      <c r="B2969" s="387">
        <f t="shared" ca="1" si="177"/>
        <v>8</v>
      </c>
      <c r="C2969" s="401" t="s">
        <v>4534</v>
      </c>
      <c r="D2969" s="387" t="s">
        <v>499</v>
      </c>
      <c r="E2969" s="391"/>
      <c r="F2969" s="391"/>
      <c r="G2969" s="405" t="s">
        <v>4535</v>
      </c>
      <c r="H2969" s="387"/>
      <c r="I2969" s="387"/>
      <c r="J2969" s="387"/>
      <c r="K2969" s="387"/>
      <c r="L2969" s="387"/>
      <c r="M2969" s="391"/>
      <c r="N2969" s="391"/>
      <c r="O2969" s="387"/>
      <c r="P2969" s="391"/>
      <c r="Q2969" s="391"/>
      <c r="R2969" s="391"/>
      <c r="S2969" s="391"/>
      <c r="T2969" s="392">
        <v>73</v>
      </c>
      <c r="U2969" s="387"/>
      <c r="V2969" s="387" t="s">
        <v>498</v>
      </c>
      <c r="W2969" s="387"/>
    </row>
    <row r="2970" spans="1:23">
      <c r="A2970" s="387" t="b">
        <v>0</v>
      </c>
      <c r="B2970" s="387">
        <f t="shared" ca="1" si="177"/>
        <v>8</v>
      </c>
      <c r="C2970" s="401" t="s">
        <v>4536</v>
      </c>
      <c r="D2970" s="387" t="s">
        <v>499</v>
      </c>
      <c r="E2970" s="391"/>
      <c r="F2970" s="391"/>
      <c r="G2970" s="405" t="s">
        <v>4537</v>
      </c>
      <c r="H2970" s="387"/>
      <c r="I2970" s="387"/>
      <c r="J2970" s="387"/>
      <c r="K2970" s="387"/>
      <c r="L2970" s="387"/>
      <c r="M2970" s="391"/>
      <c r="N2970" s="391"/>
      <c r="O2970" s="387"/>
      <c r="P2970" s="391"/>
      <c r="Q2970" s="391"/>
      <c r="R2970" s="391"/>
      <c r="S2970" s="391"/>
      <c r="T2970" s="392">
        <v>74</v>
      </c>
      <c r="U2970" s="387"/>
      <c r="V2970" s="387" t="s">
        <v>498</v>
      </c>
      <c r="W2970" s="387"/>
    </row>
    <row r="2971" spans="1:23">
      <c r="A2971" s="387" t="b">
        <v>0</v>
      </c>
      <c r="B2971" s="387">
        <f t="shared" ca="1" si="177"/>
        <v>8</v>
      </c>
      <c r="C2971" s="401" t="s">
        <v>4538</v>
      </c>
      <c r="D2971" s="387" t="s">
        <v>499</v>
      </c>
      <c r="E2971" s="391"/>
      <c r="F2971" s="391"/>
      <c r="G2971" s="405" t="s">
        <v>4539</v>
      </c>
      <c r="H2971" s="387"/>
      <c r="I2971" s="387"/>
      <c r="J2971" s="387"/>
      <c r="K2971" s="387"/>
      <c r="L2971" s="387"/>
      <c r="M2971" s="391"/>
      <c r="N2971" s="391"/>
      <c r="O2971" s="387"/>
      <c r="P2971" s="391"/>
      <c r="Q2971" s="391"/>
      <c r="R2971" s="391"/>
      <c r="S2971" s="391"/>
      <c r="T2971" s="392">
        <v>75</v>
      </c>
      <c r="U2971" s="387"/>
      <c r="V2971" s="387" t="s">
        <v>498</v>
      </c>
      <c r="W2971" s="387"/>
    </row>
    <row r="2972" spans="1:23">
      <c r="A2972" s="387" t="b">
        <v>0</v>
      </c>
      <c r="B2972" s="387">
        <f t="shared" ca="1" si="177"/>
        <v>8</v>
      </c>
      <c r="C2972" s="401" t="s">
        <v>4540</v>
      </c>
      <c r="D2972" s="387" t="s">
        <v>499</v>
      </c>
      <c r="E2972" s="391"/>
      <c r="F2972" s="391"/>
      <c r="G2972" s="405" t="s">
        <v>4541</v>
      </c>
      <c r="H2972" s="387"/>
      <c r="I2972" s="387"/>
      <c r="J2972" s="387"/>
      <c r="K2972" s="387"/>
      <c r="L2972" s="387"/>
      <c r="M2972" s="391"/>
      <c r="N2972" s="391"/>
      <c r="O2972" s="387"/>
      <c r="P2972" s="391"/>
      <c r="Q2972" s="391"/>
      <c r="R2972" s="391"/>
      <c r="S2972" s="391"/>
      <c r="T2972" s="392">
        <v>76</v>
      </c>
      <c r="U2972" s="387"/>
      <c r="V2972" s="387" t="s">
        <v>498</v>
      </c>
      <c r="W2972" s="387"/>
    </row>
    <row r="2973" spans="1:23">
      <c r="A2973" s="387" t="b">
        <v>0</v>
      </c>
      <c r="B2973" s="387">
        <f t="shared" ca="1" si="177"/>
        <v>8</v>
      </c>
      <c r="C2973" s="401" t="s">
        <v>4542</v>
      </c>
      <c r="D2973" s="387" t="s">
        <v>499</v>
      </c>
      <c r="E2973" s="391"/>
      <c r="F2973" s="391"/>
      <c r="G2973" s="405" t="s">
        <v>4543</v>
      </c>
      <c r="H2973" s="387"/>
      <c r="I2973" s="387"/>
      <c r="J2973" s="387"/>
      <c r="K2973" s="387"/>
      <c r="L2973" s="387"/>
      <c r="M2973" s="391"/>
      <c r="N2973" s="391"/>
      <c r="O2973" s="387"/>
      <c r="P2973" s="391"/>
      <c r="Q2973" s="391"/>
      <c r="R2973" s="391"/>
      <c r="S2973" s="391"/>
      <c r="T2973" s="392">
        <v>77</v>
      </c>
      <c r="U2973" s="387"/>
      <c r="V2973" s="387" t="s">
        <v>498</v>
      </c>
      <c r="W2973" s="387"/>
    </row>
    <row r="2974" spans="1:23">
      <c r="A2974" s="387" t="b">
        <v>0</v>
      </c>
      <c r="B2974" s="387">
        <f t="shared" ca="1" si="177"/>
        <v>8</v>
      </c>
      <c r="C2974" s="401" t="s">
        <v>4544</v>
      </c>
      <c r="D2974" s="387" t="s">
        <v>499</v>
      </c>
      <c r="E2974" s="391"/>
      <c r="F2974" s="391"/>
      <c r="G2974" s="405" t="s">
        <v>4545</v>
      </c>
      <c r="H2974" s="387"/>
      <c r="I2974" s="387"/>
      <c r="J2974" s="387"/>
      <c r="K2974" s="387"/>
      <c r="L2974" s="387"/>
      <c r="M2974" s="391"/>
      <c r="N2974" s="391"/>
      <c r="O2974" s="387"/>
      <c r="P2974" s="391"/>
      <c r="Q2974" s="391"/>
      <c r="R2974" s="391"/>
      <c r="S2974" s="391"/>
      <c r="T2974" s="392">
        <v>78</v>
      </c>
      <c r="U2974" s="387"/>
      <c r="V2974" s="387" t="s">
        <v>498</v>
      </c>
      <c r="W2974" s="387"/>
    </row>
    <row r="2975" spans="1:23">
      <c r="A2975" s="387" t="b">
        <v>0</v>
      </c>
      <c r="B2975" s="387">
        <f t="shared" ca="1" si="177"/>
        <v>8</v>
      </c>
      <c r="C2975" s="401" t="s">
        <v>4546</v>
      </c>
      <c r="D2975" s="387" t="s">
        <v>499</v>
      </c>
      <c r="E2975" s="391"/>
      <c r="F2975" s="391"/>
      <c r="G2975" s="405" t="s">
        <v>4547</v>
      </c>
      <c r="H2975" s="387"/>
      <c r="I2975" s="387"/>
      <c r="J2975" s="387"/>
      <c r="K2975" s="387"/>
      <c r="L2975" s="387"/>
      <c r="M2975" s="391"/>
      <c r="N2975" s="391"/>
      <c r="O2975" s="387"/>
      <c r="P2975" s="391"/>
      <c r="Q2975" s="391"/>
      <c r="R2975" s="391"/>
      <c r="S2975" s="391"/>
      <c r="T2975" s="392">
        <v>79</v>
      </c>
      <c r="U2975" s="387"/>
      <c r="V2975" s="387" t="s">
        <v>498</v>
      </c>
      <c r="W2975" s="387"/>
    </row>
    <row r="2976" spans="1:23">
      <c r="A2976" s="387" t="b">
        <v>0</v>
      </c>
      <c r="B2976" s="387">
        <f t="shared" ca="1" si="177"/>
        <v>8</v>
      </c>
      <c r="C2976" s="401" t="s">
        <v>4548</v>
      </c>
      <c r="D2976" s="387" t="s">
        <v>499</v>
      </c>
      <c r="E2976" s="391"/>
      <c r="F2976" s="391"/>
      <c r="G2976" s="405" t="s">
        <v>4549</v>
      </c>
      <c r="H2976" s="387"/>
      <c r="I2976" s="387"/>
      <c r="J2976" s="387"/>
      <c r="K2976" s="387"/>
      <c r="L2976" s="387"/>
      <c r="M2976" s="391"/>
      <c r="N2976" s="391"/>
      <c r="O2976" s="387"/>
      <c r="P2976" s="391"/>
      <c r="Q2976" s="391"/>
      <c r="R2976" s="391"/>
      <c r="S2976" s="391"/>
      <c r="T2976" s="392">
        <v>80</v>
      </c>
      <c r="U2976" s="387"/>
      <c r="V2976" s="387" t="s">
        <v>498</v>
      </c>
      <c r="W2976" s="387"/>
    </row>
    <row r="2977" spans="1:23">
      <c r="A2977" s="387" t="b">
        <f t="shared" ref="A2977:A3040" ca="1" si="178">IF(F2977&lt;&gt;"",TRUE,FALSE)</f>
        <v>0</v>
      </c>
      <c r="B2977" s="387">
        <f t="shared" ca="1" si="177"/>
        <v>9</v>
      </c>
      <c r="C2977" s="404" t="str">
        <f ca="1">IF(COUNTA($G$2894:G2976)=1,"",OFFSET(B2977,-COUNTA($G$2894:G2976)+1,1))</f>
        <v>a1NDm000000H16fMAC</v>
      </c>
      <c r="D2977" s="387" t="str">
        <f t="shared" ref="D2977:D3040" ca="1" si="179">IFERROR(IF(INDIRECT("'WPTM - Section F'!AC"&amp;B2977)=0,"",INDIRECT("'WPTM - Section F'!AC"&amp;B2977)),"")</f>
        <v>INT-350981</v>
      </c>
      <c r="E2977" s="391"/>
      <c r="F2977" s="391" t="str">
        <f t="shared" ref="F2977:F3040" ca="1" si="180">IFERROR(IF(INDIRECT("'WPTM - Section F'!D"&amp;B2977)=0,"",INDIRECT("'WPTM - Section F'!D"&amp;B2977)),"")</f>
        <v/>
      </c>
      <c r="G2977" s="405"/>
      <c r="H2977" s="387"/>
      <c r="I2977" s="387" t="str">
        <f ca="1">IFERROR(VLOOKUP(INDIRECT("'WPTM - Section F'!E"&amp;B2977),'Overview - Section A'!M$31:R122,6,0),IFERROR(VLOOKUP(INDIRECT("'WPTM - Section F'!E"&amp;B2977),'Overview - Section A'!E$27:J111,6,0),""))</f>
        <v/>
      </c>
      <c r="J2977" s="387" t="str">
        <f t="shared" ref="J2977:J3040" ca="1" si="181">IFERROR(IF(INDIRECT("'WPTM - Section F'!F"&amp;B2977)=0,"",INDIRECT("'WPTM - Section F'!F"&amp;B2977)),"")</f>
        <v/>
      </c>
      <c r="K2977" s="387"/>
      <c r="L2977" s="387"/>
      <c r="M2977" s="391"/>
      <c r="N2977" s="391"/>
      <c r="O2977" s="387"/>
      <c r="P2977" s="391" t="str">
        <f t="shared" ref="P2977:P3040" ca="1" si="182">IFERROR(IF(INDIRECT("'WPTM - Section F'!W"&amp;B2977)=0,"",INDIRECT("'WPTM - Section F'!W"&amp;B2977)),"")</f>
        <v/>
      </c>
      <c r="Q2977" s="391"/>
      <c r="R2977" s="391" t="str">
        <f t="shared" ref="R2977:R3040" ca="1" si="183">IFERROR(IF(INDIRECT("'WPTM - Section F'!C"&amp;B2977)=0,"",INDIRECT("'WPTM - Section F'!C"&amp;B2977)),"")</f>
        <v/>
      </c>
      <c r="S2977" s="391"/>
      <c r="T2977" s="392"/>
      <c r="U2977" s="387" t="str">
        <f t="shared" ref="U2977:U3040" ca="1" si="184">IFERROR(IF(INDIRECT("'WPTM - Section F'!AI"&amp;B2977)=0,"",INDIRECT("'WPTM - Section F'!AI"&amp;B2977)),"")</f>
        <v/>
      </c>
      <c r="V2977" s="387" t="str">
        <f t="shared" ref="V2977:V3040" ca="1" si="185">IFERROR(IF(INDIRECT("'WPTM - Section F'!AH"&amp;B2977)=0,"",INDIRECT("'WPTM - Section F'!AH"&amp;B2977)),"")</f>
        <v>a1MDm000000Xod6MAC</v>
      </c>
      <c r="W2977" s="387" t="str">
        <f ca="1">IFERROR(VLOOKUP(INDIRECT("'WPTM - Section F'!E"&amp;B2977),'Overview - Section A'!M$31:R122,4,0),IFERROR(VLOOKUP(INDIRECT("'WPTM - Section F'!E"&amp;B2977),'Overview - Section A'!E$27:J111,5,0),""))</f>
        <v/>
      </c>
    </row>
    <row r="2978" spans="1:23">
      <c r="A2978" s="387" t="b">
        <f t="shared" ca="1" si="178"/>
        <v>0</v>
      </c>
      <c r="B2978" s="387">
        <f t="shared" ca="1" si="177"/>
        <v>10</v>
      </c>
      <c r="C2978" s="404" t="str">
        <f ca="1">IF(COUNTA($G$2894:G2977)=1,"",OFFSET(B2978,-COUNTA($G$2894:G2977)+1,1))</f>
        <v>a1NDm000000H16gMAC</v>
      </c>
      <c r="D2978" s="387" t="str">
        <f t="shared" ca="1" si="179"/>
        <v>INT-350981</v>
      </c>
      <c r="E2978" s="391"/>
      <c r="F2978" s="391" t="str">
        <f t="shared" ca="1" si="180"/>
        <v/>
      </c>
      <c r="G2978" s="405"/>
      <c r="H2978" s="387"/>
      <c r="I2978" s="387" t="str">
        <f ca="1">IFERROR(VLOOKUP(INDIRECT("'WPTM - Section F'!E"&amp;B2978),'Overview - Section A'!M$31:R123,6,0),IFERROR(VLOOKUP(INDIRECT("'WPTM - Section F'!E"&amp;B2978),'Overview - Section A'!E$27:J112,6,0),""))</f>
        <v/>
      </c>
      <c r="J2978" s="387" t="str">
        <f t="shared" ca="1" si="181"/>
        <v/>
      </c>
      <c r="K2978" s="387"/>
      <c r="L2978" s="387"/>
      <c r="M2978" s="391"/>
      <c r="N2978" s="391"/>
      <c r="O2978" s="387"/>
      <c r="P2978" s="391" t="str">
        <f t="shared" ca="1" si="182"/>
        <v/>
      </c>
      <c r="Q2978" s="391"/>
      <c r="R2978" s="391" t="str">
        <f t="shared" ca="1" si="183"/>
        <v/>
      </c>
      <c r="S2978" s="391"/>
      <c r="T2978" s="392"/>
      <c r="U2978" s="387" t="str">
        <f t="shared" ca="1" si="184"/>
        <v/>
      </c>
      <c r="V2978" s="387" t="str">
        <f t="shared" ca="1" si="185"/>
        <v>a1MDm000000Xod6MAC</v>
      </c>
      <c r="W2978" s="387" t="str">
        <f ca="1">IFERROR(VLOOKUP(INDIRECT("'WPTM - Section F'!E"&amp;B2978),'Overview - Section A'!M$31:R123,4,0),IFERROR(VLOOKUP(INDIRECT("'WPTM - Section F'!E"&amp;B2978),'Overview - Section A'!E$27:J112,5,0),""))</f>
        <v/>
      </c>
    </row>
    <row r="2979" spans="1:23">
      <c r="A2979" s="387" t="b">
        <f t="shared" ca="1" si="178"/>
        <v>0</v>
      </c>
      <c r="B2979" s="387">
        <f t="shared" ca="1" si="177"/>
        <v>11</v>
      </c>
      <c r="C2979" s="404" t="str">
        <f ca="1">IF(COUNTA($G$2894:G2978)=1,"",OFFSET(B2979,-COUNTA($G$2894:G2978)+1,1))</f>
        <v>a1NDm000000H16hMAC</v>
      </c>
      <c r="D2979" s="387" t="str">
        <f t="shared" ca="1" si="179"/>
        <v>INT-350981</v>
      </c>
      <c r="E2979" s="391"/>
      <c r="F2979" s="391" t="str">
        <f t="shared" ca="1" si="180"/>
        <v/>
      </c>
      <c r="G2979" s="405"/>
      <c r="H2979" s="387"/>
      <c r="I2979" s="387" t="str">
        <f ca="1">IFERROR(VLOOKUP(INDIRECT("'WPTM - Section F'!E"&amp;B2979),'Overview - Section A'!M$31:R124,6,0),IFERROR(VLOOKUP(INDIRECT("'WPTM - Section F'!E"&amp;B2979),'Overview - Section A'!E$27:J113,6,0),""))</f>
        <v/>
      </c>
      <c r="J2979" s="387" t="str">
        <f t="shared" ca="1" si="181"/>
        <v/>
      </c>
      <c r="K2979" s="387"/>
      <c r="L2979" s="387"/>
      <c r="M2979" s="391"/>
      <c r="N2979" s="391"/>
      <c r="O2979" s="387"/>
      <c r="P2979" s="391" t="str">
        <f t="shared" ca="1" si="182"/>
        <v/>
      </c>
      <c r="Q2979" s="391"/>
      <c r="R2979" s="391" t="str">
        <f t="shared" ca="1" si="183"/>
        <v/>
      </c>
      <c r="S2979" s="391"/>
      <c r="T2979" s="392"/>
      <c r="U2979" s="387" t="str">
        <f t="shared" ca="1" si="184"/>
        <v/>
      </c>
      <c r="V2979" s="387" t="str">
        <f t="shared" ca="1" si="185"/>
        <v>a1MDm000000Xod6MAC</v>
      </c>
      <c r="W2979" s="387" t="str">
        <f ca="1">IFERROR(VLOOKUP(INDIRECT("'WPTM - Section F'!E"&amp;B2979),'Overview - Section A'!M$31:R124,4,0),IFERROR(VLOOKUP(INDIRECT("'WPTM - Section F'!E"&amp;B2979),'Overview - Section A'!E$27:J113,5,0),""))</f>
        <v/>
      </c>
    </row>
    <row r="2980" spans="1:23">
      <c r="A2980" s="387" t="b">
        <f t="shared" ca="1" si="178"/>
        <v>0</v>
      </c>
      <c r="B2980" s="387">
        <f t="shared" ca="1" si="177"/>
        <v>12</v>
      </c>
      <c r="C2980" s="404" t="str">
        <f ca="1">IF(COUNTA($G$2894:G2979)=1,"",OFFSET(B2980,-COUNTA($G$2894:G2979)+1,1))</f>
        <v>a1NDm000000H16iMAC</v>
      </c>
      <c r="D2980" s="387" t="str">
        <f t="shared" ca="1" si="179"/>
        <v>INT-350981</v>
      </c>
      <c r="E2980" s="391"/>
      <c r="F2980" s="391" t="str">
        <f t="shared" ca="1" si="180"/>
        <v/>
      </c>
      <c r="G2980" s="405"/>
      <c r="H2980" s="387"/>
      <c r="I2980" s="387" t="str">
        <f ca="1">IFERROR(VLOOKUP(INDIRECT("'WPTM - Section F'!E"&amp;B2980),'Overview - Section A'!M$31:R125,6,0),IFERROR(VLOOKUP(INDIRECT("'WPTM - Section F'!E"&amp;B2980),'Overview - Section A'!E$27:J114,6,0),""))</f>
        <v/>
      </c>
      <c r="J2980" s="387" t="str">
        <f t="shared" ca="1" si="181"/>
        <v/>
      </c>
      <c r="K2980" s="387"/>
      <c r="L2980" s="387"/>
      <c r="M2980" s="391"/>
      <c r="N2980" s="391"/>
      <c r="O2980" s="387"/>
      <c r="P2980" s="391" t="str">
        <f t="shared" ca="1" si="182"/>
        <v/>
      </c>
      <c r="Q2980" s="391"/>
      <c r="R2980" s="391" t="str">
        <f t="shared" ca="1" si="183"/>
        <v/>
      </c>
      <c r="S2980" s="391"/>
      <c r="T2980" s="392"/>
      <c r="U2980" s="387" t="str">
        <f t="shared" ca="1" si="184"/>
        <v/>
      </c>
      <c r="V2980" s="387" t="str">
        <f t="shared" ca="1" si="185"/>
        <v>a1MDm000000Xod6MAC</v>
      </c>
      <c r="W2980" s="387" t="str">
        <f ca="1">IFERROR(VLOOKUP(INDIRECT("'WPTM - Section F'!E"&amp;B2980),'Overview - Section A'!M$31:R125,4,0),IFERROR(VLOOKUP(INDIRECT("'WPTM - Section F'!E"&amp;B2980),'Overview - Section A'!E$27:J114,5,0),""))</f>
        <v/>
      </c>
    </row>
    <row r="2981" spans="1:23">
      <c r="A2981" s="387" t="b">
        <f t="shared" ca="1" si="178"/>
        <v>0</v>
      </c>
      <c r="B2981" s="387">
        <f t="shared" ca="1" si="177"/>
        <v>13</v>
      </c>
      <c r="C2981" s="404" t="str">
        <f ca="1">IF(COUNTA($G$2894:G2980)=1,"",OFFSET(B2981,-COUNTA($G$2894:G2980)+1,1))</f>
        <v>a1NDm000000H16jMAC</v>
      </c>
      <c r="D2981" s="387" t="str">
        <f t="shared" ca="1" si="179"/>
        <v>INT-350981</v>
      </c>
      <c r="E2981" s="391"/>
      <c r="F2981" s="391" t="str">
        <f t="shared" ca="1" si="180"/>
        <v/>
      </c>
      <c r="G2981" s="405"/>
      <c r="H2981" s="387"/>
      <c r="I2981" s="387" t="str">
        <f ca="1">IFERROR(VLOOKUP(INDIRECT("'WPTM - Section F'!E"&amp;B2981),'Overview - Section A'!M$31:R126,6,0),IFERROR(VLOOKUP(INDIRECT("'WPTM - Section F'!E"&amp;B2981),'Overview - Section A'!E$27:J115,6,0),""))</f>
        <v/>
      </c>
      <c r="J2981" s="387" t="str">
        <f t="shared" ca="1" si="181"/>
        <v/>
      </c>
      <c r="K2981" s="387"/>
      <c r="L2981" s="387"/>
      <c r="M2981" s="391"/>
      <c r="N2981" s="391"/>
      <c r="O2981" s="387"/>
      <c r="P2981" s="391" t="str">
        <f t="shared" ca="1" si="182"/>
        <v/>
      </c>
      <c r="Q2981" s="391"/>
      <c r="R2981" s="391" t="str">
        <f t="shared" ca="1" si="183"/>
        <v/>
      </c>
      <c r="S2981" s="391"/>
      <c r="T2981" s="392"/>
      <c r="U2981" s="387" t="str">
        <f t="shared" ca="1" si="184"/>
        <v/>
      </c>
      <c r="V2981" s="387" t="str">
        <f t="shared" ca="1" si="185"/>
        <v>a1MDm000000Xod6MAC</v>
      </c>
      <c r="W2981" s="387" t="str">
        <f ca="1">IFERROR(VLOOKUP(INDIRECT("'WPTM - Section F'!E"&amp;B2981),'Overview - Section A'!M$31:R126,4,0),IFERROR(VLOOKUP(INDIRECT("'WPTM - Section F'!E"&amp;B2981),'Overview - Section A'!E$27:J115,5,0),""))</f>
        <v/>
      </c>
    </row>
    <row r="2982" spans="1:23">
      <c r="A2982" s="387" t="b">
        <f t="shared" ca="1" si="178"/>
        <v>0</v>
      </c>
      <c r="B2982" s="387">
        <f t="shared" ca="1" si="177"/>
        <v>14</v>
      </c>
      <c r="C2982" s="404" t="str">
        <f ca="1">IF(COUNTA($G$2894:G2981)=1,"",OFFSET(B2982,-COUNTA($G$2894:G2981)+1,1))</f>
        <v>a1NDm000000H16kMAC</v>
      </c>
      <c r="D2982" s="387" t="str">
        <f t="shared" ca="1" si="179"/>
        <v>INT-350981</v>
      </c>
      <c r="E2982" s="391"/>
      <c r="F2982" s="391" t="str">
        <f t="shared" ca="1" si="180"/>
        <v/>
      </c>
      <c r="G2982" s="405"/>
      <c r="H2982" s="387"/>
      <c r="I2982" s="387" t="str">
        <f ca="1">IFERROR(VLOOKUP(INDIRECT("'WPTM - Section F'!E"&amp;B2982),'Overview - Section A'!M$31:R127,6,0),IFERROR(VLOOKUP(INDIRECT("'WPTM - Section F'!E"&amp;B2982),'Overview - Section A'!E$27:J116,6,0),""))</f>
        <v/>
      </c>
      <c r="J2982" s="387" t="str">
        <f t="shared" ca="1" si="181"/>
        <v/>
      </c>
      <c r="K2982" s="387"/>
      <c r="L2982" s="387"/>
      <c r="M2982" s="391"/>
      <c r="N2982" s="391"/>
      <c r="O2982" s="387"/>
      <c r="P2982" s="391" t="str">
        <f t="shared" ca="1" si="182"/>
        <v/>
      </c>
      <c r="Q2982" s="391"/>
      <c r="R2982" s="391" t="str">
        <f t="shared" ca="1" si="183"/>
        <v/>
      </c>
      <c r="S2982" s="391"/>
      <c r="T2982" s="392"/>
      <c r="U2982" s="387" t="str">
        <f t="shared" ca="1" si="184"/>
        <v/>
      </c>
      <c r="V2982" s="387" t="str">
        <f t="shared" ca="1" si="185"/>
        <v>a1MDm000000Xod6MAC</v>
      </c>
      <c r="W2982" s="387" t="str">
        <f ca="1">IFERROR(VLOOKUP(INDIRECT("'WPTM - Section F'!E"&amp;B2982),'Overview - Section A'!M$31:R127,4,0),IFERROR(VLOOKUP(INDIRECT("'WPTM - Section F'!E"&amp;B2982),'Overview - Section A'!E$27:J116,5,0),""))</f>
        <v/>
      </c>
    </row>
    <row r="2983" spans="1:23">
      <c r="A2983" s="387" t="b">
        <f t="shared" ca="1" si="178"/>
        <v>0</v>
      </c>
      <c r="B2983" s="387">
        <f t="shared" ca="1" si="177"/>
        <v>15</v>
      </c>
      <c r="C2983" s="404" t="str">
        <f ca="1">IF(COUNTA($G$2894:G2982)=1,"",OFFSET(B2983,-COUNTA($G$2894:G2982)+1,1))</f>
        <v>a1NDm000000H16lMAC</v>
      </c>
      <c r="D2983" s="387" t="str">
        <f t="shared" ca="1" si="179"/>
        <v>INT-350981</v>
      </c>
      <c r="E2983" s="391"/>
      <c r="F2983" s="391" t="str">
        <f t="shared" ca="1" si="180"/>
        <v/>
      </c>
      <c r="G2983" s="405"/>
      <c r="H2983" s="387"/>
      <c r="I2983" s="387" t="str">
        <f ca="1">IFERROR(VLOOKUP(INDIRECT("'WPTM - Section F'!E"&amp;B2983),'Overview - Section A'!M$31:R128,6,0),IFERROR(VLOOKUP(INDIRECT("'WPTM - Section F'!E"&amp;B2983),'Overview - Section A'!E$27:J117,6,0),""))</f>
        <v/>
      </c>
      <c r="J2983" s="387" t="str">
        <f t="shared" ca="1" si="181"/>
        <v/>
      </c>
      <c r="K2983" s="387"/>
      <c r="L2983" s="387"/>
      <c r="M2983" s="391"/>
      <c r="N2983" s="391"/>
      <c r="O2983" s="387"/>
      <c r="P2983" s="391" t="str">
        <f t="shared" ca="1" si="182"/>
        <v/>
      </c>
      <c r="Q2983" s="391"/>
      <c r="R2983" s="391" t="str">
        <f t="shared" ca="1" si="183"/>
        <v/>
      </c>
      <c r="S2983" s="391"/>
      <c r="T2983" s="392"/>
      <c r="U2983" s="387" t="str">
        <f t="shared" ca="1" si="184"/>
        <v/>
      </c>
      <c r="V2983" s="387" t="str">
        <f t="shared" ca="1" si="185"/>
        <v>a1MDm000000Xod6MAC</v>
      </c>
      <c r="W2983" s="387" t="str">
        <f ca="1">IFERROR(VLOOKUP(INDIRECT("'WPTM - Section F'!E"&amp;B2983),'Overview - Section A'!M$31:R128,4,0),IFERROR(VLOOKUP(INDIRECT("'WPTM - Section F'!E"&amp;B2983),'Overview - Section A'!E$27:J117,5,0),""))</f>
        <v/>
      </c>
    </row>
    <row r="2984" spans="1:23">
      <c r="A2984" s="387" t="b">
        <f t="shared" ca="1" si="178"/>
        <v>0</v>
      </c>
      <c r="B2984" s="387">
        <f t="shared" ca="1" si="177"/>
        <v>16</v>
      </c>
      <c r="C2984" s="404" t="str">
        <f ca="1">IF(COUNTA($G$2894:G2983)=1,"",OFFSET(B2984,-COUNTA($G$2894:G2983)+1,1))</f>
        <v>a1NDm000000H16mMAC</v>
      </c>
      <c r="D2984" s="387" t="str">
        <f t="shared" ca="1" si="179"/>
        <v>INT-350981</v>
      </c>
      <c r="E2984" s="391"/>
      <c r="F2984" s="391" t="str">
        <f t="shared" ca="1" si="180"/>
        <v/>
      </c>
      <c r="G2984" s="405"/>
      <c r="H2984" s="387"/>
      <c r="I2984" s="387" t="str">
        <f ca="1">IFERROR(VLOOKUP(INDIRECT("'WPTM - Section F'!E"&amp;B2984),'Overview - Section A'!M$31:R129,6,0),IFERROR(VLOOKUP(INDIRECT("'WPTM - Section F'!E"&amp;B2984),'Overview - Section A'!E$27:J118,6,0),""))</f>
        <v/>
      </c>
      <c r="J2984" s="387" t="str">
        <f t="shared" ca="1" si="181"/>
        <v/>
      </c>
      <c r="K2984" s="387"/>
      <c r="L2984" s="387"/>
      <c r="M2984" s="391"/>
      <c r="N2984" s="391"/>
      <c r="O2984" s="387"/>
      <c r="P2984" s="391" t="str">
        <f t="shared" ca="1" si="182"/>
        <v/>
      </c>
      <c r="Q2984" s="391"/>
      <c r="R2984" s="391" t="str">
        <f t="shared" ca="1" si="183"/>
        <v/>
      </c>
      <c r="S2984" s="391"/>
      <c r="T2984" s="392"/>
      <c r="U2984" s="387" t="str">
        <f t="shared" ca="1" si="184"/>
        <v/>
      </c>
      <c r="V2984" s="387" t="str">
        <f t="shared" ca="1" si="185"/>
        <v>a1MDm000000Xod6MAC</v>
      </c>
      <c r="W2984" s="387" t="str">
        <f ca="1">IFERROR(VLOOKUP(INDIRECT("'WPTM - Section F'!E"&amp;B2984),'Overview - Section A'!M$31:R129,4,0),IFERROR(VLOOKUP(INDIRECT("'WPTM - Section F'!E"&amp;B2984),'Overview - Section A'!E$27:J118,5,0),""))</f>
        <v/>
      </c>
    </row>
    <row r="2985" spans="1:23">
      <c r="A2985" s="387" t="b">
        <f t="shared" ca="1" si="178"/>
        <v>0</v>
      </c>
      <c r="B2985" s="387">
        <f t="shared" ca="1" si="177"/>
        <v>17</v>
      </c>
      <c r="C2985" s="404" t="str">
        <f ca="1">IF(COUNTA($G$2894:G2984)=1,"",OFFSET(B2985,-COUNTA($G$2894:G2984)+1,1))</f>
        <v>a1NDm000000H16nMAC</v>
      </c>
      <c r="D2985" s="387" t="str">
        <f t="shared" ca="1" si="179"/>
        <v>INT-350981</v>
      </c>
      <c r="E2985" s="391"/>
      <c r="F2985" s="391" t="str">
        <f t="shared" ca="1" si="180"/>
        <v/>
      </c>
      <c r="G2985" s="405"/>
      <c r="H2985" s="387"/>
      <c r="I2985" s="387" t="str">
        <f ca="1">IFERROR(VLOOKUP(INDIRECT("'WPTM - Section F'!E"&amp;B2985),'Overview - Section A'!M$31:R130,6,0),IFERROR(VLOOKUP(INDIRECT("'WPTM - Section F'!E"&amp;B2985),'Overview - Section A'!E$27:J119,6,0),""))</f>
        <v/>
      </c>
      <c r="J2985" s="387" t="str">
        <f t="shared" ca="1" si="181"/>
        <v/>
      </c>
      <c r="K2985" s="387"/>
      <c r="L2985" s="387"/>
      <c r="M2985" s="391"/>
      <c r="N2985" s="391"/>
      <c r="O2985" s="387"/>
      <c r="P2985" s="391" t="str">
        <f t="shared" ca="1" si="182"/>
        <v/>
      </c>
      <c r="Q2985" s="391"/>
      <c r="R2985" s="391" t="str">
        <f t="shared" ca="1" si="183"/>
        <v/>
      </c>
      <c r="S2985" s="391"/>
      <c r="T2985" s="392"/>
      <c r="U2985" s="387" t="str">
        <f t="shared" ca="1" si="184"/>
        <v/>
      </c>
      <c r="V2985" s="387" t="str">
        <f t="shared" ca="1" si="185"/>
        <v>a1MDm000000Xod6MAC</v>
      </c>
      <c r="W2985" s="387" t="str">
        <f ca="1">IFERROR(VLOOKUP(INDIRECT("'WPTM - Section F'!E"&amp;B2985),'Overview - Section A'!M$31:R130,4,0),IFERROR(VLOOKUP(INDIRECT("'WPTM - Section F'!E"&amp;B2985),'Overview - Section A'!E$27:J119,5,0),""))</f>
        <v/>
      </c>
    </row>
    <row r="2986" spans="1:23">
      <c r="A2986" s="387" t="b">
        <f t="shared" ca="1" si="178"/>
        <v>0</v>
      </c>
      <c r="B2986" s="387">
        <f t="shared" ca="1" si="177"/>
        <v>18</v>
      </c>
      <c r="C2986" s="404" t="str">
        <f ca="1">IF(COUNTA($G$2894:G2985)=1,"",OFFSET(B2986,-COUNTA($G$2894:G2985)+1,1))</f>
        <v>a1NDm000000H16oMAC</v>
      </c>
      <c r="D2986" s="387" t="str">
        <f t="shared" ca="1" si="179"/>
        <v>INT-350981</v>
      </c>
      <c r="E2986" s="391"/>
      <c r="F2986" s="391" t="str">
        <f t="shared" ca="1" si="180"/>
        <v/>
      </c>
      <c r="G2986" s="405"/>
      <c r="H2986" s="387"/>
      <c r="I2986" s="387" t="str">
        <f ca="1">IFERROR(VLOOKUP(INDIRECT("'WPTM - Section F'!E"&amp;B2986),'Overview - Section A'!M$31:R131,6,0),IFERROR(VLOOKUP(INDIRECT("'WPTM - Section F'!E"&amp;B2986),'Overview - Section A'!E$27:J120,6,0),""))</f>
        <v/>
      </c>
      <c r="J2986" s="387" t="str">
        <f t="shared" ca="1" si="181"/>
        <v/>
      </c>
      <c r="K2986" s="387"/>
      <c r="L2986" s="387"/>
      <c r="M2986" s="391"/>
      <c r="N2986" s="391"/>
      <c r="O2986" s="387"/>
      <c r="P2986" s="391" t="str">
        <f t="shared" ca="1" si="182"/>
        <v/>
      </c>
      <c r="Q2986" s="391"/>
      <c r="R2986" s="391" t="str">
        <f t="shared" ca="1" si="183"/>
        <v/>
      </c>
      <c r="S2986" s="391"/>
      <c r="T2986" s="392"/>
      <c r="U2986" s="387" t="str">
        <f t="shared" ca="1" si="184"/>
        <v/>
      </c>
      <c r="V2986" s="387" t="str">
        <f t="shared" ca="1" si="185"/>
        <v>a1MDm000000Xod6MAC</v>
      </c>
      <c r="W2986" s="387" t="str">
        <f ca="1">IFERROR(VLOOKUP(INDIRECT("'WPTM - Section F'!E"&amp;B2986),'Overview - Section A'!M$31:R131,4,0),IFERROR(VLOOKUP(INDIRECT("'WPTM - Section F'!E"&amp;B2986),'Overview - Section A'!E$27:J120,5,0),""))</f>
        <v/>
      </c>
    </row>
    <row r="2987" spans="1:23">
      <c r="A2987" s="387" t="b">
        <f t="shared" ca="1" si="178"/>
        <v>0</v>
      </c>
      <c r="B2987" s="387">
        <f t="shared" ca="1" si="177"/>
        <v>19</v>
      </c>
      <c r="C2987" s="404" t="str">
        <f ca="1">IF(COUNTA($G$2894:G2986)=1,"",OFFSET(B2987,-COUNTA($G$2894:G2986)+1,1))</f>
        <v>a1NDm000000H16pMAC</v>
      </c>
      <c r="D2987" s="387" t="str">
        <f t="shared" ca="1" si="179"/>
        <v>INT-350981</v>
      </c>
      <c r="E2987" s="391"/>
      <c r="F2987" s="391" t="str">
        <f t="shared" ca="1" si="180"/>
        <v/>
      </c>
      <c r="G2987" s="405"/>
      <c r="H2987" s="387"/>
      <c r="I2987" s="387" t="str">
        <f ca="1">IFERROR(VLOOKUP(INDIRECT("'WPTM - Section F'!E"&amp;B2987),'Overview - Section A'!M$31:R132,6,0),IFERROR(VLOOKUP(INDIRECT("'WPTM - Section F'!E"&amp;B2987),'Overview - Section A'!E$27:J121,6,0),""))</f>
        <v/>
      </c>
      <c r="J2987" s="387" t="str">
        <f t="shared" ca="1" si="181"/>
        <v/>
      </c>
      <c r="K2987" s="387"/>
      <c r="L2987" s="387"/>
      <c r="M2987" s="391"/>
      <c r="N2987" s="391"/>
      <c r="O2987" s="387"/>
      <c r="P2987" s="391" t="str">
        <f t="shared" ca="1" si="182"/>
        <v/>
      </c>
      <c r="Q2987" s="391"/>
      <c r="R2987" s="391" t="str">
        <f t="shared" ca="1" si="183"/>
        <v/>
      </c>
      <c r="S2987" s="391"/>
      <c r="T2987" s="392"/>
      <c r="U2987" s="387" t="str">
        <f t="shared" ca="1" si="184"/>
        <v/>
      </c>
      <c r="V2987" s="387" t="str">
        <f t="shared" ca="1" si="185"/>
        <v>a1MDm000000Xod6MAC</v>
      </c>
      <c r="W2987" s="387" t="str">
        <f ca="1">IFERROR(VLOOKUP(INDIRECT("'WPTM - Section F'!E"&amp;B2987),'Overview - Section A'!M$31:R132,4,0),IFERROR(VLOOKUP(INDIRECT("'WPTM - Section F'!E"&amp;B2987),'Overview - Section A'!E$27:J121,5,0),""))</f>
        <v/>
      </c>
    </row>
    <row r="2988" spans="1:23">
      <c r="A2988" s="387" t="b">
        <f t="shared" ca="1" si="178"/>
        <v>0</v>
      </c>
      <c r="B2988" s="387">
        <f t="shared" ca="1" si="177"/>
        <v>20</v>
      </c>
      <c r="C2988" s="404" t="str">
        <f ca="1">IF(COUNTA($G$2894:G2987)=1,"",OFFSET(B2988,-COUNTA($G$2894:G2987)+1,1))</f>
        <v>a1NDm000000H16qMAC</v>
      </c>
      <c r="D2988" s="387" t="str">
        <f t="shared" ca="1" si="179"/>
        <v>INT-350981</v>
      </c>
      <c r="E2988" s="391"/>
      <c r="F2988" s="391" t="str">
        <f t="shared" ca="1" si="180"/>
        <v/>
      </c>
      <c r="G2988" s="405"/>
      <c r="H2988" s="387"/>
      <c r="I2988" s="387" t="str">
        <f ca="1">IFERROR(VLOOKUP(INDIRECT("'WPTM - Section F'!E"&amp;B2988),'Overview - Section A'!M$31:R133,6,0),IFERROR(VLOOKUP(INDIRECT("'WPTM - Section F'!E"&amp;B2988),'Overview - Section A'!E$27:J122,6,0),""))</f>
        <v/>
      </c>
      <c r="J2988" s="387" t="str">
        <f t="shared" ca="1" si="181"/>
        <v/>
      </c>
      <c r="K2988" s="387"/>
      <c r="L2988" s="387"/>
      <c r="M2988" s="391"/>
      <c r="N2988" s="391"/>
      <c r="O2988" s="387"/>
      <c r="P2988" s="391" t="str">
        <f t="shared" ca="1" si="182"/>
        <v/>
      </c>
      <c r="Q2988" s="391"/>
      <c r="R2988" s="391" t="str">
        <f t="shared" ca="1" si="183"/>
        <v/>
      </c>
      <c r="S2988" s="391"/>
      <c r="T2988" s="392"/>
      <c r="U2988" s="387" t="str">
        <f t="shared" ca="1" si="184"/>
        <v/>
      </c>
      <c r="V2988" s="387" t="str">
        <f t="shared" ca="1" si="185"/>
        <v>a1MDm000000Xod6MAC</v>
      </c>
      <c r="W2988" s="387" t="str">
        <f ca="1">IFERROR(VLOOKUP(INDIRECT("'WPTM - Section F'!E"&amp;B2988),'Overview - Section A'!M$31:R133,4,0),IFERROR(VLOOKUP(INDIRECT("'WPTM - Section F'!E"&amp;B2988),'Overview - Section A'!E$27:J122,5,0),""))</f>
        <v/>
      </c>
    </row>
    <row r="2989" spans="1:23">
      <c r="A2989" s="387" t="b">
        <f t="shared" ca="1" si="178"/>
        <v>0</v>
      </c>
      <c r="B2989" s="387">
        <f t="shared" ca="1" si="177"/>
        <v>21</v>
      </c>
      <c r="C2989" s="404" t="str">
        <f ca="1">IF(COUNTA($G$2894:G2988)=1,"",OFFSET(B2989,-COUNTA($G$2894:G2988)+1,1))</f>
        <v>a1NDm000000H16rMAC</v>
      </c>
      <c r="D2989" s="387" t="str">
        <f t="shared" ca="1" si="179"/>
        <v>INT-350981</v>
      </c>
      <c r="E2989" s="391"/>
      <c r="F2989" s="391" t="str">
        <f t="shared" ca="1" si="180"/>
        <v/>
      </c>
      <c r="G2989" s="405"/>
      <c r="H2989" s="387"/>
      <c r="I2989" s="387" t="str">
        <f ca="1">IFERROR(VLOOKUP(INDIRECT("'WPTM - Section F'!E"&amp;B2989),'Overview - Section A'!M$31:R134,6,0),IFERROR(VLOOKUP(INDIRECT("'WPTM - Section F'!E"&amp;B2989),'Overview - Section A'!E$27:J123,6,0),""))</f>
        <v/>
      </c>
      <c r="J2989" s="387" t="str">
        <f t="shared" ca="1" si="181"/>
        <v/>
      </c>
      <c r="K2989" s="387"/>
      <c r="L2989" s="387"/>
      <c r="M2989" s="391"/>
      <c r="N2989" s="391"/>
      <c r="O2989" s="387"/>
      <c r="P2989" s="391" t="str">
        <f t="shared" ca="1" si="182"/>
        <v/>
      </c>
      <c r="Q2989" s="391"/>
      <c r="R2989" s="391" t="str">
        <f t="shared" ca="1" si="183"/>
        <v/>
      </c>
      <c r="S2989" s="391"/>
      <c r="T2989" s="392"/>
      <c r="U2989" s="387" t="str">
        <f t="shared" ca="1" si="184"/>
        <v/>
      </c>
      <c r="V2989" s="387" t="str">
        <f t="shared" ca="1" si="185"/>
        <v>a1MDm000000Xod6MAC</v>
      </c>
      <c r="W2989" s="387" t="str">
        <f ca="1">IFERROR(VLOOKUP(INDIRECT("'WPTM - Section F'!E"&amp;B2989),'Overview - Section A'!M$31:R134,4,0),IFERROR(VLOOKUP(INDIRECT("'WPTM - Section F'!E"&amp;B2989),'Overview - Section A'!E$27:J123,5,0),""))</f>
        <v/>
      </c>
    </row>
    <row r="2990" spans="1:23">
      <c r="A2990" s="387" t="b">
        <f t="shared" ca="1" si="178"/>
        <v>0</v>
      </c>
      <c r="B2990" s="387">
        <f t="shared" ca="1" si="177"/>
        <v>22</v>
      </c>
      <c r="C2990" s="404" t="str">
        <f ca="1">IF(COUNTA($G$2894:G2989)=1,"",OFFSET(B2990,-COUNTA($G$2894:G2989)+1,1))</f>
        <v>a1NDm000000H16sMAC</v>
      </c>
      <c r="D2990" s="387" t="str">
        <f t="shared" ca="1" si="179"/>
        <v>INT-350981</v>
      </c>
      <c r="E2990" s="391"/>
      <c r="F2990" s="391" t="str">
        <f t="shared" ca="1" si="180"/>
        <v/>
      </c>
      <c r="G2990" s="405"/>
      <c r="H2990" s="387"/>
      <c r="I2990" s="387" t="str">
        <f ca="1">IFERROR(VLOOKUP(INDIRECT("'WPTM - Section F'!E"&amp;B2990),'Overview - Section A'!M$31:R135,6,0),IFERROR(VLOOKUP(INDIRECT("'WPTM - Section F'!E"&amp;B2990),'Overview - Section A'!E$27:J124,6,0),""))</f>
        <v/>
      </c>
      <c r="J2990" s="387" t="str">
        <f t="shared" ca="1" si="181"/>
        <v/>
      </c>
      <c r="K2990" s="387"/>
      <c r="L2990" s="387"/>
      <c r="M2990" s="391"/>
      <c r="N2990" s="391"/>
      <c r="O2990" s="387"/>
      <c r="P2990" s="391" t="str">
        <f t="shared" ca="1" si="182"/>
        <v/>
      </c>
      <c r="Q2990" s="391"/>
      <c r="R2990" s="391" t="str">
        <f t="shared" ca="1" si="183"/>
        <v/>
      </c>
      <c r="S2990" s="391"/>
      <c r="T2990" s="392"/>
      <c r="U2990" s="387" t="str">
        <f t="shared" ca="1" si="184"/>
        <v/>
      </c>
      <c r="V2990" s="387" t="str">
        <f t="shared" ca="1" si="185"/>
        <v>a1MDm000000Xod6MAC</v>
      </c>
      <c r="W2990" s="387" t="str">
        <f ca="1">IFERROR(VLOOKUP(INDIRECT("'WPTM - Section F'!E"&amp;B2990),'Overview - Section A'!M$31:R135,4,0),IFERROR(VLOOKUP(INDIRECT("'WPTM - Section F'!E"&amp;B2990),'Overview - Section A'!E$27:J124,5,0),""))</f>
        <v/>
      </c>
    </row>
    <row r="2991" spans="1:23">
      <c r="A2991" s="387" t="b">
        <f t="shared" ca="1" si="178"/>
        <v>0</v>
      </c>
      <c r="B2991" s="387">
        <f t="shared" ca="1" si="177"/>
        <v>23</v>
      </c>
      <c r="C2991" s="404" t="str">
        <f ca="1">IF(COUNTA($G$2894:G2990)=1,"",OFFSET(B2991,-COUNTA($G$2894:G2990)+1,1))</f>
        <v>a1NDm000000H16tMAC</v>
      </c>
      <c r="D2991" s="387" t="str">
        <f t="shared" ca="1" si="179"/>
        <v>INT-350981</v>
      </c>
      <c r="E2991" s="391"/>
      <c r="F2991" s="391" t="str">
        <f t="shared" ca="1" si="180"/>
        <v/>
      </c>
      <c r="G2991" s="405"/>
      <c r="H2991" s="387"/>
      <c r="I2991" s="387" t="str">
        <f ca="1">IFERROR(VLOOKUP(INDIRECT("'WPTM - Section F'!E"&amp;B2991),'Overview - Section A'!M$31:R136,6,0),IFERROR(VLOOKUP(INDIRECT("'WPTM - Section F'!E"&amp;B2991),'Overview - Section A'!E$27:J125,6,0),""))</f>
        <v/>
      </c>
      <c r="J2991" s="387" t="str">
        <f t="shared" ca="1" si="181"/>
        <v/>
      </c>
      <c r="K2991" s="387"/>
      <c r="L2991" s="387"/>
      <c r="M2991" s="391"/>
      <c r="N2991" s="391"/>
      <c r="O2991" s="387"/>
      <c r="P2991" s="391" t="str">
        <f t="shared" ca="1" si="182"/>
        <v/>
      </c>
      <c r="Q2991" s="391"/>
      <c r="R2991" s="391" t="str">
        <f t="shared" ca="1" si="183"/>
        <v/>
      </c>
      <c r="S2991" s="391"/>
      <c r="T2991" s="392"/>
      <c r="U2991" s="387" t="str">
        <f t="shared" ca="1" si="184"/>
        <v/>
      </c>
      <c r="V2991" s="387" t="str">
        <f t="shared" ca="1" si="185"/>
        <v>a1MDm000000Xod6MAC</v>
      </c>
      <c r="W2991" s="387" t="str">
        <f ca="1">IFERROR(VLOOKUP(INDIRECT("'WPTM - Section F'!E"&amp;B2991),'Overview - Section A'!M$31:R136,4,0),IFERROR(VLOOKUP(INDIRECT("'WPTM - Section F'!E"&amp;B2991),'Overview - Section A'!E$27:J125,5,0),""))</f>
        <v/>
      </c>
    </row>
    <row r="2992" spans="1:23">
      <c r="A2992" s="387" t="b">
        <f t="shared" ca="1" si="178"/>
        <v>0</v>
      </c>
      <c r="B2992" s="387">
        <f t="shared" ca="1" si="177"/>
        <v>24</v>
      </c>
      <c r="C2992" s="404" t="str">
        <f ca="1">IF(COUNTA($G$2894:G2991)=1,"",OFFSET(B2992,-COUNTA($G$2894:G2991)+1,1))</f>
        <v>a1NDm000000H16uMAC</v>
      </c>
      <c r="D2992" s="387" t="str">
        <f t="shared" ca="1" si="179"/>
        <v>INT-350981</v>
      </c>
      <c r="E2992" s="391"/>
      <c r="F2992" s="391" t="str">
        <f t="shared" ca="1" si="180"/>
        <v/>
      </c>
      <c r="G2992" s="405"/>
      <c r="H2992" s="387"/>
      <c r="I2992" s="387" t="str">
        <f ca="1">IFERROR(VLOOKUP(INDIRECT("'WPTM - Section F'!E"&amp;B2992),'Overview - Section A'!M$31:R137,6,0),IFERROR(VLOOKUP(INDIRECT("'WPTM - Section F'!E"&amp;B2992),'Overview - Section A'!E$27:J126,6,0),""))</f>
        <v/>
      </c>
      <c r="J2992" s="387" t="str">
        <f t="shared" ca="1" si="181"/>
        <v/>
      </c>
      <c r="K2992" s="387"/>
      <c r="L2992" s="387"/>
      <c r="M2992" s="391"/>
      <c r="N2992" s="391"/>
      <c r="O2992" s="387"/>
      <c r="P2992" s="391" t="str">
        <f t="shared" ca="1" si="182"/>
        <v/>
      </c>
      <c r="Q2992" s="391"/>
      <c r="R2992" s="391" t="str">
        <f t="shared" ca="1" si="183"/>
        <v/>
      </c>
      <c r="S2992" s="391"/>
      <c r="T2992" s="392"/>
      <c r="U2992" s="387" t="str">
        <f t="shared" ca="1" si="184"/>
        <v/>
      </c>
      <c r="V2992" s="387" t="str">
        <f t="shared" ca="1" si="185"/>
        <v>a1MDm000000Xod6MAC</v>
      </c>
      <c r="W2992" s="387" t="str">
        <f ca="1">IFERROR(VLOOKUP(INDIRECT("'WPTM - Section F'!E"&amp;B2992),'Overview - Section A'!M$31:R137,4,0),IFERROR(VLOOKUP(INDIRECT("'WPTM - Section F'!E"&amp;B2992),'Overview - Section A'!E$27:J126,5,0),""))</f>
        <v/>
      </c>
    </row>
    <row r="2993" spans="1:23">
      <c r="A2993" s="387" t="b">
        <f t="shared" ca="1" si="178"/>
        <v>0</v>
      </c>
      <c r="B2993" s="387">
        <f t="shared" ca="1" si="177"/>
        <v>25</v>
      </c>
      <c r="C2993" s="404" t="str">
        <f ca="1">IF(COUNTA($G$2894:G2992)=1,"",OFFSET(B2993,-COUNTA($G$2894:G2992)+1,1))</f>
        <v>a1NDm000000H16vMAC</v>
      </c>
      <c r="D2993" s="387" t="str">
        <f t="shared" ca="1" si="179"/>
        <v>INT-350981</v>
      </c>
      <c r="E2993" s="391"/>
      <c r="F2993" s="391" t="str">
        <f t="shared" ca="1" si="180"/>
        <v/>
      </c>
      <c r="G2993" s="405"/>
      <c r="H2993" s="387"/>
      <c r="I2993" s="387" t="str">
        <f ca="1">IFERROR(VLOOKUP(INDIRECT("'WPTM - Section F'!E"&amp;B2993),'Overview - Section A'!M$31:R138,6,0),IFERROR(VLOOKUP(INDIRECT("'WPTM - Section F'!E"&amp;B2993),'Overview - Section A'!E$27:J127,6,0),""))</f>
        <v/>
      </c>
      <c r="J2993" s="387" t="str">
        <f t="shared" ca="1" si="181"/>
        <v/>
      </c>
      <c r="K2993" s="387"/>
      <c r="L2993" s="387"/>
      <c r="M2993" s="391"/>
      <c r="N2993" s="391"/>
      <c r="O2993" s="387"/>
      <c r="P2993" s="391" t="str">
        <f t="shared" ca="1" si="182"/>
        <v/>
      </c>
      <c r="Q2993" s="391"/>
      <c r="R2993" s="391" t="str">
        <f t="shared" ca="1" si="183"/>
        <v/>
      </c>
      <c r="S2993" s="391"/>
      <c r="T2993" s="392"/>
      <c r="U2993" s="387" t="str">
        <f t="shared" ca="1" si="184"/>
        <v/>
      </c>
      <c r="V2993" s="387" t="str">
        <f t="shared" ca="1" si="185"/>
        <v>a1MDm000000Xod6MAC</v>
      </c>
      <c r="W2993" s="387" t="str">
        <f ca="1">IFERROR(VLOOKUP(INDIRECT("'WPTM - Section F'!E"&amp;B2993),'Overview - Section A'!M$31:R138,4,0),IFERROR(VLOOKUP(INDIRECT("'WPTM - Section F'!E"&amp;B2993),'Overview - Section A'!E$27:J127,5,0),""))</f>
        <v/>
      </c>
    </row>
    <row r="2994" spans="1:23">
      <c r="A2994" s="387" t="b">
        <f t="shared" ca="1" si="178"/>
        <v>0</v>
      </c>
      <c r="B2994" s="387">
        <f t="shared" ca="1" si="177"/>
        <v>26</v>
      </c>
      <c r="C2994" s="404" t="str">
        <f ca="1">IF(COUNTA($G$2894:G2993)=1,"",OFFSET(B2994,-COUNTA($G$2894:G2993)+1,1))</f>
        <v>a1NDm000000H16wMAC</v>
      </c>
      <c r="D2994" s="387" t="str">
        <f t="shared" ca="1" si="179"/>
        <v>INT-350981</v>
      </c>
      <c r="E2994" s="391"/>
      <c r="F2994" s="391" t="str">
        <f t="shared" ca="1" si="180"/>
        <v/>
      </c>
      <c r="G2994" s="405"/>
      <c r="H2994" s="387"/>
      <c r="I2994" s="387" t="str">
        <f ca="1">IFERROR(VLOOKUP(INDIRECT("'WPTM - Section F'!E"&amp;B2994),'Overview - Section A'!M$31:R139,6,0),IFERROR(VLOOKUP(INDIRECT("'WPTM - Section F'!E"&amp;B2994),'Overview - Section A'!E$27:J128,6,0),""))</f>
        <v/>
      </c>
      <c r="J2994" s="387" t="str">
        <f t="shared" ca="1" si="181"/>
        <v/>
      </c>
      <c r="K2994" s="387"/>
      <c r="L2994" s="387"/>
      <c r="M2994" s="391"/>
      <c r="N2994" s="391"/>
      <c r="O2994" s="387"/>
      <c r="P2994" s="391" t="str">
        <f t="shared" ca="1" si="182"/>
        <v/>
      </c>
      <c r="Q2994" s="391"/>
      <c r="R2994" s="391" t="str">
        <f t="shared" ca="1" si="183"/>
        <v/>
      </c>
      <c r="S2994" s="391"/>
      <c r="T2994" s="392"/>
      <c r="U2994" s="387" t="str">
        <f t="shared" ca="1" si="184"/>
        <v/>
      </c>
      <c r="V2994" s="387" t="str">
        <f t="shared" ca="1" si="185"/>
        <v>a1MDm000000Xod6MAC</v>
      </c>
      <c r="W2994" s="387" t="str">
        <f ca="1">IFERROR(VLOOKUP(INDIRECT("'WPTM - Section F'!E"&amp;B2994),'Overview - Section A'!M$31:R139,4,0),IFERROR(VLOOKUP(INDIRECT("'WPTM - Section F'!E"&amp;B2994),'Overview - Section A'!E$27:J128,5,0),""))</f>
        <v/>
      </c>
    </row>
    <row r="2995" spans="1:23">
      <c r="A2995" s="387" t="b">
        <f t="shared" ca="1" si="178"/>
        <v>0</v>
      </c>
      <c r="B2995" s="387">
        <f t="shared" ca="1" si="177"/>
        <v>27</v>
      </c>
      <c r="C2995" s="404" t="str">
        <f ca="1">IF(COUNTA($G$2894:G2994)=1,"",OFFSET(B2995,-COUNTA($G$2894:G2994)+1,1))</f>
        <v>a1NDm000000H16xMAC</v>
      </c>
      <c r="D2995" s="387" t="str">
        <f t="shared" ca="1" si="179"/>
        <v>INT-350981</v>
      </c>
      <c r="E2995" s="391"/>
      <c r="F2995" s="391" t="str">
        <f t="shared" ca="1" si="180"/>
        <v/>
      </c>
      <c r="G2995" s="405"/>
      <c r="H2995" s="387"/>
      <c r="I2995" s="387" t="str">
        <f ca="1">IFERROR(VLOOKUP(INDIRECT("'WPTM - Section F'!E"&amp;B2995),'Overview - Section A'!M$31:R140,6,0),IFERROR(VLOOKUP(INDIRECT("'WPTM - Section F'!E"&amp;B2995),'Overview - Section A'!E$27:J129,6,0),""))</f>
        <v/>
      </c>
      <c r="J2995" s="387" t="str">
        <f t="shared" ca="1" si="181"/>
        <v/>
      </c>
      <c r="K2995" s="387"/>
      <c r="L2995" s="387"/>
      <c r="M2995" s="391"/>
      <c r="N2995" s="391"/>
      <c r="O2995" s="387"/>
      <c r="P2995" s="391" t="str">
        <f t="shared" ca="1" si="182"/>
        <v/>
      </c>
      <c r="Q2995" s="391"/>
      <c r="R2995" s="391" t="str">
        <f t="shared" ca="1" si="183"/>
        <v/>
      </c>
      <c r="S2995" s="391"/>
      <c r="T2995" s="392"/>
      <c r="U2995" s="387" t="str">
        <f t="shared" ca="1" si="184"/>
        <v/>
      </c>
      <c r="V2995" s="387" t="str">
        <f t="shared" ca="1" si="185"/>
        <v>a1MDm000000Xod6MAC</v>
      </c>
      <c r="W2995" s="387" t="str">
        <f ca="1">IFERROR(VLOOKUP(INDIRECT("'WPTM - Section F'!E"&amp;B2995),'Overview - Section A'!M$31:R140,4,0),IFERROR(VLOOKUP(INDIRECT("'WPTM - Section F'!E"&amp;B2995),'Overview - Section A'!E$27:J129,5,0),""))</f>
        <v/>
      </c>
    </row>
    <row r="2996" spans="1:23">
      <c r="A2996" s="387" t="b">
        <f t="shared" ca="1" si="178"/>
        <v>0</v>
      </c>
      <c r="B2996" s="387">
        <f t="shared" ca="1" si="177"/>
        <v>28</v>
      </c>
      <c r="C2996" s="404" t="str">
        <f ca="1">IF(COUNTA($G$2894:G2995)=1,"",OFFSET(B2996,-COUNTA($G$2894:G2995)+1,1))</f>
        <v>a1NDm000000H16yMAC</v>
      </c>
      <c r="D2996" s="387" t="str">
        <f t="shared" ca="1" si="179"/>
        <v>INT-350981</v>
      </c>
      <c r="E2996" s="391"/>
      <c r="F2996" s="391" t="str">
        <f t="shared" ca="1" si="180"/>
        <v/>
      </c>
      <c r="G2996" s="405"/>
      <c r="H2996" s="387"/>
      <c r="I2996" s="387" t="str">
        <f ca="1">IFERROR(VLOOKUP(INDIRECT("'WPTM - Section F'!E"&amp;B2996),'Overview - Section A'!M$31:R141,6,0),IFERROR(VLOOKUP(INDIRECT("'WPTM - Section F'!E"&amp;B2996),'Overview - Section A'!E$27:J130,6,0),""))</f>
        <v/>
      </c>
      <c r="J2996" s="387" t="str">
        <f t="shared" ca="1" si="181"/>
        <v/>
      </c>
      <c r="K2996" s="387"/>
      <c r="L2996" s="387"/>
      <c r="M2996" s="391"/>
      <c r="N2996" s="391"/>
      <c r="O2996" s="387"/>
      <c r="P2996" s="391" t="str">
        <f t="shared" ca="1" si="182"/>
        <v/>
      </c>
      <c r="Q2996" s="391"/>
      <c r="R2996" s="391" t="str">
        <f t="shared" ca="1" si="183"/>
        <v/>
      </c>
      <c r="S2996" s="391"/>
      <c r="T2996" s="392"/>
      <c r="U2996" s="387" t="str">
        <f t="shared" ca="1" si="184"/>
        <v/>
      </c>
      <c r="V2996" s="387" t="str">
        <f t="shared" ca="1" si="185"/>
        <v>a1MDm000000Xod6MAC</v>
      </c>
      <c r="W2996" s="387" t="str">
        <f ca="1">IFERROR(VLOOKUP(INDIRECT("'WPTM - Section F'!E"&amp;B2996),'Overview - Section A'!M$31:R141,4,0),IFERROR(VLOOKUP(INDIRECT("'WPTM - Section F'!E"&amp;B2996),'Overview - Section A'!E$27:J130,5,0),""))</f>
        <v/>
      </c>
    </row>
    <row r="2997" spans="1:23">
      <c r="A2997" s="387" t="b">
        <f t="shared" ca="1" si="178"/>
        <v>0</v>
      </c>
      <c r="B2997" s="387">
        <f t="shared" ca="1" si="177"/>
        <v>29</v>
      </c>
      <c r="C2997" s="404" t="str">
        <f ca="1">IF(COUNTA($G$2894:G2996)=1,"",OFFSET(B2997,-COUNTA($G$2894:G2996)+1,1))</f>
        <v>a1NDm000000H16zMAC</v>
      </c>
      <c r="D2997" s="387" t="str">
        <f t="shared" ca="1" si="179"/>
        <v>INT-350981</v>
      </c>
      <c r="E2997" s="391"/>
      <c r="F2997" s="391" t="str">
        <f t="shared" ca="1" si="180"/>
        <v/>
      </c>
      <c r="G2997" s="405"/>
      <c r="H2997" s="387"/>
      <c r="I2997" s="387" t="str">
        <f ca="1">IFERROR(VLOOKUP(INDIRECT("'WPTM - Section F'!E"&amp;B2997),'Overview - Section A'!M$31:R142,6,0),IFERROR(VLOOKUP(INDIRECT("'WPTM - Section F'!E"&amp;B2997),'Overview - Section A'!E$27:J131,6,0),""))</f>
        <v/>
      </c>
      <c r="J2997" s="387" t="str">
        <f t="shared" ca="1" si="181"/>
        <v/>
      </c>
      <c r="K2997" s="387"/>
      <c r="L2997" s="387"/>
      <c r="M2997" s="391"/>
      <c r="N2997" s="391"/>
      <c r="O2997" s="387"/>
      <c r="P2997" s="391" t="str">
        <f t="shared" ca="1" si="182"/>
        <v/>
      </c>
      <c r="Q2997" s="391"/>
      <c r="R2997" s="391" t="str">
        <f t="shared" ca="1" si="183"/>
        <v/>
      </c>
      <c r="S2997" s="391"/>
      <c r="T2997" s="392"/>
      <c r="U2997" s="387" t="str">
        <f t="shared" ca="1" si="184"/>
        <v/>
      </c>
      <c r="V2997" s="387" t="str">
        <f t="shared" ca="1" si="185"/>
        <v>a1MDm000000Xod6MAC</v>
      </c>
      <c r="W2997" s="387" t="str">
        <f ca="1">IFERROR(VLOOKUP(INDIRECT("'WPTM - Section F'!E"&amp;B2997),'Overview - Section A'!M$31:R142,4,0),IFERROR(VLOOKUP(INDIRECT("'WPTM - Section F'!E"&amp;B2997),'Overview - Section A'!E$27:J131,5,0),""))</f>
        <v/>
      </c>
    </row>
    <row r="2998" spans="1:23">
      <c r="A2998" s="387" t="b">
        <f t="shared" ca="1" si="178"/>
        <v>0</v>
      </c>
      <c r="B2998" s="387">
        <f t="shared" ca="1" si="177"/>
        <v>30</v>
      </c>
      <c r="C2998" s="404" t="str">
        <f ca="1">IF(COUNTA($G$2894:G2997)=1,"",OFFSET(B2998,-COUNTA($G$2894:G2997)+1,1))</f>
        <v>a1NDm000000H170MAC</v>
      </c>
      <c r="D2998" s="387" t="str">
        <f t="shared" ca="1" si="179"/>
        <v>INT-350981</v>
      </c>
      <c r="E2998" s="391"/>
      <c r="F2998" s="391" t="str">
        <f t="shared" ca="1" si="180"/>
        <v/>
      </c>
      <c r="G2998" s="405"/>
      <c r="H2998" s="387"/>
      <c r="I2998" s="387" t="str">
        <f ca="1">IFERROR(VLOOKUP(INDIRECT("'WPTM - Section F'!E"&amp;B2998),'Overview - Section A'!M$31:R143,6,0),IFERROR(VLOOKUP(INDIRECT("'WPTM - Section F'!E"&amp;B2998),'Overview - Section A'!E$27:J132,6,0),""))</f>
        <v/>
      </c>
      <c r="J2998" s="387" t="str">
        <f t="shared" ca="1" si="181"/>
        <v/>
      </c>
      <c r="K2998" s="387"/>
      <c r="L2998" s="387"/>
      <c r="M2998" s="391"/>
      <c r="N2998" s="391"/>
      <c r="O2998" s="387"/>
      <c r="P2998" s="391" t="str">
        <f t="shared" ca="1" si="182"/>
        <v/>
      </c>
      <c r="Q2998" s="391"/>
      <c r="R2998" s="391" t="str">
        <f t="shared" ca="1" si="183"/>
        <v/>
      </c>
      <c r="S2998" s="391"/>
      <c r="T2998" s="392"/>
      <c r="U2998" s="387" t="str">
        <f t="shared" ca="1" si="184"/>
        <v/>
      </c>
      <c r="V2998" s="387" t="str">
        <f t="shared" ca="1" si="185"/>
        <v>a1MDm000000Xod6MAC</v>
      </c>
      <c r="W2998" s="387" t="str">
        <f ca="1">IFERROR(VLOOKUP(INDIRECT("'WPTM - Section F'!E"&amp;B2998),'Overview - Section A'!M$31:R143,4,0),IFERROR(VLOOKUP(INDIRECT("'WPTM - Section F'!E"&amp;B2998),'Overview - Section A'!E$27:J132,5,0),""))</f>
        <v/>
      </c>
    </row>
    <row r="2999" spans="1:23">
      <c r="A2999" s="387" t="b">
        <f t="shared" ca="1" si="178"/>
        <v>0</v>
      </c>
      <c r="B2999" s="387">
        <f t="shared" ca="1" si="177"/>
        <v>31</v>
      </c>
      <c r="C2999" s="404" t="str">
        <f ca="1">IF(COUNTA($G$2894:G2998)=1,"",OFFSET(B2999,-COUNTA($G$2894:G2998)+1,1))</f>
        <v>a1NDm000000H171MAC</v>
      </c>
      <c r="D2999" s="387" t="str">
        <f t="shared" ca="1" si="179"/>
        <v>INT-350981</v>
      </c>
      <c r="E2999" s="391"/>
      <c r="F2999" s="391" t="str">
        <f t="shared" ca="1" si="180"/>
        <v/>
      </c>
      <c r="G2999" s="405"/>
      <c r="H2999" s="387"/>
      <c r="I2999" s="387" t="str">
        <f ca="1">IFERROR(VLOOKUP(INDIRECT("'WPTM - Section F'!E"&amp;B2999),'Overview - Section A'!M$31:R144,6,0),IFERROR(VLOOKUP(INDIRECT("'WPTM - Section F'!E"&amp;B2999),'Overview - Section A'!E$27:J133,6,0),""))</f>
        <v/>
      </c>
      <c r="J2999" s="387" t="str">
        <f t="shared" ca="1" si="181"/>
        <v/>
      </c>
      <c r="K2999" s="387"/>
      <c r="L2999" s="387"/>
      <c r="M2999" s="391"/>
      <c r="N2999" s="391"/>
      <c r="O2999" s="387"/>
      <c r="P2999" s="391" t="str">
        <f t="shared" ca="1" si="182"/>
        <v/>
      </c>
      <c r="Q2999" s="391"/>
      <c r="R2999" s="391" t="str">
        <f t="shared" ca="1" si="183"/>
        <v/>
      </c>
      <c r="S2999" s="391"/>
      <c r="T2999" s="392"/>
      <c r="U2999" s="387" t="str">
        <f t="shared" ca="1" si="184"/>
        <v/>
      </c>
      <c r="V2999" s="387" t="str">
        <f t="shared" ca="1" si="185"/>
        <v>a1MDm000000Xod6MAC</v>
      </c>
      <c r="W2999" s="387" t="str">
        <f ca="1">IFERROR(VLOOKUP(INDIRECT("'WPTM - Section F'!E"&amp;B2999),'Overview - Section A'!M$31:R144,4,0),IFERROR(VLOOKUP(INDIRECT("'WPTM - Section F'!E"&amp;B2999),'Overview - Section A'!E$27:J133,5,0),""))</f>
        <v/>
      </c>
    </row>
    <row r="3000" spans="1:23">
      <c r="A3000" s="387" t="b">
        <f t="shared" ca="1" si="178"/>
        <v>0</v>
      </c>
      <c r="B3000" s="387">
        <f t="shared" ca="1" si="177"/>
        <v>32</v>
      </c>
      <c r="C3000" s="404" t="str">
        <f ca="1">IF(COUNTA($G$2894:G2999)=1,"",OFFSET(B3000,-COUNTA($G$2894:G2999)+1,1))</f>
        <v>a1NDm000000H172MAC</v>
      </c>
      <c r="D3000" s="387" t="str">
        <f t="shared" ca="1" si="179"/>
        <v>INT-350981</v>
      </c>
      <c r="E3000" s="391"/>
      <c r="F3000" s="391" t="str">
        <f t="shared" ca="1" si="180"/>
        <v/>
      </c>
      <c r="G3000" s="405"/>
      <c r="H3000" s="387"/>
      <c r="I3000" s="387" t="str">
        <f ca="1">IFERROR(VLOOKUP(INDIRECT("'WPTM - Section F'!E"&amp;B3000),'Overview - Section A'!M$31:R145,6,0),IFERROR(VLOOKUP(INDIRECT("'WPTM - Section F'!E"&amp;B3000),'Overview - Section A'!E$27:J134,6,0),""))</f>
        <v/>
      </c>
      <c r="J3000" s="387" t="str">
        <f t="shared" ca="1" si="181"/>
        <v/>
      </c>
      <c r="K3000" s="387"/>
      <c r="L3000" s="387"/>
      <c r="M3000" s="391"/>
      <c r="N3000" s="391"/>
      <c r="O3000" s="387"/>
      <c r="P3000" s="391" t="str">
        <f t="shared" ca="1" si="182"/>
        <v/>
      </c>
      <c r="Q3000" s="391"/>
      <c r="R3000" s="391" t="str">
        <f t="shared" ca="1" si="183"/>
        <v/>
      </c>
      <c r="S3000" s="391"/>
      <c r="T3000" s="392"/>
      <c r="U3000" s="387" t="str">
        <f t="shared" ca="1" si="184"/>
        <v/>
      </c>
      <c r="V3000" s="387" t="str">
        <f t="shared" ca="1" si="185"/>
        <v>a1MDm000000Xod6MAC</v>
      </c>
      <c r="W3000" s="387" t="str">
        <f ca="1">IFERROR(VLOOKUP(INDIRECT("'WPTM - Section F'!E"&amp;B3000),'Overview - Section A'!M$31:R145,4,0),IFERROR(VLOOKUP(INDIRECT("'WPTM - Section F'!E"&amp;B3000),'Overview - Section A'!E$27:J134,5,0),""))</f>
        <v/>
      </c>
    </row>
    <row r="3001" spans="1:23">
      <c r="A3001" s="387" t="b">
        <f t="shared" ca="1" si="178"/>
        <v>0</v>
      </c>
      <c r="B3001" s="387">
        <f t="shared" ca="1" si="177"/>
        <v>33</v>
      </c>
      <c r="C3001" s="404" t="str">
        <f ca="1">IF(COUNTA($G$2894:G3000)=1,"",OFFSET(B3001,-COUNTA($G$2894:G3000)+1,1))</f>
        <v>a1NDm000000H173MAC</v>
      </c>
      <c r="D3001" s="387" t="str">
        <f t="shared" ca="1" si="179"/>
        <v>INT-350981</v>
      </c>
      <c r="E3001" s="391"/>
      <c r="F3001" s="391" t="str">
        <f t="shared" ca="1" si="180"/>
        <v/>
      </c>
      <c r="G3001" s="405"/>
      <c r="H3001" s="387"/>
      <c r="I3001" s="387" t="str">
        <f ca="1">IFERROR(VLOOKUP(INDIRECT("'WPTM - Section F'!E"&amp;B3001),'Overview - Section A'!M$31:R146,6,0),IFERROR(VLOOKUP(INDIRECT("'WPTM - Section F'!E"&amp;B3001),'Overview - Section A'!E$27:J135,6,0),""))</f>
        <v/>
      </c>
      <c r="J3001" s="387" t="str">
        <f t="shared" ca="1" si="181"/>
        <v/>
      </c>
      <c r="K3001" s="387"/>
      <c r="L3001" s="387"/>
      <c r="M3001" s="391"/>
      <c r="N3001" s="391"/>
      <c r="O3001" s="387"/>
      <c r="P3001" s="391" t="str">
        <f t="shared" ca="1" si="182"/>
        <v/>
      </c>
      <c r="Q3001" s="391"/>
      <c r="R3001" s="391" t="str">
        <f t="shared" ca="1" si="183"/>
        <v/>
      </c>
      <c r="S3001" s="391"/>
      <c r="T3001" s="392"/>
      <c r="U3001" s="387" t="str">
        <f t="shared" ca="1" si="184"/>
        <v/>
      </c>
      <c r="V3001" s="387" t="str">
        <f t="shared" ca="1" si="185"/>
        <v>a1MDm000000Xod6MAC</v>
      </c>
      <c r="W3001" s="387" t="str">
        <f ca="1">IFERROR(VLOOKUP(INDIRECT("'WPTM - Section F'!E"&amp;B3001),'Overview - Section A'!M$31:R146,4,0),IFERROR(VLOOKUP(INDIRECT("'WPTM - Section F'!E"&amp;B3001),'Overview - Section A'!E$27:J135,5,0),""))</f>
        <v/>
      </c>
    </row>
    <row r="3002" spans="1:23">
      <c r="A3002" s="387" t="b">
        <f t="shared" ca="1" si="178"/>
        <v>0</v>
      </c>
      <c r="B3002" s="387">
        <f t="shared" ca="1" si="177"/>
        <v>34</v>
      </c>
      <c r="C3002" s="404" t="str">
        <f ca="1">IF(COUNTA($G$2894:G3001)=1,"",OFFSET(B3002,-COUNTA($G$2894:G3001)+1,1))</f>
        <v>a1NDm000000H174MAC</v>
      </c>
      <c r="D3002" s="387" t="str">
        <f t="shared" ca="1" si="179"/>
        <v>INT-350981</v>
      </c>
      <c r="E3002" s="391"/>
      <c r="F3002" s="391" t="str">
        <f t="shared" ca="1" si="180"/>
        <v/>
      </c>
      <c r="G3002" s="405"/>
      <c r="H3002" s="387"/>
      <c r="I3002" s="387" t="str">
        <f ca="1">IFERROR(VLOOKUP(INDIRECT("'WPTM - Section F'!E"&amp;B3002),'Overview - Section A'!M$31:R147,6,0),IFERROR(VLOOKUP(INDIRECT("'WPTM - Section F'!E"&amp;B3002),'Overview - Section A'!E$27:J136,6,0),""))</f>
        <v/>
      </c>
      <c r="J3002" s="387" t="str">
        <f t="shared" ca="1" si="181"/>
        <v/>
      </c>
      <c r="K3002" s="387"/>
      <c r="L3002" s="387"/>
      <c r="M3002" s="391"/>
      <c r="N3002" s="391"/>
      <c r="O3002" s="387"/>
      <c r="P3002" s="391" t="str">
        <f t="shared" ca="1" si="182"/>
        <v/>
      </c>
      <c r="Q3002" s="391"/>
      <c r="R3002" s="391" t="str">
        <f t="shared" ca="1" si="183"/>
        <v/>
      </c>
      <c r="S3002" s="391"/>
      <c r="T3002" s="392"/>
      <c r="U3002" s="387" t="str">
        <f t="shared" ca="1" si="184"/>
        <v/>
      </c>
      <c r="V3002" s="387" t="str">
        <f t="shared" ca="1" si="185"/>
        <v>a1MDm000000Xod6MAC</v>
      </c>
      <c r="W3002" s="387" t="str">
        <f ca="1">IFERROR(VLOOKUP(INDIRECT("'WPTM - Section F'!E"&amp;B3002),'Overview - Section A'!M$31:R147,4,0),IFERROR(VLOOKUP(INDIRECT("'WPTM - Section F'!E"&amp;B3002),'Overview - Section A'!E$27:J136,5,0),""))</f>
        <v/>
      </c>
    </row>
    <row r="3003" spans="1:23">
      <c r="A3003" s="387" t="b">
        <f t="shared" ca="1" si="178"/>
        <v>0</v>
      </c>
      <c r="B3003" s="387">
        <f t="shared" ca="1" si="177"/>
        <v>35</v>
      </c>
      <c r="C3003" s="404" t="str">
        <f ca="1">IF(COUNTA($G$2894:G3002)=1,"",OFFSET(B3003,-COUNTA($G$2894:G3002)+1,1))</f>
        <v>a1NDm000000H175MAC</v>
      </c>
      <c r="D3003" s="387" t="str">
        <f t="shared" ca="1" si="179"/>
        <v>INT-350981</v>
      </c>
      <c r="E3003" s="391"/>
      <c r="F3003" s="391" t="str">
        <f t="shared" ca="1" si="180"/>
        <v/>
      </c>
      <c r="G3003" s="405"/>
      <c r="H3003" s="387"/>
      <c r="I3003" s="387" t="str">
        <f ca="1">IFERROR(VLOOKUP(INDIRECT("'WPTM - Section F'!E"&amp;B3003),'Overview - Section A'!M$31:R148,6,0),IFERROR(VLOOKUP(INDIRECT("'WPTM - Section F'!E"&amp;B3003),'Overview - Section A'!E$27:J137,6,0),""))</f>
        <v/>
      </c>
      <c r="J3003" s="387" t="str">
        <f t="shared" ca="1" si="181"/>
        <v/>
      </c>
      <c r="K3003" s="387"/>
      <c r="L3003" s="387"/>
      <c r="M3003" s="391"/>
      <c r="N3003" s="391"/>
      <c r="O3003" s="387"/>
      <c r="P3003" s="391" t="str">
        <f t="shared" ca="1" si="182"/>
        <v/>
      </c>
      <c r="Q3003" s="391"/>
      <c r="R3003" s="391" t="str">
        <f t="shared" ca="1" si="183"/>
        <v/>
      </c>
      <c r="S3003" s="391"/>
      <c r="T3003" s="392"/>
      <c r="U3003" s="387" t="str">
        <f t="shared" ca="1" si="184"/>
        <v/>
      </c>
      <c r="V3003" s="387" t="str">
        <f t="shared" ca="1" si="185"/>
        <v>a1MDm000000Xod6MAC</v>
      </c>
      <c r="W3003" s="387" t="str">
        <f ca="1">IFERROR(VLOOKUP(INDIRECT("'WPTM - Section F'!E"&amp;B3003),'Overview - Section A'!M$31:R148,4,0),IFERROR(VLOOKUP(INDIRECT("'WPTM - Section F'!E"&amp;B3003),'Overview - Section A'!E$27:J137,5,0),""))</f>
        <v/>
      </c>
    </row>
    <row r="3004" spans="1:23">
      <c r="A3004" s="387" t="b">
        <f t="shared" ca="1" si="178"/>
        <v>0</v>
      </c>
      <c r="B3004" s="387">
        <f t="shared" ca="1" si="177"/>
        <v>36</v>
      </c>
      <c r="C3004" s="404" t="str">
        <f ca="1">IF(COUNTA($G$2894:G3003)=1,"",OFFSET(B3004,-COUNTA($G$2894:G3003)+1,1))</f>
        <v>a1NDm000000H176MAC</v>
      </c>
      <c r="D3004" s="387" t="str">
        <f t="shared" ca="1" si="179"/>
        <v>INT-350981</v>
      </c>
      <c r="E3004" s="391"/>
      <c r="F3004" s="391" t="str">
        <f t="shared" ca="1" si="180"/>
        <v/>
      </c>
      <c r="G3004" s="405"/>
      <c r="H3004" s="387"/>
      <c r="I3004" s="387" t="str">
        <f ca="1">IFERROR(VLOOKUP(INDIRECT("'WPTM - Section F'!E"&amp;B3004),'Overview - Section A'!M$31:R149,6,0),IFERROR(VLOOKUP(INDIRECT("'WPTM - Section F'!E"&amp;B3004),'Overview - Section A'!E$27:J138,6,0),""))</f>
        <v/>
      </c>
      <c r="J3004" s="387" t="str">
        <f t="shared" ca="1" si="181"/>
        <v/>
      </c>
      <c r="K3004" s="387"/>
      <c r="L3004" s="387"/>
      <c r="M3004" s="391"/>
      <c r="N3004" s="391"/>
      <c r="O3004" s="387"/>
      <c r="P3004" s="391" t="str">
        <f t="shared" ca="1" si="182"/>
        <v/>
      </c>
      <c r="Q3004" s="391"/>
      <c r="R3004" s="391" t="str">
        <f t="shared" ca="1" si="183"/>
        <v/>
      </c>
      <c r="S3004" s="391"/>
      <c r="T3004" s="392"/>
      <c r="U3004" s="387" t="str">
        <f t="shared" ca="1" si="184"/>
        <v/>
      </c>
      <c r="V3004" s="387" t="str">
        <f t="shared" ca="1" si="185"/>
        <v>a1MDm000000Xod6MAC</v>
      </c>
      <c r="W3004" s="387" t="str">
        <f ca="1">IFERROR(VLOOKUP(INDIRECT("'WPTM - Section F'!E"&amp;B3004),'Overview - Section A'!M$31:R149,4,0),IFERROR(VLOOKUP(INDIRECT("'WPTM - Section F'!E"&amp;B3004),'Overview - Section A'!E$27:J138,5,0),""))</f>
        <v/>
      </c>
    </row>
    <row r="3005" spans="1:23">
      <c r="A3005" s="387" t="b">
        <f t="shared" ca="1" si="178"/>
        <v>0</v>
      </c>
      <c r="B3005" s="387">
        <f t="shared" ca="1" si="177"/>
        <v>37</v>
      </c>
      <c r="C3005" s="404" t="str">
        <f ca="1">IF(COUNTA($G$2894:G3004)=1,"",OFFSET(B3005,-COUNTA($G$2894:G3004)+1,1))</f>
        <v>a1NDm000000H177MAC</v>
      </c>
      <c r="D3005" s="387" t="str">
        <f t="shared" ca="1" si="179"/>
        <v>INT-350981</v>
      </c>
      <c r="E3005" s="391"/>
      <c r="F3005" s="391" t="str">
        <f t="shared" ca="1" si="180"/>
        <v/>
      </c>
      <c r="G3005" s="405"/>
      <c r="H3005" s="387"/>
      <c r="I3005" s="387" t="str">
        <f ca="1">IFERROR(VLOOKUP(INDIRECT("'WPTM - Section F'!E"&amp;B3005),'Overview - Section A'!M$31:R150,6,0),IFERROR(VLOOKUP(INDIRECT("'WPTM - Section F'!E"&amp;B3005),'Overview - Section A'!E$27:J139,6,0),""))</f>
        <v/>
      </c>
      <c r="J3005" s="387" t="str">
        <f t="shared" ca="1" si="181"/>
        <v/>
      </c>
      <c r="K3005" s="387"/>
      <c r="L3005" s="387"/>
      <c r="M3005" s="391"/>
      <c r="N3005" s="391"/>
      <c r="O3005" s="387"/>
      <c r="P3005" s="391" t="str">
        <f t="shared" ca="1" si="182"/>
        <v/>
      </c>
      <c r="Q3005" s="391"/>
      <c r="R3005" s="391" t="str">
        <f t="shared" ca="1" si="183"/>
        <v/>
      </c>
      <c r="S3005" s="391"/>
      <c r="T3005" s="392"/>
      <c r="U3005" s="387" t="str">
        <f t="shared" ca="1" si="184"/>
        <v/>
      </c>
      <c r="V3005" s="387" t="str">
        <f t="shared" ca="1" si="185"/>
        <v>a1MDm000000Xod6MAC</v>
      </c>
      <c r="W3005" s="387" t="str">
        <f ca="1">IFERROR(VLOOKUP(INDIRECT("'WPTM - Section F'!E"&amp;B3005),'Overview - Section A'!M$31:R150,4,0),IFERROR(VLOOKUP(INDIRECT("'WPTM - Section F'!E"&amp;B3005),'Overview - Section A'!E$27:J139,5,0),""))</f>
        <v/>
      </c>
    </row>
    <row r="3006" spans="1:23">
      <c r="A3006" s="387" t="b">
        <f t="shared" ca="1" si="178"/>
        <v>0</v>
      </c>
      <c r="B3006" s="387">
        <f t="shared" ca="1" si="177"/>
        <v>38</v>
      </c>
      <c r="C3006" s="404" t="str">
        <f ca="1">IF(COUNTA($G$2894:G3005)=1,"",OFFSET(B3006,-COUNTA($G$2894:G3005)+1,1))</f>
        <v>a1NDm000000H178MAC</v>
      </c>
      <c r="D3006" s="387" t="str">
        <f t="shared" ca="1" si="179"/>
        <v>INT-350981</v>
      </c>
      <c r="E3006" s="391"/>
      <c r="F3006" s="391" t="str">
        <f t="shared" ca="1" si="180"/>
        <v/>
      </c>
      <c r="G3006" s="405"/>
      <c r="H3006" s="387"/>
      <c r="I3006" s="387" t="str">
        <f ca="1">IFERROR(VLOOKUP(INDIRECT("'WPTM - Section F'!E"&amp;B3006),'Overview - Section A'!M$31:R151,6,0),IFERROR(VLOOKUP(INDIRECT("'WPTM - Section F'!E"&amp;B3006),'Overview - Section A'!E$27:J140,6,0),""))</f>
        <v/>
      </c>
      <c r="J3006" s="387" t="str">
        <f t="shared" ca="1" si="181"/>
        <v/>
      </c>
      <c r="K3006" s="387"/>
      <c r="L3006" s="387"/>
      <c r="M3006" s="391"/>
      <c r="N3006" s="391"/>
      <c r="O3006" s="387"/>
      <c r="P3006" s="391" t="str">
        <f t="shared" ca="1" si="182"/>
        <v/>
      </c>
      <c r="Q3006" s="391"/>
      <c r="R3006" s="391" t="str">
        <f t="shared" ca="1" si="183"/>
        <v/>
      </c>
      <c r="S3006" s="391"/>
      <c r="T3006" s="392"/>
      <c r="U3006" s="387" t="str">
        <f t="shared" ca="1" si="184"/>
        <v/>
      </c>
      <c r="V3006" s="387" t="str">
        <f t="shared" ca="1" si="185"/>
        <v>a1MDm000000Xod6MAC</v>
      </c>
      <c r="W3006" s="387" t="str">
        <f ca="1">IFERROR(VLOOKUP(INDIRECT("'WPTM - Section F'!E"&amp;B3006),'Overview - Section A'!M$31:R151,4,0),IFERROR(VLOOKUP(INDIRECT("'WPTM - Section F'!E"&amp;B3006),'Overview - Section A'!E$27:J140,5,0),""))</f>
        <v/>
      </c>
    </row>
    <row r="3007" spans="1:23">
      <c r="A3007" s="387" t="b">
        <f t="shared" ca="1" si="178"/>
        <v>0</v>
      </c>
      <c r="B3007" s="387">
        <f t="shared" ca="1" si="177"/>
        <v>39</v>
      </c>
      <c r="C3007" s="404" t="str">
        <f ca="1">IF(COUNTA($G$2894:G3006)=1,"",OFFSET(B3007,-COUNTA($G$2894:G3006)+1,1))</f>
        <v>a1NDm000000H179MAC</v>
      </c>
      <c r="D3007" s="387" t="str">
        <f t="shared" ca="1" si="179"/>
        <v>INT-350981</v>
      </c>
      <c r="E3007" s="391"/>
      <c r="F3007" s="391" t="str">
        <f t="shared" ca="1" si="180"/>
        <v/>
      </c>
      <c r="G3007" s="405"/>
      <c r="H3007" s="387"/>
      <c r="I3007" s="387" t="str">
        <f ca="1">IFERROR(VLOOKUP(INDIRECT("'WPTM - Section F'!E"&amp;B3007),'Overview - Section A'!M$31:R152,6,0),IFERROR(VLOOKUP(INDIRECT("'WPTM - Section F'!E"&amp;B3007),'Overview - Section A'!E$27:J141,6,0),""))</f>
        <v/>
      </c>
      <c r="J3007" s="387" t="str">
        <f t="shared" ca="1" si="181"/>
        <v/>
      </c>
      <c r="K3007" s="387"/>
      <c r="L3007" s="387"/>
      <c r="M3007" s="391"/>
      <c r="N3007" s="391"/>
      <c r="O3007" s="387"/>
      <c r="P3007" s="391" t="str">
        <f t="shared" ca="1" si="182"/>
        <v/>
      </c>
      <c r="Q3007" s="391"/>
      <c r="R3007" s="391" t="str">
        <f t="shared" ca="1" si="183"/>
        <v/>
      </c>
      <c r="S3007" s="391"/>
      <c r="T3007" s="392"/>
      <c r="U3007" s="387" t="str">
        <f t="shared" ca="1" si="184"/>
        <v/>
      </c>
      <c r="V3007" s="387" t="str">
        <f t="shared" ca="1" si="185"/>
        <v>a1MDm000000Xod6MAC</v>
      </c>
      <c r="W3007" s="387" t="str">
        <f ca="1">IFERROR(VLOOKUP(INDIRECT("'WPTM - Section F'!E"&amp;B3007),'Overview - Section A'!M$31:R152,4,0),IFERROR(VLOOKUP(INDIRECT("'WPTM - Section F'!E"&amp;B3007),'Overview - Section A'!E$27:J141,5,0),""))</f>
        <v/>
      </c>
    </row>
    <row r="3008" spans="1:23">
      <c r="A3008" s="387" t="b">
        <f t="shared" ca="1" si="178"/>
        <v>0</v>
      </c>
      <c r="B3008" s="387">
        <f t="shared" ca="1" si="177"/>
        <v>40</v>
      </c>
      <c r="C3008" s="404" t="str">
        <f ca="1">IF(COUNTA($G$2894:G3007)=1,"",OFFSET(B3008,-COUNTA($G$2894:G3007)+1,1))</f>
        <v>a1NDm000000H17AMAS</v>
      </c>
      <c r="D3008" s="387" t="str">
        <f t="shared" ca="1" si="179"/>
        <v>INT-350981</v>
      </c>
      <c r="E3008" s="391"/>
      <c r="F3008" s="391" t="str">
        <f t="shared" ca="1" si="180"/>
        <v/>
      </c>
      <c r="G3008" s="405"/>
      <c r="H3008" s="387"/>
      <c r="I3008" s="387" t="str">
        <f ca="1">IFERROR(VLOOKUP(INDIRECT("'WPTM - Section F'!E"&amp;B3008),'Overview - Section A'!M$31:R153,6,0),IFERROR(VLOOKUP(INDIRECT("'WPTM - Section F'!E"&amp;B3008),'Overview - Section A'!E$27:J142,6,0),""))</f>
        <v/>
      </c>
      <c r="J3008" s="387" t="str">
        <f t="shared" ca="1" si="181"/>
        <v/>
      </c>
      <c r="K3008" s="387"/>
      <c r="L3008" s="387"/>
      <c r="M3008" s="391"/>
      <c r="N3008" s="391"/>
      <c r="O3008" s="387"/>
      <c r="P3008" s="391" t="str">
        <f t="shared" ca="1" si="182"/>
        <v/>
      </c>
      <c r="Q3008" s="391"/>
      <c r="R3008" s="391" t="str">
        <f t="shared" ca="1" si="183"/>
        <v/>
      </c>
      <c r="S3008" s="391"/>
      <c r="T3008" s="392"/>
      <c r="U3008" s="387" t="str">
        <f t="shared" ca="1" si="184"/>
        <v/>
      </c>
      <c r="V3008" s="387" t="str">
        <f t="shared" ca="1" si="185"/>
        <v>a1MDm000000Xod6MAC</v>
      </c>
      <c r="W3008" s="387" t="str">
        <f ca="1">IFERROR(VLOOKUP(INDIRECT("'WPTM - Section F'!E"&amp;B3008),'Overview - Section A'!M$31:R153,4,0),IFERROR(VLOOKUP(INDIRECT("'WPTM - Section F'!E"&amp;B3008),'Overview - Section A'!E$27:J142,5,0),""))</f>
        <v/>
      </c>
    </row>
    <row r="3009" spans="1:23">
      <c r="A3009" s="387" t="b">
        <f t="shared" ca="1" si="178"/>
        <v>0</v>
      </c>
      <c r="B3009" s="387">
        <f t="shared" ca="1" si="177"/>
        <v>41</v>
      </c>
      <c r="C3009" s="404" t="str">
        <f ca="1">IF(COUNTA($G$2894:G3008)=1,"",OFFSET(B3009,-COUNTA($G$2894:G3008)+1,1))</f>
        <v>a1NDm000000H17BMAS</v>
      </c>
      <c r="D3009" s="387" t="str">
        <f t="shared" ca="1" si="179"/>
        <v>INT-350981</v>
      </c>
      <c r="E3009" s="391"/>
      <c r="F3009" s="391" t="str">
        <f t="shared" ca="1" si="180"/>
        <v/>
      </c>
      <c r="G3009" s="405"/>
      <c r="H3009" s="387"/>
      <c r="I3009" s="387" t="str">
        <f ca="1">IFERROR(VLOOKUP(INDIRECT("'WPTM - Section F'!E"&amp;B3009),'Overview - Section A'!M$31:R154,6,0),IFERROR(VLOOKUP(INDIRECT("'WPTM - Section F'!E"&amp;B3009),'Overview - Section A'!E$27:J143,6,0),""))</f>
        <v/>
      </c>
      <c r="J3009" s="387" t="str">
        <f t="shared" ca="1" si="181"/>
        <v/>
      </c>
      <c r="K3009" s="387"/>
      <c r="L3009" s="387"/>
      <c r="M3009" s="391"/>
      <c r="N3009" s="391"/>
      <c r="O3009" s="387"/>
      <c r="P3009" s="391" t="str">
        <f t="shared" ca="1" si="182"/>
        <v/>
      </c>
      <c r="Q3009" s="391"/>
      <c r="R3009" s="391" t="str">
        <f t="shared" ca="1" si="183"/>
        <v/>
      </c>
      <c r="S3009" s="391"/>
      <c r="T3009" s="392"/>
      <c r="U3009" s="387" t="str">
        <f t="shared" ca="1" si="184"/>
        <v/>
      </c>
      <c r="V3009" s="387" t="str">
        <f t="shared" ca="1" si="185"/>
        <v>a1MDm000000Xod6MAC</v>
      </c>
      <c r="W3009" s="387" t="str">
        <f ca="1">IFERROR(VLOOKUP(INDIRECT("'WPTM - Section F'!E"&amp;B3009),'Overview - Section A'!M$31:R154,4,0),IFERROR(VLOOKUP(INDIRECT("'WPTM - Section F'!E"&amp;B3009),'Overview - Section A'!E$27:J143,5,0),""))</f>
        <v/>
      </c>
    </row>
    <row r="3010" spans="1:23">
      <c r="A3010" s="387" t="b">
        <f t="shared" ca="1" si="178"/>
        <v>0</v>
      </c>
      <c r="B3010" s="387">
        <f t="shared" ca="1" si="177"/>
        <v>42</v>
      </c>
      <c r="C3010" s="404" t="str">
        <f ca="1">IF(COUNTA($G$2894:G3009)=1,"",OFFSET(B3010,-COUNTA($G$2894:G3009)+1,1))</f>
        <v>a1NDm000000H17CMAS</v>
      </c>
      <c r="D3010" s="387" t="str">
        <f t="shared" ca="1" si="179"/>
        <v>INT-350981</v>
      </c>
      <c r="E3010" s="391"/>
      <c r="F3010" s="391" t="str">
        <f t="shared" ca="1" si="180"/>
        <v/>
      </c>
      <c r="G3010" s="405"/>
      <c r="H3010" s="387"/>
      <c r="I3010" s="387" t="str">
        <f ca="1">IFERROR(VLOOKUP(INDIRECT("'WPTM - Section F'!E"&amp;B3010),'Overview - Section A'!M$31:R155,6,0),IFERROR(VLOOKUP(INDIRECT("'WPTM - Section F'!E"&amp;B3010),'Overview - Section A'!E$27:J144,6,0),""))</f>
        <v/>
      </c>
      <c r="J3010" s="387" t="str">
        <f t="shared" ca="1" si="181"/>
        <v/>
      </c>
      <c r="K3010" s="387"/>
      <c r="L3010" s="387"/>
      <c r="M3010" s="391"/>
      <c r="N3010" s="391"/>
      <c r="O3010" s="387"/>
      <c r="P3010" s="391" t="str">
        <f t="shared" ca="1" si="182"/>
        <v/>
      </c>
      <c r="Q3010" s="391"/>
      <c r="R3010" s="391" t="str">
        <f t="shared" ca="1" si="183"/>
        <v/>
      </c>
      <c r="S3010" s="391"/>
      <c r="T3010" s="392"/>
      <c r="U3010" s="387" t="str">
        <f t="shared" ca="1" si="184"/>
        <v/>
      </c>
      <c r="V3010" s="387" t="str">
        <f t="shared" ca="1" si="185"/>
        <v>a1MDm000000Xod6MAC</v>
      </c>
      <c r="W3010" s="387" t="str">
        <f ca="1">IFERROR(VLOOKUP(INDIRECT("'WPTM - Section F'!E"&amp;B3010),'Overview - Section A'!M$31:R155,4,0),IFERROR(VLOOKUP(INDIRECT("'WPTM - Section F'!E"&amp;B3010),'Overview - Section A'!E$27:J144,5,0),""))</f>
        <v/>
      </c>
    </row>
    <row r="3011" spans="1:23">
      <c r="A3011" s="387" t="b">
        <f t="shared" ca="1" si="178"/>
        <v>0</v>
      </c>
      <c r="B3011" s="387">
        <f t="shared" ca="1" si="177"/>
        <v>43</v>
      </c>
      <c r="C3011" s="404" t="str">
        <f ca="1">IF(COUNTA($G$2894:G3010)=1,"",OFFSET(B3011,-COUNTA($G$2894:G3010)+1,1))</f>
        <v>a1NDm000000H17DMAS</v>
      </c>
      <c r="D3011" s="387" t="str">
        <f t="shared" ca="1" si="179"/>
        <v>INT-350981</v>
      </c>
      <c r="E3011" s="391"/>
      <c r="F3011" s="391" t="str">
        <f t="shared" ca="1" si="180"/>
        <v/>
      </c>
      <c r="G3011" s="405"/>
      <c r="H3011" s="387"/>
      <c r="I3011" s="387" t="str">
        <f ca="1">IFERROR(VLOOKUP(INDIRECT("'WPTM - Section F'!E"&amp;B3011),'Overview - Section A'!M$31:R156,6,0),IFERROR(VLOOKUP(INDIRECT("'WPTM - Section F'!E"&amp;B3011),'Overview - Section A'!E$27:J145,6,0),""))</f>
        <v/>
      </c>
      <c r="J3011" s="387" t="str">
        <f t="shared" ca="1" si="181"/>
        <v/>
      </c>
      <c r="K3011" s="387"/>
      <c r="L3011" s="387"/>
      <c r="M3011" s="391"/>
      <c r="N3011" s="391"/>
      <c r="O3011" s="387"/>
      <c r="P3011" s="391" t="str">
        <f t="shared" ca="1" si="182"/>
        <v/>
      </c>
      <c r="Q3011" s="391"/>
      <c r="R3011" s="391" t="str">
        <f t="shared" ca="1" si="183"/>
        <v/>
      </c>
      <c r="S3011" s="391"/>
      <c r="T3011" s="392"/>
      <c r="U3011" s="387" t="str">
        <f t="shared" ca="1" si="184"/>
        <v/>
      </c>
      <c r="V3011" s="387" t="str">
        <f t="shared" ca="1" si="185"/>
        <v>a1MDm000000Xod6MAC</v>
      </c>
      <c r="W3011" s="387" t="str">
        <f ca="1">IFERROR(VLOOKUP(INDIRECT("'WPTM - Section F'!E"&amp;B3011),'Overview - Section A'!M$31:R156,4,0),IFERROR(VLOOKUP(INDIRECT("'WPTM - Section F'!E"&amp;B3011),'Overview - Section A'!E$27:J145,5,0),""))</f>
        <v/>
      </c>
    </row>
    <row r="3012" spans="1:23">
      <c r="A3012" s="387" t="b">
        <f t="shared" ca="1" si="178"/>
        <v>0</v>
      </c>
      <c r="B3012" s="387">
        <f t="shared" ca="1" si="177"/>
        <v>44</v>
      </c>
      <c r="C3012" s="404" t="str">
        <f ca="1">IF(COUNTA($G$2894:G3011)=1,"",OFFSET(B3012,-COUNTA($G$2894:G3011)+1,1))</f>
        <v>a1NDm000000H17EMAS</v>
      </c>
      <c r="D3012" s="387" t="str">
        <f t="shared" ca="1" si="179"/>
        <v>INT-350981</v>
      </c>
      <c r="E3012" s="391"/>
      <c r="F3012" s="391" t="str">
        <f t="shared" ca="1" si="180"/>
        <v/>
      </c>
      <c r="G3012" s="405"/>
      <c r="H3012" s="387"/>
      <c r="I3012" s="387" t="str">
        <f ca="1">IFERROR(VLOOKUP(INDIRECT("'WPTM - Section F'!E"&amp;B3012),'Overview - Section A'!M$31:R157,6,0),IFERROR(VLOOKUP(INDIRECT("'WPTM - Section F'!E"&amp;B3012),'Overview - Section A'!E$27:J146,6,0),""))</f>
        <v/>
      </c>
      <c r="J3012" s="387" t="str">
        <f t="shared" ca="1" si="181"/>
        <v/>
      </c>
      <c r="K3012" s="387"/>
      <c r="L3012" s="387"/>
      <c r="M3012" s="391"/>
      <c r="N3012" s="391"/>
      <c r="O3012" s="387"/>
      <c r="P3012" s="391" t="str">
        <f t="shared" ca="1" si="182"/>
        <v/>
      </c>
      <c r="Q3012" s="391"/>
      <c r="R3012" s="391" t="str">
        <f t="shared" ca="1" si="183"/>
        <v/>
      </c>
      <c r="S3012" s="391"/>
      <c r="T3012" s="392"/>
      <c r="U3012" s="387" t="str">
        <f t="shared" ca="1" si="184"/>
        <v/>
      </c>
      <c r="V3012" s="387" t="str">
        <f t="shared" ca="1" si="185"/>
        <v>a1MDm000000Xod6MAC</v>
      </c>
      <c r="W3012" s="387" t="str">
        <f ca="1">IFERROR(VLOOKUP(INDIRECT("'WPTM - Section F'!E"&amp;B3012),'Overview - Section A'!M$31:R157,4,0),IFERROR(VLOOKUP(INDIRECT("'WPTM - Section F'!E"&amp;B3012),'Overview - Section A'!E$27:J146,5,0),""))</f>
        <v/>
      </c>
    </row>
    <row r="3013" spans="1:23">
      <c r="A3013" s="387" t="b">
        <f t="shared" ca="1" si="178"/>
        <v>0</v>
      </c>
      <c r="B3013" s="387">
        <f t="shared" ca="1" si="177"/>
        <v>45</v>
      </c>
      <c r="C3013" s="404" t="str">
        <f ca="1">IF(COUNTA($G$2894:G3012)=1,"",OFFSET(B3013,-COUNTA($G$2894:G3012)+1,1))</f>
        <v>a1NDm000000H17FMAS</v>
      </c>
      <c r="D3013" s="387" t="str">
        <f t="shared" ca="1" si="179"/>
        <v>INT-350981</v>
      </c>
      <c r="E3013" s="391"/>
      <c r="F3013" s="391" t="str">
        <f t="shared" ca="1" si="180"/>
        <v/>
      </c>
      <c r="G3013" s="405"/>
      <c r="H3013" s="387"/>
      <c r="I3013" s="387" t="str">
        <f ca="1">IFERROR(VLOOKUP(INDIRECT("'WPTM - Section F'!E"&amp;B3013),'Overview - Section A'!M$31:R158,6,0),IFERROR(VLOOKUP(INDIRECT("'WPTM - Section F'!E"&amp;B3013),'Overview - Section A'!E$27:J147,6,0),""))</f>
        <v/>
      </c>
      <c r="J3013" s="387" t="str">
        <f t="shared" ca="1" si="181"/>
        <v/>
      </c>
      <c r="K3013" s="387"/>
      <c r="L3013" s="387"/>
      <c r="M3013" s="391"/>
      <c r="N3013" s="391"/>
      <c r="O3013" s="387"/>
      <c r="P3013" s="391" t="str">
        <f t="shared" ca="1" si="182"/>
        <v/>
      </c>
      <c r="Q3013" s="391"/>
      <c r="R3013" s="391" t="str">
        <f t="shared" ca="1" si="183"/>
        <v/>
      </c>
      <c r="S3013" s="391"/>
      <c r="T3013" s="392"/>
      <c r="U3013" s="387" t="str">
        <f t="shared" ca="1" si="184"/>
        <v/>
      </c>
      <c r="V3013" s="387" t="str">
        <f t="shared" ca="1" si="185"/>
        <v>a1MDm000000Xod6MAC</v>
      </c>
      <c r="W3013" s="387" t="str">
        <f ca="1">IFERROR(VLOOKUP(INDIRECT("'WPTM - Section F'!E"&amp;B3013),'Overview - Section A'!M$31:R158,4,0),IFERROR(VLOOKUP(INDIRECT("'WPTM - Section F'!E"&amp;B3013),'Overview - Section A'!E$27:J147,5,0),""))</f>
        <v/>
      </c>
    </row>
    <row r="3014" spans="1:23">
      <c r="A3014" s="387" t="b">
        <f t="shared" ca="1" si="178"/>
        <v>0</v>
      </c>
      <c r="B3014" s="387">
        <f t="shared" ca="1" si="177"/>
        <v>46</v>
      </c>
      <c r="C3014" s="404" t="str">
        <f ca="1">IF(COUNTA($G$2894:G3013)=1,"",OFFSET(B3014,-COUNTA($G$2894:G3013)+1,1))</f>
        <v>a1NDm000000H17GMAS</v>
      </c>
      <c r="D3014" s="387" t="str">
        <f t="shared" ca="1" si="179"/>
        <v>INT-350981</v>
      </c>
      <c r="E3014" s="391"/>
      <c r="F3014" s="391" t="str">
        <f t="shared" ca="1" si="180"/>
        <v/>
      </c>
      <c r="G3014" s="405"/>
      <c r="H3014" s="387"/>
      <c r="I3014" s="387" t="str">
        <f ca="1">IFERROR(VLOOKUP(INDIRECT("'WPTM - Section F'!E"&amp;B3014),'Overview - Section A'!M$31:R159,6,0),IFERROR(VLOOKUP(INDIRECT("'WPTM - Section F'!E"&amp;B3014),'Overview - Section A'!E$27:J148,6,0),""))</f>
        <v/>
      </c>
      <c r="J3014" s="387" t="str">
        <f t="shared" ca="1" si="181"/>
        <v/>
      </c>
      <c r="K3014" s="387"/>
      <c r="L3014" s="387"/>
      <c r="M3014" s="391"/>
      <c r="N3014" s="391"/>
      <c r="O3014" s="387"/>
      <c r="P3014" s="391" t="str">
        <f t="shared" ca="1" si="182"/>
        <v/>
      </c>
      <c r="Q3014" s="391"/>
      <c r="R3014" s="391" t="str">
        <f t="shared" ca="1" si="183"/>
        <v/>
      </c>
      <c r="S3014" s="391"/>
      <c r="T3014" s="392"/>
      <c r="U3014" s="387" t="str">
        <f t="shared" ca="1" si="184"/>
        <v/>
      </c>
      <c r="V3014" s="387" t="str">
        <f t="shared" ca="1" si="185"/>
        <v>a1MDm000000Xod6MAC</v>
      </c>
      <c r="W3014" s="387" t="str">
        <f ca="1">IFERROR(VLOOKUP(INDIRECT("'WPTM - Section F'!E"&amp;B3014),'Overview - Section A'!M$31:R159,4,0),IFERROR(VLOOKUP(INDIRECT("'WPTM - Section F'!E"&amp;B3014),'Overview - Section A'!E$27:J148,5,0),""))</f>
        <v/>
      </c>
    </row>
    <row r="3015" spans="1:23">
      <c r="A3015" s="387" t="b">
        <f t="shared" ca="1" si="178"/>
        <v>0</v>
      </c>
      <c r="B3015" s="387">
        <f t="shared" ca="1" si="177"/>
        <v>47</v>
      </c>
      <c r="C3015" s="404" t="str">
        <f ca="1">IF(COUNTA($G$2894:G3014)=1,"",OFFSET(B3015,-COUNTA($G$2894:G3014)+1,1))</f>
        <v>a1NDm000000H17HMAS</v>
      </c>
      <c r="D3015" s="387" t="str">
        <f t="shared" ca="1" si="179"/>
        <v>INT-350981</v>
      </c>
      <c r="E3015" s="391"/>
      <c r="F3015" s="391" t="str">
        <f t="shared" ca="1" si="180"/>
        <v/>
      </c>
      <c r="G3015" s="405"/>
      <c r="H3015" s="387"/>
      <c r="I3015" s="387" t="str">
        <f ca="1">IFERROR(VLOOKUP(INDIRECT("'WPTM - Section F'!E"&amp;B3015),'Overview - Section A'!M$31:R160,6,0),IFERROR(VLOOKUP(INDIRECT("'WPTM - Section F'!E"&amp;B3015),'Overview - Section A'!E$27:J149,6,0),""))</f>
        <v/>
      </c>
      <c r="J3015" s="387" t="str">
        <f t="shared" ca="1" si="181"/>
        <v/>
      </c>
      <c r="K3015" s="387"/>
      <c r="L3015" s="387"/>
      <c r="M3015" s="391"/>
      <c r="N3015" s="391"/>
      <c r="O3015" s="387"/>
      <c r="P3015" s="391" t="str">
        <f t="shared" ca="1" si="182"/>
        <v/>
      </c>
      <c r="Q3015" s="391"/>
      <c r="R3015" s="391" t="str">
        <f t="shared" ca="1" si="183"/>
        <v/>
      </c>
      <c r="S3015" s="391"/>
      <c r="T3015" s="392"/>
      <c r="U3015" s="387" t="str">
        <f t="shared" ca="1" si="184"/>
        <v/>
      </c>
      <c r="V3015" s="387" t="str">
        <f t="shared" ca="1" si="185"/>
        <v>a1MDm000000Xod6MAC</v>
      </c>
      <c r="W3015" s="387" t="str">
        <f ca="1">IFERROR(VLOOKUP(INDIRECT("'WPTM - Section F'!E"&amp;B3015),'Overview - Section A'!M$31:R160,4,0),IFERROR(VLOOKUP(INDIRECT("'WPTM - Section F'!E"&amp;B3015),'Overview - Section A'!E$27:J149,5,0),""))</f>
        <v/>
      </c>
    </row>
    <row r="3016" spans="1:23">
      <c r="A3016" s="387" t="b">
        <f t="shared" ca="1" si="178"/>
        <v>0</v>
      </c>
      <c r="B3016" s="387">
        <f t="shared" ca="1" si="177"/>
        <v>48</v>
      </c>
      <c r="C3016" s="404" t="str">
        <f ca="1">IF(COUNTA($G$2894:G3015)=1,"",OFFSET(B3016,-COUNTA($G$2894:G3015)+1,1))</f>
        <v>a1NDm000000H17IMAS</v>
      </c>
      <c r="D3016" s="387" t="str">
        <f t="shared" ca="1" si="179"/>
        <v>INT-350981</v>
      </c>
      <c r="E3016" s="391"/>
      <c r="F3016" s="391" t="str">
        <f t="shared" ca="1" si="180"/>
        <v/>
      </c>
      <c r="G3016" s="405"/>
      <c r="H3016" s="387"/>
      <c r="I3016" s="387" t="str">
        <f ca="1">IFERROR(VLOOKUP(INDIRECT("'WPTM - Section F'!E"&amp;B3016),'Overview - Section A'!M$31:R161,6,0),IFERROR(VLOOKUP(INDIRECT("'WPTM - Section F'!E"&amp;B3016),'Overview - Section A'!E$27:J150,6,0),""))</f>
        <v/>
      </c>
      <c r="J3016" s="387" t="str">
        <f t="shared" ca="1" si="181"/>
        <v/>
      </c>
      <c r="K3016" s="387"/>
      <c r="L3016" s="387"/>
      <c r="M3016" s="391"/>
      <c r="N3016" s="391"/>
      <c r="O3016" s="387"/>
      <c r="P3016" s="391" t="str">
        <f t="shared" ca="1" si="182"/>
        <v/>
      </c>
      <c r="Q3016" s="391"/>
      <c r="R3016" s="391" t="str">
        <f t="shared" ca="1" si="183"/>
        <v/>
      </c>
      <c r="S3016" s="391"/>
      <c r="T3016" s="392"/>
      <c r="U3016" s="387" t="str">
        <f t="shared" ca="1" si="184"/>
        <v/>
      </c>
      <c r="V3016" s="387" t="str">
        <f t="shared" ca="1" si="185"/>
        <v>a1MDm000000Xod6MAC</v>
      </c>
      <c r="W3016" s="387" t="str">
        <f ca="1">IFERROR(VLOOKUP(INDIRECT("'WPTM - Section F'!E"&amp;B3016),'Overview - Section A'!M$31:R161,4,0),IFERROR(VLOOKUP(INDIRECT("'WPTM - Section F'!E"&amp;B3016),'Overview - Section A'!E$27:J150,5,0),""))</f>
        <v/>
      </c>
    </row>
    <row r="3017" spans="1:23">
      <c r="A3017" s="387" t="b">
        <f t="shared" ca="1" si="178"/>
        <v>0</v>
      </c>
      <c r="B3017" s="387">
        <f t="shared" ca="1" si="177"/>
        <v>49</v>
      </c>
      <c r="C3017" s="404" t="str">
        <f ca="1">IF(COUNTA($G$2894:G3016)=1,"",OFFSET(B3017,-COUNTA($G$2894:G3016)+1,1))</f>
        <v>a1NDm000000H17JMAS</v>
      </c>
      <c r="D3017" s="387" t="str">
        <f t="shared" ca="1" si="179"/>
        <v>INT-350981</v>
      </c>
      <c r="E3017" s="391"/>
      <c r="F3017" s="391" t="str">
        <f t="shared" ca="1" si="180"/>
        <v/>
      </c>
      <c r="G3017" s="405"/>
      <c r="H3017" s="387"/>
      <c r="I3017" s="387" t="str">
        <f ca="1">IFERROR(VLOOKUP(INDIRECT("'WPTM - Section F'!E"&amp;B3017),'Overview - Section A'!M$31:R162,6,0),IFERROR(VLOOKUP(INDIRECT("'WPTM - Section F'!E"&amp;B3017),'Overview - Section A'!E$27:J151,6,0),""))</f>
        <v/>
      </c>
      <c r="J3017" s="387" t="str">
        <f t="shared" ca="1" si="181"/>
        <v/>
      </c>
      <c r="K3017" s="387"/>
      <c r="L3017" s="387"/>
      <c r="M3017" s="391"/>
      <c r="N3017" s="391"/>
      <c r="O3017" s="387"/>
      <c r="P3017" s="391" t="str">
        <f t="shared" ca="1" si="182"/>
        <v/>
      </c>
      <c r="Q3017" s="391"/>
      <c r="R3017" s="391" t="str">
        <f t="shared" ca="1" si="183"/>
        <v/>
      </c>
      <c r="S3017" s="391"/>
      <c r="T3017" s="392"/>
      <c r="U3017" s="387" t="str">
        <f t="shared" ca="1" si="184"/>
        <v/>
      </c>
      <c r="V3017" s="387" t="str">
        <f t="shared" ca="1" si="185"/>
        <v>a1MDm000000Xod6MAC</v>
      </c>
      <c r="W3017" s="387" t="str">
        <f ca="1">IFERROR(VLOOKUP(INDIRECT("'WPTM - Section F'!E"&amp;B3017),'Overview - Section A'!M$31:R162,4,0),IFERROR(VLOOKUP(INDIRECT("'WPTM - Section F'!E"&amp;B3017),'Overview - Section A'!E$27:J151,5,0),""))</f>
        <v/>
      </c>
    </row>
    <row r="3018" spans="1:23">
      <c r="A3018" s="387" t="b">
        <f t="shared" ca="1" si="178"/>
        <v>0</v>
      </c>
      <c r="B3018" s="387">
        <f t="shared" ca="1" si="177"/>
        <v>50</v>
      </c>
      <c r="C3018" s="404" t="str">
        <f ca="1">IF(COUNTA($G$2894:G3017)=1,"",OFFSET(B3018,-COUNTA($G$2894:G3017)+1,1))</f>
        <v>a1NDm000000H17KMAS</v>
      </c>
      <c r="D3018" s="387" t="str">
        <f t="shared" ca="1" si="179"/>
        <v>INT-350981</v>
      </c>
      <c r="E3018" s="391"/>
      <c r="F3018" s="391" t="str">
        <f t="shared" ca="1" si="180"/>
        <v/>
      </c>
      <c r="G3018" s="405"/>
      <c r="H3018" s="387"/>
      <c r="I3018" s="387" t="str">
        <f ca="1">IFERROR(VLOOKUP(INDIRECT("'WPTM - Section F'!E"&amp;B3018),'Overview - Section A'!M$31:R163,6,0),IFERROR(VLOOKUP(INDIRECT("'WPTM - Section F'!E"&amp;B3018),'Overview - Section A'!E$27:J152,6,0),""))</f>
        <v/>
      </c>
      <c r="J3018" s="387" t="str">
        <f t="shared" ca="1" si="181"/>
        <v/>
      </c>
      <c r="K3018" s="387"/>
      <c r="L3018" s="387"/>
      <c r="M3018" s="391"/>
      <c r="N3018" s="391"/>
      <c r="O3018" s="387"/>
      <c r="P3018" s="391" t="str">
        <f t="shared" ca="1" si="182"/>
        <v/>
      </c>
      <c r="Q3018" s="391"/>
      <c r="R3018" s="391" t="str">
        <f t="shared" ca="1" si="183"/>
        <v/>
      </c>
      <c r="S3018" s="391"/>
      <c r="T3018" s="392"/>
      <c r="U3018" s="387" t="str">
        <f t="shared" ca="1" si="184"/>
        <v/>
      </c>
      <c r="V3018" s="387" t="str">
        <f t="shared" ca="1" si="185"/>
        <v>a1MDm000000Xod6MAC</v>
      </c>
      <c r="W3018" s="387" t="str">
        <f ca="1">IFERROR(VLOOKUP(INDIRECT("'WPTM - Section F'!E"&amp;B3018),'Overview - Section A'!M$31:R163,4,0),IFERROR(VLOOKUP(INDIRECT("'WPTM - Section F'!E"&amp;B3018),'Overview - Section A'!E$27:J152,5,0),""))</f>
        <v/>
      </c>
    </row>
    <row r="3019" spans="1:23">
      <c r="A3019" s="387" t="b">
        <f t="shared" ca="1" si="178"/>
        <v>0</v>
      </c>
      <c r="B3019" s="387">
        <f t="shared" ca="1" si="177"/>
        <v>51</v>
      </c>
      <c r="C3019" s="404" t="str">
        <f ca="1">IF(COUNTA($G$2894:G3018)=1,"",OFFSET(B3019,-COUNTA($G$2894:G3018)+1,1))</f>
        <v>a1NDm000000H17LMAS</v>
      </c>
      <c r="D3019" s="387" t="str">
        <f t="shared" ca="1" si="179"/>
        <v>INT-350981</v>
      </c>
      <c r="E3019" s="391"/>
      <c r="F3019" s="391" t="str">
        <f t="shared" ca="1" si="180"/>
        <v/>
      </c>
      <c r="G3019" s="405"/>
      <c r="H3019" s="387"/>
      <c r="I3019" s="387" t="str">
        <f ca="1">IFERROR(VLOOKUP(INDIRECT("'WPTM - Section F'!E"&amp;B3019),'Overview - Section A'!M$31:R164,6,0),IFERROR(VLOOKUP(INDIRECT("'WPTM - Section F'!E"&amp;B3019),'Overview - Section A'!E$27:J153,6,0),""))</f>
        <v/>
      </c>
      <c r="J3019" s="387" t="str">
        <f t="shared" ca="1" si="181"/>
        <v/>
      </c>
      <c r="K3019" s="387"/>
      <c r="L3019" s="387"/>
      <c r="M3019" s="391"/>
      <c r="N3019" s="391"/>
      <c r="O3019" s="387"/>
      <c r="P3019" s="391" t="str">
        <f t="shared" ca="1" si="182"/>
        <v/>
      </c>
      <c r="Q3019" s="391"/>
      <c r="R3019" s="391" t="str">
        <f t="shared" ca="1" si="183"/>
        <v/>
      </c>
      <c r="S3019" s="391"/>
      <c r="T3019" s="392"/>
      <c r="U3019" s="387" t="str">
        <f t="shared" ca="1" si="184"/>
        <v/>
      </c>
      <c r="V3019" s="387" t="str">
        <f t="shared" ca="1" si="185"/>
        <v>a1MDm000000Xod6MAC</v>
      </c>
      <c r="W3019" s="387" t="str">
        <f ca="1">IFERROR(VLOOKUP(INDIRECT("'WPTM - Section F'!E"&amp;B3019),'Overview - Section A'!M$31:R164,4,0),IFERROR(VLOOKUP(INDIRECT("'WPTM - Section F'!E"&amp;B3019),'Overview - Section A'!E$27:J153,5,0),""))</f>
        <v/>
      </c>
    </row>
    <row r="3020" spans="1:23">
      <c r="A3020" s="387" t="b">
        <f t="shared" ca="1" si="178"/>
        <v>0</v>
      </c>
      <c r="B3020" s="387">
        <f t="shared" ca="1" si="177"/>
        <v>52</v>
      </c>
      <c r="C3020" s="404" t="str">
        <f ca="1">IF(COUNTA($G$2894:G3019)=1,"",OFFSET(B3020,-COUNTA($G$2894:G3019)+1,1))</f>
        <v>a1NDm000000H17MMAS</v>
      </c>
      <c r="D3020" s="387" t="str">
        <f t="shared" ca="1" si="179"/>
        <v>INT-350981</v>
      </c>
      <c r="E3020" s="391"/>
      <c r="F3020" s="391" t="str">
        <f t="shared" ca="1" si="180"/>
        <v/>
      </c>
      <c r="G3020" s="405"/>
      <c r="H3020" s="387"/>
      <c r="I3020" s="387" t="str">
        <f ca="1">IFERROR(VLOOKUP(INDIRECT("'WPTM - Section F'!E"&amp;B3020),'Overview - Section A'!M$31:R165,6,0),IFERROR(VLOOKUP(INDIRECT("'WPTM - Section F'!E"&amp;B3020),'Overview - Section A'!E$27:J154,6,0),""))</f>
        <v/>
      </c>
      <c r="J3020" s="387" t="str">
        <f t="shared" ca="1" si="181"/>
        <v/>
      </c>
      <c r="K3020" s="387"/>
      <c r="L3020" s="387"/>
      <c r="M3020" s="391"/>
      <c r="N3020" s="391"/>
      <c r="O3020" s="387"/>
      <c r="P3020" s="391" t="str">
        <f t="shared" ca="1" si="182"/>
        <v/>
      </c>
      <c r="Q3020" s="391"/>
      <c r="R3020" s="391" t="str">
        <f t="shared" ca="1" si="183"/>
        <v/>
      </c>
      <c r="S3020" s="391"/>
      <c r="T3020" s="392"/>
      <c r="U3020" s="387" t="str">
        <f t="shared" ca="1" si="184"/>
        <v/>
      </c>
      <c r="V3020" s="387" t="str">
        <f t="shared" ca="1" si="185"/>
        <v>a1MDm000000Xod6MAC</v>
      </c>
      <c r="W3020" s="387" t="str">
        <f ca="1">IFERROR(VLOOKUP(INDIRECT("'WPTM - Section F'!E"&amp;B3020),'Overview - Section A'!M$31:R165,4,0),IFERROR(VLOOKUP(INDIRECT("'WPTM - Section F'!E"&amp;B3020),'Overview - Section A'!E$27:J154,5,0),""))</f>
        <v/>
      </c>
    </row>
    <row r="3021" spans="1:23">
      <c r="A3021" s="387" t="b">
        <f t="shared" ca="1" si="178"/>
        <v>0</v>
      </c>
      <c r="B3021" s="387">
        <f t="shared" ca="1" si="177"/>
        <v>53</v>
      </c>
      <c r="C3021" s="404" t="str">
        <f ca="1">IF(COUNTA($G$2894:G3020)=1,"",OFFSET(B3021,-COUNTA($G$2894:G3020)+1,1))</f>
        <v>a1NDm000000H17NMAS</v>
      </c>
      <c r="D3021" s="387" t="str">
        <f t="shared" ca="1" si="179"/>
        <v>INT-350981</v>
      </c>
      <c r="E3021" s="391"/>
      <c r="F3021" s="391" t="str">
        <f t="shared" ca="1" si="180"/>
        <v/>
      </c>
      <c r="G3021" s="405"/>
      <c r="H3021" s="387"/>
      <c r="I3021" s="387" t="str">
        <f ca="1">IFERROR(VLOOKUP(INDIRECT("'WPTM - Section F'!E"&amp;B3021),'Overview - Section A'!M$31:R166,6,0),IFERROR(VLOOKUP(INDIRECT("'WPTM - Section F'!E"&amp;B3021),'Overview - Section A'!E$27:J155,6,0),""))</f>
        <v/>
      </c>
      <c r="J3021" s="387" t="str">
        <f t="shared" ca="1" si="181"/>
        <v/>
      </c>
      <c r="K3021" s="387"/>
      <c r="L3021" s="387"/>
      <c r="M3021" s="391"/>
      <c r="N3021" s="391"/>
      <c r="O3021" s="387"/>
      <c r="P3021" s="391" t="str">
        <f t="shared" ca="1" si="182"/>
        <v/>
      </c>
      <c r="Q3021" s="391"/>
      <c r="R3021" s="391" t="str">
        <f t="shared" ca="1" si="183"/>
        <v/>
      </c>
      <c r="S3021" s="391"/>
      <c r="T3021" s="392"/>
      <c r="U3021" s="387" t="str">
        <f t="shared" ca="1" si="184"/>
        <v/>
      </c>
      <c r="V3021" s="387" t="str">
        <f t="shared" ca="1" si="185"/>
        <v>a1MDm000000Xod6MAC</v>
      </c>
      <c r="W3021" s="387" t="str">
        <f ca="1">IFERROR(VLOOKUP(INDIRECT("'WPTM - Section F'!E"&amp;B3021),'Overview - Section A'!M$31:R166,4,0),IFERROR(VLOOKUP(INDIRECT("'WPTM - Section F'!E"&amp;B3021),'Overview - Section A'!E$27:J155,5,0),""))</f>
        <v/>
      </c>
    </row>
    <row r="3022" spans="1:23">
      <c r="A3022" s="387" t="b">
        <f t="shared" ca="1" si="178"/>
        <v>0</v>
      </c>
      <c r="B3022" s="387">
        <f t="shared" ca="1" si="177"/>
        <v>54</v>
      </c>
      <c r="C3022" s="404" t="str">
        <f ca="1">IF(COUNTA($G$2894:G3021)=1,"",OFFSET(B3022,-COUNTA($G$2894:G3021)+1,1))</f>
        <v>a1NDm000000H17OMAS</v>
      </c>
      <c r="D3022" s="387" t="str">
        <f t="shared" ca="1" si="179"/>
        <v>INT-350981</v>
      </c>
      <c r="E3022" s="391"/>
      <c r="F3022" s="391" t="str">
        <f t="shared" ca="1" si="180"/>
        <v/>
      </c>
      <c r="G3022" s="405"/>
      <c r="H3022" s="387"/>
      <c r="I3022" s="387" t="str">
        <f ca="1">IFERROR(VLOOKUP(INDIRECT("'WPTM - Section F'!E"&amp;B3022),'Overview - Section A'!M$31:R167,6,0),IFERROR(VLOOKUP(INDIRECT("'WPTM - Section F'!E"&amp;B3022),'Overview - Section A'!E$27:J156,6,0),""))</f>
        <v/>
      </c>
      <c r="J3022" s="387" t="str">
        <f t="shared" ca="1" si="181"/>
        <v/>
      </c>
      <c r="K3022" s="387"/>
      <c r="L3022" s="387"/>
      <c r="M3022" s="391"/>
      <c r="N3022" s="391"/>
      <c r="O3022" s="387"/>
      <c r="P3022" s="391" t="str">
        <f t="shared" ca="1" si="182"/>
        <v/>
      </c>
      <c r="Q3022" s="391"/>
      <c r="R3022" s="391" t="str">
        <f t="shared" ca="1" si="183"/>
        <v/>
      </c>
      <c r="S3022" s="391"/>
      <c r="T3022" s="392"/>
      <c r="U3022" s="387" t="str">
        <f t="shared" ca="1" si="184"/>
        <v/>
      </c>
      <c r="V3022" s="387" t="str">
        <f t="shared" ca="1" si="185"/>
        <v>a1MDm000000Xod6MAC</v>
      </c>
      <c r="W3022" s="387" t="str">
        <f ca="1">IFERROR(VLOOKUP(INDIRECT("'WPTM - Section F'!E"&amp;B3022),'Overview - Section A'!M$31:R167,4,0),IFERROR(VLOOKUP(INDIRECT("'WPTM - Section F'!E"&amp;B3022),'Overview - Section A'!E$27:J156,5,0),""))</f>
        <v/>
      </c>
    </row>
    <row r="3023" spans="1:23">
      <c r="A3023" s="387" t="b">
        <f t="shared" ca="1" si="178"/>
        <v>0</v>
      </c>
      <c r="B3023" s="387">
        <f t="shared" ca="1" si="177"/>
        <v>55</v>
      </c>
      <c r="C3023" s="404" t="str">
        <f ca="1">IF(COUNTA($G$2894:G3022)=1,"",OFFSET(B3023,-COUNTA($G$2894:G3022)+1,1))</f>
        <v>a1NDm000000H17PMAS</v>
      </c>
      <c r="D3023" s="387" t="str">
        <f t="shared" ca="1" si="179"/>
        <v>INT-350981</v>
      </c>
      <c r="E3023" s="391"/>
      <c r="F3023" s="391" t="str">
        <f t="shared" ca="1" si="180"/>
        <v/>
      </c>
      <c r="G3023" s="405"/>
      <c r="H3023" s="387"/>
      <c r="I3023" s="387" t="str">
        <f ca="1">IFERROR(VLOOKUP(INDIRECT("'WPTM - Section F'!E"&amp;B3023),'Overview - Section A'!M$31:R168,6,0),IFERROR(VLOOKUP(INDIRECT("'WPTM - Section F'!E"&amp;B3023),'Overview - Section A'!E$27:J157,6,0),""))</f>
        <v/>
      </c>
      <c r="J3023" s="387" t="str">
        <f t="shared" ca="1" si="181"/>
        <v/>
      </c>
      <c r="K3023" s="387"/>
      <c r="L3023" s="387"/>
      <c r="M3023" s="391"/>
      <c r="N3023" s="391"/>
      <c r="O3023" s="387"/>
      <c r="P3023" s="391" t="str">
        <f t="shared" ca="1" si="182"/>
        <v/>
      </c>
      <c r="Q3023" s="391"/>
      <c r="R3023" s="391" t="str">
        <f t="shared" ca="1" si="183"/>
        <v/>
      </c>
      <c r="S3023" s="391"/>
      <c r="T3023" s="392"/>
      <c r="U3023" s="387" t="str">
        <f t="shared" ca="1" si="184"/>
        <v/>
      </c>
      <c r="V3023" s="387" t="str">
        <f t="shared" ca="1" si="185"/>
        <v>a1MDm000000Xod6MAC</v>
      </c>
      <c r="W3023" s="387" t="str">
        <f ca="1">IFERROR(VLOOKUP(INDIRECT("'WPTM - Section F'!E"&amp;B3023),'Overview - Section A'!M$31:R168,4,0),IFERROR(VLOOKUP(INDIRECT("'WPTM - Section F'!E"&amp;B3023),'Overview - Section A'!E$27:J157,5,0),""))</f>
        <v/>
      </c>
    </row>
    <row r="3024" spans="1:23">
      <c r="A3024" s="387" t="b">
        <f t="shared" ca="1" si="178"/>
        <v>0</v>
      </c>
      <c r="B3024" s="387">
        <f t="shared" ca="1" si="177"/>
        <v>56</v>
      </c>
      <c r="C3024" s="404" t="str">
        <f ca="1">IF(COUNTA($G$2894:G3023)=1,"",OFFSET(B3024,-COUNTA($G$2894:G3023)+1,1))</f>
        <v>a1NDm000000H17QMAS</v>
      </c>
      <c r="D3024" s="387" t="str">
        <f t="shared" ca="1" si="179"/>
        <v>INT-350981</v>
      </c>
      <c r="E3024" s="391"/>
      <c r="F3024" s="391" t="str">
        <f t="shared" ca="1" si="180"/>
        <v/>
      </c>
      <c r="G3024" s="405"/>
      <c r="H3024" s="387"/>
      <c r="I3024" s="387" t="str">
        <f ca="1">IFERROR(VLOOKUP(INDIRECT("'WPTM - Section F'!E"&amp;B3024),'Overview - Section A'!M$31:R169,6,0),IFERROR(VLOOKUP(INDIRECT("'WPTM - Section F'!E"&amp;B3024),'Overview - Section A'!E$27:J158,6,0),""))</f>
        <v/>
      </c>
      <c r="J3024" s="387" t="str">
        <f t="shared" ca="1" si="181"/>
        <v/>
      </c>
      <c r="K3024" s="387"/>
      <c r="L3024" s="387"/>
      <c r="M3024" s="391"/>
      <c r="N3024" s="391"/>
      <c r="O3024" s="387"/>
      <c r="P3024" s="391" t="str">
        <f t="shared" ca="1" si="182"/>
        <v/>
      </c>
      <c r="Q3024" s="391"/>
      <c r="R3024" s="391" t="str">
        <f t="shared" ca="1" si="183"/>
        <v/>
      </c>
      <c r="S3024" s="391"/>
      <c r="T3024" s="392"/>
      <c r="U3024" s="387" t="str">
        <f t="shared" ca="1" si="184"/>
        <v/>
      </c>
      <c r="V3024" s="387" t="str">
        <f t="shared" ca="1" si="185"/>
        <v>a1MDm000000Xod6MAC</v>
      </c>
      <c r="W3024" s="387" t="str">
        <f ca="1">IFERROR(VLOOKUP(INDIRECT("'WPTM - Section F'!E"&amp;B3024),'Overview - Section A'!M$31:R169,4,0),IFERROR(VLOOKUP(INDIRECT("'WPTM - Section F'!E"&amp;B3024),'Overview - Section A'!E$27:J158,5,0),""))</f>
        <v/>
      </c>
    </row>
    <row r="3025" spans="1:23">
      <c r="A3025" s="387" t="b">
        <f t="shared" ca="1" si="178"/>
        <v>0</v>
      </c>
      <c r="B3025" s="387">
        <f t="shared" ref="B3025:B3056" ca="1" si="186">IF(_xlfn.ISFORMULA(J3025),B3024+1,B3024)</f>
        <v>57</v>
      </c>
      <c r="C3025" s="404" t="str">
        <f ca="1">IF(COUNTA($G$2894:G3024)=1,"",OFFSET(B3025,-COUNTA($G$2894:G3024)+1,1))</f>
        <v>a1NDm000000H17RMAS</v>
      </c>
      <c r="D3025" s="387" t="str">
        <f t="shared" ca="1" si="179"/>
        <v>INT-350981</v>
      </c>
      <c r="E3025" s="391"/>
      <c r="F3025" s="391" t="str">
        <f t="shared" ca="1" si="180"/>
        <v/>
      </c>
      <c r="G3025" s="405"/>
      <c r="H3025" s="387"/>
      <c r="I3025" s="387" t="str">
        <f ca="1">IFERROR(VLOOKUP(INDIRECT("'WPTM - Section F'!E"&amp;B3025),'Overview - Section A'!M$31:R170,6,0),IFERROR(VLOOKUP(INDIRECT("'WPTM - Section F'!E"&amp;B3025),'Overview - Section A'!E$27:J159,6,0),""))</f>
        <v/>
      </c>
      <c r="J3025" s="387" t="str">
        <f t="shared" ca="1" si="181"/>
        <v/>
      </c>
      <c r="K3025" s="387"/>
      <c r="L3025" s="387"/>
      <c r="M3025" s="391"/>
      <c r="N3025" s="391"/>
      <c r="O3025" s="387"/>
      <c r="P3025" s="391" t="str">
        <f t="shared" ca="1" si="182"/>
        <v/>
      </c>
      <c r="Q3025" s="391"/>
      <c r="R3025" s="391" t="str">
        <f t="shared" ca="1" si="183"/>
        <v/>
      </c>
      <c r="S3025" s="391"/>
      <c r="T3025" s="392"/>
      <c r="U3025" s="387" t="str">
        <f t="shared" ca="1" si="184"/>
        <v/>
      </c>
      <c r="V3025" s="387" t="str">
        <f t="shared" ca="1" si="185"/>
        <v>a1MDm000000Xod6MAC</v>
      </c>
      <c r="W3025" s="387" t="str">
        <f ca="1">IFERROR(VLOOKUP(INDIRECT("'WPTM - Section F'!E"&amp;B3025),'Overview - Section A'!M$31:R170,4,0),IFERROR(VLOOKUP(INDIRECT("'WPTM - Section F'!E"&amp;B3025),'Overview - Section A'!E$27:J159,5,0),""))</f>
        <v/>
      </c>
    </row>
    <row r="3026" spans="1:23">
      <c r="A3026" s="387" t="b">
        <f t="shared" ca="1" si="178"/>
        <v>0</v>
      </c>
      <c r="B3026" s="387">
        <f t="shared" ca="1" si="186"/>
        <v>58</v>
      </c>
      <c r="C3026" s="404" t="str">
        <f ca="1">IF(COUNTA($G$2894:G3025)=1,"",OFFSET(B3026,-COUNTA($G$2894:G3025)+1,1))</f>
        <v>a1NDm000000H17SMAS</v>
      </c>
      <c r="D3026" s="387" t="str">
        <f t="shared" ca="1" si="179"/>
        <v>INT-350981</v>
      </c>
      <c r="E3026" s="391"/>
      <c r="F3026" s="391" t="str">
        <f t="shared" ca="1" si="180"/>
        <v/>
      </c>
      <c r="G3026" s="405"/>
      <c r="H3026" s="387"/>
      <c r="I3026" s="387" t="str">
        <f ca="1">IFERROR(VLOOKUP(INDIRECT("'WPTM - Section F'!E"&amp;B3026),'Overview - Section A'!M$31:R171,6,0),IFERROR(VLOOKUP(INDIRECT("'WPTM - Section F'!E"&amp;B3026),'Overview - Section A'!E$27:J160,6,0),""))</f>
        <v/>
      </c>
      <c r="J3026" s="387" t="str">
        <f t="shared" ca="1" si="181"/>
        <v/>
      </c>
      <c r="K3026" s="387"/>
      <c r="L3026" s="387"/>
      <c r="M3026" s="391"/>
      <c r="N3026" s="391"/>
      <c r="O3026" s="387"/>
      <c r="P3026" s="391" t="str">
        <f t="shared" ca="1" si="182"/>
        <v/>
      </c>
      <c r="Q3026" s="391"/>
      <c r="R3026" s="391" t="str">
        <f t="shared" ca="1" si="183"/>
        <v/>
      </c>
      <c r="S3026" s="391"/>
      <c r="T3026" s="392"/>
      <c r="U3026" s="387" t="str">
        <f t="shared" ca="1" si="184"/>
        <v/>
      </c>
      <c r="V3026" s="387" t="str">
        <f t="shared" ca="1" si="185"/>
        <v>a1MDm000000Xod6MAC</v>
      </c>
      <c r="W3026" s="387" t="str">
        <f ca="1">IFERROR(VLOOKUP(INDIRECT("'WPTM - Section F'!E"&amp;B3026),'Overview - Section A'!M$31:R171,4,0),IFERROR(VLOOKUP(INDIRECT("'WPTM - Section F'!E"&amp;B3026),'Overview - Section A'!E$27:J160,5,0),""))</f>
        <v/>
      </c>
    </row>
    <row r="3027" spans="1:23">
      <c r="A3027" s="387" t="b">
        <f t="shared" ca="1" si="178"/>
        <v>0</v>
      </c>
      <c r="B3027" s="387">
        <f t="shared" ca="1" si="186"/>
        <v>59</v>
      </c>
      <c r="C3027" s="404" t="str">
        <f ca="1">IF(COUNTA($G$2894:G3026)=1,"",OFFSET(B3027,-COUNTA($G$2894:G3026)+1,1))</f>
        <v>a1NDm000000H17TMAS</v>
      </c>
      <c r="D3027" s="387" t="str">
        <f t="shared" ca="1" si="179"/>
        <v>INT-350981</v>
      </c>
      <c r="E3027" s="391"/>
      <c r="F3027" s="391" t="str">
        <f t="shared" ca="1" si="180"/>
        <v/>
      </c>
      <c r="G3027" s="405"/>
      <c r="H3027" s="387"/>
      <c r="I3027" s="387" t="str">
        <f ca="1">IFERROR(VLOOKUP(INDIRECT("'WPTM - Section F'!E"&amp;B3027),'Overview - Section A'!M$31:R172,6,0),IFERROR(VLOOKUP(INDIRECT("'WPTM - Section F'!E"&amp;B3027),'Overview - Section A'!E$27:J161,6,0),""))</f>
        <v/>
      </c>
      <c r="J3027" s="387" t="str">
        <f t="shared" ca="1" si="181"/>
        <v/>
      </c>
      <c r="K3027" s="387"/>
      <c r="L3027" s="387"/>
      <c r="M3027" s="391"/>
      <c r="N3027" s="391"/>
      <c r="O3027" s="387"/>
      <c r="P3027" s="391" t="str">
        <f t="shared" ca="1" si="182"/>
        <v/>
      </c>
      <c r="Q3027" s="391"/>
      <c r="R3027" s="391" t="str">
        <f t="shared" ca="1" si="183"/>
        <v/>
      </c>
      <c r="S3027" s="391"/>
      <c r="T3027" s="392"/>
      <c r="U3027" s="387" t="str">
        <f t="shared" ca="1" si="184"/>
        <v/>
      </c>
      <c r="V3027" s="387" t="str">
        <f t="shared" ca="1" si="185"/>
        <v>a1MDm000000Xod6MAC</v>
      </c>
      <c r="W3027" s="387" t="str">
        <f ca="1">IFERROR(VLOOKUP(INDIRECT("'WPTM - Section F'!E"&amp;B3027),'Overview - Section A'!M$31:R172,4,0),IFERROR(VLOOKUP(INDIRECT("'WPTM - Section F'!E"&amp;B3027),'Overview - Section A'!E$27:J161,5,0),""))</f>
        <v/>
      </c>
    </row>
    <row r="3028" spans="1:23">
      <c r="A3028" s="387" t="b">
        <f t="shared" ca="1" si="178"/>
        <v>0</v>
      </c>
      <c r="B3028" s="387">
        <f t="shared" ca="1" si="186"/>
        <v>60</v>
      </c>
      <c r="C3028" s="404" t="str">
        <f ca="1">IF(COUNTA($G$2894:G3027)=1,"",OFFSET(B3028,-COUNTA($G$2894:G3027)+1,1))</f>
        <v>a1NDm000000H17UMAS</v>
      </c>
      <c r="D3028" s="387" t="str">
        <f t="shared" ca="1" si="179"/>
        <v>INT-350981</v>
      </c>
      <c r="E3028" s="391"/>
      <c r="F3028" s="391" t="str">
        <f t="shared" ca="1" si="180"/>
        <v/>
      </c>
      <c r="G3028" s="405"/>
      <c r="H3028" s="387"/>
      <c r="I3028" s="387" t="str">
        <f ca="1">IFERROR(VLOOKUP(INDIRECT("'WPTM - Section F'!E"&amp;B3028),'Overview - Section A'!M$31:R173,6,0),IFERROR(VLOOKUP(INDIRECT("'WPTM - Section F'!E"&amp;B3028),'Overview - Section A'!E$27:J162,6,0),""))</f>
        <v/>
      </c>
      <c r="J3028" s="387" t="str">
        <f t="shared" ca="1" si="181"/>
        <v/>
      </c>
      <c r="K3028" s="387"/>
      <c r="L3028" s="387"/>
      <c r="M3028" s="391"/>
      <c r="N3028" s="391"/>
      <c r="O3028" s="387"/>
      <c r="P3028" s="391" t="str">
        <f t="shared" ca="1" si="182"/>
        <v/>
      </c>
      <c r="Q3028" s="391"/>
      <c r="R3028" s="391" t="str">
        <f t="shared" ca="1" si="183"/>
        <v/>
      </c>
      <c r="S3028" s="391"/>
      <c r="T3028" s="392"/>
      <c r="U3028" s="387" t="str">
        <f t="shared" ca="1" si="184"/>
        <v/>
      </c>
      <c r="V3028" s="387" t="str">
        <f t="shared" ca="1" si="185"/>
        <v>a1MDm000000Xod6MAC</v>
      </c>
      <c r="W3028" s="387" t="str">
        <f ca="1">IFERROR(VLOOKUP(INDIRECT("'WPTM - Section F'!E"&amp;B3028),'Overview - Section A'!M$31:R173,4,0),IFERROR(VLOOKUP(INDIRECT("'WPTM - Section F'!E"&amp;B3028),'Overview - Section A'!E$27:J162,5,0),""))</f>
        <v/>
      </c>
    </row>
    <row r="3029" spans="1:23">
      <c r="A3029" s="387" t="b">
        <f t="shared" ca="1" si="178"/>
        <v>0</v>
      </c>
      <c r="B3029" s="387">
        <f t="shared" ca="1" si="186"/>
        <v>61</v>
      </c>
      <c r="C3029" s="404" t="str">
        <f ca="1">IF(COUNTA($G$2894:G3028)=1,"",OFFSET(B3029,-COUNTA($G$2894:G3028)+1,1))</f>
        <v>a1NDm000000H17VMAS</v>
      </c>
      <c r="D3029" s="387" t="str">
        <f t="shared" ca="1" si="179"/>
        <v>INT-350981</v>
      </c>
      <c r="E3029" s="391"/>
      <c r="F3029" s="391" t="str">
        <f t="shared" ca="1" si="180"/>
        <v/>
      </c>
      <c r="G3029" s="405"/>
      <c r="H3029" s="387"/>
      <c r="I3029" s="387" t="str">
        <f ca="1">IFERROR(VLOOKUP(INDIRECT("'WPTM - Section F'!E"&amp;B3029),'Overview - Section A'!M$31:R174,6,0),IFERROR(VLOOKUP(INDIRECT("'WPTM - Section F'!E"&amp;B3029),'Overview - Section A'!E$27:J163,6,0),""))</f>
        <v/>
      </c>
      <c r="J3029" s="387" t="str">
        <f t="shared" ca="1" si="181"/>
        <v/>
      </c>
      <c r="K3029" s="387"/>
      <c r="L3029" s="387"/>
      <c r="M3029" s="391"/>
      <c r="N3029" s="391"/>
      <c r="O3029" s="387"/>
      <c r="P3029" s="391" t="str">
        <f t="shared" ca="1" si="182"/>
        <v/>
      </c>
      <c r="Q3029" s="391"/>
      <c r="R3029" s="391" t="str">
        <f t="shared" ca="1" si="183"/>
        <v/>
      </c>
      <c r="S3029" s="391"/>
      <c r="T3029" s="392"/>
      <c r="U3029" s="387" t="str">
        <f t="shared" ca="1" si="184"/>
        <v/>
      </c>
      <c r="V3029" s="387" t="str">
        <f t="shared" ca="1" si="185"/>
        <v>a1MDm000000Xod6MAC</v>
      </c>
      <c r="W3029" s="387" t="str">
        <f ca="1">IFERROR(VLOOKUP(INDIRECT("'WPTM - Section F'!E"&amp;B3029),'Overview - Section A'!M$31:R174,4,0),IFERROR(VLOOKUP(INDIRECT("'WPTM - Section F'!E"&amp;B3029),'Overview - Section A'!E$27:J163,5,0),""))</f>
        <v/>
      </c>
    </row>
    <row r="3030" spans="1:23">
      <c r="A3030" s="387" t="b">
        <f t="shared" ca="1" si="178"/>
        <v>0</v>
      </c>
      <c r="B3030" s="387">
        <f t="shared" ca="1" si="186"/>
        <v>62</v>
      </c>
      <c r="C3030" s="404" t="str">
        <f ca="1">IF(COUNTA($G$2894:G3029)=1,"",OFFSET(B3030,-COUNTA($G$2894:G3029)+1,1))</f>
        <v>a1NDm000000H17WMAS</v>
      </c>
      <c r="D3030" s="387" t="str">
        <f t="shared" ca="1" si="179"/>
        <v>INT-350981</v>
      </c>
      <c r="E3030" s="391"/>
      <c r="F3030" s="391" t="str">
        <f t="shared" ca="1" si="180"/>
        <v/>
      </c>
      <c r="G3030" s="405"/>
      <c r="H3030" s="387"/>
      <c r="I3030" s="387" t="str">
        <f ca="1">IFERROR(VLOOKUP(INDIRECT("'WPTM - Section F'!E"&amp;B3030),'Overview - Section A'!M$31:R175,6,0),IFERROR(VLOOKUP(INDIRECT("'WPTM - Section F'!E"&amp;B3030),'Overview - Section A'!E$27:J164,6,0),""))</f>
        <v/>
      </c>
      <c r="J3030" s="387" t="str">
        <f t="shared" ca="1" si="181"/>
        <v/>
      </c>
      <c r="K3030" s="387"/>
      <c r="L3030" s="387"/>
      <c r="M3030" s="391"/>
      <c r="N3030" s="391"/>
      <c r="O3030" s="387"/>
      <c r="P3030" s="391" t="str">
        <f t="shared" ca="1" si="182"/>
        <v/>
      </c>
      <c r="Q3030" s="391"/>
      <c r="R3030" s="391" t="str">
        <f t="shared" ca="1" si="183"/>
        <v/>
      </c>
      <c r="S3030" s="391"/>
      <c r="T3030" s="392"/>
      <c r="U3030" s="387" t="str">
        <f t="shared" ca="1" si="184"/>
        <v/>
      </c>
      <c r="V3030" s="387" t="str">
        <f t="shared" ca="1" si="185"/>
        <v>a1MDm000000Xod6MAC</v>
      </c>
      <c r="W3030" s="387" t="str">
        <f ca="1">IFERROR(VLOOKUP(INDIRECT("'WPTM - Section F'!E"&amp;B3030),'Overview - Section A'!M$31:R175,4,0),IFERROR(VLOOKUP(INDIRECT("'WPTM - Section F'!E"&amp;B3030),'Overview - Section A'!E$27:J164,5,0),""))</f>
        <v/>
      </c>
    </row>
    <row r="3031" spans="1:23">
      <c r="A3031" s="387" t="b">
        <f t="shared" ca="1" si="178"/>
        <v>0</v>
      </c>
      <c r="B3031" s="387">
        <f t="shared" ca="1" si="186"/>
        <v>63</v>
      </c>
      <c r="C3031" s="404" t="str">
        <f ca="1">IF(COUNTA($G$2894:G3030)=1,"",OFFSET(B3031,-COUNTA($G$2894:G3030)+1,1))</f>
        <v>a1NDm000000H17XMAS</v>
      </c>
      <c r="D3031" s="387" t="str">
        <f t="shared" ca="1" si="179"/>
        <v>INT-350981</v>
      </c>
      <c r="E3031" s="391"/>
      <c r="F3031" s="391" t="str">
        <f t="shared" ca="1" si="180"/>
        <v/>
      </c>
      <c r="G3031" s="405"/>
      <c r="H3031" s="387"/>
      <c r="I3031" s="387" t="str">
        <f ca="1">IFERROR(VLOOKUP(INDIRECT("'WPTM - Section F'!E"&amp;B3031),'Overview - Section A'!M$31:R176,6,0),IFERROR(VLOOKUP(INDIRECT("'WPTM - Section F'!E"&amp;B3031),'Overview - Section A'!E$27:J165,6,0),""))</f>
        <v/>
      </c>
      <c r="J3031" s="387" t="str">
        <f t="shared" ca="1" si="181"/>
        <v/>
      </c>
      <c r="K3031" s="387"/>
      <c r="L3031" s="387"/>
      <c r="M3031" s="391"/>
      <c r="N3031" s="391"/>
      <c r="O3031" s="387"/>
      <c r="P3031" s="391" t="str">
        <f t="shared" ca="1" si="182"/>
        <v/>
      </c>
      <c r="Q3031" s="391"/>
      <c r="R3031" s="391" t="str">
        <f t="shared" ca="1" si="183"/>
        <v/>
      </c>
      <c r="S3031" s="391"/>
      <c r="T3031" s="392"/>
      <c r="U3031" s="387" t="str">
        <f t="shared" ca="1" si="184"/>
        <v/>
      </c>
      <c r="V3031" s="387" t="str">
        <f t="shared" ca="1" si="185"/>
        <v>a1MDm000000Xod6MAC</v>
      </c>
      <c r="W3031" s="387" t="str">
        <f ca="1">IFERROR(VLOOKUP(INDIRECT("'WPTM - Section F'!E"&amp;B3031),'Overview - Section A'!M$31:R176,4,0),IFERROR(VLOOKUP(INDIRECT("'WPTM - Section F'!E"&amp;B3031),'Overview - Section A'!E$27:J165,5,0),""))</f>
        <v/>
      </c>
    </row>
    <row r="3032" spans="1:23">
      <c r="A3032" s="387" t="b">
        <f t="shared" ca="1" si="178"/>
        <v>0</v>
      </c>
      <c r="B3032" s="387">
        <f t="shared" ca="1" si="186"/>
        <v>64</v>
      </c>
      <c r="C3032" s="404" t="str">
        <f ca="1">IF(COUNTA($G$2894:G3031)=1,"",OFFSET(B3032,-COUNTA($G$2894:G3031)+1,1))</f>
        <v>a1NDm000000H17YMAS</v>
      </c>
      <c r="D3032" s="387" t="str">
        <f t="shared" ca="1" si="179"/>
        <v>INT-350981</v>
      </c>
      <c r="E3032" s="391"/>
      <c r="F3032" s="391" t="str">
        <f t="shared" ca="1" si="180"/>
        <v/>
      </c>
      <c r="G3032" s="405"/>
      <c r="H3032" s="387"/>
      <c r="I3032" s="387" t="str">
        <f ca="1">IFERROR(VLOOKUP(INDIRECT("'WPTM - Section F'!E"&amp;B3032),'Overview - Section A'!M$31:R177,6,0),IFERROR(VLOOKUP(INDIRECT("'WPTM - Section F'!E"&amp;B3032),'Overview - Section A'!E$27:J166,6,0),""))</f>
        <v/>
      </c>
      <c r="J3032" s="387" t="str">
        <f t="shared" ca="1" si="181"/>
        <v/>
      </c>
      <c r="K3032" s="387"/>
      <c r="L3032" s="387"/>
      <c r="M3032" s="391"/>
      <c r="N3032" s="391"/>
      <c r="O3032" s="387"/>
      <c r="P3032" s="391" t="str">
        <f t="shared" ca="1" si="182"/>
        <v/>
      </c>
      <c r="Q3032" s="391"/>
      <c r="R3032" s="391" t="str">
        <f t="shared" ca="1" si="183"/>
        <v/>
      </c>
      <c r="S3032" s="391"/>
      <c r="T3032" s="392"/>
      <c r="U3032" s="387" t="str">
        <f t="shared" ca="1" si="184"/>
        <v/>
      </c>
      <c r="V3032" s="387" t="str">
        <f t="shared" ca="1" si="185"/>
        <v>a1MDm000000Xod6MAC</v>
      </c>
      <c r="W3032" s="387" t="str">
        <f ca="1">IFERROR(VLOOKUP(INDIRECT("'WPTM - Section F'!E"&amp;B3032),'Overview - Section A'!M$31:R177,4,0),IFERROR(VLOOKUP(INDIRECT("'WPTM - Section F'!E"&amp;B3032),'Overview - Section A'!E$27:J166,5,0),""))</f>
        <v/>
      </c>
    </row>
    <row r="3033" spans="1:23">
      <c r="A3033" s="387" t="b">
        <f t="shared" ca="1" si="178"/>
        <v>0</v>
      </c>
      <c r="B3033" s="387">
        <f t="shared" ca="1" si="186"/>
        <v>65</v>
      </c>
      <c r="C3033" s="404" t="str">
        <f ca="1">IF(COUNTA($G$2894:G3032)=1,"",OFFSET(B3033,-COUNTA($G$2894:G3032)+1,1))</f>
        <v>a1NDm000000H17ZMAS</v>
      </c>
      <c r="D3033" s="387" t="str">
        <f t="shared" ca="1" si="179"/>
        <v>INT-350981</v>
      </c>
      <c r="E3033" s="391"/>
      <c r="F3033" s="391" t="str">
        <f t="shared" ca="1" si="180"/>
        <v/>
      </c>
      <c r="G3033" s="405"/>
      <c r="H3033" s="387"/>
      <c r="I3033" s="387" t="str">
        <f ca="1">IFERROR(VLOOKUP(INDIRECT("'WPTM - Section F'!E"&amp;B3033),'Overview - Section A'!M$31:R178,6,0),IFERROR(VLOOKUP(INDIRECT("'WPTM - Section F'!E"&amp;B3033),'Overview - Section A'!E$27:J167,6,0),""))</f>
        <v/>
      </c>
      <c r="J3033" s="387" t="str">
        <f t="shared" ca="1" si="181"/>
        <v/>
      </c>
      <c r="K3033" s="387"/>
      <c r="L3033" s="387"/>
      <c r="M3033" s="391"/>
      <c r="N3033" s="391"/>
      <c r="O3033" s="387"/>
      <c r="P3033" s="391" t="str">
        <f t="shared" ca="1" si="182"/>
        <v/>
      </c>
      <c r="Q3033" s="391"/>
      <c r="R3033" s="391" t="str">
        <f t="shared" ca="1" si="183"/>
        <v/>
      </c>
      <c r="S3033" s="391"/>
      <c r="T3033" s="392"/>
      <c r="U3033" s="387" t="str">
        <f t="shared" ca="1" si="184"/>
        <v/>
      </c>
      <c r="V3033" s="387" t="str">
        <f t="shared" ca="1" si="185"/>
        <v>a1MDm000000Xod6MAC</v>
      </c>
      <c r="W3033" s="387" t="str">
        <f ca="1">IFERROR(VLOOKUP(INDIRECT("'WPTM - Section F'!E"&amp;B3033),'Overview - Section A'!M$31:R178,4,0),IFERROR(VLOOKUP(INDIRECT("'WPTM - Section F'!E"&amp;B3033),'Overview - Section A'!E$27:J167,5,0),""))</f>
        <v/>
      </c>
    </row>
    <row r="3034" spans="1:23">
      <c r="A3034" s="387" t="b">
        <f t="shared" ca="1" si="178"/>
        <v>0</v>
      </c>
      <c r="B3034" s="387">
        <f t="shared" ca="1" si="186"/>
        <v>66</v>
      </c>
      <c r="C3034" s="404" t="str">
        <f ca="1">IF(COUNTA($G$2894:G3033)=1,"",OFFSET(B3034,-COUNTA($G$2894:G3033)+1,1))</f>
        <v>a1NDm000000H17aMAC</v>
      </c>
      <c r="D3034" s="387" t="str">
        <f t="shared" ca="1" si="179"/>
        <v>INT-350981</v>
      </c>
      <c r="E3034" s="391"/>
      <c r="F3034" s="391" t="str">
        <f t="shared" ca="1" si="180"/>
        <v/>
      </c>
      <c r="G3034" s="405"/>
      <c r="H3034" s="387"/>
      <c r="I3034" s="387" t="str">
        <f ca="1">IFERROR(VLOOKUP(INDIRECT("'WPTM - Section F'!E"&amp;B3034),'Overview - Section A'!M$31:R179,6,0),IFERROR(VLOOKUP(INDIRECT("'WPTM - Section F'!E"&amp;B3034),'Overview - Section A'!E$27:J168,6,0),""))</f>
        <v/>
      </c>
      <c r="J3034" s="387" t="str">
        <f t="shared" ca="1" si="181"/>
        <v/>
      </c>
      <c r="K3034" s="387"/>
      <c r="L3034" s="387"/>
      <c r="M3034" s="391"/>
      <c r="N3034" s="391"/>
      <c r="O3034" s="387"/>
      <c r="P3034" s="391" t="str">
        <f t="shared" ca="1" si="182"/>
        <v/>
      </c>
      <c r="Q3034" s="391"/>
      <c r="R3034" s="391" t="str">
        <f t="shared" ca="1" si="183"/>
        <v/>
      </c>
      <c r="S3034" s="391"/>
      <c r="T3034" s="392"/>
      <c r="U3034" s="387" t="str">
        <f t="shared" ca="1" si="184"/>
        <v/>
      </c>
      <c r="V3034" s="387" t="str">
        <f t="shared" ca="1" si="185"/>
        <v>a1MDm000000Xod6MAC</v>
      </c>
      <c r="W3034" s="387" t="str">
        <f ca="1">IFERROR(VLOOKUP(INDIRECT("'WPTM - Section F'!E"&amp;B3034),'Overview - Section A'!M$31:R179,4,0),IFERROR(VLOOKUP(INDIRECT("'WPTM - Section F'!E"&amp;B3034),'Overview - Section A'!E$27:J168,5,0),""))</f>
        <v/>
      </c>
    </row>
    <row r="3035" spans="1:23">
      <c r="A3035" s="387" t="b">
        <f t="shared" ca="1" si="178"/>
        <v>0</v>
      </c>
      <c r="B3035" s="387">
        <f t="shared" ca="1" si="186"/>
        <v>67</v>
      </c>
      <c r="C3035" s="404" t="str">
        <f ca="1">IF(COUNTA($G$2894:G3034)=1,"",OFFSET(B3035,-COUNTA($G$2894:G3034)+1,1))</f>
        <v>a1NDm000000H17bMAC</v>
      </c>
      <c r="D3035" s="387" t="str">
        <f t="shared" ca="1" si="179"/>
        <v>INT-350981</v>
      </c>
      <c r="E3035" s="391"/>
      <c r="F3035" s="391" t="str">
        <f t="shared" ca="1" si="180"/>
        <v/>
      </c>
      <c r="G3035" s="405"/>
      <c r="H3035" s="387"/>
      <c r="I3035" s="387" t="str">
        <f ca="1">IFERROR(VLOOKUP(INDIRECT("'WPTM - Section F'!E"&amp;B3035),'Overview - Section A'!M$31:R180,6,0),IFERROR(VLOOKUP(INDIRECT("'WPTM - Section F'!E"&amp;B3035),'Overview - Section A'!E$27:J169,6,0),""))</f>
        <v/>
      </c>
      <c r="J3035" s="387" t="str">
        <f t="shared" ca="1" si="181"/>
        <v/>
      </c>
      <c r="K3035" s="387"/>
      <c r="L3035" s="387"/>
      <c r="M3035" s="391"/>
      <c r="N3035" s="391"/>
      <c r="O3035" s="387"/>
      <c r="P3035" s="391" t="str">
        <f t="shared" ca="1" si="182"/>
        <v/>
      </c>
      <c r="Q3035" s="391"/>
      <c r="R3035" s="391" t="str">
        <f t="shared" ca="1" si="183"/>
        <v/>
      </c>
      <c r="S3035" s="391"/>
      <c r="T3035" s="392"/>
      <c r="U3035" s="387" t="str">
        <f t="shared" ca="1" si="184"/>
        <v/>
      </c>
      <c r="V3035" s="387" t="str">
        <f t="shared" ca="1" si="185"/>
        <v>a1MDm000000Xod6MAC</v>
      </c>
      <c r="W3035" s="387" t="str">
        <f ca="1">IFERROR(VLOOKUP(INDIRECT("'WPTM - Section F'!E"&amp;B3035),'Overview - Section A'!M$31:R180,4,0),IFERROR(VLOOKUP(INDIRECT("'WPTM - Section F'!E"&amp;B3035),'Overview - Section A'!E$27:J169,5,0),""))</f>
        <v/>
      </c>
    </row>
    <row r="3036" spans="1:23">
      <c r="A3036" s="387" t="b">
        <f t="shared" ca="1" si="178"/>
        <v>0</v>
      </c>
      <c r="B3036" s="387">
        <f t="shared" ca="1" si="186"/>
        <v>68</v>
      </c>
      <c r="C3036" s="404" t="str">
        <f ca="1">IF(COUNTA($G$2894:G3035)=1,"",OFFSET(B3036,-COUNTA($G$2894:G3035)+1,1))</f>
        <v>a1NDm000000H17cMAC</v>
      </c>
      <c r="D3036" s="387" t="str">
        <f t="shared" ca="1" si="179"/>
        <v>INT-350981</v>
      </c>
      <c r="E3036" s="391"/>
      <c r="F3036" s="391" t="str">
        <f t="shared" ca="1" si="180"/>
        <v/>
      </c>
      <c r="G3036" s="405"/>
      <c r="H3036" s="387"/>
      <c r="I3036" s="387" t="str">
        <f ca="1">IFERROR(VLOOKUP(INDIRECT("'WPTM - Section F'!E"&amp;B3036),'Overview - Section A'!M$31:R181,6,0),IFERROR(VLOOKUP(INDIRECT("'WPTM - Section F'!E"&amp;B3036),'Overview - Section A'!E$27:J170,6,0),""))</f>
        <v/>
      </c>
      <c r="J3036" s="387" t="str">
        <f t="shared" ca="1" si="181"/>
        <v/>
      </c>
      <c r="K3036" s="387"/>
      <c r="L3036" s="387"/>
      <c r="M3036" s="391"/>
      <c r="N3036" s="391"/>
      <c r="O3036" s="387"/>
      <c r="P3036" s="391" t="str">
        <f t="shared" ca="1" si="182"/>
        <v/>
      </c>
      <c r="Q3036" s="391"/>
      <c r="R3036" s="391" t="str">
        <f t="shared" ca="1" si="183"/>
        <v/>
      </c>
      <c r="S3036" s="391"/>
      <c r="T3036" s="392"/>
      <c r="U3036" s="387" t="str">
        <f t="shared" ca="1" si="184"/>
        <v/>
      </c>
      <c r="V3036" s="387" t="str">
        <f t="shared" ca="1" si="185"/>
        <v>a1MDm000000Xod6MAC</v>
      </c>
      <c r="W3036" s="387" t="str">
        <f ca="1">IFERROR(VLOOKUP(INDIRECT("'WPTM - Section F'!E"&amp;B3036),'Overview - Section A'!M$31:R181,4,0),IFERROR(VLOOKUP(INDIRECT("'WPTM - Section F'!E"&amp;B3036),'Overview - Section A'!E$27:J170,5,0),""))</f>
        <v/>
      </c>
    </row>
    <row r="3037" spans="1:23">
      <c r="A3037" s="387" t="b">
        <f t="shared" ca="1" si="178"/>
        <v>0</v>
      </c>
      <c r="B3037" s="387">
        <f t="shared" ca="1" si="186"/>
        <v>69</v>
      </c>
      <c r="C3037" s="404" t="str">
        <f ca="1">IF(COUNTA($G$2894:G3036)=1,"",OFFSET(B3037,-COUNTA($G$2894:G3036)+1,1))</f>
        <v>a1NDm000000H17dMAC</v>
      </c>
      <c r="D3037" s="387" t="str">
        <f t="shared" ca="1" si="179"/>
        <v>INT-350981</v>
      </c>
      <c r="E3037" s="391"/>
      <c r="F3037" s="391" t="str">
        <f t="shared" ca="1" si="180"/>
        <v/>
      </c>
      <c r="G3037" s="405"/>
      <c r="H3037" s="387"/>
      <c r="I3037" s="387" t="str">
        <f ca="1">IFERROR(VLOOKUP(INDIRECT("'WPTM - Section F'!E"&amp;B3037),'Overview - Section A'!M$31:R182,6,0),IFERROR(VLOOKUP(INDIRECT("'WPTM - Section F'!E"&amp;B3037),'Overview - Section A'!E$27:J171,6,0),""))</f>
        <v/>
      </c>
      <c r="J3037" s="387" t="str">
        <f t="shared" ca="1" si="181"/>
        <v/>
      </c>
      <c r="K3037" s="387"/>
      <c r="L3037" s="387"/>
      <c r="M3037" s="391"/>
      <c r="N3037" s="391"/>
      <c r="O3037" s="387"/>
      <c r="P3037" s="391" t="str">
        <f t="shared" ca="1" si="182"/>
        <v/>
      </c>
      <c r="Q3037" s="391"/>
      <c r="R3037" s="391" t="str">
        <f t="shared" ca="1" si="183"/>
        <v/>
      </c>
      <c r="S3037" s="391"/>
      <c r="T3037" s="392"/>
      <c r="U3037" s="387" t="str">
        <f t="shared" ca="1" si="184"/>
        <v/>
      </c>
      <c r="V3037" s="387" t="str">
        <f t="shared" ca="1" si="185"/>
        <v>a1MDm000000Xod6MAC</v>
      </c>
      <c r="W3037" s="387" t="str">
        <f ca="1">IFERROR(VLOOKUP(INDIRECT("'WPTM - Section F'!E"&amp;B3037),'Overview - Section A'!M$31:R182,4,0),IFERROR(VLOOKUP(INDIRECT("'WPTM - Section F'!E"&amp;B3037),'Overview - Section A'!E$27:J171,5,0),""))</f>
        <v/>
      </c>
    </row>
    <row r="3038" spans="1:23">
      <c r="A3038" s="387" t="b">
        <f t="shared" ca="1" si="178"/>
        <v>0</v>
      </c>
      <c r="B3038" s="387">
        <f t="shared" ca="1" si="186"/>
        <v>70</v>
      </c>
      <c r="C3038" s="404" t="str">
        <f ca="1">IF(COUNTA($G$2894:G3037)=1,"",OFFSET(B3038,-COUNTA($G$2894:G3037)+1,1))</f>
        <v>a1NDm000000H17eMAC</v>
      </c>
      <c r="D3038" s="387" t="str">
        <f t="shared" ca="1" si="179"/>
        <v>INT-350981</v>
      </c>
      <c r="E3038" s="391"/>
      <c r="F3038" s="391" t="str">
        <f t="shared" ca="1" si="180"/>
        <v/>
      </c>
      <c r="G3038" s="405"/>
      <c r="H3038" s="387"/>
      <c r="I3038" s="387" t="str">
        <f ca="1">IFERROR(VLOOKUP(INDIRECT("'WPTM - Section F'!E"&amp;B3038),'Overview - Section A'!M$31:R183,6,0),IFERROR(VLOOKUP(INDIRECT("'WPTM - Section F'!E"&amp;B3038),'Overview - Section A'!E$27:J172,6,0),""))</f>
        <v/>
      </c>
      <c r="J3038" s="387" t="str">
        <f t="shared" ca="1" si="181"/>
        <v/>
      </c>
      <c r="K3038" s="387"/>
      <c r="L3038" s="387"/>
      <c r="M3038" s="391"/>
      <c r="N3038" s="391"/>
      <c r="O3038" s="387"/>
      <c r="P3038" s="391" t="str">
        <f t="shared" ca="1" si="182"/>
        <v/>
      </c>
      <c r="Q3038" s="391"/>
      <c r="R3038" s="391" t="str">
        <f t="shared" ca="1" si="183"/>
        <v/>
      </c>
      <c r="S3038" s="391"/>
      <c r="T3038" s="392"/>
      <c r="U3038" s="387" t="str">
        <f t="shared" ca="1" si="184"/>
        <v/>
      </c>
      <c r="V3038" s="387" t="str">
        <f t="shared" ca="1" si="185"/>
        <v>a1MDm000000Xod6MAC</v>
      </c>
      <c r="W3038" s="387" t="str">
        <f ca="1">IFERROR(VLOOKUP(INDIRECT("'WPTM - Section F'!E"&amp;B3038),'Overview - Section A'!M$31:R183,4,0),IFERROR(VLOOKUP(INDIRECT("'WPTM - Section F'!E"&amp;B3038),'Overview - Section A'!E$27:J172,5,0),""))</f>
        <v/>
      </c>
    </row>
    <row r="3039" spans="1:23">
      <c r="A3039" s="387" t="b">
        <f t="shared" ca="1" si="178"/>
        <v>0</v>
      </c>
      <c r="B3039" s="387">
        <f t="shared" ca="1" si="186"/>
        <v>71</v>
      </c>
      <c r="C3039" s="404" t="str">
        <f ca="1">IF(COUNTA($G$2894:G3038)=1,"",OFFSET(B3039,-COUNTA($G$2894:G3038)+1,1))</f>
        <v>a1NDm000000H17fMAC</v>
      </c>
      <c r="D3039" s="387" t="str">
        <f t="shared" ca="1" si="179"/>
        <v>INT-350981</v>
      </c>
      <c r="E3039" s="391"/>
      <c r="F3039" s="391" t="str">
        <f t="shared" ca="1" si="180"/>
        <v/>
      </c>
      <c r="G3039" s="405"/>
      <c r="H3039" s="387"/>
      <c r="I3039" s="387" t="str">
        <f ca="1">IFERROR(VLOOKUP(INDIRECT("'WPTM - Section F'!E"&amp;B3039),'Overview - Section A'!M$31:R184,6,0),IFERROR(VLOOKUP(INDIRECT("'WPTM - Section F'!E"&amp;B3039),'Overview - Section A'!E$27:J173,6,0),""))</f>
        <v/>
      </c>
      <c r="J3039" s="387" t="str">
        <f t="shared" ca="1" si="181"/>
        <v/>
      </c>
      <c r="K3039" s="387"/>
      <c r="L3039" s="387"/>
      <c r="M3039" s="391"/>
      <c r="N3039" s="391"/>
      <c r="O3039" s="387"/>
      <c r="P3039" s="391" t="str">
        <f t="shared" ca="1" si="182"/>
        <v/>
      </c>
      <c r="Q3039" s="391"/>
      <c r="R3039" s="391" t="str">
        <f t="shared" ca="1" si="183"/>
        <v/>
      </c>
      <c r="S3039" s="391"/>
      <c r="T3039" s="392"/>
      <c r="U3039" s="387" t="str">
        <f t="shared" ca="1" si="184"/>
        <v/>
      </c>
      <c r="V3039" s="387" t="str">
        <f t="shared" ca="1" si="185"/>
        <v>a1MDm000000Xod6MAC</v>
      </c>
      <c r="W3039" s="387" t="str">
        <f ca="1">IFERROR(VLOOKUP(INDIRECT("'WPTM - Section F'!E"&amp;B3039),'Overview - Section A'!M$31:R184,4,0),IFERROR(VLOOKUP(INDIRECT("'WPTM - Section F'!E"&amp;B3039),'Overview - Section A'!E$27:J173,5,0),""))</f>
        <v/>
      </c>
    </row>
    <row r="3040" spans="1:23">
      <c r="A3040" s="387" t="b">
        <f t="shared" ca="1" si="178"/>
        <v>0</v>
      </c>
      <c r="B3040" s="387">
        <f t="shared" ca="1" si="186"/>
        <v>72</v>
      </c>
      <c r="C3040" s="404" t="str">
        <f ca="1">IF(COUNTA($G$2894:G3039)=1,"",OFFSET(B3040,-COUNTA($G$2894:G3039)+1,1))</f>
        <v>a1NDm000000H17gMAC</v>
      </c>
      <c r="D3040" s="387" t="str">
        <f t="shared" ca="1" si="179"/>
        <v>INT-350981</v>
      </c>
      <c r="E3040" s="391"/>
      <c r="F3040" s="391" t="str">
        <f t="shared" ca="1" si="180"/>
        <v/>
      </c>
      <c r="G3040" s="405"/>
      <c r="H3040" s="387"/>
      <c r="I3040" s="387" t="str">
        <f ca="1">IFERROR(VLOOKUP(INDIRECT("'WPTM - Section F'!E"&amp;B3040),'Overview - Section A'!M$31:R185,6,0),IFERROR(VLOOKUP(INDIRECT("'WPTM - Section F'!E"&amp;B3040),'Overview - Section A'!E$27:J174,6,0),""))</f>
        <v/>
      </c>
      <c r="J3040" s="387" t="str">
        <f t="shared" ca="1" si="181"/>
        <v/>
      </c>
      <c r="K3040" s="387"/>
      <c r="L3040" s="387"/>
      <c r="M3040" s="391"/>
      <c r="N3040" s="391"/>
      <c r="O3040" s="387"/>
      <c r="P3040" s="391" t="str">
        <f t="shared" ca="1" si="182"/>
        <v/>
      </c>
      <c r="Q3040" s="391"/>
      <c r="R3040" s="391" t="str">
        <f t="shared" ca="1" si="183"/>
        <v/>
      </c>
      <c r="S3040" s="391"/>
      <c r="T3040" s="392"/>
      <c r="U3040" s="387" t="str">
        <f t="shared" ca="1" si="184"/>
        <v/>
      </c>
      <c r="V3040" s="387" t="str">
        <f t="shared" ca="1" si="185"/>
        <v>a1MDm000000Xod6MAC</v>
      </c>
      <c r="W3040" s="387" t="str">
        <f ca="1">IFERROR(VLOOKUP(INDIRECT("'WPTM - Section F'!E"&amp;B3040),'Overview - Section A'!M$31:R185,4,0),IFERROR(VLOOKUP(INDIRECT("'WPTM - Section F'!E"&amp;B3040),'Overview - Section A'!E$27:J174,5,0),""))</f>
        <v/>
      </c>
    </row>
    <row r="3041" spans="1:23">
      <c r="A3041" s="387" t="b">
        <f t="shared" ref="A3041:A3056" ca="1" si="187">IF(F3041&lt;&gt;"",TRUE,FALSE)</f>
        <v>0</v>
      </c>
      <c r="B3041" s="387">
        <f t="shared" ca="1" si="186"/>
        <v>73</v>
      </c>
      <c r="C3041" s="404" t="str">
        <f ca="1">IF(COUNTA($G$2894:G3040)=1,"",OFFSET(B3041,-COUNTA($G$2894:G3040)+1,1))</f>
        <v>a1NDm000000H17hMAC</v>
      </c>
      <c r="D3041" s="387" t="str">
        <f t="shared" ref="D3041:D3056" ca="1" si="188">IFERROR(IF(INDIRECT("'WPTM - Section F'!AC"&amp;B3041)=0,"",INDIRECT("'WPTM - Section F'!AC"&amp;B3041)),"")</f>
        <v>INT-350981</v>
      </c>
      <c r="E3041" s="391"/>
      <c r="F3041" s="391" t="str">
        <f t="shared" ref="F3041:F3056" ca="1" si="189">IFERROR(IF(INDIRECT("'WPTM - Section F'!D"&amp;B3041)=0,"",INDIRECT("'WPTM - Section F'!D"&amp;B3041)),"")</f>
        <v/>
      </c>
      <c r="G3041" s="405"/>
      <c r="H3041" s="387"/>
      <c r="I3041" s="387" t="str">
        <f ca="1">IFERROR(VLOOKUP(INDIRECT("'WPTM - Section F'!E"&amp;B3041),'Overview - Section A'!M$31:R186,6,0),IFERROR(VLOOKUP(INDIRECT("'WPTM - Section F'!E"&amp;B3041),'Overview - Section A'!E$27:J175,6,0),""))</f>
        <v/>
      </c>
      <c r="J3041" s="387" t="str">
        <f t="shared" ref="J3041:J3056" ca="1" si="190">IFERROR(IF(INDIRECT("'WPTM - Section F'!F"&amp;B3041)=0,"",INDIRECT("'WPTM - Section F'!F"&amp;B3041)),"")</f>
        <v/>
      </c>
      <c r="K3041" s="387"/>
      <c r="L3041" s="387"/>
      <c r="M3041" s="391"/>
      <c r="N3041" s="391"/>
      <c r="O3041" s="387"/>
      <c r="P3041" s="391" t="str">
        <f t="shared" ref="P3041:P3056" ca="1" si="191">IFERROR(IF(INDIRECT("'WPTM - Section F'!W"&amp;B3041)=0,"",INDIRECT("'WPTM - Section F'!W"&amp;B3041)),"")</f>
        <v/>
      </c>
      <c r="Q3041" s="391"/>
      <c r="R3041" s="391" t="str">
        <f t="shared" ref="R3041:R3056" ca="1" si="192">IFERROR(IF(INDIRECT("'WPTM - Section F'!C"&amp;B3041)=0,"",INDIRECT("'WPTM - Section F'!C"&amp;B3041)),"")</f>
        <v/>
      </c>
      <c r="S3041" s="391"/>
      <c r="T3041" s="392"/>
      <c r="U3041" s="387" t="str">
        <f t="shared" ref="U3041:U3056" ca="1" si="193">IFERROR(IF(INDIRECT("'WPTM - Section F'!AI"&amp;B3041)=0,"",INDIRECT("'WPTM - Section F'!AI"&amp;B3041)),"")</f>
        <v/>
      </c>
      <c r="V3041" s="387" t="str">
        <f t="shared" ref="V3041:V3056" ca="1" si="194">IFERROR(IF(INDIRECT("'WPTM - Section F'!AH"&amp;B3041)=0,"",INDIRECT("'WPTM - Section F'!AH"&amp;B3041)),"")</f>
        <v>a1MDm000000Xod6MAC</v>
      </c>
      <c r="W3041" s="387" t="str">
        <f ca="1">IFERROR(VLOOKUP(INDIRECT("'WPTM - Section F'!E"&amp;B3041),'Overview - Section A'!M$31:R186,4,0),IFERROR(VLOOKUP(INDIRECT("'WPTM - Section F'!E"&amp;B3041),'Overview - Section A'!E$27:J175,5,0),""))</f>
        <v/>
      </c>
    </row>
    <row r="3042" spans="1:23">
      <c r="A3042" s="387" t="b">
        <f t="shared" ca="1" si="187"/>
        <v>0</v>
      </c>
      <c r="B3042" s="387">
        <f t="shared" ca="1" si="186"/>
        <v>74</v>
      </c>
      <c r="C3042" s="404" t="str">
        <f ca="1">IF(COUNTA($G$2894:G3041)=1,"",OFFSET(B3042,-COUNTA($G$2894:G3041)+1,1))</f>
        <v>a1NDm000000H17iMAC</v>
      </c>
      <c r="D3042" s="387" t="str">
        <f t="shared" ca="1" si="188"/>
        <v>INT-350981</v>
      </c>
      <c r="E3042" s="391"/>
      <c r="F3042" s="391" t="str">
        <f t="shared" ca="1" si="189"/>
        <v/>
      </c>
      <c r="G3042" s="405"/>
      <c r="H3042" s="387"/>
      <c r="I3042" s="387" t="str">
        <f ca="1">IFERROR(VLOOKUP(INDIRECT("'WPTM - Section F'!E"&amp;B3042),'Overview - Section A'!M$31:R187,6,0),IFERROR(VLOOKUP(INDIRECT("'WPTM - Section F'!E"&amp;B3042),'Overview - Section A'!E$27:J176,6,0),""))</f>
        <v/>
      </c>
      <c r="J3042" s="387" t="str">
        <f t="shared" ca="1" si="190"/>
        <v/>
      </c>
      <c r="K3042" s="387"/>
      <c r="L3042" s="387"/>
      <c r="M3042" s="391"/>
      <c r="N3042" s="391"/>
      <c r="O3042" s="387"/>
      <c r="P3042" s="391" t="str">
        <f t="shared" ca="1" si="191"/>
        <v/>
      </c>
      <c r="Q3042" s="391"/>
      <c r="R3042" s="391" t="str">
        <f t="shared" ca="1" si="192"/>
        <v/>
      </c>
      <c r="S3042" s="391"/>
      <c r="T3042" s="392"/>
      <c r="U3042" s="387" t="str">
        <f t="shared" ca="1" si="193"/>
        <v/>
      </c>
      <c r="V3042" s="387" t="str">
        <f t="shared" ca="1" si="194"/>
        <v>a1MDm000000Xod6MAC</v>
      </c>
      <c r="W3042" s="387" t="str">
        <f ca="1">IFERROR(VLOOKUP(INDIRECT("'WPTM - Section F'!E"&amp;B3042),'Overview - Section A'!M$31:R187,4,0),IFERROR(VLOOKUP(INDIRECT("'WPTM - Section F'!E"&amp;B3042),'Overview - Section A'!E$27:J176,5,0),""))</f>
        <v/>
      </c>
    </row>
    <row r="3043" spans="1:23">
      <c r="A3043" s="387" t="b">
        <f t="shared" ca="1" si="187"/>
        <v>0</v>
      </c>
      <c r="B3043" s="387">
        <f t="shared" ca="1" si="186"/>
        <v>75</v>
      </c>
      <c r="C3043" s="404" t="str">
        <f ca="1">IF(COUNTA($G$2894:G3042)=1,"",OFFSET(B3043,-COUNTA($G$2894:G3042)+1,1))</f>
        <v>a1NDm000000H17jMAC</v>
      </c>
      <c r="D3043" s="387" t="str">
        <f t="shared" ca="1" si="188"/>
        <v>INT-350981</v>
      </c>
      <c r="E3043" s="391"/>
      <c r="F3043" s="391" t="str">
        <f t="shared" ca="1" si="189"/>
        <v/>
      </c>
      <c r="G3043" s="405"/>
      <c r="H3043" s="387"/>
      <c r="I3043" s="387" t="str">
        <f ca="1">IFERROR(VLOOKUP(INDIRECT("'WPTM - Section F'!E"&amp;B3043),'Overview - Section A'!M$31:R188,6,0),IFERROR(VLOOKUP(INDIRECT("'WPTM - Section F'!E"&amp;B3043),'Overview - Section A'!E$27:J177,6,0),""))</f>
        <v/>
      </c>
      <c r="J3043" s="387" t="str">
        <f t="shared" ca="1" si="190"/>
        <v/>
      </c>
      <c r="K3043" s="387"/>
      <c r="L3043" s="387"/>
      <c r="M3043" s="391"/>
      <c r="N3043" s="391"/>
      <c r="O3043" s="387"/>
      <c r="P3043" s="391" t="str">
        <f t="shared" ca="1" si="191"/>
        <v/>
      </c>
      <c r="Q3043" s="391"/>
      <c r="R3043" s="391" t="str">
        <f t="shared" ca="1" si="192"/>
        <v/>
      </c>
      <c r="S3043" s="391"/>
      <c r="T3043" s="392"/>
      <c r="U3043" s="387" t="str">
        <f t="shared" ca="1" si="193"/>
        <v/>
      </c>
      <c r="V3043" s="387" t="str">
        <f t="shared" ca="1" si="194"/>
        <v>a1MDm000000Xod6MAC</v>
      </c>
      <c r="W3043" s="387" t="str">
        <f ca="1">IFERROR(VLOOKUP(INDIRECT("'WPTM - Section F'!E"&amp;B3043),'Overview - Section A'!M$31:R188,4,0),IFERROR(VLOOKUP(INDIRECT("'WPTM - Section F'!E"&amp;B3043),'Overview - Section A'!E$27:J177,5,0),""))</f>
        <v/>
      </c>
    </row>
    <row r="3044" spans="1:23">
      <c r="A3044" s="387" t="b">
        <f t="shared" ca="1" si="187"/>
        <v>0</v>
      </c>
      <c r="B3044" s="387">
        <f t="shared" ca="1" si="186"/>
        <v>76</v>
      </c>
      <c r="C3044" s="404" t="str">
        <f ca="1">IF(COUNTA($G$2894:G3043)=1,"",OFFSET(B3044,-COUNTA($G$2894:G3043)+1,1))</f>
        <v>a1NDm000000H17kMAC</v>
      </c>
      <c r="D3044" s="387" t="str">
        <f t="shared" ca="1" si="188"/>
        <v>INT-350981</v>
      </c>
      <c r="E3044" s="391"/>
      <c r="F3044" s="391" t="str">
        <f t="shared" ca="1" si="189"/>
        <v/>
      </c>
      <c r="G3044" s="405"/>
      <c r="H3044" s="387"/>
      <c r="I3044" s="387" t="str">
        <f ca="1">IFERROR(VLOOKUP(INDIRECT("'WPTM - Section F'!E"&amp;B3044),'Overview - Section A'!M$31:R189,6,0),IFERROR(VLOOKUP(INDIRECT("'WPTM - Section F'!E"&amp;B3044),'Overview - Section A'!E$27:J178,6,0),""))</f>
        <v/>
      </c>
      <c r="J3044" s="387" t="str">
        <f t="shared" ca="1" si="190"/>
        <v/>
      </c>
      <c r="K3044" s="387"/>
      <c r="L3044" s="387"/>
      <c r="M3044" s="391"/>
      <c r="N3044" s="391"/>
      <c r="O3044" s="387"/>
      <c r="P3044" s="391" t="str">
        <f t="shared" ca="1" si="191"/>
        <v/>
      </c>
      <c r="Q3044" s="391"/>
      <c r="R3044" s="391" t="str">
        <f t="shared" ca="1" si="192"/>
        <v/>
      </c>
      <c r="S3044" s="391"/>
      <c r="T3044" s="392"/>
      <c r="U3044" s="387" t="str">
        <f t="shared" ca="1" si="193"/>
        <v/>
      </c>
      <c r="V3044" s="387" t="str">
        <f t="shared" ca="1" si="194"/>
        <v>a1MDm000000Xod6MAC</v>
      </c>
      <c r="W3044" s="387" t="str">
        <f ca="1">IFERROR(VLOOKUP(INDIRECT("'WPTM - Section F'!E"&amp;B3044),'Overview - Section A'!M$31:R189,4,0),IFERROR(VLOOKUP(INDIRECT("'WPTM - Section F'!E"&amp;B3044),'Overview - Section A'!E$27:J178,5,0),""))</f>
        <v/>
      </c>
    </row>
    <row r="3045" spans="1:23">
      <c r="A3045" s="387" t="b">
        <f t="shared" ca="1" si="187"/>
        <v>0</v>
      </c>
      <c r="B3045" s="387">
        <f t="shared" ca="1" si="186"/>
        <v>77</v>
      </c>
      <c r="C3045" s="404" t="str">
        <f ca="1">IF(COUNTA($G$2894:G3044)=1,"",OFFSET(B3045,-COUNTA($G$2894:G3044)+1,1))</f>
        <v>a1NDm000000H17lMAC</v>
      </c>
      <c r="D3045" s="387" t="str">
        <f t="shared" ca="1" si="188"/>
        <v>INT-350981</v>
      </c>
      <c r="E3045" s="391"/>
      <c r="F3045" s="391" t="str">
        <f t="shared" ca="1" si="189"/>
        <v/>
      </c>
      <c r="G3045" s="405"/>
      <c r="H3045" s="387"/>
      <c r="I3045" s="387" t="str">
        <f ca="1">IFERROR(VLOOKUP(INDIRECT("'WPTM - Section F'!E"&amp;B3045),'Overview - Section A'!M$31:R190,6,0),IFERROR(VLOOKUP(INDIRECT("'WPTM - Section F'!E"&amp;B3045),'Overview - Section A'!E$27:J179,6,0),""))</f>
        <v/>
      </c>
      <c r="J3045" s="387" t="str">
        <f t="shared" ca="1" si="190"/>
        <v/>
      </c>
      <c r="K3045" s="387"/>
      <c r="L3045" s="387"/>
      <c r="M3045" s="391"/>
      <c r="N3045" s="391"/>
      <c r="O3045" s="387"/>
      <c r="P3045" s="391" t="str">
        <f t="shared" ca="1" si="191"/>
        <v/>
      </c>
      <c r="Q3045" s="391"/>
      <c r="R3045" s="391" t="str">
        <f t="shared" ca="1" si="192"/>
        <v/>
      </c>
      <c r="S3045" s="391"/>
      <c r="T3045" s="392"/>
      <c r="U3045" s="387" t="str">
        <f t="shared" ca="1" si="193"/>
        <v/>
      </c>
      <c r="V3045" s="387" t="str">
        <f t="shared" ca="1" si="194"/>
        <v>a1MDm000000Xod6MAC</v>
      </c>
      <c r="W3045" s="387" t="str">
        <f ca="1">IFERROR(VLOOKUP(INDIRECT("'WPTM - Section F'!E"&amp;B3045),'Overview - Section A'!M$31:R190,4,0),IFERROR(VLOOKUP(INDIRECT("'WPTM - Section F'!E"&amp;B3045),'Overview - Section A'!E$27:J179,5,0),""))</f>
        <v/>
      </c>
    </row>
    <row r="3046" spans="1:23">
      <c r="A3046" s="387" t="b">
        <f t="shared" ca="1" si="187"/>
        <v>0</v>
      </c>
      <c r="B3046" s="387">
        <f t="shared" ca="1" si="186"/>
        <v>78</v>
      </c>
      <c r="C3046" s="404" t="str">
        <f ca="1">IF(COUNTA($G$2894:G3045)=1,"",OFFSET(B3046,-COUNTA($G$2894:G3045)+1,1))</f>
        <v>a1NDm000000H17mMAC</v>
      </c>
      <c r="D3046" s="387" t="str">
        <f t="shared" ca="1" si="188"/>
        <v>INT-350981</v>
      </c>
      <c r="E3046" s="391"/>
      <c r="F3046" s="391" t="str">
        <f t="shared" ca="1" si="189"/>
        <v/>
      </c>
      <c r="G3046" s="405"/>
      <c r="H3046" s="387"/>
      <c r="I3046" s="387" t="str">
        <f ca="1">IFERROR(VLOOKUP(INDIRECT("'WPTM - Section F'!E"&amp;B3046),'Overview - Section A'!M$31:R191,6,0),IFERROR(VLOOKUP(INDIRECT("'WPTM - Section F'!E"&amp;B3046),'Overview - Section A'!E$27:J180,6,0),""))</f>
        <v/>
      </c>
      <c r="J3046" s="387" t="str">
        <f t="shared" ca="1" si="190"/>
        <v/>
      </c>
      <c r="K3046" s="387"/>
      <c r="L3046" s="387"/>
      <c r="M3046" s="391"/>
      <c r="N3046" s="391"/>
      <c r="O3046" s="387"/>
      <c r="P3046" s="391" t="str">
        <f t="shared" ca="1" si="191"/>
        <v/>
      </c>
      <c r="Q3046" s="391"/>
      <c r="R3046" s="391" t="str">
        <f t="shared" ca="1" si="192"/>
        <v/>
      </c>
      <c r="S3046" s="391"/>
      <c r="T3046" s="392"/>
      <c r="U3046" s="387" t="str">
        <f t="shared" ca="1" si="193"/>
        <v/>
      </c>
      <c r="V3046" s="387" t="str">
        <f t="shared" ca="1" si="194"/>
        <v>a1MDm000000Xod6MAC</v>
      </c>
      <c r="W3046" s="387" t="str">
        <f ca="1">IFERROR(VLOOKUP(INDIRECT("'WPTM - Section F'!E"&amp;B3046),'Overview - Section A'!M$31:R191,4,0),IFERROR(VLOOKUP(INDIRECT("'WPTM - Section F'!E"&amp;B3046),'Overview - Section A'!E$27:J180,5,0),""))</f>
        <v/>
      </c>
    </row>
    <row r="3047" spans="1:23">
      <c r="A3047" s="387" t="b">
        <f t="shared" ca="1" si="187"/>
        <v>0</v>
      </c>
      <c r="B3047" s="387">
        <f t="shared" ca="1" si="186"/>
        <v>79</v>
      </c>
      <c r="C3047" s="404" t="str">
        <f ca="1">IF(COUNTA($G$2894:G3046)=1,"",OFFSET(B3047,-COUNTA($G$2894:G3046)+1,1))</f>
        <v>a1NDm000000H17nMAC</v>
      </c>
      <c r="D3047" s="387" t="str">
        <f t="shared" ca="1" si="188"/>
        <v>INT-350981</v>
      </c>
      <c r="E3047" s="391"/>
      <c r="F3047" s="391" t="str">
        <f t="shared" ca="1" si="189"/>
        <v/>
      </c>
      <c r="G3047" s="405"/>
      <c r="H3047" s="387"/>
      <c r="I3047" s="387" t="str">
        <f ca="1">IFERROR(VLOOKUP(INDIRECT("'WPTM - Section F'!E"&amp;B3047),'Overview - Section A'!M$31:R192,6,0),IFERROR(VLOOKUP(INDIRECT("'WPTM - Section F'!E"&amp;B3047),'Overview - Section A'!E$27:J181,6,0),""))</f>
        <v/>
      </c>
      <c r="J3047" s="387" t="str">
        <f t="shared" ca="1" si="190"/>
        <v/>
      </c>
      <c r="K3047" s="387"/>
      <c r="L3047" s="387"/>
      <c r="M3047" s="391"/>
      <c r="N3047" s="391"/>
      <c r="O3047" s="387"/>
      <c r="P3047" s="391" t="str">
        <f t="shared" ca="1" si="191"/>
        <v/>
      </c>
      <c r="Q3047" s="391"/>
      <c r="R3047" s="391" t="str">
        <f t="shared" ca="1" si="192"/>
        <v/>
      </c>
      <c r="S3047" s="391"/>
      <c r="T3047" s="392"/>
      <c r="U3047" s="387" t="str">
        <f t="shared" ca="1" si="193"/>
        <v/>
      </c>
      <c r="V3047" s="387" t="str">
        <f t="shared" ca="1" si="194"/>
        <v>a1MDm000000Xod6MAC</v>
      </c>
      <c r="W3047" s="387" t="str">
        <f ca="1">IFERROR(VLOOKUP(INDIRECT("'WPTM - Section F'!E"&amp;B3047),'Overview - Section A'!M$31:R192,4,0),IFERROR(VLOOKUP(INDIRECT("'WPTM - Section F'!E"&amp;B3047),'Overview - Section A'!E$27:J181,5,0),""))</f>
        <v/>
      </c>
    </row>
    <row r="3048" spans="1:23">
      <c r="A3048" s="387" t="b">
        <f t="shared" ca="1" si="187"/>
        <v>0</v>
      </c>
      <c r="B3048" s="387">
        <f t="shared" ca="1" si="186"/>
        <v>80</v>
      </c>
      <c r="C3048" s="404" t="str">
        <f ca="1">IF(COUNTA($G$2894:G3047)=1,"",OFFSET(B3048,-COUNTA($G$2894:G3047)+1,1))</f>
        <v>a1NDm000000H17oMAC</v>
      </c>
      <c r="D3048" s="387" t="str">
        <f t="shared" ca="1" si="188"/>
        <v>INT-350981</v>
      </c>
      <c r="E3048" s="391"/>
      <c r="F3048" s="391" t="str">
        <f t="shared" ca="1" si="189"/>
        <v/>
      </c>
      <c r="G3048" s="405"/>
      <c r="H3048" s="387"/>
      <c r="I3048" s="387" t="str">
        <f ca="1">IFERROR(VLOOKUP(INDIRECT("'WPTM - Section F'!E"&amp;B3048),'Overview - Section A'!M$31:R193,6,0),IFERROR(VLOOKUP(INDIRECT("'WPTM - Section F'!E"&amp;B3048),'Overview - Section A'!E$27:J182,6,0),""))</f>
        <v/>
      </c>
      <c r="J3048" s="387" t="str">
        <f t="shared" ca="1" si="190"/>
        <v/>
      </c>
      <c r="K3048" s="387"/>
      <c r="L3048" s="387"/>
      <c r="M3048" s="391"/>
      <c r="N3048" s="391"/>
      <c r="O3048" s="387"/>
      <c r="P3048" s="391" t="str">
        <f t="shared" ca="1" si="191"/>
        <v/>
      </c>
      <c r="Q3048" s="391"/>
      <c r="R3048" s="391" t="str">
        <f t="shared" ca="1" si="192"/>
        <v/>
      </c>
      <c r="S3048" s="391"/>
      <c r="T3048" s="392"/>
      <c r="U3048" s="387" t="str">
        <f t="shared" ca="1" si="193"/>
        <v/>
      </c>
      <c r="V3048" s="387" t="str">
        <f t="shared" ca="1" si="194"/>
        <v>a1MDm000000Xod6MAC</v>
      </c>
      <c r="W3048" s="387" t="str">
        <f ca="1">IFERROR(VLOOKUP(INDIRECT("'WPTM - Section F'!E"&amp;B3048),'Overview - Section A'!M$31:R193,4,0),IFERROR(VLOOKUP(INDIRECT("'WPTM - Section F'!E"&amp;B3048),'Overview - Section A'!E$27:J182,5,0),""))</f>
        <v/>
      </c>
    </row>
    <row r="3049" spans="1:23">
      <c r="A3049" s="387" t="b">
        <f t="shared" ca="1" si="187"/>
        <v>0</v>
      </c>
      <c r="B3049" s="387">
        <f t="shared" ca="1" si="186"/>
        <v>81</v>
      </c>
      <c r="C3049" s="404" t="str">
        <f ca="1">IF(COUNTA($G$2894:G3048)=1,"",OFFSET(B3049,-COUNTA($G$2894:G3048)+1,1))</f>
        <v>a1NDm000000H17pMAC</v>
      </c>
      <c r="D3049" s="387" t="str">
        <f t="shared" ca="1" si="188"/>
        <v>INT-350981</v>
      </c>
      <c r="E3049" s="391"/>
      <c r="F3049" s="391" t="str">
        <f t="shared" ca="1" si="189"/>
        <v/>
      </c>
      <c r="G3049" s="405"/>
      <c r="H3049" s="387"/>
      <c r="I3049" s="387" t="str">
        <f ca="1">IFERROR(VLOOKUP(INDIRECT("'WPTM - Section F'!E"&amp;B3049),'Overview - Section A'!M$31:R194,6,0),IFERROR(VLOOKUP(INDIRECT("'WPTM - Section F'!E"&amp;B3049),'Overview - Section A'!E$27:J183,6,0),""))</f>
        <v/>
      </c>
      <c r="J3049" s="387" t="str">
        <f t="shared" ca="1" si="190"/>
        <v/>
      </c>
      <c r="K3049" s="387"/>
      <c r="L3049" s="387"/>
      <c r="M3049" s="391"/>
      <c r="N3049" s="391"/>
      <c r="O3049" s="387"/>
      <c r="P3049" s="391" t="str">
        <f t="shared" ca="1" si="191"/>
        <v/>
      </c>
      <c r="Q3049" s="391"/>
      <c r="R3049" s="391" t="str">
        <f t="shared" ca="1" si="192"/>
        <v/>
      </c>
      <c r="S3049" s="391"/>
      <c r="T3049" s="392"/>
      <c r="U3049" s="387" t="str">
        <f t="shared" ca="1" si="193"/>
        <v/>
      </c>
      <c r="V3049" s="387" t="str">
        <f t="shared" ca="1" si="194"/>
        <v>a1MDm000000Xod6MAC</v>
      </c>
      <c r="W3049" s="387" t="str">
        <f ca="1">IFERROR(VLOOKUP(INDIRECT("'WPTM - Section F'!E"&amp;B3049),'Overview - Section A'!M$31:R194,4,0),IFERROR(VLOOKUP(INDIRECT("'WPTM - Section F'!E"&amp;B3049),'Overview - Section A'!E$27:J183,5,0),""))</f>
        <v/>
      </c>
    </row>
    <row r="3050" spans="1:23">
      <c r="A3050" s="387" t="b">
        <f t="shared" ca="1" si="187"/>
        <v>0</v>
      </c>
      <c r="B3050" s="387">
        <f t="shared" ca="1" si="186"/>
        <v>82</v>
      </c>
      <c r="C3050" s="404" t="str">
        <f ca="1">IF(COUNTA($G$2894:G3049)=1,"",OFFSET(B3050,-COUNTA($G$2894:G3049)+1,1))</f>
        <v>a1NDm000000H17qMAC</v>
      </c>
      <c r="D3050" s="387" t="str">
        <f t="shared" ca="1" si="188"/>
        <v>INT-350981</v>
      </c>
      <c r="E3050" s="391"/>
      <c r="F3050" s="391" t="str">
        <f t="shared" ca="1" si="189"/>
        <v/>
      </c>
      <c r="G3050" s="405"/>
      <c r="H3050" s="387"/>
      <c r="I3050" s="387" t="str">
        <f ca="1">IFERROR(VLOOKUP(INDIRECT("'WPTM - Section F'!E"&amp;B3050),'Overview - Section A'!M$31:R195,6,0),IFERROR(VLOOKUP(INDIRECT("'WPTM - Section F'!E"&amp;B3050),'Overview - Section A'!E$27:J184,6,0),""))</f>
        <v/>
      </c>
      <c r="J3050" s="387" t="str">
        <f t="shared" ca="1" si="190"/>
        <v/>
      </c>
      <c r="K3050" s="387"/>
      <c r="L3050" s="387"/>
      <c r="M3050" s="391"/>
      <c r="N3050" s="391"/>
      <c r="O3050" s="387"/>
      <c r="P3050" s="391" t="str">
        <f t="shared" ca="1" si="191"/>
        <v/>
      </c>
      <c r="Q3050" s="391"/>
      <c r="R3050" s="391" t="str">
        <f t="shared" ca="1" si="192"/>
        <v/>
      </c>
      <c r="S3050" s="391"/>
      <c r="T3050" s="392"/>
      <c r="U3050" s="387" t="str">
        <f t="shared" ca="1" si="193"/>
        <v/>
      </c>
      <c r="V3050" s="387" t="str">
        <f t="shared" ca="1" si="194"/>
        <v>a1MDm000000Xod6MAC</v>
      </c>
      <c r="W3050" s="387" t="str">
        <f ca="1">IFERROR(VLOOKUP(INDIRECT("'WPTM - Section F'!E"&amp;B3050),'Overview - Section A'!M$31:R195,4,0),IFERROR(VLOOKUP(INDIRECT("'WPTM - Section F'!E"&amp;B3050),'Overview - Section A'!E$27:J184,5,0),""))</f>
        <v/>
      </c>
    </row>
    <row r="3051" spans="1:23">
      <c r="A3051" s="387" t="b">
        <f t="shared" ca="1" si="187"/>
        <v>0</v>
      </c>
      <c r="B3051" s="387">
        <f t="shared" ca="1" si="186"/>
        <v>83</v>
      </c>
      <c r="C3051" s="404" t="str">
        <f ca="1">IF(COUNTA($G$2894:G3050)=1,"",OFFSET(B3051,-COUNTA($G$2894:G3050)+1,1))</f>
        <v>a1NDm000000H17rMAC</v>
      </c>
      <c r="D3051" s="387" t="str">
        <f t="shared" ca="1" si="188"/>
        <v>INT-350981</v>
      </c>
      <c r="E3051" s="391"/>
      <c r="F3051" s="391" t="str">
        <f t="shared" ca="1" si="189"/>
        <v/>
      </c>
      <c r="G3051" s="405"/>
      <c r="H3051" s="387"/>
      <c r="I3051" s="387" t="str">
        <f ca="1">IFERROR(VLOOKUP(INDIRECT("'WPTM - Section F'!E"&amp;B3051),'Overview - Section A'!M$31:R196,6,0),IFERROR(VLOOKUP(INDIRECT("'WPTM - Section F'!E"&amp;B3051),'Overview - Section A'!E$27:J185,6,0),""))</f>
        <v/>
      </c>
      <c r="J3051" s="387" t="str">
        <f t="shared" ca="1" si="190"/>
        <v/>
      </c>
      <c r="K3051" s="387"/>
      <c r="L3051" s="387"/>
      <c r="M3051" s="391"/>
      <c r="N3051" s="391"/>
      <c r="O3051" s="387"/>
      <c r="P3051" s="391" t="str">
        <f t="shared" ca="1" si="191"/>
        <v/>
      </c>
      <c r="Q3051" s="391"/>
      <c r="R3051" s="391" t="str">
        <f t="shared" ca="1" si="192"/>
        <v/>
      </c>
      <c r="S3051" s="391"/>
      <c r="T3051" s="392"/>
      <c r="U3051" s="387" t="str">
        <f t="shared" ca="1" si="193"/>
        <v/>
      </c>
      <c r="V3051" s="387" t="str">
        <f t="shared" ca="1" si="194"/>
        <v>a1MDm000000Xod6MAC</v>
      </c>
      <c r="W3051" s="387" t="str">
        <f ca="1">IFERROR(VLOOKUP(INDIRECT("'WPTM - Section F'!E"&amp;B3051),'Overview - Section A'!M$31:R196,4,0),IFERROR(VLOOKUP(INDIRECT("'WPTM - Section F'!E"&amp;B3051),'Overview - Section A'!E$27:J185,5,0),""))</f>
        <v/>
      </c>
    </row>
    <row r="3052" spans="1:23">
      <c r="A3052" s="387" t="b">
        <f t="shared" ca="1" si="187"/>
        <v>0</v>
      </c>
      <c r="B3052" s="387">
        <f t="shared" ca="1" si="186"/>
        <v>84</v>
      </c>
      <c r="C3052" s="404" t="str">
        <f ca="1">IF(COUNTA($G$2894:G3051)=1,"",OFFSET(B3052,-COUNTA($G$2894:G3051)+1,1))</f>
        <v>a1NDm000000H17sMAC</v>
      </c>
      <c r="D3052" s="387" t="str">
        <f t="shared" ca="1" si="188"/>
        <v>INT-350981</v>
      </c>
      <c r="E3052" s="391"/>
      <c r="F3052" s="391" t="str">
        <f t="shared" ca="1" si="189"/>
        <v/>
      </c>
      <c r="G3052" s="405"/>
      <c r="H3052" s="387"/>
      <c r="I3052" s="387" t="str">
        <f ca="1">IFERROR(VLOOKUP(INDIRECT("'WPTM - Section F'!E"&amp;B3052),'Overview - Section A'!M$31:R197,6,0),IFERROR(VLOOKUP(INDIRECT("'WPTM - Section F'!E"&amp;B3052),'Overview - Section A'!E$27:J186,6,0),""))</f>
        <v/>
      </c>
      <c r="J3052" s="387" t="str">
        <f t="shared" ca="1" si="190"/>
        <v/>
      </c>
      <c r="K3052" s="387"/>
      <c r="L3052" s="387"/>
      <c r="M3052" s="391"/>
      <c r="N3052" s="391"/>
      <c r="O3052" s="387"/>
      <c r="P3052" s="391" t="str">
        <f t="shared" ca="1" si="191"/>
        <v/>
      </c>
      <c r="Q3052" s="391"/>
      <c r="R3052" s="391" t="str">
        <f t="shared" ca="1" si="192"/>
        <v/>
      </c>
      <c r="S3052" s="391"/>
      <c r="T3052" s="392"/>
      <c r="U3052" s="387" t="str">
        <f t="shared" ca="1" si="193"/>
        <v/>
      </c>
      <c r="V3052" s="387" t="str">
        <f t="shared" ca="1" si="194"/>
        <v>a1MDm000000Xod6MAC</v>
      </c>
      <c r="W3052" s="387" t="str">
        <f ca="1">IFERROR(VLOOKUP(INDIRECT("'WPTM - Section F'!E"&amp;B3052),'Overview - Section A'!M$31:R197,4,0),IFERROR(VLOOKUP(INDIRECT("'WPTM - Section F'!E"&amp;B3052),'Overview - Section A'!E$27:J186,5,0),""))</f>
        <v/>
      </c>
    </row>
    <row r="3053" spans="1:23">
      <c r="A3053" s="387" t="b">
        <f t="shared" ca="1" si="187"/>
        <v>0</v>
      </c>
      <c r="B3053" s="387">
        <f t="shared" ca="1" si="186"/>
        <v>85</v>
      </c>
      <c r="C3053" s="404" t="str">
        <f ca="1">IF(COUNTA($G$2894:G3052)=1,"",OFFSET(B3053,-COUNTA($G$2894:G3052)+1,1))</f>
        <v>a1NDm000000H17tMAC</v>
      </c>
      <c r="D3053" s="387" t="str">
        <f t="shared" ca="1" si="188"/>
        <v>INT-350981</v>
      </c>
      <c r="E3053" s="391"/>
      <c r="F3053" s="391" t="str">
        <f t="shared" ca="1" si="189"/>
        <v/>
      </c>
      <c r="G3053" s="405"/>
      <c r="H3053" s="387"/>
      <c r="I3053" s="387" t="str">
        <f ca="1">IFERROR(VLOOKUP(INDIRECT("'WPTM - Section F'!E"&amp;B3053),'Overview - Section A'!M$31:R198,6,0),IFERROR(VLOOKUP(INDIRECT("'WPTM - Section F'!E"&amp;B3053),'Overview - Section A'!E$27:J187,6,0),""))</f>
        <v/>
      </c>
      <c r="J3053" s="387" t="str">
        <f t="shared" ca="1" si="190"/>
        <v/>
      </c>
      <c r="K3053" s="387"/>
      <c r="L3053" s="387"/>
      <c r="M3053" s="391"/>
      <c r="N3053" s="391"/>
      <c r="O3053" s="387"/>
      <c r="P3053" s="391" t="str">
        <f t="shared" ca="1" si="191"/>
        <v/>
      </c>
      <c r="Q3053" s="391"/>
      <c r="R3053" s="391" t="str">
        <f t="shared" ca="1" si="192"/>
        <v/>
      </c>
      <c r="S3053" s="391"/>
      <c r="T3053" s="392"/>
      <c r="U3053" s="387" t="str">
        <f t="shared" ca="1" si="193"/>
        <v/>
      </c>
      <c r="V3053" s="387" t="str">
        <f t="shared" ca="1" si="194"/>
        <v>a1MDm000000Xod6MAC</v>
      </c>
      <c r="W3053" s="387" t="str">
        <f ca="1">IFERROR(VLOOKUP(INDIRECT("'WPTM - Section F'!E"&amp;B3053),'Overview - Section A'!M$31:R198,4,0),IFERROR(VLOOKUP(INDIRECT("'WPTM - Section F'!E"&amp;B3053),'Overview - Section A'!E$27:J187,5,0),""))</f>
        <v/>
      </c>
    </row>
    <row r="3054" spans="1:23">
      <c r="A3054" s="387" t="b">
        <f t="shared" ca="1" si="187"/>
        <v>0</v>
      </c>
      <c r="B3054" s="387">
        <f t="shared" ca="1" si="186"/>
        <v>86</v>
      </c>
      <c r="C3054" s="404" t="str">
        <f ca="1">IF(COUNTA($G$2894:G3053)=1,"",OFFSET(B3054,-COUNTA($G$2894:G3053)+1,1))</f>
        <v>a1NDm000000H17uMAC</v>
      </c>
      <c r="D3054" s="387" t="str">
        <f t="shared" ca="1" si="188"/>
        <v>INT-350981</v>
      </c>
      <c r="E3054" s="391"/>
      <c r="F3054" s="391" t="str">
        <f t="shared" ca="1" si="189"/>
        <v/>
      </c>
      <c r="G3054" s="405"/>
      <c r="H3054" s="387"/>
      <c r="I3054" s="387" t="str">
        <f ca="1">IFERROR(VLOOKUP(INDIRECT("'WPTM - Section F'!E"&amp;B3054),'Overview - Section A'!M$31:R199,6,0),IFERROR(VLOOKUP(INDIRECT("'WPTM - Section F'!E"&amp;B3054),'Overview - Section A'!E$27:J188,6,0),""))</f>
        <v/>
      </c>
      <c r="J3054" s="387" t="str">
        <f t="shared" ca="1" si="190"/>
        <v/>
      </c>
      <c r="K3054" s="387"/>
      <c r="L3054" s="387"/>
      <c r="M3054" s="391"/>
      <c r="N3054" s="391"/>
      <c r="O3054" s="387"/>
      <c r="P3054" s="391" t="str">
        <f t="shared" ca="1" si="191"/>
        <v/>
      </c>
      <c r="Q3054" s="391"/>
      <c r="R3054" s="391" t="str">
        <f t="shared" ca="1" si="192"/>
        <v/>
      </c>
      <c r="S3054" s="391"/>
      <c r="T3054" s="392"/>
      <c r="U3054" s="387" t="str">
        <f t="shared" ca="1" si="193"/>
        <v/>
      </c>
      <c r="V3054" s="387" t="str">
        <f t="shared" ca="1" si="194"/>
        <v>a1MDm000000Xod6MAC</v>
      </c>
      <c r="W3054" s="387" t="str">
        <f ca="1">IFERROR(VLOOKUP(INDIRECT("'WPTM - Section F'!E"&amp;B3054),'Overview - Section A'!M$31:R199,4,0),IFERROR(VLOOKUP(INDIRECT("'WPTM - Section F'!E"&amp;B3054),'Overview - Section A'!E$27:J188,5,0),""))</f>
        <v/>
      </c>
    </row>
    <row r="3055" spans="1:23">
      <c r="A3055" s="387" t="b">
        <f t="shared" ca="1" si="187"/>
        <v>0</v>
      </c>
      <c r="B3055" s="387">
        <f t="shared" ca="1" si="186"/>
        <v>87</v>
      </c>
      <c r="C3055" s="404" t="str">
        <f ca="1">IF(COUNTA($G$2894:G3054)=1,"",OFFSET(B3055,-COUNTA($G$2894:G3054)+1,1))</f>
        <v>a1NDm000000H17vMAC</v>
      </c>
      <c r="D3055" s="387" t="str">
        <f t="shared" ca="1" si="188"/>
        <v>INT-350981</v>
      </c>
      <c r="E3055" s="391"/>
      <c r="F3055" s="391" t="str">
        <f t="shared" ca="1" si="189"/>
        <v/>
      </c>
      <c r="G3055" s="405"/>
      <c r="H3055" s="387"/>
      <c r="I3055" s="387" t="str">
        <f ca="1">IFERROR(VLOOKUP(INDIRECT("'WPTM - Section F'!E"&amp;B3055),'Overview - Section A'!M$31:R200,6,0),IFERROR(VLOOKUP(INDIRECT("'WPTM - Section F'!E"&amp;B3055),'Overview - Section A'!E$27:J189,6,0),""))</f>
        <v/>
      </c>
      <c r="J3055" s="387" t="str">
        <f t="shared" ca="1" si="190"/>
        <v/>
      </c>
      <c r="K3055" s="387"/>
      <c r="L3055" s="387"/>
      <c r="M3055" s="391"/>
      <c r="N3055" s="391"/>
      <c r="O3055" s="387"/>
      <c r="P3055" s="391" t="str">
        <f t="shared" ca="1" si="191"/>
        <v/>
      </c>
      <c r="Q3055" s="391"/>
      <c r="R3055" s="391" t="str">
        <f t="shared" ca="1" si="192"/>
        <v/>
      </c>
      <c r="S3055" s="391"/>
      <c r="T3055" s="392"/>
      <c r="U3055" s="387" t="str">
        <f t="shared" ca="1" si="193"/>
        <v/>
      </c>
      <c r="V3055" s="387" t="str">
        <f t="shared" ca="1" si="194"/>
        <v>a1MDm000000Xod6MAC</v>
      </c>
      <c r="W3055" s="387" t="str">
        <f ca="1">IFERROR(VLOOKUP(INDIRECT("'WPTM - Section F'!E"&amp;B3055),'Overview - Section A'!M$31:R200,4,0),IFERROR(VLOOKUP(INDIRECT("'WPTM - Section F'!E"&amp;B3055),'Overview - Section A'!E$27:J189,5,0),""))</f>
        <v/>
      </c>
    </row>
    <row r="3056" spans="1:23">
      <c r="A3056" s="387" t="b">
        <f t="shared" ca="1" si="187"/>
        <v>0</v>
      </c>
      <c r="B3056" s="387">
        <f t="shared" ca="1" si="186"/>
        <v>88</v>
      </c>
      <c r="C3056" s="404" t="str">
        <f ca="1">IF(COUNTA($G$2894:G3055)=1,"",OFFSET(B3056,-COUNTA($G$2894:G3055)+1,1))</f>
        <v>a1NDm000000H17wMAC</v>
      </c>
      <c r="D3056" s="387" t="str">
        <f t="shared" ca="1" si="188"/>
        <v>INT-350981</v>
      </c>
      <c r="E3056" s="391"/>
      <c r="F3056" s="391" t="str">
        <f t="shared" ca="1" si="189"/>
        <v/>
      </c>
      <c r="G3056" s="405"/>
      <c r="H3056" s="387"/>
      <c r="I3056" s="387" t="str">
        <f ca="1">IFERROR(VLOOKUP(INDIRECT("'WPTM - Section F'!E"&amp;B3056),'Overview - Section A'!M$31:R201,6,0),IFERROR(VLOOKUP(INDIRECT("'WPTM - Section F'!E"&amp;B3056),'Overview - Section A'!E$27:J190,6,0),""))</f>
        <v/>
      </c>
      <c r="J3056" s="387" t="str">
        <f t="shared" ca="1" si="190"/>
        <v/>
      </c>
      <c r="K3056" s="387"/>
      <c r="L3056" s="387"/>
      <c r="M3056" s="391"/>
      <c r="N3056" s="391"/>
      <c r="O3056" s="387"/>
      <c r="P3056" s="391" t="str">
        <f t="shared" ca="1" si="191"/>
        <v/>
      </c>
      <c r="Q3056" s="391"/>
      <c r="R3056" s="391" t="str">
        <f t="shared" ca="1" si="192"/>
        <v/>
      </c>
      <c r="S3056" s="391"/>
      <c r="T3056" s="392"/>
      <c r="U3056" s="387" t="str">
        <f t="shared" ca="1" si="193"/>
        <v/>
      </c>
      <c r="V3056" s="387" t="str">
        <f t="shared" ca="1" si="194"/>
        <v>a1MDm000000Xod6MAC</v>
      </c>
      <c r="W3056" s="387" t="str">
        <f ca="1">IFERROR(VLOOKUP(INDIRECT("'WPTM - Section F'!E"&amp;B3056),'Overview - Section A'!M$31:R201,4,0),IFERROR(VLOOKUP(INDIRECT("'WPTM - Section F'!E"&amp;B3056),'Overview - Section A'!E$27:J190,5,0),""))</f>
        <v/>
      </c>
    </row>
    <row r="3057" spans="1:10">
      <c r="J3057" s="386" t="str">
        <f ca="1">IF(ROW()&gt;'Impact Indicator Target Update'!A24,"",INDIRECT("'Impact Indicators - Section B'!A"&amp;'Impact Indicator Target Update'!D24))</f>
        <v/>
      </c>
    </row>
    <row r="3058" spans="1:10">
      <c r="J3058" s="386" t="str">
        <f ca="1">IF(ROW()&gt;'Impact Indicator Target Update'!A25,"",INDIRECT("'Impact Indicators - Section B'!A"&amp;'Impact Indicator Target Update'!D25))</f>
        <v/>
      </c>
    </row>
    <row r="3059" spans="1:10">
      <c r="J3059" s="386" t="str">
        <f ca="1">IF(ROW()&gt;'Impact Indicator Target Update'!A26,"",INDIRECT("'Impact Indicators - Section B'!A"&amp;'Impact Indicator Target Update'!D26))</f>
        <v/>
      </c>
    </row>
    <row r="3060" spans="1:10">
      <c r="A3060" s="385" t="s">
        <v>4550</v>
      </c>
      <c r="J3060" s="386" t="str">
        <f ca="1">IF(ROW()&gt;'Impact Indicator Target Update'!A27,"",INDIRECT("'Impact Indicators - Section B'!A"&amp;'Impact Indicator Target Update'!D27))</f>
        <v/>
      </c>
    </row>
    <row r="3061" spans="1:10">
      <c r="A3061" s="387" t="s">
        <v>328</v>
      </c>
      <c r="B3061" s="387" t="s">
        <v>318</v>
      </c>
      <c r="C3061" s="387" t="s">
        <v>4385</v>
      </c>
      <c r="D3061" s="387">
        <v>-481</v>
      </c>
      <c r="E3061" s="387" t="s">
        <v>2347</v>
      </c>
      <c r="F3061" s="387" t="s">
        <v>805</v>
      </c>
      <c r="G3061" s="387" t="s">
        <v>4551</v>
      </c>
      <c r="H3061" s="387" t="s">
        <v>4382</v>
      </c>
      <c r="I3061" s="387" t="s">
        <v>4552</v>
      </c>
      <c r="J3061" s="386" t="str">
        <f ca="1">IF(ROW()&gt;'Impact Indicator Target Update'!A28,"",INDIRECT("'Impact Indicators - Section B'!A"&amp;'Impact Indicator Target Update'!D28))</f>
        <v/>
      </c>
    </row>
    <row r="3062" spans="1:10" hidden="1">
      <c r="A3062" s="387" t="b">
        <f ca="1">IF(OR(AND(H3062&lt;&gt;"", H3062&lt;&gt;0), AND(I3062&lt;&gt;"",I3062&lt;&gt;0)),TRUE,FALSE)</f>
        <v>0</v>
      </c>
      <c r="B3062" s="387" t="str">
        <f ca="1">IF(COUNTA(G$3060:G3061)=1,"",OFFSET(B3062,-COUNTA(G$3060:G3061)+1,0))</f>
        <v/>
      </c>
      <c r="C3062" s="392" t="str">
        <f ca="1">IF(COUNTA(G$3060:G3061)=1,"",OFFSET(C3062,-COUNTA(G$3060:G3061)+1,0))</f>
        <v/>
      </c>
      <c r="D3062" s="387">
        <f>D3061+1</f>
        <v>-480</v>
      </c>
      <c r="E3062" s="387">
        <f ca="1">COUNTIF(C2892:C3062,C3062)</f>
        <v>9</v>
      </c>
      <c r="F3062" s="387" t="str">
        <f ca="1">IF(C3062=1,9,IF(E3061=MAX(E3060:E3062),F3060+1,F3061))</f>
        <v>row number</v>
      </c>
      <c r="G3062" s="387"/>
      <c r="H3062" s="391">
        <f ca="1">CHOOSE(E3062,IFERROR(IF(INDIRECT("'WPTM - Section F'!H"&amp;F3062)=0,"",INDIRECT("'WPTM - Section F'!H"&amp;$F3062)),""),IFERROR(IF(INDIRECT("'WPTM - Section F'!J"&amp;F3062)=0,"",INDIRECT("'WPTM - Section F'!J"&amp;$F3062)),""),IFERROR(IF(INDIRECT("'WPTM - Section F'!L"&amp;F3062)=0,"",INDIRECT("'WPTM - Section F'!L"&amp;$F3062)),""),IFERROR(IF(INDIRECT("'WPTM - Section F'!N"&amp;F3062)=0,"",INDIRECT("'WPTM - Section F'!N"&amp;$F3062)),""),IFERROR(IF(INDIRECT("'WPTM - Section F'!P"&amp;F3062)=0,"",INDIRECT("'WPTM - Section F'!P"&amp;$F3062)),""),IFERROR(IF(INDIRECT("'WPTM - Section F'!R"&amp;F3062)=0,"",INDIRECT("'WPTM - Section F'!R"&amp;$F3062)),""),IFERROR(IF(INDIRECT("'WPTM - Section F'!T"&amp;F3062)=0,"",INDIRECT("'WPTM - Section F'!T"&amp;$F3062)),""),IFERROR(IF(INDIRECT("'WPTM - Section F'!V"&amp;F3062)=0,"",INDIRECT("'WPTM - Section F'!V"&amp;$F3062)),""),)</f>
        <v>0</v>
      </c>
      <c r="I3062" s="391">
        <f ca="1">CHOOSE(E3062,IFERROR(IF(INDIRECT("'WPTM - Section F'!G"&amp;F3062)=0,"",INDIRECT("'WPTM - Section F'!G"&amp;$F3062)),""),IFERROR(IF(INDIRECT("'WPTM - Section F'!I"&amp;F3062)=0,"",INDIRECT("'WPTM - Section F'!I"&amp;$F3062)),""),IFERROR(IF(INDIRECT("'WPTM - Section F'!K"&amp;F3062)=0,"",INDIRECT("'WPTM - Section F'!K"&amp;$F3062)),""),IFERROR(IF(INDIRECT("'WPTM - Section F'!M"&amp;F3062)=0,"",INDIRECT("'WPTM - Section F'!M"&amp;$F3062)),""),IFERROR(IF(INDIRECT("'WPTM - Section F'!O"&amp;F3062)=0,"",INDIRECT("'WPTM - Section F'!O"&amp;$F3062)),""),IFERROR(IF(INDIRECT("'WPTM - Section F'!Q"&amp;F3062)=0,"",INDIRECT("'WPTM - Section F'!Q"&amp;$F3062)),""),IFERROR(IF(INDIRECT("'WPTM - Section F'!S"&amp;F3062)=0,"",INDIRECT("'WPTM - Section F'!S"&amp;$F3062)),""),IFERROR(IF(INDIRECT("'WPTM - Section F'!U"&amp;F3062)=0,"",INDIRECT("'WPTM - Section F'!U"&amp;$F3062)),""),)</f>
        <v>0</v>
      </c>
      <c r="J3062" s="386" t="str">
        <f ca="1">IF(ROW()&gt;'Impact Indicator Target Update'!A29,"",INDIRECT("'Impact Indicators - Section B'!A"&amp;'Impact Indicator Target Update'!D29))</f>
        <v/>
      </c>
    </row>
    <row r="3063" spans="1:10">
      <c r="A3063" s="387" t="b">
        <v>0</v>
      </c>
      <c r="B3063" s="387" t="s">
        <v>4553</v>
      </c>
      <c r="C3063" s="392">
        <v>1</v>
      </c>
      <c r="D3063" s="387">
        <f t="shared" ref="D3063:D3126" si="195">D3062+1</f>
        <v>-479</v>
      </c>
      <c r="E3063" s="387">
        <f t="shared" ref="E3063:E3126" ca="1" si="196">COUNTIF(C2893:C3063,C3063)</f>
        <v>1</v>
      </c>
      <c r="F3063" s="387">
        <f t="shared" ref="F3063:F3126" ca="1" si="197">IF(C3063=1,9,IF(E3062=MAX(E3061:E3063),F3061+1,F3062))</f>
        <v>9</v>
      </c>
      <c r="G3063" s="387" t="s">
        <v>4391</v>
      </c>
      <c r="H3063" s="391"/>
      <c r="I3063" s="391"/>
    </row>
    <row r="3064" spans="1:10">
      <c r="A3064" s="387" t="b">
        <v>0</v>
      </c>
      <c r="B3064" s="387" t="s">
        <v>4554</v>
      </c>
      <c r="C3064" s="392">
        <v>1</v>
      </c>
      <c r="D3064" s="387">
        <f t="shared" si="195"/>
        <v>-478</v>
      </c>
      <c r="E3064" s="387">
        <f t="shared" ca="1" si="196"/>
        <v>2</v>
      </c>
      <c r="F3064" s="387">
        <f t="shared" ca="1" si="197"/>
        <v>9</v>
      </c>
      <c r="G3064" s="387" t="s">
        <v>4391</v>
      </c>
      <c r="H3064" s="391"/>
      <c r="I3064" s="391"/>
    </row>
    <row r="3065" spans="1:10">
      <c r="A3065" s="387" t="b">
        <v>0</v>
      </c>
      <c r="B3065" s="387" t="s">
        <v>4555</v>
      </c>
      <c r="C3065" s="392">
        <v>1</v>
      </c>
      <c r="D3065" s="387">
        <f t="shared" si="195"/>
        <v>-477</v>
      </c>
      <c r="E3065" s="387">
        <f t="shared" ca="1" si="196"/>
        <v>3</v>
      </c>
      <c r="F3065" s="387">
        <f t="shared" ca="1" si="197"/>
        <v>9</v>
      </c>
      <c r="G3065" s="387" t="s">
        <v>4391</v>
      </c>
      <c r="H3065" s="391"/>
      <c r="I3065" s="391"/>
    </row>
    <row r="3066" spans="1:10">
      <c r="A3066" s="387" t="b">
        <v>0</v>
      </c>
      <c r="B3066" s="387" t="s">
        <v>4556</v>
      </c>
      <c r="C3066" s="392">
        <v>1</v>
      </c>
      <c r="D3066" s="387">
        <f t="shared" si="195"/>
        <v>-476</v>
      </c>
      <c r="E3066" s="387">
        <f t="shared" ca="1" si="196"/>
        <v>4</v>
      </c>
      <c r="F3066" s="387">
        <f t="shared" ca="1" si="197"/>
        <v>9</v>
      </c>
      <c r="G3066" s="387" t="s">
        <v>4391</v>
      </c>
      <c r="H3066" s="391"/>
      <c r="I3066" s="391"/>
    </row>
    <row r="3067" spans="1:10">
      <c r="A3067" s="387" t="b">
        <v>0</v>
      </c>
      <c r="B3067" s="387" t="s">
        <v>4557</v>
      </c>
      <c r="C3067" s="392">
        <v>1</v>
      </c>
      <c r="D3067" s="387">
        <f t="shared" si="195"/>
        <v>-475</v>
      </c>
      <c r="E3067" s="387">
        <f t="shared" ca="1" si="196"/>
        <v>5</v>
      </c>
      <c r="F3067" s="387">
        <f t="shared" ca="1" si="197"/>
        <v>9</v>
      </c>
      <c r="G3067" s="387" t="s">
        <v>4391</v>
      </c>
      <c r="H3067" s="391"/>
      <c r="I3067" s="391"/>
    </row>
    <row r="3068" spans="1:10">
      <c r="A3068" s="387" t="b">
        <v>0</v>
      </c>
      <c r="B3068" s="387" t="s">
        <v>4558</v>
      </c>
      <c r="C3068" s="392">
        <v>1</v>
      </c>
      <c r="D3068" s="387">
        <f t="shared" si="195"/>
        <v>-474</v>
      </c>
      <c r="E3068" s="387">
        <f t="shared" ca="1" si="196"/>
        <v>6</v>
      </c>
      <c r="F3068" s="387">
        <f t="shared" ca="1" si="197"/>
        <v>9</v>
      </c>
      <c r="G3068" s="387" t="s">
        <v>4391</v>
      </c>
      <c r="H3068" s="391"/>
      <c r="I3068" s="391"/>
    </row>
    <row r="3069" spans="1:10">
      <c r="A3069" s="387" t="b">
        <v>0</v>
      </c>
      <c r="B3069" s="387" t="s">
        <v>4559</v>
      </c>
      <c r="C3069" s="392">
        <v>2</v>
      </c>
      <c r="D3069" s="387">
        <f t="shared" si="195"/>
        <v>-473</v>
      </c>
      <c r="E3069" s="387">
        <f t="shared" ca="1" si="196"/>
        <v>1</v>
      </c>
      <c r="F3069" s="387">
        <f t="shared" ca="1" si="197"/>
        <v>10</v>
      </c>
      <c r="G3069" s="387" t="s">
        <v>4393</v>
      </c>
      <c r="H3069" s="391"/>
      <c r="I3069" s="391"/>
    </row>
    <row r="3070" spans="1:10">
      <c r="A3070" s="387" t="b">
        <v>0</v>
      </c>
      <c r="B3070" s="387" t="s">
        <v>4560</v>
      </c>
      <c r="C3070" s="392">
        <v>2</v>
      </c>
      <c r="D3070" s="387">
        <f t="shared" si="195"/>
        <v>-472</v>
      </c>
      <c r="E3070" s="387">
        <f t="shared" ca="1" si="196"/>
        <v>2</v>
      </c>
      <c r="F3070" s="387">
        <f t="shared" ca="1" si="197"/>
        <v>10</v>
      </c>
      <c r="G3070" s="387" t="s">
        <v>4393</v>
      </c>
      <c r="H3070" s="391"/>
      <c r="I3070" s="391"/>
    </row>
    <row r="3071" spans="1:10">
      <c r="A3071" s="387" t="b">
        <v>0</v>
      </c>
      <c r="B3071" s="387" t="s">
        <v>4561</v>
      </c>
      <c r="C3071" s="392">
        <v>2</v>
      </c>
      <c r="D3071" s="387">
        <f t="shared" si="195"/>
        <v>-471</v>
      </c>
      <c r="E3071" s="387">
        <f t="shared" ca="1" si="196"/>
        <v>3</v>
      </c>
      <c r="F3071" s="387">
        <f t="shared" ca="1" si="197"/>
        <v>10</v>
      </c>
      <c r="G3071" s="387" t="s">
        <v>4393</v>
      </c>
      <c r="H3071" s="391"/>
      <c r="I3071" s="391"/>
    </row>
    <row r="3072" spans="1:10">
      <c r="A3072" s="387" t="b">
        <v>0</v>
      </c>
      <c r="B3072" s="387" t="s">
        <v>4562</v>
      </c>
      <c r="C3072" s="392">
        <v>2</v>
      </c>
      <c r="D3072" s="387">
        <f t="shared" si="195"/>
        <v>-470</v>
      </c>
      <c r="E3072" s="387">
        <f t="shared" ca="1" si="196"/>
        <v>4</v>
      </c>
      <c r="F3072" s="387">
        <f t="shared" ca="1" si="197"/>
        <v>10</v>
      </c>
      <c r="G3072" s="387" t="s">
        <v>4393</v>
      </c>
      <c r="H3072" s="391"/>
      <c r="I3072" s="391"/>
    </row>
    <row r="3073" spans="1:9">
      <c r="A3073" s="387" t="b">
        <v>0</v>
      </c>
      <c r="B3073" s="387" t="s">
        <v>4563</v>
      </c>
      <c r="C3073" s="392">
        <v>2</v>
      </c>
      <c r="D3073" s="387">
        <f t="shared" si="195"/>
        <v>-469</v>
      </c>
      <c r="E3073" s="387">
        <f t="shared" ca="1" si="196"/>
        <v>5</v>
      </c>
      <c r="F3073" s="387">
        <f t="shared" ca="1" si="197"/>
        <v>10</v>
      </c>
      <c r="G3073" s="387" t="s">
        <v>4393</v>
      </c>
      <c r="H3073" s="391"/>
      <c r="I3073" s="391"/>
    </row>
    <row r="3074" spans="1:9">
      <c r="A3074" s="387" t="b">
        <v>0</v>
      </c>
      <c r="B3074" s="387" t="s">
        <v>4564</v>
      </c>
      <c r="C3074" s="392">
        <v>2</v>
      </c>
      <c r="D3074" s="387">
        <f t="shared" si="195"/>
        <v>-468</v>
      </c>
      <c r="E3074" s="387">
        <f t="shared" ca="1" si="196"/>
        <v>6</v>
      </c>
      <c r="F3074" s="387">
        <f t="shared" ca="1" si="197"/>
        <v>10</v>
      </c>
      <c r="G3074" s="387" t="s">
        <v>4393</v>
      </c>
      <c r="H3074" s="391"/>
      <c r="I3074" s="391"/>
    </row>
    <row r="3075" spans="1:9">
      <c r="A3075" s="387" t="b">
        <v>0</v>
      </c>
      <c r="B3075" s="387" t="s">
        <v>4565</v>
      </c>
      <c r="C3075" s="392">
        <v>3</v>
      </c>
      <c r="D3075" s="387">
        <f t="shared" si="195"/>
        <v>-467</v>
      </c>
      <c r="E3075" s="387">
        <f t="shared" ca="1" si="196"/>
        <v>1</v>
      </c>
      <c r="F3075" s="387">
        <f t="shared" ca="1" si="197"/>
        <v>11</v>
      </c>
      <c r="G3075" s="387" t="s">
        <v>4395</v>
      </c>
      <c r="H3075" s="391"/>
      <c r="I3075" s="391"/>
    </row>
    <row r="3076" spans="1:9">
      <c r="A3076" s="387" t="b">
        <v>0</v>
      </c>
      <c r="B3076" s="387" t="s">
        <v>4566</v>
      </c>
      <c r="C3076" s="392">
        <v>3</v>
      </c>
      <c r="D3076" s="387">
        <f t="shared" si="195"/>
        <v>-466</v>
      </c>
      <c r="E3076" s="387">
        <f t="shared" ca="1" si="196"/>
        <v>2</v>
      </c>
      <c r="F3076" s="387">
        <f t="shared" ca="1" si="197"/>
        <v>11</v>
      </c>
      <c r="G3076" s="387" t="s">
        <v>4395</v>
      </c>
      <c r="H3076" s="391"/>
      <c r="I3076" s="391"/>
    </row>
    <row r="3077" spans="1:9">
      <c r="A3077" s="387" t="b">
        <v>0</v>
      </c>
      <c r="B3077" s="387" t="s">
        <v>4567</v>
      </c>
      <c r="C3077" s="392">
        <v>3</v>
      </c>
      <c r="D3077" s="387">
        <f t="shared" si="195"/>
        <v>-465</v>
      </c>
      <c r="E3077" s="387">
        <f t="shared" ca="1" si="196"/>
        <v>3</v>
      </c>
      <c r="F3077" s="387">
        <f t="shared" ca="1" si="197"/>
        <v>11</v>
      </c>
      <c r="G3077" s="387" t="s">
        <v>4395</v>
      </c>
      <c r="H3077" s="391"/>
      <c r="I3077" s="391"/>
    </row>
    <row r="3078" spans="1:9">
      <c r="A3078" s="387" t="b">
        <v>0</v>
      </c>
      <c r="B3078" s="387" t="s">
        <v>4568</v>
      </c>
      <c r="C3078" s="392">
        <v>3</v>
      </c>
      <c r="D3078" s="387">
        <f t="shared" si="195"/>
        <v>-464</v>
      </c>
      <c r="E3078" s="387">
        <f t="shared" ca="1" si="196"/>
        <v>4</v>
      </c>
      <c r="F3078" s="387">
        <f t="shared" ca="1" si="197"/>
        <v>11</v>
      </c>
      <c r="G3078" s="387" t="s">
        <v>4395</v>
      </c>
      <c r="H3078" s="391"/>
      <c r="I3078" s="391"/>
    </row>
    <row r="3079" spans="1:9">
      <c r="A3079" s="387" t="b">
        <v>0</v>
      </c>
      <c r="B3079" s="387" t="s">
        <v>4569</v>
      </c>
      <c r="C3079" s="392">
        <v>3</v>
      </c>
      <c r="D3079" s="387">
        <f t="shared" si="195"/>
        <v>-463</v>
      </c>
      <c r="E3079" s="387">
        <f t="shared" ca="1" si="196"/>
        <v>5</v>
      </c>
      <c r="F3079" s="387">
        <f t="shared" ca="1" si="197"/>
        <v>11</v>
      </c>
      <c r="G3079" s="387" t="s">
        <v>4395</v>
      </c>
      <c r="H3079" s="391"/>
      <c r="I3079" s="391"/>
    </row>
    <row r="3080" spans="1:9">
      <c r="A3080" s="387" t="b">
        <v>0</v>
      </c>
      <c r="B3080" s="387" t="s">
        <v>4570</v>
      </c>
      <c r="C3080" s="392">
        <v>3</v>
      </c>
      <c r="D3080" s="387">
        <f t="shared" si="195"/>
        <v>-462</v>
      </c>
      <c r="E3080" s="387">
        <f t="shared" ca="1" si="196"/>
        <v>6</v>
      </c>
      <c r="F3080" s="387">
        <f t="shared" ca="1" si="197"/>
        <v>11</v>
      </c>
      <c r="G3080" s="387" t="s">
        <v>4395</v>
      </c>
      <c r="H3080" s="391"/>
      <c r="I3080" s="391"/>
    </row>
    <row r="3081" spans="1:9">
      <c r="A3081" s="387" t="b">
        <v>0</v>
      </c>
      <c r="B3081" s="387" t="s">
        <v>4571</v>
      </c>
      <c r="C3081" s="392">
        <v>4</v>
      </c>
      <c r="D3081" s="387">
        <f t="shared" si="195"/>
        <v>-461</v>
      </c>
      <c r="E3081" s="387">
        <f t="shared" ca="1" si="196"/>
        <v>1</v>
      </c>
      <c r="F3081" s="387">
        <f t="shared" ca="1" si="197"/>
        <v>12</v>
      </c>
      <c r="G3081" s="387" t="s">
        <v>4397</v>
      </c>
      <c r="H3081" s="391"/>
      <c r="I3081" s="391"/>
    </row>
    <row r="3082" spans="1:9">
      <c r="A3082" s="387" t="b">
        <v>0</v>
      </c>
      <c r="B3082" s="387" t="s">
        <v>4572</v>
      </c>
      <c r="C3082" s="392">
        <v>4</v>
      </c>
      <c r="D3082" s="387">
        <f t="shared" si="195"/>
        <v>-460</v>
      </c>
      <c r="E3082" s="387">
        <f t="shared" ca="1" si="196"/>
        <v>2</v>
      </c>
      <c r="F3082" s="387">
        <f t="shared" ca="1" si="197"/>
        <v>12</v>
      </c>
      <c r="G3082" s="387" t="s">
        <v>4397</v>
      </c>
      <c r="H3082" s="391"/>
      <c r="I3082" s="391"/>
    </row>
    <row r="3083" spans="1:9">
      <c r="A3083" s="387" t="b">
        <v>0</v>
      </c>
      <c r="B3083" s="387" t="s">
        <v>4573</v>
      </c>
      <c r="C3083" s="392">
        <v>4</v>
      </c>
      <c r="D3083" s="387">
        <f t="shared" si="195"/>
        <v>-459</v>
      </c>
      <c r="E3083" s="387">
        <f t="shared" ca="1" si="196"/>
        <v>3</v>
      </c>
      <c r="F3083" s="387">
        <f t="shared" ca="1" si="197"/>
        <v>12</v>
      </c>
      <c r="G3083" s="387" t="s">
        <v>4397</v>
      </c>
      <c r="H3083" s="391"/>
      <c r="I3083" s="391"/>
    </row>
    <row r="3084" spans="1:9">
      <c r="A3084" s="387" t="b">
        <v>0</v>
      </c>
      <c r="B3084" s="387" t="s">
        <v>4574</v>
      </c>
      <c r="C3084" s="392">
        <v>4</v>
      </c>
      <c r="D3084" s="387">
        <f t="shared" si="195"/>
        <v>-458</v>
      </c>
      <c r="E3084" s="387">
        <f t="shared" ca="1" si="196"/>
        <v>4</v>
      </c>
      <c r="F3084" s="387">
        <f t="shared" ca="1" si="197"/>
        <v>12</v>
      </c>
      <c r="G3084" s="387" t="s">
        <v>4397</v>
      </c>
      <c r="H3084" s="391"/>
      <c r="I3084" s="391"/>
    </row>
    <row r="3085" spans="1:9">
      <c r="A3085" s="387" t="b">
        <v>0</v>
      </c>
      <c r="B3085" s="387" t="s">
        <v>4575</v>
      </c>
      <c r="C3085" s="392">
        <v>4</v>
      </c>
      <c r="D3085" s="387">
        <f t="shared" si="195"/>
        <v>-457</v>
      </c>
      <c r="E3085" s="387">
        <f t="shared" ca="1" si="196"/>
        <v>5</v>
      </c>
      <c r="F3085" s="387">
        <f t="shared" ca="1" si="197"/>
        <v>12</v>
      </c>
      <c r="G3085" s="387" t="s">
        <v>4397</v>
      </c>
      <c r="H3085" s="391"/>
      <c r="I3085" s="391"/>
    </row>
    <row r="3086" spans="1:9">
      <c r="A3086" s="387" t="b">
        <v>0</v>
      </c>
      <c r="B3086" s="387" t="s">
        <v>4576</v>
      </c>
      <c r="C3086" s="392">
        <v>4</v>
      </c>
      <c r="D3086" s="387">
        <f t="shared" si="195"/>
        <v>-456</v>
      </c>
      <c r="E3086" s="387">
        <f t="shared" ca="1" si="196"/>
        <v>6</v>
      </c>
      <c r="F3086" s="387">
        <f t="shared" ca="1" si="197"/>
        <v>12</v>
      </c>
      <c r="G3086" s="387" t="s">
        <v>4397</v>
      </c>
      <c r="H3086" s="391"/>
      <c r="I3086" s="391"/>
    </row>
    <row r="3087" spans="1:9">
      <c r="A3087" s="387" t="b">
        <v>0</v>
      </c>
      <c r="B3087" s="387" t="s">
        <v>4577</v>
      </c>
      <c r="C3087" s="392">
        <v>5</v>
      </c>
      <c r="D3087" s="387">
        <f t="shared" si="195"/>
        <v>-455</v>
      </c>
      <c r="E3087" s="387">
        <f t="shared" ca="1" si="196"/>
        <v>1</v>
      </c>
      <c r="F3087" s="387">
        <f t="shared" ca="1" si="197"/>
        <v>13</v>
      </c>
      <c r="G3087" s="387" t="s">
        <v>4399</v>
      </c>
      <c r="H3087" s="391"/>
      <c r="I3087" s="391"/>
    </row>
    <row r="3088" spans="1:9">
      <c r="A3088" s="387" t="b">
        <v>0</v>
      </c>
      <c r="B3088" s="387" t="s">
        <v>4578</v>
      </c>
      <c r="C3088" s="392">
        <v>5</v>
      </c>
      <c r="D3088" s="387">
        <f t="shared" si="195"/>
        <v>-454</v>
      </c>
      <c r="E3088" s="387">
        <f t="shared" ca="1" si="196"/>
        <v>2</v>
      </c>
      <c r="F3088" s="387">
        <f t="shared" ca="1" si="197"/>
        <v>13</v>
      </c>
      <c r="G3088" s="387" t="s">
        <v>4399</v>
      </c>
      <c r="H3088" s="391"/>
      <c r="I3088" s="391"/>
    </row>
    <row r="3089" spans="1:9">
      <c r="A3089" s="387" t="b">
        <v>0</v>
      </c>
      <c r="B3089" s="387" t="s">
        <v>4579</v>
      </c>
      <c r="C3089" s="392">
        <v>5</v>
      </c>
      <c r="D3089" s="387">
        <f t="shared" si="195"/>
        <v>-453</v>
      </c>
      <c r="E3089" s="387">
        <f t="shared" ca="1" si="196"/>
        <v>3</v>
      </c>
      <c r="F3089" s="387">
        <f t="shared" ca="1" si="197"/>
        <v>13</v>
      </c>
      <c r="G3089" s="387" t="s">
        <v>4399</v>
      </c>
      <c r="H3089" s="391"/>
      <c r="I3089" s="391"/>
    </row>
    <row r="3090" spans="1:9">
      <c r="A3090" s="387" t="b">
        <v>0</v>
      </c>
      <c r="B3090" s="387" t="s">
        <v>4580</v>
      </c>
      <c r="C3090" s="392">
        <v>5</v>
      </c>
      <c r="D3090" s="387">
        <f t="shared" si="195"/>
        <v>-452</v>
      </c>
      <c r="E3090" s="387">
        <f t="shared" ca="1" si="196"/>
        <v>4</v>
      </c>
      <c r="F3090" s="387">
        <f t="shared" ca="1" si="197"/>
        <v>13</v>
      </c>
      <c r="G3090" s="387" t="s">
        <v>4399</v>
      </c>
      <c r="H3090" s="391"/>
      <c r="I3090" s="391"/>
    </row>
    <row r="3091" spans="1:9">
      <c r="A3091" s="387" t="b">
        <v>0</v>
      </c>
      <c r="B3091" s="387" t="s">
        <v>4581</v>
      </c>
      <c r="C3091" s="392">
        <v>5</v>
      </c>
      <c r="D3091" s="387">
        <f t="shared" si="195"/>
        <v>-451</v>
      </c>
      <c r="E3091" s="387">
        <f t="shared" ca="1" si="196"/>
        <v>5</v>
      </c>
      <c r="F3091" s="387">
        <f t="shared" ca="1" si="197"/>
        <v>13</v>
      </c>
      <c r="G3091" s="387" t="s">
        <v>4399</v>
      </c>
      <c r="H3091" s="391"/>
      <c r="I3091" s="391"/>
    </row>
    <row r="3092" spans="1:9">
      <c r="A3092" s="387" t="b">
        <v>0</v>
      </c>
      <c r="B3092" s="387" t="s">
        <v>4582</v>
      </c>
      <c r="C3092" s="392">
        <v>5</v>
      </c>
      <c r="D3092" s="387">
        <f t="shared" si="195"/>
        <v>-450</v>
      </c>
      <c r="E3092" s="387">
        <f t="shared" ca="1" si="196"/>
        <v>6</v>
      </c>
      <c r="F3092" s="387">
        <f t="shared" ca="1" si="197"/>
        <v>13</v>
      </c>
      <c r="G3092" s="387" t="s">
        <v>4399</v>
      </c>
      <c r="H3092" s="391"/>
      <c r="I3092" s="391"/>
    </row>
    <row r="3093" spans="1:9">
      <c r="A3093" s="387" t="b">
        <v>0</v>
      </c>
      <c r="B3093" s="387" t="s">
        <v>4583</v>
      </c>
      <c r="C3093" s="392">
        <v>6</v>
      </c>
      <c r="D3093" s="387">
        <f t="shared" si="195"/>
        <v>-449</v>
      </c>
      <c r="E3093" s="387">
        <f t="shared" ca="1" si="196"/>
        <v>1</v>
      </c>
      <c r="F3093" s="387">
        <f t="shared" ca="1" si="197"/>
        <v>14</v>
      </c>
      <c r="G3093" s="387" t="s">
        <v>4401</v>
      </c>
      <c r="H3093" s="391"/>
      <c r="I3093" s="391"/>
    </row>
    <row r="3094" spans="1:9">
      <c r="A3094" s="387" t="b">
        <v>0</v>
      </c>
      <c r="B3094" s="387" t="s">
        <v>4584</v>
      </c>
      <c r="C3094" s="392">
        <v>6</v>
      </c>
      <c r="D3094" s="387">
        <f t="shared" si="195"/>
        <v>-448</v>
      </c>
      <c r="E3094" s="387">
        <f t="shared" ca="1" si="196"/>
        <v>2</v>
      </c>
      <c r="F3094" s="387">
        <f t="shared" ca="1" si="197"/>
        <v>14</v>
      </c>
      <c r="G3094" s="387" t="s">
        <v>4401</v>
      </c>
      <c r="H3094" s="391"/>
      <c r="I3094" s="391"/>
    </row>
    <row r="3095" spans="1:9">
      <c r="A3095" s="387" t="b">
        <v>0</v>
      </c>
      <c r="B3095" s="387" t="s">
        <v>4585</v>
      </c>
      <c r="C3095" s="392">
        <v>6</v>
      </c>
      <c r="D3095" s="387">
        <f t="shared" si="195"/>
        <v>-447</v>
      </c>
      <c r="E3095" s="387">
        <f t="shared" ca="1" si="196"/>
        <v>3</v>
      </c>
      <c r="F3095" s="387">
        <f t="shared" ca="1" si="197"/>
        <v>14</v>
      </c>
      <c r="G3095" s="387" t="s">
        <v>4401</v>
      </c>
      <c r="H3095" s="391"/>
      <c r="I3095" s="391"/>
    </row>
    <row r="3096" spans="1:9">
      <c r="A3096" s="387" t="b">
        <v>0</v>
      </c>
      <c r="B3096" s="387" t="s">
        <v>4586</v>
      </c>
      <c r="C3096" s="392">
        <v>6</v>
      </c>
      <c r="D3096" s="387">
        <f t="shared" si="195"/>
        <v>-446</v>
      </c>
      <c r="E3096" s="387">
        <f t="shared" ca="1" si="196"/>
        <v>4</v>
      </c>
      <c r="F3096" s="387">
        <f t="shared" ca="1" si="197"/>
        <v>14</v>
      </c>
      <c r="G3096" s="387" t="s">
        <v>4401</v>
      </c>
      <c r="H3096" s="391"/>
      <c r="I3096" s="391"/>
    </row>
    <row r="3097" spans="1:9">
      <c r="A3097" s="387" t="b">
        <v>0</v>
      </c>
      <c r="B3097" s="387" t="s">
        <v>4587</v>
      </c>
      <c r="C3097" s="392">
        <v>6</v>
      </c>
      <c r="D3097" s="387">
        <f t="shared" si="195"/>
        <v>-445</v>
      </c>
      <c r="E3097" s="387">
        <f t="shared" ca="1" si="196"/>
        <v>5</v>
      </c>
      <c r="F3097" s="387">
        <f t="shared" ca="1" si="197"/>
        <v>14</v>
      </c>
      <c r="G3097" s="387" t="s">
        <v>4401</v>
      </c>
      <c r="H3097" s="391"/>
      <c r="I3097" s="391"/>
    </row>
    <row r="3098" spans="1:9">
      <c r="A3098" s="387" t="b">
        <v>0</v>
      </c>
      <c r="B3098" s="387" t="s">
        <v>4588</v>
      </c>
      <c r="C3098" s="392">
        <v>6</v>
      </c>
      <c r="D3098" s="387">
        <f t="shared" si="195"/>
        <v>-444</v>
      </c>
      <c r="E3098" s="387">
        <f t="shared" ca="1" si="196"/>
        <v>6</v>
      </c>
      <c r="F3098" s="387">
        <f t="shared" ca="1" si="197"/>
        <v>14</v>
      </c>
      <c r="G3098" s="387" t="s">
        <v>4401</v>
      </c>
      <c r="H3098" s="391"/>
      <c r="I3098" s="391"/>
    </row>
    <row r="3099" spans="1:9">
      <c r="A3099" s="387" t="b">
        <v>0</v>
      </c>
      <c r="B3099" s="387" t="s">
        <v>4589</v>
      </c>
      <c r="C3099" s="392">
        <v>7</v>
      </c>
      <c r="D3099" s="387">
        <f t="shared" si="195"/>
        <v>-443</v>
      </c>
      <c r="E3099" s="387">
        <f t="shared" ca="1" si="196"/>
        <v>1</v>
      </c>
      <c r="F3099" s="387">
        <f t="shared" ca="1" si="197"/>
        <v>15</v>
      </c>
      <c r="G3099" s="387" t="s">
        <v>4403</v>
      </c>
      <c r="H3099" s="391"/>
      <c r="I3099" s="391"/>
    </row>
    <row r="3100" spans="1:9">
      <c r="A3100" s="387" t="b">
        <v>0</v>
      </c>
      <c r="B3100" s="387" t="s">
        <v>4590</v>
      </c>
      <c r="C3100" s="392">
        <v>7</v>
      </c>
      <c r="D3100" s="387">
        <f t="shared" si="195"/>
        <v>-442</v>
      </c>
      <c r="E3100" s="387">
        <f t="shared" ca="1" si="196"/>
        <v>2</v>
      </c>
      <c r="F3100" s="387">
        <f t="shared" ca="1" si="197"/>
        <v>15</v>
      </c>
      <c r="G3100" s="387" t="s">
        <v>4403</v>
      </c>
      <c r="H3100" s="391"/>
      <c r="I3100" s="391"/>
    </row>
    <row r="3101" spans="1:9">
      <c r="A3101" s="387" t="b">
        <v>0</v>
      </c>
      <c r="B3101" s="387" t="s">
        <v>4591</v>
      </c>
      <c r="C3101" s="392">
        <v>7</v>
      </c>
      <c r="D3101" s="387">
        <f t="shared" si="195"/>
        <v>-441</v>
      </c>
      <c r="E3101" s="387">
        <f t="shared" ca="1" si="196"/>
        <v>3</v>
      </c>
      <c r="F3101" s="387">
        <f t="shared" ca="1" si="197"/>
        <v>15</v>
      </c>
      <c r="G3101" s="387" t="s">
        <v>4403</v>
      </c>
      <c r="H3101" s="391"/>
      <c r="I3101" s="391"/>
    </row>
    <row r="3102" spans="1:9">
      <c r="A3102" s="387" t="b">
        <v>0</v>
      </c>
      <c r="B3102" s="387" t="s">
        <v>4592</v>
      </c>
      <c r="C3102" s="392">
        <v>7</v>
      </c>
      <c r="D3102" s="387">
        <f t="shared" si="195"/>
        <v>-440</v>
      </c>
      <c r="E3102" s="387">
        <f t="shared" ca="1" si="196"/>
        <v>4</v>
      </c>
      <c r="F3102" s="387">
        <f t="shared" ca="1" si="197"/>
        <v>15</v>
      </c>
      <c r="G3102" s="387" t="s">
        <v>4403</v>
      </c>
      <c r="H3102" s="391"/>
      <c r="I3102" s="391"/>
    </row>
    <row r="3103" spans="1:9">
      <c r="A3103" s="387" t="b">
        <v>0</v>
      </c>
      <c r="B3103" s="387" t="s">
        <v>4593</v>
      </c>
      <c r="C3103" s="392">
        <v>7</v>
      </c>
      <c r="D3103" s="387">
        <f t="shared" si="195"/>
        <v>-439</v>
      </c>
      <c r="E3103" s="387">
        <f t="shared" ca="1" si="196"/>
        <v>5</v>
      </c>
      <c r="F3103" s="387">
        <f t="shared" ca="1" si="197"/>
        <v>15</v>
      </c>
      <c r="G3103" s="387" t="s">
        <v>4403</v>
      </c>
      <c r="H3103" s="391"/>
      <c r="I3103" s="391"/>
    </row>
    <row r="3104" spans="1:9">
      <c r="A3104" s="387" t="b">
        <v>0</v>
      </c>
      <c r="B3104" s="387" t="s">
        <v>4594</v>
      </c>
      <c r="C3104" s="392">
        <v>7</v>
      </c>
      <c r="D3104" s="387">
        <f t="shared" si="195"/>
        <v>-438</v>
      </c>
      <c r="E3104" s="387">
        <f t="shared" ca="1" si="196"/>
        <v>6</v>
      </c>
      <c r="F3104" s="387">
        <f t="shared" ca="1" si="197"/>
        <v>15</v>
      </c>
      <c r="G3104" s="387" t="s">
        <v>4403</v>
      </c>
      <c r="H3104" s="391"/>
      <c r="I3104" s="391"/>
    </row>
    <row r="3105" spans="1:9">
      <c r="A3105" s="387" t="b">
        <v>0</v>
      </c>
      <c r="B3105" s="387" t="s">
        <v>4595</v>
      </c>
      <c r="C3105" s="392">
        <v>8</v>
      </c>
      <c r="D3105" s="387">
        <f t="shared" si="195"/>
        <v>-437</v>
      </c>
      <c r="E3105" s="387">
        <f t="shared" ca="1" si="196"/>
        <v>1</v>
      </c>
      <c r="F3105" s="387">
        <f t="shared" ca="1" si="197"/>
        <v>16</v>
      </c>
      <c r="G3105" s="387" t="s">
        <v>4405</v>
      </c>
      <c r="H3105" s="391"/>
      <c r="I3105" s="391"/>
    </row>
    <row r="3106" spans="1:9">
      <c r="A3106" s="387" t="b">
        <v>0</v>
      </c>
      <c r="B3106" s="387" t="s">
        <v>4596</v>
      </c>
      <c r="C3106" s="392">
        <v>8</v>
      </c>
      <c r="D3106" s="387">
        <f t="shared" si="195"/>
        <v>-436</v>
      </c>
      <c r="E3106" s="387">
        <f t="shared" ca="1" si="196"/>
        <v>2</v>
      </c>
      <c r="F3106" s="387">
        <f t="shared" ca="1" si="197"/>
        <v>16</v>
      </c>
      <c r="G3106" s="387" t="s">
        <v>4405</v>
      </c>
      <c r="H3106" s="391"/>
      <c r="I3106" s="391"/>
    </row>
    <row r="3107" spans="1:9">
      <c r="A3107" s="387" t="b">
        <v>0</v>
      </c>
      <c r="B3107" s="387" t="s">
        <v>4597</v>
      </c>
      <c r="C3107" s="392">
        <v>8</v>
      </c>
      <c r="D3107" s="387">
        <f t="shared" si="195"/>
        <v>-435</v>
      </c>
      <c r="E3107" s="387">
        <f t="shared" ca="1" si="196"/>
        <v>3</v>
      </c>
      <c r="F3107" s="387">
        <f t="shared" ca="1" si="197"/>
        <v>16</v>
      </c>
      <c r="G3107" s="387" t="s">
        <v>4405</v>
      </c>
      <c r="H3107" s="391"/>
      <c r="I3107" s="391"/>
    </row>
    <row r="3108" spans="1:9">
      <c r="A3108" s="387" t="b">
        <v>0</v>
      </c>
      <c r="B3108" s="387" t="s">
        <v>4598</v>
      </c>
      <c r="C3108" s="392">
        <v>8</v>
      </c>
      <c r="D3108" s="387">
        <f t="shared" si="195"/>
        <v>-434</v>
      </c>
      <c r="E3108" s="387">
        <f t="shared" ca="1" si="196"/>
        <v>4</v>
      </c>
      <c r="F3108" s="387">
        <f t="shared" ca="1" si="197"/>
        <v>16</v>
      </c>
      <c r="G3108" s="387" t="s">
        <v>4405</v>
      </c>
      <c r="H3108" s="391"/>
      <c r="I3108" s="391"/>
    </row>
    <row r="3109" spans="1:9">
      <c r="A3109" s="387" t="b">
        <v>0</v>
      </c>
      <c r="B3109" s="387" t="s">
        <v>4599</v>
      </c>
      <c r="C3109" s="392">
        <v>8</v>
      </c>
      <c r="D3109" s="387">
        <f t="shared" si="195"/>
        <v>-433</v>
      </c>
      <c r="E3109" s="387">
        <f t="shared" ca="1" si="196"/>
        <v>5</v>
      </c>
      <c r="F3109" s="387">
        <f t="shared" ca="1" si="197"/>
        <v>16</v>
      </c>
      <c r="G3109" s="387" t="s">
        <v>4405</v>
      </c>
      <c r="H3109" s="391"/>
      <c r="I3109" s="391"/>
    </row>
    <row r="3110" spans="1:9">
      <c r="A3110" s="387" t="b">
        <v>0</v>
      </c>
      <c r="B3110" s="387" t="s">
        <v>4600</v>
      </c>
      <c r="C3110" s="392">
        <v>8</v>
      </c>
      <c r="D3110" s="387">
        <f t="shared" si="195"/>
        <v>-432</v>
      </c>
      <c r="E3110" s="387">
        <f t="shared" ca="1" si="196"/>
        <v>6</v>
      </c>
      <c r="F3110" s="387">
        <f t="shared" ca="1" si="197"/>
        <v>16</v>
      </c>
      <c r="G3110" s="387" t="s">
        <v>4405</v>
      </c>
      <c r="H3110" s="391"/>
      <c r="I3110" s="391"/>
    </row>
    <row r="3111" spans="1:9">
      <c r="A3111" s="387" t="b">
        <v>0</v>
      </c>
      <c r="B3111" s="387" t="s">
        <v>4601</v>
      </c>
      <c r="C3111" s="392">
        <v>9</v>
      </c>
      <c r="D3111" s="387">
        <f t="shared" si="195"/>
        <v>-431</v>
      </c>
      <c r="E3111" s="387">
        <f t="shared" ca="1" si="196"/>
        <v>1</v>
      </c>
      <c r="F3111" s="387">
        <f t="shared" ca="1" si="197"/>
        <v>17</v>
      </c>
      <c r="G3111" s="387" t="s">
        <v>4407</v>
      </c>
      <c r="H3111" s="391"/>
      <c r="I3111" s="391"/>
    </row>
    <row r="3112" spans="1:9">
      <c r="A3112" s="387" t="b">
        <v>0</v>
      </c>
      <c r="B3112" s="387" t="s">
        <v>4602</v>
      </c>
      <c r="C3112" s="392">
        <v>9</v>
      </c>
      <c r="D3112" s="387">
        <f t="shared" si="195"/>
        <v>-430</v>
      </c>
      <c r="E3112" s="387">
        <f t="shared" ca="1" si="196"/>
        <v>2</v>
      </c>
      <c r="F3112" s="387">
        <f t="shared" ca="1" si="197"/>
        <v>17</v>
      </c>
      <c r="G3112" s="387" t="s">
        <v>4407</v>
      </c>
      <c r="H3112" s="391"/>
      <c r="I3112" s="391"/>
    </row>
    <row r="3113" spans="1:9">
      <c r="A3113" s="387" t="b">
        <v>0</v>
      </c>
      <c r="B3113" s="387" t="s">
        <v>4603</v>
      </c>
      <c r="C3113" s="392">
        <v>9</v>
      </c>
      <c r="D3113" s="387">
        <f t="shared" si="195"/>
        <v>-429</v>
      </c>
      <c r="E3113" s="387">
        <f t="shared" ca="1" si="196"/>
        <v>3</v>
      </c>
      <c r="F3113" s="387">
        <f t="shared" ca="1" si="197"/>
        <v>17</v>
      </c>
      <c r="G3113" s="387" t="s">
        <v>4407</v>
      </c>
      <c r="H3113" s="391"/>
      <c r="I3113" s="391"/>
    </row>
    <row r="3114" spans="1:9">
      <c r="A3114" s="387" t="b">
        <v>0</v>
      </c>
      <c r="B3114" s="387" t="s">
        <v>4604</v>
      </c>
      <c r="C3114" s="392">
        <v>9</v>
      </c>
      <c r="D3114" s="387">
        <f t="shared" si="195"/>
        <v>-428</v>
      </c>
      <c r="E3114" s="387">
        <f t="shared" ca="1" si="196"/>
        <v>4</v>
      </c>
      <c r="F3114" s="387">
        <f t="shared" ca="1" si="197"/>
        <v>17</v>
      </c>
      <c r="G3114" s="387" t="s">
        <v>4407</v>
      </c>
      <c r="H3114" s="391"/>
      <c r="I3114" s="391"/>
    </row>
    <row r="3115" spans="1:9">
      <c r="A3115" s="387" t="b">
        <v>0</v>
      </c>
      <c r="B3115" s="387" t="s">
        <v>4605</v>
      </c>
      <c r="C3115" s="392">
        <v>9</v>
      </c>
      <c r="D3115" s="387">
        <f t="shared" si="195"/>
        <v>-427</v>
      </c>
      <c r="E3115" s="387">
        <f t="shared" ca="1" si="196"/>
        <v>5</v>
      </c>
      <c r="F3115" s="387">
        <f t="shared" ca="1" si="197"/>
        <v>17</v>
      </c>
      <c r="G3115" s="387" t="s">
        <v>4407</v>
      </c>
      <c r="H3115" s="391"/>
      <c r="I3115" s="391"/>
    </row>
    <row r="3116" spans="1:9">
      <c r="A3116" s="387" t="b">
        <v>0</v>
      </c>
      <c r="B3116" s="387" t="s">
        <v>4606</v>
      </c>
      <c r="C3116" s="392">
        <v>9</v>
      </c>
      <c r="D3116" s="387">
        <f t="shared" si="195"/>
        <v>-426</v>
      </c>
      <c r="E3116" s="387">
        <f t="shared" ca="1" si="196"/>
        <v>6</v>
      </c>
      <c r="F3116" s="387">
        <f t="shared" ca="1" si="197"/>
        <v>17</v>
      </c>
      <c r="G3116" s="387" t="s">
        <v>4407</v>
      </c>
      <c r="H3116" s="391"/>
      <c r="I3116" s="391"/>
    </row>
    <row r="3117" spans="1:9">
      <c r="A3117" s="387" t="b">
        <v>0</v>
      </c>
      <c r="B3117" s="387" t="s">
        <v>4607</v>
      </c>
      <c r="C3117" s="392">
        <v>10</v>
      </c>
      <c r="D3117" s="387">
        <f t="shared" si="195"/>
        <v>-425</v>
      </c>
      <c r="E3117" s="387">
        <f t="shared" ca="1" si="196"/>
        <v>1</v>
      </c>
      <c r="F3117" s="387">
        <f t="shared" ca="1" si="197"/>
        <v>18</v>
      </c>
      <c r="G3117" s="387" t="s">
        <v>4409</v>
      </c>
      <c r="H3117" s="391"/>
      <c r="I3117" s="391"/>
    </row>
    <row r="3118" spans="1:9">
      <c r="A3118" s="387" t="b">
        <v>0</v>
      </c>
      <c r="B3118" s="387" t="s">
        <v>4608</v>
      </c>
      <c r="C3118" s="392">
        <v>10</v>
      </c>
      <c r="D3118" s="387">
        <f t="shared" si="195"/>
        <v>-424</v>
      </c>
      <c r="E3118" s="387">
        <f t="shared" ca="1" si="196"/>
        <v>2</v>
      </c>
      <c r="F3118" s="387">
        <f t="shared" ca="1" si="197"/>
        <v>18</v>
      </c>
      <c r="G3118" s="387" t="s">
        <v>4409</v>
      </c>
      <c r="H3118" s="391"/>
      <c r="I3118" s="391"/>
    </row>
    <row r="3119" spans="1:9">
      <c r="A3119" s="387" t="b">
        <v>0</v>
      </c>
      <c r="B3119" s="387" t="s">
        <v>4609</v>
      </c>
      <c r="C3119" s="392">
        <v>10</v>
      </c>
      <c r="D3119" s="387">
        <f t="shared" si="195"/>
        <v>-423</v>
      </c>
      <c r="E3119" s="387">
        <f t="shared" ca="1" si="196"/>
        <v>3</v>
      </c>
      <c r="F3119" s="387">
        <f t="shared" ca="1" si="197"/>
        <v>18</v>
      </c>
      <c r="G3119" s="387" t="s">
        <v>4409</v>
      </c>
      <c r="H3119" s="391"/>
      <c r="I3119" s="391"/>
    </row>
    <row r="3120" spans="1:9">
      <c r="A3120" s="387" t="b">
        <v>0</v>
      </c>
      <c r="B3120" s="387" t="s">
        <v>4610</v>
      </c>
      <c r="C3120" s="392">
        <v>10</v>
      </c>
      <c r="D3120" s="387">
        <f t="shared" si="195"/>
        <v>-422</v>
      </c>
      <c r="E3120" s="387">
        <f t="shared" ca="1" si="196"/>
        <v>4</v>
      </c>
      <c r="F3120" s="387">
        <f t="shared" ca="1" si="197"/>
        <v>18</v>
      </c>
      <c r="G3120" s="387" t="s">
        <v>4409</v>
      </c>
      <c r="H3120" s="391"/>
      <c r="I3120" s="391"/>
    </row>
    <row r="3121" spans="1:9">
      <c r="A3121" s="387" t="b">
        <v>0</v>
      </c>
      <c r="B3121" s="387" t="s">
        <v>4611</v>
      </c>
      <c r="C3121" s="392">
        <v>10</v>
      </c>
      <c r="D3121" s="387">
        <f t="shared" si="195"/>
        <v>-421</v>
      </c>
      <c r="E3121" s="387">
        <f t="shared" ca="1" si="196"/>
        <v>5</v>
      </c>
      <c r="F3121" s="387">
        <f t="shared" ca="1" si="197"/>
        <v>18</v>
      </c>
      <c r="G3121" s="387" t="s">
        <v>4409</v>
      </c>
      <c r="H3121" s="391"/>
      <c r="I3121" s="391"/>
    </row>
    <row r="3122" spans="1:9">
      <c r="A3122" s="387" t="b">
        <v>0</v>
      </c>
      <c r="B3122" s="387" t="s">
        <v>4612</v>
      </c>
      <c r="C3122" s="392">
        <v>10</v>
      </c>
      <c r="D3122" s="387">
        <f t="shared" si="195"/>
        <v>-420</v>
      </c>
      <c r="E3122" s="387">
        <f t="shared" ca="1" si="196"/>
        <v>6</v>
      </c>
      <c r="F3122" s="387">
        <f t="shared" ca="1" si="197"/>
        <v>18</v>
      </c>
      <c r="G3122" s="387" t="s">
        <v>4409</v>
      </c>
      <c r="H3122" s="391"/>
      <c r="I3122" s="391"/>
    </row>
    <row r="3123" spans="1:9">
      <c r="A3123" s="387" t="b">
        <v>0</v>
      </c>
      <c r="B3123" s="387" t="s">
        <v>4613</v>
      </c>
      <c r="C3123" s="392">
        <v>11</v>
      </c>
      <c r="D3123" s="387">
        <f t="shared" si="195"/>
        <v>-419</v>
      </c>
      <c r="E3123" s="387">
        <f t="shared" ca="1" si="196"/>
        <v>1</v>
      </c>
      <c r="F3123" s="387">
        <f t="shared" ca="1" si="197"/>
        <v>19</v>
      </c>
      <c r="G3123" s="387" t="s">
        <v>4411</v>
      </c>
      <c r="H3123" s="391"/>
      <c r="I3123" s="391"/>
    </row>
    <row r="3124" spans="1:9">
      <c r="A3124" s="387" t="b">
        <v>0</v>
      </c>
      <c r="B3124" s="387" t="s">
        <v>4614</v>
      </c>
      <c r="C3124" s="392">
        <v>11</v>
      </c>
      <c r="D3124" s="387">
        <f t="shared" si="195"/>
        <v>-418</v>
      </c>
      <c r="E3124" s="387">
        <f t="shared" ca="1" si="196"/>
        <v>2</v>
      </c>
      <c r="F3124" s="387">
        <f t="shared" ca="1" si="197"/>
        <v>19</v>
      </c>
      <c r="G3124" s="387" t="s">
        <v>4411</v>
      </c>
      <c r="H3124" s="391"/>
      <c r="I3124" s="391"/>
    </row>
    <row r="3125" spans="1:9">
      <c r="A3125" s="387" t="b">
        <v>0</v>
      </c>
      <c r="B3125" s="387" t="s">
        <v>4615</v>
      </c>
      <c r="C3125" s="392">
        <v>11</v>
      </c>
      <c r="D3125" s="387">
        <f t="shared" si="195"/>
        <v>-417</v>
      </c>
      <c r="E3125" s="387">
        <f t="shared" ca="1" si="196"/>
        <v>3</v>
      </c>
      <c r="F3125" s="387">
        <f t="shared" ca="1" si="197"/>
        <v>19</v>
      </c>
      <c r="G3125" s="387" t="s">
        <v>4411</v>
      </c>
      <c r="H3125" s="391"/>
      <c r="I3125" s="391"/>
    </row>
    <row r="3126" spans="1:9">
      <c r="A3126" s="387" t="b">
        <v>0</v>
      </c>
      <c r="B3126" s="387" t="s">
        <v>4616</v>
      </c>
      <c r="C3126" s="392">
        <v>11</v>
      </c>
      <c r="D3126" s="387">
        <f t="shared" si="195"/>
        <v>-416</v>
      </c>
      <c r="E3126" s="387">
        <f t="shared" ca="1" si="196"/>
        <v>4</v>
      </c>
      <c r="F3126" s="387">
        <f t="shared" ca="1" si="197"/>
        <v>19</v>
      </c>
      <c r="G3126" s="387" t="s">
        <v>4411</v>
      </c>
      <c r="H3126" s="391"/>
      <c r="I3126" s="391"/>
    </row>
    <row r="3127" spans="1:9">
      <c r="A3127" s="387" t="b">
        <v>0</v>
      </c>
      <c r="B3127" s="387" t="s">
        <v>4617</v>
      </c>
      <c r="C3127" s="392">
        <v>11</v>
      </c>
      <c r="D3127" s="387">
        <f t="shared" ref="D3127:D3190" si="198">D3126+1</f>
        <v>-415</v>
      </c>
      <c r="E3127" s="387">
        <f t="shared" ref="E3127:E3190" ca="1" si="199">COUNTIF(C2957:C3127,C3127)</f>
        <v>5</v>
      </c>
      <c r="F3127" s="387">
        <f t="shared" ref="F3127:F3190" ca="1" si="200">IF(C3127=1,9,IF(E3126=MAX(E3125:E3127),F3125+1,F3126))</f>
        <v>19</v>
      </c>
      <c r="G3127" s="387" t="s">
        <v>4411</v>
      </c>
      <c r="H3127" s="391"/>
      <c r="I3127" s="391"/>
    </row>
    <row r="3128" spans="1:9">
      <c r="A3128" s="387" t="b">
        <v>0</v>
      </c>
      <c r="B3128" s="387" t="s">
        <v>4618</v>
      </c>
      <c r="C3128" s="392">
        <v>11</v>
      </c>
      <c r="D3128" s="387">
        <f t="shared" si="198"/>
        <v>-414</v>
      </c>
      <c r="E3128" s="387">
        <f t="shared" ca="1" si="199"/>
        <v>6</v>
      </c>
      <c r="F3128" s="387">
        <f t="shared" ca="1" si="200"/>
        <v>19</v>
      </c>
      <c r="G3128" s="387" t="s">
        <v>4411</v>
      </c>
      <c r="H3128" s="391"/>
      <c r="I3128" s="391"/>
    </row>
    <row r="3129" spans="1:9">
      <c r="A3129" s="387" t="b">
        <v>0</v>
      </c>
      <c r="B3129" s="387" t="s">
        <v>4619</v>
      </c>
      <c r="C3129" s="392">
        <v>12</v>
      </c>
      <c r="D3129" s="387">
        <f t="shared" si="198"/>
        <v>-413</v>
      </c>
      <c r="E3129" s="387">
        <f t="shared" ca="1" si="199"/>
        <v>1</v>
      </c>
      <c r="F3129" s="387">
        <f t="shared" ca="1" si="200"/>
        <v>20</v>
      </c>
      <c r="G3129" s="387" t="s">
        <v>4413</v>
      </c>
      <c r="H3129" s="391"/>
      <c r="I3129" s="391"/>
    </row>
    <row r="3130" spans="1:9">
      <c r="A3130" s="387" t="b">
        <v>0</v>
      </c>
      <c r="B3130" s="387" t="s">
        <v>4620</v>
      </c>
      <c r="C3130" s="392">
        <v>12</v>
      </c>
      <c r="D3130" s="387">
        <f t="shared" si="198"/>
        <v>-412</v>
      </c>
      <c r="E3130" s="387">
        <f t="shared" ca="1" si="199"/>
        <v>2</v>
      </c>
      <c r="F3130" s="387">
        <f t="shared" ca="1" si="200"/>
        <v>20</v>
      </c>
      <c r="G3130" s="387" t="s">
        <v>4413</v>
      </c>
      <c r="H3130" s="391"/>
      <c r="I3130" s="391"/>
    </row>
    <row r="3131" spans="1:9">
      <c r="A3131" s="387" t="b">
        <v>0</v>
      </c>
      <c r="B3131" s="387" t="s">
        <v>4621</v>
      </c>
      <c r="C3131" s="392">
        <v>12</v>
      </c>
      <c r="D3131" s="387">
        <f t="shared" si="198"/>
        <v>-411</v>
      </c>
      <c r="E3131" s="387">
        <f t="shared" ca="1" si="199"/>
        <v>3</v>
      </c>
      <c r="F3131" s="387">
        <f t="shared" ca="1" si="200"/>
        <v>20</v>
      </c>
      <c r="G3131" s="387" t="s">
        <v>4413</v>
      </c>
      <c r="H3131" s="391"/>
      <c r="I3131" s="391"/>
    </row>
    <row r="3132" spans="1:9">
      <c r="A3132" s="387" t="b">
        <v>0</v>
      </c>
      <c r="B3132" s="387" t="s">
        <v>4622</v>
      </c>
      <c r="C3132" s="392">
        <v>12</v>
      </c>
      <c r="D3132" s="387">
        <f t="shared" si="198"/>
        <v>-410</v>
      </c>
      <c r="E3132" s="387">
        <f t="shared" ca="1" si="199"/>
        <v>4</v>
      </c>
      <c r="F3132" s="387">
        <f t="shared" ca="1" si="200"/>
        <v>20</v>
      </c>
      <c r="G3132" s="387" t="s">
        <v>4413</v>
      </c>
      <c r="H3132" s="391"/>
      <c r="I3132" s="391"/>
    </row>
    <row r="3133" spans="1:9">
      <c r="A3133" s="387" t="b">
        <v>0</v>
      </c>
      <c r="B3133" s="387" t="s">
        <v>4623</v>
      </c>
      <c r="C3133" s="392">
        <v>12</v>
      </c>
      <c r="D3133" s="387">
        <f t="shared" si="198"/>
        <v>-409</v>
      </c>
      <c r="E3133" s="387">
        <f t="shared" ca="1" si="199"/>
        <v>5</v>
      </c>
      <c r="F3133" s="387">
        <f t="shared" ca="1" si="200"/>
        <v>20</v>
      </c>
      <c r="G3133" s="387" t="s">
        <v>4413</v>
      </c>
      <c r="H3133" s="391"/>
      <c r="I3133" s="391"/>
    </row>
    <row r="3134" spans="1:9">
      <c r="A3134" s="387" t="b">
        <v>0</v>
      </c>
      <c r="B3134" s="387" t="s">
        <v>4624</v>
      </c>
      <c r="C3134" s="392">
        <v>12</v>
      </c>
      <c r="D3134" s="387">
        <f t="shared" si="198"/>
        <v>-408</v>
      </c>
      <c r="E3134" s="387">
        <f t="shared" ca="1" si="199"/>
        <v>6</v>
      </c>
      <c r="F3134" s="387">
        <f t="shared" ca="1" si="200"/>
        <v>20</v>
      </c>
      <c r="G3134" s="387" t="s">
        <v>4413</v>
      </c>
      <c r="H3134" s="391"/>
      <c r="I3134" s="391"/>
    </row>
    <row r="3135" spans="1:9">
      <c r="A3135" s="387" t="b">
        <v>0</v>
      </c>
      <c r="B3135" s="387" t="s">
        <v>4625</v>
      </c>
      <c r="C3135" s="392">
        <v>13</v>
      </c>
      <c r="D3135" s="387">
        <f t="shared" si="198"/>
        <v>-407</v>
      </c>
      <c r="E3135" s="387">
        <f t="shared" ca="1" si="199"/>
        <v>1</v>
      </c>
      <c r="F3135" s="387">
        <f t="shared" ca="1" si="200"/>
        <v>21</v>
      </c>
      <c r="G3135" s="387" t="s">
        <v>4415</v>
      </c>
      <c r="H3135" s="391"/>
      <c r="I3135" s="391"/>
    </row>
    <row r="3136" spans="1:9">
      <c r="A3136" s="387" t="b">
        <v>0</v>
      </c>
      <c r="B3136" s="387" t="s">
        <v>4626</v>
      </c>
      <c r="C3136" s="392">
        <v>13</v>
      </c>
      <c r="D3136" s="387">
        <f t="shared" si="198"/>
        <v>-406</v>
      </c>
      <c r="E3136" s="387">
        <f t="shared" ca="1" si="199"/>
        <v>2</v>
      </c>
      <c r="F3136" s="387">
        <f t="shared" ca="1" si="200"/>
        <v>21</v>
      </c>
      <c r="G3136" s="387" t="s">
        <v>4415</v>
      </c>
      <c r="H3136" s="391"/>
      <c r="I3136" s="391"/>
    </row>
    <row r="3137" spans="1:9">
      <c r="A3137" s="387" t="b">
        <v>0</v>
      </c>
      <c r="B3137" s="387" t="s">
        <v>4627</v>
      </c>
      <c r="C3137" s="392">
        <v>13</v>
      </c>
      <c r="D3137" s="387">
        <f t="shared" si="198"/>
        <v>-405</v>
      </c>
      <c r="E3137" s="387">
        <f t="shared" ca="1" si="199"/>
        <v>3</v>
      </c>
      <c r="F3137" s="387">
        <f t="shared" ca="1" si="200"/>
        <v>21</v>
      </c>
      <c r="G3137" s="387" t="s">
        <v>4415</v>
      </c>
      <c r="H3137" s="391"/>
      <c r="I3137" s="391"/>
    </row>
    <row r="3138" spans="1:9">
      <c r="A3138" s="387" t="b">
        <v>0</v>
      </c>
      <c r="B3138" s="387" t="s">
        <v>4628</v>
      </c>
      <c r="C3138" s="392">
        <v>13</v>
      </c>
      <c r="D3138" s="387">
        <f t="shared" si="198"/>
        <v>-404</v>
      </c>
      <c r="E3138" s="387">
        <f t="shared" ca="1" si="199"/>
        <v>4</v>
      </c>
      <c r="F3138" s="387">
        <f t="shared" ca="1" si="200"/>
        <v>21</v>
      </c>
      <c r="G3138" s="387" t="s">
        <v>4415</v>
      </c>
      <c r="H3138" s="391"/>
      <c r="I3138" s="391"/>
    </row>
    <row r="3139" spans="1:9">
      <c r="A3139" s="387" t="b">
        <v>0</v>
      </c>
      <c r="B3139" s="387" t="s">
        <v>4629</v>
      </c>
      <c r="C3139" s="392">
        <v>13</v>
      </c>
      <c r="D3139" s="387">
        <f t="shared" si="198"/>
        <v>-403</v>
      </c>
      <c r="E3139" s="387">
        <f t="shared" ca="1" si="199"/>
        <v>5</v>
      </c>
      <c r="F3139" s="387">
        <f t="shared" ca="1" si="200"/>
        <v>21</v>
      </c>
      <c r="G3139" s="387" t="s">
        <v>4415</v>
      </c>
      <c r="H3139" s="391"/>
      <c r="I3139" s="391"/>
    </row>
    <row r="3140" spans="1:9">
      <c r="A3140" s="387" t="b">
        <v>0</v>
      </c>
      <c r="B3140" s="387" t="s">
        <v>4630</v>
      </c>
      <c r="C3140" s="392">
        <v>13</v>
      </c>
      <c r="D3140" s="387">
        <f t="shared" si="198"/>
        <v>-402</v>
      </c>
      <c r="E3140" s="387">
        <f t="shared" ca="1" si="199"/>
        <v>6</v>
      </c>
      <c r="F3140" s="387">
        <f t="shared" ca="1" si="200"/>
        <v>21</v>
      </c>
      <c r="G3140" s="387" t="s">
        <v>4415</v>
      </c>
      <c r="H3140" s="391"/>
      <c r="I3140" s="391"/>
    </row>
    <row r="3141" spans="1:9">
      <c r="A3141" s="387" t="b">
        <v>0</v>
      </c>
      <c r="B3141" s="387" t="s">
        <v>4631</v>
      </c>
      <c r="C3141" s="392">
        <v>14</v>
      </c>
      <c r="D3141" s="387">
        <f t="shared" si="198"/>
        <v>-401</v>
      </c>
      <c r="E3141" s="387">
        <f t="shared" ca="1" si="199"/>
        <v>1</v>
      </c>
      <c r="F3141" s="387">
        <f t="shared" ca="1" si="200"/>
        <v>22</v>
      </c>
      <c r="G3141" s="387" t="s">
        <v>4417</v>
      </c>
      <c r="H3141" s="391"/>
      <c r="I3141" s="391"/>
    </row>
    <row r="3142" spans="1:9">
      <c r="A3142" s="387" t="b">
        <v>0</v>
      </c>
      <c r="B3142" s="387" t="s">
        <v>4632</v>
      </c>
      <c r="C3142" s="392">
        <v>14</v>
      </c>
      <c r="D3142" s="387">
        <f t="shared" si="198"/>
        <v>-400</v>
      </c>
      <c r="E3142" s="387">
        <f t="shared" ca="1" si="199"/>
        <v>2</v>
      </c>
      <c r="F3142" s="387">
        <f t="shared" ca="1" si="200"/>
        <v>22</v>
      </c>
      <c r="G3142" s="387" t="s">
        <v>4417</v>
      </c>
      <c r="H3142" s="391"/>
      <c r="I3142" s="391"/>
    </row>
    <row r="3143" spans="1:9">
      <c r="A3143" s="387" t="b">
        <v>0</v>
      </c>
      <c r="B3143" s="387" t="s">
        <v>4633</v>
      </c>
      <c r="C3143" s="392">
        <v>14</v>
      </c>
      <c r="D3143" s="387">
        <f t="shared" si="198"/>
        <v>-399</v>
      </c>
      <c r="E3143" s="387">
        <f t="shared" ca="1" si="199"/>
        <v>3</v>
      </c>
      <c r="F3143" s="387">
        <f t="shared" ca="1" si="200"/>
        <v>22</v>
      </c>
      <c r="G3143" s="387" t="s">
        <v>4417</v>
      </c>
      <c r="H3143" s="391"/>
      <c r="I3143" s="391"/>
    </row>
    <row r="3144" spans="1:9">
      <c r="A3144" s="387" t="b">
        <v>0</v>
      </c>
      <c r="B3144" s="387" t="s">
        <v>4634</v>
      </c>
      <c r="C3144" s="392">
        <v>14</v>
      </c>
      <c r="D3144" s="387">
        <f t="shared" si="198"/>
        <v>-398</v>
      </c>
      <c r="E3144" s="387">
        <f t="shared" ca="1" si="199"/>
        <v>4</v>
      </c>
      <c r="F3144" s="387">
        <f t="shared" ca="1" si="200"/>
        <v>22</v>
      </c>
      <c r="G3144" s="387" t="s">
        <v>4417</v>
      </c>
      <c r="H3144" s="391"/>
      <c r="I3144" s="391"/>
    </row>
    <row r="3145" spans="1:9">
      <c r="A3145" s="387" t="b">
        <v>0</v>
      </c>
      <c r="B3145" s="387" t="s">
        <v>4635</v>
      </c>
      <c r="C3145" s="392">
        <v>14</v>
      </c>
      <c r="D3145" s="387">
        <f t="shared" si="198"/>
        <v>-397</v>
      </c>
      <c r="E3145" s="387">
        <f t="shared" ca="1" si="199"/>
        <v>5</v>
      </c>
      <c r="F3145" s="387">
        <f t="shared" ca="1" si="200"/>
        <v>22</v>
      </c>
      <c r="G3145" s="387" t="s">
        <v>4417</v>
      </c>
      <c r="H3145" s="391"/>
      <c r="I3145" s="391"/>
    </row>
    <row r="3146" spans="1:9">
      <c r="A3146" s="387" t="b">
        <v>0</v>
      </c>
      <c r="B3146" s="387" t="s">
        <v>4636</v>
      </c>
      <c r="C3146" s="392">
        <v>14</v>
      </c>
      <c r="D3146" s="387">
        <f t="shared" si="198"/>
        <v>-396</v>
      </c>
      <c r="E3146" s="387">
        <f t="shared" ca="1" si="199"/>
        <v>6</v>
      </c>
      <c r="F3146" s="387">
        <f t="shared" ca="1" si="200"/>
        <v>22</v>
      </c>
      <c r="G3146" s="387" t="s">
        <v>4417</v>
      </c>
      <c r="H3146" s="391"/>
      <c r="I3146" s="391"/>
    </row>
    <row r="3147" spans="1:9">
      <c r="A3147" s="387" t="b">
        <v>0</v>
      </c>
      <c r="B3147" s="387" t="s">
        <v>4637</v>
      </c>
      <c r="C3147" s="392">
        <v>15</v>
      </c>
      <c r="D3147" s="387">
        <f t="shared" si="198"/>
        <v>-395</v>
      </c>
      <c r="E3147" s="387">
        <f t="shared" ca="1" si="199"/>
        <v>1</v>
      </c>
      <c r="F3147" s="387">
        <f t="shared" ca="1" si="200"/>
        <v>23</v>
      </c>
      <c r="G3147" s="387" t="s">
        <v>4419</v>
      </c>
      <c r="H3147" s="391"/>
      <c r="I3147" s="391"/>
    </row>
    <row r="3148" spans="1:9">
      <c r="A3148" s="387" t="b">
        <v>0</v>
      </c>
      <c r="B3148" s="387" t="s">
        <v>4638</v>
      </c>
      <c r="C3148" s="392">
        <v>15</v>
      </c>
      <c r="D3148" s="387">
        <f t="shared" si="198"/>
        <v>-394</v>
      </c>
      <c r="E3148" s="387">
        <f t="shared" ca="1" si="199"/>
        <v>2</v>
      </c>
      <c r="F3148" s="387">
        <f t="shared" ca="1" si="200"/>
        <v>23</v>
      </c>
      <c r="G3148" s="387" t="s">
        <v>4419</v>
      </c>
      <c r="H3148" s="391"/>
      <c r="I3148" s="391"/>
    </row>
    <row r="3149" spans="1:9">
      <c r="A3149" s="387" t="b">
        <v>0</v>
      </c>
      <c r="B3149" s="387" t="s">
        <v>4639</v>
      </c>
      <c r="C3149" s="392">
        <v>15</v>
      </c>
      <c r="D3149" s="387">
        <f t="shared" si="198"/>
        <v>-393</v>
      </c>
      <c r="E3149" s="387">
        <f t="shared" ca="1" si="199"/>
        <v>3</v>
      </c>
      <c r="F3149" s="387">
        <f t="shared" ca="1" si="200"/>
        <v>23</v>
      </c>
      <c r="G3149" s="387" t="s">
        <v>4419</v>
      </c>
      <c r="H3149" s="391"/>
      <c r="I3149" s="391"/>
    </row>
    <row r="3150" spans="1:9">
      <c r="A3150" s="387" t="b">
        <v>0</v>
      </c>
      <c r="B3150" s="387" t="s">
        <v>4640</v>
      </c>
      <c r="C3150" s="392">
        <v>15</v>
      </c>
      <c r="D3150" s="387">
        <f t="shared" si="198"/>
        <v>-392</v>
      </c>
      <c r="E3150" s="387">
        <f t="shared" ca="1" si="199"/>
        <v>4</v>
      </c>
      <c r="F3150" s="387">
        <f t="shared" ca="1" si="200"/>
        <v>23</v>
      </c>
      <c r="G3150" s="387" t="s">
        <v>4419</v>
      </c>
      <c r="H3150" s="391"/>
      <c r="I3150" s="391"/>
    </row>
    <row r="3151" spans="1:9">
      <c r="A3151" s="387" t="b">
        <v>0</v>
      </c>
      <c r="B3151" s="387" t="s">
        <v>4641</v>
      </c>
      <c r="C3151" s="392">
        <v>15</v>
      </c>
      <c r="D3151" s="387">
        <f t="shared" si="198"/>
        <v>-391</v>
      </c>
      <c r="E3151" s="387">
        <f t="shared" ca="1" si="199"/>
        <v>5</v>
      </c>
      <c r="F3151" s="387">
        <f t="shared" ca="1" si="200"/>
        <v>23</v>
      </c>
      <c r="G3151" s="387" t="s">
        <v>4419</v>
      </c>
      <c r="H3151" s="391"/>
      <c r="I3151" s="391"/>
    </row>
    <row r="3152" spans="1:9">
      <c r="A3152" s="387" t="b">
        <v>0</v>
      </c>
      <c r="B3152" s="387" t="s">
        <v>4642</v>
      </c>
      <c r="C3152" s="392">
        <v>15</v>
      </c>
      <c r="D3152" s="387">
        <f t="shared" si="198"/>
        <v>-390</v>
      </c>
      <c r="E3152" s="387">
        <f t="shared" ca="1" si="199"/>
        <v>6</v>
      </c>
      <c r="F3152" s="387">
        <f t="shared" ca="1" si="200"/>
        <v>23</v>
      </c>
      <c r="G3152" s="387" t="s">
        <v>4419</v>
      </c>
      <c r="H3152" s="391"/>
      <c r="I3152" s="391"/>
    </row>
    <row r="3153" spans="1:9">
      <c r="A3153" s="387" t="b">
        <v>0</v>
      </c>
      <c r="B3153" s="387" t="s">
        <v>4643</v>
      </c>
      <c r="C3153" s="392">
        <v>16</v>
      </c>
      <c r="D3153" s="387">
        <f t="shared" si="198"/>
        <v>-389</v>
      </c>
      <c r="E3153" s="387">
        <f t="shared" ca="1" si="199"/>
        <v>1</v>
      </c>
      <c r="F3153" s="387">
        <f t="shared" ca="1" si="200"/>
        <v>24</v>
      </c>
      <c r="G3153" s="387" t="s">
        <v>4421</v>
      </c>
      <c r="H3153" s="391"/>
      <c r="I3153" s="391"/>
    </row>
    <row r="3154" spans="1:9">
      <c r="A3154" s="387" t="b">
        <v>0</v>
      </c>
      <c r="B3154" s="387" t="s">
        <v>4644</v>
      </c>
      <c r="C3154" s="392">
        <v>16</v>
      </c>
      <c r="D3154" s="387">
        <f t="shared" si="198"/>
        <v>-388</v>
      </c>
      <c r="E3154" s="387">
        <f t="shared" ca="1" si="199"/>
        <v>2</v>
      </c>
      <c r="F3154" s="387">
        <f t="shared" ca="1" si="200"/>
        <v>24</v>
      </c>
      <c r="G3154" s="387" t="s">
        <v>4421</v>
      </c>
      <c r="H3154" s="391"/>
      <c r="I3154" s="391"/>
    </row>
    <row r="3155" spans="1:9">
      <c r="A3155" s="387" t="b">
        <v>0</v>
      </c>
      <c r="B3155" s="387" t="s">
        <v>4645</v>
      </c>
      <c r="C3155" s="392">
        <v>16</v>
      </c>
      <c r="D3155" s="387">
        <f t="shared" si="198"/>
        <v>-387</v>
      </c>
      <c r="E3155" s="387">
        <f t="shared" ca="1" si="199"/>
        <v>3</v>
      </c>
      <c r="F3155" s="387">
        <f t="shared" ca="1" si="200"/>
        <v>24</v>
      </c>
      <c r="G3155" s="387" t="s">
        <v>4421</v>
      </c>
      <c r="H3155" s="391"/>
      <c r="I3155" s="391"/>
    </row>
    <row r="3156" spans="1:9">
      <c r="A3156" s="387" t="b">
        <v>0</v>
      </c>
      <c r="B3156" s="387" t="s">
        <v>4646</v>
      </c>
      <c r="C3156" s="392">
        <v>16</v>
      </c>
      <c r="D3156" s="387">
        <f t="shared" si="198"/>
        <v>-386</v>
      </c>
      <c r="E3156" s="387">
        <f t="shared" ca="1" si="199"/>
        <v>4</v>
      </c>
      <c r="F3156" s="387">
        <f t="shared" ca="1" si="200"/>
        <v>24</v>
      </c>
      <c r="G3156" s="387" t="s">
        <v>4421</v>
      </c>
      <c r="H3156" s="391"/>
      <c r="I3156" s="391"/>
    </row>
    <row r="3157" spans="1:9">
      <c r="A3157" s="387" t="b">
        <v>0</v>
      </c>
      <c r="B3157" s="387" t="s">
        <v>4647</v>
      </c>
      <c r="C3157" s="392">
        <v>16</v>
      </c>
      <c r="D3157" s="387">
        <f t="shared" si="198"/>
        <v>-385</v>
      </c>
      <c r="E3157" s="387">
        <f t="shared" ca="1" si="199"/>
        <v>5</v>
      </c>
      <c r="F3157" s="387">
        <f t="shared" ca="1" si="200"/>
        <v>24</v>
      </c>
      <c r="G3157" s="387" t="s">
        <v>4421</v>
      </c>
      <c r="H3157" s="391"/>
      <c r="I3157" s="391"/>
    </row>
    <row r="3158" spans="1:9">
      <c r="A3158" s="387" t="b">
        <v>0</v>
      </c>
      <c r="B3158" s="387" t="s">
        <v>4648</v>
      </c>
      <c r="C3158" s="392">
        <v>16</v>
      </c>
      <c r="D3158" s="387">
        <f t="shared" si="198"/>
        <v>-384</v>
      </c>
      <c r="E3158" s="387">
        <f t="shared" ca="1" si="199"/>
        <v>6</v>
      </c>
      <c r="F3158" s="387">
        <f t="shared" ca="1" si="200"/>
        <v>24</v>
      </c>
      <c r="G3158" s="387" t="s">
        <v>4421</v>
      </c>
      <c r="H3158" s="391"/>
      <c r="I3158" s="391"/>
    </row>
    <row r="3159" spans="1:9">
      <c r="A3159" s="387" t="b">
        <v>0</v>
      </c>
      <c r="B3159" s="387" t="s">
        <v>4649</v>
      </c>
      <c r="C3159" s="392">
        <v>17</v>
      </c>
      <c r="D3159" s="387">
        <f t="shared" si="198"/>
        <v>-383</v>
      </c>
      <c r="E3159" s="387">
        <f t="shared" ca="1" si="199"/>
        <v>1</v>
      </c>
      <c r="F3159" s="387">
        <f t="shared" ca="1" si="200"/>
        <v>25</v>
      </c>
      <c r="G3159" s="387" t="s">
        <v>4423</v>
      </c>
      <c r="H3159" s="391"/>
      <c r="I3159" s="391"/>
    </row>
    <row r="3160" spans="1:9">
      <c r="A3160" s="387" t="b">
        <v>0</v>
      </c>
      <c r="B3160" s="387" t="s">
        <v>4650</v>
      </c>
      <c r="C3160" s="392">
        <v>17</v>
      </c>
      <c r="D3160" s="387">
        <f t="shared" si="198"/>
        <v>-382</v>
      </c>
      <c r="E3160" s="387">
        <f t="shared" ca="1" si="199"/>
        <v>2</v>
      </c>
      <c r="F3160" s="387">
        <f t="shared" ca="1" si="200"/>
        <v>25</v>
      </c>
      <c r="G3160" s="387" t="s">
        <v>4423</v>
      </c>
      <c r="H3160" s="391"/>
      <c r="I3160" s="391"/>
    </row>
    <row r="3161" spans="1:9">
      <c r="A3161" s="387" t="b">
        <v>0</v>
      </c>
      <c r="B3161" s="387" t="s">
        <v>4651</v>
      </c>
      <c r="C3161" s="392">
        <v>17</v>
      </c>
      <c r="D3161" s="387">
        <f t="shared" si="198"/>
        <v>-381</v>
      </c>
      <c r="E3161" s="387">
        <f t="shared" ca="1" si="199"/>
        <v>3</v>
      </c>
      <c r="F3161" s="387">
        <f t="shared" ca="1" si="200"/>
        <v>25</v>
      </c>
      <c r="G3161" s="387" t="s">
        <v>4423</v>
      </c>
      <c r="H3161" s="391"/>
      <c r="I3161" s="391"/>
    </row>
    <row r="3162" spans="1:9">
      <c r="A3162" s="387" t="b">
        <v>0</v>
      </c>
      <c r="B3162" s="387" t="s">
        <v>4652</v>
      </c>
      <c r="C3162" s="392">
        <v>17</v>
      </c>
      <c r="D3162" s="387">
        <f t="shared" si="198"/>
        <v>-380</v>
      </c>
      <c r="E3162" s="387">
        <f t="shared" ca="1" si="199"/>
        <v>4</v>
      </c>
      <c r="F3162" s="387">
        <f t="shared" ca="1" si="200"/>
        <v>25</v>
      </c>
      <c r="G3162" s="387" t="s">
        <v>4423</v>
      </c>
      <c r="H3162" s="391"/>
      <c r="I3162" s="391"/>
    </row>
    <row r="3163" spans="1:9">
      <c r="A3163" s="387" t="b">
        <v>0</v>
      </c>
      <c r="B3163" s="387" t="s">
        <v>4653</v>
      </c>
      <c r="C3163" s="392">
        <v>17</v>
      </c>
      <c r="D3163" s="387">
        <f t="shared" si="198"/>
        <v>-379</v>
      </c>
      <c r="E3163" s="387">
        <f t="shared" ca="1" si="199"/>
        <v>5</v>
      </c>
      <c r="F3163" s="387">
        <f t="shared" ca="1" si="200"/>
        <v>25</v>
      </c>
      <c r="G3163" s="387" t="s">
        <v>4423</v>
      </c>
      <c r="H3163" s="391"/>
      <c r="I3163" s="391"/>
    </row>
    <row r="3164" spans="1:9">
      <c r="A3164" s="387" t="b">
        <v>0</v>
      </c>
      <c r="B3164" s="387" t="s">
        <v>4654</v>
      </c>
      <c r="C3164" s="392">
        <v>17</v>
      </c>
      <c r="D3164" s="387">
        <f t="shared" si="198"/>
        <v>-378</v>
      </c>
      <c r="E3164" s="387">
        <f t="shared" ca="1" si="199"/>
        <v>6</v>
      </c>
      <c r="F3164" s="387">
        <f t="shared" ca="1" si="200"/>
        <v>25</v>
      </c>
      <c r="G3164" s="387" t="s">
        <v>4423</v>
      </c>
      <c r="H3164" s="391"/>
      <c r="I3164" s="391"/>
    </row>
    <row r="3165" spans="1:9">
      <c r="A3165" s="387" t="b">
        <v>0</v>
      </c>
      <c r="B3165" s="387" t="s">
        <v>4655</v>
      </c>
      <c r="C3165" s="392">
        <v>18</v>
      </c>
      <c r="D3165" s="387">
        <f t="shared" si="198"/>
        <v>-377</v>
      </c>
      <c r="E3165" s="387">
        <f t="shared" ca="1" si="199"/>
        <v>1</v>
      </c>
      <c r="F3165" s="387">
        <f t="shared" ca="1" si="200"/>
        <v>26</v>
      </c>
      <c r="G3165" s="387" t="s">
        <v>4425</v>
      </c>
      <c r="H3165" s="391"/>
      <c r="I3165" s="391"/>
    </row>
    <row r="3166" spans="1:9">
      <c r="A3166" s="387" t="b">
        <v>0</v>
      </c>
      <c r="B3166" s="387" t="s">
        <v>4656</v>
      </c>
      <c r="C3166" s="392">
        <v>18</v>
      </c>
      <c r="D3166" s="387">
        <f t="shared" si="198"/>
        <v>-376</v>
      </c>
      <c r="E3166" s="387">
        <f t="shared" ca="1" si="199"/>
        <v>2</v>
      </c>
      <c r="F3166" s="387">
        <f t="shared" ca="1" si="200"/>
        <v>26</v>
      </c>
      <c r="G3166" s="387" t="s">
        <v>4425</v>
      </c>
      <c r="H3166" s="391"/>
      <c r="I3166" s="391"/>
    </row>
    <row r="3167" spans="1:9">
      <c r="A3167" s="387" t="b">
        <v>0</v>
      </c>
      <c r="B3167" s="387" t="s">
        <v>4657</v>
      </c>
      <c r="C3167" s="392">
        <v>18</v>
      </c>
      <c r="D3167" s="387">
        <f t="shared" si="198"/>
        <v>-375</v>
      </c>
      <c r="E3167" s="387">
        <f t="shared" ca="1" si="199"/>
        <v>3</v>
      </c>
      <c r="F3167" s="387">
        <f t="shared" ca="1" si="200"/>
        <v>26</v>
      </c>
      <c r="G3167" s="387" t="s">
        <v>4425</v>
      </c>
      <c r="H3167" s="391"/>
      <c r="I3167" s="391"/>
    </row>
    <row r="3168" spans="1:9">
      <c r="A3168" s="387" t="b">
        <v>0</v>
      </c>
      <c r="B3168" s="387" t="s">
        <v>4658</v>
      </c>
      <c r="C3168" s="392">
        <v>18</v>
      </c>
      <c r="D3168" s="387">
        <f t="shared" si="198"/>
        <v>-374</v>
      </c>
      <c r="E3168" s="387">
        <f t="shared" ca="1" si="199"/>
        <v>4</v>
      </c>
      <c r="F3168" s="387">
        <f t="shared" ca="1" si="200"/>
        <v>26</v>
      </c>
      <c r="G3168" s="387" t="s">
        <v>4425</v>
      </c>
      <c r="H3168" s="391"/>
      <c r="I3168" s="391"/>
    </row>
    <row r="3169" spans="1:9">
      <c r="A3169" s="387" t="b">
        <v>0</v>
      </c>
      <c r="B3169" s="387" t="s">
        <v>4659</v>
      </c>
      <c r="C3169" s="392">
        <v>18</v>
      </c>
      <c r="D3169" s="387">
        <f t="shared" si="198"/>
        <v>-373</v>
      </c>
      <c r="E3169" s="387">
        <f t="shared" ca="1" si="199"/>
        <v>5</v>
      </c>
      <c r="F3169" s="387">
        <f t="shared" ca="1" si="200"/>
        <v>26</v>
      </c>
      <c r="G3169" s="387" t="s">
        <v>4425</v>
      </c>
      <c r="H3169" s="391"/>
      <c r="I3169" s="391"/>
    </row>
    <row r="3170" spans="1:9">
      <c r="A3170" s="387" t="b">
        <v>0</v>
      </c>
      <c r="B3170" s="387" t="s">
        <v>4660</v>
      </c>
      <c r="C3170" s="392">
        <v>18</v>
      </c>
      <c r="D3170" s="387">
        <f t="shared" si="198"/>
        <v>-372</v>
      </c>
      <c r="E3170" s="387">
        <f t="shared" ca="1" si="199"/>
        <v>6</v>
      </c>
      <c r="F3170" s="387">
        <f t="shared" ca="1" si="200"/>
        <v>26</v>
      </c>
      <c r="G3170" s="387" t="s">
        <v>4425</v>
      </c>
      <c r="H3170" s="391"/>
      <c r="I3170" s="391"/>
    </row>
    <row r="3171" spans="1:9">
      <c r="A3171" s="387" t="b">
        <v>0</v>
      </c>
      <c r="B3171" s="387" t="s">
        <v>4661</v>
      </c>
      <c r="C3171" s="392">
        <v>19</v>
      </c>
      <c r="D3171" s="387">
        <f t="shared" si="198"/>
        <v>-371</v>
      </c>
      <c r="E3171" s="387">
        <f t="shared" ca="1" si="199"/>
        <v>1</v>
      </c>
      <c r="F3171" s="387">
        <f t="shared" ca="1" si="200"/>
        <v>27</v>
      </c>
      <c r="G3171" s="387" t="s">
        <v>4427</v>
      </c>
      <c r="H3171" s="391"/>
      <c r="I3171" s="391"/>
    </row>
    <row r="3172" spans="1:9">
      <c r="A3172" s="387" t="b">
        <v>0</v>
      </c>
      <c r="B3172" s="387" t="s">
        <v>4662</v>
      </c>
      <c r="C3172" s="392">
        <v>19</v>
      </c>
      <c r="D3172" s="387">
        <f t="shared" si="198"/>
        <v>-370</v>
      </c>
      <c r="E3172" s="387">
        <f t="shared" ca="1" si="199"/>
        <v>2</v>
      </c>
      <c r="F3172" s="387">
        <f t="shared" ca="1" si="200"/>
        <v>27</v>
      </c>
      <c r="G3172" s="387" t="s">
        <v>4427</v>
      </c>
      <c r="H3172" s="391"/>
      <c r="I3172" s="391"/>
    </row>
    <row r="3173" spans="1:9">
      <c r="A3173" s="387" t="b">
        <v>0</v>
      </c>
      <c r="B3173" s="387" t="s">
        <v>4663</v>
      </c>
      <c r="C3173" s="392">
        <v>19</v>
      </c>
      <c r="D3173" s="387">
        <f t="shared" si="198"/>
        <v>-369</v>
      </c>
      <c r="E3173" s="387">
        <f t="shared" ca="1" si="199"/>
        <v>3</v>
      </c>
      <c r="F3173" s="387">
        <f t="shared" ca="1" si="200"/>
        <v>27</v>
      </c>
      <c r="G3173" s="387" t="s">
        <v>4427</v>
      </c>
      <c r="H3173" s="391"/>
      <c r="I3173" s="391"/>
    </row>
    <row r="3174" spans="1:9">
      <c r="A3174" s="387" t="b">
        <v>0</v>
      </c>
      <c r="B3174" s="387" t="s">
        <v>4664</v>
      </c>
      <c r="C3174" s="392">
        <v>19</v>
      </c>
      <c r="D3174" s="387">
        <f t="shared" si="198"/>
        <v>-368</v>
      </c>
      <c r="E3174" s="387">
        <f t="shared" ca="1" si="199"/>
        <v>4</v>
      </c>
      <c r="F3174" s="387">
        <f t="shared" ca="1" si="200"/>
        <v>27</v>
      </c>
      <c r="G3174" s="387" t="s">
        <v>4427</v>
      </c>
      <c r="H3174" s="391"/>
      <c r="I3174" s="391"/>
    </row>
    <row r="3175" spans="1:9">
      <c r="A3175" s="387" t="b">
        <v>0</v>
      </c>
      <c r="B3175" s="387" t="s">
        <v>4665</v>
      </c>
      <c r="C3175" s="392">
        <v>19</v>
      </c>
      <c r="D3175" s="387">
        <f t="shared" si="198"/>
        <v>-367</v>
      </c>
      <c r="E3175" s="387">
        <f t="shared" ca="1" si="199"/>
        <v>5</v>
      </c>
      <c r="F3175" s="387">
        <f t="shared" ca="1" si="200"/>
        <v>27</v>
      </c>
      <c r="G3175" s="387" t="s">
        <v>4427</v>
      </c>
      <c r="H3175" s="391"/>
      <c r="I3175" s="391"/>
    </row>
    <row r="3176" spans="1:9">
      <c r="A3176" s="387" t="b">
        <v>0</v>
      </c>
      <c r="B3176" s="387" t="s">
        <v>4666</v>
      </c>
      <c r="C3176" s="392">
        <v>19</v>
      </c>
      <c r="D3176" s="387">
        <f t="shared" si="198"/>
        <v>-366</v>
      </c>
      <c r="E3176" s="387">
        <f t="shared" ca="1" si="199"/>
        <v>6</v>
      </c>
      <c r="F3176" s="387">
        <f t="shared" ca="1" si="200"/>
        <v>27</v>
      </c>
      <c r="G3176" s="387" t="s">
        <v>4427</v>
      </c>
      <c r="H3176" s="391"/>
      <c r="I3176" s="391"/>
    </row>
    <row r="3177" spans="1:9">
      <c r="A3177" s="387" t="b">
        <v>0</v>
      </c>
      <c r="B3177" s="387" t="s">
        <v>4667</v>
      </c>
      <c r="C3177" s="392">
        <v>20</v>
      </c>
      <c r="D3177" s="387">
        <f t="shared" si="198"/>
        <v>-365</v>
      </c>
      <c r="E3177" s="387">
        <f t="shared" ca="1" si="199"/>
        <v>1</v>
      </c>
      <c r="F3177" s="387">
        <f t="shared" ca="1" si="200"/>
        <v>28</v>
      </c>
      <c r="G3177" s="387" t="s">
        <v>4429</v>
      </c>
      <c r="H3177" s="391"/>
      <c r="I3177" s="391"/>
    </row>
    <row r="3178" spans="1:9">
      <c r="A3178" s="387" t="b">
        <v>0</v>
      </c>
      <c r="B3178" s="387" t="s">
        <v>4668</v>
      </c>
      <c r="C3178" s="392">
        <v>20</v>
      </c>
      <c r="D3178" s="387">
        <f t="shared" si="198"/>
        <v>-364</v>
      </c>
      <c r="E3178" s="387">
        <f t="shared" ca="1" si="199"/>
        <v>2</v>
      </c>
      <c r="F3178" s="387">
        <f t="shared" ca="1" si="200"/>
        <v>28</v>
      </c>
      <c r="G3178" s="387" t="s">
        <v>4429</v>
      </c>
      <c r="H3178" s="391"/>
      <c r="I3178" s="391"/>
    </row>
    <row r="3179" spans="1:9">
      <c r="A3179" s="387" t="b">
        <v>0</v>
      </c>
      <c r="B3179" s="387" t="s">
        <v>4669</v>
      </c>
      <c r="C3179" s="392">
        <v>20</v>
      </c>
      <c r="D3179" s="387">
        <f t="shared" si="198"/>
        <v>-363</v>
      </c>
      <c r="E3179" s="387">
        <f t="shared" ca="1" si="199"/>
        <v>3</v>
      </c>
      <c r="F3179" s="387">
        <f t="shared" ca="1" si="200"/>
        <v>28</v>
      </c>
      <c r="G3179" s="387" t="s">
        <v>4429</v>
      </c>
      <c r="H3179" s="391"/>
      <c r="I3179" s="391"/>
    </row>
    <row r="3180" spans="1:9">
      <c r="A3180" s="387" t="b">
        <v>0</v>
      </c>
      <c r="B3180" s="387" t="s">
        <v>4670</v>
      </c>
      <c r="C3180" s="392">
        <v>20</v>
      </c>
      <c r="D3180" s="387">
        <f t="shared" si="198"/>
        <v>-362</v>
      </c>
      <c r="E3180" s="387">
        <f t="shared" ca="1" si="199"/>
        <v>4</v>
      </c>
      <c r="F3180" s="387">
        <f t="shared" ca="1" si="200"/>
        <v>28</v>
      </c>
      <c r="G3180" s="387" t="s">
        <v>4429</v>
      </c>
      <c r="H3180" s="391"/>
      <c r="I3180" s="391"/>
    </row>
    <row r="3181" spans="1:9">
      <c r="A3181" s="387" t="b">
        <v>0</v>
      </c>
      <c r="B3181" s="387" t="s">
        <v>4671</v>
      </c>
      <c r="C3181" s="392">
        <v>20</v>
      </c>
      <c r="D3181" s="387">
        <f t="shared" si="198"/>
        <v>-361</v>
      </c>
      <c r="E3181" s="387">
        <f t="shared" ca="1" si="199"/>
        <v>5</v>
      </c>
      <c r="F3181" s="387">
        <f t="shared" ca="1" si="200"/>
        <v>28</v>
      </c>
      <c r="G3181" s="387" t="s">
        <v>4429</v>
      </c>
      <c r="H3181" s="391"/>
      <c r="I3181" s="391"/>
    </row>
    <row r="3182" spans="1:9">
      <c r="A3182" s="387" t="b">
        <v>0</v>
      </c>
      <c r="B3182" s="387" t="s">
        <v>4672</v>
      </c>
      <c r="C3182" s="392">
        <v>20</v>
      </c>
      <c r="D3182" s="387">
        <f t="shared" si="198"/>
        <v>-360</v>
      </c>
      <c r="E3182" s="387">
        <f t="shared" ca="1" si="199"/>
        <v>6</v>
      </c>
      <c r="F3182" s="387">
        <f t="shared" ca="1" si="200"/>
        <v>28</v>
      </c>
      <c r="G3182" s="387" t="s">
        <v>4429</v>
      </c>
      <c r="H3182" s="391"/>
      <c r="I3182" s="391"/>
    </row>
    <row r="3183" spans="1:9">
      <c r="A3183" s="387" t="b">
        <v>0</v>
      </c>
      <c r="B3183" s="387" t="s">
        <v>4673</v>
      </c>
      <c r="C3183" s="392">
        <v>21</v>
      </c>
      <c r="D3183" s="387">
        <f t="shared" si="198"/>
        <v>-359</v>
      </c>
      <c r="E3183" s="387">
        <f t="shared" ca="1" si="199"/>
        <v>1</v>
      </c>
      <c r="F3183" s="387">
        <f t="shared" ca="1" si="200"/>
        <v>29</v>
      </c>
      <c r="G3183" s="387" t="s">
        <v>4431</v>
      </c>
      <c r="H3183" s="391"/>
      <c r="I3183" s="391"/>
    </row>
    <row r="3184" spans="1:9">
      <c r="A3184" s="387" t="b">
        <v>0</v>
      </c>
      <c r="B3184" s="387" t="s">
        <v>4674</v>
      </c>
      <c r="C3184" s="392">
        <v>21</v>
      </c>
      <c r="D3184" s="387">
        <f t="shared" si="198"/>
        <v>-358</v>
      </c>
      <c r="E3184" s="387">
        <f t="shared" ca="1" si="199"/>
        <v>2</v>
      </c>
      <c r="F3184" s="387">
        <f t="shared" ca="1" si="200"/>
        <v>29</v>
      </c>
      <c r="G3184" s="387" t="s">
        <v>4431</v>
      </c>
      <c r="H3184" s="391"/>
      <c r="I3184" s="391"/>
    </row>
    <row r="3185" spans="1:9">
      <c r="A3185" s="387" t="b">
        <v>0</v>
      </c>
      <c r="B3185" s="387" t="s">
        <v>4675</v>
      </c>
      <c r="C3185" s="392">
        <v>21</v>
      </c>
      <c r="D3185" s="387">
        <f t="shared" si="198"/>
        <v>-357</v>
      </c>
      <c r="E3185" s="387">
        <f t="shared" ca="1" si="199"/>
        <v>3</v>
      </c>
      <c r="F3185" s="387">
        <f t="shared" ca="1" si="200"/>
        <v>29</v>
      </c>
      <c r="G3185" s="387" t="s">
        <v>4431</v>
      </c>
      <c r="H3185" s="391"/>
      <c r="I3185" s="391"/>
    </row>
    <row r="3186" spans="1:9">
      <c r="A3186" s="387" t="b">
        <v>0</v>
      </c>
      <c r="B3186" s="387" t="s">
        <v>4676</v>
      </c>
      <c r="C3186" s="392">
        <v>21</v>
      </c>
      <c r="D3186" s="387">
        <f t="shared" si="198"/>
        <v>-356</v>
      </c>
      <c r="E3186" s="387">
        <f t="shared" ca="1" si="199"/>
        <v>4</v>
      </c>
      <c r="F3186" s="387">
        <f t="shared" ca="1" si="200"/>
        <v>29</v>
      </c>
      <c r="G3186" s="387" t="s">
        <v>4431</v>
      </c>
      <c r="H3186" s="391"/>
      <c r="I3186" s="391"/>
    </row>
    <row r="3187" spans="1:9">
      <c r="A3187" s="387" t="b">
        <v>0</v>
      </c>
      <c r="B3187" s="387" t="s">
        <v>4677</v>
      </c>
      <c r="C3187" s="392">
        <v>21</v>
      </c>
      <c r="D3187" s="387">
        <f t="shared" si="198"/>
        <v>-355</v>
      </c>
      <c r="E3187" s="387">
        <f t="shared" ca="1" si="199"/>
        <v>5</v>
      </c>
      <c r="F3187" s="387">
        <f t="shared" ca="1" si="200"/>
        <v>29</v>
      </c>
      <c r="G3187" s="387" t="s">
        <v>4431</v>
      </c>
      <c r="H3187" s="391"/>
      <c r="I3187" s="391"/>
    </row>
    <row r="3188" spans="1:9">
      <c r="A3188" s="387" t="b">
        <v>0</v>
      </c>
      <c r="B3188" s="387" t="s">
        <v>4678</v>
      </c>
      <c r="C3188" s="392">
        <v>21</v>
      </c>
      <c r="D3188" s="387">
        <f t="shared" si="198"/>
        <v>-354</v>
      </c>
      <c r="E3188" s="387">
        <f t="shared" ca="1" si="199"/>
        <v>6</v>
      </c>
      <c r="F3188" s="387">
        <f t="shared" ca="1" si="200"/>
        <v>29</v>
      </c>
      <c r="G3188" s="387" t="s">
        <v>4431</v>
      </c>
      <c r="H3188" s="391"/>
      <c r="I3188" s="391"/>
    </row>
    <row r="3189" spans="1:9">
      <c r="A3189" s="387" t="b">
        <v>0</v>
      </c>
      <c r="B3189" s="387" t="s">
        <v>4679</v>
      </c>
      <c r="C3189" s="392">
        <v>22</v>
      </c>
      <c r="D3189" s="387">
        <f t="shared" si="198"/>
        <v>-353</v>
      </c>
      <c r="E3189" s="387">
        <f t="shared" ca="1" si="199"/>
        <v>1</v>
      </c>
      <c r="F3189" s="387">
        <f t="shared" ca="1" si="200"/>
        <v>30</v>
      </c>
      <c r="G3189" s="387" t="s">
        <v>4433</v>
      </c>
      <c r="H3189" s="391"/>
      <c r="I3189" s="391"/>
    </row>
    <row r="3190" spans="1:9">
      <c r="A3190" s="387" t="b">
        <v>0</v>
      </c>
      <c r="B3190" s="387" t="s">
        <v>4680</v>
      </c>
      <c r="C3190" s="392">
        <v>22</v>
      </c>
      <c r="D3190" s="387">
        <f t="shared" si="198"/>
        <v>-352</v>
      </c>
      <c r="E3190" s="387">
        <f t="shared" ca="1" si="199"/>
        <v>2</v>
      </c>
      <c r="F3190" s="387">
        <f t="shared" ca="1" si="200"/>
        <v>30</v>
      </c>
      <c r="G3190" s="387" t="s">
        <v>4433</v>
      </c>
      <c r="H3190" s="391"/>
      <c r="I3190" s="391"/>
    </row>
    <row r="3191" spans="1:9">
      <c r="A3191" s="387" t="b">
        <v>0</v>
      </c>
      <c r="B3191" s="387" t="s">
        <v>4681</v>
      </c>
      <c r="C3191" s="392">
        <v>22</v>
      </c>
      <c r="D3191" s="387">
        <f t="shared" ref="D3191:D3254" si="201">D3190+1</f>
        <v>-351</v>
      </c>
      <c r="E3191" s="387">
        <f t="shared" ref="E3191:E3254" ca="1" si="202">COUNTIF(C3021:C3191,C3191)</f>
        <v>3</v>
      </c>
      <c r="F3191" s="387">
        <f t="shared" ref="F3191:F3254" ca="1" si="203">IF(C3191=1,9,IF(E3190=MAX(E3189:E3191),F3189+1,F3190))</f>
        <v>30</v>
      </c>
      <c r="G3191" s="387" t="s">
        <v>4433</v>
      </c>
      <c r="H3191" s="391"/>
      <c r="I3191" s="391"/>
    </row>
    <row r="3192" spans="1:9">
      <c r="A3192" s="387" t="b">
        <v>0</v>
      </c>
      <c r="B3192" s="387" t="s">
        <v>4682</v>
      </c>
      <c r="C3192" s="392">
        <v>22</v>
      </c>
      <c r="D3192" s="387">
        <f t="shared" si="201"/>
        <v>-350</v>
      </c>
      <c r="E3192" s="387">
        <f t="shared" ca="1" si="202"/>
        <v>4</v>
      </c>
      <c r="F3192" s="387">
        <f t="shared" ca="1" si="203"/>
        <v>30</v>
      </c>
      <c r="G3192" s="387" t="s">
        <v>4433</v>
      </c>
      <c r="H3192" s="391"/>
      <c r="I3192" s="391"/>
    </row>
    <row r="3193" spans="1:9">
      <c r="A3193" s="387" t="b">
        <v>0</v>
      </c>
      <c r="B3193" s="387" t="s">
        <v>4683</v>
      </c>
      <c r="C3193" s="392">
        <v>22</v>
      </c>
      <c r="D3193" s="387">
        <f t="shared" si="201"/>
        <v>-349</v>
      </c>
      <c r="E3193" s="387">
        <f t="shared" ca="1" si="202"/>
        <v>5</v>
      </c>
      <c r="F3193" s="387">
        <f t="shared" ca="1" si="203"/>
        <v>30</v>
      </c>
      <c r="G3193" s="387" t="s">
        <v>4433</v>
      </c>
      <c r="H3193" s="391"/>
      <c r="I3193" s="391"/>
    </row>
    <row r="3194" spans="1:9">
      <c r="A3194" s="387" t="b">
        <v>0</v>
      </c>
      <c r="B3194" s="387" t="s">
        <v>4684</v>
      </c>
      <c r="C3194" s="392">
        <v>22</v>
      </c>
      <c r="D3194" s="387">
        <f t="shared" si="201"/>
        <v>-348</v>
      </c>
      <c r="E3194" s="387">
        <f t="shared" ca="1" si="202"/>
        <v>6</v>
      </c>
      <c r="F3194" s="387">
        <f t="shared" ca="1" si="203"/>
        <v>30</v>
      </c>
      <c r="G3194" s="387" t="s">
        <v>4433</v>
      </c>
      <c r="H3194" s="391"/>
      <c r="I3194" s="391"/>
    </row>
    <row r="3195" spans="1:9">
      <c r="A3195" s="387" t="b">
        <v>0</v>
      </c>
      <c r="B3195" s="387" t="s">
        <v>4685</v>
      </c>
      <c r="C3195" s="392">
        <v>23</v>
      </c>
      <c r="D3195" s="387">
        <f t="shared" si="201"/>
        <v>-347</v>
      </c>
      <c r="E3195" s="387">
        <f t="shared" ca="1" si="202"/>
        <v>1</v>
      </c>
      <c r="F3195" s="387">
        <f t="shared" ca="1" si="203"/>
        <v>31</v>
      </c>
      <c r="G3195" s="387" t="s">
        <v>4435</v>
      </c>
      <c r="H3195" s="391"/>
      <c r="I3195" s="391"/>
    </row>
    <row r="3196" spans="1:9">
      <c r="A3196" s="387" t="b">
        <v>0</v>
      </c>
      <c r="B3196" s="387" t="s">
        <v>4686</v>
      </c>
      <c r="C3196" s="392">
        <v>23</v>
      </c>
      <c r="D3196" s="387">
        <f t="shared" si="201"/>
        <v>-346</v>
      </c>
      <c r="E3196" s="387">
        <f t="shared" ca="1" si="202"/>
        <v>2</v>
      </c>
      <c r="F3196" s="387">
        <f t="shared" ca="1" si="203"/>
        <v>31</v>
      </c>
      <c r="G3196" s="387" t="s">
        <v>4435</v>
      </c>
      <c r="H3196" s="391"/>
      <c r="I3196" s="391"/>
    </row>
    <row r="3197" spans="1:9">
      <c r="A3197" s="387" t="b">
        <v>0</v>
      </c>
      <c r="B3197" s="387" t="s">
        <v>4687</v>
      </c>
      <c r="C3197" s="392">
        <v>23</v>
      </c>
      <c r="D3197" s="387">
        <f t="shared" si="201"/>
        <v>-345</v>
      </c>
      <c r="E3197" s="387">
        <f t="shared" ca="1" si="202"/>
        <v>3</v>
      </c>
      <c r="F3197" s="387">
        <f t="shared" ca="1" si="203"/>
        <v>31</v>
      </c>
      <c r="G3197" s="387" t="s">
        <v>4435</v>
      </c>
      <c r="H3197" s="391"/>
      <c r="I3197" s="391"/>
    </row>
    <row r="3198" spans="1:9">
      <c r="A3198" s="387" t="b">
        <v>0</v>
      </c>
      <c r="B3198" s="387" t="s">
        <v>4688</v>
      </c>
      <c r="C3198" s="392">
        <v>23</v>
      </c>
      <c r="D3198" s="387">
        <f t="shared" si="201"/>
        <v>-344</v>
      </c>
      <c r="E3198" s="387">
        <f t="shared" ca="1" si="202"/>
        <v>4</v>
      </c>
      <c r="F3198" s="387">
        <f t="shared" ca="1" si="203"/>
        <v>31</v>
      </c>
      <c r="G3198" s="387" t="s">
        <v>4435</v>
      </c>
      <c r="H3198" s="391"/>
      <c r="I3198" s="391"/>
    </row>
    <row r="3199" spans="1:9">
      <c r="A3199" s="387" t="b">
        <v>0</v>
      </c>
      <c r="B3199" s="387" t="s">
        <v>4689</v>
      </c>
      <c r="C3199" s="392">
        <v>23</v>
      </c>
      <c r="D3199" s="387">
        <f t="shared" si="201"/>
        <v>-343</v>
      </c>
      <c r="E3199" s="387">
        <f t="shared" ca="1" si="202"/>
        <v>5</v>
      </c>
      <c r="F3199" s="387">
        <f t="shared" ca="1" si="203"/>
        <v>31</v>
      </c>
      <c r="G3199" s="387" t="s">
        <v>4435</v>
      </c>
      <c r="H3199" s="391"/>
      <c r="I3199" s="391"/>
    </row>
    <row r="3200" spans="1:9">
      <c r="A3200" s="387" t="b">
        <v>0</v>
      </c>
      <c r="B3200" s="387" t="s">
        <v>4690</v>
      </c>
      <c r="C3200" s="392">
        <v>23</v>
      </c>
      <c r="D3200" s="387">
        <f t="shared" si="201"/>
        <v>-342</v>
      </c>
      <c r="E3200" s="387">
        <f t="shared" ca="1" si="202"/>
        <v>6</v>
      </c>
      <c r="F3200" s="387">
        <f t="shared" ca="1" si="203"/>
        <v>31</v>
      </c>
      <c r="G3200" s="387" t="s">
        <v>4435</v>
      </c>
      <c r="H3200" s="391"/>
      <c r="I3200" s="391"/>
    </row>
    <row r="3201" spans="1:9">
      <c r="A3201" s="387" t="b">
        <v>0</v>
      </c>
      <c r="B3201" s="387" t="s">
        <v>4691</v>
      </c>
      <c r="C3201" s="392">
        <v>24</v>
      </c>
      <c r="D3201" s="387">
        <f t="shared" si="201"/>
        <v>-341</v>
      </c>
      <c r="E3201" s="387">
        <f t="shared" ca="1" si="202"/>
        <v>1</v>
      </c>
      <c r="F3201" s="387">
        <f t="shared" ca="1" si="203"/>
        <v>32</v>
      </c>
      <c r="G3201" s="387" t="s">
        <v>4437</v>
      </c>
      <c r="H3201" s="391"/>
      <c r="I3201" s="391"/>
    </row>
    <row r="3202" spans="1:9">
      <c r="A3202" s="387" t="b">
        <v>0</v>
      </c>
      <c r="B3202" s="387" t="s">
        <v>4692</v>
      </c>
      <c r="C3202" s="392">
        <v>24</v>
      </c>
      <c r="D3202" s="387">
        <f t="shared" si="201"/>
        <v>-340</v>
      </c>
      <c r="E3202" s="387">
        <f t="shared" ca="1" si="202"/>
        <v>2</v>
      </c>
      <c r="F3202" s="387">
        <f t="shared" ca="1" si="203"/>
        <v>32</v>
      </c>
      <c r="G3202" s="387" t="s">
        <v>4437</v>
      </c>
      <c r="H3202" s="391"/>
      <c r="I3202" s="391"/>
    </row>
    <row r="3203" spans="1:9">
      <c r="A3203" s="387" t="b">
        <v>0</v>
      </c>
      <c r="B3203" s="387" t="s">
        <v>4693</v>
      </c>
      <c r="C3203" s="392">
        <v>24</v>
      </c>
      <c r="D3203" s="387">
        <f t="shared" si="201"/>
        <v>-339</v>
      </c>
      <c r="E3203" s="387">
        <f t="shared" ca="1" si="202"/>
        <v>3</v>
      </c>
      <c r="F3203" s="387">
        <f t="shared" ca="1" si="203"/>
        <v>32</v>
      </c>
      <c r="G3203" s="387" t="s">
        <v>4437</v>
      </c>
      <c r="H3203" s="391"/>
      <c r="I3203" s="391"/>
    </row>
    <row r="3204" spans="1:9">
      <c r="A3204" s="387" t="b">
        <v>0</v>
      </c>
      <c r="B3204" s="387" t="s">
        <v>4694</v>
      </c>
      <c r="C3204" s="392">
        <v>24</v>
      </c>
      <c r="D3204" s="387">
        <f t="shared" si="201"/>
        <v>-338</v>
      </c>
      <c r="E3204" s="387">
        <f t="shared" ca="1" si="202"/>
        <v>4</v>
      </c>
      <c r="F3204" s="387">
        <f t="shared" ca="1" si="203"/>
        <v>32</v>
      </c>
      <c r="G3204" s="387" t="s">
        <v>4437</v>
      </c>
      <c r="H3204" s="391"/>
      <c r="I3204" s="391"/>
    </row>
    <row r="3205" spans="1:9">
      <c r="A3205" s="387" t="b">
        <v>0</v>
      </c>
      <c r="B3205" s="387" t="s">
        <v>4695</v>
      </c>
      <c r="C3205" s="392">
        <v>24</v>
      </c>
      <c r="D3205" s="387">
        <f t="shared" si="201"/>
        <v>-337</v>
      </c>
      <c r="E3205" s="387">
        <f t="shared" ca="1" si="202"/>
        <v>5</v>
      </c>
      <c r="F3205" s="387">
        <f t="shared" ca="1" si="203"/>
        <v>32</v>
      </c>
      <c r="G3205" s="387" t="s">
        <v>4437</v>
      </c>
      <c r="H3205" s="391"/>
      <c r="I3205" s="391"/>
    </row>
    <row r="3206" spans="1:9">
      <c r="A3206" s="387" t="b">
        <v>0</v>
      </c>
      <c r="B3206" s="387" t="s">
        <v>4696</v>
      </c>
      <c r="C3206" s="392">
        <v>24</v>
      </c>
      <c r="D3206" s="387">
        <f t="shared" si="201"/>
        <v>-336</v>
      </c>
      <c r="E3206" s="387">
        <f t="shared" ca="1" si="202"/>
        <v>6</v>
      </c>
      <c r="F3206" s="387">
        <f t="shared" ca="1" si="203"/>
        <v>32</v>
      </c>
      <c r="G3206" s="387" t="s">
        <v>4437</v>
      </c>
      <c r="H3206" s="391"/>
      <c r="I3206" s="391"/>
    </row>
    <row r="3207" spans="1:9">
      <c r="A3207" s="387" t="b">
        <v>0</v>
      </c>
      <c r="B3207" s="387" t="s">
        <v>4697</v>
      </c>
      <c r="C3207" s="392">
        <v>25</v>
      </c>
      <c r="D3207" s="387">
        <f t="shared" si="201"/>
        <v>-335</v>
      </c>
      <c r="E3207" s="387">
        <f t="shared" ca="1" si="202"/>
        <v>1</v>
      </c>
      <c r="F3207" s="387">
        <f t="shared" ca="1" si="203"/>
        <v>33</v>
      </c>
      <c r="G3207" s="387" t="s">
        <v>4439</v>
      </c>
      <c r="H3207" s="391"/>
      <c r="I3207" s="391"/>
    </row>
    <row r="3208" spans="1:9">
      <c r="A3208" s="387" t="b">
        <v>0</v>
      </c>
      <c r="B3208" s="387" t="s">
        <v>4698</v>
      </c>
      <c r="C3208" s="392">
        <v>25</v>
      </c>
      <c r="D3208" s="387">
        <f t="shared" si="201"/>
        <v>-334</v>
      </c>
      <c r="E3208" s="387">
        <f t="shared" ca="1" si="202"/>
        <v>2</v>
      </c>
      <c r="F3208" s="387">
        <f t="shared" ca="1" si="203"/>
        <v>33</v>
      </c>
      <c r="G3208" s="387" t="s">
        <v>4439</v>
      </c>
      <c r="H3208" s="391"/>
      <c r="I3208" s="391"/>
    </row>
    <row r="3209" spans="1:9">
      <c r="A3209" s="387" t="b">
        <v>0</v>
      </c>
      <c r="B3209" s="387" t="s">
        <v>4699</v>
      </c>
      <c r="C3209" s="392">
        <v>25</v>
      </c>
      <c r="D3209" s="387">
        <f t="shared" si="201"/>
        <v>-333</v>
      </c>
      <c r="E3209" s="387">
        <f t="shared" ca="1" si="202"/>
        <v>3</v>
      </c>
      <c r="F3209" s="387">
        <f t="shared" ca="1" si="203"/>
        <v>33</v>
      </c>
      <c r="G3209" s="387" t="s">
        <v>4439</v>
      </c>
      <c r="H3209" s="391"/>
      <c r="I3209" s="391"/>
    </row>
    <row r="3210" spans="1:9">
      <c r="A3210" s="387" t="b">
        <v>0</v>
      </c>
      <c r="B3210" s="387" t="s">
        <v>4700</v>
      </c>
      <c r="C3210" s="392">
        <v>25</v>
      </c>
      <c r="D3210" s="387">
        <f t="shared" si="201"/>
        <v>-332</v>
      </c>
      <c r="E3210" s="387">
        <f t="shared" ca="1" si="202"/>
        <v>4</v>
      </c>
      <c r="F3210" s="387">
        <f t="shared" ca="1" si="203"/>
        <v>33</v>
      </c>
      <c r="G3210" s="387" t="s">
        <v>4439</v>
      </c>
      <c r="H3210" s="391"/>
      <c r="I3210" s="391"/>
    </row>
    <row r="3211" spans="1:9">
      <c r="A3211" s="387" t="b">
        <v>0</v>
      </c>
      <c r="B3211" s="387" t="s">
        <v>4701</v>
      </c>
      <c r="C3211" s="392">
        <v>25</v>
      </c>
      <c r="D3211" s="387">
        <f t="shared" si="201"/>
        <v>-331</v>
      </c>
      <c r="E3211" s="387">
        <f t="shared" ca="1" si="202"/>
        <v>5</v>
      </c>
      <c r="F3211" s="387">
        <f t="shared" ca="1" si="203"/>
        <v>33</v>
      </c>
      <c r="G3211" s="387" t="s">
        <v>4439</v>
      </c>
      <c r="H3211" s="391"/>
      <c r="I3211" s="391"/>
    </row>
    <row r="3212" spans="1:9">
      <c r="A3212" s="387" t="b">
        <v>0</v>
      </c>
      <c r="B3212" s="387" t="s">
        <v>4702</v>
      </c>
      <c r="C3212" s="392">
        <v>25</v>
      </c>
      <c r="D3212" s="387">
        <f t="shared" si="201"/>
        <v>-330</v>
      </c>
      <c r="E3212" s="387">
        <f t="shared" ca="1" si="202"/>
        <v>6</v>
      </c>
      <c r="F3212" s="387">
        <f t="shared" ca="1" si="203"/>
        <v>33</v>
      </c>
      <c r="G3212" s="387" t="s">
        <v>4439</v>
      </c>
      <c r="H3212" s="391"/>
      <c r="I3212" s="391"/>
    </row>
    <row r="3213" spans="1:9">
      <c r="A3213" s="387" t="b">
        <v>0</v>
      </c>
      <c r="B3213" s="387" t="s">
        <v>4703</v>
      </c>
      <c r="C3213" s="392">
        <v>26</v>
      </c>
      <c r="D3213" s="387">
        <f t="shared" si="201"/>
        <v>-329</v>
      </c>
      <c r="E3213" s="387">
        <f t="shared" ca="1" si="202"/>
        <v>1</v>
      </c>
      <c r="F3213" s="387">
        <f t="shared" ca="1" si="203"/>
        <v>34</v>
      </c>
      <c r="G3213" s="387" t="s">
        <v>4441</v>
      </c>
      <c r="H3213" s="391"/>
      <c r="I3213" s="391"/>
    </row>
    <row r="3214" spans="1:9">
      <c r="A3214" s="387" t="b">
        <v>0</v>
      </c>
      <c r="B3214" s="387" t="s">
        <v>4704</v>
      </c>
      <c r="C3214" s="392">
        <v>26</v>
      </c>
      <c r="D3214" s="387">
        <f t="shared" si="201"/>
        <v>-328</v>
      </c>
      <c r="E3214" s="387">
        <f t="shared" ca="1" si="202"/>
        <v>2</v>
      </c>
      <c r="F3214" s="387">
        <f t="shared" ca="1" si="203"/>
        <v>34</v>
      </c>
      <c r="G3214" s="387" t="s">
        <v>4441</v>
      </c>
      <c r="H3214" s="391"/>
      <c r="I3214" s="391"/>
    </row>
    <row r="3215" spans="1:9">
      <c r="A3215" s="387" t="b">
        <v>0</v>
      </c>
      <c r="B3215" s="387" t="s">
        <v>4705</v>
      </c>
      <c r="C3215" s="392">
        <v>26</v>
      </c>
      <c r="D3215" s="387">
        <f t="shared" si="201"/>
        <v>-327</v>
      </c>
      <c r="E3215" s="387">
        <f t="shared" ca="1" si="202"/>
        <v>3</v>
      </c>
      <c r="F3215" s="387">
        <f t="shared" ca="1" si="203"/>
        <v>34</v>
      </c>
      <c r="G3215" s="387" t="s">
        <v>4441</v>
      </c>
      <c r="H3215" s="391"/>
      <c r="I3215" s="391"/>
    </row>
    <row r="3216" spans="1:9">
      <c r="A3216" s="387" t="b">
        <v>0</v>
      </c>
      <c r="B3216" s="387" t="s">
        <v>4706</v>
      </c>
      <c r="C3216" s="392">
        <v>26</v>
      </c>
      <c r="D3216" s="387">
        <f t="shared" si="201"/>
        <v>-326</v>
      </c>
      <c r="E3216" s="387">
        <f t="shared" ca="1" si="202"/>
        <v>4</v>
      </c>
      <c r="F3216" s="387">
        <f t="shared" ca="1" si="203"/>
        <v>34</v>
      </c>
      <c r="G3216" s="387" t="s">
        <v>4441</v>
      </c>
      <c r="H3216" s="391"/>
      <c r="I3216" s="391"/>
    </row>
    <row r="3217" spans="1:9">
      <c r="A3217" s="387" t="b">
        <v>0</v>
      </c>
      <c r="B3217" s="387" t="s">
        <v>4707</v>
      </c>
      <c r="C3217" s="392">
        <v>26</v>
      </c>
      <c r="D3217" s="387">
        <f t="shared" si="201"/>
        <v>-325</v>
      </c>
      <c r="E3217" s="387">
        <f t="shared" ca="1" si="202"/>
        <v>5</v>
      </c>
      <c r="F3217" s="387">
        <f t="shared" ca="1" si="203"/>
        <v>34</v>
      </c>
      <c r="G3217" s="387" t="s">
        <v>4441</v>
      </c>
      <c r="H3217" s="391"/>
      <c r="I3217" s="391"/>
    </row>
    <row r="3218" spans="1:9">
      <c r="A3218" s="387" t="b">
        <v>0</v>
      </c>
      <c r="B3218" s="387" t="s">
        <v>4708</v>
      </c>
      <c r="C3218" s="392">
        <v>26</v>
      </c>
      <c r="D3218" s="387">
        <f t="shared" si="201"/>
        <v>-324</v>
      </c>
      <c r="E3218" s="387">
        <f t="shared" ca="1" si="202"/>
        <v>6</v>
      </c>
      <c r="F3218" s="387">
        <f t="shared" ca="1" si="203"/>
        <v>34</v>
      </c>
      <c r="G3218" s="387" t="s">
        <v>4441</v>
      </c>
      <c r="H3218" s="391"/>
      <c r="I3218" s="391"/>
    </row>
    <row r="3219" spans="1:9">
      <c r="A3219" s="387" t="b">
        <v>0</v>
      </c>
      <c r="B3219" s="387" t="s">
        <v>4709</v>
      </c>
      <c r="C3219" s="392">
        <v>27</v>
      </c>
      <c r="D3219" s="387">
        <f t="shared" si="201"/>
        <v>-323</v>
      </c>
      <c r="E3219" s="387">
        <f t="shared" ca="1" si="202"/>
        <v>1</v>
      </c>
      <c r="F3219" s="387">
        <f t="shared" ca="1" si="203"/>
        <v>35</v>
      </c>
      <c r="G3219" s="387" t="s">
        <v>4443</v>
      </c>
      <c r="H3219" s="391"/>
      <c r="I3219" s="391"/>
    </row>
    <row r="3220" spans="1:9">
      <c r="A3220" s="387" t="b">
        <v>0</v>
      </c>
      <c r="B3220" s="387" t="s">
        <v>4710</v>
      </c>
      <c r="C3220" s="392">
        <v>27</v>
      </c>
      <c r="D3220" s="387">
        <f t="shared" si="201"/>
        <v>-322</v>
      </c>
      <c r="E3220" s="387">
        <f t="shared" ca="1" si="202"/>
        <v>2</v>
      </c>
      <c r="F3220" s="387">
        <f t="shared" ca="1" si="203"/>
        <v>35</v>
      </c>
      <c r="G3220" s="387" t="s">
        <v>4443</v>
      </c>
      <c r="H3220" s="391"/>
      <c r="I3220" s="391"/>
    </row>
    <row r="3221" spans="1:9">
      <c r="A3221" s="387" t="b">
        <v>0</v>
      </c>
      <c r="B3221" s="387" t="s">
        <v>4711</v>
      </c>
      <c r="C3221" s="392">
        <v>27</v>
      </c>
      <c r="D3221" s="387">
        <f t="shared" si="201"/>
        <v>-321</v>
      </c>
      <c r="E3221" s="387">
        <f t="shared" ca="1" si="202"/>
        <v>3</v>
      </c>
      <c r="F3221" s="387">
        <f t="shared" ca="1" si="203"/>
        <v>35</v>
      </c>
      <c r="G3221" s="387" t="s">
        <v>4443</v>
      </c>
      <c r="H3221" s="391"/>
      <c r="I3221" s="391"/>
    </row>
    <row r="3222" spans="1:9">
      <c r="A3222" s="387" t="b">
        <v>0</v>
      </c>
      <c r="B3222" s="387" t="s">
        <v>4712</v>
      </c>
      <c r="C3222" s="392">
        <v>27</v>
      </c>
      <c r="D3222" s="387">
        <f t="shared" si="201"/>
        <v>-320</v>
      </c>
      <c r="E3222" s="387">
        <f t="shared" ca="1" si="202"/>
        <v>4</v>
      </c>
      <c r="F3222" s="387">
        <f t="shared" ca="1" si="203"/>
        <v>35</v>
      </c>
      <c r="G3222" s="387" t="s">
        <v>4443</v>
      </c>
      <c r="H3222" s="391"/>
      <c r="I3222" s="391"/>
    </row>
    <row r="3223" spans="1:9">
      <c r="A3223" s="387" t="b">
        <v>0</v>
      </c>
      <c r="B3223" s="387" t="s">
        <v>4713</v>
      </c>
      <c r="C3223" s="392">
        <v>27</v>
      </c>
      <c r="D3223" s="387">
        <f t="shared" si="201"/>
        <v>-319</v>
      </c>
      <c r="E3223" s="387">
        <f t="shared" ca="1" si="202"/>
        <v>5</v>
      </c>
      <c r="F3223" s="387">
        <f t="shared" ca="1" si="203"/>
        <v>35</v>
      </c>
      <c r="G3223" s="387" t="s">
        <v>4443</v>
      </c>
      <c r="H3223" s="391"/>
      <c r="I3223" s="391"/>
    </row>
    <row r="3224" spans="1:9">
      <c r="A3224" s="387" t="b">
        <v>0</v>
      </c>
      <c r="B3224" s="387" t="s">
        <v>4714</v>
      </c>
      <c r="C3224" s="392">
        <v>27</v>
      </c>
      <c r="D3224" s="387">
        <f t="shared" si="201"/>
        <v>-318</v>
      </c>
      <c r="E3224" s="387">
        <f t="shared" ca="1" si="202"/>
        <v>6</v>
      </c>
      <c r="F3224" s="387">
        <f t="shared" ca="1" si="203"/>
        <v>35</v>
      </c>
      <c r="G3224" s="387" t="s">
        <v>4443</v>
      </c>
      <c r="H3224" s="391"/>
      <c r="I3224" s="391"/>
    </row>
    <row r="3225" spans="1:9">
      <c r="A3225" s="387" t="b">
        <v>0</v>
      </c>
      <c r="B3225" s="387" t="s">
        <v>4715</v>
      </c>
      <c r="C3225" s="392">
        <v>28</v>
      </c>
      <c r="D3225" s="387">
        <f t="shared" si="201"/>
        <v>-317</v>
      </c>
      <c r="E3225" s="387">
        <f t="shared" ca="1" si="202"/>
        <v>1</v>
      </c>
      <c r="F3225" s="387">
        <f t="shared" ca="1" si="203"/>
        <v>36</v>
      </c>
      <c r="G3225" s="387" t="s">
        <v>4445</v>
      </c>
      <c r="H3225" s="391"/>
      <c r="I3225" s="391"/>
    </row>
    <row r="3226" spans="1:9">
      <c r="A3226" s="387" t="b">
        <v>0</v>
      </c>
      <c r="B3226" s="387" t="s">
        <v>4716</v>
      </c>
      <c r="C3226" s="392">
        <v>28</v>
      </c>
      <c r="D3226" s="387">
        <f t="shared" si="201"/>
        <v>-316</v>
      </c>
      <c r="E3226" s="387">
        <f t="shared" ca="1" si="202"/>
        <v>2</v>
      </c>
      <c r="F3226" s="387">
        <f t="shared" ca="1" si="203"/>
        <v>36</v>
      </c>
      <c r="G3226" s="387" t="s">
        <v>4445</v>
      </c>
      <c r="H3226" s="391"/>
      <c r="I3226" s="391"/>
    </row>
    <row r="3227" spans="1:9">
      <c r="A3227" s="387" t="b">
        <v>0</v>
      </c>
      <c r="B3227" s="387" t="s">
        <v>4717</v>
      </c>
      <c r="C3227" s="392">
        <v>28</v>
      </c>
      <c r="D3227" s="387">
        <f t="shared" si="201"/>
        <v>-315</v>
      </c>
      <c r="E3227" s="387">
        <f t="shared" ca="1" si="202"/>
        <v>3</v>
      </c>
      <c r="F3227" s="387">
        <f t="shared" ca="1" si="203"/>
        <v>36</v>
      </c>
      <c r="G3227" s="387" t="s">
        <v>4445</v>
      </c>
      <c r="H3227" s="391"/>
      <c r="I3227" s="391"/>
    </row>
    <row r="3228" spans="1:9">
      <c r="A3228" s="387" t="b">
        <v>0</v>
      </c>
      <c r="B3228" s="387" t="s">
        <v>4718</v>
      </c>
      <c r="C3228" s="392">
        <v>28</v>
      </c>
      <c r="D3228" s="387">
        <f t="shared" si="201"/>
        <v>-314</v>
      </c>
      <c r="E3228" s="387">
        <f t="shared" ca="1" si="202"/>
        <v>4</v>
      </c>
      <c r="F3228" s="387">
        <f t="shared" ca="1" si="203"/>
        <v>36</v>
      </c>
      <c r="G3228" s="387" t="s">
        <v>4445</v>
      </c>
      <c r="H3228" s="391"/>
      <c r="I3228" s="391"/>
    </row>
    <row r="3229" spans="1:9">
      <c r="A3229" s="387" t="b">
        <v>0</v>
      </c>
      <c r="B3229" s="387" t="s">
        <v>4719</v>
      </c>
      <c r="C3229" s="392">
        <v>28</v>
      </c>
      <c r="D3229" s="387">
        <f t="shared" si="201"/>
        <v>-313</v>
      </c>
      <c r="E3229" s="387">
        <f t="shared" ca="1" si="202"/>
        <v>5</v>
      </c>
      <c r="F3229" s="387">
        <f t="shared" ca="1" si="203"/>
        <v>36</v>
      </c>
      <c r="G3229" s="387" t="s">
        <v>4445</v>
      </c>
      <c r="H3229" s="391"/>
      <c r="I3229" s="391"/>
    </row>
    <row r="3230" spans="1:9">
      <c r="A3230" s="387" t="b">
        <v>0</v>
      </c>
      <c r="B3230" s="387" t="s">
        <v>4720</v>
      </c>
      <c r="C3230" s="392">
        <v>28</v>
      </c>
      <c r="D3230" s="387">
        <f t="shared" si="201"/>
        <v>-312</v>
      </c>
      <c r="E3230" s="387">
        <f t="shared" ca="1" si="202"/>
        <v>6</v>
      </c>
      <c r="F3230" s="387">
        <f t="shared" ca="1" si="203"/>
        <v>36</v>
      </c>
      <c r="G3230" s="387" t="s">
        <v>4445</v>
      </c>
      <c r="H3230" s="391"/>
      <c r="I3230" s="391"/>
    </row>
    <row r="3231" spans="1:9">
      <c r="A3231" s="387" t="b">
        <v>0</v>
      </c>
      <c r="B3231" s="387" t="s">
        <v>4721</v>
      </c>
      <c r="C3231" s="392">
        <v>29</v>
      </c>
      <c r="D3231" s="387">
        <f t="shared" si="201"/>
        <v>-311</v>
      </c>
      <c r="E3231" s="387">
        <f t="shared" ca="1" si="202"/>
        <v>1</v>
      </c>
      <c r="F3231" s="387">
        <f t="shared" ca="1" si="203"/>
        <v>37</v>
      </c>
      <c r="G3231" s="387" t="s">
        <v>4447</v>
      </c>
      <c r="H3231" s="391"/>
      <c r="I3231" s="391"/>
    </row>
    <row r="3232" spans="1:9">
      <c r="A3232" s="387" t="b">
        <v>0</v>
      </c>
      <c r="B3232" s="387" t="s">
        <v>4722</v>
      </c>
      <c r="C3232" s="392">
        <v>29</v>
      </c>
      <c r="D3232" s="387">
        <f t="shared" si="201"/>
        <v>-310</v>
      </c>
      <c r="E3232" s="387">
        <f t="shared" ca="1" si="202"/>
        <v>2</v>
      </c>
      <c r="F3232" s="387">
        <f t="shared" ca="1" si="203"/>
        <v>37</v>
      </c>
      <c r="G3232" s="387" t="s">
        <v>4447</v>
      </c>
      <c r="H3232" s="391"/>
      <c r="I3232" s="391"/>
    </row>
    <row r="3233" spans="1:9">
      <c r="A3233" s="387" t="b">
        <v>0</v>
      </c>
      <c r="B3233" s="387" t="s">
        <v>4723</v>
      </c>
      <c r="C3233" s="392">
        <v>29</v>
      </c>
      <c r="D3233" s="387">
        <f t="shared" si="201"/>
        <v>-309</v>
      </c>
      <c r="E3233" s="387">
        <f t="shared" si="202"/>
        <v>3</v>
      </c>
      <c r="F3233" s="387">
        <f t="shared" ca="1" si="203"/>
        <v>37</v>
      </c>
      <c r="G3233" s="387" t="s">
        <v>4447</v>
      </c>
      <c r="H3233" s="391"/>
      <c r="I3233" s="391"/>
    </row>
    <row r="3234" spans="1:9">
      <c r="A3234" s="387" t="b">
        <v>0</v>
      </c>
      <c r="B3234" s="387" t="s">
        <v>4724</v>
      </c>
      <c r="C3234" s="392">
        <v>29</v>
      </c>
      <c r="D3234" s="387">
        <f t="shared" si="201"/>
        <v>-308</v>
      </c>
      <c r="E3234" s="387">
        <f t="shared" si="202"/>
        <v>4</v>
      </c>
      <c r="F3234" s="387">
        <f t="shared" ca="1" si="203"/>
        <v>37</v>
      </c>
      <c r="G3234" s="387" t="s">
        <v>4447</v>
      </c>
      <c r="H3234" s="391"/>
      <c r="I3234" s="391"/>
    </row>
    <row r="3235" spans="1:9">
      <c r="A3235" s="387" t="b">
        <v>0</v>
      </c>
      <c r="B3235" s="387" t="s">
        <v>4725</v>
      </c>
      <c r="C3235" s="392">
        <v>29</v>
      </c>
      <c r="D3235" s="387">
        <f t="shared" si="201"/>
        <v>-307</v>
      </c>
      <c r="E3235" s="387">
        <f t="shared" si="202"/>
        <v>5</v>
      </c>
      <c r="F3235" s="387">
        <f t="shared" ca="1" si="203"/>
        <v>37</v>
      </c>
      <c r="G3235" s="387" t="s">
        <v>4447</v>
      </c>
      <c r="H3235" s="391"/>
      <c r="I3235" s="391"/>
    </row>
    <row r="3236" spans="1:9">
      <c r="A3236" s="387" t="b">
        <v>0</v>
      </c>
      <c r="B3236" s="387" t="s">
        <v>4726</v>
      </c>
      <c r="C3236" s="392">
        <v>29</v>
      </c>
      <c r="D3236" s="387">
        <f t="shared" si="201"/>
        <v>-306</v>
      </c>
      <c r="E3236" s="387">
        <f t="shared" si="202"/>
        <v>6</v>
      </c>
      <c r="F3236" s="387">
        <f t="shared" ca="1" si="203"/>
        <v>37</v>
      </c>
      <c r="G3236" s="387" t="s">
        <v>4447</v>
      </c>
      <c r="H3236" s="391"/>
      <c r="I3236" s="391"/>
    </row>
    <row r="3237" spans="1:9">
      <c r="A3237" s="387" t="b">
        <v>0</v>
      </c>
      <c r="B3237" s="387" t="s">
        <v>4727</v>
      </c>
      <c r="C3237" s="392">
        <v>30</v>
      </c>
      <c r="D3237" s="387">
        <f t="shared" si="201"/>
        <v>-305</v>
      </c>
      <c r="E3237" s="387">
        <f t="shared" si="202"/>
        <v>1</v>
      </c>
      <c r="F3237" s="387">
        <f t="shared" ca="1" si="203"/>
        <v>38</v>
      </c>
      <c r="G3237" s="387" t="s">
        <v>4449</v>
      </c>
      <c r="H3237" s="391"/>
      <c r="I3237" s="391"/>
    </row>
    <row r="3238" spans="1:9">
      <c r="A3238" s="387" t="b">
        <v>0</v>
      </c>
      <c r="B3238" s="387" t="s">
        <v>4728</v>
      </c>
      <c r="C3238" s="392">
        <v>30</v>
      </c>
      <c r="D3238" s="387">
        <f t="shared" si="201"/>
        <v>-304</v>
      </c>
      <c r="E3238" s="387">
        <f t="shared" si="202"/>
        <v>2</v>
      </c>
      <c r="F3238" s="387">
        <f t="shared" ca="1" si="203"/>
        <v>38</v>
      </c>
      <c r="G3238" s="387" t="s">
        <v>4449</v>
      </c>
      <c r="H3238" s="391"/>
      <c r="I3238" s="391"/>
    </row>
    <row r="3239" spans="1:9">
      <c r="A3239" s="387" t="b">
        <v>0</v>
      </c>
      <c r="B3239" s="387" t="s">
        <v>4729</v>
      </c>
      <c r="C3239" s="392">
        <v>30</v>
      </c>
      <c r="D3239" s="387">
        <f t="shared" si="201"/>
        <v>-303</v>
      </c>
      <c r="E3239" s="387">
        <f t="shared" si="202"/>
        <v>3</v>
      </c>
      <c r="F3239" s="387">
        <f t="shared" ca="1" si="203"/>
        <v>38</v>
      </c>
      <c r="G3239" s="387" t="s">
        <v>4449</v>
      </c>
      <c r="H3239" s="391"/>
      <c r="I3239" s="391"/>
    </row>
    <row r="3240" spans="1:9">
      <c r="A3240" s="387" t="b">
        <v>0</v>
      </c>
      <c r="B3240" s="387" t="s">
        <v>4730</v>
      </c>
      <c r="C3240" s="392">
        <v>30</v>
      </c>
      <c r="D3240" s="387">
        <f t="shared" si="201"/>
        <v>-302</v>
      </c>
      <c r="E3240" s="387">
        <f t="shared" si="202"/>
        <v>4</v>
      </c>
      <c r="F3240" s="387">
        <f t="shared" ca="1" si="203"/>
        <v>38</v>
      </c>
      <c r="G3240" s="387" t="s">
        <v>4449</v>
      </c>
      <c r="H3240" s="391"/>
      <c r="I3240" s="391"/>
    </row>
    <row r="3241" spans="1:9">
      <c r="A3241" s="387" t="b">
        <v>0</v>
      </c>
      <c r="B3241" s="387" t="s">
        <v>4731</v>
      </c>
      <c r="C3241" s="392">
        <v>30</v>
      </c>
      <c r="D3241" s="387">
        <f t="shared" si="201"/>
        <v>-301</v>
      </c>
      <c r="E3241" s="387">
        <f t="shared" si="202"/>
        <v>5</v>
      </c>
      <c r="F3241" s="387">
        <f t="shared" ca="1" si="203"/>
        <v>38</v>
      </c>
      <c r="G3241" s="387" t="s">
        <v>4449</v>
      </c>
      <c r="H3241" s="391"/>
      <c r="I3241" s="391"/>
    </row>
    <row r="3242" spans="1:9">
      <c r="A3242" s="387" t="b">
        <v>0</v>
      </c>
      <c r="B3242" s="387" t="s">
        <v>4732</v>
      </c>
      <c r="C3242" s="392">
        <v>30</v>
      </c>
      <c r="D3242" s="387">
        <f t="shared" si="201"/>
        <v>-300</v>
      </c>
      <c r="E3242" s="387">
        <f t="shared" si="202"/>
        <v>6</v>
      </c>
      <c r="F3242" s="387">
        <f t="shared" ca="1" si="203"/>
        <v>38</v>
      </c>
      <c r="G3242" s="387" t="s">
        <v>4449</v>
      </c>
      <c r="H3242" s="391"/>
      <c r="I3242" s="391"/>
    </row>
    <row r="3243" spans="1:9">
      <c r="A3243" s="387" t="b">
        <v>0</v>
      </c>
      <c r="B3243" s="387" t="s">
        <v>4733</v>
      </c>
      <c r="C3243" s="392">
        <v>31</v>
      </c>
      <c r="D3243" s="387">
        <f t="shared" si="201"/>
        <v>-299</v>
      </c>
      <c r="E3243" s="387">
        <f t="shared" si="202"/>
        <v>1</v>
      </c>
      <c r="F3243" s="387">
        <f t="shared" ca="1" si="203"/>
        <v>39</v>
      </c>
      <c r="G3243" s="387" t="s">
        <v>4451</v>
      </c>
      <c r="H3243" s="391"/>
      <c r="I3243" s="391"/>
    </row>
    <row r="3244" spans="1:9">
      <c r="A3244" s="387" t="b">
        <v>0</v>
      </c>
      <c r="B3244" s="387" t="s">
        <v>4734</v>
      </c>
      <c r="C3244" s="392">
        <v>31</v>
      </c>
      <c r="D3244" s="387">
        <f t="shared" si="201"/>
        <v>-298</v>
      </c>
      <c r="E3244" s="387">
        <f t="shared" si="202"/>
        <v>2</v>
      </c>
      <c r="F3244" s="387">
        <f t="shared" ca="1" si="203"/>
        <v>39</v>
      </c>
      <c r="G3244" s="387" t="s">
        <v>4451</v>
      </c>
      <c r="H3244" s="391"/>
      <c r="I3244" s="391"/>
    </row>
    <row r="3245" spans="1:9">
      <c r="A3245" s="387" t="b">
        <v>0</v>
      </c>
      <c r="B3245" s="387" t="s">
        <v>4735</v>
      </c>
      <c r="C3245" s="392">
        <v>31</v>
      </c>
      <c r="D3245" s="387">
        <f t="shared" si="201"/>
        <v>-297</v>
      </c>
      <c r="E3245" s="387">
        <f t="shared" si="202"/>
        <v>3</v>
      </c>
      <c r="F3245" s="387">
        <f t="shared" ca="1" si="203"/>
        <v>39</v>
      </c>
      <c r="G3245" s="387" t="s">
        <v>4451</v>
      </c>
      <c r="H3245" s="391"/>
      <c r="I3245" s="391"/>
    </row>
    <row r="3246" spans="1:9">
      <c r="A3246" s="387" t="b">
        <v>0</v>
      </c>
      <c r="B3246" s="387" t="s">
        <v>4736</v>
      </c>
      <c r="C3246" s="392">
        <v>31</v>
      </c>
      <c r="D3246" s="387">
        <f t="shared" si="201"/>
        <v>-296</v>
      </c>
      <c r="E3246" s="387">
        <f t="shared" si="202"/>
        <v>4</v>
      </c>
      <c r="F3246" s="387">
        <f t="shared" ca="1" si="203"/>
        <v>39</v>
      </c>
      <c r="G3246" s="387" t="s">
        <v>4451</v>
      </c>
      <c r="H3246" s="391"/>
      <c r="I3246" s="391"/>
    </row>
    <row r="3247" spans="1:9">
      <c r="A3247" s="387" t="b">
        <v>0</v>
      </c>
      <c r="B3247" s="387" t="s">
        <v>4737</v>
      </c>
      <c r="C3247" s="392">
        <v>31</v>
      </c>
      <c r="D3247" s="387">
        <f t="shared" si="201"/>
        <v>-295</v>
      </c>
      <c r="E3247" s="387">
        <f t="shared" si="202"/>
        <v>5</v>
      </c>
      <c r="F3247" s="387">
        <f t="shared" ca="1" si="203"/>
        <v>39</v>
      </c>
      <c r="G3247" s="387" t="s">
        <v>4451</v>
      </c>
      <c r="H3247" s="391"/>
      <c r="I3247" s="391"/>
    </row>
    <row r="3248" spans="1:9">
      <c r="A3248" s="387" t="b">
        <v>0</v>
      </c>
      <c r="B3248" s="387" t="s">
        <v>4738</v>
      </c>
      <c r="C3248" s="392">
        <v>31</v>
      </c>
      <c r="D3248" s="387">
        <f t="shared" si="201"/>
        <v>-294</v>
      </c>
      <c r="E3248" s="387">
        <f t="shared" si="202"/>
        <v>6</v>
      </c>
      <c r="F3248" s="387">
        <f t="shared" ca="1" si="203"/>
        <v>39</v>
      </c>
      <c r="G3248" s="387" t="s">
        <v>4451</v>
      </c>
      <c r="H3248" s="391"/>
      <c r="I3248" s="391"/>
    </row>
    <row r="3249" spans="1:9">
      <c r="A3249" s="387" t="b">
        <v>0</v>
      </c>
      <c r="B3249" s="387" t="s">
        <v>4739</v>
      </c>
      <c r="C3249" s="392">
        <v>32</v>
      </c>
      <c r="D3249" s="387">
        <f t="shared" si="201"/>
        <v>-293</v>
      </c>
      <c r="E3249" s="387">
        <f t="shared" si="202"/>
        <v>1</v>
      </c>
      <c r="F3249" s="387">
        <f t="shared" ca="1" si="203"/>
        <v>40</v>
      </c>
      <c r="G3249" s="387" t="s">
        <v>4453</v>
      </c>
      <c r="H3249" s="391"/>
      <c r="I3249" s="391"/>
    </row>
    <row r="3250" spans="1:9">
      <c r="A3250" s="387" t="b">
        <v>0</v>
      </c>
      <c r="B3250" s="387" t="s">
        <v>4740</v>
      </c>
      <c r="C3250" s="392">
        <v>32</v>
      </c>
      <c r="D3250" s="387">
        <f t="shared" si="201"/>
        <v>-292</v>
      </c>
      <c r="E3250" s="387">
        <f t="shared" si="202"/>
        <v>2</v>
      </c>
      <c r="F3250" s="387">
        <f t="shared" ca="1" si="203"/>
        <v>40</v>
      </c>
      <c r="G3250" s="387" t="s">
        <v>4453</v>
      </c>
      <c r="H3250" s="391"/>
      <c r="I3250" s="391"/>
    </row>
    <row r="3251" spans="1:9">
      <c r="A3251" s="387" t="b">
        <v>0</v>
      </c>
      <c r="B3251" s="387" t="s">
        <v>4741</v>
      </c>
      <c r="C3251" s="392">
        <v>32</v>
      </c>
      <c r="D3251" s="387">
        <f t="shared" si="201"/>
        <v>-291</v>
      </c>
      <c r="E3251" s="387">
        <f t="shared" si="202"/>
        <v>3</v>
      </c>
      <c r="F3251" s="387">
        <f t="shared" ca="1" si="203"/>
        <v>40</v>
      </c>
      <c r="G3251" s="387" t="s">
        <v>4453</v>
      </c>
      <c r="H3251" s="391"/>
      <c r="I3251" s="391"/>
    </row>
    <row r="3252" spans="1:9">
      <c r="A3252" s="387" t="b">
        <v>0</v>
      </c>
      <c r="B3252" s="387" t="s">
        <v>4742</v>
      </c>
      <c r="C3252" s="392">
        <v>32</v>
      </c>
      <c r="D3252" s="387">
        <f t="shared" si="201"/>
        <v>-290</v>
      </c>
      <c r="E3252" s="387">
        <f t="shared" si="202"/>
        <v>4</v>
      </c>
      <c r="F3252" s="387">
        <f t="shared" ca="1" si="203"/>
        <v>40</v>
      </c>
      <c r="G3252" s="387" t="s">
        <v>4453</v>
      </c>
      <c r="H3252" s="391"/>
      <c r="I3252" s="391"/>
    </row>
    <row r="3253" spans="1:9">
      <c r="A3253" s="387" t="b">
        <v>0</v>
      </c>
      <c r="B3253" s="387" t="s">
        <v>4743</v>
      </c>
      <c r="C3253" s="392">
        <v>32</v>
      </c>
      <c r="D3253" s="387">
        <f t="shared" si="201"/>
        <v>-289</v>
      </c>
      <c r="E3253" s="387">
        <f t="shared" si="202"/>
        <v>5</v>
      </c>
      <c r="F3253" s="387">
        <f t="shared" ca="1" si="203"/>
        <v>40</v>
      </c>
      <c r="G3253" s="387" t="s">
        <v>4453</v>
      </c>
      <c r="H3253" s="391"/>
      <c r="I3253" s="391"/>
    </row>
    <row r="3254" spans="1:9">
      <c r="A3254" s="387" t="b">
        <v>0</v>
      </c>
      <c r="B3254" s="387" t="s">
        <v>4744</v>
      </c>
      <c r="C3254" s="392">
        <v>32</v>
      </c>
      <c r="D3254" s="387">
        <f t="shared" si="201"/>
        <v>-288</v>
      </c>
      <c r="E3254" s="387">
        <f t="shared" si="202"/>
        <v>6</v>
      </c>
      <c r="F3254" s="387">
        <f t="shared" ca="1" si="203"/>
        <v>40</v>
      </c>
      <c r="G3254" s="387" t="s">
        <v>4453</v>
      </c>
      <c r="H3254" s="391"/>
      <c r="I3254" s="391"/>
    </row>
    <row r="3255" spans="1:9">
      <c r="A3255" s="387" t="b">
        <v>0</v>
      </c>
      <c r="B3255" s="387" t="s">
        <v>4745</v>
      </c>
      <c r="C3255" s="392">
        <v>33</v>
      </c>
      <c r="D3255" s="387">
        <f t="shared" ref="D3255:D3318" si="204">D3254+1</f>
        <v>-287</v>
      </c>
      <c r="E3255" s="387">
        <f t="shared" ref="E3255:E3318" si="205">COUNTIF(C3085:C3255,C3255)</f>
        <v>1</v>
      </c>
      <c r="F3255" s="387">
        <f t="shared" ref="F3255:F3318" ca="1" si="206">IF(C3255=1,9,IF(E3254=MAX(E3253:E3255),F3253+1,F3254))</f>
        <v>41</v>
      </c>
      <c r="G3255" s="387" t="s">
        <v>4455</v>
      </c>
      <c r="H3255" s="391"/>
      <c r="I3255" s="391"/>
    </row>
    <row r="3256" spans="1:9">
      <c r="A3256" s="387" t="b">
        <v>0</v>
      </c>
      <c r="B3256" s="387" t="s">
        <v>4746</v>
      </c>
      <c r="C3256" s="392">
        <v>33</v>
      </c>
      <c r="D3256" s="387">
        <f t="shared" si="204"/>
        <v>-286</v>
      </c>
      <c r="E3256" s="387">
        <f t="shared" si="205"/>
        <v>2</v>
      </c>
      <c r="F3256" s="387">
        <f t="shared" ca="1" si="206"/>
        <v>41</v>
      </c>
      <c r="G3256" s="387" t="s">
        <v>4455</v>
      </c>
      <c r="H3256" s="391"/>
      <c r="I3256" s="391"/>
    </row>
    <row r="3257" spans="1:9">
      <c r="A3257" s="387" t="b">
        <v>0</v>
      </c>
      <c r="B3257" s="387" t="s">
        <v>4747</v>
      </c>
      <c r="C3257" s="392">
        <v>33</v>
      </c>
      <c r="D3257" s="387">
        <f t="shared" si="204"/>
        <v>-285</v>
      </c>
      <c r="E3257" s="387">
        <f t="shared" si="205"/>
        <v>3</v>
      </c>
      <c r="F3257" s="387">
        <f t="shared" ca="1" si="206"/>
        <v>41</v>
      </c>
      <c r="G3257" s="387" t="s">
        <v>4455</v>
      </c>
      <c r="H3257" s="391"/>
      <c r="I3257" s="391"/>
    </row>
    <row r="3258" spans="1:9">
      <c r="A3258" s="387" t="b">
        <v>0</v>
      </c>
      <c r="B3258" s="387" t="s">
        <v>4748</v>
      </c>
      <c r="C3258" s="392">
        <v>33</v>
      </c>
      <c r="D3258" s="387">
        <f t="shared" si="204"/>
        <v>-284</v>
      </c>
      <c r="E3258" s="387">
        <f t="shared" si="205"/>
        <v>4</v>
      </c>
      <c r="F3258" s="387">
        <f t="shared" ca="1" si="206"/>
        <v>41</v>
      </c>
      <c r="G3258" s="387" t="s">
        <v>4455</v>
      </c>
      <c r="H3258" s="391"/>
      <c r="I3258" s="391"/>
    </row>
    <row r="3259" spans="1:9">
      <c r="A3259" s="387" t="b">
        <v>0</v>
      </c>
      <c r="B3259" s="387" t="s">
        <v>4749</v>
      </c>
      <c r="C3259" s="392">
        <v>33</v>
      </c>
      <c r="D3259" s="387">
        <f t="shared" si="204"/>
        <v>-283</v>
      </c>
      <c r="E3259" s="387">
        <f t="shared" si="205"/>
        <v>5</v>
      </c>
      <c r="F3259" s="387">
        <f t="shared" ca="1" si="206"/>
        <v>41</v>
      </c>
      <c r="G3259" s="387" t="s">
        <v>4455</v>
      </c>
      <c r="H3259" s="391"/>
      <c r="I3259" s="391"/>
    </row>
    <row r="3260" spans="1:9">
      <c r="A3260" s="387" t="b">
        <v>0</v>
      </c>
      <c r="B3260" s="387" t="s">
        <v>4750</v>
      </c>
      <c r="C3260" s="392">
        <v>33</v>
      </c>
      <c r="D3260" s="387">
        <f t="shared" si="204"/>
        <v>-282</v>
      </c>
      <c r="E3260" s="387">
        <f t="shared" si="205"/>
        <v>6</v>
      </c>
      <c r="F3260" s="387">
        <f t="shared" ca="1" si="206"/>
        <v>41</v>
      </c>
      <c r="G3260" s="387" t="s">
        <v>4455</v>
      </c>
      <c r="H3260" s="391"/>
      <c r="I3260" s="391"/>
    </row>
    <row r="3261" spans="1:9">
      <c r="A3261" s="387" t="b">
        <v>0</v>
      </c>
      <c r="B3261" s="387" t="s">
        <v>4751</v>
      </c>
      <c r="C3261" s="392">
        <v>34</v>
      </c>
      <c r="D3261" s="387">
        <f t="shared" si="204"/>
        <v>-281</v>
      </c>
      <c r="E3261" s="387">
        <f t="shared" si="205"/>
        <v>1</v>
      </c>
      <c r="F3261" s="387">
        <f t="shared" ca="1" si="206"/>
        <v>42</v>
      </c>
      <c r="G3261" s="387" t="s">
        <v>4457</v>
      </c>
      <c r="H3261" s="391"/>
      <c r="I3261" s="391"/>
    </row>
    <row r="3262" spans="1:9">
      <c r="A3262" s="387" t="b">
        <v>0</v>
      </c>
      <c r="B3262" s="387" t="s">
        <v>4752</v>
      </c>
      <c r="C3262" s="392">
        <v>34</v>
      </c>
      <c r="D3262" s="387">
        <f t="shared" si="204"/>
        <v>-280</v>
      </c>
      <c r="E3262" s="387">
        <f t="shared" si="205"/>
        <v>2</v>
      </c>
      <c r="F3262" s="387">
        <f t="shared" ca="1" si="206"/>
        <v>42</v>
      </c>
      <c r="G3262" s="387" t="s">
        <v>4457</v>
      </c>
      <c r="H3262" s="391"/>
      <c r="I3262" s="391"/>
    </row>
    <row r="3263" spans="1:9">
      <c r="A3263" s="387" t="b">
        <v>0</v>
      </c>
      <c r="B3263" s="387" t="s">
        <v>4753</v>
      </c>
      <c r="C3263" s="392">
        <v>34</v>
      </c>
      <c r="D3263" s="387">
        <f t="shared" si="204"/>
        <v>-279</v>
      </c>
      <c r="E3263" s="387">
        <f t="shared" si="205"/>
        <v>3</v>
      </c>
      <c r="F3263" s="387">
        <f t="shared" ca="1" si="206"/>
        <v>42</v>
      </c>
      <c r="G3263" s="387" t="s">
        <v>4457</v>
      </c>
      <c r="H3263" s="391"/>
      <c r="I3263" s="391"/>
    </row>
    <row r="3264" spans="1:9">
      <c r="A3264" s="387" t="b">
        <v>0</v>
      </c>
      <c r="B3264" s="387" t="s">
        <v>4754</v>
      </c>
      <c r="C3264" s="392">
        <v>34</v>
      </c>
      <c r="D3264" s="387">
        <f t="shared" si="204"/>
        <v>-278</v>
      </c>
      <c r="E3264" s="387">
        <f t="shared" si="205"/>
        <v>4</v>
      </c>
      <c r="F3264" s="387">
        <f t="shared" ca="1" si="206"/>
        <v>42</v>
      </c>
      <c r="G3264" s="387" t="s">
        <v>4457</v>
      </c>
      <c r="H3264" s="391"/>
      <c r="I3264" s="391"/>
    </row>
    <row r="3265" spans="1:9">
      <c r="A3265" s="387" t="b">
        <v>0</v>
      </c>
      <c r="B3265" s="387" t="s">
        <v>4755</v>
      </c>
      <c r="C3265" s="392">
        <v>34</v>
      </c>
      <c r="D3265" s="387">
        <f t="shared" si="204"/>
        <v>-277</v>
      </c>
      <c r="E3265" s="387">
        <f t="shared" si="205"/>
        <v>5</v>
      </c>
      <c r="F3265" s="387">
        <f t="shared" ca="1" si="206"/>
        <v>42</v>
      </c>
      <c r="G3265" s="387" t="s">
        <v>4457</v>
      </c>
      <c r="H3265" s="391"/>
      <c r="I3265" s="391"/>
    </row>
    <row r="3266" spans="1:9">
      <c r="A3266" s="387" t="b">
        <v>0</v>
      </c>
      <c r="B3266" s="387" t="s">
        <v>4756</v>
      </c>
      <c r="C3266" s="392">
        <v>34</v>
      </c>
      <c r="D3266" s="387">
        <f t="shared" si="204"/>
        <v>-276</v>
      </c>
      <c r="E3266" s="387">
        <f t="shared" si="205"/>
        <v>6</v>
      </c>
      <c r="F3266" s="387">
        <f t="shared" ca="1" si="206"/>
        <v>42</v>
      </c>
      <c r="G3266" s="387" t="s">
        <v>4457</v>
      </c>
      <c r="H3266" s="391"/>
      <c r="I3266" s="391"/>
    </row>
    <row r="3267" spans="1:9">
      <c r="A3267" s="387" t="b">
        <v>0</v>
      </c>
      <c r="B3267" s="387" t="s">
        <v>4757</v>
      </c>
      <c r="C3267" s="392">
        <v>35</v>
      </c>
      <c r="D3267" s="387">
        <f t="shared" si="204"/>
        <v>-275</v>
      </c>
      <c r="E3267" s="387">
        <f t="shared" si="205"/>
        <v>1</v>
      </c>
      <c r="F3267" s="387">
        <f t="shared" ca="1" si="206"/>
        <v>43</v>
      </c>
      <c r="G3267" s="387" t="s">
        <v>4459</v>
      </c>
      <c r="H3267" s="391"/>
      <c r="I3267" s="391"/>
    </row>
    <row r="3268" spans="1:9">
      <c r="A3268" s="387" t="b">
        <v>0</v>
      </c>
      <c r="B3268" s="387" t="s">
        <v>4758</v>
      </c>
      <c r="C3268" s="392">
        <v>35</v>
      </c>
      <c r="D3268" s="387">
        <f t="shared" si="204"/>
        <v>-274</v>
      </c>
      <c r="E3268" s="387">
        <f t="shared" si="205"/>
        <v>2</v>
      </c>
      <c r="F3268" s="387">
        <f t="shared" ca="1" si="206"/>
        <v>43</v>
      </c>
      <c r="G3268" s="387" t="s">
        <v>4459</v>
      </c>
      <c r="H3268" s="391"/>
      <c r="I3268" s="391"/>
    </row>
    <row r="3269" spans="1:9">
      <c r="A3269" s="387" t="b">
        <v>0</v>
      </c>
      <c r="B3269" s="387" t="s">
        <v>4759</v>
      </c>
      <c r="C3269" s="392">
        <v>35</v>
      </c>
      <c r="D3269" s="387">
        <f t="shared" si="204"/>
        <v>-273</v>
      </c>
      <c r="E3269" s="387">
        <f t="shared" si="205"/>
        <v>3</v>
      </c>
      <c r="F3269" s="387">
        <f t="shared" ca="1" si="206"/>
        <v>43</v>
      </c>
      <c r="G3269" s="387" t="s">
        <v>4459</v>
      </c>
      <c r="H3269" s="391"/>
      <c r="I3269" s="391"/>
    </row>
    <row r="3270" spans="1:9">
      <c r="A3270" s="387" t="b">
        <v>0</v>
      </c>
      <c r="B3270" s="387" t="s">
        <v>4760</v>
      </c>
      <c r="C3270" s="392">
        <v>35</v>
      </c>
      <c r="D3270" s="387">
        <f t="shared" si="204"/>
        <v>-272</v>
      </c>
      <c r="E3270" s="387">
        <f t="shared" si="205"/>
        <v>4</v>
      </c>
      <c r="F3270" s="387">
        <f t="shared" ca="1" si="206"/>
        <v>43</v>
      </c>
      <c r="G3270" s="387" t="s">
        <v>4459</v>
      </c>
      <c r="H3270" s="391"/>
      <c r="I3270" s="391"/>
    </row>
    <row r="3271" spans="1:9">
      <c r="A3271" s="387" t="b">
        <v>0</v>
      </c>
      <c r="B3271" s="387" t="s">
        <v>4761</v>
      </c>
      <c r="C3271" s="392">
        <v>35</v>
      </c>
      <c r="D3271" s="387">
        <f t="shared" si="204"/>
        <v>-271</v>
      </c>
      <c r="E3271" s="387">
        <f t="shared" si="205"/>
        <v>5</v>
      </c>
      <c r="F3271" s="387">
        <f t="shared" ca="1" si="206"/>
        <v>43</v>
      </c>
      <c r="G3271" s="387" t="s">
        <v>4459</v>
      </c>
      <c r="H3271" s="391"/>
      <c r="I3271" s="391"/>
    </row>
    <row r="3272" spans="1:9">
      <c r="A3272" s="387" t="b">
        <v>0</v>
      </c>
      <c r="B3272" s="387" t="s">
        <v>4762</v>
      </c>
      <c r="C3272" s="392">
        <v>35</v>
      </c>
      <c r="D3272" s="387">
        <f t="shared" si="204"/>
        <v>-270</v>
      </c>
      <c r="E3272" s="387">
        <f t="shared" si="205"/>
        <v>6</v>
      </c>
      <c r="F3272" s="387">
        <f t="shared" ca="1" si="206"/>
        <v>43</v>
      </c>
      <c r="G3272" s="387" t="s">
        <v>4459</v>
      </c>
      <c r="H3272" s="391"/>
      <c r="I3272" s="391"/>
    </row>
    <row r="3273" spans="1:9">
      <c r="A3273" s="387" t="b">
        <v>0</v>
      </c>
      <c r="B3273" s="387" t="s">
        <v>4763</v>
      </c>
      <c r="C3273" s="392">
        <v>36</v>
      </c>
      <c r="D3273" s="387">
        <f t="shared" si="204"/>
        <v>-269</v>
      </c>
      <c r="E3273" s="387">
        <f t="shared" si="205"/>
        <v>1</v>
      </c>
      <c r="F3273" s="387">
        <f t="shared" ca="1" si="206"/>
        <v>44</v>
      </c>
      <c r="G3273" s="387" t="s">
        <v>4461</v>
      </c>
      <c r="H3273" s="391"/>
      <c r="I3273" s="391"/>
    </row>
    <row r="3274" spans="1:9">
      <c r="A3274" s="387" t="b">
        <v>0</v>
      </c>
      <c r="B3274" s="387" t="s">
        <v>4764</v>
      </c>
      <c r="C3274" s="392">
        <v>36</v>
      </c>
      <c r="D3274" s="387">
        <f t="shared" si="204"/>
        <v>-268</v>
      </c>
      <c r="E3274" s="387">
        <f t="shared" si="205"/>
        <v>2</v>
      </c>
      <c r="F3274" s="387">
        <f t="shared" ca="1" si="206"/>
        <v>44</v>
      </c>
      <c r="G3274" s="387" t="s">
        <v>4461</v>
      </c>
      <c r="H3274" s="391"/>
      <c r="I3274" s="391"/>
    </row>
    <row r="3275" spans="1:9">
      <c r="A3275" s="387" t="b">
        <v>0</v>
      </c>
      <c r="B3275" s="387" t="s">
        <v>4765</v>
      </c>
      <c r="C3275" s="392">
        <v>36</v>
      </c>
      <c r="D3275" s="387">
        <f t="shared" si="204"/>
        <v>-267</v>
      </c>
      <c r="E3275" s="387">
        <f t="shared" si="205"/>
        <v>3</v>
      </c>
      <c r="F3275" s="387">
        <f t="shared" ca="1" si="206"/>
        <v>44</v>
      </c>
      <c r="G3275" s="387" t="s">
        <v>4461</v>
      </c>
      <c r="H3275" s="391"/>
      <c r="I3275" s="391"/>
    </row>
    <row r="3276" spans="1:9">
      <c r="A3276" s="387" t="b">
        <v>0</v>
      </c>
      <c r="B3276" s="387" t="s">
        <v>4766</v>
      </c>
      <c r="C3276" s="392">
        <v>36</v>
      </c>
      <c r="D3276" s="387">
        <f t="shared" si="204"/>
        <v>-266</v>
      </c>
      <c r="E3276" s="387">
        <f t="shared" si="205"/>
        <v>4</v>
      </c>
      <c r="F3276" s="387">
        <f t="shared" ca="1" si="206"/>
        <v>44</v>
      </c>
      <c r="G3276" s="387" t="s">
        <v>4461</v>
      </c>
      <c r="H3276" s="391"/>
      <c r="I3276" s="391"/>
    </row>
    <row r="3277" spans="1:9">
      <c r="A3277" s="387" t="b">
        <v>0</v>
      </c>
      <c r="B3277" s="387" t="s">
        <v>4767</v>
      </c>
      <c r="C3277" s="392">
        <v>36</v>
      </c>
      <c r="D3277" s="387">
        <f t="shared" si="204"/>
        <v>-265</v>
      </c>
      <c r="E3277" s="387">
        <f t="shared" si="205"/>
        <v>5</v>
      </c>
      <c r="F3277" s="387">
        <f t="shared" ca="1" si="206"/>
        <v>44</v>
      </c>
      <c r="G3277" s="387" t="s">
        <v>4461</v>
      </c>
      <c r="H3277" s="391"/>
      <c r="I3277" s="391"/>
    </row>
    <row r="3278" spans="1:9">
      <c r="A3278" s="387" t="b">
        <v>0</v>
      </c>
      <c r="B3278" s="387" t="s">
        <v>4768</v>
      </c>
      <c r="C3278" s="392">
        <v>36</v>
      </c>
      <c r="D3278" s="387">
        <f t="shared" si="204"/>
        <v>-264</v>
      </c>
      <c r="E3278" s="387">
        <f t="shared" si="205"/>
        <v>6</v>
      </c>
      <c r="F3278" s="387">
        <f t="shared" ca="1" si="206"/>
        <v>44</v>
      </c>
      <c r="G3278" s="387" t="s">
        <v>4461</v>
      </c>
      <c r="H3278" s="391"/>
      <c r="I3278" s="391"/>
    </row>
    <row r="3279" spans="1:9">
      <c r="A3279" s="387" t="b">
        <v>0</v>
      </c>
      <c r="B3279" s="387" t="s">
        <v>4769</v>
      </c>
      <c r="C3279" s="392">
        <v>37</v>
      </c>
      <c r="D3279" s="387">
        <f t="shared" si="204"/>
        <v>-263</v>
      </c>
      <c r="E3279" s="387">
        <f t="shared" si="205"/>
        <v>1</v>
      </c>
      <c r="F3279" s="387">
        <f t="shared" ca="1" si="206"/>
        <v>45</v>
      </c>
      <c r="G3279" s="387" t="s">
        <v>4463</v>
      </c>
      <c r="H3279" s="391"/>
      <c r="I3279" s="391"/>
    </row>
    <row r="3280" spans="1:9">
      <c r="A3280" s="387" t="b">
        <v>0</v>
      </c>
      <c r="B3280" s="387" t="s">
        <v>4770</v>
      </c>
      <c r="C3280" s="392">
        <v>37</v>
      </c>
      <c r="D3280" s="387">
        <f t="shared" si="204"/>
        <v>-262</v>
      </c>
      <c r="E3280" s="387">
        <f t="shared" si="205"/>
        <v>2</v>
      </c>
      <c r="F3280" s="387">
        <f t="shared" ca="1" si="206"/>
        <v>45</v>
      </c>
      <c r="G3280" s="387" t="s">
        <v>4463</v>
      </c>
      <c r="H3280" s="391"/>
      <c r="I3280" s="391"/>
    </row>
    <row r="3281" spans="1:9">
      <c r="A3281" s="387" t="b">
        <v>0</v>
      </c>
      <c r="B3281" s="387" t="s">
        <v>4771</v>
      </c>
      <c r="C3281" s="392">
        <v>37</v>
      </c>
      <c r="D3281" s="387">
        <f t="shared" si="204"/>
        <v>-261</v>
      </c>
      <c r="E3281" s="387">
        <f t="shared" si="205"/>
        <v>3</v>
      </c>
      <c r="F3281" s="387">
        <f t="shared" ca="1" si="206"/>
        <v>45</v>
      </c>
      <c r="G3281" s="387" t="s">
        <v>4463</v>
      </c>
      <c r="H3281" s="391"/>
      <c r="I3281" s="391"/>
    </row>
    <row r="3282" spans="1:9">
      <c r="A3282" s="387" t="b">
        <v>0</v>
      </c>
      <c r="B3282" s="387" t="s">
        <v>4772</v>
      </c>
      <c r="C3282" s="392">
        <v>37</v>
      </c>
      <c r="D3282" s="387">
        <f t="shared" si="204"/>
        <v>-260</v>
      </c>
      <c r="E3282" s="387">
        <f t="shared" si="205"/>
        <v>4</v>
      </c>
      <c r="F3282" s="387">
        <f t="shared" ca="1" si="206"/>
        <v>45</v>
      </c>
      <c r="G3282" s="387" t="s">
        <v>4463</v>
      </c>
      <c r="H3282" s="391"/>
      <c r="I3282" s="391"/>
    </row>
    <row r="3283" spans="1:9">
      <c r="A3283" s="387" t="b">
        <v>0</v>
      </c>
      <c r="B3283" s="387" t="s">
        <v>4773</v>
      </c>
      <c r="C3283" s="392">
        <v>37</v>
      </c>
      <c r="D3283" s="387">
        <f t="shared" si="204"/>
        <v>-259</v>
      </c>
      <c r="E3283" s="387">
        <f t="shared" si="205"/>
        <v>5</v>
      </c>
      <c r="F3283" s="387">
        <f t="shared" ca="1" si="206"/>
        <v>45</v>
      </c>
      <c r="G3283" s="387" t="s">
        <v>4463</v>
      </c>
      <c r="H3283" s="391"/>
      <c r="I3283" s="391"/>
    </row>
    <row r="3284" spans="1:9">
      <c r="A3284" s="387" t="b">
        <v>0</v>
      </c>
      <c r="B3284" s="387" t="s">
        <v>4774</v>
      </c>
      <c r="C3284" s="392">
        <v>37</v>
      </c>
      <c r="D3284" s="387">
        <f t="shared" si="204"/>
        <v>-258</v>
      </c>
      <c r="E3284" s="387">
        <f t="shared" si="205"/>
        <v>6</v>
      </c>
      <c r="F3284" s="387">
        <f t="shared" ca="1" si="206"/>
        <v>45</v>
      </c>
      <c r="G3284" s="387" t="s">
        <v>4463</v>
      </c>
      <c r="H3284" s="391"/>
      <c r="I3284" s="391"/>
    </row>
    <row r="3285" spans="1:9">
      <c r="A3285" s="387" t="b">
        <v>0</v>
      </c>
      <c r="B3285" s="387" t="s">
        <v>4775</v>
      </c>
      <c r="C3285" s="392">
        <v>38</v>
      </c>
      <c r="D3285" s="387">
        <f t="shared" si="204"/>
        <v>-257</v>
      </c>
      <c r="E3285" s="387">
        <f t="shared" si="205"/>
        <v>1</v>
      </c>
      <c r="F3285" s="387">
        <f t="shared" ca="1" si="206"/>
        <v>46</v>
      </c>
      <c r="G3285" s="387" t="s">
        <v>4465</v>
      </c>
      <c r="H3285" s="391"/>
      <c r="I3285" s="391"/>
    </row>
    <row r="3286" spans="1:9">
      <c r="A3286" s="387" t="b">
        <v>0</v>
      </c>
      <c r="B3286" s="387" t="s">
        <v>4776</v>
      </c>
      <c r="C3286" s="392">
        <v>38</v>
      </c>
      <c r="D3286" s="387">
        <f t="shared" si="204"/>
        <v>-256</v>
      </c>
      <c r="E3286" s="387">
        <f t="shared" si="205"/>
        <v>2</v>
      </c>
      <c r="F3286" s="387">
        <f t="shared" ca="1" si="206"/>
        <v>46</v>
      </c>
      <c r="G3286" s="387" t="s">
        <v>4465</v>
      </c>
      <c r="H3286" s="391"/>
      <c r="I3286" s="391"/>
    </row>
    <row r="3287" spans="1:9">
      <c r="A3287" s="387" t="b">
        <v>0</v>
      </c>
      <c r="B3287" s="387" t="s">
        <v>4777</v>
      </c>
      <c r="C3287" s="392">
        <v>38</v>
      </c>
      <c r="D3287" s="387">
        <f t="shared" si="204"/>
        <v>-255</v>
      </c>
      <c r="E3287" s="387">
        <f t="shared" si="205"/>
        <v>3</v>
      </c>
      <c r="F3287" s="387">
        <f t="shared" ca="1" si="206"/>
        <v>46</v>
      </c>
      <c r="G3287" s="387" t="s">
        <v>4465</v>
      </c>
      <c r="H3287" s="391"/>
      <c r="I3287" s="391"/>
    </row>
    <row r="3288" spans="1:9">
      <c r="A3288" s="387" t="b">
        <v>0</v>
      </c>
      <c r="B3288" s="387" t="s">
        <v>4778</v>
      </c>
      <c r="C3288" s="392">
        <v>38</v>
      </c>
      <c r="D3288" s="387">
        <f t="shared" si="204"/>
        <v>-254</v>
      </c>
      <c r="E3288" s="387">
        <f t="shared" si="205"/>
        <v>4</v>
      </c>
      <c r="F3288" s="387">
        <f t="shared" ca="1" si="206"/>
        <v>46</v>
      </c>
      <c r="G3288" s="387" t="s">
        <v>4465</v>
      </c>
      <c r="H3288" s="391"/>
      <c r="I3288" s="391"/>
    </row>
    <row r="3289" spans="1:9">
      <c r="A3289" s="387" t="b">
        <v>0</v>
      </c>
      <c r="B3289" s="387" t="s">
        <v>4779</v>
      </c>
      <c r="C3289" s="392">
        <v>38</v>
      </c>
      <c r="D3289" s="387">
        <f t="shared" si="204"/>
        <v>-253</v>
      </c>
      <c r="E3289" s="387">
        <f t="shared" si="205"/>
        <v>5</v>
      </c>
      <c r="F3289" s="387">
        <f t="shared" ca="1" si="206"/>
        <v>46</v>
      </c>
      <c r="G3289" s="387" t="s">
        <v>4465</v>
      </c>
      <c r="H3289" s="391"/>
      <c r="I3289" s="391"/>
    </row>
    <row r="3290" spans="1:9">
      <c r="A3290" s="387" t="b">
        <v>0</v>
      </c>
      <c r="B3290" s="387" t="s">
        <v>4780</v>
      </c>
      <c r="C3290" s="392">
        <v>38</v>
      </c>
      <c r="D3290" s="387">
        <f t="shared" si="204"/>
        <v>-252</v>
      </c>
      <c r="E3290" s="387">
        <f t="shared" si="205"/>
        <v>6</v>
      </c>
      <c r="F3290" s="387">
        <f t="shared" ca="1" si="206"/>
        <v>46</v>
      </c>
      <c r="G3290" s="387" t="s">
        <v>4465</v>
      </c>
      <c r="H3290" s="391"/>
      <c r="I3290" s="391"/>
    </row>
    <row r="3291" spans="1:9">
      <c r="A3291" s="387" t="b">
        <v>0</v>
      </c>
      <c r="B3291" s="387" t="s">
        <v>4781</v>
      </c>
      <c r="C3291" s="392">
        <v>39</v>
      </c>
      <c r="D3291" s="387">
        <f t="shared" si="204"/>
        <v>-251</v>
      </c>
      <c r="E3291" s="387">
        <f t="shared" si="205"/>
        <v>1</v>
      </c>
      <c r="F3291" s="387">
        <f t="shared" ca="1" si="206"/>
        <v>47</v>
      </c>
      <c r="G3291" s="387" t="s">
        <v>4467</v>
      </c>
      <c r="H3291" s="391"/>
      <c r="I3291" s="391"/>
    </row>
    <row r="3292" spans="1:9">
      <c r="A3292" s="387" t="b">
        <v>0</v>
      </c>
      <c r="B3292" s="387" t="s">
        <v>4782</v>
      </c>
      <c r="C3292" s="392">
        <v>39</v>
      </c>
      <c r="D3292" s="387">
        <f t="shared" si="204"/>
        <v>-250</v>
      </c>
      <c r="E3292" s="387">
        <f t="shared" si="205"/>
        <v>2</v>
      </c>
      <c r="F3292" s="387">
        <f t="shared" ca="1" si="206"/>
        <v>47</v>
      </c>
      <c r="G3292" s="387" t="s">
        <v>4467</v>
      </c>
      <c r="H3292" s="391"/>
      <c r="I3292" s="391"/>
    </row>
    <row r="3293" spans="1:9">
      <c r="A3293" s="387" t="b">
        <v>0</v>
      </c>
      <c r="B3293" s="387" t="s">
        <v>4783</v>
      </c>
      <c r="C3293" s="392">
        <v>39</v>
      </c>
      <c r="D3293" s="387">
        <f t="shared" si="204"/>
        <v>-249</v>
      </c>
      <c r="E3293" s="387">
        <f t="shared" si="205"/>
        <v>3</v>
      </c>
      <c r="F3293" s="387">
        <f t="shared" ca="1" si="206"/>
        <v>47</v>
      </c>
      <c r="G3293" s="387" t="s">
        <v>4467</v>
      </c>
      <c r="H3293" s="391"/>
      <c r="I3293" s="391"/>
    </row>
    <row r="3294" spans="1:9">
      <c r="A3294" s="387" t="b">
        <v>0</v>
      </c>
      <c r="B3294" s="387" t="s">
        <v>4784</v>
      </c>
      <c r="C3294" s="392">
        <v>39</v>
      </c>
      <c r="D3294" s="387">
        <f t="shared" si="204"/>
        <v>-248</v>
      </c>
      <c r="E3294" s="387">
        <f t="shared" si="205"/>
        <v>4</v>
      </c>
      <c r="F3294" s="387">
        <f t="shared" ca="1" si="206"/>
        <v>47</v>
      </c>
      <c r="G3294" s="387" t="s">
        <v>4467</v>
      </c>
      <c r="H3294" s="391"/>
      <c r="I3294" s="391"/>
    </row>
    <row r="3295" spans="1:9">
      <c r="A3295" s="387" t="b">
        <v>0</v>
      </c>
      <c r="B3295" s="387" t="s">
        <v>4785</v>
      </c>
      <c r="C3295" s="392">
        <v>39</v>
      </c>
      <c r="D3295" s="387">
        <f t="shared" si="204"/>
        <v>-247</v>
      </c>
      <c r="E3295" s="387">
        <f t="shared" si="205"/>
        <v>5</v>
      </c>
      <c r="F3295" s="387">
        <f t="shared" ca="1" si="206"/>
        <v>47</v>
      </c>
      <c r="G3295" s="387" t="s">
        <v>4467</v>
      </c>
      <c r="H3295" s="391"/>
      <c r="I3295" s="391"/>
    </row>
    <row r="3296" spans="1:9">
      <c r="A3296" s="387" t="b">
        <v>0</v>
      </c>
      <c r="B3296" s="387" t="s">
        <v>4786</v>
      </c>
      <c r="C3296" s="392">
        <v>39</v>
      </c>
      <c r="D3296" s="387">
        <f t="shared" si="204"/>
        <v>-246</v>
      </c>
      <c r="E3296" s="387">
        <f t="shared" si="205"/>
        <v>6</v>
      </c>
      <c r="F3296" s="387">
        <f t="shared" ca="1" si="206"/>
        <v>47</v>
      </c>
      <c r="G3296" s="387" t="s">
        <v>4467</v>
      </c>
      <c r="H3296" s="391"/>
      <c r="I3296" s="391"/>
    </row>
    <row r="3297" spans="1:9">
      <c r="A3297" s="387" t="b">
        <v>0</v>
      </c>
      <c r="B3297" s="387" t="s">
        <v>4787</v>
      </c>
      <c r="C3297" s="392">
        <v>40</v>
      </c>
      <c r="D3297" s="387">
        <f t="shared" si="204"/>
        <v>-245</v>
      </c>
      <c r="E3297" s="387">
        <f t="shared" si="205"/>
        <v>1</v>
      </c>
      <c r="F3297" s="387">
        <f t="shared" ca="1" si="206"/>
        <v>48</v>
      </c>
      <c r="G3297" s="387" t="s">
        <v>4469</v>
      </c>
      <c r="H3297" s="391"/>
      <c r="I3297" s="391"/>
    </row>
    <row r="3298" spans="1:9">
      <c r="A3298" s="387" t="b">
        <v>0</v>
      </c>
      <c r="B3298" s="387" t="s">
        <v>4788</v>
      </c>
      <c r="C3298" s="392">
        <v>40</v>
      </c>
      <c r="D3298" s="387">
        <f t="shared" si="204"/>
        <v>-244</v>
      </c>
      <c r="E3298" s="387">
        <f t="shared" si="205"/>
        <v>2</v>
      </c>
      <c r="F3298" s="387">
        <f t="shared" ca="1" si="206"/>
        <v>48</v>
      </c>
      <c r="G3298" s="387" t="s">
        <v>4469</v>
      </c>
      <c r="H3298" s="391"/>
      <c r="I3298" s="391"/>
    </row>
    <row r="3299" spans="1:9">
      <c r="A3299" s="387" t="b">
        <v>0</v>
      </c>
      <c r="B3299" s="387" t="s">
        <v>4789</v>
      </c>
      <c r="C3299" s="392">
        <v>40</v>
      </c>
      <c r="D3299" s="387">
        <f t="shared" si="204"/>
        <v>-243</v>
      </c>
      <c r="E3299" s="387">
        <f t="shared" si="205"/>
        <v>3</v>
      </c>
      <c r="F3299" s="387">
        <f t="shared" ca="1" si="206"/>
        <v>48</v>
      </c>
      <c r="G3299" s="387" t="s">
        <v>4469</v>
      </c>
      <c r="H3299" s="391"/>
      <c r="I3299" s="391"/>
    </row>
    <row r="3300" spans="1:9">
      <c r="A3300" s="387" t="b">
        <v>0</v>
      </c>
      <c r="B3300" s="387" t="s">
        <v>4790</v>
      </c>
      <c r="C3300" s="392">
        <v>40</v>
      </c>
      <c r="D3300" s="387">
        <f t="shared" si="204"/>
        <v>-242</v>
      </c>
      <c r="E3300" s="387">
        <f t="shared" si="205"/>
        <v>4</v>
      </c>
      <c r="F3300" s="387">
        <f t="shared" ca="1" si="206"/>
        <v>48</v>
      </c>
      <c r="G3300" s="387" t="s">
        <v>4469</v>
      </c>
      <c r="H3300" s="391"/>
      <c r="I3300" s="391"/>
    </row>
    <row r="3301" spans="1:9">
      <c r="A3301" s="387" t="b">
        <v>0</v>
      </c>
      <c r="B3301" s="387" t="s">
        <v>4791</v>
      </c>
      <c r="C3301" s="392">
        <v>40</v>
      </c>
      <c r="D3301" s="387">
        <f t="shared" si="204"/>
        <v>-241</v>
      </c>
      <c r="E3301" s="387">
        <f t="shared" si="205"/>
        <v>5</v>
      </c>
      <c r="F3301" s="387">
        <f t="shared" ca="1" si="206"/>
        <v>48</v>
      </c>
      <c r="G3301" s="387" t="s">
        <v>4469</v>
      </c>
      <c r="H3301" s="391"/>
      <c r="I3301" s="391"/>
    </row>
    <row r="3302" spans="1:9">
      <c r="A3302" s="387" t="b">
        <v>0</v>
      </c>
      <c r="B3302" s="387" t="s">
        <v>4792</v>
      </c>
      <c r="C3302" s="392">
        <v>40</v>
      </c>
      <c r="D3302" s="387">
        <f t="shared" si="204"/>
        <v>-240</v>
      </c>
      <c r="E3302" s="387">
        <f t="shared" si="205"/>
        <v>6</v>
      </c>
      <c r="F3302" s="387">
        <f t="shared" ca="1" si="206"/>
        <v>48</v>
      </c>
      <c r="G3302" s="387" t="s">
        <v>4469</v>
      </c>
      <c r="H3302" s="391"/>
      <c r="I3302" s="391"/>
    </row>
    <row r="3303" spans="1:9">
      <c r="A3303" s="387" t="b">
        <v>0</v>
      </c>
      <c r="B3303" s="387" t="s">
        <v>4793</v>
      </c>
      <c r="C3303" s="392">
        <v>41</v>
      </c>
      <c r="D3303" s="387">
        <f t="shared" si="204"/>
        <v>-239</v>
      </c>
      <c r="E3303" s="387">
        <f t="shared" si="205"/>
        <v>1</v>
      </c>
      <c r="F3303" s="387">
        <f t="shared" ca="1" si="206"/>
        <v>49</v>
      </c>
      <c r="G3303" s="387" t="s">
        <v>4471</v>
      </c>
      <c r="H3303" s="391"/>
      <c r="I3303" s="391"/>
    </row>
    <row r="3304" spans="1:9">
      <c r="A3304" s="387" t="b">
        <v>0</v>
      </c>
      <c r="B3304" s="387" t="s">
        <v>4794</v>
      </c>
      <c r="C3304" s="392">
        <v>41</v>
      </c>
      <c r="D3304" s="387">
        <f t="shared" si="204"/>
        <v>-238</v>
      </c>
      <c r="E3304" s="387">
        <f t="shared" si="205"/>
        <v>2</v>
      </c>
      <c r="F3304" s="387">
        <f t="shared" ca="1" si="206"/>
        <v>49</v>
      </c>
      <c r="G3304" s="387" t="s">
        <v>4471</v>
      </c>
      <c r="H3304" s="391"/>
      <c r="I3304" s="391"/>
    </row>
    <row r="3305" spans="1:9">
      <c r="A3305" s="387" t="b">
        <v>0</v>
      </c>
      <c r="B3305" s="387" t="s">
        <v>4795</v>
      </c>
      <c r="C3305" s="392">
        <v>41</v>
      </c>
      <c r="D3305" s="387">
        <f t="shared" si="204"/>
        <v>-237</v>
      </c>
      <c r="E3305" s="387">
        <f t="shared" si="205"/>
        <v>3</v>
      </c>
      <c r="F3305" s="387">
        <f t="shared" ca="1" si="206"/>
        <v>49</v>
      </c>
      <c r="G3305" s="387" t="s">
        <v>4471</v>
      </c>
      <c r="H3305" s="391"/>
      <c r="I3305" s="391"/>
    </row>
    <row r="3306" spans="1:9">
      <c r="A3306" s="387" t="b">
        <v>0</v>
      </c>
      <c r="B3306" s="387" t="s">
        <v>4796</v>
      </c>
      <c r="C3306" s="392">
        <v>41</v>
      </c>
      <c r="D3306" s="387">
        <f t="shared" si="204"/>
        <v>-236</v>
      </c>
      <c r="E3306" s="387">
        <f t="shared" si="205"/>
        <v>4</v>
      </c>
      <c r="F3306" s="387">
        <f t="shared" ca="1" si="206"/>
        <v>49</v>
      </c>
      <c r="G3306" s="387" t="s">
        <v>4471</v>
      </c>
      <c r="H3306" s="391"/>
      <c r="I3306" s="391"/>
    </row>
    <row r="3307" spans="1:9">
      <c r="A3307" s="387" t="b">
        <v>0</v>
      </c>
      <c r="B3307" s="387" t="s">
        <v>4797</v>
      </c>
      <c r="C3307" s="392">
        <v>41</v>
      </c>
      <c r="D3307" s="387">
        <f t="shared" si="204"/>
        <v>-235</v>
      </c>
      <c r="E3307" s="387">
        <f t="shared" si="205"/>
        <v>5</v>
      </c>
      <c r="F3307" s="387">
        <f t="shared" ca="1" si="206"/>
        <v>49</v>
      </c>
      <c r="G3307" s="387" t="s">
        <v>4471</v>
      </c>
      <c r="H3307" s="391"/>
      <c r="I3307" s="391"/>
    </row>
    <row r="3308" spans="1:9">
      <c r="A3308" s="387" t="b">
        <v>0</v>
      </c>
      <c r="B3308" s="387" t="s">
        <v>4798</v>
      </c>
      <c r="C3308" s="392">
        <v>41</v>
      </c>
      <c r="D3308" s="387">
        <f t="shared" si="204"/>
        <v>-234</v>
      </c>
      <c r="E3308" s="387">
        <f t="shared" si="205"/>
        <v>6</v>
      </c>
      <c r="F3308" s="387">
        <f t="shared" ca="1" si="206"/>
        <v>49</v>
      </c>
      <c r="G3308" s="387" t="s">
        <v>4471</v>
      </c>
      <c r="H3308" s="391"/>
      <c r="I3308" s="391"/>
    </row>
    <row r="3309" spans="1:9">
      <c r="A3309" s="387" t="b">
        <v>0</v>
      </c>
      <c r="B3309" s="387" t="s">
        <v>4799</v>
      </c>
      <c r="C3309" s="392">
        <v>42</v>
      </c>
      <c r="D3309" s="387">
        <f t="shared" si="204"/>
        <v>-233</v>
      </c>
      <c r="E3309" s="387">
        <f t="shared" si="205"/>
        <v>1</v>
      </c>
      <c r="F3309" s="387">
        <f t="shared" ca="1" si="206"/>
        <v>50</v>
      </c>
      <c r="G3309" s="387" t="s">
        <v>4473</v>
      </c>
      <c r="H3309" s="391"/>
      <c r="I3309" s="391"/>
    </row>
    <row r="3310" spans="1:9">
      <c r="A3310" s="387" t="b">
        <v>0</v>
      </c>
      <c r="B3310" s="387" t="s">
        <v>4800</v>
      </c>
      <c r="C3310" s="392">
        <v>42</v>
      </c>
      <c r="D3310" s="387">
        <f t="shared" si="204"/>
        <v>-232</v>
      </c>
      <c r="E3310" s="387">
        <f t="shared" si="205"/>
        <v>2</v>
      </c>
      <c r="F3310" s="387">
        <f t="shared" ca="1" si="206"/>
        <v>50</v>
      </c>
      <c r="G3310" s="387" t="s">
        <v>4473</v>
      </c>
      <c r="H3310" s="391"/>
      <c r="I3310" s="391"/>
    </row>
    <row r="3311" spans="1:9">
      <c r="A3311" s="387" t="b">
        <v>0</v>
      </c>
      <c r="B3311" s="387" t="s">
        <v>4801</v>
      </c>
      <c r="C3311" s="392">
        <v>42</v>
      </c>
      <c r="D3311" s="387">
        <f t="shared" si="204"/>
        <v>-231</v>
      </c>
      <c r="E3311" s="387">
        <f t="shared" si="205"/>
        <v>3</v>
      </c>
      <c r="F3311" s="387">
        <f t="shared" ca="1" si="206"/>
        <v>50</v>
      </c>
      <c r="G3311" s="387" t="s">
        <v>4473</v>
      </c>
      <c r="H3311" s="391"/>
      <c r="I3311" s="391"/>
    </row>
    <row r="3312" spans="1:9">
      <c r="A3312" s="387" t="b">
        <v>0</v>
      </c>
      <c r="B3312" s="387" t="s">
        <v>4802</v>
      </c>
      <c r="C3312" s="392">
        <v>42</v>
      </c>
      <c r="D3312" s="387">
        <f t="shared" si="204"/>
        <v>-230</v>
      </c>
      <c r="E3312" s="387">
        <f t="shared" si="205"/>
        <v>4</v>
      </c>
      <c r="F3312" s="387">
        <f t="shared" ca="1" si="206"/>
        <v>50</v>
      </c>
      <c r="G3312" s="387" t="s">
        <v>4473</v>
      </c>
      <c r="H3312" s="391"/>
      <c r="I3312" s="391"/>
    </row>
    <row r="3313" spans="1:9">
      <c r="A3313" s="387" t="b">
        <v>0</v>
      </c>
      <c r="B3313" s="387" t="s">
        <v>4803</v>
      </c>
      <c r="C3313" s="392">
        <v>42</v>
      </c>
      <c r="D3313" s="387">
        <f t="shared" si="204"/>
        <v>-229</v>
      </c>
      <c r="E3313" s="387">
        <f t="shared" si="205"/>
        <v>5</v>
      </c>
      <c r="F3313" s="387">
        <f t="shared" ca="1" si="206"/>
        <v>50</v>
      </c>
      <c r="G3313" s="387" t="s">
        <v>4473</v>
      </c>
      <c r="H3313" s="391"/>
      <c r="I3313" s="391"/>
    </row>
    <row r="3314" spans="1:9">
      <c r="A3314" s="387" t="b">
        <v>0</v>
      </c>
      <c r="B3314" s="387" t="s">
        <v>4804</v>
      </c>
      <c r="C3314" s="392">
        <v>42</v>
      </c>
      <c r="D3314" s="387">
        <f t="shared" si="204"/>
        <v>-228</v>
      </c>
      <c r="E3314" s="387">
        <f t="shared" si="205"/>
        <v>6</v>
      </c>
      <c r="F3314" s="387">
        <f t="shared" ca="1" si="206"/>
        <v>50</v>
      </c>
      <c r="G3314" s="387" t="s">
        <v>4473</v>
      </c>
      <c r="H3314" s="391"/>
      <c r="I3314" s="391"/>
    </row>
    <row r="3315" spans="1:9">
      <c r="A3315" s="387" t="b">
        <v>0</v>
      </c>
      <c r="B3315" s="387" t="s">
        <v>4805</v>
      </c>
      <c r="C3315" s="392">
        <v>43</v>
      </c>
      <c r="D3315" s="387">
        <f t="shared" si="204"/>
        <v>-227</v>
      </c>
      <c r="E3315" s="387">
        <f t="shared" si="205"/>
        <v>1</v>
      </c>
      <c r="F3315" s="387">
        <f t="shared" ca="1" si="206"/>
        <v>51</v>
      </c>
      <c r="G3315" s="387" t="s">
        <v>4475</v>
      </c>
      <c r="H3315" s="391"/>
      <c r="I3315" s="391"/>
    </row>
    <row r="3316" spans="1:9">
      <c r="A3316" s="387" t="b">
        <v>0</v>
      </c>
      <c r="B3316" s="387" t="s">
        <v>4806</v>
      </c>
      <c r="C3316" s="392">
        <v>43</v>
      </c>
      <c r="D3316" s="387">
        <f t="shared" si="204"/>
        <v>-226</v>
      </c>
      <c r="E3316" s="387">
        <f t="shared" si="205"/>
        <v>2</v>
      </c>
      <c r="F3316" s="387">
        <f t="shared" ca="1" si="206"/>
        <v>51</v>
      </c>
      <c r="G3316" s="387" t="s">
        <v>4475</v>
      </c>
      <c r="H3316" s="391"/>
      <c r="I3316" s="391"/>
    </row>
    <row r="3317" spans="1:9">
      <c r="A3317" s="387" t="b">
        <v>0</v>
      </c>
      <c r="B3317" s="387" t="s">
        <v>4807</v>
      </c>
      <c r="C3317" s="392">
        <v>43</v>
      </c>
      <c r="D3317" s="387">
        <f t="shared" si="204"/>
        <v>-225</v>
      </c>
      <c r="E3317" s="387">
        <f t="shared" si="205"/>
        <v>3</v>
      </c>
      <c r="F3317" s="387">
        <f t="shared" ca="1" si="206"/>
        <v>51</v>
      </c>
      <c r="G3317" s="387" t="s">
        <v>4475</v>
      </c>
      <c r="H3317" s="391"/>
      <c r="I3317" s="391"/>
    </row>
    <row r="3318" spans="1:9">
      <c r="A3318" s="387" t="b">
        <v>0</v>
      </c>
      <c r="B3318" s="387" t="s">
        <v>4808</v>
      </c>
      <c r="C3318" s="392">
        <v>43</v>
      </c>
      <c r="D3318" s="387">
        <f t="shared" si="204"/>
        <v>-224</v>
      </c>
      <c r="E3318" s="387">
        <f t="shared" si="205"/>
        <v>4</v>
      </c>
      <c r="F3318" s="387">
        <f t="shared" ca="1" si="206"/>
        <v>51</v>
      </c>
      <c r="G3318" s="387" t="s">
        <v>4475</v>
      </c>
      <c r="H3318" s="391"/>
      <c r="I3318" s="391"/>
    </row>
    <row r="3319" spans="1:9">
      <c r="A3319" s="387" t="b">
        <v>0</v>
      </c>
      <c r="B3319" s="387" t="s">
        <v>4809</v>
      </c>
      <c r="C3319" s="392">
        <v>43</v>
      </c>
      <c r="D3319" s="387">
        <f t="shared" ref="D3319:D3382" si="207">D3318+1</f>
        <v>-223</v>
      </c>
      <c r="E3319" s="387">
        <f t="shared" ref="E3319:E3382" si="208">COUNTIF(C3149:C3319,C3319)</f>
        <v>5</v>
      </c>
      <c r="F3319" s="387">
        <f t="shared" ref="F3319:F3382" ca="1" si="209">IF(C3319=1,9,IF(E3318=MAX(E3317:E3319),F3317+1,F3318))</f>
        <v>51</v>
      </c>
      <c r="G3319" s="387" t="s">
        <v>4475</v>
      </c>
      <c r="H3319" s="391"/>
      <c r="I3319" s="391"/>
    </row>
    <row r="3320" spans="1:9">
      <c r="A3320" s="387" t="b">
        <v>0</v>
      </c>
      <c r="B3320" s="387" t="s">
        <v>4810</v>
      </c>
      <c r="C3320" s="392">
        <v>43</v>
      </c>
      <c r="D3320" s="387">
        <f t="shared" si="207"/>
        <v>-222</v>
      </c>
      <c r="E3320" s="387">
        <f t="shared" si="208"/>
        <v>6</v>
      </c>
      <c r="F3320" s="387">
        <f t="shared" ca="1" si="209"/>
        <v>51</v>
      </c>
      <c r="G3320" s="387" t="s">
        <v>4475</v>
      </c>
      <c r="H3320" s="391"/>
      <c r="I3320" s="391"/>
    </row>
    <row r="3321" spans="1:9">
      <c r="A3321" s="387" t="b">
        <v>0</v>
      </c>
      <c r="B3321" s="387" t="s">
        <v>4811</v>
      </c>
      <c r="C3321" s="392">
        <v>44</v>
      </c>
      <c r="D3321" s="387">
        <f t="shared" si="207"/>
        <v>-221</v>
      </c>
      <c r="E3321" s="387">
        <f t="shared" si="208"/>
        <v>1</v>
      </c>
      <c r="F3321" s="387">
        <f t="shared" ca="1" si="209"/>
        <v>52</v>
      </c>
      <c r="G3321" s="387" t="s">
        <v>4477</v>
      </c>
      <c r="H3321" s="391"/>
      <c r="I3321" s="391"/>
    </row>
    <row r="3322" spans="1:9">
      <c r="A3322" s="387" t="b">
        <v>0</v>
      </c>
      <c r="B3322" s="387" t="s">
        <v>4812</v>
      </c>
      <c r="C3322" s="392">
        <v>44</v>
      </c>
      <c r="D3322" s="387">
        <f t="shared" si="207"/>
        <v>-220</v>
      </c>
      <c r="E3322" s="387">
        <f t="shared" si="208"/>
        <v>2</v>
      </c>
      <c r="F3322" s="387">
        <f t="shared" ca="1" si="209"/>
        <v>52</v>
      </c>
      <c r="G3322" s="387" t="s">
        <v>4477</v>
      </c>
      <c r="H3322" s="391"/>
      <c r="I3322" s="391"/>
    </row>
    <row r="3323" spans="1:9">
      <c r="A3323" s="387" t="b">
        <v>0</v>
      </c>
      <c r="B3323" s="387" t="s">
        <v>4813</v>
      </c>
      <c r="C3323" s="392">
        <v>44</v>
      </c>
      <c r="D3323" s="387">
        <f t="shared" si="207"/>
        <v>-219</v>
      </c>
      <c r="E3323" s="387">
        <f t="shared" si="208"/>
        <v>3</v>
      </c>
      <c r="F3323" s="387">
        <f t="shared" ca="1" si="209"/>
        <v>52</v>
      </c>
      <c r="G3323" s="387" t="s">
        <v>4477</v>
      </c>
      <c r="H3323" s="391"/>
      <c r="I3323" s="391"/>
    </row>
    <row r="3324" spans="1:9">
      <c r="A3324" s="387" t="b">
        <v>0</v>
      </c>
      <c r="B3324" s="387" t="s">
        <v>4814</v>
      </c>
      <c r="C3324" s="392">
        <v>44</v>
      </c>
      <c r="D3324" s="387">
        <f t="shared" si="207"/>
        <v>-218</v>
      </c>
      <c r="E3324" s="387">
        <f t="shared" si="208"/>
        <v>4</v>
      </c>
      <c r="F3324" s="387">
        <f t="shared" ca="1" si="209"/>
        <v>52</v>
      </c>
      <c r="G3324" s="387" t="s">
        <v>4477</v>
      </c>
      <c r="H3324" s="391"/>
      <c r="I3324" s="391"/>
    </row>
    <row r="3325" spans="1:9">
      <c r="A3325" s="387" t="b">
        <v>0</v>
      </c>
      <c r="B3325" s="387" t="s">
        <v>4815</v>
      </c>
      <c r="C3325" s="392">
        <v>44</v>
      </c>
      <c r="D3325" s="387">
        <f t="shared" si="207"/>
        <v>-217</v>
      </c>
      <c r="E3325" s="387">
        <f t="shared" si="208"/>
        <v>5</v>
      </c>
      <c r="F3325" s="387">
        <f t="shared" ca="1" si="209"/>
        <v>52</v>
      </c>
      <c r="G3325" s="387" t="s">
        <v>4477</v>
      </c>
      <c r="H3325" s="391"/>
      <c r="I3325" s="391"/>
    </row>
    <row r="3326" spans="1:9">
      <c r="A3326" s="387" t="b">
        <v>0</v>
      </c>
      <c r="B3326" s="387" t="s">
        <v>4816</v>
      </c>
      <c r="C3326" s="392">
        <v>44</v>
      </c>
      <c r="D3326" s="387">
        <f t="shared" si="207"/>
        <v>-216</v>
      </c>
      <c r="E3326" s="387">
        <f t="shared" si="208"/>
        <v>6</v>
      </c>
      <c r="F3326" s="387">
        <f t="shared" ca="1" si="209"/>
        <v>52</v>
      </c>
      <c r="G3326" s="387" t="s">
        <v>4477</v>
      </c>
      <c r="H3326" s="391"/>
      <c r="I3326" s="391"/>
    </row>
    <row r="3327" spans="1:9">
      <c r="A3327" s="387" t="b">
        <v>0</v>
      </c>
      <c r="B3327" s="387" t="s">
        <v>4817</v>
      </c>
      <c r="C3327" s="392">
        <v>45</v>
      </c>
      <c r="D3327" s="387">
        <f t="shared" si="207"/>
        <v>-215</v>
      </c>
      <c r="E3327" s="387">
        <f t="shared" si="208"/>
        <v>1</v>
      </c>
      <c r="F3327" s="387">
        <f t="shared" ca="1" si="209"/>
        <v>53</v>
      </c>
      <c r="G3327" s="387" t="s">
        <v>4479</v>
      </c>
      <c r="H3327" s="391"/>
      <c r="I3327" s="391"/>
    </row>
    <row r="3328" spans="1:9">
      <c r="A3328" s="387" t="b">
        <v>0</v>
      </c>
      <c r="B3328" s="387" t="s">
        <v>4818</v>
      </c>
      <c r="C3328" s="392">
        <v>45</v>
      </c>
      <c r="D3328" s="387">
        <f t="shared" si="207"/>
        <v>-214</v>
      </c>
      <c r="E3328" s="387">
        <f t="shared" si="208"/>
        <v>2</v>
      </c>
      <c r="F3328" s="387">
        <f t="shared" ca="1" si="209"/>
        <v>53</v>
      </c>
      <c r="G3328" s="387" t="s">
        <v>4479</v>
      </c>
      <c r="H3328" s="391"/>
      <c r="I3328" s="391"/>
    </row>
    <row r="3329" spans="1:9">
      <c r="A3329" s="387" t="b">
        <v>0</v>
      </c>
      <c r="B3329" s="387" t="s">
        <v>4819</v>
      </c>
      <c r="C3329" s="392">
        <v>45</v>
      </c>
      <c r="D3329" s="387">
        <f t="shared" si="207"/>
        <v>-213</v>
      </c>
      <c r="E3329" s="387">
        <f t="shared" si="208"/>
        <v>3</v>
      </c>
      <c r="F3329" s="387">
        <f t="shared" ca="1" si="209"/>
        <v>53</v>
      </c>
      <c r="G3329" s="387" t="s">
        <v>4479</v>
      </c>
      <c r="H3329" s="391"/>
      <c r="I3329" s="391"/>
    </row>
    <row r="3330" spans="1:9">
      <c r="A3330" s="387" t="b">
        <v>0</v>
      </c>
      <c r="B3330" s="387" t="s">
        <v>4820</v>
      </c>
      <c r="C3330" s="392">
        <v>45</v>
      </c>
      <c r="D3330" s="387">
        <f t="shared" si="207"/>
        <v>-212</v>
      </c>
      <c r="E3330" s="387">
        <f t="shared" si="208"/>
        <v>4</v>
      </c>
      <c r="F3330" s="387">
        <f t="shared" ca="1" si="209"/>
        <v>53</v>
      </c>
      <c r="G3330" s="387" t="s">
        <v>4479</v>
      </c>
      <c r="H3330" s="391"/>
      <c r="I3330" s="391"/>
    </row>
    <row r="3331" spans="1:9">
      <c r="A3331" s="387" t="b">
        <v>0</v>
      </c>
      <c r="B3331" s="387" t="s">
        <v>4821</v>
      </c>
      <c r="C3331" s="392">
        <v>45</v>
      </c>
      <c r="D3331" s="387">
        <f t="shared" si="207"/>
        <v>-211</v>
      </c>
      <c r="E3331" s="387">
        <f t="shared" si="208"/>
        <v>5</v>
      </c>
      <c r="F3331" s="387">
        <f t="shared" ca="1" si="209"/>
        <v>53</v>
      </c>
      <c r="G3331" s="387" t="s">
        <v>4479</v>
      </c>
      <c r="H3331" s="391"/>
      <c r="I3331" s="391"/>
    </row>
    <row r="3332" spans="1:9">
      <c r="A3332" s="387" t="b">
        <v>0</v>
      </c>
      <c r="B3332" s="387" t="s">
        <v>4822</v>
      </c>
      <c r="C3332" s="392">
        <v>45</v>
      </c>
      <c r="D3332" s="387">
        <f t="shared" si="207"/>
        <v>-210</v>
      </c>
      <c r="E3332" s="387">
        <f t="shared" si="208"/>
        <v>6</v>
      </c>
      <c r="F3332" s="387">
        <f t="shared" ca="1" si="209"/>
        <v>53</v>
      </c>
      <c r="G3332" s="387" t="s">
        <v>4479</v>
      </c>
      <c r="H3332" s="391"/>
      <c r="I3332" s="391"/>
    </row>
    <row r="3333" spans="1:9">
      <c r="A3333" s="387" t="b">
        <v>0</v>
      </c>
      <c r="B3333" s="387" t="s">
        <v>4823</v>
      </c>
      <c r="C3333" s="392">
        <v>46</v>
      </c>
      <c r="D3333" s="387">
        <f t="shared" si="207"/>
        <v>-209</v>
      </c>
      <c r="E3333" s="387">
        <f t="shared" si="208"/>
        <v>1</v>
      </c>
      <c r="F3333" s="387">
        <f t="shared" ca="1" si="209"/>
        <v>54</v>
      </c>
      <c r="G3333" s="387" t="s">
        <v>4481</v>
      </c>
      <c r="H3333" s="391"/>
      <c r="I3333" s="391"/>
    </row>
    <row r="3334" spans="1:9">
      <c r="A3334" s="387" t="b">
        <v>0</v>
      </c>
      <c r="B3334" s="387" t="s">
        <v>4824</v>
      </c>
      <c r="C3334" s="392">
        <v>46</v>
      </c>
      <c r="D3334" s="387">
        <f t="shared" si="207"/>
        <v>-208</v>
      </c>
      <c r="E3334" s="387">
        <f t="shared" si="208"/>
        <v>2</v>
      </c>
      <c r="F3334" s="387">
        <f t="shared" ca="1" si="209"/>
        <v>54</v>
      </c>
      <c r="G3334" s="387" t="s">
        <v>4481</v>
      </c>
      <c r="H3334" s="391"/>
      <c r="I3334" s="391"/>
    </row>
    <row r="3335" spans="1:9">
      <c r="A3335" s="387" t="b">
        <v>0</v>
      </c>
      <c r="B3335" s="387" t="s">
        <v>4825</v>
      </c>
      <c r="C3335" s="392">
        <v>46</v>
      </c>
      <c r="D3335" s="387">
        <f t="shared" si="207"/>
        <v>-207</v>
      </c>
      <c r="E3335" s="387">
        <f t="shared" si="208"/>
        <v>3</v>
      </c>
      <c r="F3335" s="387">
        <f t="shared" ca="1" si="209"/>
        <v>54</v>
      </c>
      <c r="G3335" s="387" t="s">
        <v>4481</v>
      </c>
      <c r="H3335" s="391"/>
      <c r="I3335" s="391"/>
    </row>
    <row r="3336" spans="1:9">
      <c r="A3336" s="387" t="b">
        <v>0</v>
      </c>
      <c r="B3336" s="387" t="s">
        <v>4826</v>
      </c>
      <c r="C3336" s="392">
        <v>46</v>
      </c>
      <c r="D3336" s="387">
        <f t="shared" si="207"/>
        <v>-206</v>
      </c>
      <c r="E3336" s="387">
        <f t="shared" si="208"/>
        <v>4</v>
      </c>
      <c r="F3336" s="387">
        <f t="shared" ca="1" si="209"/>
        <v>54</v>
      </c>
      <c r="G3336" s="387" t="s">
        <v>4481</v>
      </c>
      <c r="H3336" s="391"/>
      <c r="I3336" s="391"/>
    </row>
    <row r="3337" spans="1:9">
      <c r="A3337" s="387" t="b">
        <v>0</v>
      </c>
      <c r="B3337" s="387" t="s">
        <v>4827</v>
      </c>
      <c r="C3337" s="392">
        <v>46</v>
      </c>
      <c r="D3337" s="387">
        <f t="shared" si="207"/>
        <v>-205</v>
      </c>
      <c r="E3337" s="387">
        <f t="shared" si="208"/>
        <v>5</v>
      </c>
      <c r="F3337" s="387">
        <f t="shared" ca="1" si="209"/>
        <v>54</v>
      </c>
      <c r="G3337" s="387" t="s">
        <v>4481</v>
      </c>
      <c r="H3337" s="391"/>
      <c r="I3337" s="391"/>
    </row>
    <row r="3338" spans="1:9">
      <c r="A3338" s="387" t="b">
        <v>0</v>
      </c>
      <c r="B3338" s="387" t="s">
        <v>4828</v>
      </c>
      <c r="C3338" s="392">
        <v>46</v>
      </c>
      <c r="D3338" s="387">
        <f t="shared" si="207"/>
        <v>-204</v>
      </c>
      <c r="E3338" s="387">
        <f t="shared" si="208"/>
        <v>6</v>
      </c>
      <c r="F3338" s="387">
        <f t="shared" ca="1" si="209"/>
        <v>54</v>
      </c>
      <c r="G3338" s="387" t="s">
        <v>4481</v>
      </c>
      <c r="H3338" s="391"/>
      <c r="I3338" s="391"/>
    </row>
    <row r="3339" spans="1:9">
      <c r="A3339" s="387" t="b">
        <v>0</v>
      </c>
      <c r="B3339" s="387" t="s">
        <v>4829</v>
      </c>
      <c r="C3339" s="392">
        <v>47</v>
      </c>
      <c r="D3339" s="387">
        <f t="shared" si="207"/>
        <v>-203</v>
      </c>
      <c r="E3339" s="387">
        <f t="shared" si="208"/>
        <v>1</v>
      </c>
      <c r="F3339" s="387">
        <f t="shared" ca="1" si="209"/>
        <v>55</v>
      </c>
      <c r="G3339" s="387" t="s">
        <v>4483</v>
      </c>
      <c r="H3339" s="391"/>
      <c r="I3339" s="391"/>
    </row>
    <row r="3340" spans="1:9">
      <c r="A3340" s="387" t="b">
        <v>0</v>
      </c>
      <c r="B3340" s="387" t="s">
        <v>4830</v>
      </c>
      <c r="C3340" s="392">
        <v>47</v>
      </c>
      <c r="D3340" s="387">
        <f t="shared" si="207"/>
        <v>-202</v>
      </c>
      <c r="E3340" s="387">
        <f t="shared" si="208"/>
        <v>2</v>
      </c>
      <c r="F3340" s="387">
        <f t="shared" ca="1" si="209"/>
        <v>55</v>
      </c>
      <c r="G3340" s="387" t="s">
        <v>4483</v>
      </c>
      <c r="H3340" s="391"/>
      <c r="I3340" s="391"/>
    </row>
    <row r="3341" spans="1:9">
      <c r="A3341" s="387" t="b">
        <v>0</v>
      </c>
      <c r="B3341" s="387" t="s">
        <v>4831</v>
      </c>
      <c r="C3341" s="392">
        <v>47</v>
      </c>
      <c r="D3341" s="387">
        <f t="shared" si="207"/>
        <v>-201</v>
      </c>
      <c r="E3341" s="387">
        <f t="shared" si="208"/>
        <v>3</v>
      </c>
      <c r="F3341" s="387">
        <f t="shared" ca="1" si="209"/>
        <v>55</v>
      </c>
      <c r="G3341" s="387" t="s">
        <v>4483</v>
      </c>
      <c r="H3341" s="391"/>
      <c r="I3341" s="391"/>
    </row>
    <row r="3342" spans="1:9">
      <c r="A3342" s="387" t="b">
        <v>0</v>
      </c>
      <c r="B3342" s="387" t="s">
        <v>4832</v>
      </c>
      <c r="C3342" s="392">
        <v>47</v>
      </c>
      <c r="D3342" s="387">
        <f t="shared" si="207"/>
        <v>-200</v>
      </c>
      <c r="E3342" s="387">
        <f t="shared" si="208"/>
        <v>4</v>
      </c>
      <c r="F3342" s="387">
        <f t="shared" ca="1" si="209"/>
        <v>55</v>
      </c>
      <c r="G3342" s="387" t="s">
        <v>4483</v>
      </c>
      <c r="H3342" s="391"/>
      <c r="I3342" s="391"/>
    </row>
    <row r="3343" spans="1:9">
      <c r="A3343" s="387" t="b">
        <v>0</v>
      </c>
      <c r="B3343" s="387" t="s">
        <v>4833</v>
      </c>
      <c r="C3343" s="392">
        <v>47</v>
      </c>
      <c r="D3343" s="387">
        <f t="shared" si="207"/>
        <v>-199</v>
      </c>
      <c r="E3343" s="387">
        <f t="shared" si="208"/>
        <v>5</v>
      </c>
      <c r="F3343" s="387">
        <f t="shared" ca="1" si="209"/>
        <v>55</v>
      </c>
      <c r="G3343" s="387" t="s">
        <v>4483</v>
      </c>
      <c r="H3343" s="391"/>
      <c r="I3343" s="391"/>
    </row>
    <row r="3344" spans="1:9">
      <c r="A3344" s="387" t="b">
        <v>0</v>
      </c>
      <c r="B3344" s="387" t="s">
        <v>4834</v>
      </c>
      <c r="C3344" s="392">
        <v>47</v>
      </c>
      <c r="D3344" s="387">
        <f t="shared" si="207"/>
        <v>-198</v>
      </c>
      <c r="E3344" s="387">
        <f t="shared" si="208"/>
        <v>6</v>
      </c>
      <c r="F3344" s="387">
        <f t="shared" ca="1" si="209"/>
        <v>55</v>
      </c>
      <c r="G3344" s="387" t="s">
        <v>4483</v>
      </c>
      <c r="H3344" s="391"/>
      <c r="I3344" s="391"/>
    </row>
    <row r="3345" spans="1:9">
      <c r="A3345" s="387" t="b">
        <v>0</v>
      </c>
      <c r="B3345" s="387" t="s">
        <v>4835</v>
      </c>
      <c r="C3345" s="392">
        <v>48</v>
      </c>
      <c r="D3345" s="387">
        <f t="shared" si="207"/>
        <v>-197</v>
      </c>
      <c r="E3345" s="387">
        <f t="shared" si="208"/>
        <v>1</v>
      </c>
      <c r="F3345" s="387">
        <f t="shared" ca="1" si="209"/>
        <v>56</v>
      </c>
      <c r="G3345" s="387" t="s">
        <v>4485</v>
      </c>
      <c r="H3345" s="391"/>
      <c r="I3345" s="391"/>
    </row>
    <row r="3346" spans="1:9">
      <c r="A3346" s="387" t="b">
        <v>0</v>
      </c>
      <c r="B3346" s="387" t="s">
        <v>4836</v>
      </c>
      <c r="C3346" s="392">
        <v>48</v>
      </c>
      <c r="D3346" s="387">
        <f t="shared" si="207"/>
        <v>-196</v>
      </c>
      <c r="E3346" s="387">
        <f t="shared" si="208"/>
        <v>2</v>
      </c>
      <c r="F3346" s="387">
        <f t="shared" ca="1" si="209"/>
        <v>56</v>
      </c>
      <c r="G3346" s="387" t="s">
        <v>4485</v>
      </c>
      <c r="H3346" s="391"/>
      <c r="I3346" s="391"/>
    </row>
    <row r="3347" spans="1:9">
      <c r="A3347" s="387" t="b">
        <v>0</v>
      </c>
      <c r="B3347" s="387" t="s">
        <v>4837</v>
      </c>
      <c r="C3347" s="392">
        <v>48</v>
      </c>
      <c r="D3347" s="387">
        <f t="shared" si="207"/>
        <v>-195</v>
      </c>
      <c r="E3347" s="387">
        <f t="shared" si="208"/>
        <v>3</v>
      </c>
      <c r="F3347" s="387">
        <f t="shared" ca="1" si="209"/>
        <v>56</v>
      </c>
      <c r="G3347" s="387" t="s">
        <v>4485</v>
      </c>
      <c r="H3347" s="391"/>
      <c r="I3347" s="391"/>
    </row>
    <row r="3348" spans="1:9">
      <c r="A3348" s="387" t="b">
        <v>0</v>
      </c>
      <c r="B3348" s="387" t="s">
        <v>4838</v>
      </c>
      <c r="C3348" s="392">
        <v>48</v>
      </c>
      <c r="D3348" s="387">
        <f t="shared" si="207"/>
        <v>-194</v>
      </c>
      <c r="E3348" s="387">
        <f t="shared" si="208"/>
        <v>4</v>
      </c>
      <c r="F3348" s="387">
        <f t="shared" ca="1" si="209"/>
        <v>56</v>
      </c>
      <c r="G3348" s="387" t="s">
        <v>4485</v>
      </c>
      <c r="H3348" s="391"/>
      <c r="I3348" s="391"/>
    </row>
    <row r="3349" spans="1:9">
      <c r="A3349" s="387" t="b">
        <v>0</v>
      </c>
      <c r="B3349" s="387" t="s">
        <v>4839</v>
      </c>
      <c r="C3349" s="392">
        <v>48</v>
      </c>
      <c r="D3349" s="387">
        <f t="shared" si="207"/>
        <v>-193</v>
      </c>
      <c r="E3349" s="387">
        <f t="shared" si="208"/>
        <v>5</v>
      </c>
      <c r="F3349" s="387">
        <f t="shared" ca="1" si="209"/>
        <v>56</v>
      </c>
      <c r="G3349" s="387" t="s">
        <v>4485</v>
      </c>
      <c r="H3349" s="391"/>
      <c r="I3349" s="391"/>
    </row>
    <row r="3350" spans="1:9">
      <c r="A3350" s="387" t="b">
        <v>0</v>
      </c>
      <c r="B3350" s="387" t="s">
        <v>4840</v>
      </c>
      <c r="C3350" s="392">
        <v>48</v>
      </c>
      <c r="D3350" s="387">
        <f t="shared" si="207"/>
        <v>-192</v>
      </c>
      <c r="E3350" s="387">
        <f t="shared" si="208"/>
        <v>6</v>
      </c>
      <c r="F3350" s="387">
        <f t="shared" ca="1" si="209"/>
        <v>56</v>
      </c>
      <c r="G3350" s="387" t="s">
        <v>4485</v>
      </c>
      <c r="H3350" s="391"/>
      <c r="I3350" s="391"/>
    </row>
    <row r="3351" spans="1:9">
      <c r="A3351" s="387" t="b">
        <v>0</v>
      </c>
      <c r="B3351" s="387" t="s">
        <v>4841</v>
      </c>
      <c r="C3351" s="392">
        <v>49</v>
      </c>
      <c r="D3351" s="387">
        <f t="shared" si="207"/>
        <v>-191</v>
      </c>
      <c r="E3351" s="387">
        <f t="shared" si="208"/>
        <v>1</v>
      </c>
      <c r="F3351" s="387">
        <f t="shared" ca="1" si="209"/>
        <v>57</v>
      </c>
      <c r="G3351" s="387" t="s">
        <v>4487</v>
      </c>
      <c r="H3351" s="391"/>
      <c r="I3351" s="391"/>
    </row>
    <row r="3352" spans="1:9">
      <c r="A3352" s="387" t="b">
        <v>0</v>
      </c>
      <c r="B3352" s="387" t="s">
        <v>4842</v>
      </c>
      <c r="C3352" s="392">
        <v>49</v>
      </c>
      <c r="D3352" s="387">
        <f t="shared" si="207"/>
        <v>-190</v>
      </c>
      <c r="E3352" s="387">
        <f t="shared" si="208"/>
        <v>2</v>
      </c>
      <c r="F3352" s="387">
        <f t="shared" ca="1" si="209"/>
        <v>57</v>
      </c>
      <c r="G3352" s="387" t="s">
        <v>4487</v>
      </c>
      <c r="H3352" s="391"/>
      <c r="I3352" s="391"/>
    </row>
    <row r="3353" spans="1:9">
      <c r="A3353" s="387" t="b">
        <v>0</v>
      </c>
      <c r="B3353" s="387" t="s">
        <v>4843</v>
      </c>
      <c r="C3353" s="392">
        <v>49</v>
      </c>
      <c r="D3353" s="387">
        <f t="shared" si="207"/>
        <v>-189</v>
      </c>
      <c r="E3353" s="387">
        <f t="shared" si="208"/>
        <v>3</v>
      </c>
      <c r="F3353" s="387">
        <f t="shared" ca="1" si="209"/>
        <v>57</v>
      </c>
      <c r="G3353" s="387" t="s">
        <v>4487</v>
      </c>
      <c r="H3353" s="391"/>
      <c r="I3353" s="391"/>
    </row>
    <row r="3354" spans="1:9">
      <c r="A3354" s="387" t="b">
        <v>0</v>
      </c>
      <c r="B3354" s="387" t="s">
        <v>4844</v>
      </c>
      <c r="C3354" s="392">
        <v>49</v>
      </c>
      <c r="D3354" s="387">
        <f t="shared" si="207"/>
        <v>-188</v>
      </c>
      <c r="E3354" s="387">
        <f t="shared" si="208"/>
        <v>4</v>
      </c>
      <c r="F3354" s="387">
        <f t="shared" ca="1" si="209"/>
        <v>57</v>
      </c>
      <c r="G3354" s="387" t="s">
        <v>4487</v>
      </c>
      <c r="H3354" s="391"/>
      <c r="I3354" s="391"/>
    </row>
    <row r="3355" spans="1:9">
      <c r="A3355" s="387" t="b">
        <v>0</v>
      </c>
      <c r="B3355" s="387" t="s">
        <v>4845</v>
      </c>
      <c r="C3355" s="392">
        <v>49</v>
      </c>
      <c r="D3355" s="387">
        <f t="shared" si="207"/>
        <v>-187</v>
      </c>
      <c r="E3355" s="387">
        <f t="shared" si="208"/>
        <v>5</v>
      </c>
      <c r="F3355" s="387">
        <f t="shared" ca="1" si="209"/>
        <v>57</v>
      </c>
      <c r="G3355" s="387" t="s">
        <v>4487</v>
      </c>
      <c r="H3355" s="391"/>
      <c r="I3355" s="391"/>
    </row>
    <row r="3356" spans="1:9">
      <c r="A3356" s="387" t="b">
        <v>0</v>
      </c>
      <c r="B3356" s="387" t="s">
        <v>4846</v>
      </c>
      <c r="C3356" s="392">
        <v>49</v>
      </c>
      <c r="D3356" s="387">
        <f t="shared" si="207"/>
        <v>-186</v>
      </c>
      <c r="E3356" s="387">
        <f t="shared" si="208"/>
        <v>6</v>
      </c>
      <c r="F3356" s="387">
        <f t="shared" ca="1" si="209"/>
        <v>57</v>
      </c>
      <c r="G3356" s="387" t="s">
        <v>4487</v>
      </c>
      <c r="H3356" s="391"/>
      <c r="I3356" s="391"/>
    </row>
    <row r="3357" spans="1:9">
      <c r="A3357" s="387" t="b">
        <v>0</v>
      </c>
      <c r="B3357" s="387" t="s">
        <v>4847</v>
      </c>
      <c r="C3357" s="392">
        <v>50</v>
      </c>
      <c r="D3357" s="387">
        <f t="shared" si="207"/>
        <v>-185</v>
      </c>
      <c r="E3357" s="387">
        <f t="shared" si="208"/>
        <v>1</v>
      </c>
      <c r="F3357" s="387">
        <f t="shared" ca="1" si="209"/>
        <v>58</v>
      </c>
      <c r="G3357" s="387" t="s">
        <v>4489</v>
      </c>
      <c r="H3357" s="391"/>
      <c r="I3357" s="391"/>
    </row>
    <row r="3358" spans="1:9">
      <c r="A3358" s="387" t="b">
        <v>0</v>
      </c>
      <c r="B3358" s="387" t="s">
        <v>4848</v>
      </c>
      <c r="C3358" s="392">
        <v>50</v>
      </c>
      <c r="D3358" s="387">
        <f t="shared" si="207"/>
        <v>-184</v>
      </c>
      <c r="E3358" s="387">
        <f t="shared" si="208"/>
        <v>2</v>
      </c>
      <c r="F3358" s="387">
        <f t="shared" ca="1" si="209"/>
        <v>58</v>
      </c>
      <c r="G3358" s="387" t="s">
        <v>4489</v>
      </c>
      <c r="H3358" s="391"/>
      <c r="I3358" s="391"/>
    </row>
    <row r="3359" spans="1:9">
      <c r="A3359" s="387" t="b">
        <v>0</v>
      </c>
      <c r="B3359" s="387" t="s">
        <v>4849</v>
      </c>
      <c r="C3359" s="392">
        <v>50</v>
      </c>
      <c r="D3359" s="387">
        <f t="shared" si="207"/>
        <v>-183</v>
      </c>
      <c r="E3359" s="387">
        <f t="shared" si="208"/>
        <v>3</v>
      </c>
      <c r="F3359" s="387">
        <f t="shared" ca="1" si="209"/>
        <v>58</v>
      </c>
      <c r="G3359" s="387" t="s">
        <v>4489</v>
      </c>
      <c r="H3359" s="391"/>
      <c r="I3359" s="391"/>
    </row>
    <row r="3360" spans="1:9">
      <c r="A3360" s="387" t="b">
        <v>0</v>
      </c>
      <c r="B3360" s="387" t="s">
        <v>4850</v>
      </c>
      <c r="C3360" s="392">
        <v>50</v>
      </c>
      <c r="D3360" s="387">
        <f t="shared" si="207"/>
        <v>-182</v>
      </c>
      <c r="E3360" s="387">
        <f t="shared" si="208"/>
        <v>4</v>
      </c>
      <c r="F3360" s="387">
        <f t="shared" ca="1" si="209"/>
        <v>58</v>
      </c>
      <c r="G3360" s="387" t="s">
        <v>4489</v>
      </c>
      <c r="H3360" s="391"/>
      <c r="I3360" s="391"/>
    </row>
    <row r="3361" spans="1:9">
      <c r="A3361" s="387" t="b">
        <v>0</v>
      </c>
      <c r="B3361" s="387" t="s">
        <v>4851</v>
      </c>
      <c r="C3361" s="392">
        <v>50</v>
      </c>
      <c r="D3361" s="387">
        <f t="shared" si="207"/>
        <v>-181</v>
      </c>
      <c r="E3361" s="387">
        <f t="shared" si="208"/>
        <v>5</v>
      </c>
      <c r="F3361" s="387">
        <f t="shared" ca="1" si="209"/>
        <v>58</v>
      </c>
      <c r="G3361" s="387" t="s">
        <v>4489</v>
      </c>
      <c r="H3361" s="391"/>
      <c r="I3361" s="391"/>
    </row>
    <row r="3362" spans="1:9">
      <c r="A3362" s="387" t="b">
        <v>0</v>
      </c>
      <c r="B3362" s="387" t="s">
        <v>4852</v>
      </c>
      <c r="C3362" s="392">
        <v>50</v>
      </c>
      <c r="D3362" s="387">
        <f t="shared" si="207"/>
        <v>-180</v>
      </c>
      <c r="E3362" s="387">
        <f t="shared" si="208"/>
        <v>6</v>
      </c>
      <c r="F3362" s="387">
        <f t="shared" ca="1" si="209"/>
        <v>58</v>
      </c>
      <c r="G3362" s="387" t="s">
        <v>4489</v>
      </c>
      <c r="H3362" s="391"/>
      <c r="I3362" s="391"/>
    </row>
    <row r="3363" spans="1:9">
      <c r="A3363" s="387" t="b">
        <v>0</v>
      </c>
      <c r="B3363" s="387" t="s">
        <v>4853</v>
      </c>
      <c r="C3363" s="392">
        <v>51</v>
      </c>
      <c r="D3363" s="387">
        <f t="shared" si="207"/>
        <v>-179</v>
      </c>
      <c r="E3363" s="387">
        <f t="shared" si="208"/>
        <v>1</v>
      </c>
      <c r="F3363" s="387">
        <f t="shared" ca="1" si="209"/>
        <v>59</v>
      </c>
      <c r="G3363" s="387" t="s">
        <v>4491</v>
      </c>
      <c r="H3363" s="391"/>
      <c r="I3363" s="391"/>
    </row>
    <row r="3364" spans="1:9">
      <c r="A3364" s="387" t="b">
        <v>0</v>
      </c>
      <c r="B3364" s="387" t="s">
        <v>4854</v>
      </c>
      <c r="C3364" s="392">
        <v>51</v>
      </c>
      <c r="D3364" s="387">
        <f t="shared" si="207"/>
        <v>-178</v>
      </c>
      <c r="E3364" s="387">
        <f t="shared" si="208"/>
        <v>2</v>
      </c>
      <c r="F3364" s="387">
        <f t="shared" ca="1" si="209"/>
        <v>59</v>
      </c>
      <c r="G3364" s="387" t="s">
        <v>4491</v>
      </c>
      <c r="H3364" s="391"/>
      <c r="I3364" s="391"/>
    </row>
    <row r="3365" spans="1:9">
      <c r="A3365" s="387" t="b">
        <v>0</v>
      </c>
      <c r="B3365" s="387" t="s">
        <v>4855</v>
      </c>
      <c r="C3365" s="392">
        <v>51</v>
      </c>
      <c r="D3365" s="387">
        <f t="shared" si="207"/>
        <v>-177</v>
      </c>
      <c r="E3365" s="387">
        <f t="shared" si="208"/>
        <v>3</v>
      </c>
      <c r="F3365" s="387">
        <f t="shared" ca="1" si="209"/>
        <v>59</v>
      </c>
      <c r="G3365" s="387" t="s">
        <v>4491</v>
      </c>
      <c r="H3365" s="391"/>
      <c r="I3365" s="391"/>
    </row>
    <row r="3366" spans="1:9">
      <c r="A3366" s="387" t="b">
        <v>0</v>
      </c>
      <c r="B3366" s="387" t="s">
        <v>4856</v>
      </c>
      <c r="C3366" s="392">
        <v>51</v>
      </c>
      <c r="D3366" s="387">
        <f t="shared" si="207"/>
        <v>-176</v>
      </c>
      <c r="E3366" s="387">
        <f t="shared" si="208"/>
        <v>4</v>
      </c>
      <c r="F3366" s="387">
        <f t="shared" ca="1" si="209"/>
        <v>59</v>
      </c>
      <c r="G3366" s="387" t="s">
        <v>4491</v>
      </c>
      <c r="H3366" s="391"/>
      <c r="I3366" s="391"/>
    </row>
    <row r="3367" spans="1:9">
      <c r="A3367" s="387" t="b">
        <v>0</v>
      </c>
      <c r="B3367" s="387" t="s">
        <v>4857</v>
      </c>
      <c r="C3367" s="392">
        <v>51</v>
      </c>
      <c r="D3367" s="387">
        <f t="shared" si="207"/>
        <v>-175</v>
      </c>
      <c r="E3367" s="387">
        <f t="shared" si="208"/>
        <v>5</v>
      </c>
      <c r="F3367" s="387">
        <f t="shared" ca="1" si="209"/>
        <v>59</v>
      </c>
      <c r="G3367" s="387" t="s">
        <v>4491</v>
      </c>
      <c r="H3367" s="391"/>
      <c r="I3367" s="391"/>
    </row>
    <row r="3368" spans="1:9">
      <c r="A3368" s="387" t="b">
        <v>0</v>
      </c>
      <c r="B3368" s="387" t="s">
        <v>4858</v>
      </c>
      <c r="C3368" s="392">
        <v>51</v>
      </c>
      <c r="D3368" s="387">
        <f t="shared" si="207"/>
        <v>-174</v>
      </c>
      <c r="E3368" s="387">
        <f t="shared" si="208"/>
        <v>6</v>
      </c>
      <c r="F3368" s="387">
        <f t="shared" ca="1" si="209"/>
        <v>59</v>
      </c>
      <c r="G3368" s="387" t="s">
        <v>4491</v>
      </c>
      <c r="H3368" s="391"/>
      <c r="I3368" s="391"/>
    </row>
    <row r="3369" spans="1:9">
      <c r="A3369" s="387" t="b">
        <v>0</v>
      </c>
      <c r="B3369" s="387" t="s">
        <v>4859</v>
      </c>
      <c r="C3369" s="392">
        <v>52</v>
      </c>
      <c r="D3369" s="387">
        <f t="shared" si="207"/>
        <v>-173</v>
      </c>
      <c r="E3369" s="387">
        <f t="shared" si="208"/>
        <v>1</v>
      </c>
      <c r="F3369" s="387">
        <f t="shared" ca="1" si="209"/>
        <v>60</v>
      </c>
      <c r="G3369" s="387" t="s">
        <v>4493</v>
      </c>
      <c r="H3369" s="391"/>
      <c r="I3369" s="391"/>
    </row>
    <row r="3370" spans="1:9">
      <c r="A3370" s="387" t="b">
        <v>0</v>
      </c>
      <c r="B3370" s="387" t="s">
        <v>4860</v>
      </c>
      <c r="C3370" s="392">
        <v>52</v>
      </c>
      <c r="D3370" s="387">
        <f t="shared" si="207"/>
        <v>-172</v>
      </c>
      <c r="E3370" s="387">
        <f t="shared" si="208"/>
        <v>2</v>
      </c>
      <c r="F3370" s="387">
        <f t="shared" ca="1" si="209"/>
        <v>60</v>
      </c>
      <c r="G3370" s="387" t="s">
        <v>4493</v>
      </c>
      <c r="H3370" s="391"/>
      <c r="I3370" s="391"/>
    </row>
    <row r="3371" spans="1:9">
      <c r="A3371" s="387" t="b">
        <v>0</v>
      </c>
      <c r="B3371" s="387" t="s">
        <v>4861</v>
      </c>
      <c r="C3371" s="392">
        <v>52</v>
      </c>
      <c r="D3371" s="387">
        <f t="shared" si="207"/>
        <v>-171</v>
      </c>
      <c r="E3371" s="387">
        <f t="shared" si="208"/>
        <v>3</v>
      </c>
      <c r="F3371" s="387">
        <f t="shared" ca="1" si="209"/>
        <v>60</v>
      </c>
      <c r="G3371" s="387" t="s">
        <v>4493</v>
      </c>
      <c r="H3371" s="391"/>
      <c r="I3371" s="391"/>
    </row>
    <row r="3372" spans="1:9">
      <c r="A3372" s="387" t="b">
        <v>0</v>
      </c>
      <c r="B3372" s="387" t="s">
        <v>4862</v>
      </c>
      <c r="C3372" s="392">
        <v>52</v>
      </c>
      <c r="D3372" s="387">
        <f t="shared" si="207"/>
        <v>-170</v>
      </c>
      <c r="E3372" s="387">
        <f t="shared" si="208"/>
        <v>4</v>
      </c>
      <c r="F3372" s="387">
        <f t="shared" ca="1" si="209"/>
        <v>60</v>
      </c>
      <c r="G3372" s="387" t="s">
        <v>4493</v>
      </c>
      <c r="H3372" s="391"/>
      <c r="I3372" s="391"/>
    </row>
    <row r="3373" spans="1:9">
      <c r="A3373" s="387" t="b">
        <v>0</v>
      </c>
      <c r="B3373" s="387" t="s">
        <v>4863</v>
      </c>
      <c r="C3373" s="392">
        <v>52</v>
      </c>
      <c r="D3373" s="387">
        <f t="shared" si="207"/>
        <v>-169</v>
      </c>
      <c r="E3373" s="387">
        <f t="shared" si="208"/>
        <v>5</v>
      </c>
      <c r="F3373" s="387">
        <f t="shared" ca="1" si="209"/>
        <v>60</v>
      </c>
      <c r="G3373" s="387" t="s">
        <v>4493</v>
      </c>
      <c r="H3373" s="391"/>
      <c r="I3373" s="391"/>
    </row>
    <row r="3374" spans="1:9">
      <c r="A3374" s="387" t="b">
        <v>0</v>
      </c>
      <c r="B3374" s="387" t="s">
        <v>4864</v>
      </c>
      <c r="C3374" s="392">
        <v>52</v>
      </c>
      <c r="D3374" s="387">
        <f t="shared" si="207"/>
        <v>-168</v>
      </c>
      <c r="E3374" s="387">
        <f t="shared" si="208"/>
        <v>6</v>
      </c>
      <c r="F3374" s="387">
        <f t="shared" ca="1" si="209"/>
        <v>60</v>
      </c>
      <c r="G3374" s="387" t="s">
        <v>4493</v>
      </c>
      <c r="H3374" s="391"/>
      <c r="I3374" s="391"/>
    </row>
    <row r="3375" spans="1:9">
      <c r="A3375" s="387" t="b">
        <v>0</v>
      </c>
      <c r="B3375" s="387" t="s">
        <v>4865</v>
      </c>
      <c r="C3375" s="392">
        <v>53</v>
      </c>
      <c r="D3375" s="387">
        <f t="shared" si="207"/>
        <v>-167</v>
      </c>
      <c r="E3375" s="387">
        <f t="shared" si="208"/>
        <v>1</v>
      </c>
      <c r="F3375" s="387">
        <f t="shared" ca="1" si="209"/>
        <v>61</v>
      </c>
      <c r="G3375" s="387" t="s">
        <v>4495</v>
      </c>
      <c r="H3375" s="391"/>
      <c r="I3375" s="391"/>
    </row>
    <row r="3376" spans="1:9">
      <c r="A3376" s="387" t="b">
        <v>0</v>
      </c>
      <c r="B3376" s="387" t="s">
        <v>4866</v>
      </c>
      <c r="C3376" s="392">
        <v>53</v>
      </c>
      <c r="D3376" s="387">
        <f t="shared" si="207"/>
        <v>-166</v>
      </c>
      <c r="E3376" s="387">
        <f t="shared" si="208"/>
        <v>2</v>
      </c>
      <c r="F3376" s="387">
        <f t="shared" ca="1" si="209"/>
        <v>61</v>
      </c>
      <c r="G3376" s="387" t="s">
        <v>4495</v>
      </c>
      <c r="H3376" s="391"/>
      <c r="I3376" s="391"/>
    </row>
    <row r="3377" spans="1:9">
      <c r="A3377" s="387" t="b">
        <v>0</v>
      </c>
      <c r="B3377" s="387" t="s">
        <v>4867</v>
      </c>
      <c r="C3377" s="392">
        <v>53</v>
      </c>
      <c r="D3377" s="387">
        <f t="shared" si="207"/>
        <v>-165</v>
      </c>
      <c r="E3377" s="387">
        <f t="shared" si="208"/>
        <v>3</v>
      </c>
      <c r="F3377" s="387">
        <f t="shared" ca="1" si="209"/>
        <v>61</v>
      </c>
      <c r="G3377" s="387" t="s">
        <v>4495</v>
      </c>
      <c r="H3377" s="391"/>
      <c r="I3377" s="391"/>
    </row>
    <row r="3378" spans="1:9">
      <c r="A3378" s="387" t="b">
        <v>0</v>
      </c>
      <c r="B3378" s="387" t="s">
        <v>4868</v>
      </c>
      <c r="C3378" s="392">
        <v>53</v>
      </c>
      <c r="D3378" s="387">
        <f t="shared" si="207"/>
        <v>-164</v>
      </c>
      <c r="E3378" s="387">
        <f t="shared" si="208"/>
        <v>4</v>
      </c>
      <c r="F3378" s="387">
        <f t="shared" ca="1" si="209"/>
        <v>61</v>
      </c>
      <c r="G3378" s="387" t="s">
        <v>4495</v>
      </c>
      <c r="H3378" s="391"/>
      <c r="I3378" s="391"/>
    </row>
    <row r="3379" spans="1:9">
      <c r="A3379" s="387" t="b">
        <v>0</v>
      </c>
      <c r="B3379" s="387" t="s">
        <v>4869</v>
      </c>
      <c r="C3379" s="392">
        <v>53</v>
      </c>
      <c r="D3379" s="387">
        <f t="shared" si="207"/>
        <v>-163</v>
      </c>
      <c r="E3379" s="387">
        <f t="shared" si="208"/>
        <v>5</v>
      </c>
      <c r="F3379" s="387">
        <f t="shared" ca="1" si="209"/>
        <v>61</v>
      </c>
      <c r="G3379" s="387" t="s">
        <v>4495</v>
      </c>
      <c r="H3379" s="391"/>
      <c r="I3379" s="391"/>
    </row>
    <row r="3380" spans="1:9">
      <c r="A3380" s="387" t="b">
        <v>0</v>
      </c>
      <c r="B3380" s="387" t="s">
        <v>4870</v>
      </c>
      <c r="C3380" s="392">
        <v>53</v>
      </c>
      <c r="D3380" s="387">
        <f t="shared" si="207"/>
        <v>-162</v>
      </c>
      <c r="E3380" s="387">
        <f t="shared" si="208"/>
        <v>6</v>
      </c>
      <c r="F3380" s="387">
        <f t="shared" ca="1" si="209"/>
        <v>61</v>
      </c>
      <c r="G3380" s="387" t="s">
        <v>4495</v>
      </c>
      <c r="H3380" s="391"/>
      <c r="I3380" s="391"/>
    </row>
    <row r="3381" spans="1:9">
      <c r="A3381" s="387" t="b">
        <v>0</v>
      </c>
      <c r="B3381" s="387" t="s">
        <v>4871</v>
      </c>
      <c r="C3381" s="392">
        <v>54</v>
      </c>
      <c r="D3381" s="387">
        <f t="shared" si="207"/>
        <v>-161</v>
      </c>
      <c r="E3381" s="387">
        <f t="shared" si="208"/>
        <v>1</v>
      </c>
      <c r="F3381" s="387">
        <f t="shared" ca="1" si="209"/>
        <v>62</v>
      </c>
      <c r="G3381" s="387" t="s">
        <v>4497</v>
      </c>
      <c r="H3381" s="391"/>
      <c r="I3381" s="391"/>
    </row>
    <row r="3382" spans="1:9">
      <c r="A3382" s="387" t="b">
        <v>0</v>
      </c>
      <c r="B3382" s="387" t="s">
        <v>4872</v>
      </c>
      <c r="C3382" s="392">
        <v>54</v>
      </c>
      <c r="D3382" s="387">
        <f t="shared" si="207"/>
        <v>-160</v>
      </c>
      <c r="E3382" s="387">
        <f t="shared" si="208"/>
        <v>2</v>
      </c>
      <c r="F3382" s="387">
        <f t="shared" ca="1" si="209"/>
        <v>62</v>
      </c>
      <c r="G3382" s="387" t="s">
        <v>4497</v>
      </c>
      <c r="H3382" s="391"/>
      <c r="I3382" s="391"/>
    </row>
    <row r="3383" spans="1:9">
      <c r="A3383" s="387" t="b">
        <v>0</v>
      </c>
      <c r="B3383" s="387" t="s">
        <v>4873</v>
      </c>
      <c r="C3383" s="392">
        <v>54</v>
      </c>
      <c r="D3383" s="387">
        <f t="shared" ref="D3383:D3446" si="210">D3382+1</f>
        <v>-159</v>
      </c>
      <c r="E3383" s="387">
        <f t="shared" ref="E3383:E3446" si="211">COUNTIF(C3213:C3383,C3383)</f>
        <v>3</v>
      </c>
      <c r="F3383" s="387">
        <f t="shared" ref="F3383:F3446" ca="1" si="212">IF(C3383=1,9,IF(E3382=MAX(E3381:E3383),F3381+1,F3382))</f>
        <v>62</v>
      </c>
      <c r="G3383" s="387" t="s">
        <v>4497</v>
      </c>
      <c r="H3383" s="391"/>
      <c r="I3383" s="391"/>
    </row>
    <row r="3384" spans="1:9">
      <c r="A3384" s="387" t="b">
        <v>0</v>
      </c>
      <c r="B3384" s="387" t="s">
        <v>4874</v>
      </c>
      <c r="C3384" s="392">
        <v>54</v>
      </c>
      <c r="D3384" s="387">
        <f t="shared" si="210"/>
        <v>-158</v>
      </c>
      <c r="E3384" s="387">
        <f t="shared" si="211"/>
        <v>4</v>
      </c>
      <c r="F3384" s="387">
        <f t="shared" ca="1" si="212"/>
        <v>62</v>
      </c>
      <c r="G3384" s="387" t="s">
        <v>4497</v>
      </c>
      <c r="H3384" s="391"/>
      <c r="I3384" s="391"/>
    </row>
    <row r="3385" spans="1:9">
      <c r="A3385" s="387" t="b">
        <v>0</v>
      </c>
      <c r="B3385" s="387" t="s">
        <v>4875</v>
      </c>
      <c r="C3385" s="392">
        <v>54</v>
      </c>
      <c r="D3385" s="387">
        <f t="shared" si="210"/>
        <v>-157</v>
      </c>
      <c r="E3385" s="387">
        <f t="shared" si="211"/>
        <v>5</v>
      </c>
      <c r="F3385" s="387">
        <f t="shared" ca="1" si="212"/>
        <v>62</v>
      </c>
      <c r="G3385" s="387" t="s">
        <v>4497</v>
      </c>
      <c r="H3385" s="391"/>
      <c r="I3385" s="391"/>
    </row>
    <row r="3386" spans="1:9">
      <c r="A3386" s="387" t="b">
        <v>0</v>
      </c>
      <c r="B3386" s="387" t="s">
        <v>4876</v>
      </c>
      <c r="C3386" s="392">
        <v>54</v>
      </c>
      <c r="D3386" s="387">
        <f t="shared" si="210"/>
        <v>-156</v>
      </c>
      <c r="E3386" s="387">
        <f t="shared" si="211"/>
        <v>6</v>
      </c>
      <c r="F3386" s="387">
        <f t="shared" ca="1" si="212"/>
        <v>62</v>
      </c>
      <c r="G3386" s="387" t="s">
        <v>4497</v>
      </c>
      <c r="H3386" s="391"/>
      <c r="I3386" s="391"/>
    </row>
    <row r="3387" spans="1:9">
      <c r="A3387" s="387" t="b">
        <v>0</v>
      </c>
      <c r="B3387" s="387" t="s">
        <v>4877</v>
      </c>
      <c r="C3387" s="392">
        <v>55</v>
      </c>
      <c r="D3387" s="387">
        <f t="shared" si="210"/>
        <v>-155</v>
      </c>
      <c r="E3387" s="387">
        <f t="shared" si="211"/>
        <v>1</v>
      </c>
      <c r="F3387" s="387">
        <f t="shared" ca="1" si="212"/>
        <v>63</v>
      </c>
      <c r="G3387" s="387" t="s">
        <v>4499</v>
      </c>
      <c r="H3387" s="391"/>
      <c r="I3387" s="391"/>
    </row>
    <row r="3388" spans="1:9">
      <c r="A3388" s="387" t="b">
        <v>0</v>
      </c>
      <c r="B3388" s="387" t="s">
        <v>4878</v>
      </c>
      <c r="C3388" s="392">
        <v>55</v>
      </c>
      <c r="D3388" s="387">
        <f t="shared" si="210"/>
        <v>-154</v>
      </c>
      <c r="E3388" s="387">
        <f t="shared" si="211"/>
        <v>2</v>
      </c>
      <c r="F3388" s="387">
        <f t="shared" ca="1" si="212"/>
        <v>63</v>
      </c>
      <c r="G3388" s="387" t="s">
        <v>4499</v>
      </c>
      <c r="H3388" s="391"/>
      <c r="I3388" s="391"/>
    </row>
    <row r="3389" spans="1:9">
      <c r="A3389" s="387" t="b">
        <v>0</v>
      </c>
      <c r="B3389" s="387" t="s">
        <v>4879</v>
      </c>
      <c r="C3389" s="392">
        <v>55</v>
      </c>
      <c r="D3389" s="387">
        <f t="shared" si="210"/>
        <v>-153</v>
      </c>
      <c r="E3389" s="387">
        <f t="shared" si="211"/>
        <v>3</v>
      </c>
      <c r="F3389" s="387">
        <f t="shared" ca="1" si="212"/>
        <v>63</v>
      </c>
      <c r="G3389" s="387" t="s">
        <v>4499</v>
      </c>
      <c r="H3389" s="391"/>
      <c r="I3389" s="391"/>
    </row>
    <row r="3390" spans="1:9">
      <c r="A3390" s="387" t="b">
        <v>0</v>
      </c>
      <c r="B3390" s="387" t="s">
        <v>4880</v>
      </c>
      <c r="C3390" s="392">
        <v>55</v>
      </c>
      <c r="D3390" s="387">
        <f t="shared" si="210"/>
        <v>-152</v>
      </c>
      <c r="E3390" s="387">
        <f t="shared" si="211"/>
        <v>4</v>
      </c>
      <c r="F3390" s="387">
        <f t="shared" ca="1" si="212"/>
        <v>63</v>
      </c>
      <c r="G3390" s="387" t="s">
        <v>4499</v>
      </c>
      <c r="H3390" s="391"/>
      <c r="I3390" s="391"/>
    </row>
    <row r="3391" spans="1:9">
      <c r="A3391" s="387" t="b">
        <v>0</v>
      </c>
      <c r="B3391" s="387" t="s">
        <v>4881</v>
      </c>
      <c r="C3391" s="392">
        <v>55</v>
      </c>
      <c r="D3391" s="387">
        <f t="shared" si="210"/>
        <v>-151</v>
      </c>
      <c r="E3391" s="387">
        <f t="shared" si="211"/>
        <v>5</v>
      </c>
      <c r="F3391" s="387">
        <f t="shared" ca="1" si="212"/>
        <v>63</v>
      </c>
      <c r="G3391" s="387" t="s">
        <v>4499</v>
      </c>
      <c r="H3391" s="391"/>
      <c r="I3391" s="391"/>
    </row>
    <row r="3392" spans="1:9">
      <c r="A3392" s="387" t="b">
        <v>0</v>
      </c>
      <c r="B3392" s="387" t="s">
        <v>4882</v>
      </c>
      <c r="C3392" s="392">
        <v>55</v>
      </c>
      <c r="D3392" s="387">
        <f t="shared" si="210"/>
        <v>-150</v>
      </c>
      <c r="E3392" s="387">
        <f t="shared" si="211"/>
        <v>6</v>
      </c>
      <c r="F3392" s="387">
        <f t="shared" ca="1" si="212"/>
        <v>63</v>
      </c>
      <c r="G3392" s="387" t="s">
        <v>4499</v>
      </c>
      <c r="H3392" s="391"/>
      <c r="I3392" s="391"/>
    </row>
    <row r="3393" spans="1:9">
      <c r="A3393" s="387" t="b">
        <v>0</v>
      </c>
      <c r="B3393" s="387" t="s">
        <v>4883</v>
      </c>
      <c r="C3393" s="392">
        <v>56</v>
      </c>
      <c r="D3393" s="387">
        <f t="shared" si="210"/>
        <v>-149</v>
      </c>
      <c r="E3393" s="387">
        <f t="shared" si="211"/>
        <v>1</v>
      </c>
      <c r="F3393" s="387">
        <f t="shared" ca="1" si="212"/>
        <v>64</v>
      </c>
      <c r="G3393" s="387" t="s">
        <v>4501</v>
      </c>
      <c r="H3393" s="391"/>
      <c r="I3393" s="391"/>
    </row>
    <row r="3394" spans="1:9">
      <c r="A3394" s="387" t="b">
        <v>0</v>
      </c>
      <c r="B3394" s="387" t="s">
        <v>4884</v>
      </c>
      <c r="C3394" s="392">
        <v>56</v>
      </c>
      <c r="D3394" s="387">
        <f t="shared" si="210"/>
        <v>-148</v>
      </c>
      <c r="E3394" s="387">
        <f t="shared" si="211"/>
        <v>2</v>
      </c>
      <c r="F3394" s="387">
        <f t="shared" ca="1" si="212"/>
        <v>64</v>
      </c>
      <c r="G3394" s="387" t="s">
        <v>4501</v>
      </c>
      <c r="H3394" s="391"/>
      <c r="I3394" s="391"/>
    </row>
    <row r="3395" spans="1:9">
      <c r="A3395" s="387" t="b">
        <v>0</v>
      </c>
      <c r="B3395" s="387" t="s">
        <v>4885</v>
      </c>
      <c r="C3395" s="392">
        <v>56</v>
      </c>
      <c r="D3395" s="387">
        <f t="shared" si="210"/>
        <v>-147</v>
      </c>
      <c r="E3395" s="387">
        <f t="shared" si="211"/>
        <v>3</v>
      </c>
      <c r="F3395" s="387">
        <f t="shared" ca="1" si="212"/>
        <v>64</v>
      </c>
      <c r="G3395" s="387" t="s">
        <v>4501</v>
      </c>
      <c r="H3395" s="391"/>
      <c r="I3395" s="391"/>
    </row>
    <row r="3396" spans="1:9">
      <c r="A3396" s="387" t="b">
        <v>0</v>
      </c>
      <c r="B3396" s="387" t="s">
        <v>4886</v>
      </c>
      <c r="C3396" s="392">
        <v>56</v>
      </c>
      <c r="D3396" s="387">
        <f t="shared" si="210"/>
        <v>-146</v>
      </c>
      <c r="E3396" s="387">
        <f t="shared" si="211"/>
        <v>4</v>
      </c>
      <c r="F3396" s="387">
        <f t="shared" ca="1" si="212"/>
        <v>64</v>
      </c>
      <c r="G3396" s="387" t="s">
        <v>4501</v>
      </c>
      <c r="H3396" s="391"/>
      <c r="I3396" s="391"/>
    </row>
    <row r="3397" spans="1:9">
      <c r="A3397" s="387" t="b">
        <v>0</v>
      </c>
      <c r="B3397" s="387" t="s">
        <v>4887</v>
      </c>
      <c r="C3397" s="392">
        <v>56</v>
      </c>
      <c r="D3397" s="387">
        <f t="shared" si="210"/>
        <v>-145</v>
      </c>
      <c r="E3397" s="387">
        <f t="shared" si="211"/>
        <v>5</v>
      </c>
      <c r="F3397" s="387">
        <f t="shared" ca="1" si="212"/>
        <v>64</v>
      </c>
      <c r="G3397" s="387" t="s">
        <v>4501</v>
      </c>
      <c r="H3397" s="391"/>
      <c r="I3397" s="391"/>
    </row>
    <row r="3398" spans="1:9">
      <c r="A3398" s="387" t="b">
        <v>0</v>
      </c>
      <c r="B3398" s="387" t="s">
        <v>4888</v>
      </c>
      <c r="C3398" s="392">
        <v>56</v>
      </c>
      <c r="D3398" s="387">
        <f t="shared" si="210"/>
        <v>-144</v>
      </c>
      <c r="E3398" s="387">
        <f t="shared" si="211"/>
        <v>6</v>
      </c>
      <c r="F3398" s="387">
        <f t="shared" ca="1" si="212"/>
        <v>64</v>
      </c>
      <c r="G3398" s="387" t="s">
        <v>4501</v>
      </c>
      <c r="H3398" s="391"/>
      <c r="I3398" s="391"/>
    </row>
    <row r="3399" spans="1:9">
      <c r="A3399" s="387" t="b">
        <v>0</v>
      </c>
      <c r="B3399" s="387" t="s">
        <v>4889</v>
      </c>
      <c r="C3399" s="392">
        <v>57</v>
      </c>
      <c r="D3399" s="387">
        <f t="shared" si="210"/>
        <v>-143</v>
      </c>
      <c r="E3399" s="387">
        <f t="shared" si="211"/>
        <v>1</v>
      </c>
      <c r="F3399" s="387">
        <f t="shared" ca="1" si="212"/>
        <v>65</v>
      </c>
      <c r="G3399" s="387" t="s">
        <v>4503</v>
      </c>
      <c r="H3399" s="391"/>
      <c r="I3399" s="391"/>
    </row>
    <row r="3400" spans="1:9">
      <c r="A3400" s="387" t="b">
        <v>0</v>
      </c>
      <c r="B3400" s="387" t="s">
        <v>4890</v>
      </c>
      <c r="C3400" s="392">
        <v>57</v>
      </c>
      <c r="D3400" s="387">
        <f t="shared" si="210"/>
        <v>-142</v>
      </c>
      <c r="E3400" s="387">
        <f t="shared" si="211"/>
        <v>2</v>
      </c>
      <c r="F3400" s="387">
        <f t="shared" ca="1" si="212"/>
        <v>65</v>
      </c>
      <c r="G3400" s="387" t="s">
        <v>4503</v>
      </c>
      <c r="H3400" s="391"/>
      <c r="I3400" s="391"/>
    </row>
    <row r="3401" spans="1:9">
      <c r="A3401" s="387" t="b">
        <v>0</v>
      </c>
      <c r="B3401" s="387" t="s">
        <v>4891</v>
      </c>
      <c r="C3401" s="392">
        <v>57</v>
      </c>
      <c r="D3401" s="387">
        <f t="shared" si="210"/>
        <v>-141</v>
      </c>
      <c r="E3401" s="387">
        <f t="shared" si="211"/>
        <v>3</v>
      </c>
      <c r="F3401" s="387">
        <f t="shared" ca="1" si="212"/>
        <v>65</v>
      </c>
      <c r="G3401" s="387" t="s">
        <v>4503</v>
      </c>
      <c r="H3401" s="391"/>
      <c r="I3401" s="391"/>
    </row>
    <row r="3402" spans="1:9">
      <c r="A3402" s="387" t="b">
        <v>0</v>
      </c>
      <c r="B3402" s="387" t="s">
        <v>4892</v>
      </c>
      <c r="C3402" s="392">
        <v>57</v>
      </c>
      <c r="D3402" s="387">
        <f t="shared" si="210"/>
        <v>-140</v>
      </c>
      <c r="E3402" s="387">
        <f t="shared" si="211"/>
        <v>4</v>
      </c>
      <c r="F3402" s="387">
        <f t="shared" ca="1" si="212"/>
        <v>65</v>
      </c>
      <c r="G3402" s="387" t="s">
        <v>4503</v>
      </c>
      <c r="H3402" s="391"/>
      <c r="I3402" s="391"/>
    </row>
    <row r="3403" spans="1:9">
      <c r="A3403" s="387" t="b">
        <v>0</v>
      </c>
      <c r="B3403" s="387" t="s">
        <v>4893</v>
      </c>
      <c r="C3403" s="392">
        <v>57</v>
      </c>
      <c r="D3403" s="387">
        <f t="shared" si="210"/>
        <v>-139</v>
      </c>
      <c r="E3403" s="387">
        <f t="shared" si="211"/>
        <v>5</v>
      </c>
      <c r="F3403" s="387">
        <f t="shared" ca="1" si="212"/>
        <v>65</v>
      </c>
      <c r="G3403" s="387" t="s">
        <v>4503</v>
      </c>
      <c r="H3403" s="391"/>
      <c r="I3403" s="391"/>
    </row>
    <row r="3404" spans="1:9">
      <c r="A3404" s="387" t="b">
        <v>0</v>
      </c>
      <c r="B3404" s="387" t="s">
        <v>4894</v>
      </c>
      <c r="C3404" s="392">
        <v>57</v>
      </c>
      <c r="D3404" s="387">
        <f t="shared" si="210"/>
        <v>-138</v>
      </c>
      <c r="E3404" s="387">
        <f t="shared" si="211"/>
        <v>6</v>
      </c>
      <c r="F3404" s="387">
        <f t="shared" ca="1" si="212"/>
        <v>65</v>
      </c>
      <c r="G3404" s="387" t="s">
        <v>4503</v>
      </c>
      <c r="H3404" s="391"/>
      <c r="I3404" s="391"/>
    </row>
    <row r="3405" spans="1:9">
      <c r="A3405" s="387" t="b">
        <v>0</v>
      </c>
      <c r="B3405" s="387" t="s">
        <v>4895</v>
      </c>
      <c r="C3405" s="392">
        <v>58</v>
      </c>
      <c r="D3405" s="387">
        <f t="shared" si="210"/>
        <v>-137</v>
      </c>
      <c r="E3405" s="387">
        <f t="shared" si="211"/>
        <v>1</v>
      </c>
      <c r="F3405" s="387">
        <f t="shared" ca="1" si="212"/>
        <v>66</v>
      </c>
      <c r="G3405" s="387" t="s">
        <v>4505</v>
      </c>
      <c r="H3405" s="391"/>
      <c r="I3405" s="391"/>
    </row>
    <row r="3406" spans="1:9">
      <c r="A3406" s="387" t="b">
        <v>0</v>
      </c>
      <c r="B3406" s="387" t="s">
        <v>4896</v>
      </c>
      <c r="C3406" s="392">
        <v>58</v>
      </c>
      <c r="D3406" s="387">
        <f t="shared" si="210"/>
        <v>-136</v>
      </c>
      <c r="E3406" s="387">
        <f t="shared" si="211"/>
        <v>2</v>
      </c>
      <c r="F3406" s="387">
        <f t="shared" ca="1" si="212"/>
        <v>66</v>
      </c>
      <c r="G3406" s="387" t="s">
        <v>4505</v>
      </c>
      <c r="H3406" s="391"/>
      <c r="I3406" s="391"/>
    </row>
    <row r="3407" spans="1:9">
      <c r="A3407" s="387" t="b">
        <v>0</v>
      </c>
      <c r="B3407" s="387" t="s">
        <v>4897</v>
      </c>
      <c r="C3407" s="392">
        <v>58</v>
      </c>
      <c r="D3407" s="387">
        <f t="shared" si="210"/>
        <v>-135</v>
      </c>
      <c r="E3407" s="387">
        <f t="shared" si="211"/>
        <v>3</v>
      </c>
      <c r="F3407" s="387">
        <f t="shared" ca="1" si="212"/>
        <v>66</v>
      </c>
      <c r="G3407" s="387" t="s">
        <v>4505</v>
      </c>
      <c r="H3407" s="391"/>
      <c r="I3407" s="391"/>
    </row>
    <row r="3408" spans="1:9">
      <c r="A3408" s="387" t="b">
        <v>0</v>
      </c>
      <c r="B3408" s="387" t="s">
        <v>4898</v>
      </c>
      <c r="C3408" s="392">
        <v>58</v>
      </c>
      <c r="D3408" s="387">
        <f t="shared" si="210"/>
        <v>-134</v>
      </c>
      <c r="E3408" s="387">
        <f t="shared" si="211"/>
        <v>4</v>
      </c>
      <c r="F3408" s="387">
        <f t="shared" ca="1" si="212"/>
        <v>66</v>
      </c>
      <c r="G3408" s="387" t="s">
        <v>4505</v>
      </c>
      <c r="H3408" s="391"/>
      <c r="I3408" s="391"/>
    </row>
    <row r="3409" spans="1:9">
      <c r="A3409" s="387" t="b">
        <v>0</v>
      </c>
      <c r="B3409" s="387" t="s">
        <v>4899</v>
      </c>
      <c r="C3409" s="392">
        <v>58</v>
      </c>
      <c r="D3409" s="387">
        <f t="shared" si="210"/>
        <v>-133</v>
      </c>
      <c r="E3409" s="387">
        <f t="shared" si="211"/>
        <v>5</v>
      </c>
      <c r="F3409" s="387">
        <f t="shared" ca="1" si="212"/>
        <v>66</v>
      </c>
      <c r="G3409" s="387" t="s">
        <v>4505</v>
      </c>
      <c r="H3409" s="391"/>
      <c r="I3409" s="391"/>
    </row>
    <row r="3410" spans="1:9">
      <c r="A3410" s="387" t="b">
        <v>0</v>
      </c>
      <c r="B3410" s="387" t="s">
        <v>4900</v>
      </c>
      <c r="C3410" s="392">
        <v>58</v>
      </c>
      <c r="D3410" s="387">
        <f t="shared" si="210"/>
        <v>-132</v>
      </c>
      <c r="E3410" s="387">
        <f t="shared" si="211"/>
        <v>6</v>
      </c>
      <c r="F3410" s="387">
        <f t="shared" ca="1" si="212"/>
        <v>66</v>
      </c>
      <c r="G3410" s="387" t="s">
        <v>4505</v>
      </c>
      <c r="H3410" s="391"/>
      <c r="I3410" s="391"/>
    </row>
    <row r="3411" spans="1:9">
      <c r="A3411" s="387" t="b">
        <v>0</v>
      </c>
      <c r="B3411" s="387" t="s">
        <v>4901</v>
      </c>
      <c r="C3411" s="392">
        <v>59</v>
      </c>
      <c r="D3411" s="387">
        <f t="shared" si="210"/>
        <v>-131</v>
      </c>
      <c r="E3411" s="387">
        <f t="shared" si="211"/>
        <v>1</v>
      </c>
      <c r="F3411" s="387">
        <f t="shared" ca="1" si="212"/>
        <v>67</v>
      </c>
      <c r="G3411" s="387" t="s">
        <v>4507</v>
      </c>
      <c r="H3411" s="391"/>
      <c r="I3411" s="391"/>
    </row>
    <row r="3412" spans="1:9">
      <c r="A3412" s="387" t="b">
        <v>0</v>
      </c>
      <c r="B3412" s="387" t="s">
        <v>4902</v>
      </c>
      <c r="C3412" s="392">
        <v>59</v>
      </c>
      <c r="D3412" s="387">
        <f t="shared" si="210"/>
        <v>-130</v>
      </c>
      <c r="E3412" s="387">
        <f t="shared" si="211"/>
        <v>2</v>
      </c>
      <c r="F3412" s="387">
        <f t="shared" ca="1" si="212"/>
        <v>67</v>
      </c>
      <c r="G3412" s="387" t="s">
        <v>4507</v>
      </c>
      <c r="H3412" s="391"/>
      <c r="I3412" s="391"/>
    </row>
    <row r="3413" spans="1:9">
      <c r="A3413" s="387" t="b">
        <v>0</v>
      </c>
      <c r="B3413" s="387" t="s">
        <v>4903</v>
      </c>
      <c r="C3413" s="392">
        <v>59</v>
      </c>
      <c r="D3413" s="387">
        <f t="shared" si="210"/>
        <v>-129</v>
      </c>
      <c r="E3413" s="387">
        <f t="shared" si="211"/>
        <v>3</v>
      </c>
      <c r="F3413" s="387">
        <f t="shared" ca="1" si="212"/>
        <v>67</v>
      </c>
      <c r="G3413" s="387" t="s">
        <v>4507</v>
      </c>
      <c r="H3413" s="391"/>
      <c r="I3413" s="391"/>
    </row>
    <row r="3414" spans="1:9">
      <c r="A3414" s="387" t="b">
        <v>0</v>
      </c>
      <c r="B3414" s="387" t="s">
        <v>4904</v>
      </c>
      <c r="C3414" s="392">
        <v>59</v>
      </c>
      <c r="D3414" s="387">
        <f t="shared" si="210"/>
        <v>-128</v>
      </c>
      <c r="E3414" s="387">
        <f t="shared" si="211"/>
        <v>4</v>
      </c>
      <c r="F3414" s="387">
        <f t="shared" ca="1" si="212"/>
        <v>67</v>
      </c>
      <c r="G3414" s="387" t="s">
        <v>4507</v>
      </c>
      <c r="H3414" s="391"/>
      <c r="I3414" s="391"/>
    </row>
    <row r="3415" spans="1:9">
      <c r="A3415" s="387" t="b">
        <v>0</v>
      </c>
      <c r="B3415" s="387" t="s">
        <v>4905</v>
      </c>
      <c r="C3415" s="392">
        <v>59</v>
      </c>
      <c r="D3415" s="387">
        <f t="shared" si="210"/>
        <v>-127</v>
      </c>
      <c r="E3415" s="387">
        <f t="shared" si="211"/>
        <v>5</v>
      </c>
      <c r="F3415" s="387">
        <f t="shared" ca="1" si="212"/>
        <v>67</v>
      </c>
      <c r="G3415" s="387" t="s">
        <v>4507</v>
      </c>
      <c r="H3415" s="391"/>
      <c r="I3415" s="391"/>
    </row>
    <row r="3416" spans="1:9">
      <c r="A3416" s="387" t="b">
        <v>0</v>
      </c>
      <c r="B3416" s="387" t="s">
        <v>4906</v>
      </c>
      <c r="C3416" s="392">
        <v>59</v>
      </c>
      <c r="D3416" s="387">
        <f t="shared" si="210"/>
        <v>-126</v>
      </c>
      <c r="E3416" s="387">
        <f t="shared" si="211"/>
        <v>6</v>
      </c>
      <c r="F3416" s="387">
        <f t="shared" ca="1" si="212"/>
        <v>67</v>
      </c>
      <c r="G3416" s="387" t="s">
        <v>4507</v>
      </c>
      <c r="H3416" s="391"/>
      <c r="I3416" s="391"/>
    </row>
    <row r="3417" spans="1:9">
      <c r="A3417" s="387" t="b">
        <v>0</v>
      </c>
      <c r="B3417" s="387" t="s">
        <v>4907</v>
      </c>
      <c r="C3417" s="392">
        <v>60</v>
      </c>
      <c r="D3417" s="387">
        <f t="shared" si="210"/>
        <v>-125</v>
      </c>
      <c r="E3417" s="387">
        <f t="shared" si="211"/>
        <v>1</v>
      </c>
      <c r="F3417" s="387">
        <f t="shared" ca="1" si="212"/>
        <v>68</v>
      </c>
      <c r="G3417" s="387" t="s">
        <v>4509</v>
      </c>
      <c r="H3417" s="391"/>
      <c r="I3417" s="391"/>
    </row>
    <row r="3418" spans="1:9">
      <c r="A3418" s="387" t="b">
        <v>0</v>
      </c>
      <c r="B3418" s="387" t="s">
        <v>4908</v>
      </c>
      <c r="C3418" s="392">
        <v>60</v>
      </c>
      <c r="D3418" s="387">
        <f t="shared" si="210"/>
        <v>-124</v>
      </c>
      <c r="E3418" s="387">
        <f t="shared" si="211"/>
        <v>2</v>
      </c>
      <c r="F3418" s="387">
        <f t="shared" ca="1" si="212"/>
        <v>68</v>
      </c>
      <c r="G3418" s="387" t="s">
        <v>4509</v>
      </c>
      <c r="H3418" s="391"/>
      <c r="I3418" s="391"/>
    </row>
    <row r="3419" spans="1:9">
      <c r="A3419" s="387" t="b">
        <v>0</v>
      </c>
      <c r="B3419" s="387" t="s">
        <v>4909</v>
      </c>
      <c r="C3419" s="392">
        <v>60</v>
      </c>
      <c r="D3419" s="387">
        <f t="shared" si="210"/>
        <v>-123</v>
      </c>
      <c r="E3419" s="387">
        <f t="shared" si="211"/>
        <v>3</v>
      </c>
      <c r="F3419" s="387">
        <f t="shared" ca="1" si="212"/>
        <v>68</v>
      </c>
      <c r="G3419" s="387" t="s">
        <v>4509</v>
      </c>
      <c r="H3419" s="391"/>
      <c r="I3419" s="391"/>
    </row>
    <row r="3420" spans="1:9">
      <c r="A3420" s="387" t="b">
        <v>0</v>
      </c>
      <c r="B3420" s="387" t="s">
        <v>4910</v>
      </c>
      <c r="C3420" s="392">
        <v>60</v>
      </c>
      <c r="D3420" s="387">
        <f t="shared" si="210"/>
        <v>-122</v>
      </c>
      <c r="E3420" s="387">
        <f t="shared" si="211"/>
        <v>4</v>
      </c>
      <c r="F3420" s="387">
        <f t="shared" ca="1" si="212"/>
        <v>68</v>
      </c>
      <c r="G3420" s="387" t="s">
        <v>4509</v>
      </c>
      <c r="H3420" s="391"/>
      <c r="I3420" s="391"/>
    </row>
    <row r="3421" spans="1:9">
      <c r="A3421" s="387" t="b">
        <v>0</v>
      </c>
      <c r="B3421" s="387" t="s">
        <v>4911</v>
      </c>
      <c r="C3421" s="392">
        <v>60</v>
      </c>
      <c r="D3421" s="387">
        <f t="shared" si="210"/>
        <v>-121</v>
      </c>
      <c r="E3421" s="387">
        <f t="shared" si="211"/>
        <v>5</v>
      </c>
      <c r="F3421" s="387">
        <f t="shared" ca="1" si="212"/>
        <v>68</v>
      </c>
      <c r="G3421" s="387" t="s">
        <v>4509</v>
      </c>
      <c r="H3421" s="391"/>
      <c r="I3421" s="391"/>
    </row>
    <row r="3422" spans="1:9">
      <c r="A3422" s="387" t="b">
        <v>0</v>
      </c>
      <c r="B3422" s="387" t="s">
        <v>4912</v>
      </c>
      <c r="C3422" s="392">
        <v>60</v>
      </c>
      <c r="D3422" s="387">
        <f t="shared" si="210"/>
        <v>-120</v>
      </c>
      <c r="E3422" s="387">
        <f t="shared" si="211"/>
        <v>6</v>
      </c>
      <c r="F3422" s="387">
        <f t="shared" ca="1" si="212"/>
        <v>68</v>
      </c>
      <c r="G3422" s="387" t="s">
        <v>4509</v>
      </c>
      <c r="H3422" s="391"/>
      <c r="I3422" s="391"/>
    </row>
    <row r="3423" spans="1:9">
      <c r="A3423" s="387" t="b">
        <v>0</v>
      </c>
      <c r="B3423" s="387" t="s">
        <v>4913</v>
      </c>
      <c r="C3423" s="392">
        <v>61</v>
      </c>
      <c r="D3423" s="387">
        <f t="shared" si="210"/>
        <v>-119</v>
      </c>
      <c r="E3423" s="387">
        <f t="shared" si="211"/>
        <v>1</v>
      </c>
      <c r="F3423" s="387">
        <f t="shared" ca="1" si="212"/>
        <v>69</v>
      </c>
      <c r="G3423" s="387" t="s">
        <v>4511</v>
      </c>
      <c r="H3423" s="391"/>
      <c r="I3423" s="391"/>
    </row>
    <row r="3424" spans="1:9">
      <c r="A3424" s="387" t="b">
        <v>0</v>
      </c>
      <c r="B3424" s="387" t="s">
        <v>4914</v>
      </c>
      <c r="C3424" s="392">
        <v>61</v>
      </c>
      <c r="D3424" s="387">
        <f t="shared" si="210"/>
        <v>-118</v>
      </c>
      <c r="E3424" s="387">
        <f t="shared" si="211"/>
        <v>2</v>
      </c>
      <c r="F3424" s="387">
        <f t="shared" ca="1" si="212"/>
        <v>69</v>
      </c>
      <c r="G3424" s="387" t="s">
        <v>4511</v>
      </c>
      <c r="H3424" s="391"/>
      <c r="I3424" s="391"/>
    </row>
    <row r="3425" spans="1:9">
      <c r="A3425" s="387" t="b">
        <v>0</v>
      </c>
      <c r="B3425" s="387" t="s">
        <v>4915</v>
      </c>
      <c r="C3425" s="392">
        <v>61</v>
      </c>
      <c r="D3425" s="387">
        <f t="shared" si="210"/>
        <v>-117</v>
      </c>
      <c r="E3425" s="387">
        <f t="shared" si="211"/>
        <v>3</v>
      </c>
      <c r="F3425" s="387">
        <f t="shared" ca="1" si="212"/>
        <v>69</v>
      </c>
      <c r="G3425" s="387" t="s">
        <v>4511</v>
      </c>
      <c r="H3425" s="391"/>
      <c r="I3425" s="391"/>
    </row>
    <row r="3426" spans="1:9">
      <c r="A3426" s="387" t="b">
        <v>0</v>
      </c>
      <c r="B3426" s="387" t="s">
        <v>4916</v>
      </c>
      <c r="C3426" s="392">
        <v>61</v>
      </c>
      <c r="D3426" s="387">
        <f t="shared" si="210"/>
        <v>-116</v>
      </c>
      <c r="E3426" s="387">
        <f t="shared" si="211"/>
        <v>4</v>
      </c>
      <c r="F3426" s="387">
        <f t="shared" ca="1" si="212"/>
        <v>69</v>
      </c>
      <c r="G3426" s="387" t="s">
        <v>4511</v>
      </c>
      <c r="H3426" s="391"/>
      <c r="I3426" s="391"/>
    </row>
    <row r="3427" spans="1:9">
      <c r="A3427" s="387" t="b">
        <v>0</v>
      </c>
      <c r="B3427" s="387" t="s">
        <v>4917</v>
      </c>
      <c r="C3427" s="392">
        <v>61</v>
      </c>
      <c r="D3427" s="387">
        <f t="shared" si="210"/>
        <v>-115</v>
      </c>
      <c r="E3427" s="387">
        <f t="shared" si="211"/>
        <v>5</v>
      </c>
      <c r="F3427" s="387">
        <f t="shared" ca="1" si="212"/>
        <v>69</v>
      </c>
      <c r="G3427" s="387" t="s">
        <v>4511</v>
      </c>
      <c r="H3427" s="391"/>
      <c r="I3427" s="391"/>
    </row>
    <row r="3428" spans="1:9">
      <c r="A3428" s="387" t="b">
        <v>0</v>
      </c>
      <c r="B3428" s="387" t="s">
        <v>4918</v>
      </c>
      <c r="C3428" s="392">
        <v>61</v>
      </c>
      <c r="D3428" s="387">
        <f t="shared" si="210"/>
        <v>-114</v>
      </c>
      <c r="E3428" s="387">
        <f t="shared" si="211"/>
        <v>6</v>
      </c>
      <c r="F3428" s="387">
        <f t="shared" ca="1" si="212"/>
        <v>69</v>
      </c>
      <c r="G3428" s="387" t="s">
        <v>4511</v>
      </c>
      <c r="H3428" s="391"/>
      <c r="I3428" s="391"/>
    </row>
    <row r="3429" spans="1:9">
      <c r="A3429" s="387" t="b">
        <v>0</v>
      </c>
      <c r="B3429" s="387" t="s">
        <v>4919</v>
      </c>
      <c r="C3429" s="392">
        <v>62</v>
      </c>
      <c r="D3429" s="387">
        <f t="shared" si="210"/>
        <v>-113</v>
      </c>
      <c r="E3429" s="387">
        <f t="shared" si="211"/>
        <v>1</v>
      </c>
      <c r="F3429" s="387">
        <f t="shared" ca="1" si="212"/>
        <v>70</v>
      </c>
      <c r="G3429" s="387" t="s">
        <v>4513</v>
      </c>
      <c r="H3429" s="391"/>
      <c r="I3429" s="391"/>
    </row>
    <row r="3430" spans="1:9">
      <c r="A3430" s="387" t="b">
        <v>0</v>
      </c>
      <c r="B3430" s="387" t="s">
        <v>4920</v>
      </c>
      <c r="C3430" s="392">
        <v>62</v>
      </c>
      <c r="D3430" s="387">
        <f t="shared" si="210"/>
        <v>-112</v>
      </c>
      <c r="E3430" s="387">
        <f t="shared" si="211"/>
        <v>2</v>
      </c>
      <c r="F3430" s="387">
        <f t="shared" ca="1" si="212"/>
        <v>70</v>
      </c>
      <c r="G3430" s="387" t="s">
        <v>4513</v>
      </c>
      <c r="H3430" s="391"/>
      <c r="I3430" s="391"/>
    </row>
    <row r="3431" spans="1:9">
      <c r="A3431" s="387" t="b">
        <v>0</v>
      </c>
      <c r="B3431" s="387" t="s">
        <v>4921</v>
      </c>
      <c r="C3431" s="392">
        <v>62</v>
      </c>
      <c r="D3431" s="387">
        <f t="shared" si="210"/>
        <v>-111</v>
      </c>
      <c r="E3431" s="387">
        <f t="shared" si="211"/>
        <v>3</v>
      </c>
      <c r="F3431" s="387">
        <f t="shared" ca="1" si="212"/>
        <v>70</v>
      </c>
      <c r="G3431" s="387" t="s">
        <v>4513</v>
      </c>
      <c r="H3431" s="391"/>
      <c r="I3431" s="391"/>
    </row>
    <row r="3432" spans="1:9">
      <c r="A3432" s="387" t="b">
        <v>0</v>
      </c>
      <c r="B3432" s="387" t="s">
        <v>4922</v>
      </c>
      <c r="C3432" s="392">
        <v>62</v>
      </c>
      <c r="D3432" s="387">
        <f t="shared" si="210"/>
        <v>-110</v>
      </c>
      <c r="E3432" s="387">
        <f t="shared" si="211"/>
        <v>4</v>
      </c>
      <c r="F3432" s="387">
        <f t="shared" ca="1" si="212"/>
        <v>70</v>
      </c>
      <c r="G3432" s="387" t="s">
        <v>4513</v>
      </c>
      <c r="H3432" s="391"/>
      <c r="I3432" s="391"/>
    </row>
    <row r="3433" spans="1:9">
      <c r="A3433" s="387" t="b">
        <v>0</v>
      </c>
      <c r="B3433" s="387" t="s">
        <v>4923</v>
      </c>
      <c r="C3433" s="392">
        <v>62</v>
      </c>
      <c r="D3433" s="387">
        <f t="shared" si="210"/>
        <v>-109</v>
      </c>
      <c r="E3433" s="387">
        <f t="shared" si="211"/>
        <v>5</v>
      </c>
      <c r="F3433" s="387">
        <f t="shared" ca="1" si="212"/>
        <v>70</v>
      </c>
      <c r="G3433" s="387" t="s">
        <v>4513</v>
      </c>
      <c r="H3433" s="391"/>
      <c r="I3433" s="391"/>
    </row>
    <row r="3434" spans="1:9">
      <c r="A3434" s="387" t="b">
        <v>0</v>
      </c>
      <c r="B3434" s="387" t="s">
        <v>4924</v>
      </c>
      <c r="C3434" s="392">
        <v>62</v>
      </c>
      <c r="D3434" s="387">
        <f t="shared" si="210"/>
        <v>-108</v>
      </c>
      <c r="E3434" s="387">
        <f t="shared" si="211"/>
        <v>6</v>
      </c>
      <c r="F3434" s="387">
        <f t="shared" ca="1" si="212"/>
        <v>70</v>
      </c>
      <c r="G3434" s="387" t="s">
        <v>4513</v>
      </c>
      <c r="H3434" s="391"/>
      <c r="I3434" s="391"/>
    </row>
    <row r="3435" spans="1:9">
      <c r="A3435" s="387" t="b">
        <v>0</v>
      </c>
      <c r="B3435" s="387" t="s">
        <v>4925</v>
      </c>
      <c r="C3435" s="392">
        <v>63</v>
      </c>
      <c r="D3435" s="387">
        <f t="shared" si="210"/>
        <v>-107</v>
      </c>
      <c r="E3435" s="387">
        <f t="shared" si="211"/>
        <v>1</v>
      </c>
      <c r="F3435" s="387">
        <f t="shared" ca="1" si="212"/>
        <v>71</v>
      </c>
      <c r="G3435" s="387" t="s">
        <v>4515</v>
      </c>
      <c r="H3435" s="391"/>
      <c r="I3435" s="391"/>
    </row>
    <row r="3436" spans="1:9">
      <c r="A3436" s="387" t="b">
        <v>0</v>
      </c>
      <c r="B3436" s="387" t="s">
        <v>4926</v>
      </c>
      <c r="C3436" s="392">
        <v>63</v>
      </c>
      <c r="D3436" s="387">
        <f t="shared" si="210"/>
        <v>-106</v>
      </c>
      <c r="E3436" s="387">
        <f t="shared" si="211"/>
        <v>2</v>
      </c>
      <c r="F3436" s="387">
        <f t="shared" ca="1" si="212"/>
        <v>71</v>
      </c>
      <c r="G3436" s="387" t="s">
        <v>4515</v>
      </c>
      <c r="H3436" s="391"/>
      <c r="I3436" s="391"/>
    </row>
    <row r="3437" spans="1:9">
      <c r="A3437" s="387" t="b">
        <v>0</v>
      </c>
      <c r="B3437" s="387" t="s">
        <v>4927</v>
      </c>
      <c r="C3437" s="392">
        <v>63</v>
      </c>
      <c r="D3437" s="387">
        <f t="shared" si="210"/>
        <v>-105</v>
      </c>
      <c r="E3437" s="387">
        <f t="shared" si="211"/>
        <v>3</v>
      </c>
      <c r="F3437" s="387">
        <f t="shared" ca="1" si="212"/>
        <v>71</v>
      </c>
      <c r="G3437" s="387" t="s">
        <v>4515</v>
      </c>
      <c r="H3437" s="391"/>
      <c r="I3437" s="391"/>
    </row>
    <row r="3438" spans="1:9">
      <c r="A3438" s="387" t="b">
        <v>0</v>
      </c>
      <c r="B3438" s="387" t="s">
        <v>4928</v>
      </c>
      <c r="C3438" s="392">
        <v>63</v>
      </c>
      <c r="D3438" s="387">
        <f t="shared" si="210"/>
        <v>-104</v>
      </c>
      <c r="E3438" s="387">
        <f t="shared" si="211"/>
        <v>4</v>
      </c>
      <c r="F3438" s="387">
        <f t="shared" ca="1" si="212"/>
        <v>71</v>
      </c>
      <c r="G3438" s="387" t="s">
        <v>4515</v>
      </c>
      <c r="H3438" s="391"/>
      <c r="I3438" s="391"/>
    </row>
    <row r="3439" spans="1:9">
      <c r="A3439" s="387" t="b">
        <v>0</v>
      </c>
      <c r="B3439" s="387" t="s">
        <v>4929</v>
      </c>
      <c r="C3439" s="392">
        <v>63</v>
      </c>
      <c r="D3439" s="387">
        <f t="shared" si="210"/>
        <v>-103</v>
      </c>
      <c r="E3439" s="387">
        <f t="shared" si="211"/>
        <v>5</v>
      </c>
      <c r="F3439" s="387">
        <f t="shared" ca="1" si="212"/>
        <v>71</v>
      </c>
      <c r="G3439" s="387" t="s">
        <v>4515</v>
      </c>
      <c r="H3439" s="391"/>
      <c r="I3439" s="391"/>
    </row>
    <row r="3440" spans="1:9">
      <c r="A3440" s="387" t="b">
        <v>0</v>
      </c>
      <c r="B3440" s="387" t="s">
        <v>4930</v>
      </c>
      <c r="C3440" s="392">
        <v>63</v>
      </c>
      <c r="D3440" s="387">
        <f t="shared" si="210"/>
        <v>-102</v>
      </c>
      <c r="E3440" s="387">
        <f t="shared" si="211"/>
        <v>6</v>
      </c>
      <c r="F3440" s="387">
        <f t="shared" ca="1" si="212"/>
        <v>71</v>
      </c>
      <c r="G3440" s="387" t="s">
        <v>4515</v>
      </c>
      <c r="H3440" s="391"/>
      <c r="I3440" s="391"/>
    </row>
    <row r="3441" spans="1:9">
      <c r="A3441" s="387" t="b">
        <v>0</v>
      </c>
      <c r="B3441" s="387" t="s">
        <v>4931</v>
      </c>
      <c r="C3441" s="392">
        <v>64</v>
      </c>
      <c r="D3441" s="387">
        <f t="shared" si="210"/>
        <v>-101</v>
      </c>
      <c r="E3441" s="387">
        <f t="shared" si="211"/>
        <v>1</v>
      </c>
      <c r="F3441" s="387">
        <f t="shared" ca="1" si="212"/>
        <v>72</v>
      </c>
      <c r="G3441" s="387" t="s">
        <v>4517</v>
      </c>
      <c r="H3441" s="391"/>
      <c r="I3441" s="391"/>
    </row>
    <row r="3442" spans="1:9">
      <c r="A3442" s="387" t="b">
        <v>0</v>
      </c>
      <c r="B3442" s="387" t="s">
        <v>4932</v>
      </c>
      <c r="C3442" s="392">
        <v>64</v>
      </c>
      <c r="D3442" s="387">
        <f t="shared" si="210"/>
        <v>-100</v>
      </c>
      <c r="E3442" s="387">
        <f t="shared" si="211"/>
        <v>2</v>
      </c>
      <c r="F3442" s="387">
        <f t="shared" ca="1" si="212"/>
        <v>72</v>
      </c>
      <c r="G3442" s="387" t="s">
        <v>4517</v>
      </c>
      <c r="H3442" s="391"/>
      <c r="I3442" s="391"/>
    </row>
    <row r="3443" spans="1:9">
      <c r="A3443" s="387" t="b">
        <v>0</v>
      </c>
      <c r="B3443" s="387" t="s">
        <v>4933</v>
      </c>
      <c r="C3443" s="392">
        <v>64</v>
      </c>
      <c r="D3443" s="387">
        <f t="shared" si="210"/>
        <v>-99</v>
      </c>
      <c r="E3443" s="387">
        <f t="shared" si="211"/>
        <v>3</v>
      </c>
      <c r="F3443" s="387">
        <f t="shared" ca="1" si="212"/>
        <v>72</v>
      </c>
      <c r="G3443" s="387" t="s">
        <v>4517</v>
      </c>
      <c r="H3443" s="391"/>
      <c r="I3443" s="391"/>
    </row>
    <row r="3444" spans="1:9">
      <c r="A3444" s="387" t="b">
        <v>0</v>
      </c>
      <c r="B3444" s="387" t="s">
        <v>4934</v>
      </c>
      <c r="C3444" s="392">
        <v>64</v>
      </c>
      <c r="D3444" s="387">
        <f t="shared" si="210"/>
        <v>-98</v>
      </c>
      <c r="E3444" s="387">
        <f t="shared" si="211"/>
        <v>4</v>
      </c>
      <c r="F3444" s="387">
        <f t="shared" ca="1" si="212"/>
        <v>72</v>
      </c>
      <c r="G3444" s="387" t="s">
        <v>4517</v>
      </c>
      <c r="H3444" s="391"/>
      <c r="I3444" s="391"/>
    </row>
    <row r="3445" spans="1:9">
      <c r="A3445" s="387" t="b">
        <v>0</v>
      </c>
      <c r="B3445" s="387" t="s">
        <v>4935</v>
      </c>
      <c r="C3445" s="392">
        <v>64</v>
      </c>
      <c r="D3445" s="387">
        <f t="shared" si="210"/>
        <v>-97</v>
      </c>
      <c r="E3445" s="387">
        <f t="shared" si="211"/>
        <v>5</v>
      </c>
      <c r="F3445" s="387">
        <f t="shared" ca="1" si="212"/>
        <v>72</v>
      </c>
      <c r="G3445" s="387" t="s">
        <v>4517</v>
      </c>
      <c r="H3445" s="391"/>
      <c r="I3445" s="391"/>
    </row>
    <row r="3446" spans="1:9">
      <c r="A3446" s="387" t="b">
        <v>0</v>
      </c>
      <c r="B3446" s="387" t="s">
        <v>4936</v>
      </c>
      <c r="C3446" s="392">
        <v>64</v>
      </c>
      <c r="D3446" s="387">
        <f t="shared" si="210"/>
        <v>-96</v>
      </c>
      <c r="E3446" s="387">
        <f t="shared" si="211"/>
        <v>6</v>
      </c>
      <c r="F3446" s="387">
        <f t="shared" ca="1" si="212"/>
        <v>72</v>
      </c>
      <c r="G3446" s="387" t="s">
        <v>4517</v>
      </c>
      <c r="H3446" s="391"/>
      <c r="I3446" s="391"/>
    </row>
    <row r="3447" spans="1:9">
      <c r="A3447" s="387" t="b">
        <v>0</v>
      </c>
      <c r="B3447" s="387" t="s">
        <v>4937</v>
      </c>
      <c r="C3447" s="392">
        <v>65</v>
      </c>
      <c r="D3447" s="387">
        <f t="shared" ref="D3447:D3510" si="213">D3446+1</f>
        <v>-95</v>
      </c>
      <c r="E3447" s="387">
        <f t="shared" ref="E3447:E3510" si="214">COUNTIF(C3277:C3447,C3447)</f>
        <v>1</v>
      </c>
      <c r="F3447" s="387">
        <f t="shared" ref="F3447:F3510" ca="1" si="215">IF(C3447=1,9,IF(E3446=MAX(E3445:E3447),F3445+1,F3446))</f>
        <v>73</v>
      </c>
      <c r="G3447" s="387" t="s">
        <v>4519</v>
      </c>
      <c r="H3447" s="391"/>
      <c r="I3447" s="391"/>
    </row>
    <row r="3448" spans="1:9">
      <c r="A3448" s="387" t="b">
        <v>0</v>
      </c>
      <c r="B3448" s="387" t="s">
        <v>4938</v>
      </c>
      <c r="C3448" s="392">
        <v>65</v>
      </c>
      <c r="D3448" s="387">
        <f t="shared" si="213"/>
        <v>-94</v>
      </c>
      <c r="E3448" s="387">
        <f t="shared" si="214"/>
        <v>2</v>
      </c>
      <c r="F3448" s="387">
        <f t="shared" ca="1" si="215"/>
        <v>73</v>
      </c>
      <c r="G3448" s="387" t="s">
        <v>4519</v>
      </c>
      <c r="H3448" s="391"/>
      <c r="I3448" s="391"/>
    </row>
    <row r="3449" spans="1:9">
      <c r="A3449" s="387" t="b">
        <v>0</v>
      </c>
      <c r="B3449" s="387" t="s">
        <v>4939</v>
      </c>
      <c r="C3449" s="392">
        <v>65</v>
      </c>
      <c r="D3449" s="387">
        <f t="shared" si="213"/>
        <v>-93</v>
      </c>
      <c r="E3449" s="387">
        <f t="shared" si="214"/>
        <v>3</v>
      </c>
      <c r="F3449" s="387">
        <f t="shared" ca="1" si="215"/>
        <v>73</v>
      </c>
      <c r="G3449" s="387" t="s">
        <v>4519</v>
      </c>
      <c r="H3449" s="391"/>
      <c r="I3449" s="391"/>
    </row>
    <row r="3450" spans="1:9">
      <c r="A3450" s="387" t="b">
        <v>0</v>
      </c>
      <c r="B3450" s="387" t="s">
        <v>4940</v>
      </c>
      <c r="C3450" s="392">
        <v>65</v>
      </c>
      <c r="D3450" s="387">
        <f t="shared" si="213"/>
        <v>-92</v>
      </c>
      <c r="E3450" s="387">
        <f t="shared" si="214"/>
        <v>4</v>
      </c>
      <c r="F3450" s="387">
        <f t="shared" ca="1" si="215"/>
        <v>73</v>
      </c>
      <c r="G3450" s="387" t="s">
        <v>4519</v>
      </c>
      <c r="H3450" s="391"/>
      <c r="I3450" s="391"/>
    </row>
    <row r="3451" spans="1:9">
      <c r="A3451" s="387" t="b">
        <v>0</v>
      </c>
      <c r="B3451" s="387" t="s">
        <v>4941</v>
      </c>
      <c r="C3451" s="392">
        <v>65</v>
      </c>
      <c r="D3451" s="387">
        <f t="shared" si="213"/>
        <v>-91</v>
      </c>
      <c r="E3451" s="387">
        <f t="shared" si="214"/>
        <v>5</v>
      </c>
      <c r="F3451" s="387">
        <f t="shared" ca="1" si="215"/>
        <v>73</v>
      </c>
      <c r="G3451" s="387" t="s">
        <v>4519</v>
      </c>
      <c r="H3451" s="391"/>
      <c r="I3451" s="391"/>
    </row>
    <row r="3452" spans="1:9">
      <c r="A3452" s="387" t="b">
        <v>0</v>
      </c>
      <c r="B3452" s="387" t="s">
        <v>4942</v>
      </c>
      <c r="C3452" s="392">
        <v>65</v>
      </c>
      <c r="D3452" s="387">
        <f t="shared" si="213"/>
        <v>-90</v>
      </c>
      <c r="E3452" s="387">
        <f t="shared" si="214"/>
        <v>6</v>
      </c>
      <c r="F3452" s="387">
        <f t="shared" ca="1" si="215"/>
        <v>73</v>
      </c>
      <c r="G3452" s="387" t="s">
        <v>4519</v>
      </c>
      <c r="H3452" s="391"/>
      <c r="I3452" s="391"/>
    </row>
    <row r="3453" spans="1:9">
      <c r="A3453" s="387" t="b">
        <v>0</v>
      </c>
      <c r="B3453" s="387" t="s">
        <v>4943</v>
      </c>
      <c r="C3453" s="392">
        <v>66</v>
      </c>
      <c r="D3453" s="387">
        <f t="shared" si="213"/>
        <v>-89</v>
      </c>
      <c r="E3453" s="387">
        <f t="shared" si="214"/>
        <v>1</v>
      </c>
      <c r="F3453" s="387">
        <f t="shared" ca="1" si="215"/>
        <v>74</v>
      </c>
      <c r="G3453" s="387" t="s">
        <v>4521</v>
      </c>
      <c r="H3453" s="391"/>
      <c r="I3453" s="391"/>
    </row>
    <row r="3454" spans="1:9">
      <c r="A3454" s="387" t="b">
        <v>0</v>
      </c>
      <c r="B3454" s="387" t="s">
        <v>4944</v>
      </c>
      <c r="C3454" s="392">
        <v>66</v>
      </c>
      <c r="D3454" s="387">
        <f t="shared" si="213"/>
        <v>-88</v>
      </c>
      <c r="E3454" s="387">
        <f t="shared" si="214"/>
        <v>2</v>
      </c>
      <c r="F3454" s="387">
        <f t="shared" ca="1" si="215"/>
        <v>74</v>
      </c>
      <c r="G3454" s="387" t="s">
        <v>4521</v>
      </c>
      <c r="H3454" s="391"/>
      <c r="I3454" s="391"/>
    </row>
    <row r="3455" spans="1:9">
      <c r="A3455" s="387" t="b">
        <v>0</v>
      </c>
      <c r="B3455" s="387" t="s">
        <v>4945</v>
      </c>
      <c r="C3455" s="392">
        <v>66</v>
      </c>
      <c r="D3455" s="387">
        <f t="shared" si="213"/>
        <v>-87</v>
      </c>
      <c r="E3455" s="387">
        <f t="shared" si="214"/>
        <v>3</v>
      </c>
      <c r="F3455" s="387">
        <f t="shared" ca="1" si="215"/>
        <v>74</v>
      </c>
      <c r="G3455" s="387" t="s">
        <v>4521</v>
      </c>
      <c r="H3455" s="391"/>
      <c r="I3455" s="391"/>
    </row>
    <row r="3456" spans="1:9">
      <c r="A3456" s="387" t="b">
        <v>0</v>
      </c>
      <c r="B3456" s="387" t="s">
        <v>4946</v>
      </c>
      <c r="C3456" s="392">
        <v>66</v>
      </c>
      <c r="D3456" s="387">
        <f t="shared" si="213"/>
        <v>-86</v>
      </c>
      <c r="E3456" s="387">
        <f t="shared" si="214"/>
        <v>4</v>
      </c>
      <c r="F3456" s="387">
        <f t="shared" ca="1" si="215"/>
        <v>74</v>
      </c>
      <c r="G3456" s="387" t="s">
        <v>4521</v>
      </c>
      <c r="H3456" s="391"/>
      <c r="I3456" s="391"/>
    </row>
    <row r="3457" spans="1:9">
      <c r="A3457" s="387" t="b">
        <v>0</v>
      </c>
      <c r="B3457" s="387" t="s">
        <v>4947</v>
      </c>
      <c r="C3457" s="392">
        <v>66</v>
      </c>
      <c r="D3457" s="387">
        <f t="shared" si="213"/>
        <v>-85</v>
      </c>
      <c r="E3457" s="387">
        <f t="shared" si="214"/>
        <v>5</v>
      </c>
      <c r="F3457" s="387">
        <f t="shared" ca="1" si="215"/>
        <v>74</v>
      </c>
      <c r="G3457" s="387" t="s">
        <v>4521</v>
      </c>
      <c r="H3457" s="391"/>
      <c r="I3457" s="391"/>
    </row>
    <row r="3458" spans="1:9">
      <c r="A3458" s="387" t="b">
        <v>0</v>
      </c>
      <c r="B3458" s="387" t="s">
        <v>4948</v>
      </c>
      <c r="C3458" s="392">
        <v>66</v>
      </c>
      <c r="D3458" s="387">
        <f t="shared" si="213"/>
        <v>-84</v>
      </c>
      <c r="E3458" s="387">
        <f t="shared" si="214"/>
        <v>6</v>
      </c>
      <c r="F3458" s="387">
        <f t="shared" ca="1" si="215"/>
        <v>74</v>
      </c>
      <c r="G3458" s="387" t="s">
        <v>4521</v>
      </c>
      <c r="H3458" s="391"/>
      <c r="I3458" s="391"/>
    </row>
    <row r="3459" spans="1:9">
      <c r="A3459" s="387" t="b">
        <v>0</v>
      </c>
      <c r="B3459" s="387" t="s">
        <v>4949</v>
      </c>
      <c r="C3459" s="392">
        <v>67</v>
      </c>
      <c r="D3459" s="387">
        <f t="shared" si="213"/>
        <v>-83</v>
      </c>
      <c r="E3459" s="387">
        <f t="shared" si="214"/>
        <v>1</v>
      </c>
      <c r="F3459" s="387">
        <f t="shared" ca="1" si="215"/>
        <v>75</v>
      </c>
      <c r="G3459" s="387" t="s">
        <v>4523</v>
      </c>
      <c r="H3459" s="391"/>
      <c r="I3459" s="391"/>
    </row>
    <row r="3460" spans="1:9">
      <c r="A3460" s="387" t="b">
        <v>0</v>
      </c>
      <c r="B3460" s="387" t="s">
        <v>4950</v>
      </c>
      <c r="C3460" s="392">
        <v>67</v>
      </c>
      <c r="D3460" s="387">
        <f t="shared" si="213"/>
        <v>-82</v>
      </c>
      <c r="E3460" s="387">
        <f t="shared" si="214"/>
        <v>2</v>
      </c>
      <c r="F3460" s="387">
        <f t="shared" ca="1" si="215"/>
        <v>75</v>
      </c>
      <c r="G3460" s="387" t="s">
        <v>4523</v>
      </c>
      <c r="H3460" s="391"/>
      <c r="I3460" s="391"/>
    </row>
    <row r="3461" spans="1:9">
      <c r="A3461" s="387" t="b">
        <v>0</v>
      </c>
      <c r="B3461" s="387" t="s">
        <v>4951</v>
      </c>
      <c r="C3461" s="392">
        <v>67</v>
      </c>
      <c r="D3461" s="387">
        <f t="shared" si="213"/>
        <v>-81</v>
      </c>
      <c r="E3461" s="387">
        <f t="shared" si="214"/>
        <v>3</v>
      </c>
      <c r="F3461" s="387">
        <f t="shared" ca="1" si="215"/>
        <v>75</v>
      </c>
      <c r="G3461" s="387" t="s">
        <v>4523</v>
      </c>
      <c r="H3461" s="391"/>
      <c r="I3461" s="391"/>
    </row>
    <row r="3462" spans="1:9">
      <c r="A3462" s="387" t="b">
        <v>0</v>
      </c>
      <c r="B3462" s="387" t="s">
        <v>4952</v>
      </c>
      <c r="C3462" s="392">
        <v>67</v>
      </c>
      <c r="D3462" s="387">
        <f t="shared" si="213"/>
        <v>-80</v>
      </c>
      <c r="E3462" s="387">
        <f t="shared" si="214"/>
        <v>4</v>
      </c>
      <c r="F3462" s="387">
        <f t="shared" ca="1" si="215"/>
        <v>75</v>
      </c>
      <c r="G3462" s="387" t="s">
        <v>4523</v>
      </c>
      <c r="H3462" s="391"/>
      <c r="I3462" s="391"/>
    </row>
    <row r="3463" spans="1:9">
      <c r="A3463" s="387" t="b">
        <v>0</v>
      </c>
      <c r="B3463" s="387" t="s">
        <v>4953</v>
      </c>
      <c r="C3463" s="392">
        <v>67</v>
      </c>
      <c r="D3463" s="387">
        <f t="shared" si="213"/>
        <v>-79</v>
      </c>
      <c r="E3463" s="387">
        <f t="shared" si="214"/>
        <v>5</v>
      </c>
      <c r="F3463" s="387">
        <f t="shared" ca="1" si="215"/>
        <v>75</v>
      </c>
      <c r="G3463" s="387" t="s">
        <v>4523</v>
      </c>
      <c r="H3463" s="391"/>
      <c r="I3463" s="391"/>
    </row>
    <row r="3464" spans="1:9">
      <c r="A3464" s="387" t="b">
        <v>0</v>
      </c>
      <c r="B3464" s="387" t="s">
        <v>4954</v>
      </c>
      <c r="C3464" s="392">
        <v>67</v>
      </c>
      <c r="D3464" s="387">
        <f t="shared" si="213"/>
        <v>-78</v>
      </c>
      <c r="E3464" s="387">
        <f t="shared" si="214"/>
        <v>6</v>
      </c>
      <c r="F3464" s="387">
        <f t="shared" ca="1" si="215"/>
        <v>75</v>
      </c>
      <c r="G3464" s="387" t="s">
        <v>4523</v>
      </c>
      <c r="H3464" s="391"/>
      <c r="I3464" s="391"/>
    </row>
    <row r="3465" spans="1:9">
      <c r="A3465" s="387" t="b">
        <v>0</v>
      </c>
      <c r="B3465" s="387" t="s">
        <v>4955</v>
      </c>
      <c r="C3465" s="392">
        <v>68</v>
      </c>
      <c r="D3465" s="387">
        <f t="shared" si="213"/>
        <v>-77</v>
      </c>
      <c r="E3465" s="387">
        <f t="shared" si="214"/>
        <v>1</v>
      </c>
      <c r="F3465" s="387">
        <f t="shared" ca="1" si="215"/>
        <v>76</v>
      </c>
      <c r="G3465" s="387" t="s">
        <v>4525</v>
      </c>
      <c r="H3465" s="391"/>
      <c r="I3465" s="391"/>
    </row>
    <row r="3466" spans="1:9">
      <c r="A3466" s="387" t="b">
        <v>0</v>
      </c>
      <c r="B3466" s="387" t="s">
        <v>4956</v>
      </c>
      <c r="C3466" s="392">
        <v>68</v>
      </c>
      <c r="D3466" s="387">
        <f t="shared" si="213"/>
        <v>-76</v>
      </c>
      <c r="E3466" s="387">
        <f t="shared" si="214"/>
        <v>2</v>
      </c>
      <c r="F3466" s="387">
        <f t="shared" ca="1" si="215"/>
        <v>76</v>
      </c>
      <c r="G3466" s="387" t="s">
        <v>4525</v>
      </c>
      <c r="H3466" s="391"/>
      <c r="I3466" s="391"/>
    </row>
    <row r="3467" spans="1:9">
      <c r="A3467" s="387" t="b">
        <v>0</v>
      </c>
      <c r="B3467" s="387" t="s">
        <v>4957</v>
      </c>
      <c r="C3467" s="392">
        <v>68</v>
      </c>
      <c r="D3467" s="387">
        <f t="shared" si="213"/>
        <v>-75</v>
      </c>
      <c r="E3467" s="387">
        <f t="shared" si="214"/>
        <v>3</v>
      </c>
      <c r="F3467" s="387">
        <f t="shared" ca="1" si="215"/>
        <v>76</v>
      </c>
      <c r="G3467" s="387" t="s">
        <v>4525</v>
      </c>
      <c r="H3467" s="391"/>
      <c r="I3467" s="391"/>
    </row>
    <row r="3468" spans="1:9">
      <c r="A3468" s="387" t="b">
        <v>0</v>
      </c>
      <c r="B3468" s="387" t="s">
        <v>4958</v>
      </c>
      <c r="C3468" s="392">
        <v>68</v>
      </c>
      <c r="D3468" s="387">
        <f t="shared" si="213"/>
        <v>-74</v>
      </c>
      <c r="E3468" s="387">
        <f t="shared" si="214"/>
        <v>4</v>
      </c>
      <c r="F3468" s="387">
        <f t="shared" ca="1" si="215"/>
        <v>76</v>
      </c>
      <c r="G3468" s="387" t="s">
        <v>4525</v>
      </c>
      <c r="H3468" s="391"/>
      <c r="I3468" s="391"/>
    </row>
    <row r="3469" spans="1:9">
      <c r="A3469" s="387" t="b">
        <v>0</v>
      </c>
      <c r="B3469" s="387" t="s">
        <v>4959</v>
      </c>
      <c r="C3469" s="392">
        <v>68</v>
      </c>
      <c r="D3469" s="387">
        <f t="shared" si="213"/>
        <v>-73</v>
      </c>
      <c r="E3469" s="387">
        <f t="shared" si="214"/>
        <v>5</v>
      </c>
      <c r="F3469" s="387">
        <f t="shared" ca="1" si="215"/>
        <v>76</v>
      </c>
      <c r="G3469" s="387" t="s">
        <v>4525</v>
      </c>
      <c r="H3469" s="391"/>
      <c r="I3469" s="391"/>
    </row>
    <row r="3470" spans="1:9">
      <c r="A3470" s="387" t="b">
        <v>0</v>
      </c>
      <c r="B3470" s="387" t="s">
        <v>4960</v>
      </c>
      <c r="C3470" s="392">
        <v>68</v>
      </c>
      <c r="D3470" s="387">
        <f t="shared" si="213"/>
        <v>-72</v>
      </c>
      <c r="E3470" s="387">
        <f t="shared" si="214"/>
        <v>6</v>
      </c>
      <c r="F3470" s="387">
        <f t="shared" ca="1" si="215"/>
        <v>76</v>
      </c>
      <c r="G3470" s="387" t="s">
        <v>4525</v>
      </c>
      <c r="H3470" s="391"/>
      <c r="I3470" s="391"/>
    </row>
    <row r="3471" spans="1:9">
      <c r="A3471" s="387" t="b">
        <v>0</v>
      </c>
      <c r="B3471" s="387" t="s">
        <v>4961</v>
      </c>
      <c r="C3471" s="392">
        <v>69</v>
      </c>
      <c r="D3471" s="387">
        <f t="shared" si="213"/>
        <v>-71</v>
      </c>
      <c r="E3471" s="387">
        <f t="shared" si="214"/>
        <v>1</v>
      </c>
      <c r="F3471" s="387">
        <f t="shared" ca="1" si="215"/>
        <v>77</v>
      </c>
      <c r="G3471" s="387" t="s">
        <v>4527</v>
      </c>
      <c r="H3471" s="391"/>
      <c r="I3471" s="391"/>
    </row>
    <row r="3472" spans="1:9">
      <c r="A3472" s="387" t="b">
        <v>0</v>
      </c>
      <c r="B3472" s="387" t="s">
        <v>4962</v>
      </c>
      <c r="C3472" s="392">
        <v>69</v>
      </c>
      <c r="D3472" s="387">
        <f t="shared" si="213"/>
        <v>-70</v>
      </c>
      <c r="E3472" s="387">
        <f t="shared" si="214"/>
        <v>2</v>
      </c>
      <c r="F3472" s="387">
        <f t="shared" ca="1" si="215"/>
        <v>77</v>
      </c>
      <c r="G3472" s="387" t="s">
        <v>4527</v>
      </c>
      <c r="H3472" s="391"/>
      <c r="I3472" s="391"/>
    </row>
    <row r="3473" spans="1:9">
      <c r="A3473" s="387" t="b">
        <v>0</v>
      </c>
      <c r="B3473" s="387" t="s">
        <v>4963</v>
      </c>
      <c r="C3473" s="392">
        <v>69</v>
      </c>
      <c r="D3473" s="387">
        <f t="shared" si="213"/>
        <v>-69</v>
      </c>
      <c r="E3473" s="387">
        <f t="shared" si="214"/>
        <v>3</v>
      </c>
      <c r="F3473" s="387">
        <f t="shared" ca="1" si="215"/>
        <v>77</v>
      </c>
      <c r="G3473" s="387" t="s">
        <v>4527</v>
      </c>
      <c r="H3473" s="391"/>
      <c r="I3473" s="391"/>
    </row>
    <row r="3474" spans="1:9">
      <c r="A3474" s="387" t="b">
        <v>0</v>
      </c>
      <c r="B3474" s="387" t="s">
        <v>4964</v>
      </c>
      <c r="C3474" s="392">
        <v>69</v>
      </c>
      <c r="D3474" s="387">
        <f t="shared" si="213"/>
        <v>-68</v>
      </c>
      <c r="E3474" s="387">
        <f t="shared" si="214"/>
        <v>4</v>
      </c>
      <c r="F3474" s="387">
        <f t="shared" ca="1" si="215"/>
        <v>77</v>
      </c>
      <c r="G3474" s="387" t="s">
        <v>4527</v>
      </c>
      <c r="H3474" s="391"/>
      <c r="I3474" s="391"/>
    </row>
    <row r="3475" spans="1:9">
      <c r="A3475" s="387" t="b">
        <v>0</v>
      </c>
      <c r="B3475" s="387" t="s">
        <v>4965</v>
      </c>
      <c r="C3475" s="392">
        <v>69</v>
      </c>
      <c r="D3475" s="387">
        <f t="shared" si="213"/>
        <v>-67</v>
      </c>
      <c r="E3475" s="387">
        <f t="shared" si="214"/>
        <v>5</v>
      </c>
      <c r="F3475" s="387">
        <f t="shared" ca="1" si="215"/>
        <v>77</v>
      </c>
      <c r="G3475" s="387" t="s">
        <v>4527</v>
      </c>
      <c r="H3475" s="391"/>
      <c r="I3475" s="391"/>
    </row>
    <row r="3476" spans="1:9">
      <c r="A3476" s="387" t="b">
        <v>0</v>
      </c>
      <c r="B3476" s="387" t="s">
        <v>4966</v>
      </c>
      <c r="C3476" s="392">
        <v>69</v>
      </c>
      <c r="D3476" s="387">
        <f t="shared" si="213"/>
        <v>-66</v>
      </c>
      <c r="E3476" s="387">
        <f t="shared" si="214"/>
        <v>6</v>
      </c>
      <c r="F3476" s="387">
        <f t="shared" ca="1" si="215"/>
        <v>77</v>
      </c>
      <c r="G3476" s="387" t="s">
        <v>4527</v>
      </c>
      <c r="H3476" s="391"/>
      <c r="I3476" s="391"/>
    </row>
    <row r="3477" spans="1:9">
      <c r="A3477" s="387" t="b">
        <v>0</v>
      </c>
      <c r="B3477" s="387" t="s">
        <v>4967</v>
      </c>
      <c r="C3477" s="392">
        <v>70</v>
      </c>
      <c r="D3477" s="387">
        <f t="shared" si="213"/>
        <v>-65</v>
      </c>
      <c r="E3477" s="387">
        <f t="shared" si="214"/>
        <v>1</v>
      </c>
      <c r="F3477" s="387">
        <f t="shared" ca="1" si="215"/>
        <v>78</v>
      </c>
      <c r="G3477" s="387" t="s">
        <v>4529</v>
      </c>
      <c r="H3477" s="391"/>
      <c r="I3477" s="391"/>
    </row>
    <row r="3478" spans="1:9">
      <c r="A3478" s="387" t="b">
        <v>0</v>
      </c>
      <c r="B3478" s="387" t="s">
        <v>4968</v>
      </c>
      <c r="C3478" s="392">
        <v>70</v>
      </c>
      <c r="D3478" s="387">
        <f t="shared" si="213"/>
        <v>-64</v>
      </c>
      <c r="E3478" s="387">
        <f t="shared" si="214"/>
        <v>2</v>
      </c>
      <c r="F3478" s="387">
        <f t="shared" ca="1" si="215"/>
        <v>78</v>
      </c>
      <c r="G3478" s="387" t="s">
        <v>4529</v>
      </c>
      <c r="H3478" s="391"/>
      <c r="I3478" s="391"/>
    </row>
    <row r="3479" spans="1:9">
      <c r="A3479" s="387" t="b">
        <v>0</v>
      </c>
      <c r="B3479" s="387" t="s">
        <v>4969</v>
      </c>
      <c r="C3479" s="392">
        <v>70</v>
      </c>
      <c r="D3479" s="387">
        <f t="shared" si="213"/>
        <v>-63</v>
      </c>
      <c r="E3479" s="387">
        <f t="shared" si="214"/>
        <v>3</v>
      </c>
      <c r="F3479" s="387">
        <f t="shared" ca="1" si="215"/>
        <v>78</v>
      </c>
      <c r="G3479" s="387" t="s">
        <v>4529</v>
      </c>
      <c r="H3479" s="391"/>
      <c r="I3479" s="391"/>
    </row>
    <row r="3480" spans="1:9">
      <c r="A3480" s="387" t="b">
        <v>0</v>
      </c>
      <c r="B3480" s="387" t="s">
        <v>4970</v>
      </c>
      <c r="C3480" s="392">
        <v>70</v>
      </c>
      <c r="D3480" s="387">
        <f t="shared" si="213"/>
        <v>-62</v>
      </c>
      <c r="E3480" s="387">
        <f t="shared" si="214"/>
        <v>4</v>
      </c>
      <c r="F3480" s="387">
        <f t="shared" ca="1" si="215"/>
        <v>78</v>
      </c>
      <c r="G3480" s="387" t="s">
        <v>4529</v>
      </c>
      <c r="H3480" s="391"/>
      <c r="I3480" s="391"/>
    </row>
    <row r="3481" spans="1:9">
      <c r="A3481" s="387" t="b">
        <v>0</v>
      </c>
      <c r="B3481" s="387" t="s">
        <v>4971</v>
      </c>
      <c r="C3481" s="392">
        <v>70</v>
      </c>
      <c r="D3481" s="387">
        <f t="shared" si="213"/>
        <v>-61</v>
      </c>
      <c r="E3481" s="387">
        <f t="shared" si="214"/>
        <v>5</v>
      </c>
      <c r="F3481" s="387">
        <f t="shared" ca="1" si="215"/>
        <v>78</v>
      </c>
      <c r="G3481" s="387" t="s">
        <v>4529</v>
      </c>
      <c r="H3481" s="391"/>
      <c r="I3481" s="391"/>
    </row>
    <row r="3482" spans="1:9">
      <c r="A3482" s="387" t="b">
        <v>0</v>
      </c>
      <c r="B3482" s="387" t="s">
        <v>4972</v>
      </c>
      <c r="C3482" s="392">
        <v>70</v>
      </c>
      <c r="D3482" s="387">
        <f t="shared" si="213"/>
        <v>-60</v>
      </c>
      <c r="E3482" s="387">
        <f t="shared" si="214"/>
        <v>6</v>
      </c>
      <c r="F3482" s="387">
        <f t="shared" ca="1" si="215"/>
        <v>78</v>
      </c>
      <c r="G3482" s="387" t="s">
        <v>4529</v>
      </c>
      <c r="H3482" s="391"/>
      <c r="I3482" s="391"/>
    </row>
    <row r="3483" spans="1:9">
      <c r="A3483" s="387" t="b">
        <v>0</v>
      </c>
      <c r="B3483" s="387" t="s">
        <v>4973</v>
      </c>
      <c r="C3483" s="392">
        <v>71</v>
      </c>
      <c r="D3483" s="387">
        <f t="shared" si="213"/>
        <v>-59</v>
      </c>
      <c r="E3483" s="387">
        <f t="shared" si="214"/>
        <v>1</v>
      </c>
      <c r="F3483" s="387">
        <f t="shared" ca="1" si="215"/>
        <v>79</v>
      </c>
      <c r="G3483" s="387" t="s">
        <v>4531</v>
      </c>
      <c r="H3483" s="391"/>
      <c r="I3483" s="391"/>
    </row>
    <row r="3484" spans="1:9">
      <c r="A3484" s="387" t="b">
        <v>0</v>
      </c>
      <c r="B3484" s="387" t="s">
        <v>4974</v>
      </c>
      <c r="C3484" s="392">
        <v>71</v>
      </c>
      <c r="D3484" s="387">
        <f t="shared" si="213"/>
        <v>-58</v>
      </c>
      <c r="E3484" s="387">
        <f t="shared" si="214"/>
        <v>2</v>
      </c>
      <c r="F3484" s="387">
        <f t="shared" ca="1" si="215"/>
        <v>79</v>
      </c>
      <c r="G3484" s="387" t="s">
        <v>4531</v>
      </c>
      <c r="H3484" s="391"/>
      <c r="I3484" s="391"/>
    </row>
    <row r="3485" spans="1:9">
      <c r="A3485" s="387" t="b">
        <v>0</v>
      </c>
      <c r="B3485" s="387" t="s">
        <v>4975</v>
      </c>
      <c r="C3485" s="392">
        <v>71</v>
      </c>
      <c r="D3485" s="387">
        <f t="shared" si="213"/>
        <v>-57</v>
      </c>
      <c r="E3485" s="387">
        <f t="shared" si="214"/>
        <v>3</v>
      </c>
      <c r="F3485" s="387">
        <f t="shared" ca="1" si="215"/>
        <v>79</v>
      </c>
      <c r="G3485" s="387" t="s">
        <v>4531</v>
      </c>
      <c r="H3485" s="391"/>
      <c r="I3485" s="391"/>
    </row>
    <row r="3486" spans="1:9">
      <c r="A3486" s="387" t="b">
        <v>0</v>
      </c>
      <c r="B3486" s="387" t="s">
        <v>4976</v>
      </c>
      <c r="C3486" s="392">
        <v>71</v>
      </c>
      <c r="D3486" s="387">
        <f t="shared" si="213"/>
        <v>-56</v>
      </c>
      <c r="E3486" s="387">
        <f t="shared" si="214"/>
        <v>4</v>
      </c>
      <c r="F3486" s="387">
        <f t="shared" ca="1" si="215"/>
        <v>79</v>
      </c>
      <c r="G3486" s="387" t="s">
        <v>4531</v>
      </c>
      <c r="H3486" s="391"/>
      <c r="I3486" s="391"/>
    </row>
    <row r="3487" spans="1:9">
      <c r="A3487" s="387" t="b">
        <v>0</v>
      </c>
      <c r="B3487" s="387" t="s">
        <v>4977</v>
      </c>
      <c r="C3487" s="392">
        <v>71</v>
      </c>
      <c r="D3487" s="387">
        <f t="shared" si="213"/>
        <v>-55</v>
      </c>
      <c r="E3487" s="387">
        <f t="shared" si="214"/>
        <v>5</v>
      </c>
      <c r="F3487" s="387">
        <f t="shared" ca="1" si="215"/>
        <v>79</v>
      </c>
      <c r="G3487" s="387" t="s">
        <v>4531</v>
      </c>
      <c r="H3487" s="391"/>
      <c r="I3487" s="391"/>
    </row>
    <row r="3488" spans="1:9">
      <c r="A3488" s="387" t="b">
        <v>0</v>
      </c>
      <c r="B3488" s="387" t="s">
        <v>4978</v>
      </c>
      <c r="C3488" s="392">
        <v>71</v>
      </c>
      <c r="D3488" s="387">
        <f t="shared" si="213"/>
        <v>-54</v>
      </c>
      <c r="E3488" s="387">
        <f t="shared" si="214"/>
        <v>6</v>
      </c>
      <c r="F3488" s="387">
        <f t="shared" ca="1" si="215"/>
        <v>79</v>
      </c>
      <c r="G3488" s="387" t="s">
        <v>4531</v>
      </c>
      <c r="H3488" s="391"/>
      <c r="I3488" s="391"/>
    </row>
    <row r="3489" spans="1:9">
      <c r="A3489" s="387" t="b">
        <v>0</v>
      </c>
      <c r="B3489" s="387" t="s">
        <v>4979</v>
      </c>
      <c r="C3489" s="392">
        <v>72</v>
      </c>
      <c r="D3489" s="387">
        <f t="shared" si="213"/>
        <v>-53</v>
      </c>
      <c r="E3489" s="387">
        <f t="shared" si="214"/>
        <v>1</v>
      </c>
      <c r="F3489" s="387">
        <f t="shared" ca="1" si="215"/>
        <v>80</v>
      </c>
      <c r="G3489" s="387" t="s">
        <v>4533</v>
      </c>
      <c r="H3489" s="391"/>
      <c r="I3489" s="391"/>
    </row>
    <row r="3490" spans="1:9">
      <c r="A3490" s="387" t="b">
        <v>0</v>
      </c>
      <c r="B3490" s="387" t="s">
        <v>4980</v>
      </c>
      <c r="C3490" s="392">
        <v>72</v>
      </c>
      <c r="D3490" s="387">
        <f t="shared" si="213"/>
        <v>-52</v>
      </c>
      <c r="E3490" s="387">
        <f t="shared" si="214"/>
        <v>2</v>
      </c>
      <c r="F3490" s="387">
        <f t="shared" ca="1" si="215"/>
        <v>80</v>
      </c>
      <c r="G3490" s="387" t="s">
        <v>4533</v>
      </c>
      <c r="H3490" s="391"/>
      <c r="I3490" s="391"/>
    </row>
    <row r="3491" spans="1:9">
      <c r="A3491" s="387" t="b">
        <v>0</v>
      </c>
      <c r="B3491" s="387" t="s">
        <v>4981</v>
      </c>
      <c r="C3491" s="392">
        <v>72</v>
      </c>
      <c r="D3491" s="387">
        <f t="shared" si="213"/>
        <v>-51</v>
      </c>
      <c r="E3491" s="387">
        <f t="shared" si="214"/>
        <v>3</v>
      </c>
      <c r="F3491" s="387">
        <f t="shared" ca="1" si="215"/>
        <v>80</v>
      </c>
      <c r="G3491" s="387" t="s">
        <v>4533</v>
      </c>
      <c r="H3491" s="391"/>
      <c r="I3491" s="391"/>
    </row>
    <row r="3492" spans="1:9">
      <c r="A3492" s="387" t="b">
        <v>0</v>
      </c>
      <c r="B3492" s="387" t="s">
        <v>4982</v>
      </c>
      <c r="C3492" s="392">
        <v>72</v>
      </c>
      <c r="D3492" s="387">
        <f t="shared" si="213"/>
        <v>-50</v>
      </c>
      <c r="E3492" s="387">
        <f t="shared" si="214"/>
        <v>4</v>
      </c>
      <c r="F3492" s="387">
        <f t="shared" ca="1" si="215"/>
        <v>80</v>
      </c>
      <c r="G3492" s="387" t="s">
        <v>4533</v>
      </c>
      <c r="H3492" s="391"/>
      <c r="I3492" s="391"/>
    </row>
    <row r="3493" spans="1:9">
      <c r="A3493" s="387" t="b">
        <v>0</v>
      </c>
      <c r="B3493" s="387" t="s">
        <v>4983</v>
      </c>
      <c r="C3493" s="392">
        <v>72</v>
      </c>
      <c r="D3493" s="387">
        <f t="shared" si="213"/>
        <v>-49</v>
      </c>
      <c r="E3493" s="387">
        <f t="shared" si="214"/>
        <v>5</v>
      </c>
      <c r="F3493" s="387">
        <f t="shared" ca="1" si="215"/>
        <v>80</v>
      </c>
      <c r="G3493" s="387" t="s">
        <v>4533</v>
      </c>
      <c r="H3493" s="391"/>
      <c r="I3493" s="391"/>
    </row>
    <row r="3494" spans="1:9">
      <c r="A3494" s="387" t="b">
        <v>0</v>
      </c>
      <c r="B3494" s="387" t="s">
        <v>4984</v>
      </c>
      <c r="C3494" s="392">
        <v>72</v>
      </c>
      <c r="D3494" s="387">
        <f t="shared" si="213"/>
        <v>-48</v>
      </c>
      <c r="E3494" s="387">
        <f t="shared" si="214"/>
        <v>6</v>
      </c>
      <c r="F3494" s="387">
        <f t="shared" ca="1" si="215"/>
        <v>80</v>
      </c>
      <c r="G3494" s="387" t="s">
        <v>4533</v>
      </c>
      <c r="H3494" s="391"/>
      <c r="I3494" s="391"/>
    </row>
    <row r="3495" spans="1:9">
      <c r="A3495" s="387" t="b">
        <v>0</v>
      </c>
      <c r="B3495" s="387" t="s">
        <v>4985</v>
      </c>
      <c r="C3495" s="392">
        <v>73</v>
      </c>
      <c r="D3495" s="387">
        <f t="shared" si="213"/>
        <v>-47</v>
      </c>
      <c r="E3495" s="387">
        <f t="shared" si="214"/>
        <v>1</v>
      </c>
      <c r="F3495" s="387">
        <f t="shared" ca="1" si="215"/>
        <v>81</v>
      </c>
      <c r="G3495" s="387" t="s">
        <v>4535</v>
      </c>
      <c r="H3495" s="391"/>
      <c r="I3495" s="391"/>
    </row>
    <row r="3496" spans="1:9">
      <c r="A3496" s="387" t="b">
        <v>0</v>
      </c>
      <c r="B3496" s="387" t="s">
        <v>4986</v>
      </c>
      <c r="C3496" s="392">
        <v>73</v>
      </c>
      <c r="D3496" s="387">
        <f t="shared" si="213"/>
        <v>-46</v>
      </c>
      <c r="E3496" s="387">
        <f t="shared" si="214"/>
        <v>2</v>
      </c>
      <c r="F3496" s="387">
        <f t="shared" ca="1" si="215"/>
        <v>81</v>
      </c>
      <c r="G3496" s="387" t="s">
        <v>4535</v>
      </c>
      <c r="H3496" s="391"/>
      <c r="I3496" s="391"/>
    </row>
    <row r="3497" spans="1:9">
      <c r="A3497" s="387" t="b">
        <v>0</v>
      </c>
      <c r="B3497" s="387" t="s">
        <v>4987</v>
      </c>
      <c r="C3497" s="392">
        <v>73</v>
      </c>
      <c r="D3497" s="387">
        <f t="shared" si="213"/>
        <v>-45</v>
      </c>
      <c r="E3497" s="387">
        <f t="shared" si="214"/>
        <v>3</v>
      </c>
      <c r="F3497" s="387">
        <f t="shared" ca="1" si="215"/>
        <v>81</v>
      </c>
      <c r="G3497" s="387" t="s">
        <v>4535</v>
      </c>
      <c r="H3497" s="391"/>
      <c r="I3497" s="391"/>
    </row>
    <row r="3498" spans="1:9">
      <c r="A3498" s="387" t="b">
        <v>0</v>
      </c>
      <c r="B3498" s="387" t="s">
        <v>4988</v>
      </c>
      <c r="C3498" s="392">
        <v>73</v>
      </c>
      <c r="D3498" s="387">
        <f t="shared" si="213"/>
        <v>-44</v>
      </c>
      <c r="E3498" s="387">
        <f t="shared" si="214"/>
        <v>4</v>
      </c>
      <c r="F3498" s="387">
        <f t="shared" ca="1" si="215"/>
        <v>81</v>
      </c>
      <c r="G3498" s="387" t="s">
        <v>4535</v>
      </c>
      <c r="H3498" s="391"/>
      <c r="I3498" s="391"/>
    </row>
    <row r="3499" spans="1:9">
      <c r="A3499" s="387" t="b">
        <v>0</v>
      </c>
      <c r="B3499" s="387" t="s">
        <v>4989</v>
      </c>
      <c r="C3499" s="392">
        <v>73</v>
      </c>
      <c r="D3499" s="387">
        <f t="shared" si="213"/>
        <v>-43</v>
      </c>
      <c r="E3499" s="387">
        <f t="shared" si="214"/>
        <v>5</v>
      </c>
      <c r="F3499" s="387">
        <f t="shared" ca="1" si="215"/>
        <v>81</v>
      </c>
      <c r="G3499" s="387" t="s">
        <v>4535</v>
      </c>
      <c r="H3499" s="391"/>
      <c r="I3499" s="391"/>
    </row>
    <row r="3500" spans="1:9">
      <c r="A3500" s="387" t="b">
        <v>0</v>
      </c>
      <c r="B3500" s="387" t="s">
        <v>4990</v>
      </c>
      <c r="C3500" s="392">
        <v>73</v>
      </c>
      <c r="D3500" s="387">
        <f t="shared" si="213"/>
        <v>-42</v>
      </c>
      <c r="E3500" s="387">
        <f t="shared" si="214"/>
        <v>6</v>
      </c>
      <c r="F3500" s="387">
        <f t="shared" ca="1" si="215"/>
        <v>81</v>
      </c>
      <c r="G3500" s="387" t="s">
        <v>4535</v>
      </c>
      <c r="H3500" s="391"/>
      <c r="I3500" s="391"/>
    </row>
    <row r="3501" spans="1:9">
      <c r="A3501" s="387" t="b">
        <v>0</v>
      </c>
      <c r="B3501" s="387" t="s">
        <v>4991</v>
      </c>
      <c r="C3501" s="392">
        <v>74</v>
      </c>
      <c r="D3501" s="387">
        <f t="shared" si="213"/>
        <v>-41</v>
      </c>
      <c r="E3501" s="387">
        <f t="shared" si="214"/>
        <v>1</v>
      </c>
      <c r="F3501" s="387">
        <f t="shared" ca="1" si="215"/>
        <v>82</v>
      </c>
      <c r="G3501" s="387" t="s">
        <v>4537</v>
      </c>
      <c r="H3501" s="391"/>
      <c r="I3501" s="391"/>
    </row>
    <row r="3502" spans="1:9">
      <c r="A3502" s="387" t="b">
        <v>0</v>
      </c>
      <c r="B3502" s="387" t="s">
        <v>4992</v>
      </c>
      <c r="C3502" s="392">
        <v>74</v>
      </c>
      <c r="D3502" s="387">
        <f t="shared" si="213"/>
        <v>-40</v>
      </c>
      <c r="E3502" s="387">
        <f t="shared" si="214"/>
        <v>2</v>
      </c>
      <c r="F3502" s="387">
        <f t="shared" ca="1" si="215"/>
        <v>82</v>
      </c>
      <c r="G3502" s="387" t="s">
        <v>4537</v>
      </c>
      <c r="H3502" s="391"/>
      <c r="I3502" s="391"/>
    </row>
    <row r="3503" spans="1:9">
      <c r="A3503" s="387" t="b">
        <v>0</v>
      </c>
      <c r="B3503" s="387" t="s">
        <v>4993</v>
      </c>
      <c r="C3503" s="392">
        <v>74</v>
      </c>
      <c r="D3503" s="387">
        <f t="shared" si="213"/>
        <v>-39</v>
      </c>
      <c r="E3503" s="387">
        <f t="shared" si="214"/>
        <v>3</v>
      </c>
      <c r="F3503" s="387">
        <f t="shared" ca="1" si="215"/>
        <v>82</v>
      </c>
      <c r="G3503" s="387" t="s">
        <v>4537</v>
      </c>
      <c r="H3503" s="391"/>
      <c r="I3503" s="391"/>
    </row>
    <row r="3504" spans="1:9">
      <c r="A3504" s="387" t="b">
        <v>0</v>
      </c>
      <c r="B3504" s="387" t="s">
        <v>4994</v>
      </c>
      <c r="C3504" s="392">
        <v>74</v>
      </c>
      <c r="D3504" s="387">
        <f t="shared" si="213"/>
        <v>-38</v>
      </c>
      <c r="E3504" s="387">
        <f t="shared" si="214"/>
        <v>4</v>
      </c>
      <c r="F3504" s="387">
        <f t="shared" ca="1" si="215"/>
        <v>82</v>
      </c>
      <c r="G3504" s="387" t="s">
        <v>4537</v>
      </c>
      <c r="H3504" s="391"/>
      <c r="I3504" s="391"/>
    </row>
    <row r="3505" spans="1:9">
      <c r="A3505" s="387" t="b">
        <v>0</v>
      </c>
      <c r="B3505" s="387" t="s">
        <v>4995</v>
      </c>
      <c r="C3505" s="392">
        <v>74</v>
      </c>
      <c r="D3505" s="387">
        <f t="shared" si="213"/>
        <v>-37</v>
      </c>
      <c r="E3505" s="387">
        <f t="shared" si="214"/>
        <v>5</v>
      </c>
      <c r="F3505" s="387">
        <f t="shared" ca="1" si="215"/>
        <v>82</v>
      </c>
      <c r="G3505" s="387" t="s">
        <v>4537</v>
      </c>
      <c r="H3505" s="391"/>
      <c r="I3505" s="391"/>
    </row>
    <row r="3506" spans="1:9">
      <c r="A3506" s="387" t="b">
        <v>0</v>
      </c>
      <c r="B3506" s="387" t="s">
        <v>4996</v>
      </c>
      <c r="C3506" s="392">
        <v>74</v>
      </c>
      <c r="D3506" s="387">
        <f t="shared" si="213"/>
        <v>-36</v>
      </c>
      <c r="E3506" s="387">
        <f t="shared" si="214"/>
        <v>6</v>
      </c>
      <c r="F3506" s="387">
        <f t="shared" ca="1" si="215"/>
        <v>82</v>
      </c>
      <c r="G3506" s="387" t="s">
        <v>4537</v>
      </c>
      <c r="H3506" s="391"/>
      <c r="I3506" s="391"/>
    </row>
    <row r="3507" spans="1:9">
      <c r="A3507" s="387" t="b">
        <v>0</v>
      </c>
      <c r="B3507" s="387" t="s">
        <v>4997</v>
      </c>
      <c r="C3507" s="392">
        <v>75</v>
      </c>
      <c r="D3507" s="387">
        <f t="shared" si="213"/>
        <v>-35</v>
      </c>
      <c r="E3507" s="387">
        <f t="shared" si="214"/>
        <v>1</v>
      </c>
      <c r="F3507" s="387">
        <f t="shared" ca="1" si="215"/>
        <v>83</v>
      </c>
      <c r="G3507" s="387" t="s">
        <v>4539</v>
      </c>
      <c r="H3507" s="391"/>
      <c r="I3507" s="391"/>
    </row>
    <row r="3508" spans="1:9">
      <c r="A3508" s="387" t="b">
        <v>0</v>
      </c>
      <c r="B3508" s="387" t="s">
        <v>4998</v>
      </c>
      <c r="C3508" s="392">
        <v>75</v>
      </c>
      <c r="D3508" s="387">
        <f t="shared" si="213"/>
        <v>-34</v>
      </c>
      <c r="E3508" s="387">
        <f t="shared" si="214"/>
        <v>2</v>
      </c>
      <c r="F3508" s="387">
        <f t="shared" ca="1" si="215"/>
        <v>83</v>
      </c>
      <c r="G3508" s="387" t="s">
        <v>4539</v>
      </c>
      <c r="H3508" s="391"/>
      <c r="I3508" s="391"/>
    </row>
    <row r="3509" spans="1:9">
      <c r="A3509" s="387" t="b">
        <v>0</v>
      </c>
      <c r="B3509" s="387" t="s">
        <v>4999</v>
      </c>
      <c r="C3509" s="392">
        <v>75</v>
      </c>
      <c r="D3509" s="387">
        <f t="shared" si="213"/>
        <v>-33</v>
      </c>
      <c r="E3509" s="387">
        <f t="shared" si="214"/>
        <v>3</v>
      </c>
      <c r="F3509" s="387">
        <f t="shared" ca="1" si="215"/>
        <v>83</v>
      </c>
      <c r="G3509" s="387" t="s">
        <v>4539</v>
      </c>
      <c r="H3509" s="391"/>
      <c r="I3509" s="391"/>
    </row>
    <row r="3510" spans="1:9">
      <c r="A3510" s="387" t="b">
        <v>0</v>
      </c>
      <c r="B3510" s="387" t="s">
        <v>5000</v>
      </c>
      <c r="C3510" s="392">
        <v>75</v>
      </c>
      <c r="D3510" s="387">
        <f t="shared" si="213"/>
        <v>-32</v>
      </c>
      <c r="E3510" s="387">
        <f t="shared" si="214"/>
        <v>4</v>
      </c>
      <c r="F3510" s="387">
        <f t="shared" ca="1" si="215"/>
        <v>83</v>
      </c>
      <c r="G3510" s="387" t="s">
        <v>4539</v>
      </c>
      <c r="H3510" s="391"/>
      <c r="I3510" s="391"/>
    </row>
    <row r="3511" spans="1:9">
      <c r="A3511" s="387" t="b">
        <v>0</v>
      </c>
      <c r="B3511" s="387" t="s">
        <v>5001</v>
      </c>
      <c r="C3511" s="392">
        <v>75</v>
      </c>
      <c r="D3511" s="387">
        <f t="shared" ref="D3511:D3574" si="216">D3510+1</f>
        <v>-31</v>
      </c>
      <c r="E3511" s="387">
        <f t="shared" ref="E3511:E3574" si="217">COUNTIF(C3341:C3511,C3511)</f>
        <v>5</v>
      </c>
      <c r="F3511" s="387">
        <f t="shared" ref="F3511:F3574" ca="1" si="218">IF(C3511=1,9,IF(E3510=MAX(E3509:E3511),F3509+1,F3510))</f>
        <v>83</v>
      </c>
      <c r="G3511" s="387" t="s">
        <v>4539</v>
      </c>
      <c r="H3511" s="391"/>
      <c r="I3511" s="391"/>
    </row>
    <row r="3512" spans="1:9">
      <c r="A3512" s="387" t="b">
        <v>0</v>
      </c>
      <c r="B3512" s="387" t="s">
        <v>5002</v>
      </c>
      <c r="C3512" s="392">
        <v>75</v>
      </c>
      <c r="D3512" s="387">
        <f t="shared" si="216"/>
        <v>-30</v>
      </c>
      <c r="E3512" s="387">
        <f t="shared" si="217"/>
        <v>6</v>
      </c>
      <c r="F3512" s="387">
        <f t="shared" ca="1" si="218"/>
        <v>83</v>
      </c>
      <c r="G3512" s="387" t="s">
        <v>4539</v>
      </c>
      <c r="H3512" s="391"/>
      <c r="I3512" s="391"/>
    </row>
    <row r="3513" spans="1:9">
      <c r="A3513" s="387" t="b">
        <v>0</v>
      </c>
      <c r="B3513" s="387" t="s">
        <v>5003</v>
      </c>
      <c r="C3513" s="392">
        <v>76</v>
      </c>
      <c r="D3513" s="387">
        <f t="shared" si="216"/>
        <v>-29</v>
      </c>
      <c r="E3513" s="387">
        <f t="shared" si="217"/>
        <v>1</v>
      </c>
      <c r="F3513" s="387">
        <f t="shared" ca="1" si="218"/>
        <v>84</v>
      </c>
      <c r="G3513" s="387" t="s">
        <v>4541</v>
      </c>
      <c r="H3513" s="391"/>
      <c r="I3513" s="391"/>
    </row>
    <row r="3514" spans="1:9">
      <c r="A3514" s="387" t="b">
        <v>0</v>
      </c>
      <c r="B3514" s="387" t="s">
        <v>5004</v>
      </c>
      <c r="C3514" s="392">
        <v>76</v>
      </c>
      <c r="D3514" s="387">
        <f t="shared" si="216"/>
        <v>-28</v>
      </c>
      <c r="E3514" s="387">
        <f t="shared" si="217"/>
        <v>2</v>
      </c>
      <c r="F3514" s="387">
        <f t="shared" ca="1" si="218"/>
        <v>84</v>
      </c>
      <c r="G3514" s="387" t="s">
        <v>4541</v>
      </c>
      <c r="H3514" s="391"/>
      <c r="I3514" s="391"/>
    </row>
    <row r="3515" spans="1:9">
      <c r="A3515" s="387" t="b">
        <v>0</v>
      </c>
      <c r="B3515" s="387" t="s">
        <v>5005</v>
      </c>
      <c r="C3515" s="392">
        <v>76</v>
      </c>
      <c r="D3515" s="387">
        <f t="shared" si="216"/>
        <v>-27</v>
      </c>
      <c r="E3515" s="387">
        <f t="shared" si="217"/>
        <v>3</v>
      </c>
      <c r="F3515" s="387">
        <f t="shared" ca="1" si="218"/>
        <v>84</v>
      </c>
      <c r="G3515" s="387" t="s">
        <v>4541</v>
      </c>
      <c r="H3515" s="391"/>
      <c r="I3515" s="391"/>
    </row>
    <row r="3516" spans="1:9">
      <c r="A3516" s="387" t="b">
        <v>0</v>
      </c>
      <c r="B3516" s="387" t="s">
        <v>5006</v>
      </c>
      <c r="C3516" s="392">
        <v>76</v>
      </c>
      <c r="D3516" s="387">
        <f t="shared" si="216"/>
        <v>-26</v>
      </c>
      <c r="E3516" s="387">
        <f t="shared" si="217"/>
        <v>4</v>
      </c>
      <c r="F3516" s="387">
        <f t="shared" ca="1" si="218"/>
        <v>84</v>
      </c>
      <c r="G3516" s="387" t="s">
        <v>4541</v>
      </c>
      <c r="H3516" s="391"/>
      <c r="I3516" s="391"/>
    </row>
    <row r="3517" spans="1:9">
      <c r="A3517" s="387" t="b">
        <v>0</v>
      </c>
      <c r="B3517" s="387" t="s">
        <v>5007</v>
      </c>
      <c r="C3517" s="392">
        <v>76</v>
      </c>
      <c r="D3517" s="387">
        <f t="shared" si="216"/>
        <v>-25</v>
      </c>
      <c r="E3517" s="387">
        <f t="shared" si="217"/>
        <v>5</v>
      </c>
      <c r="F3517" s="387">
        <f t="shared" ca="1" si="218"/>
        <v>84</v>
      </c>
      <c r="G3517" s="387" t="s">
        <v>4541</v>
      </c>
      <c r="H3517" s="391"/>
      <c r="I3517" s="391"/>
    </row>
    <row r="3518" spans="1:9">
      <c r="A3518" s="387" t="b">
        <v>0</v>
      </c>
      <c r="B3518" s="387" t="s">
        <v>5008</v>
      </c>
      <c r="C3518" s="392">
        <v>76</v>
      </c>
      <c r="D3518" s="387">
        <f t="shared" si="216"/>
        <v>-24</v>
      </c>
      <c r="E3518" s="387">
        <f t="shared" si="217"/>
        <v>6</v>
      </c>
      <c r="F3518" s="387">
        <f t="shared" ca="1" si="218"/>
        <v>84</v>
      </c>
      <c r="G3518" s="387" t="s">
        <v>4541</v>
      </c>
      <c r="H3518" s="391"/>
      <c r="I3518" s="391"/>
    </row>
    <row r="3519" spans="1:9">
      <c r="A3519" s="387" t="b">
        <v>0</v>
      </c>
      <c r="B3519" s="387" t="s">
        <v>5009</v>
      </c>
      <c r="C3519" s="392">
        <v>77</v>
      </c>
      <c r="D3519" s="387">
        <f t="shared" si="216"/>
        <v>-23</v>
      </c>
      <c r="E3519" s="387">
        <f t="shared" si="217"/>
        <v>1</v>
      </c>
      <c r="F3519" s="387">
        <f t="shared" ca="1" si="218"/>
        <v>85</v>
      </c>
      <c r="G3519" s="387" t="s">
        <v>4543</v>
      </c>
      <c r="H3519" s="391"/>
      <c r="I3519" s="391"/>
    </row>
    <row r="3520" spans="1:9">
      <c r="A3520" s="387" t="b">
        <v>0</v>
      </c>
      <c r="B3520" s="387" t="s">
        <v>5010</v>
      </c>
      <c r="C3520" s="392">
        <v>77</v>
      </c>
      <c r="D3520" s="387">
        <f t="shared" si="216"/>
        <v>-22</v>
      </c>
      <c r="E3520" s="387">
        <f t="shared" si="217"/>
        <v>2</v>
      </c>
      <c r="F3520" s="387">
        <f t="shared" ca="1" si="218"/>
        <v>85</v>
      </c>
      <c r="G3520" s="387" t="s">
        <v>4543</v>
      </c>
      <c r="H3520" s="391"/>
      <c r="I3520" s="391"/>
    </row>
    <row r="3521" spans="1:9">
      <c r="A3521" s="387" t="b">
        <v>0</v>
      </c>
      <c r="B3521" s="387" t="s">
        <v>5011</v>
      </c>
      <c r="C3521" s="392">
        <v>77</v>
      </c>
      <c r="D3521" s="387">
        <f t="shared" si="216"/>
        <v>-21</v>
      </c>
      <c r="E3521" s="387">
        <f t="shared" si="217"/>
        <v>3</v>
      </c>
      <c r="F3521" s="387">
        <f t="shared" ca="1" si="218"/>
        <v>85</v>
      </c>
      <c r="G3521" s="387" t="s">
        <v>4543</v>
      </c>
      <c r="H3521" s="391"/>
      <c r="I3521" s="391"/>
    </row>
    <row r="3522" spans="1:9">
      <c r="A3522" s="387" t="b">
        <v>0</v>
      </c>
      <c r="B3522" s="387" t="s">
        <v>5012</v>
      </c>
      <c r="C3522" s="392">
        <v>77</v>
      </c>
      <c r="D3522" s="387">
        <f t="shared" si="216"/>
        <v>-20</v>
      </c>
      <c r="E3522" s="387">
        <f t="shared" si="217"/>
        <v>4</v>
      </c>
      <c r="F3522" s="387">
        <f t="shared" ca="1" si="218"/>
        <v>85</v>
      </c>
      <c r="G3522" s="387" t="s">
        <v>4543</v>
      </c>
      <c r="H3522" s="391"/>
      <c r="I3522" s="391"/>
    </row>
    <row r="3523" spans="1:9">
      <c r="A3523" s="387" t="b">
        <v>0</v>
      </c>
      <c r="B3523" s="387" t="s">
        <v>5013</v>
      </c>
      <c r="C3523" s="392">
        <v>77</v>
      </c>
      <c r="D3523" s="387">
        <f t="shared" si="216"/>
        <v>-19</v>
      </c>
      <c r="E3523" s="387">
        <f t="shared" si="217"/>
        <v>5</v>
      </c>
      <c r="F3523" s="387">
        <f t="shared" ca="1" si="218"/>
        <v>85</v>
      </c>
      <c r="G3523" s="387" t="s">
        <v>4543</v>
      </c>
      <c r="H3523" s="391"/>
      <c r="I3523" s="391"/>
    </row>
    <row r="3524" spans="1:9">
      <c r="A3524" s="387" t="b">
        <v>0</v>
      </c>
      <c r="B3524" s="387" t="s">
        <v>5014</v>
      </c>
      <c r="C3524" s="392">
        <v>77</v>
      </c>
      <c r="D3524" s="387">
        <f t="shared" si="216"/>
        <v>-18</v>
      </c>
      <c r="E3524" s="387">
        <f t="shared" si="217"/>
        <v>6</v>
      </c>
      <c r="F3524" s="387">
        <f t="shared" ca="1" si="218"/>
        <v>85</v>
      </c>
      <c r="G3524" s="387" t="s">
        <v>4543</v>
      </c>
      <c r="H3524" s="391"/>
      <c r="I3524" s="391"/>
    </row>
    <row r="3525" spans="1:9">
      <c r="A3525" s="387" t="b">
        <v>0</v>
      </c>
      <c r="B3525" s="387" t="s">
        <v>5015</v>
      </c>
      <c r="C3525" s="392">
        <v>78</v>
      </c>
      <c r="D3525" s="387">
        <f t="shared" si="216"/>
        <v>-17</v>
      </c>
      <c r="E3525" s="387">
        <f t="shared" si="217"/>
        <v>1</v>
      </c>
      <c r="F3525" s="387">
        <f t="shared" ca="1" si="218"/>
        <v>86</v>
      </c>
      <c r="G3525" s="387" t="s">
        <v>4545</v>
      </c>
      <c r="H3525" s="391"/>
      <c r="I3525" s="391"/>
    </row>
    <row r="3526" spans="1:9">
      <c r="A3526" s="387" t="b">
        <v>0</v>
      </c>
      <c r="B3526" s="387" t="s">
        <v>5016</v>
      </c>
      <c r="C3526" s="392">
        <v>78</v>
      </c>
      <c r="D3526" s="387">
        <f t="shared" si="216"/>
        <v>-16</v>
      </c>
      <c r="E3526" s="387">
        <f t="shared" si="217"/>
        <v>2</v>
      </c>
      <c r="F3526" s="387">
        <f t="shared" ca="1" si="218"/>
        <v>86</v>
      </c>
      <c r="G3526" s="387" t="s">
        <v>4545</v>
      </c>
      <c r="H3526" s="391"/>
      <c r="I3526" s="391"/>
    </row>
    <row r="3527" spans="1:9">
      <c r="A3527" s="387" t="b">
        <v>0</v>
      </c>
      <c r="B3527" s="387" t="s">
        <v>5017</v>
      </c>
      <c r="C3527" s="392">
        <v>78</v>
      </c>
      <c r="D3527" s="387">
        <f t="shared" si="216"/>
        <v>-15</v>
      </c>
      <c r="E3527" s="387">
        <f t="shared" si="217"/>
        <v>3</v>
      </c>
      <c r="F3527" s="387">
        <f t="shared" ca="1" si="218"/>
        <v>86</v>
      </c>
      <c r="G3527" s="387" t="s">
        <v>4545</v>
      </c>
      <c r="H3527" s="391"/>
      <c r="I3527" s="391"/>
    </row>
    <row r="3528" spans="1:9">
      <c r="A3528" s="387" t="b">
        <v>0</v>
      </c>
      <c r="B3528" s="387" t="s">
        <v>5018</v>
      </c>
      <c r="C3528" s="392">
        <v>78</v>
      </c>
      <c r="D3528" s="387">
        <f t="shared" si="216"/>
        <v>-14</v>
      </c>
      <c r="E3528" s="387">
        <f t="shared" si="217"/>
        <v>4</v>
      </c>
      <c r="F3528" s="387">
        <f t="shared" ca="1" si="218"/>
        <v>86</v>
      </c>
      <c r="G3528" s="387" t="s">
        <v>4545</v>
      </c>
      <c r="H3528" s="391"/>
      <c r="I3528" s="391"/>
    </row>
    <row r="3529" spans="1:9">
      <c r="A3529" s="387" t="b">
        <v>0</v>
      </c>
      <c r="B3529" s="387" t="s">
        <v>5019</v>
      </c>
      <c r="C3529" s="392">
        <v>78</v>
      </c>
      <c r="D3529" s="387">
        <f t="shared" si="216"/>
        <v>-13</v>
      </c>
      <c r="E3529" s="387">
        <f t="shared" si="217"/>
        <v>5</v>
      </c>
      <c r="F3529" s="387">
        <f t="shared" ca="1" si="218"/>
        <v>86</v>
      </c>
      <c r="G3529" s="387" t="s">
        <v>4545</v>
      </c>
      <c r="H3529" s="391"/>
      <c r="I3529" s="391"/>
    </row>
    <row r="3530" spans="1:9">
      <c r="A3530" s="387" t="b">
        <v>0</v>
      </c>
      <c r="B3530" s="387" t="s">
        <v>5020</v>
      </c>
      <c r="C3530" s="392">
        <v>78</v>
      </c>
      <c r="D3530" s="387">
        <f t="shared" si="216"/>
        <v>-12</v>
      </c>
      <c r="E3530" s="387">
        <f t="shared" si="217"/>
        <v>6</v>
      </c>
      <c r="F3530" s="387">
        <f t="shared" ca="1" si="218"/>
        <v>86</v>
      </c>
      <c r="G3530" s="387" t="s">
        <v>4545</v>
      </c>
      <c r="H3530" s="391"/>
      <c r="I3530" s="391"/>
    </row>
    <row r="3531" spans="1:9">
      <c r="A3531" s="387" t="b">
        <v>0</v>
      </c>
      <c r="B3531" s="387" t="s">
        <v>5021</v>
      </c>
      <c r="C3531" s="392">
        <v>79</v>
      </c>
      <c r="D3531" s="387">
        <f t="shared" si="216"/>
        <v>-11</v>
      </c>
      <c r="E3531" s="387">
        <f t="shared" si="217"/>
        <v>1</v>
      </c>
      <c r="F3531" s="387">
        <f t="shared" ca="1" si="218"/>
        <v>87</v>
      </c>
      <c r="G3531" s="387" t="s">
        <v>4547</v>
      </c>
      <c r="H3531" s="391"/>
      <c r="I3531" s="391"/>
    </row>
    <row r="3532" spans="1:9">
      <c r="A3532" s="387" t="b">
        <v>0</v>
      </c>
      <c r="B3532" s="387" t="s">
        <v>5022</v>
      </c>
      <c r="C3532" s="392">
        <v>79</v>
      </c>
      <c r="D3532" s="387">
        <f t="shared" si="216"/>
        <v>-10</v>
      </c>
      <c r="E3532" s="387">
        <f t="shared" si="217"/>
        <v>2</v>
      </c>
      <c r="F3532" s="387">
        <f t="shared" ca="1" si="218"/>
        <v>87</v>
      </c>
      <c r="G3532" s="387" t="s">
        <v>4547</v>
      </c>
      <c r="H3532" s="391"/>
      <c r="I3532" s="391"/>
    </row>
    <row r="3533" spans="1:9">
      <c r="A3533" s="387" t="b">
        <v>0</v>
      </c>
      <c r="B3533" s="387" t="s">
        <v>5023</v>
      </c>
      <c r="C3533" s="392">
        <v>79</v>
      </c>
      <c r="D3533" s="387">
        <f t="shared" si="216"/>
        <v>-9</v>
      </c>
      <c r="E3533" s="387">
        <f t="shared" si="217"/>
        <v>3</v>
      </c>
      <c r="F3533" s="387">
        <f t="shared" ca="1" si="218"/>
        <v>87</v>
      </c>
      <c r="G3533" s="387" t="s">
        <v>4547</v>
      </c>
      <c r="H3533" s="391"/>
      <c r="I3533" s="391"/>
    </row>
    <row r="3534" spans="1:9">
      <c r="A3534" s="387" t="b">
        <v>0</v>
      </c>
      <c r="B3534" s="387" t="s">
        <v>5024</v>
      </c>
      <c r="C3534" s="392">
        <v>79</v>
      </c>
      <c r="D3534" s="387">
        <f t="shared" si="216"/>
        <v>-8</v>
      </c>
      <c r="E3534" s="387">
        <f t="shared" si="217"/>
        <v>4</v>
      </c>
      <c r="F3534" s="387">
        <f t="shared" ca="1" si="218"/>
        <v>87</v>
      </c>
      <c r="G3534" s="387" t="s">
        <v>4547</v>
      </c>
      <c r="H3534" s="391"/>
      <c r="I3534" s="391"/>
    </row>
    <row r="3535" spans="1:9">
      <c r="A3535" s="387" t="b">
        <v>0</v>
      </c>
      <c r="B3535" s="387" t="s">
        <v>5025</v>
      </c>
      <c r="C3535" s="392">
        <v>79</v>
      </c>
      <c r="D3535" s="387">
        <f t="shared" si="216"/>
        <v>-7</v>
      </c>
      <c r="E3535" s="387">
        <f t="shared" si="217"/>
        <v>5</v>
      </c>
      <c r="F3535" s="387">
        <f t="shared" ca="1" si="218"/>
        <v>87</v>
      </c>
      <c r="G3535" s="387" t="s">
        <v>4547</v>
      </c>
      <c r="H3535" s="391"/>
      <c r="I3535" s="391"/>
    </row>
    <row r="3536" spans="1:9">
      <c r="A3536" s="387" t="b">
        <v>0</v>
      </c>
      <c r="B3536" s="387" t="s">
        <v>5026</v>
      </c>
      <c r="C3536" s="392">
        <v>79</v>
      </c>
      <c r="D3536" s="387">
        <f t="shared" si="216"/>
        <v>-6</v>
      </c>
      <c r="E3536" s="387">
        <f t="shared" si="217"/>
        <v>6</v>
      </c>
      <c r="F3536" s="387">
        <f t="shared" ca="1" si="218"/>
        <v>87</v>
      </c>
      <c r="G3536" s="387" t="s">
        <v>4547</v>
      </c>
      <c r="H3536" s="391"/>
      <c r="I3536" s="391"/>
    </row>
    <row r="3537" spans="1:9">
      <c r="A3537" s="387" t="b">
        <v>0</v>
      </c>
      <c r="B3537" s="387" t="s">
        <v>5027</v>
      </c>
      <c r="C3537" s="392">
        <v>80</v>
      </c>
      <c r="D3537" s="387">
        <f t="shared" si="216"/>
        <v>-5</v>
      </c>
      <c r="E3537" s="387">
        <f t="shared" si="217"/>
        <v>1</v>
      </c>
      <c r="F3537" s="387">
        <f t="shared" ca="1" si="218"/>
        <v>88</v>
      </c>
      <c r="G3537" s="387" t="s">
        <v>4549</v>
      </c>
      <c r="H3537" s="391"/>
      <c r="I3537" s="391"/>
    </row>
    <row r="3538" spans="1:9">
      <c r="A3538" s="387" t="b">
        <v>0</v>
      </c>
      <c r="B3538" s="387" t="s">
        <v>5028</v>
      </c>
      <c r="C3538" s="392">
        <v>80</v>
      </c>
      <c r="D3538" s="387">
        <f t="shared" si="216"/>
        <v>-4</v>
      </c>
      <c r="E3538" s="387">
        <f t="shared" si="217"/>
        <v>2</v>
      </c>
      <c r="F3538" s="387">
        <f t="shared" ca="1" si="218"/>
        <v>88</v>
      </c>
      <c r="G3538" s="387" t="s">
        <v>4549</v>
      </c>
      <c r="H3538" s="391"/>
      <c r="I3538" s="391"/>
    </row>
    <row r="3539" spans="1:9">
      <c r="A3539" s="387" t="b">
        <v>0</v>
      </c>
      <c r="B3539" s="387" t="s">
        <v>5029</v>
      </c>
      <c r="C3539" s="392">
        <v>80</v>
      </c>
      <c r="D3539" s="387">
        <f t="shared" si="216"/>
        <v>-3</v>
      </c>
      <c r="E3539" s="387">
        <f t="shared" si="217"/>
        <v>3</v>
      </c>
      <c r="F3539" s="387">
        <f t="shared" ca="1" si="218"/>
        <v>88</v>
      </c>
      <c r="G3539" s="387" t="s">
        <v>4549</v>
      </c>
      <c r="H3539" s="391"/>
      <c r="I3539" s="391"/>
    </row>
    <row r="3540" spans="1:9">
      <c r="A3540" s="387" t="b">
        <v>0</v>
      </c>
      <c r="B3540" s="387" t="s">
        <v>5030</v>
      </c>
      <c r="C3540" s="392">
        <v>80</v>
      </c>
      <c r="D3540" s="387">
        <f t="shared" si="216"/>
        <v>-2</v>
      </c>
      <c r="E3540" s="387">
        <f t="shared" si="217"/>
        <v>4</v>
      </c>
      <c r="F3540" s="387">
        <f t="shared" ca="1" si="218"/>
        <v>88</v>
      </c>
      <c r="G3540" s="387" t="s">
        <v>4549</v>
      </c>
      <c r="H3540" s="391"/>
      <c r="I3540" s="391"/>
    </row>
    <row r="3541" spans="1:9">
      <c r="A3541" s="387" t="b">
        <v>0</v>
      </c>
      <c r="B3541" s="387" t="s">
        <v>5031</v>
      </c>
      <c r="C3541" s="392">
        <v>80</v>
      </c>
      <c r="D3541" s="387">
        <f t="shared" si="216"/>
        <v>-1</v>
      </c>
      <c r="E3541" s="387">
        <f t="shared" si="217"/>
        <v>5</v>
      </c>
      <c r="F3541" s="387">
        <f t="shared" ca="1" si="218"/>
        <v>88</v>
      </c>
      <c r="G3541" s="387" t="s">
        <v>4549</v>
      </c>
      <c r="H3541" s="391"/>
      <c r="I3541" s="391"/>
    </row>
    <row r="3542" spans="1:9">
      <c r="A3542" s="387" t="b">
        <v>0</v>
      </c>
      <c r="B3542" s="387" t="s">
        <v>5032</v>
      </c>
      <c r="C3542" s="392">
        <v>80</v>
      </c>
      <c r="D3542" s="387">
        <f t="shared" si="216"/>
        <v>0</v>
      </c>
      <c r="E3542" s="387">
        <f t="shared" si="217"/>
        <v>6</v>
      </c>
      <c r="F3542" s="387">
        <f t="shared" ca="1" si="218"/>
        <v>88</v>
      </c>
      <c r="G3542" s="387" t="s">
        <v>4549</v>
      </c>
      <c r="H3542" s="391"/>
      <c r="I3542" s="391"/>
    </row>
    <row r="3543" spans="1:9">
      <c r="A3543" s="387" t="b">
        <f t="shared" ref="A3543:A3606" ca="1" si="219">IF(OR(AND(H3543&lt;&gt;"", H3543&lt;&gt;0), AND(I3543&lt;&gt;"",I3543&lt;&gt;0)),TRUE,FALSE)</f>
        <v>0</v>
      </c>
      <c r="B3543" s="396" t="str">
        <f ca="1">IF(COUNTA(G$3060:G3542)=1,"",OFFSET(B3543,-COUNTA(G$3060:G3542)+1,0))</f>
        <v>a1bDm000000YZDuIAO</v>
      </c>
      <c r="C3543" s="392">
        <f ca="1">IF(COUNTA(G$3060:G3542)=1,"",OFFSET(C3543,-COUNTA(G$3060:G3542)+1,0))</f>
        <v>1</v>
      </c>
      <c r="D3543" s="387">
        <f t="shared" si="216"/>
        <v>1</v>
      </c>
      <c r="E3543" s="387">
        <f t="shared" ca="1" si="217"/>
        <v>1</v>
      </c>
      <c r="F3543" s="387">
        <f t="shared" ca="1" si="218"/>
        <v>9</v>
      </c>
      <c r="G3543" s="387"/>
      <c r="H3543" s="391" t="str">
        <f t="shared" ref="H3543:H3606" ca="1" si="220">CHOOSE(E3543,IFERROR(IF(INDIRECT("'WPTM - Section F'!H"&amp;F3543)=0,"",INDIRECT("'WPTM - Section F'!H"&amp;$F3543)),""),IFERROR(IF(INDIRECT("'WPTM - Section F'!J"&amp;F3543)=0,"",INDIRECT("'WPTM - Section F'!J"&amp;$F3543)),""),IFERROR(IF(INDIRECT("'WPTM - Section F'!L"&amp;F3543)=0,"",INDIRECT("'WPTM - Section F'!L"&amp;$F3543)),""),IFERROR(IF(INDIRECT("'WPTM - Section F'!N"&amp;F3543)=0,"",INDIRECT("'WPTM - Section F'!N"&amp;$F3543)),""),IFERROR(IF(INDIRECT("'WPTM - Section F'!P"&amp;F3543)=0,"",INDIRECT("'WPTM - Section F'!P"&amp;$F3543)),""),IFERROR(IF(INDIRECT("'WPTM - Section F'!R"&amp;F3543)=0,"",INDIRECT("'WPTM - Section F'!R"&amp;$F3543)),""),IFERROR(IF(INDIRECT("'WPTM - Section F'!T"&amp;F3543)=0,"",INDIRECT("'WPTM - Section F'!T"&amp;$F3543)),""),IFERROR(IF(INDIRECT("'WPTM - Section F'!V"&amp;F3543)=0,"",INDIRECT("'WPTM - Section F'!V"&amp;$F3543)),""),)</f>
        <v/>
      </c>
      <c r="I3543" s="391" t="str">
        <f t="shared" ref="I3543:I3606" ca="1" si="221">CHOOSE(E3543,IFERROR(IF(INDIRECT("'WPTM - Section F'!G"&amp;F3543)=0,"",INDIRECT("'WPTM - Section F'!G"&amp;$F3543)),""),IFERROR(IF(INDIRECT("'WPTM - Section F'!I"&amp;F3543)=0,"",INDIRECT("'WPTM - Section F'!I"&amp;$F3543)),""),IFERROR(IF(INDIRECT("'WPTM - Section F'!K"&amp;F3543)=0,"",INDIRECT("'WPTM - Section F'!K"&amp;$F3543)),""),IFERROR(IF(INDIRECT("'WPTM - Section F'!M"&amp;F3543)=0,"",INDIRECT("'WPTM - Section F'!M"&amp;$F3543)),""),IFERROR(IF(INDIRECT("'WPTM - Section F'!O"&amp;F3543)=0,"",INDIRECT("'WPTM - Section F'!O"&amp;$F3543)),""),IFERROR(IF(INDIRECT("'WPTM - Section F'!Q"&amp;F3543)=0,"",INDIRECT("'WPTM - Section F'!Q"&amp;$F3543)),""),IFERROR(IF(INDIRECT("'WPTM - Section F'!S"&amp;F3543)=0,"",INDIRECT("'WPTM - Section F'!S"&amp;$F3543)),""),IFERROR(IF(INDIRECT("'WPTM - Section F'!U"&amp;F3543)=0,"",INDIRECT("'WPTM - Section F'!U"&amp;$F3543)),""),)</f>
        <v/>
      </c>
    </row>
    <row r="3544" spans="1:9">
      <c r="A3544" s="387" t="b">
        <f t="shared" ca="1" si="219"/>
        <v>0</v>
      </c>
      <c r="B3544" s="396" t="str">
        <f ca="1">IF(COUNTA(G$3060:G3543)=1,"",OFFSET(B3544,-COUNTA(G$3060:G3543)+1,0))</f>
        <v>a1bDm000000YZFCIA4</v>
      </c>
      <c r="C3544" s="392">
        <f ca="1">IF(COUNTA(G$3060:G3543)=1,"",OFFSET(C3544,-COUNTA(G$3060:G3543)+1,0))</f>
        <v>1</v>
      </c>
      <c r="D3544" s="387">
        <f t="shared" si="216"/>
        <v>2</v>
      </c>
      <c r="E3544" s="387">
        <f t="shared" ca="1" si="217"/>
        <v>2</v>
      </c>
      <c r="F3544" s="387">
        <f t="shared" ca="1" si="218"/>
        <v>9</v>
      </c>
      <c r="G3544" s="387"/>
      <c r="H3544" s="391" t="str">
        <f t="shared" ca="1" si="220"/>
        <v/>
      </c>
      <c r="I3544" s="391" t="str">
        <f t="shared" ca="1" si="221"/>
        <v/>
      </c>
    </row>
    <row r="3545" spans="1:9">
      <c r="A3545" s="387" t="b">
        <f t="shared" ca="1" si="219"/>
        <v>0</v>
      </c>
      <c r="B3545" s="396" t="str">
        <f ca="1">IF(COUNTA(G$3060:G3544)=1,"",OFFSET(B3545,-COUNTA(G$3060:G3544)+1,0))</f>
        <v>a1bDm000000YZGUIA4</v>
      </c>
      <c r="C3545" s="392">
        <f ca="1">IF(COUNTA(G$3060:G3544)=1,"",OFFSET(C3545,-COUNTA(G$3060:G3544)+1,0))</f>
        <v>1</v>
      </c>
      <c r="D3545" s="387">
        <f t="shared" si="216"/>
        <v>3</v>
      </c>
      <c r="E3545" s="387">
        <f t="shared" ca="1" si="217"/>
        <v>3</v>
      </c>
      <c r="F3545" s="387">
        <f t="shared" ca="1" si="218"/>
        <v>9</v>
      </c>
      <c r="G3545" s="387"/>
      <c r="H3545" s="391" t="str">
        <f t="shared" ca="1" si="220"/>
        <v/>
      </c>
      <c r="I3545" s="391" t="str">
        <f t="shared" ca="1" si="221"/>
        <v/>
      </c>
    </row>
    <row r="3546" spans="1:9">
      <c r="A3546" s="387" t="b">
        <f t="shared" ca="1" si="219"/>
        <v>0</v>
      </c>
      <c r="B3546" s="396" t="str">
        <f ca="1">IF(COUNTA(G$3060:G3545)=1,"",OFFSET(B3546,-COUNTA(G$3060:G3545)+1,0))</f>
        <v>a1bDm000000YZHmIAO</v>
      </c>
      <c r="C3546" s="392">
        <f ca="1">IF(COUNTA(G$3060:G3545)=1,"",OFFSET(C3546,-COUNTA(G$3060:G3545)+1,0))</f>
        <v>1</v>
      </c>
      <c r="D3546" s="387">
        <f t="shared" si="216"/>
        <v>4</v>
      </c>
      <c r="E3546" s="387">
        <f t="shared" ca="1" si="217"/>
        <v>4</v>
      </c>
      <c r="F3546" s="387">
        <f t="shared" ca="1" si="218"/>
        <v>9</v>
      </c>
      <c r="G3546" s="387"/>
      <c r="H3546" s="391" t="str">
        <f t="shared" ca="1" si="220"/>
        <v/>
      </c>
      <c r="I3546" s="391" t="str">
        <f t="shared" ca="1" si="221"/>
        <v/>
      </c>
    </row>
    <row r="3547" spans="1:9">
      <c r="A3547" s="387" t="b">
        <f t="shared" ca="1" si="219"/>
        <v>0</v>
      </c>
      <c r="B3547" s="396" t="str">
        <f ca="1">IF(COUNTA(G$3060:G3546)=1,"",OFFSET(B3547,-COUNTA(G$3060:G3546)+1,0))</f>
        <v>a1bDm000000YZJ4IAO</v>
      </c>
      <c r="C3547" s="392">
        <f ca="1">IF(COUNTA(G$3060:G3546)=1,"",OFFSET(C3547,-COUNTA(G$3060:G3546)+1,0))</f>
        <v>1</v>
      </c>
      <c r="D3547" s="387">
        <f t="shared" si="216"/>
        <v>5</v>
      </c>
      <c r="E3547" s="387">
        <f t="shared" ca="1" si="217"/>
        <v>5</v>
      </c>
      <c r="F3547" s="387">
        <f t="shared" ca="1" si="218"/>
        <v>9</v>
      </c>
      <c r="G3547" s="387"/>
      <c r="H3547" s="391" t="str">
        <f t="shared" ca="1" si="220"/>
        <v/>
      </c>
      <c r="I3547" s="391" t="str">
        <f t="shared" ca="1" si="221"/>
        <v/>
      </c>
    </row>
    <row r="3548" spans="1:9">
      <c r="A3548" s="387" t="b">
        <f t="shared" ca="1" si="219"/>
        <v>0</v>
      </c>
      <c r="B3548" s="396" t="str">
        <f ca="1">IF(COUNTA(G$3060:G3547)=1,"",OFFSET(B3548,-COUNTA(G$3060:G3547)+1,0))</f>
        <v>a1bDm000000YZKMIA4</v>
      </c>
      <c r="C3548" s="392">
        <f ca="1">IF(COUNTA(G$3060:G3547)=1,"",OFFSET(C3548,-COUNTA(G$3060:G3547)+1,0))</f>
        <v>1</v>
      </c>
      <c r="D3548" s="387">
        <f t="shared" si="216"/>
        <v>6</v>
      </c>
      <c r="E3548" s="387">
        <f t="shared" ca="1" si="217"/>
        <v>6</v>
      </c>
      <c r="F3548" s="387">
        <f t="shared" ca="1" si="218"/>
        <v>9</v>
      </c>
      <c r="G3548" s="387"/>
      <c r="H3548" s="391" t="str">
        <f t="shared" ca="1" si="220"/>
        <v/>
      </c>
      <c r="I3548" s="391" t="str">
        <f t="shared" ca="1" si="221"/>
        <v/>
      </c>
    </row>
    <row r="3549" spans="1:9">
      <c r="A3549" s="387" t="b">
        <f t="shared" ca="1" si="219"/>
        <v>0</v>
      </c>
      <c r="B3549" s="396" t="str">
        <f ca="1">IF(COUNTA(G$3060:G3548)=1,"",OFFSET(B3549,-COUNTA(G$3060:G3548)+1,0))</f>
        <v>a1bDm000000YZDvIAO</v>
      </c>
      <c r="C3549" s="392">
        <f ca="1">IF(COUNTA(G$3060:G3548)=1,"",OFFSET(C3549,-COUNTA(G$3060:G3548)+1,0))</f>
        <v>2</v>
      </c>
      <c r="D3549" s="387">
        <f t="shared" si="216"/>
        <v>7</v>
      </c>
      <c r="E3549" s="387">
        <f t="shared" ca="1" si="217"/>
        <v>1</v>
      </c>
      <c r="F3549" s="387">
        <f t="shared" ca="1" si="218"/>
        <v>10</v>
      </c>
      <c r="G3549" s="387"/>
      <c r="H3549" s="391" t="str">
        <f t="shared" ca="1" si="220"/>
        <v/>
      </c>
      <c r="I3549" s="391" t="str">
        <f t="shared" ca="1" si="221"/>
        <v/>
      </c>
    </row>
    <row r="3550" spans="1:9">
      <c r="A3550" s="387" t="b">
        <f t="shared" ca="1" si="219"/>
        <v>0</v>
      </c>
      <c r="B3550" s="396" t="str">
        <f ca="1">IF(COUNTA(G$3060:G3549)=1,"",OFFSET(B3550,-COUNTA(G$3060:G3549)+1,0))</f>
        <v>a1bDm000000YZFDIA4</v>
      </c>
      <c r="C3550" s="392">
        <f ca="1">IF(COUNTA(G$3060:G3549)=1,"",OFFSET(C3550,-COUNTA(G$3060:G3549)+1,0))</f>
        <v>2</v>
      </c>
      <c r="D3550" s="387">
        <f t="shared" si="216"/>
        <v>8</v>
      </c>
      <c r="E3550" s="387">
        <f t="shared" ca="1" si="217"/>
        <v>2</v>
      </c>
      <c r="F3550" s="387">
        <f t="shared" ca="1" si="218"/>
        <v>10</v>
      </c>
      <c r="G3550" s="387"/>
      <c r="H3550" s="391" t="str">
        <f t="shared" ca="1" si="220"/>
        <v/>
      </c>
      <c r="I3550" s="391" t="str">
        <f t="shared" ca="1" si="221"/>
        <v/>
      </c>
    </row>
    <row r="3551" spans="1:9">
      <c r="A3551" s="387" t="b">
        <f t="shared" ca="1" si="219"/>
        <v>0</v>
      </c>
      <c r="B3551" s="396" t="str">
        <f ca="1">IF(COUNTA(G$3060:G3550)=1,"",OFFSET(B3551,-COUNTA(G$3060:G3550)+1,0))</f>
        <v>a1bDm000000YZGVIA4</v>
      </c>
      <c r="C3551" s="392">
        <f ca="1">IF(COUNTA(G$3060:G3550)=1,"",OFFSET(C3551,-COUNTA(G$3060:G3550)+1,0))</f>
        <v>2</v>
      </c>
      <c r="D3551" s="387">
        <f t="shared" si="216"/>
        <v>9</v>
      </c>
      <c r="E3551" s="387">
        <f t="shared" ca="1" si="217"/>
        <v>3</v>
      </c>
      <c r="F3551" s="387">
        <f t="shared" ca="1" si="218"/>
        <v>10</v>
      </c>
      <c r="G3551" s="387"/>
      <c r="H3551" s="391" t="str">
        <f t="shared" ca="1" si="220"/>
        <v/>
      </c>
      <c r="I3551" s="391" t="str">
        <f t="shared" ca="1" si="221"/>
        <v/>
      </c>
    </row>
    <row r="3552" spans="1:9">
      <c r="A3552" s="387" t="b">
        <f t="shared" ca="1" si="219"/>
        <v>0</v>
      </c>
      <c r="B3552" s="396" t="str">
        <f ca="1">IF(COUNTA(G$3060:G3551)=1,"",OFFSET(B3552,-COUNTA(G$3060:G3551)+1,0))</f>
        <v>a1bDm000000YZHnIAO</v>
      </c>
      <c r="C3552" s="392">
        <f ca="1">IF(COUNTA(G$3060:G3551)=1,"",OFFSET(C3552,-COUNTA(G$3060:G3551)+1,0))</f>
        <v>2</v>
      </c>
      <c r="D3552" s="387">
        <f t="shared" si="216"/>
        <v>10</v>
      </c>
      <c r="E3552" s="387">
        <f t="shared" ca="1" si="217"/>
        <v>4</v>
      </c>
      <c r="F3552" s="387">
        <f t="shared" ca="1" si="218"/>
        <v>10</v>
      </c>
      <c r="G3552" s="387"/>
      <c r="H3552" s="391" t="str">
        <f t="shared" ca="1" si="220"/>
        <v/>
      </c>
      <c r="I3552" s="391" t="str">
        <f t="shared" ca="1" si="221"/>
        <v/>
      </c>
    </row>
    <row r="3553" spans="1:9">
      <c r="A3553" s="387" t="b">
        <f t="shared" ca="1" si="219"/>
        <v>0</v>
      </c>
      <c r="B3553" s="396" t="str">
        <f ca="1">IF(COUNTA(G$3060:G3552)=1,"",OFFSET(B3553,-COUNTA(G$3060:G3552)+1,0))</f>
        <v>a1bDm000000YZJ5IAO</v>
      </c>
      <c r="C3553" s="392">
        <f ca="1">IF(COUNTA(G$3060:G3552)=1,"",OFFSET(C3553,-COUNTA(G$3060:G3552)+1,0))</f>
        <v>2</v>
      </c>
      <c r="D3553" s="387">
        <f t="shared" si="216"/>
        <v>11</v>
      </c>
      <c r="E3553" s="387">
        <f t="shared" ca="1" si="217"/>
        <v>5</v>
      </c>
      <c r="F3553" s="387">
        <f t="shared" ca="1" si="218"/>
        <v>10</v>
      </c>
      <c r="G3553" s="387"/>
      <c r="H3553" s="391" t="str">
        <f t="shared" ca="1" si="220"/>
        <v/>
      </c>
      <c r="I3553" s="391" t="str">
        <f t="shared" ca="1" si="221"/>
        <v/>
      </c>
    </row>
    <row r="3554" spans="1:9">
      <c r="A3554" s="387" t="b">
        <f t="shared" ca="1" si="219"/>
        <v>0</v>
      </c>
      <c r="B3554" s="396" t="str">
        <f ca="1">IF(COUNTA(G$3060:G3553)=1,"",OFFSET(B3554,-COUNTA(G$3060:G3553)+1,0))</f>
        <v>a1bDm000000YZKNIA4</v>
      </c>
      <c r="C3554" s="392">
        <f ca="1">IF(COUNTA(G$3060:G3553)=1,"",OFFSET(C3554,-COUNTA(G$3060:G3553)+1,0))</f>
        <v>2</v>
      </c>
      <c r="D3554" s="387">
        <f t="shared" si="216"/>
        <v>12</v>
      </c>
      <c r="E3554" s="387">
        <f t="shared" ca="1" si="217"/>
        <v>6</v>
      </c>
      <c r="F3554" s="387">
        <f t="shared" ca="1" si="218"/>
        <v>10</v>
      </c>
      <c r="G3554" s="387"/>
      <c r="H3554" s="391" t="str">
        <f t="shared" ca="1" si="220"/>
        <v/>
      </c>
      <c r="I3554" s="391" t="str">
        <f t="shared" ca="1" si="221"/>
        <v/>
      </c>
    </row>
    <row r="3555" spans="1:9">
      <c r="A3555" s="387" t="b">
        <f t="shared" ca="1" si="219"/>
        <v>0</v>
      </c>
      <c r="B3555" s="396" t="str">
        <f ca="1">IF(COUNTA(G$3060:G3554)=1,"",OFFSET(B3555,-COUNTA(G$3060:G3554)+1,0))</f>
        <v>a1bDm000000YZDwIAO</v>
      </c>
      <c r="C3555" s="392">
        <f ca="1">IF(COUNTA(G$3060:G3554)=1,"",OFFSET(C3555,-COUNTA(G$3060:G3554)+1,0))</f>
        <v>3</v>
      </c>
      <c r="D3555" s="387">
        <f t="shared" si="216"/>
        <v>13</v>
      </c>
      <c r="E3555" s="387">
        <f t="shared" ca="1" si="217"/>
        <v>1</v>
      </c>
      <c r="F3555" s="387">
        <f t="shared" ca="1" si="218"/>
        <v>11</v>
      </c>
      <c r="G3555" s="387"/>
      <c r="H3555" s="391" t="str">
        <f t="shared" ca="1" si="220"/>
        <v/>
      </c>
      <c r="I3555" s="391" t="str">
        <f t="shared" ca="1" si="221"/>
        <v/>
      </c>
    </row>
    <row r="3556" spans="1:9">
      <c r="A3556" s="387" t="b">
        <f t="shared" ca="1" si="219"/>
        <v>0</v>
      </c>
      <c r="B3556" s="396" t="str">
        <f ca="1">IF(COUNTA(G$3060:G3555)=1,"",OFFSET(B3556,-COUNTA(G$3060:G3555)+1,0))</f>
        <v>a1bDm000000YZFEIA4</v>
      </c>
      <c r="C3556" s="392">
        <f ca="1">IF(COUNTA(G$3060:G3555)=1,"",OFFSET(C3556,-COUNTA(G$3060:G3555)+1,0))</f>
        <v>3</v>
      </c>
      <c r="D3556" s="387">
        <f t="shared" si="216"/>
        <v>14</v>
      </c>
      <c r="E3556" s="387">
        <f t="shared" ca="1" si="217"/>
        <v>2</v>
      </c>
      <c r="F3556" s="387">
        <f t="shared" ca="1" si="218"/>
        <v>11</v>
      </c>
      <c r="G3556" s="387"/>
      <c r="H3556" s="391" t="str">
        <f t="shared" ca="1" si="220"/>
        <v/>
      </c>
      <c r="I3556" s="391" t="str">
        <f t="shared" ca="1" si="221"/>
        <v/>
      </c>
    </row>
    <row r="3557" spans="1:9">
      <c r="A3557" s="387" t="b">
        <f t="shared" ca="1" si="219"/>
        <v>0</v>
      </c>
      <c r="B3557" s="396" t="str">
        <f ca="1">IF(COUNTA(G$3060:G3556)=1,"",OFFSET(B3557,-COUNTA(G$3060:G3556)+1,0))</f>
        <v>a1bDm000000YZGWIA4</v>
      </c>
      <c r="C3557" s="392">
        <f ca="1">IF(COUNTA(G$3060:G3556)=1,"",OFFSET(C3557,-COUNTA(G$3060:G3556)+1,0))</f>
        <v>3</v>
      </c>
      <c r="D3557" s="387">
        <f t="shared" si="216"/>
        <v>15</v>
      </c>
      <c r="E3557" s="387">
        <f t="shared" ca="1" si="217"/>
        <v>3</v>
      </c>
      <c r="F3557" s="387">
        <f t="shared" ca="1" si="218"/>
        <v>11</v>
      </c>
      <c r="G3557" s="387"/>
      <c r="H3557" s="391" t="str">
        <f t="shared" ca="1" si="220"/>
        <v/>
      </c>
      <c r="I3557" s="391" t="str">
        <f t="shared" ca="1" si="221"/>
        <v/>
      </c>
    </row>
    <row r="3558" spans="1:9">
      <c r="A3558" s="387" t="b">
        <f t="shared" ca="1" si="219"/>
        <v>0</v>
      </c>
      <c r="B3558" s="396" t="str">
        <f ca="1">IF(COUNTA(G$3060:G3557)=1,"",OFFSET(B3558,-COUNTA(G$3060:G3557)+1,0))</f>
        <v>a1bDm000000YZHoIAO</v>
      </c>
      <c r="C3558" s="392">
        <f ca="1">IF(COUNTA(G$3060:G3557)=1,"",OFFSET(C3558,-COUNTA(G$3060:G3557)+1,0))</f>
        <v>3</v>
      </c>
      <c r="D3558" s="387">
        <f t="shared" si="216"/>
        <v>16</v>
      </c>
      <c r="E3558" s="387">
        <f t="shared" ca="1" si="217"/>
        <v>4</v>
      </c>
      <c r="F3558" s="387">
        <f t="shared" ca="1" si="218"/>
        <v>11</v>
      </c>
      <c r="G3558" s="387"/>
      <c r="H3558" s="391" t="str">
        <f t="shared" ca="1" si="220"/>
        <v/>
      </c>
      <c r="I3558" s="391" t="str">
        <f t="shared" ca="1" si="221"/>
        <v/>
      </c>
    </row>
    <row r="3559" spans="1:9">
      <c r="A3559" s="387" t="b">
        <f t="shared" ca="1" si="219"/>
        <v>0</v>
      </c>
      <c r="B3559" s="396" t="str">
        <f ca="1">IF(COUNTA(G$3060:G3558)=1,"",OFFSET(B3559,-COUNTA(G$3060:G3558)+1,0))</f>
        <v>a1bDm000000YZKOIA4</v>
      </c>
      <c r="C3559" s="392">
        <f ca="1">IF(COUNTA(G$3060:G3558)=1,"",OFFSET(C3559,-COUNTA(G$3060:G3558)+1,0))</f>
        <v>3</v>
      </c>
      <c r="D3559" s="387">
        <f t="shared" si="216"/>
        <v>17</v>
      </c>
      <c r="E3559" s="387">
        <f t="shared" ca="1" si="217"/>
        <v>5</v>
      </c>
      <c r="F3559" s="387">
        <f t="shared" ca="1" si="218"/>
        <v>11</v>
      </c>
      <c r="G3559" s="387"/>
      <c r="H3559" s="391" t="str">
        <f t="shared" ca="1" si="220"/>
        <v/>
      </c>
      <c r="I3559" s="391" t="str">
        <f t="shared" ca="1" si="221"/>
        <v/>
      </c>
    </row>
    <row r="3560" spans="1:9">
      <c r="A3560" s="387" t="b">
        <f t="shared" ca="1" si="219"/>
        <v>0</v>
      </c>
      <c r="B3560" s="396" t="str">
        <f ca="1">IF(COUNTA(G$3060:G3559)=1,"",OFFSET(B3560,-COUNTA(G$3060:G3559)+1,0))</f>
        <v>a1bDm000000YZJ6IAO</v>
      </c>
      <c r="C3560" s="392">
        <f ca="1">IF(COUNTA(G$3060:G3559)=1,"",OFFSET(C3560,-COUNTA(G$3060:G3559)+1,0))</f>
        <v>3</v>
      </c>
      <c r="D3560" s="387">
        <f t="shared" si="216"/>
        <v>18</v>
      </c>
      <c r="E3560" s="387">
        <f t="shared" ca="1" si="217"/>
        <v>6</v>
      </c>
      <c r="F3560" s="387">
        <f t="shared" ca="1" si="218"/>
        <v>11</v>
      </c>
      <c r="G3560" s="387"/>
      <c r="H3560" s="391" t="str">
        <f t="shared" ca="1" si="220"/>
        <v/>
      </c>
      <c r="I3560" s="391" t="str">
        <f t="shared" ca="1" si="221"/>
        <v/>
      </c>
    </row>
    <row r="3561" spans="1:9">
      <c r="A3561" s="387" t="b">
        <f t="shared" ca="1" si="219"/>
        <v>0</v>
      </c>
      <c r="B3561" s="396" t="str">
        <f ca="1">IF(COUNTA(G$3060:G3560)=1,"",OFFSET(B3561,-COUNTA(G$3060:G3560)+1,0))</f>
        <v>a1bDm000000YZDxIAO</v>
      </c>
      <c r="C3561" s="392">
        <f ca="1">IF(COUNTA(G$3060:G3560)=1,"",OFFSET(C3561,-COUNTA(G$3060:G3560)+1,0))</f>
        <v>4</v>
      </c>
      <c r="D3561" s="387">
        <f t="shared" si="216"/>
        <v>19</v>
      </c>
      <c r="E3561" s="387">
        <f t="shared" ca="1" si="217"/>
        <v>1</v>
      </c>
      <c r="F3561" s="387">
        <f t="shared" ca="1" si="218"/>
        <v>12</v>
      </c>
      <c r="G3561" s="387"/>
      <c r="H3561" s="391" t="str">
        <f t="shared" ca="1" si="220"/>
        <v/>
      </c>
      <c r="I3561" s="391" t="str">
        <f t="shared" ca="1" si="221"/>
        <v/>
      </c>
    </row>
    <row r="3562" spans="1:9">
      <c r="A3562" s="387" t="b">
        <f t="shared" ca="1" si="219"/>
        <v>0</v>
      </c>
      <c r="B3562" s="396" t="str">
        <f ca="1">IF(COUNTA(G$3060:G3561)=1,"",OFFSET(B3562,-COUNTA(G$3060:G3561)+1,0))</f>
        <v>a1bDm000000YZFFIA4</v>
      </c>
      <c r="C3562" s="392">
        <f ca="1">IF(COUNTA(G$3060:G3561)=1,"",OFFSET(C3562,-COUNTA(G$3060:G3561)+1,0))</f>
        <v>4</v>
      </c>
      <c r="D3562" s="387">
        <f t="shared" si="216"/>
        <v>20</v>
      </c>
      <c r="E3562" s="387">
        <f t="shared" ca="1" si="217"/>
        <v>2</v>
      </c>
      <c r="F3562" s="387">
        <f t="shared" ca="1" si="218"/>
        <v>12</v>
      </c>
      <c r="G3562" s="387"/>
      <c r="H3562" s="391" t="str">
        <f t="shared" ca="1" si="220"/>
        <v/>
      </c>
      <c r="I3562" s="391" t="str">
        <f t="shared" ca="1" si="221"/>
        <v/>
      </c>
    </row>
    <row r="3563" spans="1:9">
      <c r="A3563" s="387" t="b">
        <f t="shared" ca="1" si="219"/>
        <v>0</v>
      </c>
      <c r="B3563" s="396" t="str">
        <f ca="1">IF(COUNTA(G$3060:G3562)=1,"",OFFSET(B3563,-COUNTA(G$3060:G3562)+1,0))</f>
        <v>a1bDm000000YZGXIA4</v>
      </c>
      <c r="C3563" s="392">
        <f ca="1">IF(COUNTA(G$3060:G3562)=1,"",OFFSET(C3563,-COUNTA(G$3060:G3562)+1,0))</f>
        <v>4</v>
      </c>
      <c r="D3563" s="387">
        <f t="shared" si="216"/>
        <v>21</v>
      </c>
      <c r="E3563" s="387">
        <f t="shared" ca="1" si="217"/>
        <v>3</v>
      </c>
      <c r="F3563" s="387">
        <f t="shared" ca="1" si="218"/>
        <v>12</v>
      </c>
      <c r="G3563" s="387"/>
      <c r="H3563" s="391" t="str">
        <f t="shared" ca="1" si="220"/>
        <v/>
      </c>
      <c r="I3563" s="391" t="str">
        <f t="shared" ca="1" si="221"/>
        <v/>
      </c>
    </row>
    <row r="3564" spans="1:9">
      <c r="A3564" s="387" t="b">
        <f t="shared" ca="1" si="219"/>
        <v>0</v>
      </c>
      <c r="B3564" s="396" t="str">
        <f ca="1">IF(COUNTA(G$3060:G3563)=1,"",OFFSET(B3564,-COUNTA(G$3060:G3563)+1,0))</f>
        <v>a1bDm000000YZHpIAO</v>
      </c>
      <c r="C3564" s="392">
        <f ca="1">IF(COUNTA(G$3060:G3563)=1,"",OFFSET(C3564,-COUNTA(G$3060:G3563)+1,0))</f>
        <v>4</v>
      </c>
      <c r="D3564" s="387">
        <f t="shared" si="216"/>
        <v>22</v>
      </c>
      <c r="E3564" s="387">
        <f t="shared" ca="1" si="217"/>
        <v>4</v>
      </c>
      <c r="F3564" s="387">
        <f t="shared" ca="1" si="218"/>
        <v>12</v>
      </c>
      <c r="G3564" s="387"/>
      <c r="H3564" s="391" t="str">
        <f t="shared" ca="1" si="220"/>
        <v/>
      </c>
      <c r="I3564" s="391" t="str">
        <f t="shared" ca="1" si="221"/>
        <v/>
      </c>
    </row>
    <row r="3565" spans="1:9">
      <c r="A3565" s="387" t="b">
        <f t="shared" ca="1" si="219"/>
        <v>0</v>
      </c>
      <c r="B3565" s="396" t="str">
        <f ca="1">IF(COUNTA(G$3060:G3564)=1,"",OFFSET(B3565,-COUNTA(G$3060:G3564)+1,0))</f>
        <v>a1bDm000000YZJ7IAO</v>
      </c>
      <c r="C3565" s="392">
        <f ca="1">IF(COUNTA(G$3060:G3564)=1,"",OFFSET(C3565,-COUNTA(G$3060:G3564)+1,0))</f>
        <v>4</v>
      </c>
      <c r="D3565" s="387">
        <f t="shared" si="216"/>
        <v>23</v>
      </c>
      <c r="E3565" s="387">
        <f t="shared" ca="1" si="217"/>
        <v>5</v>
      </c>
      <c r="F3565" s="387">
        <f t="shared" ca="1" si="218"/>
        <v>12</v>
      </c>
      <c r="G3565" s="387"/>
      <c r="H3565" s="391" t="str">
        <f t="shared" ca="1" si="220"/>
        <v/>
      </c>
      <c r="I3565" s="391" t="str">
        <f t="shared" ca="1" si="221"/>
        <v/>
      </c>
    </row>
    <row r="3566" spans="1:9">
      <c r="A3566" s="387" t="b">
        <f t="shared" ca="1" si="219"/>
        <v>0</v>
      </c>
      <c r="B3566" s="396" t="str">
        <f ca="1">IF(COUNTA(G$3060:G3565)=1,"",OFFSET(B3566,-COUNTA(G$3060:G3565)+1,0))</f>
        <v>a1bDm000000YZKPIA4</v>
      </c>
      <c r="C3566" s="392">
        <f ca="1">IF(COUNTA(G$3060:G3565)=1,"",OFFSET(C3566,-COUNTA(G$3060:G3565)+1,0))</f>
        <v>4</v>
      </c>
      <c r="D3566" s="387">
        <f t="shared" si="216"/>
        <v>24</v>
      </c>
      <c r="E3566" s="387">
        <f t="shared" ca="1" si="217"/>
        <v>6</v>
      </c>
      <c r="F3566" s="387">
        <f t="shared" ca="1" si="218"/>
        <v>12</v>
      </c>
      <c r="G3566" s="387"/>
      <c r="H3566" s="391" t="str">
        <f t="shared" ca="1" si="220"/>
        <v/>
      </c>
      <c r="I3566" s="391" t="str">
        <f t="shared" ca="1" si="221"/>
        <v/>
      </c>
    </row>
    <row r="3567" spans="1:9">
      <c r="A3567" s="387" t="b">
        <f t="shared" ca="1" si="219"/>
        <v>0</v>
      </c>
      <c r="B3567" s="396" t="str">
        <f ca="1">IF(COUNTA(G$3060:G3566)=1,"",OFFSET(B3567,-COUNTA(G$3060:G3566)+1,0))</f>
        <v>a1bDm000000YZDyIAO</v>
      </c>
      <c r="C3567" s="392">
        <f ca="1">IF(COUNTA(G$3060:G3566)=1,"",OFFSET(C3567,-COUNTA(G$3060:G3566)+1,0))</f>
        <v>5</v>
      </c>
      <c r="D3567" s="387">
        <f t="shared" si="216"/>
        <v>25</v>
      </c>
      <c r="E3567" s="387">
        <f t="shared" ca="1" si="217"/>
        <v>1</v>
      </c>
      <c r="F3567" s="387">
        <f t="shared" ca="1" si="218"/>
        <v>13</v>
      </c>
      <c r="G3567" s="387"/>
      <c r="H3567" s="391" t="str">
        <f t="shared" ca="1" si="220"/>
        <v/>
      </c>
      <c r="I3567" s="391" t="str">
        <f t="shared" ca="1" si="221"/>
        <v/>
      </c>
    </row>
    <row r="3568" spans="1:9">
      <c r="A3568" s="387" t="b">
        <f t="shared" ca="1" si="219"/>
        <v>0</v>
      </c>
      <c r="B3568" s="396" t="str">
        <f ca="1">IF(COUNTA(G$3060:G3567)=1,"",OFFSET(B3568,-COUNTA(G$3060:G3567)+1,0))</f>
        <v>a1bDm000000YZFGIA4</v>
      </c>
      <c r="C3568" s="392">
        <f ca="1">IF(COUNTA(G$3060:G3567)=1,"",OFFSET(C3568,-COUNTA(G$3060:G3567)+1,0))</f>
        <v>5</v>
      </c>
      <c r="D3568" s="387">
        <f t="shared" si="216"/>
        <v>26</v>
      </c>
      <c r="E3568" s="387">
        <f t="shared" ca="1" si="217"/>
        <v>2</v>
      </c>
      <c r="F3568" s="387">
        <f t="shared" ca="1" si="218"/>
        <v>13</v>
      </c>
      <c r="G3568" s="387"/>
      <c r="H3568" s="391" t="str">
        <f t="shared" ca="1" si="220"/>
        <v/>
      </c>
      <c r="I3568" s="391" t="str">
        <f t="shared" ca="1" si="221"/>
        <v/>
      </c>
    </row>
    <row r="3569" spans="1:9">
      <c r="A3569" s="387" t="b">
        <f t="shared" ca="1" si="219"/>
        <v>0</v>
      </c>
      <c r="B3569" s="396" t="str">
        <f ca="1">IF(COUNTA(G$3060:G3568)=1,"",OFFSET(B3569,-COUNTA(G$3060:G3568)+1,0))</f>
        <v>a1bDm000000YZGYIA4</v>
      </c>
      <c r="C3569" s="392">
        <f ca="1">IF(COUNTA(G$3060:G3568)=1,"",OFFSET(C3569,-COUNTA(G$3060:G3568)+1,0))</f>
        <v>5</v>
      </c>
      <c r="D3569" s="387">
        <f t="shared" si="216"/>
        <v>27</v>
      </c>
      <c r="E3569" s="387">
        <f t="shared" ca="1" si="217"/>
        <v>3</v>
      </c>
      <c r="F3569" s="387">
        <f t="shared" ca="1" si="218"/>
        <v>13</v>
      </c>
      <c r="G3569" s="387"/>
      <c r="H3569" s="391" t="str">
        <f t="shared" ca="1" si="220"/>
        <v/>
      </c>
      <c r="I3569" s="391" t="str">
        <f t="shared" ca="1" si="221"/>
        <v/>
      </c>
    </row>
    <row r="3570" spans="1:9">
      <c r="A3570" s="387" t="b">
        <f t="shared" ca="1" si="219"/>
        <v>0</v>
      </c>
      <c r="B3570" s="396" t="str">
        <f ca="1">IF(COUNTA(G$3060:G3569)=1,"",OFFSET(B3570,-COUNTA(G$3060:G3569)+1,0))</f>
        <v>a1bDm000000YZHqIAO</v>
      </c>
      <c r="C3570" s="392">
        <f ca="1">IF(COUNTA(G$3060:G3569)=1,"",OFFSET(C3570,-COUNTA(G$3060:G3569)+1,0))</f>
        <v>5</v>
      </c>
      <c r="D3570" s="387">
        <f t="shared" si="216"/>
        <v>28</v>
      </c>
      <c r="E3570" s="387">
        <f t="shared" ca="1" si="217"/>
        <v>4</v>
      </c>
      <c r="F3570" s="387">
        <f t="shared" ca="1" si="218"/>
        <v>13</v>
      </c>
      <c r="G3570" s="387"/>
      <c r="H3570" s="391" t="str">
        <f t="shared" ca="1" si="220"/>
        <v/>
      </c>
      <c r="I3570" s="391" t="str">
        <f t="shared" ca="1" si="221"/>
        <v/>
      </c>
    </row>
    <row r="3571" spans="1:9">
      <c r="A3571" s="387" t="b">
        <f t="shared" ca="1" si="219"/>
        <v>0</v>
      </c>
      <c r="B3571" s="396" t="str">
        <f ca="1">IF(COUNTA(G$3060:G3570)=1,"",OFFSET(B3571,-COUNTA(G$3060:G3570)+1,0))</f>
        <v>a1bDm000000YZJ8IAO</v>
      </c>
      <c r="C3571" s="392">
        <f ca="1">IF(COUNTA(G$3060:G3570)=1,"",OFFSET(C3571,-COUNTA(G$3060:G3570)+1,0))</f>
        <v>5</v>
      </c>
      <c r="D3571" s="387">
        <f t="shared" si="216"/>
        <v>29</v>
      </c>
      <c r="E3571" s="387">
        <f t="shared" ca="1" si="217"/>
        <v>5</v>
      </c>
      <c r="F3571" s="387">
        <f t="shared" ca="1" si="218"/>
        <v>13</v>
      </c>
      <c r="G3571" s="387"/>
      <c r="H3571" s="391" t="str">
        <f t="shared" ca="1" si="220"/>
        <v/>
      </c>
      <c r="I3571" s="391" t="str">
        <f t="shared" ca="1" si="221"/>
        <v/>
      </c>
    </row>
    <row r="3572" spans="1:9">
      <c r="A3572" s="387" t="b">
        <f t="shared" ca="1" si="219"/>
        <v>0</v>
      </c>
      <c r="B3572" s="396" t="str">
        <f ca="1">IF(COUNTA(G$3060:G3571)=1,"",OFFSET(B3572,-COUNTA(G$3060:G3571)+1,0))</f>
        <v>a1bDm000000YZKQIA4</v>
      </c>
      <c r="C3572" s="392">
        <f ca="1">IF(COUNTA(G$3060:G3571)=1,"",OFFSET(C3572,-COUNTA(G$3060:G3571)+1,0))</f>
        <v>5</v>
      </c>
      <c r="D3572" s="387">
        <f t="shared" si="216"/>
        <v>30</v>
      </c>
      <c r="E3572" s="387">
        <f t="shared" ca="1" si="217"/>
        <v>6</v>
      </c>
      <c r="F3572" s="387">
        <f t="shared" ca="1" si="218"/>
        <v>13</v>
      </c>
      <c r="G3572" s="387"/>
      <c r="H3572" s="391" t="str">
        <f t="shared" ca="1" si="220"/>
        <v/>
      </c>
      <c r="I3572" s="391" t="str">
        <f t="shared" ca="1" si="221"/>
        <v/>
      </c>
    </row>
    <row r="3573" spans="1:9">
      <c r="A3573" s="387" t="b">
        <f t="shared" ca="1" si="219"/>
        <v>0</v>
      </c>
      <c r="B3573" s="396" t="str">
        <f ca="1">IF(COUNTA(G$3060:G3572)=1,"",OFFSET(B3573,-COUNTA(G$3060:G3572)+1,0))</f>
        <v>a1bDm000000YZDzIAO</v>
      </c>
      <c r="C3573" s="392">
        <f ca="1">IF(COUNTA(G$3060:G3572)=1,"",OFFSET(C3573,-COUNTA(G$3060:G3572)+1,0))</f>
        <v>6</v>
      </c>
      <c r="D3573" s="387">
        <f t="shared" si="216"/>
        <v>31</v>
      </c>
      <c r="E3573" s="387">
        <f t="shared" ca="1" si="217"/>
        <v>1</v>
      </c>
      <c r="F3573" s="387">
        <f t="shared" ca="1" si="218"/>
        <v>14</v>
      </c>
      <c r="G3573" s="387"/>
      <c r="H3573" s="391" t="str">
        <f t="shared" ca="1" si="220"/>
        <v/>
      </c>
      <c r="I3573" s="391" t="str">
        <f t="shared" ca="1" si="221"/>
        <v/>
      </c>
    </row>
    <row r="3574" spans="1:9">
      <c r="A3574" s="387" t="b">
        <f t="shared" ca="1" si="219"/>
        <v>0</v>
      </c>
      <c r="B3574" s="396" t="str">
        <f ca="1">IF(COUNTA(G$3060:G3573)=1,"",OFFSET(B3574,-COUNTA(G$3060:G3573)+1,0))</f>
        <v>a1bDm000000YZFHIA4</v>
      </c>
      <c r="C3574" s="392">
        <f ca="1">IF(COUNTA(G$3060:G3573)=1,"",OFFSET(C3574,-COUNTA(G$3060:G3573)+1,0))</f>
        <v>6</v>
      </c>
      <c r="D3574" s="387">
        <f t="shared" si="216"/>
        <v>32</v>
      </c>
      <c r="E3574" s="387">
        <f t="shared" ca="1" si="217"/>
        <v>2</v>
      </c>
      <c r="F3574" s="387">
        <f t="shared" ca="1" si="218"/>
        <v>14</v>
      </c>
      <c r="G3574" s="387"/>
      <c r="H3574" s="391" t="str">
        <f t="shared" ca="1" si="220"/>
        <v/>
      </c>
      <c r="I3574" s="391" t="str">
        <f t="shared" ca="1" si="221"/>
        <v/>
      </c>
    </row>
    <row r="3575" spans="1:9">
      <c r="A3575" s="387" t="b">
        <f t="shared" ca="1" si="219"/>
        <v>0</v>
      </c>
      <c r="B3575" s="396" t="str">
        <f ca="1">IF(COUNTA(G$3060:G3574)=1,"",OFFSET(B3575,-COUNTA(G$3060:G3574)+1,0))</f>
        <v>a1bDm000000YZGZIA4</v>
      </c>
      <c r="C3575" s="392">
        <f ca="1">IF(COUNTA(G$3060:G3574)=1,"",OFFSET(C3575,-COUNTA(G$3060:G3574)+1,0))</f>
        <v>6</v>
      </c>
      <c r="D3575" s="387">
        <f t="shared" ref="D3575:D3638" si="222">D3574+1</f>
        <v>33</v>
      </c>
      <c r="E3575" s="387">
        <f t="shared" ref="E3575:E3638" ca="1" si="223">COUNTIF(C3405:C3575,C3575)</f>
        <v>3</v>
      </c>
      <c r="F3575" s="387">
        <f t="shared" ref="F3575:F3638" ca="1" si="224">IF(C3575=1,9,IF(E3574=MAX(E3573:E3575),F3573+1,F3574))</f>
        <v>14</v>
      </c>
      <c r="G3575" s="387"/>
      <c r="H3575" s="391" t="str">
        <f t="shared" ca="1" si="220"/>
        <v/>
      </c>
      <c r="I3575" s="391" t="str">
        <f t="shared" ca="1" si="221"/>
        <v/>
      </c>
    </row>
    <row r="3576" spans="1:9">
      <c r="A3576" s="387" t="b">
        <f t="shared" ca="1" si="219"/>
        <v>0</v>
      </c>
      <c r="B3576" s="396" t="str">
        <f ca="1">IF(COUNTA(G$3060:G3575)=1,"",OFFSET(B3576,-COUNTA(G$3060:G3575)+1,0))</f>
        <v>a1bDm000000YZHrIAO</v>
      </c>
      <c r="C3576" s="392">
        <f ca="1">IF(COUNTA(G$3060:G3575)=1,"",OFFSET(C3576,-COUNTA(G$3060:G3575)+1,0))</f>
        <v>6</v>
      </c>
      <c r="D3576" s="387">
        <f t="shared" si="222"/>
        <v>34</v>
      </c>
      <c r="E3576" s="387">
        <f t="shared" ca="1" si="223"/>
        <v>4</v>
      </c>
      <c r="F3576" s="387">
        <f t="shared" ca="1" si="224"/>
        <v>14</v>
      </c>
      <c r="G3576" s="387"/>
      <c r="H3576" s="391" t="str">
        <f t="shared" ca="1" si="220"/>
        <v/>
      </c>
      <c r="I3576" s="391" t="str">
        <f t="shared" ca="1" si="221"/>
        <v/>
      </c>
    </row>
    <row r="3577" spans="1:9">
      <c r="A3577" s="387" t="b">
        <f t="shared" ca="1" si="219"/>
        <v>0</v>
      </c>
      <c r="B3577" s="396" t="str">
        <f ca="1">IF(COUNTA(G$3060:G3576)=1,"",OFFSET(B3577,-COUNTA(G$3060:G3576)+1,0))</f>
        <v>a1bDm000000YZJ9IAO</v>
      </c>
      <c r="C3577" s="392">
        <f ca="1">IF(COUNTA(G$3060:G3576)=1,"",OFFSET(C3577,-COUNTA(G$3060:G3576)+1,0))</f>
        <v>6</v>
      </c>
      <c r="D3577" s="387">
        <f t="shared" si="222"/>
        <v>35</v>
      </c>
      <c r="E3577" s="387">
        <f t="shared" ca="1" si="223"/>
        <v>5</v>
      </c>
      <c r="F3577" s="387">
        <f t="shared" ca="1" si="224"/>
        <v>14</v>
      </c>
      <c r="G3577" s="387"/>
      <c r="H3577" s="391" t="str">
        <f t="shared" ca="1" si="220"/>
        <v/>
      </c>
      <c r="I3577" s="391" t="str">
        <f t="shared" ca="1" si="221"/>
        <v/>
      </c>
    </row>
    <row r="3578" spans="1:9">
      <c r="A3578" s="387" t="b">
        <f t="shared" ca="1" si="219"/>
        <v>0</v>
      </c>
      <c r="B3578" s="396" t="str">
        <f ca="1">IF(COUNTA(G$3060:G3577)=1,"",OFFSET(B3578,-COUNTA(G$3060:G3577)+1,0))</f>
        <v>a1bDm000000YZKRIA4</v>
      </c>
      <c r="C3578" s="392">
        <f ca="1">IF(COUNTA(G$3060:G3577)=1,"",OFFSET(C3578,-COUNTA(G$3060:G3577)+1,0))</f>
        <v>6</v>
      </c>
      <c r="D3578" s="387">
        <f t="shared" si="222"/>
        <v>36</v>
      </c>
      <c r="E3578" s="387">
        <f t="shared" ca="1" si="223"/>
        <v>6</v>
      </c>
      <c r="F3578" s="387">
        <f t="shared" ca="1" si="224"/>
        <v>14</v>
      </c>
      <c r="G3578" s="387"/>
      <c r="H3578" s="391" t="str">
        <f t="shared" ca="1" si="220"/>
        <v/>
      </c>
      <c r="I3578" s="391" t="str">
        <f t="shared" ca="1" si="221"/>
        <v/>
      </c>
    </row>
    <row r="3579" spans="1:9">
      <c r="A3579" s="387" t="b">
        <f t="shared" ca="1" si="219"/>
        <v>0</v>
      </c>
      <c r="B3579" s="396" t="str">
        <f ca="1">IF(COUNTA(G$3060:G3578)=1,"",OFFSET(B3579,-COUNTA(G$3060:G3578)+1,0))</f>
        <v>a1bDm000000YZE0IAO</v>
      </c>
      <c r="C3579" s="392">
        <f ca="1">IF(COUNTA(G$3060:G3578)=1,"",OFFSET(C3579,-COUNTA(G$3060:G3578)+1,0))</f>
        <v>7</v>
      </c>
      <c r="D3579" s="387">
        <f t="shared" si="222"/>
        <v>37</v>
      </c>
      <c r="E3579" s="387">
        <f t="shared" ca="1" si="223"/>
        <v>1</v>
      </c>
      <c r="F3579" s="387">
        <f t="shared" ca="1" si="224"/>
        <v>15</v>
      </c>
      <c r="G3579" s="387"/>
      <c r="H3579" s="391" t="str">
        <f t="shared" ca="1" si="220"/>
        <v/>
      </c>
      <c r="I3579" s="391" t="str">
        <f t="shared" ca="1" si="221"/>
        <v/>
      </c>
    </row>
    <row r="3580" spans="1:9">
      <c r="A3580" s="387" t="b">
        <f t="shared" ca="1" si="219"/>
        <v>0</v>
      </c>
      <c r="B3580" s="396" t="str">
        <f ca="1">IF(COUNTA(G$3060:G3579)=1,"",OFFSET(B3580,-COUNTA(G$3060:G3579)+1,0))</f>
        <v>a1bDm000000YZFIIA4</v>
      </c>
      <c r="C3580" s="392">
        <f ca="1">IF(COUNTA(G$3060:G3579)=1,"",OFFSET(C3580,-COUNTA(G$3060:G3579)+1,0))</f>
        <v>7</v>
      </c>
      <c r="D3580" s="387">
        <f t="shared" si="222"/>
        <v>38</v>
      </c>
      <c r="E3580" s="387">
        <f t="shared" ca="1" si="223"/>
        <v>2</v>
      </c>
      <c r="F3580" s="387">
        <f t="shared" ca="1" si="224"/>
        <v>15</v>
      </c>
      <c r="G3580" s="387"/>
      <c r="H3580" s="391" t="str">
        <f t="shared" ca="1" si="220"/>
        <v/>
      </c>
      <c r="I3580" s="391" t="str">
        <f t="shared" ca="1" si="221"/>
        <v/>
      </c>
    </row>
    <row r="3581" spans="1:9">
      <c r="A3581" s="387" t="b">
        <f t="shared" ca="1" si="219"/>
        <v>0</v>
      </c>
      <c r="B3581" s="396" t="str">
        <f ca="1">IF(COUNTA(G$3060:G3580)=1,"",OFFSET(B3581,-COUNTA(G$3060:G3580)+1,0))</f>
        <v>a1bDm000000YZGaIAO</v>
      </c>
      <c r="C3581" s="392">
        <f ca="1">IF(COUNTA(G$3060:G3580)=1,"",OFFSET(C3581,-COUNTA(G$3060:G3580)+1,0))</f>
        <v>7</v>
      </c>
      <c r="D3581" s="387">
        <f t="shared" si="222"/>
        <v>39</v>
      </c>
      <c r="E3581" s="387">
        <f t="shared" ca="1" si="223"/>
        <v>3</v>
      </c>
      <c r="F3581" s="387">
        <f t="shared" ca="1" si="224"/>
        <v>15</v>
      </c>
      <c r="G3581" s="387"/>
      <c r="H3581" s="391" t="str">
        <f t="shared" ca="1" si="220"/>
        <v/>
      </c>
      <c r="I3581" s="391" t="str">
        <f t="shared" ca="1" si="221"/>
        <v/>
      </c>
    </row>
    <row r="3582" spans="1:9">
      <c r="A3582" s="387" t="b">
        <f t="shared" ca="1" si="219"/>
        <v>0</v>
      </c>
      <c r="B3582" s="396" t="str">
        <f ca="1">IF(COUNTA(G$3060:G3581)=1,"",OFFSET(B3582,-COUNTA(G$3060:G3581)+1,0))</f>
        <v>a1bDm000000YZHsIAO</v>
      </c>
      <c r="C3582" s="392">
        <f ca="1">IF(COUNTA(G$3060:G3581)=1,"",OFFSET(C3582,-COUNTA(G$3060:G3581)+1,0))</f>
        <v>7</v>
      </c>
      <c r="D3582" s="387">
        <f t="shared" si="222"/>
        <v>40</v>
      </c>
      <c r="E3582" s="387">
        <f t="shared" ca="1" si="223"/>
        <v>4</v>
      </c>
      <c r="F3582" s="387">
        <f t="shared" ca="1" si="224"/>
        <v>15</v>
      </c>
      <c r="G3582" s="387"/>
      <c r="H3582" s="391" t="str">
        <f t="shared" ca="1" si="220"/>
        <v/>
      </c>
      <c r="I3582" s="391" t="str">
        <f t="shared" ca="1" si="221"/>
        <v/>
      </c>
    </row>
    <row r="3583" spans="1:9">
      <c r="A3583" s="387" t="b">
        <f t="shared" ca="1" si="219"/>
        <v>0</v>
      </c>
      <c r="B3583" s="396" t="str">
        <f ca="1">IF(COUNTA(G$3060:G3582)=1,"",OFFSET(B3583,-COUNTA(G$3060:G3582)+1,0))</f>
        <v>a1bDm000000YZJAIA4</v>
      </c>
      <c r="C3583" s="392">
        <f ca="1">IF(COUNTA(G$3060:G3582)=1,"",OFFSET(C3583,-COUNTA(G$3060:G3582)+1,0))</f>
        <v>7</v>
      </c>
      <c r="D3583" s="387">
        <f t="shared" si="222"/>
        <v>41</v>
      </c>
      <c r="E3583" s="387">
        <f t="shared" ca="1" si="223"/>
        <v>5</v>
      </c>
      <c r="F3583" s="387">
        <f t="shared" ca="1" si="224"/>
        <v>15</v>
      </c>
      <c r="G3583" s="387"/>
      <c r="H3583" s="391" t="str">
        <f t="shared" ca="1" si="220"/>
        <v/>
      </c>
      <c r="I3583" s="391" t="str">
        <f t="shared" ca="1" si="221"/>
        <v/>
      </c>
    </row>
    <row r="3584" spans="1:9">
      <c r="A3584" s="387" t="b">
        <f t="shared" ca="1" si="219"/>
        <v>0</v>
      </c>
      <c r="B3584" s="396" t="str">
        <f ca="1">IF(COUNTA(G$3060:G3583)=1,"",OFFSET(B3584,-COUNTA(G$3060:G3583)+1,0))</f>
        <v>a1bDm000000YZKSIA4</v>
      </c>
      <c r="C3584" s="392">
        <f ca="1">IF(COUNTA(G$3060:G3583)=1,"",OFFSET(C3584,-COUNTA(G$3060:G3583)+1,0))</f>
        <v>7</v>
      </c>
      <c r="D3584" s="387">
        <f t="shared" si="222"/>
        <v>42</v>
      </c>
      <c r="E3584" s="387">
        <f t="shared" ca="1" si="223"/>
        <v>6</v>
      </c>
      <c r="F3584" s="387">
        <f t="shared" ca="1" si="224"/>
        <v>15</v>
      </c>
      <c r="G3584" s="387"/>
      <c r="H3584" s="391" t="str">
        <f t="shared" ca="1" si="220"/>
        <v/>
      </c>
      <c r="I3584" s="391" t="str">
        <f t="shared" ca="1" si="221"/>
        <v/>
      </c>
    </row>
    <row r="3585" spans="1:9">
      <c r="A3585" s="387" t="b">
        <f t="shared" ca="1" si="219"/>
        <v>0</v>
      </c>
      <c r="B3585" s="396" t="str">
        <f ca="1">IF(COUNTA(G$3060:G3584)=1,"",OFFSET(B3585,-COUNTA(G$3060:G3584)+1,0))</f>
        <v>a1bDm000000YZE1IAO</v>
      </c>
      <c r="C3585" s="392">
        <f ca="1">IF(COUNTA(G$3060:G3584)=1,"",OFFSET(C3585,-COUNTA(G$3060:G3584)+1,0))</f>
        <v>8</v>
      </c>
      <c r="D3585" s="387">
        <f t="shared" si="222"/>
        <v>43</v>
      </c>
      <c r="E3585" s="387">
        <f t="shared" ca="1" si="223"/>
        <v>1</v>
      </c>
      <c r="F3585" s="387">
        <f t="shared" ca="1" si="224"/>
        <v>16</v>
      </c>
      <c r="G3585" s="387"/>
      <c r="H3585" s="391" t="str">
        <f t="shared" ca="1" si="220"/>
        <v/>
      </c>
      <c r="I3585" s="391" t="str">
        <f t="shared" ca="1" si="221"/>
        <v/>
      </c>
    </row>
    <row r="3586" spans="1:9">
      <c r="A3586" s="387" t="b">
        <f t="shared" ca="1" si="219"/>
        <v>0</v>
      </c>
      <c r="B3586" s="396" t="str">
        <f ca="1">IF(COUNTA(G$3060:G3585)=1,"",OFFSET(B3586,-COUNTA(G$3060:G3585)+1,0))</f>
        <v>a1bDm000000YZFJIA4</v>
      </c>
      <c r="C3586" s="392">
        <f ca="1">IF(COUNTA(G$3060:G3585)=1,"",OFFSET(C3586,-COUNTA(G$3060:G3585)+1,0))</f>
        <v>8</v>
      </c>
      <c r="D3586" s="387">
        <f t="shared" si="222"/>
        <v>44</v>
      </c>
      <c r="E3586" s="387">
        <f t="shared" ca="1" si="223"/>
        <v>2</v>
      </c>
      <c r="F3586" s="387">
        <f t="shared" ca="1" si="224"/>
        <v>16</v>
      </c>
      <c r="G3586" s="387"/>
      <c r="H3586" s="391" t="str">
        <f t="shared" ca="1" si="220"/>
        <v/>
      </c>
      <c r="I3586" s="391" t="str">
        <f t="shared" ca="1" si="221"/>
        <v/>
      </c>
    </row>
    <row r="3587" spans="1:9">
      <c r="A3587" s="387" t="b">
        <f t="shared" ca="1" si="219"/>
        <v>0</v>
      </c>
      <c r="B3587" s="396" t="str">
        <f ca="1">IF(COUNTA(G$3060:G3586)=1,"",OFFSET(B3587,-COUNTA(G$3060:G3586)+1,0))</f>
        <v>a1bDm000000YZGbIAO</v>
      </c>
      <c r="C3587" s="392">
        <f ca="1">IF(COUNTA(G$3060:G3586)=1,"",OFFSET(C3587,-COUNTA(G$3060:G3586)+1,0))</f>
        <v>8</v>
      </c>
      <c r="D3587" s="387">
        <f t="shared" si="222"/>
        <v>45</v>
      </c>
      <c r="E3587" s="387">
        <f t="shared" ca="1" si="223"/>
        <v>3</v>
      </c>
      <c r="F3587" s="387">
        <f t="shared" ca="1" si="224"/>
        <v>16</v>
      </c>
      <c r="G3587" s="387"/>
      <c r="H3587" s="391" t="str">
        <f t="shared" ca="1" si="220"/>
        <v/>
      </c>
      <c r="I3587" s="391" t="str">
        <f t="shared" ca="1" si="221"/>
        <v/>
      </c>
    </row>
    <row r="3588" spans="1:9">
      <c r="A3588" s="387" t="b">
        <f t="shared" ca="1" si="219"/>
        <v>0</v>
      </c>
      <c r="B3588" s="396" t="str">
        <f ca="1">IF(COUNTA(G$3060:G3587)=1,"",OFFSET(B3588,-COUNTA(G$3060:G3587)+1,0))</f>
        <v>a1bDm000000YZHtIAO</v>
      </c>
      <c r="C3588" s="392">
        <f ca="1">IF(COUNTA(G$3060:G3587)=1,"",OFFSET(C3588,-COUNTA(G$3060:G3587)+1,0))</f>
        <v>8</v>
      </c>
      <c r="D3588" s="387">
        <f t="shared" si="222"/>
        <v>46</v>
      </c>
      <c r="E3588" s="387">
        <f t="shared" ca="1" si="223"/>
        <v>4</v>
      </c>
      <c r="F3588" s="387">
        <f t="shared" ca="1" si="224"/>
        <v>16</v>
      </c>
      <c r="G3588" s="387"/>
      <c r="H3588" s="391" t="str">
        <f t="shared" ca="1" si="220"/>
        <v/>
      </c>
      <c r="I3588" s="391" t="str">
        <f t="shared" ca="1" si="221"/>
        <v/>
      </c>
    </row>
    <row r="3589" spans="1:9">
      <c r="A3589" s="387" t="b">
        <f t="shared" ca="1" si="219"/>
        <v>0</v>
      </c>
      <c r="B3589" s="396" t="str">
        <f ca="1">IF(COUNTA(G$3060:G3588)=1,"",OFFSET(B3589,-COUNTA(G$3060:G3588)+1,0))</f>
        <v>a1bDm000000YZJBIA4</v>
      </c>
      <c r="C3589" s="392">
        <f ca="1">IF(COUNTA(G$3060:G3588)=1,"",OFFSET(C3589,-COUNTA(G$3060:G3588)+1,0))</f>
        <v>8</v>
      </c>
      <c r="D3589" s="387">
        <f t="shared" si="222"/>
        <v>47</v>
      </c>
      <c r="E3589" s="387">
        <f t="shared" ca="1" si="223"/>
        <v>5</v>
      </c>
      <c r="F3589" s="387">
        <f t="shared" ca="1" si="224"/>
        <v>16</v>
      </c>
      <c r="G3589" s="387"/>
      <c r="H3589" s="391" t="str">
        <f t="shared" ca="1" si="220"/>
        <v/>
      </c>
      <c r="I3589" s="391" t="str">
        <f t="shared" ca="1" si="221"/>
        <v/>
      </c>
    </row>
    <row r="3590" spans="1:9">
      <c r="A3590" s="387" t="b">
        <f t="shared" ca="1" si="219"/>
        <v>0</v>
      </c>
      <c r="B3590" s="396" t="str">
        <f ca="1">IF(COUNTA(G$3060:G3589)=1,"",OFFSET(B3590,-COUNTA(G$3060:G3589)+1,0))</f>
        <v>a1bDm000000YZKTIA4</v>
      </c>
      <c r="C3590" s="392">
        <f ca="1">IF(COUNTA(G$3060:G3589)=1,"",OFFSET(C3590,-COUNTA(G$3060:G3589)+1,0))</f>
        <v>8</v>
      </c>
      <c r="D3590" s="387">
        <f t="shared" si="222"/>
        <v>48</v>
      </c>
      <c r="E3590" s="387">
        <f t="shared" ca="1" si="223"/>
        <v>6</v>
      </c>
      <c r="F3590" s="387">
        <f t="shared" ca="1" si="224"/>
        <v>16</v>
      </c>
      <c r="G3590" s="387"/>
      <c r="H3590" s="391" t="str">
        <f t="shared" ca="1" si="220"/>
        <v/>
      </c>
      <c r="I3590" s="391" t="str">
        <f t="shared" ca="1" si="221"/>
        <v/>
      </c>
    </row>
    <row r="3591" spans="1:9">
      <c r="A3591" s="387" t="b">
        <f t="shared" ca="1" si="219"/>
        <v>0</v>
      </c>
      <c r="B3591" s="396" t="str">
        <f ca="1">IF(COUNTA(G$3060:G3590)=1,"",OFFSET(B3591,-COUNTA(G$3060:G3590)+1,0))</f>
        <v>a1bDm000000YZE2IAO</v>
      </c>
      <c r="C3591" s="392">
        <f ca="1">IF(COUNTA(G$3060:G3590)=1,"",OFFSET(C3591,-COUNTA(G$3060:G3590)+1,0))</f>
        <v>9</v>
      </c>
      <c r="D3591" s="387">
        <f t="shared" si="222"/>
        <v>49</v>
      </c>
      <c r="E3591" s="387">
        <f t="shared" ca="1" si="223"/>
        <v>1</v>
      </c>
      <c r="F3591" s="387">
        <f t="shared" ca="1" si="224"/>
        <v>17</v>
      </c>
      <c r="G3591" s="387"/>
      <c r="H3591" s="391" t="str">
        <f t="shared" ca="1" si="220"/>
        <v/>
      </c>
      <c r="I3591" s="391" t="str">
        <f t="shared" ca="1" si="221"/>
        <v/>
      </c>
    </row>
    <row r="3592" spans="1:9">
      <c r="A3592" s="387" t="b">
        <f t="shared" ca="1" si="219"/>
        <v>0</v>
      </c>
      <c r="B3592" s="396" t="str">
        <f ca="1">IF(COUNTA(G$3060:G3591)=1,"",OFFSET(B3592,-COUNTA(G$3060:G3591)+1,0))</f>
        <v>a1bDm000000YZFKIA4</v>
      </c>
      <c r="C3592" s="392">
        <f ca="1">IF(COUNTA(G$3060:G3591)=1,"",OFFSET(C3592,-COUNTA(G$3060:G3591)+1,0))</f>
        <v>9</v>
      </c>
      <c r="D3592" s="387">
        <f t="shared" si="222"/>
        <v>50</v>
      </c>
      <c r="E3592" s="387">
        <f t="shared" ca="1" si="223"/>
        <v>2</v>
      </c>
      <c r="F3592" s="387">
        <f t="shared" ca="1" si="224"/>
        <v>17</v>
      </c>
      <c r="G3592" s="387"/>
      <c r="H3592" s="391" t="str">
        <f t="shared" ca="1" si="220"/>
        <v/>
      </c>
      <c r="I3592" s="391" t="str">
        <f t="shared" ca="1" si="221"/>
        <v/>
      </c>
    </row>
    <row r="3593" spans="1:9">
      <c r="A3593" s="387" t="b">
        <f t="shared" ca="1" si="219"/>
        <v>0</v>
      </c>
      <c r="B3593" s="396" t="str">
        <f ca="1">IF(COUNTA(G$3060:G3592)=1,"",OFFSET(B3593,-COUNTA(G$3060:G3592)+1,0))</f>
        <v>a1bDm000000YZGcIAO</v>
      </c>
      <c r="C3593" s="392">
        <f ca="1">IF(COUNTA(G$3060:G3592)=1,"",OFFSET(C3593,-COUNTA(G$3060:G3592)+1,0))</f>
        <v>9</v>
      </c>
      <c r="D3593" s="387">
        <f t="shared" si="222"/>
        <v>51</v>
      </c>
      <c r="E3593" s="387">
        <f t="shared" ca="1" si="223"/>
        <v>3</v>
      </c>
      <c r="F3593" s="387">
        <f t="shared" ca="1" si="224"/>
        <v>17</v>
      </c>
      <c r="G3593" s="387"/>
      <c r="H3593" s="391" t="str">
        <f t="shared" ca="1" si="220"/>
        <v/>
      </c>
      <c r="I3593" s="391" t="str">
        <f t="shared" ca="1" si="221"/>
        <v/>
      </c>
    </row>
    <row r="3594" spans="1:9">
      <c r="A3594" s="387" t="b">
        <f t="shared" ca="1" si="219"/>
        <v>0</v>
      </c>
      <c r="B3594" s="396" t="str">
        <f ca="1">IF(COUNTA(G$3060:G3593)=1,"",OFFSET(B3594,-COUNTA(G$3060:G3593)+1,0))</f>
        <v>a1bDm000000YZHuIAO</v>
      </c>
      <c r="C3594" s="392">
        <f ca="1">IF(COUNTA(G$3060:G3593)=1,"",OFFSET(C3594,-COUNTA(G$3060:G3593)+1,0))</f>
        <v>9</v>
      </c>
      <c r="D3594" s="387">
        <f t="shared" si="222"/>
        <v>52</v>
      </c>
      <c r="E3594" s="387">
        <f t="shared" ca="1" si="223"/>
        <v>4</v>
      </c>
      <c r="F3594" s="387">
        <f t="shared" ca="1" si="224"/>
        <v>17</v>
      </c>
      <c r="G3594" s="387"/>
      <c r="H3594" s="391" t="str">
        <f t="shared" ca="1" si="220"/>
        <v/>
      </c>
      <c r="I3594" s="391" t="str">
        <f t="shared" ca="1" si="221"/>
        <v/>
      </c>
    </row>
    <row r="3595" spans="1:9">
      <c r="A3595" s="387" t="b">
        <f t="shared" ca="1" si="219"/>
        <v>0</v>
      </c>
      <c r="B3595" s="396" t="str">
        <f ca="1">IF(COUNTA(G$3060:G3594)=1,"",OFFSET(B3595,-COUNTA(G$3060:G3594)+1,0))</f>
        <v>a1bDm000000YZJCIA4</v>
      </c>
      <c r="C3595" s="392">
        <f ca="1">IF(COUNTA(G$3060:G3594)=1,"",OFFSET(C3595,-COUNTA(G$3060:G3594)+1,0))</f>
        <v>9</v>
      </c>
      <c r="D3595" s="387">
        <f t="shared" si="222"/>
        <v>53</v>
      </c>
      <c r="E3595" s="387">
        <f t="shared" ca="1" si="223"/>
        <v>5</v>
      </c>
      <c r="F3595" s="387">
        <f t="shared" ca="1" si="224"/>
        <v>17</v>
      </c>
      <c r="G3595" s="387"/>
      <c r="H3595" s="391" t="str">
        <f t="shared" ca="1" si="220"/>
        <v/>
      </c>
      <c r="I3595" s="391" t="str">
        <f t="shared" ca="1" si="221"/>
        <v/>
      </c>
    </row>
    <row r="3596" spans="1:9">
      <c r="A3596" s="387" t="b">
        <f t="shared" ca="1" si="219"/>
        <v>0</v>
      </c>
      <c r="B3596" s="396" t="str">
        <f ca="1">IF(COUNTA(G$3060:G3595)=1,"",OFFSET(B3596,-COUNTA(G$3060:G3595)+1,0))</f>
        <v>a1bDm000000YZKUIA4</v>
      </c>
      <c r="C3596" s="392">
        <f ca="1">IF(COUNTA(G$3060:G3595)=1,"",OFFSET(C3596,-COUNTA(G$3060:G3595)+1,0))</f>
        <v>9</v>
      </c>
      <c r="D3596" s="387">
        <f t="shared" si="222"/>
        <v>54</v>
      </c>
      <c r="E3596" s="387">
        <f t="shared" ca="1" si="223"/>
        <v>6</v>
      </c>
      <c r="F3596" s="387">
        <f t="shared" ca="1" si="224"/>
        <v>17</v>
      </c>
      <c r="G3596" s="387"/>
      <c r="H3596" s="391" t="str">
        <f t="shared" ca="1" si="220"/>
        <v/>
      </c>
      <c r="I3596" s="391" t="str">
        <f t="shared" ca="1" si="221"/>
        <v/>
      </c>
    </row>
    <row r="3597" spans="1:9">
      <c r="A3597" s="387" t="b">
        <f t="shared" ca="1" si="219"/>
        <v>0</v>
      </c>
      <c r="B3597" s="396" t="str">
        <f ca="1">IF(COUNTA(G$3060:G3596)=1,"",OFFSET(B3597,-COUNTA(G$3060:G3596)+1,0))</f>
        <v>a1bDm000000YZE3IAO</v>
      </c>
      <c r="C3597" s="392">
        <f ca="1">IF(COUNTA(G$3060:G3596)=1,"",OFFSET(C3597,-COUNTA(G$3060:G3596)+1,0))</f>
        <v>10</v>
      </c>
      <c r="D3597" s="387">
        <f t="shared" si="222"/>
        <v>55</v>
      </c>
      <c r="E3597" s="387">
        <f t="shared" ca="1" si="223"/>
        <v>1</v>
      </c>
      <c r="F3597" s="387">
        <f t="shared" ca="1" si="224"/>
        <v>18</v>
      </c>
      <c r="G3597" s="387"/>
      <c r="H3597" s="391" t="str">
        <f t="shared" ca="1" si="220"/>
        <v/>
      </c>
      <c r="I3597" s="391" t="str">
        <f t="shared" ca="1" si="221"/>
        <v/>
      </c>
    </row>
    <row r="3598" spans="1:9">
      <c r="A3598" s="387" t="b">
        <f t="shared" ca="1" si="219"/>
        <v>0</v>
      </c>
      <c r="B3598" s="396" t="str">
        <f ca="1">IF(COUNTA(G$3060:G3597)=1,"",OFFSET(B3598,-COUNTA(G$3060:G3597)+1,0))</f>
        <v>a1bDm000000YZFLIA4</v>
      </c>
      <c r="C3598" s="392">
        <f ca="1">IF(COUNTA(G$3060:G3597)=1,"",OFFSET(C3598,-COUNTA(G$3060:G3597)+1,0))</f>
        <v>10</v>
      </c>
      <c r="D3598" s="387">
        <f t="shared" si="222"/>
        <v>56</v>
      </c>
      <c r="E3598" s="387">
        <f t="shared" ca="1" si="223"/>
        <v>2</v>
      </c>
      <c r="F3598" s="387">
        <f t="shared" ca="1" si="224"/>
        <v>18</v>
      </c>
      <c r="G3598" s="387"/>
      <c r="H3598" s="391" t="str">
        <f t="shared" ca="1" si="220"/>
        <v/>
      </c>
      <c r="I3598" s="391" t="str">
        <f t="shared" ca="1" si="221"/>
        <v/>
      </c>
    </row>
    <row r="3599" spans="1:9">
      <c r="A3599" s="387" t="b">
        <f t="shared" ca="1" si="219"/>
        <v>0</v>
      </c>
      <c r="B3599" s="396" t="str">
        <f ca="1">IF(COUNTA(G$3060:G3598)=1,"",OFFSET(B3599,-COUNTA(G$3060:G3598)+1,0))</f>
        <v>a1bDm000000YZGdIAO</v>
      </c>
      <c r="C3599" s="392">
        <f ca="1">IF(COUNTA(G$3060:G3598)=1,"",OFFSET(C3599,-COUNTA(G$3060:G3598)+1,0))</f>
        <v>10</v>
      </c>
      <c r="D3599" s="387">
        <f t="shared" si="222"/>
        <v>57</v>
      </c>
      <c r="E3599" s="387">
        <f t="shared" ca="1" si="223"/>
        <v>3</v>
      </c>
      <c r="F3599" s="387">
        <f t="shared" ca="1" si="224"/>
        <v>18</v>
      </c>
      <c r="G3599" s="387"/>
      <c r="H3599" s="391" t="str">
        <f t="shared" ca="1" si="220"/>
        <v/>
      </c>
      <c r="I3599" s="391" t="str">
        <f t="shared" ca="1" si="221"/>
        <v/>
      </c>
    </row>
    <row r="3600" spans="1:9">
      <c r="A3600" s="387" t="b">
        <f t="shared" ca="1" si="219"/>
        <v>0</v>
      </c>
      <c r="B3600" s="396" t="str">
        <f ca="1">IF(COUNTA(G$3060:G3599)=1,"",OFFSET(B3600,-COUNTA(G$3060:G3599)+1,0))</f>
        <v>a1bDm000000YZHvIAO</v>
      </c>
      <c r="C3600" s="392">
        <f ca="1">IF(COUNTA(G$3060:G3599)=1,"",OFFSET(C3600,-COUNTA(G$3060:G3599)+1,0))</f>
        <v>10</v>
      </c>
      <c r="D3600" s="387">
        <f t="shared" si="222"/>
        <v>58</v>
      </c>
      <c r="E3600" s="387">
        <f t="shared" ca="1" si="223"/>
        <v>4</v>
      </c>
      <c r="F3600" s="387">
        <f t="shared" ca="1" si="224"/>
        <v>18</v>
      </c>
      <c r="G3600" s="387"/>
      <c r="H3600" s="391" t="str">
        <f t="shared" ca="1" si="220"/>
        <v/>
      </c>
      <c r="I3600" s="391" t="str">
        <f t="shared" ca="1" si="221"/>
        <v/>
      </c>
    </row>
    <row r="3601" spans="1:9">
      <c r="A3601" s="387" t="b">
        <f t="shared" ca="1" si="219"/>
        <v>0</v>
      </c>
      <c r="B3601" s="396" t="str">
        <f ca="1">IF(COUNTA(G$3060:G3600)=1,"",OFFSET(B3601,-COUNTA(G$3060:G3600)+1,0))</f>
        <v>a1bDm000000YZJDIA4</v>
      </c>
      <c r="C3601" s="392">
        <f ca="1">IF(COUNTA(G$3060:G3600)=1,"",OFFSET(C3601,-COUNTA(G$3060:G3600)+1,0))</f>
        <v>10</v>
      </c>
      <c r="D3601" s="387">
        <f t="shared" si="222"/>
        <v>59</v>
      </c>
      <c r="E3601" s="387">
        <f t="shared" ca="1" si="223"/>
        <v>5</v>
      </c>
      <c r="F3601" s="387">
        <f t="shared" ca="1" si="224"/>
        <v>18</v>
      </c>
      <c r="G3601" s="387"/>
      <c r="H3601" s="391" t="str">
        <f t="shared" ca="1" si="220"/>
        <v/>
      </c>
      <c r="I3601" s="391" t="str">
        <f t="shared" ca="1" si="221"/>
        <v/>
      </c>
    </row>
    <row r="3602" spans="1:9">
      <c r="A3602" s="387" t="b">
        <f t="shared" ca="1" si="219"/>
        <v>0</v>
      </c>
      <c r="B3602" s="396" t="str">
        <f ca="1">IF(COUNTA(G$3060:G3601)=1,"",OFFSET(B3602,-COUNTA(G$3060:G3601)+1,0))</f>
        <v>a1bDm000000YZKVIA4</v>
      </c>
      <c r="C3602" s="392">
        <f ca="1">IF(COUNTA(G$3060:G3601)=1,"",OFFSET(C3602,-COUNTA(G$3060:G3601)+1,0))</f>
        <v>10</v>
      </c>
      <c r="D3602" s="387">
        <f t="shared" si="222"/>
        <v>60</v>
      </c>
      <c r="E3602" s="387">
        <f t="shared" ca="1" si="223"/>
        <v>6</v>
      </c>
      <c r="F3602" s="387">
        <f t="shared" ca="1" si="224"/>
        <v>18</v>
      </c>
      <c r="G3602" s="387"/>
      <c r="H3602" s="391" t="str">
        <f t="shared" ca="1" si="220"/>
        <v/>
      </c>
      <c r="I3602" s="391" t="str">
        <f t="shared" ca="1" si="221"/>
        <v/>
      </c>
    </row>
    <row r="3603" spans="1:9">
      <c r="A3603" s="387" t="b">
        <f t="shared" ca="1" si="219"/>
        <v>0</v>
      </c>
      <c r="B3603" s="396" t="str">
        <f ca="1">IF(COUNTA(G$3060:G3602)=1,"",OFFSET(B3603,-COUNTA(G$3060:G3602)+1,0))</f>
        <v>a1bDm000000YZE4IAO</v>
      </c>
      <c r="C3603" s="392">
        <f ca="1">IF(COUNTA(G$3060:G3602)=1,"",OFFSET(C3603,-COUNTA(G$3060:G3602)+1,0))</f>
        <v>11</v>
      </c>
      <c r="D3603" s="387">
        <f t="shared" si="222"/>
        <v>61</v>
      </c>
      <c r="E3603" s="387">
        <f t="shared" ca="1" si="223"/>
        <v>1</v>
      </c>
      <c r="F3603" s="387">
        <f t="shared" ca="1" si="224"/>
        <v>19</v>
      </c>
      <c r="G3603" s="387"/>
      <c r="H3603" s="391" t="str">
        <f t="shared" ca="1" si="220"/>
        <v/>
      </c>
      <c r="I3603" s="391" t="str">
        <f t="shared" ca="1" si="221"/>
        <v/>
      </c>
    </row>
    <row r="3604" spans="1:9">
      <c r="A3604" s="387" t="b">
        <f t="shared" ca="1" si="219"/>
        <v>0</v>
      </c>
      <c r="B3604" s="396" t="str">
        <f ca="1">IF(COUNTA(G$3060:G3603)=1,"",OFFSET(B3604,-COUNTA(G$3060:G3603)+1,0))</f>
        <v>a1bDm000000YZFMIA4</v>
      </c>
      <c r="C3604" s="392">
        <f ca="1">IF(COUNTA(G$3060:G3603)=1,"",OFFSET(C3604,-COUNTA(G$3060:G3603)+1,0))</f>
        <v>11</v>
      </c>
      <c r="D3604" s="387">
        <f t="shared" si="222"/>
        <v>62</v>
      </c>
      <c r="E3604" s="387">
        <f t="shared" ca="1" si="223"/>
        <v>2</v>
      </c>
      <c r="F3604" s="387">
        <f t="shared" ca="1" si="224"/>
        <v>19</v>
      </c>
      <c r="G3604" s="387"/>
      <c r="H3604" s="391" t="str">
        <f t="shared" ca="1" si="220"/>
        <v/>
      </c>
      <c r="I3604" s="391" t="str">
        <f t="shared" ca="1" si="221"/>
        <v/>
      </c>
    </row>
    <row r="3605" spans="1:9">
      <c r="A3605" s="387" t="b">
        <f t="shared" ca="1" si="219"/>
        <v>0</v>
      </c>
      <c r="B3605" s="396" t="str">
        <f ca="1">IF(COUNTA(G$3060:G3604)=1,"",OFFSET(B3605,-COUNTA(G$3060:G3604)+1,0))</f>
        <v>a1bDm000000YZGeIAO</v>
      </c>
      <c r="C3605" s="392">
        <f ca="1">IF(COUNTA(G$3060:G3604)=1,"",OFFSET(C3605,-COUNTA(G$3060:G3604)+1,0))</f>
        <v>11</v>
      </c>
      <c r="D3605" s="387">
        <f t="shared" si="222"/>
        <v>63</v>
      </c>
      <c r="E3605" s="387">
        <f t="shared" ca="1" si="223"/>
        <v>3</v>
      </c>
      <c r="F3605" s="387">
        <f t="shared" ca="1" si="224"/>
        <v>19</v>
      </c>
      <c r="G3605" s="387"/>
      <c r="H3605" s="391" t="str">
        <f t="shared" ca="1" si="220"/>
        <v/>
      </c>
      <c r="I3605" s="391" t="str">
        <f t="shared" ca="1" si="221"/>
        <v/>
      </c>
    </row>
    <row r="3606" spans="1:9">
      <c r="A3606" s="387" t="b">
        <f t="shared" ca="1" si="219"/>
        <v>0</v>
      </c>
      <c r="B3606" s="396" t="str">
        <f ca="1">IF(COUNTA(G$3060:G3605)=1,"",OFFSET(B3606,-COUNTA(G$3060:G3605)+1,0))</f>
        <v>a1bDm000000YZHwIAO</v>
      </c>
      <c r="C3606" s="392">
        <f ca="1">IF(COUNTA(G$3060:G3605)=1,"",OFFSET(C3606,-COUNTA(G$3060:G3605)+1,0))</f>
        <v>11</v>
      </c>
      <c r="D3606" s="387">
        <f t="shared" si="222"/>
        <v>64</v>
      </c>
      <c r="E3606" s="387">
        <f t="shared" ca="1" si="223"/>
        <v>4</v>
      </c>
      <c r="F3606" s="387">
        <f t="shared" ca="1" si="224"/>
        <v>19</v>
      </c>
      <c r="G3606" s="387"/>
      <c r="H3606" s="391" t="str">
        <f t="shared" ca="1" si="220"/>
        <v/>
      </c>
      <c r="I3606" s="391" t="str">
        <f t="shared" ca="1" si="221"/>
        <v/>
      </c>
    </row>
    <row r="3607" spans="1:9">
      <c r="A3607" s="387" t="b">
        <f t="shared" ref="A3607:A3670" ca="1" si="225">IF(OR(AND(H3607&lt;&gt;"", H3607&lt;&gt;0), AND(I3607&lt;&gt;"",I3607&lt;&gt;0)),TRUE,FALSE)</f>
        <v>0</v>
      </c>
      <c r="B3607" s="396" t="str">
        <f ca="1">IF(COUNTA(G$3060:G3606)=1,"",OFFSET(B3607,-COUNTA(G$3060:G3606)+1,0))</f>
        <v>a1bDm000000YZJEIA4</v>
      </c>
      <c r="C3607" s="392">
        <f ca="1">IF(COUNTA(G$3060:G3606)=1,"",OFFSET(C3607,-COUNTA(G$3060:G3606)+1,0))</f>
        <v>11</v>
      </c>
      <c r="D3607" s="387">
        <f t="shared" si="222"/>
        <v>65</v>
      </c>
      <c r="E3607" s="387">
        <f t="shared" ca="1" si="223"/>
        <v>5</v>
      </c>
      <c r="F3607" s="387">
        <f t="shared" ca="1" si="224"/>
        <v>19</v>
      </c>
      <c r="G3607" s="387"/>
      <c r="H3607" s="391" t="str">
        <f t="shared" ref="H3607:H3670" ca="1" si="226">CHOOSE(E3607,IFERROR(IF(INDIRECT("'WPTM - Section F'!H"&amp;F3607)=0,"",INDIRECT("'WPTM - Section F'!H"&amp;$F3607)),""),IFERROR(IF(INDIRECT("'WPTM - Section F'!J"&amp;F3607)=0,"",INDIRECT("'WPTM - Section F'!J"&amp;$F3607)),""),IFERROR(IF(INDIRECT("'WPTM - Section F'!L"&amp;F3607)=0,"",INDIRECT("'WPTM - Section F'!L"&amp;$F3607)),""),IFERROR(IF(INDIRECT("'WPTM - Section F'!N"&amp;F3607)=0,"",INDIRECT("'WPTM - Section F'!N"&amp;$F3607)),""),IFERROR(IF(INDIRECT("'WPTM - Section F'!P"&amp;F3607)=0,"",INDIRECT("'WPTM - Section F'!P"&amp;$F3607)),""),IFERROR(IF(INDIRECT("'WPTM - Section F'!R"&amp;F3607)=0,"",INDIRECT("'WPTM - Section F'!R"&amp;$F3607)),""),IFERROR(IF(INDIRECT("'WPTM - Section F'!T"&amp;F3607)=0,"",INDIRECT("'WPTM - Section F'!T"&amp;$F3607)),""),IFERROR(IF(INDIRECT("'WPTM - Section F'!V"&amp;F3607)=0,"",INDIRECT("'WPTM - Section F'!V"&amp;$F3607)),""),)</f>
        <v/>
      </c>
      <c r="I3607" s="391" t="str">
        <f t="shared" ref="I3607:I3670" ca="1" si="227">CHOOSE(E3607,IFERROR(IF(INDIRECT("'WPTM - Section F'!G"&amp;F3607)=0,"",INDIRECT("'WPTM - Section F'!G"&amp;$F3607)),""),IFERROR(IF(INDIRECT("'WPTM - Section F'!I"&amp;F3607)=0,"",INDIRECT("'WPTM - Section F'!I"&amp;$F3607)),""),IFERROR(IF(INDIRECT("'WPTM - Section F'!K"&amp;F3607)=0,"",INDIRECT("'WPTM - Section F'!K"&amp;$F3607)),""),IFERROR(IF(INDIRECT("'WPTM - Section F'!M"&amp;F3607)=0,"",INDIRECT("'WPTM - Section F'!M"&amp;$F3607)),""),IFERROR(IF(INDIRECT("'WPTM - Section F'!O"&amp;F3607)=0,"",INDIRECT("'WPTM - Section F'!O"&amp;$F3607)),""),IFERROR(IF(INDIRECT("'WPTM - Section F'!Q"&amp;F3607)=0,"",INDIRECT("'WPTM - Section F'!Q"&amp;$F3607)),""),IFERROR(IF(INDIRECT("'WPTM - Section F'!S"&amp;F3607)=0,"",INDIRECT("'WPTM - Section F'!S"&amp;$F3607)),""),IFERROR(IF(INDIRECT("'WPTM - Section F'!U"&amp;F3607)=0,"",INDIRECT("'WPTM - Section F'!U"&amp;$F3607)),""),)</f>
        <v/>
      </c>
    </row>
    <row r="3608" spans="1:9">
      <c r="A3608" s="387" t="b">
        <f t="shared" ca="1" si="225"/>
        <v>0</v>
      </c>
      <c r="B3608" s="396" t="str">
        <f ca="1">IF(COUNTA(G$3060:G3607)=1,"",OFFSET(B3608,-COUNTA(G$3060:G3607)+1,0))</f>
        <v>a1bDm000000YZKWIA4</v>
      </c>
      <c r="C3608" s="392">
        <f ca="1">IF(COUNTA(G$3060:G3607)=1,"",OFFSET(C3608,-COUNTA(G$3060:G3607)+1,0))</f>
        <v>11</v>
      </c>
      <c r="D3608" s="387">
        <f t="shared" si="222"/>
        <v>66</v>
      </c>
      <c r="E3608" s="387">
        <f t="shared" ca="1" si="223"/>
        <v>6</v>
      </c>
      <c r="F3608" s="387">
        <f t="shared" ca="1" si="224"/>
        <v>19</v>
      </c>
      <c r="G3608" s="387"/>
      <c r="H3608" s="391" t="str">
        <f t="shared" ca="1" si="226"/>
        <v/>
      </c>
      <c r="I3608" s="391" t="str">
        <f t="shared" ca="1" si="227"/>
        <v/>
      </c>
    </row>
    <row r="3609" spans="1:9">
      <c r="A3609" s="387" t="b">
        <f t="shared" ca="1" si="225"/>
        <v>0</v>
      </c>
      <c r="B3609" s="396" t="str">
        <f ca="1">IF(COUNTA(G$3060:G3608)=1,"",OFFSET(B3609,-COUNTA(G$3060:G3608)+1,0))</f>
        <v>a1bDm000000YZE5IAO</v>
      </c>
      <c r="C3609" s="392">
        <f ca="1">IF(COUNTA(G$3060:G3608)=1,"",OFFSET(C3609,-COUNTA(G$3060:G3608)+1,0))</f>
        <v>12</v>
      </c>
      <c r="D3609" s="387">
        <f t="shared" si="222"/>
        <v>67</v>
      </c>
      <c r="E3609" s="387">
        <f t="shared" ca="1" si="223"/>
        <v>1</v>
      </c>
      <c r="F3609" s="387">
        <f t="shared" ca="1" si="224"/>
        <v>20</v>
      </c>
      <c r="G3609" s="387"/>
      <c r="H3609" s="391" t="str">
        <f t="shared" ca="1" si="226"/>
        <v/>
      </c>
      <c r="I3609" s="391" t="str">
        <f t="shared" ca="1" si="227"/>
        <v/>
      </c>
    </row>
    <row r="3610" spans="1:9">
      <c r="A3610" s="387" t="b">
        <f t="shared" ca="1" si="225"/>
        <v>0</v>
      </c>
      <c r="B3610" s="396" t="str">
        <f ca="1">IF(COUNTA(G$3060:G3609)=1,"",OFFSET(B3610,-COUNTA(G$3060:G3609)+1,0))</f>
        <v>a1bDm000000YZFNIA4</v>
      </c>
      <c r="C3610" s="392">
        <f ca="1">IF(COUNTA(G$3060:G3609)=1,"",OFFSET(C3610,-COUNTA(G$3060:G3609)+1,0))</f>
        <v>12</v>
      </c>
      <c r="D3610" s="387">
        <f t="shared" si="222"/>
        <v>68</v>
      </c>
      <c r="E3610" s="387">
        <f t="shared" ca="1" si="223"/>
        <v>2</v>
      </c>
      <c r="F3610" s="387">
        <f t="shared" ca="1" si="224"/>
        <v>20</v>
      </c>
      <c r="G3610" s="387"/>
      <c r="H3610" s="391" t="str">
        <f t="shared" ca="1" si="226"/>
        <v/>
      </c>
      <c r="I3610" s="391" t="str">
        <f t="shared" ca="1" si="227"/>
        <v/>
      </c>
    </row>
    <row r="3611" spans="1:9">
      <c r="A3611" s="387" t="b">
        <f t="shared" ca="1" si="225"/>
        <v>0</v>
      </c>
      <c r="B3611" s="396" t="str">
        <f ca="1">IF(COUNTA(G$3060:G3610)=1,"",OFFSET(B3611,-COUNTA(G$3060:G3610)+1,0))</f>
        <v>a1bDm000000YZGfIAO</v>
      </c>
      <c r="C3611" s="392">
        <f ca="1">IF(COUNTA(G$3060:G3610)=1,"",OFFSET(C3611,-COUNTA(G$3060:G3610)+1,0))</f>
        <v>12</v>
      </c>
      <c r="D3611" s="387">
        <f t="shared" si="222"/>
        <v>69</v>
      </c>
      <c r="E3611" s="387">
        <f t="shared" ca="1" si="223"/>
        <v>3</v>
      </c>
      <c r="F3611" s="387">
        <f t="shared" ca="1" si="224"/>
        <v>20</v>
      </c>
      <c r="G3611" s="387"/>
      <c r="H3611" s="391" t="str">
        <f t="shared" ca="1" si="226"/>
        <v/>
      </c>
      <c r="I3611" s="391" t="str">
        <f t="shared" ca="1" si="227"/>
        <v/>
      </c>
    </row>
    <row r="3612" spans="1:9">
      <c r="A3612" s="387" t="b">
        <f t="shared" ca="1" si="225"/>
        <v>0</v>
      </c>
      <c r="B3612" s="396" t="str">
        <f ca="1">IF(COUNTA(G$3060:G3611)=1,"",OFFSET(B3612,-COUNTA(G$3060:G3611)+1,0))</f>
        <v>a1bDm000000YZHxIAO</v>
      </c>
      <c r="C3612" s="392">
        <f ca="1">IF(COUNTA(G$3060:G3611)=1,"",OFFSET(C3612,-COUNTA(G$3060:G3611)+1,0))</f>
        <v>12</v>
      </c>
      <c r="D3612" s="387">
        <f t="shared" si="222"/>
        <v>70</v>
      </c>
      <c r="E3612" s="387">
        <f t="shared" ca="1" si="223"/>
        <v>4</v>
      </c>
      <c r="F3612" s="387">
        <f t="shared" ca="1" si="224"/>
        <v>20</v>
      </c>
      <c r="G3612" s="387"/>
      <c r="H3612" s="391" t="str">
        <f t="shared" ca="1" si="226"/>
        <v/>
      </c>
      <c r="I3612" s="391" t="str">
        <f t="shared" ca="1" si="227"/>
        <v/>
      </c>
    </row>
    <row r="3613" spans="1:9">
      <c r="A3613" s="387" t="b">
        <f t="shared" ca="1" si="225"/>
        <v>0</v>
      </c>
      <c r="B3613" s="396" t="str">
        <f ca="1">IF(COUNTA(G$3060:G3612)=1,"",OFFSET(B3613,-COUNTA(G$3060:G3612)+1,0))</f>
        <v>a1bDm000000YZJFIA4</v>
      </c>
      <c r="C3613" s="392">
        <f ca="1">IF(COUNTA(G$3060:G3612)=1,"",OFFSET(C3613,-COUNTA(G$3060:G3612)+1,0))</f>
        <v>12</v>
      </c>
      <c r="D3613" s="387">
        <f t="shared" si="222"/>
        <v>71</v>
      </c>
      <c r="E3613" s="387">
        <f t="shared" ca="1" si="223"/>
        <v>5</v>
      </c>
      <c r="F3613" s="387">
        <f t="shared" ca="1" si="224"/>
        <v>20</v>
      </c>
      <c r="G3613" s="387"/>
      <c r="H3613" s="391" t="str">
        <f t="shared" ca="1" si="226"/>
        <v/>
      </c>
      <c r="I3613" s="391" t="str">
        <f t="shared" ca="1" si="227"/>
        <v/>
      </c>
    </row>
    <row r="3614" spans="1:9">
      <c r="A3614" s="387" t="b">
        <f t="shared" ca="1" si="225"/>
        <v>0</v>
      </c>
      <c r="B3614" s="396" t="str">
        <f ca="1">IF(COUNTA(G$3060:G3613)=1,"",OFFSET(B3614,-COUNTA(G$3060:G3613)+1,0))</f>
        <v>a1bDm000000YZKXIA4</v>
      </c>
      <c r="C3614" s="392">
        <f ca="1">IF(COUNTA(G$3060:G3613)=1,"",OFFSET(C3614,-COUNTA(G$3060:G3613)+1,0))</f>
        <v>12</v>
      </c>
      <c r="D3614" s="387">
        <f t="shared" si="222"/>
        <v>72</v>
      </c>
      <c r="E3614" s="387">
        <f t="shared" ca="1" si="223"/>
        <v>6</v>
      </c>
      <c r="F3614" s="387">
        <f t="shared" ca="1" si="224"/>
        <v>20</v>
      </c>
      <c r="G3614" s="387"/>
      <c r="H3614" s="391" t="str">
        <f t="shared" ca="1" si="226"/>
        <v/>
      </c>
      <c r="I3614" s="391" t="str">
        <f t="shared" ca="1" si="227"/>
        <v/>
      </c>
    </row>
    <row r="3615" spans="1:9">
      <c r="A3615" s="387" t="b">
        <f t="shared" ca="1" si="225"/>
        <v>0</v>
      </c>
      <c r="B3615" s="396" t="str">
        <f ca="1">IF(COUNTA(G$3060:G3614)=1,"",OFFSET(B3615,-COUNTA(G$3060:G3614)+1,0))</f>
        <v>a1bDm000000YZE6IAO</v>
      </c>
      <c r="C3615" s="392">
        <f ca="1">IF(COUNTA(G$3060:G3614)=1,"",OFFSET(C3615,-COUNTA(G$3060:G3614)+1,0))</f>
        <v>13</v>
      </c>
      <c r="D3615" s="387">
        <f t="shared" si="222"/>
        <v>73</v>
      </c>
      <c r="E3615" s="387">
        <f t="shared" ca="1" si="223"/>
        <v>1</v>
      </c>
      <c r="F3615" s="387">
        <f t="shared" ca="1" si="224"/>
        <v>21</v>
      </c>
      <c r="G3615" s="387"/>
      <c r="H3615" s="391" t="str">
        <f t="shared" ca="1" si="226"/>
        <v/>
      </c>
      <c r="I3615" s="391" t="str">
        <f t="shared" ca="1" si="227"/>
        <v/>
      </c>
    </row>
    <row r="3616" spans="1:9">
      <c r="A3616" s="387" t="b">
        <f t="shared" ca="1" si="225"/>
        <v>0</v>
      </c>
      <c r="B3616" s="396" t="str">
        <f ca="1">IF(COUNTA(G$3060:G3615)=1,"",OFFSET(B3616,-COUNTA(G$3060:G3615)+1,0))</f>
        <v>a1bDm000000YZFOIA4</v>
      </c>
      <c r="C3616" s="392">
        <f ca="1">IF(COUNTA(G$3060:G3615)=1,"",OFFSET(C3616,-COUNTA(G$3060:G3615)+1,0))</f>
        <v>13</v>
      </c>
      <c r="D3616" s="387">
        <f t="shared" si="222"/>
        <v>74</v>
      </c>
      <c r="E3616" s="387">
        <f t="shared" ca="1" si="223"/>
        <v>2</v>
      </c>
      <c r="F3616" s="387">
        <f t="shared" ca="1" si="224"/>
        <v>21</v>
      </c>
      <c r="G3616" s="387"/>
      <c r="H3616" s="391" t="str">
        <f t="shared" ca="1" si="226"/>
        <v/>
      </c>
      <c r="I3616" s="391" t="str">
        <f t="shared" ca="1" si="227"/>
        <v/>
      </c>
    </row>
    <row r="3617" spans="1:9">
      <c r="A3617" s="387" t="b">
        <f t="shared" ca="1" si="225"/>
        <v>0</v>
      </c>
      <c r="B3617" s="396" t="str">
        <f ca="1">IF(COUNTA(G$3060:G3616)=1,"",OFFSET(B3617,-COUNTA(G$3060:G3616)+1,0))</f>
        <v>a1bDm000000YZGgIAO</v>
      </c>
      <c r="C3617" s="392">
        <f ca="1">IF(COUNTA(G$3060:G3616)=1,"",OFFSET(C3617,-COUNTA(G$3060:G3616)+1,0))</f>
        <v>13</v>
      </c>
      <c r="D3617" s="387">
        <f t="shared" si="222"/>
        <v>75</v>
      </c>
      <c r="E3617" s="387">
        <f t="shared" ca="1" si="223"/>
        <v>3</v>
      </c>
      <c r="F3617" s="387">
        <f t="shared" ca="1" si="224"/>
        <v>21</v>
      </c>
      <c r="G3617" s="387"/>
      <c r="H3617" s="391" t="str">
        <f t="shared" ca="1" si="226"/>
        <v/>
      </c>
      <c r="I3617" s="391" t="str">
        <f t="shared" ca="1" si="227"/>
        <v/>
      </c>
    </row>
    <row r="3618" spans="1:9">
      <c r="A3618" s="387" t="b">
        <f t="shared" ca="1" si="225"/>
        <v>0</v>
      </c>
      <c r="B3618" s="396" t="str">
        <f ca="1">IF(COUNTA(G$3060:G3617)=1,"",OFFSET(B3618,-COUNTA(G$3060:G3617)+1,0))</f>
        <v>a1bDm000000YZJGIA4</v>
      </c>
      <c r="C3618" s="392">
        <f ca="1">IF(COUNTA(G$3060:G3617)=1,"",OFFSET(C3618,-COUNTA(G$3060:G3617)+1,0))</f>
        <v>13</v>
      </c>
      <c r="D3618" s="387">
        <f t="shared" si="222"/>
        <v>76</v>
      </c>
      <c r="E3618" s="387">
        <f t="shared" ca="1" si="223"/>
        <v>4</v>
      </c>
      <c r="F3618" s="387">
        <f t="shared" ca="1" si="224"/>
        <v>21</v>
      </c>
      <c r="G3618" s="387"/>
      <c r="H3618" s="391" t="str">
        <f t="shared" ca="1" si="226"/>
        <v/>
      </c>
      <c r="I3618" s="391" t="str">
        <f t="shared" ca="1" si="227"/>
        <v/>
      </c>
    </row>
    <row r="3619" spans="1:9">
      <c r="A3619" s="387" t="b">
        <f t="shared" ca="1" si="225"/>
        <v>0</v>
      </c>
      <c r="B3619" s="396" t="str">
        <f ca="1">IF(COUNTA(G$3060:G3618)=1,"",OFFSET(B3619,-COUNTA(G$3060:G3618)+1,0))</f>
        <v>a1bDm000000YZKYIA4</v>
      </c>
      <c r="C3619" s="392">
        <f ca="1">IF(COUNTA(G$3060:G3618)=1,"",OFFSET(C3619,-COUNTA(G$3060:G3618)+1,0))</f>
        <v>13</v>
      </c>
      <c r="D3619" s="387">
        <f t="shared" si="222"/>
        <v>77</v>
      </c>
      <c r="E3619" s="387">
        <f t="shared" ca="1" si="223"/>
        <v>5</v>
      </c>
      <c r="F3619" s="387">
        <f t="shared" ca="1" si="224"/>
        <v>21</v>
      </c>
      <c r="G3619" s="387"/>
      <c r="H3619" s="391" t="str">
        <f t="shared" ca="1" si="226"/>
        <v/>
      </c>
      <c r="I3619" s="391" t="str">
        <f t="shared" ca="1" si="227"/>
        <v/>
      </c>
    </row>
    <row r="3620" spans="1:9">
      <c r="A3620" s="387" t="b">
        <f t="shared" ca="1" si="225"/>
        <v>0</v>
      </c>
      <c r="B3620" s="396" t="str">
        <f ca="1">IF(COUNTA(G$3060:G3619)=1,"",OFFSET(B3620,-COUNTA(G$3060:G3619)+1,0))</f>
        <v>a1bDm000000YZHyIAO</v>
      </c>
      <c r="C3620" s="392">
        <f ca="1">IF(COUNTA(G$3060:G3619)=1,"",OFFSET(C3620,-COUNTA(G$3060:G3619)+1,0))</f>
        <v>13</v>
      </c>
      <c r="D3620" s="387">
        <f t="shared" si="222"/>
        <v>78</v>
      </c>
      <c r="E3620" s="387">
        <f t="shared" ca="1" si="223"/>
        <v>6</v>
      </c>
      <c r="F3620" s="387">
        <f t="shared" ca="1" si="224"/>
        <v>21</v>
      </c>
      <c r="G3620" s="387"/>
      <c r="H3620" s="391" t="str">
        <f t="shared" ca="1" si="226"/>
        <v/>
      </c>
      <c r="I3620" s="391" t="str">
        <f t="shared" ca="1" si="227"/>
        <v/>
      </c>
    </row>
    <row r="3621" spans="1:9">
      <c r="A3621" s="387" t="b">
        <f t="shared" ca="1" si="225"/>
        <v>0</v>
      </c>
      <c r="B3621" s="396" t="str">
        <f ca="1">IF(COUNTA(G$3060:G3620)=1,"",OFFSET(B3621,-COUNTA(G$3060:G3620)+1,0))</f>
        <v>a1bDm000000YZE7IAO</v>
      </c>
      <c r="C3621" s="392">
        <f ca="1">IF(COUNTA(G$3060:G3620)=1,"",OFFSET(C3621,-COUNTA(G$3060:G3620)+1,0))</f>
        <v>14</v>
      </c>
      <c r="D3621" s="387">
        <f t="shared" si="222"/>
        <v>79</v>
      </c>
      <c r="E3621" s="387">
        <f t="shared" ca="1" si="223"/>
        <v>1</v>
      </c>
      <c r="F3621" s="387">
        <f t="shared" ca="1" si="224"/>
        <v>22</v>
      </c>
      <c r="G3621" s="387"/>
      <c r="H3621" s="391" t="str">
        <f t="shared" ca="1" si="226"/>
        <v/>
      </c>
      <c r="I3621" s="391" t="str">
        <f t="shared" ca="1" si="227"/>
        <v/>
      </c>
    </row>
    <row r="3622" spans="1:9">
      <c r="A3622" s="387" t="b">
        <f t="shared" ca="1" si="225"/>
        <v>0</v>
      </c>
      <c r="B3622" s="396" t="str">
        <f ca="1">IF(COUNTA(G$3060:G3621)=1,"",OFFSET(B3622,-COUNTA(G$3060:G3621)+1,0))</f>
        <v>a1bDm000000YZFPIA4</v>
      </c>
      <c r="C3622" s="392">
        <f ca="1">IF(COUNTA(G$3060:G3621)=1,"",OFFSET(C3622,-COUNTA(G$3060:G3621)+1,0))</f>
        <v>14</v>
      </c>
      <c r="D3622" s="387">
        <f t="shared" si="222"/>
        <v>80</v>
      </c>
      <c r="E3622" s="387">
        <f t="shared" ca="1" si="223"/>
        <v>2</v>
      </c>
      <c r="F3622" s="387">
        <f t="shared" ca="1" si="224"/>
        <v>22</v>
      </c>
      <c r="G3622" s="387"/>
      <c r="H3622" s="391" t="str">
        <f t="shared" ca="1" si="226"/>
        <v/>
      </c>
      <c r="I3622" s="391" t="str">
        <f t="shared" ca="1" si="227"/>
        <v/>
      </c>
    </row>
    <row r="3623" spans="1:9">
      <c r="A3623" s="387" t="b">
        <f t="shared" ca="1" si="225"/>
        <v>0</v>
      </c>
      <c r="B3623" s="396" t="str">
        <f ca="1">IF(COUNTA(G$3060:G3622)=1,"",OFFSET(B3623,-COUNTA(G$3060:G3622)+1,0))</f>
        <v>a1bDm000000YZJHIA4</v>
      </c>
      <c r="C3623" s="392">
        <f ca="1">IF(COUNTA(G$3060:G3622)=1,"",OFFSET(C3623,-COUNTA(G$3060:G3622)+1,0))</f>
        <v>14</v>
      </c>
      <c r="D3623" s="387">
        <f t="shared" si="222"/>
        <v>81</v>
      </c>
      <c r="E3623" s="387">
        <f t="shared" ca="1" si="223"/>
        <v>3</v>
      </c>
      <c r="F3623" s="387">
        <f t="shared" ca="1" si="224"/>
        <v>22</v>
      </c>
      <c r="G3623" s="387"/>
      <c r="H3623" s="391" t="str">
        <f t="shared" ca="1" si="226"/>
        <v/>
      </c>
      <c r="I3623" s="391" t="str">
        <f t="shared" ca="1" si="227"/>
        <v/>
      </c>
    </row>
    <row r="3624" spans="1:9">
      <c r="A3624" s="387" t="b">
        <f t="shared" ca="1" si="225"/>
        <v>0</v>
      </c>
      <c r="B3624" s="396" t="str">
        <f ca="1">IF(COUNTA(G$3060:G3623)=1,"",OFFSET(B3624,-COUNTA(G$3060:G3623)+1,0))</f>
        <v>a1bDm000000YZKZIA4</v>
      </c>
      <c r="C3624" s="392">
        <f ca="1">IF(COUNTA(G$3060:G3623)=1,"",OFFSET(C3624,-COUNTA(G$3060:G3623)+1,0))</f>
        <v>14</v>
      </c>
      <c r="D3624" s="387">
        <f t="shared" si="222"/>
        <v>82</v>
      </c>
      <c r="E3624" s="387">
        <f t="shared" ca="1" si="223"/>
        <v>4</v>
      </c>
      <c r="F3624" s="387">
        <f t="shared" ca="1" si="224"/>
        <v>22</v>
      </c>
      <c r="G3624" s="387"/>
      <c r="H3624" s="391" t="str">
        <f t="shared" ca="1" si="226"/>
        <v/>
      </c>
      <c r="I3624" s="391" t="str">
        <f t="shared" ca="1" si="227"/>
        <v/>
      </c>
    </row>
    <row r="3625" spans="1:9">
      <c r="A3625" s="387" t="b">
        <f t="shared" ca="1" si="225"/>
        <v>0</v>
      </c>
      <c r="B3625" s="396" t="str">
        <f ca="1">IF(COUNTA(G$3060:G3624)=1,"",OFFSET(B3625,-COUNTA(G$3060:G3624)+1,0))</f>
        <v>a1bDm000000YZHzIAO</v>
      </c>
      <c r="C3625" s="392">
        <f ca="1">IF(COUNTA(G$3060:G3624)=1,"",OFFSET(C3625,-COUNTA(G$3060:G3624)+1,0))</f>
        <v>14</v>
      </c>
      <c r="D3625" s="387">
        <f t="shared" si="222"/>
        <v>83</v>
      </c>
      <c r="E3625" s="387">
        <f t="shared" ca="1" si="223"/>
        <v>5</v>
      </c>
      <c r="F3625" s="387">
        <f t="shared" ca="1" si="224"/>
        <v>22</v>
      </c>
      <c r="G3625" s="387"/>
      <c r="H3625" s="391" t="str">
        <f t="shared" ca="1" si="226"/>
        <v/>
      </c>
      <c r="I3625" s="391" t="str">
        <f t="shared" ca="1" si="227"/>
        <v/>
      </c>
    </row>
    <row r="3626" spans="1:9">
      <c r="A3626" s="387" t="b">
        <f t="shared" ca="1" si="225"/>
        <v>0</v>
      </c>
      <c r="B3626" s="396" t="str">
        <f ca="1">IF(COUNTA(G$3060:G3625)=1,"",OFFSET(B3626,-COUNTA(G$3060:G3625)+1,0))</f>
        <v>a1bDm000000YZGhIAO</v>
      </c>
      <c r="C3626" s="392">
        <f ca="1">IF(COUNTA(G$3060:G3625)=1,"",OFFSET(C3626,-COUNTA(G$3060:G3625)+1,0))</f>
        <v>14</v>
      </c>
      <c r="D3626" s="387">
        <f t="shared" si="222"/>
        <v>84</v>
      </c>
      <c r="E3626" s="387">
        <f t="shared" ca="1" si="223"/>
        <v>6</v>
      </c>
      <c r="F3626" s="387">
        <f t="shared" ca="1" si="224"/>
        <v>22</v>
      </c>
      <c r="G3626" s="387"/>
      <c r="H3626" s="391" t="str">
        <f t="shared" ca="1" si="226"/>
        <v/>
      </c>
      <c r="I3626" s="391" t="str">
        <f t="shared" ca="1" si="227"/>
        <v/>
      </c>
    </row>
    <row r="3627" spans="1:9">
      <c r="A3627" s="387" t="b">
        <f t="shared" ca="1" si="225"/>
        <v>0</v>
      </c>
      <c r="B3627" s="396" t="str">
        <f ca="1">IF(COUNTA(G$3060:G3626)=1,"",OFFSET(B3627,-COUNTA(G$3060:G3626)+1,0))</f>
        <v>a1bDm000000YZE8IAO</v>
      </c>
      <c r="C3627" s="392">
        <f ca="1">IF(COUNTA(G$3060:G3626)=1,"",OFFSET(C3627,-COUNTA(G$3060:G3626)+1,0))</f>
        <v>15</v>
      </c>
      <c r="D3627" s="387">
        <f t="shared" si="222"/>
        <v>85</v>
      </c>
      <c r="E3627" s="387">
        <f t="shared" ca="1" si="223"/>
        <v>1</v>
      </c>
      <c r="F3627" s="387">
        <f t="shared" ca="1" si="224"/>
        <v>23</v>
      </c>
      <c r="G3627" s="387"/>
      <c r="H3627" s="391" t="str">
        <f t="shared" ca="1" si="226"/>
        <v/>
      </c>
      <c r="I3627" s="391" t="str">
        <f t="shared" ca="1" si="227"/>
        <v/>
      </c>
    </row>
    <row r="3628" spans="1:9">
      <c r="A3628" s="387" t="b">
        <f t="shared" ca="1" si="225"/>
        <v>0</v>
      </c>
      <c r="B3628" s="396" t="str">
        <f ca="1">IF(COUNTA(G$3060:G3627)=1,"",OFFSET(B3628,-COUNTA(G$3060:G3627)+1,0))</f>
        <v>a1bDm000000YZFQIA4</v>
      </c>
      <c r="C3628" s="392">
        <f ca="1">IF(COUNTA(G$3060:G3627)=1,"",OFFSET(C3628,-COUNTA(G$3060:G3627)+1,0))</f>
        <v>15</v>
      </c>
      <c r="D3628" s="387">
        <f t="shared" si="222"/>
        <v>86</v>
      </c>
      <c r="E3628" s="387">
        <f t="shared" ca="1" si="223"/>
        <v>2</v>
      </c>
      <c r="F3628" s="387">
        <f t="shared" ca="1" si="224"/>
        <v>23</v>
      </c>
      <c r="G3628" s="387"/>
      <c r="H3628" s="391" t="str">
        <f t="shared" ca="1" si="226"/>
        <v/>
      </c>
      <c r="I3628" s="391" t="str">
        <f t="shared" ca="1" si="227"/>
        <v/>
      </c>
    </row>
    <row r="3629" spans="1:9">
      <c r="A3629" s="387" t="b">
        <f t="shared" ca="1" si="225"/>
        <v>0</v>
      </c>
      <c r="B3629" s="396" t="str">
        <f ca="1">IF(COUNTA(G$3060:G3628)=1,"",OFFSET(B3629,-COUNTA(G$3060:G3628)+1,0))</f>
        <v>a1bDm000000YZJIIA4</v>
      </c>
      <c r="C3629" s="392">
        <f ca="1">IF(COUNTA(G$3060:G3628)=1,"",OFFSET(C3629,-COUNTA(G$3060:G3628)+1,0))</f>
        <v>15</v>
      </c>
      <c r="D3629" s="387">
        <f t="shared" si="222"/>
        <v>87</v>
      </c>
      <c r="E3629" s="387">
        <f t="shared" ca="1" si="223"/>
        <v>3</v>
      </c>
      <c r="F3629" s="387">
        <f t="shared" ca="1" si="224"/>
        <v>23</v>
      </c>
      <c r="G3629" s="387"/>
      <c r="H3629" s="391" t="str">
        <f t="shared" ca="1" si="226"/>
        <v/>
      </c>
      <c r="I3629" s="391" t="str">
        <f t="shared" ca="1" si="227"/>
        <v/>
      </c>
    </row>
    <row r="3630" spans="1:9">
      <c r="A3630" s="387" t="b">
        <f t="shared" ca="1" si="225"/>
        <v>0</v>
      </c>
      <c r="B3630" s="396" t="str">
        <f ca="1">IF(COUNTA(G$3060:G3629)=1,"",OFFSET(B3630,-COUNTA(G$3060:G3629)+1,0))</f>
        <v>a1bDm000000YZKaIAO</v>
      </c>
      <c r="C3630" s="392">
        <f ca="1">IF(COUNTA(G$3060:G3629)=1,"",OFFSET(C3630,-COUNTA(G$3060:G3629)+1,0))</f>
        <v>15</v>
      </c>
      <c r="D3630" s="387">
        <f t="shared" si="222"/>
        <v>88</v>
      </c>
      <c r="E3630" s="387">
        <f t="shared" ca="1" si="223"/>
        <v>4</v>
      </c>
      <c r="F3630" s="387">
        <f t="shared" ca="1" si="224"/>
        <v>23</v>
      </c>
      <c r="G3630" s="387"/>
      <c r="H3630" s="391" t="str">
        <f t="shared" ca="1" si="226"/>
        <v/>
      </c>
      <c r="I3630" s="391" t="str">
        <f t="shared" ca="1" si="227"/>
        <v/>
      </c>
    </row>
    <row r="3631" spans="1:9">
      <c r="A3631" s="387" t="b">
        <f t="shared" ca="1" si="225"/>
        <v>0</v>
      </c>
      <c r="B3631" s="396" t="str">
        <f ca="1">IF(COUNTA(G$3060:G3630)=1,"",OFFSET(B3631,-COUNTA(G$3060:G3630)+1,0))</f>
        <v>a1bDm000000YZI0IAO</v>
      </c>
      <c r="C3631" s="392">
        <f ca="1">IF(COUNTA(G$3060:G3630)=1,"",OFFSET(C3631,-COUNTA(G$3060:G3630)+1,0))</f>
        <v>15</v>
      </c>
      <c r="D3631" s="387">
        <f t="shared" si="222"/>
        <v>89</v>
      </c>
      <c r="E3631" s="387">
        <f t="shared" ca="1" si="223"/>
        <v>5</v>
      </c>
      <c r="F3631" s="387">
        <f t="shared" ca="1" si="224"/>
        <v>23</v>
      </c>
      <c r="G3631" s="387"/>
      <c r="H3631" s="391" t="str">
        <f t="shared" ca="1" si="226"/>
        <v/>
      </c>
      <c r="I3631" s="391" t="str">
        <f t="shared" ca="1" si="227"/>
        <v/>
      </c>
    </row>
    <row r="3632" spans="1:9">
      <c r="A3632" s="387" t="b">
        <f t="shared" ca="1" si="225"/>
        <v>0</v>
      </c>
      <c r="B3632" s="396" t="str">
        <f ca="1">IF(COUNTA(G$3060:G3631)=1,"",OFFSET(B3632,-COUNTA(G$3060:G3631)+1,0))</f>
        <v>a1bDm000000YZGiIAO</v>
      </c>
      <c r="C3632" s="392">
        <f ca="1">IF(COUNTA(G$3060:G3631)=1,"",OFFSET(C3632,-COUNTA(G$3060:G3631)+1,0))</f>
        <v>15</v>
      </c>
      <c r="D3632" s="387">
        <f t="shared" si="222"/>
        <v>90</v>
      </c>
      <c r="E3632" s="387">
        <f t="shared" ca="1" si="223"/>
        <v>6</v>
      </c>
      <c r="F3632" s="387">
        <f t="shared" ca="1" si="224"/>
        <v>23</v>
      </c>
      <c r="G3632" s="387"/>
      <c r="H3632" s="391" t="str">
        <f t="shared" ca="1" si="226"/>
        <v/>
      </c>
      <c r="I3632" s="391" t="str">
        <f t="shared" ca="1" si="227"/>
        <v/>
      </c>
    </row>
    <row r="3633" spans="1:9">
      <c r="A3633" s="387" t="b">
        <f t="shared" ca="1" si="225"/>
        <v>0</v>
      </c>
      <c r="B3633" s="396" t="str">
        <f ca="1">IF(COUNTA(G$3060:G3632)=1,"",OFFSET(B3633,-COUNTA(G$3060:G3632)+1,0))</f>
        <v>a1bDm000000YZE9IAO</v>
      </c>
      <c r="C3633" s="392">
        <f ca="1">IF(COUNTA(G$3060:G3632)=1,"",OFFSET(C3633,-COUNTA(G$3060:G3632)+1,0))</f>
        <v>16</v>
      </c>
      <c r="D3633" s="387">
        <f t="shared" si="222"/>
        <v>91</v>
      </c>
      <c r="E3633" s="387">
        <f t="shared" ca="1" si="223"/>
        <v>1</v>
      </c>
      <c r="F3633" s="387">
        <f t="shared" ca="1" si="224"/>
        <v>24</v>
      </c>
      <c r="G3633" s="387"/>
      <c r="H3633" s="391" t="str">
        <f t="shared" ca="1" si="226"/>
        <v/>
      </c>
      <c r="I3633" s="391" t="str">
        <f t="shared" ca="1" si="227"/>
        <v/>
      </c>
    </row>
    <row r="3634" spans="1:9">
      <c r="A3634" s="387" t="b">
        <f t="shared" ca="1" si="225"/>
        <v>0</v>
      </c>
      <c r="B3634" s="396" t="str">
        <f ca="1">IF(COUNTA(G$3060:G3633)=1,"",OFFSET(B3634,-COUNTA(G$3060:G3633)+1,0))</f>
        <v>a1bDm000000YZFRIA4</v>
      </c>
      <c r="C3634" s="392">
        <f ca="1">IF(COUNTA(G$3060:G3633)=1,"",OFFSET(C3634,-COUNTA(G$3060:G3633)+1,0))</f>
        <v>16</v>
      </c>
      <c r="D3634" s="387">
        <f t="shared" si="222"/>
        <v>92</v>
      </c>
      <c r="E3634" s="387">
        <f t="shared" ca="1" si="223"/>
        <v>2</v>
      </c>
      <c r="F3634" s="387">
        <f t="shared" ca="1" si="224"/>
        <v>24</v>
      </c>
      <c r="G3634" s="387"/>
      <c r="H3634" s="391" t="str">
        <f t="shared" ca="1" si="226"/>
        <v/>
      </c>
      <c r="I3634" s="391" t="str">
        <f t="shared" ca="1" si="227"/>
        <v/>
      </c>
    </row>
    <row r="3635" spans="1:9">
      <c r="A3635" s="387" t="b">
        <f t="shared" ca="1" si="225"/>
        <v>0</v>
      </c>
      <c r="B3635" s="396" t="str">
        <f ca="1">IF(COUNTA(G$3060:G3634)=1,"",OFFSET(B3635,-COUNTA(G$3060:G3634)+1,0))</f>
        <v>a1bDm000000YZGjIAO</v>
      </c>
      <c r="C3635" s="392">
        <f ca="1">IF(COUNTA(G$3060:G3634)=1,"",OFFSET(C3635,-COUNTA(G$3060:G3634)+1,0))</f>
        <v>16</v>
      </c>
      <c r="D3635" s="387">
        <f t="shared" si="222"/>
        <v>93</v>
      </c>
      <c r="E3635" s="387">
        <f t="shared" ca="1" si="223"/>
        <v>3</v>
      </c>
      <c r="F3635" s="387">
        <f t="shared" ca="1" si="224"/>
        <v>24</v>
      </c>
      <c r="G3635" s="387"/>
      <c r="H3635" s="391" t="str">
        <f t="shared" ca="1" si="226"/>
        <v/>
      </c>
      <c r="I3635" s="391" t="str">
        <f t="shared" ca="1" si="227"/>
        <v/>
      </c>
    </row>
    <row r="3636" spans="1:9">
      <c r="A3636" s="387" t="b">
        <f t="shared" ca="1" si="225"/>
        <v>0</v>
      </c>
      <c r="B3636" s="396" t="str">
        <f ca="1">IF(COUNTA(G$3060:G3635)=1,"",OFFSET(B3636,-COUNTA(G$3060:G3635)+1,0))</f>
        <v>a1bDm000000YZI1IAO</v>
      </c>
      <c r="C3636" s="392">
        <f ca="1">IF(COUNTA(G$3060:G3635)=1,"",OFFSET(C3636,-COUNTA(G$3060:G3635)+1,0))</f>
        <v>16</v>
      </c>
      <c r="D3636" s="387">
        <f t="shared" si="222"/>
        <v>94</v>
      </c>
      <c r="E3636" s="387">
        <f t="shared" ca="1" si="223"/>
        <v>4</v>
      </c>
      <c r="F3636" s="387">
        <f t="shared" ca="1" si="224"/>
        <v>24</v>
      </c>
      <c r="G3636" s="387"/>
      <c r="H3636" s="391" t="str">
        <f t="shared" ca="1" si="226"/>
        <v/>
      </c>
      <c r="I3636" s="391" t="str">
        <f t="shared" ca="1" si="227"/>
        <v/>
      </c>
    </row>
    <row r="3637" spans="1:9">
      <c r="A3637" s="387" t="b">
        <f t="shared" ca="1" si="225"/>
        <v>0</v>
      </c>
      <c r="B3637" s="396" t="str">
        <f ca="1">IF(COUNTA(G$3060:G3636)=1,"",OFFSET(B3637,-COUNTA(G$3060:G3636)+1,0))</f>
        <v>a1bDm000000YZJJIA4</v>
      </c>
      <c r="C3637" s="392">
        <f ca="1">IF(COUNTA(G$3060:G3636)=1,"",OFFSET(C3637,-COUNTA(G$3060:G3636)+1,0))</f>
        <v>16</v>
      </c>
      <c r="D3637" s="387">
        <f t="shared" si="222"/>
        <v>95</v>
      </c>
      <c r="E3637" s="387">
        <f t="shared" ca="1" si="223"/>
        <v>5</v>
      </c>
      <c r="F3637" s="387">
        <f t="shared" ca="1" si="224"/>
        <v>24</v>
      </c>
      <c r="G3637" s="387"/>
      <c r="H3637" s="391" t="str">
        <f t="shared" ca="1" si="226"/>
        <v/>
      </c>
      <c r="I3637" s="391" t="str">
        <f t="shared" ca="1" si="227"/>
        <v/>
      </c>
    </row>
    <row r="3638" spans="1:9">
      <c r="A3638" s="387" t="b">
        <f t="shared" ca="1" si="225"/>
        <v>0</v>
      </c>
      <c r="B3638" s="396" t="str">
        <f ca="1">IF(COUNTA(G$3060:G3637)=1,"",OFFSET(B3638,-COUNTA(G$3060:G3637)+1,0))</f>
        <v>a1bDm000000YZKbIAO</v>
      </c>
      <c r="C3638" s="392">
        <f ca="1">IF(COUNTA(G$3060:G3637)=1,"",OFFSET(C3638,-COUNTA(G$3060:G3637)+1,0))</f>
        <v>16</v>
      </c>
      <c r="D3638" s="387">
        <f t="shared" si="222"/>
        <v>96</v>
      </c>
      <c r="E3638" s="387">
        <f t="shared" ca="1" si="223"/>
        <v>6</v>
      </c>
      <c r="F3638" s="387">
        <f t="shared" ca="1" si="224"/>
        <v>24</v>
      </c>
      <c r="G3638" s="387"/>
      <c r="H3638" s="391" t="str">
        <f t="shared" ca="1" si="226"/>
        <v/>
      </c>
      <c r="I3638" s="391" t="str">
        <f t="shared" ca="1" si="227"/>
        <v/>
      </c>
    </row>
    <row r="3639" spans="1:9">
      <c r="A3639" s="387" t="b">
        <f t="shared" ca="1" si="225"/>
        <v>0</v>
      </c>
      <c r="B3639" s="396" t="str">
        <f ca="1">IF(COUNTA(G$3060:G3638)=1,"",OFFSET(B3639,-COUNTA(G$3060:G3638)+1,0))</f>
        <v>a1bDm000000YZEAIA4</v>
      </c>
      <c r="C3639" s="392">
        <f ca="1">IF(COUNTA(G$3060:G3638)=1,"",OFFSET(C3639,-COUNTA(G$3060:G3638)+1,0))</f>
        <v>17</v>
      </c>
      <c r="D3639" s="387">
        <f t="shared" ref="D3639:D3702" si="228">D3638+1</f>
        <v>97</v>
      </c>
      <c r="E3639" s="387">
        <f t="shared" ref="E3639:E3702" ca="1" si="229">COUNTIF(C3469:C3639,C3639)</f>
        <v>1</v>
      </c>
      <c r="F3639" s="387">
        <f t="shared" ref="F3639:F3702" ca="1" si="230">IF(C3639=1,9,IF(E3638=MAX(E3637:E3639),F3637+1,F3638))</f>
        <v>25</v>
      </c>
      <c r="G3639" s="387"/>
      <c r="H3639" s="391" t="str">
        <f t="shared" ca="1" si="226"/>
        <v/>
      </c>
      <c r="I3639" s="391" t="str">
        <f t="shared" ca="1" si="227"/>
        <v/>
      </c>
    </row>
    <row r="3640" spans="1:9">
      <c r="A3640" s="387" t="b">
        <f t="shared" ca="1" si="225"/>
        <v>0</v>
      </c>
      <c r="B3640" s="396" t="str">
        <f ca="1">IF(COUNTA(G$3060:G3639)=1,"",OFFSET(B3640,-COUNTA(G$3060:G3639)+1,0))</f>
        <v>a1bDm000000YZFSIA4</v>
      </c>
      <c r="C3640" s="392">
        <f ca="1">IF(COUNTA(G$3060:G3639)=1,"",OFFSET(C3640,-COUNTA(G$3060:G3639)+1,0))</f>
        <v>17</v>
      </c>
      <c r="D3640" s="387">
        <f t="shared" si="228"/>
        <v>98</v>
      </c>
      <c r="E3640" s="387">
        <f t="shared" ca="1" si="229"/>
        <v>2</v>
      </c>
      <c r="F3640" s="387">
        <f t="shared" ca="1" si="230"/>
        <v>25</v>
      </c>
      <c r="G3640" s="387"/>
      <c r="H3640" s="391" t="str">
        <f t="shared" ca="1" si="226"/>
        <v/>
      </c>
      <c r="I3640" s="391" t="str">
        <f t="shared" ca="1" si="227"/>
        <v/>
      </c>
    </row>
    <row r="3641" spans="1:9">
      <c r="A3641" s="387" t="b">
        <f t="shared" ca="1" si="225"/>
        <v>0</v>
      </c>
      <c r="B3641" s="396" t="str">
        <f ca="1">IF(COUNTA(G$3060:G3640)=1,"",OFFSET(B3641,-COUNTA(G$3060:G3640)+1,0))</f>
        <v>a1bDm000000YZGkIAO</v>
      </c>
      <c r="C3641" s="392">
        <f ca="1">IF(COUNTA(G$3060:G3640)=1,"",OFFSET(C3641,-COUNTA(G$3060:G3640)+1,0))</f>
        <v>17</v>
      </c>
      <c r="D3641" s="387">
        <f t="shared" si="228"/>
        <v>99</v>
      </c>
      <c r="E3641" s="387">
        <f t="shared" ca="1" si="229"/>
        <v>3</v>
      </c>
      <c r="F3641" s="387">
        <f t="shared" ca="1" si="230"/>
        <v>25</v>
      </c>
      <c r="G3641" s="387"/>
      <c r="H3641" s="391" t="str">
        <f t="shared" ca="1" si="226"/>
        <v/>
      </c>
      <c r="I3641" s="391" t="str">
        <f t="shared" ca="1" si="227"/>
        <v/>
      </c>
    </row>
    <row r="3642" spans="1:9">
      <c r="A3642" s="387" t="b">
        <f t="shared" ca="1" si="225"/>
        <v>0</v>
      </c>
      <c r="B3642" s="396" t="str">
        <f ca="1">IF(COUNTA(G$3060:G3641)=1,"",OFFSET(B3642,-COUNTA(G$3060:G3641)+1,0))</f>
        <v>a1bDm000000YZI2IAO</v>
      </c>
      <c r="C3642" s="392">
        <f ca="1">IF(COUNTA(G$3060:G3641)=1,"",OFFSET(C3642,-COUNTA(G$3060:G3641)+1,0))</f>
        <v>17</v>
      </c>
      <c r="D3642" s="387">
        <f t="shared" si="228"/>
        <v>100</v>
      </c>
      <c r="E3642" s="387">
        <f t="shared" ca="1" si="229"/>
        <v>4</v>
      </c>
      <c r="F3642" s="387">
        <f t="shared" ca="1" si="230"/>
        <v>25</v>
      </c>
      <c r="G3642" s="387"/>
      <c r="H3642" s="391" t="str">
        <f t="shared" ca="1" si="226"/>
        <v/>
      </c>
      <c r="I3642" s="391" t="str">
        <f t="shared" ca="1" si="227"/>
        <v/>
      </c>
    </row>
    <row r="3643" spans="1:9">
      <c r="A3643" s="387" t="b">
        <f t="shared" ca="1" si="225"/>
        <v>0</v>
      </c>
      <c r="B3643" s="396" t="str">
        <f ca="1">IF(COUNTA(G$3060:G3642)=1,"",OFFSET(B3643,-COUNTA(G$3060:G3642)+1,0))</f>
        <v>a1bDm000000YZJKIA4</v>
      </c>
      <c r="C3643" s="392">
        <f ca="1">IF(COUNTA(G$3060:G3642)=1,"",OFFSET(C3643,-COUNTA(G$3060:G3642)+1,0))</f>
        <v>17</v>
      </c>
      <c r="D3643" s="387">
        <f t="shared" si="228"/>
        <v>101</v>
      </c>
      <c r="E3643" s="387">
        <f t="shared" ca="1" si="229"/>
        <v>5</v>
      </c>
      <c r="F3643" s="387">
        <f t="shared" ca="1" si="230"/>
        <v>25</v>
      </c>
      <c r="G3643" s="387"/>
      <c r="H3643" s="391" t="str">
        <f t="shared" ca="1" si="226"/>
        <v/>
      </c>
      <c r="I3643" s="391" t="str">
        <f t="shared" ca="1" si="227"/>
        <v/>
      </c>
    </row>
    <row r="3644" spans="1:9">
      <c r="A3644" s="387" t="b">
        <f t="shared" ca="1" si="225"/>
        <v>0</v>
      </c>
      <c r="B3644" s="396" t="str">
        <f ca="1">IF(COUNTA(G$3060:G3643)=1,"",OFFSET(B3644,-COUNTA(G$3060:G3643)+1,0))</f>
        <v>a1bDm000000YZKcIAO</v>
      </c>
      <c r="C3644" s="392">
        <f ca="1">IF(COUNTA(G$3060:G3643)=1,"",OFFSET(C3644,-COUNTA(G$3060:G3643)+1,0))</f>
        <v>17</v>
      </c>
      <c r="D3644" s="387">
        <f t="shared" si="228"/>
        <v>102</v>
      </c>
      <c r="E3644" s="387">
        <f t="shared" ca="1" si="229"/>
        <v>6</v>
      </c>
      <c r="F3644" s="387">
        <f t="shared" ca="1" si="230"/>
        <v>25</v>
      </c>
      <c r="G3644" s="387"/>
      <c r="H3644" s="391" t="str">
        <f t="shared" ca="1" si="226"/>
        <v/>
      </c>
      <c r="I3644" s="391" t="str">
        <f t="shared" ca="1" si="227"/>
        <v/>
      </c>
    </row>
    <row r="3645" spans="1:9">
      <c r="A3645" s="387" t="b">
        <f t="shared" ca="1" si="225"/>
        <v>0</v>
      </c>
      <c r="B3645" s="396" t="str">
        <f ca="1">IF(COUNTA(G$3060:G3644)=1,"",OFFSET(B3645,-COUNTA(G$3060:G3644)+1,0))</f>
        <v>a1bDm000000YZEBIA4</v>
      </c>
      <c r="C3645" s="392">
        <f ca="1">IF(COUNTA(G$3060:G3644)=1,"",OFFSET(C3645,-COUNTA(G$3060:G3644)+1,0))</f>
        <v>18</v>
      </c>
      <c r="D3645" s="387">
        <f t="shared" si="228"/>
        <v>103</v>
      </c>
      <c r="E3645" s="387">
        <f t="shared" ca="1" si="229"/>
        <v>1</v>
      </c>
      <c r="F3645" s="387">
        <f t="shared" ca="1" si="230"/>
        <v>26</v>
      </c>
      <c r="G3645" s="387"/>
      <c r="H3645" s="391" t="str">
        <f t="shared" ca="1" si="226"/>
        <v/>
      </c>
      <c r="I3645" s="391" t="str">
        <f t="shared" ca="1" si="227"/>
        <v/>
      </c>
    </row>
    <row r="3646" spans="1:9">
      <c r="A3646" s="387" t="b">
        <f t="shared" ca="1" si="225"/>
        <v>0</v>
      </c>
      <c r="B3646" s="396" t="str">
        <f ca="1">IF(COUNTA(G$3060:G3645)=1,"",OFFSET(B3646,-COUNTA(G$3060:G3645)+1,0))</f>
        <v>a1bDm000000YZFTIA4</v>
      </c>
      <c r="C3646" s="392">
        <f ca="1">IF(COUNTA(G$3060:G3645)=1,"",OFFSET(C3646,-COUNTA(G$3060:G3645)+1,0))</f>
        <v>18</v>
      </c>
      <c r="D3646" s="387">
        <f t="shared" si="228"/>
        <v>104</v>
      </c>
      <c r="E3646" s="387">
        <f t="shared" ca="1" si="229"/>
        <v>2</v>
      </c>
      <c r="F3646" s="387">
        <f t="shared" ca="1" si="230"/>
        <v>26</v>
      </c>
      <c r="G3646" s="387"/>
      <c r="H3646" s="391" t="str">
        <f t="shared" ca="1" si="226"/>
        <v/>
      </c>
      <c r="I3646" s="391" t="str">
        <f t="shared" ca="1" si="227"/>
        <v/>
      </c>
    </row>
    <row r="3647" spans="1:9">
      <c r="A3647" s="387" t="b">
        <f t="shared" ca="1" si="225"/>
        <v>0</v>
      </c>
      <c r="B3647" s="396" t="str">
        <f ca="1">IF(COUNTA(G$3060:G3646)=1,"",OFFSET(B3647,-COUNTA(G$3060:G3646)+1,0))</f>
        <v>a1bDm000000YZGlIAO</v>
      </c>
      <c r="C3647" s="392">
        <f ca="1">IF(COUNTA(G$3060:G3646)=1,"",OFFSET(C3647,-COUNTA(G$3060:G3646)+1,0))</f>
        <v>18</v>
      </c>
      <c r="D3647" s="387">
        <f t="shared" si="228"/>
        <v>105</v>
      </c>
      <c r="E3647" s="387">
        <f t="shared" ca="1" si="229"/>
        <v>3</v>
      </c>
      <c r="F3647" s="387">
        <f t="shared" ca="1" si="230"/>
        <v>26</v>
      </c>
      <c r="G3647" s="387"/>
      <c r="H3647" s="391" t="str">
        <f t="shared" ca="1" si="226"/>
        <v/>
      </c>
      <c r="I3647" s="391" t="str">
        <f t="shared" ca="1" si="227"/>
        <v/>
      </c>
    </row>
    <row r="3648" spans="1:9">
      <c r="A3648" s="387" t="b">
        <f t="shared" ca="1" si="225"/>
        <v>0</v>
      </c>
      <c r="B3648" s="396" t="str">
        <f ca="1">IF(COUNTA(G$3060:G3647)=1,"",OFFSET(B3648,-COUNTA(G$3060:G3647)+1,0))</f>
        <v>a1bDm000000YZI3IAO</v>
      </c>
      <c r="C3648" s="392">
        <f ca="1">IF(COUNTA(G$3060:G3647)=1,"",OFFSET(C3648,-COUNTA(G$3060:G3647)+1,0))</f>
        <v>18</v>
      </c>
      <c r="D3648" s="387">
        <f t="shared" si="228"/>
        <v>106</v>
      </c>
      <c r="E3648" s="387">
        <f t="shared" ca="1" si="229"/>
        <v>4</v>
      </c>
      <c r="F3648" s="387">
        <f t="shared" ca="1" si="230"/>
        <v>26</v>
      </c>
      <c r="G3648" s="387"/>
      <c r="H3648" s="391" t="str">
        <f t="shared" ca="1" si="226"/>
        <v/>
      </c>
      <c r="I3648" s="391" t="str">
        <f t="shared" ca="1" si="227"/>
        <v/>
      </c>
    </row>
    <row r="3649" spans="1:9">
      <c r="A3649" s="387" t="b">
        <f t="shared" ca="1" si="225"/>
        <v>0</v>
      </c>
      <c r="B3649" s="396" t="str">
        <f ca="1">IF(COUNTA(G$3060:G3648)=1,"",OFFSET(B3649,-COUNTA(G$3060:G3648)+1,0))</f>
        <v>a1bDm000000YZJLIA4</v>
      </c>
      <c r="C3649" s="392">
        <f ca="1">IF(COUNTA(G$3060:G3648)=1,"",OFFSET(C3649,-COUNTA(G$3060:G3648)+1,0))</f>
        <v>18</v>
      </c>
      <c r="D3649" s="387">
        <f t="shared" si="228"/>
        <v>107</v>
      </c>
      <c r="E3649" s="387">
        <f t="shared" ca="1" si="229"/>
        <v>5</v>
      </c>
      <c r="F3649" s="387">
        <f t="shared" ca="1" si="230"/>
        <v>26</v>
      </c>
      <c r="G3649" s="387"/>
      <c r="H3649" s="391" t="str">
        <f t="shared" ca="1" si="226"/>
        <v/>
      </c>
      <c r="I3649" s="391" t="str">
        <f t="shared" ca="1" si="227"/>
        <v/>
      </c>
    </row>
    <row r="3650" spans="1:9">
      <c r="A3650" s="387" t="b">
        <f t="shared" ca="1" si="225"/>
        <v>0</v>
      </c>
      <c r="B3650" s="396" t="str">
        <f ca="1">IF(COUNTA(G$3060:G3649)=1,"",OFFSET(B3650,-COUNTA(G$3060:G3649)+1,0))</f>
        <v>a1bDm000000YZKdIAO</v>
      </c>
      <c r="C3650" s="392">
        <f ca="1">IF(COUNTA(G$3060:G3649)=1,"",OFFSET(C3650,-COUNTA(G$3060:G3649)+1,0))</f>
        <v>18</v>
      </c>
      <c r="D3650" s="387">
        <f t="shared" si="228"/>
        <v>108</v>
      </c>
      <c r="E3650" s="387">
        <f t="shared" ca="1" si="229"/>
        <v>6</v>
      </c>
      <c r="F3650" s="387">
        <f t="shared" ca="1" si="230"/>
        <v>26</v>
      </c>
      <c r="G3650" s="387"/>
      <c r="H3650" s="391" t="str">
        <f t="shared" ca="1" si="226"/>
        <v/>
      </c>
      <c r="I3650" s="391" t="str">
        <f t="shared" ca="1" si="227"/>
        <v/>
      </c>
    </row>
    <row r="3651" spans="1:9">
      <c r="A3651" s="387" t="b">
        <f t="shared" ca="1" si="225"/>
        <v>0</v>
      </c>
      <c r="B3651" s="396" t="str">
        <f ca="1">IF(COUNTA(G$3060:G3650)=1,"",OFFSET(B3651,-COUNTA(G$3060:G3650)+1,0))</f>
        <v>a1bDm000000YZECIA4</v>
      </c>
      <c r="C3651" s="392">
        <f ca="1">IF(COUNTA(G$3060:G3650)=1,"",OFFSET(C3651,-COUNTA(G$3060:G3650)+1,0))</f>
        <v>19</v>
      </c>
      <c r="D3651" s="387">
        <f t="shared" si="228"/>
        <v>109</v>
      </c>
      <c r="E3651" s="387">
        <f t="shared" ca="1" si="229"/>
        <v>1</v>
      </c>
      <c r="F3651" s="387">
        <f t="shared" ca="1" si="230"/>
        <v>27</v>
      </c>
      <c r="G3651" s="387"/>
      <c r="H3651" s="391" t="str">
        <f t="shared" ca="1" si="226"/>
        <v/>
      </c>
      <c r="I3651" s="391" t="str">
        <f t="shared" ca="1" si="227"/>
        <v/>
      </c>
    </row>
    <row r="3652" spans="1:9">
      <c r="A3652" s="387" t="b">
        <f t="shared" ca="1" si="225"/>
        <v>0</v>
      </c>
      <c r="B3652" s="396" t="str">
        <f ca="1">IF(COUNTA(G$3060:G3651)=1,"",OFFSET(B3652,-COUNTA(G$3060:G3651)+1,0))</f>
        <v>a1bDm000000YZFUIA4</v>
      </c>
      <c r="C3652" s="392">
        <f ca="1">IF(COUNTA(G$3060:G3651)=1,"",OFFSET(C3652,-COUNTA(G$3060:G3651)+1,0))</f>
        <v>19</v>
      </c>
      <c r="D3652" s="387">
        <f t="shared" si="228"/>
        <v>110</v>
      </c>
      <c r="E3652" s="387">
        <f t="shared" ca="1" si="229"/>
        <v>2</v>
      </c>
      <c r="F3652" s="387">
        <f t="shared" ca="1" si="230"/>
        <v>27</v>
      </c>
      <c r="G3652" s="387"/>
      <c r="H3652" s="391" t="str">
        <f t="shared" ca="1" si="226"/>
        <v/>
      </c>
      <c r="I3652" s="391" t="str">
        <f t="shared" ca="1" si="227"/>
        <v/>
      </c>
    </row>
    <row r="3653" spans="1:9">
      <c r="A3653" s="387" t="b">
        <f t="shared" ca="1" si="225"/>
        <v>0</v>
      </c>
      <c r="B3653" s="396" t="str">
        <f ca="1">IF(COUNTA(G$3060:G3652)=1,"",OFFSET(B3653,-COUNTA(G$3060:G3652)+1,0))</f>
        <v>a1bDm000000YZGmIAO</v>
      </c>
      <c r="C3653" s="392">
        <f ca="1">IF(COUNTA(G$3060:G3652)=1,"",OFFSET(C3653,-COUNTA(G$3060:G3652)+1,0))</f>
        <v>19</v>
      </c>
      <c r="D3653" s="387">
        <f t="shared" si="228"/>
        <v>111</v>
      </c>
      <c r="E3653" s="387">
        <f t="shared" ca="1" si="229"/>
        <v>3</v>
      </c>
      <c r="F3653" s="387">
        <f t="shared" ca="1" si="230"/>
        <v>27</v>
      </c>
      <c r="G3653" s="387"/>
      <c r="H3653" s="391" t="str">
        <f t="shared" ca="1" si="226"/>
        <v/>
      </c>
      <c r="I3653" s="391" t="str">
        <f t="shared" ca="1" si="227"/>
        <v/>
      </c>
    </row>
    <row r="3654" spans="1:9">
      <c r="A3654" s="387" t="b">
        <f t="shared" ca="1" si="225"/>
        <v>0</v>
      </c>
      <c r="B3654" s="396" t="str">
        <f ca="1">IF(COUNTA(G$3060:G3653)=1,"",OFFSET(B3654,-COUNTA(G$3060:G3653)+1,0))</f>
        <v>a1bDm000000YZI4IAO</v>
      </c>
      <c r="C3654" s="392">
        <f ca="1">IF(COUNTA(G$3060:G3653)=1,"",OFFSET(C3654,-COUNTA(G$3060:G3653)+1,0))</f>
        <v>19</v>
      </c>
      <c r="D3654" s="387">
        <f t="shared" si="228"/>
        <v>112</v>
      </c>
      <c r="E3654" s="387">
        <f t="shared" ca="1" si="229"/>
        <v>4</v>
      </c>
      <c r="F3654" s="387">
        <f t="shared" ca="1" si="230"/>
        <v>27</v>
      </c>
      <c r="G3654" s="387"/>
      <c r="H3654" s="391" t="str">
        <f t="shared" ca="1" si="226"/>
        <v/>
      </c>
      <c r="I3654" s="391" t="str">
        <f t="shared" ca="1" si="227"/>
        <v/>
      </c>
    </row>
    <row r="3655" spans="1:9">
      <c r="A3655" s="387" t="b">
        <f t="shared" ca="1" si="225"/>
        <v>0</v>
      </c>
      <c r="B3655" s="396" t="str">
        <f ca="1">IF(COUNTA(G$3060:G3654)=1,"",OFFSET(B3655,-COUNTA(G$3060:G3654)+1,0))</f>
        <v>a1bDm000000YZJMIA4</v>
      </c>
      <c r="C3655" s="392">
        <f ca="1">IF(COUNTA(G$3060:G3654)=1,"",OFFSET(C3655,-COUNTA(G$3060:G3654)+1,0))</f>
        <v>19</v>
      </c>
      <c r="D3655" s="387">
        <f t="shared" si="228"/>
        <v>113</v>
      </c>
      <c r="E3655" s="387">
        <f t="shared" ca="1" si="229"/>
        <v>5</v>
      </c>
      <c r="F3655" s="387">
        <f t="shared" ca="1" si="230"/>
        <v>27</v>
      </c>
      <c r="G3655" s="387"/>
      <c r="H3655" s="391" t="str">
        <f t="shared" ca="1" si="226"/>
        <v/>
      </c>
      <c r="I3655" s="391" t="str">
        <f t="shared" ca="1" si="227"/>
        <v/>
      </c>
    </row>
    <row r="3656" spans="1:9">
      <c r="A3656" s="387" t="b">
        <f t="shared" ca="1" si="225"/>
        <v>0</v>
      </c>
      <c r="B3656" s="396" t="str">
        <f ca="1">IF(COUNTA(G$3060:G3655)=1,"",OFFSET(B3656,-COUNTA(G$3060:G3655)+1,0))</f>
        <v>a1bDm000000YZKeIAO</v>
      </c>
      <c r="C3656" s="392">
        <f ca="1">IF(COUNTA(G$3060:G3655)=1,"",OFFSET(C3656,-COUNTA(G$3060:G3655)+1,0))</f>
        <v>19</v>
      </c>
      <c r="D3656" s="387">
        <f t="shared" si="228"/>
        <v>114</v>
      </c>
      <c r="E3656" s="387">
        <f t="shared" ca="1" si="229"/>
        <v>6</v>
      </c>
      <c r="F3656" s="387">
        <f t="shared" ca="1" si="230"/>
        <v>27</v>
      </c>
      <c r="G3656" s="387"/>
      <c r="H3656" s="391" t="str">
        <f t="shared" ca="1" si="226"/>
        <v/>
      </c>
      <c r="I3656" s="391" t="str">
        <f t="shared" ca="1" si="227"/>
        <v/>
      </c>
    </row>
    <row r="3657" spans="1:9">
      <c r="A3657" s="387" t="b">
        <f t="shared" ca="1" si="225"/>
        <v>0</v>
      </c>
      <c r="B3657" s="396" t="str">
        <f ca="1">IF(COUNTA(G$3060:G3656)=1,"",OFFSET(B3657,-COUNTA(G$3060:G3656)+1,0))</f>
        <v>a1bDm000000YZEDIA4</v>
      </c>
      <c r="C3657" s="392">
        <f ca="1">IF(COUNTA(G$3060:G3656)=1,"",OFFSET(C3657,-COUNTA(G$3060:G3656)+1,0))</f>
        <v>20</v>
      </c>
      <c r="D3657" s="387">
        <f t="shared" si="228"/>
        <v>115</v>
      </c>
      <c r="E3657" s="387">
        <f t="shared" ca="1" si="229"/>
        <v>1</v>
      </c>
      <c r="F3657" s="387">
        <f t="shared" ca="1" si="230"/>
        <v>28</v>
      </c>
      <c r="G3657" s="387"/>
      <c r="H3657" s="391" t="str">
        <f t="shared" ca="1" si="226"/>
        <v/>
      </c>
      <c r="I3657" s="391" t="str">
        <f t="shared" ca="1" si="227"/>
        <v/>
      </c>
    </row>
    <row r="3658" spans="1:9">
      <c r="A3658" s="387" t="b">
        <f t="shared" ca="1" si="225"/>
        <v>0</v>
      </c>
      <c r="B3658" s="396" t="str">
        <f ca="1">IF(COUNTA(G$3060:G3657)=1,"",OFFSET(B3658,-COUNTA(G$3060:G3657)+1,0))</f>
        <v>a1bDm000000YZFVIA4</v>
      </c>
      <c r="C3658" s="392">
        <f ca="1">IF(COUNTA(G$3060:G3657)=1,"",OFFSET(C3658,-COUNTA(G$3060:G3657)+1,0))</f>
        <v>20</v>
      </c>
      <c r="D3658" s="387">
        <f t="shared" si="228"/>
        <v>116</v>
      </c>
      <c r="E3658" s="387">
        <f t="shared" ca="1" si="229"/>
        <v>2</v>
      </c>
      <c r="F3658" s="387">
        <f t="shared" ca="1" si="230"/>
        <v>28</v>
      </c>
      <c r="G3658" s="387"/>
      <c r="H3658" s="391" t="str">
        <f t="shared" ca="1" si="226"/>
        <v/>
      </c>
      <c r="I3658" s="391" t="str">
        <f t="shared" ca="1" si="227"/>
        <v/>
      </c>
    </row>
    <row r="3659" spans="1:9">
      <c r="A3659" s="387" t="b">
        <f t="shared" ca="1" si="225"/>
        <v>0</v>
      </c>
      <c r="B3659" s="396" t="str">
        <f ca="1">IF(COUNTA(G$3060:G3658)=1,"",OFFSET(B3659,-COUNTA(G$3060:G3658)+1,0))</f>
        <v>a1bDm000000YZGnIAO</v>
      </c>
      <c r="C3659" s="392">
        <f ca="1">IF(COUNTA(G$3060:G3658)=1,"",OFFSET(C3659,-COUNTA(G$3060:G3658)+1,0))</f>
        <v>20</v>
      </c>
      <c r="D3659" s="387">
        <f t="shared" si="228"/>
        <v>117</v>
      </c>
      <c r="E3659" s="387">
        <f t="shared" ca="1" si="229"/>
        <v>3</v>
      </c>
      <c r="F3659" s="387">
        <f t="shared" ca="1" si="230"/>
        <v>28</v>
      </c>
      <c r="G3659" s="387"/>
      <c r="H3659" s="391" t="str">
        <f t="shared" ca="1" si="226"/>
        <v/>
      </c>
      <c r="I3659" s="391" t="str">
        <f t="shared" ca="1" si="227"/>
        <v/>
      </c>
    </row>
    <row r="3660" spans="1:9">
      <c r="A3660" s="387" t="b">
        <f t="shared" ca="1" si="225"/>
        <v>0</v>
      </c>
      <c r="B3660" s="396" t="str">
        <f ca="1">IF(COUNTA(G$3060:G3659)=1,"",OFFSET(B3660,-COUNTA(G$3060:G3659)+1,0))</f>
        <v>a1bDm000000YZI5IAO</v>
      </c>
      <c r="C3660" s="392">
        <f ca="1">IF(COUNTA(G$3060:G3659)=1,"",OFFSET(C3660,-COUNTA(G$3060:G3659)+1,0))</f>
        <v>20</v>
      </c>
      <c r="D3660" s="387">
        <f t="shared" si="228"/>
        <v>118</v>
      </c>
      <c r="E3660" s="387">
        <f t="shared" ca="1" si="229"/>
        <v>4</v>
      </c>
      <c r="F3660" s="387">
        <f t="shared" ca="1" si="230"/>
        <v>28</v>
      </c>
      <c r="G3660" s="387"/>
      <c r="H3660" s="391" t="str">
        <f t="shared" ca="1" si="226"/>
        <v/>
      </c>
      <c r="I3660" s="391" t="str">
        <f t="shared" ca="1" si="227"/>
        <v/>
      </c>
    </row>
    <row r="3661" spans="1:9">
      <c r="A3661" s="387" t="b">
        <f t="shared" ca="1" si="225"/>
        <v>0</v>
      </c>
      <c r="B3661" s="396" t="str">
        <f ca="1">IF(COUNTA(G$3060:G3660)=1,"",OFFSET(B3661,-COUNTA(G$3060:G3660)+1,0))</f>
        <v>a1bDm000000YZJNIA4</v>
      </c>
      <c r="C3661" s="392">
        <f ca="1">IF(COUNTA(G$3060:G3660)=1,"",OFFSET(C3661,-COUNTA(G$3060:G3660)+1,0))</f>
        <v>20</v>
      </c>
      <c r="D3661" s="387">
        <f t="shared" si="228"/>
        <v>119</v>
      </c>
      <c r="E3661" s="387">
        <f t="shared" ca="1" si="229"/>
        <v>5</v>
      </c>
      <c r="F3661" s="387">
        <f t="shared" ca="1" si="230"/>
        <v>28</v>
      </c>
      <c r="G3661" s="387"/>
      <c r="H3661" s="391" t="str">
        <f t="shared" ca="1" si="226"/>
        <v/>
      </c>
      <c r="I3661" s="391" t="str">
        <f t="shared" ca="1" si="227"/>
        <v/>
      </c>
    </row>
    <row r="3662" spans="1:9">
      <c r="A3662" s="387" t="b">
        <f t="shared" ca="1" si="225"/>
        <v>0</v>
      </c>
      <c r="B3662" s="396" t="str">
        <f ca="1">IF(COUNTA(G$3060:G3661)=1,"",OFFSET(B3662,-COUNTA(G$3060:G3661)+1,0))</f>
        <v>a1bDm000000YZKfIAO</v>
      </c>
      <c r="C3662" s="392">
        <f ca="1">IF(COUNTA(G$3060:G3661)=1,"",OFFSET(C3662,-COUNTA(G$3060:G3661)+1,0))</f>
        <v>20</v>
      </c>
      <c r="D3662" s="387">
        <f t="shared" si="228"/>
        <v>120</v>
      </c>
      <c r="E3662" s="387">
        <f t="shared" ca="1" si="229"/>
        <v>6</v>
      </c>
      <c r="F3662" s="387">
        <f t="shared" ca="1" si="230"/>
        <v>28</v>
      </c>
      <c r="G3662" s="387"/>
      <c r="H3662" s="391" t="str">
        <f t="shared" ca="1" si="226"/>
        <v/>
      </c>
      <c r="I3662" s="391" t="str">
        <f t="shared" ca="1" si="227"/>
        <v/>
      </c>
    </row>
    <row r="3663" spans="1:9">
      <c r="A3663" s="387" t="b">
        <f t="shared" ca="1" si="225"/>
        <v>0</v>
      </c>
      <c r="B3663" s="396" t="str">
        <f ca="1">IF(COUNTA(G$3060:G3662)=1,"",OFFSET(B3663,-COUNTA(G$3060:G3662)+1,0))</f>
        <v>a1bDm000000YZEEIA4</v>
      </c>
      <c r="C3663" s="392">
        <f ca="1">IF(COUNTA(G$3060:G3662)=1,"",OFFSET(C3663,-COUNTA(G$3060:G3662)+1,0))</f>
        <v>21</v>
      </c>
      <c r="D3663" s="387">
        <f t="shared" si="228"/>
        <v>121</v>
      </c>
      <c r="E3663" s="387">
        <f t="shared" ca="1" si="229"/>
        <v>1</v>
      </c>
      <c r="F3663" s="387">
        <f t="shared" ca="1" si="230"/>
        <v>29</v>
      </c>
      <c r="G3663" s="387"/>
      <c r="H3663" s="391" t="str">
        <f t="shared" ca="1" si="226"/>
        <v/>
      </c>
      <c r="I3663" s="391" t="str">
        <f t="shared" ca="1" si="227"/>
        <v/>
      </c>
    </row>
    <row r="3664" spans="1:9">
      <c r="A3664" s="387" t="b">
        <f t="shared" ca="1" si="225"/>
        <v>0</v>
      </c>
      <c r="B3664" s="396" t="str">
        <f ca="1">IF(COUNTA(G$3060:G3663)=1,"",OFFSET(B3664,-COUNTA(G$3060:G3663)+1,0))</f>
        <v>a1bDm000000YZFWIA4</v>
      </c>
      <c r="C3664" s="392">
        <f ca="1">IF(COUNTA(G$3060:G3663)=1,"",OFFSET(C3664,-COUNTA(G$3060:G3663)+1,0))</f>
        <v>21</v>
      </c>
      <c r="D3664" s="387">
        <f t="shared" si="228"/>
        <v>122</v>
      </c>
      <c r="E3664" s="387">
        <f t="shared" ca="1" si="229"/>
        <v>2</v>
      </c>
      <c r="F3664" s="387">
        <f t="shared" ca="1" si="230"/>
        <v>29</v>
      </c>
      <c r="G3664" s="387"/>
      <c r="H3664" s="391" t="str">
        <f t="shared" ca="1" si="226"/>
        <v/>
      </c>
      <c r="I3664" s="391" t="str">
        <f t="shared" ca="1" si="227"/>
        <v/>
      </c>
    </row>
    <row r="3665" spans="1:9">
      <c r="A3665" s="387" t="b">
        <f t="shared" ca="1" si="225"/>
        <v>0</v>
      </c>
      <c r="B3665" s="396" t="str">
        <f ca="1">IF(COUNTA(G$3060:G3664)=1,"",OFFSET(B3665,-COUNTA(G$3060:G3664)+1,0))</f>
        <v>a1bDm000000YZGoIAO</v>
      </c>
      <c r="C3665" s="392">
        <f ca="1">IF(COUNTA(G$3060:G3664)=1,"",OFFSET(C3665,-COUNTA(G$3060:G3664)+1,0))</f>
        <v>21</v>
      </c>
      <c r="D3665" s="387">
        <f t="shared" si="228"/>
        <v>123</v>
      </c>
      <c r="E3665" s="387">
        <f t="shared" ca="1" si="229"/>
        <v>3</v>
      </c>
      <c r="F3665" s="387">
        <f t="shared" ca="1" si="230"/>
        <v>29</v>
      </c>
      <c r="G3665" s="387"/>
      <c r="H3665" s="391" t="str">
        <f t="shared" ca="1" si="226"/>
        <v/>
      </c>
      <c r="I3665" s="391" t="str">
        <f t="shared" ca="1" si="227"/>
        <v/>
      </c>
    </row>
    <row r="3666" spans="1:9">
      <c r="A3666" s="387" t="b">
        <f t="shared" ca="1" si="225"/>
        <v>0</v>
      </c>
      <c r="B3666" s="396" t="str">
        <f ca="1">IF(COUNTA(G$3060:G3665)=1,"",OFFSET(B3666,-COUNTA(G$3060:G3665)+1,0))</f>
        <v>a1bDm000000YZI6IAO</v>
      </c>
      <c r="C3666" s="392">
        <f ca="1">IF(COUNTA(G$3060:G3665)=1,"",OFFSET(C3666,-COUNTA(G$3060:G3665)+1,0))</f>
        <v>21</v>
      </c>
      <c r="D3666" s="387">
        <f t="shared" si="228"/>
        <v>124</v>
      </c>
      <c r="E3666" s="387">
        <f t="shared" ca="1" si="229"/>
        <v>4</v>
      </c>
      <c r="F3666" s="387">
        <f t="shared" ca="1" si="230"/>
        <v>29</v>
      </c>
      <c r="G3666" s="387"/>
      <c r="H3666" s="391" t="str">
        <f t="shared" ca="1" si="226"/>
        <v/>
      </c>
      <c r="I3666" s="391" t="str">
        <f t="shared" ca="1" si="227"/>
        <v/>
      </c>
    </row>
    <row r="3667" spans="1:9">
      <c r="A3667" s="387" t="b">
        <f t="shared" ca="1" si="225"/>
        <v>0</v>
      </c>
      <c r="B3667" s="396" t="str">
        <f ca="1">IF(COUNTA(G$3060:G3666)=1,"",OFFSET(B3667,-COUNTA(G$3060:G3666)+1,0))</f>
        <v>a1bDm000000YZJOIA4</v>
      </c>
      <c r="C3667" s="392">
        <f ca="1">IF(COUNTA(G$3060:G3666)=1,"",OFFSET(C3667,-COUNTA(G$3060:G3666)+1,0))</f>
        <v>21</v>
      </c>
      <c r="D3667" s="387">
        <f t="shared" si="228"/>
        <v>125</v>
      </c>
      <c r="E3667" s="387">
        <f t="shared" ca="1" si="229"/>
        <v>5</v>
      </c>
      <c r="F3667" s="387">
        <f t="shared" ca="1" si="230"/>
        <v>29</v>
      </c>
      <c r="G3667" s="387"/>
      <c r="H3667" s="391" t="str">
        <f t="shared" ca="1" si="226"/>
        <v/>
      </c>
      <c r="I3667" s="391" t="str">
        <f t="shared" ca="1" si="227"/>
        <v/>
      </c>
    </row>
    <row r="3668" spans="1:9">
      <c r="A3668" s="387" t="b">
        <f t="shared" ca="1" si="225"/>
        <v>0</v>
      </c>
      <c r="B3668" s="396" t="str">
        <f ca="1">IF(COUNTA(G$3060:G3667)=1,"",OFFSET(B3668,-COUNTA(G$3060:G3667)+1,0))</f>
        <v>a1bDm000000YZKgIAO</v>
      </c>
      <c r="C3668" s="392">
        <f ca="1">IF(COUNTA(G$3060:G3667)=1,"",OFFSET(C3668,-COUNTA(G$3060:G3667)+1,0))</f>
        <v>21</v>
      </c>
      <c r="D3668" s="387">
        <f t="shared" si="228"/>
        <v>126</v>
      </c>
      <c r="E3668" s="387">
        <f t="shared" ca="1" si="229"/>
        <v>6</v>
      </c>
      <c r="F3668" s="387">
        <f t="shared" ca="1" si="230"/>
        <v>29</v>
      </c>
      <c r="G3668" s="387"/>
      <c r="H3668" s="391" t="str">
        <f t="shared" ca="1" si="226"/>
        <v/>
      </c>
      <c r="I3668" s="391" t="str">
        <f t="shared" ca="1" si="227"/>
        <v/>
      </c>
    </row>
    <row r="3669" spans="1:9">
      <c r="A3669" s="387" t="b">
        <f t="shared" ca="1" si="225"/>
        <v>0</v>
      </c>
      <c r="B3669" s="396" t="str">
        <f ca="1">IF(COUNTA(G$3060:G3668)=1,"",OFFSET(B3669,-COUNTA(G$3060:G3668)+1,0))</f>
        <v>a1bDm000000YZEFIA4</v>
      </c>
      <c r="C3669" s="392">
        <f ca="1">IF(COUNTA(G$3060:G3668)=1,"",OFFSET(C3669,-COUNTA(G$3060:G3668)+1,0))</f>
        <v>22</v>
      </c>
      <c r="D3669" s="387">
        <f t="shared" si="228"/>
        <v>127</v>
      </c>
      <c r="E3669" s="387">
        <f t="shared" ca="1" si="229"/>
        <v>1</v>
      </c>
      <c r="F3669" s="387">
        <f t="shared" ca="1" si="230"/>
        <v>30</v>
      </c>
      <c r="G3669" s="387"/>
      <c r="H3669" s="391" t="str">
        <f t="shared" ca="1" si="226"/>
        <v/>
      </c>
      <c r="I3669" s="391" t="str">
        <f t="shared" ca="1" si="227"/>
        <v/>
      </c>
    </row>
    <row r="3670" spans="1:9">
      <c r="A3670" s="387" t="b">
        <f t="shared" ca="1" si="225"/>
        <v>0</v>
      </c>
      <c r="B3670" s="396" t="str">
        <f ca="1">IF(COUNTA(G$3060:G3669)=1,"",OFFSET(B3670,-COUNTA(G$3060:G3669)+1,0))</f>
        <v>a1bDm000000YZFXIA4</v>
      </c>
      <c r="C3670" s="392">
        <f ca="1">IF(COUNTA(G$3060:G3669)=1,"",OFFSET(C3670,-COUNTA(G$3060:G3669)+1,0))</f>
        <v>22</v>
      </c>
      <c r="D3670" s="387">
        <f t="shared" si="228"/>
        <v>128</v>
      </c>
      <c r="E3670" s="387">
        <f t="shared" ca="1" si="229"/>
        <v>2</v>
      </c>
      <c r="F3670" s="387">
        <f t="shared" ca="1" si="230"/>
        <v>30</v>
      </c>
      <c r="G3670" s="387"/>
      <c r="H3670" s="391" t="str">
        <f t="shared" ca="1" si="226"/>
        <v/>
      </c>
      <c r="I3670" s="391" t="str">
        <f t="shared" ca="1" si="227"/>
        <v/>
      </c>
    </row>
    <row r="3671" spans="1:9">
      <c r="A3671" s="387" t="b">
        <f t="shared" ref="A3671:A3734" ca="1" si="231">IF(OR(AND(H3671&lt;&gt;"", H3671&lt;&gt;0), AND(I3671&lt;&gt;"",I3671&lt;&gt;0)),TRUE,FALSE)</f>
        <v>0</v>
      </c>
      <c r="B3671" s="396" t="str">
        <f ca="1">IF(COUNTA(G$3060:G3670)=1,"",OFFSET(B3671,-COUNTA(G$3060:G3670)+1,0))</f>
        <v>a1bDm000000YZGpIAO</v>
      </c>
      <c r="C3671" s="392">
        <f ca="1">IF(COUNTA(G$3060:G3670)=1,"",OFFSET(C3671,-COUNTA(G$3060:G3670)+1,0))</f>
        <v>22</v>
      </c>
      <c r="D3671" s="387">
        <f t="shared" si="228"/>
        <v>129</v>
      </c>
      <c r="E3671" s="387">
        <f t="shared" ca="1" si="229"/>
        <v>3</v>
      </c>
      <c r="F3671" s="387">
        <f t="shared" ca="1" si="230"/>
        <v>30</v>
      </c>
      <c r="G3671" s="387"/>
      <c r="H3671" s="391" t="str">
        <f t="shared" ref="H3671:H3734" ca="1" si="232">CHOOSE(E3671,IFERROR(IF(INDIRECT("'WPTM - Section F'!H"&amp;F3671)=0,"",INDIRECT("'WPTM - Section F'!H"&amp;$F3671)),""),IFERROR(IF(INDIRECT("'WPTM - Section F'!J"&amp;F3671)=0,"",INDIRECT("'WPTM - Section F'!J"&amp;$F3671)),""),IFERROR(IF(INDIRECT("'WPTM - Section F'!L"&amp;F3671)=0,"",INDIRECT("'WPTM - Section F'!L"&amp;$F3671)),""),IFERROR(IF(INDIRECT("'WPTM - Section F'!N"&amp;F3671)=0,"",INDIRECT("'WPTM - Section F'!N"&amp;$F3671)),""),IFERROR(IF(INDIRECT("'WPTM - Section F'!P"&amp;F3671)=0,"",INDIRECT("'WPTM - Section F'!P"&amp;$F3671)),""),IFERROR(IF(INDIRECT("'WPTM - Section F'!R"&amp;F3671)=0,"",INDIRECT("'WPTM - Section F'!R"&amp;$F3671)),""),IFERROR(IF(INDIRECT("'WPTM - Section F'!T"&amp;F3671)=0,"",INDIRECT("'WPTM - Section F'!T"&amp;$F3671)),""),IFERROR(IF(INDIRECT("'WPTM - Section F'!V"&amp;F3671)=0,"",INDIRECT("'WPTM - Section F'!V"&amp;$F3671)),""),)</f>
        <v/>
      </c>
      <c r="I3671" s="391" t="str">
        <f t="shared" ref="I3671:I3734" ca="1" si="233">CHOOSE(E3671,IFERROR(IF(INDIRECT("'WPTM - Section F'!G"&amp;F3671)=0,"",INDIRECT("'WPTM - Section F'!G"&amp;$F3671)),""),IFERROR(IF(INDIRECT("'WPTM - Section F'!I"&amp;F3671)=0,"",INDIRECT("'WPTM - Section F'!I"&amp;$F3671)),""),IFERROR(IF(INDIRECT("'WPTM - Section F'!K"&amp;F3671)=0,"",INDIRECT("'WPTM - Section F'!K"&amp;$F3671)),""),IFERROR(IF(INDIRECT("'WPTM - Section F'!M"&amp;F3671)=0,"",INDIRECT("'WPTM - Section F'!M"&amp;$F3671)),""),IFERROR(IF(INDIRECT("'WPTM - Section F'!O"&amp;F3671)=0,"",INDIRECT("'WPTM - Section F'!O"&amp;$F3671)),""),IFERROR(IF(INDIRECT("'WPTM - Section F'!Q"&amp;F3671)=0,"",INDIRECT("'WPTM - Section F'!Q"&amp;$F3671)),""),IFERROR(IF(INDIRECT("'WPTM - Section F'!S"&amp;F3671)=0,"",INDIRECT("'WPTM - Section F'!S"&amp;$F3671)),""),IFERROR(IF(INDIRECT("'WPTM - Section F'!U"&amp;F3671)=0,"",INDIRECT("'WPTM - Section F'!U"&amp;$F3671)),""),)</f>
        <v/>
      </c>
    </row>
    <row r="3672" spans="1:9">
      <c r="A3672" s="387" t="b">
        <f t="shared" ca="1" si="231"/>
        <v>0</v>
      </c>
      <c r="B3672" s="396" t="str">
        <f ca="1">IF(COUNTA(G$3060:G3671)=1,"",OFFSET(B3672,-COUNTA(G$3060:G3671)+1,0))</f>
        <v>a1bDm000000YZI7IAO</v>
      </c>
      <c r="C3672" s="392">
        <f ca="1">IF(COUNTA(G$3060:G3671)=1,"",OFFSET(C3672,-COUNTA(G$3060:G3671)+1,0))</f>
        <v>22</v>
      </c>
      <c r="D3672" s="387">
        <f t="shared" si="228"/>
        <v>130</v>
      </c>
      <c r="E3672" s="387">
        <f t="shared" ca="1" si="229"/>
        <v>4</v>
      </c>
      <c r="F3672" s="387">
        <f t="shared" ca="1" si="230"/>
        <v>30</v>
      </c>
      <c r="G3672" s="387"/>
      <c r="H3672" s="391" t="str">
        <f t="shared" ca="1" si="232"/>
        <v/>
      </c>
      <c r="I3672" s="391" t="str">
        <f t="shared" ca="1" si="233"/>
        <v/>
      </c>
    </row>
    <row r="3673" spans="1:9">
      <c r="A3673" s="387" t="b">
        <f t="shared" ca="1" si="231"/>
        <v>0</v>
      </c>
      <c r="B3673" s="396" t="str">
        <f ca="1">IF(COUNTA(G$3060:G3672)=1,"",OFFSET(B3673,-COUNTA(G$3060:G3672)+1,0))</f>
        <v>a1bDm000000YZJPIA4</v>
      </c>
      <c r="C3673" s="392">
        <f ca="1">IF(COUNTA(G$3060:G3672)=1,"",OFFSET(C3673,-COUNTA(G$3060:G3672)+1,0))</f>
        <v>22</v>
      </c>
      <c r="D3673" s="387">
        <f t="shared" si="228"/>
        <v>131</v>
      </c>
      <c r="E3673" s="387">
        <f t="shared" ca="1" si="229"/>
        <v>5</v>
      </c>
      <c r="F3673" s="387">
        <f t="shared" ca="1" si="230"/>
        <v>30</v>
      </c>
      <c r="G3673" s="387"/>
      <c r="H3673" s="391" t="str">
        <f t="shared" ca="1" si="232"/>
        <v/>
      </c>
      <c r="I3673" s="391" t="str">
        <f t="shared" ca="1" si="233"/>
        <v/>
      </c>
    </row>
    <row r="3674" spans="1:9">
      <c r="A3674" s="387" t="b">
        <f t="shared" ca="1" si="231"/>
        <v>0</v>
      </c>
      <c r="B3674" s="396" t="str">
        <f ca="1">IF(COUNTA(G$3060:G3673)=1,"",OFFSET(B3674,-COUNTA(G$3060:G3673)+1,0))</f>
        <v>a1bDm000000YZKhIAO</v>
      </c>
      <c r="C3674" s="392">
        <f ca="1">IF(COUNTA(G$3060:G3673)=1,"",OFFSET(C3674,-COUNTA(G$3060:G3673)+1,0))</f>
        <v>22</v>
      </c>
      <c r="D3674" s="387">
        <f t="shared" si="228"/>
        <v>132</v>
      </c>
      <c r="E3674" s="387">
        <f t="shared" ca="1" si="229"/>
        <v>6</v>
      </c>
      <c r="F3674" s="387">
        <f t="shared" ca="1" si="230"/>
        <v>30</v>
      </c>
      <c r="G3674" s="387"/>
      <c r="H3674" s="391" t="str">
        <f t="shared" ca="1" si="232"/>
        <v/>
      </c>
      <c r="I3674" s="391" t="str">
        <f t="shared" ca="1" si="233"/>
        <v/>
      </c>
    </row>
    <row r="3675" spans="1:9">
      <c r="A3675" s="387" t="b">
        <f t="shared" ca="1" si="231"/>
        <v>0</v>
      </c>
      <c r="B3675" s="396" t="str">
        <f ca="1">IF(COUNTA(G$3060:G3674)=1,"",OFFSET(B3675,-COUNTA(G$3060:G3674)+1,0))</f>
        <v>a1bDm000000YZEGIA4</v>
      </c>
      <c r="C3675" s="392">
        <f ca="1">IF(COUNTA(G$3060:G3674)=1,"",OFFSET(C3675,-COUNTA(G$3060:G3674)+1,0))</f>
        <v>23</v>
      </c>
      <c r="D3675" s="387">
        <f t="shared" si="228"/>
        <v>133</v>
      </c>
      <c r="E3675" s="387">
        <f t="shared" ca="1" si="229"/>
        <v>1</v>
      </c>
      <c r="F3675" s="387">
        <f t="shared" ca="1" si="230"/>
        <v>31</v>
      </c>
      <c r="G3675" s="387"/>
      <c r="H3675" s="391" t="str">
        <f t="shared" ca="1" si="232"/>
        <v/>
      </c>
      <c r="I3675" s="391" t="str">
        <f t="shared" ca="1" si="233"/>
        <v/>
      </c>
    </row>
    <row r="3676" spans="1:9">
      <c r="A3676" s="387" t="b">
        <f t="shared" ca="1" si="231"/>
        <v>0</v>
      </c>
      <c r="B3676" s="396" t="str">
        <f ca="1">IF(COUNTA(G$3060:G3675)=1,"",OFFSET(B3676,-COUNTA(G$3060:G3675)+1,0))</f>
        <v>a1bDm000000YZFYIA4</v>
      </c>
      <c r="C3676" s="392">
        <f ca="1">IF(COUNTA(G$3060:G3675)=1,"",OFFSET(C3676,-COUNTA(G$3060:G3675)+1,0))</f>
        <v>23</v>
      </c>
      <c r="D3676" s="387">
        <f t="shared" si="228"/>
        <v>134</v>
      </c>
      <c r="E3676" s="387">
        <f t="shared" ca="1" si="229"/>
        <v>2</v>
      </c>
      <c r="F3676" s="387">
        <f t="shared" ca="1" si="230"/>
        <v>31</v>
      </c>
      <c r="G3676" s="387"/>
      <c r="H3676" s="391" t="str">
        <f t="shared" ca="1" si="232"/>
        <v/>
      </c>
      <c r="I3676" s="391" t="str">
        <f t="shared" ca="1" si="233"/>
        <v/>
      </c>
    </row>
    <row r="3677" spans="1:9">
      <c r="A3677" s="387" t="b">
        <f t="shared" ca="1" si="231"/>
        <v>0</v>
      </c>
      <c r="B3677" s="396" t="str">
        <f ca="1">IF(COUNTA(G$3060:G3676)=1,"",OFFSET(B3677,-COUNTA(G$3060:G3676)+1,0))</f>
        <v>a1bDm000000YZGqIAO</v>
      </c>
      <c r="C3677" s="392">
        <f ca="1">IF(COUNTA(G$3060:G3676)=1,"",OFFSET(C3677,-COUNTA(G$3060:G3676)+1,0))</f>
        <v>23</v>
      </c>
      <c r="D3677" s="387">
        <f t="shared" si="228"/>
        <v>135</v>
      </c>
      <c r="E3677" s="387">
        <f t="shared" ca="1" si="229"/>
        <v>3</v>
      </c>
      <c r="F3677" s="387">
        <f t="shared" ca="1" si="230"/>
        <v>31</v>
      </c>
      <c r="G3677" s="387"/>
      <c r="H3677" s="391" t="str">
        <f t="shared" ca="1" si="232"/>
        <v/>
      </c>
      <c r="I3677" s="391" t="str">
        <f t="shared" ca="1" si="233"/>
        <v/>
      </c>
    </row>
    <row r="3678" spans="1:9">
      <c r="A3678" s="387" t="b">
        <f t="shared" ca="1" si="231"/>
        <v>0</v>
      </c>
      <c r="B3678" s="396" t="str">
        <f ca="1">IF(COUNTA(G$3060:G3677)=1,"",OFFSET(B3678,-COUNTA(G$3060:G3677)+1,0))</f>
        <v>a1bDm000000YZI8IAO</v>
      </c>
      <c r="C3678" s="392">
        <f ca="1">IF(COUNTA(G$3060:G3677)=1,"",OFFSET(C3678,-COUNTA(G$3060:G3677)+1,0))</f>
        <v>23</v>
      </c>
      <c r="D3678" s="387">
        <f t="shared" si="228"/>
        <v>136</v>
      </c>
      <c r="E3678" s="387">
        <f t="shared" ca="1" si="229"/>
        <v>4</v>
      </c>
      <c r="F3678" s="387">
        <f t="shared" ca="1" si="230"/>
        <v>31</v>
      </c>
      <c r="G3678" s="387"/>
      <c r="H3678" s="391" t="str">
        <f t="shared" ca="1" si="232"/>
        <v/>
      </c>
      <c r="I3678" s="391" t="str">
        <f t="shared" ca="1" si="233"/>
        <v/>
      </c>
    </row>
    <row r="3679" spans="1:9">
      <c r="A3679" s="387" t="b">
        <f t="shared" ca="1" si="231"/>
        <v>0</v>
      </c>
      <c r="B3679" s="396" t="str">
        <f ca="1">IF(COUNTA(G$3060:G3678)=1,"",OFFSET(B3679,-COUNTA(G$3060:G3678)+1,0))</f>
        <v>a1bDm000000YZJQIA4</v>
      </c>
      <c r="C3679" s="392">
        <f ca="1">IF(COUNTA(G$3060:G3678)=1,"",OFFSET(C3679,-COUNTA(G$3060:G3678)+1,0))</f>
        <v>23</v>
      </c>
      <c r="D3679" s="387">
        <f t="shared" si="228"/>
        <v>137</v>
      </c>
      <c r="E3679" s="387">
        <f t="shared" ca="1" si="229"/>
        <v>5</v>
      </c>
      <c r="F3679" s="387">
        <f t="shared" ca="1" si="230"/>
        <v>31</v>
      </c>
      <c r="G3679" s="387"/>
      <c r="H3679" s="391" t="str">
        <f t="shared" ca="1" si="232"/>
        <v/>
      </c>
      <c r="I3679" s="391" t="str">
        <f t="shared" ca="1" si="233"/>
        <v/>
      </c>
    </row>
    <row r="3680" spans="1:9">
      <c r="A3680" s="387" t="b">
        <f t="shared" ca="1" si="231"/>
        <v>0</v>
      </c>
      <c r="B3680" s="396" t="str">
        <f ca="1">IF(COUNTA(G$3060:G3679)=1,"",OFFSET(B3680,-COUNTA(G$3060:G3679)+1,0))</f>
        <v>a1bDm000000YZKiIAO</v>
      </c>
      <c r="C3680" s="392">
        <f ca="1">IF(COUNTA(G$3060:G3679)=1,"",OFFSET(C3680,-COUNTA(G$3060:G3679)+1,0))</f>
        <v>23</v>
      </c>
      <c r="D3680" s="387">
        <f t="shared" si="228"/>
        <v>138</v>
      </c>
      <c r="E3680" s="387">
        <f t="shared" ca="1" si="229"/>
        <v>6</v>
      </c>
      <c r="F3680" s="387">
        <f t="shared" ca="1" si="230"/>
        <v>31</v>
      </c>
      <c r="G3680" s="387"/>
      <c r="H3680" s="391" t="str">
        <f t="shared" ca="1" si="232"/>
        <v/>
      </c>
      <c r="I3680" s="391" t="str">
        <f t="shared" ca="1" si="233"/>
        <v/>
      </c>
    </row>
    <row r="3681" spans="1:9">
      <c r="A3681" s="387" t="b">
        <f t="shared" ca="1" si="231"/>
        <v>0</v>
      </c>
      <c r="B3681" s="396" t="str">
        <f ca="1">IF(COUNTA(G$3060:G3680)=1,"",OFFSET(B3681,-COUNTA(G$3060:G3680)+1,0))</f>
        <v>a1bDm000000YZEHIA4</v>
      </c>
      <c r="C3681" s="392">
        <f ca="1">IF(COUNTA(G$3060:G3680)=1,"",OFFSET(C3681,-COUNTA(G$3060:G3680)+1,0))</f>
        <v>24</v>
      </c>
      <c r="D3681" s="387">
        <f t="shared" si="228"/>
        <v>139</v>
      </c>
      <c r="E3681" s="387">
        <f t="shared" ca="1" si="229"/>
        <v>1</v>
      </c>
      <c r="F3681" s="387">
        <f t="shared" ca="1" si="230"/>
        <v>32</v>
      </c>
      <c r="G3681" s="387"/>
      <c r="H3681" s="391" t="str">
        <f t="shared" ca="1" si="232"/>
        <v/>
      </c>
      <c r="I3681" s="391" t="str">
        <f t="shared" ca="1" si="233"/>
        <v/>
      </c>
    </row>
    <row r="3682" spans="1:9">
      <c r="A3682" s="387" t="b">
        <f t="shared" ca="1" si="231"/>
        <v>0</v>
      </c>
      <c r="B3682" s="396" t="str">
        <f ca="1">IF(COUNTA(G$3060:G3681)=1,"",OFFSET(B3682,-COUNTA(G$3060:G3681)+1,0))</f>
        <v>a1bDm000000YZFZIA4</v>
      </c>
      <c r="C3682" s="392">
        <f ca="1">IF(COUNTA(G$3060:G3681)=1,"",OFFSET(C3682,-COUNTA(G$3060:G3681)+1,0))</f>
        <v>24</v>
      </c>
      <c r="D3682" s="387">
        <f t="shared" si="228"/>
        <v>140</v>
      </c>
      <c r="E3682" s="387">
        <f t="shared" ca="1" si="229"/>
        <v>2</v>
      </c>
      <c r="F3682" s="387">
        <f t="shared" ca="1" si="230"/>
        <v>32</v>
      </c>
      <c r="G3682" s="387"/>
      <c r="H3682" s="391" t="str">
        <f t="shared" ca="1" si="232"/>
        <v/>
      </c>
      <c r="I3682" s="391" t="str">
        <f t="shared" ca="1" si="233"/>
        <v/>
      </c>
    </row>
    <row r="3683" spans="1:9">
      <c r="A3683" s="387" t="b">
        <f t="shared" ca="1" si="231"/>
        <v>0</v>
      </c>
      <c r="B3683" s="396" t="str">
        <f ca="1">IF(COUNTA(G$3060:G3682)=1,"",OFFSET(B3683,-COUNTA(G$3060:G3682)+1,0))</f>
        <v>a1bDm000000YZGrIAO</v>
      </c>
      <c r="C3683" s="392">
        <f ca="1">IF(COUNTA(G$3060:G3682)=1,"",OFFSET(C3683,-COUNTA(G$3060:G3682)+1,0))</f>
        <v>24</v>
      </c>
      <c r="D3683" s="387">
        <f t="shared" si="228"/>
        <v>141</v>
      </c>
      <c r="E3683" s="387">
        <f t="shared" ca="1" si="229"/>
        <v>3</v>
      </c>
      <c r="F3683" s="387">
        <f t="shared" ca="1" si="230"/>
        <v>32</v>
      </c>
      <c r="G3683" s="387"/>
      <c r="H3683" s="391" t="str">
        <f t="shared" ca="1" si="232"/>
        <v/>
      </c>
      <c r="I3683" s="391" t="str">
        <f t="shared" ca="1" si="233"/>
        <v/>
      </c>
    </row>
    <row r="3684" spans="1:9">
      <c r="A3684" s="387" t="b">
        <f t="shared" ca="1" si="231"/>
        <v>0</v>
      </c>
      <c r="B3684" s="396" t="str">
        <f ca="1">IF(COUNTA(G$3060:G3683)=1,"",OFFSET(B3684,-COUNTA(G$3060:G3683)+1,0))</f>
        <v>a1bDm000000YZI9IAO</v>
      </c>
      <c r="C3684" s="392">
        <f ca="1">IF(COUNTA(G$3060:G3683)=1,"",OFFSET(C3684,-COUNTA(G$3060:G3683)+1,0))</f>
        <v>24</v>
      </c>
      <c r="D3684" s="387">
        <f t="shared" si="228"/>
        <v>142</v>
      </c>
      <c r="E3684" s="387">
        <f t="shared" ca="1" si="229"/>
        <v>4</v>
      </c>
      <c r="F3684" s="387">
        <f t="shared" ca="1" si="230"/>
        <v>32</v>
      </c>
      <c r="G3684" s="387"/>
      <c r="H3684" s="391" t="str">
        <f t="shared" ca="1" si="232"/>
        <v/>
      </c>
      <c r="I3684" s="391" t="str">
        <f t="shared" ca="1" si="233"/>
        <v/>
      </c>
    </row>
    <row r="3685" spans="1:9">
      <c r="A3685" s="387" t="b">
        <f t="shared" ca="1" si="231"/>
        <v>0</v>
      </c>
      <c r="B3685" s="396" t="str">
        <f ca="1">IF(COUNTA(G$3060:G3684)=1,"",OFFSET(B3685,-COUNTA(G$3060:G3684)+1,0))</f>
        <v>a1bDm000000YZKjIAO</v>
      </c>
      <c r="C3685" s="392">
        <f ca="1">IF(COUNTA(G$3060:G3684)=1,"",OFFSET(C3685,-COUNTA(G$3060:G3684)+1,0))</f>
        <v>24</v>
      </c>
      <c r="D3685" s="387">
        <f t="shared" si="228"/>
        <v>143</v>
      </c>
      <c r="E3685" s="387">
        <f t="shared" ca="1" si="229"/>
        <v>5</v>
      </c>
      <c r="F3685" s="387">
        <f t="shared" ca="1" si="230"/>
        <v>32</v>
      </c>
      <c r="G3685" s="387"/>
      <c r="H3685" s="391" t="str">
        <f t="shared" ca="1" si="232"/>
        <v/>
      </c>
      <c r="I3685" s="391" t="str">
        <f t="shared" ca="1" si="233"/>
        <v/>
      </c>
    </row>
    <row r="3686" spans="1:9">
      <c r="A3686" s="387" t="b">
        <f t="shared" ca="1" si="231"/>
        <v>0</v>
      </c>
      <c r="B3686" s="396" t="str">
        <f ca="1">IF(COUNTA(G$3060:G3685)=1,"",OFFSET(B3686,-COUNTA(G$3060:G3685)+1,0))</f>
        <v>a1bDm000000YZJRIA4</v>
      </c>
      <c r="C3686" s="392">
        <f ca="1">IF(COUNTA(G$3060:G3685)=1,"",OFFSET(C3686,-COUNTA(G$3060:G3685)+1,0))</f>
        <v>24</v>
      </c>
      <c r="D3686" s="387">
        <f t="shared" si="228"/>
        <v>144</v>
      </c>
      <c r="E3686" s="387">
        <f t="shared" ca="1" si="229"/>
        <v>6</v>
      </c>
      <c r="F3686" s="387">
        <f t="shared" ca="1" si="230"/>
        <v>32</v>
      </c>
      <c r="G3686" s="387"/>
      <c r="H3686" s="391" t="str">
        <f t="shared" ca="1" si="232"/>
        <v/>
      </c>
      <c r="I3686" s="391" t="str">
        <f t="shared" ca="1" si="233"/>
        <v/>
      </c>
    </row>
    <row r="3687" spans="1:9">
      <c r="A3687" s="387" t="b">
        <f t="shared" ca="1" si="231"/>
        <v>0</v>
      </c>
      <c r="B3687" s="396" t="str">
        <f ca="1">IF(COUNTA(G$3060:G3686)=1,"",OFFSET(B3687,-COUNTA(G$3060:G3686)+1,0))</f>
        <v>a1bDm000000YZEIIA4</v>
      </c>
      <c r="C3687" s="392">
        <f ca="1">IF(COUNTA(G$3060:G3686)=1,"",OFFSET(C3687,-COUNTA(G$3060:G3686)+1,0))</f>
        <v>25</v>
      </c>
      <c r="D3687" s="387">
        <f t="shared" si="228"/>
        <v>145</v>
      </c>
      <c r="E3687" s="387">
        <f t="shared" ca="1" si="229"/>
        <v>1</v>
      </c>
      <c r="F3687" s="387">
        <f t="shared" ca="1" si="230"/>
        <v>33</v>
      </c>
      <c r="G3687" s="387"/>
      <c r="H3687" s="391" t="str">
        <f t="shared" ca="1" si="232"/>
        <v/>
      </c>
      <c r="I3687" s="391" t="str">
        <f t="shared" ca="1" si="233"/>
        <v/>
      </c>
    </row>
    <row r="3688" spans="1:9">
      <c r="A3688" s="387" t="b">
        <f t="shared" ca="1" si="231"/>
        <v>0</v>
      </c>
      <c r="B3688" s="396" t="str">
        <f ca="1">IF(COUNTA(G$3060:G3687)=1,"",OFFSET(B3688,-COUNTA(G$3060:G3687)+1,0))</f>
        <v>a1bDm000000YZFaIAO</v>
      </c>
      <c r="C3688" s="392">
        <f ca="1">IF(COUNTA(G$3060:G3687)=1,"",OFFSET(C3688,-COUNTA(G$3060:G3687)+1,0))</f>
        <v>25</v>
      </c>
      <c r="D3688" s="387">
        <f t="shared" si="228"/>
        <v>146</v>
      </c>
      <c r="E3688" s="387">
        <f t="shared" ca="1" si="229"/>
        <v>2</v>
      </c>
      <c r="F3688" s="387">
        <f t="shared" ca="1" si="230"/>
        <v>33</v>
      </c>
      <c r="G3688" s="387"/>
      <c r="H3688" s="391" t="str">
        <f t="shared" ca="1" si="232"/>
        <v/>
      </c>
      <c r="I3688" s="391" t="str">
        <f t="shared" ca="1" si="233"/>
        <v/>
      </c>
    </row>
    <row r="3689" spans="1:9">
      <c r="A3689" s="387" t="b">
        <f t="shared" ca="1" si="231"/>
        <v>0</v>
      </c>
      <c r="B3689" s="396" t="str">
        <f ca="1">IF(COUNTA(G$3060:G3688)=1,"",OFFSET(B3689,-COUNTA(G$3060:G3688)+1,0))</f>
        <v>a1bDm000000YZGsIAO</v>
      </c>
      <c r="C3689" s="392">
        <f ca="1">IF(COUNTA(G$3060:G3688)=1,"",OFFSET(C3689,-COUNTA(G$3060:G3688)+1,0))</f>
        <v>25</v>
      </c>
      <c r="D3689" s="387">
        <f t="shared" si="228"/>
        <v>147</v>
      </c>
      <c r="E3689" s="387">
        <f t="shared" ca="1" si="229"/>
        <v>3</v>
      </c>
      <c r="F3689" s="387">
        <f t="shared" ca="1" si="230"/>
        <v>33</v>
      </c>
      <c r="G3689" s="387"/>
      <c r="H3689" s="391" t="str">
        <f t="shared" ca="1" si="232"/>
        <v/>
      </c>
      <c r="I3689" s="391" t="str">
        <f t="shared" ca="1" si="233"/>
        <v/>
      </c>
    </row>
    <row r="3690" spans="1:9">
      <c r="A3690" s="387" t="b">
        <f t="shared" ca="1" si="231"/>
        <v>0</v>
      </c>
      <c r="B3690" s="396" t="str">
        <f ca="1">IF(COUNTA(G$3060:G3689)=1,"",OFFSET(B3690,-COUNTA(G$3060:G3689)+1,0))</f>
        <v>a1bDm000000YZIAIA4</v>
      </c>
      <c r="C3690" s="392">
        <f ca="1">IF(COUNTA(G$3060:G3689)=1,"",OFFSET(C3690,-COUNTA(G$3060:G3689)+1,0))</f>
        <v>25</v>
      </c>
      <c r="D3690" s="387">
        <f t="shared" si="228"/>
        <v>148</v>
      </c>
      <c r="E3690" s="387">
        <f t="shared" ca="1" si="229"/>
        <v>4</v>
      </c>
      <c r="F3690" s="387">
        <f t="shared" ca="1" si="230"/>
        <v>33</v>
      </c>
      <c r="G3690" s="387"/>
      <c r="H3690" s="391" t="str">
        <f t="shared" ca="1" si="232"/>
        <v/>
      </c>
      <c r="I3690" s="391" t="str">
        <f t="shared" ca="1" si="233"/>
        <v/>
      </c>
    </row>
    <row r="3691" spans="1:9">
      <c r="A3691" s="387" t="b">
        <f t="shared" ca="1" si="231"/>
        <v>0</v>
      </c>
      <c r="B3691" s="396" t="str">
        <f ca="1">IF(COUNTA(G$3060:G3690)=1,"",OFFSET(B3691,-COUNTA(G$3060:G3690)+1,0))</f>
        <v>a1bDm000000YZKkIAO</v>
      </c>
      <c r="C3691" s="392">
        <f ca="1">IF(COUNTA(G$3060:G3690)=1,"",OFFSET(C3691,-COUNTA(G$3060:G3690)+1,0))</f>
        <v>25</v>
      </c>
      <c r="D3691" s="387">
        <f t="shared" si="228"/>
        <v>149</v>
      </c>
      <c r="E3691" s="387">
        <f t="shared" ca="1" si="229"/>
        <v>5</v>
      </c>
      <c r="F3691" s="387">
        <f t="shared" ca="1" si="230"/>
        <v>33</v>
      </c>
      <c r="G3691" s="387"/>
      <c r="H3691" s="391" t="str">
        <f t="shared" ca="1" si="232"/>
        <v/>
      </c>
      <c r="I3691" s="391" t="str">
        <f t="shared" ca="1" si="233"/>
        <v/>
      </c>
    </row>
    <row r="3692" spans="1:9">
      <c r="A3692" s="387" t="b">
        <f t="shared" ca="1" si="231"/>
        <v>0</v>
      </c>
      <c r="B3692" s="396" t="str">
        <f ca="1">IF(COUNTA(G$3060:G3691)=1,"",OFFSET(B3692,-COUNTA(G$3060:G3691)+1,0))</f>
        <v>a1bDm000000YZJSIA4</v>
      </c>
      <c r="C3692" s="392">
        <f ca="1">IF(COUNTA(G$3060:G3691)=1,"",OFFSET(C3692,-COUNTA(G$3060:G3691)+1,0))</f>
        <v>25</v>
      </c>
      <c r="D3692" s="387">
        <f t="shared" si="228"/>
        <v>150</v>
      </c>
      <c r="E3692" s="387">
        <f t="shared" ca="1" si="229"/>
        <v>6</v>
      </c>
      <c r="F3692" s="387">
        <f t="shared" ca="1" si="230"/>
        <v>33</v>
      </c>
      <c r="G3692" s="387"/>
      <c r="H3692" s="391" t="str">
        <f t="shared" ca="1" si="232"/>
        <v/>
      </c>
      <c r="I3692" s="391" t="str">
        <f t="shared" ca="1" si="233"/>
        <v/>
      </c>
    </row>
    <row r="3693" spans="1:9">
      <c r="A3693" s="387" t="b">
        <f t="shared" ca="1" si="231"/>
        <v>0</v>
      </c>
      <c r="B3693" s="396" t="str">
        <f ca="1">IF(COUNTA(G$3060:G3692)=1,"",OFFSET(B3693,-COUNTA(G$3060:G3692)+1,0))</f>
        <v>a1bDm000000YZEJIA4</v>
      </c>
      <c r="C3693" s="392">
        <f ca="1">IF(COUNTA(G$3060:G3692)=1,"",OFFSET(C3693,-COUNTA(G$3060:G3692)+1,0))</f>
        <v>26</v>
      </c>
      <c r="D3693" s="387">
        <f t="shared" si="228"/>
        <v>151</v>
      </c>
      <c r="E3693" s="387">
        <f t="shared" ca="1" si="229"/>
        <v>1</v>
      </c>
      <c r="F3693" s="387">
        <f t="shared" ca="1" si="230"/>
        <v>34</v>
      </c>
      <c r="G3693" s="387"/>
      <c r="H3693" s="391" t="str">
        <f t="shared" ca="1" si="232"/>
        <v/>
      </c>
      <c r="I3693" s="391" t="str">
        <f t="shared" ca="1" si="233"/>
        <v/>
      </c>
    </row>
    <row r="3694" spans="1:9">
      <c r="A3694" s="387" t="b">
        <f t="shared" ca="1" si="231"/>
        <v>0</v>
      </c>
      <c r="B3694" s="396" t="str">
        <f ca="1">IF(COUNTA(G$3060:G3693)=1,"",OFFSET(B3694,-COUNTA(G$3060:G3693)+1,0))</f>
        <v>a1bDm000000YZFbIAO</v>
      </c>
      <c r="C3694" s="392">
        <f ca="1">IF(COUNTA(G$3060:G3693)=1,"",OFFSET(C3694,-COUNTA(G$3060:G3693)+1,0))</f>
        <v>26</v>
      </c>
      <c r="D3694" s="387">
        <f t="shared" si="228"/>
        <v>152</v>
      </c>
      <c r="E3694" s="387">
        <f t="shared" ca="1" si="229"/>
        <v>2</v>
      </c>
      <c r="F3694" s="387">
        <f t="shared" ca="1" si="230"/>
        <v>34</v>
      </c>
      <c r="G3694" s="387"/>
      <c r="H3694" s="391" t="str">
        <f t="shared" ca="1" si="232"/>
        <v/>
      </c>
      <c r="I3694" s="391" t="str">
        <f t="shared" ca="1" si="233"/>
        <v/>
      </c>
    </row>
    <row r="3695" spans="1:9">
      <c r="A3695" s="387" t="b">
        <f t="shared" ca="1" si="231"/>
        <v>0</v>
      </c>
      <c r="B3695" s="396" t="str">
        <f ca="1">IF(COUNTA(G$3060:G3694)=1,"",OFFSET(B3695,-COUNTA(G$3060:G3694)+1,0))</f>
        <v>a1bDm000000YZGtIAO</v>
      </c>
      <c r="C3695" s="392">
        <f ca="1">IF(COUNTA(G$3060:G3694)=1,"",OFFSET(C3695,-COUNTA(G$3060:G3694)+1,0))</f>
        <v>26</v>
      </c>
      <c r="D3695" s="387">
        <f t="shared" si="228"/>
        <v>153</v>
      </c>
      <c r="E3695" s="387">
        <f t="shared" ca="1" si="229"/>
        <v>3</v>
      </c>
      <c r="F3695" s="387">
        <f t="shared" ca="1" si="230"/>
        <v>34</v>
      </c>
      <c r="G3695" s="387"/>
      <c r="H3695" s="391" t="str">
        <f t="shared" ca="1" si="232"/>
        <v/>
      </c>
      <c r="I3695" s="391" t="str">
        <f t="shared" ca="1" si="233"/>
        <v/>
      </c>
    </row>
    <row r="3696" spans="1:9">
      <c r="A3696" s="387" t="b">
        <f t="shared" ca="1" si="231"/>
        <v>0</v>
      </c>
      <c r="B3696" s="396" t="str">
        <f ca="1">IF(COUNTA(G$3060:G3695)=1,"",OFFSET(B3696,-COUNTA(G$3060:G3695)+1,0))</f>
        <v>a1bDm000000YZIBIA4</v>
      </c>
      <c r="C3696" s="392">
        <f ca="1">IF(COUNTA(G$3060:G3695)=1,"",OFFSET(C3696,-COUNTA(G$3060:G3695)+1,0))</f>
        <v>26</v>
      </c>
      <c r="D3696" s="387">
        <f t="shared" si="228"/>
        <v>154</v>
      </c>
      <c r="E3696" s="387">
        <f t="shared" ca="1" si="229"/>
        <v>4</v>
      </c>
      <c r="F3696" s="387">
        <f t="shared" ca="1" si="230"/>
        <v>34</v>
      </c>
      <c r="G3696" s="387"/>
      <c r="H3696" s="391" t="str">
        <f t="shared" ca="1" si="232"/>
        <v/>
      </c>
      <c r="I3696" s="391" t="str">
        <f t="shared" ca="1" si="233"/>
        <v/>
      </c>
    </row>
    <row r="3697" spans="1:9">
      <c r="A3697" s="387" t="b">
        <f t="shared" ca="1" si="231"/>
        <v>0</v>
      </c>
      <c r="B3697" s="396" t="str">
        <f ca="1">IF(COUNTA(G$3060:G3696)=1,"",OFFSET(B3697,-COUNTA(G$3060:G3696)+1,0))</f>
        <v>a1bDm000000YZKlIAO</v>
      </c>
      <c r="C3697" s="392">
        <f ca="1">IF(COUNTA(G$3060:G3696)=1,"",OFFSET(C3697,-COUNTA(G$3060:G3696)+1,0))</f>
        <v>26</v>
      </c>
      <c r="D3697" s="387">
        <f t="shared" si="228"/>
        <v>155</v>
      </c>
      <c r="E3697" s="387">
        <f t="shared" ca="1" si="229"/>
        <v>5</v>
      </c>
      <c r="F3697" s="387">
        <f t="shared" ca="1" si="230"/>
        <v>34</v>
      </c>
      <c r="G3697" s="387"/>
      <c r="H3697" s="391" t="str">
        <f t="shared" ca="1" si="232"/>
        <v/>
      </c>
      <c r="I3697" s="391" t="str">
        <f t="shared" ca="1" si="233"/>
        <v/>
      </c>
    </row>
    <row r="3698" spans="1:9">
      <c r="A3698" s="387" t="b">
        <f t="shared" ca="1" si="231"/>
        <v>0</v>
      </c>
      <c r="B3698" s="396" t="str">
        <f ca="1">IF(COUNTA(G$3060:G3697)=1,"",OFFSET(B3698,-COUNTA(G$3060:G3697)+1,0))</f>
        <v>a1bDm000000YZJTIA4</v>
      </c>
      <c r="C3698" s="392">
        <f ca="1">IF(COUNTA(G$3060:G3697)=1,"",OFFSET(C3698,-COUNTA(G$3060:G3697)+1,0))</f>
        <v>26</v>
      </c>
      <c r="D3698" s="387">
        <f t="shared" si="228"/>
        <v>156</v>
      </c>
      <c r="E3698" s="387">
        <f t="shared" ca="1" si="229"/>
        <v>6</v>
      </c>
      <c r="F3698" s="387">
        <f t="shared" ca="1" si="230"/>
        <v>34</v>
      </c>
      <c r="G3698" s="387"/>
      <c r="H3698" s="391" t="str">
        <f t="shared" ca="1" si="232"/>
        <v/>
      </c>
      <c r="I3698" s="391" t="str">
        <f t="shared" ca="1" si="233"/>
        <v/>
      </c>
    </row>
    <row r="3699" spans="1:9">
      <c r="A3699" s="387" t="b">
        <f t="shared" ca="1" si="231"/>
        <v>0</v>
      </c>
      <c r="B3699" s="396" t="str">
        <f ca="1">IF(COUNTA(G$3060:G3698)=1,"",OFFSET(B3699,-COUNTA(G$3060:G3698)+1,0))</f>
        <v>a1bDm000000YZEKIA4</v>
      </c>
      <c r="C3699" s="392">
        <f ca="1">IF(COUNTA(G$3060:G3698)=1,"",OFFSET(C3699,-COUNTA(G$3060:G3698)+1,0))</f>
        <v>27</v>
      </c>
      <c r="D3699" s="387">
        <f t="shared" si="228"/>
        <v>157</v>
      </c>
      <c r="E3699" s="387">
        <f t="shared" ca="1" si="229"/>
        <v>1</v>
      </c>
      <c r="F3699" s="387">
        <f t="shared" ca="1" si="230"/>
        <v>35</v>
      </c>
      <c r="G3699" s="387"/>
      <c r="H3699" s="391" t="str">
        <f t="shared" ca="1" si="232"/>
        <v/>
      </c>
      <c r="I3699" s="391" t="str">
        <f t="shared" ca="1" si="233"/>
        <v/>
      </c>
    </row>
    <row r="3700" spans="1:9">
      <c r="A3700" s="387" t="b">
        <f t="shared" ca="1" si="231"/>
        <v>0</v>
      </c>
      <c r="B3700" s="396" t="str">
        <f ca="1">IF(COUNTA(G$3060:G3699)=1,"",OFFSET(B3700,-COUNTA(G$3060:G3699)+1,0))</f>
        <v>a1bDm000000YZFcIAO</v>
      </c>
      <c r="C3700" s="392">
        <f ca="1">IF(COUNTA(G$3060:G3699)=1,"",OFFSET(C3700,-COUNTA(G$3060:G3699)+1,0))</f>
        <v>27</v>
      </c>
      <c r="D3700" s="387">
        <f t="shared" si="228"/>
        <v>158</v>
      </c>
      <c r="E3700" s="387">
        <f t="shared" ca="1" si="229"/>
        <v>2</v>
      </c>
      <c r="F3700" s="387">
        <f t="shared" ca="1" si="230"/>
        <v>35</v>
      </c>
      <c r="G3700" s="387"/>
      <c r="H3700" s="391" t="str">
        <f t="shared" ca="1" si="232"/>
        <v/>
      </c>
      <c r="I3700" s="391" t="str">
        <f t="shared" ca="1" si="233"/>
        <v/>
      </c>
    </row>
    <row r="3701" spans="1:9">
      <c r="A3701" s="387" t="b">
        <f t="shared" ca="1" si="231"/>
        <v>0</v>
      </c>
      <c r="B3701" s="396" t="str">
        <f ca="1">IF(COUNTA(G$3060:G3700)=1,"",OFFSET(B3701,-COUNTA(G$3060:G3700)+1,0))</f>
        <v>a1bDm000000YZGuIAO</v>
      </c>
      <c r="C3701" s="392">
        <f ca="1">IF(COUNTA(G$3060:G3700)=1,"",OFFSET(C3701,-COUNTA(G$3060:G3700)+1,0))</f>
        <v>27</v>
      </c>
      <c r="D3701" s="387">
        <f t="shared" si="228"/>
        <v>159</v>
      </c>
      <c r="E3701" s="387">
        <f t="shared" ca="1" si="229"/>
        <v>3</v>
      </c>
      <c r="F3701" s="387">
        <f t="shared" ca="1" si="230"/>
        <v>35</v>
      </c>
      <c r="G3701" s="387"/>
      <c r="H3701" s="391" t="str">
        <f t="shared" ca="1" si="232"/>
        <v/>
      </c>
      <c r="I3701" s="391" t="str">
        <f t="shared" ca="1" si="233"/>
        <v/>
      </c>
    </row>
    <row r="3702" spans="1:9">
      <c r="A3702" s="387" t="b">
        <f t="shared" ca="1" si="231"/>
        <v>0</v>
      </c>
      <c r="B3702" s="396" t="str">
        <f ca="1">IF(COUNTA(G$3060:G3701)=1,"",OFFSET(B3702,-COUNTA(G$3060:G3701)+1,0))</f>
        <v>a1bDm000000YZICIA4</v>
      </c>
      <c r="C3702" s="392">
        <f ca="1">IF(COUNTA(G$3060:G3701)=1,"",OFFSET(C3702,-COUNTA(G$3060:G3701)+1,0))</f>
        <v>27</v>
      </c>
      <c r="D3702" s="387">
        <f t="shared" si="228"/>
        <v>160</v>
      </c>
      <c r="E3702" s="387">
        <f t="shared" ca="1" si="229"/>
        <v>4</v>
      </c>
      <c r="F3702" s="387">
        <f t="shared" ca="1" si="230"/>
        <v>35</v>
      </c>
      <c r="G3702" s="387"/>
      <c r="H3702" s="391" t="str">
        <f t="shared" ca="1" si="232"/>
        <v/>
      </c>
      <c r="I3702" s="391" t="str">
        <f t="shared" ca="1" si="233"/>
        <v/>
      </c>
    </row>
    <row r="3703" spans="1:9">
      <c r="A3703" s="387" t="b">
        <f t="shared" ca="1" si="231"/>
        <v>0</v>
      </c>
      <c r="B3703" s="396" t="str">
        <f ca="1">IF(COUNTA(G$3060:G3702)=1,"",OFFSET(B3703,-COUNTA(G$3060:G3702)+1,0))</f>
        <v>a1bDm000000YZJUIA4</v>
      </c>
      <c r="C3703" s="392">
        <f ca="1">IF(COUNTA(G$3060:G3702)=1,"",OFFSET(C3703,-COUNTA(G$3060:G3702)+1,0))</f>
        <v>27</v>
      </c>
      <c r="D3703" s="387">
        <f t="shared" ref="D3703:D3766" si="234">D3702+1</f>
        <v>161</v>
      </c>
      <c r="E3703" s="387">
        <f t="shared" ref="E3703:E3766" ca="1" si="235">COUNTIF(C3533:C3703,C3703)</f>
        <v>5</v>
      </c>
      <c r="F3703" s="387">
        <f t="shared" ref="F3703:F3766" ca="1" si="236">IF(C3703=1,9,IF(E3702=MAX(E3701:E3703),F3701+1,F3702))</f>
        <v>35</v>
      </c>
      <c r="G3703" s="387"/>
      <c r="H3703" s="391" t="str">
        <f t="shared" ca="1" si="232"/>
        <v/>
      </c>
      <c r="I3703" s="391" t="str">
        <f t="shared" ca="1" si="233"/>
        <v/>
      </c>
    </row>
    <row r="3704" spans="1:9">
      <c r="A3704" s="387" t="b">
        <f t="shared" ca="1" si="231"/>
        <v>0</v>
      </c>
      <c r="B3704" s="396" t="str">
        <f ca="1">IF(COUNTA(G$3060:G3703)=1,"",OFFSET(B3704,-COUNTA(G$3060:G3703)+1,0))</f>
        <v>a1bDm000000YZKmIAO</v>
      </c>
      <c r="C3704" s="392">
        <f ca="1">IF(COUNTA(G$3060:G3703)=1,"",OFFSET(C3704,-COUNTA(G$3060:G3703)+1,0))</f>
        <v>27</v>
      </c>
      <c r="D3704" s="387">
        <f t="shared" si="234"/>
        <v>162</v>
      </c>
      <c r="E3704" s="387">
        <f t="shared" ca="1" si="235"/>
        <v>6</v>
      </c>
      <c r="F3704" s="387">
        <f t="shared" ca="1" si="236"/>
        <v>35</v>
      </c>
      <c r="G3704" s="387"/>
      <c r="H3704" s="391" t="str">
        <f t="shared" ca="1" si="232"/>
        <v/>
      </c>
      <c r="I3704" s="391" t="str">
        <f t="shared" ca="1" si="233"/>
        <v/>
      </c>
    </row>
    <row r="3705" spans="1:9">
      <c r="A3705" s="387" t="b">
        <f t="shared" ca="1" si="231"/>
        <v>0</v>
      </c>
      <c r="B3705" s="396" t="str">
        <f ca="1">IF(COUNTA(G$3060:G3704)=1,"",OFFSET(B3705,-COUNTA(G$3060:G3704)+1,0))</f>
        <v>a1bDm000000YZELIA4</v>
      </c>
      <c r="C3705" s="392">
        <f ca="1">IF(COUNTA(G$3060:G3704)=1,"",OFFSET(C3705,-COUNTA(G$3060:G3704)+1,0))</f>
        <v>28</v>
      </c>
      <c r="D3705" s="387">
        <f t="shared" si="234"/>
        <v>163</v>
      </c>
      <c r="E3705" s="387">
        <f t="shared" ca="1" si="235"/>
        <v>1</v>
      </c>
      <c r="F3705" s="387">
        <f t="shared" ca="1" si="236"/>
        <v>36</v>
      </c>
      <c r="G3705" s="387"/>
      <c r="H3705" s="391" t="str">
        <f t="shared" ca="1" si="232"/>
        <v/>
      </c>
      <c r="I3705" s="391" t="str">
        <f t="shared" ca="1" si="233"/>
        <v/>
      </c>
    </row>
    <row r="3706" spans="1:9">
      <c r="A3706" s="387" t="b">
        <f t="shared" ca="1" si="231"/>
        <v>0</v>
      </c>
      <c r="B3706" s="396" t="str">
        <f ca="1">IF(COUNTA(G$3060:G3705)=1,"",OFFSET(B3706,-COUNTA(G$3060:G3705)+1,0))</f>
        <v>a1bDm000000YZFdIAO</v>
      </c>
      <c r="C3706" s="392">
        <f ca="1">IF(COUNTA(G$3060:G3705)=1,"",OFFSET(C3706,-COUNTA(G$3060:G3705)+1,0))</f>
        <v>28</v>
      </c>
      <c r="D3706" s="387">
        <f t="shared" si="234"/>
        <v>164</v>
      </c>
      <c r="E3706" s="387">
        <f t="shared" ca="1" si="235"/>
        <v>2</v>
      </c>
      <c r="F3706" s="387">
        <f t="shared" ca="1" si="236"/>
        <v>36</v>
      </c>
      <c r="G3706" s="387"/>
      <c r="H3706" s="391" t="str">
        <f t="shared" ca="1" si="232"/>
        <v/>
      </c>
      <c r="I3706" s="391" t="str">
        <f t="shared" ca="1" si="233"/>
        <v/>
      </c>
    </row>
    <row r="3707" spans="1:9">
      <c r="A3707" s="387" t="b">
        <f t="shared" ca="1" si="231"/>
        <v>0</v>
      </c>
      <c r="B3707" s="396" t="str">
        <f ca="1">IF(COUNTA(G$3060:G3706)=1,"",OFFSET(B3707,-COUNTA(G$3060:G3706)+1,0))</f>
        <v>a1bDm000000YZGvIAO</v>
      </c>
      <c r="C3707" s="392">
        <f ca="1">IF(COUNTA(G$3060:G3706)=1,"",OFFSET(C3707,-COUNTA(G$3060:G3706)+1,0))</f>
        <v>28</v>
      </c>
      <c r="D3707" s="387">
        <f t="shared" si="234"/>
        <v>165</v>
      </c>
      <c r="E3707" s="387">
        <f t="shared" ca="1" si="235"/>
        <v>3</v>
      </c>
      <c r="F3707" s="387">
        <f t="shared" ca="1" si="236"/>
        <v>36</v>
      </c>
      <c r="G3707" s="387"/>
      <c r="H3707" s="391" t="str">
        <f t="shared" ca="1" si="232"/>
        <v/>
      </c>
      <c r="I3707" s="391" t="str">
        <f t="shared" ca="1" si="233"/>
        <v/>
      </c>
    </row>
    <row r="3708" spans="1:9">
      <c r="A3708" s="387" t="b">
        <f t="shared" ca="1" si="231"/>
        <v>0</v>
      </c>
      <c r="B3708" s="396" t="str">
        <f ca="1">IF(COUNTA(G$3060:G3707)=1,"",OFFSET(B3708,-COUNTA(G$3060:G3707)+1,0))</f>
        <v>a1bDm000000YZIDIA4</v>
      </c>
      <c r="C3708" s="392">
        <f ca="1">IF(COUNTA(G$3060:G3707)=1,"",OFFSET(C3708,-COUNTA(G$3060:G3707)+1,0))</f>
        <v>28</v>
      </c>
      <c r="D3708" s="387">
        <f t="shared" si="234"/>
        <v>166</v>
      </c>
      <c r="E3708" s="387">
        <f t="shared" ca="1" si="235"/>
        <v>4</v>
      </c>
      <c r="F3708" s="387">
        <f t="shared" ca="1" si="236"/>
        <v>36</v>
      </c>
      <c r="G3708" s="387"/>
      <c r="H3708" s="391" t="str">
        <f t="shared" ca="1" si="232"/>
        <v/>
      </c>
      <c r="I3708" s="391" t="str">
        <f t="shared" ca="1" si="233"/>
        <v/>
      </c>
    </row>
    <row r="3709" spans="1:9">
      <c r="A3709" s="387" t="b">
        <f t="shared" ca="1" si="231"/>
        <v>0</v>
      </c>
      <c r="B3709" s="396" t="str">
        <f ca="1">IF(COUNTA(G$3060:G3708)=1,"",OFFSET(B3709,-COUNTA(G$3060:G3708)+1,0))</f>
        <v>a1bDm000000YZJVIA4</v>
      </c>
      <c r="C3709" s="392">
        <f ca="1">IF(COUNTA(G$3060:G3708)=1,"",OFFSET(C3709,-COUNTA(G$3060:G3708)+1,0))</f>
        <v>28</v>
      </c>
      <c r="D3709" s="387">
        <f t="shared" si="234"/>
        <v>167</v>
      </c>
      <c r="E3709" s="387">
        <f t="shared" ca="1" si="235"/>
        <v>5</v>
      </c>
      <c r="F3709" s="387">
        <f t="shared" ca="1" si="236"/>
        <v>36</v>
      </c>
      <c r="G3709" s="387"/>
      <c r="H3709" s="391" t="str">
        <f t="shared" ca="1" si="232"/>
        <v/>
      </c>
      <c r="I3709" s="391" t="str">
        <f t="shared" ca="1" si="233"/>
        <v/>
      </c>
    </row>
    <row r="3710" spans="1:9">
      <c r="A3710" s="387" t="b">
        <f t="shared" ca="1" si="231"/>
        <v>0</v>
      </c>
      <c r="B3710" s="396" t="str">
        <f ca="1">IF(COUNTA(G$3060:G3709)=1,"",OFFSET(B3710,-COUNTA(G$3060:G3709)+1,0))</f>
        <v>a1bDm000000YZKnIAO</v>
      </c>
      <c r="C3710" s="392">
        <f ca="1">IF(COUNTA(G$3060:G3709)=1,"",OFFSET(C3710,-COUNTA(G$3060:G3709)+1,0))</f>
        <v>28</v>
      </c>
      <c r="D3710" s="387">
        <f t="shared" si="234"/>
        <v>168</v>
      </c>
      <c r="E3710" s="387">
        <f t="shared" ca="1" si="235"/>
        <v>6</v>
      </c>
      <c r="F3710" s="387">
        <f t="shared" ca="1" si="236"/>
        <v>36</v>
      </c>
      <c r="G3710" s="387"/>
      <c r="H3710" s="391" t="str">
        <f t="shared" ca="1" si="232"/>
        <v/>
      </c>
      <c r="I3710" s="391" t="str">
        <f t="shared" ca="1" si="233"/>
        <v/>
      </c>
    </row>
    <row r="3711" spans="1:9">
      <c r="A3711" s="387" t="b">
        <f t="shared" ca="1" si="231"/>
        <v>0</v>
      </c>
      <c r="B3711" s="396" t="str">
        <f ca="1">IF(COUNTA(G$3060:G3710)=1,"",OFFSET(B3711,-COUNTA(G$3060:G3710)+1,0))</f>
        <v>a1bDm000000YZEMIA4</v>
      </c>
      <c r="C3711" s="392">
        <f ca="1">IF(COUNTA(G$3060:G3710)=1,"",OFFSET(C3711,-COUNTA(G$3060:G3710)+1,0))</f>
        <v>29</v>
      </c>
      <c r="D3711" s="387">
        <f t="shared" si="234"/>
        <v>169</v>
      </c>
      <c r="E3711" s="387">
        <f t="shared" ca="1" si="235"/>
        <v>1</v>
      </c>
      <c r="F3711" s="387">
        <f t="shared" ca="1" si="236"/>
        <v>37</v>
      </c>
      <c r="G3711" s="387"/>
      <c r="H3711" s="391" t="str">
        <f t="shared" ca="1" si="232"/>
        <v/>
      </c>
      <c r="I3711" s="391" t="str">
        <f t="shared" ca="1" si="233"/>
        <v/>
      </c>
    </row>
    <row r="3712" spans="1:9">
      <c r="A3712" s="387" t="b">
        <f t="shared" ca="1" si="231"/>
        <v>0</v>
      </c>
      <c r="B3712" s="396" t="str">
        <f ca="1">IF(COUNTA(G$3060:G3711)=1,"",OFFSET(B3712,-COUNTA(G$3060:G3711)+1,0))</f>
        <v>a1bDm000000YZFeIAO</v>
      </c>
      <c r="C3712" s="392">
        <f ca="1">IF(COUNTA(G$3060:G3711)=1,"",OFFSET(C3712,-COUNTA(G$3060:G3711)+1,0))</f>
        <v>29</v>
      </c>
      <c r="D3712" s="387">
        <f t="shared" si="234"/>
        <v>170</v>
      </c>
      <c r="E3712" s="387">
        <f t="shared" ca="1" si="235"/>
        <v>2</v>
      </c>
      <c r="F3712" s="387">
        <f t="shared" ca="1" si="236"/>
        <v>37</v>
      </c>
      <c r="G3712" s="387"/>
      <c r="H3712" s="391" t="str">
        <f t="shared" ca="1" si="232"/>
        <v/>
      </c>
      <c r="I3712" s="391" t="str">
        <f t="shared" ca="1" si="233"/>
        <v/>
      </c>
    </row>
    <row r="3713" spans="1:9">
      <c r="A3713" s="387" t="b">
        <f t="shared" ca="1" si="231"/>
        <v>0</v>
      </c>
      <c r="B3713" s="396" t="str">
        <f ca="1">IF(COUNTA(G$3060:G3712)=1,"",OFFSET(B3713,-COUNTA(G$3060:G3712)+1,0))</f>
        <v>a1bDm000000YZGwIAO</v>
      </c>
      <c r="C3713" s="392">
        <f ca="1">IF(COUNTA(G$3060:G3712)=1,"",OFFSET(C3713,-COUNTA(G$3060:G3712)+1,0))</f>
        <v>29</v>
      </c>
      <c r="D3713" s="387">
        <f t="shared" si="234"/>
        <v>171</v>
      </c>
      <c r="E3713" s="387">
        <f t="shared" ca="1" si="235"/>
        <v>3</v>
      </c>
      <c r="F3713" s="387">
        <f t="shared" ca="1" si="236"/>
        <v>37</v>
      </c>
      <c r="G3713" s="387"/>
      <c r="H3713" s="391" t="str">
        <f t="shared" ca="1" si="232"/>
        <v/>
      </c>
      <c r="I3713" s="391" t="str">
        <f t="shared" ca="1" si="233"/>
        <v/>
      </c>
    </row>
    <row r="3714" spans="1:9">
      <c r="A3714" s="387" t="b">
        <f t="shared" ca="1" si="231"/>
        <v>0</v>
      </c>
      <c r="B3714" s="396" t="str">
        <f ca="1">IF(COUNTA(G$3060:G3713)=1,"",OFFSET(B3714,-COUNTA(G$3060:G3713)+1,0))</f>
        <v>a1bDm000000YZIEIA4</v>
      </c>
      <c r="C3714" s="392">
        <f ca="1">IF(COUNTA(G$3060:G3713)=1,"",OFFSET(C3714,-COUNTA(G$3060:G3713)+1,0))</f>
        <v>29</v>
      </c>
      <c r="D3714" s="387">
        <f t="shared" si="234"/>
        <v>172</v>
      </c>
      <c r="E3714" s="387">
        <f t="shared" ca="1" si="235"/>
        <v>4</v>
      </c>
      <c r="F3714" s="387">
        <f t="shared" ca="1" si="236"/>
        <v>37</v>
      </c>
      <c r="G3714" s="387"/>
      <c r="H3714" s="391" t="str">
        <f t="shared" ca="1" si="232"/>
        <v/>
      </c>
      <c r="I3714" s="391" t="str">
        <f t="shared" ca="1" si="233"/>
        <v/>
      </c>
    </row>
    <row r="3715" spans="1:9">
      <c r="A3715" s="387" t="b">
        <f t="shared" ca="1" si="231"/>
        <v>0</v>
      </c>
      <c r="B3715" s="396" t="str">
        <f ca="1">IF(COUNTA(G$3060:G3714)=1,"",OFFSET(B3715,-COUNTA(G$3060:G3714)+1,0))</f>
        <v>a1bDm000000YZJWIA4</v>
      </c>
      <c r="C3715" s="392">
        <f ca="1">IF(COUNTA(G$3060:G3714)=1,"",OFFSET(C3715,-COUNTA(G$3060:G3714)+1,0))</f>
        <v>29</v>
      </c>
      <c r="D3715" s="387">
        <f t="shared" si="234"/>
        <v>173</v>
      </c>
      <c r="E3715" s="387">
        <f t="shared" ca="1" si="235"/>
        <v>5</v>
      </c>
      <c r="F3715" s="387">
        <f t="shared" ca="1" si="236"/>
        <v>37</v>
      </c>
      <c r="G3715" s="387"/>
      <c r="H3715" s="391" t="str">
        <f t="shared" ca="1" si="232"/>
        <v/>
      </c>
      <c r="I3715" s="391" t="str">
        <f t="shared" ca="1" si="233"/>
        <v/>
      </c>
    </row>
    <row r="3716" spans="1:9">
      <c r="A3716" s="387" t="b">
        <f t="shared" ca="1" si="231"/>
        <v>0</v>
      </c>
      <c r="B3716" s="396" t="str">
        <f ca="1">IF(COUNTA(G$3060:G3715)=1,"",OFFSET(B3716,-COUNTA(G$3060:G3715)+1,0))</f>
        <v>a1bDm000000YZKoIAO</v>
      </c>
      <c r="C3716" s="392">
        <f ca="1">IF(COUNTA(G$3060:G3715)=1,"",OFFSET(C3716,-COUNTA(G$3060:G3715)+1,0))</f>
        <v>29</v>
      </c>
      <c r="D3716" s="387">
        <f t="shared" si="234"/>
        <v>174</v>
      </c>
      <c r="E3716" s="387">
        <f t="shared" ca="1" si="235"/>
        <v>6</v>
      </c>
      <c r="F3716" s="387">
        <f t="shared" ca="1" si="236"/>
        <v>37</v>
      </c>
      <c r="G3716" s="387"/>
      <c r="H3716" s="391" t="str">
        <f t="shared" ca="1" si="232"/>
        <v/>
      </c>
      <c r="I3716" s="391" t="str">
        <f t="shared" ca="1" si="233"/>
        <v/>
      </c>
    </row>
    <row r="3717" spans="1:9">
      <c r="A3717" s="387" t="b">
        <f t="shared" ca="1" si="231"/>
        <v>0</v>
      </c>
      <c r="B3717" s="396" t="str">
        <f ca="1">IF(COUNTA(G$3060:G3716)=1,"",OFFSET(B3717,-COUNTA(G$3060:G3716)+1,0))</f>
        <v>a1bDm000000YZENIA4</v>
      </c>
      <c r="C3717" s="392">
        <f ca="1">IF(COUNTA(G$3060:G3716)=1,"",OFFSET(C3717,-COUNTA(G$3060:G3716)+1,0))</f>
        <v>30</v>
      </c>
      <c r="D3717" s="387">
        <f t="shared" si="234"/>
        <v>175</v>
      </c>
      <c r="E3717" s="387">
        <f t="shared" ca="1" si="235"/>
        <v>1</v>
      </c>
      <c r="F3717" s="387">
        <f t="shared" ca="1" si="236"/>
        <v>38</v>
      </c>
      <c r="G3717" s="387"/>
      <c r="H3717" s="391" t="str">
        <f t="shared" ca="1" si="232"/>
        <v/>
      </c>
      <c r="I3717" s="391" t="str">
        <f t="shared" ca="1" si="233"/>
        <v/>
      </c>
    </row>
    <row r="3718" spans="1:9">
      <c r="A3718" s="387" t="b">
        <f t="shared" ca="1" si="231"/>
        <v>0</v>
      </c>
      <c r="B3718" s="396" t="str">
        <f ca="1">IF(COUNTA(G$3060:G3717)=1,"",OFFSET(B3718,-COUNTA(G$3060:G3717)+1,0))</f>
        <v>a1bDm000000YZFfIAO</v>
      </c>
      <c r="C3718" s="392">
        <f ca="1">IF(COUNTA(G$3060:G3717)=1,"",OFFSET(C3718,-COUNTA(G$3060:G3717)+1,0))</f>
        <v>30</v>
      </c>
      <c r="D3718" s="387">
        <f t="shared" si="234"/>
        <v>176</v>
      </c>
      <c r="E3718" s="387">
        <f t="shared" ca="1" si="235"/>
        <v>2</v>
      </c>
      <c r="F3718" s="387">
        <f t="shared" ca="1" si="236"/>
        <v>38</v>
      </c>
      <c r="G3718" s="387"/>
      <c r="H3718" s="391" t="str">
        <f t="shared" ca="1" si="232"/>
        <v/>
      </c>
      <c r="I3718" s="391" t="str">
        <f t="shared" ca="1" si="233"/>
        <v/>
      </c>
    </row>
    <row r="3719" spans="1:9">
      <c r="A3719" s="387" t="b">
        <f t="shared" ca="1" si="231"/>
        <v>0</v>
      </c>
      <c r="B3719" s="396" t="str">
        <f ca="1">IF(COUNTA(G$3060:G3718)=1,"",OFFSET(B3719,-COUNTA(G$3060:G3718)+1,0))</f>
        <v>a1bDm000000YZGxIAO</v>
      </c>
      <c r="C3719" s="392">
        <f ca="1">IF(COUNTA(G$3060:G3718)=1,"",OFFSET(C3719,-COUNTA(G$3060:G3718)+1,0))</f>
        <v>30</v>
      </c>
      <c r="D3719" s="387">
        <f t="shared" si="234"/>
        <v>177</v>
      </c>
      <c r="E3719" s="387">
        <f t="shared" ca="1" si="235"/>
        <v>3</v>
      </c>
      <c r="F3719" s="387">
        <f t="shared" ca="1" si="236"/>
        <v>38</v>
      </c>
      <c r="G3719" s="387"/>
      <c r="H3719" s="391" t="str">
        <f t="shared" ca="1" si="232"/>
        <v/>
      </c>
      <c r="I3719" s="391" t="str">
        <f t="shared" ca="1" si="233"/>
        <v/>
      </c>
    </row>
    <row r="3720" spans="1:9">
      <c r="A3720" s="387" t="b">
        <f t="shared" ca="1" si="231"/>
        <v>0</v>
      </c>
      <c r="B3720" s="396" t="str">
        <f ca="1">IF(COUNTA(G$3060:G3719)=1,"",OFFSET(B3720,-COUNTA(G$3060:G3719)+1,0))</f>
        <v>a1bDm000000YZIFIA4</v>
      </c>
      <c r="C3720" s="392">
        <f ca="1">IF(COUNTA(G$3060:G3719)=1,"",OFFSET(C3720,-COUNTA(G$3060:G3719)+1,0))</f>
        <v>30</v>
      </c>
      <c r="D3720" s="387">
        <f t="shared" si="234"/>
        <v>178</v>
      </c>
      <c r="E3720" s="387">
        <f t="shared" ca="1" si="235"/>
        <v>4</v>
      </c>
      <c r="F3720" s="387">
        <f t="shared" ca="1" si="236"/>
        <v>38</v>
      </c>
      <c r="G3720" s="387"/>
      <c r="H3720" s="391" t="str">
        <f t="shared" ca="1" si="232"/>
        <v/>
      </c>
      <c r="I3720" s="391" t="str">
        <f t="shared" ca="1" si="233"/>
        <v/>
      </c>
    </row>
    <row r="3721" spans="1:9">
      <c r="A3721" s="387" t="b">
        <f t="shared" ca="1" si="231"/>
        <v>0</v>
      </c>
      <c r="B3721" s="396" t="str">
        <f ca="1">IF(COUNTA(G$3060:G3720)=1,"",OFFSET(B3721,-COUNTA(G$3060:G3720)+1,0))</f>
        <v>a1bDm000000YZJXIA4</v>
      </c>
      <c r="C3721" s="392">
        <f ca="1">IF(COUNTA(G$3060:G3720)=1,"",OFFSET(C3721,-COUNTA(G$3060:G3720)+1,0))</f>
        <v>30</v>
      </c>
      <c r="D3721" s="387">
        <f t="shared" si="234"/>
        <v>179</v>
      </c>
      <c r="E3721" s="387">
        <f t="shared" ca="1" si="235"/>
        <v>5</v>
      </c>
      <c r="F3721" s="387">
        <f t="shared" ca="1" si="236"/>
        <v>38</v>
      </c>
      <c r="G3721" s="387"/>
      <c r="H3721" s="391" t="str">
        <f t="shared" ca="1" si="232"/>
        <v/>
      </c>
      <c r="I3721" s="391" t="str">
        <f t="shared" ca="1" si="233"/>
        <v/>
      </c>
    </row>
    <row r="3722" spans="1:9">
      <c r="A3722" s="387" t="b">
        <f t="shared" ca="1" si="231"/>
        <v>0</v>
      </c>
      <c r="B3722" s="396" t="str">
        <f ca="1">IF(COUNTA(G$3060:G3721)=1,"",OFFSET(B3722,-COUNTA(G$3060:G3721)+1,0))</f>
        <v>a1bDm000000YZKpIAO</v>
      </c>
      <c r="C3722" s="392">
        <f ca="1">IF(COUNTA(G$3060:G3721)=1,"",OFFSET(C3722,-COUNTA(G$3060:G3721)+1,0))</f>
        <v>30</v>
      </c>
      <c r="D3722" s="387">
        <f t="shared" si="234"/>
        <v>180</v>
      </c>
      <c r="E3722" s="387">
        <f t="shared" ca="1" si="235"/>
        <v>6</v>
      </c>
      <c r="F3722" s="387">
        <f t="shared" ca="1" si="236"/>
        <v>38</v>
      </c>
      <c r="G3722" s="387"/>
      <c r="H3722" s="391" t="str">
        <f t="shared" ca="1" si="232"/>
        <v/>
      </c>
      <c r="I3722" s="391" t="str">
        <f t="shared" ca="1" si="233"/>
        <v/>
      </c>
    </row>
    <row r="3723" spans="1:9">
      <c r="A3723" s="387" t="b">
        <f t="shared" ca="1" si="231"/>
        <v>0</v>
      </c>
      <c r="B3723" s="396" t="str">
        <f ca="1">IF(COUNTA(G$3060:G3722)=1,"",OFFSET(B3723,-COUNTA(G$3060:G3722)+1,0))</f>
        <v>a1bDm000000YZEOIA4</v>
      </c>
      <c r="C3723" s="392">
        <f ca="1">IF(COUNTA(G$3060:G3722)=1,"",OFFSET(C3723,-COUNTA(G$3060:G3722)+1,0))</f>
        <v>31</v>
      </c>
      <c r="D3723" s="387">
        <f t="shared" si="234"/>
        <v>181</v>
      </c>
      <c r="E3723" s="387">
        <f t="shared" ca="1" si="235"/>
        <v>1</v>
      </c>
      <c r="F3723" s="387">
        <f t="shared" ca="1" si="236"/>
        <v>39</v>
      </c>
      <c r="G3723" s="387"/>
      <c r="H3723" s="391" t="str">
        <f t="shared" ca="1" si="232"/>
        <v/>
      </c>
      <c r="I3723" s="391" t="str">
        <f t="shared" ca="1" si="233"/>
        <v/>
      </c>
    </row>
    <row r="3724" spans="1:9">
      <c r="A3724" s="387" t="b">
        <f t="shared" ca="1" si="231"/>
        <v>0</v>
      </c>
      <c r="B3724" s="396" t="str">
        <f ca="1">IF(COUNTA(G$3060:G3723)=1,"",OFFSET(B3724,-COUNTA(G$3060:G3723)+1,0))</f>
        <v>a1bDm000000YZFgIAO</v>
      </c>
      <c r="C3724" s="392">
        <f ca="1">IF(COUNTA(G$3060:G3723)=1,"",OFFSET(C3724,-COUNTA(G$3060:G3723)+1,0))</f>
        <v>31</v>
      </c>
      <c r="D3724" s="387">
        <f t="shared" si="234"/>
        <v>182</v>
      </c>
      <c r="E3724" s="387">
        <f t="shared" ca="1" si="235"/>
        <v>2</v>
      </c>
      <c r="F3724" s="387">
        <f t="shared" ca="1" si="236"/>
        <v>39</v>
      </c>
      <c r="G3724" s="387"/>
      <c r="H3724" s="391" t="str">
        <f t="shared" ca="1" si="232"/>
        <v/>
      </c>
      <c r="I3724" s="391" t="str">
        <f t="shared" ca="1" si="233"/>
        <v/>
      </c>
    </row>
    <row r="3725" spans="1:9">
      <c r="A3725" s="387" t="b">
        <f t="shared" ca="1" si="231"/>
        <v>0</v>
      </c>
      <c r="B3725" s="396" t="str">
        <f ca="1">IF(COUNTA(G$3060:G3724)=1,"",OFFSET(B3725,-COUNTA(G$3060:G3724)+1,0))</f>
        <v>a1bDm000000YZGyIAO</v>
      </c>
      <c r="C3725" s="392">
        <f ca="1">IF(COUNTA(G$3060:G3724)=1,"",OFFSET(C3725,-COUNTA(G$3060:G3724)+1,0))</f>
        <v>31</v>
      </c>
      <c r="D3725" s="387">
        <f t="shared" si="234"/>
        <v>183</v>
      </c>
      <c r="E3725" s="387">
        <f t="shared" ca="1" si="235"/>
        <v>3</v>
      </c>
      <c r="F3725" s="387">
        <f t="shared" ca="1" si="236"/>
        <v>39</v>
      </c>
      <c r="G3725" s="387"/>
      <c r="H3725" s="391" t="str">
        <f t="shared" ca="1" si="232"/>
        <v/>
      </c>
      <c r="I3725" s="391" t="str">
        <f t="shared" ca="1" si="233"/>
        <v/>
      </c>
    </row>
    <row r="3726" spans="1:9">
      <c r="A3726" s="387" t="b">
        <f t="shared" ca="1" si="231"/>
        <v>0</v>
      </c>
      <c r="B3726" s="396" t="str">
        <f ca="1">IF(COUNTA(G$3060:G3725)=1,"",OFFSET(B3726,-COUNTA(G$3060:G3725)+1,0))</f>
        <v>a1bDm000000YZIGIA4</v>
      </c>
      <c r="C3726" s="392">
        <f ca="1">IF(COUNTA(G$3060:G3725)=1,"",OFFSET(C3726,-COUNTA(G$3060:G3725)+1,0))</f>
        <v>31</v>
      </c>
      <c r="D3726" s="387">
        <f t="shared" si="234"/>
        <v>184</v>
      </c>
      <c r="E3726" s="387">
        <f t="shared" ca="1" si="235"/>
        <v>4</v>
      </c>
      <c r="F3726" s="387">
        <f t="shared" ca="1" si="236"/>
        <v>39</v>
      </c>
      <c r="G3726" s="387"/>
      <c r="H3726" s="391" t="str">
        <f t="shared" ca="1" si="232"/>
        <v/>
      </c>
      <c r="I3726" s="391" t="str">
        <f t="shared" ca="1" si="233"/>
        <v/>
      </c>
    </row>
    <row r="3727" spans="1:9">
      <c r="A3727" s="387" t="b">
        <f t="shared" ca="1" si="231"/>
        <v>0</v>
      </c>
      <c r="B3727" s="396" t="str">
        <f ca="1">IF(COUNTA(G$3060:G3726)=1,"",OFFSET(B3727,-COUNTA(G$3060:G3726)+1,0))</f>
        <v>a1bDm000000YZJYIA4</v>
      </c>
      <c r="C3727" s="392">
        <f ca="1">IF(COUNTA(G$3060:G3726)=1,"",OFFSET(C3727,-COUNTA(G$3060:G3726)+1,0))</f>
        <v>31</v>
      </c>
      <c r="D3727" s="387">
        <f t="shared" si="234"/>
        <v>185</v>
      </c>
      <c r="E3727" s="387">
        <f t="shared" ca="1" si="235"/>
        <v>5</v>
      </c>
      <c r="F3727" s="387">
        <f t="shared" ca="1" si="236"/>
        <v>39</v>
      </c>
      <c r="G3727" s="387"/>
      <c r="H3727" s="391" t="str">
        <f t="shared" ca="1" si="232"/>
        <v/>
      </c>
      <c r="I3727" s="391" t="str">
        <f t="shared" ca="1" si="233"/>
        <v/>
      </c>
    </row>
    <row r="3728" spans="1:9">
      <c r="A3728" s="387" t="b">
        <f t="shared" ca="1" si="231"/>
        <v>0</v>
      </c>
      <c r="B3728" s="396" t="str">
        <f ca="1">IF(COUNTA(G$3060:G3727)=1,"",OFFSET(B3728,-COUNTA(G$3060:G3727)+1,0))</f>
        <v>a1bDm000000YZKqIAO</v>
      </c>
      <c r="C3728" s="392">
        <f ca="1">IF(COUNTA(G$3060:G3727)=1,"",OFFSET(C3728,-COUNTA(G$3060:G3727)+1,0))</f>
        <v>31</v>
      </c>
      <c r="D3728" s="387">
        <f t="shared" si="234"/>
        <v>186</v>
      </c>
      <c r="E3728" s="387">
        <f t="shared" ca="1" si="235"/>
        <v>6</v>
      </c>
      <c r="F3728" s="387">
        <f t="shared" ca="1" si="236"/>
        <v>39</v>
      </c>
      <c r="G3728" s="387"/>
      <c r="H3728" s="391" t="str">
        <f t="shared" ca="1" si="232"/>
        <v/>
      </c>
      <c r="I3728" s="391" t="str">
        <f t="shared" ca="1" si="233"/>
        <v/>
      </c>
    </row>
    <row r="3729" spans="1:9">
      <c r="A3729" s="387" t="b">
        <f t="shared" ca="1" si="231"/>
        <v>0</v>
      </c>
      <c r="B3729" s="396" t="str">
        <f ca="1">IF(COUNTA(G$3060:G3728)=1,"",OFFSET(B3729,-COUNTA(G$3060:G3728)+1,0))</f>
        <v>a1bDm000000YZEPIA4</v>
      </c>
      <c r="C3729" s="392">
        <f ca="1">IF(COUNTA(G$3060:G3728)=1,"",OFFSET(C3729,-COUNTA(G$3060:G3728)+1,0))</f>
        <v>32</v>
      </c>
      <c r="D3729" s="387">
        <f t="shared" si="234"/>
        <v>187</v>
      </c>
      <c r="E3729" s="387">
        <f t="shared" ca="1" si="235"/>
        <v>1</v>
      </c>
      <c r="F3729" s="387">
        <f t="shared" ca="1" si="236"/>
        <v>40</v>
      </c>
      <c r="G3729" s="387"/>
      <c r="H3729" s="391" t="str">
        <f t="shared" ca="1" si="232"/>
        <v/>
      </c>
      <c r="I3729" s="391" t="str">
        <f t="shared" ca="1" si="233"/>
        <v/>
      </c>
    </row>
    <row r="3730" spans="1:9">
      <c r="A3730" s="387" t="b">
        <f t="shared" ca="1" si="231"/>
        <v>0</v>
      </c>
      <c r="B3730" s="396" t="str">
        <f ca="1">IF(COUNTA(G$3060:G3729)=1,"",OFFSET(B3730,-COUNTA(G$3060:G3729)+1,0))</f>
        <v>a1bDm000000YZFhIAO</v>
      </c>
      <c r="C3730" s="392">
        <f ca="1">IF(COUNTA(G$3060:G3729)=1,"",OFFSET(C3730,-COUNTA(G$3060:G3729)+1,0))</f>
        <v>32</v>
      </c>
      <c r="D3730" s="387">
        <f t="shared" si="234"/>
        <v>188</v>
      </c>
      <c r="E3730" s="387">
        <f t="shared" ca="1" si="235"/>
        <v>2</v>
      </c>
      <c r="F3730" s="387">
        <f t="shared" ca="1" si="236"/>
        <v>40</v>
      </c>
      <c r="G3730" s="387"/>
      <c r="H3730" s="391" t="str">
        <f t="shared" ca="1" si="232"/>
        <v/>
      </c>
      <c r="I3730" s="391" t="str">
        <f t="shared" ca="1" si="233"/>
        <v/>
      </c>
    </row>
    <row r="3731" spans="1:9">
      <c r="A3731" s="387" t="b">
        <f t="shared" ca="1" si="231"/>
        <v>0</v>
      </c>
      <c r="B3731" s="396" t="str">
        <f ca="1">IF(COUNTA(G$3060:G3730)=1,"",OFFSET(B3731,-COUNTA(G$3060:G3730)+1,0))</f>
        <v>a1bDm000000YZGzIAO</v>
      </c>
      <c r="C3731" s="392">
        <f ca="1">IF(COUNTA(G$3060:G3730)=1,"",OFFSET(C3731,-COUNTA(G$3060:G3730)+1,0))</f>
        <v>32</v>
      </c>
      <c r="D3731" s="387">
        <f t="shared" si="234"/>
        <v>189</v>
      </c>
      <c r="E3731" s="387">
        <f t="shared" ca="1" si="235"/>
        <v>3</v>
      </c>
      <c r="F3731" s="387">
        <f t="shared" ca="1" si="236"/>
        <v>40</v>
      </c>
      <c r="G3731" s="387"/>
      <c r="H3731" s="391" t="str">
        <f t="shared" ca="1" si="232"/>
        <v/>
      </c>
      <c r="I3731" s="391" t="str">
        <f t="shared" ca="1" si="233"/>
        <v/>
      </c>
    </row>
    <row r="3732" spans="1:9">
      <c r="A3732" s="387" t="b">
        <f t="shared" ca="1" si="231"/>
        <v>0</v>
      </c>
      <c r="B3732" s="396" t="str">
        <f ca="1">IF(COUNTA(G$3060:G3731)=1,"",OFFSET(B3732,-COUNTA(G$3060:G3731)+1,0))</f>
        <v>a1bDm000000YZIHIA4</v>
      </c>
      <c r="C3732" s="392">
        <f ca="1">IF(COUNTA(G$3060:G3731)=1,"",OFFSET(C3732,-COUNTA(G$3060:G3731)+1,0))</f>
        <v>32</v>
      </c>
      <c r="D3732" s="387">
        <f t="shared" si="234"/>
        <v>190</v>
      </c>
      <c r="E3732" s="387">
        <f t="shared" ca="1" si="235"/>
        <v>4</v>
      </c>
      <c r="F3732" s="387">
        <f t="shared" ca="1" si="236"/>
        <v>40</v>
      </c>
      <c r="G3732" s="387"/>
      <c r="H3732" s="391" t="str">
        <f t="shared" ca="1" si="232"/>
        <v/>
      </c>
      <c r="I3732" s="391" t="str">
        <f t="shared" ca="1" si="233"/>
        <v/>
      </c>
    </row>
    <row r="3733" spans="1:9">
      <c r="A3733" s="387" t="b">
        <f t="shared" ca="1" si="231"/>
        <v>0</v>
      </c>
      <c r="B3733" s="396" t="str">
        <f ca="1">IF(COUNTA(G$3060:G3732)=1,"",OFFSET(B3733,-COUNTA(G$3060:G3732)+1,0))</f>
        <v>a1bDm000000YZJZIA4</v>
      </c>
      <c r="C3733" s="392">
        <f ca="1">IF(COUNTA(G$3060:G3732)=1,"",OFFSET(C3733,-COUNTA(G$3060:G3732)+1,0))</f>
        <v>32</v>
      </c>
      <c r="D3733" s="387">
        <f t="shared" si="234"/>
        <v>191</v>
      </c>
      <c r="E3733" s="387">
        <f t="shared" ca="1" si="235"/>
        <v>5</v>
      </c>
      <c r="F3733" s="387">
        <f t="shared" ca="1" si="236"/>
        <v>40</v>
      </c>
      <c r="G3733" s="387"/>
      <c r="H3733" s="391" t="str">
        <f t="shared" ca="1" si="232"/>
        <v/>
      </c>
      <c r="I3733" s="391" t="str">
        <f t="shared" ca="1" si="233"/>
        <v/>
      </c>
    </row>
    <row r="3734" spans="1:9">
      <c r="A3734" s="387" t="b">
        <f t="shared" ca="1" si="231"/>
        <v>0</v>
      </c>
      <c r="B3734" s="396" t="str">
        <f ca="1">IF(COUNTA(G$3060:G3733)=1,"",OFFSET(B3734,-COUNTA(G$3060:G3733)+1,0))</f>
        <v>a1bDm000000YZKrIAO</v>
      </c>
      <c r="C3734" s="392">
        <f ca="1">IF(COUNTA(G$3060:G3733)=1,"",OFFSET(C3734,-COUNTA(G$3060:G3733)+1,0))</f>
        <v>32</v>
      </c>
      <c r="D3734" s="387">
        <f t="shared" si="234"/>
        <v>192</v>
      </c>
      <c r="E3734" s="387">
        <f t="shared" ca="1" si="235"/>
        <v>6</v>
      </c>
      <c r="F3734" s="387">
        <f t="shared" ca="1" si="236"/>
        <v>40</v>
      </c>
      <c r="G3734" s="387"/>
      <c r="H3734" s="391" t="str">
        <f t="shared" ca="1" si="232"/>
        <v/>
      </c>
      <c r="I3734" s="391" t="str">
        <f t="shared" ca="1" si="233"/>
        <v/>
      </c>
    </row>
    <row r="3735" spans="1:9">
      <c r="A3735" s="387" t="b">
        <f t="shared" ref="A3735:A3798" ca="1" si="237">IF(OR(AND(H3735&lt;&gt;"", H3735&lt;&gt;0), AND(I3735&lt;&gt;"",I3735&lt;&gt;0)),TRUE,FALSE)</f>
        <v>0</v>
      </c>
      <c r="B3735" s="396" t="str">
        <f ca="1">IF(COUNTA(G$3060:G3734)=1,"",OFFSET(B3735,-COUNTA(G$3060:G3734)+1,0))</f>
        <v>a1bDm000000YZEQIA4</v>
      </c>
      <c r="C3735" s="392">
        <f ca="1">IF(COUNTA(G$3060:G3734)=1,"",OFFSET(C3735,-COUNTA(G$3060:G3734)+1,0))</f>
        <v>33</v>
      </c>
      <c r="D3735" s="387">
        <f t="shared" si="234"/>
        <v>193</v>
      </c>
      <c r="E3735" s="387">
        <f t="shared" ca="1" si="235"/>
        <v>1</v>
      </c>
      <c r="F3735" s="387">
        <f t="shared" ca="1" si="236"/>
        <v>41</v>
      </c>
      <c r="G3735" s="387"/>
      <c r="H3735" s="391" t="str">
        <f t="shared" ref="H3735:H3798" ca="1" si="238">CHOOSE(E3735,IFERROR(IF(INDIRECT("'WPTM - Section F'!H"&amp;F3735)=0,"",INDIRECT("'WPTM - Section F'!H"&amp;$F3735)),""),IFERROR(IF(INDIRECT("'WPTM - Section F'!J"&amp;F3735)=0,"",INDIRECT("'WPTM - Section F'!J"&amp;$F3735)),""),IFERROR(IF(INDIRECT("'WPTM - Section F'!L"&amp;F3735)=0,"",INDIRECT("'WPTM - Section F'!L"&amp;$F3735)),""),IFERROR(IF(INDIRECT("'WPTM - Section F'!N"&amp;F3735)=0,"",INDIRECT("'WPTM - Section F'!N"&amp;$F3735)),""),IFERROR(IF(INDIRECT("'WPTM - Section F'!P"&amp;F3735)=0,"",INDIRECT("'WPTM - Section F'!P"&amp;$F3735)),""),IFERROR(IF(INDIRECT("'WPTM - Section F'!R"&amp;F3735)=0,"",INDIRECT("'WPTM - Section F'!R"&amp;$F3735)),""),IFERROR(IF(INDIRECT("'WPTM - Section F'!T"&amp;F3735)=0,"",INDIRECT("'WPTM - Section F'!T"&amp;$F3735)),""),IFERROR(IF(INDIRECT("'WPTM - Section F'!V"&amp;F3735)=0,"",INDIRECT("'WPTM - Section F'!V"&amp;$F3735)),""),)</f>
        <v/>
      </c>
      <c r="I3735" s="391" t="str">
        <f t="shared" ref="I3735:I3798" ca="1" si="239">CHOOSE(E3735,IFERROR(IF(INDIRECT("'WPTM - Section F'!G"&amp;F3735)=0,"",INDIRECT("'WPTM - Section F'!G"&amp;$F3735)),""),IFERROR(IF(INDIRECT("'WPTM - Section F'!I"&amp;F3735)=0,"",INDIRECT("'WPTM - Section F'!I"&amp;$F3735)),""),IFERROR(IF(INDIRECT("'WPTM - Section F'!K"&amp;F3735)=0,"",INDIRECT("'WPTM - Section F'!K"&amp;$F3735)),""),IFERROR(IF(INDIRECT("'WPTM - Section F'!M"&amp;F3735)=0,"",INDIRECT("'WPTM - Section F'!M"&amp;$F3735)),""),IFERROR(IF(INDIRECT("'WPTM - Section F'!O"&amp;F3735)=0,"",INDIRECT("'WPTM - Section F'!O"&amp;$F3735)),""),IFERROR(IF(INDIRECT("'WPTM - Section F'!Q"&amp;F3735)=0,"",INDIRECT("'WPTM - Section F'!Q"&amp;$F3735)),""),IFERROR(IF(INDIRECT("'WPTM - Section F'!S"&amp;F3735)=0,"",INDIRECT("'WPTM - Section F'!S"&amp;$F3735)),""),IFERROR(IF(INDIRECT("'WPTM - Section F'!U"&amp;F3735)=0,"",INDIRECT("'WPTM - Section F'!U"&amp;$F3735)),""),)</f>
        <v/>
      </c>
    </row>
    <row r="3736" spans="1:9">
      <c r="A3736" s="387" t="b">
        <f t="shared" ca="1" si="237"/>
        <v>0</v>
      </c>
      <c r="B3736" s="396" t="str">
        <f ca="1">IF(COUNTA(G$3060:G3735)=1,"",OFFSET(B3736,-COUNTA(G$3060:G3735)+1,0))</f>
        <v>a1bDm000000YZFiIAO</v>
      </c>
      <c r="C3736" s="392">
        <f ca="1">IF(COUNTA(G$3060:G3735)=1,"",OFFSET(C3736,-COUNTA(G$3060:G3735)+1,0))</f>
        <v>33</v>
      </c>
      <c r="D3736" s="387">
        <f t="shared" si="234"/>
        <v>194</v>
      </c>
      <c r="E3736" s="387">
        <f t="shared" ca="1" si="235"/>
        <v>2</v>
      </c>
      <c r="F3736" s="387">
        <f t="shared" ca="1" si="236"/>
        <v>41</v>
      </c>
      <c r="G3736" s="387"/>
      <c r="H3736" s="391" t="str">
        <f t="shared" ca="1" si="238"/>
        <v/>
      </c>
      <c r="I3736" s="391" t="str">
        <f t="shared" ca="1" si="239"/>
        <v/>
      </c>
    </row>
    <row r="3737" spans="1:9">
      <c r="A3737" s="387" t="b">
        <f t="shared" ca="1" si="237"/>
        <v>0</v>
      </c>
      <c r="B3737" s="396" t="str">
        <f ca="1">IF(COUNTA(G$3060:G3736)=1,"",OFFSET(B3737,-COUNTA(G$3060:G3736)+1,0))</f>
        <v>a1bDm000000YZH0IAO</v>
      </c>
      <c r="C3737" s="392">
        <f ca="1">IF(COUNTA(G$3060:G3736)=1,"",OFFSET(C3737,-COUNTA(G$3060:G3736)+1,0))</f>
        <v>33</v>
      </c>
      <c r="D3737" s="387">
        <f t="shared" si="234"/>
        <v>195</v>
      </c>
      <c r="E3737" s="387">
        <f t="shared" ca="1" si="235"/>
        <v>3</v>
      </c>
      <c r="F3737" s="387">
        <f t="shared" ca="1" si="236"/>
        <v>41</v>
      </c>
      <c r="G3737" s="387"/>
      <c r="H3737" s="391" t="str">
        <f t="shared" ca="1" si="238"/>
        <v/>
      </c>
      <c r="I3737" s="391" t="str">
        <f t="shared" ca="1" si="239"/>
        <v/>
      </c>
    </row>
    <row r="3738" spans="1:9">
      <c r="A3738" s="387" t="b">
        <f t="shared" ca="1" si="237"/>
        <v>0</v>
      </c>
      <c r="B3738" s="396" t="str">
        <f ca="1">IF(COUNTA(G$3060:G3737)=1,"",OFFSET(B3738,-COUNTA(G$3060:G3737)+1,0))</f>
        <v>a1bDm000000YZIIIA4</v>
      </c>
      <c r="C3738" s="392">
        <f ca="1">IF(COUNTA(G$3060:G3737)=1,"",OFFSET(C3738,-COUNTA(G$3060:G3737)+1,0))</f>
        <v>33</v>
      </c>
      <c r="D3738" s="387">
        <f t="shared" si="234"/>
        <v>196</v>
      </c>
      <c r="E3738" s="387">
        <f t="shared" ca="1" si="235"/>
        <v>4</v>
      </c>
      <c r="F3738" s="387">
        <f t="shared" ca="1" si="236"/>
        <v>41</v>
      </c>
      <c r="G3738" s="387"/>
      <c r="H3738" s="391" t="str">
        <f t="shared" ca="1" si="238"/>
        <v/>
      </c>
      <c r="I3738" s="391" t="str">
        <f t="shared" ca="1" si="239"/>
        <v/>
      </c>
    </row>
    <row r="3739" spans="1:9">
      <c r="A3739" s="387" t="b">
        <f t="shared" ca="1" si="237"/>
        <v>0</v>
      </c>
      <c r="B3739" s="396" t="str">
        <f ca="1">IF(COUNTA(G$3060:G3738)=1,"",OFFSET(B3739,-COUNTA(G$3060:G3738)+1,0))</f>
        <v>a1bDm000000YZJaIAO</v>
      </c>
      <c r="C3739" s="392">
        <f ca="1">IF(COUNTA(G$3060:G3738)=1,"",OFFSET(C3739,-COUNTA(G$3060:G3738)+1,0))</f>
        <v>33</v>
      </c>
      <c r="D3739" s="387">
        <f t="shared" si="234"/>
        <v>197</v>
      </c>
      <c r="E3739" s="387">
        <f t="shared" ca="1" si="235"/>
        <v>5</v>
      </c>
      <c r="F3739" s="387">
        <f t="shared" ca="1" si="236"/>
        <v>41</v>
      </c>
      <c r="G3739" s="387"/>
      <c r="H3739" s="391" t="str">
        <f t="shared" ca="1" si="238"/>
        <v/>
      </c>
      <c r="I3739" s="391" t="str">
        <f t="shared" ca="1" si="239"/>
        <v/>
      </c>
    </row>
    <row r="3740" spans="1:9">
      <c r="A3740" s="387" t="b">
        <f t="shared" ca="1" si="237"/>
        <v>0</v>
      </c>
      <c r="B3740" s="396" t="str">
        <f ca="1">IF(COUNTA(G$3060:G3739)=1,"",OFFSET(B3740,-COUNTA(G$3060:G3739)+1,0))</f>
        <v>a1bDm000000YZKsIAO</v>
      </c>
      <c r="C3740" s="392">
        <f ca="1">IF(COUNTA(G$3060:G3739)=1,"",OFFSET(C3740,-COUNTA(G$3060:G3739)+1,0))</f>
        <v>33</v>
      </c>
      <c r="D3740" s="387">
        <f t="shared" si="234"/>
        <v>198</v>
      </c>
      <c r="E3740" s="387">
        <f t="shared" ca="1" si="235"/>
        <v>6</v>
      </c>
      <c r="F3740" s="387">
        <f t="shared" ca="1" si="236"/>
        <v>41</v>
      </c>
      <c r="G3740" s="387"/>
      <c r="H3740" s="391" t="str">
        <f t="shared" ca="1" si="238"/>
        <v/>
      </c>
      <c r="I3740" s="391" t="str">
        <f t="shared" ca="1" si="239"/>
        <v/>
      </c>
    </row>
    <row r="3741" spans="1:9">
      <c r="A3741" s="387" t="b">
        <f t="shared" ca="1" si="237"/>
        <v>0</v>
      </c>
      <c r="B3741" s="396" t="str">
        <f ca="1">IF(COUNTA(G$3060:G3740)=1,"",OFFSET(B3741,-COUNTA(G$3060:G3740)+1,0))</f>
        <v>a1bDm000000YZERIA4</v>
      </c>
      <c r="C3741" s="392">
        <f ca="1">IF(COUNTA(G$3060:G3740)=1,"",OFFSET(C3741,-COUNTA(G$3060:G3740)+1,0))</f>
        <v>34</v>
      </c>
      <c r="D3741" s="387">
        <f t="shared" si="234"/>
        <v>199</v>
      </c>
      <c r="E3741" s="387">
        <f t="shared" ca="1" si="235"/>
        <v>1</v>
      </c>
      <c r="F3741" s="387">
        <f t="shared" ca="1" si="236"/>
        <v>42</v>
      </c>
      <c r="G3741" s="387"/>
      <c r="H3741" s="391" t="str">
        <f t="shared" ca="1" si="238"/>
        <v/>
      </c>
      <c r="I3741" s="391" t="str">
        <f t="shared" ca="1" si="239"/>
        <v/>
      </c>
    </row>
    <row r="3742" spans="1:9">
      <c r="A3742" s="387" t="b">
        <f t="shared" ca="1" si="237"/>
        <v>0</v>
      </c>
      <c r="B3742" s="396" t="str">
        <f ca="1">IF(COUNTA(G$3060:G3741)=1,"",OFFSET(B3742,-COUNTA(G$3060:G3741)+1,0))</f>
        <v>a1bDm000000YZFjIAO</v>
      </c>
      <c r="C3742" s="392">
        <f ca="1">IF(COUNTA(G$3060:G3741)=1,"",OFFSET(C3742,-COUNTA(G$3060:G3741)+1,0))</f>
        <v>34</v>
      </c>
      <c r="D3742" s="387">
        <f t="shared" si="234"/>
        <v>200</v>
      </c>
      <c r="E3742" s="387">
        <f t="shared" ca="1" si="235"/>
        <v>2</v>
      </c>
      <c r="F3742" s="387">
        <f t="shared" ca="1" si="236"/>
        <v>42</v>
      </c>
      <c r="G3742" s="387"/>
      <c r="H3742" s="391" t="str">
        <f t="shared" ca="1" si="238"/>
        <v/>
      </c>
      <c r="I3742" s="391" t="str">
        <f t="shared" ca="1" si="239"/>
        <v/>
      </c>
    </row>
    <row r="3743" spans="1:9">
      <c r="A3743" s="387" t="b">
        <f t="shared" ca="1" si="237"/>
        <v>0</v>
      </c>
      <c r="B3743" s="396" t="str">
        <f ca="1">IF(COUNTA(G$3060:G3742)=1,"",OFFSET(B3743,-COUNTA(G$3060:G3742)+1,0))</f>
        <v>a1bDm000000YZH1IAO</v>
      </c>
      <c r="C3743" s="392">
        <f ca="1">IF(COUNTA(G$3060:G3742)=1,"",OFFSET(C3743,-COUNTA(G$3060:G3742)+1,0))</f>
        <v>34</v>
      </c>
      <c r="D3743" s="387">
        <f t="shared" si="234"/>
        <v>201</v>
      </c>
      <c r="E3743" s="387">
        <f t="shared" ca="1" si="235"/>
        <v>3</v>
      </c>
      <c r="F3743" s="387">
        <f t="shared" ca="1" si="236"/>
        <v>42</v>
      </c>
      <c r="G3743" s="387"/>
      <c r="H3743" s="391" t="str">
        <f t="shared" ca="1" si="238"/>
        <v/>
      </c>
      <c r="I3743" s="391" t="str">
        <f t="shared" ca="1" si="239"/>
        <v/>
      </c>
    </row>
    <row r="3744" spans="1:9">
      <c r="A3744" s="387" t="b">
        <f t="shared" ca="1" si="237"/>
        <v>0</v>
      </c>
      <c r="B3744" s="396" t="str">
        <f ca="1">IF(COUNTA(G$3060:G3743)=1,"",OFFSET(B3744,-COUNTA(G$3060:G3743)+1,0))</f>
        <v>a1bDm000000YZIJIA4</v>
      </c>
      <c r="C3744" s="392">
        <f ca="1">IF(COUNTA(G$3060:G3743)=1,"",OFFSET(C3744,-COUNTA(G$3060:G3743)+1,0))</f>
        <v>34</v>
      </c>
      <c r="D3744" s="387">
        <f t="shared" si="234"/>
        <v>202</v>
      </c>
      <c r="E3744" s="387">
        <f t="shared" ca="1" si="235"/>
        <v>4</v>
      </c>
      <c r="F3744" s="387">
        <f t="shared" ca="1" si="236"/>
        <v>42</v>
      </c>
      <c r="G3744" s="387"/>
      <c r="H3744" s="391" t="str">
        <f t="shared" ca="1" si="238"/>
        <v/>
      </c>
      <c r="I3744" s="391" t="str">
        <f t="shared" ca="1" si="239"/>
        <v/>
      </c>
    </row>
    <row r="3745" spans="1:9">
      <c r="A3745" s="387" t="b">
        <f t="shared" ca="1" si="237"/>
        <v>0</v>
      </c>
      <c r="B3745" s="396" t="str">
        <f ca="1">IF(COUNTA(G$3060:G3744)=1,"",OFFSET(B3745,-COUNTA(G$3060:G3744)+1,0))</f>
        <v>a1bDm000000YZJbIAO</v>
      </c>
      <c r="C3745" s="392">
        <f ca="1">IF(COUNTA(G$3060:G3744)=1,"",OFFSET(C3745,-COUNTA(G$3060:G3744)+1,0))</f>
        <v>34</v>
      </c>
      <c r="D3745" s="387">
        <f t="shared" si="234"/>
        <v>203</v>
      </c>
      <c r="E3745" s="387">
        <f t="shared" ca="1" si="235"/>
        <v>5</v>
      </c>
      <c r="F3745" s="387">
        <f t="shared" ca="1" si="236"/>
        <v>42</v>
      </c>
      <c r="G3745" s="387"/>
      <c r="H3745" s="391" t="str">
        <f t="shared" ca="1" si="238"/>
        <v/>
      </c>
      <c r="I3745" s="391" t="str">
        <f t="shared" ca="1" si="239"/>
        <v/>
      </c>
    </row>
    <row r="3746" spans="1:9">
      <c r="A3746" s="387" t="b">
        <f t="shared" ca="1" si="237"/>
        <v>0</v>
      </c>
      <c r="B3746" s="396" t="str">
        <f ca="1">IF(COUNTA(G$3060:G3745)=1,"",OFFSET(B3746,-COUNTA(G$3060:G3745)+1,0))</f>
        <v>a1bDm000000YZKtIAO</v>
      </c>
      <c r="C3746" s="392">
        <f ca="1">IF(COUNTA(G$3060:G3745)=1,"",OFFSET(C3746,-COUNTA(G$3060:G3745)+1,0))</f>
        <v>34</v>
      </c>
      <c r="D3746" s="387">
        <f t="shared" si="234"/>
        <v>204</v>
      </c>
      <c r="E3746" s="387">
        <f t="shared" ca="1" si="235"/>
        <v>6</v>
      </c>
      <c r="F3746" s="387">
        <f t="shared" ca="1" si="236"/>
        <v>42</v>
      </c>
      <c r="G3746" s="387"/>
      <c r="H3746" s="391" t="str">
        <f t="shared" ca="1" si="238"/>
        <v/>
      </c>
      <c r="I3746" s="391" t="str">
        <f t="shared" ca="1" si="239"/>
        <v/>
      </c>
    </row>
    <row r="3747" spans="1:9">
      <c r="A3747" s="387" t="b">
        <f t="shared" ca="1" si="237"/>
        <v>0</v>
      </c>
      <c r="B3747" s="396" t="str">
        <f ca="1">IF(COUNTA(G$3060:G3746)=1,"",OFFSET(B3747,-COUNTA(G$3060:G3746)+1,0))</f>
        <v>a1bDm000000YZESIA4</v>
      </c>
      <c r="C3747" s="392">
        <f ca="1">IF(COUNTA(G$3060:G3746)=1,"",OFFSET(C3747,-COUNTA(G$3060:G3746)+1,0))</f>
        <v>35</v>
      </c>
      <c r="D3747" s="387">
        <f t="shared" si="234"/>
        <v>205</v>
      </c>
      <c r="E3747" s="387">
        <f t="shared" ca="1" si="235"/>
        <v>1</v>
      </c>
      <c r="F3747" s="387">
        <f t="shared" ca="1" si="236"/>
        <v>43</v>
      </c>
      <c r="G3747" s="387"/>
      <c r="H3747" s="391" t="str">
        <f t="shared" ca="1" si="238"/>
        <v/>
      </c>
      <c r="I3747" s="391" t="str">
        <f t="shared" ca="1" si="239"/>
        <v/>
      </c>
    </row>
    <row r="3748" spans="1:9">
      <c r="A3748" s="387" t="b">
        <f t="shared" ca="1" si="237"/>
        <v>0</v>
      </c>
      <c r="B3748" s="396" t="str">
        <f ca="1">IF(COUNTA(G$3060:G3747)=1,"",OFFSET(B3748,-COUNTA(G$3060:G3747)+1,0))</f>
        <v>a1bDm000000YZFkIAO</v>
      </c>
      <c r="C3748" s="392">
        <f ca="1">IF(COUNTA(G$3060:G3747)=1,"",OFFSET(C3748,-COUNTA(G$3060:G3747)+1,0))</f>
        <v>35</v>
      </c>
      <c r="D3748" s="387">
        <f t="shared" si="234"/>
        <v>206</v>
      </c>
      <c r="E3748" s="387">
        <f t="shared" ca="1" si="235"/>
        <v>2</v>
      </c>
      <c r="F3748" s="387">
        <f t="shared" ca="1" si="236"/>
        <v>43</v>
      </c>
      <c r="G3748" s="387"/>
      <c r="H3748" s="391" t="str">
        <f t="shared" ca="1" si="238"/>
        <v/>
      </c>
      <c r="I3748" s="391" t="str">
        <f t="shared" ca="1" si="239"/>
        <v/>
      </c>
    </row>
    <row r="3749" spans="1:9">
      <c r="A3749" s="387" t="b">
        <f t="shared" ca="1" si="237"/>
        <v>0</v>
      </c>
      <c r="B3749" s="396" t="str">
        <f ca="1">IF(COUNTA(G$3060:G3748)=1,"",OFFSET(B3749,-COUNTA(G$3060:G3748)+1,0))</f>
        <v>a1bDm000000YZH2IAO</v>
      </c>
      <c r="C3749" s="392">
        <f ca="1">IF(COUNTA(G$3060:G3748)=1,"",OFFSET(C3749,-COUNTA(G$3060:G3748)+1,0))</f>
        <v>35</v>
      </c>
      <c r="D3749" s="387">
        <f t="shared" si="234"/>
        <v>207</v>
      </c>
      <c r="E3749" s="387">
        <f t="shared" ca="1" si="235"/>
        <v>3</v>
      </c>
      <c r="F3749" s="387">
        <f t="shared" ca="1" si="236"/>
        <v>43</v>
      </c>
      <c r="G3749" s="387"/>
      <c r="H3749" s="391" t="str">
        <f t="shared" ca="1" si="238"/>
        <v/>
      </c>
      <c r="I3749" s="391" t="str">
        <f t="shared" ca="1" si="239"/>
        <v/>
      </c>
    </row>
    <row r="3750" spans="1:9">
      <c r="A3750" s="387" t="b">
        <f t="shared" ca="1" si="237"/>
        <v>0</v>
      </c>
      <c r="B3750" s="396" t="str">
        <f ca="1">IF(COUNTA(G$3060:G3749)=1,"",OFFSET(B3750,-COUNTA(G$3060:G3749)+1,0))</f>
        <v>a1bDm000000YZIKIA4</v>
      </c>
      <c r="C3750" s="392">
        <f ca="1">IF(COUNTA(G$3060:G3749)=1,"",OFFSET(C3750,-COUNTA(G$3060:G3749)+1,0))</f>
        <v>35</v>
      </c>
      <c r="D3750" s="387">
        <f t="shared" si="234"/>
        <v>208</v>
      </c>
      <c r="E3750" s="387">
        <f t="shared" ca="1" si="235"/>
        <v>4</v>
      </c>
      <c r="F3750" s="387">
        <f t="shared" ca="1" si="236"/>
        <v>43</v>
      </c>
      <c r="G3750" s="387"/>
      <c r="H3750" s="391" t="str">
        <f t="shared" ca="1" si="238"/>
        <v/>
      </c>
      <c r="I3750" s="391" t="str">
        <f t="shared" ca="1" si="239"/>
        <v/>
      </c>
    </row>
    <row r="3751" spans="1:9">
      <c r="A3751" s="387" t="b">
        <f t="shared" ca="1" si="237"/>
        <v>0</v>
      </c>
      <c r="B3751" s="396" t="str">
        <f ca="1">IF(COUNTA(G$3060:G3750)=1,"",OFFSET(B3751,-COUNTA(G$3060:G3750)+1,0))</f>
        <v>a1bDm000000YZJcIAO</v>
      </c>
      <c r="C3751" s="392">
        <f ca="1">IF(COUNTA(G$3060:G3750)=1,"",OFFSET(C3751,-COUNTA(G$3060:G3750)+1,0))</f>
        <v>35</v>
      </c>
      <c r="D3751" s="387">
        <f t="shared" si="234"/>
        <v>209</v>
      </c>
      <c r="E3751" s="387">
        <f t="shared" ca="1" si="235"/>
        <v>5</v>
      </c>
      <c r="F3751" s="387">
        <f t="shared" ca="1" si="236"/>
        <v>43</v>
      </c>
      <c r="G3751" s="387"/>
      <c r="H3751" s="391" t="str">
        <f t="shared" ca="1" si="238"/>
        <v/>
      </c>
      <c r="I3751" s="391" t="str">
        <f t="shared" ca="1" si="239"/>
        <v/>
      </c>
    </row>
    <row r="3752" spans="1:9">
      <c r="A3752" s="387" t="b">
        <f t="shared" ca="1" si="237"/>
        <v>0</v>
      </c>
      <c r="B3752" s="396" t="str">
        <f ca="1">IF(COUNTA(G$3060:G3751)=1,"",OFFSET(B3752,-COUNTA(G$3060:G3751)+1,0))</f>
        <v>a1bDm000000YZKuIAO</v>
      </c>
      <c r="C3752" s="392">
        <f ca="1">IF(COUNTA(G$3060:G3751)=1,"",OFFSET(C3752,-COUNTA(G$3060:G3751)+1,0))</f>
        <v>35</v>
      </c>
      <c r="D3752" s="387">
        <f t="shared" si="234"/>
        <v>210</v>
      </c>
      <c r="E3752" s="387">
        <f t="shared" ca="1" si="235"/>
        <v>6</v>
      </c>
      <c r="F3752" s="387">
        <f t="shared" ca="1" si="236"/>
        <v>43</v>
      </c>
      <c r="G3752" s="387"/>
      <c r="H3752" s="391" t="str">
        <f t="shared" ca="1" si="238"/>
        <v/>
      </c>
      <c r="I3752" s="391" t="str">
        <f t="shared" ca="1" si="239"/>
        <v/>
      </c>
    </row>
    <row r="3753" spans="1:9">
      <c r="A3753" s="387" t="b">
        <f t="shared" ca="1" si="237"/>
        <v>0</v>
      </c>
      <c r="B3753" s="396" t="str">
        <f ca="1">IF(COUNTA(G$3060:G3752)=1,"",OFFSET(B3753,-COUNTA(G$3060:G3752)+1,0))</f>
        <v>a1bDm000000YZFlIAO</v>
      </c>
      <c r="C3753" s="392">
        <f ca="1">IF(COUNTA(G$3060:G3752)=1,"",OFFSET(C3753,-COUNTA(G$3060:G3752)+1,0))</f>
        <v>36</v>
      </c>
      <c r="D3753" s="387">
        <f t="shared" si="234"/>
        <v>211</v>
      </c>
      <c r="E3753" s="387">
        <f t="shared" ca="1" si="235"/>
        <v>1</v>
      </c>
      <c r="F3753" s="387">
        <f t="shared" ca="1" si="236"/>
        <v>44</v>
      </c>
      <c r="G3753" s="387"/>
      <c r="H3753" s="391" t="str">
        <f t="shared" ca="1" si="238"/>
        <v/>
      </c>
      <c r="I3753" s="391" t="str">
        <f t="shared" ca="1" si="239"/>
        <v/>
      </c>
    </row>
    <row r="3754" spans="1:9">
      <c r="A3754" s="387" t="b">
        <f t="shared" ca="1" si="237"/>
        <v>0</v>
      </c>
      <c r="B3754" s="396" t="str">
        <f ca="1">IF(COUNTA(G$3060:G3753)=1,"",OFFSET(B3754,-COUNTA(G$3060:G3753)+1,0))</f>
        <v>a1bDm000000YZH3IAO</v>
      </c>
      <c r="C3754" s="392">
        <f ca="1">IF(COUNTA(G$3060:G3753)=1,"",OFFSET(C3754,-COUNTA(G$3060:G3753)+1,0))</f>
        <v>36</v>
      </c>
      <c r="D3754" s="387">
        <f t="shared" si="234"/>
        <v>212</v>
      </c>
      <c r="E3754" s="387">
        <f t="shared" ca="1" si="235"/>
        <v>2</v>
      </c>
      <c r="F3754" s="387">
        <f t="shared" ca="1" si="236"/>
        <v>44</v>
      </c>
      <c r="G3754" s="387"/>
      <c r="H3754" s="391" t="str">
        <f t="shared" ca="1" si="238"/>
        <v/>
      </c>
      <c r="I3754" s="391" t="str">
        <f t="shared" ca="1" si="239"/>
        <v/>
      </c>
    </row>
    <row r="3755" spans="1:9">
      <c r="A3755" s="387" t="b">
        <f t="shared" ca="1" si="237"/>
        <v>0</v>
      </c>
      <c r="B3755" s="396" t="str">
        <f ca="1">IF(COUNTA(G$3060:G3754)=1,"",OFFSET(B3755,-COUNTA(G$3060:G3754)+1,0))</f>
        <v>a1bDm000000YZILIA4</v>
      </c>
      <c r="C3755" s="392">
        <f ca="1">IF(COUNTA(G$3060:G3754)=1,"",OFFSET(C3755,-COUNTA(G$3060:G3754)+1,0))</f>
        <v>36</v>
      </c>
      <c r="D3755" s="387">
        <f t="shared" si="234"/>
        <v>213</v>
      </c>
      <c r="E3755" s="387">
        <f t="shared" ca="1" si="235"/>
        <v>3</v>
      </c>
      <c r="F3755" s="387">
        <f t="shared" ca="1" si="236"/>
        <v>44</v>
      </c>
      <c r="G3755" s="387"/>
      <c r="H3755" s="391" t="str">
        <f t="shared" ca="1" si="238"/>
        <v/>
      </c>
      <c r="I3755" s="391" t="str">
        <f t="shared" ca="1" si="239"/>
        <v/>
      </c>
    </row>
    <row r="3756" spans="1:9">
      <c r="A3756" s="387" t="b">
        <f t="shared" ca="1" si="237"/>
        <v>0</v>
      </c>
      <c r="B3756" s="396" t="str">
        <f ca="1">IF(COUNTA(G$3060:G3755)=1,"",OFFSET(B3756,-COUNTA(G$3060:G3755)+1,0))</f>
        <v>a1bDm000000YZJdIAO</v>
      </c>
      <c r="C3756" s="392">
        <f ca="1">IF(COUNTA(G$3060:G3755)=1,"",OFFSET(C3756,-COUNTA(G$3060:G3755)+1,0))</f>
        <v>36</v>
      </c>
      <c r="D3756" s="387">
        <f t="shared" si="234"/>
        <v>214</v>
      </c>
      <c r="E3756" s="387">
        <f t="shared" ca="1" si="235"/>
        <v>4</v>
      </c>
      <c r="F3756" s="387">
        <f t="shared" ca="1" si="236"/>
        <v>44</v>
      </c>
      <c r="G3756" s="387"/>
      <c r="H3756" s="391" t="str">
        <f t="shared" ca="1" si="238"/>
        <v/>
      </c>
      <c r="I3756" s="391" t="str">
        <f t="shared" ca="1" si="239"/>
        <v/>
      </c>
    </row>
    <row r="3757" spans="1:9">
      <c r="A3757" s="387" t="b">
        <f t="shared" ca="1" si="237"/>
        <v>0</v>
      </c>
      <c r="B3757" s="396" t="str">
        <f ca="1">IF(COUNTA(G$3060:G3756)=1,"",OFFSET(B3757,-COUNTA(G$3060:G3756)+1,0))</f>
        <v>a1bDm000000YZKvIAO</v>
      </c>
      <c r="C3757" s="392">
        <f ca="1">IF(COUNTA(G$3060:G3756)=1,"",OFFSET(C3757,-COUNTA(G$3060:G3756)+1,0))</f>
        <v>36</v>
      </c>
      <c r="D3757" s="387">
        <f t="shared" si="234"/>
        <v>215</v>
      </c>
      <c r="E3757" s="387">
        <f t="shared" ca="1" si="235"/>
        <v>5</v>
      </c>
      <c r="F3757" s="387">
        <f t="shared" ca="1" si="236"/>
        <v>44</v>
      </c>
      <c r="G3757" s="387"/>
      <c r="H3757" s="391" t="str">
        <f t="shared" ca="1" si="238"/>
        <v/>
      </c>
      <c r="I3757" s="391" t="str">
        <f t="shared" ca="1" si="239"/>
        <v/>
      </c>
    </row>
    <row r="3758" spans="1:9">
      <c r="A3758" s="387" t="b">
        <f t="shared" ca="1" si="237"/>
        <v>0</v>
      </c>
      <c r="B3758" s="396" t="str">
        <f ca="1">IF(COUNTA(G$3060:G3757)=1,"",OFFSET(B3758,-COUNTA(G$3060:G3757)+1,0))</f>
        <v>a1bDm000000YZETIA4</v>
      </c>
      <c r="C3758" s="392">
        <f ca="1">IF(COUNTA(G$3060:G3757)=1,"",OFFSET(C3758,-COUNTA(G$3060:G3757)+1,0))</f>
        <v>36</v>
      </c>
      <c r="D3758" s="387">
        <f t="shared" si="234"/>
        <v>216</v>
      </c>
      <c r="E3758" s="387">
        <f t="shared" ca="1" si="235"/>
        <v>6</v>
      </c>
      <c r="F3758" s="387">
        <f t="shared" ca="1" si="236"/>
        <v>44</v>
      </c>
      <c r="G3758" s="387"/>
      <c r="H3758" s="391" t="str">
        <f t="shared" ca="1" si="238"/>
        <v/>
      </c>
      <c r="I3758" s="391" t="str">
        <f t="shared" ca="1" si="239"/>
        <v/>
      </c>
    </row>
    <row r="3759" spans="1:9">
      <c r="A3759" s="387" t="b">
        <f t="shared" ca="1" si="237"/>
        <v>0</v>
      </c>
      <c r="B3759" s="396" t="str">
        <f ca="1">IF(COUNTA(G$3060:G3758)=1,"",OFFSET(B3759,-COUNTA(G$3060:G3758)+1,0))</f>
        <v>a1bDm000000YZEUIA4</v>
      </c>
      <c r="C3759" s="392">
        <f ca="1">IF(COUNTA(G$3060:G3758)=1,"",OFFSET(C3759,-COUNTA(G$3060:G3758)+1,0))</f>
        <v>37</v>
      </c>
      <c r="D3759" s="387">
        <f t="shared" si="234"/>
        <v>217</v>
      </c>
      <c r="E3759" s="387">
        <f t="shared" ca="1" si="235"/>
        <v>1</v>
      </c>
      <c r="F3759" s="387">
        <f t="shared" ca="1" si="236"/>
        <v>45</v>
      </c>
      <c r="G3759" s="387"/>
      <c r="H3759" s="391" t="str">
        <f t="shared" ca="1" si="238"/>
        <v/>
      </c>
      <c r="I3759" s="391" t="str">
        <f t="shared" ca="1" si="239"/>
        <v/>
      </c>
    </row>
    <row r="3760" spans="1:9">
      <c r="A3760" s="387" t="b">
        <f t="shared" ca="1" si="237"/>
        <v>0</v>
      </c>
      <c r="B3760" s="396" t="str">
        <f ca="1">IF(COUNTA(G$3060:G3759)=1,"",OFFSET(B3760,-COUNTA(G$3060:G3759)+1,0))</f>
        <v>a1bDm000000YZFmIAO</v>
      </c>
      <c r="C3760" s="392">
        <f ca="1">IF(COUNTA(G$3060:G3759)=1,"",OFFSET(C3760,-COUNTA(G$3060:G3759)+1,0))</f>
        <v>37</v>
      </c>
      <c r="D3760" s="387">
        <f t="shared" si="234"/>
        <v>218</v>
      </c>
      <c r="E3760" s="387">
        <f t="shared" ca="1" si="235"/>
        <v>2</v>
      </c>
      <c r="F3760" s="387">
        <f t="shared" ca="1" si="236"/>
        <v>45</v>
      </c>
      <c r="G3760" s="387"/>
      <c r="H3760" s="391" t="str">
        <f t="shared" ca="1" si="238"/>
        <v/>
      </c>
      <c r="I3760" s="391" t="str">
        <f t="shared" ca="1" si="239"/>
        <v/>
      </c>
    </row>
    <row r="3761" spans="1:9">
      <c r="A3761" s="387" t="b">
        <f t="shared" ca="1" si="237"/>
        <v>0</v>
      </c>
      <c r="B3761" s="396" t="str">
        <f ca="1">IF(COUNTA(G$3060:G3760)=1,"",OFFSET(B3761,-COUNTA(G$3060:G3760)+1,0))</f>
        <v>a1bDm000000YZH4IAO</v>
      </c>
      <c r="C3761" s="392">
        <f ca="1">IF(COUNTA(G$3060:G3760)=1,"",OFFSET(C3761,-COUNTA(G$3060:G3760)+1,0))</f>
        <v>37</v>
      </c>
      <c r="D3761" s="387">
        <f t="shared" si="234"/>
        <v>219</v>
      </c>
      <c r="E3761" s="387">
        <f t="shared" ca="1" si="235"/>
        <v>3</v>
      </c>
      <c r="F3761" s="387">
        <f t="shared" ca="1" si="236"/>
        <v>45</v>
      </c>
      <c r="G3761" s="387"/>
      <c r="H3761" s="391" t="str">
        <f t="shared" ca="1" si="238"/>
        <v/>
      </c>
      <c r="I3761" s="391" t="str">
        <f t="shared" ca="1" si="239"/>
        <v/>
      </c>
    </row>
    <row r="3762" spans="1:9">
      <c r="A3762" s="387" t="b">
        <f t="shared" ca="1" si="237"/>
        <v>0</v>
      </c>
      <c r="B3762" s="396" t="str">
        <f ca="1">IF(COUNTA(G$3060:G3761)=1,"",OFFSET(B3762,-COUNTA(G$3060:G3761)+1,0))</f>
        <v>a1bDm000000YZIMIA4</v>
      </c>
      <c r="C3762" s="392">
        <f ca="1">IF(COUNTA(G$3060:G3761)=1,"",OFFSET(C3762,-COUNTA(G$3060:G3761)+1,0))</f>
        <v>37</v>
      </c>
      <c r="D3762" s="387">
        <f t="shared" si="234"/>
        <v>220</v>
      </c>
      <c r="E3762" s="387">
        <f t="shared" ca="1" si="235"/>
        <v>4</v>
      </c>
      <c r="F3762" s="387">
        <f t="shared" ca="1" si="236"/>
        <v>45</v>
      </c>
      <c r="G3762" s="387"/>
      <c r="H3762" s="391" t="str">
        <f t="shared" ca="1" si="238"/>
        <v/>
      </c>
      <c r="I3762" s="391" t="str">
        <f t="shared" ca="1" si="239"/>
        <v/>
      </c>
    </row>
    <row r="3763" spans="1:9">
      <c r="A3763" s="387" t="b">
        <f t="shared" ca="1" si="237"/>
        <v>0</v>
      </c>
      <c r="B3763" s="396" t="str">
        <f ca="1">IF(COUNTA(G$3060:G3762)=1,"",OFFSET(B3763,-COUNTA(G$3060:G3762)+1,0))</f>
        <v>a1bDm000000YZJeIAO</v>
      </c>
      <c r="C3763" s="392">
        <f ca="1">IF(COUNTA(G$3060:G3762)=1,"",OFFSET(C3763,-COUNTA(G$3060:G3762)+1,0))</f>
        <v>37</v>
      </c>
      <c r="D3763" s="387">
        <f t="shared" si="234"/>
        <v>221</v>
      </c>
      <c r="E3763" s="387">
        <f t="shared" ca="1" si="235"/>
        <v>5</v>
      </c>
      <c r="F3763" s="387">
        <f t="shared" ca="1" si="236"/>
        <v>45</v>
      </c>
      <c r="G3763" s="387"/>
      <c r="H3763" s="391" t="str">
        <f t="shared" ca="1" si="238"/>
        <v/>
      </c>
      <c r="I3763" s="391" t="str">
        <f t="shared" ca="1" si="239"/>
        <v/>
      </c>
    </row>
    <row r="3764" spans="1:9">
      <c r="A3764" s="387" t="b">
        <f t="shared" ca="1" si="237"/>
        <v>0</v>
      </c>
      <c r="B3764" s="396" t="str">
        <f ca="1">IF(COUNTA(G$3060:G3763)=1,"",OFFSET(B3764,-COUNTA(G$3060:G3763)+1,0))</f>
        <v>a1bDm000000YZKwIAO</v>
      </c>
      <c r="C3764" s="392">
        <f ca="1">IF(COUNTA(G$3060:G3763)=1,"",OFFSET(C3764,-COUNTA(G$3060:G3763)+1,0))</f>
        <v>37</v>
      </c>
      <c r="D3764" s="387">
        <f t="shared" si="234"/>
        <v>222</v>
      </c>
      <c r="E3764" s="387">
        <f t="shared" ca="1" si="235"/>
        <v>6</v>
      </c>
      <c r="F3764" s="387">
        <f t="shared" ca="1" si="236"/>
        <v>45</v>
      </c>
      <c r="G3764" s="387"/>
      <c r="H3764" s="391" t="str">
        <f t="shared" ca="1" si="238"/>
        <v/>
      </c>
      <c r="I3764" s="391" t="str">
        <f t="shared" ca="1" si="239"/>
        <v/>
      </c>
    </row>
    <row r="3765" spans="1:9">
      <c r="A3765" s="387" t="b">
        <f t="shared" ca="1" si="237"/>
        <v>0</v>
      </c>
      <c r="B3765" s="396" t="str">
        <f ca="1">IF(COUNTA(G$3060:G3764)=1,"",OFFSET(B3765,-COUNTA(G$3060:G3764)+1,0))</f>
        <v>a1bDm000000YZEVIA4</v>
      </c>
      <c r="C3765" s="392">
        <f ca="1">IF(COUNTA(G$3060:G3764)=1,"",OFFSET(C3765,-COUNTA(G$3060:G3764)+1,0))</f>
        <v>38</v>
      </c>
      <c r="D3765" s="387">
        <f t="shared" si="234"/>
        <v>223</v>
      </c>
      <c r="E3765" s="387">
        <f t="shared" ca="1" si="235"/>
        <v>1</v>
      </c>
      <c r="F3765" s="387">
        <f t="shared" ca="1" si="236"/>
        <v>46</v>
      </c>
      <c r="G3765" s="387"/>
      <c r="H3765" s="391" t="str">
        <f t="shared" ca="1" si="238"/>
        <v/>
      </c>
      <c r="I3765" s="391" t="str">
        <f t="shared" ca="1" si="239"/>
        <v/>
      </c>
    </row>
    <row r="3766" spans="1:9">
      <c r="A3766" s="387" t="b">
        <f t="shared" ca="1" si="237"/>
        <v>0</v>
      </c>
      <c r="B3766" s="396" t="str">
        <f ca="1">IF(COUNTA(G$3060:G3765)=1,"",OFFSET(B3766,-COUNTA(G$3060:G3765)+1,0))</f>
        <v>a1bDm000000YZFnIAO</v>
      </c>
      <c r="C3766" s="392">
        <f ca="1">IF(COUNTA(G$3060:G3765)=1,"",OFFSET(C3766,-COUNTA(G$3060:G3765)+1,0))</f>
        <v>38</v>
      </c>
      <c r="D3766" s="387">
        <f t="shared" si="234"/>
        <v>224</v>
      </c>
      <c r="E3766" s="387">
        <f t="shared" ca="1" si="235"/>
        <v>2</v>
      </c>
      <c r="F3766" s="387">
        <f t="shared" ca="1" si="236"/>
        <v>46</v>
      </c>
      <c r="G3766" s="387"/>
      <c r="H3766" s="391" t="str">
        <f t="shared" ca="1" si="238"/>
        <v/>
      </c>
      <c r="I3766" s="391" t="str">
        <f t="shared" ca="1" si="239"/>
        <v/>
      </c>
    </row>
    <row r="3767" spans="1:9">
      <c r="A3767" s="387" t="b">
        <f t="shared" ca="1" si="237"/>
        <v>0</v>
      </c>
      <c r="B3767" s="396" t="str">
        <f ca="1">IF(COUNTA(G$3060:G3766)=1,"",OFFSET(B3767,-COUNTA(G$3060:G3766)+1,0))</f>
        <v>a1bDm000000YZH5IAO</v>
      </c>
      <c r="C3767" s="392">
        <f ca="1">IF(COUNTA(G$3060:G3766)=1,"",OFFSET(C3767,-COUNTA(G$3060:G3766)+1,0))</f>
        <v>38</v>
      </c>
      <c r="D3767" s="387">
        <f t="shared" ref="D3767:D3830" si="240">D3766+1</f>
        <v>225</v>
      </c>
      <c r="E3767" s="387">
        <f t="shared" ref="E3767:E3830" ca="1" si="241">COUNTIF(C3597:C3767,C3767)</f>
        <v>3</v>
      </c>
      <c r="F3767" s="387">
        <f t="shared" ref="F3767:F3830" ca="1" si="242">IF(C3767=1,9,IF(E3766=MAX(E3765:E3767),F3765+1,F3766))</f>
        <v>46</v>
      </c>
      <c r="G3767" s="387"/>
      <c r="H3767" s="391" t="str">
        <f t="shared" ca="1" si="238"/>
        <v/>
      </c>
      <c r="I3767" s="391" t="str">
        <f t="shared" ca="1" si="239"/>
        <v/>
      </c>
    </row>
    <row r="3768" spans="1:9">
      <c r="A3768" s="387" t="b">
        <f t="shared" ca="1" si="237"/>
        <v>0</v>
      </c>
      <c r="B3768" s="396" t="str">
        <f ca="1">IF(COUNTA(G$3060:G3767)=1,"",OFFSET(B3768,-COUNTA(G$3060:G3767)+1,0))</f>
        <v>a1bDm000000YZINIA4</v>
      </c>
      <c r="C3768" s="392">
        <f ca="1">IF(COUNTA(G$3060:G3767)=1,"",OFFSET(C3768,-COUNTA(G$3060:G3767)+1,0))</f>
        <v>38</v>
      </c>
      <c r="D3768" s="387">
        <f t="shared" si="240"/>
        <v>226</v>
      </c>
      <c r="E3768" s="387">
        <f t="shared" ca="1" si="241"/>
        <v>4</v>
      </c>
      <c r="F3768" s="387">
        <f t="shared" ca="1" si="242"/>
        <v>46</v>
      </c>
      <c r="G3768" s="387"/>
      <c r="H3768" s="391" t="str">
        <f t="shared" ca="1" si="238"/>
        <v/>
      </c>
      <c r="I3768" s="391" t="str">
        <f t="shared" ca="1" si="239"/>
        <v/>
      </c>
    </row>
    <row r="3769" spans="1:9">
      <c r="A3769" s="387" t="b">
        <f t="shared" ca="1" si="237"/>
        <v>0</v>
      </c>
      <c r="B3769" s="396" t="str">
        <f ca="1">IF(COUNTA(G$3060:G3768)=1,"",OFFSET(B3769,-COUNTA(G$3060:G3768)+1,0))</f>
        <v>a1bDm000000YZJfIAO</v>
      </c>
      <c r="C3769" s="392">
        <f ca="1">IF(COUNTA(G$3060:G3768)=1,"",OFFSET(C3769,-COUNTA(G$3060:G3768)+1,0))</f>
        <v>38</v>
      </c>
      <c r="D3769" s="387">
        <f t="shared" si="240"/>
        <v>227</v>
      </c>
      <c r="E3769" s="387">
        <f t="shared" ca="1" si="241"/>
        <v>5</v>
      </c>
      <c r="F3769" s="387">
        <f t="shared" ca="1" si="242"/>
        <v>46</v>
      </c>
      <c r="G3769" s="387"/>
      <c r="H3769" s="391" t="str">
        <f t="shared" ca="1" si="238"/>
        <v/>
      </c>
      <c r="I3769" s="391" t="str">
        <f t="shared" ca="1" si="239"/>
        <v/>
      </c>
    </row>
    <row r="3770" spans="1:9">
      <c r="A3770" s="387" t="b">
        <f t="shared" ca="1" si="237"/>
        <v>0</v>
      </c>
      <c r="B3770" s="396" t="str">
        <f ca="1">IF(COUNTA(G$3060:G3769)=1,"",OFFSET(B3770,-COUNTA(G$3060:G3769)+1,0))</f>
        <v>a1bDm000000YZKxIAO</v>
      </c>
      <c r="C3770" s="392">
        <f ca="1">IF(COUNTA(G$3060:G3769)=1,"",OFFSET(C3770,-COUNTA(G$3060:G3769)+1,0))</f>
        <v>38</v>
      </c>
      <c r="D3770" s="387">
        <f t="shared" si="240"/>
        <v>228</v>
      </c>
      <c r="E3770" s="387">
        <f t="shared" ca="1" si="241"/>
        <v>6</v>
      </c>
      <c r="F3770" s="387">
        <f t="shared" ca="1" si="242"/>
        <v>46</v>
      </c>
      <c r="G3770" s="387"/>
      <c r="H3770" s="391" t="str">
        <f t="shared" ca="1" si="238"/>
        <v/>
      </c>
      <c r="I3770" s="391" t="str">
        <f t="shared" ca="1" si="239"/>
        <v/>
      </c>
    </row>
    <row r="3771" spans="1:9">
      <c r="A3771" s="387" t="b">
        <f t="shared" ca="1" si="237"/>
        <v>0</v>
      </c>
      <c r="B3771" s="396" t="str">
        <f ca="1">IF(COUNTA(G$3060:G3770)=1,"",OFFSET(B3771,-COUNTA(G$3060:G3770)+1,0))</f>
        <v>a1bDm000000YZEWIA4</v>
      </c>
      <c r="C3771" s="392">
        <f ca="1">IF(COUNTA(G$3060:G3770)=1,"",OFFSET(C3771,-COUNTA(G$3060:G3770)+1,0))</f>
        <v>39</v>
      </c>
      <c r="D3771" s="387">
        <f t="shared" si="240"/>
        <v>229</v>
      </c>
      <c r="E3771" s="387">
        <f t="shared" ca="1" si="241"/>
        <v>1</v>
      </c>
      <c r="F3771" s="387">
        <f t="shared" ca="1" si="242"/>
        <v>47</v>
      </c>
      <c r="G3771" s="387"/>
      <c r="H3771" s="391" t="str">
        <f t="shared" ca="1" si="238"/>
        <v/>
      </c>
      <c r="I3771" s="391" t="str">
        <f t="shared" ca="1" si="239"/>
        <v/>
      </c>
    </row>
    <row r="3772" spans="1:9">
      <c r="A3772" s="387" t="b">
        <f t="shared" ca="1" si="237"/>
        <v>0</v>
      </c>
      <c r="B3772" s="396" t="str">
        <f ca="1">IF(COUNTA(G$3060:G3771)=1,"",OFFSET(B3772,-COUNTA(G$3060:G3771)+1,0))</f>
        <v>a1bDm000000YZFoIAO</v>
      </c>
      <c r="C3772" s="392">
        <f ca="1">IF(COUNTA(G$3060:G3771)=1,"",OFFSET(C3772,-COUNTA(G$3060:G3771)+1,0))</f>
        <v>39</v>
      </c>
      <c r="D3772" s="387">
        <f t="shared" si="240"/>
        <v>230</v>
      </c>
      <c r="E3772" s="387">
        <f t="shared" ca="1" si="241"/>
        <v>2</v>
      </c>
      <c r="F3772" s="387">
        <f t="shared" ca="1" si="242"/>
        <v>47</v>
      </c>
      <c r="G3772" s="387"/>
      <c r="H3772" s="391" t="str">
        <f t="shared" ca="1" si="238"/>
        <v/>
      </c>
      <c r="I3772" s="391" t="str">
        <f t="shared" ca="1" si="239"/>
        <v/>
      </c>
    </row>
    <row r="3773" spans="1:9">
      <c r="A3773" s="387" t="b">
        <f t="shared" ca="1" si="237"/>
        <v>0</v>
      </c>
      <c r="B3773" s="396" t="str">
        <f ca="1">IF(COUNTA(G$3060:G3772)=1,"",OFFSET(B3773,-COUNTA(G$3060:G3772)+1,0))</f>
        <v>a1bDm000000YZH6IAO</v>
      </c>
      <c r="C3773" s="392">
        <f ca="1">IF(COUNTA(G$3060:G3772)=1,"",OFFSET(C3773,-COUNTA(G$3060:G3772)+1,0))</f>
        <v>39</v>
      </c>
      <c r="D3773" s="387">
        <f t="shared" si="240"/>
        <v>231</v>
      </c>
      <c r="E3773" s="387">
        <f t="shared" ca="1" si="241"/>
        <v>3</v>
      </c>
      <c r="F3773" s="387">
        <f t="shared" ca="1" si="242"/>
        <v>47</v>
      </c>
      <c r="G3773" s="387"/>
      <c r="H3773" s="391" t="str">
        <f t="shared" ca="1" si="238"/>
        <v/>
      </c>
      <c r="I3773" s="391" t="str">
        <f t="shared" ca="1" si="239"/>
        <v/>
      </c>
    </row>
    <row r="3774" spans="1:9">
      <c r="A3774" s="387" t="b">
        <f t="shared" ca="1" si="237"/>
        <v>0</v>
      </c>
      <c r="B3774" s="396" t="str">
        <f ca="1">IF(COUNTA(G$3060:G3773)=1,"",OFFSET(B3774,-COUNTA(G$3060:G3773)+1,0))</f>
        <v>a1bDm000000YZIOIA4</v>
      </c>
      <c r="C3774" s="392">
        <f ca="1">IF(COUNTA(G$3060:G3773)=1,"",OFFSET(C3774,-COUNTA(G$3060:G3773)+1,0))</f>
        <v>39</v>
      </c>
      <c r="D3774" s="387">
        <f t="shared" si="240"/>
        <v>232</v>
      </c>
      <c r="E3774" s="387">
        <f t="shared" ca="1" si="241"/>
        <v>4</v>
      </c>
      <c r="F3774" s="387">
        <f t="shared" ca="1" si="242"/>
        <v>47</v>
      </c>
      <c r="G3774" s="387"/>
      <c r="H3774" s="391" t="str">
        <f t="shared" ca="1" si="238"/>
        <v/>
      </c>
      <c r="I3774" s="391" t="str">
        <f t="shared" ca="1" si="239"/>
        <v/>
      </c>
    </row>
    <row r="3775" spans="1:9">
      <c r="A3775" s="387" t="b">
        <f t="shared" ca="1" si="237"/>
        <v>0</v>
      </c>
      <c r="B3775" s="396" t="str">
        <f ca="1">IF(COUNTA(G$3060:G3774)=1,"",OFFSET(B3775,-COUNTA(G$3060:G3774)+1,0))</f>
        <v>a1bDm000000YZJgIAO</v>
      </c>
      <c r="C3775" s="392">
        <f ca="1">IF(COUNTA(G$3060:G3774)=1,"",OFFSET(C3775,-COUNTA(G$3060:G3774)+1,0))</f>
        <v>39</v>
      </c>
      <c r="D3775" s="387">
        <f t="shared" si="240"/>
        <v>233</v>
      </c>
      <c r="E3775" s="387">
        <f t="shared" ca="1" si="241"/>
        <v>5</v>
      </c>
      <c r="F3775" s="387">
        <f t="shared" ca="1" si="242"/>
        <v>47</v>
      </c>
      <c r="G3775" s="387"/>
      <c r="H3775" s="391" t="str">
        <f t="shared" ca="1" si="238"/>
        <v/>
      </c>
      <c r="I3775" s="391" t="str">
        <f t="shared" ca="1" si="239"/>
        <v/>
      </c>
    </row>
    <row r="3776" spans="1:9">
      <c r="A3776" s="387" t="b">
        <f t="shared" ca="1" si="237"/>
        <v>0</v>
      </c>
      <c r="B3776" s="396" t="str">
        <f ca="1">IF(COUNTA(G$3060:G3775)=1,"",OFFSET(B3776,-COUNTA(G$3060:G3775)+1,0))</f>
        <v>a1bDm000000YZKyIAO</v>
      </c>
      <c r="C3776" s="392">
        <f ca="1">IF(COUNTA(G$3060:G3775)=1,"",OFFSET(C3776,-COUNTA(G$3060:G3775)+1,0))</f>
        <v>39</v>
      </c>
      <c r="D3776" s="387">
        <f t="shared" si="240"/>
        <v>234</v>
      </c>
      <c r="E3776" s="387">
        <f t="shared" ca="1" si="241"/>
        <v>6</v>
      </c>
      <c r="F3776" s="387">
        <f t="shared" ca="1" si="242"/>
        <v>47</v>
      </c>
      <c r="G3776" s="387"/>
      <c r="H3776" s="391" t="str">
        <f t="shared" ca="1" si="238"/>
        <v/>
      </c>
      <c r="I3776" s="391" t="str">
        <f t="shared" ca="1" si="239"/>
        <v/>
      </c>
    </row>
    <row r="3777" spans="1:9">
      <c r="A3777" s="387" t="b">
        <f t="shared" ca="1" si="237"/>
        <v>0</v>
      </c>
      <c r="B3777" s="396" t="str">
        <f ca="1">IF(COUNTA(G$3060:G3776)=1,"",OFFSET(B3777,-COUNTA(G$3060:G3776)+1,0))</f>
        <v>a1bDm000000YZEXIA4</v>
      </c>
      <c r="C3777" s="392">
        <f ca="1">IF(COUNTA(G$3060:G3776)=1,"",OFFSET(C3777,-COUNTA(G$3060:G3776)+1,0))</f>
        <v>40</v>
      </c>
      <c r="D3777" s="387">
        <f t="shared" si="240"/>
        <v>235</v>
      </c>
      <c r="E3777" s="387">
        <f t="shared" ca="1" si="241"/>
        <v>1</v>
      </c>
      <c r="F3777" s="387">
        <f t="shared" ca="1" si="242"/>
        <v>48</v>
      </c>
      <c r="G3777" s="387"/>
      <c r="H3777" s="391" t="str">
        <f t="shared" ca="1" si="238"/>
        <v/>
      </c>
      <c r="I3777" s="391" t="str">
        <f t="shared" ca="1" si="239"/>
        <v/>
      </c>
    </row>
    <row r="3778" spans="1:9">
      <c r="A3778" s="387" t="b">
        <f t="shared" ca="1" si="237"/>
        <v>0</v>
      </c>
      <c r="B3778" s="396" t="str">
        <f ca="1">IF(COUNTA(G$3060:G3777)=1,"",OFFSET(B3778,-COUNTA(G$3060:G3777)+1,0))</f>
        <v>a1bDm000000YZFpIAO</v>
      </c>
      <c r="C3778" s="392">
        <f ca="1">IF(COUNTA(G$3060:G3777)=1,"",OFFSET(C3778,-COUNTA(G$3060:G3777)+1,0))</f>
        <v>40</v>
      </c>
      <c r="D3778" s="387">
        <f t="shared" si="240"/>
        <v>236</v>
      </c>
      <c r="E3778" s="387">
        <f t="shared" ca="1" si="241"/>
        <v>2</v>
      </c>
      <c r="F3778" s="387">
        <f t="shared" ca="1" si="242"/>
        <v>48</v>
      </c>
      <c r="G3778" s="387"/>
      <c r="H3778" s="391" t="str">
        <f t="shared" ca="1" si="238"/>
        <v/>
      </c>
      <c r="I3778" s="391" t="str">
        <f t="shared" ca="1" si="239"/>
        <v/>
      </c>
    </row>
    <row r="3779" spans="1:9">
      <c r="A3779" s="387" t="b">
        <f t="shared" ca="1" si="237"/>
        <v>0</v>
      </c>
      <c r="B3779" s="396" t="str">
        <f ca="1">IF(COUNTA(G$3060:G3778)=1,"",OFFSET(B3779,-COUNTA(G$3060:G3778)+1,0))</f>
        <v>a1bDm000000YZH7IAO</v>
      </c>
      <c r="C3779" s="392">
        <f ca="1">IF(COUNTA(G$3060:G3778)=1,"",OFFSET(C3779,-COUNTA(G$3060:G3778)+1,0))</f>
        <v>40</v>
      </c>
      <c r="D3779" s="387">
        <f t="shared" si="240"/>
        <v>237</v>
      </c>
      <c r="E3779" s="387">
        <f t="shared" ca="1" si="241"/>
        <v>3</v>
      </c>
      <c r="F3779" s="387">
        <f t="shared" ca="1" si="242"/>
        <v>48</v>
      </c>
      <c r="G3779" s="387"/>
      <c r="H3779" s="391" t="str">
        <f t="shared" ca="1" si="238"/>
        <v/>
      </c>
      <c r="I3779" s="391" t="str">
        <f t="shared" ca="1" si="239"/>
        <v/>
      </c>
    </row>
    <row r="3780" spans="1:9">
      <c r="A3780" s="387" t="b">
        <f t="shared" ca="1" si="237"/>
        <v>0</v>
      </c>
      <c r="B3780" s="396" t="str">
        <f ca="1">IF(COUNTA(G$3060:G3779)=1,"",OFFSET(B3780,-COUNTA(G$3060:G3779)+1,0))</f>
        <v>a1bDm000000YZIPIA4</v>
      </c>
      <c r="C3780" s="392">
        <f ca="1">IF(COUNTA(G$3060:G3779)=1,"",OFFSET(C3780,-COUNTA(G$3060:G3779)+1,0))</f>
        <v>40</v>
      </c>
      <c r="D3780" s="387">
        <f t="shared" si="240"/>
        <v>238</v>
      </c>
      <c r="E3780" s="387">
        <f t="shared" ca="1" si="241"/>
        <v>4</v>
      </c>
      <c r="F3780" s="387">
        <f t="shared" ca="1" si="242"/>
        <v>48</v>
      </c>
      <c r="G3780" s="387"/>
      <c r="H3780" s="391" t="str">
        <f t="shared" ca="1" si="238"/>
        <v/>
      </c>
      <c r="I3780" s="391" t="str">
        <f t="shared" ca="1" si="239"/>
        <v/>
      </c>
    </row>
    <row r="3781" spans="1:9">
      <c r="A3781" s="387" t="b">
        <f t="shared" ca="1" si="237"/>
        <v>0</v>
      </c>
      <c r="B3781" s="396" t="str">
        <f ca="1">IF(COUNTA(G$3060:G3780)=1,"",OFFSET(B3781,-COUNTA(G$3060:G3780)+1,0))</f>
        <v>a1bDm000000YZJhIAO</v>
      </c>
      <c r="C3781" s="392">
        <f ca="1">IF(COUNTA(G$3060:G3780)=1,"",OFFSET(C3781,-COUNTA(G$3060:G3780)+1,0))</f>
        <v>40</v>
      </c>
      <c r="D3781" s="387">
        <f t="shared" si="240"/>
        <v>239</v>
      </c>
      <c r="E3781" s="387">
        <f t="shared" ca="1" si="241"/>
        <v>5</v>
      </c>
      <c r="F3781" s="387">
        <f t="shared" ca="1" si="242"/>
        <v>48</v>
      </c>
      <c r="G3781" s="387"/>
      <c r="H3781" s="391" t="str">
        <f t="shared" ca="1" si="238"/>
        <v/>
      </c>
      <c r="I3781" s="391" t="str">
        <f t="shared" ca="1" si="239"/>
        <v/>
      </c>
    </row>
    <row r="3782" spans="1:9">
      <c r="A3782" s="387" t="b">
        <f t="shared" ca="1" si="237"/>
        <v>0</v>
      </c>
      <c r="B3782" s="396" t="str">
        <f ca="1">IF(COUNTA(G$3060:G3781)=1,"",OFFSET(B3782,-COUNTA(G$3060:G3781)+1,0))</f>
        <v>a1bDm000000YZKzIAO</v>
      </c>
      <c r="C3782" s="392">
        <f ca="1">IF(COUNTA(G$3060:G3781)=1,"",OFFSET(C3782,-COUNTA(G$3060:G3781)+1,0))</f>
        <v>40</v>
      </c>
      <c r="D3782" s="387">
        <f t="shared" si="240"/>
        <v>240</v>
      </c>
      <c r="E3782" s="387">
        <f t="shared" ca="1" si="241"/>
        <v>6</v>
      </c>
      <c r="F3782" s="387">
        <f t="shared" ca="1" si="242"/>
        <v>48</v>
      </c>
      <c r="G3782" s="387"/>
      <c r="H3782" s="391" t="str">
        <f t="shared" ca="1" si="238"/>
        <v/>
      </c>
      <c r="I3782" s="391" t="str">
        <f t="shared" ca="1" si="239"/>
        <v/>
      </c>
    </row>
    <row r="3783" spans="1:9">
      <c r="A3783" s="387" t="b">
        <f t="shared" ca="1" si="237"/>
        <v>0</v>
      </c>
      <c r="B3783" s="396" t="str">
        <f ca="1">IF(COUNTA(G$3060:G3782)=1,"",OFFSET(B3783,-COUNTA(G$3060:G3782)+1,0))</f>
        <v>a1bDm000000YZEYIA4</v>
      </c>
      <c r="C3783" s="392">
        <f ca="1">IF(COUNTA(G$3060:G3782)=1,"",OFFSET(C3783,-COUNTA(G$3060:G3782)+1,0))</f>
        <v>41</v>
      </c>
      <c r="D3783" s="387">
        <f t="shared" si="240"/>
        <v>241</v>
      </c>
      <c r="E3783" s="387">
        <f t="shared" ca="1" si="241"/>
        <v>1</v>
      </c>
      <c r="F3783" s="387">
        <f t="shared" ca="1" si="242"/>
        <v>49</v>
      </c>
      <c r="G3783" s="387"/>
      <c r="H3783" s="391" t="str">
        <f t="shared" ca="1" si="238"/>
        <v/>
      </c>
      <c r="I3783" s="391" t="str">
        <f t="shared" ca="1" si="239"/>
        <v/>
      </c>
    </row>
    <row r="3784" spans="1:9">
      <c r="A3784" s="387" t="b">
        <f t="shared" ca="1" si="237"/>
        <v>0</v>
      </c>
      <c r="B3784" s="396" t="str">
        <f ca="1">IF(COUNTA(G$3060:G3783)=1,"",OFFSET(B3784,-COUNTA(G$3060:G3783)+1,0))</f>
        <v>a1bDm000000YZFqIAO</v>
      </c>
      <c r="C3784" s="392">
        <f ca="1">IF(COUNTA(G$3060:G3783)=1,"",OFFSET(C3784,-COUNTA(G$3060:G3783)+1,0))</f>
        <v>41</v>
      </c>
      <c r="D3784" s="387">
        <f t="shared" si="240"/>
        <v>242</v>
      </c>
      <c r="E3784" s="387">
        <f t="shared" ca="1" si="241"/>
        <v>2</v>
      </c>
      <c r="F3784" s="387">
        <f t="shared" ca="1" si="242"/>
        <v>49</v>
      </c>
      <c r="G3784" s="387"/>
      <c r="H3784" s="391" t="str">
        <f t="shared" ca="1" si="238"/>
        <v/>
      </c>
      <c r="I3784" s="391" t="str">
        <f t="shared" ca="1" si="239"/>
        <v/>
      </c>
    </row>
    <row r="3785" spans="1:9">
      <c r="A3785" s="387" t="b">
        <f t="shared" ca="1" si="237"/>
        <v>0</v>
      </c>
      <c r="B3785" s="396" t="str">
        <f ca="1">IF(COUNTA(G$3060:G3784)=1,"",OFFSET(B3785,-COUNTA(G$3060:G3784)+1,0))</f>
        <v>a1bDm000000YZH8IAO</v>
      </c>
      <c r="C3785" s="392">
        <f ca="1">IF(COUNTA(G$3060:G3784)=1,"",OFFSET(C3785,-COUNTA(G$3060:G3784)+1,0))</f>
        <v>41</v>
      </c>
      <c r="D3785" s="387">
        <f t="shared" si="240"/>
        <v>243</v>
      </c>
      <c r="E3785" s="387">
        <f t="shared" ca="1" si="241"/>
        <v>3</v>
      </c>
      <c r="F3785" s="387">
        <f t="shared" ca="1" si="242"/>
        <v>49</v>
      </c>
      <c r="G3785" s="387"/>
      <c r="H3785" s="391" t="str">
        <f t="shared" ca="1" si="238"/>
        <v/>
      </c>
      <c r="I3785" s="391" t="str">
        <f t="shared" ca="1" si="239"/>
        <v/>
      </c>
    </row>
    <row r="3786" spans="1:9">
      <c r="A3786" s="387" t="b">
        <f t="shared" ca="1" si="237"/>
        <v>0</v>
      </c>
      <c r="B3786" s="396" t="str">
        <f ca="1">IF(COUNTA(G$3060:G3785)=1,"",OFFSET(B3786,-COUNTA(G$3060:G3785)+1,0))</f>
        <v>a1bDm000000YZIQIA4</v>
      </c>
      <c r="C3786" s="392">
        <f ca="1">IF(COUNTA(G$3060:G3785)=1,"",OFFSET(C3786,-COUNTA(G$3060:G3785)+1,0))</f>
        <v>41</v>
      </c>
      <c r="D3786" s="387">
        <f t="shared" si="240"/>
        <v>244</v>
      </c>
      <c r="E3786" s="387">
        <f t="shared" ca="1" si="241"/>
        <v>4</v>
      </c>
      <c r="F3786" s="387">
        <f t="shared" ca="1" si="242"/>
        <v>49</v>
      </c>
      <c r="G3786" s="387"/>
      <c r="H3786" s="391" t="str">
        <f t="shared" ca="1" si="238"/>
        <v/>
      </c>
      <c r="I3786" s="391" t="str">
        <f t="shared" ca="1" si="239"/>
        <v/>
      </c>
    </row>
    <row r="3787" spans="1:9">
      <c r="A3787" s="387" t="b">
        <f t="shared" ca="1" si="237"/>
        <v>0</v>
      </c>
      <c r="B3787" s="396" t="str">
        <f ca="1">IF(COUNTA(G$3060:G3786)=1,"",OFFSET(B3787,-COUNTA(G$3060:G3786)+1,0))</f>
        <v>a1bDm000000YZJiIAO</v>
      </c>
      <c r="C3787" s="392">
        <f ca="1">IF(COUNTA(G$3060:G3786)=1,"",OFFSET(C3787,-COUNTA(G$3060:G3786)+1,0))</f>
        <v>41</v>
      </c>
      <c r="D3787" s="387">
        <f t="shared" si="240"/>
        <v>245</v>
      </c>
      <c r="E3787" s="387">
        <f t="shared" ca="1" si="241"/>
        <v>5</v>
      </c>
      <c r="F3787" s="387">
        <f t="shared" ca="1" si="242"/>
        <v>49</v>
      </c>
      <c r="G3787" s="387"/>
      <c r="H3787" s="391" t="str">
        <f t="shared" ca="1" si="238"/>
        <v/>
      </c>
      <c r="I3787" s="391" t="str">
        <f t="shared" ca="1" si="239"/>
        <v/>
      </c>
    </row>
    <row r="3788" spans="1:9">
      <c r="A3788" s="387" t="b">
        <f t="shared" ca="1" si="237"/>
        <v>0</v>
      </c>
      <c r="B3788" s="396" t="str">
        <f ca="1">IF(COUNTA(G$3060:G3787)=1,"",OFFSET(B3788,-COUNTA(G$3060:G3787)+1,0))</f>
        <v>a1bDm000000YZL0IAO</v>
      </c>
      <c r="C3788" s="392">
        <f ca="1">IF(COUNTA(G$3060:G3787)=1,"",OFFSET(C3788,-COUNTA(G$3060:G3787)+1,0))</f>
        <v>41</v>
      </c>
      <c r="D3788" s="387">
        <f t="shared" si="240"/>
        <v>246</v>
      </c>
      <c r="E3788" s="387">
        <f t="shared" ca="1" si="241"/>
        <v>6</v>
      </c>
      <c r="F3788" s="387">
        <f t="shared" ca="1" si="242"/>
        <v>49</v>
      </c>
      <c r="G3788" s="387"/>
      <c r="H3788" s="391" t="str">
        <f t="shared" ca="1" si="238"/>
        <v/>
      </c>
      <c r="I3788" s="391" t="str">
        <f t="shared" ca="1" si="239"/>
        <v/>
      </c>
    </row>
    <row r="3789" spans="1:9">
      <c r="A3789" s="387" t="b">
        <f t="shared" ca="1" si="237"/>
        <v>0</v>
      </c>
      <c r="B3789" s="396" t="str">
        <f ca="1">IF(COUNTA(G$3060:G3788)=1,"",OFFSET(B3789,-COUNTA(G$3060:G3788)+1,0))</f>
        <v>a1bDm000000YZEZIA4</v>
      </c>
      <c r="C3789" s="392">
        <f ca="1">IF(COUNTA(G$3060:G3788)=1,"",OFFSET(C3789,-COUNTA(G$3060:G3788)+1,0))</f>
        <v>42</v>
      </c>
      <c r="D3789" s="387">
        <f t="shared" si="240"/>
        <v>247</v>
      </c>
      <c r="E3789" s="387">
        <f t="shared" ca="1" si="241"/>
        <v>1</v>
      </c>
      <c r="F3789" s="387">
        <f t="shared" ca="1" si="242"/>
        <v>50</v>
      </c>
      <c r="G3789" s="387"/>
      <c r="H3789" s="391" t="str">
        <f t="shared" ca="1" si="238"/>
        <v/>
      </c>
      <c r="I3789" s="391" t="str">
        <f t="shared" ca="1" si="239"/>
        <v/>
      </c>
    </row>
    <row r="3790" spans="1:9">
      <c r="A3790" s="387" t="b">
        <f t="shared" ca="1" si="237"/>
        <v>0</v>
      </c>
      <c r="B3790" s="396" t="str">
        <f ca="1">IF(COUNTA(G$3060:G3789)=1,"",OFFSET(B3790,-COUNTA(G$3060:G3789)+1,0))</f>
        <v>a1bDm000000YZFrIAO</v>
      </c>
      <c r="C3790" s="392">
        <f ca="1">IF(COUNTA(G$3060:G3789)=1,"",OFFSET(C3790,-COUNTA(G$3060:G3789)+1,0))</f>
        <v>42</v>
      </c>
      <c r="D3790" s="387">
        <f t="shared" si="240"/>
        <v>248</v>
      </c>
      <c r="E3790" s="387">
        <f t="shared" ca="1" si="241"/>
        <v>2</v>
      </c>
      <c r="F3790" s="387">
        <f t="shared" ca="1" si="242"/>
        <v>50</v>
      </c>
      <c r="G3790" s="387"/>
      <c r="H3790" s="391" t="str">
        <f t="shared" ca="1" si="238"/>
        <v/>
      </c>
      <c r="I3790" s="391" t="str">
        <f t="shared" ca="1" si="239"/>
        <v/>
      </c>
    </row>
    <row r="3791" spans="1:9">
      <c r="A3791" s="387" t="b">
        <f t="shared" ca="1" si="237"/>
        <v>0</v>
      </c>
      <c r="B3791" s="396" t="str">
        <f ca="1">IF(COUNTA(G$3060:G3790)=1,"",OFFSET(B3791,-COUNTA(G$3060:G3790)+1,0))</f>
        <v>a1bDm000000YZH9IAO</v>
      </c>
      <c r="C3791" s="392">
        <f ca="1">IF(COUNTA(G$3060:G3790)=1,"",OFFSET(C3791,-COUNTA(G$3060:G3790)+1,0))</f>
        <v>42</v>
      </c>
      <c r="D3791" s="387">
        <f t="shared" si="240"/>
        <v>249</v>
      </c>
      <c r="E3791" s="387">
        <f t="shared" ca="1" si="241"/>
        <v>3</v>
      </c>
      <c r="F3791" s="387">
        <f t="shared" ca="1" si="242"/>
        <v>50</v>
      </c>
      <c r="G3791" s="387"/>
      <c r="H3791" s="391" t="str">
        <f t="shared" ca="1" si="238"/>
        <v/>
      </c>
      <c r="I3791" s="391" t="str">
        <f t="shared" ca="1" si="239"/>
        <v/>
      </c>
    </row>
    <row r="3792" spans="1:9">
      <c r="A3792" s="387" t="b">
        <f t="shared" ca="1" si="237"/>
        <v>0</v>
      </c>
      <c r="B3792" s="396" t="str">
        <f ca="1">IF(COUNTA(G$3060:G3791)=1,"",OFFSET(B3792,-COUNTA(G$3060:G3791)+1,0))</f>
        <v>a1bDm000000YZIRIA4</v>
      </c>
      <c r="C3792" s="392">
        <f ca="1">IF(COUNTA(G$3060:G3791)=1,"",OFFSET(C3792,-COUNTA(G$3060:G3791)+1,0))</f>
        <v>42</v>
      </c>
      <c r="D3792" s="387">
        <f t="shared" si="240"/>
        <v>250</v>
      </c>
      <c r="E3792" s="387">
        <f t="shared" ca="1" si="241"/>
        <v>4</v>
      </c>
      <c r="F3792" s="387">
        <f t="shared" ca="1" si="242"/>
        <v>50</v>
      </c>
      <c r="G3792" s="387"/>
      <c r="H3792" s="391" t="str">
        <f t="shared" ca="1" si="238"/>
        <v/>
      </c>
      <c r="I3792" s="391" t="str">
        <f t="shared" ca="1" si="239"/>
        <v/>
      </c>
    </row>
    <row r="3793" spans="1:9">
      <c r="A3793" s="387" t="b">
        <f t="shared" ca="1" si="237"/>
        <v>0</v>
      </c>
      <c r="B3793" s="396" t="str">
        <f ca="1">IF(COUNTA(G$3060:G3792)=1,"",OFFSET(B3793,-COUNTA(G$3060:G3792)+1,0))</f>
        <v>a1bDm000000YZJjIAO</v>
      </c>
      <c r="C3793" s="392">
        <f ca="1">IF(COUNTA(G$3060:G3792)=1,"",OFFSET(C3793,-COUNTA(G$3060:G3792)+1,0))</f>
        <v>42</v>
      </c>
      <c r="D3793" s="387">
        <f t="shared" si="240"/>
        <v>251</v>
      </c>
      <c r="E3793" s="387">
        <f t="shared" ca="1" si="241"/>
        <v>5</v>
      </c>
      <c r="F3793" s="387">
        <f t="shared" ca="1" si="242"/>
        <v>50</v>
      </c>
      <c r="G3793" s="387"/>
      <c r="H3793" s="391" t="str">
        <f t="shared" ca="1" si="238"/>
        <v/>
      </c>
      <c r="I3793" s="391" t="str">
        <f t="shared" ca="1" si="239"/>
        <v/>
      </c>
    </row>
    <row r="3794" spans="1:9">
      <c r="A3794" s="387" t="b">
        <f t="shared" ca="1" si="237"/>
        <v>0</v>
      </c>
      <c r="B3794" s="396" t="str">
        <f ca="1">IF(COUNTA(G$3060:G3793)=1,"",OFFSET(B3794,-COUNTA(G$3060:G3793)+1,0))</f>
        <v>a1bDm000000YZL1IAO</v>
      </c>
      <c r="C3794" s="392">
        <f ca="1">IF(COUNTA(G$3060:G3793)=1,"",OFFSET(C3794,-COUNTA(G$3060:G3793)+1,0))</f>
        <v>42</v>
      </c>
      <c r="D3794" s="387">
        <f t="shared" si="240"/>
        <v>252</v>
      </c>
      <c r="E3794" s="387">
        <f t="shared" ca="1" si="241"/>
        <v>6</v>
      </c>
      <c r="F3794" s="387">
        <f t="shared" ca="1" si="242"/>
        <v>50</v>
      </c>
      <c r="G3794" s="387"/>
      <c r="H3794" s="391" t="str">
        <f t="shared" ca="1" si="238"/>
        <v/>
      </c>
      <c r="I3794" s="391" t="str">
        <f t="shared" ca="1" si="239"/>
        <v/>
      </c>
    </row>
    <row r="3795" spans="1:9">
      <c r="A3795" s="387" t="b">
        <f t="shared" ca="1" si="237"/>
        <v>0</v>
      </c>
      <c r="B3795" s="396" t="str">
        <f ca="1">IF(COUNTA(G$3060:G3794)=1,"",OFFSET(B3795,-COUNTA(G$3060:G3794)+1,0))</f>
        <v>a1bDm000000YZEaIAO</v>
      </c>
      <c r="C3795" s="392">
        <f ca="1">IF(COUNTA(G$3060:G3794)=1,"",OFFSET(C3795,-COUNTA(G$3060:G3794)+1,0))</f>
        <v>43</v>
      </c>
      <c r="D3795" s="387">
        <f t="shared" si="240"/>
        <v>253</v>
      </c>
      <c r="E3795" s="387">
        <f t="shared" ca="1" si="241"/>
        <v>1</v>
      </c>
      <c r="F3795" s="387">
        <f t="shared" ca="1" si="242"/>
        <v>51</v>
      </c>
      <c r="G3795" s="387"/>
      <c r="H3795" s="391" t="str">
        <f t="shared" ca="1" si="238"/>
        <v/>
      </c>
      <c r="I3795" s="391" t="str">
        <f t="shared" ca="1" si="239"/>
        <v/>
      </c>
    </row>
    <row r="3796" spans="1:9">
      <c r="A3796" s="387" t="b">
        <f t="shared" ca="1" si="237"/>
        <v>0</v>
      </c>
      <c r="B3796" s="396" t="str">
        <f ca="1">IF(COUNTA(G$3060:G3795)=1,"",OFFSET(B3796,-COUNTA(G$3060:G3795)+1,0))</f>
        <v>a1bDm000000YZFsIAO</v>
      </c>
      <c r="C3796" s="392">
        <f ca="1">IF(COUNTA(G$3060:G3795)=1,"",OFFSET(C3796,-COUNTA(G$3060:G3795)+1,0))</f>
        <v>43</v>
      </c>
      <c r="D3796" s="387">
        <f t="shared" si="240"/>
        <v>254</v>
      </c>
      <c r="E3796" s="387">
        <f t="shared" ca="1" si="241"/>
        <v>2</v>
      </c>
      <c r="F3796" s="387">
        <f t="shared" ca="1" si="242"/>
        <v>51</v>
      </c>
      <c r="G3796" s="387"/>
      <c r="H3796" s="391" t="str">
        <f t="shared" ca="1" si="238"/>
        <v/>
      </c>
      <c r="I3796" s="391" t="str">
        <f t="shared" ca="1" si="239"/>
        <v/>
      </c>
    </row>
    <row r="3797" spans="1:9">
      <c r="A3797" s="387" t="b">
        <f t="shared" ca="1" si="237"/>
        <v>0</v>
      </c>
      <c r="B3797" s="396" t="str">
        <f ca="1">IF(COUNTA(G$3060:G3796)=1,"",OFFSET(B3797,-COUNTA(G$3060:G3796)+1,0))</f>
        <v>a1bDm000000YZHAIA4</v>
      </c>
      <c r="C3797" s="392">
        <f ca="1">IF(COUNTA(G$3060:G3796)=1,"",OFFSET(C3797,-COUNTA(G$3060:G3796)+1,0))</f>
        <v>43</v>
      </c>
      <c r="D3797" s="387">
        <f t="shared" si="240"/>
        <v>255</v>
      </c>
      <c r="E3797" s="387">
        <f t="shared" ca="1" si="241"/>
        <v>3</v>
      </c>
      <c r="F3797" s="387">
        <f t="shared" ca="1" si="242"/>
        <v>51</v>
      </c>
      <c r="G3797" s="387"/>
      <c r="H3797" s="391" t="str">
        <f t="shared" ca="1" si="238"/>
        <v/>
      </c>
      <c r="I3797" s="391" t="str">
        <f t="shared" ca="1" si="239"/>
        <v/>
      </c>
    </row>
    <row r="3798" spans="1:9">
      <c r="A3798" s="387" t="b">
        <f t="shared" ca="1" si="237"/>
        <v>0</v>
      </c>
      <c r="B3798" s="396" t="str">
        <f ca="1">IF(COUNTA(G$3060:G3797)=1,"",OFFSET(B3798,-COUNTA(G$3060:G3797)+1,0))</f>
        <v>a1bDm000000YZISIA4</v>
      </c>
      <c r="C3798" s="392">
        <f ca="1">IF(COUNTA(G$3060:G3797)=1,"",OFFSET(C3798,-COUNTA(G$3060:G3797)+1,0))</f>
        <v>43</v>
      </c>
      <c r="D3798" s="387">
        <f t="shared" si="240"/>
        <v>256</v>
      </c>
      <c r="E3798" s="387">
        <f t="shared" ca="1" si="241"/>
        <v>4</v>
      </c>
      <c r="F3798" s="387">
        <f t="shared" ca="1" si="242"/>
        <v>51</v>
      </c>
      <c r="G3798" s="387"/>
      <c r="H3798" s="391" t="str">
        <f t="shared" ca="1" si="238"/>
        <v/>
      </c>
      <c r="I3798" s="391" t="str">
        <f t="shared" ca="1" si="239"/>
        <v/>
      </c>
    </row>
    <row r="3799" spans="1:9">
      <c r="A3799" s="387" t="b">
        <f t="shared" ref="A3799:A3862" ca="1" si="243">IF(OR(AND(H3799&lt;&gt;"", H3799&lt;&gt;0), AND(I3799&lt;&gt;"",I3799&lt;&gt;0)),TRUE,FALSE)</f>
        <v>0</v>
      </c>
      <c r="B3799" s="396" t="str">
        <f ca="1">IF(COUNTA(G$3060:G3798)=1,"",OFFSET(B3799,-COUNTA(G$3060:G3798)+1,0))</f>
        <v>a1bDm000000YZJkIAO</v>
      </c>
      <c r="C3799" s="392">
        <f ca="1">IF(COUNTA(G$3060:G3798)=1,"",OFFSET(C3799,-COUNTA(G$3060:G3798)+1,0))</f>
        <v>43</v>
      </c>
      <c r="D3799" s="387">
        <f t="shared" si="240"/>
        <v>257</v>
      </c>
      <c r="E3799" s="387">
        <f t="shared" ca="1" si="241"/>
        <v>5</v>
      </c>
      <c r="F3799" s="387">
        <f t="shared" ca="1" si="242"/>
        <v>51</v>
      </c>
      <c r="G3799" s="387"/>
      <c r="H3799" s="391" t="str">
        <f t="shared" ref="H3799:H3862" ca="1" si="244">CHOOSE(E3799,IFERROR(IF(INDIRECT("'WPTM - Section F'!H"&amp;F3799)=0,"",INDIRECT("'WPTM - Section F'!H"&amp;$F3799)),""),IFERROR(IF(INDIRECT("'WPTM - Section F'!J"&amp;F3799)=0,"",INDIRECT("'WPTM - Section F'!J"&amp;$F3799)),""),IFERROR(IF(INDIRECT("'WPTM - Section F'!L"&amp;F3799)=0,"",INDIRECT("'WPTM - Section F'!L"&amp;$F3799)),""),IFERROR(IF(INDIRECT("'WPTM - Section F'!N"&amp;F3799)=0,"",INDIRECT("'WPTM - Section F'!N"&amp;$F3799)),""),IFERROR(IF(INDIRECT("'WPTM - Section F'!P"&amp;F3799)=0,"",INDIRECT("'WPTM - Section F'!P"&amp;$F3799)),""),IFERROR(IF(INDIRECT("'WPTM - Section F'!R"&amp;F3799)=0,"",INDIRECT("'WPTM - Section F'!R"&amp;$F3799)),""),IFERROR(IF(INDIRECT("'WPTM - Section F'!T"&amp;F3799)=0,"",INDIRECT("'WPTM - Section F'!T"&amp;$F3799)),""),IFERROR(IF(INDIRECT("'WPTM - Section F'!V"&amp;F3799)=0,"",INDIRECT("'WPTM - Section F'!V"&amp;$F3799)),""),)</f>
        <v/>
      </c>
      <c r="I3799" s="391" t="str">
        <f t="shared" ref="I3799:I3862" ca="1" si="245">CHOOSE(E3799,IFERROR(IF(INDIRECT("'WPTM - Section F'!G"&amp;F3799)=0,"",INDIRECT("'WPTM - Section F'!G"&amp;$F3799)),""),IFERROR(IF(INDIRECT("'WPTM - Section F'!I"&amp;F3799)=0,"",INDIRECT("'WPTM - Section F'!I"&amp;$F3799)),""),IFERROR(IF(INDIRECT("'WPTM - Section F'!K"&amp;F3799)=0,"",INDIRECT("'WPTM - Section F'!K"&amp;$F3799)),""),IFERROR(IF(INDIRECT("'WPTM - Section F'!M"&amp;F3799)=0,"",INDIRECT("'WPTM - Section F'!M"&amp;$F3799)),""),IFERROR(IF(INDIRECT("'WPTM - Section F'!O"&amp;F3799)=0,"",INDIRECT("'WPTM - Section F'!O"&amp;$F3799)),""),IFERROR(IF(INDIRECT("'WPTM - Section F'!Q"&amp;F3799)=0,"",INDIRECT("'WPTM - Section F'!Q"&amp;$F3799)),""),IFERROR(IF(INDIRECT("'WPTM - Section F'!S"&amp;F3799)=0,"",INDIRECT("'WPTM - Section F'!S"&amp;$F3799)),""),IFERROR(IF(INDIRECT("'WPTM - Section F'!U"&amp;F3799)=0,"",INDIRECT("'WPTM - Section F'!U"&amp;$F3799)),""),)</f>
        <v/>
      </c>
    </row>
    <row r="3800" spans="1:9">
      <c r="A3800" s="387" t="b">
        <f t="shared" ca="1" si="243"/>
        <v>0</v>
      </c>
      <c r="B3800" s="396" t="str">
        <f ca="1">IF(COUNTA(G$3060:G3799)=1,"",OFFSET(B3800,-COUNTA(G$3060:G3799)+1,0))</f>
        <v>a1bDm000000YZL2IAO</v>
      </c>
      <c r="C3800" s="392">
        <f ca="1">IF(COUNTA(G$3060:G3799)=1,"",OFFSET(C3800,-COUNTA(G$3060:G3799)+1,0))</f>
        <v>43</v>
      </c>
      <c r="D3800" s="387">
        <f t="shared" si="240"/>
        <v>258</v>
      </c>
      <c r="E3800" s="387">
        <f t="shared" ca="1" si="241"/>
        <v>6</v>
      </c>
      <c r="F3800" s="387">
        <f t="shared" ca="1" si="242"/>
        <v>51</v>
      </c>
      <c r="G3800" s="387"/>
      <c r="H3800" s="391" t="str">
        <f t="shared" ca="1" si="244"/>
        <v/>
      </c>
      <c r="I3800" s="391" t="str">
        <f t="shared" ca="1" si="245"/>
        <v/>
      </c>
    </row>
    <row r="3801" spans="1:9">
      <c r="A3801" s="387" t="b">
        <f t="shared" ca="1" si="243"/>
        <v>0</v>
      </c>
      <c r="B3801" s="396" t="str">
        <f ca="1">IF(COUNTA(G$3060:G3800)=1,"",OFFSET(B3801,-COUNTA(G$3060:G3800)+1,0))</f>
        <v>a1bDm000000YZEbIAO</v>
      </c>
      <c r="C3801" s="392">
        <f ca="1">IF(COUNTA(G$3060:G3800)=1,"",OFFSET(C3801,-COUNTA(G$3060:G3800)+1,0))</f>
        <v>44</v>
      </c>
      <c r="D3801" s="387">
        <f t="shared" si="240"/>
        <v>259</v>
      </c>
      <c r="E3801" s="387">
        <f t="shared" ca="1" si="241"/>
        <v>1</v>
      </c>
      <c r="F3801" s="387">
        <f t="shared" ca="1" si="242"/>
        <v>52</v>
      </c>
      <c r="G3801" s="387"/>
      <c r="H3801" s="391" t="str">
        <f t="shared" ca="1" si="244"/>
        <v/>
      </c>
      <c r="I3801" s="391" t="str">
        <f t="shared" ca="1" si="245"/>
        <v/>
      </c>
    </row>
    <row r="3802" spans="1:9">
      <c r="A3802" s="387" t="b">
        <f t="shared" ca="1" si="243"/>
        <v>0</v>
      </c>
      <c r="B3802" s="396" t="str">
        <f ca="1">IF(COUNTA(G$3060:G3801)=1,"",OFFSET(B3802,-COUNTA(G$3060:G3801)+1,0))</f>
        <v>a1bDm000000YZFtIAO</v>
      </c>
      <c r="C3802" s="392">
        <f ca="1">IF(COUNTA(G$3060:G3801)=1,"",OFFSET(C3802,-COUNTA(G$3060:G3801)+1,0))</f>
        <v>44</v>
      </c>
      <c r="D3802" s="387">
        <f t="shared" si="240"/>
        <v>260</v>
      </c>
      <c r="E3802" s="387">
        <f t="shared" ca="1" si="241"/>
        <v>2</v>
      </c>
      <c r="F3802" s="387">
        <f t="shared" ca="1" si="242"/>
        <v>52</v>
      </c>
      <c r="G3802" s="387"/>
      <c r="H3802" s="391" t="str">
        <f t="shared" ca="1" si="244"/>
        <v/>
      </c>
      <c r="I3802" s="391" t="str">
        <f t="shared" ca="1" si="245"/>
        <v/>
      </c>
    </row>
    <row r="3803" spans="1:9">
      <c r="A3803" s="387" t="b">
        <f t="shared" ca="1" si="243"/>
        <v>0</v>
      </c>
      <c r="B3803" s="396" t="str">
        <f ca="1">IF(COUNTA(G$3060:G3802)=1,"",OFFSET(B3803,-COUNTA(G$3060:G3802)+1,0))</f>
        <v>a1bDm000000YZHBIA4</v>
      </c>
      <c r="C3803" s="392">
        <f ca="1">IF(COUNTA(G$3060:G3802)=1,"",OFFSET(C3803,-COUNTA(G$3060:G3802)+1,0))</f>
        <v>44</v>
      </c>
      <c r="D3803" s="387">
        <f t="shared" si="240"/>
        <v>261</v>
      </c>
      <c r="E3803" s="387">
        <f t="shared" ca="1" si="241"/>
        <v>3</v>
      </c>
      <c r="F3803" s="387">
        <f t="shared" ca="1" si="242"/>
        <v>52</v>
      </c>
      <c r="G3803" s="387"/>
      <c r="H3803" s="391" t="str">
        <f t="shared" ca="1" si="244"/>
        <v/>
      </c>
      <c r="I3803" s="391" t="str">
        <f t="shared" ca="1" si="245"/>
        <v/>
      </c>
    </row>
    <row r="3804" spans="1:9">
      <c r="A3804" s="387" t="b">
        <f t="shared" ca="1" si="243"/>
        <v>0</v>
      </c>
      <c r="B3804" s="396" t="str">
        <f ca="1">IF(COUNTA(G$3060:G3803)=1,"",OFFSET(B3804,-COUNTA(G$3060:G3803)+1,0))</f>
        <v>a1bDm000000YZITIA4</v>
      </c>
      <c r="C3804" s="392">
        <f ca="1">IF(COUNTA(G$3060:G3803)=1,"",OFFSET(C3804,-COUNTA(G$3060:G3803)+1,0))</f>
        <v>44</v>
      </c>
      <c r="D3804" s="387">
        <f t="shared" si="240"/>
        <v>262</v>
      </c>
      <c r="E3804" s="387">
        <f t="shared" ca="1" si="241"/>
        <v>4</v>
      </c>
      <c r="F3804" s="387">
        <f t="shared" ca="1" si="242"/>
        <v>52</v>
      </c>
      <c r="G3804" s="387"/>
      <c r="H3804" s="391" t="str">
        <f t="shared" ca="1" si="244"/>
        <v/>
      </c>
      <c r="I3804" s="391" t="str">
        <f t="shared" ca="1" si="245"/>
        <v/>
      </c>
    </row>
    <row r="3805" spans="1:9">
      <c r="A3805" s="387" t="b">
        <f t="shared" ca="1" si="243"/>
        <v>0</v>
      </c>
      <c r="B3805" s="396" t="str">
        <f ca="1">IF(COUNTA(G$3060:G3804)=1,"",OFFSET(B3805,-COUNTA(G$3060:G3804)+1,0))</f>
        <v>a1bDm000000YZJlIAO</v>
      </c>
      <c r="C3805" s="392">
        <f ca="1">IF(COUNTA(G$3060:G3804)=1,"",OFFSET(C3805,-COUNTA(G$3060:G3804)+1,0))</f>
        <v>44</v>
      </c>
      <c r="D3805" s="387">
        <f t="shared" si="240"/>
        <v>263</v>
      </c>
      <c r="E3805" s="387">
        <f t="shared" ca="1" si="241"/>
        <v>5</v>
      </c>
      <c r="F3805" s="387">
        <f t="shared" ca="1" si="242"/>
        <v>52</v>
      </c>
      <c r="G3805" s="387"/>
      <c r="H3805" s="391" t="str">
        <f t="shared" ca="1" si="244"/>
        <v/>
      </c>
      <c r="I3805" s="391" t="str">
        <f t="shared" ca="1" si="245"/>
        <v/>
      </c>
    </row>
    <row r="3806" spans="1:9">
      <c r="A3806" s="387" t="b">
        <f t="shared" ca="1" si="243"/>
        <v>0</v>
      </c>
      <c r="B3806" s="396" t="str">
        <f ca="1">IF(COUNTA(G$3060:G3805)=1,"",OFFSET(B3806,-COUNTA(G$3060:G3805)+1,0))</f>
        <v>a1bDm000000YZL3IAO</v>
      </c>
      <c r="C3806" s="392">
        <f ca="1">IF(COUNTA(G$3060:G3805)=1,"",OFFSET(C3806,-COUNTA(G$3060:G3805)+1,0))</f>
        <v>44</v>
      </c>
      <c r="D3806" s="387">
        <f t="shared" si="240"/>
        <v>264</v>
      </c>
      <c r="E3806" s="387">
        <f t="shared" ca="1" si="241"/>
        <v>6</v>
      </c>
      <c r="F3806" s="387">
        <f t="shared" ca="1" si="242"/>
        <v>52</v>
      </c>
      <c r="G3806" s="387"/>
      <c r="H3806" s="391" t="str">
        <f t="shared" ca="1" si="244"/>
        <v/>
      </c>
      <c r="I3806" s="391" t="str">
        <f t="shared" ca="1" si="245"/>
        <v/>
      </c>
    </row>
    <row r="3807" spans="1:9">
      <c r="A3807" s="387" t="b">
        <f t="shared" ca="1" si="243"/>
        <v>0</v>
      </c>
      <c r="B3807" s="396" t="str">
        <f ca="1">IF(COUNTA(G$3060:G3806)=1,"",OFFSET(B3807,-COUNTA(G$3060:G3806)+1,0))</f>
        <v>a1bDm000000YZEcIAO</v>
      </c>
      <c r="C3807" s="392">
        <f ca="1">IF(COUNTA(G$3060:G3806)=1,"",OFFSET(C3807,-COUNTA(G$3060:G3806)+1,0))</f>
        <v>45</v>
      </c>
      <c r="D3807" s="387">
        <f t="shared" si="240"/>
        <v>265</v>
      </c>
      <c r="E3807" s="387">
        <f t="shared" ca="1" si="241"/>
        <v>1</v>
      </c>
      <c r="F3807" s="387">
        <f t="shared" ca="1" si="242"/>
        <v>53</v>
      </c>
      <c r="G3807" s="387"/>
      <c r="H3807" s="391" t="str">
        <f t="shared" ca="1" si="244"/>
        <v/>
      </c>
      <c r="I3807" s="391" t="str">
        <f t="shared" ca="1" si="245"/>
        <v/>
      </c>
    </row>
    <row r="3808" spans="1:9">
      <c r="A3808" s="387" t="b">
        <f t="shared" ca="1" si="243"/>
        <v>0</v>
      </c>
      <c r="B3808" s="396" t="str">
        <f ca="1">IF(COUNTA(G$3060:G3807)=1,"",OFFSET(B3808,-COUNTA(G$3060:G3807)+1,0))</f>
        <v>a1bDm000000YZFuIAO</v>
      </c>
      <c r="C3808" s="392">
        <f ca="1">IF(COUNTA(G$3060:G3807)=1,"",OFFSET(C3808,-COUNTA(G$3060:G3807)+1,0))</f>
        <v>45</v>
      </c>
      <c r="D3808" s="387">
        <f t="shared" si="240"/>
        <v>266</v>
      </c>
      <c r="E3808" s="387">
        <f t="shared" ca="1" si="241"/>
        <v>2</v>
      </c>
      <c r="F3808" s="387">
        <f t="shared" ca="1" si="242"/>
        <v>53</v>
      </c>
      <c r="G3808" s="387"/>
      <c r="H3808" s="391" t="str">
        <f t="shared" ca="1" si="244"/>
        <v/>
      </c>
      <c r="I3808" s="391" t="str">
        <f t="shared" ca="1" si="245"/>
        <v/>
      </c>
    </row>
    <row r="3809" spans="1:9">
      <c r="A3809" s="387" t="b">
        <f t="shared" ca="1" si="243"/>
        <v>0</v>
      </c>
      <c r="B3809" s="396" t="str">
        <f ca="1">IF(COUNTA(G$3060:G3808)=1,"",OFFSET(B3809,-COUNTA(G$3060:G3808)+1,0))</f>
        <v>a1bDm000000YZHCIA4</v>
      </c>
      <c r="C3809" s="392">
        <f ca="1">IF(COUNTA(G$3060:G3808)=1,"",OFFSET(C3809,-COUNTA(G$3060:G3808)+1,0))</f>
        <v>45</v>
      </c>
      <c r="D3809" s="387">
        <f t="shared" si="240"/>
        <v>267</v>
      </c>
      <c r="E3809" s="387">
        <f t="shared" ca="1" si="241"/>
        <v>3</v>
      </c>
      <c r="F3809" s="387">
        <f t="shared" ca="1" si="242"/>
        <v>53</v>
      </c>
      <c r="G3809" s="387"/>
      <c r="H3809" s="391" t="str">
        <f t="shared" ca="1" si="244"/>
        <v/>
      </c>
      <c r="I3809" s="391" t="str">
        <f t="shared" ca="1" si="245"/>
        <v/>
      </c>
    </row>
    <row r="3810" spans="1:9">
      <c r="A3810" s="387" t="b">
        <f t="shared" ca="1" si="243"/>
        <v>0</v>
      </c>
      <c r="B3810" s="396" t="str">
        <f ca="1">IF(COUNTA(G$3060:G3809)=1,"",OFFSET(B3810,-COUNTA(G$3060:G3809)+1,0))</f>
        <v>a1bDm000000YZIUIA4</v>
      </c>
      <c r="C3810" s="392">
        <f ca="1">IF(COUNTA(G$3060:G3809)=1,"",OFFSET(C3810,-COUNTA(G$3060:G3809)+1,0))</f>
        <v>45</v>
      </c>
      <c r="D3810" s="387">
        <f t="shared" si="240"/>
        <v>268</v>
      </c>
      <c r="E3810" s="387">
        <f t="shared" ca="1" si="241"/>
        <v>4</v>
      </c>
      <c r="F3810" s="387">
        <f t="shared" ca="1" si="242"/>
        <v>53</v>
      </c>
      <c r="G3810" s="387"/>
      <c r="H3810" s="391" t="str">
        <f t="shared" ca="1" si="244"/>
        <v/>
      </c>
      <c r="I3810" s="391" t="str">
        <f t="shared" ca="1" si="245"/>
        <v/>
      </c>
    </row>
    <row r="3811" spans="1:9">
      <c r="A3811" s="387" t="b">
        <f t="shared" ca="1" si="243"/>
        <v>0</v>
      </c>
      <c r="B3811" s="396" t="str">
        <f ca="1">IF(COUNTA(G$3060:G3810)=1,"",OFFSET(B3811,-COUNTA(G$3060:G3810)+1,0))</f>
        <v>a1bDm000000YZJmIAO</v>
      </c>
      <c r="C3811" s="392">
        <f ca="1">IF(COUNTA(G$3060:G3810)=1,"",OFFSET(C3811,-COUNTA(G$3060:G3810)+1,0))</f>
        <v>45</v>
      </c>
      <c r="D3811" s="387">
        <f t="shared" si="240"/>
        <v>269</v>
      </c>
      <c r="E3811" s="387">
        <f t="shared" ca="1" si="241"/>
        <v>5</v>
      </c>
      <c r="F3811" s="387">
        <f t="shared" ca="1" si="242"/>
        <v>53</v>
      </c>
      <c r="G3811" s="387"/>
      <c r="H3811" s="391" t="str">
        <f t="shared" ca="1" si="244"/>
        <v/>
      </c>
      <c r="I3811" s="391" t="str">
        <f t="shared" ca="1" si="245"/>
        <v/>
      </c>
    </row>
    <row r="3812" spans="1:9">
      <c r="A3812" s="387" t="b">
        <f t="shared" ca="1" si="243"/>
        <v>0</v>
      </c>
      <c r="B3812" s="396" t="str">
        <f ca="1">IF(COUNTA(G$3060:G3811)=1,"",OFFSET(B3812,-COUNTA(G$3060:G3811)+1,0))</f>
        <v>a1bDm000000YZL4IAO</v>
      </c>
      <c r="C3812" s="392">
        <f ca="1">IF(COUNTA(G$3060:G3811)=1,"",OFFSET(C3812,-COUNTA(G$3060:G3811)+1,0))</f>
        <v>45</v>
      </c>
      <c r="D3812" s="387">
        <f t="shared" si="240"/>
        <v>270</v>
      </c>
      <c r="E3812" s="387">
        <f t="shared" ca="1" si="241"/>
        <v>6</v>
      </c>
      <c r="F3812" s="387">
        <f t="shared" ca="1" si="242"/>
        <v>53</v>
      </c>
      <c r="G3812" s="387"/>
      <c r="H3812" s="391" t="str">
        <f t="shared" ca="1" si="244"/>
        <v/>
      </c>
      <c r="I3812" s="391" t="str">
        <f t="shared" ca="1" si="245"/>
        <v/>
      </c>
    </row>
    <row r="3813" spans="1:9">
      <c r="A3813" s="387" t="b">
        <f t="shared" ca="1" si="243"/>
        <v>0</v>
      </c>
      <c r="B3813" s="396" t="str">
        <f ca="1">IF(COUNTA(G$3060:G3812)=1,"",OFFSET(B3813,-COUNTA(G$3060:G3812)+1,0))</f>
        <v>a1bDm000000YZEdIAO</v>
      </c>
      <c r="C3813" s="392">
        <f ca="1">IF(COUNTA(G$3060:G3812)=1,"",OFFSET(C3813,-COUNTA(G$3060:G3812)+1,0))</f>
        <v>46</v>
      </c>
      <c r="D3813" s="387">
        <f t="shared" si="240"/>
        <v>271</v>
      </c>
      <c r="E3813" s="387">
        <f t="shared" ca="1" si="241"/>
        <v>1</v>
      </c>
      <c r="F3813" s="387">
        <f t="shared" ca="1" si="242"/>
        <v>54</v>
      </c>
      <c r="G3813" s="387"/>
      <c r="H3813" s="391" t="str">
        <f t="shared" ca="1" si="244"/>
        <v/>
      </c>
      <c r="I3813" s="391" t="str">
        <f t="shared" ca="1" si="245"/>
        <v/>
      </c>
    </row>
    <row r="3814" spans="1:9">
      <c r="A3814" s="387" t="b">
        <f t="shared" ca="1" si="243"/>
        <v>0</v>
      </c>
      <c r="B3814" s="396" t="str">
        <f ca="1">IF(COUNTA(G$3060:G3813)=1,"",OFFSET(B3814,-COUNTA(G$3060:G3813)+1,0))</f>
        <v>a1bDm000000YZFvIAO</v>
      </c>
      <c r="C3814" s="392">
        <f ca="1">IF(COUNTA(G$3060:G3813)=1,"",OFFSET(C3814,-COUNTA(G$3060:G3813)+1,0))</f>
        <v>46</v>
      </c>
      <c r="D3814" s="387">
        <f t="shared" si="240"/>
        <v>272</v>
      </c>
      <c r="E3814" s="387">
        <f t="shared" ca="1" si="241"/>
        <v>2</v>
      </c>
      <c r="F3814" s="387">
        <f t="shared" ca="1" si="242"/>
        <v>54</v>
      </c>
      <c r="G3814" s="387"/>
      <c r="H3814" s="391" t="str">
        <f t="shared" ca="1" si="244"/>
        <v/>
      </c>
      <c r="I3814" s="391" t="str">
        <f t="shared" ca="1" si="245"/>
        <v/>
      </c>
    </row>
    <row r="3815" spans="1:9">
      <c r="A3815" s="387" t="b">
        <f t="shared" ca="1" si="243"/>
        <v>0</v>
      </c>
      <c r="B3815" s="396" t="str">
        <f ca="1">IF(COUNTA(G$3060:G3814)=1,"",OFFSET(B3815,-COUNTA(G$3060:G3814)+1,0))</f>
        <v>a1bDm000000YZHDIA4</v>
      </c>
      <c r="C3815" s="392">
        <f ca="1">IF(COUNTA(G$3060:G3814)=1,"",OFFSET(C3815,-COUNTA(G$3060:G3814)+1,0))</f>
        <v>46</v>
      </c>
      <c r="D3815" s="387">
        <f t="shared" si="240"/>
        <v>273</v>
      </c>
      <c r="E3815" s="387">
        <f t="shared" ca="1" si="241"/>
        <v>3</v>
      </c>
      <c r="F3815" s="387">
        <f t="shared" ca="1" si="242"/>
        <v>54</v>
      </c>
      <c r="G3815" s="387"/>
      <c r="H3815" s="391" t="str">
        <f t="shared" ca="1" si="244"/>
        <v/>
      </c>
      <c r="I3815" s="391" t="str">
        <f t="shared" ca="1" si="245"/>
        <v/>
      </c>
    </row>
    <row r="3816" spans="1:9">
      <c r="A3816" s="387" t="b">
        <f t="shared" ca="1" si="243"/>
        <v>0</v>
      </c>
      <c r="B3816" s="396" t="str">
        <f ca="1">IF(COUNTA(G$3060:G3815)=1,"",OFFSET(B3816,-COUNTA(G$3060:G3815)+1,0))</f>
        <v>a1bDm000000YZIVIA4</v>
      </c>
      <c r="C3816" s="392">
        <f ca="1">IF(COUNTA(G$3060:G3815)=1,"",OFFSET(C3816,-COUNTA(G$3060:G3815)+1,0))</f>
        <v>46</v>
      </c>
      <c r="D3816" s="387">
        <f t="shared" si="240"/>
        <v>274</v>
      </c>
      <c r="E3816" s="387">
        <f t="shared" ca="1" si="241"/>
        <v>4</v>
      </c>
      <c r="F3816" s="387">
        <f t="shared" ca="1" si="242"/>
        <v>54</v>
      </c>
      <c r="G3816" s="387"/>
      <c r="H3816" s="391" t="str">
        <f t="shared" ca="1" si="244"/>
        <v/>
      </c>
      <c r="I3816" s="391" t="str">
        <f t="shared" ca="1" si="245"/>
        <v/>
      </c>
    </row>
    <row r="3817" spans="1:9">
      <c r="A3817" s="387" t="b">
        <f t="shared" ca="1" si="243"/>
        <v>0</v>
      </c>
      <c r="B3817" s="396" t="str">
        <f ca="1">IF(COUNTA(G$3060:G3816)=1,"",OFFSET(B3817,-COUNTA(G$3060:G3816)+1,0))</f>
        <v>a1bDm000000YZJnIAO</v>
      </c>
      <c r="C3817" s="392">
        <f ca="1">IF(COUNTA(G$3060:G3816)=1,"",OFFSET(C3817,-COUNTA(G$3060:G3816)+1,0))</f>
        <v>46</v>
      </c>
      <c r="D3817" s="387">
        <f t="shared" si="240"/>
        <v>275</v>
      </c>
      <c r="E3817" s="387">
        <f t="shared" ca="1" si="241"/>
        <v>5</v>
      </c>
      <c r="F3817" s="387">
        <f t="shared" ca="1" si="242"/>
        <v>54</v>
      </c>
      <c r="G3817" s="387"/>
      <c r="H3817" s="391" t="str">
        <f t="shared" ca="1" si="244"/>
        <v/>
      </c>
      <c r="I3817" s="391" t="str">
        <f t="shared" ca="1" si="245"/>
        <v/>
      </c>
    </row>
    <row r="3818" spans="1:9">
      <c r="A3818" s="387" t="b">
        <f t="shared" ca="1" si="243"/>
        <v>0</v>
      </c>
      <c r="B3818" s="396" t="str">
        <f ca="1">IF(COUNTA(G$3060:G3817)=1,"",OFFSET(B3818,-COUNTA(G$3060:G3817)+1,0))</f>
        <v>a1bDm000000YZL5IAO</v>
      </c>
      <c r="C3818" s="392">
        <f ca="1">IF(COUNTA(G$3060:G3817)=1,"",OFFSET(C3818,-COUNTA(G$3060:G3817)+1,0))</f>
        <v>46</v>
      </c>
      <c r="D3818" s="387">
        <f t="shared" si="240"/>
        <v>276</v>
      </c>
      <c r="E3818" s="387">
        <f t="shared" ca="1" si="241"/>
        <v>6</v>
      </c>
      <c r="F3818" s="387">
        <f t="shared" ca="1" si="242"/>
        <v>54</v>
      </c>
      <c r="G3818" s="387"/>
      <c r="H3818" s="391" t="str">
        <f t="shared" ca="1" si="244"/>
        <v/>
      </c>
      <c r="I3818" s="391" t="str">
        <f t="shared" ca="1" si="245"/>
        <v/>
      </c>
    </row>
    <row r="3819" spans="1:9">
      <c r="A3819" s="387" t="b">
        <f t="shared" ca="1" si="243"/>
        <v>0</v>
      </c>
      <c r="B3819" s="396" t="str">
        <f ca="1">IF(COUNTA(G$3060:G3818)=1,"",OFFSET(B3819,-COUNTA(G$3060:G3818)+1,0))</f>
        <v>a1bDm000000YZEeIAO</v>
      </c>
      <c r="C3819" s="392">
        <f ca="1">IF(COUNTA(G$3060:G3818)=1,"",OFFSET(C3819,-COUNTA(G$3060:G3818)+1,0))</f>
        <v>47</v>
      </c>
      <c r="D3819" s="387">
        <f t="shared" si="240"/>
        <v>277</v>
      </c>
      <c r="E3819" s="387">
        <f t="shared" ca="1" si="241"/>
        <v>1</v>
      </c>
      <c r="F3819" s="387">
        <f t="shared" ca="1" si="242"/>
        <v>55</v>
      </c>
      <c r="G3819" s="387"/>
      <c r="H3819" s="391" t="str">
        <f t="shared" ca="1" si="244"/>
        <v/>
      </c>
      <c r="I3819" s="391" t="str">
        <f t="shared" ca="1" si="245"/>
        <v/>
      </c>
    </row>
    <row r="3820" spans="1:9">
      <c r="A3820" s="387" t="b">
        <f t="shared" ca="1" si="243"/>
        <v>0</v>
      </c>
      <c r="B3820" s="396" t="str">
        <f ca="1">IF(COUNTA(G$3060:G3819)=1,"",OFFSET(B3820,-COUNTA(G$3060:G3819)+1,0))</f>
        <v>a1bDm000000YZFwIAO</v>
      </c>
      <c r="C3820" s="392">
        <f ca="1">IF(COUNTA(G$3060:G3819)=1,"",OFFSET(C3820,-COUNTA(G$3060:G3819)+1,0))</f>
        <v>47</v>
      </c>
      <c r="D3820" s="387">
        <f t="shared" si="240"/>
        <v>278</v>
      </c>
      <c r="E3820" s="387">
        <f t="shared" ca="1" si="241"/>
        <v>2</v>
      </c>
      <c r="F3820" s="387">
        <f t="shared" ca="1" si="242"/>
        <v>55</v>
      </c>
      <c r="G3820" s="387"/>
      <c r="H3820" s="391" t="str">
        <f t="shared" ca="1" si="244"/>
        <v/>
      </c>
      <c r="I3820" s="391" t="str">
        <f t="shared" ca="1" si="245"/>
        <v/>
      </c>
    </row>
    <row r="3821" spans="1:9">
      <c r="A3821" s="387" t="b">
        <f t="shared" ca="1" si="243"/>
        <v>0</v>
      </c>
      <c r="B3821" s="396" t="str">
        <f ca="1">IF(COUNTA(G$3060:G3820)=1,"",OFFSET(B3821,-COUNTA(G$3060:G3820)+1,0))</f>
        <v>a1bDm000000YZHEIA4</v>
      </c>
      <c r="C3821" s="392">
        <f ca="1">IF(COUNTA(G$3060:G3820)=1,"",OFFSET(C3821,-COUNTA(G$3060:G3820)+1,0))</f>
        <v>47</v>
      </c>
      <c r="D3821" s="387">
        <f t="shared" si="240"/>
        <v>279</v>
      </c>
      <c r="E3821" s="387">
        <f t="shared" ca="1" si="241"/>
        <v>3</v>
      </c>
      <c r="F3821" s="387">
        <f t="shared" ca="1" si="242"/>
        <v>55</v>
      </c>
      <c r="G3821" s="387"/>
      <c r="H3821" s="391" t="str">
        <f t="shared" ca="1" si="244"/>
        <v/>
      </c>
      <c r="I3821" s="391" t="str">
        <f t="shared" ca="1" si="245"/>
        <v/>
      </c>
    </row>
    <row r="3822" spans="1:9">
      <c r="A3822" s="387" t="b">
        <f t="shared" ca="1" si="243"/>
        <v>0</v>
      </c>
      <c r="B3822" s="396" t="str">
        <f ca="1">IF(COUNTA(G$3060:G3821)=1,"",OFFSET(B3822,-COUNTA(G$3060:G3821)+1,0))</f>
        <v>a1bDm000000YZIWIA4</v>
      </c>
      <c r="C3822" s="392">
        <f ca="1">IF(COUNTA(G$3060:G3821)=1,"",OFFSET(C3822,-COUNTA(G$3060:G3821)+1,0))</f>
        <v>47</v>
      </c>
      <c r="D3822" s="387">
        <f t="shared" si="240"/>
        <v>280</v>
      </c>
      <c r="E3822" s="387">
        <f t="shared" ca="1" si="241"/>
        <v>4</v>
      </c>
      <c r="F3822" s="387">
        <f t="shared" ca="1" si="242"/>
        <v>55</v>
      </c>
      <c r="G3822" s="387"/>
      <c r="H3822" s="391" t="str">
        <f t="shared" ca="1" si="244"/>
        <v/>
      </c>
      <c r="I3822" s="391" t="str">
        <f t="shared" ca="1" si="245"/>
        <v/>
      </c>
    </row>
    <row r="3823" spans="1:9">
      <c r="A3823" s="387" t="b">
        <f t="shared" ca="1" si="243"/>
        <v>0</v>
      </c>
      <c r="B3823" s="396" t="str">
        <f ca="1">IF(COUNTA(G$3060:G3822)=1,"",OFFSET(B3823,-COUNTA(G$3060:G3822)+1,0))</f>
        <v>a1bDm000000YZJoIAO</v>
      </c>
      <c r="C3823" s="392">
        <f ca="1">IF(COUNTA(G$3060:G3822)=1,"",OFFSET(C3823,-COUNTA(G$3060:G3822)+1,0))</f>
        <v>47</v>
      </c>
      <c r="D3823" s="387">
        <f t="shared" si="240"/>
        <v>281</v>
      </c>
      <c r="E3823" s="387">
        <f t="shared" ca="1" si="241"/>
        <v>5</v>
      </c>
      <c r="F3823" s="387">
        <f t="shared" ca="1" si="242"/>
        <v>55</v>
      </c>
      <c r="G3823" s="387"/>
      <c r="H3823" s="391" t="str">
        <f t="shared" ca="1" si="244"/>
        <v/>
      </c>
      <c r="I3823" s="391" t="str">
        <f t="shared" ca="1" si="245"/>
        <v/>
      </c>
    </row>
    <row r="3824" spans="1:9">
      <c r="A3824" s="387" t="b">
        <f t="shared" ca="1" si="243"/>
        <v>0</v>
      </c>
      <c r="B3824" s="396" t="str">
        <f ca="1">IF(COUNTA(G$3060:G3823)=1,"",OFFSET(B3824,-COUNTA(G$3060:G3823)+1,0))</f>
        <v>a1bDm000000YZL6IAO</v>
      </c>
      <c r="C3824" s="392">
        <f ca="1">IF(COUNTA(G$3060:G3823)=1,"",OFFSET(C3824,-COUNTA(G$3060:G3823)+1,0))</f>
        <v>47</v>
      </c>
      <c r="D3824" s="387">
        <f t="shared" si="240"/>
        <v>282</v>
      </c>
      <c r="E3824" s="387">
        <f t="shared" ca="1" si="241"/>
        <v>6</v>
      </c>
      <c r="F3824" s="387">
        <f t="shared" ca="1" si="242"/>
        <v>55</v>
      </c>
      <c r="G3824" s="387"/>
      <c r="H3824" s="391" t="str">
        <f t="shared" ca="1" si="244"/>
        <v/>
      </c>
      <c r="I3824" s="391" t="str">
        <f t="shared" ca="1" si="245"/>
        <v/>
      </c>
    </row>
    <row r="3825" spans="1:9">
      <c r="A3825" s="387" t="b">
        <f t="shared" ca="1" si="243"/>
        <v>0</v>
      </c>
      <c r="B3825" s="396" t="str">
        <f ca="1">IF(COUNTA(G$3060:G3824)=1,"",OFFSET(B3825,-COUNTA(G$3060:G3824)+1,0))</f>
        <v>a1bDm000000YZEfIAO</v>
      </c>
      <c r="C3825" s="392">
        <f ca="1">IF(COUNTA(G$3060:G3824)=1,"",OFFSET(C3825,-COUNTA(G$3060:G3824)+1,0))</f>
        <v>48</v>
      </c>
      <c r="D3825" s="387">
        <f t="shared" si="240"/>
        <v>283</v>
      </c>
      <c r="E3825" s="387">
        <f t="shared" ca="1" si="241"/>
        <v>1</v>
      </c>
      <c r="F3825" s="387">
        <f t="shared" ca="1" si="242"/>
        <v>56</v>
      </c>
      <c r="G3825" s="387"/>
      <c r="H3825" s="391" t="str">
        <f t="shared" ca="1" si="244"/>
        <v/>
      </c>
      <c r="I3825" s="391" t="str">
        <f t="shared" ca="1" si="245"/>
        <v/>
      </c>
    </row>
    <row r="3826" spans="1:9">
      <c r="A3826" s="387" t="b">
        <f t="shared" ca="1" si="243"/>
        <v>0</v>
      </c>
      <c r="B3826" s="396" t="str">
        <f ca="1">IF(COUNTA(G$3060:G3825)=1,"",OFFSET(B3826,-COUNTA(G$3060:G3825)+1,0))</f>
        <v>a1bDm000000YZFxIAO</v>
      </c>
      <c r="C3826" s="392">
        <f ca="1">IF(COUNTA(G$3060:G3825)=1,"",OFFSET(C3826,-COUNTA(G$3060:G3825)+1,0))</f>
        <v>48</v>
      </c>
      <c r="D3826" s="387">
        <f t="shared" si="240"/>
        <v>284</v>
      </c>
      <c r="E3826" s="387">
        <f t="shared" ca="1" si="241"/>
        <v>2</v>
      </c>
      <c r="F3826" s="387">
        <f t="shared" ca="1" si="242"/>
        <v>56</v>
      </c>
      <c r="G3826" s="387"/>
      <c r="H3826" s="391" t="str">
        <f t="shared" ca="1" si="244"/>
        <v/>
      </c>
      <c r="I3826" s="391" t="str">
        <f t="shared" ca="1" si="245"/>
        <v/>
      </c>
    </row>
    <row r="3827" spans="1:9">
      <c r="A3827" s="387" t="b">
        <f t="shared" ca="1" si="243"/>
        <v>0</v>
      </c>
      <c r="B3827" s="396" t="str">
        <f ca="1">IF(COUNTA(G$3060:G3826)=1,"",OFFSET(B3827,-COUNTA(G$3060:G3826)+1,0))</f>
        <v>a1bDm000000YZHFIA4</v>
      </c>
      <c r="C3827" s="392">
        <f ca="1">IF(COUNTA(G$3060:G3826)=1,"",OFFSET(C3827,-COUNTA(G$3060:G3826)+1,0))</f>
        <v>48</v>
      </c>
      <c r="D3827" s="387">
        <f t="shared" si="240"/>
        <v>285</v>
      </c>
      <c r="E3827" s="387">
        <f t="shared" ca="1" si="241"/>
        <v>3</v>
      </c>
      <c r="F3827" s="387">
        <f t="shared" ca="1" si="242"/>
        <v>56</v>
      </c>
      <c r="G3827" s="387"/>
      <c r="H3827" s="391" t="str">
        <f t="shared" ca="1" si="244"/>
        <v/>
      </c>
      <c r="I3827" s="391" t="str">
        <f t="shared" ca="1" si="245"/>
        <v/>
      </c>
    </row>
    <row r="3828" spans="1:9">
      <c r="A3828" s="387" t="b">
        <f t="shared" ca="1" si="243"/>
        <v>0</v>
      </c>
      <c r="B3828" s="396" t="str">
        <f ca="1">IF(COUNTA(G$3060:G3827)=1,"",OFFSET(B3828,-COUNTA(G$3060:G3827)+1,0))</f>
        <v>a1bDm000000YZJpIAO</v>
      </c>
      <c r="C3828" s="392">
        <f ca="1">IF(COUNTA(G$3060:G3827)=1,"",OFFSET(C3828,-COUNTA(G$3060:G3827)+1,0))</f>
        <v>48</v>
      </c>
      <c r="D3828" s="387">
        <f t="shared" si="240"/>
        <v>286</v>
      </c>
      <c r="E3828" s="387">
        <f t="shared" ca="1" si="241"/>
        <v>4</v>
      </c>
      <c r="F3828" s="387">
        <f t="shared" ca="1" si="242"/>
        <v>56</v>
      </c>
      <c r="G3828" s="387"/>
      <c r="H3828" s="391" t="str">
        <f t="shared" ca="1" si="244"/>
        <v/>
      </c>
      <c r="I3828" s="391" t="str">
        <f t="shared" ca="1" si="245"/>
        <v/>
      </c>
    </row>
    <row r="3829" spans="1:9">
      <c r="A3829" s="387" t="b">
        <f t="shared" ca="1" si="243"/>
        <v>0</v>
      </c>
      <c r="B3829" s="396" t="str">
        <f ca="1">IF(COUNTA(G$3060:G3828)=1,"",OFFSET(B3829,-COUNTA(G$3060:G3828)+1,0))</f>
        <v>a1bDm000000YZL7IAO</v>
      </c>
      <c r="C3829" s="392">
        <f ca="1">IF(COUNTA(G$3060:G3828)=1,"",OFFSET(C3829,-COUNTA(G$3060:G3828)+1,0))</f>
        <v>48</v>
      </c>
      <c r="D3829" s="387">
        <f t="shared" si="240"/>
        <v>287</v>
      </c>
      <c r="E3829" s="387">
        <f t="shared" ca="1" si="241"/>
        <v>5</v>
      </c>
      <c r="F3829" s="387">
        <f t="shared" ca="1" si="242"/>
        <v>56</v>
      </c>
      <c r="G3829" s="387"/>
      <c r="H3829" s="391" t="str">
        <f t="shared" ca="1" si="244"/>
        <v/>
      </c>
      <c r="I3829" s="391" t="str">
        <f t="shared" ca="1" si="245"/>
        <v/>
      </c>
    </row>
    <row r="3830" spans="1:9">
      <c r="A3830" s="387" t="b">
        <f t="shared" ca="1" si="243"/>
        <v>0</v>
      </c>
      <c r="B3830" s="396" t="str">
        <f ca="1">IF(COUNTA(G$3060:G3829)=1,"",OFFSET(B3830,-COUNTA(G$3060:G3829)+1,0))</f>
        <v>a1bDm000000YZIXIA4</v>
      </c>
      <c r="C3830" s="392">
        <f ca="1">IF(COUNTA(G$3060:G3829)=1,"",OFFSET(C3830,-COUNTA(G$3060:G3829)+1,0))</f>
        <v>48</v>
      </c>
      <c r="D3830" s="387">
        <f t="shared" si="240"/>
        <v>288</v>
      </c>
      <c r="E3830" s="387">
        <f t="shared" ca="1" si="241"/>
        <v>6</v>
      </c>
      <c r="F3830" s="387">
        <f t="shared" ca="1" si="242"/>
        <v>56</v>
      </c>
      <c r="G3830" s="387"/>
      <c r="H3830" s="391" t="str">
        <f t="shared" ca="1" si="244"/>
        <v/>
      </c>
      <c r="I3830" s="391" t="str">
        <f t="shared" ca="1" si="245"/>
        <v/>
      </c>
    </row>
    <row r="3831" spans="1:9">
      <c r="A3831" s="387" t="b">
        <f t="shared" ca="1" si="243"/>
        <v>0</v>
      </c>
      <c r="B3831" s="396" t="str">
        <f ca="1">IF(COUNTA(G$3060:G3830)=1,"",OFFSET(B3831,-COUNTA(G$3060:G3830)+1,0))</f>
        <v>a1bDm000000YZEgIAO</v>
      </c>
      <c r="C3831" s="392">
        <f ca="1">IF(COUNTA(G$3060:G3830)=1,"",OFFSET(C3831,-COUNTA(G$3060:G3830)+1,0))</f>
        <v>49</v>
      </c>
      <c r="D3831" s="387">
        <f t="shared" ref="D3831:D3894" si="246">D3830+1</f>
        <v>289</v>
      </c>
      <c r="E3831" s="387">
        <f t="shared" ref="E3831:E3894" ca="1" si="247">COUNTIF(C3661:C3831,C3831)</f>
        <v>1</v>
      </c>
      <c r="F3831" s="387">
        <f t="shared" ref="F3831:F3894" ca="1" si="248">IF(C3831=1,9,IF(E3830=MAX(E3829:E3831),F3829+1,F3830))</f>
        <v>57</v>
      </c>
      <c r="G3831" s="387"/>
      <c r="H3831" s="391" t="str">
        <f t="shared" ca="1" si="244"/>
        <v/>
      </c>
      <c r="I3831" s="391" t="str">
        <f t="shared" ca="1" si="245"/>
        <v/>
      </c>
    </row>
    <row r="3832" spans="1:9">
      <c r="A3832" s="387" t="b">
        <f t="shared" ca="1" si="243"/>
        <v>0</v>
      </c>
      <c r="B3832" s="396" t="str">
        <f ca="1">IF(COUNTA(G$3060:G3831)=1,"",OFFSET(B3832,-COUNTA(G$3060:G3831)+1,0))</f>
        <v>a1bDm000000YZFyIAO</v>
      </c>
      <c r="C3832" s="392">
        <f ca="1">IF(COUNTA(G$3060:G3831)=1,"",OFFSET(C3832,-COUNTA(G$3060:G3831)+1,0))</f>
        <v>49</v>
      </c>
      <c r="D3832" s="387">
        <f t="shared" si="246"/>
        <v>290</v>
      </c>
      <c r="E3832" s="387">
        <f t="shared" ca="1" si="247"/>
        <v>2</v>
      </c>
      <c r="F3832" s="387">
        <f t="shared" ca="1" si="248"/>
        <v>57</v>
      </c>
      <c r="G3832" s="387"/>
      <c r="H3832" s="391" t="str">
        <f t="shared" ca="1" si="244"/>
        <v/>
      </c>
      <c r="I3832" s="391" t="str">
        <f t="shared" ca="1" si="245"/>
        <v/>
      </c>
    </row>
    <row r="3833" spans="1:9">
      <c r="A3833" s="387" t="b">
        <f t="shared" ca="1" si="243"/>
        <v>0</v>
      </c>
      <c r="B3833" s="396" t="str">
        <f ca="1">IF(COUNTA(G$3060:G3832)=1,"",OFFSET(B3833,-COUNTA(G$3060:G3832)+1,0))</f>
        <v>a1bDm000000YZHGIA4</v>
      </c>
      <c r="C3833" s="392">
        <f ca="1">IF(COUNTA(G$3060:G3832)=1,"",OFFSET(C3833,-COUNTA(G$3060:G3832)+1,0))</f>
        <v>49</v>
      </c>
      <c r="D3833" s="387">
        <f t="shared" si="246"/>
        <v>291</v>
      </c>
      <c r="E3833" s="387">
        <f t="shared" ca="1" si="247"/>
        <v>3</v>
      </c>
      <c r="F3833" s="387">
        <f t="shared" ca="1" si="248"/>
        <v>57</v>
      </c>
      <c r="G3833" s="387"/>
      <c r="H3833" s="391" t="str">
        <f t="shared" ca="1" si="244"/>
        <v/>
      </c>
      <c r="I3833" s="391" t="str">
        <f t="shared" ca="1" si="245"/>
        <v/>
      </c>
    </row>
    <row r="3834" spans="1:9">
      <c r="A3834" s="387" t="b">
        <f t="shared" ca="1" si="243"/>
        <v>0</v>
      </c>
      <c r="B3834" s="396" t="str">
        <f ca="1">IF(COUNTA(G$3060:G3833)=1,"",OFFSET(B3834,-COUNTA(G$3060:G3833)+1,0))</f>
        <v>a1bDm000000YZJqIAO</v>
      </c>
      <c r="C3834" s="392">
        <f ca="1">IF(COUNTA(G$3060:G3833)=1,"",OFFSET(C3834,-COUNTA(G$3060:G3833)+1,0))</f>
        <v>49</v>
      </c>
      <c r="D3834" s="387">
        <f t="shared" si="246"/>
        <v>292</v>
      </c>
      <c r="E3834" s="387">
        <f t="shared" ca="1" si="247"/>
        <v>4</v>
      </c>
      <c r="F3834" s="387">
        <f t="shared" ca="1" si="248"/>
        <v>57</v>
      </c>
      <c r="G3834" s="387"/>
      <c r="H3834" s="391" t="str">
        <f t="shared" ca="1" si="244"/>
        <v/>
      </c>
      <c r="I3834" s="391" t="str">
        <f t="shared" ca="1" si="245"/>
        <v/>
      </c>
    </row>
    <row r="3835" spans="1:9">
      <c r="A3835" s="387" t="b">
        <f t="shared" ca="1" si="243"/>
        <v>0</v>
      </c>
      <c r="B3835" s="396" t="str">
        <f ca="1">IF(COUNTA(G$3060:G3834)=1,"",OFFSET(B3835,-COUNTA(G$3060:G3834)+1,0))</f>
        <v>a1bDm000000YZL8IAO</v>
      </c>
      <c r="C3835" s="392">
        <f ca="1">IF(COUNTA(G$3060:G3834)=1,"",OFFSET(C3835,-COUNTA(G$3060:G3834)+1,0))</f>
        <v>49</v>
      </c>
      <c r="D3835" s="387">
        <f t="shared" si="246"/>
        <v>293</v>
      </c>
      <c r="E3835" s="387">
        <f t="shared" ca="1" si="247"/>
        <v>5</v>
      </c>
      <c r="F3835" s="387">
        <f t="shared" ca="1" si="248"/>
        <v>57</v>
      </c>
      <c r="G3835" s="387"/>
      <c r="H3835" s="391" t="str">
        <f t="shared" ca="1" si="244"/>
        <v/>
      </c>
      <c r="I3835" s="391" t="str">
        <f t="shared" ca="1" si="245"/>
        <v/>
      </c>
    </row>
    <row r="3836" spans="1:9">
      <c r="A3836" s="387" t="b">
        <f t="shared" ca="1" si="243"/>
        <v>0</v>
      </c>
      <c r="B3836" s="396" t="str">
        <f ca="1">IF(COUNTA(G$3060:G3835)=1,"",OFFSET(B3836,-COUNTA(G$3060:G3835)+1,0))</f>
        <v>a1bDm000000YZIYIA4</v>
      </c>
      <c r="C3836" s="392">
        <f ca="1">IF(COUNTA(G$3060:G3835)=1,"",OFFSET(C3836,-COUNTA(G$3060:G3835)+1,0))</f>
        <v>49</v>
      </c>
      <c r="D3836" s="387">
        <f t="shared" si="246"/>
        <v>294</v>
      </c>
      <c r="E3836" s="387">
        <f t="shared" ca="1" si="247"/>
        <v>6</v>
      </c>
      <c r="F3836" s="387">
        <f t="shared" ca="1" si="248"/>
        <v>57</v>
      </c>
      <c r="G3836" s="387"/>
      <c r="H3836" s="391" t="str">
        <f t="shared" ca="1" si="244"/>
        <v/>
      </c>
      <c r="I3836" s="391" t="str">
        <f t="shared" ca="1" si="245"/>
        <v/>
      </c>
    </row>
    <row r="3837" spans="1:9">
      <c r="A3837" s="387" t="b">
        <f t="shared" ca="1" si="243"/>
        <v>0</v>
      </c>
      <c r="B3837" s="396" t="str">
        <f ca="1">IF(COUNTA(G$3060:G3836)=1,"",OFFSET(B3837,-COUNTA(G$3060:G3836)+1,0))</f>
        <v>a1bDm000000YZEhIAO</v>
      </c>
      <c r="C3837" s="392">
        <f ca="1">IF(COUNTA(G$3060:G3836)=1,"",OFFSET(C3837,-COUNTA(G$3060:G3836)+1,0))</f>
        <v>50</v>
      </c>
      <c r="D3837" s="387">
        <f t="shared" si="246"/>
        <v>295</v>
      </c>
      <c r="E3837" s="387">
        <f t="shared" ca="1" si="247"/>
        <v>1</v>
      </c>
      <c r="F3837" s="387">
        <f t="shared" ca="1" si="248"/>
        <v>58</v>
      </c>
      <c r="G3837" s="387"/>
      <c r="H3837" s="391" t="str">
        <f t="shared" ca="1" si="244"/>
        <v/>
      </c>
      <c r="I3837" s="391" t="str">
        <f t="shared" ca="1" si="245"/>
        <v/>
      </c>
    </row>
    <row r="3838" spans="1:9">
      <c r="A3838" s="387" t="b">
        <f t="shared" ca="1" si="243"/>
        <v>0</v>
      </c>
      <c r="B3838" s="396" t="str">
        <f ca="1">IF(COUNTA(G$3060:G3837)=1,"",OFFSET(B3838,-COUNTA(G$3060:G3837)+1,0))</f>
        <v>a1bDm000000YZFzIAO</v>
      </c>
      <c r="C3838" s="392">
        <f ca="1">IF(COUNTA(G$3060:G3837)=1,"",OFFSET(C3838,-COUNTA(G$3060:G3837)+1,0))</f>
        <v>50</v>
      </c>
      <c r="D3838" s="387">
        <f t="shared" si="246"/>
        <v>296</v>
      </c>
      <c r="E3838" s="387">
        <f t="shared" ca="1" si="247"/>
        <v>2</v>
      </c>
      <c r="F3838" s="387">
        <f t="shared" ca="1" si="248"/>
        <v>58</v>
      </c>
      <c r="G3838" s="387"/>
      <c r="H3838" s="391" t="str">
        <f t="shared" ca="1" si="244"/>
        <v/>
      </c>
      <c r="I3838" s="391" t="str">
        <f t="shared" ca="1" si="245"/>
        <v/>
      </c>
    </row>
    <row r="3839" spans="1:9">
      <c r="A3839" s="387" t="b">
        <f t="shared" ca="1" si="243"/>
        <v>0</v>
      </c>
      <c r="B3839" s="396" t="str">
        <f ca="1">IF(COUNTA(G$3060:G3838)=1,"",OFFSET(B3839,-COUNTA(G$3060:G3838)+1,0))</f>
        <v>a1bDm000000YZHHIA4</v>
      </c>
      <c r="C3839" s="392">
        <f ca="1">IF(COUNTA(G$3060:G3838)=1,"",OFFSET(C3839,-COUNTA(G$3060:G3838)+1,0))</f>
        <v>50</v>
      </c>
      <c r="D3839" s="387">
        <f t="shared" si="246"/>
        <v>297</v>
      </c>
      <c r="E3839" s="387">
        <f t="shared" ca="1" si="247"/>
        <v>3</v>
      </c>
      <c r="F3839" s="387">
        <f t="shared" ca="1" si="248"/>
        <v>58</v>
      </c>
      <c r="G3839" s="387"/>
      <c r="H3839" s="391" t="str">
        <f t="shared" ca="1" si="244"/>
        <v/>
      </c>
      <c r="I3839" s="391" t="str">
        <f t="shared" ca="1" si="245"/>
        <v/>
      </c>
    </row>
    <row r="3840" spans="1:9">
      <c r="A3840" s="387" t="b">
        <f t="shared" ca="1" si="243"/>
        <v>0</v>
      </c>
      <c r="B3840" s="396" t="str">
        <f ca="1">IF(COUNTA(G$3060:G3839)=1,"",OFFSET(B3840,-COUNTA(G$3060:G3839)+1,0))</f>
        <v>a1bDm000000YZJrIAO</v>
      </c>
      <c r="C3840" s="392">
        <f ca="1">IF(COUNTA(G$3060:G3839)=1,"",OFFSET(C3840,-COUNTA(G$3060:G3839)+1,0))</f>
        <v>50</v>
      </c>
      <c r="D3840" s="387">
        <f t="shared" si="246"/>
        <v>298</v>
      </c>
      <c r="E3840" s="387">
        <f t="shared" ca="1" si="247"/>
        <v>4</v>
      </c>
      <c r="F3840" s="387">
        <f t="shared" ca="1" si="248"/>
        <v>58</v>
      </c>
      <c r="G3840" s="387"/>
      <c r="H3840" s="391" t="str">
        <f t="shared" ca="1" si="244"/>
        <v/>
      </c>
      <c r="I3840" s="391" t="str">
        <f t="shared" ca="1" si="245"/>
        <v/>
      </c>
    </row>
    <row r="3841" spans="1:9">
      <c r="A3841" s="387" t="b">
        <f t="shared" ca="1" si="243"/>
        <v>0</v>
      </c>
      <c r="B3841" s="396" t="str">
        <f ca="1">IF(COUNTA(G$3060:G3840)=1,"",OFFSET(B3841,-COUNTA(G$3060:G3840)+1,0))</f>
        <v>a1bDm000000YZL9IAO</v>
      </c>
      <c r="C3841" s="392">
        <f ca="1">IF(COUNTA(G$3060:G3840)=1,"",OFFSET(C3841,-COUNTA(G$3060:G3840)+1,0))</f>
        <v>50</v>
      </c>
      <c r="D3841" s="387">
        <f t="shared" si="246"/>
        <v>299</v>
      </c>
      <c r="E3841" s="387">
        <f t="shared" ca="1" si="247"/>
        <v>5</v>
      </c>
      <c r="F3841" s="387">
        <f t="shared" ca="1" si="248"/>
        <v>58</v>
      </c>
      <c r="G3841" s="387"/>
      <c r="H3841" s="391" t="str">
        <f t="shared" ca="1" si="244"/>
        <v/>
      </c>
      <c r="I3841" s="391" t="str">
        <f t="shared" ca="1" si="245"/>
        <v/>
      </c>
    </row>
    <row r="3842" spans="1:9">
      <c r="A3842" s="387" t="b">
        <f t="shared" ca="1" si="243"/>
        <v>0</v>
      </c>
      <c r="B3842" s="396" t="str">
        <f ca="1">IF(COUNTA(G$3060:G3841)=1,"",OFFSET(B3842,-COUNTA(G$3060:G3841)+1,0))</f>
        <v>a1bDm000000YZIZIA4</v>
      </c>
      <c r="C3842" s="392">
        <f ca="1">IF(COUNTA(G$3060:G3841)=1,"",OFFSET(C3842,-COUNTA(G$3060:G3841)+1,0))</f>
        <v>50</v>
      </c>
      <c r="D3842" s="387">
        <f t="shared" si="246"/>
        <v>300</v>
      </c>
      <c r="E3842" s="387">
        <f t="shared" ca="1" si="247"/>
        <v>6</v>
      </c>
      <c r="F3842" s="387">
        <f t="shared" ca="1" si="248"/>
        <v>58</v>
      </c>
      <c r="G3842" s="387"/>
      <c r="H3842" s="391" t="str">
        <f t="shared" ca="1" si="244"/>
        <v/>
      </c>
      <c r="I3842" s="391" t="str">
        <f t="shared" ca="1" si="245"/>
        <v/>
      </c>
    </row>
    <row r="3843" spans="1:9">
      <c r="A3843" s="387" t="b">
        <f t="shared" ca="1" si="243"/>
        <v>0</v>
      </c>
      <c r="B3843" s="396" t="str">
        <f ca="1">IF(COUNTA(G$3060:G3842)=1,"",OFFSET(B3843,-COUNTA(G$3060:G3842)+1,0))</f>
        <v>a1bDm000000YZEiIAO</v>
      </c>
      <c r="C3843" s="392">
        <f ca="1">IF(COUNTA(G$3060:G3842)=1,"",OFFSET(C3843,-COUNTA(G$3060:G3842)+1,0))</f>
        <v>51</v>
      </c>
      <c r="D3843" s="387">
        <f t="shared" si="246"/>
        <v>301</v>
      </c>
      <c r="E3843" s="387">
        <f t="shared" ca="1" si="247"/>
        <v>1</v>
      </c>
      <c r="F3843" s="387">
        <f t="shared" ca="1" si="248"/>
        <v>59</v>
      </c>
      <c r="G3843" s="387"/>
      <c r="H3843" s="391" t="str">
        <f t="shared" ca="1" si="244"/>
        <v/>
      </c>
      <c r="I3843" s="391" t="str">
        <f t="shared" ca="1" si="245"/>
        <v/>
      </c>
    </row>
    <row r="3844" spans="1:9">
      <c r="A3844" s="387" t="b">
        <f t="shared" ca="1" si="243"/>
        <v>0</v>
      </c>
      <c r="B3844" s="396" t="str">
        <f ca="1">IF(COUNTA(G$3060:G3843)=1,"",OFFSET(B3844,-COUNTA(G$3060:G3843)+1,0))</f>
        <v>a1bDm000000YZG0IAO</v>
      </c>
      <c r="C3844" s="392">
        <f ca="1">IF(COUNTA(G$3060:G3843)=1,"",OFFSET(C3844,-COUNTA(G$3060:G3843)+1,0))</f>
        <v>51</v>
      </c>
      <c r="D3844" s="387">
        <f t="shared" si="246"/>
        <v>302</v>
      </c>
      <c r="E3844" s="387">
        <f t="shared" ca="1" si="247"/>
        <v>2</v>
      </c>
      <c r="F3844" s="387">
        <f t="shared" ca="1" si="248"/>
        <v>59</v>
      </c>
      <c r="G3844" s="387"/>
      <c r="H3844" s="391" t="str">
        <f t="shared" ca="1" si="244"/>
        <v/>
      </c>
      <c r="I3844" s="391" t="str">
        <f t="shared" ca="1" si="245"/>
        <v/>
      </c>
    </row>
    <row r="3845" spans="1:9">
      <c r="A3845" s="387" t="b">
        <f t="shared" ca="1" si="243"/>
        <v>0</v>
      </c>
      <c r="B3845" s="396" t="str">
        <f ca="1">IF(COUNTA(G$3060:G3844)=1,"",OFFSET(B3845,-COUNTA(G$3060:G3844)+1,0))</f>
        <v>a1bDm000000YZHIIA4</v>
      </c>
      <c r="C3845" s="392">
        <f ca="1">IF(COUNTA(G$3060:G3844)=1,"",OFFSET(C3845,-COUNTA(G$3060:G3844)+1,0))</f>
        <v>51</v>
      </c>
      <c r="D3845" s="387">
        <f t="shared" si="246"/>
        <v>303</v>
      </c>
      <c r="E3845" s="387">
        <f t="shared" ca="1" si="247"/>
        <v>3</v>
      </c>
      <c r="F3845" s="387">
        <f t="shared" ca="1" si="248"/>
        <v>59</v>
      </c>
      <c r="G3845" s="387"/>
      <c r="H3845" s="391" t="str">
        <f t="shared" ca="1" si="244"/>
        <v/>
      </c>
      <c r="I3845" s="391" t="str">
        <f t="shared" ca="1" si="245"/>
        <v/>
      </c>
    </row>
    <row r="3846" spans="1:9">
      <c r="A3846" s="387" t="b">
        <f t="shared" ca="1" si="243"/>
        <v>0</v>
      </c>
      <c r="B3846" s="396" t="str">
        <f ca="1">IF(COUNTA(G$3060:G3845)=1,"",OFFSET(B3846,-COUNTA(G$3060:G3845)+1,0))</f>
        <v>a1bDm000000YZIaIAO</v>
      </c>
      <c r="C3846" s="392">
        <f ca="1">IF(COUNTA(G$3060:G3845)=1,"",OFFSET(C3846,-COUNTA(G$3060:G3845)+1,0))</f>
        <v>51</v>
      </c>
      <c r="D3846" s="387">
        <f t="shared" si="246"/>
        <v>304</v>
      </c>
      <c r="E3846" s="387">
        <f t="shared" ca="1" si="247"/>
        <v>4</v>
      </c>
      <c r="F3846" s="387">
        <f t="shared" ca="1" si="248"/>
        <v>59</v>
      </c>
      <c r="G3846" s="387"/>
      <c r="H3846" s="391" t="str">
        <f t="shared" ca="1" si="244"/>
        <v/>
      </c>
      <c r="I3846" s="391" t="str">
        <f t="shared" ca="1" si="245"/>
        <v/>
      </c>
    </row>
    <row r="3847" spans="1:9">
      <c r="A3847" s="387" t="b">
        <f t="shared" ca="1" si="243"/>
        <v>0</v>
      </c>
      <c r="B3847" s="396" t="str">
        <f ca="1">IF(COUNTA(G$3060:G3846)=1,"",OFFSET(B3847,-COUNTA(G$3060:G3846)+1,0))</f>
        <v>a1bDm000000YZJsIAO</v>
      </c>
      <c r="C3847" s="392">
        <f ca="1">IF(COUNTA(G$3060:G3846)=1,"",OFFSET(C3847,-COUNTA(G$3060:G3846)+1,0))</f>
        <v>51</v>
      </c>
      <c r="D3847" s="387">
        <f t="shared" si="246"/>
        <v>305</v>
      </c>
      <c r="E3847" s="387">
        <f t="shared" ca="1" si="247"/>
        <v>5</v>
      </c>
      <c r="F3847" s="387">
        <f t="shared" ca="1" si="248"/>
        <v>59</v>
      </c>
      <c r="G3847" s="387"/>
      <c r="H3847" s="391" t="str">
        <f t="shared" ca="1" si="244"/>
        <v/>
      </c>
      <c r="I3847" s="391" t="str">
        <f t="shared" ca="1" si="245"/>
        <v/>
      </c>
    </row>
    <row r="3848" spans="1:9">
      <c r="A3848" s="387" t="b">
        <f t="shared" ca="1" si="243"/>
        <v>0</v>
      </c>
      <c r="B3848" s="396" t="str">
        <f ca="1">IF(COUNTA(G$3060:G3847)=1,"",OFFSET(B3848,-COUNTA(G$3060:G3847)+1,0))</f>
        <v>a1bDm000000YZLAIA4</v>
      </c>
      <c r="C3848" s="392">
        <f ca="1">IF(COUNTA(G$3060:G3847)=1,"",OFFSET(C3848,-COUNTA(G$3060:G3847)+1,0))</f>
        <v>51</v>
      </c>
      <c r="D3848" s="387">
        <f t="shared" si="246"/>
        <v>306</v>
      </c>
      <c r="E3848" s="387">
        <f t="shared" ca="1" si="247"/>
        <v>6</v>
      </c>
      <c r="F3848" s="387">
        <f t="shared" ca="1" si="248"/>
        <v>59</v>
      </c>
      <c r="G3848" s="387"/>
      <c r="H3848" s="391" t="str">
        <f t="shared" ca="1" si="244"/>
        <v/>
      </c>
      <c r="I3848" s="391" t="str">
        <f t="shared" ca="1" si="245"/>
        <v/>
      </c>
    </row>
    <row r="3849" spans="1:9">
      <c r="A3849" s="387" t="b">
        <f t="shared" ca="1" si="243"/>
        <v>0</v>
      </c>
      <c r="B3849" s="396" t="str">
        <f ca="1">IF(COUNTA(G$3060:G3848)=1,"",OFFSET(B3849,-COUNTA(G$3060:G3848)+1,0))</f>
        <v>a1bDm000000YZEjIAO</v>
      </c>
      <c r="C3849" s="392">
        <f ca="1">IF(COUNTA(G$3060:G3848)=1,"",OFFSET(C3849,-COUNTA(G$3060:G3848)+1,0))</f>
        <v>52</v>
      </c>
      <c r="D3849" s="387">
        <f t="shared" si="246"/>
        <v>307</v>
      </c>
      <c r="E3849" s="387">
        <f t="shared" ca="1" si="247"/>
        <v>1</v>
      </c>
      <c r="F3849" s="387">
        <f t="shared" ca="1" si="248"/>
        <v>60</v>
      </c>
      <c r="G3849" s="387"/>
      <c r="H3849" s="391" t="str">
        <f t="shared" ca="1" si="244"/>
        <v/>
      </c>
      <c r="I3849" s="391" t="str">
        <f t="shared" ca="1" si="245"/>
        <v/>
      </c>
    </row>
    <row r="3850" spans="1:9">
      <c r="A3850" s="387" t="b">
        <f t="shared" ca="1" si="243"/>
        <v>0</v>
      </c>
      <c r="B3850" s="396" t="str">
        <f ca="1">IF(COUNTA(G$3060:G3849)=1,"",OFFSET(B3850,-COUNTA(G$3060:G3849)+1,0))</f>
        <v>a1bDm000000YZG1IAO</v>
      </c>
      <c r="C3850" s="392">
        <f ca="1">IF(COUNTA(G$3060:G3849)=1,"",OFFSET(C3850,-COUNTA(G$3060:G3849)+1,0))</f>
        <v>52</v>
      </c>
      <c r="D3850" s="387">
        <f t="shared" si="246"/>
        <v>308</v>
      </c>
      <c r="E3850" s="387">
        <f t="shared" ca="1" si="247"/>
        <v>2</v>
      </c>
      <c r="F3850" s="387">
        <f t="shared" ca="1" si="248"/>
        <v>60</v>
      </c>
      <c r="G3850" s="387"/>
      <c r="H3850" s="391" t="str">
        <f t="shared" ca="1" si="244"/>
        <v/>
      </c>
      <c r="I3850" s="391" t="str">
        <f t="shared" ca="1" si="245"/>
        <v/>
      </c>
    </row>
    <row r="3851" spans="1:9">
      <c r="A3851" s="387" t="b">
        <f t="shared" ca="1" si="243"/>
        <v>0</v>
      </c>
      <c r="B3851" s="396" t="str">
        <f ca="1">IF(COUNTA(G$3060:G3850)=1,"",OFFSET(B3851,-COUNTA(G$3060:G3850)+1,0))</f>
        <v>a1bDm000000YZHJIA4</v>
      </c>
      <c r="C3851" s="392">
        <f ca="1">IF(COUNTA(G$3060:G3850)=1,"",OFFSET(C3851,-COUNTA(G$3060:G3850)+1,0))</f>
        <v>52</v>
      </c>
      <c r="D3851" s="387">
        <f t="shared" si="246"/>
        <v>309</v>
      </c>
      <c r="E3851" s="387">
        <f t="shared" ca="1" si="247"/>
        <v>3</v>
      </c>
      <c r="F3851" s="387">
        <f t="shared" ca="1" si="248"/>
        <v>60</v>
      </c>
      <c r="G3851" s="387"/>
      <c r="H3851" s="391" t="str">
        <f t="shared" ca="1" si="244"/>
        <v/>
      </c>
      <c r="I3851" s="391" t="str">
        <f t="shared" ca="1" si="245"/>
        <v/>
      </c>
    </row>
    <row r="3852" spans="1:9">
      <c r="A3852" s="387" t="b">
        <f t="shared" ca="1" si="243"/>
        <v>0</v>
      </c>
      <c r="B3852" s="396" t="str">
        <f ca="1">IF(COUNTA(G$3060:G3851)=1,"",OFFSET(B3852,-COUNTA(G$3060:G3851)+1,0))</f>
        <v>a1bDm000000YZIbIAO</v>
      </c>
      <c r="C3852" s="392">
        <f ca="1">IF(COUNTA(G$3060:G3851)=1,"",OFFSET(C3852,-COUNTA(G$3060:G3851)+1,0))</f>
        <v>52</v>
      </c>
      <c r="D3852" s="387">
        <f t="shared" si="246"/>
        <v>310</v>
      </c>
      <c r="E3852" s="387">
        <f t="shared" ca="1" si="247"/>
        <v>4</v>
      </c>
      <c r="F3852" s="387">
        <f t="shared" ca="1" si="248"/>
        <v>60</v>
      </c>
      <c r="G3852" s="387"/>
      <c r="H3852" s="391" t="str">
        <f t="shared" ca="1" si="244"/>
        <v/>
      </c>
      <c r="I3852" s="391" t="str">
        <f t="shared" ca="1" si="245"/>
        <v/>
      </c>
    </row>
    <row r="3853" spans="1:9">
      <c r="A3853" s="387" t="b">
        <f t="shared" ca="1" si="243"/>
        <v>0</v>
      </c>
      <c r="B3853" s="396" t="str">
        <f ca="1">IF(COUNTA(G$3060:G3852)=1,"",OFFSET(B3853,-COUNTA(G$3060:G3852)+1,0))</f>
        <v>a1bDm000000YZJtIAO</v>
      </c>
      <c r="C3853" s="392">
        <f ca="1">IF(COUNTA(G$3060:G3852)=1,"",OFFSET(C3853,-COUNTA(G$3060:G3852)+1,0))</f>
        <v>52</v>
      </c>
      <c r="D3853" s="387">
        <f t="shared" si="246"/>
        <v>311</v>
      </c>
      <c r="E3853" s="387">
        <f t="shared" ca="1" si="247"/>
        <v>5</v>
      </c>
      <c r="F3853" s="387">
        <f t="shared" ca="1" si="248"/>
        <v>60</v>
      </c>
      <c r="G3853" s="387"/>
      <c r="H3853" s="391" t="str">
        <f t="shared" ca="1" si="244"/>
        <v/>
      </c>
      <c r="I3853" s="391" t="str">
        <f t="shared" ca="1" si="245"/>
        <v/>
      </c>
    </row>
    <row r="3854" spans="1:9">
      <c r="A3854" s="387" t="b">
        <f t="shared" ca="1" si="243"/>
        <v>0</v>
      </c>
      <c r="B3854" s="396" t="str">
        <f ca="1">IF(COUNTA(G$3060:G3853)=1,"",OFFSET(B3854,-COUNTA(G$3060:G3853)+1,0))</f>
        <v>a1bDm000000YZLBIA4</v>
      </c>
      <c r="C3854" s="392">
        <f ca="1">IF(COUNTA(G$3060:G3853)=1,"",OFFSET(C3854,-COUNTA(G$3060:G3853)+1,0))</f>
        <v>52</v>
      </c>
      <c r="D3854" s="387">
        <f t="shared" si="246"/>
        <v>312</v>
      </c>
      <c r="E3854" s="387">
        <f t="shared" ca="1" si="247"/>
        <v>6</v>
      </c>
      <c r="F3854" s="387">
        <f t="shared" ca="1" si="248"/>
        <v>60</v>
      </c>
      <c r="G3854" s="387"/>
      <c r="H3854" s="391" t="str">
        <f t="shared" ca="1" si="244"/>
        <v/>
      </c>
      <c r="I3854" s="391" t="str">
        <f t="shared" ca="1" si="245"/>
        <v/>
      </c>
    </row>
    <row r="3855" spans="1:9">
      <c r="A3855" s="387" t="b">
        <f t="shared" ca="1" si="243"/>
        <v>0</v>
      </c>
      <c r="B3855" s="396" t="str">
        <f ca="1">IF(COUNTA(G$3060:G3854)=1,"",OFFSET(B3855,-COUNTA(G$3060:G3854)+1,0))</f>
        <v>a1bDm000000YZEkIAO</v>
      </c>
      <c r="C3855" s="392">
        <f ca="1">IF(COUNTA(G$3060:G3854)=1,"",OFFSET(C3855,-COUNTA(G$3060:G3854)+1,0))</f>
        <v>53</v>
      </c>
      <c r="D3855" s="387">
        <f t="shared" si="246"/>
        <v>313</v>
      </c>
      <c r="E3855" s="387">
        <f t="shared" ca="1" si="247"/>
        <v>1</v>
      </c>
      <c r="F3855" s="387">
        <f t="shared" ca="1" si="248"/>
        <v>61</v>
      </c>
      <c r="G3855" s="387"/>
      <c r="H3855" s="391" t="str">
        <f t="shared" ca="1" si="244"/>
        <v/>
      </c>
      <c r="I3855" s="391" t="str">
        <f t="shared" ca="1" si="245"/>
        <v/>
      </c>
    </row>
    <row r="3856" spans="1:9">
      <c r="A3856" s="387" t="b">
        <f t="shared" ca="1" si="243"/>
        <v>0</v>
      </c>
      <c r="B3856" s="396" t="str">
        <f ca="1">IF(COUNTA(G$3060:G3855)=1,"",OFFSET(B3856,-COUNTA(G$3060:G3855)+1,0))</f>
        <v>a1bDm000000YZG2IAO</v>
      </c>
      <c r="C3856" s="392">
        <f ca="1">IF(COUNTA(G$3060:G3855)=1,"",OFFSET(C3856,-COUNTA(G$3060:G3855)+1,0))</f>
        <v>53</v>
      </c>
      <c r="D3856" s="387">
        <f t="shared" si="246"/>
        <v>314</v>
      </c>
      <c r="E3856" s="387">
        <f t="shared" ca="1" si="247"/>
        <v>2</v>
      </c>
      <c r="F3856" s="387">
        <f t="shared" ca="1" si="248"/>
        <v>61</v>
      </c>
      <c r="G3856" s="387"/>
      <c r="H3856" s="391" t="str">
        <f t="shared" ca="1" si="244"/>
        <v/>
      </c>
      <c r="I3856" s="391" t="str">
        <f t="shared" ca="1" si="245"/>
        <v/>
      </c>
    </row>
    <row r="3857" spans="1:9">
      <c r="A3857" s="387" t="b">
        <f t="shared" ca="1" si="243"/>
        <v>0</v>
      </c>
      <c r="B3857" s="396" t="str">
        <f ca="1">IF(COUNTA(G$3060:G3856)=1,"",OFFSET(B3857,-COUNTA(G$3060:G3856)+1,0))</f>
        <v>a1bDm000000YZHKIA4</v>
      </c>
      <c r="C3857" s="392">
        <f ca="1">IF(COUNTA(G$3060:G3856)=1,"",OFFSET(C3857,-COUNTA(G$3060:G3856)+1,0))</f>
        <v>53</v>
      </c>
      <c r="D3857" s="387">
        <f t="shared" si="246"/>
        <v>315</v>
      </c>
      <c r="E3857" s="387">
        <f t="shared" ca="1" si="247"/>
        <v>3</v>
      </c>
      <c r="F3857" s="387">
        <f t="shared" ca="1" si="248"/>
        <v>61</v>
      </c>
      <c r="G3857" s="387"/>
      <c r="H3857" s="391" t="str">
        <f t="shared" ca="1" si="244"/>
        <v/>
      </c>
      <c r="I3857" s="391" t="str">
        <f t="shared" ca="1" si="245"/>
        <v/>
      </c>
    </row>
    <row r="3858" spans="1:9">
      <c r="A3858" s="387" t="b">
        <f t="shared" ca="1" si="243"/>
        <v>0</v>
      </c>
      <c r="B3858" s="396" t="str">
        <f ca="1">IF(COUNTA(G$3060:G3857)=1,"",OFFSET(B3858,-COUNTA(G$3060:G3857)+1,0))</f>
        <v>a1bDm000000YZIcIAO</v>
      </c>
      <c r="C3858" s="392">
        <f ca="1">IF(COUNTA(G$3060:G3857)=1,"",OFFSET(C3858,-COUNTA(G$3060:G3857)+1,0))</f>
        <v>53</v>
      </c>
      <c r="D3858" s="387">
        <f t="shared" si="246"/>
        <v>316</v>
      </c>
      <c r="E3858" s="387">
        <f t="shared" ca="1" si="247"/>
        <v>4</v>
      </c>
      <c r="F3858" s="387">
        <f t="shared" ca="1" si="248"/>
        <v>61</v>
      </c>
      <c r="G3858" s="387"/>
      <c r="H3858" s="391" t="str">
        <f t="shared" ca="1" si="244"/>
        <v/>
      </c>
      <c r="I3858" s="391" t="str">
        <f t="shared" ca="1" si="245"/>
        <v/>
      </c>
    </row>
    <row r="3859" spans="1:9">
      <c r="A3859" s="387" t="b">
        <f t="shared" ca="1" si="243"/>
        <v>0</v>
      </c>
      <c r="B3859" s="396" t="str">
        <f ca="1">IF(COUNTA(G$3060:G3858)=1,"",OFFSET(B3859,-COUNTA(G$3060:G3858)+1,0))</f>
        <v>a1bDm000000YZJuIAO</v>
      </c>
      <c r="C3859" s="392">
        <f ca="1">IF(COUNTA(G$3060:G3858)=1,"",OFFSET(C3859,-COUNTA(G$3060:G3858)+1,0))</f>
        <v>53</v>
      </c>
      <c r="D3859" s="387">
        <f t="shared" si="246"/>
        <v>317</v>
      </c>
      <c r="E3859" s="387">
        <f t="shared" ca="1" si="247"/>
        <v>5</v>
      </c>
      <c r="F3859" s="387">
        <f t="shared" ca="1" si="248"/>
        <v>61</v>
      </c>
      <c r="G3859" s="387"/>
      <c r="H3859" s="391" t="str">
        <f t="shared" ca="1" si="244"/>
        <v/>
      </c>
      <c r="I3859" s="391" t="str">
        <f t="shared" ca="1" si="245"/>
        <v/>
      </c>
    </row>
    <row r="3860" spans="1:9">
      <c r="A3860" s="387" t="b">
        <f t="shared" ca="1" si="243"/>
        <v>0</v>
      </c>
      <c r="B3860" s="396" t="str">
        <f ca="1">IF(COUNTA(G$3060:G3859)=1,"",OFFSET(B3860,-COUNTA(G$3060:G3859)+1,0))</f>
        <v>a1bDm000000YZLCIA4</v>
      </c>
      <c r="C3860" s="392">
        <f ca="1">IF(COUNTA(G$3060:G3859)=1,"",OFFSET(C3860,-COUNTA(G$3060:G3859)+1,0))</f>
        <v>53</v>
      </c>
      <c r="D3860" s="387">
        <f t="shared" si="246"/>
        <v>318</v>
      </c>
      <c r="E3860" s="387">
        <f t="shared" ca="1" si="247"/>
        <v>6</v>
      </c>
      <c r="F3860" s="387">
        <f t="shared" ca="1" si="248"/>
        <v>61</v>
      </c>
      <c r="G3860" s="387"/>
      <c r="H3860" s="391" t="str">
        <f t="shared" ca="1" si="244"/>
        <v/>
      </c>
      <c r="I3860" s="391" t="str">
        <f t="shared" ca="1" si="245"/>
        <v/>
      </c>
    </row>
    <row r="3861" spans="1:9">
      <c r="A3861" s="387" t="b">
        <f t="shared" ca="1" si="243"/>
        <v>0</v>
      </c>
      <c r="B3861" s="396" t="str">
        <f ca="1">IF(COUNTA(G$3060:G3860)=1,"",OFFSET(B3861,-COUNTA(G$3060:G3860)+1,0))</f>
        <v>a1bDm000000YZElIAO</v>
      </c>
      <c r="C3861" s="392">
        <f ca="1">IF(COUNTA(G$3060:G3860)=1,"",OFFSET(C3861,-COUNTA(G$3060:G3860)+1,0))</f>
        <v>54</v>
      </c>
      <c r="D3861" s="387">
        <f t="shared" si="246"/>
        <v>319</v>
      </c>
      <c r="E3861" s="387">
        <f t="shared" ca="1" si="247"/>
        <v>1</v>
      </c>
      <c r="F3861" s="387">
        <f t="shared" ca="1" si="248"/>
        <v>62</v>
      </c>
      <c r="G3861" s="387"/>
      <c r="H3861" s="391" t="str">
        <f t="shared" ca="1" si="244"/>
        <v/>
      </c>
      <c r="I3861" s="391" t="str">
        <f t="shared" ca="1" si="245"/>
        <v/>
      </c>
    </row>
    <row r="3862" spans="1:9">
      <c r="A3862" s="387" t="b">
        <f t="shared" ca="1" si="243"/>
        <v>0</v>
      </c>
      <c r="B3862" s="396" t="str">
        <f ca="1">IF(COUNTA(G$3060:G3861)=1,"",OFFSET(B3862,-COUNTA(G$3060:G3861)+1,0))</f>
        <v>a1bDm000000YZG3IAO</v>
      </c>
      <c r="C3862" s="392">
        <f ca="1">IF(COUNTA(G$3060:G3861)=1,"",OFFSET(C3862,-COUNTA(G$3060:G3861)+1,0))</f>
        <v>54</v>
      </c>
      <c r="D3862" s="387">
        <f t="shared" si="246"/>
        <v>320</v>
      </c>
      <c r="E3862" s="387">
        <f t="shared" ca="1" si="247"/>
        <v>2</v>
      </c>
      <c r="F3862" s="387">
        <f t="shared" ca="1" si="248"/>
        <v>62</v>
      </c>
      <c r="G3862" s="387"/>
      <c r="H3862" s="391" t="str">
        <f t="shared" ca="1" si="244"/>
        <v/>
      </c>
      <c r="I3862" s="391" t="str">
        <f t="shared" ca="1" si="245"/>
        <v/>
      </c>
    </row>
    <row r="3863" spans="1:9">
      <c r="A3863" s="387" t="b">
        <f t="shared" ref="A3863:A3926" ca="1" si="249">IF(OR(AND(H3863&lt;&gt;"", H3863&lt;&gt;0), AND(I3863&lt;&gt;"",I3863&lt;&gt;0)),TRUE,FALSE)</f>
        <v>0</v>
      </c>
      <c r="B3863" s="396" t="str">
        <f ca="1">IF(COUNTA(G$3060:G3862)=1,"",OFFSET(B3863,-COUNTA(G$3060:G3862)+1,0))</f>
        <v>a1bDm000000YZHLIA4</v>
      </c>
      <c r="C3863" s="392">
        <f ca="1">IF(COUNTA(G$3060:G3862)=1,"",OFFSET(C3863,-COUNTA(G$3060:G3862)+1,0))</f>
        <v>54</v>
      </c>
      <c r="D3863" s="387">
        <f t="shared" si="246"/>
        <v>321</v>
      </c>
      <c r="E3863" s="387">
        <f t="shared" ca="1" si="247"/>
        <v>3</v>
      </c>
      <c r="F3863" s="387">
        <f t="shared" ca="1" si="248"/>
        <v>62</v>
      </c>
      <c r="G3863" s="387"/>
      <c r="H3863" s="391" t="str">
        <f t="shared" ref="H3863:H3926" ca="1" si="250">CHOOSE(E3863,IFERROR(IF(INDIRECT("'WPTM - Section F'!H"&amp;F3863)=0,"",INDIRECT("'WPTM - Section F'!H"&amp;$F3863)),""),IFERROR(IF(INDIRECT("'WPTM - Section F'!J"&amp;F3863)=0,"",INDIRECT("'WPTM - Section F'!J"&amp;$F3863)),""),IFERROR(IF(INDIRECT("'WPTM - Section F'!L"&amp;F3863)=0,"",INDIRECT("'WPTM - Section F'!L"&amp;$F3863)),""),IFERROR(IF(INDIRECT("'WPTM - Section F'!N"&amp;F3863)=0,"",INDIRECT("'WPTM - Section F'!N"&amp;$F3863)),""),IFERROR(IF(INDIRECT("'WPTM - Section F'!P"&amp;F3863)=0,"",INDIRECT("'WPTM - Section F'!P"&amp;$F3863)),""),IFERROR(IF(INDIRECT("'WPTM - Section F'!R"&amp;F3863)=0,"",INDIRECT("'WPTM - Section F'!R"&amp;$F3863)),""),IFERROR(IF(INDIRECT("'WPTM - Section F'!T"&amp;F3863)=0,"",INDIRECT("'WPTM - Section F'!T"&amp;$F3863)),""),IFERROR(IF(INDIRECT("'WPTM - Section F'!V"&amp;F3863)=0,"",INDIRECT("'WPTM - Section F'!V"&amp;$F3863)),""),)</f>
        <v/>
      </c>
      <c r="I3863" s="391" t="str">
        <f t="shared" ref="I3863:I3926" ca="1" si="251">CHOOSE(E3863,IFERROR(IF(INDIRECT("'WPTM - Section F'!G"&amp;F3863)=0,"",INDIRECT("'WPTM - Section F'!G"&amp;$F3863)),""),IFERROR(IF(INDIRECT("'WPTM - Section F'!I"&amp;F3863)=0,"",INDIRECT("'WPTM - Section F'!I"&amp;$F3863)),""),IFERROR(IF(INDIRECT("'WPTM - Section F'!K"&amp;F3863)=0,"",INDIRECT("'WPTM - Section F'!K"&amp;$F3863)),""),IFERROR(IF(INDIRECT("'WPTM - Section F'!M"&amp;F3863)=0,"",INDIRECT("'WPTM - Section F'!M"&amp;$F3863)),""),IFERROR(IF(INDIRECT("'WPTM - Section F'!O"&amp;F3863)=0,"",INDIRECT("'WPTM - Section F'!O"&amp;$F3863)),""),IFERROR(IF(INDIRECT("'WPTM - Section F'!Q"&amp;F3863)=0,"",INDIRECT("'WPTM - Section F'!Q"&amp;$F3863)),""),IFERROR(IF(INDIRECT("'WPTM - Section F'!S"&amp;F3863)=0,"",INDIRECT("'WPTM - Section F'!S"&amp;$F3863)),""),IFERROR(IF(INDIRECT("'WPTM - Section F'!U"&amp;F3863)=0,"",INDIRECT("'WPTM - Section F'!U"&amp;$F3863)),""),)</f>
        <v/>
      </c>
    </row>
    <row r="3864" spans="1:9">
      <c r="A3864" s="387" t="b">
        <f t="shared" ca="1" si="249"/>
        <v>0</v>
      </c>
      <c r="B3864" s="396" t="str">
        <f ca="1">IF(COUNTA(G$3060:G3863)=1,"",OFFSET(B3864,-COUNTA(G$3060:G3863)+1,0))</f>
        <v>a1bDm000000YZIdIAO</v>
      </c>
      <c r="C3864" s="392">
        <f ca="1">IF(COUNTA(G$3060:G3863)=1,"",OFFSET(C3864,-COUNTA(G$3060:G3863)+1,0))</f>
        <v>54</v>
      </c>
      <c r="D3864" s="387">
        <f t="shared" si="246"/>
        <v>322</v>
      </c>
      <c r="E3864" s="387">
        <f t="shared" ca="1" si="247"/>
        <v>4</v>
      </c>
      <c r="F3864" s="387">
        <f t="shared" ca="1" si="248"/>
        <v>62</v>
      </c>
      <c r="G3864" s="387"/>
      <c r="H3864" s="391" t="str">
        <f t="shared" ca="1" si="250"/>
        <v/>
      </c>
      <c r="I3864" s="391" t="str">
        <f t="shared" ca="1" si="251"/>
        <v/>
      </c>
    </row>
    <row r="3865" spans="1:9">
      <c r="A3865" s="387" t="b">
        <f t="shared" ca="1" si="249"/>
        <v>0</v>
      </c>
      <c r="B3865" s="396" t="str">
        <f ca="1">IF(COUNTA(G$3060:G3864)=1,"",OFFSET(B3865,-COUNTA(G$3060:G3864)+1,0))</f>
        <v>a1bDm000000YZJvIAO</v>
      </c>
      <c r="C3865" s="392">
        <f ca="1">IF(COUNTA(G$3060:G3864)=1,"",OFFSET(C3865,-COUNTA(G$3060:G3864)+1,0))</f>
        <v>54</v>
      </c>
      <c r="D3865" s="387">
        <f t="shared" si="246"/>
        <v>323</v>
      </c>
      <c r="E3865" s="387">
        <f t="shared" ca="1" si="247"/>
        <v>5</v>
      </c>
      <c r="F3865" s="387">
        <f t="shared" ca="1" si="248"/>
        <v>62</v>
      </c>
      <c r="G3865" s="387"/>
      <c r="H3865" s="391" t="str">
        <f t="shared" ca="1" si="250"/>
        <v/>
      </c>
      <c r="I3865" s="391" t="str">
        <f t="shared" ca="1" si="251"/>
        <v/>
      </c>
    </row>
    <row r="3866" spans="1:9">
      <c r="A3866" s="387" t="b">
        <f t="shared" ca="1" si="249"/>
        <v>0</v>
      </c>
      <c r="B3866" s="396" t="str">
        <f ca="1">IF(COUNTA(G$3060:G3865)=1,"",OFFSET(B3866,-COUNTA(G$3060:G3865)+1,0))</f>
        <v>a1bDm000000YZLDIA4</v>
      </c>
      <c r="C3866" s="392">
        <f ca="1">IF(COUNTA(G$3060:G3865)=1,"",OFFSET(C3866,-COUNTA(G$3060:G3865)+1,0))</f>
        <v>54</v>
      </c>
      <c r="D3866" s="387">
        <f t="shared" si="246"/>
        <v>324</v>
      </c>
      <c r="E3866" s="387">
        <f t="shared" ca="1" si="247"/>
        <v>6</v>
      </c>
      <c r="F3866" s="387">
        <f t="shared" ca="1" si="248"/>
        <v>62</v>
      </c>
      <c r="G3866" s="387"/>
      <c r="H3866" s="391" t="str">
        <f t="shared" ca="1" si="250"/>
        <v/>
      </c>
      <c r="I3866" s="391" t="str">
        <f t="shared" ca="1" si="251"/>
        <v/>
      </c>
    </row>
    <row r="3867" spans="1:9">
      <c r="A3867" s="387" t="b">
        <f t="shared" ca="1" si="249"/>
        <v>0</v>
      </c>
      <c r="B3867" s="396" t="str">
        <f ca="1">IF(COUNTA(G$3060:G3866)=1,"",OFFSET(B3867,-COUNTA(G$3060:G3866)+1,0))</f>
        <v>a1bDm000000YZEmIAO</v>
      </c>
      <c r="C3867" s="392">
        <f ca="1">IF(COUNTA(G$3060:G3866)=1,"",OFFSET(C3867,-COUNTA(G$3060:G3866)+1,0))</f>
        <v>55</v>
      </c>
      <c r="D3867" s="387">
        <f t="shared" si="246"/>
        <v>325</v>
      </c>
      <c r="E3867" s="387">
        <f t="shared" ca="1" si="247"/>
        <v>1</v>
      </c>
      <c r="F3867" s="387">
        <f t="shared" ca="1" si="248"/>
        <v>63</v>
      </c>
      <c r="G3867" s="387"/>
      <c r="H3867" s="391" t="str">
        <f t="shared" ca="1" si="250"/>
        <v/>
      </c>
      <c r="I3867" s="391" t="str">
        <f t="shared" ca="1" si="251"/>
        <v/>
      </c>
    </row>
    <row r="3868" spans="1:9">
      <c r="A3868" s="387" t="b">
        <f t="shared" ca="1" si="249"/>
        <v>0</v>
      </c>
      <c r="B3868" s="396" t="str">
        <f ca="1">IF(COUNTA(G$3060:G3867)=1,"",OFFSET(B3868,-COUNTA(G$3060:G3867)+1,0))</f>
        <v>a1bDm000000YZG4IAO</v>
      </c>
      <c r="C3868" s="392">
        <f ca="1">IF(COUNTA(G$3060:G3867)=1,"",OFFSET(C3868,-COUNTA(G$3060:G3867)+1,0))</f>
        <v>55</v>
      </c>
      <c r="D3868" s="387">
        <f t="shared" si="246"/>
        <v>326</v>
      </c>
      <c r="E3868" s="387">
        <f t="shared" ca="1" si="247"/>
        <v>2</v>
      </c>
      <c r="F3868" s="387">
        <f t="shared" ca="1" si="248"/>
        <v>63</v>
      </c>
      <c r="G3868" s="387"/>
      <c r="H3868" s="391" t="str">
        <f t="shared" ca="1" si="250"/>
        <v/>
      </c>
      <c r="I3868" s="391" t="str">
        <f t="shared" ca="1" si="251"/>
        <v/>
      </c>
    </row>
    <row r="3869" spans="1:9">
      <c r="A3869" s="387" t="b">
        <f t="shared" ca="1" si="249"/>
        <v>0</v>
      </c>
      <c r="B3869" s="396" t="str">
        <f ca="1">IF(COUNTA(G$3060:G3868)=1,"",OFFSET(B3869,-COUNTA(G$3060:G3868)+1,0))</f>
        <v>a1bDm000000YZHMIA4</v>
      </c>
      <c r="C3869" s="392">
        <f ca="1">IF(COUNTA(G$3060:G3868)=1,"",OFFSET(C3869,-COUNTA(G$3060:G3868)+1,0))</f>
        <v>55</v>
      </c>
      <c r="D3869" s="387">
        <f t="shared" si="246"/>
        <v>327</v>
      </c>
      <c r="E3869" s="387">
        <f t="shared" ca="1" si="247"/>
        <v>3</v>
      </c>
      <c r="F3869" s="387">
        <f t="shared" ca="1" si="248"/>
        <v>63</v>
      </c>
      <c r="G3869" s="387"/>
      <c r="H3869" s="391" t="str">
        <f t="shared" ca="1" si="250"/>
        <v/>
      </c>
      <c r="I3869" s="391" t="str">
        <f t="shared" ca="1" si="251"/>
        <v/>
      </c>
    </row>
    <row r="3870" spans="1:9">
      <c r="A3870" s="387" t="b">
        <f t="shared" ca="1" si="249"/>
        <v>0</v>
      </c>
      <c r="B3870" s="396" t="str">
        <f ca="1">IF(COUNTA(G$3060:G3869)=1,"",OFFSET(B3870,-COUNTA(G$3060:G3869)+1,0))</f>
        <v>a1bDm000000YZIeIAO</v>
      </c>
      <c r="C3870" s="392">
        <f ca="1">IF(COUNTA(G$3060:G3869)=1,"",OFFSET(C3870,-COUNTA(G$3060:G3869)+1,0))</f>
        <v>55</v>
      </c>
      <c r="D3870" s="387">
        <f t="shared" si="246"/>
        <v>328</v>
      </c>
      <c r="E3870" s="387">
        <f t="shared" ca="1" si="247"/>
        <v>4</v>
      </c>
      <c r="F3870" s="387">
        <f t="shared" ca="1" si="248"/>
        <v>63</v>
      </c>
      <c r="G3870" s="387"/>
      <c r="H3870" s="391" t="str">
        <f t="shared" ca="1" si="250"/>
        <v/>
      </c>
      <c r="I3870" s="391" t="str">
        <f t="shared" ca="1" si="251"/>
        <v/>
      </c>
    </row>
    <row r="3871" spans="1:9">
      <c r="A3871" s="387" t="b">
        <f t="shared" ca="1" si="249"/>
        <v>0</v>
      </c>
      <c r="B3871" s="396" t="str">
        <f ca="1">IF(COUNTA(G$3060:G3870)=1,"",OFFSET(B3871,-COUNTA(G$3060:G3870)+1,0))</f>
        <v>a1bDm000000YZJwIAO</v>
      </c>
      <c r="C3871" s="392">
        <f ca="1">IF(COUNTA(G$3060:G3870)=1,"",OFFSET(C3871,-COUNTA(G$3060:G3870)+1,0))</f>
        <v>55</v>
      </c>
      <c r="D3871" s="387">
        <f t="shared" si="246"/>
        <v>329</v>
      </c>
      <c r="E3871" s="387">
        <f t="shared" ca="1" si="247"/>
        <v>5</v>
      </c>
      <c r="F3871" s="387">
        <f t="shared" ca="1" si="248"/>
        <v>63</v>
      </c>
      <c r="G3871" s="387"/>
      <c r="H3871" s="391" t="str">
        <f t="shared" ca="1" si="250"/>
        <v/>
      </c>
      <c r="I3871" s="391" t="str">
        <f t="shared" ca="1" si="251"/>
        <v/>
      </c>
    </row>
    <row r="3872" spans="1:9">
      <c r="A3872" s="387" t="b">
        <f t="shared" ca="1" si="249"/>
        <v>0</v>
      </c>
      <c r="B3872" s="396" t="str">
        <f ca="1">IF(COUNTA(G$3060:G3871)=1,"",OFFSET(B3872,-COUNTA(G$3060:G3871)+1,0))</f>
        <v>a1bDm000000YZLEIA4</v>
      </c>
      <c r="C3872" s="392">
        <f ca="1">IF(COUNTA(G$3060:G3871)=1,"",OFFSET(C3872,-COUNTA(G$3060:G3871)+1,0))</f>
        <v>55</v>
      </c>
      <c r="D3872" s="387">
        <f t="shared" si="246"/>
        <v>330</v>
      </c>
      <c r="E3872" s="387">
        <f t="shared" ca="1" si="247"/>
        <v>6</v>
      </c>
      <c r="F3872" s="387">
        <f t="shared" ca="1" si="248"/>
        <v>63</v>
      </c>
      <c r="G3872" s="387"/>
      <c r="H3872" s="391" t="str">
        <f t="shared" ca="1" si="250"/>
        <v/>
      </c>
      <c r="I3872" s="391" t="str">
        <f t="shared" ca="1" si="251"/>
        <v/>
      </c>
    </row>
    <row r="3873" spans="1:9">
      <c r="A3873" s="387" t="b">
        <f t="shared" ca="1" si="249"/>
        <v>0</v>
      </c>
      <c r="B3873" s="396" t="str">
        <f ca="1">IF(COUNTA(G$3060:G3872)=1,"",OFFSET(B3873,-COUNTA(G$3060:G3872)+1,0))</f>
        <v>a1bDm000000YZEnIAO</v>
      </c>
      <c r="C3873" s="392">
        <f ca="1">IF(COUNTA(G$3060:G3872)=1,"",OFFSET(C3873,-COUNTA(G$3060:G3872)+1,0))</f>
        <v>56</v>
      </c>
      <c r="D3873" s="387">
        <f t="shared" si="246"/>
        <v>331</v>
      </c>
      <c r="E3873" s="387">
        <f t="shared" ca="1" si="247"/>
        <v>1</v>
      </c>
      <c r="F3873" s="387">
        <f t="shared" ca="1" si="248"/>
        <v>64</v>
      </c>
      <c r="G3873" s="387"/>
      <c r="H3873" s="391" t="str">
        <f t="shared" ca="1" si="250"/>
        <v/>
      </c>
      <c r="I3873" s="391" t="str">
        <f t="shared" ca="1" si="251"/>
        <v/>
      </c>
    </row>
    <row r="3874" spans="1:9">
      <c r="A3874" s="387" t="b">
        <f t="shared" ca="1" si="249"/>
        <v>0</v>
      </c>
      <c r="B3874" s="396" t="str">
        <f ca="1">IF(COUNTA(G$3060:G3873)=1,"",OFFSET(B3874,-COUNTA(G$3060:G3873)+1,0))</f>
        <v>a1bDm000000YZG5IAO</v>
      </c>
      <c r="C3874" s="392">
        <f ca="1">IF(COUNTA(G$3060:G3873)=1,"",OFFSET(C3874,-COUNTA(G$3060:G3873)+1,0))</f>
        <v>56</v>
      </c>
      <c r="D3874" s="387">
        <f t="shared" si="246"/>
        <v>332</v>
      </c>
      <c r="E3874" s="387">
        <f t="shared" ca="1" si="247"/>
        <v>2</v>
      </c>
      <c r="F3874" s="387">
        <f t="shared" ca="1" si="248"/>
        <v>64</v>
      </c>
      <c r="G3874" s="387"/>
      <c r="H3874" s="391" t="str">
        <f t="shared" ca="1" si="250"/>
        <v/>
      </c>
      <c r="I3874" s="391" t="str">
        <f t="shared" ca="1" si="251"/>
        <v/>
      </c>
    </row>
    <row r="3875" spans="1:9">
      <c r="A3875" s="387" t="b">
        <f t="shared" ca="1" si="249"/>
        <v>0</v>
      </c>
      <c r="B3875" s="396" t="str">
        <f ca="1">IF(COUNTA(G$3060:G3874)=1,"",OFFSET(B3875,-COUNTA(G$3060:G3874)+1,0))</f>
        <v>a1bDm000000YZHNIA4</v>
      </c>
      <c r="C3875" s="392">
        <f ca="1">IF(COUNTA(G$3060:G3874)=1,"",OFFSET(C3875,-COUNTA(G$3060:G3874)+1,0))</f>
        <v>56</v>
      </c>
      <c r="D3875" s="387">
        <f t="shared" si="246"/>
        <v>333</v>
      </c>
      <c r="E3875" s="387">
        <f t="shared" ca="1" si="247"/>
        <v>3</v>
      </c>
      <c r="F3875" s="387">
        <f t="shared" ca="1" si="248"/>
        <v>64</v>
      </c>
      <c r="G3875" s="387"/>
      <c r="H3875" s="391" t="str">
        <f t="shared" ca="1" si="250"/>
        <v/>
      </c>
      <c r="I3875" s="391" t="str">
        <f t="shared" ca="1" si="251"/>
        <v/>
      </c>
    </row>
    <row r="3876" spans="1:9">
      <c r="A3876" s="387" t="b">
        <f t="shared" ca="1" si="249"/>
        <v>0</v>
      </c>
      <c r="B3876" s="396" t="str">
        <f ca="1">IF(COUNTA(G$3060:G3875)=1,"",OFFSET(B3876,-COUNTA(G$3060:G3875)+1,0))</f>
        <v>a1bDm000000YZIfIAO</v>
      </c>
      <c r="C3876" s="392">
        <f ca="1">IF(COUNTA(G$3060:G3875)=1,"",OFFSET(C3876,-COUNTA(G$3060:G3875)+1,0))</f>
        <v>56</v>
      </c>
      <c r="D3876" s="387">
        <f t="shared" si="246"/>
        <v>334</v>
      </c>
      <c r="E3876" s="387">
        <f t="shared" ca="1" si="247"/>
        <v>4</v>
      </c>
      <c r="F3876" s="387">
        <f t="shared" ca="1" si="248"/>
        <v>64</v>
      </c>
      <c r="G3876" s="387"/>
      <c r="H3876" s="391" t="str">
        <f t="shared" ca="1" si="250"/>
        <v/>
      </c>
      <c r="I3876" s="391" t="str">
        <f t="shared" ca="1" si="251"/>
        <v/>
      </c>
    </row>
    <row r="3877" spans="1:9">
      <c r="A3877" s="387" t="b">
        <f t="shared" ca="1" si="249"/>
        <v>0</v>
      </c>
      <c r="B3877" s="396" t="str">
        <f ca="1">IF(COUNTA(G$3060:G3876)=1,"",OFFSET(B3877,-COUNTA(G$3060:G3876)+1,0))</f>
        <v>a1bDm000000YZJxIAO</v>
      </c>
      <c r="C3877" s="392">
        <f ca="1">IF(COUNTA(G$3060:G3876)=1,"",OFFSET(C3877,-COUNTA(G$3060:G3876)+1,0))</f>
        <v>56</v>
      </c>
      <c r="D3877" s="387">
        <f t="shared" si="246"/>
        <v>335</v>
      </c>
      <c r="E3877" s="387">
        <f t="shared" ca="1" si="247"/>
        <v>5</v>
      </c>
      <c r="F3877" s="387">
        <f t="shared" ca="1" si="248"/>
        <v>64</v>
      </c>
      <c r="G3877" s="387"/>
      <c r="H3877" s="391" t="str">
        <f t="shared" ca="1" si="250"/>
        <v/>
      </c>
      <c r="I3877" s="391" t="str">
        <f t="shared" ca="1" si="251"/>
        <v/>
      </c>
    </row>
    <row r="3878" spans="1:9">
      <c r="A3878" s="387" t="b">
        <f t="shared" ca="1" si="249"/>
        <v>0</v>
      </c>
      <c r="B3878" s="396" t="str">
        <f ca="1">IF(COUNTA(G$3060:G3877)=1,"",OFFSET(B3878,-COUNTA(G$3060:G3877)+1,0))</f>
        <v>a1bDm000000YZLFIA4</v>
      </c>
      <c r="C3878" s="392">
        <f ca="1">IF(COUNTA(G$3060:G3877)=1,"",OFFSET(C3878,-COUNTA(G$3060:G3877)+1,0))</f>
        <v>56</v>
      </c>
      <c r="D3878" s="387">
        <f t="shared" si="246"/>
        <v>336</v>
      </c>
      <c r="E3878" s="387">
        <f t="shared" ca="1" si="247"/>
        <v>6</v>
      </c>
      <c r="F3878" s="387">
        <f t="shared" ca="1" si="248"/>
        <v>64</v>
      </c>
      <c r="G3878" s="387"/>
      <c r="H3878" s="391" t="str">
        <f t="shared" ca="1" si="250"/>
        <v/>
      </c>
      <c r="I3878" s="391" t="str">
        <f t="shared" ca="1" si="251"/>
        <v/>
      </c>
    </row>
    <row r="3879" spans="1:9">
      <c r="A3879" s="387" t="b">
        <f t="shared" ca="1" si="249"/>
        <v>0</v>
      </c>
      <c r="B3879" s="396" t="str">
        <f ca="1">IF(COUNTA(G$3060:G3878)=1,"",OFFSET(B3879,-COUNTA(G$3060:G3878)+1,0))</f>
        <v>a1bDm000000YZEoIAO</v>
      </c>
      <c r="C3879" s="392">
        <f ca="1">IF(COUNTA(G$3060:G3878)=1,"",OFFSET(C3879,-COUNTA(G$3060:G3878)+1,0))</f>
        <v>57</v>
      </c>
      <c r="D3879" s="387">
        <f t="shared" si="246"/>
        <v>337</v>
      </c>
      <c r="E3879" s="387">
        <f t="shared" ca="1" si="247"/>
        <v>1</v>
      </c>
      <c r="F3879" s="387">
        <f t="shared" ca="1" si="248"/>
        <v>65</v>
      </c>
      <c r="G3879" s="387"/>
      <c r="H3879" s="391" t="str">
        <f t="shared" ca="1" si="250"/>
        <v/>
      </c>
      <c r="I3879" s="391" t="str">
        <f t="shared" ca="1" si="251"/>
        <v/>
      </c>
    </row>
    <row r="3880" spans="1:9">
      <c r="A3880" s="387" t="b">
        <f t="shared" ca="1" si="249"/>
        <v>0</v>
      </c>
      <c r="B3880" s="396" t="str">
        <f ca="1">IF(COUNTA(G$3060:G3879)=1,"",OFFSET(B3880,-COUNTA(G$3060:G3879)+1,0))</f>
        <v>a1bDm000000YZG6IAO</v>
      </c>
      <c r="C3880" s="392">
        <f ca="1">IF(COUNTA(G$3060:G3879)=1,"",OFFSET(C3880,-COUNTA(G$3060:G3879)+1,0))</f>
        <v>57</v>
      </c>
      <c r="D3880" s="387">
        <f t="shared" si="246"/>
        <v>338</v>
      </c>
      <c r="E3880" s="387">
        <f t="shared" ca="1" si="247"/>
        <v>2</v>
      </c>
      <c r="F3880" s="387">
        <f t="shared" ca="1" si="248"/>
        <v>65</v>
      </c>
      <c r="G3880" s="387"/>
      <c r="H3880" s="391" t="str">
        <f t="shared" ca="1" si="250"/>
        <v/>
      </c>
      <c r="I3880" s="391" t="str">
        <f t="shared" ca="1" si="251"/>
        <v/>
      </c>
    </row>
    <row r="3881" spans="1:9">
      <c r="A3881" s="387" t="b">
        <f t="shared" ca="1" si="249"/>
        <v>0</v>
      </c>
      <c r="B3881" s="396" t="str">
        <f ca="1">IF(COUNTA(G$3060:G3880)=1,"",OFFSET(B3881,-COUNTA(G$3060:G3880)+1,0))</f>
        <v>a1bDm000000YZHOIA4</v>
      </c>
      <c r="C3881" s="392">
        <f ca="1">IF(COUNTA(G$3060:G3880)=1,"",OFFSET(C3881,-COUNTA(G$3060:G3880)+1,0))</f>
        <v>57</v>
      </c>
      <c r="D3881" s="387">
        <f t="shared" si="246"/>
        <v>339</v>
      </c>
      <c r="E3881" s="387">
        <f t="shared" ca="1" si="247"/>
        <v>3</v>
      </c>
      <c r="F3881" s="387">
        <f t="shared" ca="1" si="248"/>
        <v>65</v>
      </c>
      <c r="G3881" s="387"/>
      <c r="H3881" s="391" t="str">
        <f t="shared" ca="1" si="250"/>
        <v/>
      </c>
      <c r="I3881" s="391" t="str">
        <f t="shared" ca="1" si="251"/>
        <v/>
      </c>
    </row>
    <row r="3882" spans="1:9">
      <c r="A3882" s="387" t="b">
        <f t="shared" ca="1" si="249"/>
        <v>0</v>
      </c>
      <c r="B3882" s="396" t="str">
        <f ca="1">IF(COUNTA(G$3060:G3881)=1,"",OFFSET(B3882,-COUNTA(G$3060:G3881)+1,0))</f>
        <v>a1bDm000000YZIgIAO</v>
      </c>
      <c r="C3882" s="392">
        <f ca="1">IF(COUNTA(G$3060:G3881)=1,"",OFFSET(C3882,-COUNTA(G$3060:G3881)+1,0))</f>
        <v>57</v>
      </c>
      <c r="D3882" s="387">
        <f t="shared" si="246"/>
        <v>340</v>
      </c>
      <c r="E3882" s="387">
        <f t="shared" ca="1" si="247"/>
        <v>4</v>
      </c>
      <c r="F3882" s="387">
        <f t="shared" ca="1" si="248"/>
        <v>65</v>
      </c>
      <c r="G3882" s="387"/>
      <c r="H3882" s="391" t="str">
        <f t="shared" ca="1" si="250"/>
        <v/>
      </c>
      <c r="I3882" s="391" t="str">
        <f t="shared" ca="1" si="251"/>
        <v/>
      </c>
    </row>
    <row r="3883" spans="1:9">
      <c r="A3883" s="387" t="b">
        <f t="shared" ca="1" si="249"/>
        <v>0</v>
      </c>
      <c r="B3883" s="396" t="str">
        <f ca="1">IF(COUNTA(G$3060:G3882)=1,"",OFFSET(B3883,-COUNTA(G$3060:G3882)+1,0))</f>
        <v>a1bDm000000YZJyIAO</v>
      </c>
      <c r="C3883" s="392">
        <f ca="1">IF(COUNTA(G$3060:G3882)=1,"",OFFSET(C3883,-COUNTA(G$3060:G3882)+1,0))</f>
        <v>57</v>
      </c>
      <c r="D3883" s="387">
        <f t="shared" si="246"/>
        <v>341</v>
      </c>
      <c r="E3883" s="387">
        <f t="shared" ca="1" si="247"/>
        <v>5</v>
      </c>
      <c r="F3883" s="387">
        <f t="shared" ca="1" si="248"/>
        <v>65</v>
      </c>
      <c r="G3883" s="387"/>
      <c r="H3883" s="391" t="str">
        <f t="shared" ca="1" si="250"/>
        <v/>
      </c>
      <c r="I3883" s="391" t="str">
        <f t="shared" ca="1" si="251"/>
        <v/>
      </c>
    </row>
    <row r="3884" spans="1:9">
      <c r="A3884" s="387" t="b">
        <f t="shared" ca="1" si="249"/>
        <v>0</v>
      </c>
      <c r="B3884" s="396" t="str">
        <f ca="1">IF(COUNTA(G$3060:G3883)=1,"",OFFSET(B3884,-COUNTA(G$3060:G3883)+1,0))</f>
        <v>a1bDm000000YZLGIA4</v>
      </c>
      <c r="C3884" s="392">
        <f ca="1">IF(COUNTA(G$3060:G3883)=1,"",OFFSET(C3884,-COUNTA(G$3060:G3883)+1,0))</f>
        <v>57</v>
      </c>
      <c r="D3884" s="387">
        <f t="shared" si="246"/>
        <v>342</v>
      </c>
      <c r="E3884" s="387">
        <f t="shared" ca="1" si="247"/>
        <v>6</v>
      </c>
      <c r="F3884" s="387">
        <f t="shared" ca="1" si="248"/>
        <v>65</v>
      </c>
      <c r="G3884" s="387"/>
      <c r="H3884" s="391" t="str">
        <f t="shared" ca="1" si="250"/>
        <v/>
      </c>
      <c r="I3884" s="391" t="str">
        <f t="shared" ca="1" si="251"/>
        <v/>
      </c>
    </row>
    <row r="3885" spans="1:9">
      <c r="A3885" s="387" t="b">
        <f t="shared" ca="1" si="249"/>
        <v>0</v>
      </c>
      <c r="B3885" s="396" t="str">
        <f ca="1">IF(COUNTA(G$3060:G3884)=1,"",OFFSET(B3885,-COUNTA(G$3060:G3884)+1,0))</f>
        <v>a1bDm000000YZEpIAO</v>
      </c>
      <c r="C3885" s="392">
        <f ca="1">IF(COUNTA(G$3060:G3884)=1,"",OFFSET(C3885,-COUNTA(G$3060:G3884)+1,0))</f>
        <v>58</v>
      </c>
      <c r="D3885" s="387">
        <f t="shared" si="246"/>
        <v>343</v>
      </c>
      <c r="E3885" s="387">
        <f t="shared" ca="1" si="247"/>
        <v>1</v>
      </c>
      <c r="F3885" s="387">
        <f t="shared" ca="1" si="248"/>
        <v>66</v>
      </c>
      <c r="G3885" s="387"/>
      <c r="H3885" s="391" t="str">
        <f t="shared" ca="1" si="250"/>
        <v/>
      </c>
      <c r="I3885" s="391" t="str">
        <f t="shared" ca="1" si="251"/>
        <v/>
      </c>
    </row>
    <row r="3886" spans="1:9">
      <c r="A3886" s="387" t="b">
        <f t="shared" ca="1" si="249"/>
        <v>0</v>
      </c>
      <c r="B3886" s="396" t="str">
        <f ca="1">IF(COUNTA(G$3060:G3885)=1,"",OFFSET(B3886,-COUNTA(G$3060:G3885)+1,0))</f>
        <v>a1bDm000000YZG7IAO</v>
      </c>
      <c r="C3886" s="392">
        <f ca="1">IF(COUNTA(G$3060:G3885)=1,"",OFFSET(C3886,-COUNTA(G$3060:G3885)+1,0))</f>
        <v>58</v>
      </c>
      <c r="D3886" s="387">
        <f t="shared" si="246"/>
        <v>344</v>
      </c>
      <c r="E3886" s="387">
        <f t="shared" ca="1" si="247"/>
        <v>2</v>
      </c>
      <c r="F3886" s="387">
        <f t="shared" ca="1" si="248"/>
        <v>66</v>
      </c>
      <c r="G3886" s="387"/>
      <c r="H3886" s="391" t="str">
        <f t="shared" ca="1" si="250"/>
        <v/>
      </c>
      <c r="I3886" s="391" t="str">
        <f t="shared" ca="1" si="251"/>
        <v/>
      </c>
    </row>
    <row r="3887" spans="1:9">
      <c r="A3887" s="387" t="b">
        <f t="shared" ca="1" si="249"/>
        <v>0</v>
      </c>
      <c r="B3887" s="396" t="str">
        <f ca="1">IF(COUNTA(G$3060:G3886)=1,"",OFFSET(B3887,-COUNTA(G$3060:G3886)+1,0))</f>
        <v>a1bDm000000YZHPIA4</v>
      </c>
      <c r="C3887" s="392">
        <f ca="1">IF(COUNTA(G$3060:G3886)=1,"",OFFSET(C3887,-COUNTA(G$3060:G3886)+1,0))</f>
        <v>58</v>
      </c>
      <c r="D3887" s="387">
        <f t="shared" si="246"/>
        <v>345</v>
      </c>
      <c r="E3887" s="387">
        <f t="shared" ca="1" si="247"/>
        <v>3</v>
      </c>
      <c r="F3887" s="387">
        <f t="shared" ca="1" si="248"/>
        <v>66</v>
      </c>
      <c r="G3887" s="387"/>
      <c r="H3887" s="391" t="str">
        <f t="shared" ca="1" si="250"/>
        <v/>
      </c>
      <c r="I3887" s="391" t="str">
        <f t="shared" ca="1" si="251"/>
        <v/>
      </c>
    </row>
    <row r="3888" spans="1:9">
      <c r="A3888" s="387" t="b">
        <f t="shared" ca="1" si="249"/>
        <v>0</v>
      </c>
      <c r="B3888" s="396" t="str">
        <f ca="1">IF(COUNTA(G$3060:G3887)=1,"",OFFSET(B3888,-COUNTA(G$3060:G3887)+1,0))</f>
        <v>a1bDm000000YZIhIAO</v>
      </c>
      <c r="C3888" s="392">
        <f ca="1">IF(COUNTA(G$3060:G3887)=1,"",OFFSET(C3888,-COUNTA(G$3060:G3887)+1,0))</f>
        <v>58</v>
      </c>
      <c r="D3888" s="387">
        <f t="shared" si="246"/>
        <v>346</v>
      </c>
      <c r="E3888" s="387">
        <f t="shared" ca="1" si="247"/>
        <v>4</v>
      </c>
      <c r="F3888" s="387">
        <f t="shared" ca="1" si="248"/>
        <v>66</v>
      </c>
      <c r="G3888" s="387"/>
      <c r="H3888" s="391" t="str">
        <f t="shared" ca="1" si="250"/>
        <v/>
      </c>
      <c r="I3888" s="391" t="str">
        <f t="shared" ca="1" si="251"/>
        <v/>
      </c>
    </row>
    <row r="3889" spans="1:9">
      <c r="A3889" s="387" t="b">
        <f t="shared" ca="1" si="249"/>
        <v>0</v>
      </c>
      <c r="B3889" s="396" t="str">
        <f ca="1">IF(COUNTA(G$3060:G3888)=1,"",OFFSET(B3889,-COUNTA(G$3060:G3888)+1,0))</f>
        <v>a1bDm000000YZJzIAO</v>
      </c>
      <c r="C3889" s="392">
        <f ca="1">IF(COUNTA(G$3060:G3888)=1,"",OFFSET(C3889,-COUNTA(G$3060:G3888)+1,0))</f>
        <v>58</v>
      </c>
      <c r="D3889" s="387">
        <f t="shared" si="246"/>
        <v>347</v>
      </c>
      <c r="E3889" s="387">
        <f t="shared" ca="1" si="247"/>
        <v>5</v>
      </c>
      <c r="F3889" s="387">
        <f t="shared" ca="1" si="248"/>
        <v>66</v>
      </c>
      <c r="G3889" s="387"/>
      <c r="H3889" s="391" t="str">
        <f t="shared" ca="1" si="250"/>
        <v/>
      </c>
      <c r="I3889" s="391" t="str">
        <f t="shared" ca="1" si="251"/>
        <v/>
      </c>
    </row>
    <row r="3890" spans="1:9">
      <c r="A3890" s="387" t="b">
        <f t="shared" ca="1" si="249"/>
        <v>0</v>
      </c>
      <c r="B3890" s="396" t="str">
        <f ca="1">IF(COUNTA(G$3060:G3889)=1,"",OFFSET(B3890,-COUNTA(G$3060:G3889)+1,0))</f>
        <v>a1bDm000000YZLHIA4</v>
      </c>
      <c r="C3890" s="392">
        <f ca="1">IF(COUNTA(G$3060:G3889)=1,"",OFFSET(C3890,-COUNTA(G$3060:G3889)+1,0))</f>
        <v>58</v>
      </c>
      <c r="D3890" s="387">
        <f t="shared" si="246"/>
        <v>348</v>
      </c>
      <c r="E3890" s="387">
        <f t="shared" ca="1" si="247"/>
        <v>6</v>
      </c>
      <c r="F3890" s="387">
        <f t="shared" ca="1" si="248"/>
        <v>66</v>
      </c>
      <c r="G3890" s="387"/>
      <c r="H3890" s="391" t="str">
        <f t="shared" ca="1" si="250"/>
        <v/>
      </c>
      <c r="I3890" s="391" t="str">
        <f t="shared" ca="1" si="251"/>
        <v/>
      </c>
    </row>
    <row r="3891" spans="1:9">
      <c r="A3891" s="387" t="b">
        <f t="shared" ca="1" si="249"/>
        <v>0</v>
      </c>
      <c r="B3891" s="396" t="str">
        <f ca="1">IF(COUNTA(G$3060:G3890)=1,"",OFFSET(B3891,-COUNTA(G$3060:G3890)+1,0))</f>
        <v>a1bDm000000YZEqIAO</v>
      </c>
      <c r="C3891" s="392">
        <f ca="1">IF(COUNTA(G$3060:G3890)=1,"",OFFSET(C3891,-COUNTA(G$3060:G3890)+1,0))</f>
        <v>59</v>
      </c>
      <c r="D3891" s="387">
        <f t="shared" si="246"/>
        <v>349</v>
      </c>
      <c r="E3891" s="387">
        <f t="shared" ca="1" si="247"/>
        <v>1</v>
      </c>
      <c r="F3891" s="387">
        <f t="shared" ca="1" si="248"/>
        <v>67</v>
      </c>
      <c r="G3891" s="387"/>
      <c r="H3891" s="391" t="str">
        <f t="shared" ca="1" si="250"/>
        <v/>
      </c>
      <c r="I3891" s="391" t="str">
        <f t="shared" ca="1" si="251"/>
        <v/>
      </c>
    </row>
    <row r="3892" spans="1:9">
      <c r="A3892" s="387" t="b">
        <f t="shared" ca="1" si="249"/>
        <v>0</v>
      </c>
      <c r="B3892" s="396" t="str">
        <f ca="1">IF(COUNTA(G$3060:G3891)=1,"",OFFSET(B3892,-COUNTA(G$3060:G3891)+1,0))</f>
        <v>a1bDm000000YZG8IAO</v>
      </c>
      <c r="C3892" s="392">
        <f ca="1">IF(COUNTA(G$3060:G3891)=1,"",OFFSET(C3892,-COUNTA(G$3060:G3891)+1,0))</f>
        <v>59</v>
      </c>
      <c r="D3892" s="387">
        <f t="shared" si="246"/>
        <v>350</v>
      </c>
      <c r="E3892" s="387">
        <f t="shared" ca="1" si="247"/>
        <v>2</v>
      </c>
      <c r="F3892" s="387">
        <f t="shared" ca="1" si="248"/>
        <v>67</v>
      </c>
      <c r="G3892" s="387"/>
      <c r="H3892" s="391" t="str">
        <f t="shared" ca="1" si="250"/>
        <v/>
      </c>
      <c r="I3892" s="391" t="str">
        <f t="shared" ca="1" si="251"/>
        <v/>
      </c>
    </row>
    <row r="3893" spans="1:9">
      <c r="A3893" s="387" t="b">
        <f t="shared" ca="1" si="249"/>
        <v>0</v>
      </c>
      <c r="B3893" s="396" t="str">
        <f ca="1">IF(COUNTA(G$3060:G3892)=1,"",OFFSET(B3893,-COUNTA(G$3060:G3892)+1,0))</f>
        <v>a1bDm000000YZHQIA4</v>
      </c>
      <c r="C3893" s="392">
        <f ca="1">IF(COUNTA(G$3060:G3892)=1,"",OFFSET(C3893,-COUNTA(G$3060:G3892)+1,0))</f>
        <v>59</v>
      </c>
      <c r="D3893" s="387">
        <f t="shared" si="246"/>
        <v>351</v>
      </c>
      <c r="E3893" s="387">
        <f t="shared" ca="1" si="247"/>
        <v>3</v>
      </c>
      <c r="F3893" s="387">
        <f t="shared" ca="1" si="248"/>
        <v>67</v>
      </c>
      <c r="G3893" s="387"/>
      <c r="H3893" s="391" t="str">
        <f t="shared" ca="1" si="250"/>
        <v/>
      </c>
      <c r="I3893" s="391" t="str">
        <f t="shared" ca="1" si="251"/>
        <v/>
      </c>
    </row>
    <row r="3894" spans="1:9">
      <c r="A3894" s="387" t="b">
        <f t="shared" ca="1" si="249"/>
        <v>0</v>
      </c>
      <c r="B3894" s="396" t="str">
        <f ca="1">IF(COUNTA(G$3060:G3893)=1,"",OFFSET(B3894,-COUNTA(G$3060:G3893)+1,0))</f>
        <v>a1bDm000000YZIiIAO</v>
      </c>
      <c r="C3894" s="392">
        <f ca="1">IF(COUNTA(G$3060:G3893)=1,"",OFFSET(C3894,-COUNTA(G$3060:G3893)+1,0))</f>
        <v>59</v>
      </c>
      <c r="D3894" s="387">
        <f t="shared" si="246"/>
        <v>352</v>
      </c>
      <c r="E3894" s="387">
        <f t="shared" ca="1" si="247"/>
        <v>4</v>
      </c>
      <c r="F3894" s="387">
        <f t="shared" ca="1" si="248"/>
        <v>67</v>
      </c>
      <c r="G3894" s="387"/>
      <c r="H3894" s="391" t="str">
        <f t="shared" ca="1" si="250"/>
        <v/>
      </c>
      <c r="I3894" s="391" t="str">
        <f t="shared" ca="1" si="251"/>
        <v/>
      </c>
    </row>
    <row r="3895" spans="1:9">
      <c r="A3895" s="387" t="b">
        <f t="shared" ca="1" si="249"/>
        <v>0</v>
      </c>
      <c r="B3895" s="396" t="str">
        <f ca="1">IF(COUNTA(G$3060:G3894)=1,"",OFFSET(B3895,-COUNTA(G$3060:G3894)+1,0))</f>
        <v>a1bDm000000YZLIIA4</v>
      </c>
      <c r="C3895" s="392">
        <f ca="1">IF(COUNTA(G$3060:G3894)=1,"",OFFSET(C3895,-COUNTA(G$3060:G3894)+1,0))</f>
        <v>59</v>
      </c>
      <c r="D3895" s="387">
        <f t="shared" ref="D3895:D3958" si="252">D3894+1</f>
        <v>353</v>
      </c>
      <c r="E3895" s="387">
        <f t="shared" ref="E3895:E3958" ca="1" si="253">COUNTIF(C3725:C3895,C3895)</f>
        <v>5</v>
      </c>
      <c r="F3895" s="387">
        <f t="shared" ref="F3895:F3958" ca="1" si="254">IF(C3895=1,9,IF(E3894=MAX(E3893:E3895),F3893+1,F3894))</f>
        <v>67</v>
      </c>
      <c r="G3895" s="387"/>
      <c r="H3895" s="391" t="str">
        <f t="shared" ca="1" si="250"/>
        <v/>
      </c>
      <c r="I3895" s="391" t="str">
        <f t="shared" ca="1" si="251"/>
        <v/>
      </c>
    </row>
    <row r="3896" spans="1:9">
      <c r="A3896" s="387" t="b">
        <f t="shared" ca="1" si="249"/>
        <v>0</v>
      </c>
      <c r="B3896" s="396" t="str">
        <f ca="1">IF(COUNTA(G$3060:G3895)=1,"",OFFSET(B3896,-COUNTA(G$3060:G3895)+1,0))</f>
        <v>a1bDm000000YZK0IAO</v>
      </c>
      <c r="C3896" s="392">
        <f ca="1">IF(COUNTA(G$3060:G3895)=1,"",OFFSET(C3896,-COUNTA(G$3060:G3895)+1,0))</f>
        <v>59</v>
      </c>
      <c r="D3896" s="387">
        <f t="shared" si="252"/>
        <v>354</v>
      </c>
      <c r="E3896" s="387">
        <f t="shared" ca="1" si="253"/>
        <v>6</v>
      </c>
      <c r="F3896" s="387">
        <f t="shared" ca="1" si="254"/>
        <v>67</v>
      </c>
      <c r="G3896" s="387"/>
      <c r="H3896" s="391" t="str">
        <f t="shared" ca="1" si="250"/>
        <v/>
      </c>
      <c r="I3896" s="391" t="str">
        <f t="shared" ca="1" si="251"/>
        <v/>
      </c>
    </row>
    <row r="3897" spans="1:9">
      <c r="A3897" s="387" t="b">
        <f t="shared" ca="1" si="249"/>
        <v>0</v>
      </c>
      <c r="B3897" s="396" t="str">
        <f ca="1">IF(COUNTA(G$3060:G3896)=1,"",OFFSET(B3897,-COUNTA(G$3060:G3896)+1,0))</f>
        <v>a1bDm000000YZErIAO</v>
      </c>
      <c r="C3897" s="392">
        <f ca="1">IF(COUNTA(G$3060:G3896)=1,"",OFFSET(C3897,-COUNTA(G$3060:G3896)+1,0))</f>
        <v>60</v>
      </c>
      <c r="D3897" s="387">
        <f t="shared" si="252"/>
        <v>355</v>
      </c>
      <c r="E3897" s="387">
        <f t="shared" ca="1" si="253"/>
        <v>1</v>
      </c>
      <c r="F3897" s="387">
        <f t="shared" ca="1" si="254"/>
        <v>68</v>
      </c>
      <c r="G3897" s="387"/>
      <c r="H3897" s="391" t="str">
        <f t="shared" ca="1" si="250"/>
        <v/>
      </c>
      <c r="I3897" s="391" t="str">
        <f t="shared" ca="1" si="251"/>
        <v/>
      </c>
    </row>
    <row r="3898" spans="1:9">
      <c r="A3898" s="387" t="b">
        <f t="shared" ca="1" si="249"/>
        <v>0</v>
      </c>
      <c r="B3898" s="396" t="str">
        <f ca="1">IF(COUNTA(G$3060:G3897)=1,"",OFFSET(B3898,-COUNTA(G$3060:G3897)+1,0))</f>
        <v>a1bDm000000YZG9IAO</v>
      </c>
      <c r="C3898" s="392">
        <f ca="1">IF(COUNTA(G$3060:G3897)=1,"",OFFSET(C3898,-COUNTA(G$3060:G3897)+1,0))</f>
        <v>60</v>
      </c>
      <c r="D3898" s="387">
        <f t="shared" si="252"/>
        <v>356</v>
      </c>
      <c r="E3898" s="387">
        <f t="shared" ca="1" si="253"/>
        <v>2</v>
      </c>
      <c r="F3898" s="387">
        <f t="shared" ca="1" si="254"/>
        <v>68</v>
      </c>
      <c r="G3898" s="387"/>
      <c r="H3898" s="391" t="str">
        <f t="shared" ca="1" si="250"/>
        <v/>
      </c>
      <c r="I3898" s="391" t="str">
        <f t="shared" ca="1" si="251"/>
        <v/>
      </c>
    </row>
    <row r="3899" spans="1:9">
      <c r="A3899" s="387" t="b">
        <f t="shared" ca="1" si="249"/>
        <v>0</v>
      </c>
      <c r="B3899" s="396" t="str">
        <f ca="1">IF(COUNTA(G$3060:G3898)=1,"",OFFSET(B3899,-COUNTA(G$3060:G3898)+1,0))</f>
        <v>a1bDm000000YZHRIA4</v>
      </c>
      <c r="C3899" s="392">
        <f ca="1">IF(COUNTA(G$3060:G3898)=1,"",OFFSET(C3899,-COUNTA(G$3060:G3898)+1,0))</f>
        <v>60</v>
      </c>
      <c r="D3899" s="387">
        <f t="shared" si="252"/>
        <v>357</v>
      </c>
      <c r="E3899" s="387">
        <f t="shared" ca="1" si="253"/>
        <v>3</v>
      </c>
      <c r="F3899" s="387">
        <f t="shared" ca="1" si="254"/>
        <v>68</v>
      </c>
      <c r="G3899" s="387"/>
      <c r="H3899" s="391" t="str">
        <f t="shared" ca="1" si="250"/>
        <v/>
      </c>
      <c r="I3899" s="391" t="str">
        <f t="shared" ca="1" si="251"/>
        <v/>
      </c>
    </row>
    <row r="3900" spans="1:9">
      <c r="A3900" s="387" t="b">
        <f t="shared" ca="1" si="249"/>
        <v>0</v>
      </c>
      <c r="B3900" s="396" t="str">
        <f ca="1">IF(COUNTA(G$3060:G3899)=1,"",OFFSET(B3900,-COUNTA(G$3060:G3899)+1,0))</f>
        <v>a1bDm000000YZIjIAO</v>
      </c>
      <c r="C3900" s="392">
        <f ca="1">IF(COUNTA(G$3060:G3899)=1,"",OFFSET(C3900,-COUNTA(G$3060:G3899)+1,0))</f>
        <v>60</v>
      </c>
      <c r="D3900" s="387">
        <f t="shared" si="252"/>
        <v>358</v>
      </c>
      <c r="E3900" s="387">
        <f t="shared" ca="1" si="253"/>
        <v>4</v>
      </c>
      <c r="F3900" s="387">
        <f t="shared" ca="1" si="254"/>
        <v>68</v>
      </c>
      <c r="G3900" s="387"/>
      <c r="H3900" s="391" t="str">
        <f t="shared" ca="1" si="250"/>
        <v/>
      </c>
      <c r="I3900" s="391" t="str">
        <f t="shared" ca="1" si="251"/>
        <v/>
      </c>
    </row>
    <row r="3901" spans="1:9">
      <c r="A3901" s="387" t="b">
        <f t="shared" ca="1" si="249"/>
        <v>0</v>
      </c>
      <c r="B3901" s="396" t="str">
        <f ca="1">IF(COUNTA(G$3060:G3900)=1,"",OFFSET(B3901,-COUNTA(G$3060:G3900)+1,0))</f>
        <v>a1bDm000000YZLJIA4</v>
      </c>
      <c r="C3901" s="392">
        <f ca="1">IF(COUNTA(G$3060:G3900)=1,"",OFFSET(C3901,-COUNTA(G$3060:G3900)+1,0))</f>
        <v>60</v>
      </c>
      <c r="D3901" s="387">
        <f t="shared" si="252"/>
        <v>359</v>
      </c>
      <c r="E3901" s="387">
        <f t="shared" ca="1" si="253"/>
        <v>5</v>
      </c>
      <c r="F3901" s="387">
        <f t="shared" ca="1" si="254"/>
        <v>68</v>
      </c>
      <c r="G3901" s="387"/>
      <c r="H3901" s="391" t="str">
        <f t="shared" ca="1" si="250"/>
        <v/>
      </c>
      <c r="I3901" s="391" t="str">
        <f t="shared" ca="1" si="251"/>
        <v/>
      </c>
    </row>
    <row r="3902" spans="1:9">
      <c r="A3902" s="387" t="b">
        <f t="shared" ca="1" si="249"/>
        <v>0</v>
      </c>
      <c r="B3902" s="396" t="str">
        <f ca="1">IF(COUNTA(G$3060:G3901)=1,"",OFFSET(B3902,-COUNTA(G$3060:G3901)+1,0))</f>
        <v>a1bDm000000YZK1IAO</v>
      </c>
      <c r="C3902" s="392">
        <f ca="1">IF(COUNTA(G$3060:G3901)=1,"",OFFSET(C3902,-COUNTA(G$3060:G3901)+1,0))</f>
        <v>60</v>
      </c>
      <c r="D3902" s="387">
        <f t="shared" si="252"/>
        <v>360</v>
      </c>
      <c r="E3902" s="387">
        <f t="shared" ca="1" si="253"/>
        <v>6</v>
      </c>
      <c r="F3902" s="387">
        <f t="shared" ca="1" si="254"/>
        <v>68</v>
      </c>
      <c r="G3902" s="387"/>
      <c r="H3902" s="391" t="str">
        <f t="shared" ca="1" si="250"/>
        <v/>
      </c>
      <c r="I3902" s="391" t="str">
        <f t="shared" ca="1" si="251"/>
        <v/>
      </c>
    </row>
    <row r="3903" spans="1:9">
      <c r="A3903" s="387" t="b">
        <f t="shared" ca="1" si="249"/>
        <v>0</v>
      </c>
      <c r="B3903" s="396" t="str">
        <f ca="1">IF(COUNTA(G$3060:G3902)=1,"",OFFSET(B3903,-COUNTA(G$3060:G3902)+1,0))</f>
        <v>a1bDm000000YZEsIAO</v>
      </c>
      <c r="C3903" s="392">
        <f ca="1">IF(COUNTA(G$3060:G3902)=1,"",OFFSET(C3903,-COUNTA(G$3060:G3902)+1,0))</f>
        <v>61</v>
      </c>
      <c r="D3903" s="387">
        <f t="shared" si="252"/>
        <v>361</v>
      </c>
      <c r="E3903" s="387">
        <f t="shared" ca="1" si="253"/>
        <v>1</v>
      </c>
      <c r="F3903" s="387">
        <f t="shared" ca="1" si="254"/>
        <v>69</v>
      </c>
      <c r="G3903" s="387"/>
      <c r="H3903" s="391" t="str">
        <f t="shared" ca="1" si="250"/>
        <v/>
      </c>
      <c r="I3903" s="391" t="str">
        <f t="shared" ca="1" si="251"/>
        <v/>
      </c>
    </row>
    <row r="3904" spans="1:9">
      <c r="A3904" s="387" t="b">
        <f t="shared" ca="1" si="249"/>
        <v>0</v>
      </c>
      <c r="B3904" s="396" t="str">
        <f ca="1">IF(COUNTA(G$3060:G3903)=1,"",OFFSET(B3904,-COUNTA(G$3060:G3903)+1,0))</f>
        <v>a1bDm000000YZGAIA4</v>
      </c>
      <c r="C3904" s="392">
        <f ca="1">IF(COUNTA(G$3060:G3903)=1,"",OFFSET(C3904,-COUNTA(G$3060:G3903)+1,0))</f>
        <v>61</v>
      </c>
      <c r="D3904" s="387">
        <f t="shared" si="252"/>
        <v>362</v>
      </c>
      <c r="E3904" s="387">
        <f t="shared" ca="1" si="253"/>
        <v>2</v>
      </c>
      <c r="F3904" s="387">
        <f t="shared" ca="1" si="254"/>
        <v>69</v>
      </c>
      <c r="G3904" s="387"/>
      <c r="H3904" s="391" t="str">
        <f t="shared" ca="1" si="250"/>
        <v/>
      </c>
      <c r="I3904" s="391" t="str">
        <f t="shared" ca="1" si="251"/>
        <v/>
      </c>
    </row>
    <row r="3905" spans="1:9">
      <c r="A3905" s="387" t="b">
        <f t="shared" ca="1" si="249"/>
        <v>0</v>
      </c>
      <c r="B3905" s="396" t="str">
        <f ca="1">IF(COUNTA(G$3060:G3904)=1,"",OFFSET(B3905,-COUNTA(G$3060:G3904)+1,0))</f>
        <v>a1bDm000000YZHSIA4</v>
      </c>
      <c r="C3905" s="392">
        <f ca="1">IF(COUNTA(G$3060:G3904)=1,"",OFFSET(C3905,-COUNTA(G$3060:G3904)+1,0))</f>
        <v>61</v>
      </c>
      <c r="D3905" s="387">
        <f t="shared" si="252"/>
        <v>363</v>
      </c>
      <c r="E3905" s="387">
        <f t="shared" ca="1" si="253"/>
        <v>3</v>
      </c>
      <c r="F3905" s="387">
        <f t="shared" ca="1" si="254"/>
        <v>69</v>
      </c>
      <c r="G3905" s="387"/>
      <c r="H3905" s="391" t="str">
        <f t="shared" ca="1" si="250"/>
        <v/>
      </c>
      <c r="I3905" s="391" t="str">
        <f t="shared" ca="1" si="251"/>
        <v/>
      </c>
    </row>
    <row r="3906" spans="1:9">
      <c r="A3906" s="387" t="b">
        <f t="shared" ca="1" si="249"/>
        <v>0</v>
      </c>
      <c r="B3906" s="396" t="str">
        <f ca="1">IF(COUNTA(G$3060:G3905)=1,"",OFFSET(B3906,-COUNTA(G$3060:G3905)+1,0))</f>
        <v>a1bDm000000YZIkIAO</v>
      </c>
      <c r="C3906" s="392">
        <f ca="1">IF(COUNTA(G$3060:G3905)=1,"",OFFSET(C3906,-COUNTA(G$3060:G3905)+1,0))</f>
        <v>61</v>
      </c>
      <c r="D3906" s="387">
        <f t="shared" si="252"/>
        <v>364</v>
      </c>
      <c r="E3906" s="387">
        <f t="shared" ca="1" si="253"/>
        <v>4</v>
      </c>
      <c r="F3906" s="387">
        <f t="shared" ca="1" si="254"/>
        <v>69</v>
      </c>
      <c r="G3906" s="387"/>
      <c r="H3906" s="391" t="str">
        <f t="shared" ca="1" si="250"/>
        <v/>
      </c>
      <c r="I3906" s="391" t="str">
        <f t="shared" ca="1" si="251"/>
        <v/>
      </c>
    </row>
    <row r="3907" spans="1:9">
      <c r="A3907" s="387" t="b">
        <f t="shared" ca="1" si="249"/>
        <v>0</v>
      </c>
      <c r="B3907" s="396" t="str">
        <f ca="1">IF(COUNTA(G$3060:G3906)=1,"",OFFSET(B3907,-COUNTA(G$3060:G3906)+1,0))</f>
        <v>a1bDm000000YZLKIA4</v>
      </c>
      <c r="C3907" s="392">
        <f ca="1">IF(COUNTA(G$3060:G3906)=1,"",OFFSET(C3907,-COUNTA(G$3060:G3906)+1,0))</f>
        <v>61</v>
      </c>
      <c r="D3907" s="387">
        <f t="shared" si="252"/>
        <v>365</v>
      </c>
      <c r="E3907" s="387">
        <f t="shared" ca="1" si="253"/>
        <v>5</v>
      </c>
      <c r="F3907" s="387">
        <f t="shared" ca="1" si="254"/>
        <v>69</v>
      </c>
      <c r="G3907" s="387"/>
      <c r="H3907" s="391" t="str">
        <f t="shared" ca="1" si="250"/>
        <v/>
      </c>
      <c r="I3907" s="391" t="str">
        <f t="shared" ca="1" si="251"/>
        <v/>
      </c>
    </row>
    <row r="3908" spans="1:9">
      <c r="A3908" s="387" t="b">
        <f t="shared" ca="1" si="249"/>
        <v>0</v>
      </c>
      <c r="B3908" s="396" t="str">
        <f ca="1">IF(COUNTA(G$3060:G3907)=1,"",OFFSET(B3908,-COUNTA(G$3060:G3907)+1,0))</f>
        <v>a1bDm000000YZK2IAO</v>
      </c>
      <c r="C3908" s="392">
        <f ca="1">IF(COUNTA(G$3060:G3907)=1,"",OFFSET(C3908,-COUNTA(G$3060:G3907)+1,0))</f>
        <v>61</v>
      </c>
      <c r="D3908" s="387">
        <f t="shared" si="252"/>
        <v>366</v>
      </c>
      <c r="E3908" s="387">
        <f t="shared" ca="1" si="253"/>
        <v>6</v>
      </c>
      <c r="F3908" s="387">
        <f t="shared" ca="1" si="254"/>
        <v>69</v>
      </c>
      <c r="G3908" s="387"/>
      <c r="H3908" s="391" t="str">
        <f t="shared" ca="1" si="250"/>
        <v/>
      </c>
      <c r="I3908" s="391" t="str">
        <f t="shared" ca="1" si="251"/>
        <v/>
      </c>
    </row>
    <row r="3909" spans="1:9">
      <c r="A3909" s="387" t="b">
        <f t="shared" ca="1" si="249"/>
        <v>0</v>
      </c>
      <c r="B3909" s="396" t="str">
        <f ca="1">IF(COUNTA(G$3060:G3908)=1,"",OFFSET(B3909,-COUNTA(G$3060:G3908)+1,0))</f>
        <v>a1bDm000000YZEtIAO</v>
      </c>
      <c r="C3909" s="392">
        <f ca="1">IF(COUNTA(G$3060:G3908)=1,"",OFFSET(C3909,-COUNTA(G$3060:G3908)+1,0))</f>
        <v>62</v>
      </c>
      <c r="D3909" s="387">
        <f t="shared" si="252"/>
        <v>367</v>
      </c>
      <c r="E3909" s="387">
        <f t="shared" ca="1" si="253"/>
        <v>1</v>
      </c>
      <c r="F3909" s="387">
        <f t="shared" ca="1" si="254"/>
        <v>70</v>
      </c>
      <c r="G3909" s="387"/>
      <c r="H3909" s="391" t="str">
        <f t="shared" ca="1" si="250"/>
        <v/>
      </c>
      <c r="I3909" s="391" t="str">
        <f t="shared" ca="1" si="251"/>
        <v/>
      </c>
    </row>
    <row r="3910" spans="1:9">
      <c r="A3910" s="387" t="b">
        <f t="shared" ca="1" si="249"/>
        <v>0</v>
      </c>
      <c r="B3910" s="396" t="str">
        <f ca="1">IF(COUNTA(G$3060:G3909)=1,"",OFFSET(B3910,-COUNTA(G$3060:G3909)+1,0))</f>
        <v>a1bDm000000YZGBIA4</v>
      </c>
      <c r="C3910" s="392">
        <f ca="1">IF(COUNTA(G$3060:G3909)=1,"",OFFSET(C3910,-COUNTA(G$3060:G3909)+1,0))</f>
        <v>62</v>
      </c>
      <c r="D3910" s="387">
        <f t="shared" si="252"/>
        <v>368</v>
      </c>
      <c r="E3910" s="387">
        <f t="shared" ca="1" si="253"/>
        <v>2</v>
      </c>
      <c r="F3910" s="387">
        <f t="shared" ca="1" si="254"/>
        <v>70</v>
      </c>
      <c r="G3910" s="387"/>
      <c r="H3910" s="391" t="str">
        <f t="shared" ca="1" si="250"/>
        <v/>
      </c>
      <c r="I3910" s="391" t="str">
        <f t="shared" ca="1" si="251"/>
        <v/>
      </c>
    </row>
    <row r="3911" spans="1:9">
      <c r="A3911" s="387" t="b">
        <f t="shared" ca="1" si="249"/>
        <v>0</v>
      </c>
      <c r="B3911" s="396" t="str">
        <f ca="1">IF(COUNTA(G$3060:G3910)=1,"",OFFSET(B3911,-COUNTA(G$3060:G3910)+1,0))</f>
        <v>a1bDm000000YZHTIA4</v>
      </c>
      <c r="C3911" s="392">
        <f ca="1">IF(COUNTA(G$3060:G3910)=1,"",OFFSET(C3911,-COUNTA(G$3060:G3910)+1,0))</f>
        <v>62</v>
      </c>
      <c r="D3911" s="387">
        <f t="shared" si="252"/>
        <v>369</v>
      </c>
      <c r="E3911" s="387">
        <f t="shared" ca="1" si="253"/>
        <v>3</v>
      </c>
      <c r="F3911" s="387">
        <f t="shared" ca="1" si="254"/>
        <v>70</v>
      </c>
      <c r="G3911" s="387"/>
      <c r="H3911" s="391" t="str">
        <f t="shared" ca="1" si="250"/>
        <v/>
      </c>
      <c r="I3911" s="391" t="str">
        <f t="shared" ca="1" si="251"/>
        <v/>
      </c>
    </row>
    <row r="3912" spans="1:9">
      <c r="A3912" s="387" t="b">
        <f t="shared" ca="1" si="249"/>
        <v>0</v>
      </c>
      <c r="B3912" s="396" t="str">
        <f ca="1">IF(COUNTA(G$3060:G3911)=1,"",OFFSET(B3912,-COUNTA(G$3060:G3911)+1,0))</f>
        <v>a1bDm000000YZIlIAO</v>
      </c>
      <c r="C3912" s="392">
        <f ca="1">IF(COUNTA(G$3060:G3911)=1,"",OFFSET(C3912,-COUNTA(G$3060:G3911)+1,0))</f>
        <v>62</v>
      </c>
      <c r="D3912" s="387">
        <f t="shared" si="252"/>
        <v>370</v>
      </c>
      <c r="E3912" s="387">
        <f t="shared" ca="1" si="253"/>
        <v>4</v>
      </c>
      <c r="F3912" s="387">
        <f t="shared" ca="1" si="254"/>
        <v>70</v>
      </c>
      <c r="G3912" s="387"/>
      <c r="H3912" s="391" t="str">
        <f t="shared" ca="1" si="250"/>
        <v/>
      </c>
      <c r="I3912" s="391" t="str">
        <f t="shared" ca="1" si="251"/>
        <v/>
      </c>
    </row>
    <row r="3913" spans="1:9">
      <c r="A3913" s="387" t="b">
        <f t="shared" ca="1" si="249"/>
        <v>0</v>
      </c>
      <c r="B3913" s="396" t="str">
        <f ca="1">IF(COUNTA(G$3060:G3912)=1,"",OFFSET(B3913,-COUNTA(G$3060:G3912)+1,0))</f>
        <v>a1bDm000000YZK3IAO</v>
      </c>
      <c r="C3913" s="392">
        <f ca="1">IF(COUNTA(G$3060:G3912)=1,"",OFFSET(C3913,-COUNTA(G$3060:G3912)+1,0))</f>
        <v>62</v>
      </c>
      <c r="D3913" s="387">
        <f t="shared" si="252"/>
        <v>371</v>
      </c>
      <c r="E3913" s="387">
        <f t="shared" ca="1" si="253"/>
        <v>5</v>
      </c>
      <c r="F3913" s="387">
        <f t="shared" ca="1" si="254"/>
        <v>70</v>
      </c>
      <c r="G3913" s="387"/>
      <c r="H3913" s="391" t="str">
        <f t="shared" ca="1" si="250"/>
        <v/>
      </c>
      <c r="I3913" s="391" t="str">
        <f t="shared" ca="1" si="251"/>
        <v/>
      </c>
    </row>
    <row r="3914" spans="1:9">
      <c r="A3914" s="387" t="b">
        <f t="shared" ca="1" si="249"/>
        <v>0</v>
      </c>
      <c r="B3914" s="396" t="str">
        <f ca="1">IF(COUNTA(G$3060:G3913)=1,"",OFFSET(B3914,-COUNTA(G$3060:G3913)+1,0))</f>
        <v>a1bDm000000YZLLIA4</v>
      </c>
      <c r="C3914" s="392">
        <f ca="1">IF(COUNTA(G$3060:G3913)=1,"",OFFSET(C3914,-COUNTA(G$3060:G3913)+1,0))</f>
        <v>62</v>
      </c>
      <c r="D3914" s="387">
        <f t="shared" si="252"/>
        <v>372</v>
      </c>
      <c r="E3914" s="387">
        <f t="shared" ca="1" si="253"/>
        <v>6</v>
      </c>
      <c r="F3914" s="387">
        <f t="shared" ca="1" si="254"/>
        <v>70</v>
      </c>
      <c r="G3914" s="387"/>
      <c r="H3914" s="391" t="str">
        <f t="shared" ca="1" si="250"/>
        <v/>
      </c>
      <c r="I3914" s="391" t="str">
        <f t="shared" ca="1" si="251"/>
        <v/>
      </c>
    </row>
    <row r="3915" spans="1:9">
      <c r="A3915" s="387" t="b">
        <f t="shared" ca="1" si="249"/>
        <v>0</v>
      </c>
      <c r="B3915" s="396" t="str">
        <f ca="1">IF(COUNTA(G$3060:G3914)=1,"",OFFSET(B3915,-COUNTA(G$3060:G3914)+1,0))</f>
        <v>a1bDm000000YZEuIAO</v>
      </c>
      <c r="C3915" s="392">
        <f ca="1">IF(COUNTA(G$3060:G3914)=1,"",OFFSET(C3915,-COUNTA(G$3060:G3914)+1,0))</f>
        <v>63</v>
      </c>
      <c r="D3915" s="387">
        <f t="shared" si="252"/>
        <v>373</v>
      </c>
      <c r="E3915" s="387">
        <f t="shared" ca="1" si="253"/>
        <v>1</v>
      </c>
      <c r="F3915" s="387">
        <f t="shared" ca="1" si="254"/>
        <v>71</v>
      </c>
      <c r="G3915" s="387"/>
      <c r="H3915" s="391" t="str">
        <f t="shared" ca="1" si="250"/>
        <v/>
      </c>
      <c r="I3915" s="391" t="str">
        <f t="shared" ca="1" si="251"/>
        <v/>
      </c>
    </row>
    <row r="3916" spans="1:9">
      <c r="A3916" s="387" t="b">
        <f t="shared" ca="1" si="249"/>
        <v>0</v>
      </c>
      <c r="B3916" s="396" t="str">
        <f ca="1">IF(COUNTA(G$3060:G3915)=1,"",OFFSET(B3916,-COUNTA(G$3060:G3915)+1,0))</f>
        <v>a1bDm000000YZGCIA4</v>
      </c>
      <c r="C3916" s="392">
        <f ca="1">IF(COUNTA(G$3060:G3915)=1,"",OFFSET(C3916,-COUNTA(G$3060:G3915)+1,0))</f>
        <v>63</v>
      </c>
      <c r="D3916" s="387">
        <f t="shared" si="252"/>
        <v>374</v>
      </c>
      <c r="E3916" s="387">
        <f t="shared" ca="1" si="253"/>
        <v>2</v>
      </c>
      <c r="F3916" s="387">
        <f t="shared" ca="1" si="254"/>
        <v>71</v>
      </c>
      <c r="G3916" s="387"/>
      <c r="H3916" s="391" t="str">
        <f t="shared" ca="1" si="250"/>
        <v/>
      </c>
      <c r="I3916" s="391" t="str">
        <f t="shared" ca="1" si="251"/>
        <v/>
      </c>
    </row>
    <row r="3917" spans="1:9">
      <c r="A3917" s="387" t="b">
        <f t="shared" ca="1" si="249"/>
        <v>0</v>
      </c>
      <c r="B3917" s="396" t="str">
        <f ca="1">IF(COUNTA(G$3060:G3916)=1,"",OFFSET(B3917,-COUNTA(G$3060:G3916)+1,0))</f>
        <v>a1bDm000000YZHUIA4</v>
      </c>
      <c r="C3917" s="392">
        <f ca="1">IF(COUNTA(G$3060:G3916)=1,"",OFFSET(C3917,-COUNTA(G$3060:G3916)+1,0))</f>
        <v>63</v>
      </c>
      <c r="D3917" s="387">
        <f t="shared" si="252"/>
        <v>375</v>
      </c>
      <c r="E3917" s="387">
        <f t="shared" ca="1" si="253"/>
        <v>3</v>
      </c>
      <c r="F3917" s="387">
        <f t="shared" ca="1" si="254"/>
        <v>71</v>
      </c>
      <c r="G3917" s="387"/>
      <c r="H3917" s="391" t="str">
        <f t="shared" ca="1" si="250"/>
        <v/>
      </c>
      <c r="I3917" s="391" t="str">
        <f t="shared" ca="1" si="251"/>
        <v/>
      </c>
    </row>
    <row r="3918" spans="1:9">
      <c r="A3918" s="387" t="b">
        <f t="shared" ca="1" si="249"/>
        <v>0</v>
      </c>
      <c r="B3918" s="396" t="str">
        <f ca="1">IF(COUNTA(G$3060:G3917)=1,"",OFFSET(B3918,-COUNTA(G$3060:G3917)+1,0))</f>
        <v>a1bDm000000YZImIAO</v>
      </c>
      <c r="C3918" s="392">
        <f ca="1">IF(COUNTA(G$3060:G3917)=1,"",OFFSET(C3918,-COUNTA(G$3060:G3917)+1,0))</f>
        <v>63</v>
      </c>
      <c r="D3918" s="387">
        <f t="shared" si="252"/>
        <v>376</v>
      </c>
      <c r="E3918" s="387">
        <f t="shared" ca="1" si="253"/>
        <v>4</v>
      </c>
      <c r="F3918" s="387">
        <f t="shared" ca="1" si="254"/>
        <v>71</v>
      </c>
      <c r="G3918" s="387"/>
      <c r="H3918" s="391" t="str">
        <f t="shared" ca="1" si="250"/>
        <v/>
      </c>
      <c r="I3918" s="391" t="str">
        <f t="shared" ca="1" si="251"/>
        <v/>
      </c>
    </row>
    <row r="3919" spans="1:9">
      <c r="A3919" s="387" t="b">
        <f t="shared" ca="1" si="249"/>
        <v>0</v>
      </c>
      <c r="B3919" s="396" t="str">
        <f ca="1">IF(COUNTA(G$3060:G3918)=1,"",OFFSET(B3919,-COUNTA(G$3060:G3918)+1,0))</f>
        <v>a1bDm000000YZK4IAO</v>
      </c>
      <c r="C3919" s="392">
        <f ca="1">IF(COUNTA(G$3060:G3918)=1,"",OFFSET(C3919,-COUNTA(G$3060:G3918)+1,0))</f>
        <v>63</v>
      </c>
      <c r="D3919" s="387">
        <f t="shared" si="252"/>
        <v>377</v>
      </c>
      <c r="E3919" s="387">
        <f t="shared" ca="1" si="253"/>
        <v>5</v>
      </c>
      <c r="F3919" s="387">
        <f t="shared" ca="1" si="254"/>
        <v>71</v>
      </c>
      <c r="G3919" s="387"/>
      <c r="H3919" s="391" t="str">
        <f t="shared" ca="1" si="250"/>
        <v/>
      </c>
      <c r="I3919" s="391" t="str">
        <f t="shared" ca="1" si="251"/>
        <v/>
      </c>
    </row>
    <row r="3920" spans="1:9">
      <c r="A3920" s="387" t="b">
        <f t="shared" ca="1" si="249"/>
        <v>0</v>
      </c>
      <c r="B3920" s="396" t="str">
        <f ca="1">IF(COUNTA(G$3060:G3919)=1,"",OFFSET(B3920,-COUNTA(G$3060:G3919)+1,0))</f>
        <v>a1bDm000000YZLMIA4</v>
      </c>
      <c r="C3920" s="392">
        <f ca="1">IF(COUNTA(G$3060:G3919)=1,"",OFFSET(C3920,-COUNTA(G$3060:G3919)+1,0))</f>
        <v>63</v>
      </c>
      <c r="D3920" s="387">
        <f t="shared" si="252"/>
        <v>378</v>
      </c>
      <c r="E3920" s="387">
        <f t="shared" ca="1" si="253"/>
        <v>6</v>
      </c>
      <c r="F3920" s="387">
        <f t="shared" ca="1" si="254"/>
        <v>71</v>
      </c>
      <c r="G3920" s="387"/>
      <c r="H3920" s="391" t="str">
        <f t="shared" ca="1" si="250"/>
        <v/>
      </c>
      <c r="I3920" s="391" t="str">
        <f t="shared" ca="1" si="251"/>
        <v/>
      </c>
    </row>
    <row r="3921" spans="1:9">
      <c r="A3921" s="387" t="b">
        <f t="shared" ca="1" si="249"/>
        <v>0</v>
      </c>
      <c r="B3921" s="396" t="str">
        <f ca="1">IF(COUNTA(G$3060:G3920)=1,"",OFFSET(B3921,-COUNTA(G$3060:G3920)+1,0))</f>
        <v>a1bDm000000YZEvIAO</v>
      </c>
      <c r="C3921" s="392">
        <f ca="1">IF(COUNTA(G$3060:G3920)=1,"",OFFSET(C3921,-COUNTA(G$3060:G3920)+1,0))</f>
        <v>64</v>
      </c>
      <c r="D3921" s="387">
        <f t="shared" si="252"/>
        <v>379</v>
      </c>
      <c r="E3921" s="387">
        <f t="shared" ca="1" si="253"/>
        <v>1</v>
      </c>
      <c r="F3921" s="387">
        <f t="shared" ca="1" si="254"/>
        <v>72</v>
      </c>
      <c r="G3921" s="387"/>
      <c r="H3921" s="391" t="str">
        <f t="shared" ca="1" si="250"/>
        <v/>
      </c>
      <c r="I3921" s="391" t="str">
        <f t="shared" ca="1" si="251"/>
        <v/>
      </c>
    </row>
    <row r="3922" spans="1:9">
      <c r="A3922" s="387" t="b">
        <f t="shared" ca="1" si="249"/>
        <v>0</v>
      </c>
      <c r="B3922" s="396" t="str">
        <f ca="1">IF(COUNTA(G$3060:G3921)=1,"",OFFSET(B3922,-COUNTA(G$3060:G3921)+1,0))</f>
        <v>a1bDm000000YZGDIA4</v>
      </c>
      <c r="C3922" s="392">
        <f ca="1">IF(COUNTA(G$3060:G3921)=1,"",OFFSET(C3922,-COUNTA(G$3060:G3921)+1,0))</f>
        <v>64</v>
      </c>
      <c r="D3922" s="387">
        <f t="shared" si="252"/>
        <v>380</v>
      </c>
      <c r="E3922" s="387">
        <f t="shared" ca="1" si="253"/>
        <v>2</v>
      </c>
      <c r="F3922" s="387">
        <f t="shared" ca="1" si="254"/>
        <v>72</v>
      </c>
      <c r="G3922" s="387"/>
      <c r="H3922" s="391" t="str">
        <f t="shared" ca="1" si="250"/>
        <v/>
      </c>
      <c r="I3922" s="391" t="str">
        <f t="shared" ca="1" si="251"/>
        <v/>
      </c>
    </row>
    <row r="3923" spans="1:9">
      <c r="A3923" s="387" t="b">
        <f t="shared" ca="1" si="249"/>
        <v>0</v>
      </c>
      <c r="B3923" s="396" t="str">
        <f ca="1">IF(COUNTA(G$3060:G3922)=1,"",OFFSET(B3923,-COUNTA(G$3060:G3922)+1,0))</f>
        <v>a1bDm000000YZHVIA4</v>
      </c>
      <c r="C3923" s="392">
        <f ca="1">IF(COUNTA(G$3060:G3922)=1,"",OFFSET(C3923,-COUNTA(G$3060:G3922)+1,0))</f>
        <v>64</v>
      </c>
      <c r="D3923" s="387">
        <f t="shared" si="252"/>
        <v>381</v>
      </c>
      <c r="E3923" s="387">
        <f t="shared" ca="1" si="253"/>
        <v>3</v>
      </c>
      <c r="F3923" s="387">
        <f t="shared" ca="1" si="254"/>
        <v>72</v>
      </c>
      <c r="G3923" s="387"/>
      <c r="H3923" s="391" t="str">
        <f t="shared" ca="1" si="250"/>
        <v/>
      </c>
      <c r="I3923" s="391" t="str">
        <f t="shared" ca="1" si="251"/>
        <v/>
      </c>
    </row>
    <row r="3924" spans="1:9">
      <c r="A3924" s="387" t="b">
        <f t="shared" ca="1" si="249"/>
        <v>0</v>
      </c>
      <c r="B3924" s="396" t="str">
        <f ca="1">IF(COUNTA(G$3060:G3923)=1,"",OFFSET(B3924,-COUNTA(G$3060:G3923)+1,0))</f>
        <v>a1bDm000000YZInIAO</v>
      </c>
      <c r="C3924" s="392">
        <f ca="1">IF(COUNTA(G$3060:G3923)=1,"",OFFSET(C3924,-COUNTA(G$3060:G3923)+1,0))</f>
        <v>64</v>
      </c>
      <c r="D3924" s="387">
        <f t="shared" si="252"/>
        <v>382</v>
      </c>
      <c r="E3924" s="387">
        <f t="shared" ca="1" si="253"/>
        <v>4</v>
      </c>
      <c r="F3924" s="387">
        <f t="shared" ca="1" si="254"/>
        <v>72</v>
      </c>
      <c r="G3924" s="387"/>
      <c r="H3924" s="391" t="str">
        <f t="shared" ca="1" si="250"/>
        <v/>
      </c>
      <c r="I3924" s="391" t="str">
        <f t="shared" ca="1" si="251"/>
        <v/>
      </c>
    </row>
    <row r="3925" spans="1:9">
      <c r="A3925" s="387" t="b">
        <f t="shared" ca="1" si="249"/>
        <v>0</v>
      </c>
      <c r="B3925" s="396" t="str">
        <f ca="1">IF(COUNTA(G$3060:G3924)=1,"",OFFSET(B3925,-COUNTA(G$3060:G3924)+1,0))</f>
        <v>a1bDm000000YZK5IAO</v>
      </c>
      <c r="C3925" s="392">
        <f ca="1">IF(COUNTA(G$3060:G3924)=1,"",OFFSET(C3925,-COUNTA(G$3060:G3924)+1,0))</f>
        <v>64</v>
      </c>
      <c r="D3925" s="387">
        <f t="shared" si="252"/>
        <v>383</v>
      </c>
      <c r="E3925" s="387">
        <f t="shared" ca="1" si="253"/>
        <v>5</v>
      </c>
      <c r="F3925" s="387">
        <f t="shared" ca="1" si="254"/>
        <v>72</v>
      </c>
      <c r="G3925" s="387"/>
      <c r="H3925" s="391" t="str">
        <f t="shared" ca="1" si="250"/>
        <v/>
      </c>
      <c r="I3925" s="391" t="str">
        <f t="shared" ca="1" si="251"/>
        <v/>
      </c>
    </row>
    <row r="3926" spans="1:9">
      <c r="A3926" s="387" t="b">
        <f t="shared" ca="1" si="249"/>
        <v>0</v>
      </c>
      <c r="B3926" s="396" t="str">
        <f ca="1">IF(COUNTA(G$3060:G3925)=1,"",OFFSET(B3926,-COUNTA(G$3060:G3925)+1,0))</f>
        <v>a1bDm000000YZLNIA4</v>
      </c>
      <c r="C3926" s="392">
        <f ca="1">IF(COUNTA(G$3060:G3925)=1,"",OFFSET(C3926,-COUNTA(G$3060:G3925)+1,0))</f>
        <v>64</v>
      </c>
      <c r="D3926" s="387">
        <f t="shared" si="252"/>
        <v>384</v>
      </c>
      <c r="E3926" s="387">
        <f t="shared" ca="1" si="253"/>
        <v>6</v>
      </c>
      <c r="F3926" s="387">
        <f t="shared" ca="1" si="254"/>
        <v>72</v>
      </c>
      <c r="G3926" s="387"/>
      <c r="H3926" s="391" t="str">
        <f t="shared" ca="1" si="250"/>
        <v/>
      </c>
      <c r="I3926" s="391" t="str">
        <f t="shared" ca="1" si="251"/>
        <v/>
      </c>
    </row>
    <row r="3927" spans="1:9">
      <c r="A3927" s="387" t="b">
        <f t="shared" ref="A3927:A3990" ca="1" si="255">IF(OR(AND(H3927&lt;&gt;"", H3927&lt;&gt;0), AND(I3927&lt;&gt;"",I3927&lt;&gt;0)),TRUE,FALSE)</f>
        <v>0</v>
      </c>
      <c r="B3927" s="396" t="str">
        <f ca="1">IF(COUNTA(G$3060:G3926)=1,"",OFFSET(B3927,-COUNTA(G$3060:G3926)+1,0))</f>
        <v>a1bDm000000YZEwIAO</v>
      </c>
      <c r="C3927" s="392">
        <f ca="1">IF(COUNTA(G$3060:G3926)=1,"",OFFSET(C3927,-COUNTA(G$3060:G3926)+1,0))</f>
        <v>65</v>
      </c>
      <c r="D3927" s="387">
        <f t="shared" si="252"/>
        <v>385</v>
      </c>
      <c r="E3927" s="387">
        <f t="shared" ca="1" si="253"/>
        <v>1</v>
      </c>
      <c r="F3927" s="387">
        <f t="shared" ca="1" si="254"/>
        <v>73</v>
      </c>
      <c r="G3927" s="387"/>
      <c r="H3927" s="391" t="str">
        <f t="shared" ref="H3927:H3990" ca="1" si="256">CHOOSE(E3927,IFERROR(IF(INDIRECT("'WPTM - Section F'!H"&amp;F3927)=0,"",INDIRECT("'WPTM - Section F'!H"&amp;$F3927)),""),IFERROR(IF(INDIRECT("'WPTM - Section F'!J"&amp;F3927)=0,"",INDIRECT("'WPTM - Section F'!J"&amp;$F3927)),""),IFERROR(IF(INDIRECT("'WPTM - Section F'!L"&amp;F3927)=0,"",INDIRECT("'WPTM - Section F'!L"&amp;$F3927)),""),IFERROR(IF(INDIRECT("'WPTM - Section F'!N"&amp;F3927)=0,"",INDIRECT("'WPTM - Section F'!N"&amp;$F3927)),""),IFERROR(IF(INDIRECT("'WPTM - Section F'!P"&amp;F3927)=0,"",INDIRECT("'WPTM - Section F'!P"&amp;$F3927)),""),IFERROR(IF(INDIRECT("'WPTM - Section F'!R"&amp;F3927)=0,"",INDIRECT("'WPTM - Section F'!R"&amp;$F3927)),""),IFERROR(IF(INDIRECT("'WPTM - Section F'!T"&amp;F3927)=0,"",INDIRECT("'WPTM - Section F'!T"&amp;$F3927)),""),IFERROR(IF(INDIRECT("'WPTM - Section F'!V"&amp;F3927)=0,"",INDIRECT("'WPTM - Section F'!V"&amp;$F3927)),""),)</f>
        <v/>
      </c>
      <c r="I3927" s="391" t="str">
        <f t="shared" ref="I3927:I3990" ca="1" si="257">CHOOSE(E3927,IFERROR(IF(INDIRECT("'WPTM - Section F'!G"&amp;F3927)=0,"",INDIRECT("'WPTM - Section F'!G"&amp;$F3927)),""),IFERROR(IF(INDIRECT("'WPTM - Section F'!I"&amp;F3927)=0,"",INDIRECT("'WPTM - Section F'!I"&amp;$F3927)),""),IFERROR(IF(INDIRECT("'WPTM - Section F'!K"&amp;F3927)=0,"",INDIRECT("'WPTM - Section F'!K"&amp;$F3927)),""),IFERROR(IF(INDIRECT("'WPTM - Section F'!M"&amp;F3927)=0,"",INDIRECT("'WPTM - Section F'!M"&amp;$F3927)),""),IFERROR(IF(INDIRECT("'WPTM - Section F'!O"&amp;F3927)=0,"",INDIRECT("'WPTM - Section F'!O"&amp;$F3927)),""),IFERROR(IF(INDIRECT("'WPTM - Section F'!Q"&amp;F3927)=0,"",INDIRECT("'WPTM - Section F'!Q"&amp;$F3927)),""),IFERROR(IF(INDIRECT("'WPTM - Section F'!S"&amp;F3927)=0,"",INDIRECT("'WPTM - Section F'!S"&amp;$F3927)),""),IFERROR(IF(INDIRECT("'WPTM - Section F'!U"&amp;F3927)=0,"",INDIRECT("'WPTM - Section F'!U"&amp;$F3927)),""),)</f>
        <v/>
      </c>
    </row>
    <row r="3928" spans="1:9">
      <c r="A3928" s="387" t="b">
        <f t="shared" ca="1" si="255"/>
        <v>0</v>
      </c>
      <c r="B3928" s="396" t="str">
        <f ca="1">IF(COUNTA(G$3060:G3927)=1,"",OFFSET(B3928,-COUNTA(G$3060:G3927)+1,0))</f>
        <v>a1bDm000000YZGEIA4</v>
      </c>
      <c r="C3928" s="392">
        <f ca="1">IF(COUNTA(G$3060:G3927)=1,"",OFFSET(C3928,-COUNTA(G$3060:G3927)+1,0))</f>
        <v>65</v>
      </c>
      <c r="D3928" s="387">
        <f t="shared" si="252"/>
        <v>386</v>
      </c>
      <c r="E3928" s="387">
        <f t="shared" ca="1" si="253"/>
        <v>2</v>
      </c>
      <c r="F3928" s="387">
        <f t="shared" ca="1" si="254"/>
        <v>73</v>
      </c>
      <c r="G3928" s="387"/>
      <c r="H3928" s="391" t="str">
        <f t="shared" ca="1" si="256"/>
        <v/>
      </c>
      <c r="I3928" s="391" t="str">
        <f t="shared" ca="1" si="257"/>
        <v/>
      </c>
    </row>
    <row r="3929" spans="1:9">
      <c r="A3929" s="387" t="b">
        <f t="shared" ca="1" si="255"/>
        <v>0</v>
      </c>
      <c r="B3929" s="396" t="str">
        <f ca="1">IF(COUNTA(G$3060:G3928)=1,"",OFFSET(B3929,-COUNTA(G$3060:G3928)+1,0))</f>
        <v>a1bDm000000YZHWIA4</v>
      </c>
      <c r="C3929" s="392">
        <f ca="1">IF(COUNTA(G$3060:G3928)=1,"",OFFSET(C3929,-COUNTA(G$3060:G3928)+1,0))</f>
        <v>65</v>
      </c>
      <c r="D3929" s="387">
        <f t="shared" si="252"/>
        <v>387</v>
      </c>
      <c r="E3929" s="387">
        <f t="shared" ca="1" si="253"/>
        <v>3</v>
      </c>
      <c r="F3929" s="387">
        <f t="shared" ca="1" si="254"/>
        <v>73</v>
      </c>
      <c r="G3929" s="387"/>
      <c r="H3929" s="391" t="str">
        <f t="shared" ca="1" si="256"/>
        <v/>
      </c>
      <c r="I3929" s="391" t="str">
        <f t="shared" ca="1" si="257"/>
        <v/>
      </c>
    </row>
    <row r="3930" spans="1:9">
      <c r="A3930" s="387" t="b">
        <f t="shared" ca="1" si="255"/>
        <v>0</v>
      </c>
      <c r="B3930" s="396" t="str">
        <f ca="1">IF(COUNTA(G$3060:G3929)=1,"",OFFSET(B3930,-COUNTA(G$3060:G3929)+1,0))</f>
        <v>a1bDm000000YZIoIAO</v>
      </c>
      <c r="C3930" s="392">
        <f ca="1">IF(COUNTA(G$3060:G3929)=1,"",OFFSET(C3930,-COUNTA(G$3060:G3929)+1,0))</f>
        <v>65</v>
      </c>
      <c r="D3930" s="387">
        <f t="shared" si="252"/>
        <v>388</v>
      </c>
      <c r="E3930" s="387">
        <f t="shared" ca="1" si="253"/>
        <v>4</v>
      </c>
      <c r="F3930" s="387">
        <f t="shared" ca="1" si="254"/>
        <v>73</v>
      </c>
      <c r="G3930" s="387"/>
      <c r="H3930" s="391" t="str">
        <f t="shared" ca="1" si="256"/>
        <v/>
      </c>
      <c r="I3930" s="391" t="str">
        <f t="shared" ca="1" si="257"/>
        <v/>
      </c>
    </row>
    <row r="3931" spans="1:9">
      <c r="A3931" s="387" t="b">
        <f t="shared" ca="1" si="255"/>
        <v>0</v>
      </c>
      <c r="B3931" s="396" t="str">
        <f ca="1">IF(COUNTA(G$3060:G3930)=1,"",OFFSET(B3931,-COUNTA(G$3060:G3930)+1,0))</f>
        <v>a1bDm000000YZK6IAO</v>
      </c>
      <c r="C3931" s="392">
        <f ca="1">IF(COUNTA(G$3060:G3930)=1,"",OFFSET(C3931,-COUNTA(G$3060:G3930)+1,0))</f>
        <v>65</v>
      </c>
      <c r="D3931" s="387">
        <f t="shared" si="252"/>
        <v>389</v>
      </c>
      <c r="E3931" s="387">
        <f t="shared" ca="1" si="253"/>
        <v>5</v>
      </c>
      <c r="F3931" s="387">
        <f t="shared" ca="1" si="254"/>
        <v>73</v>
      </c>
      <c r="G3931" s="387"/>
      <c r="H3931" s="391" t="str">
        <f t="shared" ca="1" si="256"/>
        <v/>
      </c>
      <c r="I3931" s="391" t="str">
        <f t="shared" ca="1" si="257"/>
        <v/>
      </c>
    </row>
    <row r="3932" spans="1:9">
      <c r="A3932" s="387" t="b">
        <f t="shared" ca="1" si="255"/>
        <v>0</v>
      </c>
      <c r="B3932" s="396" t="str">
        <f ca="1">IF(COUNTA(G$3060:G3931)=1,"",OFFSET(B3932,-COUNTA(G$3060:G3931)+1,0))</f>
        <v>a1bDm000000YZLOIA4</v>
      </c>
      <c r="C3932" s="392">
        <f ca="1">IF(COUNTA(G$3060:G3931)=1,"",OFFSET(C3932,-COUNTA(G$3060:G3931)+1,0))</f>
        <v>65</v>
      </c>
      <c r="D3932" s="387">
        <f t="shared" si="252"/>
        <v>390</v>
      </c>
      <c r="E3932" s="387">
        <f t="shared" ca="1" si="253"/>
        <v>6</v>
      </c>
      <c r="F3932" s="387">
        <f t="shared" ca="1" si="254"/>
        <v>73</v>
      </c>
      <c r="G3932" s="387"/>
      <c r="H3932" s="391" t="str">
        <f t="shared" ca="1" si="256"/>
        <v/>
      </c>
      <c r="I3932" s="391" t="str">
        <f t="shared" ca="1" si="257"/>
        <v/>
      </c>
    </row>
    <row r="3933" spans="1:9">
      <c r="A3933" s="387" t="b">
        <f t="shared" ca="1" si="255"/>
        <v>0</v>
      </c>
      <c r="B3933" s="396" t="str">
        <f ca="1">IF(COUNTA(G$3060:G3932)=1,"",OFFSET(B3933,-COUNTA(G$3060:G3932)+1,0))</f>
        <v>a1bDm000000YZExIAO</v>
      </c>
      <c r="C3933" s="392">
        <f ca="1">IF(COUNTA(G$3060:G3932)=1,"",OFFSET(C3933,-COUNTA(G$3060:G3932)+1,0))</f>
        <v>66</v>
      </c>
      <c r="D3933" s="387">
        <f t="shared" si="252"/>
        <v>391</v>
      </c>
      <c r="E3933" s="387">
        <f t="shared" ca="1" si="253"/>
        <v>1</v>
      </c>
      <c r="F3933" s="387">
        <f t="shared" ca="1" si="254"/>
        <v>74</v>
      </c>
      <c r="G3933" s="387"/>
      <c r="H3933" s="391" t="str">
        <f t="shared" ca="1" si="256"/>
        <v/>
      </c>
      <c r="I3933" s="391" t="str">
        <f t="shared" ca="1" si="257"/>
        <v/>
      </c>
    </row>
    <row r="3934" spans="1:9">
      <c r="A3934" s="387" t="b">
        <f t="shared" ca="1" si="255"/>
        <v>0</v>
      </c>
      <c r="B3934" s="396" t="str">
        <f ca="1">IF(COUNTA(G$3060:G3933)=1,"",OFFSET(B3934,-COUNTA(G$3060:G3933)+1,0))</f>
        <v>a1bDm000000YZGFIA4</v>
      </c>
      <c r="C3934" s="392">
        <f ca="1">IF(COUNTA(G$3060:G3933)=1,"",OFFSET(C3934,-COUNTA(G$3060:G3933)+1,0))</f>
        <v>66</v>
      </c>
      <c r="D3934" s="387">
        <f t="shared" si="252"/>
        <v>392</v>
      </c>
      <c r="E3934" s="387">
        <f t="shared" ca="1" si="253"/>
        <v>2</v>
      </c>
      <c r="F3934" s="387">
        <f t="shared" ca="1" si="254"/>
        <v>74</v>
      </c>
      <c r="G3934" s="387"/>
      <c r="H3934" s="391" t="str">
        <f t="shared" ca="1" si="256"/>
        <v/>
      </c>
      <c r="I3934" s="391" t="str">
        <f t="shared" ca="1" si="257"/>
        <v/>
      </c>
    </row>
    <row r="3935" spans="1:9">
      <c r="A3935" s="387" t="b">
        <f t="shared" ca="1" si="255"/>
        <v>0</v>
      </c>
      <c r="B3935" s="396" t="str">
        <f ca="1">IF(COUNTA(G$3060:G3934)=1,"",OFFSET(B3935,-COUNTA(G$3060:G3934)+1,0))</f>
        <v>a1bDm000000YZHXIA4</v>
      </c>
      <c r="C3935" s="392">
        <f ca="1">IF(COUNTA(G$3060:G3934)=1,"",OFFSET(C3935,-COUNTA(G$3060:G3934)+1,0))</f>
        <v>66</v>
      </c>
      <c r="D3935" s="387">
        <f t="shared" si="252"/>
        <v>393</v>
      </c>
      <c r="E3935" s="387">
        <f t="shared" ca="1" si="253"/>
        <v>3</v>
      </c>
      <c r="F3935" s="387">
        <f t="shared" ca="1" si="254"/>
        <v>74</v>
      </c>
      <c r="G3935" s="387"/>
      <c r="H3935" s="391" t="str">
        <f t="shared" ca="1" si="256"/>
        <v/>
      </c>
      <c r="I3935" s="391" t="str">
        <f t="shared" ca="1" si="257"/>
        <v/>
      </c>
    </row>
    <row r="3936" spans="1:9">
      <c r="A3936" s="387" t="b">
        <f t="shared" ca="1" si="255"/>
        <v>0</v>
      </c>
      <c r="B3936" s="396" t="str">
        <f ca="1">IF(COUNTA(G$3060:G3935)=1,"",OFFSET(B3936,-COUNTA(G$3060:G3935)+1,0))</f>
        <v>a1bDm000000YZIpIAO</v>
      </c>
      <c r="C3936" s="392">
        <f ca="1">IF(COUNTA(G$3060:G3935)=1,"",OFFSET(C3936,-COUNTA(G$3060:G3935)+1,0))</f>
        <v>66</v>
      </c>
      <c r="D3936" s="387">
        <f t="shared" si="252"/>
        <v>394</v>
      </c>
      <c r="E3936" s="387">
        <f t="shared" ca="1" si="253"/>
        <v>4</v>
      </c>
      <c r="F3936" s="387">
        <f t="shared" ca="1" si="254"/>
        <v>74</v>
      </c>
      <c r="G3936" s="387"/>
      <c r="H3936" s="391" t="str">
        <f t="shared" ca="1" si="256"/>
        <v/>
      </c>
      <c r="I3936" s="391" t="str">
        <f t="shared" ca="1" si="257"/>
        <v/>
      </c>
    </row>
    <row r="3937" spans="1:9">
      <c r="A3937" s="387" t="b">
        <f t="shared" ca="1" si="255"/>
        <v>0</v>
      </c>
      <c r="B3937" s="396" t="str">
        <f ca="1">IF(COUNTA(G$3060:G3936)=1,"",OFFSET(B3937,-COUNTA(G$3060:G3936)+1,0))</f>
        <v>a1bDm000000YZK7IAO</v>
      </c>
      <c r="C3937" s="392">
        <f ca="1">IF(COUNTA(G$3060:G3936)=1,"",OFFSET(C3937,-COUNTA(G$3060:G3936)+1,0))</f>
        <v>66</v>
      </c>
      <c r="D3937" s="387">
        <f t="shared" si="252"/>
        <v>395</v>
      </c>
      <c r="E3937" s="387">
        <f t="shared" ca="1" si="253"/>
        <v>5</v>
      </c>
      <c r="F3937" s="387">
        <f t="shared" ca="1" si="254"/>
        <v>74</v>
      </c>
      <c r="G3937" s="387"/>
      <c r="H3937" s="391" t="str">
        <f t="shared" ca="1" si="256"/>
        <v/>
      </c>
      <c r="I3937" s="391" t="str">
        <f t="shared" ca="1" si="257"/>
        <v/>
      </c>
    </row>
    <row r="3938" spans="1:9">
      <c r="A3938" s="387" t="b">
        <f t="shared" ca="1" si="255"/>
        <v>0</v>
      </c>
      <c r="B3938" s="396" t="str">
        <f ca="1">IF(COUNTA(G$3060:G3937)=1,"",OFFSET(B3938,-COUNTA(G$3060:G3937)+1,0))</f>
        <v>a1bDm000000YZLPIA4</v>
      </c>
      <c r="C3938" s="392">
        <f ca="1">IF(COUNTA(G$3060:G3937)=1,"",OFFSET(C3938,-COUNTA(G$3060:G3937)+1,0))</f>
        <v>66</v>
      </c>
      <c r="D3938" s="387">
        <f t="shared" si="252"/>
        <v>396</v>
      </c>
      <c r="E3938" s="387">
        <f t="shared" ca="1" si="253"/>
        <v>6</v>
      </c>
      <c r="F3938" s="387">
        <f t="shared" ca="1" si="254"/>
        <v>74</v>
      </c>
      <c r="G3938" s="387"/>
      <c r="H3938" s="391" t="str">
        <f t="shared" ca="1" si="256"/>
        <v/>
      </c>
      <c r="I3938" s="391" t="str">
        <f t="shared" ca="1" si="257"/>
        <v/>
      </c>
    </row>
    <row r="3939" spans="1:9">
      <c r="A3939" s="387" t="b">
        <f t="shared" ca="1" si="255"/>
        <v>0</v>
      </c>
      <c r="B3939" s="396" t="str">
        <f ca="1">IF(COUNTA(G$3060:G3938)=1,"",OFFSET(B3939,-COUNTA(G$3060:G3938)+1,0))</f>
        <v>a1bDm000000YZEyIAO</v>
      </c>
      <c r="C3939" s="392">
        <f ca="1">IF(COUNTA(G$3060:G3938)=1,"",OFFSET(C3939,-COUNTA(G$3060:G3938)+1,0))</f>
        <v>67</v>
      </c>
      <c r="D3939" s="387">
        <f t="shared" si="252"/>
        <v>397</v>
      </c>
      <c r="E3939" s="387">
        <f t="shared" ca="1" si="253"/>
        <v>1</v>
      </c>
      <c r="F3939" s="387">
        <f t="shared" ca="1" si="254"/>
        <v>75</v>
      </c>
      <c r="G3939" s="387"/>
      <c r="H3939" s="391" t="str">
        <f t="shared" ca="1" si="256"/>
        <v/>
      </c>
      <c r="I3939" s="391" t="str">
        <f t="shared" ca="1" si="257"/>
        <v/>
      </c>
    </row>
    <row r="3940" spans="1:9">
      <c r="A3940" s="387" t="b">
        <f t="shared" ca="1" si="255"/>
        <v>0</v>
      </c>
      <c r="B3940" s="396" t="str">
        <f ca="1">IF(COUNTA(G$3060:G3939)=1,"",OFFSET(B3940,-COUNTA(G$3060:G3939)+1,0))</f>
        <v>a1bDm000000YZGGIA4</v>
      </c>
      <c r="C3940" s="392">
        <f ca="1">IF(COUNTA(G$3060:G3939)=1,"",OFFSET(C3940,-COUNTA(G$3060:G3939)+1,0))</f>
        <v>67</v>
      </c>
      <c r="D3940" s="387">
        <f t="shared" si="252"/>
        <v>398</v>
      </c>
      <c r="E3940" s="387">
        <f t="shared" ca="1" si="253"/>
        <v>2</v>
      </c>
      <c r="F3940" s="387">
        <f t="shared" ca="1" si="254"/>
        <v>75</v>
      </c>
      <c r="G3940" s="387"/>
      <c r="H3940" s="391" t="str">
        <f t="shared" ca="1" si="256"/>
        <v/>
      </c>
      <c r="I3940" s="391" t="str">
        <f t="shared" ca="1" si="257"/>
        <v/>
      </c>
    </row>
    <row r="3941" spans="1:9">
      <c r="A3941" s="387" t="b">
        <f t="shared" ca="1" si="255"/>
        <v>0</v>
      </c>
      <c r="B3941" s="396" t="str">
        <f ca="1">IF(COUNTA(G$3060:G3940)=1,"",OFFSET(B3941,-COUNTA(G$3060:G3940)+1,0))</f>
        <v>a1bDm000000YZHYIA4</v>
      </c>
      <c r="C3941" s="392">
        <f ca="1">IF(COUNTA(G$3060:G3940)=1,"",OFFSET(C3941,-COUNTA(G$3060:G3940)+1,0))</f>
        <v>67</v>
      </c>
      <c r="D3941" s="387">
        <f t="shared" si="252"/>
        <v>399</v>
      </c>
      <c r="E3941" s="387">
        <f t="shared" ca="1" si="253"/>
        <v>3</v>
      </c>
      <c r="F3941" s="387">
        <f t="shared" ca="1" si="254"/>
        <v>75</v>
      </c>
      <c r="G3941" s="387"/>
      <c r="H3941" s="391" t="str">
        <f t="shared" ca="1" si="256"/>
        <v/>
      </c>
      <c r="I3941" s="391" t="str">
        <f t="shared" ca="1" si="257"/>
        <v/>
      </c>
    </row>
    <row r="3942" spans="1:9">
      <c r="A3942" s="387" t="b">
        <f t="shared" ca="1" si="255"/>
        <v>0</v>
      </c>
      <c r="B3942" s="396" t="str">
        <f ca="1">IF(COUNTA(G$3060:G3941)=1,"",OFFSET(B3942,-COUNTA(G$3060:G3941)+1,0))</f>
        <v>a1bDm000000YZIqIAO</v>
      </c>
      <c r="C3942" s="392">
        <f ca="1">IF(COUNTA(G$3060:G3941)=1,"",OFFSET(C3942,-COUNTA(G$3060:G3941)+1,0))</f>
        <v>67</v>
      </c>
      <c r="D3942" s="387">
        <f t="shared" si="252"/>
        <v>400</v>
      </c>
      <c r="E3942" s="387">
        <f t="shared" ca="1" si="253"/>
        <v>4</v>
      </c>
      <c r="F3942" s="387">
        <f t="shared" ca="1" si="254"/>
        <v>75</v>
      </c>
      <c r="G3942" s="387"/>
      <c r="H3942" s="391" t="str">
        <f t="shared" ca="1" si="256"/>
        <v/>
      </c>
      <c r="I3942" s="391" t="str">
        <f t="shared" ca="1" si="257"/>
        <v/>
      </c>
    </row>
    <row r="3943" spans="1:9">
      <c r="A3943" s="387" t="b">
        <f t="shared" ca="1" si="255"/>
        <v>0</v>
      </c>
      <c r="B3943" s="396" t="str">
        <f ca="1">IF(COUNTA(G$3060:G3942)=1,"",OFFSET(B3943,-COUNTA(G$3060:G3942)+1,0))</f>
        <v>a1bDm000000YZK8IAO</v>
      </c>
      <c r="C3943" s="392">
        <f ca="1">IF(COUNTA(G$3060:G3942)=1,"",OFFSET(C3943,-COUNTA(G$3060:G3942)+1,0))</f>
        <v>67</v>
      </c>
      <c r="D3943" s="387">
        <f t="shared" si="252"/>
        <v>401</v>
      </c>
      <c r="E3943" s="387">
        <f t="shared" ca="1" si="253"/>
        <v>5</v>
      </c>
      <c r="F3943" s="387">
        <f t="shared" ca="1" si="254"/>
        <v>75</v>
      </c>
      <c r="G3943" s="387"/>
      <c r="H3943" s="391" t="str">
        <f t="shared" ca="1" si="256"/>
        <v/>
      </c>
      <c r="I3943" s="391" t="str">
        <f t="shared" ca="1" si="257"/>
        <v/>
      </c>
    </row>
    <row r="3944" spans="1:9">
      <c r="A3944" s="387" t="b">
        <f t="shared" ca="1" si="255"/>
        <v>0</v>
      </c>
      <c r="B3944" s="396" t="str">
        <f ca="1">IF(COUNTA(G$3060:G3943)=1,"",OFFSET(B3944,-COUNTA(G$3060:G3943)+1,0))</f>
        <v>a1bDm000000YZLQIA4</v>
      </c>
      <c r="C3944" s="392">
        <f ca="1">IF(COUNTA(G$3060:G3943)=1,"",OFFSET(C3944,-COUNTA(G$3060:G3943)+1,0))</f>
        <v>67</v>
      </c>
      <c r="D3944" s="387">
        <f t="shared" si="252"/>
        <v>402</v>
      </c>
      <c r="E3944" s="387">
        <f t="shared" ca="1" si="253"/>
        <v>6</v>
      </c>
      <c r="F3944" s="387">
        <f t="shared" ca="1" si="254"/>
        <v>75</v>
      </c>
      <c r="G3944" s="387"/>
      <c r="H3944" s="391" t="str">
        <f t="shared" ca="1" si="256"/>
        <v/>
      </c>
      <c r="I3944" s="391" t="str">
        <f t="shared" ca="1" si="257"/>
        <v/>
      </c>
    </row>
    <row r="3945" spans="1:9">
      <c r="A3945" s="387" t="b">
        <f t="shared" ca="1" si="255"/>
        <v>0</v>
      </c>
      <c r="B3945" s="396" t="str">
        <f ca="1">IF(COUNTA(G$3060:G3944)=1,"",OFFSET(B3945,-COUNTA(G$3060:G3944)+1,0))</f>
        <v>a1bDm000000YZEzIAO</v>
      </c>
      <c r="C3945" s="392">
        <f ca="1">IF(COUNTA(G$3060:G3944)=1,"",OFFSET(C3945,-COUNTA(G$3060:G3944)+1,0))</f>
        <v>68</v>
      </c>
      <c r="D3945" s="387">
        <f t="shared" si="252"/>
        <v>403</v>
      </c>
      <c r="E3945" s="387">
        <f t="shared" ca="1" si="253"/>
        <v>1</v>
      </c>
      <c r="F3945" s="387">
        <f t="shared" ca="1" si="254"/>
        <v>76</v>
      </c>
      <c r="G3945" s="387"/>
      <c r="H3945" s="391" t="str">
        <f t="shared" ca="1" si="256"/>
        <v/>
      </c>
      <c r="I3945" s="391" t="str">
        <f t="shared" ca="1" si="257"/>
        <v/>
      </c>
    </row>
    <row r="3946" spans="1:9">
      <c r="A3946" s="387" t="b">
        <f t="shared" ca="1" si="255"/>
        <v>0</v>
      </c>
      <c r="B3946" s="396" t="str">
        <f ca="1">IF(COUNTA(G$3060:G3945)=1,"",OFFSET(B3946,-COUNTA(G$3060:G3945)+1,0))</f>
        <v>a1bDm000000YZGHIA4</v>
      </c>
      <c r="C3946" s="392">
        <f ca="1">IF(COUNTA(G$3060:G3945)=1,"",OFFSET(C3946,-COUNTA(G$3060:G3945)+1,0))</f>
        <v>68</v>
      </c>
      <c r="D3946" s="387">
        <f t="shared" si="252"/>
        <v>404</v>
      </c>
      <c r="E3946" s="387">
        <f t="shared" ca="1" si="253"/>
        <v>2</v>
      </c>
      <c r="F3946" s="387">
        <f t="shared" ca="1" si="254"/>
        <v>76</v>
      </c>
      <c r="G3946" s="387"/>
      <c r="H3946" s="391" t="str">
        <f t="shared" ca="1" si="256"/>
        <v/>
      </c>
      <c r="I3946" s="391" t="str">
        <f t="shared" ca="1" si="257"/>
        <v/>
      </c>
    </row>
    <row r="3947" spans="1:9">
      <c r="A3947" s="387" t="b">
        <f t="shared" ca="1" si="255"/>
        <v>0</v>
      </c>
      <c r="B3947" s="396" t="str">
        <f ca="1">IF(COUNTA(G$3060:G3946)=1,"",OFFSET(B3947,-COUNTA(G$3060:G3946)+1,0))</f>
        <v>a1bDm000000YZHZIA4</v>
      </c>
      <c r="C3947" s="392">
        <f ca="1">IF(COUNTA(G$3060:G3946)=1,"",OFFSET(C3947,-COUNTA(G$3060:G3946)+1,0))</f>
        <v>68</v>
      </c>
      <c r="D3947" s="387">
        <f t="shared" si="252"/>
        <v>405</v>
      </c>
      <c r="E3947" s="387">
        <f t="shared" ca="1" si="253"/>
        <v>3</v>
      </c>
      <c r="F3947" s="387">
        <f t="shared" ca="1" si="254"/>
        <v>76</v>
      </c>
      <c r="G3947" s="387"/>
      <c r="H3947" s="391" t="str">
        <f t="shared" ca="1" si="256"/>
        <v/>
      </c>
      <c r="I3947" s="391" t="str">
        <f t="shared" ca="1" si="257"/>
        <v/>
      </c>
    </row>
    <row r="3948" spans="1:9">
      <c r="A3948" s="387" t="b">
        <f t="shared" ca="1" si="255"/>
        <v>0</v>
      </c>
      <c r="B3948" s="396" t="str">
        <f ca="1">IF(COUNTA(G$3060:G3947)=1,"",OFFSET(B3948,-COUNTA(G$3060:G3947)+1,0))</f>
        <v>a1bDm000000YZIrIAO</v>
      </c>
      <c r="C3948" s="392">
        <f ca="1">IF(COUNTA(G$3060:G3947)=1,"",OFFSET(C3948,-COUNTA(G$3060:G3947)+1,0))</f>
        <v>68</v>
      </c>
      <c r="D3948" s="387">
        <f t="shared" si="252"/>
        <v>406</v>
      </c>
      <c r="E3948" s="387">
        <f t="shared" ca="1" si="253"/>
        <v>4</v>
      </c>
      <c r="F3948" s="387">
        <f t="shared" ca="1" si="254"/>
        <v>76</v>
      </c>
      <c r="G3948" s="387"/>
      <c r="H3948" s="391" t="str">
        <f t="shared" ca="1" si="256"/>
        <v/>
      </c>
      <c r="I3948" s="391" t="str">
        <f t="shared" ca="1" si="257"/>
        <v/>
      </c>
    </row>
    <row r="3949" spans="1:9">
      <c r="A3949" s="387" t="b">
        <f t="shared" ca="1" si="255"/>
        <v>0</v>
      </c>
      <c r="B3949" s="396" t="str">
        <f ca="1">IF(COUNTA(G$3060:G3948)=1,"",OFFSET(B3949,-COUNTA(G$3060:G3948)+1,0))</f>
        <v>a1bDm000000YZK9IAO</v>
      </c>
      <c r="C3949" s="392">
        <f ca="1">IF(COUNTA(G$3060:G3948)=1,"",OFFSET(C3949,-COUNTA(G$3060:G3948)+1,0))</f>
        <v>68</v>
      </c>
      <c r="D3949" s="387">
        <f t="shared" si="252"/>
        <v>407</v>
      </c>
      <c r="E3949" s="387">
        <f t="shared" ca="1" si="253"/>
        <v>5</v>
      </c>
      <c r="F3949" s="387">
        <f t="shared" ca="1" si="254"/>
        <v>76</v>
      </c>
      <c r="G3949" s="387"/>
      <c r="H3949" s="391" t="str">
        <f t="shared" ca="1" si="256"/>
        <v/>
      </c>
      <c r="I3949" s="391" t="str">
        <f t="shared" ca="1" si="257"/>
        <v/>
      </c>
    </row>
    <row r="3950" spans="1:9">
      <c r="A3950" s="387" t="b">
        <f t="shared" ca="1" si="255"/>
        <v>0</v>
      </c>
      <c r="B3950" s="396" t="str">
        <f ca="1">IF(COUNTA(G$3060:G3949)=1,"",OFFSET(B3950,-COUNTA(G$3060:G3949)+1,0))</f>
        <v>a1bDm000000YZLRIA4</v>
      </c>
      <c r="C3950" s="392">
        <f ca="1">IF(COUNTA(G$3060:G3949)=1,"",OFFSET(C3950,-COUNTA(G$3060:G3949)+1,0))</f>
        <v>68</v>
      </c>
      <c r="D3950" s="387">
        <f t="shared" si="252"/>
        <v>408</v>
      </c>
      <c r="E3950" s="387">
        <f t="shared" ca="1" si="253"/>
        <v>6</v>
      </c>
      <c r="F3950" s="387">
        <f t="shared" ca="1" si="254"/>
        <v>76</v>
      </c>
      <c r="G3950" s="387"/>
      <c r="H3950" s="391" t="str">
        <f t="shared" ca="1" si="256"/>
        <v/>
      </c>
      <c r="I3950" s="391" t="str">
        <f t="shared" ca="1" si="257"/>
        <v/>
      </c>
    </row>
    <row r="3951" spans="1:9">
      <c r="A3951" s="387" t="b">
        <f t="shared" ca="1" si="255"/>
        <v>0</v>
      </c>
      <c r="B3951" s="396" t="str">
        <f ca="1">IF(COUNTA(G$3060:G3950)=1,"",OFFSET(B3951,-COUNTA(G$3060:G3950)+1,0))</f>
        <v>a1bDm000000YZF0IAO</v>
      </c>
      <c r="C3951" s="392">
        <f ca="1">IF(COUNTA(G$3060:G3950)=1,"",OFFSET(C3951,-COUNTA(G$3060:G3950)+1,0))</f>
        <v>69</v>
      </c>
      <c r="D3951" s="387">
        <f t="shared" si="252"/>
        <v>409</v>
      </c>
      <c r="E3951" s="387">
        <f t="shared" ca="1" si="253"/>
        <v>1</v>
      </c>
      <c r="F3951" s="387">
        <f t="shared" ca="1" si="254"/>
        <v>77</v>
      </c>
      <c r="G3951" s="387"/>
      <c r="H3951" s="391" t="str">
        <f t="shared" ca="1" si="256"/>
        <v/>
      </c>
      <c r="I3951" s="391" t="str">
        <f t="shared" ca="1" si="257"/>
        <v/>
      </c>
    </row>
    <row r="3952" spans="1:9">
      <c r="A3952" s="387" t="b">
        <f t="shared" ca="1" si="255"/>
        <v>0</v>
      </c>
      <c r="B3952" s="396" t="str">
        <f ca="1">IF(COUNTA(G$3060:G3951)=1,"",OFFSET(B3952,-COUNTA(G$3060:G3951)+1,0))</f>
        <v>a1bDm000000YZGIIA4</v>
      </c>
      <c r="C3952" s="392">
        <f ca="1">IF(COUNTA(G$3060:G3951)=1,"",OFFSET(C3952,-COUNTA(G$3060:G3951)+1,0))</f>
        <v>69</v>
      </c>
      <c r="D3952" s="387">
        <f t="shared" si="252"/>
        <v>410</v>
      </c>
      <c r="E3952" s="387">
        <f t="shared" ca="1" si="253"/>
        <v>2</v>
      </c>
      <c r="F3952" s="387">
        <f t="shared" ca="1" si="254"/>
        <v>77</v>
      </c>
      <c r="G3952" s="387"/>
      <c r="H3952" s="391" t="str">
        <f t="shared" ca="1" si="256"/>
        <v/>
      </c>
      <c r="I3952" s="391" t="str">
        <f t="shared" ca="1" si="257"/>
        <v/>
      </c>
    </row>
    <row r="3953" spans="1:9">
      <c r="A3953" s="387" t="b">
        <f t="shared" ca="1" si="255"/>
        <v>0</v>
      </c>
      <c r="B3953" s="396" t="str">
        <f ca="1">IF(COUNTA(G$3060:G3952)=1,"",OFFSET(B3953,-COUNTA(G$3060:G3952)+1,0))</f>
        <v>a1bDm000000YZHaIAO</v>
      </c>
      <c r="C3953" s="392">
        <f ca="1">IF(COUNTA(G$3060:G3952)=1,"",OFFSET(C3953,-COUNTA(G$3060:G3952)+1,0))</f>
        <v>69</v>
      </c>
      <c r="D3953" s="387">
        <f t="shared" si="252"/>
        <v>411</v>
      </c>
      <c r="E3953" s="387">
        <f t="shared" ca="1" si="253"/>
        <v>3</v>
      </c>
      <c r="F3953" s="387">
        <f t="shared" ca="1" si="254"/>
        <v>77</v>
      </c>
      <c r="G3953" s="387"/>
      <c r="H3953" s="391" t="str">
        <f t="shared" ca="1" si="256"/>
        <v/>
      </c>
      <c r="I3953" s="391" t="str">
        <f t="shared" ca="1" si="257"/>
        <v/>
      </c>
    </row>
    <row r="3954" spans="1:9">
      <c r="A3954" s="387" t="b">
        <f t="shared" ca="1" si="255"/>
        <v>0</v>
      </c>
      <c r="B3954" s="396" t="str">
        <f ca="1">IF(COUNTA(G$3060:G3953)=1,"",OFFSET(B3954,-COUNTA(G$3060:G3953)+1,0))</f>
        <v>a1bDm000000YZIsIAO</v>
      </c>
      <c r="C3954" s="392">
        <f ca="1">IF(COUNTA(G$3060:G3953)=1,"",OFFSET(C3954,-COUNTA(G$3060:G3953)+1,0))</f>
        <v>69</v>
      </c>
      <c r="D3954" s="387">
        <f t="shared" si="252"/>
        <v>412</v>
      </c>
      <c r="E3954" s="387">
        <f t="shared" ca="1" si="253"/>
        <v>4</v>
      </c>
      <c r="F3954" s="387">
        <f t="shared" ca="1" si="254"/>
        <v>77</v>
      </c>
      <c r="G3954" s="387"/>
      <c r="H3954" s="391" t="str">
        <f t="shared" ca="1" si="256"/>
        <v/>
      </c>
      <c r="I3954" s="391" t="str">
        <f t="shared" ca="1" si="257"/>
        <v/>
      </c>
    </row>
    <row r="3955" spans="1:9">
      <c r="A3955" s="387" t="b">
        <f t="shared" ca="1" si="255"/>
        <v>0</v>
      </c>
      <c r="B3955" s="396" t="str">
        <f ca="1">IF(COUNTA(G$3060:G3954)=1,"",OFFSET(B3955,-COUNTA(G$3060:G3954)+1,0))</f>
        <v>a1bDm000000YZKAIA4</v>
      </c>
      <c r="C3955" s="392">
        <f ca="1">IF(COUNTA(G$3060:G3954)=1,"",OFFSET(C3955,-COUNTA(G$3060:G3954)+1,0))</f>
        <v>69</v>
      </c>
      <c r="D3955" s="387">
        <f t="shared" si="252"/>
        <v>413</v>
      </c>
      <c r="E3955" s="387">
        <f t="shared" ca="1" si="253"/>
        <v>5</v>
      </c>
      <c r="F3955" s="387">
        <f t="shared" ca="1" si="254"/>
        <v>77</v>
      </c>
      <c r="G3955" s="387"/>
      <c r="H3955" s="391" t="str">
        <f t="shared" ca="1" si="256"/>
        <v/>
      </c>
      <c r="I3955" s="391" t="str">
        <f t="shared" ca="1" si="257"/>
        <v/>
      </c>
    </row>
    <row r="3956" spans="1:9">
      <c r="A3956" s="387" t="b">
        <f t="shared" ca="1" si="255"/>
        <v>0</v>
      </c>
      <c r="B3956" s="396" t="str">
        <f ca="1">IF(COUNTA(G$3060:G3955)=1,"",OFFSET(B3956,-COUNTA(G$3060:G3955)+1,0))</f>
        <v>a1bDm000000YZLSIA4</v>
      </c>
      <c r="C3956" s="392">
        <f ca="1">IF(COUNTA(G$3060:G3955)=1,"",OFFSET(C3956,-COUNTA(G$3060:G3955)+1,0))</f>
        <v>69</v>
      </c>
      <c r="D3956" s="387">
        <f t="shared" si="252"/>
        <v>414</v>
      </c>
      <c r="E3956" s="387">
        <f t="shared" ca="1" si="253"/>
        <v>6</v>
      </c>
      <c r="F3956" s="387">
        <f t="shared" ca="1" si="254"/>
        <v>77</v>
      </c>
      <c r="G3956" s="387"/>
      <c r="H3956" s="391" t="str">
        <f t="shared" ca="1" si="256"/>
        <v/>
      </c>
      <c r="I3956" s="391" t="str">
        <f t="shared" ca="1" si="257"/>
        <v/>
      </c>
    </row>
    <row r="3957" spans="1:9">
      <c r="A3957" s="387" t="b">
        <f t="shared" ca="1" si="255"/>
        <v>0</v>
      </c>
      <c r="B3957" s="396" t="str">
        <f ca="1">IF(COUNTA(G$3060:G3956)=1,"",OFFSET(B3957,-COUNTA(G$3060:G3956)+1,0))</f>
        <v>a1bDm000000YZF1IAO</v>
      </c>
      <c r="C3957" s="392">
        <f ca="1">IF(COUNTA(G$3060:G3956)=1,"",OFFSET(C3957,-COUNTA(G$3060:G3956)+1,0))</f>
        <v>70</v>
      </c>
      <c r="D3957" s="387">
        <f t="shared" si="252"/>
        <v>415</v>
      </c>
      <c r="E3957" s="387">
        <f t="shared" ca="1" si="253"/>
        <v>1</v>
      </c>
      <c r="F3957" s="387">
        <f t="shared" ca="1" si="254"/>
        <v>78</v>
      </c>
      <c r="G3957" s="387"/>
      <c r="H3957" s="391" t="str">
        <f t="shared" ca="1" si="256"/>
        <v/>
      </c>
      <c r="I3957" s="391" t="str">
        <f t="shared" ca="1" si="257"/>
        <v/>
      </c>
    </row>
    <row r="3958" spans="1:9">
      <c r="A3958" s="387" t="b">
        <f t="shared" ca="1" si="255"/>
        <v>0</v>
      </c>
      <c r="B3958" s="396" t="str">
        <f ca="1">IF(COUNTA(G$3060:G3957)=1,"",OFFSET(B3958,-COUNTA(G$3060:G3957)+1,0))</f>
        <v>a1bDm000000YZGJIA4</v>
      </c>
      <c r="C3958" s="392">
        <f ca="1">IF(COUNTA(G$3060:G3957)=1,"",OFFSET(C3958,-COUNTA(G$3060:G3957)+1,0))</f>
        <v>70</v>
      </c>
      <c r="D3958" s="387">
        <f t="shared" si="252"/>
        <v>416</v>
      </c>
      <c r="E3958" s="387">
        <f t="shared" ca="1" si="253"/>
        <v>2</v>
      </c>
      <c r="F3958" s="387">
        <f t="shared" ca="1" si="254"/>
        <v>78</v>
      </c>
      <c r="G3958" s="387"/>
      <c r="H3958" s="391" t="str">
        <f t="shared" ca="1" si="256"/>
        <v/>
      </c>
      <c r="I3958" s="391" t="str">
        <f t="shared" ca="1" si="257"/>
        <v/>
      </c>
    </row>
    <row r="3959" spans="1:9">
      <c r="A3959" s="387" t="b">
        <f t="shared" ca="1" si="255"/>
        <v>0</v>
      </c>
      <c r="B3959" s="396" t="str">
        <f ca="1">IF(COUNTA(G$3060:G3958)=1,"",OFFSET(B3959,-COUNTA(G$3060:G3958)+1,0))</f>
        <v>a1bDm000000YZHbIAO</v>
      </c>
      <c r="C3959" s="392">
        <f ca="1">IF(COUNTA(G$3060:G3958)=1,"",OFFSET(C3959,-COUNTA(G$3060:G3958)+1,0))</f>
        <v>70</v>
      </c>
      <c r="D3959" s="387">
        <f t="shared" ref="D3959:D4022" si="258">D3958+1</f>
        <v>417</v>
      </c>
      <c r="E3959" s="387">
        <f t="shared" ref="E3959:E4022" ca="1" si="259">COUNTIF(C3789:C3959,C3959)</f>
        <v>3</v>
      </c>
      <c r="F3959" s="387">
        <f t="shared" ref="F3959:F4022" ca="1" si="260">IF(C3959=1,9,IF(E3958=MAX(E3957:E3959),F3957+1,F3958))</f>
        <v>78</v>
      </c>
      <c r="G3959" s="387"/>
      <c r="H3959" s="391" t="str">
        <f t="shared" ca="1" si="256"/>
        <v/>
      </c>
      <c r="I3959" s="391" t="str">
        <f t="shared" ca="1" si="257"/>
        <v/>
      </c>
    </row>
    <row r="3960" spans="1:9">
      <c r="A3960" s="387" t="b">
        <f t="shared" ca="1" si="255"/>
        <v>0</v>
      </c>
      <c r="B3960" s="396" t="str">
        <f ca="1">IF(COUNTA(G$3060:G3959)=1,"",OFFSET(B3960,-COUNTA(G$3060:G3959)+1,0))</f>
        <v>a1bDm000000YZItIAO</v>
      </c>
      <c r="C3960" s="392">
        <f ca="1">IF(COUNTA(G$3060:G3959)=1,"",OFFSET(C3960,-COUNTA(G$3060:G3959)+1,0))</f>
        <v>70</v>
      </c>
      <c r="D3960" s="387">
        <f t="shared" si="258"/>
        <v>418</v>
      </c>
      <c r="E3960" s="387">
        <f t="shared" ca="1" si="259"/>
        <v>4</v>
      </c>
      <c r="F3960" s="387">
        <f t="shared" ca="1" si="260"/>
        <v>78</v>
      </c>
      <c r="G3960" s="387"/>
      <c r="H3960" s="391" t="str">
        <f t="shared" ca="1" si="256"/>
        <v/>
      </c>
      <c r="I3960" s="391" t="str">
        <f t="shared" ca="1" si="257"/>
        <v/>
      </c>
    </row>
    <row r="3961" spans="1:9">
      <c r="A3961" s="387" t="b">
        <f t="shared" ca="1" si="255"/>
        <v>0</v>
      </c>
      <c r="B3961" s="396" t="str">
        <f ca="1">IF(COUNTA(G$3060:G3960)=1,"",OFFSET(B3961,-COUNTA(G$3060:G3960)+1,0))</f>
        <v>a1bDm000000YZKBIA4</v>
      </c>
      <c r="C3961" s="392">
        <f ca="1">IF(COUNTA(G$3060:G3960)=1,"",OFFSET(C3961,-COUNTA(G$3060:G3960)+1,0))</f>
        <v>70</v>
      </c>
      <c r="D3961" s="387">
        <f t="shared" si="258"/>
        <v>419</v>
      </c>
      <c r="E3961" s="387">
        <f t="shared" ca="1" si="259"/>
        <v>5</v>
      </c>
      <c r="F3961" s="387">
        <f t="shared" ca="1" si="260"/>
        <v>78</v>
      </c>
      <c r="G3961" s="387"/>
      <c r="H3961" s="391" t="str">
        <f t="shared" ca="1" si="256"/>
        <v/>
      </c>
      <c r="I3961" s="391" t="str">
        <f t="shared" ca="1" si="257"/>
        <v/>
      </c>
    </row>
    <row r="3962" spans="1:9">
      <c r="A3962" s="387" t="b">
        <f t="shared" ca="1" si="255"/>
        <v>0</v>
      </c>
      <c r="B3962" s="396" t="str">
        <f ca="1">IF(COUNTA(G$3060:G3961)=1,"",OFFSET(B3962,-COUNTA(G$3060:G3961)+1,0))</f>
        <v>a1bDm000000YZLTIA4</v>
      </c>
      <c r="C3962" s="392">
        <f ca="1">IF(COUNTA(G$3060:G3961)=1,"",OFFSET(C3962,-COUNTA(G$3060:G3961)+1,0))</f>
        <v>70</v>
      </c>
      <c r="D3962" s="387">
        <f t="shared" si="258"/>
        <v>420</v>
      </c>
      <c r="E3962" s="387">
        <f t="shared" ca="1" si="259"/>
        <v>6</v>
      </c>
      <c r="F3962" s="387">
        <f t="shared" ca="1" si="260"/>
        <v>78</v>
      </c>
      <c r="G3962" s="387"/>
      <c r="H3962" s="391" t="str">
        <f t="shared" ca="1" si="256"/>
        <v/>
      </c>
      <c r="I3962" s="391" t="str">
        <f t="shared" ca="1" si="257"/>
        <v/>
      </c>
    </row>
    <row r="3963" spans="1:9">
      <c r="A3963" s="387" t="b">
        <f t="shared" ca="1" si="255"/>
        <v>0</v>
      </c>
      <c r="B3963" s="396" t="str">
        <f ca="1">IF(COUNTA(G$3060:G3962)=1,"",OFFSET(B3963,-COUNTA(G$3060:G3962)+1,0))</f>
        <v>a1bDm000000YZF2IAO</v>
      </c>
      <c r="C3963" s="392">
        <f ca="1">IF(COUNTA(G$3060:G3962)=1,"",OFFSET(C3963,-COUNTA(G$3060:G3962)+1,0))</f>
        <v>71</v>
      </c>
      <c r="D3963" s="387">
        <f t="shared" si="258"/>
        <v>421</v>
      </c>
      <c r="E3963" s="387">
        <f t="shared" ca="1" si="259"/>
        <v>1</v>
      </c>
      <c r="F3963" s="387">
        <f t="shared" ca="1" si="260"/>
        <v>79</v>
      </c>
      <c r="G3963" s="387"/>
      <c r="H3963" s="391" t="str">
        <f t="shared" ca="1" si="256"/>
        <v/>
      </c>
      <c r="I3963" s="391" t="str">
        <f t="shared" ca="1" si="257"/>
        <v/>
      </c>
    </row>
    <row r="3964" spans="1:9">
      <c r="A3964" s="387" t="b">
        <f t="shared" ca="1" si="255"/>
        <v>0</v>
      </c>
      <c r="B3964" s="396" t="str">
        <f ca="1">IF(COUNTA(G$3060:G3963)=1,"",OFFSET(B3964,-COUNTA(G$3060:G3963)+1,0))</f>
        <v>a1bDm000000YZGKIA4</v>
      </c>
      <c r="C3964" s="392">
        <f ca="1">IF(COUNTA(G$3060:G3963)=1,"",OFFSET(C3964,-COUNTA(G$3060:G3963)+1,0))</f>
        <v>71</v>
      </c>
      <c r="D3964" s="387">
        <f t="shared" si="258"/>
        <v>422</v>
      </c>
      <c r="E3964" s="387">
        <f t="shared" ca="1" si="259"/>
        <v>2</v>
      </c>
      <c r="F3964" s="387">
        <f t="shared" ca="1" si="260"/>
        <v>79</v>
      </c>
      <c r="G3964" s="387"/>
      <c r="H3964" s="391" t="str">
        <f t="shared" ca="1" si="256"/>
        <v/>
      </c>
      <c r="I3964" s="391" t="str">
        <f t="shared" ca="1" si="257"/>
        <v/>
      </c>
    </row>
    <row r="3965" spans="1:9">
      <c r="A3965" s="387" t="b">
        <f t="shared" ca="1" si="255"/>
        <v>0</v>
      </c>
      <c r="B3965" s="396" t="str">
        <f ca="1">IF(COUNTA(G$3060:G3964)=1,"",OFFSET(B3965,-COUNTA(G$3060:G3964)+1,0))</f>
        <v>a1bDm000000YZHcIAO</v>
      </c>
      <c r="C3965" s="392">
        <f ca="1">IF(COUNTA(G$3060:G3964)=1,"",OFFSET(C3965,-COUNTA(G$3060:G3964)+1,0))</f>
        <v>71</v>
      </c>
      <c r="D3965" s="387">
        <f t="shared" si="258"/>
        <v>423</v>
      </c>
      <c r="E3965" s="387">
        <f t="shared" ca="1" si="259"/>
        <v>3</v>
      </c>
      <c r="F3965" s="387">
        <f t="shared" ca="1" si="260"/>
        <v>79</v>
      </c>
      <c r="G3965" s="387"/>
      <c r="H3965" s="391" t="str">
        <f t="shared" ca="1" si="256"/>
        <v/>
      </c>
      <c r="I3965" s="391" t="str">
        <f t="shared" ca="1" si="257"/>
        <v/>
      </c>
    </row>
    <row r="3966" spans="1:9">
      <c r="A3966" s="387" t="b">
        <f t="shared" ca="1" si="255"/>
        <v>0</v>
      </c>
      <c r="B3966" s="396" t="str">
        <f ca="1">IF(COUNTA(G$3060:G3965)=1,"",OFFSET(B3966,-COUNTA(G$3060:G3965)+1,0))</f>
        <v>a1bDm000000YZIuIAO</v>
      </c>
      <c r="C3966" s="392">
        <f ca="1">IF(COUNTA(G$3060:G3965)=1,"",OFFSET(C3966,-COUNTA(G$3060:G3965)+1,0))</f>
        <v>71</v>
      </c>
      <c r="D3966" s="387">
        <f t="shared" si="258"/>
        <v>424</v>
      </c>
      <c r="E3966" s="387">
        <f t="shared" ca="1" si="259"/>
        <v>4</v>
      </c>
      <c r="F3966" s="387">
        <f t="shared" ca="1" si="260"/>
        <v>79</v>
      </c>
      <c r="G3966" s="387"/>
      <c r="H3966" s="391" t="str">
        <f t="shared" ca="1" si="256"/>
        <v/>
      </c>
      <c r="I3966" s="391" t="str">
        <f t="shared" ca="1" si="257"/>
        <v/>
      </c>
    </row>
    <row r="3967" spans="1:9">
      <c r="A3967" s="387" t="b">
        <f t="shared" ca="1" si="255"/>
        <v>0</v>
      </c>
      <c r="B3967" s="396" t="str">
        <f ca="1">IF(COUNTA(G$3060:G3966)=1,"",OFFSET(B3967,-COUNTA(G$3060:G3966)+1,0))</f>
        <v>a1bDm000000YZKCIA4</v>
      </c>
      <c r="C3967" s="392">
        <f ca="1">IF(COUNTA(G$3060:G3966)=1,"",OFFSET(C3967,-COUNTA(G$3060:G3966)+1,0))</f>
        <v>71</v>
      </c>
      <c r="D3967" s="387">
        <f t="shared" si="258"/>
        <v>425</v>
      </c>
      <c r="E3967" s="387">
        <f t="shared" ca="1" si="259"/>
        <v>5</v>
      </c>
      <c r="F3967" s="387">
        <f t="shared" ca="1" si="260"/>
        <v>79</v>
      </c>
      <c r="G3967" s="387"/>
      <c r="H3967" s="391" t="str">
        <f t="shared" ca="1" si="256"/>
        <v/>
      </c>
      <c r="I3967" s="391" t="str">
        <f t="shared" ca="1" si="257"/>
        <v/>
      </c>
    </row>
    <row r="3968" spans="1:9">
      <c r="A3968" s="387" t="b">
        <f t="shared" ca="1" si="255"/>
        <v>0</v>
      </c>
      <c r="B3968" s="396" t="str">
        <f ca="1">IF(COUNTA(G$3060:G3967)=1,"",OFFSET(B3968,-COUNTA(G$3060:G3967)+1,0))</f>
        <v>a1bDm000000YZLUIA4</v>
      </c>
      <c r="C3968" s="392">
        <f ca="1">IF(COUNTA(G$3060:G3967)=1,"",OFFSET(C3968,-COUNTA(G$3060:G3967)+1,0))</f>
        <v>71</v>
      </c>
      <c r="D3968" s="387">
        <f t="shared" si="258"/>
        <v>426</v>
      </c>
      <c r="E3968" s="387">
        <f t="shared" ca="1" si="259"/>
        <v>6</v>
      </c>
      <c r="F3968" s="387">
        <f t="shared" ca="1" si="260"/>
        <v>79</v>
      </c>
      <c r="G3968" s="387"/>
      <c r="H3968" s="391" t="str">
        <f t="shared" ca="1" si="256"/>
        <v/>
      </c>
      <c r="I3968" s="391" t="str">
        <f t="shared" ca="1" si="257"/>
        <v/>
      </c>
    </row>
    <row r="3969" spans="1:9">
      <c r="A3969" s="387" t="b">
        <f t="shared" ca="1" si="255"/>
        <v>0</v>
      </c>
      <c r="B3969" s="396" t="str">
        <f ca="1">IF(COUNTA(G$3060:G3968)=1,"",OFFSET(B3969,-COUNTA(G$3060:G3968)+1,0))</f>
        <v>a1bDm000000YZF3IAO</v>
      </c>
      <c r="C3969" s="392">
        <f ca="1">IF(COUNTA(G$3060:G3968)=1,"",OFFSET(C3969,-COUNTA(G$3060:G3968)+1,0))</f>
        <v>72</v>
      </c>
      <c r="D3969" s="387">
        <f t="shared" si="258"/>
        <v>427</v>
      </c>
      <c r="E3969" s="387">
        <f t="shared" ca="1" si="259"/>
        <v>1</v>
      </c>
      <c r="F3969" s="387">
        <f t="shared" ca="1" si="260"/>
        <v>80</v>
      </c>
      <c r="G3969" s="387"/>
      <c r="H3969" s="391" t="str">
        <f t="shared" ca="1" si="256"/>
        <v/>
      </c>
      <c r="I3969" s="391" t="str">
        <f t="shared" ca="1" si="257"/>
        <v/>
      </c>
    </row>
    <row r="3970" spans="1:9">
      <c r="A3970" s="387" t="b">
        <f t="shared" ca="1" si="255"/>
        <v>0</v>
      </c>
      <c r="B3970" s="396" t="str">
        <f ca="1">IF(COUNTA(G$3060:G3969)=1,"",OFFSET(B3970,-COUNTA(G$3060:G3969)+1,0))</f>
        <v>a1bDm000000YZGLIA4</v>
      </c>
      <c r="C3970" s="392">
        <f ca="1">IF(COUNTA(G$3060:G3969)=1,"",OFFSET(C3970,-COUNTA(G$3060:G3969)+1,0))</f>
        <v>72</v>
      </c>
      <c r="D3970" s="387">
        <f t="shared" si="258"/>
        <v>428</v>
      </c>
      <c r="E3970" s="387">
        <f t="shared" ca="1" si="259"/>
        <v>2</v>
      </c>
      <c r="F3970" s="387">
        <f t="shared" ca="1" si="260"/>
        <v>80</v>
      </c>
      <c r="G3970" s="387"/>
      <c r="H3970" s="391" t="str">
        <f t="shared" ca="1" si="256"/>
        <v/>
      </c>
      <c r="I3970" s="391" t="str">
        <f t="shared" ca="1" si="257"/>
        <v/>
      </c>
    </row>
    <row r="3971" spans="1:9">
      <c r="A3971" s="387" t="b">
        <f t="shared" ca="1" si="255"/>
        <v>0</v>
      </c>
      <c r="B3971" s="396" t="str">
        <f ca="1">IF(COUNTA(G$3060:G3970)=1,"",OFFSET(B3971,-COUNTA(G$3060:G3970)+1,0))</f>
        <v>a1bDm000000YZHdIAO</v>
      </c>
      <c r="C3971" s="392">
        <f ca="1">IF(COUNTA(G$3060:G3970)=1,"",OFFSET(C3971,-COUNTA(G$3060:G3970)+1,0))</f>
        <v>72</v>
      </c>
      <c r="D3971" s="387">
        <f t="shared" si="258"/>
        <v>429</v>
      </c>
      <c r="E3971" s="387">
        <f t="shared" ca="1" si="259"/>
        <v>3</v>
      </c>
      <c r="F3971" s="387">
        <f t="shared" ca="1" si="260"/>
        <v>80</v>
      </c>
      <c r="G3971" s="387"/>
      <c r="H3971" s="391" t="str">
        <f t="shared" ca="1" si="256"/>
        <v/>
      </c>
      <c r="I3971" s="391" t="str">
        <f t="shared" ca="1" si="257"/>
        <v/>
      </c>
    </row>
    <row r="3972" spans="1:9">
      <c r="A3972" s="387" t="b">
        <f t="shared" ca="1" si="255"/>
        <v>0</v>
      </c>
      <c r="B3972" s="396" t="str">
        <f ca="1">IF(COUNTA(G$3060:G3971)=1,"",OFFSET(B3972,-COUNTA(G$3060:G3971)+1,0))</f>
        <v>a1bDm000000YZIvIAO</v>
      </c>
      <c r="C3972" s="392">
        <f ca="1">IF(COUNTA(G$3060:G3971)=1,"",OFFSET(C3972,-COUNTA(G$3060:G3971)+1,0))</f>
        <v>72</v>
      </c>
      <c r="D3972" s="387">
        <f t="shared" si="258"/>
        <v>430</v>
      </c>
      <c r="E3972" s="387">
        <f t="shared" ca="1" si="259"/>
        <v>4</v>
      </c>
      <c r="F3972" s="387">
        <f t="shared" ca="1" si="260"/>
        <v>80</v>
      </c>
      <c r="G3972" s="387"/>
      <c r="H3972" s="391" t="str">
        <f t="shared" ca="1" si="256"/>
        <v/>
      </c>
      <c r="I3972" s="391" t="str">
        <f t="shared" ca="1" si="257"/>
        <v/>
      </c>
    </row>
    <row r="3973" spans="1:9">
      <c r="A3973" s="387" t="b">
        <f t="shared" ca="1" si="255"/>
        <v>0</v>
      </c>
      <c r="B3973" s="396" t="str">
        <f ca="1">IF(COUNTA(G$3060:G3972)=1,"",OFFSET(B3973,-COUNTA(G$3060:G3972)+1,0))</f>
        <v>a1bDm000000YZKDIA4</v>
      </c>
      <c r="C3973" s="392">
        <f ca="1">IF(COUNTA(G$3060:G3972)=1,"",OFFSET(C3973,-COUNTA(G$3060:G3972)+1,0))</f>
        <v>72</v>
      </c>
      <c r="D3973" s="387">
        <f t="shared" si="258"/>
        <v>431</v>
      </c>
      <c r="E3973" s="387">
        <f t="shared" ca="1" si="259"/>
        <v>5</v>
      </c>
      <c r="F3973" s="387">
        <f t="shared" ca="1" si="260"/>
        <v>80</v>
      </c>
      <c r="G3973" s="387"/>
      <c r="H3973" s="391" t="str">
        <f t="shared" ca="1" si="256"/>
        <v/>
      </c>
      <c r="I3973" s="391" t="str">
        <f t="shared" ca="1" si="257"/>
        <v/>
      </c>
    </row>
    <row r="3974" spans="1:9">
      <c r="A3974" s="387" t="b">
        <f t="shared" ca="1" si="255"/>
        <v>0</v>
      </c>
      <c r="B3974" s="396" t="str">
        <f ca="1">IF(COUNTA(G$3060:G3973)=1,"",OFFSET(B3974,-COUNTA(G$3060:G3973)+1,0))</f>
        <v>a1bDm000000YZLVIA4</v>
      </c>
      <c r="C3974" s="392">
        <f ca="1">IF(COUNTA(G$3060:G3973)=1,"",OFFSET(C3974,-COUNTA(G$3060:G3973)+1,0))</f>
        <v>72</v>
      </c>
      <c r="D3974" s="387">
        <f t="shared" si="258"/>
        <v>432</v>
      </c>
      <c r="E3974" s="387">
        <f t="shared" ca="1" si="259"/>
        <v>6</v>
      </c>
      <c r="F3974" s="387">
        <f t="shared" ca="1" si="260"/>
        <v>80</v>
      </c>
      <c r="G3974" s="387"/>
      <c r="H3974" s="391" t="str">
        <f t="shared" ca="1" si="256"/>
        <v/>
      </c>
      <c r="I3974" s="391" t="str">
        <f t="shared" ca="1" si="257"/>
        <v/>
      </c>
    </row>
    <row r="3975" spans="1:9">
      <c r="A3975" s="387" t="b">
        <f t="shared" ca="1" si="255"/>
        <v>0</v>
      </c>
      <c r="B3975" s="396" t="str">
        <f ca="1">IF(COUNTA(G$3060:G3974)=1,"",OFFSET(B3975,-COUNTA(G$3060:G3974)+1,0))</f>
        <v>a1bDm000000YZF4IAO</v>
      </c>
      <c r="C3975" s="392">
        <f ca="1">IF(COUNTA(G$3060:G3974)=1,"",OFFSET(C3975,-COUNTA(G$3060:G3974)+1,0))</f>
        <v>73</v>
      </c>
      <c r="D3975" s="387">
        <f t="shared" si="258"/>
        <v>433</v>
      </c>
      <c r="E3975" s="387">
        <f t="shared" ca="1" si="259"/>
        <v>1</v>
      </c>
      <c r="F3975" s="387">
        <f t="shared" ca="1" si="260"/>
        <v>81</v>
      </c>
      <c r="G3975" s="387"/>
      <c r="H3975" s="391" t="str">
        <f t="shared" ca="1" si="256"/>
        <v/>
      </c>
      <c r="I3975" s="391" t="str">
        <f t="shared" ca="1" si="257"/>
        <v/>
      </c>
    </row>
    <row r="3976" spans="1:9">
      <c r="A3976" s="387" t="b">
        <f t="shared" ca="1" si="255"/>
        <v>0</v>
      </c>
      <c r="B3976" s="396" t="str">
        <f ca="1">IF(COUNTA(G$3060:G3975)=1,"",OFFSET(B3976,-COUNTA(G$3060:G3975)+1,0))</f>
        <v>a1bDm000000YZGMIA4</v>
      </c>
      <c r="C3976" s="392">
        <f ca="1">IF(COUNTA(G$3060:G3975)=1,"",OFFSET(C3976,-COUNTA(G$3060:G3975)+1,0))</f>
        <v>73</v>
      </c>
      <c r="D3976" s="387">
        <f t="shared" si="258"/>
        <v>434</v>
      </c>
      <c r="E3976" s="387">
        <f t="shared" ca="1" si="259"/>
        <v>2</v>
      </c>
      <c r="F3976" s="387">
        <f t="shared" ca="1" si="260"/>
        <v>81</v>
      </c>
      <c r="G3976" s="387"/>
      <c r="H3976" s="391" t="str">
        <f t="shared" ca="1" si="256"/>
        <v/>
      </c>
      <c r="I3976" s="391" t="str">
        <f t="shared" ca="1" si="257"/>
        <v/>
      </c>
    </row>
    <row r="3977" spans="1:9">
      <c r="A3977" s="387" t="b">
        <f t="shared" ca="1" si="255"/>
        <v>0</v>
      </c>
      <c r="B3977" s="396" t="str">
        <f ca="1">IF(COUNTA(G$3060:G3976)=1,"",OFFSET(B3977,-COUNTA(G$3060:G3976)+1,0))</f>
        <v>a1bDm000000YZHeIAO</v>
      </c>
      <c r="C3977" s="392">
        <f ca="1">IF(COUNTA(G$3060:G3976)=1,"",OFFSET(C3977,-COUNTA(G$3060:G3976)+1,0))</f>
        <v>73</v>
      </c>
      <c r="D3977" s="387">
        <f t="shared" si="258"/>
        <v>435</v>
      </c>
      <c r="E3977" s="387">
        <f t="shared" ca="1" si="259"/>
        <v>3</v>
      </c>
      <c r="F3977" s="387">
        <f t="shared" ca="1" si="260"/>
        <v>81</v>
      </c>
      <c r="G3977" s="387"/>
      <c r="H3977" s="391" t="str">
        <f t="shared" ca="1" si="256"/>
        <v/>
      </c>
      <c r="I3977" s="391" t="str">
        <f t="shared" ca="1" si="257"/>
        <v/>
      </c>
    </row>
    <row r="3978" spans="1:9">
      <c r="A3978" s="387" t="b">
        <f t="shared" ca="1" si="255"/>
        <v>0</v>
      </c>
      <c r="B3978" s="396" t="str">
        <f ca="1">IF(COUNTA(G$3060:G3977)=1,"",OFFSET(B3978,-COUNTA(G$3060:G3977)+1,0))</f>
        <v>a1bDm000000YZIwIAO</v>
      </c>
      <c r="C3978" s="392">
        <f ca="1">IF(COUNTA(G$3060:G3977)=1,"",OFFSET(C3978,-COUNTA(G$3060:G3977)+1,0))</f>
        <v>73</v>
      </c>
      <c r="D3978" s="387">
        <f t="shared" si="258"/>
        <v>436</v>
      </c>
      <c r="E3978" s="387">
        <f t="shared" ca="1" si="259"/>
        <v>4</v>
      </c>
      <c r="F3978" s="387">
        <f t="shared" ca="1" si="260"/>
        <v>81</v>
      </c>
      <c r="G3978" s="387"/>
      <c r="H3978" s="391" t="str">
        <f t="shared" ca="1" si="256"/>
        <v/>
      </c>
      <c r="I3978" s="391" t="str">
        <f t="shared" ca="1" si="257"/>
        <v/>
      </c>
    </row>
    <row r="3979" spans="1:9">
      <c r="A3979" s="387" t="b">
        <f t="shared" ca="1" si="255"/>
        <v>0</v>
      </c>
      <c r="B3979" s="396" t="str">
        <f ca="1">IF(COUNTA(G$3060:G3978)=1,"",OFFSET(B3979,-COUNTA(G$3060:G3978)+1,0))</f>
        <v>a1bDm000000YZKEIA4</v>
      </c>
      <c r="C3979" s="392">
        <f ca="1">IF(COUNTA(G$3060:G3978)=1,"",OFFSET(C3979,-COUNTA(G$3060:G3978)+1,0))</f>
        <v>73</v>
      </c>
      <c r="D3979" s="387">
        <f t="shared" si="258"/>
        <v>437</v>
      </c>
      <c r="E3979" s="387">
        <f t="shared" ca="1" si="259"/>
        <v>5</v>
      </c>
      <c r="F3979" s="387">
        <f t="shared" ca="1" si="260"/>
        <v>81</v>
      </c>
      <c r="G3979" s="387"/>
      <c r="H3979" s="391" t="str">
        <f t="shared" ca="1" si="256"/>
        <v/>
      </c>
      <c r="I3979" s="391" t="str">
        <f t="shared" ca="1" si="257"/>
        <v/>
      </c>
    </row>
    <row r="3980" spans="1:9">
      <c r="A3980" s="387" t="b">
        <f t="shared" ca="1" si="255"/>
        <v>0</v>
      </c>
      <c r="B3980" s="396" t="str">
        <f ca="1">IF(COUNTA(G$3060:G3979)=1,"",OFFSET(B3980,-COUNTA(G$3060:G3979)+1,0))</f>
        <v>a1bDm000000YZLWIA4</v>
      </c>
      <c r="C3980" s="392">
        <f ca="1">IF(COUNTA(G$3060:G3979)=1,"",OFFSET(C3980,-COUNTA(G$3060:G3979)+1,0))</f>
        <v>73</v>
      </c>
      <c r="D3980" s="387">
        <f t="shared" si="258"/>
        <v>438</v>
      </c>
      <c r="E3980" s="387">
        <f t="shared" ca="1" si="259"/>
        <v>6</v>
      </c>
      <c r="F3980" s="387">
        <f t="shared" ca="1" si="260"/>
        <v>81</v>
      </c>
      <c r="G3980" s="387"/>
      <c r="H3980" s="391" t="str">
        <f t="shared" ca="1" si="256"/>
        <v/>
      </c>
      <c r="I3980" s="391" t="str">
        <f t="shared" ca="1" si="257"/>
        <v/>
      </c>
    </row>
    <row r="3981" spans="1:9">
      <c r="A3981" s="387" t="b">
        <f t="shared" ca="1" si="255"/>
        <v>0</v>
      </c>
      <c r="B3981" s="396" t="str">
        <f ca="1">IF(COUNTA(G$3060:G3980)=1,"",OFFSET(B3981,-COUNTA(G$3060:G3980)+1,0))</f>
        <v>a1bDm000000YZF5IAO</v>
      </c>
      <c r="C3981" s="392">
        <f ca="1">IF(COUNTA(G$3060:G3980)=1,"",OFFSET(C3981,-COUNTA(G$3060:G3980)+1,0))</f>
        <v>74</v>
      </c>
      <c r="D3981" s="387">
        <f t="shared" si="258"/>
        <v>439</v>
      </c>
      <c r="E3981" s="387">
        <f t="shared" ca="1" si="259"/>
        <v>1</v>
      </c>
      <c r="F3981" s="387">
        <f t="shared" ca="1" si="260"/>
        <v>82</v>
      </c>
      <c r="G3981" s="387"/>
      <c r="H3981" s="391" t="str">
        <f t="shared" ca="1" si="256"/>
        <v/>
      </c>
      <c r="I3981" s="391" t="str">
        <f t="shared" ca="1" si="257"/>
        <v/>
      </c>
    </row>
    <row r="3982" spans="1:9">
      <c r="A3982" s="387" t="b">
        <f t="shared" ca="1" si="255"/>
        <v>0</v>
      </c>
      <c r="B3982" s="396" t="str">
        <f ca="1">IF(COUNTA(G$3060:G3981)=1,"",OFFSET(B3982,-COUNTA(G$3060:G3981)+1,0))</f>
        <v>a1bDm000000YZGNIA4</v>
      </c>
      <c r="C3982" s="392">
        <f ca="1">IF(COUNTA(G$3060:G3981)=1,"",OFFSET(C3982,-COUNTA(G$3060:G3981)+1,0))</f>
        <v>74</v>
      </c>
      <c r="D3982" s="387">
        <f t="shared" si="258"/>
        <v>440</v>
      </c>
      <c r="E3982" s="387">
        <f t="shared" ca="1" si="259"/>
        <v>2</v>
      </c>
      <c r="F3982" s="387">
        <f t="shared" ca="1" si="260"/>
        <v>82</v>
      </c>
      <c r="G3982" s="387"/>
      <c r="H3982" s="391" t="str">
        <f t="shared" ca="1" si="256"/>
        <v/>
      </c>
      <c r="I3982" s="391" t="str">
        <f t="shared" ca="1" si="257"/>
        <v/>
      </c>
    </row>
    <row r="3983" spans="1:9">
      <c r="A3983" s="387" t="b">
        <f t="shared" ca="1" si="255"/>
        <v>0</v>
      </c>
      <c r="B3983" s="396" t="str">
        <f ca="1">IF(COUNTA(G$3060:G3982)=1,"",OFFSET(B3983,-COUNTA(G$3060:G3982)+1,0))</f>
        <v>a1bDm000000YZHfIAO</v>
      </c>
      <c r="C3983" s="392">
        <f ca="1">IF(COUNTA(G$3060:G3982)=1,"",OFFSET(C3983,-COUNTA(G$3060:G3982)+1,0))</f>
        <v>74</v>
      </c>
      <c r="D3983" s="387">
        <f t="shared" si="258"/>
        <v>441</v>
      </c>
      <c r="E3983" s="387">
        <f t="shared" ca="1" si="259"/>
        <v>3</v>
      </c>
      <c r="F3983" s="387">
        <f t="shared" ca="1" si="260"/>
        <v>82</v>
      </c>
      <c r="G3983" s="387"/>
      <c r="H3983" s="391" t="str">
        <f t="shared" ca="1" si="256"/>
        <v/>
      </c>
      <c r="I3983" s="391" t="str">
        <f t="shared" ca="1" si="257"/>
        <v/>
      </c>
    </row>
    <row r="3984" spans="1:9">
      <c r="A3984" s="387" t="b">
        <f t="shared" ca="1" si="255"/>
        <v>0</v>
      </c>
      <c r="B3984" s="396" t="str">
        <f ca="1">IF(COUNTA(G$3060:G3983)=1,"",OFFSET(B3984,-COUNTA(G$3060:G3983)+1,0))</f>
        <v>a1bDm000000YZIxIAO</v>
      </c>
      <c r="C3984" s="392">
        <f ca="1">IF(COUNTA(G$3060:G3983)=1,"",OFFSET(C3984,-COUNTA(G$3060:G3983)+1,0))</f>
        <v>74</v>
      </c>
      <c r="D3984" s="387">
        <f t="shared" si="258"/>
        <v>442</v>
      </c>
      <c r="E3984" s="387">
        <f t="shared" ca="1" si="259"/>
        <v>4</v>
      </c>
      <c r="F3984" s="387">
        <f t="shared" ca="1" si="260"/>
        <v>82</v>
      </c>
      <c r="G3984" s="387"/>
      <c r="H3984" s="391" t="str">
        <f t="shared" ca="1" si="256"/>
        <v/>
      </c>
      <c r="I3984" s="391" t="str">
        <f t="shared" ca="1" si="257"/>
        <v/>
      </c>
    </row>
    <row r="3985" spans="1:9">
      <c r="A3985" s="387" t="b">
        <f t="shared" ca="1" si="255"/>
        <v>0</v>
      </c>
      <c r="B3985" s="396" t="str">
        <f ca="1">IF(COUNTA(G$3060:G3984)=1,"",OFFSET(B3985,-COUNTA(G$3060:G3984)+1,0))</f>
        <v>a1bDm000000YZKFIA4</v>
      </c>
      <c r="C3985" s="392">
        <f ca="1">IF(COUNTA(G$3060:G3984)=1,"",OFFSET(C3985,-COUNTA(G$3060:G3984)+1,0))</f>
        <v>74</v>
      </c>
      <c r="D3985" s="387">
        <f t="shared" si="258"/>
        <v>443</v>
      </c>
      <c r="E3985" s="387">
        <f t="shared" ca="1" si="259"/>
        <v>5</v>
      </c>
      <c r="F3985" s="387">
        <f t="shared" ca="1" si="260"/>
        <v>82</v>
      </c>
      <c r="G3985" s="387"/>
      <c r="H3985" s="391" t="str">
        <f t="shared" ca="1" si="256"/>
        <v/>
      </c>
      <c r="I3985" s="391" t="str">
        <f t="shared" ca="1" si="257"/>
        <v/>
      </c>
    </row>
    <row r="3986" spans="1:9">
      <c r="A3986" s="387" t="b">
        <f t="shared" ca="1" si="255"/>
        <v>0</v>
      </c>
      <c r="B3986" s="396" t="str">
        <f ca="1">IF(COUNTA(G$3060:G3985)=1,"",OFFSET(B3986,-COUNTA(G$3060:G3985)+1,0))</f>
        <v>a1bDm000000YZLXIA4</v>
      </c>
      <c r="C3986" s="392">
        <f ca="1">IF(COUNTA(G$3060:G3985)=1,"",OFFSET(C3986,-COUNTA(G$3060:G3985)+1,0))</f>
        <v>74</v>
      </c>
      <c r="D3986" s="387">
        <f t="shared" si="258"/>
        <v>444</v>
      </c>
      <c r="E3986" s="387">
        <f t="shared" ca="1" si="259"/>
        <v>6</v>
      </c>
      <c r="F3986" s="387">
        <f t="shared" ca="1" si="260"/>
        <v>82</v>
      </c>
      <c r="G3986" s="387"/>
      <c r="H3986" s="391" t="str">
        <f t="shared" ca="1" si="256"/>
        <v/>
      </c>
      <c r="I3986" s="391" t="str">
        <f t="shared" ca="1" si="257"/>
        <v/>
      </c>
    </row>
    <row r="3987" spans="1:9">
      <c r="A3987" s="387" t="b">
        <f t="shared" ca="1" si="255"/>
        <v>0</v>
      </c>
      <c r="B3987" s="396" t="str">
        <f ca="1">IF(COUNTA(G$3060:G3986)=1,"",OFFSET(B3987,-COUNTA(G$3060:G3986)+1,0))</f>
        <v>a1bDm000000YZF6IAO</v>
      </c>
      <c r="C3987" s="392">
        <f ca="1">IF(COUNTA(G$3060:G3986)=1,"",OFFSET(C3987,-COUNTA(G$3060:G3986)+1,0))</f>
        <v>75</v>
      </c>
      <c r="D3987" s="387">
        <f t="shared" si="258"/>
        <v>445</v>
      </c>
      <c r="E3987" s="387">
        <f t="shared" ca="1" si="259"/>
        <v>1</v>
      </c>
      <c r="F3987" s="387">
        <f t="shared" ca="1" si="260"/>
        <v>83</v>
      </c>
      <c r="G3987" s="387"/>
      <c r="H3987" s="391" t="str">
        <f t="shared" ca="1" si="256"/>
        <v/>
      </c>
      <c r="I3987" s="391" t="str">
        <f t="shared" ca="1" si="257"/>
        <v/>
      </c>
    </row>
    <row r="3988" spans="1:9">
      <c r="A3988" s="387" t="b">
        <f t="shared" ca="1" si="255"/>
        <v>0</v>
      </c>
      <c r="B3988" s="396" t="str">
        <f ca="1">IF(COUNTA(G$3060:G3987)=1,"",OFFSET(B3988,-COUNTA(G$3060:G3987)+1,0))</f>
        <v>a1bDm000000YZGOIA4</v>
      </c>
      <c r="C3988" s="392">
        <f ca="1">IF(COUNTA(G$3060:G3987)=1,"",OFFSET(C3988,-COUNTA(G$3060:G3987)+1,0))</f>
        <v>75</v>
      </c>
      <c r="D3988" s="387">
        <f t="shared" si="258"/>
        <v>446</v>
      </c>
      <c r="E3988" s="387">
        <f t="shared" ca="1" si="259"/>
        <v>2</v>
      </c>
      <c r="F3988" s="387">
        <f t="shared" ca="1" si="260"/>
        <v>83</v>
      </c>
      <c r="G3988" s="387"/>
      <c r="H3988" s="391" t="str">
        <f t="shared" ca="1" si="256"/>
        <v/>
      </c>
      <c r="I3988" s="391" t="str">
        <f t="shared" ca="1" si="257"/>
        <v/>
      </c>
    </row>
    <row r="3989" spans="1:9">
      <c r="A3989" s="387" t="b">
        <f t="shared" ca="1" si="255"/>
        <v>0</v>
      </c>
      <c r="B3989" s="396" t="str">
        <f ca="1">IF(COUNTA(G$3060:G3988)=1,"",OFFSET(B3989,-COUNTA(G$3060:G3988)+1,0))</f>
        <v>a1bDm000000YZHgIAO</v>
      </c>
      <c r="C3989" s="392">
        <f ca="1">IF(COUNTA(G$3060:G3988)=1,"",OFFSET(C3989,-COUNTA(G$3060:G3988)+1,0))</f>
        <v>75</v>
      </c>
      <c r="D3989" s="387">
        <f t="shared" si="258"/>
        <v>447</v>
      </c>
      <c r="E3989" s="387">
        <f t="shared" ca="1" si="259"/>
        <v>3</v>
      </c>
      <c r="F3989" s="387">
        <f t="shared" ca="1" si="260"/>
        <v>83</v>
      </c>
      <c r="G3989" s="387"/>
      <c r="H3989" s="391" t="str">
        <f t="shared" ca="1" si="256"/>
        <v/>
      </c>
      <c r="I3989" s="391" t="str">
        <f t="shared" ca="1" si="257"/>
        <v/>
      </c>
    </row>
    <row r="3990" spans="1:9">
      <c r="A3990" s="387" t="b">
        <f t="shared" ca="1" si="255"/>
        <v>0</v>
      </c>
      <c r="B3990" s="396" t="str">
        <f ca="1">IF(COUNTA(G$3060:G3989)=1,"",OFFSET(B3990,-COUNTA(G$3060:G3989)+1,0))</f>
        <v>a1bDm000000YZIyIAO</v>
      </c>
      <c r="C3990" s="392">
        <f ca="1">IF(COUNTA(G$3060:G3989)=1,"",OFFSET(C3990,-COUNTA(G$3060:G3989)+1,0))</f>
        <v>75</v>
      </c>
      <c r="D3990" s="387">
        <f t="shared" si="258"/>
        <v>448</v>
      </c>
      <c r="E3990" s="387">
        <f t="shared" ca="1" si="259"/>
        <v>4</v>
      </c>
      <c r="F3990" s="387">
        <f t="shared" ca="1" si="260"/>
        <v>83</v>
      </c>
      <c r="G3990" s="387"/>
      <c r="H3990" s="391" t="str">
        <f t="shared" ca="1" si="256"/>
        <v/>
      </c>
      <c r="I3990" s="391" t="str">
        <f t="shared" ca="1" si="257"/>
        <v/>
      </c>
    </row>
    <row r="3991" spans="1:9">
      <c r="A3991" s="387" t="b">
        <f t="shared" ref="A3991:A4022" ca="1" si="261">IF(OR(AND(H3991&lt;&gt;"", H3991&lt;&gt;0), AND(I3991&lt;&gt;"",I3991&lt;&gt;0)),TRUE,FALSE)</f>
        <v>0</v>
      </c>
      <c r="B3991" s="396" t="str">
        <f ca="1">IF(COUNTA(G$3060:G3990)=1,"",OFFSET(B3991,-COUNTA(G$3060:G3990)+1,0))</f>
        <v>a1bDm000000YZKGIA4</v>
      </c>
      <c r="C3991" s="392">
        <f ca="1">IF(COUNTA(G$3060:G3990)=1,"",OFFSET(C3991,-COUNTA(G$3060:G3990)+1,0))</f>
        <v>75</v>
      </c>
      <c r="D3991" s="387">
        <f t="shared" si="258"/>
        <v>449</v>
      </c>
      <c r="E3991" s="387">
        <f t="shared" ca="1" si="259"/>
        <v>5</v>
      </c>
      <c r="F3991" s="387">
        <f t="shared" ca="1" si="260"/>
        <v>83</v>
      </c>
      <c r="G3991" s="387"/>
      <c r="H3991" s="391" t="str">
        <f t="shared" ref="H3991:H4022" ca="1" si="262">CHOOSE(E3991,IFERROR(IF(INDIRECT("'WPTM - Section F'!H"&amp;F3991)=0,"",INDIRECT("'WPTM - Section F'!H"&amp;$F3991)),""),IFERROR(IF(INDIRECT("'WPTM - Section F'!J"&amp;F3991)=0,"",INDIRECT("'WPTM - Section F'!J"&amp;$F3991)),""),IFERROR(IF(INDIRECT("'WPTM - Section F'!L"&amp;F3991)=0,"",INDIRECT("'WPTM - Section F'!L"&amp;$F3991)),""),IFERROR(IF(INDIRECT("'WPTM - Section F'!N"&amp;F3991)=0,"",INDIRECT("'WPTM - Section F'!N"&amp;$F3991)),""),IFERROR(IF(INDIRECT("'WPTM - Section F'!P"&amp;F3991)=0,"",INDIRECT("'WPTM - Section F'!P"&amp;$F3991)),""),IFERROR(IF(INDIRECT("'WPTM - Section F'!R"&amp;F3991)=0,"",INDIRECT("'WPTM - Section F'!R"&amp;$F3991)),""),IFERROR(IF(INDIRECT("'WPTM - Section F'!T"&amp;F3991)=0,"",INDIRECT("'WPTM - Section F'!T"&amp;$F3991)),""),IFERROR(IF(INDIRECT("'WPTM - Section F'!V"&amp;F3991)=0,"",INDIRECT("'WPTM - Section F'!V"&amp;$F3991)),""),)</f>
        <v/>
      </c>
      <c r="I3991" s="391" t="str">
        <f t="shared" ref="I3991:I4022" ca="1" si="263">CHOOSE(E3991,IFERROR(IF(INDIRECT("'WPTM - Section F'!G"&amp;F3991)=0,"",INDIRECT("'WPTM - Section F'!G"&amp;$F3991)),""),IFERROR(IF(INDIRECT("'WPTM - Section F'!I"&amp;F3991)=0,"",INDIRECT("'WPTM - Section F'!I"&amp;$F3991)),""),IFERROR(IF(INDIRECT("'WPTM - Section F'!K"&amp;F3991)=0,"",INDIRECT("'WPTM - Section F'!K"&amp;$F3991)),""),IFERROR(IF(INDIRECT("'WPTM - Section F'!M"&amp;F3991)=0,"",INDIRECT("'WPTM - Section F'!M"&amp;$F3991)),""),IFERROR(IF(INDIRECT("'WPTM - Section F'!O"&amp;F3991)=0,"",INDIRECT("'WPTM - Section F'!O"&amp;$F3991)),""),IFERROR(IF(INDIRECT("'WPTM - Section F'!Q"&amp;F3991)=0,"",INDIRECT("'WPTM - Section F'!Q"&amp;$F3991)),""),IFERROR(IF(INDIRECT("'WPTM - Section F'!S"&amp;F3991)=0,"",INDIRECT("'WPTM - Section F'!S"&amp;$F3991)),""),IFERROR(IF(INDIRECT("'WPTM - Section F'!U"&amp;F3991)=0,"",INDIRECT("'WPTM - Section F'!U"&amp;$F3991)),""),)</f>
        <v/>
      </c>
    </row>
    <row r="3992" spans="1:9">
      <c r="A3992" s="387" t="b">
        <f t="shared" ca="1" si="261"/>
        <v>0</v>
      </c>
      <c r="B3992" s="396" t="str">
        <f ca="1">IF(COUNTA(G$3060:G3991)=1,"",OFFSET(B3992,-COUNTA(G$3060:G3991)+1,0))</f>
        <v>a1bDm000000YZLYIA4</v>
      </c>
      <c r="C3992" s="392">
        <f ca="1">IF(COUNTA(G$3060:G3991)=1,"",OFFSET(C3992,-COUNTA(G$3060:G3991)+1,0))</f>
        <v>75</v>
      </c>
      <c r="D3992" s="387">
        <f t="shared" si="258"/>
        <v>450</v>
      </c>
      <c r="E3992" s="387">
        <f t="shared" ca="1" si="259"/>
        <v>6</v>
      </c>
      <c r="F3992" s="387">
        <f t="shared" ca="1" si="260"/>
        <v>83</v>
      </c>
      <c r="G3992" s="387"/>
      <c r="H3992" s="391" t="str">
        <f t="shared" ca="1" si="262"/>
        <v/>
      </c>
      <c r="I3992" s="391" t="str">
        <f t="shared" ca="1" si="263"/>
        <v/>
      </c>
    </row>
    <row r="3993" spans="1:9">
      <c r="A3993" s="387" t="b">
        <f t="shared" ca="1" si="261"/>
        <v>0</v>
      </c>
      <c r="B3993" s="396" t="str">
        <f ca="1">IF(COUNTA(G$3060:G3992)=1,"",OFFSET(B3993,-COUNTA(G$3060:G3992)+1,0))</f>
        <v>a1bDm000000YZF7IAO</v>
      </c>
      <c r="C3993" s="392">
        <f ca="1">IF(COUNTA(G$3060:G3992)=1,"",OFFSET(C3993,-COUNTA(G$3060:G3992)+1,0))</f>
        <v>76</v>
      </c>
      <c r="D3993" s="387">
        <f t="shared" si="258"/>
        <v>451</v>
      </c>
      <c r="E3993" s="387">
        <f t="shared" ca="1" si="259"/>
        <v>1</v>
      </c>
      <c r="F3993" s="387">
        <f t="shared" ca="1" si="260"/>
        <v>84</v>
      </c>
      <c r="G3993" s="387"/>
      <c r="H3993" s="391" t="str">
        <f t="shared" ca="1" si="262"/>
        <v/>
      </c>
      <c r="I3993" s="391" t="str">
        <f t="shared" ca="1" si="263"/>
        <v/>
      </c>
    </row>
    <row r="3994" spans="1:9">
      <c r="A3994" s="387" t="b">
        <f t="shared" ca="1" si="261"/>
        <v>0</v>
      </c>
      <c r="B3994" s="396" t="str">
        <f ca="1">IF(COUNTA(G$3060:G3993)=1,"",OFFSET(B3994,-COUNTA(G$3060:G3993)+1,0))</f>
        <v>a1bDm000000YZGPIA4</v>
      </c>
      <c r="C3994" s="392">
        <f ca="1">IF(COUNTA(G$3060:G3993)=1,"",OFFSET(C3994,-COUNTA(G$3060:G3993)+1,0))</f>
        <v>76</v>
      </c>
      <c r="D3994" s="387">
        <f t="shared" si="258"/>
        <v>452</v>
      </c>
      <c r="E3994" s="387">
        <f t="shared" ca="1" si="259"/>
        <v>2</v>
      </c>
      <c r="F3994" s="387">
        <f t="shared" ca="1" si="260"/>
        <v>84</v>
      </c>
      <c r="G3994" s="387"/>
      <c r="H3994" s="391" t="str">
        <f t="shared" ca="1" si="262"/>
        <v/>
      </c>
      <c r="I3994" s="391" t="str">
        <f t="shared" ca="1" si="263"/>
        <v/>
      </c>
    </row>
    <row r="3995" spans="1:9">
      <c r="A3995" s="387" t="b">
        <f t="shared" ca="1" si="261"/>
        <v>0</v>
      </c>
      <c r="B3995" s="396" t="str">
        <f ca="1">IF(COUNTA(G$3060:G3994)=1,"",OFFSET(B3995,-COUNTA(G$3060:G3994)+1,0))</f>
        <v>a1bDm000000YZHhIAO</v>
      </c>
      <c r="C3995" s="392">
        <f ca="1">IF(COUNTA(G$3060:G3994)=1,"",OFFSET(C3995,-COUNTA(G$3060:G3994)+1,0))</f>
        <v>76</v>
      </c>
      <c r="D3995" s="387">
        <f t="shared" si="258"/>
        <v>453</v>
      </c>
      <c r="E3995" s="387">
        <f t="shared" ca="1" si="259"/>
        <v>3</v>
      </c>
      <c r="F3995" s="387">
        <f t="shared" ca="1" si="260"/>
        <v>84</v>
      </c>
      <c r="G3995" s="387"/>
      <c r="H3995" s="391" t="str">
        <f t="shared" ca="1" si="262"/>
        <v/>
      </c>
      <c r="I3995" s="391" t="str">
        <f t="shared" ca="1" si="263"/>
        <v/>
      </c>
    </row>
    <row r="3996" spans="1:9">
      <c r="A3996" s="387" t="b">
        <f t="shared" ca="1" si="261"/>
        <v>0</v>
      </c>
      <c r="B3996" s="396" t="str">
        <f ca="1">IF(COUNTA(G$3060:G3995)=1,"",OFFSET(B3996,-COUNTA(G$3060:G3995)+1,0))</f>
        <v>a1bDm000000YZIzIAO</v>
      </c>
      <c r="C3996" s="392">
        <f ca="1">IF(COUNTA(G$3060:G3995)=1,"",OFFSET(C3996,-COUNTA(G$3060:G3995)+1,0))</f>
        <v>76</v>
      </c>
      <c r="D3996" s="387">
        <f t="shared" si="258"/>
        <v>454</v>
      </c>
      <c r="E3996" s="387">
        <f t="shared" ca="1" si="259"/>
        <v>4</v>
      </c>
      <c r="F3996" s="387">
        <f t="shared" ca="1" si="260"/>
        <v>84</v>
      </c>
      <c r="G3996" s="387"/>
      <c r="H3996" s="391" t="str">
        <f t="shared" ca="1" si="262"/>
        <v/>
      </c>
      <c r="I3996" s="391" t="str">
        <f t="shared" ca="1" si="263"/>
        <v/>
      </c>
    </row>
    <row r="3997" spans="1:9">
      <c r="A3997" s="387" t="b">
        <f t="shared" ca="1" si="261"/>
        <v>0</v>
      </c>
      <c r="B3997" s="396" t="str">
        <f ca="1">IF(COUNTA(G$3060:G3996)=1,"",OFFSET(B3997,-COUNTA(G$3060:G3996)+1,0))</f>
        <v>a1bDm000000YZKHIA4</v>
      </c>
      <c r="C3997" s="392">
        <f ca="1">IF(COUNTA(G$3060:G3996)=1,"",OFFSET(C3997,-COUNTA(G$3060:G3996)+1,0))</f>
        <v>76</v>
      </c>
      <c r="D3997" s="387">
        <f t="shared" si="258"/>
        <v>455</v>
      </c>
      <c r="E3997" s="387">
        <f t="shared" ca="1" si="259"/>
        <v>5</v>
      </c>
      <c r="F3997" s="387">
        <f t="shared" ca="1" si="260"/>
        <v>84</v>
      </c>
      <c r="G3997" s="387"/>
      <c r="H3997" s="391" t="str">
        <f t="shared" ca="1" si="262"/>
        <v/>
      </c>
      <c r="I3997" s="391" t="str">
        <f t="shared" ca="1" si="263"/>
        <v/>
      </c>
    </row>
    <row r="3998" spans="1:9">
      <c r="A3998" s="387" t="b">
        <f t="shared" ca="1" si="261"/>
        <v>0</v>
      </c>
      <c r="B3998" s="396" t="str">
        <f ca="1">IF(COUNTA(G$3060:G3997)=1,"",OFFSET(B3998,-COUNTA(G$3060:G3997)+1,0))</f>
        <v>a1bDm000000YZLZIA4</v>
      </c>
      <c r="C3998" s="392">
        <f ca="1">IF(COUNTA(G$3060:G3997)=1,"",OFFSET(C3998,-COUNTA(G$3060:G3997)+1,0))</f>
        <v>76</v>
      </c>
      <c r="D3998" s="387">
        <f t="shared" si="258"/>
        <v>456</v>
      </c>
      <c r="E3998" s="387">
        <f t="shared" ca="1" si="259"/>
        <v>6</v>
      </c>
      <c r="F3998" s="387">
        <f t="shared" ca="1" si="260"/>
        <v>84</v>
      </c>
      <c r="G3998" s="387"/>
      <c r="H3998" s="391" t="str">
        <f t="shared" ca="1" si="262"/>
        <v/>
      </c>
      <c r="I3998" s="391" t="str">
        <f t="shared" ca="1" si="263"/>
        <v/>
      </c>
    </row>
    <row r="3999" spans="1:9">
      <c r="A3999" s="387" t="b">
        <f t="shared" ca="1" si="261"/>
        <v>0</v>
      </c>
      <c r="B3999" s="396" t="str">
        <f ca="1">IF(COUNTA(G$3060:G3998)=1,"",OFFSET(B3999,-COUNTA(G$3060:G3998)+1,0))</f>
        <v>a1bDm000000YZF8IAO</v>
      </c>
      <c r="C3999" s="392">
        <f ca="1">IF(COUNTA(G$3060:G3998)=1,"",OFFSET(C3999,-COUNTA(G$3060:G3998)+1,0))</f>
        <v>77</v>
      </c>
      <c r="D3999" s="387">
        <f t="shared" si="258"/>
        <v>457</v>
      </c>
      <c r="E3999" s="387">
        <f t="shared" ca="1" si="259"/>
        <v>1</v>
      </c>
      <c r="F3999" s="387">
        <f t="shared" ca="1" si="260"/>
        <v>85</v>
      </c>
      <c r="G3999" s="387"/>
      <c r="H3999" s="391" t="str">
        <f t="shared" ca="1" si="262"/>
        <v/>
      </c>
      <c r="I3999" s="391" t="str">
        <f t="shared" ca="1" si="263"/>
        <v/>
      </c>
    </row>
    <row r="4000" spans="1:9">
      <c r="A4000" s="387" t="b">
        <f t="shared" ca="1" si="261"/>
        <v>0</v>
      </c>
      <c r="B4000" s="396" t="str">
        <f ca="1">IF(COUNTA(G$3060:G3999)=1,"",OFFSET(B4000,-COUNTA(G$3060:G3999)+1,0))</f>
        <v>a1bDm000000YZGQIA4</v>
      </c>
      <c r="C4000" s="392">
        <f ca="1">IF(COUNTA(G$3060:G3999)=1,"",OFFSET(C4000,-COUNTA(G$3060:G3999)+1,0))</f>
        <v>77</v>
      </c>
      <c r="D4000" s="387">
        <f t="shared" si="258"/>
        <v>458</v>
      </c>
      <c r="E4000" s="387">
        <f t="shared" ca="1" si="259"/>
        <v>2</v>
      </c>
      <c r="F4000" s="387">
        <f t="shared" ca="1" si="260"/>
        <v>85</v>
      </c>
      <c r="G4000" s="387"/>
      <c r="H4000" s="391" t="str">
        <f t="shared" ca="1" si="262"/>
        <v/>
      </c>
      <c r="I4000" s="391" t="str">
        <f t="shared" ca="1" si="263"/>
        <v/>
      </c>
    </row>
    <row r="4001" spans="1:9">
      <c r="A4001" s="387" t="b">
        <f t="shared" ca="1" si="261"/>
        <v>0</v>
      </c>
      <c r="B4001" s="396" t="str">
        <f ca="1">IF(COUNTA(G$3060:G4000)=1,"",OFFSET(B4001,-COUNTA(G$3060:G4000)+1,0))</f>
        <v>a1bDm000000YZHiIAO</v>
      </c>
      <c r="C4001" s="392">
        <f ca="1">IF(COUNTA(G$3060:G4000)=1,"",OFFSET(C4001,-COUNTA(G$3060:G4000)+1,0))</f>
        <v>77</v>
      </c>
      <c r="D4001" s="387">
        <f t="shared" si="258"/>
        <v>459</v>
      </c>
      <c r="E4001" s="387">
        <f t="shared" ca="1" si="259"/>
        <v>3</v>
      </c>
      <c r="F4001" s="387">
        <f t="shared" ca="1" si="260"/>
        <v>85</v>
      </c>
      <c r="G4001" s="387"/>
      <c r="H4001" s="391" t="str">
        <f t="shared" ca="1" si="262"/>
        <v/>
      </c>
      <c r="I4001" s="391" t="str">
        <f t="shared" ca="1" si="263"/>
        <v/>
      </c>
    </row>
    <row r="4002" spans="1:9">
      <c r="A4002" s="387" t="b">
        <f t="shared" ca="1" si="261"/>
        <v>0</v>
      </c>
      <c r="B4002" s="396" t="str">
        <f ca="1">IF(COUNTA(G$3060:G4001)=1,"",OFFSET(B4002,-COUNTA(G$3060:G4001)+1,0))</f>
        <v>a1bDm000000YZJ0IAO</v>
      </c>
      <c r="C4002" s="392">
        <f ca="1">IF(COUNTA(G$3060:G4001)=1,"",OFFSET(C4002,-COUNTA(G$3060:G4001)+1,0))</f>
        <v>77</v>
      </c>
      <c r="D4002" s="387">
        <f t="shared" si="258"/>
        <v>460</v>
      </c>
      <c r="E4002" s="387">
        <f t="shared" ca="1" si="259"/>
        <v>4</v>
      </c>
      <c r="F4002" s="387">
        <f t="shared" ca="1" si="260"/>
        <v>85</v>
      </c>
      <c r="G4002" s="387"/>
      <c r="H4002" s="391" t="str">
        <f t="shared" ca="1" si="262"/>
        <v/>
      </c>
      <c r="I4002" s="391" t="str">
        <f t="shared" ca="1" si="263"/>
        <v/>
      </c>
    </row>
    <row r="4003" spans="1:9">
      <c r="A4003" s="387" t="b">
        <f t="shared" ca="1" si="261"/>
        <v>0</v>
      </c>
      <c r="B4003" s="396" t="str">
        <f ca="1">IF(COUNTA(G$3060:G4002)=1,"",OFFSET(B4003,-COUNTA(G$3060:G4002)+1,0))</f>
        <v>a1bDm000000YZKIIA4</v>
      </c>
      <c r="C4003" s="392">
        <f ca="1">IF(COUNTA(G$3060:G4002)=1,"",OFFSET(C4003,-COUNTA(G$3060:G4002)+1,0))</f>
        <v>77</v>
      </c>
      <c r="D4003" s="387">
        <f t="shared" si="258"/>
        <v>461</v>
      </c>
      <c r="E4003" s="387">
        <f t="shared" ca="1" si="259"/>
        <v>5</v>
      </c>
      <c r="F4003" s="387">
        <f t="shared" ca="1" si="260"/>
        <v>85</v>
      </c>
      <c r="G4003" s="387"/>
      <c r="H4003" s="391" t="str">
        <f t="shared" ca="1" si="262"/>
        <v/>
      </c>
      <c r="I4003" s="391" t="str">
        <f t="shared" ca="1" si="263"/>
        <v/>
      </c>
    </row>
    <row r="4004" spans="1:9">
      <c r="A4004" s="387" t="b">
        <f t="shared" ca="1" si="261"/>
        <v>0</v>
      </c>
      <c r="B4004" s="396" t="str">
        <f ca="1">IF(COUNTA(G$3060:G4003)=1,"",OFFSET(B4004,-COUNTA(G$3060:G4003)+1,0))</f>
        <v>a1bDm000000YZLaIAO</v>
      </c>
      <c r="C4004" s="392">
        <f ca="1">IF(COUNTA(G$3060:G4003)=1,"",OFFSET(C4004,-COUNTA(G$3060:G4003)+1,0))</f>
        <v>77</v>
      </c>
      <c r="D4004" s="387">
        <f t="shared" si="258"/>
        <v>462</v>
      </c>
      <c r="E4004" s="387">
        <f t="shared" ca="1" si="259"/>
        <v>6</v>
      </c>
      <c r="F4004" s="387">
        <f t="shared" ca="1" si="260"/>
        <v>85</v>
      </c>
      <c r="G4004" s="387"/>
      <c r="H4004" s="391" t="str">
        <f t="shared" ca="1" si="262"/>
        <v/>
      </c>
      <c r="I4004" s="391" t="str">
        <f t="shared" ca="1" si="263"/>
        <v/>
      </c>
    </row>
    <row r="4005" spans="1:9">
      <c r="A4005" s="387" t="b">
        <f t="shared" ca="1" si="261"/>
        <v>0</v>
      </c>
      <c r="B4005" s="396" t="str">
        <f ca="1">IF(COUNTA(G$3060:G4004)=1,"",OFFSET(B4005,-COUNTA(G$3060:G4004)+1,0))</f>
        <v>a1bDm000000YZF9IAO</v>
      </c>
      <c r="C4005" s="392">
        <f ca="1">IF(COUNTA(G$3060:G4004)=1,"",OFFSET(C4005,-COUNTA(G$3060:G4004)+1,0))</f>
        <v>78</v>
      </c>
      <c r="D4005" s="387">
        <f t="shared" si="258"/>
        <v>463</v>
      </c>
      <c r="E4005" s="387">
        <f t="shared" ca="1" si="259"/>
        <v>1</v>
      </c>
      <c r="F4005" s="387">
        <f t="shared" ca="1" si="260"/>
        <v>86</v>
      </c>
      <c r="G4005" s="387"/>
      <c r="H4005" s="391" t="str">
        <f t="shared" ca="1" si="262"/>
        <v/>
      </c>
      <c r="I4005" s="391" t="str">
        <f t="shared" ca="1" si="263"/>
        <v/>
      </c>
    </row>
    <row r="4006" spans="1:9">
      <c r="A4006" s="387" t="b">
        <f t="shared" ca="1" si="261"/>
        <v>0</v>
      </c>
      <c r="B4006" s="396" t="str">
        <f ca="1">IF(COUNTA(G$3060:G4005)=1,"",OFFSET(B4006,-COUNTA(G$3060:G4005)+1,0))</f>
        <v>a1bDm000000YZGRIA4</v>
      </c>
      <c r="C4006" s="392">
        <f ca="1">IF(COUNTA(G$3060:G4005)=1,"",OFFSET(C4006,-COUNTA(G$3060:G4005)+1,0))</f>
        <v>78</v>
      </c>
      <c r="D4006" s="387">
        <f t="shared" si="258"/>
        <v>464</v>
      </c>
      <c r="E4006" s="387">
        <f t="shared" ca="1" si="259"/>
        <v>2</v>
      </c>
      <c r="F4006" s="387">
        <f t="shared" ca="1" si="260"/>
        <v>86</v>
      </c>
      <c r="G4006" s="387"/>
      <c r="H4006" s="391" t="str">
        <f t="shared" ca="1" si="262"/>
        <v/>
      </c>
      <c r="I4006" s="391" t="str">
        <f t="shared" ca="1" si="263"/>
        <v/>
      </c>
    </row>
    <row r="4007" spans="1:9">
      <c r="A4007" s="387" t="b">
        <f t="shared" ca="1" si="261"/>
        <v>0</v>
      </c>
      <c r="B4007" s="396" t="str">
        <f ca="1">IF(COUNTA(G$3060:G4006)=1,"",OFFSET(B4007,-COUNTA(G$3060:G4006)+1,0))</f>
        <v>a1bDm000000YZHjIAO</v>
      </c>
      <c r="C4007" s="392">
        <f ca="1">IF(COUNTA(G$3060:G4006)=1,"",OFFSET(C4007,-COUNTA(G$3060:G4006)+1,0))</f>
        <v>78</v>
      </c>
      <c r="D4007" s="387">
        <f t="shared" si="258"/>
        <v>465</v>
      </c>
      <c r="E4007" s="387">
        <f t="shared" ca="1" si="259"/>
        <v>3</v>
      </c>
      <c r="F4007" s="387">
        <f t="shared" ca="1" si="260"/>
        <v>86</v>
      </c>
      <c r="G4007" s="387"/>
      <c r="H4007" s="391" t="str">
        <f t="shared" ca="1" si="262"/>
        <v/>
      </c>
      <c r="I4007" s="391" t="str">
        <f t="shared" ca="1" si="263"/>
        <v/>
      </c>
    </row>
    <row r="4008" spans="1:9">
      <c r="A4008" s="387" t="b">
        <f t="shared" ca="1" si="261"/>
        <v>0</v>
      </c>
      <c r="B4008" s="396" t="str">
        <f ca="1">IF(COUNTA(G$3060:G4007)=1,"",OFFSET(B4008,-COUNTA(G$3060:G4007)+1,0))</f>
        <v>a1bDm000000YZJ1IAO</v>
      </c>
      <c r="C4008" s="392">
        <f ca="1">IF(COUNTA(G$3060:G4007)=1,"",OFFSET(C4008,-COUNTA(G$3060:G4007)+1,0))</f>
        <v>78</v>
      </c>
      <c r="D4008" s="387">
        <f t="shared" si="258"/>
        <v>466</v>
      </c>
      <c r="E4008" s="387">
        <f t="shared" ca="1" si="259"/>
        <v>4</v>
      </c>
      <c r="F4008" s="387">
        <f t="shared" ca="1" si="260"/>
        <v>86</v>
      </c>
      <c r="G4008" s="387"/>
      <c r="H4008" s="391" t="str">
        <f t="shared" ca="1" si="262"/>
        <v/>
      </c>
      <c r="I4008" s="391" t="str">
        <f t="shared" ca="1" si="263"/>
        <v/>
      </c>
    </row>
    <row r="4009" spans="1:9">
      <c r="A4009" s="387" t="b">
        <f t="shared" ca="1" si="261"/>
        <v>0</v>
      </c>
      <c r="B4009" s="396" t="str">
        <f ca="1">IF(COUNTA(G$3060:G4008)=1,"",OFFSET(B4009,-COUNTA(G$3060:G4008)+1,0))</f>
        <v>a1bDm000000YZKJIA4</v>
      </c>
      <c r="C4009" s="392">
        <f ca="1">IF(COUNTA(G$3060:G4008)=1,"",OFFSET(C4009,-COUNTA(G$3060:G4008)+1,0))</f>
        <v>78</v>
      </c>
      <c r="D4009" s="387">
        <f t="shared" si="258"/>
        <v>467</v>
      </c>
      <c r="E4009" s="387">
        <f t="shared" ca="1" si="259"/>
        <v>5</v>
      </c>
      <c r="F4009" s="387">
        <f t="shared" ca="1" si="260"/>
        <v>86</v>
      </c>
      <c r="G4009" s="387"/>
      <c r="H4009" s="391" t="str">
        <f t="shared" ca="1" si="262"/>
        <v/>
      </c>
      <c r="I4009" s="391" t="str">
        <f t="shared" ca="1" si="263"/>
        <v/>
      </c>
    </row>
    <row r="4010" spans="1:9">
      <c r="A4010" s="387" t="b">
        <f t="shared" ca="1" si="261"/>
        <v>0</v>
      </c>
      <c r="B4010" s="396" t="str">
        <f ca="1">IF(COUNTA(G$3060:G4009)=1,"",OFFSET(B4010,-COUNTA(G$3060:G4009)+1,0))</f>
        <v>a1bDm000000YZLbIAO</v>
      </c>
      <c r="C4010" s="392">
        <f ca="1">IF(COUNTA(G$3060:G4009)=1,"",OFFSET(C4010,-COUNTA(G$3060:G4009)+1,0))</f>
        <v>78</v>
      </c>
      <c r="D4010" s="387">
        <f t="shared" si="258"/>
        <v>468</v>
      </c>
      <c r="E4010" s="387">
        <f t="shared" ca="1" si="259"/>
        <v>6</v>
      </c>
      <c r="F4010" s="387">
        <f t="shared" ca="1" si="260"/>
        <v>86</v>
      </c>
      <c r="G4010" s="387"/>
      <c r="H4010" s="391" t="str">
        <f t="shared" ca="1" si="262"/>
        <v/>
      </c>
      <c r="I4010" s="391" t="str">
        <f t="shared" ca="1" si="263"/>
        <v/>
      </c>
    </row>
    <row r="4011" spans="1:9">
      <c r="A4011" s="387" t="b">
        <f t="shared" ca="1" si="261"/>
        <v>0</v>
      </c>
      <c r="B4011" s="396" t="str">
        <f ca="1">IF(COUNTA(G$3060:G4010)=1,"",OFFSET(B4011,-COUNTA(G$3060:G4010)+1,0))</f>
        <v>a1bDm000000YZFAIA4</v>
      </c>
      <c r="C4011" s="392">
        <f ca="1">IF(COUNTA(G$3060:G4010)=1,"",OFFSET(C4011,-COUNTA(G$3060:G4010)+1,0))</f>
        <v>79</v>
      </c>
      <c r="D4011" s="387">
        <f t="shared" si="258"/>
        <v>469</v>
      </c>
      <c r="E4011" s="387">
        <f t="shared" ca="1" si="259"/>
        <v>1</v>
      </c>
      <c r="F4011" s="387">
        <f t="shared" ca="1" si="260"/>
        <v>87</v>
      </c>
      <c r="G4011" s="387"/>
      <c r="H4011" s="391" t="str">
        <f t="shared" ca="1" si="262"/>
        <v/>
      </c>
      <c r="I4011" s="391" t="str">
        <f t="shared" ca="1" si="263"/>
        <v/>
      </c>
    </row>
    <row r="4012" spans="1:9">
      <c r="A4012" s="387" t="b">
        <f t="shared" ca="1" si="261"/>
        <v>0</v>
      </c>
      <c r="B4012" s="396" t="str">
        <f ca="1">IF(COUNTA(G$3060:G4011)=1,"",OFFSET(B4012,-COUNTA(G$3060:G4011)+1,0))</f>
        <v>a1bDm000000YZGSIA4</v>
      </c>
      <c r="C4012" s="392">
        <f ca="1">IF(COUNTA(G$3060:G4011)=1,"",OFFSET(C4012,-COUNTA(G$3060:G4011)+1,0))</f>
        <v>79</v>
      </c>
      <c r="D4012" s="387">
        <f t="shared" si="258"/>
        <v>470</v>
      </c>
      <c r="E4012" s="387">
        <f t="shared" ca="1" si="259"/>
        <v>2</v>
      </c>
      <c r="F4012" s="387">
        <f t="shared" ca="1" si="260"/>
        <v>87</v>
      </c>
      <c r="G4012" s="387"/>
      <c r="H4012" s="391" t="str">
        <f t="shared" ca="1" si="262"/>
        <v/>
      </c>
      <c r="I4012" s="391" t="str">
        <f t="shared" ca="1" si="263"/>
        <v/>
      </c>
    </row>
    <row r="4013" spans="1:9">
      <c r="A4013" s="387" t="b">
        <f t="shared" ca="1" si="261"/>
        <v>0</v>
      </c>
      <c r="B4013" s="396" t="str">
        <f ca="1">IF(COUNTA(G$3060:G4012)=1,"",OFFSET(B4013,-COUNTA(G$3060:G4012)+1,0))</f>
        <v>a1bDm000000YZHkIAO</v>
      </c>
      <c r="C4013" s="392">
        <f ca="1">IF(COUNTA(G$3060:G4012)=1,"",OFFSET(C4013,-COUNTA(G$3060:G4012)+1,0))</f>
        <v>79</v>
      </c>
      <c r="D4013" s="387">
        <f t="shared" si="258"/>
        <v>471</v>
      </c>
      <c r="E4013" s="387">
        <f t="shared" ca="1" si="259"/>
        <v>3</v>
      </c>
      <c r="F4013" s="387">
        <f t="shared" ca="1" si="260"/>
        <v>87</v>
      </c>
      <c r="G4013" s="387"/>
      <c r="H4013" s="391" t="str">
        <f t="shared" ca="1" si="262"/>
        <v/>
      </c>
      <c r="I4013" s="391" t="str">
        <f t="shared" ca="1" si="263"/>
        <v/>
      </c>
    </row>
    <row r="4014" spans="1:9">
      <c r="A4014" s="387" t="b">
        <f t="shared" ca="1" si="261"/>
        <v>0</v>
      </c>
      <c r="B4014" s="396" t="str">
        <f ca="1">IF(COUNTA(G$3060:G4013)=1,"",OFFSET(B4014,-COUNTA(G$3060:G4013)+1,0))</f>
        <v>a1bDm000000YZJ2IAO</v>
      </c>
      <c r="C4014" s="392">
        <f ca="1">IF(COUNTA(G$3060:G4013)=1,"",OFFSET(C4014,-COUNTA(G$3060:G4013)+1,0))</f>
        <v>79</v>
      </c>
      <c r="D4014" s="387">
        <f t="shared" si="258"/>
        <v>472</v>
      </c>
      <c r="E4014" s="387">
        <f t="shared" ca="1" si="259"/>
        <v>4</v>
      </c>
      <c r="F4014" s="387">
        <f t="shared" ca="1" si="260"/>
        <v>87</v>
      </c>
      <c r="G4014" s="387"/>
      <c r="H4014" s="391" t="str">
        <f t="shared" ca="1" si="262"/>
        <v/>
      </c>
      <c r="I4014" s="391" t="str">
        <f t="shared" ca="1" si="263"/>
        <v/>
      </c>
    </row>
    <row r="4015" spans="1:9">
      <c r="A4015" s="387" t="b">
        <f t="shared" ca="1" si="261"/>
        <v>0</v>
      </c>
      <c r="B4015" s="396" t="str">
        <f ca="1">IF(COUNTA(G$3060:G4014)=1,"",OFFSET(B4015,-COUNTA(G$3060:G4014)+1,0))</f>
        <v>a1bDm000000YZKKIA4</v>
      </c>
      <c r="C4015" s="392">
        <f ca="1">IF(COUNTA(G$3060:G4014)=1,"",OFFSET(C4015,-COUNTA(G$3060:G4014)+1,0))</f>
        <v>79</v>
      </c>
      <c r="D4015" s="387">
        <f t="shared" si="258"/>
        <v>473</v>
      </c>
      <c r="E4015" s="387">
        <f t="shared" ca="1" si="259"/>
        <v>5</v>
      </c>
      <c r="F4015" s="387">
        <f t="shared" ca="1" si="260"/>
        <v>87</v>
      </c>
      <c r="G4015" s="387"/>
      <c r="H4015" s="391" t="str">
        <f t="shared" ca="1" si="262"/>
        <v/>
      </c>
      <c r="I4015" s="391" t="str">
        <f t="shared" ca="1" si="263"/>
        <v/>
      </c>
    </row>
    <row r="4016" spans="1:9">
      <c r="A4016" s="387" t="b">
        <f t="shared" ca="1" si="261"/>
        <v>0</v>
      </c>
      <c r="B4016" s="396" t="str">
        <f ca="1">IF(COUNTA(G$3060:G4015)=1,"",OFFSET(B4016,-COUNTA(G$3060:G4015)+1,0))</f>
        <v>a1bDm000000YZLcIAO</v>
      </c>
      <c r="C4016" s="392">
        <f ca="1">IF(COUNTA(G$3060:G4015)=1,"",OFFSET(C4016,-COUNTA(G$3060:G4015)+1,0))</f>
        <v>79</v>
      </c>
      <c r="D4016" s="387">
        <f t="shared" si="258"/>
        <v>474</v>
      </c>
      <c r="E4016" s="387">
        <f t="shared" ca="1" si="259"/>
        <v>6</v>
      </c>
      <c r="F4016" s="387">
        <f t="shared" ca="1" si="260"/>
        <v>87</v>
      </c>
      <c r="G4016" s="387"/>
      <c r="H4016" s="391" t="str">
        <f t="shared" ca="1" si="262"/>
        <v/>
      </c>
      <c r="I4016" s="391" t="str">
        <f t="shared" ca="1" si="263"/>
        <v/>
      </c>
    </row>
    <row r="4017" spans="1:10">
      <c r="A4017" s="387" t="b">
        <f t="shared" ca="1" si="261"/>
        <v>0</v>
      </c>
      <c r="B4017" s="396" t="str">
        <f ca="1">IF(COUNTA(G$3060:G4016)=1,"",OFFSET(B4017,-COUNTA(G$3060:G4016)+1,0))</f>
        <v>a1bDm000000YZFBIA4</v>
      </c>
      <c r="C4017" s="392">
        <f ca="1">IF(COUNTA(G$3060:G4016)=1,"",OFFSET(C4017,-COUNTA(G$3060:G4016)+1,0))</f>
        <v>80</v>
      </c>
      <c r="D4017" s="387">
        <f t="shared" si="258"/>
        <v>475</v>
      </c>
      <c r="E4017" s="387">
        <f t="shared" ca="1" si="259"/>
        <v>1</v>
      </c>
      <c r="F4017" s="387">
        <f t="shared" ca="1" si="260"/>
        <v>88</v>
      </c>
      <c r="G4017" s="387"/>
      <c r="H4017" s="391" t="str">
        <f t="shared" ca="1" si="262"/>
        <v/>
      </c>
      <c r="I4017" s="391" t="str">
        <f t="shared" ca="1" si="263"/>
        <v/>
      </c>
    </row>
    <row r="4018" spans="1:10">
      <c r="A4018" s="387" t="b">
        <f t="shared" ca="1" si="261"/>
        <v>0</v>
      </c>
      <c r="B4018" s="396" t="str">
        <f ca="1">IF(COUNTA(G$3060:G4017)=1,"",OFFSET(B4018,-COUNTA(G$3060:G4017)+1,0))</f>
        <v>a1bDm000000YZGTIA4</v>
      </c>
      <c r="C4018" s="392">
        <f ca="1">IF(COUNTA(G$3060:G4017)=1,"",OFFSET(C4018,-COUNTA(G$3060:G4017)+1,0))</f>
        <v>80</v>
      </c>
      <c r="D4018" s="387">
        <f t="shared" si="258"/>
        <v>476</v>
      </c>
      <c r="E4018" s="387">
        <f t="shared" ca="1" si="259"/>
        <v>2</v>
      </c>
      <c r="F4018" s="387">
        <f t="shared" ca="1" si="260"/>
        <v>88</v>
      </c>
      <c r="G4018" s="387"/>
      <c r="H4018" s="391" t="str">
        <f t="shared" ca="1" si="262"/>
        <v/>
      </c>
      <c r="I4018" s="391" t="str">
        <f t="shared" ca="1" si="263"/>
        <v/>
      </c>
    </row>
    <row r="4019" spans="1:10">
      <c r="A4019" s="387" t="b">
        <f t="shared" ca="1" si="261"/>
        <v>0</v>
      </c>
      <c r="B4019" s="396" t="str">
        <f ca="1">IF(COUNTA(G$3060:G4018)=1,"",OFFSET(B4019,-COUNTA(G$3060:G4018)+1,0))</f>
        <v>a1bDm000000YZHlIAO</v>
      </c>
      <c r="C4019" s="392">
        <f ca="1">IF(COUNTA(G$3060:G4018)=1,"",OFFSET(C4019,-COUNTA(G$3060:G4018)+1,0))</f>
        <v>80</v>
      </c>
      <c r="D4019" s="387">
        <f t="shared" si="258"/>
        <v>477</v>
      </c>
      <c r="E4019" s="387">
        <f t="shared" ca="1" si="259"/>
        <v>3</v>
      </c>
      <c r="F4019" s="387">
        <f t="shared" ca="1" si="260"/>
        <v>88</v>
      </c>
      <c r="G4019" s="387"/>
      <c r="H4019" s="391" t="str">
        <f t="shared" ca="1" si="262"/>
        <v/>
      </c>
      <c r="I4019" s="391" t="str">
        <f t="shared" ca="1" si="263"/>
        <v/>
      </c>
    </row>
    <row r="4020" spans="1:10">
      <c r="A4020" s="387" t="b">
        <f t="shared" ca="1" si="261"/>
        <v>0</v>
      </c>
      <c r="B4020" s="396" t="str">
        <f ca="1">IF(COUNTA(G$3060:G4019)=1,"",OFFSET(B4020,-COUNTA(G$3060:G4019)+1,0))</f>
        <v>a1bDm000000YZJ3IAO</v>
      </c>
      <c r="C4020" s="392">
        <f ca="1">IF(COUNTA(G$3060:G4019)=1,"",OFFSET(C4020,-COUNTA(G$3060:G4019)+1,0))</f>
        <v>80</v>
      </c>
      <c r="D4020" s="387">
        <f t="shared" si="258"/>
        <v>478</v>
      </c>
      <c r="E4020" s="387">
        <f t="shared" ca="1" si="259"/>
        <v>4</v>
      </c>
      <c r="F4020" s="387">
        <f t="shared" ca="1" si="260"/>
        <v>88</v>
      </c>
      <c r="G4020" s="387"/>
      <c r="H4020" s="391" t="str">
        <f t="shared" ca="1" si="262"/>
        <v/>
      </c>
      <c r="I4020" s="391" t="str">
        <f t="shared" ca="1" si="263"/>
        <v/>
      </c>
    </row>
    <row r="4021" spans="1:10">
      <c r="A4021" s="387" t="b">
        <f t="shared" ca="1" si="261"/>
        <v>0</v>
      </c>
      <c r="B4021" s="396" t="str">
        <f ca="1">IF(COUNTA(G$3060:G4020)=1,"",OFFSET(B4021,-COUNTA(G$3060:G4020)+1,0))</f>
        <v>a1bDm000000YZKLIA4</v>
      </c>
      <c r="C4021" s="392">
        <f ca="1">IF(COUNTA(G$3060:G4020)=1,"",OFFSET(C4021,-COUNTA(G$3060:G4020)+1,0))</f>
        <v>80</v>
      </c>
      <c r="D4021" s="387">
        <f t="shared" si="258"/>
        <v>479</v>
      </c>
      <c r="E4021" s="387">
        <f t="shared" ca="1" si="259"/>
        <v>5</v>
      </c>
      <c r="F4021" s="387">
        <f t="shared" ca="1" si="260"/>
        <v>88</v>
      </c>
      <c r="G4021" s="387"/>
      <c r="H4021" s="391" t="str">
        <f t="shared" ca="1" si="262"/>
        <v/>
      </c>
      <c r="I4021" s="391" t="str">
        <f t="shared" ca="1" si="263"/>
        <v/>
      </c>
    </row>
    <row r="4022" spans="1:10">
      <c r="A4022" s="387" t="b">
        <f t="shared" ca="1" si="261"/>
        <v>0</v>
      </c>
      <c r="B4022" s="396" t="str">
        <f ca="1">IF(COUNTA(G$3060:G4021)=1,"",OFFSET(B4022,-COUNTA(G$3060:G4021)+1,0))</f>
        <v>a1bDm000000YZLdIAO</v>
      </c>
      <c r="C4022" s="392">
        <f ca="1">IF(COUNTA(G$3060:G4021)=1,"",OFFSET(C4022,-COUNTA(G$3060:G4021)+1,0))</f>
        <v>80</v>
      </c>
      <c r="D4022" s="387">
        <f t="shared" si="258"/>
        <v>480</v>
      </c>
      <c r="E4022" s="387">
        <f t="shared" ca="1" si="259"/>
        <v>6</v>
      </c>
      <c r="F4022" s="387">
        <f t="shared" ca="1" si="260"/>
        <v>88</v>
      </c>
      <c r="G4022" s="387"/>
      <c r="H4022" s="391" t="str">
        <f t="shared" ca="1" si="262"/>
        <v/>
      </c>
      <c r="I4022" s="391" t="str">
        <f t="shared" ca="1" si="263"/>
        <v/>
      </c>
    </row>
    <row r="4023" spans="1:10">
      <c r="J4023" s="386" t="str">
        <f ca="1">IF(ROW()&gt;'Impact Indicator Target Update'!A30,"",INDIRECT("'Impact Indicators - Section B'!A"&amp;'Impact Indicator Target Update'!D30))</f>
        <v/>
      </c>
    </row>
    <row r="4024" spans="1:10">
      <c r="J4024" s="386" t="str">
        <f ca="1">IF(ROW()&gt;'Impact Indicator Target Update'!A31,"",INDIRECT("'Impact Indicators - Section B'!A"&amp;'Impact Indicator Target Update'!D31))</f>
        <v/>
      </c>
    </row>
    <row r="4025" spans="1:10">
      <c r="J4025" s="386" t="str">
        <f ca="1">IF(ROW()&gt;'Impact Indicator Target Update'!A32,"",INDIRECT("'Impact Indicators - Section B'!A"&amp;'Impact Indicator Target Update'!D32))</f>
        <v/>
      </c>
    </row>
    <row r="4026" spans="1:10">
      <c r="J4026" s="386" t="str">
        <f ca="1">IF(ROW()&gt;'Impact Indicator Target Update'!A33,"",INDIRECT("'Impact Indicators - Section B'!A"&amp;'Impact Indicator Target Update'!D33))</f>
        <v/>
      </c>
    </row>
    <row r="4027" spans="1:10">
      <c r="J4027" s="386" t="str">
        <f ca="1">IF(ROW()&gt;'Impact Indicator Target Update'!A34,"",INDIRECT("'Impact Indicators - Section B'!A"&amp;'Impact Indicator Target Update'!D34))</f>
        <v/>
      </c>
    </row>
    <row r="4028" spans="1:10">
      <c r="J4028" s="386" t="str">
        <f ca="1">IF(ROW()&gt;'Impact Indicator Target Update'!A35,"",INDIRECT("'Impact Indicators - Section B'!A"&amp;'Impact Indicator Target Update'!D35))</f>
        <v/>
      </c>
    </row>
    <row r="4029" spans="1:10">
      <c r="J4029" s="386" t="str">
        <f ca="1">IF(ROW()&gt;'Impact Indicator Target Update'!A36,"",INDIRECT("'Impact Indicators - Section B'!A"&amp;'Impact Indicator Target Update'!D36))</f>
        <v/>
      </c>
    </row>
    <row r="4030" spans="1:10">
      <c r="J4030" s="386" t="str">
        <f ca="1">IF(ROW()&gt;'Impact Indicator Target Update'!A37,"",INDIRECT("'Impact Indicators - Section B'!A"&amp;'Impact Indicator Target Update'!D37))</f>
        <v/>
      </c>
    </row>
    <row r="4031" spans="1:10">
      <c r="J4031" s="386" t="str">
        <f ca="1">IF(ROW()&gt;'Impact Indicator Target Update'!A38,"",INDIRECT("'Impact Indicators - Section B'!A"&amp;'Impact Indicator Target Update'!D38))</f>
        <v/>
      </c>
    </row>
    <row r="4032" spans="1:10">
      <c r="J4032" s="386" t="str">
        <f ca="1">IF(ROW()&gt;'Impact Indicator Target Update'!A39,"",INDIRECT("'Impact Indicators - Section B'!A"&amp;'Impact Indicator Target Update'!D39))</f>
        <v/>
      </c>
    </row>
    <row r="4033" spans="10:10">
      <c r="J4033" s="386" t="str">
        <f ca="1">IF(ROW()&gt;'Impact Indicator Target Update'!A40,"",INDIRECT("'Impact Indicators - Section B'!A"&amp;'Impact Indicator Target Update'!D40))</f>
        <v/>
      </c>
    </row>
    <row r="4034" spans="10:10">
      <c r="J4034" s="386" t="str">
        <f ca="1">IF(ROW()&gt;'Impact Indicator Target Update'!A41,"",INDIRECT("'Impact Indicators - Section B'!A"&amp;'Impact Indicator Target Update'!D41))</f>
        <v/>
      </c>
    </row>
    <row r="4035" spans="10:10">
      <c r="J4035" s="386" t="str">
        <f ca="1">IF(ROW()&gt;'Impact Indicator Target Update'!A42,"",INDIRECT("'Impact Indicators - Section B'!A"&amp;'Impact Indicator Target Update'!D42))</f>
        <v/>
      </c>
    </row>
    <row r="4036" spans="10:10">
      <c r="J4036" s="386" t="str">
        <f ca="1">IF(ROW()&gt;'Impact Indicator Target Update'!A43,"",INDIRECT("'Impact Indicators - Section B'!A"&amp;'Impact Indicator Target Update'!D43))</f>
        <v/>
      </c>
    </row>
    <row r="4037" spans="10:10">
      <c r="J4037" s="386" t="str">
        <f ca="1">IF(ROW()&gt;'Impact Indicator Target Update'!A44,"",INDIRECT("'Impact Indicators - Section B'!A"&amp;'Impact Indicator Target Update'!D44))</f>
        <v/>
      </c>
    </row>
    <row r="4038" spans="10:10">
      <c r="J4038" s="386" t="str">
        <f ca="1">IF(ROW()&gt;'Impact Indicator Target Update'!A45,"",INDIRECT("'Impact Indicators - Section B'!A"&amp;'Impact Indicator Target Update'!D45))</f>
        <v/>
      </c>
    </row>
    <row r="4039" spans="10:10">
      <c r="J4039" s="386" t="str">
        <f ca="1">IF(ROW()&gt;'Impact Indicator Target Update'!A46,"",INDIRECT("'Impact Indicators - Section B'!A"&amp;'Impact Indicator Target Update'!D46))</f>
        <v/>
      </c>
    </row>
    <row r="4040" spans="10:10">
      <c r="J4040" s="386" t="str">
        <f ca="1">IF(ROW()&gt;'Impact Indicator Target Update'!A47,"",INDIRECT("'Impact Indicators - Section B'!A"&amp;'Impact Indicator Target Update'!D47))</f>
        <v/>
      </c>
    </row>
    <row r="4041" spans="10:10">
      <c r="J4041" s="386" t="str">
        <f ca="1">IF(ROW()&gt;'Impact Indicator Target Update'!A48,"",INDIRECT("'Impact Indicators - Section B'!A"&amp;'Impact Indicator Target Update'!D48))</f>
        <v/>
      </c>
    </row>
    <row r="4042" spans="10:10">
      <c r="J4042" s="386" t="str">
        <f ca="1">IF(ROW()&gt;'Impact Indicator Target Update'!A49,"",INDIRECT("'Impact Indicators - Section B'!A"&amp;'Impact Indicator Target Update'!D49))</f>
        <v/>
      </c>
    </row>
    <row r="4043" spans="10:10">
      <c r="J4043" s="386" t="str">
        <f ca="1">IF(ROW()&gt;'Impact Indicator Target Update'!A50,"",INDIRECT("'Impact Indicators - Section B'!A"&amp;'Impact Indicator Target Update'!D50))</f>
        <v/>
      </c>
    </row>
    <row r="4044" spans="10:10">
      <c r="J4044" s="386" t="str">
        <f ca="1">IF(ROW()&gt;'Impact Indicator Target Update'!A51,"",INDIRECT("'Impact Indicators - Section B'!A"&amp;'Impact Indicator Target Update'!D51))</f>
        <v/>
      </c>
    </row>
    <row r="4045" spans="10:10">
      <c r="J4045" s="386" t="str">
        <f ca="1">IF(ROW()&gt;'Impact Indicator Target Update'!A52,"",INDIRECT("'Impact Indicators - Section B'!A"&amp;'Impact Indicator Target Update'!D52))</f>
        <v/>
      </c>
    </row>
    <row r="4046" spans="10:10">
      <c r="J4046" s="386" t="str">
        <f ca="1">IF(ROW()&gt;'Impact Indicator Target Update'!A53,"",INDIRECT("'Impact Indicators - Section B'!A"&amp;'Impact Indicator Target Update'!D53))</f>
        <v/>
      </c>
    </row>
    <row r="4047" spans="10:10">
      <c r="J4047" s="386" t="str">
        <f ca="1">IF(ROW()&gt;'Impact Indicator Target Update'!A54,"",INDIRECT("'Impact Indicators - Section B'!A"&amp;'Impact Indicator Target Update'!D54))</f>
        <v/>
      </c>
    </row>
    <row r="4048" spans="10:10">
      <c r="J4048" s="386" t="str">
        <f ca="1">IF(ROW()&gt;'Impact Indicator Target Update'!A55,"",INDIRECT("'Impact Indicators - Section B'!A"&amp;'Impact Indicator Target Update'!D55))</f>
        <v/>
      </c>
    </row>
    <row r="4049" spans="10:10">
      <c r="J4049" s="386" t="str">
        <f ca="1">IF(ROW()&gt;'Impact Indicator Target Update'!A56,"",INDIRECT("'Impact Indicators - Section B'!A"&amp;'Impact Indicator Target Update'!D56))</f>
        <v/>
      </c>
    </row>
    <row r="4050" spans="10:10">
      <c r="J4050" s="386" t="str">
        <f ca="1">IF(ROW()&gt;'Impact Indicator Target Update'!A57,"",INDIRECT("'Impact Indicators - Section B'!A"&amp;'Impact Indicator Target Update'!D57))</f>
        <v/>
      </c>
    </row>
    <row r="4051" spans="10:10">
      <c r="J4051" s="386" t="str">
        <f ca="1">IF(ROW()&gt;'Impact Indicator Target Update'!A58,"",INDIRECT("'Impact Indicators - Section B'!A"&amp;'Impact Indicator Target Update'!D58))</f>
        <v/>
      </c>
    </row>
    <row r="4052" spans="10:10">
      <c r="J4052" s="386" t="str">
        <f ca="1">IF(ROW()&gt;'Impact Indicator Target Update'!A59,"",INDIRECT("'Impact Indicators - Section B'!A"&amp;'Impact Indicator Target Update'!D59))</f>
        <v/>
      </c>
    </row>
    <row r="4053" spans="10:10">
      <c r="J4053" s="386" t="str">
        <f ca="1">IF(ROW()&gt;'Impact Indicator Target Update'!A60,"",INDIRECT("'Impact Indicators - Section B'!A"&amp;'Impact Indicator Target Update'!D60))</f>
        <v/>
      </c>
    </row>
    <row r="4054" spans="10:10">
      <c r="J4054" s="386" t="str">
        <f ca="1">IF(ROW()&gt;'Impact Indicator Target Update'!A61,"",INDIRECT("'Impact Indicators - Section B'!A"&amp;'Impact Indicator Target Update'!D61))</f>
        <v/>
      </c>
    </row>
    <row r="4055" spans="10:10">
      <c r="J4055" s="386" t="str">
        <f ca="1">IF(ROW()&gt;'Impact Indicator Target Update'!A62,"",INDIRECT("'Impact Indicators - Section B'!A"&amp;'Impact Indicator Target Update'!D62))</f>
        <v/>
      </c>
    </row>
    <row r="4056" spans="10:10">
      <c r="J4056" s="386" t="str">
        <f ca="1">IF(ROW()&gt;'Impact Indicator Target Update'!A63,"",INDIRECT("'Impact Indicators - Section B'!A"&amp;'Impact Indicator Target Update'!D63))</f>
        <v/>
      </c>
    </row>
    <row r="4057" spans="10:10">
      <c r="J4057" s="386" t="str">
        <f ca="1">IF(ROW()&gt;'Impact Indicator Target Update'!A64,"",INDIRECT("'Impact Indicators - Section B'!A"&amp;'Impact Indicator Target Update'!D64))</f>
        <v/>
      </c>
    </row>
    <row r="4058" spans="10:10">
      <c r="J4058" s="386" t="str">
        <f ca="1">IF(ROW()&gt;'Impact Indicator Target Update'!A65,"",INDIRECT("'Impact Indicators - Section B'!A"&amp;'Impact Indicator Target Update'!D65))</f>
        <v/>
      </c>
    </row>
    <row r="4059" spans="10:10">
      <c r="J4059" s="386" t="str">
        <f ca="1">IF(ROW()&gt;'Impact Indicator Target Update'!A66,"",INDIRECT("'Impact Indicators - Section B'!A"&amp;'Impact Indicator Target Update'!D66))</f>
        <v/>
      </c>
    </row>
    <row r="4060" spans="10:10">
      <c r="J4060" s="386" t="str">
        <f ca="1">IF(ROW()&gt;'Impact Indicator Target Update'!A67,"",INDIRECT("'Impact Indicators - Section B'!A"&amp;'Impact Indicator Target Update'!D67))</f>
        <v/>
      </c>
    </row>
    <row r="4061" spans="10:10">
      <c r="J4061" s="386" t="str">
        <f ca="1">IF(ROW()&gt;'Impact Indicator Target Update'!A68,"",INDIRECT("'Impact Indicators - Section B'!A"&amp;'Impact Indicator Target Update'!D68))</f>
        <v/>
      </c>
    </row>
    <row r="4062" spans="10:10">
      <c r="J4062" s="386" t="str">
        <f ca="1">IF(ROW()&gt;'Impact Indicator Target Update'!A69,"",INDIRECT("'Impact Indicators - Section B'!A"&amp;'Impact Indicator Target Update'!D69))</f>
        <v/>
      </c>
    </row>
    <row r="4063" spans="10:10">
      <c r="J4063" s="386" t="str">
        <f ca="1">IF(ROW()&gt;'Impact Indicator Target Update'!A70,"",INDIRECT("'Impact Indicators - Section B'!A"&amp;'Impact Indicator Target Update'!D70))</f>
        <v/>
      </c>
    </row>
    <row r="4064" spans="10:10">
      <c r="J4064" s="386" t="str">
        <f ca="1">IF(ROW()&gt;'Impact Indicator Target Update'!A71,"",INDIRECT("'Impact Indicators - Section B'!A"&amp;'Impact Indicator Target Update'!D71))</f>
        <v/>
      </c>
    </row>
    <row r="4065" spans="10:10">
      <c r="J4065" s="386" t="str">
        <f ca="1">IF(ROW()&gt;'Impact Indicator Target Update'!A72,"",INDIRECT("'Impact Indicators - Section B'!A"&amp;'Impact Indicator Target Update'!D72))</f>
        <v/>
      </c>
    </row>
    <row r="4066" spans="10:10">
      <c r="J4066" s="386" t="str">
        <f ca="1">IF(ROW()&gt;'Impact Indicator Target Update'!A73,"",INDIRECT("'Impact Indicators - Section B'!A"&amp;'Impact Indicator Target Update'!D73))</f>
        <v/>
      </c>
    </row>
    <row r="4067" spans="10:10">
      <c r="J4067" s="386" t="str">
        <f ca="1">IF(ROW()&gt;'Impact Indicator Target Update'!A74,"",INDIRECT("'Impact Indicators - Section B'!A"&amp;'Impact Indicator Target Update'!D74))</f>
        <v/>
      </c>
    </row>
    <row r="4068" spans="10:10">
      <c r="J4068" s="386" t="str">
        <f ca="1">IF(ROW()&gt;'Impact Indicator Target Update'!A75,"",INDIRECT("'Impact Indicators - Section B'!A"&amp;'Impact Indicator Target Update'!D75))</f>
        <v/>
      </c>
    </row>
    <row r="4069" spans="10:10">
      <c r="J4069" s="386" t="str">
        <f ca="1">IF(ROW()&gt;'Impact Indicator Target Update'!A76,"",INDIRECT("'Impact Indicators - Section B'!A"&amp;'Impact Indicator Target Update'!D76))</f>
        <v/>
      </c>
    </row>
    <row r="4070" spans="10:10">
      <c r="J4070" s="386" t="str">
        <f ca="1">IF(ROW()&gt;'Impact Indicator Target Update'!A77,"",INDIRECT("'Impact Indicators - Section B'!A"&amp;'Impact Indicator Target Update'!D77))</f>
        <v/>
      </c>
    </row>
    <row r="4071" spans="10:10">
      <c r="J4071" s="386" t="str">
        <f ca="1">IF(ROW()&gt;'Impact Indicator Target Update'!A78,"",INDIRECT("'Impact Indicators - Section B'!A"&amp;'Impact Indicator Target Update'!D78))</f>
        <v/>
      </c>
    </row>
    <row r="4072" spans="10:10">
      <c r="J4072" s="386" t="str">
        <f ca="1">IF(ROW()&gt;'Impact Indicator Target Update'!A79,"",INDIRECT("'Impact Indicators - Section B'!A"&amp;'Impact Indicator Target Update'!D79))</f>
        <v/>
      </c>
    </row>
    <row r="4073" spans="10:10">
      <c r="J4073" s="386" t="str">
        <f ca="1">IF(ROW()&gt;'Impact Indicator Target Update'!A80,"",INDIRECT("'Impact Indicators - Section B'!A"&amp;'Impact Indicator Target Update'!D80))</f>
        <v/>
      </c>
    </row>
    <row r="4074" spans="10:10">
      <c r="J4074" s="386" t="str">
        <f ca="1">IF(ROW()&gt;'Impact Indicator Target Update'!A81,"",INDIRECT("'Impact Indicators - Section B'!A"&amp;'Impact Indicator Target Update'!D81))</f>
        <v/>
      </c>
    </row>
    <row r="4075" spans="10:10">
      <c r="J4075" s="386" t="str">
        <f ca="1">IF(ROW()&gt;'Impact Indicator Target Update'!A82,"",INDIRECT("'Impact Indicators - Section B'!A"&amp;'Impact Indicator Target Update'!D82))</f>
        <v/>
      </c>
    </row>
    <row r="4076" spans="10:10">
      <c r="J4076" s="386" t="str">
        <f ca="1">IF(ROW()&gt;'Impact Indicator Target Update'!A83,"",INDIRECT("'Impact Indicators - Section B'!A"&amp;'Impact Indicator Target Update'!D83))</f>
        <v/>
      </c>
    </row>
    <row r="4077" spans="10:10">
      <c r="J4077" s="386" t="str">
        <f ca="1">IF(ROW()&gt;'Impact Indicator Target Update'!A84,"",INDIRECT("'Impact Indicators - Section B'!A"&amp;'Impact Indicator Target Update'!D84))</f>
        <v/>
      </c>
    </row>
    <row r="4078" spans="10:10">
      <c r="J4078" s="386" t="str">
        <f ca="1">IF(ROW()&gt;'Impact Indicator Target Update'!A85,"",INDIRECT("'Impact Indicators - Section B'!A"&amp;'Impact Indicator Target Update'!D85))</f>
        <v/>
      </c>
    </row>
    <row r="4079" spans="10:10">
      <c r="J4079" s="386" t="str">
        <f ca="1">IF(ROW()&gt;'Impact Indicator Target Update'!A86,"",INDIRECT("'Impact Indicators - Section B'!A"&amp;'Impact Indicator Target Update'!D86))</f>
        <v/>
      </c>
    </row>
    <row r="4080" spans="10:10">
      <c r="J4080" s="386" t="str">
        <f ca="1">IF(ROW()&gt;'Impact Indicator Target Update'!A87,"",INDIRECT("'Impact Indicators - Section B'!A"&amp;'Impact Indicator Target Update'!D87))</f>
        <v/>
      </c>
    </row>
    <row r="4081" spans="10:10">
      <c r="J4081" s="386" t="str">
        <f ca="1">IF(ROW()&gt;'Impact Indicator Target Update'!A88,"",INDIRECT("'Impact Indicators - Section B'!A"&amp;'Impact Indicator Target Update'!D88))</f>
        <v/>
      </c>
    </row>
    <row r="4082" spans="10:10">
      <c r="J4082" s="386" t="str">
        <f ca="1">IF(ROW()&gt;'Impact Indicator Target Update'!A89,"",INDIRECT("'Impact Indicators - Section B'!A"&amp;'Impact Indicator Target Update'!D89))</f>
        <v/>
      </c>
    </row>
    <row r="4083" spans="10:10">
      <c r="J4083" s="386" t="str">
        <f ca="1">IF(ROW()&gt;'Impact Indicator Target Update'!A90,"",INDIRECT("'Impact Indicators - Section B'!A"&amp;'Impact Indicator Target Update'!D90))</f>
        <v/>
      </c>
    </row>
    <row r="4084" spans="10:10">
      <c r="J4084" s="386" t="str">
        <f ca="1">IF(ROW()&gt;'Impact Indicator Target Update'!A91,"",INDIRECT("'Impact Indicators - Section B'!A"&amp;'Impact Indicator Target Update'!D91))</f>
        <v/>
      </c>
    </row>
    <row r="4085" spans="10:10">
      <c r="J4085" s="386" t="str">
        <f ca="1">IF(ROW()&gt;'Impact Indicator Target Update'!A92,"",INDIRECT("'Impact Indicators - Section B'!A"&amp;'Impact Indicator Target Update'!D92))</f>
        <v/>
      </c>
    </row>
    <row r="4086" spans="10:10">
      <c r="J4086" s="386" t="str">
        <f ca="1">IF(ROW()&gt;'Impact Indicator Target Update'!A93,"",INDIRECT("'Impact Indicators - Section B'!A"&amp;'Impact Indicator Target Update'!D93))</f>
        <v/>
      </c>
    </row>
    <row r="4087" spans="10:10">
      <c r="J4087" s="386" t="str">
        <f ca="1">IF(ROW()&gt;'Impact Indicator Target Update'!A94,"",INDIRECT("'Impact Indicators - Section B'!A"&amp;'Impact Indicator Target Update'!D94))</f>
        <v/>
      </c>
    </row>
    <row r="4088" spans="10:10">
      <c r="J4088" s="386" t="str">
        <f ca="1">IF(ROW()&gt;'Impact Indicator Target Update'!A95,"",INDIRECT("'Impact Indicators - Section B'!A"&amp;'Impact Indicator Target Update'!D95))</f>
        <v/>
      </c>
    </row>
    <row r="4089" spans="10:10">
      <c r="J4089" s="386" t="str">
        <f ca="1">IF(ROW()&gt;'Impact Indicator Target Update'!A96,"",INDIRECT("'Impact Indicators - Section B'!A"&amp;'Impact Indicator Target Update'!D96))</f>
        <v/>
      </c>
    </row>
    <row r="4090" spans="10:10">
      <c r="J4090" s="386" t="str">
        <f ca="1">IF(ROW()&gt;'Impact Indicator Target Update'!A97,"",INDIRECT("'Impact Indicators - Section B'!A"&amp;'Impact Indicator Target Update'!D97))</f>
        <v/>
      </c>
    </row>
    <row r="4091" spans="10:10">
      <c r="J4091" s="386" t="str">
        <f ca="1">IF(ROW()&gt;'Impact Indicator Target Update'!A98,"",INDIRECT("'Impact Indicators - Section B'!A"&amp;'Impact Indicator Target Update'!D98))</f>
        <v/>
      </c>
    </row>
    <row r="4092" spans="10:10">
      <c r="J4092" s="386" t="str">
        <f ca="1">IF(ROW()&gt;'Impact Indicator Target Update'!A99,"",INDIRECT("'Impact Indicators - Section B'!A"&amp;'Impact Indicator Target Update'!D99))</f>
        <v/>
      </c>
    </row>
    <row r="4093" spans="10:10">
      <c r="J4093" s="386" t="str">
        <f ca="1">IF(ROW()&gt;'Impact Indicator Target Update'!A100,"",INDIRECT("'Impact Indicators - Section B'!A"&amp;'Impact Indicator Target Update'!D100))</f>
        <v/>
      </c>
    </row>
    <row r="4094" spans="10:10">
      <c r="J4094" s="386" t="str">
        <f ca="1">IF(ROW()&gt;'Impact Indicator Target Update'!A101,"",INDIRECT("'Impact Indicators - Section B'!A"&amp;'Impact Indicator Target Update'!D101))</f>
        <v/>
      </c>
    </row>
    <row r="4095" spans="10:10">
      <c r="J4095" s="386" t="str">
        <f ca="1">IF(ROW()&gt;'Impact Indicator Target Update'!A102,"",INDIRECT("'Impact Indicators - Section B'!A"&amp;'Impact Indicator Target Update'!D102))</f>
        <v/>
      </c>
    </row>
    <row r="4096" spans="10:10">
      <c r="J4096" s="386" t="str">
        <f ca="1">IF(ROW()&gt;'Impact Indicator Target Update'!A103,"",INDIRECT("'Impact Indicators - Section B'!A"&amp;'Impact Indicator Target Update'!D103))</f>
        <v/>
      </c>
    </row>
    <row r="4097" spans="10:10">
      <c r="J4097" s="386" t="str">
        <f ca="1">IF(ROW()&gt;'Impact Indicator Target Update'!A104,"",INDIRECT("'Impact Indicators - Section B'!A"&amp;'Impact Indicator Target Update'!D104))</f>
        <v/>
      </c>
    </row>
    <row r="4098" spans="10:10">
      <c r="J4098" s="386" t="str">
        <f ca="1">IF(ROW()&gt;'Impact Indicator Target Update'!A105,"",INDIRECT("'Impact Indicators - Section B'!A"&amp;'Impact Indicator Target Update'!D105))</f>
        <v/>
      </c>
    </row>
    <row r="4099" spans="10:10">
      <c r="J4099" s="386" t="str">
        <f ca="1">IF(ROW()&gt;'Impact Indicator Target Update'!A106,"",INDIRECT("'Impact Indicators - Section B'!A"&amp;'Impact Indicator Target Update'!D106))</f>
        <v/>
      </c>
    </row>
    <row r="4100" spans="10:10">
      <c r="J4100" s="386" t="str">
        <f ca="1">IF(ROW()&gt;'Impact Indicator Target Update'!A107,"",INDIRECT("'Impact Indicators - Section B'!A"&amp;'Impact Indicator Target Update'!D107))</f>
        <v/>
      </c>
    </row>
    <row r="4101" spans="10:10">
      <c r="J4101" s="386" t="str">
        <f ca="1">IF(ROW()&gt;'Impact Indicator Target Update'!A108,"",INDIRECT("'Impact Indicators - Section B'!A"&amp;'Impact Indicator Target Update'!D108))</f>
        <v/>
      </c>
    </row>
    <row r="4102" spans="10:10">
      <c r="J4102" s="386" t="str">
        <f ca="1">IF(ROW()&gt;'Impact Indicator Target Update'!A109,"",INDIRECT("'Impact Indicators - Section B'!A"&amp;'Impact Indicator Target Update'!D109))</f>
        <v/>
      </c>
    </row>
    <row r="4103" spans="10:10">
      <c r="J4103" s="386" t="str">
        <f ca="1">IF(ROW()&gt;'Impact Indicator Target Update'!A110,"",INDIRECT("'Impact Indicators - Section B'!A"&amp;'Impact Indicator Target Update'!D110))</f>
        <v/>
      </c>
    </row>
    <row r="4104" spans="10:10">
      <c r="J4104" s="386" t="str">
        <f ca="1">IF(ROW()&gt;'Impact Indicator Target Update'!A111,"",INDIRECT("'Impact Indicators - Section B'!A"&amp;'Impact Indicator Target Update'!D111))</f>
        <v/>
      </c>
    </row>
    <row r="4105" spans="10:10">
      <c r="J4105" s="386" t="str">
        <f ca="1">IF(ROW()&gt;'Impact Indicator Target Update'!A112,"",INDIRECT("'Impact Indicators - Section B'!A"&amp;'Impact Indicator Target Update'!D112))</f>
        <v/>
      </c>
    </row>
    <row r="4106" spans="10:10">
      <c r="J4106" s="386" t="str">
        <f ca="1">IF(ROW()&gt;'Impact Indicator Target Update'!A113,"",INDIRECT("'Impact Indicators - Section B'!A"&amp;'Impact Indicator Target Update'!D113))</f>
        <v/>
      </c>
    </row>
    <row r="4107" spans="10:10">
      <c r="J4107" s="386" t="str">
        <f ca="1">IF(ROW()&gt;'Impact Indicator Target Update'!A114,"",INDIRECT("'Impact Indicators - Section B'!A"&amp;'Impact Indicator Target Update'!D114))</f>
        <v/>
      </c>
    </row>
    <row r="4108" spans="10:10">
      <c r="J4108" s="386" t="str">
        <f ca="1">IF(ROW()&gt;'Impact Indicator Target Update'!A115,"",INDIRECT("'Impact Indicators - Section B'!A"&amp;'Impact Indicator Target Update'!D115))</f>
        <v/>
      </c>
    </row>
    <row r="4109" spans="10:10">
      <c r="J4109" s="386" t="str">
        <f ca="1">IF(ROW()&gt;'Impact Indicator Target Update'!A116,"",INDIRECT("'Impact Indicators - Section B'!A"&amp;'Impact Indicator Target Update'!D116))</f>
        <v/>
      </c>
    </row>
    <row r="4110" spans="10:10">
      <c r="J4110" s="386" t="str">
        <f ca="1">IF(ROW()&gt;'Impact Indicator Target Update'!A117,"",INDIRECT("'Impact Indicators - Section B'!A"&amp;'Impact Indicator Target Update'!D117))</f>
        <v/>
      </c>
    </row>
    <row r="4111" spans="10:10">
      <c r="J4111" s="386" t="str">
        <f ca="1">IF(ROW()&gt;'Impact Indicator Target Update'!A118,"",INDIRECT("'Impact Indicators - Section B'!A"&amp;'Impact Indicator Target Update'!D118))</f>
        <v/>
      </c>
    </row>
    <row r="4112" spans="10:10">
      <c r="J4112" s="386" t="str">
        <f ca="1">IF(ROW()&gt;'Impact Indicator Target Update'!A119,"",INDIRECT("'Impact Indicators - Section B'!A"&amp;'Impact Indicator Target Update'!D119))</f>
        <v/>
      </c>
    </row>
    <row r="4113" spans="10:10">
      <c r="J4113" s="386" t="str">
        <f ca="1">IF(ROW()&gt;'Impact Indicator Target Update'!A120,"",INDIRECT("'Impact Indicators - Section B'!A"&amp;'Impact Indicator Target Update'!D120))</f>
        <v/>
      </c>
    </row>
    <row r="4114" spans="10:10">
      <c r="J4114" s="386" t="str">
        <f ca="1">IF(ROW()&gt;'Impact Indicator Target Update'!A121,"",INDIRECT("'Impact Indicators - Section B'!A"&amp;'Impact Indicator Target Update'!D121))</f>
        <v/>
      </c>
    </row>
    <row r="4115" spans="10:10">
      <c r="J4115" s="386" t="str">
        <f ca="1">IF(ROW()&gt;'Impact Indicator Target Update'!A122,"",INDIRECT("'Impact Indicators - Section B'!A"&amp;'Impact Indicator Target Update'!D122))</f>
        <v/>
      </c>
    </row>
    <row r="4116" spans="10:10">
      <c r="J4116" s="386" t="str">
        <f ca="1">IF(ROW()&gt;'Impact Indicator Target Update'!A123,"",INDIRECT("'Impact Indicators - Section B'!A"&amp;'Impact Indicator Target Update'!D123))</f>
        <v/>
      </c>
    </row>
    <row r="4117" spans="10:10">
      <c r="J4117" s="386" t="str">
        <f ca="1">IF(ROW()&gt;'Impact Indicator Target Update'!A124,"",INDIRECT("'Impact Indicators - Section B'!A"&amp;'Impact Indicator Target Update'!D124))</f>
        <v/>
      </c>
    </row>
    <row r="4118" spans="10:10">
      <c r="J4118" s="386" t="str">
        <f ca="1">IF(ROW()&gt;'Impact Indicator Target Update'!A125,"",INDIRECT("'Impact Indicators - Section B'!A"&amp;'Impact Indicator Target Update'!D125))</f>
        <v/>
      </c>
    </row>
    <row r="4119" spans="10:10">
      <c r="J4119" s="386" t="str">
        <f ca="1">IF(ROW()&gt;'Impact Indicator Target Update'!A126,"",INDIRECT("'Impact Indicators - Section B'!A"&amp;'Impact Indicator Target Update'!D126))</f>
        <v/>
      </c>
    </row>
    <row r="4120" spans="10:10">
      <c r="J4120" s="386" t="str">
        <f ca="1">IF(ROW()&gt;'Impact Indicator Target Update'!A127,"",INDIRECT("'Impact Indicators - Section B'!A"&amp;'Impact Indicator Target Update'!D127))</f>
        <v/>
      </c>
    </row>
    <row r="4121" spans="10:10">
      <c r="J4121" s="386" t="str">
        <f ca="1">IF(ROW()&gt;'Impact Indicator Target Update'!A128,"",INDIRECT("'Impact Indicators - Section B'!A"&amp;'Impact Indicator Target Update'!D128))</f>
        <v/>
      </c>
    </row>
    <row r="4122" spans="10:10">
      <c r="J4122" s="386" t="str">
        <f ca="1">IF(ROW()&gt;'Impact Indicator Target Update'!A129,"",INDIRECT("'Impact Indicators - Section B'!A"&amp;'Impact Indicator Target Update'!D129))</f>
        <v/>
      </c>
    </row>
    <row r="4123" spans="10:10">
      <c r="J4123" s="386" t="str">
        <f ca="1">IF(ROW()&gt;'Impact Indicator Target Update'!A130,"",INDIRECT("'Impact Indicators - Section B'!A"&amp;'Impact Indicator Target Update'!D130))</f>
        <v/>
      </c>
    </row>
    <row r="4124" spans="10:10">
      <c r="J4124" s="386" t="str">
        <f ca="1">IF(ROW()&gt;'Impact Indicator Target Update'!A131,"",INDIRECT("'Impact Indicators - Section B'!A"&amp;'Impact Indicator Target Update'!D131))</f>
        <v/>
      </c>
    </row>
    <row r="4125" spans="10:10">
      <c r="J4125" s="386" t="str">
        <f ca="1">IF(ROW()&gt;'Impact Indicator Target Update'!A132,"",INDIRECT("'Impact Indicators - Section B'!A"&amp;'Impact Indicator Target Update'!D132))</f>
        <v/>
      </c>
    </row>
    <row r="4126" spans="10:10">
      <c r="J4126" s="386" t="str">
        <f ca="1">IF(ROW()&gt;'Impact Indicator Target Update'!A133,"",INDIRECT("'Impact Indicators - Section B'!A"&amp;'Impact Indicator Target Update'!D133))</f>
        <v/>
      </c>
    </row>
    <row r="4127" spans="10:10">
      <c r="J4127" s="386" t="str">
        <f ca="1">IF(ROW()&gt;'Impact Indicator Target Update'!A134,"",INDIRECT("'Impact Indicators - Section B'!A"&amp;'Impact Indicator Target Update'!D134))</f>
        <v/>
      </c>
    </row>
    <row r="4128" spans="10:10">
      <c r="J4128" s="386" t="str">
        <f ca="1">IF(ROW()&gt;'Impact Indicator Target Update'!A135,"",INDIRECT("'Impact Indicators - Section B'!A"&amp;'Impact Indicator Target Update'!D135))</f>
        <v/>
      </c>
    </row>
    <row r="4129" spans="10:10">
      <c r="J4129" s="386" t="str">
        <f ca="1">IF(ROW()&gt;'Impact Indicator Target Update'!A136,"",INDIRECT("'Impact Indicators - Section B'!A"&amp;'Impact Indicator Target Update'!D136))</f>
        <v/>
      </c>
    </row>
    <row r="4130" spans="10:10">
      <c r="J4130" s="386" t="str">
        <f ca="1">IF(ROW()&gt;'Impact Indicator Target Update'!A137,"",INDIRECT("'Impact Indicators - Section B'!A"&amp;'Impact Indicator Target Update'!D137))</f>
        <v/>
      </c>
    </row>
    <row r="4131" spans="10:10">
      <c r="J4131" s="386" t="str">
        <f ca="1">IF(ROW()&gt;'Impact Indicator Target Update'!A138,"",INDIRECT("'Impact Indicators - Section B'!A"&amp;'Impact Indicator Target Update'!D138))</f>
        <v/>
      </c>
    </row>
    <row r="4132" spans="10:10">
      <c r="J4132" s="386" t="str">
        <f ca="1">IF(ROW()&gt;'Impact Indicator Target Update'!A139,"",INDIRECT("'Impact Indicators - Section B'!A"&amp;'Impact Indicator Target Update'!D139))</f>
        <v/>
      </c>
    </row>
    <row r="4133" spans="10:10">
      <c r="J4133" s="386" t="str">
        <f ca="1">IF(ROW()&gt;'Impact Indicator Target Update'!A140,"",INDIRECT("'Impact Indicators - Section B'!A"&amp;'Impact Indicator Target Update'!D140))</f>
        <v/>
      </c>
    </row>
    <row r="4134" spans="10:10">
      <c r="J4134" s="386" t="str">
        <f ca="1">IF(ROW()&gt;'Impact Indicator Target Update'!A141,"",INDIRECT("'Impact Indicators - Section B'!A"&amp;'Impact Indicator Target Update'!D141))</f>
        <v/>
      </c>
    </row>
    <row r="4135" spans="10:10">
      <c r="J4135" s="386" t="str">
        <f ca="1">IF(ROW()&gt;'Impact Indicator Target Update'!A142,"",INDIRECT("'Impact Indicators - Section B'!A"&amp;'Impact Indicator Target Update'!D142))</f>
        <v/>
      </c>
    </row>
    <row r="4136" spans="10:10">
      <c r="J4136" s="386" t="str">
        <f ca="1">IF(ROW()&gt;'Impact Indicator Target Update'!A143,"",INDIRECT("'Impact Indicators - Section B'!A"&amp;'Impact Indicator Target Update'!D143))</f>
        <v/>
      </c>
    </row>
    <row r="4137" spans="10:10">
      <c r="J4137" s="386" t="str">
        <f ca="1">IF(ROW()&gt;'Impact Indicator Target Update'!A144,"",INDIRECT("'Impact Indicators - Section B'!A"&amp;'Impact Indicator Target Update'!D144))</f>
        <v/>
      </c>
    </row>
    <row r="4138" spans="10:10">
      <c r="J4138" s="386" t="str">
        <f ca="1">IF(ROW()&gt;'Impact Indicator Target Update'!A145,"",INDIRECT("'Impact Indicators - Section B'!A"&amp;'Impact Indicator Target Update'!D145))</f>
        <v/>
      </c>
    </row>
    <row r="4139" spans="10:10">
      <c r="J4139" s="386" t="str">
        <f ca="1">IF(ROW()&gt;'Impact Indicator Target Update'!A146,"",INDIRECT("'Impact Indicators - Section B'!A"&amp;'Impact Indicator Target Update'!D146))</f>
        <v/>
      </c>
    </row>
    <row r="4140" spans="10:10">
      <c r="J4140" s="386" t="str">
        <f ca="1">IF(ROW()&gt;'Impact Indicator Target Update'!A147,"",INDIRECT("'Impact Indicators - Section B'!A"&amp;'Impact Indicator Target Update'!D147))</f>
        <v/>
      </c>
    </row>
    <row r="4141" spans="10:10">
      <c r="J4141" s="386" t="str">
        <f ca="1">IF(ROW()&gt;'Impact Indicator Target Update'!A148,"",INDIRECT("'Impact Indicators - Section B'!A"&amp;'Impact Indicator Target Update'!D148))</f>
        <v/>
      </c>
    </row>
    <row r="4142" spans="10:10">
      <c r="J4142" s="386" t="str">
        <f ca="1">IF(ROW()&gt;'Impact Indicator Target Update'!A149,"",INDIRECT("'Impact Indicators - Section B'!A"&amp;'Impact Indicator Target Update'!D149))</f>
        <v/>
      </c>
    </row>
    <row r="4143" spans="10:10">
      <c r="J4143" s="386" t="str">
        <f ca="1">IF(ROW()&gt;'Impact Indicator Target Update'!A150,"",INDIRECT("'Impact Indicators - Section B'!A"&amp;'Impact Indicator Target Update'!D150))</f>
        <v/>
      </c>
    </row>
    <row r="4144" spans="10:10">
      <c r="J4144" s="386" t="str">
        <f ca="1">IF(ROW()&gt;'Impact Indicator Target Update'!A151,"",INDIRECT("'Impact Indicators - Section B'!A"&amp;'Impact Indicator Target Update'!D151))</f>
        <v/>
      </c>
    </row>
    <row r="4145" spans="10:10">
      <c r="J4145" s="386" t="str">
        <f ca="1">IF(ROW()&gt;'Impact Indicator Target Update'!A152,"",INDIRECT("'Impact Indicators - Section B'!A"&amp;'Impact Indicator Target Update'!D152))</f>
        <v/>
      </c>
    </row>
    <row r="4146" spans="10:10">
      <c r="J4146" s="386" t="str">
        <f ca="1">IF(ROW()&gt;'Impact Indicator Target Update'!A153,"",INDIRECT("'Impact Indicators - Section B'!A"&amp;'Impact Indicator Target Update'!D153))</f>
        <v/>
      </c>
    </row>
    <row r="4147" spans="10:10">
      <c r="J4147" s="386" t="str">
        <f ca="1">IF(ROW()&gt;'Impact Indicator Target Update'!A154,"",INDIRECT("'Impact Indicators - Section B'!A"&amp;'Impact Indicator Target Update'!D154))</f>
        <v/>
      </c>
    </row>
    <row r="4148" spans="10:10">
      <c r="J4148" s="386" t="str">
        <f ca="1">IF(ROW()&gt;'Impact Indicator Target Update'!A155,"",INDIRECT("'Impact Indicators - Section B'!A"&amp;'Impact Indicator Target Update'!D155))</f>
        <v/>
      </c>
    </row>
    <row r="4149" spans="10:10">
      <c r="J4149" s="386" t="str">
        <f ca="1">IF(ROW()&gt;'Impact Indicator Target Update'!A156,"",INDIRECT("'Impact Indicators - Section B'!A"&amp;'Impact Indicator Target Update'!D156))</f>
        <v/>
      </c>
    </row>
    <row r="4150" spans="10:10">
      <c r="J4150" s="386" t="str">
        <f ca="1">IF(ROW()&gt;'Impact Indicator Target Update'!A157,"",INDIRECT("'Impact Indicators - Section B'!A"&amp;'Impact Indicator Target Update'!D157))</f>
        <v/>
      </c>
    </row>
    <row r="4151" spans="10:10">
      <c r="J4151" s="386" t="str">
        <f ca="1">IF(ROW()&gt;'Impact Indicator Target Update'!A158,"",INDIRECT("'Impact Indicators - Section B'!A"&amp;'Impact Indicator Target Update'!D158))</f>
        <v/>
      </c>
    </row>
    <row r="4152" spans="10:10">
      <c r="J4152" s="386" t="str">
        <f ca="1">IF(ROW()&gt;'Impact Indicator Target Update'!A159,"",INDIRECT("'Impact Indicators - Section B'!A"&amp;'Impact Indicator Target Update'!D159))</f>
        <v/>
      </c>
    </row>
    <row r="4153" spans="10:10">
      <c r="J4153" s="386" t="str">
        <f ca="1">IF(ROW()&gt;'Impact Indicator Target Update'!A160,"",INDIRECT("'Impact Indicators - Section B'!A"&amp;'Impact Indicator Target Update'!D160))</f>
        <v/>
      </c>
    </row>
    <row r="4154" spans="10:10">
      <c r="J4154" s="386" t="str">
        <f ca="1">IF(ROW()&gt;'Impact Indicator Target Update'!A161,"",INDIRECT("'Impact Indicators - Section B'!A"&amp;'Impact Indicator Target Update'!D161))</f>
        <v/>
      </c>
    </row>
    <row r="4155" spans="10:10">
      <c r="J4155" s="386" t="str">
        <f ca="1">IF(ROW()&gt;'Impact Indicator Target Update'!A162,"",INDIRECT("'Impact Indicators - Section B'!A"&amp;'Impact Indicator Target Update'!D162))</f>
        <v/>
      </c>
    </row>
    <row r="4156" spans="10:10">
      <c r="J4156" s="386" t="str">
        <f ca="1">IF(ROW()&gt;'Impact Indicator Target Update'!A163,"",INDIRECT("'Impact Indicators - Section B'!A"&amp;'Impact Indicator Target Update'!D163))</f>
        <v/>
      </c>
    </row>
    <row r="4157" spans="10:10">
      <c r="J4157" s="386" t="str">
        <f ca="1">IF(ROW()&gt;'Impact Indicator Target Update'!A164,"",INDIRECT("'Impact Indicators - Section B'!A"&amp;'Impact Indicator Target Update'!D164))</f>
        <v/>
      </c>
    </row>
    <row r="4158" spans="10:10">
      <c r="J4158" s="386" t="str">
        <f ca="1">IF(ROW()&gt;'Impact Indicator Target Update'!A165,"",INDIRECT("'Impact Indicators - Section B'!A"&amp;'Impact Indicator Target Update'!D165))</f>
        <v/>
      </c>
    </row>
    <row r="4159" spans="10:10">
      <c r="J4159" s="386" t="str">
        <f ca="1">IF(ROW()&gt;'Impact Indicator Target Update'!A166,"",INDIRECT("'Impact Indicators - Section B'!A"&amp;'Impact Indicator Target Update'!D166))</f>
        <v/>
      </c>
    </row>
    <row r="4160" spans="10:10">
      <c r="J4160" s="386" t="str">
        <f ca="1">IF(ROW()&gt;'Impact Indicator Target Update'!A167,"",INDIRECT("'Impact Indicators - Section B'!A"&amp;'Impact Indicator Target Update'!D167))</f>
        <v/>
      </c>
    </row>
    <row r="4161" spans="10:10">
      <c r="J4161" s="386" t="str">
        <f ca="1">IF(ROW()&gt;'Impact Indicator Target Update'!A168,"",INDIRECT("'Impact Indicators - Section B'!A"&amp;'Impact Indicator Target Update'!D168))</f>
        <v/>
      </c>
    </row>
    <row r="4162" spans="10:10">
      <c r="J4162" s="386" t="str">
        <f ca="1">IF(ROW()&gt;'Impact Indicator Target Update'!A169,"",INDIRECT("'Impact Indicators - Section B'!A"&amp;'Impact Indicator Target Update'!D169))</f>
        <v/>
      </c>
    </row>
    <row r="4163" spans="10:10">
      <c r="J4163" s="386" t="str">
        <f ca="1">IF(ROW()&gt;'Impact Indicator Target Update'!A170,"",INDIRECT("'Impact Indicators - Section B'!A"&amp;'Impact Indicator Target Update'!D170))</f>
        <v/>
      </c>
    </row>
    <row r="4164" spans="10:10">
      <c r="J4164" s="386" t="str">
        <f ca="1">IF(ROW()&gt;'Impact Indicator Target Update'!A171,"",INDIRECT("'Impact Indicators - Section B'!A"&amp;'Impact Indicator Target Update'!D171))</f>
        <v/>
      </c>
    </row>
    <row r="4165" spans="10:10">
      <c r="J4165" s="386" t="str">
        <f ca="1">IF(ROW()&gt;'Impact Indicator Target Update'!A172,"",INDIRECT("'Impact Indicators - Section B'!A"&amp;'Impact Indicator Target Update'!D172))</f>
        <v/>
      </c>
    </row>
    <row r="4166" spans="10:10">
      <c r="J4166" s="386" t="str">
        <f ca="1">IF(ROW()&gt;'Impact Indicator Target Update'!A173,"",INDIRECT("'Impact Indicators - Section B'!A"&amp;'Impact Indicator Target Update'!D173))</f>
        <v/>
      </c>
    </row>
    <row r="4167" spans="10:10">
      <c r="J4167" s="386" t="str">
        <f ca="1">IF(ROW()&gt;'Impact Indicator Target Update'!A174,"",INDIRECT("'Impact Indicators - Section B'!A"&amp;'Impact Indicator Target Update'!D174))</f>
        <v/>
      </c>
    </row>
    <row r="4168" spans="10:10">
      <c r="J4168" s="386" t="str">
        <f ca="1">IF(ROW()&gt;'Impact Indicator Target Update'!A175,"",INDIRECT("'Impact Indicators - Section B'!A"&amp;'Impact Indicator Target Update'!D175))</f>
        <v/>
      </c>
    </row>
    <row r="4169" spans="10:10">
      <c r="J4169" s="386" t="str">
        <f ca="1">IF(ROW()&gt;'Impact Indicator Target Update'!A176,"",INDIRECT("'Impact Indicators - Section B'!A"&amp;'Impact Indicator Target Update'!D176))</f>
        <v/>
      </c>
    </row>
    <row r="4170" spans="10:10">
      <c r="J4170" s="386" t="str">
        <f ca="1">IF(ROW()&gt;'Impact Indicator Target Update'!A177,"",INDIRECT("'Impact Indicators - Section B'!A"&amp;'Impact Indicator Target Update'!D177))</f>
        <v/>
      </c>
    </row>
    <row r="4171" spans="10:10">
      <c r="J4171" s="386" t="str">
        <f ca="1">IF(ROW()&gt;'Impact Indicator Target Update'!A178,"",INDIRECT("'Impact Indicators - Section B'!A"&amp;'Impact Indicator Target Update'!D178))</f>
        <v/>
      </c>
    </row>
    <row r="4172" spans="10:10">
      <c r="J4172" s="386" t="str">
        <f ca="1">IF(ROW()&gt;'Impact Indicator Target Update'!A179,"",INDIRECT("'Impact Indicators - Section B'!A"&amp;'Impact Indicator Target Update'!D179))</f>
        <v/>
      </c>
    </row>
    <row r="4173" spans="10:10">
      <c r="J4173" s="386" t="str">
        <f ca="1">IF(ROW()&gt;'Impact Indicator Target Update'!A180,"",INDIRECT("'Impact Indicators - Section B'!A"&amp;'Impact Indicator Target Update'!D180))</f>
        <v/>
      </c>
    </row>
    <row r="4174" spans="10:10">
      <c r="J4174" s="386" t="str">
        <f ca="1">IF(ROW()&gt;'Impact Indicator Target Update'!A181,"",INDIRECT("'Impact Indicators - Section B'!A"&amp;'Impact Indicator Target Update'!D181))</f>
        <v/>
      </c>
    </row>
    <row r="4175" spans="10:10">
      <c r="J4175" s="386" t="str">
        <f ca="1">IF(ROW()&gt;'Impact Indicator Target Update'!A182,"",INDIRECT("'Impact Indicators - Section B'!A"&amp;'Impact Indicator Target Update'!D182))</f>
        <v/>
      </c>
    </row>
    <row r="4176" spans="10:10">
      <c r="J4176" s="386" t="str">
        <f ca="1">IF(ROW()&gt;'Impact Indicator Target Update'!A183,"",INDIRECT("'Impact Indicators - Section B'!A"&amp;'Impact Indicator Target Update'!D183))</f>
        <v/>
      </c>
    </row>
    <row r="4177" spans="10:10">
      <c r="J4177" s="386" t="str">
        <f ca="1">IF(ROW()&gt;'Impact Indicator Target Update'!A184,"",INDIRECT("'Impact Indicators - Section B'!A"&amp;'Impact Indicator Target Update'!D184))</f>
        <v/>
      </c>
    </row>
    <row r="4178" spans="10:10">
      <c r="J4178" s="386" t="str">
        <f ca="1">IF(ROW()&gt;'Impact Indicator Target Update'!A185,"",INDIRECT("'Impact Indicators - Section B'!A"&amp;'Impact Indicator Target Update'!D185))</f>
        <v/>
      </c>
    </row>
    <row r="4179" spans="10:10">
      <c r="J4179" s="386" t="str">
        <f ca="1">IF(ROW()&gt;'Impact Indicator Target Update'!A186,"",INDIRECT("'Impact Indicators - Section B'!A"&amp;'Impact Indicator Target Update'!D186))</f>
        <v/>
      </c>
    </row>
    <row r="4180" spans="10:10">
      <c r="J4180" s="386" t="str">
        <f ca="1">IF(ROW()&gt;'Impact Indicator Target Update'!A187,"",INDIRECT("'Impact Indicators - Section B'!A"&amp;'Impact Indicator Target Update'!D187))</f>
        <v/>
      </c>
    </row>
    <row r="4181" spans="10:10">
      <c r="J4181" s="386" t="str">
        <f ca="1">IF(ROW()&gt;'Impact Indicator Target Update'!A188,"",INDIRECT("'Impact Indicators - Section B'!A"&amp;'Impact Indicator Target Update'!D188))</f>
        <v/>
      </c>
    </row>
    <row r="4182" spans="10:10">
      <c r="J4182" s="386" t="str">
        <f ca="1">IF(ROW()&gt;'Impact Indicator Target Update'!A189,"",INDIRECT("'Impact Indicators - Section B'!A"&amp;'Impact Indicator Target Update'!D189))</f>
        <v/>
      </c>
    </row>
    <row r="4183" spans="10:10">
      <c r="J4183" s="386" t="str">
        <f ca="1">IF(ROW()&gt;'Impact Indicator Target Update'!A190,"",INDIRECT("'Impact Indicators - Section B'!A"&amp;'Impact Indicator Target Update'!D190))</f>
        <v/>
      </c>
    </row>
    <row r="4184" spans="10:10">
      <c r="J4184" s="386" t="str">
        <f ca="1">IF(ROW()&gt;'Impact Indicator Target Update'!A191,"",INDIRECT("'Impact Indicators - Section B'!A"&amp;'Impact Indicator Target Update'!D191))</f>
        <v/>
      </c>
    </row>
    <row r="4185" spans="10:10">
      <c r="J4185" s="386" t="str">
        <f ca="1">IF(ROW()&gt;'Impact Indicator Target Update'!A192,"",INDIRECT("'Impact Indicators - Section B'!A"&amp;'Impact Indicator Target Update'!D192))</f>
        <v/>
      </c>
    </row>
    <row r="4186" spans="10:10">
      <c r="J4186" s="386" t="str">
        <f ca="1">IF(ROW()&gt;'Impact Indicator Target Update'!A193,"",INDIRECT("'Impact Indicators - Section B'!A"&amp;'Impact Indicator Target Update'!D193))</f>
        <v/>
      </c>
    </row>
    <row r="4187" spans="10:10">
      <c r="J4187" s="386" t="str">
        <f ca="1">IF(ROW()&gt;'Impact Indicator Target Update'!A194,"",INDIRECT("'Impact Indicators - Section B'!A"&amp;'Impact Indicator Target Update'!D194))</f>
        <v/>
      </c>
    </row>
    <row r="4188" spans="10:10">
      <c r="J4188" s="386" t="str">
        <f ca="1">IF(ROW()&gt;'Impact Indicator Target Update'!A195,"",INDIRECT("'Impact Indicators - Section B'!A"&amp;'Impact Indicator Target Update'!D195))</f>
        <v/>
      </c>
    </row>
    <row r="4189" spans="10:10">
      <c r="J4189" s="386" t="str">
        <f ca="1">IF(ROW()&gt;'Impact Indicator Target Update'!A196,"",INDIRECT("'Impact Indicators - Section B'!A"&amp;'Impact Indicator Target Update'!D196))</f>
        <v/>
      </c>
    </row>
    <row r="4190" spans="10:10">
      <c r="J4190" s="386" t="str">
        <f ca="1">IF(ROW()&gt;'Impact Indicator Target Update'!A197,"",INDIRECT("'Impact Indicators - Section B'!A"&amp;'Impact Indicator Target Update'!D197))</f>
        <v/>
      </c>
    </row>
    <row r="4191" spans="10:10">
      <c r="J4191" s="386" t="str">
        <f ca="1">IF(ROW()&gt;'Impact Indicator Target Update'!A198,"",INDIRECT("'Impact Indicators - Section B'!A"&amp;'Impact Indicator Target Update'!D198))</f>
        <v/>
      </c>
    </row>
    <row r="4192" spans="10:10">
      <c r="J4192" s="386" t="str">
        <f ca="1">IF(ROW()&gt;'Impact Indicator Target Update'!A199,"",INDIRECT("'Impact Indicators - Section B'!A"&amp;'Impact Indicator Target Update'!D199))</f>
        <v/>
      </c>
    </row>
    <row r="4193" spans="10:10">
      <c r="J4193" s="386" t="str">
        <f ca="1">IF(ROW()&gt;'Impact Indicator Target Update'!A200,"",INDIRECT("'Impact Indicators - Section B'!A"&amp;'Impact Indicator Target Update'!D200))</f>
        <v/>
      </c>
    </row>
    <row r="4194" spans="10:10">
      <c r="J4194" s="386" t="str">
        <f ca="1">IF(ROW()&gt;'Impact Indicator Target Update'!A201,"",INDIRECT("'Impact Indicators - Section B'!A"&amp;'Impact Indicator Target Update'!D201))</f>
        <v/>
      </c>
    </row>
    <row r="4195" spans="10:10">
      <c r="J4195" s="386" t="str">
        <f ca="1">IF(ROW()&gt;'Impact Indicator Target Update'!A202,"",INDIRECT("'Impact Indicators - Section B'!A"&amp;'Impact Indicator Target Update'!D202))</f>
        <v/>
      </c>
    </row>
    <row r="4196" spans="10:10">
      <c r="J4196" s="386" t="str">
        <f ca="1">IF(ROW()&gt;'Impact Indicator Target Update'!A203,"",INDIRECT("'Impact Indicators - Section B'!A"&amp;'Impact Indicator Target Update'!D203))</f>
        <v/>
      </c>
    </row>
    <row r="4197" spans="10:10">
      <c r="J4197" s="386" t="str">
        <f ca="1">IF(ROW()&gt;'Impact Indicator Target Update'!A204,"",INDIRECT("'Impact Indicators - Section B'!A"&amp;'Impact Indicator Target Update'!D204))</f>
        <v/>
      </c>
    </row>
    <row r="4198" spans="10:10">
      <c r="J4198" s="386" t="str">
        <f ca="1">IF(ROW()&gt;'Impact Indicator Target Update'!A205,"",INDIRECT("'Impact Indicators - Section B'!A"&amp;'Impact Indicator Target Update'!D205))</f>
        <v/>
      </c>
    </row>
    <row r="4199" spans="10:10">
      <c r="J4199" s="386" t="str">
        <f ca="1">IF(ROW()&gt;'Impact Indicator Target Update'!A206,"",INDIRECT("'Impact Indicators - Section B'!A"&amp;'Impact Indicator Target Update'!D206))</f>
        <v/>
      </c>
    </row>
    <row r="4200" spans="10:10">
      <c r="J4200" s="386" t="str">
        <f ca="1">IF(ROW()&gt;'Impact Indicator Target Update'!A207,"",INDIRECT("'Impact Indicators - Section B'!A"&amp;'Impact Indicator Target Update'!D207))</f>
        <v/>
      </c>
    </row>
    <row r="4201" spans="10:10">
      <c r="J4201" s="386" t="str">
        <f ca="1">IF(ROW()&gt;'Impact Indicator Target Update'!A208,"",INDIRECT("'Impact Indicators - Section B'!A"&amp;'Impact Indicator Target Update'!D208))</f>
        <v/>
      </c>
    </row>
    <row r="4202" spans="10:10">
      <c r="J4202" s="386" t="str">
        <f ca="1">IF(ROW()&gt;'Impact Indicator Target Update'!A209,"",INDIRECT("'Impact Indicators - Section B'!A"&amp;'Impact Indicator Target Update'!D209))</f>
        <v/>
      </c>
    </row>
    <row r="4203" spans="10:10">
      <c r="J4203" s="386" t="str">
        <f ca="1">IF(ROW()&gt;'Impact Indicator Target Update'!A210,"",INDIRECT("'Impact Indicators - Section B'!A"&amp;'Impact Indicator Target Update'!D210))</f>
        <v/>
      </c>
    </row>
    <row r="4204" spans="10:10">
      <c r="J4204" s="386" t="str">
        <f ca="1">IF(ROW()&gt;'Impact Indicator Target Update'!A211,"",INDIRECT("'Impact Indicators - Section B'!A"&amp;'Impact Indicator Target Update'!D211))</f>
        <v/>
      </c>
    </row>
    <row r="4205" spans="10:10">
      <c r="J4205" s="386" t="str">
        <f ca="1">IF(ROW()&gt;'Impact Indicator Target Update'!A212,"",INDIRECT("'Impact Indicators - Section B'!A"&amp;'Impact Indicator Target Update'!D212))</f>
        <v/>
      </c>
    </row>
    <row r="4206" spans="10:10">
      <c r="J4206" s="386" t="str">
        <f ca="1">IF(ROW()&gt;'Impact Indicator Target Update'!A213,"",INDIRECT("'Impact Indicators - Section B'!A"&amp;'Impact Indicator Target Update'!D213))</f>
        <v/>
      </c>
    </row>
    <row r="4207" spans="10:10">
      <c r="J4207" s="386" t="str">
        <f ca="1">IF(ROW()&gt;'Impact Indicator Target Update'!A214,"",INDIRECT("'Impact Indicators - Section B'!A"&amp;'Impact Indicator Target Update'!D214))</f>
        <v/>
      </c>
    </row>
    <row r="4208" spans="10:10">
      <c r="J4208" s="386" t="str">
        <f ca="1">IF(ROW()&gt;'Impact Indicator Target Update'!A215,"",INDIRECT("'Impact Indicators - Section B'!A"&amp;'Impact Indicator Target Update'!D215))</f>
        <v/>
      </c>
    </row>
    <row r="4209" spans="10:10">
      <c r="J4209" s="386" t="str">
        <f ca="1">IF(ROW()&gt;'Impact Indicator Target Update'!A216,"",INDIRECT("'Impact Indicators - Section B'!A"&amp;'Impact Indicator Target Update'!D216))</f>
        <v/>
      </c>
    </row>
    <row r="4210" spans="10:10">
      <c r="J4210" s="386" t="str">
        <f ca="1">IF(ROW()&gt;'Impact Indicator Target Update'!A217,"",INDIRECT("'Impact Indicators - Section B'!A"&amp;'Impact Indicator Target Update'!D217))</f>
        <v/>
      </c>
    </row>
    <row r="4211" spans="10:10">
      <c r="J4211" s="386" t="str">
        <f ca="1">IF(ROW()&gt;'Impact Indicator Target Update'!A218,"",INDIRECT("'Impact Indicators - Section B'!A"&amp;'Impact Indicator Target Update'!D218))</f>
        <v/>
      </c>
    </row>
    <row r="4212" spans="10:10">
      <c r="J4212" s="386" t="str">
        <f ca="1">IF(ROW()&gt;'Impact Indicator Target Update'!A219,"",INDIRECT("'Impact Indicators - Section B'!A"&amp;'Impact Indicator Target Update'!D219))</f>
        <v/>
      </c>
    </row>
    <row r="4213" spans="10:10">
      <c r="J4213" s="386" t="str">
        <f ca="1">IF(ROW()&gt;'Impact Indicator Target Update'!A220,"",INDIRECT("'Impact Indicators - Section B'!A"&amp;'Impact Indicator Target Update'!D220))</f>
        <v/>
      </c>
    </row>
    <row r="4214" spans="10:10">
      <c r="J4214" s="386" t="str">
        <f ca="1">IF(ROW()&gt;'Impact Indicator Target Update'!A221,"",INDIRECT("'Impact Indicators - Section B'!A"&amp;'Impact Indicator Target Update'!D221))</f>
        <v/>
      </c>
    </row>
    <row r="4215" spans="10:10">
      <c r="J4215" s="386" t="str">
        <f ca="1">IF(ROW()&gt;'Impact Indicator Target Update'!A222,"",INDIRECT("'Impact Indicators - Section B'!A"&amp;'Impact Indicator Target Update'!D222))</f>
        <v/>
      </c>
    </row>
    <row r="4216" spans="10:10">
      <c r="J4216" s="386" t="str">
        <f ca="1">IF(ROW()&gt;'Impact Indicator Target Update'!A223,"",INDIRECT("'Impact Indicators - Section B'!A"&amp;'Impact Indicator Target Update'!D223))</f>
        <v/>
      </c>
    </row>
    <row r="4217" spans="10:10">
      <c r="J4217" s="386" t="str">
        <f ca="1">IF(ROW()&gt;'Impact Indicator Target Update'!A224,"",INDIRECT("'Impact Indicators - Section B'!A"&amp;'Impact Indicator Target Update'!D224))</f>
        <v/>
      </c>
    </row>
    <row r="4218" spans="10:10">
      <c r="J4218" s="386" t="str">
        <f ca="1">IF(ROW()&gt;'Impact Indicator Target Update'!A225,"",INDIRECT("'Impact Indicators - Section B'!A"&amp;'Impact Indicator Target Update'!D225))</f>
        <v/>
      </c>
    </row>
    <row r="4219" spans="10:10">
      <c r="J4219" s="386" t="str">
        <f ca="1">IF(ROW()&gt;'Impact Indicator Target Update'!A226,"",INDIRECT("'Impact Indicators - Section B'!A"&amp;'Impact Indicator Target Update'!D226))</f>
        <v/>
      </c>
    </row>
    <row r="4220" spans="10:10">
      <c r="J4220" s="386" t="str">
        <f ca="1">IF(ROW()&gt;'Impact Indicator Target Update'!A227,"",INDIRECT("'Impact Indicators - Section B'!A"&amp;'Impact Indicator Target Update'!D227))</f>
        <v/>
      </c>
    </row>
    <row r="4221" spans="10:10">
      <c r="J4221" s="386" t="str">
        <f ca="1">IF(ROW()&gt;'Impact Indicator Target Update'!A228,"",INDIRECT("'Impact Indicators - Section B'!A"&amp;'Impact Indicator Target Update'!D228))</f>
        <v/>
      </c>
    </row>
    <row r="4222" spans="10:10">
      <c r="J4222" s="386" t="str">
        <f ca="1">IF(ROW()&gt;'Impact Indicator Target Update'!A229,"",INDIRECT("'Impact Indicators - Section B'!A"&amp;'Impact Indicator Target Update'!D229))</f>
        <v/>
      </c>
    </row>
    <row r="4223" spans="10:10">
      <c r="J4223" s="386" t="str">
        <f ca="1">IF(ROW()&gt;'Impact Indicator Target Update'!A230,"",INDIRECT("'Impact Indicators - Section B'!A"&amp;'Impact Indicator Target Update'!D230))</f>
        <v/>
      </c>
    </row>
    <row r="4224" spans="10:10">
      <c r="J4224" s="386" t="str">
        <f ca="1">IF(ROW()&gt;'Impact Indicator Target Update'!A231,"",INDIRECT("'Impact Indicators - Section B'!A"&amp;'Impact Indicator Target Update'!D231))</f>
        <v/>
      </c>
    </row>
    <row r="4225" spans="10:10">
      <c r="J4225" s="386" t="str">
        <f ca="1">IF(ROW()&gt;'Impact Indicator Target Update'!A232,"",INDIRECT("'Impact Indicators - Section B'!A"&amp;'Impact Indicator Target Update'!D232))</f>
        <v/>
      </c>
    </row>
    <row r="4226" spans="10:10">
      <c r="J4226" s="386" t="str">
        <f ca="1">IF(ROW()&gt;'Impact Indicator Target Update'!A233,"",INDIRECT("'Impact Indicators - Section B'!A"&amp;'Impact Indicator Target Update'!D233))</f>
        <v/>
      </c>
    </row>
    <row r="4227" spans="10:10">
      <c r="J4227" s="386" t="str">
        <f ca="1">IF(ROW()&gt;'Impact Indicator Target Update'!A234,"",INDIRECT("'Impact Indicators - Section B'!A"&amp;'Impact Indicator Target Update'!D234))</f>
        <v/>
      </c>
    </row>
    <row r="4228" spans="10:10">
      <c r="J4228" s="386" t="str">
        <f ca="1">IF(ROW()&gt;'Impact Indicator Target Update'!A235,"",INDIRECT("'Impact Indicators - Section B'!A"&amp;'Impact Indicator Target Update'!D235))</f>
        <v/>
      </c>
    </row>
    <row r="4229" spans="10:10">
      <c r="J4229" s="386" t="str">
        <f ca="1">IF(ROW()&gt;'Impact Indicator Target Update'!A236,"",INDIRECT("'Impact Indicators - Section B'!A"&amp;'Impact Indicator Target Update'!D236))</f>
        <v/>
      </c>
    </row>
    <row r="4230" spans="10:10">
      <c r="J4230" s="386" t="str">
        <f ca="1">IF(ROW()&gt;'Impact Indicator Target Update'!A237,"",INDIRECT("'Impact Indicators - Section B'!A"&amp;'Impact Indicator Target Update'!D237))</f>
        <v/>
      </c>
    </row>
    <row r="4231" spans="10:10">
      <c r="J4231" s="386" t="str">
        <f ca="1">IF(ROW()&gt;'Impact Indicator Target Update'!A238,"",INDIRECT("'Impact Indicators - Section B'!A"&amp;'Impact Indicator Target Update'!D238))</f>
        <v/>
      </c>
    </row>
    <row r="4232" spans="10:10">
      <c r="J4232" s="386" t="str">
        <f ca="1">IF(ROW()&gt;'Impact Indicator Target Update'!A239,"",INDIRECT("'Impact Indicators - Section B'!A"&amp;'Impact Indicator Target Update'!D239))</f>
        <v/>
      </c>
    </row>
    <row r="4233" spans="10:10">
      <c r="J4233" s="386" t="str">
        <f ca="1">IF(ROW()&gt;'Impact Indicator Target Update'!A240,"",INDIRECT("'Impact Indicators - Section B'!A"&amp;'Impact Indicator Target Update'!D240))</f>
        <v/>
      </c>
    </row>
    <row r="4234" spans="10:10">
      <c r="J4234" s="386" t="str">
        <f ca="1">IF(ROW()&gt;'Impact Indicator Target Update'!A241,"",INDIRECT("'Impact Indicators - Section B'!A"&amp;'Impact Indicator Target Update'!D241))</f>
        <v/>
      </c>
    </row>
    <row r="4235" spans="10:10">
      <c r="J4235" s="386" t="str">
        <f ca="1">IF(ROW()&gt;'Impact Indicator Target Update'!A242,"",INDIRECT("'Impact Indicators - Section B'!A"&amp;'Impact Indicator Target Update'!D242))</f>
        <v/>
      </c>
    </row>
    <row r="4236" spans="10:10">
      <c r="J4236" s="386" t="str">
        <f ca="1">IF(ROW()&gt;'Impact Indicator Target Update'!A243,"",INDIRECT("'Impact Indicators - Section B'!A"&amp;'Impact Indicator Target Update'!D243))</f>
        <v/>
      </c>
    </row>
    <row r="4237" spans="10:10">
      <c r="J4237" s="386" t="str">
        <f ca="1">IF(ROW()&gt;'Impact Indicator Target Update'!A244,"",INDIRECT("'Impact Indicators - Section B'!A"&amp;'Impact Indicator Target Update'!D244))</f>
        <v/>
      </c>
    </row>
    <row r="4238" spans="10:10">
      <c r="J4238" s="386" t="str">
        <f ca="1">IF(ROW()&gt;'Impact Indicator Target Update'!A245,"",INDIRECT("'Impact Indicators - Section B'!A"&amp;'Impact Indicator Target Update'!D245))</f>
        <v/>
      </c>
    </row>
    <row r="4239" spans="10:10">
      <c r="J4239" s="386" t="str">
        <f ca="1">IF(ROW()&gt;'Impact Indicator Target Update'!A246,"",INDIRECT("'Impact Indicators - Section B'!A"&amp;'Impact Indicator Target Update'!D246))</f>
        <v/>
      </c>
    </row>
    <row r="4240" spans="10:10">
      <c r="J4240" s="386" t="str">
        <f ca="1">IF(ROW()&gt;'Impact Indicator Target Update'!A247,"",INDIRECT("'Impact Indicators - Section B'!A"&amp;'Impact Indicator Target Update'!D247))</f>
        <v/>
      </c>
    </row>
    <row r="4241" spans="10:10">
      <c r="J4241" s="386" t="str">
        <f ca="1">IF(ROW()&gt;'Impact Indicator Target Update'!A248,"",INDIRECT("'Impact Indicators - Section B'!A"&amp;'Impact Indicator Target Update'!D248))</f>
        <v/>
      </c>
    </row>
    <row r="4242" spans="10:10">
      <c r="J4242" s="386" t="str">
        <f ca="1">IF(ROW()&gt;'Impact Indicator Target Update'!A249,"",INDIRECT("'Impact Indicators - Section B'!A"&amp;'Impact Indicator Target Update'!D249))</f>
        <v/>
      </c>
    </row>
    <row r="4243" spans="10:10">
      <c r="J4243" s="386" t="str">
        <f ca="1">IF(ROW()&gt;'Impact Indicator Target Update'!A250,"",INDIRECT("'Impact Indicators - Section B'!A"&amp;'Impact Indicator Target Update'!D250))</f>
        <v/>
      </c>
    </row>
    <row r="4244" spans="10:10">
      <c r="J4244" s="386" t="str">
        <f ca="1">IF(ROW()&gt;'Impact Indicator Target Update'!A251,"",INDIRECT("'Impact Indicators - Section B'!A"&amp;'Impact Indicator Target Update'!D251))</f>
        <v/>
      </c>
    </row>
    <row r="4245" spans="10:10">
      <c r="J4245" s="386" t="str">
        <f ca="1">IF(ROW()&gt;'Impact Indicator Target Update'!A252,"",INDIRECT("'Impact Indicators - Section B'!A"&amp;'Impact Indicator Target Update'!D252))</f>
        <v/>
      </c>
    </row>
    <row r="4246" spans="10:10">
      <c r="J4246" s="386" t="str">
        <f ca="1">IF(ROW()&gt;'Impact Indicator Target Update'!A253,"",INDIRECT("'Impact Indicators - Section B'!A"&amp;'Impact Indicator Target Update'!D253))</f>
        <v/>
      </c>
    </row>
    <row r="4247" spans="10:10">
      <c r="J4247" s="386" t="str">
        <f ca="1">IF(ROW()&gt;'Impact Indicator Target Update'!A254,"",INDIRECT("'Impact Indicators - Section B'!A"&amp;'Impact Indicator Target Update'!D254))</f>
        <v/>
      </c>
    </row>
    <row r="4248" spans="10:10">
      <c r="J4248" s="386" t="str">
        <f ca="1">IF(ROW()&gt;'Impact Indicator Target Update'!A255,"",INDIRECT("'Impact Indicators - Section B'!A"&amp;'Impact Indicator Target Update'!D255))</f>
        <v/>
      </c>
    </row>
    <row r="4249" spans="10:10">
      <c r="J4249" s="386" t="str">
        <f ca="1">IF(ROW()&gt;'Impact Indicator Target Update'!A256,"",INDIRECT("'Impact Indicators - Section B'!A"&amp;'Impact Indicator Target Update'!D256))</f>
        <v/>
      </c>
    </row>
    <row r="4250" spans="10:10">
      <c r="J4250" s="386" t="str">
        <f ca="1">IF(ROW()&gt;'Impact Indicator Target Update'!A257,"",INDIRECT("'Impact Indicators - Section B'!A"&amp;'Impact Indicator Target Update'!D257))</f>
        <v/>
      </c>
    </row>
    <row r="4251" spans="10:10">
      <c r="J4251" s="386" t="str">
        <f ca="1">IF(ROW()&gt;'Impact Indicator Target Update'!A258,"",INDIRECT("'Impact Indicators - Section B'!A"&amp;'Impact Indicator Target Update'!D258))</f>
        <v/>
      </c>
    </row>
    <row r="4252" spans="10:10">
      <c r="J4252" s="386" t="str">
        <f ca="1">IF(ROW()&gt;'Impact Indicator Target Update'!A259,"",INDIRECT("'Impact Indicators - Section B'!A"&amp;'Impact Indicator Target Update'!D259))</f>
        <v/>
      </c>
    </row>
    <row r="4253" spans="10:10">
      <c r="J4253" s="386" t="str">
        <f ca="1">IF(ROW()&gt;'Impact Indicator Target Update'!A260,"",INDIRECT("'Impact Indicators - Section B'!A"&amp;'Impact Indicator Target Update'!D260))</f>
        <v/>
      </c>
    </row>
    <row r="4254" spans="10:10">
      <c r="J4254" s="386" t="str">
        <f ca="1">IF(ROW()&gt;'Impact Indicator Target Update'!A261,"",INDIRECT("'Impact Indicators - Section B'!A"&amp;'Impact Indicator Target Update'!D261))</f>
        <v/>
      </c>
    </row>
    <row r="4255" spans="10:10">
      <c r="J4255" s="386" t="str">
        <f ca="1">IF(ROW()&gt;'Impact Indicator Target Update'!A262,"",INDIRECT("'Impact Indicators - Section B'!A"&amp;'Impact Indicator Target Update'!D262))</f>
        <v/>
      </c>
    </row>
    <row r="4256" spans="10:10">
      <c r="J4256" s="386" t="str">
        <f ca="1">IF(ROW()&gt;'Impact Indicator Target Update'!A263,"",INDIRECT("'Impact Indicators - Section B'!A"&amp;'Impact Indicator Target Update'!D263))</f>
        <v/>
      </c>
    </row>
    <row r="4257" spans="10:10">
      <c r="J4257" s="386" t="str">
        <f ca="1">IF(ROW()&gt;'Impact Indicator Target Update'!A264,"",INDIRECT("'Impact Indicators - Section B'!A"&amp;'Impact Indicator Target Update'!D264))</f>
        <v/>
      </c>
    </row>
    <row r="4258" spans="10:10">
      <c r="J4258" s="386" t="str">
        <f ca="1">IF(ROW()&gt;'Impact Indicator Target Update'!A265,"",INDIRECT("'Impact Indicators - Section B'!A"&amp;'Impact Indicator Target Update'!D265))</f>
        <v/>
      </c>
    </row>
    <row r="4259" spans="10:10">
      <c r="J4259" s="386" t="str">
        <f ca="1">IF(ROW()&gt;'Impact Indicator Target Update'!A266,"",INDIRECT("'Impact Indicators - Section B'!A"&amp;'Impact Indicator Target Update'!D266))</f>
        <v/>
      </c>
    </row>
    <row r="4260" spans="10:10">
      <c r="J4260" s="386" t="str">
        <f ca="1">IF(ROW()&gt;'Impact Indicator Target Update'!A267,"",INDIRECT("'Impact Indicators - Section B'!A"&amp;'Impact Indicator Target Update'!D267))</f>
        <v/>
      </c>
    </row>
    <row r="4261" spans="10:10">
      <c r="J4261" s="386" t="str">
        <f ca="1">IF(ROW()&gt;'Impact Indicator Target Update'!A268,"",INDIRECT("'Impact Indicators - Section B'!A"&amp;'Impact Indicator Target Update'!D268))</f>
        <v/>
      </c>
    </row>
    <row r="4262" spans="10:10">
      <c r="J4262" s="386" t="str">
        <f ca="1">IF(ROW()&gt;'Impact Indicator Target Update'!A269,"",INDIRECT("'Impact Indicators - Section B'!A"&amp;'Impact Indicator Target Update'!D269))</f>
        <v/>
      </c>
    </row>
    <row r="4263" spans="10:10">
      <c r="J4263" s="386" t="str">
        <f ca="1">IF(ROW()&gt;'Impact Indicator Target Update'!A270,"",INDIRECT("'Impact Indicators - Section B'!A"&amp;'Impact Indicator Target Update'!D270))</f>
        <v/>
      </c>
    </row>
    <row r="4264" spans="10:10">
      <c r="J4264" s="386" t="str">
        <f ca="1">IF(ROW()&gt;'Impact Indicator Target Update'!A271,"",INDIRECT("'Impact Indicators - Section B'!A"&amp;'Impact Indicator Target Update'!D271))</f>
        <v/>
      </c>
    </row>
    <row r="4265" spans="10:10">
      <c r="J4265" s="386" t="str">
        <f ca="1">IF(ROW()&gt;'Impact Indicator Target Update'!A272,"",INDIRECT("'Impact Indicators - Section B'!A"&amp;'Impact Indicator Target Update'!D272))</f>
        <v/>
      </c>
    </row>
    <row r="4266" spans="10:10">
      <c r="J4266" s="386" t="str">
        <f ca="1">IF(ROW()&gt;'Impact Indicator Target Update'!A273,"",INDIRECT("'Impact Indicators - Section B'!A"&amp;'Impact Indicator Target Update'!D273))</f>
        <v/>
      </c>
    </row>
    <row r="4267" spans="10:10">
      <c r="J4267" s="386" t="str">
        <f ca="1">IF(ROW()&gt;'Impact Indicator Target Update'!A274,"",INDIRECT("'Impact Indicators - Section B'!A"&amp;'Impact Indicator Target Update'!D274))</f>
        <v/>
      </c>
    </row>
    <row r="4268" spans="10:10">
      <c r="J4268" s="386" t="str">
        <f ca="1">IF(ROW()&gt;'Impact Indicator Target Update'!A275,"",INDIRECT("'Impact Indicators - Section B'!A"&amp;'Impact Indicator Target Update'!D275))</f>
        <v/>
      </c>
    </row>
    <row r="4269" spans="10:10">
      <c r="J4269" s="386" t="str">
        <f ca="1">IF(ROW()&gt;'Impact Indicator Target Update'!A276,"",INDIRECT("'Impact Indicators - Section B'!A"&amp;'Impact Indicator Target Update'!D276))</f>
        <v/>
      </c>
    </row>
    <row r="4270" spans="10:10">
      <c r="J4270" s="386" t="str">
        <f ca="1">IF(ROW()&gt;'Impact Indicator Target Update'!A277,"",INDIRECT("'Impact Indicators - Section B'!A"&amp;'Impact Indicator Target Update'!D277))</f>
        <v/>
      </c>
    </row>
    <row r="4271" spans="10:10">
      <c r="J4271" s="386" t="str">
        <f ca="1">IF(ROW()&gt;'Impact Indicator Target Update'!A278,"",INDIRECT("'Impact Indicators - Section B'!A"&amp;'Impact Indicator Target Update'!D278))</f>
        <v/>
      </c>
    </row>
    <row r="4272" spans="10:10">
      <c r="J4272" s="386" t="str">
        <f ca="1">IF(ROW()&gt;'Impact Indicator Target Update'!A279,"",INDIRECT("'Impact Indicators - Section B'!A"&amp;'Impact Indicator Target Update'!D279))</f>
        <v/>
      </c>
    </row>
    <row r="4273" spans="10:10">
      <c r="J4273" s="386" t="str">
        <f ca="1">IF(ROW()&gt;'Impact Indicator Target Update'!A280,"",INDIRECT("'Impact Indicators - Section B'!A"&amp;'Impact Indicator Target Update'!D280))</f>
        <v/>
      </c>
    </row>
    <row r="4274" spans="10:10">
      <c r="J4274" s="386" t="str">
        <f ca="1">IF(ROW()&gt;'Impact Indicator Target Update'!A281,"",INDIRECT("'Impact Indicators - Section B'!A"&amp;'Impact Indicator Target Update'!D281))</f>
        <v/>
      </c>
    </row>
    <row r="4275" spans="10:10">
      <c r="J4275" s="386" t="str">
        <f ca="1">IF(ROW()&gt;'Impact Indicator Target Update'!A282,"",INDIRECT("'Impact Indicators - Section B'!A"&amp;'Impact Indicator Target Update'!D282))</f>
        <v/>
      </c>
    </row>
    <row r="4276" spans="10:10">
      <c r="J4276" s="386" t="str">
        <f ca="1">IF(ROW()&gt;'Impact Indicator Target Update'!A283,"",INDIRECT("'Impact Indicators - Section B'!A"&amp;'Impact Indicator Target Update'!D283))</f>
        <v/>
      </c>
    </row>
    <row r="4277" spans="10:10">
      <c r="J4277" s="386" t="str">
        <f ca="1">IF(ROW()&gt;'Impact Indicator Target Update'!A284,"",INDIRECT("'Impact Indicators - Section B'!A"&amp;'Impact Indicator Target Update'!D284))</f>
        <v/>
      </c>
    </row>
    <row r="4278" spans="10:10">
      <c r="J4278" s="386" t="str">
        <f ca="1">IF(ROW()&gt;'Impact Indicator Target Update'!A285,"",INDIRECT("'Impact Indicators - Section B'!A"&amp;'Impact Indicator Target Update'!D285))</f>
        <v/>
      </c>
    </row>
    <row r="4279" spans="10:10">
      <c r="J4279" s="386" t="str">
        <f ca="1">IF(ROW()&gt;'Impact Indicator Target Update'!A286,"",INDIRECT("'Impact Indicators - Section B'!A"&amp;'Impact Indicator Target Update'!D286))</f>
        <v/>
      </c>
    </row>
    <row r="4280" spans="10:10">
      <c r="J4280" s="386" t="str">
        <f ca="1">IF(ROW()&gt;'Impact Indicator Target Update'!A287,"",INDIRECT("'Impact Indicators - Section B'!A"&amp;'Impact Indicator Target Update'!D287))</f>
        <v/>
      </c>
    </row>
    <row r="4281" spans="10:10">
      <c r="J4281" s="386" t="str">
        <f ca="1">IF(ROW()&gt;'Impact Indicator Target Update'!A288,"",INDIRECT("'Impact Indicators - Section B'!A"&amp;'Impact Indicator Target Update'!D288))</f>
        <v/>
      </c>
    </row>
    <row r="4282" spans="10:10">
      <c r="J4282" s="386" t="str">
        <f ca="1">IF(ROW()&gt;'Impact Indicator Target Update'!A289,"",INDIRECT("'Impact Indicators - Section B'!A"&amp;'Impact Indicator Target Update'!D289))</f>
        <v/>
      </c>
    </row>
    <row r="4283" spans="10:10">
      <c r="J4283" s="386" t="str">
        <f ca="1">IF(ROW()&gt;'Impact Indicator Target Update'!A290,"",INDIRECT("'Impact Indicators - Section B'!A"&amp;'Impact Indicator Target Update'!D290))</f>
        <v/>
      </c>
    </row>
    <row r="4284" spans="10:10">
      <c r="J4284" s="386" t="str">
        <f ca="1">IF(ROW()&gt;'Impact Indicator Target Update'!A291,"",INDIRECT("'Impact Indicators - Section B'!A"&amp;'Impact Indicator Target Update'!D291))</f>
        <v/>
      </c>
    </row>
    <row r="4285" spans="10:10">
      <c r="J4285" s="386" t="str">
        <f ca="1">IF(ROW()&gt;'Impact Indicator Target Update'!A292,"",INDIRECT("'Impact Indicators - Section B'!A"&amp;'Impact Indicator Target Update'!D292))</f>
        <v/>
      </c>
    </row>
    <row r="4286" spans="10:10">
      <c r="J4286" s="386" t="str">
        <f ca="1">IF(ROW()&gt;'Impact Indicator Target Update'!A293,"",INDIRECT("'Impact Indicators - Section B'!A"&amp;'Impact Indicator Target Update'!D293))</f>
        <v/>
      </c>
    </row>
    <row r="4287" spans="10:10">
      <c r="J4287" s="386" t="str">
        <f ca="1">IF(ROW()&gt;'Impact Indicator Target Update'!A294,"",INDIRECT("'Impact Indicators - Section B'!A"&amp;'Impact Indicator Target Update'!D294))</f>
        <v/>
      </c>
    </row>
    <row r="4288" spans="10:10">
      <c r="J4288" s="386" t="str">
        <f ca="1">IF(ROW()&gt;'Impact Indicator Target Update'!A295,"",INDIRECT("'Impact Indicators - Section B'!A"&amp;'Impact Indicator Target Update'!D295))</f>
        <v/>
      </c>
    </row>
    <row r="4289" spans="10:10">
      <c r="J4289" s="386" t="str">
        <f ca="1">IF(ROW()&gt;'Impact Indicator Target Update'!A296,"",INDIRECT("'Impact Indicators - Section B'!A"&amp;'Impact Indicator Target Update'!D296))</f>
        <v/>
      </c>
    </row>
    <row r="4290" spans="10:10">
      <c r="J4290" s="386" t="str">
        <f ca="1">IF(ROW()&gt;'Impact Indicator Target Update'!A297,"",INDIRECT("'Impact Indicators - Section B'!A"&amp;'Impact Indicator Target Update'!D297))</f>
        <v/>
      </c>
    </row>
    <row r="4291" spans="10:10">
      <c r="J4291" s="386" t="str">
        <f ca="1">IF(ROW()&gt;'Impact Indicator Target Update'!A298,"",INDIRECT("'Impact Indicators - Section B'!A"&amp;'Impact Indicator Target Update'!D298))</f>
        <v/>
      </c>
    </row>
    <row r="4292" spans="10:10">
      <c r="J4292" s="386" t="str">
        <f ca="1">IF(ROW()&gt;'Impact Indicator Target Update'!A299,"",INDIRECT("'Impact Indicators - Section B'!A"&amp;'Impact Indicator Target Update'!D299))</f>
        <v/>
      </c>
    </row>
    <row r="4293" spans="10:10">
      <c r="J4293" s="386" t="str">
        <f ca="1">IF(ROW()&gt;'Impact Indicator Target Update'!A300,"",INDIRECT("'Impact Indicators - Section B'!A"&amp;'Impact Indicator Target Update'!D300))</f>
        <v/>
      </c>
    </row>
    <row r="4294" spans="10:10">
      <c r="J4294" s="386" t="str">
        <f ca="1">IF(ROW()&gt;'Impact Indicator Target Update'!A301,"",INDIRECT("'Impact Indicators - Section B'!A"&amp;'Impact Indicator Target Update'!D301))</f>
        <v/>
      </c>
    </row>
    <row r="4295" spans="10:10">
      <c r="J4295" s="386" t="str">
        <f ca="1">IF(ROW()&gt;'Impact Indicator Target Update'!A302,"",INDIRECT("'Impact Indicators - Section B'!A"&amp;'Impact Indicator Target Update'!D302))</f>
        <v/>
      </c>
    </row>
    <row r="4296" spans="10:10">
      <c r="J4296" s="386" t="str">
        <f ca="1">IF(ROW()&gt;'Impact Indicator Target Update'!A303,"",INDIRECT("'Impact Indicators - Section B'!A"&amp;'Impact Indicator Target Update'!D303))</f>
        <v/>
      </c>
    </row>
    <row r="4297" spans="10:10">
      <c r="J4297" s="386" t="str">
        <f ca="1">IF(ROW()&gt;'Impact Indicator Target Update'!A304,"",INDIRECT("'Impact Indicators - Section B'!A"&amp;'Impact Indicator Target Update'!D304))</f>
        <v/>
      </c>
    </row>
    <row r="4298" spans="10:10">
      <c r="J4298" s="386" t="str">
        <f ca="1">IF(ROW()&gt;'Impact Indicator Target Update'!A305,"",INDIRECT("'Impact Indicators - Section B'!A"&amp;'Impact Indicator Target Update'!D305))</f>
        <v/>
      </c>
    </row>
    <row r="4299" spans="10:10">
      <c r="J4299" s="386" t="str">
        <f ca="1">IF(ROW()&gt;'Impact Indicator Target Update'!A306,"",INDIRECT("'Impact Indicators - Section B'!A"&amp;'Impact Indicator Target Update'!D306))</f>
        <v/>
      </c>
    </row>
    <row r="4300" spans="10:10">
      <c r="J4300" s="386" t="str">
        <f ca="1">IF(ROW()&gt;'Impact Indicator Target Update'!A307,"",INDIRECT("'Impact Indicators - Section B'!A"&amp;'Impact Indicator Target Update'!D307))</f>
        <v/>
      </c>
    </row>
    <row r="4301" spans="10:10">
      <c r="J4301" s="386" t="str">
        <f ca="1">IF(ROW()&gt;'Impact Indicator Target Update'!A308,"",INDIRECT("'Impact Indicators - Section B'!A"&amp;'Impact Indicator Target Update'!D308))</f>
        <v/>
      </c>
    </row>
    <row r="4302" spans="10:10">
      <c r="J4302" s="386" t="str">
        <f ca="1">IF(ROW()&gt;'Impact Indicator Target Update'!A309,"",INDIRECT("'Impact Indicators - Section B'!A"&amp;'Impact Indicator Target Update'!D309))</f>
        <v/>
      </c>
    </row>
    <row r="4303" spans="10:10">
      <c r="J4303" s="386" t="str">
        <f ca="1">IF(ROW()&gt;'Impact Indicator Target Update'!A310,"",INDIRECT("'Impact Indicators - Section B'!A"&amp;'Impact Indicator Target Update'!D310))</f>
        <v/>
      </c>
    </row>
    <row r="4304" spans="10:10">
      <c r="J4304" s="386" t="str">
        <f ca="1">IF(ROW()&gt;'Impact Indicator Target Update'!A311,"",INDIRECT("'Impact Indicators - Section B'!A"&amp;'Impact Indicator Target Update'!D311))</f>
        <v/>
      </c>
    </row>
    <row r="4305" spans="10:10">
      <c r="J4305" s="386" t="str">
        <f ca="1">IF(ROW()&gt;'Impact Indicator Target Update'!A312,"",INDIRECT("'Impact Indicators - Section B'!A"&amp;'Impact Indicator Target Update'!D312))</f>
        <v/>
      </c>
    </row>
    <row r="4306" spans="10:10">
      <c r="J4306" s="386" t="str">
        <f ca="1">IF(ROW()&gt;'Impact Indicator Target Update'!A313,"",INDIRECT("'Impact Indicators - Section B'!A"&amp;'Impact Indicator Target Update'!D313))</f>
        <v/>
      </c>
    </row>
    <row r="4307" spans="10:10">
      <c r="J4307" s="386" t="str">
        <f ca="1">IF(ROW()&gt;'Impact Indicator Target Update'!A314,"",INDIRECT("'Impact Indicators - Section B'!A"&amp;'Impact Indicator Target Update'!D314))</f>
        <v/>
      </c>
    </row>
    <row r="4308" spans="10:10">
      <c r="J4308" s="386" t="str">
        <f ca="1">IF(ROW()&gt;'Impact Indicator Target Update'!A315,"",INDIRECT("'Impact Indicators - Section B'!A"&amp;'Impact Indicator Target Update'!D315))</f>
        <v/>
      </c>
    </row>
    <row r="4309" spans="10:10">
      <c r="J4309" s="386" t="str">
        <f ca="1">IF(ROW()&gt;'Impact Indicator Target Update'!A316,"",INDIRECT("'Impact Indicators - Section B'!A"&amp;'Impact Indicator Target Update'!D316))</f>
        <v/>
      </c>
    </row>
    <row r="4310" spans="10:10">
      <c r="J4310" s="386" t="str">
        <f ca="1">IF(ROW()&gt;'Impact Indicator Target Update'!A317,"",INDIRECT("'Impact Indicators - Section B'!A"&amp;'Impact Indicator Target Update'!D317))</f>
        <v/>
      </c>
    </row>
    <row r="4311" spans="10:10">
      <c r="J4311" s="386" t="str">
        <f ca="1">IF(ROW()&gt;'Impact Indicator Target Update'!A318,"",INDIRECT("'Impact Indicators - Section B'!A"&amp;'Impact Indicator Target Update'!D318))</f>
        <v/>
      </c>
    </row>
    <row r="4312" spans="10:10">
      <c r="J4312" s="386" t="str">
        <f ca="1">IF(ROW()&gt;'Impact Indicator Target Update'!A319,"",INDIRECT("'Impact Indicators - Section B'!A"&amp;'Impact Indicator Target Update'!D319))</f>
        <v/>
      </c>
    </row>
    <row r="4313" spans="10:10">
      <c r="J4313" s="386" t="str">
        <f ca="1">IF(ROW()&gt;'Impact Indicator Target Update'!A320,"",INDIRECT("'Impact Indicators - Section B'!A"&amp;'Impact Indicator Target Update'!D320))</f>
        <v/>
      </c>
    </row>
    <row r="4314" spans="10:10">
      <c r="J4314" s="386" t="str">
        <f ca="1">IF(ROW()&gt;'Impact Indicator Target Update'!A321,"",INDIRECT("'Impact Indicators - Section B'!A"&amp;'Impact Indicator Target Update'!D321))</f>
        <v/>
      </c>
    </row>
    <row r="4315" spans="10:10">
      <c r="J4315" s="386" t="str">
        <f ca="1">IF(ROW()&gt;'Impact Indicator Target Update'!A322,"",INDIRECT("'Impact Indicators - Section B'!A"&amp;'Impact Indicator Target Update'!D322))</f>
        <v/>
      </c>
    </row>
    <row r="4316" spans="10:10">
      <c r="J4316" s="386" t="str">
        <f ca="1">IF(ROW()&gt;'Impact Indicator Target Update'!A323,"",INDIRECT("'Impact Indicators - Section B'!A"&amp;'Impact Indicator Target Update'!D323))</f>
        <v/>
      </c>
    </row>
    <row r="4317" spans="10:10">
      <c r="J4317" s="386" t="str">
        <f ca="1">IF(ROW()&gt;'Impact Indicator Target Update'!A324,"",INDIRECT("'Impact Indicators - Section B'!A"&amp;'Impact Indicator Target Update'!D324))</f>
        <v/>
      </c>
    </row>
    <row r="4318" spans="10:10">
      <c r="J4318" s="386" t="str">
        <f ca="1">IF(ROW()&gt;'Impact Indicator Target Update'!A325,"",INDIRECT("'Impact Indicators - Section B'!A"&amp;'Impact Indicator Target Update'!D325))</f>
        <v/>
      </c>
    </row>
    <row r="4319" spans="10:10">
      <c r="J4319" s="386" t="str">
        <f ca="1">IF(ROW()&gt;'Impact Indicator Target Update'!A326,"",INDIRECT("'Impact Indicators - Section B'!A"&amp;'Impact Indicator Target Update'!D326))</f>
        <v/>
      </c>
    </row>
    <row r="4320" spans="10:10">
      <c r="J4320" s="386" t="str">
        <f ca="1">IF(ROW()&gt;'Impact Indicator Target Update'!A327,"",INDIRECT("'Impact Indicators - Section B'!A"&amp;'Impact Indicator Target Update'!D327))</f>
        <v/>
      </c>
    </row>
    <row r="4321" spans="10:10">
      <c r="J4321" s="386" t="str">
        <f ca="1">IF(ROW()&gt;'Impact Indicator Target Update'!A328,"",INDIRECT("'Impact Indicators - Section B'!A"&amp;'Impact Indicator Target Update'!D328))</f>
        <v/>
      </c>
    </row>
    <row r="4322" spans="10:10">
      <c r="J4322" s="386" t="str">
        <f ca="1">IF(ROW()&gt;'Impact Indicator Target Update'!A329,"",INDIRECT("'Impact Indicators - Section B'!A"&amp;'Impact Indicator Target Update'!D329))</f>
        <v/>
      </c>
    </row>
    <row r="4323" spans="10:10">
      <c r="J4323" s="386" t="str">
        <f ca="1">IF(ROW()&gt;'Impact Indicator Target Update'!A330,"",INDIRECT("'Impact Indicators - Section B'!A"&amp;'Impact Indicator Target Update'!D330))</f>
        <v/>
      </c>
    </row>
    <row r="4324" spans="10:10">
      <c r="J4324" s="386" t="str">
        <f ca="1">IF(ROW()&gt;'Impact Indicator Target Update'!A331,"",INDIRECT("'Impact Indicators - Section B'!A"&amp;'Impact Indicator Target Update'!D331))</f>
        <v/>
      </c>
    </row>
    <row r="4325" spans="10:10">
      <c r="J4325" s="386" t="str">
        <f ca="1">IF(ROW()&gt;'Impact Indicator Target Update'!A332,"",INDIRECT("'Impact Indicators - Section B'!A"&amp;'Impact Indicator Target Update'!D332))</f>
        <v/>
      </c>
    </row>
    <row r="4326" spans="10:10">
      <c r="J4326" s="386" t="str">
        <f ca="1">IF(ROW()&gt;'Impact Indicator Target Update'!A333,"",INDIRECT("'Impact Indicators - Section B'!A"&amp;'Impact Indicator Target Update'!D333))</f>
        <v/>
      </c>
    </row>
    <row r="4327" spans="10:10">
      <c r="J4327" s="386" t="str">
        <f ca="1">IF(ROW()&gt;'Impact Indicator Target Update'!A334,"",INDIRECT("'Impact Indicators - Section B'!A"&amp;'Impact Indicator Target Update'!D334))</f>
        <v/>
      </c>
    </row>
    <row r="4328" spans="10:10">
      <c r="J4328" s="386" t="str">
        <f ca="1">IF(ROW()&gt;'Impact Indicator Target Update'!A335,"",INDIRECT("'Impact Indicators - Section B'!A"&amp;'Impact Indicator Target Update'!D335))</f>
        <v/>
      </c>
    </row>
    <row r="4329" spans="10:10">
      <c r="J4329" s="386" t="str">
        <f ca="1">IF(ROW()&gt;'Impact Indicator Target Update'!A336,"",INDIRECT("'Impact Indicators - Section B'!A"&amp;'Impact Indicator Target Update'!D336))</f>
        <v/>
      </c>
    </row>
    <row r="4330" spans="10:10">
      <c r="J4330" s="386" t="str">
        <f ca="1">IF(ROW()&gt;'Impact Indicator Target Update'!A337,"",INDIRECT("'Impact Indicators - Section B'!A"&amp;'Impact Indicator Target Update'!D337))</f>
        <v/>
      </c>
    </row>
    <row r="4331" spans="10:10">
      <c r="J4331" s="386" t="str">
        <f ca="1">IF(ROW()&gt;'Impact Indicator Target Update'!A338,"",INDIRECT("'Impact Indicators - Section B'!A"&amp;'Impact Indicator Target Update'!D338))</f>
        <v/>
      </c>
    </row>
    <row r="4332" spans="10:10">
      <c r="J4332" s="386" t="str">
        <f ca="1">IF(ROW()&gt;'Impact Indicator Target Update'!A339,"",INDIRECT("'Impact Indicators - Section B'!A"&amp;'Impact Indicator Target Update'!D339))</f>
        <v/>
      </c>
    </row>
    <row r="4333" spans="10:10">
      <c r="J4333" s="386" t="str">
        <f ca="1">IF(ROW()&gt;'Impact Indicator Target Update'!A340,"",INDIRECT("'Impact Indicators - Section B'!A"&amp;'Impact Indicator Target Update'!D340))</f>
        <v/>
      </c>
    </row>
    <row r="4334" spans="10:10">
      <c r="J4334" s="386" t="str">
        <f ca="1">IF(ROW()&gt;'Impact Indicator Target Update'!A341,"",INDIRECT("'Impact Indicators - Section B'!A"&amp;'Impact Indicator Target Update'!D341))</f>
        <v/>
      </c>
    </row>
    <row r="4335" spans="10:10">
      <c r="J4335" s="386" t="str">
        <f ca="1">IF(ROW()&gt;'Impact Indicator Target Update'!A342,"",INDIRECT("'Impact Indicators - Section B'!A"&amp;'Impact Indicator Target Update'!D342))</f>
        <v/>
      </c>
    </row>
    <row r="4336" spans="10:10">
      <c r="J4336" s="386" t="str">
        <f ca="1">IF(ROW()&gt;'Impact Indicator Target Update'!A343,"",INDIRECT("'Impact Indicators - Section B'!A"&amp;'Impact Indicator Target Update'!D343))</f>
        <v/>
      </c>
    </row>
    <row r="4337" spans="10:10">
      <c r="J4337" s="386" t="str">
        <f ca="1">IF(ROW()&gt;'Impact Indicator Target Update'!A344,"",INDIRECT("'Impact Indicators - Section B'!A"&amp;'Impact Indicator Target Update'!D344))</f>
        <v/>
      </c>
    </row>
    <row r="4338" spans="10:10">
      <c r="J4338" s="386" t="str">
        <f ca="1">IF(ROW()&gt;'Impact Indicator Target Update'!A345,"",INDIRECT("'Impact Indicators - Section B'!A"&amp;'Impact Indicator Target Update'!D345))</f>
        <v/>
      </c>
    </row>
    <row r="4339" spans="10:10">
      <c r="J4339" s="386" t="str">
        <f ca="1">IF(ROW()&gt;'Impact Indicator Target Update'!A346,"",INDIRECT("'Impact Indicators - Section B'!A"&amp;'Impact Indicator Target Update'!D346))</f>
        <v/>
      </c>
    </row>
    <row r="4340" spans="10:10">
      <c r="J4340" s="386" t="str">
        <f ca="1">IF(ROW()&gt;'Impact Indicator Target Update'!A347,"",INDIRECT("'Impact Indicators - Section B'!A"&amp;'Impact Indicator Target Update'!D347))</f>
        <v/>
      </c>
    </row>
    <row r="4341" spans="10:10">
      <c r="J4341" s="386" t="str">
        <f ca="1">IF(ROW()&gt;'Impact Indicator Target Update'!A348,"",INDIRECT("'Impact Indicators - Section B'!A"&amp;'Impact Indicator Target Update'!D348))</f>
        <v/>
      </c>
    </row>
    <row r="4342" spans="10:10">
      <c r="J4342" s="386" t="str">
        <f ca="1">IF(ROW()&gt;'Impact Indicator Target Update'!A349,"",INDIRECT("'Impact Indicators - Section B'!A"&amp;'Impact Indicator Target Update'!D349))</f>
        <v/>
      </c>
    </row>
    <row r="4343" spans="10:10">
      <c r="J4343" s="386" t="str">
        <f ca="1">IF(ROW()&gt;'Impact Indicator Target Update'!A350,"",INDIRECT("'Impact Indicators - Section B'!A"&amp;'Impact Indicator Target Update'!D350))</f>
        <v/>
      </c>
    </row>
    <row r="4344" spans="10:10">
      <c r="J4344" s="386" t="str">
        <f ca="1">IF(ROW()&gt;'Impact Indicator Target Update'!A351,"",INDIRECT("'Impact Indicators - Section B'!A"&amp;'Impact Indicator Target Update'!D351))</f>
        <v/>
      </c>
    </row>
    <row r="4345" spans="10:10">
      <c r="J4345" s="386" t="str">
        <f ca="1">IF(ROW()&gt;'Impact Indicator Target Update'!A352,"",INDIRECT("'Impact Indicators - Section B'!A"&amp;'Impact Indicator Target Update'!D352))</f>
        <v/>
      </c>
    </row>
    <row r="4346" spans="10:10">
      <c r="J4346" s="386" t="str">
        <f ca="1">IF(ROW()&gt;'Impact Indicator Target Update'!A353,"",INDIRECT("'Impact Indicators - Section B'!A"&amp;'Impact Indicator Target Update'!D353))</f>
        <v/>
      </c>
    </row>
    <row r="4347" spans="10:10">
      <c r="J4347" s="386" t="str">
        <f ca="1">IF(ROW()&gt;'Impact Indicator Target Update'!A354,"",INDIRECT("'Impact Indicators - Section B'!A"&amp;'Impact Indicator Target Update'!D354))</f>
        <v/>
      </c>
    </row>
    <row r="4348" spans="10:10">
      <c r="J4348" s="386" t="str">
        <f ca="1">IF(ROW()&gt;'Impact Indicator Target Update'!A355,"",INDIRECT("'Impact Indicators - Section B'!A"&amp;'Impact Indicator Target Update'!D355))</f>
        <v/>
      </c>
    </row>
    <row r="4349" spans="10:10">
      <c r="J4349" s="386" t="str">
        <f ca="1">IF(ROW()&gt;'Impact Indicator Target Update'!A356,"",INDIRECT("'Impact Indicators - Section B'!A"&amp;'Impact Indicator Target Update'!D356))</f>
        <v/>
      </c>
    </row>
    <row r="4350" spans="10:10">
      <c r="J4350" s="386" t="str">
        <f ca="1">IF(ROW()&gt;'Impact Indicator Target Update'!A357,"",INDIRECT("'Impact Indicators - Section B'!A"&amp;'Impact Indicator Target Update'!D357))</f>
        <v/>
      </c>
    </row>
    <row r="4351" spans="10:10">
      <c r="J4351" s="386" t="str">
        <f ca="1">IF(ROW()&gt;'Impact Indicator Target Update'!A358,"",INDIRECT("'Impact Indicators - Section B'!A"&amp;'Impact Indicator Target Update'!D358))</f>
        <v/>
      </c>
    </row>
    <row r="4352" spans="10:10">
      <c r="J4352" s="386" t="str">
        <f ca="1">IF(ROW()&gt;'Impact Indicator Target Update'!A359,"",INDIRECT("'Impact Indicators - Section B'!A"&amp;'Impact Indicator Target Update'!D359))</f>
        <v/>
      </c>
    </row>
    <row r="4353" spans="10:10">
      <c r="J4353" s="386" t="str">
        <f ca="1">IF(ROW()&gt;'Impact Indicator Target Update'!A360,"",INDIRECT("'Impact Indicators - Section B'!A"&amp;'Impact Indicator Target Update'!D360))</f>
        <v/>
      </c>
    </row>
    <row r="4354" spans="10:10">
      <c r="J4354" s="386" t="str">
        <f ca="1">IF(ROW()&gt;'Impact Indicator Target Update'!A361,"",INDIRECT("'Impact Indicators - Section B'!A"&amp;'Impact Indicator Target Update'!D361))</f>
        <v/>
      </c>
    </row>
    <row r="4355" spans="10:10">
      <c r="J4355" s="386" t="str">
        <f ca="1">IF(ROW()&gt;'Impact Indicator Target Update'!A362,"",INDIRECT("'Impact Indicators - Section B'!A"&amp;'Impact Indicator Target Update'!D362))</f>
        <v/>
      </c>
    </row>
    <row r="4356" spans="10:10">
      <c r="J4356" s="386" t="str">
        <f ca="1">IF(ROW()&gt;'Impact Indicator Target Update'!A363,"",INDIRECT("'Impact Indicators - Section B'!A"&amp;'Impact Indicator Target Update'!D363))</f>
        <v/>
      </c>
    </row>
    <row r="4357" spans="10:10">
      <c r="J4357" s="386" t="str">
        <f ca="1">IF(ROW()&gt;'Impact Indicator Target Update'!A364,"",INDIRECT("'Impact Indicators - Section B'!A"&amp;'Impact Indicator Target Update'!D364))</f>
        <v/>
      </c>
    </row>
    <row r="4358" spans="10:10">
      <c r="J4358" s="386" t="str">
        <f ca="1">IF(ROW()&gt;'Impact Indicator Target Update'!A365,"",INDIRECT("'Impact Indicators - Section B'!A"&amp;'Impact Indicator Target Update'!D365))</f>
        <v/>
      </c>
    </row>
    <row r="4359" spans="10:10">
      <c r="J4359" s="386" t="str">
        <f ca="1">IF(ROW()&gt;'Impact Indicator Target Update'!A366,"",INDIRECT("'Impact Indicators - Section B'!A"&amp;'Impact Indicator Target Update'!D366))</f>
        <v/>
      </c>
    </row>
    <row r="4360" spans="10:10">
      <c r="J4360" s="386" t="str">
        <f ca="1">IF(ROW()&gt;'Impact Indicator Target Update'!A367,"",INDIRECT("'Impact Indicators - Section B'!A"&amp;'Impact Indicator Target Update'!D367))</f>
        <v/>
      </c>
    </row>
    <row r="4361" spans="10:10">
      <c r="J4361" s="386" t="str">
        <f ca="1">IF(ROW()&gt;'Impact Indicator Target Update'!A368,"",INDIRECT("'Impact Indicators - Section B'!A"&amp;'Impact Indicator Target Update'!D368))</f>
        <v/>
      </c>
    </row>
    <row r="4362" spans="10:10">
      <c r="J4362" s="386" t="str">
        <f ca="1">IF(ROW()&gt;'Impact Indicator Target Update'!A369,"",INDIRECT("'Impact Indicators - Section B'!A"&amp;'Impact Indicator Target Update'!D369))</f>
        <v/>
      </c>
    </row>
    <row r="4363" spans="10:10">
      <c r="J4363" s="386" t="str">
        <f ca="1">IF(ROW()&gt;'Impact Indicator Target Update'!A370,"",INDIRECT("'Impact Indicators - Section B'!A"&amp;'Impact Indicator Target Update'!D370))</f>
        <v/>
      </c>
    </row>
    <row r="4364" spans="10:10">
      <c r="J4364" s="386" t="str">
        <f ca="1">IF(ROW()&gt;'Impact Indicator Target Update'!A371,"",INDIRECT("'Impact Indicators - Section B'!A"&amp;'Impact Indicator Target Update'!D371))</f>
        <v/>
      </c>
    </row>
    <row r="4365" spans="10:10">
      <c r="J4365" s="386" t="str">
        <f ca="1">IF(ROW()&gt;'Impact Indicator Target Update'!A372,"",INDIRECT("'Impact Indicators - Section B'!A"&amp;'Impact Indicator Target Update'!D372))</f>
        <v/>
      </c>
    </row>
    <row r="4366" spans="10:10">
      <c r="J4366" s="386" t="str">
        <f ca="1">IF(ROW()&gt;'Impact Indicator Target Update'!A373,"",INDIRECT("'Impact Indicators - Section B'!A"&amp;'Impact Indicator Target Update'!D373))</f>
        <v/>
      </c>
    </row>
    <row r="4367" spans="10:10">
      <c r="J4367" s="386" t="str">
        <f ca="1">IF(ROW()&gt;'Impact Indicator Target Update'!A374,"",INDIRECT("'Impact Indicators - Section B'!A"&amp;'Impact Indicator Target Update'!D374))</f>
        <v/>
      </c>
    </row>
    <row r="4368" spans="10:10">
      <c r="J4368" s="386" t="str">
        <f ca="1">IF(ROW()&gt;'Impact Indicator Target Update'!A375,"",INDIRECT("'Impact Indicators - Section B'!A"&amp;'Impact Indicator Target Update'!D375))</f>
        <v/>
      </c>
    </row>
    <row r="4369" spans="10:10">
      <c r="J4369" s="386" t="str">
        <f ca="1">IF(ROW()&gt;'Impact Indicator Target Update'!A376,"",INDIRECT("'Impact Indicators - Section B'!A"&amp;'Impact Indicator Target Update'!D376))</f>
        <v/>
      </c>
    </row>
    <row r="4370" spans="10:10">
      <c r="J4370" s="386" t="str">
        <f ca="1">IF(ROW()&gt;'Impact Indicator Target Update'!A377,"",INDIRECT("'Impact Indicators - Section B'!A"&amp;'Impact Indicator Target Update'!D377))</f>
        <v/>
      </c>
    </row>
    <row r="4371" spans="10:10">
      <c r="J4371" s="386" t="str">
        <f ca="1">IF(ROW()&gt;'Impact Indicator Target Update'!A378,"",INDIRECT("'Impact Indicators - Section B'!A"&amp;'Impact Indicator Target Update'!D378))</f>
        <v/>
      </c>
    </row>
    <row r="4372" spans="10:10">
      <c r="J4372" s="386" t="str">
        <f ca="1">IF(ROW()&gt;'Impact Indicator Target Update'!A379,"",INDIRECT("'Impact Indicators - Section B'!A"&amp;'Impact Indicator Target Update'!D379))</f>
        <v/>
      </c>
    </row>
    <row r="4373" spans="10:10">
      <c r="J4373" s="386" t="str">
        <f ca="1">IF(ROW()&gt;'Impact Indicator Target Update'!A380,"",INDIRECT("'Impact Indicators - Section B'!A"&amp;'Impact Indicator Target Update'!D380))</f>
        <v/>
      </c>
    </row>
    <row r="4374" spans="10:10">
      <c r="J4374" s="386" t="str">
        <f ca="1">IF(ROW()&gt;'Impact Indicator Target Update'!A381,"",INDIRECT("'Impact Indicators - Section B'!A"&amp;'Impact Indicator Target Update'!D381))</f>
        <v/>
      </c>
    </row>
    <row r="4375" spans="10:10">
      <c r="J4375" s="386" t="str">
        <f ca="1">IF(ROW()&gt;'Impact Indicator Target Update'!A382,"",INDIRECT("'Impact Indicators - Section B'!A"&amp;'Impact Indicator Target Update'!D382))</f>
        <v/>
      </c>
    </row>
    <row r="4376" spans="10:10">
      <c r="J4376" s="386" t="str">
        <f ca="1">IF(ROW()&gt;'Impact Indicator Target Update'!A383,"",INDIRECT("'Impact Indicators - Section B'!A"&amp;'Impact Indicator Target Update'!D383))</f>
        <v/>
      </c>
    </row>
    <row r="4377" spans="10:10">
      <c r="J4377" s="386" t="str">
        <f ca="1">IF(ROW()&gt;'Impact Indicator Target Update'!A384,"",INDIRECT("'Impact Indicators - Section B'!A"&amp;'Impact Indicator Target Update'!D384))</f>
        <v/>
      </c>
    </row>
    <row r="4378" spans="10:10">
      <c r="J4378" s="386" t="str">
        <f ca="1">IF(ROW()&gt;'Impact Indicator Target Update'!A385,"",INDIRECT("'Impact Indicators - Section B'!A"&amp;'Impact Indicator Target Update'!D385))</f>
        <v/>
      </c>
    </row>
    <row r="4379" spans="10:10">
      <c r="J4379" s="386" t="str">
        <f ca="1">IF(ROW()&gt;'Impact Indicator Target Update'!A386,"",INDIRECT("'Impact Indicators - Section B'!A"&amp;'Impact Indicator Target Update'!D386))</f>
        <v/>
      </c>
    </row>
    <row r="4380" spans="10:10">
      <c r="J4380" s="386" t="str">
        <f ca="1">IF(ROW()&gt;'Impact Indicator Target Update'!A387,"",INDIRECT("'Impact Indicators - Section B'!A"&amp;'Impact Indicator Target Update'!D387))</f>
        <v/>
      </c>
    </row>
    <row r="4381" spans="10:10">
      <c r="J4381" s="386" t="str">
        <f ca="1">IF(ROW()&gt;'Impact Indicator Target Update'!A388,"",INDIRECT("'Impact Indicators - Section B'!A"&amp;'Impact Indicator Target Update'!D388))</f>
        <v/>
      </c>
    </row>
    <row r="4382" spans="10:10">
      <c r="J4382" s="386" t="str">
        <f ca="1">IF(ROW()&gt;'Impact Indicator Target Update'!A389,"",INDIRECT("'Impact Indicators - Section B'!A"&amp;'Impact Indicator Target Update'!D389))</f>
        <v/>
      </c>
    </row>
    <row r="4383" spans="10:10">
      <c r="J4383" s="386" t="str">
        <f ca="1">IF(ROW()&gt;'Impact Indicator Target Update'!A390,"",INDIRECT("'Impact Indicators - Section B'!A"&amp;'Impact Indicator Target Update'!D390))</f>
        <v/>
      </c>
    </row>
    <row r="4384" spans="10:10">
      <c r="J4384" s="386" t="str">
        <f ca="1">IF(ROW()&gt;'Impact Indicator Target Update'!A391,"",INDIRECT("'Impact Indicators - Section B'!A"&amp;'Impact Indicator Target Update'!D391))</f>
        <v/>
      </c>
    </row>
    <row r="4385" spans="10:10">
      <c r="J4385" s="386" t="str">
        <f ca="1">IF(ROW()&gt;'Impact Indicator Target Update'!A392,"",INDIRECT("'Impact Indicators - Section B'!A"&amp;'Impact Indicator Target Update'!D392))</f>
        <v/>
      </c>
    </row>
    <row r="4386" spans="10:10">
      <c r="J4386" s="386" t="str">
        <f ca="1">IF(ROW()&gt;'Impact Indicator Target Update'!A393,"",INDIRECT("'Impact Indicators - Section B'!A"&amp;'Impact Indicator Target Update'!D393))</f>
        <v/>
      </c>
    </row>
    <row r="4387" spans="10:10">
      <c r="J4387" s="386" t="str">
        <f ca="1">IF(ROW()&gt;'Impact Indicator Target Update'!A394,"",INDIRECT("'Impact Indicators - Section B'!A"&amp;'Impact Indicator Target Update'!D394))</f>
        <v/>
      </c>
    </row>
    <row r="4388" spans="10:10">
      <c r="J4388" s="386" t="str">
        <f ca="1">IF(ROW()&gt;'Impact Indicator Target Update'!A395,"",INDIRECT("'Impact Indicators - Section B'!A"&amp;'Impact Indicator Target Update'!D395))</f>
        <v/>
      </c>
    </row>
    <row r="4389" spans="10:10">
      <c r="J4389" s="386" t="str">
        <f ca="1">IF(ROW()&gt;'Impact Indicator Target Update'!A396,"",INDIRECT("'Impact Indicators - Section B'!A"&amp;'Impact Indicator Target Update'!D396))</f>
        <v/>
      </c>
    </row>
    <row r="4390" spans="10:10">
      <c r="J4390" s="386" t="str">
        <f ca="1">IF(ROW()&gt;'Impact Indicator Target Update'!A397,"",INDIRECT("'Impact Indicators - Section B'!A"&amp;'Impact Indicator Target Update'!D397))</f>
        <v/>
      </c>
    </row>
    <row r="4391" spans="10:10">
      <c r="J4391" s="386" t="str">
        <f ca="1">IF(ROW()&gt;'Impact Indicator Target Update'!A398,"",INDIRECT("'Impact Indicators - Section B'!A"&amp;'Impact Indicator Target Update'!D398))</f>
        <v/>
      </c>
    </row>
    <row r="4392" spans="10:10">
      <c r="J4392" s="386" t="str">
        <f ca="1">IF(ROW()&gt;'Impact Indicator Target Update'!A399,"",INDIRECT("'Impact Indicators - Section B'!A"&amp;'Impact Indicator Target Update'!D399))</f>
        <v/>
      </c>
    </row>
    <row r="4393" spans="10:10">
      <c r="J4393" s="386" t="str">
        <f ca="1">IF(ROW()&gt;'Impact Indicator Target Update'!A400,"",INDIRECT("'Impact Indicators - Section B'!A"&amp;'Impact Indicator Target Update'!D400))</f>
        <v/>
      </c>
    </row>
    <row r="4394" spans="10:10">
      <c r="J4394" s="386" t="str">
        <f ca="1">IF(ROW()&gt;'Impact Indicator Target Update'!A401,"",INDIRECT("'Impact Indicators - Section B'!A"&amp;'Impact Indicator Target Update'!D401))</f>
        <v/>
      </c>
    </row>
    <row r="4395" spans="10:10">
      <c r="J4395" s="386" t="str">
        <f ca="1">IF(ROW()&gt;'Impact Indicator Target Update'!A402,"",INDIRECT("'Impact Indicators - Section B'!A"&amp;'Impact Indicator Target Update'!D402))</f>
        <v/>
      </c>
    </row>
    <row r="4396" spans="10:10">
      <c r="J4396" s="386" t="str">
        <f ca="1">IF(ROW()&gt;'Impact Indicator Target Update'!A403,"",INDIRECT("'Impact Indicators - Section B'!A"&amp;'Impact Indicator Target Update'!D403))</f>
        <v/>
      </c>
    </row>
    <row r="4397" spans="10:10">
      <c r="J4397" s="386" t="str">
        <f ca="1">IF(ROW()&gt;'Impact Indicator Target Update'!A404,"",INDIRECT("'Impact Indicators - Section B'!A"&amp;'Impact Indicator Target Update'!D404))</f>
        <v/>
      </c>
    </row>
    <row r="4398" spans="10:10">
      <c r="J4398" s="386" t="str">
        <f ca="1">IF(ROW()&gt;'Impact Indicator Target Update'!A405,"",INDIRECT("'Impact Indicators - Section B'!A"&amp;'Impact Indicator Target Update'!D405))</f>
        <v/>
      </c>
    </row>
    <row r="4399" spans="10:10">
      <c r="J4399" s="386" t="str">
        <f ca="1">IF(ROW()&gt;'Impact Indicator Target Update'!A406,"",INDIRECT("'Impact Indicators - Section B'!A"&amp;'Impact Indicator Target Update'!D406))</f>
        <v/>
      </c>
    </row>
    <row r="4400" spans="10:10">
      <c r="J4400" s="386" t="str">
        <f ca="1">IF(ROW()&gt;'Impact Indicator Target Update'!A407,"",INDIRECT("'Impact Indicators - Section B'!A"&amp;'Impact Indicator Target Update'!D407))</f>
        <v/>
      </c>
    </row>
    <row r="4401" spans="10:10">
      <c r="J4401" s="386" t="str">
        <f ca="1">IF(ROW()&gt;'Impact Indicator Target Update'!A408,"",INDIRECT("'Impact Indicators - Section B'!A"&amp;'Impact Indicator Target Update'!D408))</f>
        <v/>
      </c>
    </row>
    <row r="4402" spans="10:10">
      <c r="J4402" s="386" t="str">
        <f ca="1">IF(ROW()&gt;'Impact Indicator Target Update'!A409,"",INDIRECT("'Impact Indicators - Section B'!A"&amp;'Impact Indicator Target Update'!D409))</f>
        <v/>
      </c>
    </row>
    <row r="4403" spans="10:10">
      <c r="J4403" s="386" t="str">
        <f ca="1">IF(ROW()&gt;'Impact Indicator Target Update'!A410,"",INDIRECT("'Impact Indicators - Section B'!A"&amp;'Impact Indicator Target Update'!D410))</f>
        <v/>
      </c>
    </row>
    <row r="4404" spans="10:10">
      <c r="J4404" s="386" t="str">
        <f ca="1">IF(ROW()&gt;'Impact Indicator Target Update'!A411,"",INDIRECT("'Impact Indicators - Section B'!A"&amp;'Impact Indicator Target Update'!D411))</f>
        <v/>
      </c>
    </row>
    <row r="4405" spans="10:10">
      <c r="J4405" s="386" t="str">
        <f ca="1">IF(ROW()&gt;'Impact Indicator Target Update'!A412,"",INDIRECT("'Impact Indicators - Section B'!A"&amp;'Impact Indicator Target Update'!D412))</f>
        <v/>
      </c>
    </row>
    <row r="4406" spans="10:10">
      <c r="J4406" s="386" t="str">
        <f ca="1">IF(ROW()&gt;'Impact Indicator Target Update'!A413,"",INDIRECT("'Impact Indicators - Section B'!A"&amp;'Impact Indicator Target Update'!D413))</f>
        <v/>
      </c>
    </row>
    <row r="4407" spans="10:10">
      <c r="J4407" s="386" t="str">
        <f ca="1">IF(ROW()&gt;'Impact Indicator Target Update'!A414,"",INDIRECT("'Impact Indicators - Section B'!A"&amp;'Impact Indicator Target Update'!D414))</f>
        <v/>
      </c>
    </row>
    <row r="4408" spans="10:10">
      <c r="J4408" s="386" t="str">
        <f ca="1">IF(ROW()&gt;'Impact Indicator Target Update'!A415,"",INDIRECT("'Impact Indicators - Section B'!A"&amp;'Impact Indicator Target Update'!D415))</f>
        <v/>
      </c>
    </row>
    <row r="4409" spans="10:10">
      <c r="J4409" s="386" t="str">
        <f ca="1">IF(ROW()&gt;'Impact Indicator Target Update'!A416,"",INDIRECT("'Impact Indicators - Section B'!A"&amp;'Impact Indicator Target Update'!D416))</f>
        <v/>
      </c>
    </row>
    <row r="4410" spans="10:10">
      <c r="J4410" s="386" t="str">
        <f ca="1">IF(ROW()&gt;'Impact Indicator Target Update'!A417,"",INDIRECT("'Impact Indicators - Section B'!A"&amp;'Impact Indicator Target Update'!D417))</f>
        <v/>
      </c>
    </row>
    <row r="4411" spans="10:10">
      <c r="J4411" s="386" t="str">
        <f ca="1">IF(ROW()&gt;'Impact Indicator Target Update'!A418,"",INDIRECT("'Impact Indicators - Section B'!A"&amp;'Impact Indicator Target Update'!D418))</f>
        <v/>
      </c>
    </row>
    <row r="4412" spans="10:10">
      <c r="J4412" s="386" t="str">
        <f ca="1">IF(ROW()&gt;'Impact Indicator Target Update'!A419,"",INDIRECT("'Impact Indicators - Section B'!A"&amp;'Impact Indicator Target Update'!D419))</f>
        <v/>
      </c>
    </row>
    <row r="4413" spans="10:10">
      <c r="J4413" s="386" t="str">
        <f ca="1">IF(ROW()&gt;'Impact Indicator Target Update'!A420,"",INDIRECT("'Impact Indicators - Section B'!A"&amp;'Impact Indicator Target Update'!D420))</f>
        <v/>
      </c>
    </row>
    <row r="4414" spans="10:10">
      <c r="J4414" s="386" t="str">
        <f ca="1">IF(ROW()&gt;'Impact Indicator Target Update'!A421,"",INDIRECT("'Impact Indicators - Section B'!A"&amp;'Impact Indicator Target Update'!D421))</f>
        <v/>
      </c>
    </row>
    <row r="4415" spans="10:10">
      <c r="J4415" s="386" t="str">
        <f ca="1">IF(ROW()&gt;'Impact Indicator Target Update'!A422,"",INDIRECT("'Impact Indicators - Section B'!A"&amp;'Impact Indicator Target Update'!D422))</f>
        <v/>
      </c>
    </row>
    <row r="4416" spans="10:10">
      <c r="J4416" s="386" t="str">
        <f ca="1">IF(ROW()&gt;'Impact Indicator Target Update'!A423,"",INDIRECT("'Impact Indicators - Section B'!A"&amp;'Impact Indicator Target Update'!D423))</f>
        <v/>
      </c>
    </row>
    <row r="4417" spans="10:10">
      <c r="J4417" s="386" t="str">
        <f ca="1">IF(ROW()&gt;'Impact Indicator Target Update'!A424,"",INDIRECT("'Impact Indicators - Section B'!A"&amp;'Impact Indicator Target Update'!D424))</f>
        <v/>
      </c>
    </row>
    <row r="4418" spans="10:10">
      <c r="J4418" s="386" t="str">
        <f ca="1">IF(ROW()&gt;'Impact Indicator Target Update'!A425,"",INDIRECT("'Impact Indicators - Section B'!A"&amp;'Impact Indicator Target Update'!D425))</f>
        <v/>
      </c>
    </row>
    <row r="4419" spans="10:10">
      <c r="J4419" s="386" t="str">
        <f ca="1">IF(ROW()&gt;'Impact Indicator Target Update'!A426,"",INDIRECT("'Impact Indicators - Section B'!A"&amp;'Impact Indicator Target Update'!D426))</f>
        <v/>
      </c>
    </row>
    <row r="4420" spans="10:10">
      <c r="J4420" s="386" t="str">
        <f ca="1">IF(ROW()&gt;'Impact Indicator Target Update'!A427,"",INDIRECT("'Impact Indicators - Section B'!A"&amp;'Impact Indicator Target Update'!D427))</f>
        <v/>
      </c>
    </row>
    <row r="4421" spans="10:10">
      <c r="J4421" s="386" t="str">
        <f ca="1">IF(ROW()&gt;'Impact Indicator Target Update'!A428,"",INDIRECT("'Impact Indicators - Section B'!A"&amp;'Impact Indicator Target Update'!D428))</f>
        <v/>
      </c>
    </row>
    <row r="4422" spans="10:10">
      <c r="J4422" s="386" t="str">
        <f ca="1">IF(ROW()&gt;'Impact Indicator Target Update'!A429,"",INDIRECT("'Impact Indicators - Section B'!A"&amp;'Impact Indicator Target Update'!D429))</f>
        <v/>
      </c>
    </row>
    <row r="4423" spans="10:10">
      <c r="J4423" s="386" t="str">
        <f ca="1">IF(ROW()&gt;'Impact Indicator Target Update'!A430,"",INDIRECT("'Impact Indicators - Section B'!A"&amp;'Impact Indicator Target Update'!D430))</f>
        <v/>
      </c>
    </row>
    <row r="4424" spans="10:10">
      <c r="J4424" s="386" t="str">
        <f ca="1">IF(ROW()&gt;'Impact Indicator Target Update'!A431,"",INDIRECT("'Impact Indicators - Section B'!A"&amp;'Impact Indicator Target Update'!D431))</f>
        <v/>
      </c>
    </row>
    <row r="4425" spans="10:10">
      <c r="J4425" s="386" t="str">
        <f ca="1">IF(ROW()&gt;'Impact Indicator Target Update'!A432,"",INDIRECT("'Impact Indicators - Section B'!A"&amp;'Impact Indicator Target Update'!D432))</f>
        <v/>
      </c>
    </row>
    <row r="4426" spans="10:10">
      <c r="J4426" s="386" t="str">
        <f ca="1">IF(ROW()&gt;'Impact Indicator Target Update'!A433,"",INDIRECT("'Impact Indicators - Section B'!A"&amp;'Impact Indicator Target Update'!D433))</f>
        <v/>
      </c>
    </row>
    <row r="4427" spans="10:10">
      <c r="J4427" s="386" t="str">
        <f ca="1">IF(ROW()&gt;'Impact Indicator Target Update'!A434,"",INDIRECT("'Impact Indicators - Section B'!A"&amp;'Impact Indicator Target Update'!D434))</f>
        <v/>
      </c>
    </row>
    <row r="4428" spans="10:10">
      <c r="J4428" s="386" t="str">
        <f ca="1">IF(ROW()&gt;'Impact Indicator Target Update'!A435,"",INDIRECT("'Impact Indicators - Section B'!A"&amp;'Impact Indicator Target Update'!D435))</f>
        <v/>
      </c>
    </row>
    <row r="4429" spans="10:10">
      <c r="J4429" s="386" t="str">
        <f ca="1">IF(ROW()&gt;'Impact Indicator Target Update'!A436,"",INDIRECT("'Impact Indicators - Section B'!A"&amp;'Impact Indicator Target Update'!D436))</f>
        <v/>
      </c>
    </row>
    <row r="4430" spans="10:10">
      <c r="J4430" s="386" t="str">
        <f ca="1">IF(ROW()&gt;'Impact Indicator Target Update'!A437,"",INDIRECT("'Impact Indicators - Section B'!A"&amp;'Impact Indicator Target Update'!D437))</f>
        <v/>
      </c>
    </row>
    <row r="4431" spans="10:10">
      <c r="J4431" s="386" t="str">
        <f ca="1">IF(ROW()&gt;'Impact Indicator Target Update'!A438,"",INDIRECT("'Impact Indicators - Section B'!A"&amp;'Impact Indicator Target Update'!D438))</f>
        <v/>
      </c>
    </row>
    <row r="4432" spans="10:10">
      <c r="J4432" s="386" t="str">
        <f ca="1">IF(ROW()&gt;'Impact Indicator Target Update'!A439,"",INDIRECT("'Impact Indicators - Section B'!A"&amp;'Impact Indicator Target Update'!D439))</f>
        <v/>
      </c>
    </row>
    <row r="4433" spans="10:10">
      <c r="J4433" s="386" t="str">
        <f ca="1">IF(ROW()&gt;'Impact Indicator Target Update'!A440,"",INDIRECT("'Impact Indicators - Section B'!A"&amp;'Impact Indicator Target Update'!D440))</f>
        <v/>
      </c>
    </row>
    <row r="4434" spans="10:10">
      <c r="J4434" s="386" t="str">
        <f ca="1">IF(ROW()&gt;'Impact Indicator Target Update'!A441,"",INDIRECT("'Impact Indicators - Section B'!A"&amp;'Impact Indicator Target Update'!D441))</f>
        <v/>
      </c>
    </row>
    <row r="4435" spans="10:10">
      <c r="J4435" s="386" t="str">
        <f ca="1">IF(ROW()&gt;'Impact Indicator Target Update'!A442,"",INDIRECT("'Impact Indicators - Section B'!A"&amp;'Impact Indicator Target Update'!D442))</f>
        <v/>
      </c>
    </row>
    <row r="4436" spans="10:10">
      <c r="J4436" s="386" t="str">
        <f ca="1">IF(ROW()&gt;'Impact Indicator Target Update'!A443,"",INDIRECT("'Impact Indicators - Section B'!A"&amp;'Impact Indicator Target Update'!D443))</f>
        <v/>
      </c>
    </row>
    <row r="4437" spans="10:10">
      <c r="J4437" s="386" t="str">
        <f ca="1">IF(ROW()&gt;'Impact Indicator Target Update'!A444,"",INDIRECT("'Impact Indicators - Section B'!A"&amp;'Impact Indicator Target Update'!D444))</f>
        <v/>
      </c>
    </row>
    <row r="4438" spans="10:10">
      <c r="J4438" s="386" t="str">
        <f ca="1">IF(ROW()&gt;'Impact Indicator Target Update'!A445,"",INDIRECT("'Impact Indicators - Section B'!A"&amp;'Impact Indicator Target Update'!D445))</f>
        <v/>
      </c>
    </row>
    <row r="4439" spans="10:10">
      <c r="J4439" s="386" t="str">
        <f ca="1">IF(ROW()&gt;'Impact Indicator Target Update'!A446,"",INDIRECT("'Impact Indicators - Section B'!A"&amp;'Impact Indicator Target Update'!D446))</f>
        <v/>
      </c>
    </row>
    <row r="4440" spans="10:10">
      <c r="J4440" s="386" t="str">
        <f ca="1">IF(ROW()&gt;'Impact Indicator Target Update'!A447,"",INDIRECT("'Impact Indicators - Section B'!A"&amp;'Impact Indicator Target Update'!D447))</f>
        <v/>
      </c>
    </row>
    <row r="4441" spans="10:10">
      <c r="J4441" s="386" t="str">
        <f ca="1">IF(ROW()&gt;'Impact Indicator Target Update'!A448,"",INDIRECT("'Impact Indicators - Section B'!A"&amp;'Impact Indicator Target Update'!D448))</f>
        <v/>
      </c>
    </row>
    <row r="4442" spans="10:10">
      <c r="J4442" s="386" t="str">
        <f ca="1">IF(ROW()&gt;'Impact Indicator Target Update'!A449,"",INDIRECT("'Impact Indicators - Section B'!A"&amp;'Impact Indicator Target Update'!D449))</f>
        <v/>
      </c>
    </row>
    <row r="4443" spans="10:10">
      <c r="J4443" s="386" t="str">
        <f ca="1">IF(ROW()&gt;'Impact Indicator Target Update'!A450,"",INDIRECT("'Impact Indicators - Section B'!A"&amp;'Impact Indicator Target Update'!D450))</f>
        <v/>
      </c>
    </row>
    <row r="4444" spans="10:10">
      <c r="J4444" s="386" t="str">
        <f ca="1">IF(ROW()&gt;'Impact Indicator Target Update'!A451,"",INDIRECT("'Impact Indicators - Section B'!A"&amp;'Impact Indicator Target Update'!D451))</f>
        <v/>
      </c>
    </row>
    <row r="4445" spans="10:10">
      <c r="J4445" s="386" t="str">
        <f ca="1">IF(ROW()&gt;'Impact Indicator Target Update'!A452,"",INDIRECT("'Impact Indicators - Section B'!A"&amp;'Impact Indicator Target Update'!D452))</f>
        <v/>
      </c>
    </row>
    <row r="4446" spans="10:10">
      <c r="J4446" s="386" t="str">
        <f ca="1">IF(ROW()&gt;'Impact Indicator Target Update'!A453,"",INDIRECT("'Impact Indicators - Section B'!A"&amp;'Impact Indicator Target Update'!D453))</f>
        <v/>
      </c>
    </row>
    <row r="4447" spans="10:10">
      <c r="J4447" s="386" t="str">
        <f ca="1">IF(ROW()&gt;'Impact Indicator Target Update'!A454,"",INDIRECT("'Impact Indicators - Section B'!A"&amp;'Impact Indicator Target Update'!D454))</f>
        <v/>
      </c>
    </row>
    <row r="4448" spans="10:10">
      <c r="J4448" s="386" t="str">
        <f ca="1">IF(ROW()&gt;'Impact Indicator Target Update'!A455,"",INDIRECT("'Impact Indicators - Section B'!A"&amp;'Impact Indicator Target Update'!D455))</f>
        <v/>
      </c>
    </row>
    <row r="4449" spans="10:10">
      <c r="J4449" s="386" t="str">
        <f ca="1">IF(ROW()&gt;'Impact Indicator Target Update'!A456,"",INDIRECT("'Impact Indicators - Section B'!A"&amp;'Impact Indicator Target Update'!D456))</f>
        <v/>
      </c>
    </row>
    <row r="4450" spans="10:10">
      <c r="J4450" s="386" t="str">
        <f ca="1">IF(ROW()&gt;'Impact Indicator Target Update'!A457,"",INDIRECT("'Impact Indicators - Section B'!A"&amp;'Impact Indicator Target Update'!D457))</f>
        <v/>
      </c>
    </row>
    <row r="4451" spans="10:10">
      <c r="J4451" s="386" t="str">
        <f ca="1">IF(ROW()&gt;'Impact Indicator Target Update'!A458,"",INDIRECT("'Impact Indicators - Section B'!A"&amp;'Impact Indicator Target Update'!D458))</f>
        <v/>
      </c>
    </row>
    <row r="4452" spans="10:10">
      <c r="J4452" s="386" t="str">
        <f ca="1">IF(ROW()&gt;'Impact Indicator Target Update'!A459,"",INDIRECT("'Impact Indicators - Section B'!A"&amp;'Impact Indicator Target Update'!D459))</f>
        <v/>
      </c>
    </row>
    <row r="4453" spans="10:10">
      <c r="J4453" s="386" t="str">
        <f ca="1">IF(ROW()&gt;'Impact Indicator Target Update'!A460,"",INDIRECT("'Impact Indicators - Section B'!A"&amp;'Impact Indicator Target Update'!D460))</f>
        <v/>
      </c>
    </row>
    <row r="4454" spans="10:10">
      <c r="J4454" s="386" t="str">
        <f ca="1">IF(ROW()&gt;'Impact Indicator Target Update'!A461,"",INDIRECT("'Impact Indicators - Section B'!A"&amp;'Impact Indicator Target Update'!D461))</f>
        <v/>
      </c>
    </row>
    <row r="4455" spans="10:10">
      <c r="J4455" s="386" t="str">
        <f ca="1">IF(ROW()&gt;'Impact Indicator Target Update'!A462,"",INDIRECT("'Impact Indicators - Section B'!A"&amp;'Impact Indicator Target Update'!D462))</f>
        <v/>
      </c>
    </row>
    <row r="4456" spans="10:10">
      <c r="J4456" s="386" t="str">
        <f ca="1">IF(ROW()&gt;'Impact Indicator Target Update'!A463,"",INDIRECT("'Impact Indicators - Section B'!A"&amp;'Impact Indicator Target Update'!D463))</f>
        <v/>
      </c>
    </row>
    <row r="4457" spans="10:10">
      <c r="J4457" s="386" t="str">
        <f ca="1">IF(ROW()&gt;'Impact Indicator Target Update'!A464,"",INDIRECT("'Impact Indicators - Section B'!A"&amp;'Impact Indicator Target Update'!D464))</f>
        <v/>
      </c>
    </row>
    <row r="4458" spans="10:10">
      <c r="J4458" s="386" t="str">
        <f ca="1">IF(ROW()&gt;'Impact Indicator Target Update'!A465,"",INDIRECT("'Impact Indicators - Section B'!A"&amp;'Impact Indicator Target Update'!D465))</f>
        <v/>
      </c>
    </row>
    <row r="4459" spans="10:10">
      <c r="J4459" s="386" t="str">
        <f ca="1">IF(ROW()&gt;'Impact Indicator Target Update'!A466,"",INDIRECT("'Impact Indicators - Section B'!A"&amp;'Impact Indicator Target Update'!D466))</f>
        <v/>
      </c>
    </row>
    <row r="4460" spans="10:10">
      <c r="J4460" s="386" t="str">
        <f ca="1">IF(ROW()&gt;'Impact Indicator Target Update'!A467,"",INDIRECT("'Impact Indicators - Section B'!A"&amp;'Impact Indicator Target Update'!D467))</f>
        <v/>
      </c>
    </row>
    <row r="4461" spans="10:10">
      <c r="J4461" s="386" t="str">
        <f ca="1">IF(ROW()&gt;'Impact Indicator Target Update'!A468,"",INDIRECT("'Impact Indicators - Section B'!A"&amp;'Impact Indicator Target Update'!D468))</f>
        <v/>
      </c>
    </row>
    <row r="4462" spans="10:10">
      <c r="J4462" s="386" t="str">
        <f ca="1">IF(ROW()&gt;'Impact Indicator Target Update'!A469,"",INDIRECT("'Impact Indicators - Section B'!A"&amp;'Impact Indicator Target Update'!D469))</f>
        <v/>
      </c>
    </row>
    <row r="4463" spans="10:10">
      <c r="J4463" s="386" t="str">
        <f ca="1">IF(ROW()&gt;'Impact Indicator Target Update'!A470,"",INDIRECT("'Impact Indicators - Section B'!A"&amp;'Impact Indicator Target Update'!D470))</f>
        <v/>
      </c>
    </row>
    <row r="4464" spans="10:10">
      <c r="J4464" s="386" t="str">
        <f ca="1">IF(ROW()&gt;'Impact Indicator Target Update'!A471,"",INDIRECT("'Impact Indicators - Section B'!A"&amp;'Impact Indicator Target Update'!D471))</f>
        <v/>
      </c>
    </row>
    <row r="4465" spans="10:10">
      <c r="J4465" s="386" t="str">
        <f ca="1">IF(ROW()&gt;'Impact Indicator Target Update'!A472,"",INDIRECT("'Impact Indicators - Section B'!A"&amp;'Impact Indicator Target Update'!D472))</f>
        <v/>
      </c>
    </row>
    <row r="4466" spans="10:10">
      <c r="J4466" s="386" t="str">
        <f ca="1">IF(ROW()&gt;'Impact Indicator Target Update'!A473,"",INDIRECT("'Impact Indicators - Section B'!A"&amp;'Impact Indicator Target Update'!D473))</f>
        <v/>
      </c>
    </row>
    <row r="4467" spans="10:10">
      <c r="J4467" s="386" t="str">
        <f ca="1">IF(ROW()&gt;'Impact Indicator Target Update'!A474,"",INDIRECT("'Impact Indicators - Section B'!A"&amp;'Impact Indicator Target Update'!D474))</f>
        <v/>
      </c>
    </row>
    <row r="4468" spans="10:10">
      <c r="J4468" s="386" t="str">
        <f ca="1">IF(ROW()&gt;'Impact Indicator Target Update'!A475,"",INDIRECT("'Impact Indicators - Section B'!A"&amp;'Impact Indicator Target Update'!D475))</f>
        <v/>
      </c>
    </row>
    <row r="4469" spans="10:10">
      <c r="J4469" s="386" t="str">
        <f ca="1">IF(ROW()&gt;'Impact Indicator Target Update'!A476,"",INDIRECT("'Impact Indicators - Section B'!A"&amp;'Impact Indicator Target Update'!D476))</f>
        <v/>
      </c>
    </row>
    <row r="4470" spans="10:10">
      <c r="J4470" s="386" t="str">
        <f ca="1">IF(ROW()&gt;'Impact Indicator Target Update'!A477,"",INDIRECT("'Impact Indicators - Section B'!A"&amp;'Impact Indicator Target Update'!D477))</f>
        <v/>
      </c>
    </row>
    <row r="4471" spans="10:10">
      <c r="J4471" s="386" t="str">
        <f ca="1">IF(ROW()&gt;'Impact Indicator Target Update'!A478,"",INDIRECT("'Impact Indicators - Section B'!A"&amp;'Impact Indicator Target Update'!D478))</f>
        <v/>
      </c>
    </row>
    <row r="4472" spans="10:10">
      <c r="J4472" s="386" t="str">
        <f ca="1">IF(ROW()&gt;'Impact Indicator Target Update'!A479,"",INDIRECT("'Impact Indicators - Section B'!A"&amp;'Impact Indicator Target Update'!D479))</f>
        <v/>
      </c>
    </row>
    <row r="4473" spans="10:10">
      <c r="J4473" s="386" t="str">
        <f ca="1">IF(ROW()&gt;'Impact Indicator Target Update'!A480,"",INDIRECT("'Impact Indicators - Section B'!A"&amp;'Impact Indicator Target Update'!D480))</f>
        <v/>
      </c>
    </row>
    <row r="4474" spans="10:10">
      <c r="J4474" s="386" t="str">
        <f ca="1">IF(ROW()&gt;'Impact Indicator Target Update'!A481,"",INDIRECT("'Impact Indicators - Section B'!A"&amp;'Impact Indicator Target Update'!D481))</f>
        <v/>
      </c>
    </row>
    <row r="4475" spans="10:10">
      <c r="J4475" s="386" t="str">
        <f ca="1">IF(ROW()&gt;'Impact Indicator Target Update'!A482,"",INDIRECT("'Impact Indicators - Section B'!A"&amp;'Impact Indicator Target Update'!D482))</f>
        <v/>
      </c>
    </row>
    <row r="4476" spans="10:10">
      <c r="J4476" s="386" t="str">
        <f ca="1">IF(ROW()&gt;'Impact Indicator Target Update'!A483,"",INDIRECT("'Impact Indicators - Section B'!A"&amp;'Impact Indicator Target Update'!D483))</f>
        <v/>
      </c>
    </row>
    <row r="4477" spans="10:10">
      <c r="J4477" s="386" t="str">
        <f ca="1">IF(ROW()&gt;'Impact Indicator Target Update'!A484,"",INDIRECT("'Impact Indicators - Section B'!A"&amp;'Impact Indicator Target Update'!D484))</f>
        <v/>
      </c>
    </row>
    <row r="4478" spans="10:10">
      <c r="J4478" s="386" t="str">
        <f ca="1">IF(ROW()&gt;'Impact Indicator Target Update'!A485,"",INDIRECT("'Impact Indicators - Section B'!A"&amp;'Impact Indicator Target Update'!D485))</f>
        <v/>
      </c>
    </row>
    <row r="4479" spans="10:10">
      <c r="J4479" s="386" t="str">
        <f ca="1">IF(ROW()&gt;'Impact Indicator Target Update'!A486,"",INDIRECT("'Impact Indicators - Section B'!A"&amp;'Impact Indicator Target Update'!D486))</f>
        <v/>
      </c>
    </row>
    <row r="4480" spans="10:10">
      <c r="J4480" s="386" t="str">
        <f ca="1">IF(ROW()&gt;'Impact Indicator Target Update'!A487,"",INDIRECT("'Impact Indicators - Section B'!A"&amp;'Impact Indicator Target Update'!D487))</f>
        <v/>
      </c>
    </row>
    <row r="4481" spans="10:10">
      <c r="J4481" s="386" t="str">
        <f ca="1">IF(ROW()&gt;'Impact Indicator Target Update'!A488,"",INDIRECT("'Impact Indicators - Section B'!A"&amp;'Impact Indicator Target Update'!D488))</f>
        <v/>
      </c>
    </row>
    <row r="4482" spans="10:10">
      <c r="J4482" s="386" t="str">
        <f ca="1">IF(ROW()&gt;'Impact Indicator Target Update'!A489,"",INDIRECT("'Impact Indicators - Section B'!A"&amp;'Impact Indicator Target Update'!D489))</f>
        <v/>
      </c>
    </row>
    <row r="4483" spans="10:10">
      <c r="J4483" s="386" t="str">
        <f ca="1">IF(ROW()&gt;'Impact Indicator Target Update'!A490,"",INDIRECT("'Impact Indicators - Section B'!A"&amp;'Impact Indicator Target Update'!D490))</f>
        <v/>
      </c>
    </row>
    <row r="4484" spans="10:10">
      <c r="J4484" s="386" t="str">
        <f ca="1">IF(ROW()&gt;'Impact Indicator Target Update'!A491,"",INDIRECT("'Impact Indicators - Section B'!A"&amp;'Impact Indicator Target Update'!D491))</f>
        <v/>
      </c>
    </row>
    <row r="4485" spans="10:10">
      <c r="J4485" s="386" t="str">
        <f ca="1">IF(ROW()&gt;'Impact Indicator Target Update'!A492,"",INDIRECT("'Impact Indicators - Section B'!A"&amp;'Impact Indicator Target Update'!D492))</f>
        <v/>
      </c>
    </row>
    <row r="4486" spans="10:10">
      <c r="J4486" s="386" t="str">
        <f ca="1">IF(ROW()&gt;'Impact Indicator Target Update'!A493,"",INDIRECT("'Impact Indicators - Section B'!A"&amp;'Impact Indicator Target Update'!D493))</f>
        <v/>
      </c>
    </row>
    <row r="4487" spans="10:10">
      <c r="J4487" s="386" t="str">
        <f ca="1">IF(ROW()&gt;'Impact Indicator Target Update'!A494,"",INDIRECT("'Impact Indicators - Section B'!A"&amp;'Impact Indicator Target Update'!D494))</f>
        <v/>
      </c>
    </row>
    <row r="4488" spans="10:10">
      <c r="J4488" s="386" t="str">
        <f ca="1">IF(ROW()&gt;'Impact Indicator Target Update'!A495,"",INDIRECT("'Impact Indicators - Section B'!A"&amp;'Impact Indicator Target Update'!D495))</f>
        <v/>
      </c>
    </row>
    <row r="4489" spans="10:10">
      <c r="J4489" s="386" t="str">
        <f ca="1">IF(ROW()&gt;'Impact Indicator Target Update'!A496,"",INDIRECT("'Impact Indicators - Section B'!A"&amp;'Impact Indicator Target Update'!D496))</f>
        <v/>
      </c>
    </row>
    <row r="4490" spans="10:10">
      <c r="J4490" s="386" t="str">
        <f ca="1">IF(ROW()&gt;'Impact Indicator Target Update'!A497,"",INDIRECT("'Impact Indicators - Section B'!A"&amp;'Impact Indicator Target Update'!D497))</f>
        <v/>
      </c>
    </row>
    <row r="4491" spans="10:10">
      <c r="J4491" s="386" t="str">
        <f ca="1">IF(ROW()&gt;'Impact Indicator Target Update'!A498,"",INDIRECT("'Impact Indicators - Section B'!A"&amp;'Impact Indicator Target Update'!D498))</f>
        <v/>
      </c>
    </row>
    <row r="4492" spans="10:10">
      <c r="J4492" s="386" t="str">
        <f ca="1">IF(ROW()&gt;'Impact Indicator Target Update'!A499,"",INDIRECT("'Impact Indicators - Section B'!A"&amp;'Impact Indicator Target Update'!D499))</f>
        <v/>
      </c>
    </row>
    <row r="4493" spans="10:10">
      <c r="J4493" s="386" t="str">
        <f ca="1">IF(ROW()&gt;'Impact Indicator Target Update'!A500,"",INDIRECT("'Impact Indicators - Section B'!A"&amp;'Impact Indicator Target Update'!D500))</f>
        <v/>
      </c>
    </row>
    <row r="4494" spans="10:10">
      <c r="J4494" s="386" t="str">
        <f ca="1">IF(ROW()&gt;'Impact Indicator Target Update'!A501,"",INDIRECT("'Impact Indicators - Section B'!A"&amp;'Impact Indicator Target Update'!D501))</f>
        <v/>
      </c>
    </row>
    <row r="4495" spans="10:10">
      <c r="J4495" s="386" t="str">
        <f ca="1">IF(ROW()&gt;'Impact Indicator Target Update'!A502,"",INDIRECT("'Impact Indicators - Section B'!A"&amp;'Impact Indicator Target Update'!D502))</f>
        <v/>
      </c>
    </row>
    <row r="4496" spans="10:10">
      <c r="J4496" s="386" t="str">
        <f ca="1">IF(ROW()&gt;'Impact Indicator Target Update'!A503,"",INDIRECT("'Impact Indicators - Section B'!A"&amp;'Impact Indicator Target Update'!D503))</f>
        <v/>
      </c>
    </row>
    <row r="4497" spans="10:10">
      <c r="J4497" s="386" t="str">
        <f ca="1">IF(ROW()&gt;'Impact Indicator Target Update'!A504,"",INDIRECT("'Impact Indicators - Section B'!A"&amp;'Impact Indicator Target Update'!D504))</f>
        <v/>
      </c>
    </row>
    <row r="4498" spans="10:10">
      <c r="J4498" s="386" t="str">
        <f ca="1">IF(ROW()&gt;'Impact Indicator Target Update'!A505,"",INDIRECT("'Impact Indicators - Section B'!A"&amp;'Impact Indicator Target Update'!D505))</f>
        <v/>
      </c>
    </row>
    <row r="4499" spans="10:10">
      <c r="J4499" s="386" t="str">
        <f ca="1">IF(ROW()&gt;'Impact Indicator Target Update'!A506,"",INDIRECT("'Impact Indicators - Section B'!A"&amp;'Impact Indicator Target Update'!D506))</f>
        <v/>
      </c>
    </row>
    <row r="4500" spans="10:10">
      <c r="J4500" s="386" t="str">
        <f ca="1">IF(ROW()&gt;'Impact Indicator Target Update'!A507,"",INDIRECT("'Impact Indicators - Section B'!A"&amp;'Impact Indicator Target Update'!D507))</f>
        <v/>
      </c>
    </row>
    <row r="4501" spans="10:10">
      <c r="J4501" s="386" t="str">
        <f ca="1">IF(ROW()&gt;'Impact Indicator Target Update'!A508,"",INDIRECT("'Impact Indicators - Section B'!A"&amp;'Impact Indicator Target Update'!D508))</f>
        <v/>
      </c>
    </row>
    <row r="4502" spans="10:10">
      <c r="J4502" s="386" t="str">
        <f ca="1">IF(ROW()&gt;'Impact Indicator Target Update'!A509,"",INDIRECT("'Impact Indicators - Section B'!A"&amp;'Impact Indicator Target Update'!D509))</f>
        <v/>
      </c>
    </row>
    <row r="4503" spans="10:10">
      <c r="J4503" s="386" t="str">
        <f ca="1">IF(ROW()&gt;'Impact Indicator Target Update'!A510,"",INDIRECT("'Impact Indicators - Section B'!A"&amp;'Impact Indicator Target Update'!D510))</f>
        <v/>
      </c>
    </row>
    <row r="4504" spans="10:10">
      <c r="J4504" s="386" t="str">
        <f ca="1">IF(ROW()&gt;'Impact Indicator Target Update'!A511,"",INDIRECT("'Impact Indicators - Section B'!A"&amp;'Impact Indicator Target Update'!D511))</f>
        <v/>
      </c>
    </row>
    <row r="4505" spans="10:10">
      <c r="J4505" s="386" t="str">
        <f ca="1">IF(ROW()&gt;'Impact Indicator Target Update'!A512,"",INDIRECT("'Impact Indicators - Section B'!A"&amp;'Impact Indicator Target Update'!D512))</f>
        <v/>
      </c>
    </row>
    <row r="4506" spans="10:10">
      <c r="J4506" s="386" t="str">
        <f ca="1">IF(ROW()&gt;'Impact Indicator Target Update'!A513,"",INDIRECT("'Impact Indicators - Section B'!A"&amp;'Impact Indicator Target Update'!D513))</f>
        <v/>
      </c>
    </row>
    <row r="4507" spans="10:10">
      <c r="J4507" s="386" t="str">
        <f ca="1">IF(ROW()&gt;'Impact Indicator Target Update'!A514,"",INDIRECT("'Impact Indicators - Section B'!A"&amp;'Impact Indicator Target Update'!D514))</f>
        <v/>
      </c>
    </row>
    <row r="4508" spans="10:10">
      <c r="J4508" s="386" t="str">
        <f ca="1">IF(ROW()&gt;'Impact Indicator Target Update'!A515,"",INDIRECT("'Impact Indicators - Section B'!A"&amp;'Impact Indicator Target Update'!D515))</f>
        <v/>
      </c>
    </row>
    <row r="4509" spans="10:10">
      <c r="J4509" s="386" t="str">
        <f ca="1">IF(ROW()&gt;'Impact Indicator Target Update'!A516,"",INDIRECT("'Impact Indicators - Section B'!A"&amp;'Impact Indicator Target Update'!D516))</f>
        <v/>
      </c>
    </row>
    <row r="4510" spans="10:10">
      <c r="J4510" s="386" t="str">
        <f ca="1">IF(ROW()&gt;'Impact Indicator Target Update'!A517,"",INDIRECT("'Impact Indicators - Section B'!A"&amp;'Impact Indicator Target Update'!D517))</f>
        <v/>
      </c>
    </row>
    <row r="4511" spans="10:10">
      <c r="J4511" s="386" t="str">
        <f ca="1">IF(ROW()&gt;'Impact Indicator Target Update'!A518,"",INDIRECT("'Impact Indicators - Section B'!A"&amp;'Impact Indicator Target Update'!D518))</f>
        <v/>
      </c>
    </row>
    <row r="4512" spans="10:10">
      <c r="J4512" s="386" t="str">
        <f ca="1">IF(ROW()&gt;'Impact Indicator Target Update'!A519,"",INDIRECT("'Impact Indicators - Section B'!A"&amp;'Impact Indicator Target Update'!D519))</f>
        <v/>
      </c>
    </row>
    <row r="4513" spans="10:10">
      <c r="J4513" s="386" t="str">
        <f ca="1">IF(ROW()&gt;'Impact Indicator Target Update'!A520,"",INDIRECT("'Impact Indicators - Section B'!A"&amp;'Impact Indicator Target Update'!D520))</f>
        <v/>
      </c>
    </row>
    <row r="4514" spans="10:10">
      <c r="J4514" s="386" t="str">
        <f ca="1">IF(ROW()&gt;'Impact Indicator Target Update'!A521,"",INDIRECT("'Impact Indicators - Section B'!A"&amp;'Impact Indicator Target Update'!D521))</f>
        <v/>
      </c>
    </row>
    <row r="4515" spans="10:10">
      <c r="J4515" s="386" t="str">
        <f ca="1">IF(ROW()&gt;'Impact Indicator Target Update'!A522,"",INDIRECT("'Impact Indicators - Section B'!A"&amp;'Impact Indicator Target Update'!D522))</f>
        <v/>
      </c>
    </row>
    <row r="4516" spans="10:10">
      <c r="J4516" s="386" t="str">
        <f ca="1">IF(ROW()&gt;'Impact Indicator Target Update'!A523,"",INDIRECT("'Impact Indicators - Section B'!A"&amp;'Impact Indicator Target Update'!D523))</f>
        <v/>
      </c>
    </row>
    <row r="4517" spans="10:10">
      <c r="J4517" s="386" t="str">
        <f ca="1">IF(ROW()&gt;'Impact Indicator Target Update'!A524,"",INDIRECT("'Impact Indicators - Section B'!A"&amp;'Impact Indicator Target Update'!D524))</f>
        <v/>
      </c>
    </row>
    <row r="4518" spans="10:10">
      <c r="J4518" s="386" t="str">
        <f ca="1">IF(ROW()&gt;'Impact Indicator Target Update'!A525,"",INDIRECT("'Impact Indicators - Section B'!A"&amp;'Impact Indicator Target Update'!D525))</f>
        <v/>
      </c>
    </row>
    <row r="4519" spans="10:10">
      <c r="J4519" s="386" t="str">
        <f ca="1">IF(ROW()&gt;'Impact Indicator Target Update'!A526,"",INDIRECT("'Impact Indicators - Section B'!A"&amp;'Impact Indicator Target Update'!D526))</f>
        <v/>
      </c>
    </row>
    <row r="4520" spans="10:10">
      <c r="J4520" s="386" t="str">
        <f ca="1">IF(ROW()&gt;'Impact Indicator Target Update'!A527,"",INDIRECT("'Impact Indicators - Section B'!A"&amp;'Impact Indicator Target Update'!D527))</f>
        <v/>
      </c>
    </row>
    <row r="4521" spans="10:10">
      <c r="J4521" s="386" t="str">
        <f ca="1">IF(ROW()&gt;'Impact Indicator Target Update'!A528,"",INDIRECT("'Impact Indicators - Section B'!A"&amp;'Impact Indicator Target Update'!D528))</f>
        <v/>
      </c>
    </row>
    <row r="4522" spans="10:10">
      <c r="J4522" s="386" t="str">
        <f ca="1">IF(ROW()&gt;'Impact Indicator Target Update'!A529,"",INDIRECT("'Impact Indicators - Section B'!A"&amp;'Impact Indicator Target Update'!D529))</f>
        <v/>
      </c>
    </row>
    <row r="4523" spans="10:10">
      <c r="J4523" s="386" t="str">
        <f ca="1">IF(ROW()&gt;'Impact Indicator Target Update'!A530,"",INDIRECT("'Impact Indicators - Section B'!A"&amp;'Impact Indicator Target Update'!D530))</f>
        <v/>
      </c>
    </row>
    <row r="4524" spans="10:10">
      <c r="J4524" s="386" t="str">
        <f ca="1">IF(ROW()&gt;'Impact Indicator Target Update'!A531,"",INDIRECT("'Impact Indicators - Section B'!A"&amp;'Impact Indicator Target Update'!D531))</f>
        <v/>
      </c>
    </row>
    <row r="4525" spans="10:10">
      <c r="J4525" s="386" t="str">
        <f ca="1">IF(ROW()&gt;'Impact Indicator Target Update'!A532,"",INDIRECT("'Impact Indicators - Section B'!A"&amp;'Impact Indicator Target Update'!D532))</f>
        <v/>
      </c>
    </row>
    <row r="4526" spans="10:10">
      <c r="J4526" s="386" t="str">
        <f ca="1">IF(ROW()&gt;'Impact Indicator Target Update'!A533,"",INDIRECT("'Impact Indicators - Section B'!A"&amp;'Impact Indicator Target Update'!D533))</f>
        <v/>
      </c>
    </row>
    <row r="4527" spans="10:10">
      <c r="J4527" s="386" t="str">
        <f ca="1">IF(ROW()&gt;'Impact Indicator Target Update'!A534,"",INDIRECT("'Impact Indicators - Section B'!A"&amp;'Impact Indicator Target Update'!D534))</f>
        <v/>
      </c>
    </row>
    <row r="4528" spans="10:10">
      <c r="J4528" s="386" t="str">
        <f ca="1">IF(ROW()&gt;'Impact Indicator Target Update'!A535,"",INDIRECT("'Impact Indicators - Section B'!A"&amp;'Impact Indicator Target Update'!D535))</f>
        <v/>
      </c>
    </row>
    <row r="4529" spans="10:10">
      <c r="J4529" s="386" t="str">
        <f ca="1">IF(ROW()&gt;'Impact Indicator Target Update'!A536,"",INDIRECT("'Impact Indicators - Section B'!A"&amp;'Impact Indicator Target Update'!D536))</f>
        <v/>
      </c>
    </row>
    <row r="4530" spans="10:10">
      <c r="J4530" s="386" t="str">
        <f ca="1">IF(ROW()&gt;'Impact Indicator Target Update'!A537,"",INDIRECT("'Impact Indicators - Section B'!A"&amp;'Impact Indicator Target Update'!D537))</f>
        <v/>
      </c>
    </row>
    <row r="4531" spans="10:10">
      <c r="J4531" s="386" t="str">
        <f ca="1">IF(ROW()&gt;'Impact Indicator Target Update'!A538,"",INDIRECT("'Impact Indicators - Section B'!A"&amp;'Impact Indicator Target Update'!D538))</f>
        <v/>
      </c>
    </row>
    <row r="4532" spans="10:10">
      <c r="J4532" s="386" t="str">
        <f ca="1">IF(ROW()&gt;'Impact Indicator Target Update'!A539,"",INDIRECT("'Impact Indicators - Section B'!A"&amp;'Impact Indicator Target Update'!D539))</f>
        <v/>
      </c>
    </row>
    <row r="4533" spans="10:10">
      <c r="J4533" s="386" t="str">
        <f ca="1">IF(ROW()&gt;'Impact Indicator Target Update'!A540,"",INDIRECT("'Impact Indicators - Section B'!A"&amp;'Impact Indicator Target Update'!D540))</f>
        <v/>
      </c>
    </row>
    <row r="4534" spans="10:10">
      <c r="J4534" s="386" t="str">
        <f ca="1">IF(ROW()&gt;'Impact Indicator Target Update'!A541,"",INDIRECT("'Impact Indicators - Section B'!A"&amp;'Impact Indicator Target Update'!D541))</f>
        <v/>
      </c>
    </row>
    <row r="4535" spans="10:10">
      <c r="J4535" s="386" t="str">
        <f ca="1">IF(ROW()&gt;'Impact Indicator Target Update'!A542,"",INDIRECT("'Impact Indicators - Section B'!A"&amp;'Impact Indicator Target Update'!D542))</f>
        <v/>
      </c>
    </row>
    <row r="4536" spans="10:10">
      <c r="J4536" s="386" t="str">
        <f ca="1">IF(ROW()&gt;'Impact Indicator Target Update'!A543,"",INDIRECT("'Impact Indicators - Section B'!A"&amp;'Impact Indicator Target Update'!D543))</f>
        <v/>
      </c>
    </row>
    <row r="4537" spans="10:10">
      <c r="J4537" s="386" t="str">
        <f ca="1">IF(ROW()&gt;'Impact Indicator Target Update'!A544,"",INDIRECT("'Impact Indicators - Section B'!A"&amp;'Impact Indicator Target Update'!D544))</f>
        <v/>
      </c>
    </row>
    <row r="4538" spans="10:10">
      <c r="J4538" s="386" t="str">
        <f ca="1">IF(ROW()&gt;'Impact Indicator Target Update'!A545,"",INDIRECT("'Impact Indicators - Section B'!A"&amp;'Impact Indicator Target Update'!D545))</f>
        <v/>
      </c>
    </row>
    <row r="4539" spans="10:10">
      <c r="J4539" s="386" t="str">
        <f ca="1">IF(ROW()&gt;'Impact Indicator Target Update'!A546,"",INDIRECT("'Impact Indicators - Section B'!A"&amp;'Impact Indicator Target Update'!D546))</f>
        <v/>
      </c>
    </row>
    <row r="4540" spans="10:10">
      <c r="J4540" s="386" t="str">
        <f ca="1">IF(ROW()&gt;'Impact Indicator Target Update'!A547,"",INDIRECT("'Impact Indicators - Section B'!A"&amp;'Impact Indicator Target Update'!D547))</f>
        <v/>
      </c>
    </row>
    <row r="4541" spans="10:10">
      <c r="J4541" s="386" t="str">
        <f ca="1">IF(ROW()&gt;'Impact Indicator Target Update'!A548,"",INDIRECT("'Impact Indicators - Section B'!A"&amp;'Impact Indicator Target Update'!D548))</f>
        <v/>
      </c>
    </row>
    <row r="4542" spans="10:10">
      <c r="J4542" s="386" t="str">
        <f ca="1">IF(ROW()&gt;'Impact Indicator Target Update'!A549,"",INDIRECT("'Impact Indicators - Section B'!A"&amp;'Impact Indicator Target Update'!D549))</f>
        <v/>
      </c>
    </row>
    <row r="4543" spans="10:10">
      <c r="J4543" s="386" t="str">
        <f ca="1">IF(ROW()&gt;'Impact Indicator Target Update'!A550,"",INDIRECT("'Impact Indicators - Section B'!A"&amp;'Impact Indicator Target Update'!D550))</f>
        <v/>
      </c>
    </row>
    <row r="4544" spans="10:10">
      <c r="J4544" s="386" t="str">
        <f ca="1">IF(ROW()&gt;'Impact Indicator Target Update'!A551,"",INDIRECT("'Impact Indicators - Section B'!A"&amp;'Impact Indicator Target Update'!D551))</f>
        <v/>
      </c>
    </row>
    <row r="4545" spans="10:10">
      <c r="J4545" s="386" t="str">
        <f ca="1">IF(ROW()&gt;'Impact Indicator Target Update'!A552,"",INDIRECT("'Impact Indicators - Section B'!A"&amp;'Impact Indicator Target Update'!D552))</f>
        <v/>
      </c>
    </row>
    <row r="4546" spans="10:10">
      <c r="J4546" s="386" t="str">
        <f ca="1">IF(ROW()&gt;'Impact Indicator Target Update'!A553,"",INDIRECT("'Impact Indicators - Section B'!A"&amp;'Impact Indicator Target Update'!D553))</f>
        <v/>
      </c>
    </row>
    <row r="4547" spans="10:10">
      <c r="J4547" s="386" t="str">
        <f ca="1">IF(ROW()&gt;'Impact Indicator Target Update'!A554,"",INDIRECT("'Impact Indicators - Section B'!A"&amp;'Impact Indicator Target Update'!D554))</f>
        <v/>
      </c>
    </row>
    <row r="4548" spans="10:10">
      <c r="J4548" s="386" t="str">
        <f ca="1">IF(ROW()&gt;'Impact Indicator Target Update'!A555,"",INDIRECT("'Impact Indicators - Section B'!A"&amp;'Impact Indicator Target Update'!D555))</f>
        <v/>
      </c>
    </row>
    <row r="4549" spans="10:10">
      <c r="J4549" s="386" t="str">
        <f ca="1">IF(ROW()&gt;'Impact Indicator Target Update'!A556,"",INDIRECT("'Impact Indicators - Section B'!A"&amp;'Impact Indicator Target Update'!D556))</f>
        <v/>
      </c>
    </row>
    <row r="4550" spans="10:10">
      <c r="J4550" s="386" t="str">
        <f ca="1">IF(ROW()&gt;'Impact Indicator Target Update'!A557,"",INDIRECT("'Impact Indicators - Section B'!A"&amp;'Impact Indicator Target Update'!D557))</f>
        <v/>
      </c>
    </row>
    <row r="4551" spans="10:10">
      <c r="J4551" s="386" t="str">
        <f ca="1">IF(ROW()&gt;'Impact Indicator Target Update'!A558,"",INDIRECT("'Impact Indicators - Section B'!A"&amp;'Impact Indicator Target Update'!D558))</f>
        <v/>
      </c>
    </row>
    <row r="4552" spans="10:10">
      <c r="J4552" s="386" t="str">
        <f ca="1">IF(ROW()&gt;'Impact Indicator Target Update'!A559,"",INDIRECT("'Impact Indicators - Section B'!A"&amp;'Impact Indicator Target Update'!D559))</f>
        <v/>
      </c>
    </row>
    <row r="4553" spans="10:10">
      <c r="J4553" s="386" t="str">
        <f ca="1">IF(ROW()&gt;'Impact Indicator Target Update'!A560,"",INDIRECT("'Impact Indicators - Section B'!A"&amp;'Impact Indicator Target Update'!D560))</f>
        <v/>
      </c>
    </row>
    <row r="4554" spans="10:10">
      <c r="J4554" s="386" t="str">
        <f ca="1">IF(ROW()&gt;'Impact Indicator Target Update'!A561,"",INDIRECT("'Impact Indicators - Section B'!A"&amp;'Impact Indicator Target Update'!D561))</f>
        <v/>
      </c>
    </row>
    <row r="4555" spans="10:10">
      <c r="J4555" s="386" t="str">
        <f ca="1">IF(ROW()&gt;'Impact Indicator Target Update'!A562,"",INDIRECT("'Impact Indicators - Section B'!A"&amp;'Impact Indicator Target Update'!D562))</f>
        <v/>
      </c>
    </row>
    <row r="4556" spans="10:10">
      <c r="J4556" s="386" t="str">
        <f ca="1">IF(ROW()&gt;'Impact Indicator Target Update'!A563,"",INDIRECT("'Impact Indicators - Section B'!A"&amp;'Impact Indicator Target Update'!D563))</f>
        <v/>
      </c>
    </row>
    <row r="4557" spans="10:10">
      <c r="J4557" s="386" t="str">
        <f ca="1">IF(ROW()&gt;'Impact Indicator Target Update'!A564,"",INDIRECT("'Impact Indicators - Section B'!A"&amp;'Impact Indicator Target Update'!D564))</f>
        <v/>
      </c>
    </row>
    <row r="4558" spans="10:10">
      <c r="J4558" s="386" t="str">
        <f ca="1">IF(ROW()&gt;'Impact Indicator Target Update'!A565,"",INDIRECT("'Impact Indicators - Section B'!A"&amp;'Impact Indicator Target Update'!D565))</f>
        <v/>
      </c>
    </row>
    <row r="4559" spans="10:10">
      <c r="J4559" s="386" t="str">
        <f ca="1">IF(ROW()&gt;'Impact Indicator Target Update'!A566,"",INDIRECT("'Impact Indicators - Section B'!A"&amp;'Impact Indicator Target Update'!D566))</f>
        <v/>
      </c>
    </row>
    <row r="4560" spans="10:10">
      <c r="J4560" s="386" t="str">
        <f ca="1">IF(ROW()&gt;'Impact Indicator Target Update'!A567,"",INDIRECT("'Impact Indicators - Section B'!A"&amp;'Impact Indicator Target Update'!D567))</f>
        <v/>
      </c>
    </row>
    <row r="4561" spans="10:10">
      <c r="J4561" s="386" t="str">
        <f ca="1">IF(ROW()&gt;'Impact Indicator Target Update'!A568,"",INDIRECT("'Impact Indicators - Section B'!A"&amp;'Impact Indicator Target Update'!D568))</f>
        <v/>
      </c>
    </row>
    <row r="4562" spans="10:10">
      <c r="J4562" s="386" t="str">
        <f ca="1">IF(ROW()&gt;'Impact Indicator Target Update'!A569,"",INDIRECT("'Impact Indicators - Section B'!A"&amp;'Impact Indicator Target Update'!D569))</f>
        <v/>
      </c>
    </row>
    <row r="4563" spans="10:10">
      <c r="J4563" s="386" t="str">
        <f ca="1">IF(ROW()&gt;'Impact Indicator Target Update'!A570,"",INDIRECT("'Impact Indicators - Section B'!A"&amp;'Impact Indicator Target Update'!D570))</f>
        <v/>
      </c>
    </row>
    <row r="4564" spans="10:10">
      <c r="J4564" s="386" t="str">
        <f ca="1">IF(ROW()&gt;'Impact Indicator Target Update'!A571,"",INDIRECT("'Impact Indicators - Section B'!A"&amp;'Impact Indicator Target Update'!D571))</f>
        <v/>
      </c>
    </row>
    <row r="4565" spans="10:10">
      <c r="J4565" s="386" t="str">
        <f ca="1">IF(ROW()&gt;'Impact Indicator Target Update'!A572,"",INDIRECT("'Impact Indicators - Section B'!A"&amp;'Impact Indicator Target Update'!D572))</f>
        <v/>
      </c>
    </row>
    <row r="4566" spans="10:10">
      <c r="J4566" s="386" t="str">
        <f ca="1">IF(ROW()&gt;'Impact Indicator Target Update'!A573,"",INDIRECT("'Impact Indicators - Section B'!A"&amp;'Impact Indicator Target Update'!D573))</f>
        <v/>
      </c>
    </row>
    <row r="4567" spans="10:10">
      <c r="J4567" s="386" t="str">
        <f ca="1">IF(ROW()&gt;'Impact Indicator Target Update'!A574,"",INDIRECT("'Impact Indicators - Section B'!A"&amp;'Impact Indicator Target Update'!D574))</f>
        <v/>
      </c>
    </row>
    <row r="4568" spans="10:10">
      <c r="J4568" s="386" t="str">
        <f ca="1">IF(ROW()&gt;'Impact Indicator Target Update'!A575,"",INDIRECT("'Impact Indicators - Section B'!A"&amp;'Impact Indicator Target Update'!D575))</f>
        <v/>
      </c>
    </row>
    <row r="4569" spans="10:10">
      <c r="J4569" s="386" t="str">
        <f ca="1">IF(ROW()&gt;'Impact Indicator Target Update'!A576,"",INDIRECT("'Impact Indicators - Section B'!A"&amp;'Impact Indicator Target Update'!D576))</f>
        <v/>
      </c>
    </row>
    <row r="4570" spans="10:10">
      <c r="J4570" s="386" t="str">
        <f ca="1">IF(ROW()&gt;'Impact Indicator Target Update'!A577,"",INDIRECT("'Impact Indicators - Section B'!A"&amp;'Impact Indicator Target Update'!D577))</f>
        <v/>
      </c>
    </row>
    <row r="4571" spans="10:10">
      <c r="J4571" s="386" t="str">
        <f ca="1">IF(ROW()&gt;'Impact Indicator Target Update'!A578,"",INDIRECT("'Impact Indicators - Section B'!A"&amp;'Impact Indicator Target Update'!D578))</f>
        <v/>
      </c>
    </row>
    <row r="4572" spans="10:10">
      <c r="J4572" s="386" t="str">
        <f ca="1">IF(ROW()&gt;'Impact Indicator Target Update'!A579,"",INDIRECT("'Impact Indicators - Section B'!A"&amp;'Impact Indicator Target Update'!D579))</f>
        <v/>
      </c>
    </row>
    <row r="4573" spans="10:10">
      <c r="J4573" s="386" t="str">
        <f ca="1">IF(ROW()&gt;'Impact Indicator Target Update'!A580,"",INDIRECT("'Impact Indicators - Section B'!A"&amp;'Impact Indicator Target Update'!D580))</f>
        <v/>
      </c>
    </row>
    <row r="4574" spans="10:10">
      <c r="J4574" s="386" t="str">
        <f ca="1">IF(ROW()&gt;'Impact Indicator Target Update'!A581,"",INDIRECT("'Impact Indicators - Section B'!A"&amp;'Impact Indicator Target Update'!D581))</f>
        <v/>
      </c>
    </row>
    <row r="4575" spans="10:10">
      <c r="J4575" s="386" t="str">
        <f ca="1">IF(ROW()&gt;'Impact Indicator Target Update'!A582,"",INDIRECT("'Impact Indicators - Section B'!A"&amp;'Impact Indicator Target Update'!D582))</f>
        <v/>
      </c>
    </row>
    <row r="4576" spans="10:10">
      <c r="J4576" s="386" t="str">
        <f ca="1">IF(ROW()&gt;'Impact Indicator Target Update'!A583,"",INDIRECT("'Impact Indicators - Section B'!A"&amp;'Impact Indicator Target Update'!D583))</f>
        <v/>
      </c>
    </row>
    <row r="4577" spans="10:10">
      <c r="J4577" s="386" t="str">
        <f ca="1">IF(ROW()&gt;'Impact Indicator Target Update'!A584,"",INDIRECT("'Impact Indicators - Section B'!A"&amp;'Impact Indicator Target Update'!D584))</f>
        <v/>
      </c>
    </row>
    <row r="4578" spans="10:10">
      <c r="J4578" s="386" t="str">
        <f ca="1">IF(ROW()&gt;'Impact Indicator Target Update'!A585,"",INDIRECT("'Impact Indicators - Section B'!A"&amp;'Impact Indicator Target Update'!D585))</f>
        <v/>
      </c>
    </row>
    <row r="4579" spans="10:10">
      <c r="J4579" s="386" t="str">
        <f ca="1">IF(ROW()&gt;'Impact Indicator Target Update'!A586,"",INDIRECT("'Impact Indicators - Section B'!A"&amp;'Impact Indicator Target Update'!D586))</f>
        <v/>
      </c>
    </row>
    <row r="4580" spans="10:10">
      <c r="J4580" s="386" t="str">
        <f ca="1">IF(ROW()&gt;'Impact Indicator Target Update'!A587,"",INDIRECT("'Impact Indicators - Section B'!A"&amp;'Impact Indicator Target Update'!D587))</f>
        <v/>
      </c>
    </row>
    <row r="4581" spans="10:10">
      <c r="J4581" s="386" t="str">
        <f ca="1">IF(ROW()&gt;'Impact Indicator Target Update'!A588,"",INDIRECT("'Impact Indicators - Section B'!A"&amp;'Impact Indicator Target Update'!D588))</f>
        <v/>
      </c>
    </row>
    <row r="4582" spans="10:10">
      <c r="J4582" s="386" t="str">
        <f ca="1">IF(ROW()&gt;'Impact Indicator Target Update'!A589,"",INDIRECT("'Impact Indicators - Section B'!A"&amp;'Impact Indicator Target Update'!D589))</f>
        <v/>
      </c>
    </row>
    <row r="4583" spans="10:10">
      <c r="J4583" s="386" t="str">
        <f ca="1">IF(ROW()&gt;'Impact Indicator Target Update'!A590,"",INDIRECT("'Impact Indicators - Section B'!A"&amp;'Impact Indicator Target Update'!D590))</f>
        <v/>
      </c>
    </row>
    <row r="4584" spans="10:10">
      <c r="J4584" s="386" t="str">
        <f ca="1">IF(ROW()&gt;'Impact Indicator Target Update'!A591,"",INDIRECT("'Impact Indicators - Section B'!A"&amp;'Impact Indicator Target Update'!D591))</f>
        <v/>
      </c>
    </row>
    <row r="4585" spans="10:10">
      <c r="J4585" s="386" t="str">
        <f ca="1">IF(ROW()&gt;'Impact Indicator Target Update'!A592,"",INDIRECT("'Impact Indicators - Section B'!A"&amp;'Impact Indicator Target Update'!D592))</f>
        <v/>
      </c>
    </row>
    <row r="4586" spans="10:10">
      <c r="J4586" s="386" t="str">
        <f ca="1">IF(ROW()&gt;'Impact Indicator Target Update'!A593,"",INDIRECT("'Impact Indicators - Section B'!A"&amp;'Impact Indicator Target Update'!D593))</f>
        <v/>
      </c>
    </row>
    <row r="4587" spans="10:10">
      <c r="J4587" s="386" t="str">
        <f ca="1">IF(ROW()&gt;'Impact Indicator Target Update'!A594,"",INDIRECT("'Impact Indicators - Section B'!A"&amp;'Impact Indicator Target Update'!D594))</f>
        <v/>
      </c>
    </row>
    <row r="4588" spans="10:10">
      <c r="J4588" s="386" t="str">
        <f ca="1">IF(ROW()&gt;'Impact Indicator Target Update'!A595,"",INDIRECT("'Impact Indicators - Section B'!A"&amp;'Impact Indicator Target Update'!D595))</f>
        <v/>
      </c>
    </row>
    <row r="4589" spans="10:10">
      <c r="J4589" s="386" t="str">
        <f ca="1">IF(ROW()&gt;'Impact Indicator Target Update'!A596,"",INDIRECT("'Impact Indicators - Section B'!A"&amp;'Impact Indicator Target Update'!D596))</f>
        <v/>
      </c>
    </row>
    <row r="4590" spans="10:10">
      <c r="J4590" s="386" t="str">
        <f ca="1">IF(ROW()&gt;'Impact Indicator Target Update'!A597,"",INDIRECT("'Impact Indicators - Section B'!A"&amp;'Impact Indicator Target Update'!D597))</f>
        <v/>
      </c>
    </row>
    <row r="4591" spans="10:10">
      <c r="J4591" s="386" t="str">
        <f ca="1">IF(ROW()&gt;'Impact Indicator Target Update'!A598,"",INDIRECT("'Impact Indicators - Section B'!A"&amp;'Impact Indicator Target Update'!D598))</f>
        <v/>
      </c>
    </row>
    <row r="4592" spans="10:10">
      <c r="J4592" s="386" t="str">
        <f ca="1">IF(ROW()&gt;'Impact Indicator Target Update'!A599,"",INDIRECT("'Impact Indicators - Section B'!A"&amp;'Impact Indicator Target Update'!D599))</f>
        <v/>
      </c>
    </row>
    <row r="4593" spans="10:10">
      <c r="J4593" s="386" t="str">
        <f ca="1">IF(ROW()&gt;'Impact Indicator Target Update'!A600,"",INDIRECT("'Impact Indicators - Section B'!A"&amp;'Impact Indicator Target Update'!D600))</f>
        <v/>
      </c>
    </row>
    <row r="4594" spans="10:10">
      <c r="J4594" s="386" t="str">
        <f ca="1">IF(ROW()&gt;'Impact Indicator Target Update'!A601,"",INDIRECT("'Impact Indicators - Section B'!A"&amp;'Impact Indicator Target Update'!D601))</f>
        <v/>
      </c>
    </row>
    <row r="4595" spans="10:10">
      <c r="J4595" s="386" t="str">
        <f ca="1">IF(ROW()&gt;'Impact Indicator Target Update'!A602,"",INDIRECT("'Impact Indicators - Section B'!A"&amp;'Impact Indicator Target Update'!D602))</f>
        <v/>
      </c>
    </row>
    <row r="4596" spans="10:10">
      <c r="J4596" s="386" t="str">
        <f ca="1">IF(ROW()&gt;'Impact Indicator Target Update'!A603,"",INDIRECT("'Impact Indicators - Section B'!A"&amp;'Impact Indicator Target Update'!D603))</f>
        <v/>
      </c>
    </row>
    <row r="4597" spans="10:10">
      <c r="J4597" s="386" t="str">
        <f ca="1">IF(ROW()&gt;'Impact Indicator Target Update'!A604,"",INDIRECT("'Impact Indicators - Section B'!A"&amp;'Impact Indicator Target Update'!D604))</f>
        <v/>
      </c>
    </row>
    <row r="4598" spans="10:10">
      <c r="J4598" s="386" t="str">
        <f ca="1">IF(ROW()&gt;'Impact Indicator Target Update'!A605,"",INDIRECT("'Impact Indicators - Section B'!A"&amp;'Impact Indicator Target Update'!D605))</f>
        <v/>
      </c>
    </row>
    <row r="4599" spans="10:10">
      <c r="J4599" s="386" t="str">
        <f ca="1">IF(ROW()&gt;'Impact Indicator Target Update'!A606,"",INDIRECT("'Impact Indicators - Section B'!A"&amp;'Impact Indicator Target Update'!D606))</f>
        <v/>
      </c>
    </row>
    <row r="4600" spans="10:10">
      <c r="J4600" s="386" t="str">
        <f ca="1">IF(ROW()&gt;'Impact Indicator Target Update'!A607,"",INDIRECT("'Impact Indicators - Section B'!A"&amp;'Impact Indicator Target Update'!D607))</f>
        <v/>
      </c>
    </row>
    <row r="4601" spans="10:10">
      <c r="J4601" s="386" t="str">
        <f ca="1">IF(ROW()&gt;'Impact Indicator Target Update'!A608,"",INDIRECT("'Impact Indicators - Section B'!A"&amp;'Impact Indicator Target Update'!D608))</f>
        <v/>
      </c>
    </row>
    <row r="4602" spans="10:10">
      <c r="J4602" s="386" t="str">
        <f ca="1">IF(ROW()&gt;'Impact Indicator Target Update'!A609,"",INDIRECT("'Impact Indicators - Section B'!A"&amp;'Impact Indicator Target Update'!D609))</f>
        <v/>
      </c>
    </row>
    <row r="4603" spans="10:10">
      <c r="J4603" s="386" t="str">
        <f ca="1">IF(ROW()&gt;'Impact Indicator Target Update'!A610,"",INDIRECT("'Impact Indicators - Section B'!A"&amp;'Impact Indicator Target Update'!D610))</f>
        <v/>
      </c>
    </row>
    <row r="4604" spans="10:10">
      <c r="J4604" s="386" t="str">
        <f ca="1">IF(ROW()&gt;'Impact Indicator Target Update'!A611,"",INDIRECT("'Impact Indicators - Section B'!A"&amp;'Impact Indicator Target Update'!D611))</f>
        <v/>
      </c>
    </row>
    <row r="4605" spans="10:10">
      <c r="J4605" s="386" t="str">
        <f ca="1">IF(ROW()&gt;'Impact Indicator Target Update'!A612,"",INDIRECT("'Impact Indicators - Section B'!A"&amp;'Impact Indicator Target Update'!D612))</f>
        <v/>
      </c>
    </row>
    <row r="4606" spans="10:10">
      <c r="J4606" s="386" t="str">
        <f ca="1">IF(ROW()&gt;'Impact Indicator Target Update'!A613,"",INDIRECT("'Impact Indicators - Section B'!A"&amp;'Impact Indicator Target Update'!D613))</f>
        <v/>
      </c>
    </row>
    <row r="4607" spans="10:10">
      <c r="J4607" s="386" t="str">
        <f ca="1">IF(ROW()&gt;'Impact Indicator Target Update'!A614,"",INDIRECT("'Impact Indicators - Section B'!A"&amp;'Impact Indicator Target Update'!D614))</f>
        <v/>
      </c>
    </row>
    <row r="4608" spans="10:10">
      <c r="J4608" s="386" t="str">
        <f ca="1">IF(ROW()&gt;'Impact Indicator Target Update'!A615,"",INDIRECT("'Impact Indicators - Section B'!A"&amp;'Impact Indicator Target Update'!D615))</f>
        <v/>
      </c>
    </row>
    <row r="4609" spans="10:10">
      <c r="J4609" s="386" t="str">
        <f ca="1">IF(ROW()&gt;'Impact Indicator Target Update'!A616,"",INDIRECT("'Impact Indicators - Section B'!A"&amp;'Impact Indicator Target Update'!D616))</f>
        <v/>
      </c>
    </row>
    <row r="4610" spans="10:10">
      <c r="J4610" s="386" t="str">
        <f ca="1">IF(ROW()&gt;'Impact Indicator Target Update'!A617,"",INDIRECT("'Impact Indicators - Section B'!A"&amp;'Impact Indicator Target Update'!D617))</f>
        <v/>
      </c>
    </row>
    <row r="4611" spans="10:10">
      <c r="J4611" s="386" t="str">
        <f ca="1">IF(ROW()&gt;'Impact Indicator Target Update'!A618,"",INDIRECT("'Impact Indicators - Section B'!A"&amp;'Impact Indicator Target Update'!D618))</f>
        <v/>
      </c>
    </row>
    <row r="4612" spans="10:10">
      <c r="J4612" s="386" t="str">
        <f ca="1">IF(ROW()&gt;'Impact Indicator Target Update'!A619,"",INDIRECT("'Impact Indicators - Section B'!A"&amp;'Impact Indicator Target Update'!D619))</f>
        <v/>
      </c>
    </row>
  </sheetData>
  <sheetProtection algorithmName="SHA-512" hashValue="Ek7W2bvsb5QhiE2YOlmWjtqtioQZ1FaVe1fzCGXsdJhsiUZltD40yEoQZp80wvVhCzsFWpCYIP8c1N1KvR2iJw==" saltValue="guw3cA1ozSWemqeJk/3o1Q==" spinCount="100000" sheet="1" objects="1" scenarios="1"/>
  <dataValidations count="29">
    <dataValidation type="list" allowBlank="1" showInputMessage="1" showErrorMessage="1" errorTitle="X-Author for Excel" error="Please select either TRUE or FALSE from the dropdown." promptTitle="X-Author for Excel" sqref="A3:A33 A3062:A4022 A1611:A2891 A2896:A3056 A1003:A1303 A1307:A1607 A528:A996 W453:W522 R453:R522 A453:A522 A267:A447 A227:A257 T43:T223 A43:A223" xr:uid="{C3A4C38B-BB47-4B59-80A5-D8F3A6290ADC}">
      <formula1>"TRUE,FALSE"</formula1>
    </dataValidation>
    <dataValidation type="custom" allowBlank="1" showInputMessage="1" showErrorMessage="1" errorTitle="X-Author for Excel" error="Id and Lookup fields are not editable." promptTitle="X-Author for Excel" sqref="C3:C33 B3062:B4022 P1611:P2891 C1611:C2891 U2896:W3056 C2896:C3056 P1003:P1303 C1003:C1303 P1307:P1607 C1307:C1607 C528:C996 X453:Z522 S453:S522 C453:C522 C267:C447 R227:S257 O227:O257 C227:C257 C43:C223 AD3:AE33 N3:N33" xr:uid="{D8121A50-323A-417E-AA10-63C621D6FF06}">
      <formula1>""</formula1>
    </dataValidation>
    <dataValidation type="decimal" allowBlank="1" showInputMessage="1" showErrorMessage="1" errorTitle="X-Author for Excel" error="Please enter a valid numeric value. Valid range for Baseline % is -999.99 to 999.99." promptTitle="X-Author for Excel" sqref="D3:D33 E1611:E2891 E1003:E1303 E1307:E1607 D453:D522 D227:D257" xr:uid="{F5384253-DF2B-4395-B35B-DAC028463F36}">
      <formula1>-999.99</formula1>
      <formula2>999.99</formula2>
    </dataValidation>
    <dataValidation type="decimal" allowBlank="1" showInputMessage="1" showErrorMessage="1" errorTitle="X-Author for Excel" error="Please enter a valid numeric value. Valid range for Baseline D# is -1E+16 to 1E+16." promptTitle="X-Author for Excel" sqref="E3:E33 H1611:H2891 H1003:H1303 H1307:H1607 E453:E522 E227:E257" xr:uid="{6736579C-4717-4051-8FC1-D62EB474A617}">
      <formula1>-10000000000000000</formula1>
      <formula2>10000000000000000</formula2>
    </dataValidation>
    <dataValidation type="decimal" allowBlank="1" showInputMessage="1" showErrorMessage="1" errorTitle="X-Author for Excel" error="Please enter a valid numeric value. Valid range for Baseline N# is -100000000000000 to 100000000000000." promptTitle="X-Author for Excel" sqref="F3:F33 G1611:G2891 G1003:G1303 G1307:G1607 F227:F257" xr:uid="{DE84848E-3475-435F-A411-44E2143F11E2}">
      <formula1>-100000000000000</formula1>
      <formula2>100000000000000</formula2>
    </dataValidation>
    <dataValidation type="list" allowBlank="1" showInputMessage="1" showErrorMessage="1" errorTitle="X-Author for Excel" error="Please select a value from the drop-down." promptTitle="X-Author for Excel" sqref="H3:H33" xr:uid="{88256E9F-2E5C-431A-AF9F-FEE1604CD2C5}">
      <formula1>IF(IFERROR(ROWS(INDIRECT(SUBSTITUTE("AIM_Impact_Indicator__c.AIM_Baseline_Year__c"," ","_"))),-1) &lt; 0, XAE_Invalid_PLData,INDIRECT(SUBSTITUTE("AIM_Impact_Indicator__c.AIM_Baseline_Year__c"," ","_")))</formula1>
    </dataValidation>
    <dataValidation type="decimal" allowBlank="1" showInputMessage="1" showErrorMessage="1" errorTitle="X-Author for Excel" error="Please enter a valid numeric value. Valid range for Impact Indicator Number is -1E+18 to 1E+18." promptTitle="X-Author for Excel" sqref="Q3:Q33 D1307:D1607 F43:F223" xr:uid="{21AD74F8-B4AC-4203-ABBF-387445F29FFB}">
      <formula1>-1000000000000000000</formula1>
      <formula2>1000000000000000000</formula2>
    </dataValidation>
    <dataValidation type="decimal" allowBlank="1" showInputMessage="1" showErrorMessage="1" errorTitle="X-Author for Excel" error="Please enter a valid numeric value. Valid range for Target D# is -1E+16 to 1E+16." promptTitle="X-Author for Excel" sqref="I43:I223 J528:J996 I267:I447" xr:uid="{52F5BF21-E584-45AD-9934-7B5461178475}">
      <formula1>-10000000000000000</formula1>
      <formula2>10000000000000000</formula2>
    </dataValidation>
    <dataValidation type="decimal" allowBlank="1" showInputMessage="1" showErrorMessage="1" errorTitle="X-Author for Excel" error="Please enter a valid numeric value. Valid range for Target N# is -100000000000000 to 100000000000000." promptTitle="X-Author for Excel" sqref="J43:J223 J267:J447" xr:uid="{B20079C9-CC5D-4B2F-AB31-67F37EDB34D3}">
      <formula1>-100000000000000</formula1>
      <formula2>100000000000000</formula2>
    </dataValidation>
    <dataValidation type="decimal" allowBlank="1" showInputMessage="1" showErrorMessage="1" errorTitle="X-Author for Excel" error="Please enter a valid numeric value. Valid range for Target % is -999.99 to 999.99." promptTitle="X-Author for Excel" sqref="K43:K223 I528:I996 K267:K447" xr:uid="{F647E684-55C2-4480-A14F-9CF4027DBF1F}">
      <formula1>-999.99</formula1>
      <formula2>999.99</formula2>
    </dataValidation>
    <dataValidation type="list" allowBlank="1" showInputMessage="1" showErrorMessage="1" errorTitle="X-Author for Excel" error="Please select a value from the drop-down." promptTitle="X-Author for Excel" sqref="L43:L223" xr:uid="{7B6AA67B-CC1A-4EA0-8366-C6E2062A5A6D}">
      <formula1>IF(IFERROR(ROWS(INDIRECT(SUBSTITUTE("AIM_Impact_Indicator_Targets_Results__c.AIM_Year_of_Target__c"," ","_"))),-1) &lt; 0, XAE_Invalid_PLData,INDIRECT(SUBSTITUTE("AIM_Impact_Indicator_Targets_Results__c.AIM_Year_of_Target__c"," ","_")))</formula1>
    </dataValidation>
    <dataValidation type="date" allowBlank="1" showInputMessage="1" showErrorMessage="1" errorTitle="X-Author for Excel" error="Please enter a valid date." promptTitle="X-Author for Excel" sqref="M43:M223 M267:M447" xr:uid="{47981492-CDF9-4BE9-941D-6E9F0B47DDDD}">
      <formula1>1</formula1>
      <formula2>767376</formula2>
    </dataValidation>
    <dataValidation type="list" allowBlank="1" showInputMessage="1" showErrorMessage="1" errorTitle="X-Author for Excel" error="Please select a value from the drop-down." promptTitle="X-Author for Excel" sqref="N43:N223" xr:uid="{557217C3-CC45-4331-9535-707BE4773893}">
      <formula1>IF(IFERROR(ROWS(INDIRECT(SUBSTITUTE("AIM_Impact_Indicator_Targets_Results__c.AIM_Mark_if_target_is_TBD__c"," ","_"))),-1) &lt; 0, XAE_Invalid_PLData,INDIRECT(SUBSTITUTE("AIM_Impact_Indicator_Targets_Results__c.AIM_Mark_if_target_is_TBD__c"," ","_")))</formula1>
    </dataValidation>
    <dataValidation type="list" allowBlank="1" showInputMessage="1" showErrorMessage="1" errorTitle="X-Author for Excel" error="Please select a value from the drop-down." promptTitle="X-Author for Excel" sqref="G227:G257" xr:uid="{F2ECF95B-6A1F-4094-9521-E1F8AB6980B1}">
      <formula1>IF(IFERROR(ROWS(INDIRECT(SUBSTITUTE("AIM_Outcome_Indicator__c.AIM_Baseline_Year__c"," ","_"))),-1) &lt; 0, XAE_Invalid_PLData,INDIRECT(SUBSTITUTE("AIM_Outcome_Indicator__c.AIM_Baseline_Year__c"," ","_")))</formula1>
    </dataValidation>
    <dataValidation type="decimal" allowBlank="1" showInputMessage="1" showErrorMessage="1" errorTitle="X-Author for Excel" error="Please enter a valid numeric value. Valid range for Outcome Indicator Number is -1E+18 to 1E+18." promptTitle="X-Author for Excel" sqref="K227:K257 D1003:D1303 F267:F447" xr:uid="{1D27E930-A7BC-4966-9939-923206E30710}">
      <formula1>-1000000000000000000</formula1>
      <formula2>1000000000000000000</formula2>
    </dataValidation>
    <dataValidation type="list" allowBlank="1" showInputMessage="1" showErrorMessage="1" errorTitle="X-Author for Excel" error="Please select a value from the drop-down." promptTitle="X-Author for Excel" sqref="L267:L447" xr:uid="{393CC1AD-CD86-4098-BDB9-F97FA28B5747}">
      <formula1>IF(IFERROR(ROWS(INDIRECT(SUBSTITUTE("AIM_Outcome_Indicator_Targets_Result__c.AIM_Year_of_Target__c"," ","_"))),-1) &lt; 0, XAE_Invalid_PLData,INDIRECT(SUBSTITUTE("AIM_Outcome_Indicator_Targets_Result__c.AIM_Year_of_Target__c"," ","_")))</formula1>
    </dataValidation>
    <dataValidation type="list" allowBlank="1" showInputMessage="1" showErrorMessage="1" errorTitle="X-Author for Excel" error="Please select a value from the drop-down." promptTitle="X-Author for Excel" sqref="N267:N447" xr:uid="{B0AA7BB6-5A51-440B-8ADB-A903E0C72415}">
      <formula1>IF(IFERROR(ROWS(INDIRECT(SUBSTITUTE("AIM_Outcome_Indicator_Targets_Result__c.AIM_Mark_if_target_is_TBD__c"," ","_"))),-1) &lt; 0, XAE_Invalid_PLData,INDIRECT(SUBSTITUTE("AIM_Outcome_Indicator_Targets_Result__c.AIM_Mark_if_target_is_TBD__c"," ","_")))</formula1>
    </dataValidation>
    <dataValidation type="decimal" allowBlank="1" showInputMessage="1" showErrorMessage="1" errorTitle="X-Author for Excel" error="Please enter a valid numeric value. Valid range for Baseline N# is -1E+16 to 1E+16." promptTitle="X-Author for Excel" sqref="F453:F522" xr:uid="{EF6C5CFD-F910-4EB3-9CF1-12AA1F4348F1}">
      <formula1>-10000000000000000</formula1>
      <formula2>10000000000000000</formula2>
    </dataValidation>
    <dataValidation type="list" allowBlank="1" showInputMessage="1" showErrorMessage="1" errorTitle="X-Author for Excel" error="Please select a value from the drop-down." promptTitle="X-Author for Excel" sqref="L453:L522" xr:uid="{A9E0AD08-F1B6-4502-BD35-8C8E7D32C3C9}">
      <formula1>IF(IFERROR(ROWS(INDIRECT(SUBSTITUTE("AIM_Coverage_Indicator__c.AIM_Year__c"," ","_"))),-1) &lt; 0, XAE_Invalid_PLData,INDIRECT(SUBSTITUTE("AIM_Coverage_Indicator__c.AIM_Year__c"," ","_")))</formula1>
    </dataValidation>
    <dataValidation type="list" allowBlank="1" showInputMessage="1" showErrorMessage="1" errorTitle="X-Author for Excel" error="Please select a value from the drop-down." promptTitle="X-Author for Excel" sqref="P453:P522" xr:uid="{7A2FFE16-E628-472B-82E3-45EC50F5AAC7}">
      <formula1>IF(IFERROR(ROWS(INDIRECT(SUBSTITUTE("AIM_Coverage_Indicator__c.AIM_Geographic_Coverage__c"," ","_"))),-1) &lt; 0, XAE_Invalid_PLData,INDIRECT(SUBSTITUTE("AIM_Coverage_Indicator__c.AIM_Geographic_Coverage__c"," ","_")))</formula1>
    </dataValidation>
    <dataValidation type="list" allowBlank="1" showInputMessage="1" showErrorMessage="1" errorTitle="X-Author for Excel" error="Please select a value from the drop-down." promptTitle="X-Author for Excel" sqref="Q453:Q522" xr:uid="{3045262D-E6B7-4B3B-8E91-95DECF26CE5E}">
      <formula1>IF(IFERROR(ROWS(INDIRECT(SUBSTITUTE("AIM_Coverage_Indicator__c.AIM_Rating_Cumulation_Type__c"," ","_"))),-1) &lt; 0, XAE_Invalid_PLData,INDIRECT(SUBSTITUTE("AIM_Coverage_Indicator__c.AIM_Rating_Cumulation_Type__c"," ","_")))</formula1>
    </dataValidation>
    <dataValidation type="decimal" allowBlank="1" showInputMessage="1" showErrorMessage="1" errorTitle="X-Author for Excel" error="Please enter a valid numeric value. Valid range for Coverage Indicator Number is -1E+18 to 1E+18." promptTitle="X-Author for Excel" sqref="T453:T522 D1611:D2891 F528:F996" xr:uid="{2DDFF132-0E96-4545-8630-3E389DDC5276}">
      <formula1>-1000000000000000000</formula1>
      <formula2>1000000000000000000</formula2>
    </dataValidation>
    <dataValidation type="decimal" allowBlank="1" showInputMessage="1" showErrorMessage="1" errorTitle="X-Author for Excel" error="Please enter a valid numeric value. Valid range for Target N# is -1E+16 to 1E+16." promptTitle="X-Author for Excel" sqref="K528:K996" xr:uid="{7D127111-8D9F-45C7-92A6-16629823CE21}">
      <formula1>-10000000000000000</formula1>
      <formula2>10000000000000000</formula2>
    </dataValidation>
    <dataValidation type="list" allowBlank="1" showInputMessage="1" showErrorMessage="1" errorTitle="X-Author for Excel" error="Please select a value from the drop-down." promptTitle="X-Author for Excel" sqref="L528:L996" xr:uid="{23B61547-FFC5-4152-84CE-7171F3DBA8BC}">
      <formula1>IF(IFERROR(ROWS(INDIRECT(SUBSTITUTE("AIM_Coverage_Indicator_Targets_Results__c.AIM_Mark_if_target_is_TBD__c"," ","_"))),-1) &lt; 0, XAE_Invalid_PLData,INDIRECT(SUBSTITUTE("AIM_Coverage_Indicator_Targets_Results__c.AIM_Mark_if_target_is_TBD__c"," ","_")))</formula1>
    </dataValidation>
    <dataValidation type="list" allowBlank="1" showInputMessage="1" showErrorMessage="1" errorTitle="X-Author for Excel" error="Please select a value from the drop-down." promptTitle="X-Author for Excel" sqref="T528:T996" xr:uid="{C961F408-95B0-4404-9D03-01FE4631E5C5}">
      <formula1>IF(IFERROR(ROWS(INDIRECT(SUBSTITUTE("AIM_Coverage_Indicator_Targets_Results__c.AIM_Due_for_Reporting__c"," ","_"))),-1) &lt; 0, XAE_Invalid_PLData,INDIRECT(SUBSTITUTE("AIM_Coverage_Indicator_Targets_Results__c.AIM_Due_for_Reporting__c"," ","_")))</formula1>
    </dataValidation>
    <dataValidation type="list" allowBlank="1" showInputMessage="1" showErrorMessage="1" errorTitle="X-Author for Excel" error="Please select a value from the drop-down." promptTitle="X-Author for Excel" sqref="I1307:I1607" xr:uid="{96BC27EE-FC26-4B67-B35C-ED14B140D026}">
      <formula1>IF(IFERROR(ROWS(INDIRECT(SUBSTITUTE("AIM_Impact_Disaggregation__c.AIM_Baseline_Year__c"," ","_"))),-1) &lt; 0, XAE_Invalid_PLData,INDIRECT(SUBSTITUTE("AIM_Impact_Disaggregation__c.AIM_Baseline_Year__c"," ","_")))</formula1>
    </dataValidation>
    <dataValidation type="list" allowBlank="1" showInputMessage="1" showErrorMessage="1" errorTitle="X-Author for Excel" error="Please select a value from the drop-down." promptTitle="X-Author for Excel" sqref="I1003:I1303" xr:uid="{2330366D-AF5D-414A-A55B-E990024A8F7E}">
      <formula1>IF(IFERROR(ROWS(INDIRECT(SUBSTITUTE("AIM_Outcome_Disaggregation__c.AIM_Baseline_Year__c"," ","_"))),-1) &lt; 0, XAE_Invalid_PLData,INDIRECT(SUBSTITUTE("AIM_Outcome_Disaggregation__c.AIM_Baseline_Year__c"," ","_")))</formula1>
    </dataValidation>
    <dataValidation type="decimal" allowBlank="1" showInputMessage="1" showErrorMessage="1" errorTitle="X-Author for Excel" error="Please enter a valid numeric value. Valid range for Key Activity Milestone Number is -1E+18 to 1E+18." promptTitle="X-Author for Excel" sqref="T2896:T3056 C3062:C4022" xr:uid="{A91B3B2F-8A0D-438E-94A6-AC8C9BF8747A}">
      <formula1>-1000000000000000000</formula1>
      <formula2>1000000000000000000</formula2>
    </dataValidation>
    <dataValidation type="list" allowBlank="1" showInputMessage="1" showErrorMessage="1" errorTitle="X-Author for Excel" error="Please select a value from the drop-down." promptTitle="X-Author for Excel" sqref="I1611:I2891" xr:uid="{F3302505-91B1-4EFB-A95E-35E832E944E8}">
      <formula1>IF(IFERROR(ROWS(INDIRECT(SUBSTITUTE("AIM_Coverage_Disaggregation__c.AIM_Year__c"," ","_"))),-1) &lt; 0, XAE_Invalid_PLData,INDIRECT(SUBSTITUTE("AIM_Coverage_Disaggregation__c.AIM_Year__c"," ","_")))</formula1>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J88"/>
  <sheetViews>
    <sheetView showGridLines="0" zoomScale="60" zoomScaleNormal="60" workbookViewId="0">
      <selection activeCell="A9" sqref="A9"/>
    </sheetView>
  </sheetViews>
  <sheetFormatPr defaultColWidth="8.625" defaultRowHeight="14.25"/>
  <cols>
    <col min="1" max="1" width="17.125" style="48" customWidth="1"/>
    <col min="2" max="3" width="35.625" style="48" customWidth="1"/>
    <col min="4" max="4" width="20.125" style="48" customWidth="1"/>
    <col min="5" max="5" width="18.625" style="48" customWidth="1"/>
    <col min="6" max="6" width="32.625" style="48" customWidth="1"/>
    <col min="7" max="7" width="21.125" style="48" customWidth="1"/>
    <col min="8" max="8" width="19.625" style="48" customWidth="1"/>
    <col min="9" max="9" width="17" style="48" customWidth="1"/>
    <col min="10" max="10" width="15.625" style="48" customWidth="1"/>
    <col min="11" max="11" width="17.125" style="48" customWidth="1"/>
    <col min="12" max="12" width="16.5" style="48" customWidth="1"/>
    <col min="13" max="13" width="19.125" style="48" customWidth="1"/>
    <col min="14" max="15" width="17.125" style="48" customWidth="1"/>
    <col min="16" max="16" width="14.625" style="48" customWidth="1"/>
    <col min="17" max="20" width="21" style="48" customWidth="1"/>
    <col min="21" max="22" width="20.625" style="48" customWidth="1"/>
    <col min="23" max="23" width="46.125" style="48" customWidth="1"/>
    <col min="24" max="24" width="15.5" style="48" hidden="1" customWidth="1"/>
    <col min="25" max="25" width="12.5" style="48" hidden="1" customWidth="1"/>
    <col min="26" max="26" width="13.875" style="48" hidden="1" customWidth="1"/>
    <col min="27" max="27" width="13.125" style="48" hidden="1" customWidth="1"/>
    <col min="28" max="28" width="16.875" style="48" hidden="1" customWidth="1"/>
    <col min="29" max="29" width="19.625" style="48" hidden="1" customWidth="1"/>
    <col min="30" max="30" width="24.5" style="48" hidden="1" customWidth="1"/>
    <col min="31" max="31" width="28.625" style="48" hidden="1" customWidth="1"/>
    <col min="32" max="32" width="23.625" style="48" hidden="1" customWidth="1"/>
    <col min="33" max="33" width="22.875" style="48" hidden="1" customWidth="1"/>
    <col min="34" max="34" width="34" style="48" hidden="1" customWidth="1"/>
    <col min="35" max="35" width="27.125" style="48" hidden="1" customWidth="1"/>
    <col min="36" max="36" width="12.5" style="48" hidden="1" customWidth="1"/>
    <col min="37" max="37" width="14" style="48" customWidth="1"/>
    <col min="38" max="38" width="13" style="48" customWidth="1"/>
    <col min="39" max="16384" width="8.625" style="48"/>
  </cols>
  <sheetData>
    <row r="1" spans="1:35">
      <c r="A1" s="588" t="s">
        <v>5033</v>
      </c>
      <c r="B1" s="589"/>
      <c r="C1" s="589"/>
      <c r="D1" s="589"/>
      <c r="E1" s="589"/>
      <c r="F1" s="589"/>
    </row>
    <row r="2" spans="1:35">
      <c r="A2" s="589"/>
      <c r="B2" s="589"/>
      <c r="C2" s="589"/>
      <c r="D2" s="589"/>
      <c r="E2" s="589"/>
      <c r="F2" s="589"/>
    </row>
    <row r="4" spans="1:35" ht="15" thickBot="1"/>
    <row r="5" spans="1:35" ht="20.45" customHeight="1" thickBot="1">
      <c r="A5" s="108" t="s">
        <v>89</v>
      </c>
      <c r="B5" s="109" t="s">
        <v>306</v>
      </c>
      <c r="C5" s="109" t="s">
        <v>762</v>
      </c>
    </row>
    <row r="6" spans="1:35">
      <c r="G6" s="110">
        <v>2</v>
      </c>
      <c r="I6" s="110">
        <v>3</v>
      </c>
      <c r="J6" s="110"/>
      <c r="K6" s="110">
        <v>4</v>
      </c>
      <c r="L6" s="110"/>
      <c r="M6" s="110">
        <v>5</v>
      </c>
      <c r="N6" s="110"/>
      <c r="O6" s="110">
        <v>6</v>
      </c>
      <c r="P6" s="110"/>
      <c r="Q6" s="110">
        <v>7</v>
      </c>
      <c r="R6" s="110"/>
      <c r="S6" s="110">
        <v>8</v>
      </c>
      <c r="T6" s="110"/>
    </row>
    <row r="7" spans="1:35" ht="15">
      <c r="A7" s="111"/>
      <c r="B7" s="111"/>
      <c r="C7" s="111"/>
      <c r="D7" s="111"/>
      <c r="E7" s="111"/>
      <c r="F7" s="112"/>
      <c r="G7" s="587" t="str">
        <f ca="1">IFERROR(IF(YEAR(INDEX('Overview - Section A'!$A$47:$A$54,MATCH(G6,'Overview - Section A'!$B$47:$B$54,0)))&lt;=YEAR('Overview - Section A'!$E$8),TEXT(IFERROR(INDEX('Overview - Section A'!$A$47:$A$54,MATCH(G6,'Overview - Section A'!$B$47:$B$54,0)),""),Setup!$A$33) &amp;" to " &amp; TEXT(IFERROR(INDEX('Overview - Section A'!$E$47:$E$54,MATCH(G6,'Overview - Section A'!$B$47:$B$54,0)),""),Setup!$A$33),""),"")</f>
        <v>1-Jan-24 to 30-Jun-24</v>
      </c>
      <c r="H7" s="568"/>
      <c r="I7" s="586" t="str">
        <f ca="1">IFERROR(IF(YEAR(INDEX('Overview - Section A'!$A$47:$A$54,MATCH(I6,'Overview - Section A'!$B$47:$B$54,0)))&lt;=YEAR('Overview - Section A'!$E$8),TEXT(IFERROR(INDEX('Overview - Section A'!$A$47:$A$54,MATCH(I6,'Overview - Section A'!$B$47:$B$54,0)),""),Setup!$A$33) &amp;" to " &amp; TEXT(IFERROR(INDEX('Overview - Section A'!$E$47:$E$54,MATCH(I6,'Overview - Section A'!$B$47:$B$54,0)),""),Setup!$A$33),""),"")</f>
        <v>1-Jul-24 to 31-Dec-24</v>
      </c>
      <c r="J7" s="568"/>
      <c r="K7" s="586" t="str">
        <f ca="1">IFERROR(IF(YEAR(INDEX('Overview - Section A'!$A$47:$A$54,MATCH(K6,'Overview - Section A'!$B$47:$B$54,0)))&lt;=YEAR('Overview - Section A'!$E$8),TEXT(IFERROR(INDEX('Overview - Section A'!$A$47:$A$54,MATCH(K6,'Overview - Section A'!$B$47:$B$54,0)),""),Setup!$A$33) &amp;" to " &amp; TEXT(IFERROR(INDEX('Overview - Section A'!$E$47:$E$54,MATCH(K6,'Overview - Section A'!$B$47:$B$54,0)),""),Setup!$A$33),""),"")</f>
        <v>1-Jan-25 to 30-Jun-25</v>
      </c>
      <c r="L7" s="568"/>
      <c r="M7" s="586" t="str">
        <f ca="1">IFERROR(IF(YEAR(INDEX('Overview - Section A'!$A$47:$A$54,MATCH(M6,'Overview - Section A'!$B$47:$B$54,0)))&lt;=YEAR('Overview - Section A'!$E$8),TEXT(IFERROR(INDEX('Overview - Section A'!$A$47:$A$54,MATCH(M6,'Overview - Section A'!$B$47:$B$54,0)),""),Setup!$A$33) &amp;" to " &amp; TEXT(IFERROR(INDEX('Overview - Section A'!$E$47:$E$54,MATCH(M6,'Overview - Section A'!$B$47:$B$54,0)),""),Setup!$A$33),""),"")</f>
        <v>1-Jul-25 to 31-Dec-25</v>
      </c>
      <c r="N7" s="568"/>
      <c r="O7" s="586" t="str">
        <f ca="1">IFERROR(IF(YEAR(INDEX('Overview - Section A'!$A$47:$A$54,MATCH(O6,'Overview - Section A'!$B$47:$B$54,0)))&lt;=YEAR('Overview - Section A'!$E$8),TEXT(IFERROR(INDEX('Overview - Section A'!$A$47:$A$54,MATCH(O6,'Overview - Section A'!$B$47:$B$54,0)),""),Setup!$A$33) &amp;" to " &amp; TEXT(IFERROR(INDEX('Overview - Section A'!$E$47:$E$54,MATCH(O6,'Overview - Section A'!$B$47:$B$54,0)),""),Setup!$A$33),""),"")</f>
        <v>1-Jan-26 to 30-Jun-26</v>
      </c>
      <c r="P7" s="568"/>
      <c r="Q7" s="586" t="str">
        <f ca="1">IFERROR(IF(YEAR(INDEX('Overview - Section A'!$A$47:$A$54,MATCH(Q6,'Overview - Section A'!$B$47:$B$54,0)))&lt;=YEAR('Overview - Section A'!$E$8),TEXT(IFERROR(INDEX('Overview - Section A'!$A$47:$A$54,MATCH(Q6,'Overview - Section A'!$B$47:$B$54,0)),""),Setup!$A$33) &amp;" to " &amp; TEXT(IFERROR(INDEX('Overview - Section A'!$E$47:$E$54,MATCH(Q6,'Overview - Section A'!$B$47:$B$54,0)),""),Setup!$A$33),""),"")</f>
        <v>1-Jul-26 to 31-Dec-26</v>
      </c>
      <c r="R7" s="587"/>
      <c r="S7" s="586" t="str">
        <f ca="1">IFERROR(IF(YEAR(INDEX('Overview - Section A'!$A$47:$A$54,MATCH(S6,'Overview - Section A'!$B$47:$B$54,0)))&lt;=YEAR('Overview - Section A'!$E$8),TEXT(IFERROR(INDEX('Overview - Section A'!$A$47:$A$54,MATCH(S6,'Overview - Section A'!$B$47:$B$54,0)),""),Setup!$A$33) &amp;" to " &amp; TEXT(IFERROR(INDEX('Overview - Section A'!$E$47:$E$54,MATCH(S6,'Overview - Section A'!$B$47:$B$54,0)),""),Setup!$A$33),""),"")</f>
        <v/>
      </c>
      <c r="T7" s="587"/>
      <c r="U7" s="586"/>
      <c r="V7" s="587"/>
      <c r="W7" s="113"/>
    </row>
    <row r="8" spans="1:35" ht="55.5" customHeight="1">
      <c r="A8" s="114" t="s">
        <v>5034</v>
      </c>
      <c r="B8" s="114" t="s">
        <v>256</v>
      </c>
      <c r="C8" s="114" t="s">
        <v>309</v>
      </c>
      <c r="D8" s="114" t="s">
        <v>4383</v>
      </c>
      <c r="E8" s="114" t="s">
        <v>120</v>
      </c>
      <c r="F8" s="114" t="s">
        <v>127</v>
      </c>
      <c r="G8" s="115" t="s">
        <v>4552</v>
      </c>
      <c r="H8" s="115" t="s">
        <v>5035</v>
      </c>
      <c r="I8" s="115" t="s">
        <v>4552</v>
      </c>
      <c r="J8" s="115" t="s">
        <v>5035</v>
      </c>
      <c r="K8" s="115" t="s">
        <v>4552</v>
      </c>
      <c r="L8" s="115" t="s">
        <v>5035</v>
      </c>
      <c r="M8" s="115" t="s">
        <v>4552</v>
      </c>
      <c r="N8" s="115" t="s">
        <v>5035</v>
      </c>
      <c r="O8" s="115" t="s">
        <v>4552</v>
      </c>
      <c r="P8" s="115" t="s">
        <v>5035</v>
      </c>
      <c r="Q8" s="115" t="s">
        <v>4552</v>
      </c>
      <c r="R8" s="115" t="s">
        <v>5035</v>
      </c>
      <c r="S8" s="115" t="s">
        <v>4552</v>
      </c>
      <c r="T8" s="115" t="s">
        <v>5035</v>
      </c>
      <c r="U8" s="115" t="s">
        <v>4552</v>
      </c>
      <c r="V8" s="115" t="s">
        <v>5035</v>
      </c>
      <c r="W8" s="116" t="s">
        <v>176</v>
      </c>
      <c r="AB8" s="48" t="s">
        <v>5036</v>
      </c>
      <c r="AD8" s="48" t="s">
        <v>5037</v>
      </c>
      <c r="AE8" s="48" t="s">
        <v>5038</v>
      </c>
      <c r="AH8" s="312" t="s">
        <v>484</v>
      </c>
      <c r="AI8" s="312" t="s">
        <v>777</v>
      </c>
    </row>
    <row r="9" spans="1:35" ht="30" customHeight="1">
      <c r="A9" s="117">
        <v>1</v>
      </c>
      <c r="B9" s="118"/>
      <c r="C9" s="118"/>
      <c r="D9" s="118"/>
      <c r="E9" s="118"/>
      <c r="F9" s="119"/>
      <c r="G9" s="118"/>
      <c r="H9" s="118"/>
      <c r="I9" s="118"/>
      <c r="J9" s="118"/>
      <c r="K9" s="118"/>
      <c r="L9" s="118"/>
      <c r="M9" s="118"/>
      <c r="N9" s="118"/>
      <c r="O9" s="118"/>
      <c r="P9" s="118"/>
      <c r="Q9" s="118"/>
      <c r="R9" s="118"/>
      <c r="S9" s="118"/>
      <c r="T9" s="118"/>
      <c r="U9" s="118"/>
      <c r="V9" s="118"/>
      <c r="W9" s="118"/>
      <c r="Y9" s="48" t="e">
        <f>VLOOKUP(X9,'Reference Records'!$E$253:$F$420,2,0)</f>
        <v>#N/A</v>
      </c>
      <c r="Z9" s="48" t="e">
        <f>MATCH($Y9,'Reference Records'!$E$507:$E$509,0)+ROW(Population_by_intervention) -1</f>
        <v>#N/A</v>
      </c>
      <c r="AA9" s="48" t="e">
        <f>MATCH($Y9,'Reference Records'!$E$507:$E$509,1)+ROW(Population_by_intervention) -1</f>
        <v>#N/A</v>
      </c>
      <c r="AB9" s="48" t="str">
        <f>IF(B9="","|empty|",B9&amp;C9)</f>
        <v>|empty|</v>
      </c>
      <c r="AC9" s="48" t="str">
        <f>IF(AB9="","",IFERROR(VLOOKUP(AB9,'Overview - Section A'!AF$124:AG175,2,0),VLOOKUP("|empty|",'Overview - Section A'!AF$124:AG175,2,0)))</f>
        <v>INT-350981</v>
      </c>
      <c r="AD9" s="48">
        <f>ROW(WPTM____Section_F)+3</f>
        <v>2897</v>
      </c>
      <c r="AE9" s="48">
        <f>ROW(WPTM_Results)+3</f>
        <v>3063</v>
      </c>
      <c r="AF9" s="48" t="str">
        <f>IFERROR(IF(AB9="","",IFERROR(VLOOKUP(AB9,'Overview - Section A'!AF$124:AO175,10,0),VLOOKUP("|empty|",'Overview - Section A'!AF$124:AO175,10,0))),"")</f>
        <v/>
      </c>
      <c r="AG9" s="48">
        <f ca="1">IF(INDIRECT("'update Helper'!D"&amp;AD9)=0,"",INDEX('Overview - Section A'!V123:V175,MATCH(INDIRECT("'update Helper'!D"&amp;AD9),'Overview - Section A'!AG123:AG175)))</f>
        <v>0</v>
      </c>
      <c r="AH9" s="310" t="str">
        <f>IFERROR(IF($AC9="","",INDEX('Overview - Section A'!$AB$124:$AB$175,MATCH($AC9,'Overview - Section A'!$AG$124:$AG$175))),"")</f>
        <v>a1MDm000000Xod6MAC</v>
      </c>
      <c r="AI9" s="310" t="str">
        <f>IFERROR(IF('Overview - Section A'!$AN$5="Funding Request",
IF(AND('Reference Records'!$B$427&lt;&gt;"",$F9 ='Reference Records'!$B$427),'Reference Records'!$C$427,""),
INDEX('Reference Records'!$A$498:$C$499,MATCH($F9,'Reference Records'!$A$498:$A$499,0),3)),"")</f>
        <v/>
      </c>
    </row>
    <row r="10" spans="1:35" ht="30" customHeight="1">
      <c r="A10" s="117">
        <v>2</v>
      </c>
      <c r="B10" s="120"/>
      <c r="C10" s="120"/>
      <c r="D10" s="120"/>
      <c r="E10" s="120"/>
      <c r="F10" s="121"/>
      <c r="G10" s="120" t="e">
        <v>#REF!</v>
      </c>
      <c r="H10" s="120" t="e">
        <v>#REF!</v>
      </c>
      <c r="I10" s="120" t="e">
        <v>#REF!</v>
      </c>
      <c r="J10" s="120" t="e">
        <v>#REF!</v>
      </c>
      <c r="K10" s="120" t="e">
        <v>#REF!</v>
      </c>
      <c r="L10" s="120" t="e">
        <v>#REF!</v>
      </c>
      <c r="M10" s="120" t="e">
        <v>#REF!</v>
      </c>
      <c r="N10" s="120" t="e">
        <v>#REF!</v>
      </c>
      <c r="O10" s="120" t="e">
        <v>#REF!</v>
      </c>
      <c r="P10" s="120" t="e">
        <v>#REF!</v>
      </c>
      <c r="Q10" s="120" t="e">
        <v>#REF!</v>
      </c>
      <c r="R10" s="120" t="e">
        <v>#REF!</v>
      </c>
      <c r="S10" s="120" t="e">
        <v>#REF!</v>
      </c>
      <c r="T10" s="120" t="e">
        <v>#REF!</v>
      </c>
      <c r="U10" s="120" t="e">
        <v>#REF!</v>
      </c>
      <c r="V10" s="120" t="e">
        <v>#REF!</v>
      </c>
      <c r="W10" s="120"/>
      <c r="Y10" s="48" t="e">
        <f>VLOOKUP(X10,'Reference Records'!$E$253:$F$420,2,0)</f>
        <v>#N/A</v>
      </c>
      <c r="Z10" s="48" t="e">
        <f>MATCH($Y10,'Reference Records'!$E$507:$E$509,0)+ROW(Population_by_intervention) -1</f>
        <v>#N/A</v>
      </c>
      <c r="AA10" s="48" t="e">
        <f>MATCH($Y10,'Reference Records'!$E$507:$E$509,1)+ROW(Population_by_intervention) -1</f>
        <v>#N/A</v>
      </c>
      <c r="AB10" s="48" t="str">
        <f t="shared" ref="AB10:AB73" si="0">IF(B10="","|empty|",B10&amp;C10)</f>
        <v>|empty|</v>
      </c>
      <c r="AC10" s="48" t="str">
        <f>IF(AB10="","",IFERROR(VLOOKUP(AB10,'Overview - Section A'!AF$124:AG176,2,0),VLOOKUP("|empty|",'Overview - Section A'!AF$124:AG176,2,0)))</f>
        <v>INT-350981</v>
      </c>
      <c r="AD10" s="48">
        <f>AD9+1</f>
        <v>2898</v>
      </c>
      <c r="AE10" s="48">
        <f ca="1">AE9+'update Helper'!$T$2</f>
        <v>3069.782608695652</v>
      </c>
      <c r="AF10" s="48" t="str">
        <f>IFERROR(IF(AB10="","",IFERROR(VLOOKUP(AB10,'Overview - Section A'!AF$124:AO176,10,0),VLOOKUP("|empty|",'Overview - Section A'!AF$124:AO176,10,0))),"")</f>
        <v/>
      </c>
      <c r="AH10" s="310" t="str">
        <f>IFERROR(IF($AC10="","",INDEX('Overview - Section A'!$AB$124:$AB$175,MATCH($AC10,'Overview - Section A'!$AG$124:$AG$175))),"")</f>
        <v>a1MDm000000Xod6MAC</v>
      </c>
      <c r="AI10" s="310" t="str">
        <f>IFERROR(IF('Overview - Section A'!$AN$5="Funding Request",
IF(AND('Reference Records'!$B$427&lt;&gt;"",$F10 ='Reference Records'!$B$427),'Reference Records'!$C$427,""),
INDEX('Reference Records'!$A$498:$C$499,MATCH($F10,'Reference Records'!$A$498:$A$499,0),3)),"")</f>
        <v/>
      </c>
    </row>
    <row r="11" spans="1:35" ht="30" customHeight="1">
      <c r="A11" s="117">
        <v>3</v>
      </c>
      <c r="B11" s="118"/>
      <c r="C11" s="118"/>
      <c r="D11" s="118"/>
      <c r="E11" s="118"/>
      <c r="F11" s="119"/>
      <c r="G11" s="118" t="e">
        <v>#REF!</v>
      </c>
      <c r="H11" s="118" t="e">
        <v>#REF!</v>
      </c>
      <c r="I11" s="118" t="e">
        <v>#REF!</v>
      </c>
      <c r="J11" s="118" t="e">
        <v>#REF!</v>
      </c>
      <c r="K11" s="118" t="e">
        <v>#REF!</v>
      </c>
      <c r="L11" s="118" t="e">
        <v>#REF!</v>
      </c>
      <c r="M11" s="118" t="e">
        <v>#REF!</v>
      </c>
      <c r="N11" s="118" t="e">
        <v>#REF!</v>
      </c>
      <c r="O11" s="118" t="e">
        <v>#REF!</v>
      </c>
      <c r="P11" s="118" t="e">
        <v>#REF!</v>
      </c>
      <c r="Q11" s="118" t="e">
        <v>#REF!</v>
      </c>
      <c r="R11" s="118" t="e">
        <v>#REF!</v>
      </c>
      <c r="S11" s="118" t="e">
        <v>#REF!</v>
      </c>
      <c r="T11" s="118" t="e">
        <v>#REF!</v>
      </c>
      <c r="U11" s="118" t="e">
        <v>#REF!</v>
      </c>
      <c r="V11" s="118" t="e">
        <v>#REF!</v>
      </c>
      <c r="W11" s="118"/>
      <c r="Y11" s="48" t="e">
        <f>VLOOKUP(X11,'Reference Records'!$E$253:$F$420,2,0)</f>
        <v>#N/A</v>
      </c>
      <c r="Z11" s="48" t="e">
        <f>MATCH($Y11,'Reference Records'!$E$507:$E$509,0)+ROW(Population_by_intervention) -1</f>
        <v>#N/A</v>
      </c>
      <c r="AA11" s="48" t="e">
        <f>MATCH($Y11,'Reference Records'!$E$507:$E$509,1)+ROW(Population_by_intervention) -1</f>
        <v>#N/A</v>
      </c>
      <c r="AB11" s="48" t="str">
        <f t="shared" si="0"/>
        <v>|empty|</v>
      </c>
      <c r="AC11" s="48" t="str">
        <f>IF(AB11="","",IFERROR(VLOOKUP(AB11,'Overview - Section A'!AF$124:AG177,2,0),VLOOKUP("|empty|",'Overview - Section A'!AF$124:AG177,2,0)))</f>
        <v>INT-350981</v>
      </c>
      <c r="AD11" s="48">
        <f t="shared" ref="AD11:AD74" si="1">AD10+1</f>
        <v>2899</v>
      </c>
      <c r="AE11" s="48">
        <f ca="1">AE10+'update Helper'!$T$2</f>
        <v>3076.565217391304</v>
      </c>
      <c r="AF11" s="48" t="str">
        <f>IFERROR(IF(AB11="","",IFERROR(VLOOKUP(AB11,'Overview - Section A'!AF$124:AO177,10,0),VLOOKUP("|empty|",'Overview - Section A'!AF$124:AO177,10,0))),"")</f>
        <v/>
      </c>
      <c r="AH11" s="310" t="str">
        <f>IFERROR(IF($AC11="","",INDEX('Overview - Section A'!$AB$124:$AB$175,MATCH($AC11,'Overview - Section A'!$AG$124:$AG$175))),"")</f>
        <v>a1MDm000000Xod6MAC</v>
      </c>
      <c r="AI11" s="310" t="str">
        <f>IFERROR(IF('Overview - Section A'!$AN$5="Funding Request",
IF(AND('Reference Records'!$B$427&lt;&gt;"",$F11 ='Reference Records'!$B$427),'Reference Records'!$C$427,""),
INDEX('Reference Records'!$A$498:$C$499,MATCH($F11,'Reference Records'!$A$498:$A$499,0),3)),"")</f>
        <v/>
      </c>
    </row>
    <row r="12" spans="1:35" ht="30" customHeight="1">
      <c r="A12" s="117">
        <v>4</v>
      </c>
      <c r="B12" s="120"/>
      <c r="C12" s="120"/>
      <c r="D12" s="120"/>
      <c r="E12" s="120"/>
      <c r="F12" s="121"/>
      <c r="G12" s="120" t="e">
        <v>#REF!</v>
      </c>
      <c r="H12" s="120" t="e">
        <v>#REF!</v>
      </c>
      <c r="I12" s="120" t="e">
        <v>#REF!</v>
      </c>
      <c r="J12" s="120" t="e">
        <v>#REF!</v>
      </c>
      <c r="K12" s="120" t="e">
        <v>#REF!</v>
      </c>
      <c r="L12" s="120" t="e">
        <v>#REF!</v>
      </c>
      <c r="M12" s="120" t="e">
        <v>#REF!</v>
      </c>
      <c r="N12" s="120" t="e">
        <v>#REF!</v>
      </c>
      <c r="O12" s="120" t="e">
        <v>#REF!</v>
      </c>
      <c r="P12" s="120" t="e">
        <v>#REF!</v>
      </c>
      <c r="Q12" s="120" t="e">
        <v>#REF!</v>
      </c>
      <c r="R12" s="120" t="e">
        <v>#REF!</v>
      </c>
      <c r="S12" s="120" t="e">
        <v>#REF!</v>
      </c>
      <c r="T12" s="120" t="e">
        <v>#REF!</v>
      </c>
      <c r="U12" s="120" t="e">
        <v>#REF!</v>
      </c>
      <c r="V12" s="120" t="e">
        <v>#REF!</v>
      </c>
      <c r="W12" s="120"/>
      <c r="Y12" s="48" t="e">
        <f>VLOOKUP(X12,'Reference Records'!$E$253:$F$420,2,0)</f>
        <v>#N/A</v>
      </c>
      <c r="Z12" s="48" t="e">
        <f>MATCH($Y12,'Reference Records'!$E$507:$E$509,0)+ROW(Population_by_intervention) -1</f>
        <v>#N/A</v>
      </c>
      <c r="AA12" s="48" t="e">
        <f>MATCH($Y12,'Reference Records'!$E$507:$E$509,1)+ROW(Population_by_intervention) -1</f>
        <v>#N/A</v>
      </c>
      <c r="AB12" s="48" t="str">
        <f t="shared" si="0"/>
        <v>|empty|</v>
      </c>
      <c r="AC12" s="48" t="str">
        <f>IF(AB12="","",IFERROR(VLOOKUP(AB12,'Overview - Section A'!AF$124:AG178,2,0),VLOOKUP("|empty|",'Overview - Section A'!AF$124:AG178,2,0)))</f>
        <v>INT-350981</v>
      </c>
      <c r="AD12" s="48">
        <f t="shared" si="1"/>
        <v>2900</v>
      </c>
      <c r="AE12" s="48">
        <f ca="1">AE11+'update Helper'!$T$2</f>
        <v>3083.347826086956</v>
      </c>
      <c r="AF12" s="48" t="str">
        <f>IFERROR(IF(AB12="","",IFERROR(VLOOKUP(AB12,'Overview - Section A'!AF$124:AO178,10,0),VLOOKUP("|empty|",'Overview - Section A'!AF$124:AO178,10,0))),"")</f>
        <v/>
      </c>
      <c r="AH12" s="310" t="str">
        <f>IFERROR(IF($AC12="","",INDEX('Overview - Section A'!$AB$124:$AB$175,MATCH($AC12,'Overview - Section A'!$AG$124:$AG$175))),"")</f>
        <v>a1MDm000000Xod6MAC</v>
      </c>
      <c r="AI12" s="310" t="str">
        <f>IFERROR(IF('Overview - Section A'!$AN$5="Funding Request",
IF(AND('Reference Records'!$B$427&lt;&gt;"",$F12 ='Reference Records'!$B$427),'Reference Records'!$C$427,""),
INDEX('Reference Records'!$A$498:$C$499,MATCH($F12,'Reference Records'!$A$498:$A$499,0),3)),"")</f>
        <v/>
      </c>
    </row>
    <row r="13" spans="1:35" ht="30" customHeight="1">
      <c r="A13" s="117">
        <v>5</v>
      </c>
      <c r="B13" s="118"/>
      <c r="C13" s="118"/>
      <c r="D13" s="118"/>
      <c r="E13" s="118"/>
      <c r="F13" s="119"/>
      <c r="G13" s="118" t="e">
        <v>#REF!</v>
      </c>
      <c r="H13" s="118" t="e">
        <v>#REF!</v>
      </c>
      <c r="I13" s="118" t="e">
        <v>#REF!</v>
      </c>
      <c r="J13" s="118" t="e">
        <v>#REF!</v>
      </c>
      <c r="K13" s="118" t="e">
        <v>#REF!</v>
      </c>
      <c r="L13" s="118" t="e">
        <v>#REF!</v>
      </c>
      <c r="M13" s="118" t="e">
        <v>#REF!</v>
      </c>
      <c r="N13" s="118" t="e">
        <v>#REF!</v>
      </c>
      <c r="O13" s="118" t="e">
        <v>#REF!</v>
      </c>
      <c r="P13" s="118" t="e">
        <v>#REF!</v>
      </c>
      <c r="Q13" s="118" t="e">
        <v>#REF!</v>
      </c>
      <c r="R13" s="118" t="e">
        <v>#REF!</v>
      </c>
      <c r="S13" s="118" t="e">
        <v>#REF!</v>
      </c>
      <c r="T13" s="118" t="e">
        <v>#REF!</v>
      </c>
      <c r="U13" s="118" t="e">
        <v>#REF!</v>
      </c>
      <c r="V13" s="118" t="e">
        <v>#REF!</v>
      </c>
      <c r="W13" s="118"/>
      <c r="Y13" s="48" t="e">
        <f>VLOOKUP(X13,'Reference Records'!$E$253:$F$420,2,0)</f>
        <v>#N/A</v>
      </c>
      <c r="Z13" s="48" t="e">
        <f>MATCH($Y13,'Reference Records'!$E$507:$E$509,0)+ROW(Population_by_intervention) -1</f>
        <v>#N/A</v>
      </c>
      <c r="AA13" s="48" t="e">
        <f>MATCH($Y13,'Reference Records'!$E$507:$E$509,1)+ROW(Population_by_intervention) -1</f>
        <v>#N/A</v>
      </c>
      <c r="AB13" s="48" t="str">
        <f t="shared" si="0"/>
        <v>|empty|</v>
      </c>
      <c r="AC13" s="48" t="str">
        <f>IF(AB13="","",IFERROR(VLOOKUP(AB13,'Overview - Section A'!AF$124:AG179,2,0),VLOOKUP("|empty|",'Overview - Section A'!AF$124:AG179,2,0)))</f>
        <v>INT-350981</v>
      </c>
      <c r="AD13" s="48">
        <f t="shared" si="1"/>
        <v>2901</v>
      </c>
      <c r="AE13" s="48">
        <f ca="1">AE12+'update Helper'!$T$2</f>
        <v>3090.1304347826081</v>
      </c>
      <c r="AF13" s="48" t="str">
        <f>IFERROR(IF(AB13="","",IFERROR(VLOOKUP(AB13,'Overview - Section A'!AF$124:AO179,10,0),VLOOKUP("|empty|",'Overview - Section A'!AF$124:AO179,10,0))),"")</f>
        <v/>
      </c>
      <c r="AH13" s="310" t="str">
        <f>IFERROR(IF($AC13="","",INDEX('Overview - Section A'!$AB$124:$AB$175,MATCH($AC13,'Overview - Section A'!$AG$124:$AG$175))),"")</f>
        <v>a1MDm000000Xod6MAC</v>
      </c>
      <c r="AI13" s="310" t="str">
        <f>IFERROR(IF('Overview - Section A'!$AN$5="Funding Request",
IF(AND('Reference Records'!$B$427&lt;&gt;"",$F13 ='Reference Records'!$B$427),'Reference Records'!$C$427,""),
INDEX('Reference Records'!$A$498:$C$499,MATCH($F13,'Reference Records'!$A$498:$A$499,0),3)),"")</f>
        <v/>
      </c>
    </row>
    <row r="14" spans="1:35" ht="30" customHeight="1">
      <c r="A14" s="117">
        <v>6</v>
      </c>
      <c r="B14" s="120"/>
      <c r="C14" s="120"/>
      <c r="D14" s="120"/>
      <c r="E14" s="120"/>
      <c r="F14" s="121"/>
      <c r="G14" s="120" t="e">
        <v>#REF!</v>
      </c>
      <c r="H14" s="120" t="e">
        <v>#REF!</v>
      </c>
      <c r="I14" s="120" t="e">
        <v>#REF!</v>
      </c>
      <c r="J14" s="120" t="e">
        <v>#REF!</v>
      </c>
      <c r="K14" s="120" t="e">
        <v>#REF!</v>
      </c>
      <c r="L14" s="120" t="e">
        <v>#REF!</v>
      </c>
      <c r="M14" s="120" t="e">
        <v>#REF!</v>
      </c>
      <c r="N14" s="120" t="e">
        <v>#REF!</v>
      </c>
      <c r="O14" s="120" t="e">
        <v>#REF!</v>
      </c>
      <c r="P14" s="120" t="e">
        <v>#REF!</v>
      </c>
      <c r="Q14" s="120" t="e">
        <v>#REF!</v>
      </c>
      <c r="R14" s="120" t="e">
        <v>#REF!</v>
      </c>
      <c r="S14" s="120" t="e">
        <v>#REF!</v>
      </c>
      <c r="T14" s="120" t="e">
        <v>#REF!</v>
      </c>
      <c r="U14" s="120" t="e">
        <v>#REF!</v>
      </c>
      <c r="V14" s="120" t="e">
        <v>#REF!</v>
      </c>
      <c r="W14" s="120"/>
      <c r="Y14" s="48" t="e">
        <f>VLOOKUP(X14,'Reference Records'!$E$253:$F$420,2,0)</f>
        <v>#N/A</v>
      </c>
      <c r="Z14" s="48" t="e">
        <f>MATCH($Y14,'Reference Records'!$E$507:$E$509,0)+ROW(Population_by_intervention) -1</f>
        <v>#N/A</v>
      </c>
      <c r="AA14" s="48" t="e">
        <f>MATCH($Y14,'Reference Records'!$E$507:$E$509,1)+ROW(Population_by_intervention) -1</f>
        <v>#N/A</v>
      </c>
      <c r="AB14" s="48" t="str">
        <f t="shared" si="0"/>
        <v>|empty|</v>
      </c>
      <c r="AC14" s="48" t="str">
        <f>IF(AB14="","",IFERROR(VLOOKUP(AB14,'Overview - Section A'!AF$124:AG180,2,0),VLOOKUP("|empty|",'Overview - Section A'!AF$124:AG180,2,0)))</f>
        <v>INT-350981</v>
      </c>
      <c r="AD14" s="48">
        <f t="shared" si="1"/>
        <v>2902</v>
      </c>
      <c r="AE14" s="48">
        <f ca="1">AE13+'update Helper'!$T$2</f>
        <v>3096.9130434782601</v>
      </c>
      <c r="AF14" s="48" t="str">
        <f>IFERROR(IF(AB14="","",IFERROR(VLOOKUP(AB14,'Overview - Section A'!AF$124:AO180,10,0),VLOOKUP("|empty|",'Overview - Section A'!AF$124:AO180,10,0))),"")</f>
        <v/>
      </c>
      <c r="AH14" s="310" t="str">
        <f>IFERROR(IF($AC14="","",INDEX('Overview - Section A'!$AB$124:$AB$175,MATCH($AC14,'Overview - Section A'!$AG$124:$AG$175))),"")</f>
        <v>a1MDm000000Xod6MAC</v>
      </c>
      <c r="AI14" s="310" t="str">
        <f>IFERROR(IF('Overview - Section A'!$AN$5="Funding Request",
IF(AND('Reference Records'!$B$427&lt;&gt;"",$F14 ='Reference Records'!$B$427),'Reference Records'!$C$427,""),
INDEX('Reference Records'!$A$498:$C$499,MATCH($F14,'Reference Records'!$A$498:$A$499,0),3)),"")</f>
        <v/>
      </c>
    </row>
    <row r="15" spans="1:35" ht="30" customHeight="1">
      <c r="A15" s="117">
        <v>7</v>
      </c>
      <c r="B15" s="118"/>
      <c r="C15" s="118"/>
      <c r="D15" s="118"/>
      <c r="E15" s="118"/>
      <c r="F15" s="119"/>
      <c r="G15" s="118" t="e">
        <v>#REF!</v>
      </c>
      <c r="H15" s="118" t="e">
        <v>#REF!</v>
      </c>
      <c r="I15" s="118" t="e">
        <v>#REF!</v>
      </c>
      <c r="J15" s="118" t="e">
        <v>#REF!</v>
      </c>
      <c r="K15" s="118" t="e">
        <v>#REF!</v>
      </c>
      <c r="L15" s="118" t="e">
        <v>#REF!</v>
      </c>
      <c r="M15" s="118" t="e">
        <v>#REF!</v>
      </c>
      <c r="N15" s="118" t="e">
        <v>#REF!</v>
      </c>
      <c r="O15" s="118" t="e">
        <v>#REF!</v>
      </c>
      <c r="P15" s="118" t="e">
        <v>#REF!</v>
      </c>
      <c r="Q15" s="118" t="e">
        <v>#REF!</v>
      </c>
      <c r="R15" s="118" t="e">
        <v>#REF!</v>
      </c>
      <c r="S15" s="118" t="e">
        <v>#REF!</v>
      </c>
      <c r="T15" s="118" t="e">
        <v>#REF!</v>
      </c>
      <c r="U15" s="118" t="e">
        <v>#REF!</v>
      </c>
      <c r="V15" s="118" t="e">
        <v>#REF!</v>
      </c>
      <c r="W15" s="118"/>
      <c r="Y15" s="48" t="e">
        <f>VLOOKUP(X15,'Reference Records'!$E$253:$F$420,2,0)</f>
        <v>#N/A</v>
      </c>
      <c r="Z15" s="48" t="e">
        <f>MATCH($Y15,'Reference Records'!$E$507:$E$509,0)+ROW(Population_by_intervention) -1</f>
        <v>#N/A</v>
      </c>
      <c r="AA15" s="48" t="e">
        <f>MATCH($Y15,'Reference Records'!$E$507:$E$509,1)+ROW(Population_by_intervention) -1</f>
        <v>#N/A</v>
      </c>
      <c r="AB15" s="48" t="str">
        <f t="shared" si="0"/>
        <v>|empty|</v>
      </c>
      <c r="AC15" s="48" t="str">
        <f>IF(AB15="","",IFERROR(VLOOKUP(AB15,'Overview - Section A'!AF$124:AG181,2,0),VLOOKUP("|empty|",'Overview - Section A'!AF$124:AG181,2,0)))</f>
        <v>INT-350981</v>
      </c>
      <c r="AD15" s="48">
        <f t="shared" si="1"/>
        <v>2903</v>
      </c>
      <c r="AE15" s="48">
        <f ca="1">AE14+'update Helper'!$T$2</f>
        <v>3103.6956521739121</v>
      </c>
      <c r="AF15" s="48" t="str">
        <f>IFERROR(IF(AB15="","",IFERROR(VLOOKUP(AB15,'Overview - Section A'!AF$124:AO181,10,0),VLOOKUP("|empty|",'Overview - Section A'!AF$124:AO181,10,0))),"")</f>
        <v/>
      </c>
      <c r="AH15" s="310" t="str">
        <f>IFERROR(IF($AC15="","",INDEX('Overview - Section A'!$AB$124:$AB$175,MATCH($AC15,'Overview - Section A'!$AG$124:$AG$175))),"")</f>
        <v>a1MDm000000Xod6MAC</v>
      </c>
      <c r="AI15" s="310" t="str">
        <f>IFERROR(IF('Overview - Section A'!$AN$5="Funding Request",
IF(AND('Reference Records'!$B$427&lt;&gt;"",$F15 ='Reference Records'!$B$427),'Reference Records'!$C$427,""),
INDEX('Reference Records'!$A$498:$C$499,MATCH($F15,'Reference Records'!$A$498:$A$499,0),3)),"")</f>
        <v/>
      </c>
    </row>
    <row r="16" spans="1:35" ht="30" customHeight="1">
      <c r="A16" s="117">
        <v>8</v>
      </c>
      <c r="B16" s="120"/>
      <c r="C16" s="120"/>
      <c r="D16" s="120"/>
      <c r="E16" s="120"/>
      <c r="F16" s="121"/>
      <c r="G16" s="120" t="e">
        <v>#REF!</v>
      </c>
      <c r="H16" s="120" t="e">
        <v>#REF!</v>
      </c>
      <c r="I16" s="120" t="e">
        <v>#REF!</v>
      </c>
      <c r="J16" s="120" t="e">
        <v>#REF!</v>
      </c>
      <c r="K16" s="120" t="e">
        <v>#REF!</v>
      </c>
      <c r="L16" s="120" t="e">
        <v>#REF!</v>
      </c>
      <c r="M16" s="120" t="e">
        <v>#REF!</v>
      </c>
      <c r="N16" s="120" t="e">
        <v>#REF!</v>
      </c>
      <c r="O16" s="120" t="e">
        <v>#REF!</v>
      </c>
      <c r="P16" s="120" t="e">
        <v>#REF!</v>
      </c>
      <c r="Q16" s="120" t="e">
        <v>#REF!</v>
      </c>
      <c r="R16" s="120" t="e">
        <v>#REF!</v>
      </c>
      <c r="S16" s="120" t="e">
        <v>#REF!</v>
      </c>
      <c r="T16" s="120" t="e">
        <v>#REF!</v>
      </c>
      <c r="U16" s="120" t="e">
        <v>#REF!</v>
      </c>
      <c r="V16" s="120" t="e">
        <v>#REF!</v>
      </c>
      <c r="W16" s="120"/>
      <c r="Y16" s="48" t="e">
        <f>VLOOKUP(X16,'Reference Records'!$E$253:$F$420,2,0)</f>
        <v>#N/A</v>
      </c>
      <c r="Z16" s="48" t="e">
        <f>MATCH($Y16,'Reference Records'!$E$507:$E$509,0)+ROW(Population_by_intervention) -1</f>
        <v>#N/A</v>
      </c>
      <c r="AA16" s="48" t="e">
        <f>MATCH($Y16,'Reference Records'!$E$507:$E$509,1)+ROW(Population_by_intervention) -1</f>
        <v>#N/A</v>
      </c>
      <c r="AB16" s="48" t="str">
        <f t="shared" si="0"/>
        <v>|empty|</v>
      </c>
      <c r="AC16" s="48" t="str">
        <f>IF(AB16="","",IFERROR(VLOOKUP(AB16,'Overview - Section A'!AF$124:AG182,2,0),VLOOKUP("|empty|",'Overview - Section A'!AF$124:AG182,2,0)))</f>
        <v>INT-350981</v>
      </c>
      <c r="AD16" s="48">
        <f t="shared" si="1"/>
        <v>2904</v>
      </c>
      <c r="AE16" s="48">
        <f ca="1">AE15+'update Helper'!$T$2</f>
        <v>3110.4782608695641</v>
      </c>
      <c r="AF16" s="48" t="str">
        <f>IFERROR(IF(AB16="","",IFERROR(VLOOKUP(AB16,'Overview - Section A'!AF$124:AO182,10,0),VLOOKUP("|empty|",'Overview - Section A'!AF$124:AO182,10,0))),"")</f>
        <v/>
      </c>
      <c r="AH16" s="310" t="str">
        <f>IFERROR(IF($AC16="","",INDEX('Overview - Section A'!$AB$124:$AB$175,MATCH($AC16,'Overview - Section A'!$AG$124:$AG$175))),"")</f>
        <v>a1MDm000000Xod6MAC</v>
      </c>
      <c r="AI16" s="310" t="str">
        <f>IFERROR(IF('Overview - Section A'!$AN$5="Funding Request",
IF(AND('Reference Records'!$B$427&lt;&gt;"",$F16 ='Reference Records'!$B$427),'Reference Records'!$C$427,""),
INDEX('Reference Records'!$A$498:$C$499,MATCH($F16,'Reference Records'!$A$498:$A$499,0),3)),"")</f>
        <v/>
      </c>
    </row>
    <row r="17" spans="1:35" ht="30" customHeight="1">
      <c r="A17" s="117">
        <v>9</v>
      </c>
      <c r="B17" s="118"/>
      <c r="C17" s="118"/>
      <c r="D17" s="118"/>
      <c r="E17" s="118"/>
      <c r="F17" s="119"/>
      <c r="G17" s="118" t="e">
        <v>#REF!</v>
      </c>
      <c r="H17" s="118" t="e">
        <v>#REF!</v>
      </c>
      <c r="I17" s="118" t="e">
        <v>#REF!</v>
      </c>
      <c r="J17" s="118" t="e">
        <v>#REF!</v>
      </c>
      <c r="K17" s="118" t="e">
        <v>#REF!</v>
      </c>
      <c r="L17" s="118" t="e">
        <v>#REF!</v>
      </c>
      <c r="M17" s="118" t="e">
        <v>#REF!</v>
      </c>
      <c r="N17" s="118" t="e">
        <v>#REF!</v>
      </c>
      <c r="O17" s="118" t="e">
        <v>#REF!</v>
      </c>
      <c r="P17" s="118" t="e">
        <v>#REF!</v>
      </c>
      <c r="Q17" s="118" t="e">
        <v>#REF!</v>
      </c>
      <c r="R17" s="118" t="e">
        <v>#REF!</v>
      </c>
      <c r="S17" s="118" t="e">
        <v>#REF!</v>
      </c>
      <c r="T17" s="118" t="e">
        <v>#REF!</v>
      </c>
      <c r="U17" s="118" t="e">
        <v>#REF!</v>
      </c>
      <c r="V17" s="118" t="e">
        <v>#REF!</v>
      </c>
      <c r="W17" s="118"/>
      <c r="Y17" s="48" t="e">
        <f>VLOOKUP(X17,'Reference Records'!$E$253:$F$420,2,0)</f>
        <v>#N/A</v>
      </c>
      <c r="Z17" s="48" t="e">
        <f>MATCH($Y17,'Reference Records'!$E$507:$E$509,0)+ROW(Population_by_intervention) -1</f>
        <v>#N/A</v>
      </c>
      <c r="AA17" s="48" t="e">
        <f>MATCH($Y17,'Reference Records'!$E$507:$E$509,1)+ROW(Population_by_intervention) -1</f>
        <v>#N/A</v>
      </c>
      <c r="AB17" s="48" t="str">
        <f t="shared" si="0"/>
        <v>|empty|</v>
      </c>
      <c r="AC17" s="48" t="str">
        <f>IF(AB17="","",IFERROR(VLOOKUP(AB17,'Overview - Section A'!AF$124:AG183,2,0),VLOOKUP("|empty|",'Overview - Section A'!AF$124:AG183,2,0)))</f>
        <v>INT-350981</v>
      </c>
      <c r="AD17" s="48">
        <f t="shared" si="1"/>
        <v>2905</v>
      </c>
      <c r="AE17" s="48">
        <f ca="1">AE16+'update Helper'!$T$2</f>
        <v>3117.2608695652161</v>
      </c>
      <c r="AF17" s="48" t="str">
        <f>IFERROR(IF(AB17="","",IFERROR(VLOOKUP(AB17,'Overview - Section A'!AF$124:AO183,10,0),VLOOKUP("|empty|",'Overview - Section A'!AF$124:AO183,10,0))),"")</f>
        <v/>
      </c>
      <c r="AH17" s="310" t="str">
        <f>IFERROR(IF($AC17="","",INDEX('Overview - Section A'!$AB$124:$AB$175,MATCH($AC17,'Overview - Section A'!$AG$124:$AG$175))),"")</f>
        <v>a1MDm000000Xod6MAC</v>
      </c>
      <c r="AI17" s="310" t="str">
        <f>IFERROR(IF('Overview - Section A'!$AN$5="Funding Request",
IF(AND('Reference Records'!$B$427&lt;&gt;"",$F17 ='Reference Records'!$B$427),'Reference Records'!$C$427,""),
INDEX('Reference Records'!$A$498:$C$499,MATCH($F17,'Reference Records'!$A$498:$A$499,0),3)),"")</f>
        <v/>
      </c>
    </row>
    <row r="18" spans="1:35" ht="30" customHeight="1">
      <c r="A18" s="117">
        <v>10</v>
      </c>
      <c r="B18" s="120"/>
      <c r="C18" s="120"/>
      <c r="D18" s="120"/>
      <c r="E18" s="120"/>
      <c r="F18" s="121"/>
      <c r="G18" s="120" t="e">
        <v>#REF!</v>
      </c>
      <c r="H18" s="120" t="e">
        <v>#REF!</v>
      </c>
      <c r="I18" s="120" t="e">
        <v>#REF!</v>
      </c>
      <c r="J18" s="120" t="e">
        <v>#REF!</v>
      </c>
      <c r="K18" s="120" t="e">
        <v>#REF!</v>
      </c>
      <c r="L18" s="120" t="e">
        <v>#REF!</v>
      </c>
      <c r="M18" s="120" t="e">
        <v>#REF!</v>
      </c>
      <c r="N18" s="120" t="e">
        <v>#REF!</v>
      </c>
      <c r="O18" s="120" t="e">
        <v>#REF!</v>
      </c>
      <c r="P18" s="120" t="e">
        <v>#REF!</v>
      </c>
      <c r="Q18" s="120" t="e">
        <v>#REF!</v>
      </c>
      <c r="R18" s="120" t="e">
        <v>#REF!</v>
      </c>
      <c r="S18" s="120" t="e">
        <v>#REF!</v>
      </c>
      <c r="T18" s="120" t="e">
        <v>#REF!</v>
      </c>
      <c r="U18" s="120" t="e">
        <v>#REF!</v>
      </c>
      <c r="V18" s="120" t="e">
        <v>#REF!</v>
      </c>
      <c r="W18" s="120"/>
      <c r="Y18" s="48" t="e">
        <f>VLOOKUP(X18,'Reference Records'!$E$253:$F$420,2,0)</f>
        <v>#N/A</v>
      </c>
      <c r="Z18" s="48" t="e">
        <f>MATCH($Y18,'Reference Records'!$E$507:$E$509,0)+ROW(Population_by_intervention) -1</f>
        <v>#N/A</v>
      </c>
      <c r="AA18" s="48" t="e">
        <f>MATCH($Y18,'Reference Records'!$E$507:$E$509,1)+ROW(Population_by_intervention) -1</f>
        <v>#N/A</v>
      </c>
      <c r="AB18" s="48" t="str">
        <f t="shared" si="0"/>
        <v>|empty|</v>
      </c>
      <c r="AC18" s="48" t="str">
        <f>IF(AB18="","",IFERROR(VLOOKUP(AB18,'Overview - Section A'!AF$124:AG184,2,0),VLOOKUP("|empty|",'Overview - Section A'!AF$124:AG184,2,0)))</f>
        <v>INT-350981</v>
      </c>
      <c r="AD18" s="48">
        <f t="shared" si="1"/>
        <v>2906</v>
      </c>
      <c r="AE18" s="48">
        <f ca="1">AE17+'update Helper'!$T$2</f>
        <v>3124.0434782608681</v>
      </c>
      <c r="AF18" s="48" t="str">
        <f>IFERROR(IF(AB18="","",IFERROR(VLOOKUP(AB18,'Overview - Section A'!AF$124:AO184,10,0),VLOOKUP("|empty|",'Overview - Section A'!AF$124:AO184,10,0))),"")</f>
        <v/>
      </c>
      <c r="AH18" s="310" t="str">
        <f>IFERROR(IF($AC18="","",INDEX('Overview - Section A'!$AB$124:$AB$175,MATCH($AC18,'Overview - Section A'!$AG$124:$AG$175))),"")</f>
        <v>a1MDm000000Xod6MAC</v>
      </c>
      <c r="AI18" s="310" t="str">
        <f>IFERROR(IF('Overview - Section A'!$AN$5="Funding Request",
IF(AND('Reference Records'!$B$427&lt;&gt;"",$F18 ='Reference Records'!$B$427),'Reference Records'!$C$427,""),
INDEX('Reference Records'!$A$498:$C$499,MATCH($F18,'Reference Records'!$A$498:$A$499,0),3)),"")</f>
        <v/>
      </c>
    </row>
    <row r="19" spans="1:35" ht="30" customHeight="1">
      <c r="A19" s="117">
        <v>11</v>
      </c>
      <c r="B19" s="118"/>
      <c r="C19" s="118"/>
      <c r="D19" s="118"/>
      <c r="E19" s="118"/>
      <c r="F19" s="119"/>
      <c r="G19" s="118" t="e">
        <v>#REF!</v>
      </c>
      <c r="H19" s="118" t="e">
        <v>#REF!</v>
      </c>
      <c r="I19" s="118" t="e">
        <v>#REF!</v>
      </c>
      <c r="J19" s="118" t="e">
        <v>#REF!</v>
      </c>
      <c r="K19" s="118" t="e">
        <v>#REF!</v>
      </c>
      <c r="L19" s="118" t="e">
        <v>#REF!</v>
      </c>
      <c r="M19" s="118" t="e">
        <v>#REF!</v>
      </c>
      <c r="N19" s="118" t="e">
        <v>#REF!</v>
      </c>
      <c r="O19" s="118" t="e">
        <v>#REF!</v>
      </c>
      <c r="P19" s="118" t="e">
        <v>#REF!</v>
      </c>
      <c r="Q19" s="118" t="e">
        <v>#REF!</v>
      </c>
      <c r="R19" s="118" t="e">
        <v>#REF!</v>
      </c>
      <c r="S19" s="118" t="e">
        <v>#REF!</v>
      </c>
      <c r="T19" s="118" t="e">
        <v>#REF!</v>
      </c>
      <c r="U19" s="118" t="e">
        <v>#REF!</v>
      </c>
      <c r="V19" s="118" t="e">
        <v>#REF!</v>
      </c>
      <c r="W19" s="118"/>
      <c r="Y19" s="48" t="e">
        <f>VLOOKUP(X19,'Reference Records'!$E$253:$F$420,2,0)</f>
        <v>#N/A</v>
      </c>
      <c r="Z19" s="48" t="e">
        <f>MATCH($Y19,'Reference Records'!$E$507:$E$509,0)+ROW(Population_by_intervention) -1</f>
        <v>#N/A</v>
      </c>
      <c r="AA19" s="48" t="e">
        <f>MATCH($Y19,'Reference Records'!$E$507:$E$509,1)+ROW(Population_by_intervention) -1</f>
        <v>#N/A</v>
      </c>
      <c r="AB19" s="48" t="str">
        <f t="shared" si="0"/>
        <v>|empty|</v>
      </c>
      <c r="AC19" s="48" t="str">
        <f>IF(AB19="","",IFERROR(VLOOKUP(AB19,'Overview - Section A'!AF$124:AG185,2,0),VLOOKUP("|empty|",'Overview - Section A'!AF$124:AG185,2,0)))</f>
        <v>INT-350981</v>
      </c>
      <c r="AD19" s="48">
        <f t="shared" si="1"/>
        <v>2907</v>
      </c>
      <c r="AE19" s="48">
        <f ca="1">AE18+'update Helper'!$T$2</f>
        <v>3130.8260869565202</v>
      </c>
      <c r="AF19" s="48" t="str">
        <f>IFERROR(IF(AB19="","",IFERROR(VLOOKUP(AB19,'Overview - Section A'!AF$124:AO185,10,0),VLOOKUP("|empty|",'Overview - Section A'!AF$124:AO185,10,0))),"")</f>
        <v/>
      </c>
      <c r="AH19" s="310" t="str">
        <f>IFERROR(IF($AC19="","",INDEX('Overview - Section A'!$AB$124:$AB$175,MATCH($AC19,'Overview - Section A'!$AG$124:$AG$175))),"")</f>
        <v>a1MDm000000Xod6MAC</v>
      </c>
      <c r="AI19" s="310" t="str">
        <f>IFERROR(IF('Overview - Section A'!$AN$5="Funding Request",
IF(AND('Reference Records'!$B$427&lt;&gt;"",$F19 ='Reference Records'!$B$427),'Reference Records'!$C$427,""),
INDEX('Reference Records'!$A$498:$C$499,MATCH($F19,'Reference Records'!$A$498:$A$499,0),3)),"")</f>
        <v/>
      </c>
    </row>
    <row r="20" spans="1:35" ht="30" customHeight="1">
      <c r="A20" s="117">
        <v>12</v>
      </c>
      <c r="B20" s="120"/>
      <c r="C20" s="120"/>
      <c r="D20" s="120"/>
      <c r="E20" s="120"/>
      <c r="F20" s="121"/>
      <c r="G20" s="120" t="e">
        <v>#REF!</v>
      </c>
      <c r="H20" s="120" t="e">
        <v>#REF!</v>
      </c>
      <c r="I20" s="120" t="e">
        <v>#REF!</v>
      </c>
      <c r="J20" s="120" t="e">
        <v>#REF!</v>
      </c>
      <c r="K20" s="120" t="e">
        <v>#REF!</v>
      </c>
      <c r="L20" s="120" t="e">
        <v>#REF!</v>
      </c>
      <c r="M20" s="120" t="e">
        <v>#REF!</v>
      </c>
      <c r="N20" s="120" t="e">
        <v>#REF!</v>
      </c>
      <c r="O20" s="120" t="e">
        <v>#REF!</v>
      </c>
      <c r="P20" s="120" t="e">
        <v>#REF!</v>
      </c>
      <c r="Q20" s="120" t="e">
        <v>#REF!</v>
      </c>
      <c r="R20" s="120" t="e">
        <v>#REF!</v>
      </c>
      <c r="S20" s="120" t="e">
        <v>#REF!</v>
      </c>
      <c r="T20" s="120" t="e">
        <v>#REF!</v>
      </c>
      <c r="U20" s="120" t="e">
        <v>#REF!</v>
      </c>
      <c r="V20" s="120" t="e">
        <v>#REF!</v>
      </c>
      <c r="W20" s="120"/>
      <c r="Y20" s="48" t="e">
        <f>VLOOKUP(X20,'Reference Records'!$E$253:$F$420,2,0)</f>
        <v>#N/A</v>
      </c>
      <c r="Z20" s="48" t="e">
        <f>MATCH($Y20,'Reference Records'!$E$507:$E$509,0)+ROW(Population_by_intervention) -1</f>
        <v>#N/A</v>
      </c>
      <c r="AA20" s="48" t="e">
        <f>MATCH($Y20,'Reference Records'!$E$507:$E$509,1)+ROW(Population_by_intervention) -1</f>
        <v>#N/A</v>
      </c>
      <c r="AB20" s="48" t="str">
        <f t="shared" si="0"/>
        <v>|empty|</v>
      </c>
      <c r="AC20" s="48" t="str">
        <f>IF(AB20="","",IFERROR(VLOOKUP(AB20,'Overview - Section A'!AF$124:AG186,2,0),VLOOKUP("|empty|",'Overview - Section A'!AF$124:AG186,2,0)))</f>
        <v>INT-350981</v>
      </c>
      <c r="AD20" s="48">
        <f t="shared" si="1"/>
        <v>2908</v>
      </c>
      <c r="AE20" s="48">
        <f ca="1">AE19+'update Helper'!$T$2</f>
        <v>3137.6086956521722</v>
      </c>
      <c r="AF20" s="48" t="str">
        <f>IFERROR(IF(AB20="","",IFERROR(VLOOKUP(AB20,'Overview - Section A'!AF$124:AO186,10,0),VLOOKUP("|empty|",'Overview - Section A'!AF$124:AO186,10,0))),"")</f>
        <v/>
      </c>
      <c r="AH20" s="310" t="str">
        <f>IFERROR(IF($AC20="","",INDEX('Overview - Section A'!$AB$124:$AB$175,MATCH($AC20,'Overview - Section A'!$AG$124:$AG$175))),"")</f>
        <v>a1MDm000000Xod6MAC</v>
      </c>
      <c r="AI20" s="310" t="str">
        <f>IFERROR(IF('Overview - Section A'!$AN$5="Funding Request",
IF(AND('Reference Records'!$B$427&lt;&gt;"",$F20 ='Reference Records'!$B$427),'Reference Records'!$C$427,""),
INDEX('Reference Records'!$A$498:$C$499,MATCH($F20,'Reference Records'!$A$498:$A$499,0),3)),"")</f>
        <v/>
      </c>
    </row>
    <row r="21" spans="1:35" ht="30" customHeight="1">
      <c r="A21" s="117">
        <v>13</v>
      </c>
      <c r="B21" s="118"/>
      <c r="C21" s="118"/>
      <c r="D21" s="118"/>
      <c r="E21" s="118"/>
      <c r="F21" s="119"/>
      <c r="G21" s="118" t="e">
        <v>#REF!</v>
      </c>
      <c r="H21" s="118" t="e">
        <v>#REF!</v>
      </c>
      <c r="I21" s="118" t="e">
        <v>#REF!</v>
      </c>
      <c r="J21" s="118" t="e">
        <v>#REF!</v>
      </c>
      <c r="K21" s="118" t="e">
        <v>#REF!</v>
      </c>
      <c r="L21" s="118" t="e">
        <v>#REF!</v>
      </c>
      <c r="M21" s="118" t="e">
        <v>#REF!</v>
      </c>
      <c r="N21" s="118" t="e">
        <v>#REF!</v>
      </c>
      <c r="O21" s="118" t="e">
        <v>#REF!</v>
      </c>
      <c r="P21" s="118" t="e">
        <v>#REF!</v>
      </c>
      <c r="Q21" s="118" t="e">
        <v>#REF!</v>
      </c>
      <c r="R21" s="118" t="e">
        <v>#REF!</v>
      </c>
      <c r="S21" s="118" t="e">
        <v>#REF!</v>
      </c>
      <c r="T21" s="118" t="e">
        <v>#REF!</v>
      </c>
      <c r="U21" s="118" t="e">
        <v>#REF!</v>
      </c>
      <c r="V21" s="118" t="e">
        <v>#REF!</v>
      </c>
      <c r="W21" s="118"/>
      <c r="Y21" s="48" t="e">
        <f>VLOOKUP(X21,'Reference Records'!$E$253:$F$420,2,0)</f>
        <v>#N/A</v>
      </c>
      <c r="Z21" s="48" t="e">
        <f>MATCH($Y21,'Reference Records'!$E$507:$E$509,0)+ROW(Population_by_intervention) -1</f>
        <v>#N/A</v>
      </c>
      <c r="AA21" s="48" t="e">
        <f>MATCH($Y21,'Reference Records'!$E$507:$E$509,1)+ROW(Population_by_intervention) -1</f>
        <v>#N/A</v>
      </c>
      <c r="AB21" s="48" t="str">
        <f t="shared" si="0"/>
        <v>|empty|</v>
      </c>
      <c r="AC21" s="48" t="str">
        <f>IF(AB21="","",IFERROR(VLOOKUP(AB21,'Overview - Section A'!AF$124:AG187,2,0),VLOOKUP("|empty|",'Overview - Section A'!AF$124:AG187,2,0)))</f>
        <v>INT-350981</v>
      </c>
      <c r="AD21" s="48">
        <f t="shared" si="1"/>
        <v>2909</v>
      </c>
      <c r="AE21" s="48">
        <f ca="1">AE20+'update Helper'!$T$2</f>
        <v>3144.3913043478242</v>
      </c>
      <c r="AF21" s="48" t="str">
        <f>IFERROR(IF(AB21="","",IFERROR(VLOOKUP(AB21,'Overview - Section A'!AF$124:AO187,10,0),VLOOKUP("|empty|",'Overview - Section A'!AF$124:AO187,10,0))),"")</f>
        <v/>
      </c>
      <c r="AH21" s="310" t="str">
        <f>IFERROR(IF($AC21="","",INDEX('Overview - Section A'!$AB$124:$AB$175,MATCH($AC21,'Overview - Section A'!$AG$124:$AG$175))),"")</f>
        <v>a1MDm000000Xod6MAC</v>
      </c>
      <c r="AI21" s="310" t="str">
        <f>IFERROR(IF('Overview - Section A'!$AN$5="Funding Request",
IF(AND('Reference Records'!$B$427&lt;&gt;"",$F21 ='Reference Records'!$B$427),'Reference Records'!$C$427,""),
INDEX('Reference Records'!$A$498:$C$499,MATCH($F21,'Reference Records'!$A$498:$A$499,0),3)),"")</f>
        <v/>
      </c>
    </row>
    <row r="22" spans="1:35" ht="30" customHeight="1">
      <c r="A22" s="117">
        <v>14</v>
      </c>
      <c r="B22" s="120"/>
      <c r="C22" s="120"/>
      <c r="D22" s="120"/>
      <c r="E22" s="120"/>
      <c r="F22" s="121"/>
      <c r="G22" s="120" t="e">
        <v>#REF!</v>
      </c>
      <c r="H22" s="120" t="e">
        <v>#REF!</v>
      </c>
      <c r="I22" s="120" t="e">
        <v>#REF!</v>
      </c>
      <c r="J22" s="120" t="e">
        <v>#REF!</v>
      </c>
      <c r="K22" s="120" t="e">
        <v>#REF!</v>
      </c>
      <c r="L22" s="120" t="e">
        <v>#REF!</v>
      </c>
      <c r="M22" s="120" t="e">
        <v>#REF!</v>
      </c>
      <c r="N22" s="120" t="e">
        <v>#REF!</v>
      </c>
      <c r="O22" s="120" t="e">
        <v>#REF!</v>
      </c>
      <c r="P22" s="120" t="e">
        <v>#REF!</v>
      </c>
      <c r="Q22" s="120" t="e">
        <v>#REF!</v>
      </c>
      <c r="R22" s="120" t="e">
        <v>#REF!</v>
      </c>
      <c r="S22" s="120" t="e">
        <v>#REF!</v>
      </c>
      <c r="T22" s="120" t="e">
        <v>#REF!</v>
      </c>
      <c r="U22" s="120" t="e">
        <v>#REF!</v>
      </c>
      <c r="V22" s="120" t="e">
        <v>#REF!</v>
      </c>
      <c r="W22" s="120"/>
      <c r="Y22" s="48" t="e">
        <f>VLOOKUP(X22,'Reference Records'!$E$253:$F$420,2,0)</f>
        <v>#N/A</v>
      </c>
      <c r="Z22" s="48" t="e">
        <f>MATCH($Y22,'Reference Records'!$E$507:$E$509,0)+ROW(Population_by_intervention) -1</f>
        <v>#N/A</v>
      </c>
      <c r="AA22" s="48" t="e">
        <f>MATCH($Y22,'Reference Records'!$E$507:$E$509,1)+ROW(Population_by_intervention) -1</f>
        <v>#N/A</v>
      </c>
      <c r="AB22" s="48" t="str">
        <f t="shared" si="0"/>
        <v>|empty|</v>
      </c>
      <c r="AC22" s="48" t="str">
        <f>IF(AB22="","",IFERROR(VLOOKUP(AB22,'Overview - Section A'!AF$124:AG188,2,0),VLOOKUP("|empty|",'Overview - Section A'!AF$124:AG188,2,0)))</f>
        <v>INT-350981</v>
      </c>
      <c r="AD22" s="48">
        <f t="shared" si="1"/>
        <v>2910</v>
      </c>
      <c r="AE22" s="48">
        <f ca="1">AE21+'update Helper'!$T$2</f>
        <v>3151.1739130434762</v>
      </c>
      <c r="AF22" s="48" t="str">
        <f>IFERROR(IF(AB22="","",IFERROR(VLOOKUP(AB22,'Overview - Section A'!AF$124:AO188,10,0),VLOOKUP("|empty|",'Overview - Section A'!AF$124:AO188,10,0))),"")</f>
        <v/>
      </c>
      <c r="AH22" s="310" t="str">
        <f>IFERROR(IF($AC22="","",INDEX('Overview - Section A'!$AB$124:$AB$175,MATCH($AC22,'Overview - Section A'!$AG$124:$AG$175))),"")</f>
        <v>a1MDm000000Xod6MAC</v>
      </c>
      <c r="AI22" s="310" t="str">
        <f>IFERROR(IF('Overview - Section A'!$AN$5="Funding Request",
IF(AND('Reference Records'!$B$427&lt;&gt;"",$F22 ='Reference Records'!$B$427),'Reference Records'!$C$427,""),
INDEX('Reference Records'!$A$498:$C$499,MATCH($F22,'Reference Records'!$A$498:$A$499,0),3)),"")</f>
        <v/>
      </c>
    </row>
    <row r="23" spans="1:35" ht="30" customHeight="1">
      <c r="A23" s="117">
        <v>15</v>
      </c>
      <c r="B23" s="118"/>
      <c r="C23" s="118"/>
      <c r="D23" s="118"/>
      <c r="E23" s="118"/>
      <c r="F23" s="119"/>
      <c r="G23" s="118" t="e">
        <v>#REF!</v>
      </c>
      <c r="H23" s="118" t="e">
        <v>#REF!</v>
      </c>
      <c r="I23" s="118" t="e">
        <v>#REF!</v>
      </c>
      <c r="J23" s="118" t="e">
        <v>#REF!</v>
      </c>
      <c r="K23" s="118" t="e">
        <v>#REF!</v>
      </c>
      <c r="L23" s="118" t="e">
        <v>#REF!</v>
      </c>
      <c r="M23" s="118" t="e">
        <v>#REF!</v>
      </c>
      <c r="N23" s="118" t="e">
        <v>#REF!</v>
      </c>
      <c r="O23" s="118" t="e">
        <v>#REF!</v>
      </c>
      <c r="P23" s="118" t="e">
        <v>#REF!</v>
      </c>
      <c r="Q23" s="118" t="e">
        <v>#REF!</v>
      </c>
      <c r="R23" s="118" t="e">
        <v>#REF!</v>
      </c>
      <c r="S23" s="118" t="e">
        <v>#REF!</v>
      </c>
      <c r="T23" s="118" t="e">
        <v>#REF!</v>
      </c>
      <c r="U23" s="118" t="e">
        <v>#REF!</v>
      </c>
      <c r="V23" s="118" t="e">
        <v>#REF!</v>
      </c>
      <c r="W23" s="118"/>
      <c r="Y23" s="48" t="e">
        <f>VLOOKUP(X23,'Reference Records'!$E$253:$F$420,2,0)</f>
        <v>#N/A</v>
      </c>
      <c r="Z23" s="48" t="e">
        <f>MATCH($Y23,'Reference Records'!$E$507:$E$509,0)+ROW(Population_by_intervention) -1</f>
        <v>#N/A</v>
      </c>
      <c r="AA23" s="48" t="e">
        <f>MATCH($Y23,'Reference Records'!$E$507:$E$509,1)+ROW(Population_by_intervention) -1</f>
        <v>#N/A</v>
      </c>
      <c r="AB23" s="48" t="str">
        <f t="shared" si="0"/>
        <v>|empty|</v>
      </c>
      <c r="AC23" s="48" t="str">
        <f>IF(AB23="","",IFERROR(VLOOKUP(AB23,'Overview - Section A'!AF$124:AG189,2,0),VLOOKUP("|empty|",'Overview - Section A'!AF$124:AG189,2,0)))</f>
        <v>INT-350981</v>
      </c>
      <c r="AD23" s="48">
        <f t="shared" si="1"/>
        <v>2911</v>
      </c>
      <c r="AE23" s="48">
        <f ca="1">AE22+'update Helper'!$T$2</f>
        <v>3157.9565217391282</v>
      </c>
      <c r="AF23" s="48" t="str">
        <f>IFERROR(IF(AB23="","",IFERROR(VLOOKUP(AB23,'Overview - Section A'!AF$124:AO189,10,0),VLOOKUP("|empty|",'Overview - Section A'!AF$124:AO189,10,0))),"")</f>
        <v/>
      </c>
      <c r="AH23" s="310" t="str">
        <f>IFERROR(IF($AC23="","",INDEX('Overview - Section A'!$AB$124:$AB$175,MATCH($AC23,'Overview - Section A'!$AG$124:$AG$175))),"")</f>
        <v>a1MDm000000Xod6MAC</v>
      </c>
      <c r="AI23" s="310" t="str">
        <f>IFERROR(IF('Overview - Section A'!$AN$5="Funding Request",
IF(AND('Reference Records'!$B$427&lt;&gt;"",$F23 ='Reference Records'!$B$427),'Reference Records'!$C$427,""),
INDEX('Reference Records'!$A$498:$C$499,MATCH($F23,'Reference Records'!$A$498:$A$499,0),3)),"")</f>
        <v/>
      </c>
    </row>
    <row r="24" spans="1:35" ht="30" customHeight="1">
      <c r="A24" s="117">
        <v>16</v>
      </c>
      <c r="B24" s="120"/>
      <c r="C24" s="120"/>
      <c r="D24" s="120"/>
      <c r="E24" s="120"/>
      <c r="F24" s="121"/>
      <c r="G24" s="120" t="e">
        <v>#REF!</v>
      </c>
      <c r="H24" s="120" t="e">
        <v>#REF!</v>
      </c>
      <c r="I24" s="120" t="e">
        <v>#REF!</v>
      </c>
      <c r="J24" s="120" t="e">
        <v>#REF!</v>
      </c>
      <c r="K24" s="120" t="e">
        <v>#REF!</v>
      </c>
      <c r="L24" s="120" t="e">
        <v>#REF!</v>
      </c>
      <c r="M24" s="120" t="e">
        <v>#REF!</v>
      </c>
      <c r="N24" s="120" t="e">
        <v>#REF!</v>
      </c>
      <c r="O24" s="120" t="e">
        <v>#REF!</v>
      </c>
      <c r="P24" s="120" t="e">
        <v>#REF!</v>
      </c>
      <c r="Q24" s="120" t="e">
        <v>#REF!</v>
      </c>
      <c r="R24" s="120" t="e">
        <v>#REF!</v>
      </c>
      <c r="S24" s="120" t="e">
        <v>#REF!</v>
      </c>
      <c r="T24" s="120" t="e">
        <v>#REF!</v>
      </c>
      <c r="U24" s="120" t="e">
        <v>#REF!</v>
      </c>
      <c r="V24" s="120" t="e">
        <v>#REF!</v>
      </c>
      <c r="W24" s="120"/>
      <c r="Y24" s="48" t="e">
        <f>VLOOKUP(X24,'Reference Records'!$E$253:$F$420,2,0)</f>
        <v>#N/A</v>
      </c>
      <c r="Z24" s="48" t="e">
        <f>MATCH($Y24,'Reference Records'!$E$507:$E$509,0)+ROW(Population_by_intervention) -1</f>
        <v>#N/A</v>
      </c>
      <c r="AA24" s="48" t="e">
        <f>MATCH($Y24,'Reference Records'!$E$507:$E$509,1)+ROW(Population_by_intervention) -1</f>
        <v>#N/A</v>
      </c>
      <c r="AB24" s="48" t="str">
        <f t="shared" si="0"/>
        <v>|empty|</v>
      </c>
      <c r="AC24" s="48" t="str">
        <f>IF(AB24="","",IFERROR(VLOOKUP(AB24,'Overview - Section A'!AF$124:AG190,2,0),VLOOKUP("|empty|",'Overview - Section A'!AF$124:AG190,2,0)))</f>
        <v>INT-350981</v>
      </c>
      <c r="AD24" s="48">
        <f t="shared" si="1"/>
        <v>2912</v>
      </c>
      <c r="AE24" s="48">
        <f ca="1">AE23+'update Helper'!$T$2</f>
        <v>3164.7391304347802</v>
      </c>
      <c r="AF24" s="48" t="str">
        <f>IFERROR(IF(AB24="","",IFERROR(VLOOKUP(AB24,'Overview - Section A'!AF$124:AO190,10,0),VLOOKUP("|empty|",'Overview - Section A'!AF$124:AO190,10,0))),"")</f>
        <v/>
      </c>
      <c r="AH24" s="310" t="str">
        <f>IFERROR(IF($AC24="","",INDEX('Overview - Section A'!$AB$124:$AB$175,MATCH($AC24,'Overview - Section A'!$AG$124:$AG$175))),"")</f>
        <v>a1MDm000000Xod6MAC</v>
      </c>
      <c r="AI24" s="310" t="str">
        <f>IFERROR(IF('Overview - Section A'!$AN$5="Funding Request",
IF(AND('Reference Records'!$B$427&lt;&gt;"",$F24 ='Reference Records'!$B$427),'Reference Records'!$C$427,""),
INDEX('Reference Records'!$A$498:$C$499,MATCH($F24,'Reference Records'!$A$498:$A$499,0),3)),"")</f>
        <v/>
      </c>
    </row>
    <row r="25" spans="1:35" ht="30" customHeight="1">
      <c r="A25" s="117">
        <v>17</v>
      </c>
      <c r="B25" s="118"/>
      <c r="C25" s="118"/>
      <c r="D25" s="118"/>
      <c r="E25" s="118"/>
      <c r="F25" s="119"/>
      <c r="G25" s="118" t="e">
        <v>#REF!</v>
      </c>
      <c r="H25" s="118" t="e">
        <v>#REF!</v>
      </c>
      <c r="I25" s="118" t="e">
        <v>#REF!</v>
      </c>
      <c r="J25" s="118" t="e">
        <v>#REF!</v>
      </c>
      <c r="K25" s="118" t="e">
        <v>#REF!</v>
      </c>
      <c r="L25" s="118" t="e">
        <v>#REF!</v>
      </c>
      <c r="M25" s="118" t="e">
        <v>#REF!</v>
      </c>
      <c r="N25" s="118" t="e">
        <v>#REF!</v>
      </c>
      <c r="O25" s="118" t="e">
        <v>#REF!</v>
      </c>
      <c r="P25" s="118" t="e">
        <v>#REF!</v>
      </c>
      <c r="Q25" s="118" t="e">
        <v>#REF!</v>
      </c>
      <c r="R25" s="118" t="e">
        <v>#REF!</v>
      </c>
      <c r="S25" s="118" t="e">
        <v>#REF!</v>
      </c>
      <c r="T25" s="118" t="e">
        <v>#REF!</v>
      </c>
      <c r="U25" s="118" t="e">
        <v>#REF!</v>
      </c>
      <c r="V25" s="118" t="e">
        <v>#REF!</v>
      </c>
      <c r="W25" s="118"/>
      <c r="Y25" s="48" t="e">
        <f>VLOOKUP(X25,'Reference Records'!$E$253:$F$420,2,0)</f>
        <v>#N/A</v>
      </c>
      <c r="Z25" s="48" t="e">
        <f>MATCH($Y25,'Reference Records'!$E$507:$E$509,0)+ROW(Population_by_intervention) -1</f>
        <v>#N/A</v>
      </c>
      <c r="AA25" s="48" t="e">
        <f>MATCH($Y25,'Reference Records'!$E$507:$E$509,1)+ROW(Population_by_intervention) -1</f>
        <v>#N/A</v>
      </c>
      <c r="AB25" s="48" t="str">
        <f t="shared" si="0"/>
        <v>|empty|</v>
      </c>
      <c r="AC25" s="48" t="str">
        <f>IF(AB25="","",IFERROR(VLOOKUP(AB25,'Overview - Section A'!AF$124:AG191,2,0),VLOOKUP("|empty|",'Overview - Section A'!AF$124:AG191,2,0)))</f>
        <v>INT-350981</v>
      </c>
      <c r="AD25" s="48">
        <f t="shared" si="1"/>
        <v>2913</v>
      </c>
      <c r="AE25" s="48">
        <f ca="1">AE24+'update Helper'!$T$2</f>
        <v>3171.5217391304323</v>
      </c>
      <c r="AF25" s="48" t="str">
        <f>IFERROR(IF(AB25="","",IFERROR(VLOOKUP(AB25,'Overview - Section A'!AF$124:AO191,10,0),VLOOKUP("|empty|",'Overview - Section A'!AF$124:AO191,10,0))),"")</f>
        <v/>
      </c>
      <c r="AH25" s="310" t="str">
        <f>IFERROR(IF($AC25="","",INDEX('Overview - Section A'!$AB$124:$AB$175,MATCH($AC25,'Overview - Section A'!$AG$124:$AG$175))),"")</f>
        <v>a1MDm000000Xod6MAC</v>
      </c>
      <c r="AI25" s="310" t="str">
        <f>IFERROR(IF('Overview - Section A'!$AN$5="Funding Request",
IF(AND('Reference Records'!$B$427&lt;&gt;"",$F25 ='Reference Records'!$B$427),'Reference Records'!$C$427,""),
INDEX('Reference Records'!$A$498:$C$499,MATCH($F25,'Reference Records'!$A$498:$A$499,0),3)),"")</f>
        <v/>
      </c>
    </row>
    <row r="26" spans="1:35" ht="30" customHeight="1">
      <c r="A26" s="117">
        <v>18</v>
      </c>
      <c r="B26" s="120"/>
      <c r="C26" s="120"/>
      <c r="D26" s="120"/>
      <c r="E26" s="120"/>
      <c r="F26" s="121"/>
      <c r="G26" s="120" t="e">
        <v>#REF!</v>
      </c>
      <c r="H26" s="120" t="e">
        <v>#REF!</v>
      </c>
      <c r="I26" s="120" t="e">
        <v>#REF!</v>
      </c>
      <c r="J26" s="120" t="e">
        <v>#REF!</v>
      </c>
      <c r="K26" s="120" t="e">
        <v>#REF!</v>
      </c>
      <c r="L26" s="120" t="e">
        <v>#REF!</v>
      </c>
      <c r="M26" s="120" t="e">
        <v>#REF!</v>
      </c>
      <c r="N26" s="120" t="e">
        <v>#REF!</v>
      </c>
      <c r="O26" s="120" t="e">
        <v>#REF!</v>
      </c>
      <c r="P26" s="120" t="e">
        <v>#REF!</v>
      </c>
      <c r="Q26" s="120" t="e">
        <v>#REF!</v>
      </c>
      <c r="R26" s="120" t="e">
        <v>#REF!</v>
      </c>
      <c r="S26" s="120" t="e">
        <v>#REF!</v>
      </c>
      <c r="T26" s="120" t="e">
        <v>#REF!</v>
      </c>
      <c r="U26" s="120" t="e">
        <v>#REF!</v>
      </c>
      <c r="V26" s="120" t="e">
        <v>#REF!</v>
      </c>
      <c r="W26" s="120"/>
      <c r="Y26" s="48" t="e">
        <f>VLOOKUP(X26,'Reference Records'!$E$253:$F$420,2,0)</f>
        <v>#N/A</v>
      </c>
      <c r="Z26" s="48" t="e">
        <f>MATCH($Y26,'Reference Records'!$E$507:$E$509,0)+ROW(Population_by_intervention) -1</f>
        <v>#N/A</v>
      </c>
      <c r="AA26" s="48" t="e">
        <f>MATCH($Y26,'Reference Records'!$E$507:$E$509,1)+ROW(Population_by_intervention) -1</f>
        <v>#N/A</v>
      </c>
      <c r="AB26" s="48" t="str">
        <f t="shared" si="0"/>
        <v>|empty|</v>
      </c>
      <c r="AC26" s="48" t="str">
        <f>IF(AB26="","",IFERROR(VLOOKUP(AB26,'Overview - Section A'!AF$124:AG192,2,0),VLOOKUP("|empty|",'Overview - Section A'!AF$124:AG192,2,0)))</f>
        <v>INT-350981</v>
      </c>
      <c r="AD26" s="48">
        <f t="shared" si="1"/>
        <v>2914</v>
      </c>
      <c r="AE26" s="48">
        <f ca="1">AE25+'update Helper'!$T$2</f>
        <v>3178.3043478260843</v>
      </c>
      <c r="AF26" s="48" t="str">
        <f>IFERROR(IF(AB26="","",IFERROR(VLOOKUP(AB26,'Overview - Section A'!AF$124:AO192,10,0),VLOOKUP("|empty|",'Overview - Section A'!AF$124:AO192,10,0))),"")</f>
        <v/>
      </c>
      <c r="AH26" s="310" t="str">
        <f>IFERROR(IF($AC26="","",INDEX('Overview - Section A'!$AB$124:$AB$175,MATCH($AC26,'Overview - Section A'!$AG$124:$AG$175))),"")</f>
        <v>a1MDm000000Xod6MAC</v>
      </c>
      <c r="AI26" s="310" t="str">
        <f>IFERROR(IF('Overview - Section A'!$AN$5="Funding Request",
IF(AND('Reference Records'!$B$427&lt;&gt;"",$F26 ='Reference Records'!$B$427),'Reference Records'!$C$427,""),
INDEX('Reference Records'!$A$498:$C$499,MATCH($F26,'Reference Records'!$A$498:$A$499,0),3)),"")</f>
        <v/>
      </c>
    </row>
    <row r="27" spans="1:35" ht="30" customHeight="1">
      <c r="A27" s="117">
        <v>19</v>
      </c>
      <c r="B27" s="118"/>
      <c r="C27" s="118"/>
      <c r="D27" s="118"/>
      <c r="E27" s="118"/>
      <c r="F27" s="119"/>
      <c r="G27" s="118" t="e">
        <v>#REF!</v>
      </c>
      <c r="H27" s="118" t="e">
        <v>#REF!</v>
      </c>
      <c r="I27" s="118" t="e">
        <v>#REF!</v>
      </c>
      <c r="J27" s="118" t="e">
        <v>#REF!</v>
      </c>
      <c r="K27" s="118" t="e">
        <v>#REF!</v>
      </c>
      <c r="L27" s="118" t="e">
        <v>#REF!</v>
      </c>
      <c r="M27" s="118" t="e">
        <v>#REF!</v>
      </c>
      <c r="N27" s="118" t="e">
        <v>#REF!</v>
      </c>
      <c r="O27" s="118" t="e">
        <v>#REF!</v>
      </c>
      <c r="P27" s="118" t="e">
        <v>#REF!</v>
      </c>
      <c r="Q27" s="118" t="e">
        <v>#REF!</v>
      </c>
      <c r="R27" s="118" t="e">
        <v>#REF!</v>
      </c>
      <c r="S27" s="118" t="e">
        <v>#REF!</v>
      </c>
      <c r="T27" s="118" t="e">
        <v>#REF!</v>
      </c>
      <c r="U27" s="118" t="e">
        <v>#REF!</v>
      </c>
      <c r="V27" s="118" t="e">
        <v>#REF!</v>
      </c>
      <c r="W27" s="118"/>
      <c r="Y27" s="48" t="e">
        <f>VLOOKUP(X27,'Reference Records'!$E$253:$F$420,2,0)</f>
        <v>#N/A</v>
      </c>
      <c r="Z27" s="48" t="e">
        <f>MATCH($Y27,'Reference Records'!$E$507:$E$509,0)+ROW(Population_by_intervention) -1</f>
        <v>#N/A</v>
      </c>
      <c r="AA27" s="48" t="e">
        <f>MATCH($Y27,'Reference Records'!$E$507:$E$509,1)+ROW(Population_by_intervention) -1</f>
        <v>#N/A</v>
      </c>
      <c r="AB27" s="48" t="str">
        <f t="shared" si="0"/>
        <v>|empty|</v>
      </c>
      <c r="AC27" s="48" t="str">
        <f>IF(AB27="","",IFERROR(VLOOKUP(AB27,'Overview - Section A'!AF$124:AG193,2,0),VLOOKUP("|empty|",'Overview - Section A'!AF$124:AG193,2,0)))</f>
        <v>INT-350981</v>
      </c>
      <c r="AD27" s="48">
        <f t="shared" si="1"/>
        <v>2915</v>
      </c>
      <c r="AE27" s="48">
        <f ca="1">AE26+'update Helper'!$T$2</f>
        <v>3185.0869565217363</v>
      </c>
      <c r="AF27" s="48" t="str">
        <f>IFERROR(IF(AB27="","",IFERROR(VLOOKUP(AB27,'Overview - Section A'!AF$124:AO193,10,0),VLOOKUP("|empty|",'Overview - Section A'!AF$124:AO193,10,0))),"")</f>
        <v/>
      </c>
      <c r="AH27" s="310" t="str">
        <f>IFERROR(IF($AC27="","",INDEX('Overview - Section A'!$AB$124:$AB$175,MATCH($AC27,'Overview - Section A'!$AG$124:$AG$175))),"")</f>
        <v>a1MDm000000Xod6MAC</v>
      </c>
      <c r="AI27" s="310" t="str">
        <f>IFERROR(IF('Overview - Section A'!$AN$5="Funding Request",
IF(AND('Reference Records'!$B$427&lt;&gt;"",$F27 ='Reference Records'!$B$427),'Reference Records'!$C$427,""),
INDEX('Reference Records'!$A$498:$C$499,MATCH($F27,'Reference Records'!$A$498:$A$499,0),3)),"")</f>
        <v/>
      </c>
    </row>
    <row r="28" spans="1:35" ht="30" customHeight="1">
      <c r="A28" s="117">
        <v>20</v>
      </c>
      <c r="B28" s="120"/>
      <c r="C28" s="120"/>
      <c r="D28" s="120"/>
      <c r="E28" s="120"/>
      <c r="F28" s="121"/>
      <c r="G28" s="120" t="e">
        <v>#REF!</v>
      </c>
      <c r="H28" s="120" t="e">
        <v>#REF!</v>
      </c>
      <c r="I28" s="120" t="e">
        <v>#REF!</v>
      </c>
      <c r="J28" s="120" t="e">
        <v>#REF!</v>
      </c>
      <c r="K28" s="120" t="e">
        <v>#REF!</v>
      </c>
      <c r="L28" s="120" t="e">
        <v>#REF!</v>
      </c>
      <c r="M28" s="120" t="e">
        <v>#REF!</v>
      </c>
      <c r="N28" s="120" t="e">
        <v>#REF!</v>
      </c>
      <c r="O28" s="120" t="e">
        <v>#REF!</v>
      </c>
      <c r="P28" s="120" t="e">
        <v>#REF!</v>
      </c>
      <c r="Q28" s="120" t="e">
        <v>#REF!</v>
      </c>
      <c r="R28" s="120" t="e">
        <v>#REF!</v>
      </c>
      <c r="S28" s="120" t="e">
        <v>#REF!</v>
      </c>
      <c r="T28" s="120" t="e">
        <v>#REF!</v>
      </c>
      <c r="U28" s="120" t="e">
        <v>#REF!</v>
      </c>
      <c r="V28" s="120" t="e">
        <v>#REF!</v>
      </c>
      <c r="W28" s="120"/>
      <c r="Y28" s="48" t="e">
        <f>VLOOKUP(X28,'Reference Records'!$E$253:$F$420,2,0)</f>
        <v>#N/A</v>
      </c>
      <c r="Z28" s="48" t="e">
        <f>MATCH($Y28,'Reference Records'!$E$507:$E$509,0)+ROW(Population_by_intervention) -1</f>
        <v>#N/A</v>
      </c>
      <c r="AA28" s="48" t="e">
        <f>MATCH($Y28,'Reference Records'!$E$507:$E$509,1)+ROW(Population_by_intervention) -1</f>
        <v>#N/A</v>
      </c>
      <c r="AB28" s="48" t="str">
        <f t="shared" si="0"/>
        <v>|empty|</v>
      </c>
      <c r="AC28" s="48" t="str">
        <f>IF(AB28="","",IFERROR(VLOOKUP(AB28,'Overview - Section A'!AF$124:AG194,2,0),VLOOKUP("|empty|",'Overview - Section A'!AF$124:AG194,2,0)))</f>
        <v>INT-350981</v>
      </c>
      <c r="AD28" s="48">
        <f t="shared" si="1"/>
        <v>2916</v>
      </c>
      <c r="AE28" s="48">
        <f ca="1">AE27+'update Helper'!$T$2</f>
        <v>3191.8695652173883</v>
      </c>
      <c r="AF28" s="48" t="str">
        <f>IFERROR(IF(AB28="","",IFERROR(VLOOKUP(AB28,'Overview - Section A'!AF$124:AO194,10,0),VLOOKUP("|empty|",'Overview - Section A'!AF$124:AO194,10,0))),"")</f>
        <v/>
      </c>
      <c r="AH28" s="310" t="str">
        <f>IFERROR(IF($AC28="","",INDEX('Overview - Section A'!$AB$124:$AB$175,MATCH($AC28,'Overview - Section A'!$AG$124:$AG$175))),"")</f>
        <v>a1MDm000000Xod6MAC</v>
      </c>
      <c r="AI28" s="310" t="str">
        <f>IFERROR(IF('Overview - Section A'!$AN$5="Funding Request",
IF(AND('Reference Records'!$B$427&lt;&gt;"",$F28 ='Reference Records'!$B$427),'Reference Records'!$C$427,""),
INDEX('Reference Records'!$A$498:$C$499,MATCH($F28,'Reference Records'!$A$498:$A$499,0),3)),"")</f>
        <v/>
      </c>
    </row>
    <row r="29" spans="1:35" ht="30" customHeight="1">
      <c r="A29" s="117">
        <v>21</v>
      </c>
      <c r="B29" s="118"/>
      <c r="C29" s="118"/>
      <c r="D29" s="118"/>
      <c r="E29" s="118"/>
      <c r="F29" s="119"/>
      <c r="G29" s="118" t="e">
        <v>#REF!</v>
      </c>
      <c r="H29" s="118" t="e">
        <v>#REF!</v>
      </c>
      <c r="I29" s="118" t="e">
        <v>#REF!</v>
      </c>
      <c r="J29" s="118" t="e">
        <v>#REF!</v>
      </c>
      <c r="K29" s="118" t="e">
        <v>#REF!</v>
      </c>
      <c r="L29" s="118" t="e">
        <v>#REF!</v>
      </c>
      <c r="M29" s="118" t="e">
        <v>#REF!</v>
      </c>
      <c r="N29" s="118" t="e">
        <v>#REF!</v>
      </c>
      <c r="O29" s="118" t="e">
        <v>#REF!</v>
      </c>
      <c r="P29" s="118" t="e">
        <v>#REF!</v>
      </c>
      <c r="Q29" s="118" t="e">
        <v>#REF!</v>
      </c>
      <c r="R29" s="118" t="e">
        <v>#REF!</v>
      </c>
      <c r="S29" s="118" t="e">
        <v>#REF!</v>
      </c>
      <c r="T29" s="118" t="e">
        <v>#REF!</v>
      </c>
      <c r="U29" s="118" t="e">
        <v>#REF!</v>
      </c>
      <c r="V29" s="118" t="e">
        <v>#REF!</v>
      </c>
      <c r="W29" s="118"/>
      <c r="Y29" s="48" t="e">
        <f>VLOOKUP(X29,'Reference Records'!$E$253:$F$420,2,0)</f>
        <v>#N/A</v>
      </c>
      <c r="Z29" s="48" t="e">
        <f>MATCH($Y29,'Reference Records'!$E$507:$E$509,0)+ROW(Population_by_intervention) -1</f>
        <v>#N/A</v>
      </c>
      <c r="AA29" s="48" t="e">
        <f>MATCH($Y29,'Reference Records'!$E$507:$E$509,1)+ROW(Population_by_intervention) -1</f>
        <v>#N/A</v>
      </c>
      <c r="AB29" s="48" t="str">
        <f t="shared" si="0"/>
        <v>|empty|</v>
      </c>
      <c r="AC29" s="48" t="str">
        <f>IF(AB29="","",IFERROR(VLOOKUP(AB29,'Overview - Section A'!AF$124:AG195,2,0),VLOOKUP("|empty|",'Overview - Section A'!AF$124:AG195,2,0)))</f>
        <v>INT-350981</v>
      </c>
      <c r="AD29" s="48">
        <f t="shared" si="1"/>
        <v>2917</v>
      </c>
      <c r="AE29" s="48">
        <f ca="1">AE28+'update Helper'!$T$2</f>
        <v>3198.6521739130403</v>
      </c>
      <c r="AF29" s="48" t="str">
        <f>IFERROR(IF(AB29="","",IFERROR(VLOOKUP(AB29,'Overview - Section A'!AF$124:AO195,10,0),VLOOKUP("|empty|",'Overview - Section A'!AF$124:AO195,10,0))),"")</f>
        <v/>
      </c>
      <c r="AH29" s="310" t="str">
        <f>IFERROR(IF($AC29="","",INDEX('Overview - Section A'!$AB$124:$AB$175,MATCH($AC29,'Overview - Section A'!$AG$124:$AG$175))),"")</f>
        <v>a1MDm000000Xod6MAC</v>
      </c>
      <c r="AI29" s="310" t="str">
        <f>IFERROR(IF('Overview - Section A'!$AN$5="Funding Request",
IF(AND('Reference Records'!$B$427&lt;&gt;"",$F29 ='Reference Records'!$B$427),'Reference Records'!$C$427,""),
INDEX('Reference Records'!$A$498:$C$499,MATCH($F29,'Reference Records'!$A$498:$A$499,0),3)),"")</f>
        <v/>
      </c>
    </row>
    <row r="30" spans="1:35" ht="30" customHeight="1">
      <c r="A30" s="117">
        <v>22</v>
      </c>
      <c r="B30" s="120"/>
      <c r="C30" s="120"/>
      <c r="D30" s="120"/>
      <c r="E30" s="120"/>
      <c r="F30" s="121"/>
      <c r="G30" s="120" t="e">
        <v>#REF!</v>
      </c>
      <c r="H30" s="120" t="e">
        <v>#REF!</v>
      </c>
      <c r="I30" s="120" t="e">
        <v>#REF!</v>
      </c>
      <c r="J30" s="120" t="e">
        <v>#REF!</v>
      </c>
      <c r="K30" s="120" t="e">
        <v>#REF!</v>
      </c>
      <c r="L30" s="120" t="e">
        <v>#REF!</v>
      </c>
      <c r="M30" s="120" t="e">
        <v>#REF!</v>
      </c>
      <c r="N30" s="120" t="e">
        <v>#REF!</v>
      </c>
      <c r="O30" s="120" t="e">
        <v>#REF!</v>
      </c>
      <c r="P30" s="120" t="e">
        <v>#REF!</v>
      </c>
      <c r="Q30" s="120" t="e">
        <v>#REF!</v>
      </c>
      <c r="R30" s="120" t="e">
        <v>#REF!</v>
      </c>
      <c r="S30" s="120" t="e">
        <v>#REF!</v>
      </c>
      <c r="T30" s="120" t="e">
        <v>#REF!</v>
      </c>
      <c r="U30" s="120" t="e">
        <v>#REF!</v>
      </c>
      <c r="V30" s="120" t="e">
        <v>#REF!</v>
      </c>
      <c r="W30" s="120"/>
      <c r="Y30" s="48" t="e">
        <f>VLOOKUP(X30,'Reference Records'!$E$253:$F$420,2,0)</f>
        <v>#N/A</v>
      </c>
      <c r="Z30" s="48" t="e">
        <f>MATCH($Y30,'Reference Records'!$E$507:$E$509,0)+ROW(Population_by_intervention) -1</f>
        <v>#N/A</v>
      </c>
      <c r="AA30" s="48" t="e">
        <f>MATCH($Y30,'Reference Records'!$E$507:$E$509,1)+ROW(Population_by_intervention) -1</f>
        <v>#N/A</v>
      </c>
      <c r="AB30" s="48" t="str">
        <f t="shared" si="0"/>
        <v>|empty|</v>
      </c>
      <c r="AC30" s="48" t="str">
        <f>IF(AB30="","",IFERROR(VLOOKUP(AB30,'Overview - Section A'!AF$124:AG196,2,0),VLOOKUP("|empty|",'Overview - Section A'!AF$124:AG196,2,0)))</f>
        <v>INT-350981</v>
      </c>
      <c r="AD30" s="48">
        <f t="shared" si="1"/>
        <v>2918</v>
      </c>
      <c r="AE30" s="48">
        <f ca="1">AE29+'update Helper'!$T$2</f>
        <v>3205.4347826086923</v>
      </c>
      <c r="AF30" s="48" t="str">
        <f>IFERROR(IF(AB30="","",IFERROR(VLOOKUP(AB30,'Overview - Section A'!AF$124:AO196,10,0),VLOOKUP("|empty|",'Overview - Section A'!AF$124:AO196,10,0))),"")</f>
        <v/>
      </c>
      <c r="AH30" s="310" t="str">
        <f>IFERROR(IF($AC30="","",INDEX('Overview - Section A'!$AB$124:$AB$175,MATCH($AC30,'Overview - Section A'!$AG$124:$AG$175))),"")</f>
        <v>a1MDm000000Xod6MAC</v>
      </c>
      <c r="AI30" s="310" t="str">
        <f>IFERROR(IF('Overview - Section A'!$AN$5="Funding Request",
IF(AND('Reference Records'!$B$427&lt;&gt;"",$F30 ='Reference Records'!$B$427),'Reference Records'!$C$427,""),
INDEX('Reference Records'!$A$498:$C$499,MATCH($F30,'Reference Records'!$A$498:$A$499,0),3)),"")</f>
        <v/>
      </c>
    </row>
    <row r="31" spans="1:35" ht="30" customHeight="1">
      <c r="A31" s="117">
        <v>23</v>
      </c>
      <c r="B31" s="118"/>
      <c r="C31" s="118"/>
      <c r="D31" s="118"/>
      <c r="E31" s="118"/>
      <c r="F31" s="119"/>
      <c r="G31" s="118" t="e">
        <v>#REF!</v>
      </c>
      <c r="H31" s="118" t="e">
        <v>#REF!</v>
      </c>
      <c r="I31" s="118" t="e">
        <v>#REF!</v>
      </c>
      <c r="J31" s="118" t="e">
        <v>#REF!</v>
      </c>
      <c r="K31" s="118" t="e">
        <v>#REF!</v>
      </c>
      <c r="L31" s="118" t="e">
        <v>#REF!</v>
      </c>
      <c r="M31" s="118" t="e">
        <v>#REF!</v>
      </c>
      <c r="N31" s="118" t="e">
        <v>#REF!</v>
      </c>
      <c r="O31" s="118" t="e">
        <v>#REF!</v>
      </c>
      <c r="P31" s="118" t="e">
        <v>#REF!</v>
      </c>
      <c r="Q31" s="118" t="e">
        <v>#REF!</v>
      </c>
      <c r="R31" s="118" t="e">
        <v>#REF!</v>
      </c>
      <c r="S31" s="118" t="e">
        <v>#REF!</v>
      </c>
      <c r="T31" s="118" t="e">
        <v>#REF!</v>
      </c>
      <c r="U31" s="118" t="e">
        <v>#REF!</v>
      </c>
      <c r="V31" s="118" t="e">
        <v>#REF!</v>
      </c>
      <c r="W31" s="118"/>
      <c r="Y31" s="48" t="e">
        <f>VLOOKUP(X31,'Reference Records'!$E$253:$F$420,2,0)</f>
        <v>#N/A</v>
      </c>
      <c r="Z31" s="48" t="e">
        <f>MATCH($Y31,'Reference Records'!$E$507:$E$509,0)+ROW(Population_by_intervention) -1</f>
        <v>#N/A</v>
      </c>
      <c r="AA31" s="48" t="e">
        <f>MATCH($Y31,'Reference Records'!$E$507:$E$509,1)+ROW(Population_by_intervention) -1</f>
        <v>#N/A</v>
      </c>
      <c r="AB31" s="48" t="str">
        <f t="shared" si="0"/>
        <v>|empty|</v>
      </c>
      <c r="AC31" s="48" t="str">
        <f>IF(AB31="","",IFERROR(VLOOKUP(AB31,'Overview - Section A'!AF$124:AG197,2,0),VLOOKUP("|empty|",'Overview - Section A'!AF$124:AG197,2,0)))</f>
        <v>INT-350981</v>
      </c>
      <c r="AD31" s="48">
        <f t="shared" si="1"/>
        <v>2919</v>
      </c>
      <c r="AE31" s="48">
        <f ca="1">AE30+'update Helper'!$T$2</f>
        <v>3212.2173913043443</v>
      </c>
      <c r="AF31" s="48" t="str">
        <f>IFERROR(IF(AB31="","",IFERROR(VLOOKUP(AB31,'Overview - Section A'!AF$124:AO197,10,0),VLOOKUP("|empty|",'Overview - Section A'!AF$124:AO197,10,0))),"")</f>
        <v/>
      </c>
      <c r="AH31" s="310" t="str">
        <f>IFERROR(IF($AC31="","",INDEX('Overview - Section A'!$AB$124:$AB$175,MATCH($AC31,'Overview - Section A'!$AG$124:$AG$175))),"")</f>
        <v>a1MDm000000Xod6MAC</v>
      </c>
      <c r="AI31" s="310" t="str">
        <f>IFERROR(IF('Overview - Section A'!$AN$5="Funding Request",
IF(AND('Reference Records'!$B$427&lt;&gt;"",$F31 ='Reference Records'!$B$427),'Reference Records'!$C$427,""),
INDEX('Reference Records'!$A$498:$C$499,MATCH($F31,'Reference Records'!$A$498:$A$499,0),3)),"")</f>
        <v/>
      </c>
    </row>
    <row r="32" spans="1:35" ht="30" customHeight="1">
      <c r="A32" s="117">
        <v>24</v>
      </c>
      <c r="B32" s="120"/>
      <c r="C32" s="120"/>
      <c r="D32" s="120"/>
      <c r="E32" s="120"/>
      <c r="F32" s="121"/>
      <c r="G32" s="120"/>
      <c r="H32" s="120"/>
      <c r="I32" s="120"/>
      <c r="J32" s="120"/>
      <c r="K32" s="120"/>
      <c r="L32" s="120"/>
      <c r="M32" s="120"/>
      <c r="N32" s="120"/>
      <c r="O32" s="120"/>
      <c r="P32" s="120"/>
      <c r="Q32" s="120"/>
      <c r="R32" s="120"/>
      <c r="S32" s="120"/>
      <c r="T32" s="120"/>
      <c r="U32" s="120"/>
      <c r="V32" s="120"/>
      <c r="W32" s="120"/>
      <c r="Y32" s="48" t="e">
        <f>VLOOKUP(X32,'Reference Records'!$E$253:$F$420,2,0)</f>
        <v>#N/A</v>
      </c>
      <c r="Z32" s="48" t="e">
        <f>MATCH($Y32,'Reference Records'!$E$507:$E$509,0)+ROW(Population_by_intervention) -1</f>
        <v>#N/A</v>
      </c>
      <c r="AA32" s="48" t="e">
        <f>MATCH($Y32,'Reference Records'!$E$507:$E$509,1)+ROW(Population_by_intervention) -1</f>
        <v>#N/A</v>
      </c>
      <c r="AB32" s="48" t="str">
        <f t="shared" si="0"/>
        <v>|empty|</v>
      </c>
      <c r="AC32" s="48" t="str">
        <f>IF(AB32="","",IFERROR(VLOOKUP(AB32,'Overview - Section A'!AF$124:AG198,2,0),VLOOKUP("|empty|",'Overview - Section A'!AF$124:AG198,2,0)))</f>
        <v>INT-350981</v>
      </c>
      <c r="AD32" s="48">
        <f t="shared" si="1"/>
        <v>2920</v>
      </c>
      <c r="AE32" s="48">
        <f ca="1">AE31+'update Helper'!$T$2</f>
        <v>3218.9999999999964</v>
      </c>
      <c r="AF32" s="48" t="str">
        <f>IFERROR(IF(AB32="","",IFERROR(VLOOKUP(AB32,'Overview - Section A'!AF$124:AO198,10,0),VLOOKUP("|empty|",'Overview - Section A'!AF$124:AO198,10,0))),"")</f>
        <v/>
      </c>
      <c r="AH32" s="310" t="str">
        <f>IFERROR(IF($AC32="","",INDEX('Overview - Section A'!$AB$124:$AB$175,MATCH($AC32,'Overview - Section A'!$AG$124:$AG$175))),"")</f>
        <v>a1MDm000000Xod6MAC</v>
      </c>
      <c r="AI32" s="310" t="str">
        <f>IFERROR(IF('Overview - Section A'!$AN$5="Funding Request",
IF(AND('Reference Records'!$B$427&lt;&gt;"",$F32 ='Reference Records'!$B$427),'Reference Records'!$C$427,""),
INDEX('Reference Records'!$A$498:$C$499,MATCH($F32,'Reference Records'!$A$498:$A$499,0),3)),"")</f>
        <v/>
      </c>
    </row>
    <row r="33" spans="1:35" ht="30" customHeight="1">
      <c r="A33" s="117">
        <v>25</v>
      </c>
      <c r="B33" s="118"/>
      <c r="C33" s="118"/>
      <c r="D33" s="118"/>
      <c r="E33" s="118"/>
      <c r="F33" s="119"/>
      <c r="G33" s="118" t="e">
        <v>#REF!</v>
      </c>
      <c r="H33" s="118" t="e">
        <v>#REF!</v>
      </c>
      <c r="I33" s="118" t="e">
        <v>#REF!</v>
      </c>
      <c r="J33" s="118" t="e">
        <v>#REF!</v>
      </c>
      <c r="K33" s="118" t="e">
        <v>#REF!</v>
      </c>
      <c r="L33" s="118" t="e">
        <v>#REF!</v>
      </c>
      <c r="M33" s="118" t="e">
        <v>#REF!</v>
      </c>
      <c r="N33" s="118" t="e">
        <v>#REF!</v>
      </c>
      <c r="O33" s="118" t="e">
        <v>#REF!</v>
      </c>
      <c r="P33" s="118" t="e">
        <v>#REF!</v>
      </c>
      <c r="Q33" s="118" t="e">
        <v>#REF!</v>
      </c>
      <c r="R33" s="118" t="e">
        <v>#REF!</v>
      </c>
      <c r="S33" s="118" t="e">
        <v>#REF!</v>
      </c>
      <c r="T33" s="118" t="e">
        <v>#REF!</v>
      </c>
      <c r="U33" s="118" t="e">
        <v>#REF!</v>
      </c>
      <c r="V33" s="118" t="e">
        <v>#REF!</v>
      </c>
      <c r="W33" s="118"/>
      <c r="Y33" s="48" t="e">
        <f>VLOOKUP(X33,'Reference Records'!$E$253:$F$420,2,0)</f>
        <v>#N/A</v>
      </c>
      <c r="Z33" s="48" t="e">
        <f>MATCH($Y33,'Reference Records'!$E$507:$E$509,0)+ROW(Population_by_intervention) -1</f>
        <v>#N/A</v>
      </c>
      <c r="AA33" s="48" t="e">
        <f>MATCH($Y33,'Reference Records'!$E$507:$E$509,1)+ROW(Population_by_intervention) -1</f>
        <v>#N/A</v>
      </c>
      <c r="AB33" s="48" t="str">
        <f t="shared" si="0"/>
        <v>|empty|</v>
      </c>
      <c r="AC33" s="48" t="str">
        <f>IF(AB33="","",IFERROR(VLOOKUP(AB33,'Overview - Section A'!AF$124:AG199,2,0),VLOOKUP("|empty|",'Overview - Section A'!AF$124:AG199,2,0)))</f>
        <v>INT-350981</v>
      </c>
      <c r="AD33" s="48">
        <f t="shared" si="1"/>
        <v>2921</v>
      </c>
      <c r="AE33" s="48">
        <f ca="1">AE32+'update Helper'!$T$2</f>
        <v>3225.7826086956484</v>
      </c>
      <c r="AF33" s="48" t="str">
        <f>IFERROR(IF(AB33="","",IFERROR(VLOOKUP(AB33,'Overview - Section A'!AF$124:AO199,10,0),VLOOKUP("|empty|",'Overview - Section A'!AF$124:AO199,10,0))),"")</f>
        <v/>
      </c>
      <c r="AH33" s="310" t="str">
        <f>IFERROR(IF($AC33="","",INDEX('Overview - Section A'!$AB$124:$AB$175,MATCH($AC33,'Overview - Section A'!$AG$124:$AG$175))),"")</f>
        <v>a1MDm000000Xod6MAC</v>
      </c>
      <c r="AI33" s="310" t="str">
        <f>IFERROR(IF('Overview - Section A'!$AN$5="Funding Request",
IF(AND('Reference Records'!$B$427&lt;&gt;"",$F33 ='Reference Records'!$B$427),'Reference Records'!$C$427,""),
INDEX('Reference Records'!$A$498:$C$499,MATCH($F33,'Reference Records'!$A$498:$A$499,0),3)),"")</f>
        <v/>
      </c>
    </row>
    <row r="34" spans="1:35" ht="30" customHeight="1">
      <c r="A34" s="117">
        <v>26</v>
      </c>
      <c r="B34" s="120"/>
      <c r="C34" s="120"/>
      <c r="D34" s="120"/>
      <c r="E34" s="120"/>
      <c r="F34" s="121"/>
      <c r="G34" s="120" t="e">
        <v>#REF!</v>
      </c>
      <c r="H34" s="120" t="e">
        <v>#REF!</v>
      </c>
      <c r="I34" s="120" t="e">
        <v>#REF!</v>
      </c>
      <c r="J34" s="120" t="e">
        <v>#REF!</v>
      </c>
      <c r="K34" s="120" t="e">
        <v>#REF!</v>
      </c>
      <c r="L34" s="120" t="e">
        <v>#REF!</v>
      </c>
      <c r="M34" s="120" t="e">
        <v>#REF!</v>
      </c>
      <c r="N34" s="120" t="e">
        <v>#REF!</v>
      </c>
      <c r="O34" s="120" t="e">
        <v>#REF!</v>
      </c>
      <c r="P34" s="120" t="e">
        <v>#REF!</v>
      </c>
      <c r="Q34" s="120" t="e">
        <v>#REF!</v>
      </c>
      <c r="R34" s="120" t="e">
        <v>#REF!</v>
      </c>
      <c r="S34" s="120" t="e">
        <v>#REF!</v>
      </c>
      <c r="T34" s="120" t="e">
        <v>#REF!</v>
      </c>
      <c r="U34" s="120" t="e">
        <v>#REF!</v>
      </c>
      <c r="V34" s="120" t="e">
        <v>#REF!</v>
      </c>
      <c r="W34" s="120"/>
      <c r="Y34" s="48" t="e">
        <f>VLOOKUP(X34,'Reference Records'!$E$253:$F$420,2,0)</f>
        <v>#N/A</v>
      </c>
      <c r="Z34" s="48" t="e">
        <f>MATCH($Y34,'Reference Records'!$E$507:$E$509,0)+ROW(Population_by_intervention) -1</f>
        <v>#N/A</v>
      </c>
      <c r="AA34" s="48" t="e">
        <f>MATCH($Y34,'Reference Records'!$E$507:$E$509,1)+ROW(Population_by_intervention) -1</f>
        <v>#N/A</v>
      </c>
      <c r="AB34" s="48" t="str">
        <f t="shared" si="0"/>
        <v>|empty|</v>
      </c>
      <c r="AC34" s="48" t="str">
        <f>IF(AB34="","",IFERROR(VLOOKUP(AB34,'Overview - Section A'!AF$124:AG200,2,0),VLOOKUP("|empty|",'Overview - Section A'!AF$124:AG200,2,0)))</f>
        <v>INT-350981</v>
      </c>
      <c r="AD34" s="48">
        <f t="shared" si="1"/>
        <v>2922</v>
      </c>
      <c r="AE34" s="48">
        <f ca="1">AE33+'update Helper'!$T$2</f>
        <v>3232.5652173913004</v>
      </c>
      <c r="AF34" s="48" t="str">
        <f>IFERROR(IF(AB34="","",IFERROR(VLOOKUP(AB34,'Overview - Section A'!AF$124:AO200,10,0),VLOOKUP("|empty|",'Overview - Section A'!AF$124:AO200,10,0))),"")</f>
        <v/>
      </c>
      <c r="AH34" s="310" t="str">
        <f>IFERROR(IF($AC34="","",INDEX('Overview - Section A'!$AB$124:$AB$175,MATCH($AC34,'Overview - Section A'!$AG$124:$AG$175))),"")</f>
        <v>a1MDm000000Xod6MAC</v>
      </c>
      <c r="AI34" s="310" t="str">
        <f>IFERROR(IF('Overview - Section A'!$AN$5="Funding Request",
IF(AND('Reference Records'!$B$427&lt;&gt;"",$F34 ='Reference Records'!$B$427),'Reference Records'!$C$427,""),
INDEX('Reference Records'!$A$498:$C$499,MATCH($F34,'Reference Records'!$A$498:$A$499,0),3)),"")</f>
        <v/>
      </c>
    </row>
    <row r="35" spans="1:35" ht="30" customHeight="1">
      <c r="A35" s="117">
        <v>27</v>
      </c>
      <c r="B35" s="118"/>
      <c r="C35" s="118"/>
      <c r="D35" s="118"/>
      <c r="E35" s="118"/>
      <c r="F35" s="119"/>
      <c r="G35" s="118" t="e">
        <v>#REF!</v>
      </c>
      <c r="H35" s="118" t="e">
        <v>#REF!</v>
      </c>
      <c r="I35" s="118" t="e">
        <v>#REF!</v>
      </c>
      <c r="J35" s="118" t="e">
        <v>#REF!</v>
      </c>
      <c r="K35" s="118" t="e">
        <v>#REF!</v>
      </c>
      <c r="L35" s="118" t="e">
        <v>#REF!</v>
      </c>
      <c r="M35" s="118" t="e">
        <v>#REF!</v>
      </c>
      <c r="N35" s="118" t="e">
        <v>#REF!</v>
      </c>
      <c r="O35" s="118" t="e">
        <v>#REF!</v>
      </c>
      <c r="P35" s="118" t="e">
        <v>#REF!</v>
      </c>
      <c r="Q35" s="118" t="e">
        <v>#REF!</v>
      </c>
      <c r="R35" s="118" t="e">
        <v>#REF!</v>
      </c>
      <c r="S35" s="118" t="e">
        <v>#REF!</v>
      </c>
      <c r="T35" s="118" t="e">
        <v>#REF!</v>
      </c>
      <c r="U35" s="118" t="e">
        <v>#REF!</v>
      </c>
      <c r="V35" s="118" t="e">
        <v>#REF!</v>
      </c>
      <c r="W35" s="118"/>
      <c r="Y35" s="48" t="e">
        <f>VLOOKUP(X35,'Reference Records'!$E$253:$F$420,2,0)</f>
        <v>#N/A</v>
      </c>
      <c r="Z35" s="48" t="e">
        <f>MATCH($Y35,'Reference Records'!$E$507:$E$509,0)+ROW(Population_by_intervention) -1</f>
        <v>#N/A</v>
      </c>
      <c r="AA35" s="48" t="e">
        <f>MATCH($Y35,'Reference Records'!$E$507:$E$509,1)+ROW(Population_by_intervention) -1</f>
        <v>#N/A</v>
      </c>
      <c r="AB35" s="48" t="str">
        <f t="shared" si="0"/>
        <v>|empty|</v>
      </c>
      <c r="AC35" s="48" t="str">
        <f>IF(AB35="","",IFERROR(VLOOKUP(AB35,'Overview - Section A'!AF$124:AG201,2,0),VLOOKUP("|empty|",'Overview - Section A'!AF$124:AG201,2,0)))</f>
        <v>INT-350981</v>
      </c>
      <c r="AD35" s="48">
        <f t="shared" si="1"/>
        <v>2923</v>
      </c>
      <c r="AE35" s="48">
        <f ca="1">AE34+'update Helper'!$T$2</f>
        <v>3239.3478260869524</v>
      </c>
      <c r="AF35" s="48" t="str">
        <f>IFERROR(IF(AB35="","",IFERROR(VLOOKUP(AB35,'Overview - Section A'!AF$124:AO201,10,0),VLOOKUP("|empty|",'Overview - Section A'!AF$124:AO201,10,0))),"")</f>
        <v/>
      </c>
      <c r="AH35" s="310" t="str">
        <f>IFERROR(IF($AC35="","",INDEX('Overview - Section A'!$AB$124:$AB$175,MATCH($AC35,'Overview - Section A'!$AG$124:$AG$175))),"")</f>
        <v>a1MDm000000Xod6MAC</v>
      </c>
      <c r="AI35" s="310" t="str">
        <f>IFERROR(IF('Overview - Section A'!$AN$5="Funding Request",
IF(AND('Reference Records'!$B$427&lt;&gt;"",$F35 ='Reference Records'!$B$427),'Reference Records'!$C$427,""),
INDEX('Reference Records'!$A$498:$C$499,MATCH($F35,'Reference Records'!$A$498:$A$499,0),3)),"")</f>
        <v/>
      </c>
    </row>
    <row r="36" spans="1:35" ht="30" customHeight="1">
      <c r="A36" s="117">
        <v>28</v>
      </c>
      <c r="B36" s="120"/>
      <c r="C36" s="120"/>
      <c r="D36" s="120"/>
      <c r="E36" s="120"/>
      <c r="F36" s="121"/>
      <c r="G36" s="120" t="e">
        <v>#REF!</v>
      </c>
      <c r="H36" s="120" t="e">
        <v>#REF!</v>
      </c>
      <c r="I36" s="120" t="e">
        <v>#REF!</v>
      </c>
      <c r="J36" s="120" t="e">
        <v>#REF!</v>
      </c>
      <c r="K36" s="120" t="e">
        <v>#REF!</v>
      </c>
      <c r="L36" s="120" t="e">
        <v>#REF!</v>
      </c>
      <c r="M36" s="120" t="e">
        <v>#REF!</v>
      </c>
      <c r="N36" s="120" t="e">
        <v>#REF!</v>
      </c>
      <c r="O36" s="120" t="e">
        <v>#REF!</v>
      </c>
      <c r="P36" s="120" t="e">
        <v>#REF!</v>
      </c>
      <c r="Q36" s="120" t="e">
        <v>#REF!</v>
      </c>
      <c r="R36" s="120" t="e">
        <v>#REF!</v>
      </c>
      <c r="S36" s="120" t="e">
        <v>#REF!</v>
      </c>
      <c r="T36" s="120" t="e">
        <v>#REF!</v>
      </c>
      <c r="U36" s="120" t="e">
        <v>#REF!</v>
      </c>
      <c r="V36" s="120" t="e">
        <v>#REF!</v>
      </c>
      <c r="W36" s="120"/>
      <c r="Y36" s="48" t="e">
        <f>VLOOKUP(X36,'Reference Records'!$E$253:$F$420,2,0)</f>
        <v>#N/A</v>
      </c>
      <c r="Z36" s="48" t="e">
        <f>MATCH($Y36,'Reference Records'!$E$507:$E$509,0)+ROW(Population_by_intervention) -1</f>
        <v>#N/A</v>
      </c>
      <c r="AA36" s="48" t="e">
        <f>MATCH($Y36,'Reference Records'!$E$507:$E$509,1)+ROW(Population_by_intervention) -1</f>
        <v>#N/A</v>
      </c>
      <c r="AB36" s="48" t="str">
        <f t="shared" si="0"/>
        <v>|empty|</v>
      </c>
      <c r="AC36" s="48" t="str">
        <f>IF(AB36="","",IFERROR(VLOOKUP(AB36,'Overview - Section A'!AF$124:AG202,2,0),VLOOKUP("|empty|",'Overview - Section A'!AF$124:AG202,2,0)))</f>
        <v>INT-350981</v>
      </c>
      <c r="AD36" s="48">
        <f t="shared" si="1"/>
        <v>2924</v>
      </c>
      <c r="AE36" s="48">
        <f ca="1">AE35+'update Helper'!$T$2</f>
        <v>3246.1304347826044</v>
      </c>
      <c r="AF36" s="48" t="str">
        <f>IFERROR(IF(AB36="","",IFERROR(VLOOKUP(AB36,'Overview - Section A'!AF$124:AO202,10,0),VLOOKUP("|empty|",'Overview - Section A'!AF$124:AO202,10,0))),"")</f>
        <v/>
      </c>
      <c r="AH36" s="310" t="str">
        <f>IFERROR(IF($AC36="","",INDEX('Overview - Section A'!$AB$124:$AB$175,MATCH($AC36,'Overview - Section A'!$AG$124:$AG$175))),"")</f>
        <v>a1MDm000000Xod6MAC</v>
      </c>
      <c r="AI36" s="310" t="str">
        <f>IFERROR(IF('Overview - Section A'!$AN$5="Funding Request",
IF(AND('Reference Records'!$B$427&lt;&gt;"",$F36 ='Reference Records'!$B$427),'Reference Records'!$C$427,""),
INDEX('Reference Records'!$A$498:$C$499,MATCH($F36,'Reference Records'!$A$498:$A$499,0),3)),"")</f>
        <v/>
      </c>
    </row>
    <row r="37" spans="1:35" ht="30" customHeight="1">
      <c r="A37" s="117">
        <v>29</v>
      </c>
      <c r="B37" s="118"/>
      <c r="C37" s="118"/>
      <c r="D37" s="118"/>
      <c r="E37" s="118"/>
      <c r="F37" s="119"/>
      <c r="G37" s="118" t="e">
        <v>#REF!</v>
      </c>
      <c r="H37" s="118" t="e">
        <v>#REF!</v>
      </c>
      <c r="I37" s="118" t="e">
        <v>#REF!</v>
      </c>
      <c r="J37" s="118" t="e">
        <v>#REF!</v>
      </c>
      <c r="K37" s="118" t="e">
        <v>#REF!</v>
      </c>
      <c r="L37" s="118" t="e">
        <v>#REF!</v>
      </c>
      <c r="M37" s="118" t="e">
        <v>#REF!</v>
      </c>
      <c r="N37" s="118" t="e">
        <v>#REF!</v>
      </c>
      <c r="O37" s="118" t="e">
        <v>#REF!</v>
      </c>
      <c r="P37" s="118" t="e">
        <v>#REF!</v>
      </c>
      <c r="Q37" s="118" t="e">
        <v>#REF!</v>
      </c>
      <c r="R37" s="118" t="e">
        <v>#REF!</v>
      </c>
      <c r="S37" s="118" t="e">
        <v>#REF!</v>
      </c>
      <c r="T37" s="118" t="e">
        <v>#REF!</v>
      </c>
      <c r="U37" s="118" t="e">
        <v>#REF!</v>
      </c>
      <c r="V37" s="118" t="e">
        <v>#REF!</v>
      </c>
      <c r="W37" s="118"/>
      <c r="Y37" s="48" t="e">
        <f>VLOOKUP(X37,'Reference Records'!$E$253:$F$420,2,0)</f>
        <v>#N/A</v>
      </c>
      <c r="Z37" s="48" t="e">
        <f>MATCH($Y37,'Reference Records'!$E$507:$E$509,0)+ROW(Population_by_intervention) -1</f>
        <v>#N/A</v>
      </c>
      <c r="AA37" s="48" t="e">
        <f>MATCH($Y37,'Reference Records'!$E$507:$E$509,1)+ROW(Population_by_intervention) -1</f>
        <v>#N/A</v>
      </c>
      <c r="AB37" s="48" t="str">
        <f t="shared" si="0"/>
        <v>|empty|</v>
      </c>
      <c r="AC37" s="48" t="str">
        <f>IF(AB37="","",IFERROR(VLOOKUP(AB37,'Overview - Section A'!AF$124:AG203,2,0),VLOOKUP("|empty|",'Overview - Section A'!AF$124:AG203,2,0)))</f>
        <v>INT-350981</v>
      </c>
      <c r="AD37" s="48">
        <f t="shared" si="1"/>
        <v>2925</v>
      </c>
      <c r="AE37" s="48">
        <f ca="1">AE36+'update Helper'!$T$2</f>
        <v>3252.9130434782564</v>
      </c>
      <c r="AF37" s="48" t="str">
        <f>IFERROR(IF(AB37="","",IFERROR(VLOOKUP(AB37,'Overview - Section A'!AF$124:AO203,10,0),VLOOKUP("|empty|",'Overview - Section A'!AF$124:AO203,10,0))),"")</f>
        <v/>
      </c>
      <c r="AH37" s="310" t="str">
        <f>IFERROR(IF($AC37="","",INDEX('Overview - Section A'!$AB$124:$AB$175,MATCH($AC37,'Overview - Section A'!$AG$124:$AG$175))),"")</f>
        <v>a1MDm000000Xod6MAC</v>
      </c>
      <c r="AI37" s="310" t="str">
        <f>IFERROR(IF('Overview - Section A'!$AN$5="Funding Request",
IF(AND('Reference Records'!$B$427&lt;&gt;"",$F37 ='Reference Records'!$B$427),'Reference Records'!$C$427,""),
INDEX('Reference Records'!$A$498:$C$499,MATCH($F37,'Reference Records'!$A$498:$A$499,0),3)),"")</f>
        <v/>
      </c>
    </row>
    <row r="38" spans="1:35" ht="30" customHeight="1">
      <c r="A38" s="117">
        <v>30</v>
      </c>
      <c r="B38" s="120"/>
      <c r="C38" s="120"/>
      <c r="D38" s="120"/>
      <c r="E38" s="120"/>
      <c r="F38" s="121"/>
      <c r="G38" s="120" t="e">
        <v>#REF!</v>
      </c>
      <c r="H38" s="120" t="e">
        <v>#REF!</v>
      </c>
      <c r="I38" s="120" t="e">
        <v>#REF!</v>
      </c>
      <c r="J38" s="120" t="e">
        <v>#REF!</v>
      </c>
      <c r="K38" s="120" t="e">
        <v>#REF!</v>
      </c>
      <c r="L38" s="120" t="e">
        <v>#REF!</v>
      </c>
      <c r="M38" s="120" t="e">
        <v>#REF!</v>
      </c>
      <c r="N38" s="120" t="e">
        <v>#REF!</v>
      </c>
      <c r="O38" s="120" t="e">
        <v>#REF!</v>
      </c>
      <c r="P38" s="120" t="e">
        <v>#REF!</v>
      </c>
      <c r="Q38" s="120" t="e">
        <v>#REF!</v>
      </c>
      <c r="R38" s="120" t="e">
        <v>#REF!</v>
      </c>
      <c r="S38" s="120" t="e">
        <v>#REF!</v>
      </c>
      <c r="T38" s="120" t="e">
        <v>#REF!</v>
      </c>
      <c r="U38" s="120" t="e">
        <v>#REF!</v>
      </c>
      <c r="V38" s="120" t="e">
        <v>#REF!</v>
      </c>
      <c r="W38" s="120"/>
      <c r="Y38" s="48" t="e">
        <f>VLOOKUP(X38,'Reference Records'!$E$253:$F$420,2,0)</f>
        <v>#N/A</v>
      </c>
      <c r="Z38" s="48" t="e">
        <f>MATCH($Y38,'Reference Records'!$E$507:$E$509,0)+ROW(Population_by_intervention) -1</f>
        <v>#N/A</v>
      </c>
      <c r="AA38" s="48" t="e">
        <f>MATCH($Y38,'Reference Records'!$E$507:$E$509,1)+ROW(Population_by_intervention) -1</f>
        <v>#N/A</v>
      </c>
      <c r="AB38" s="48" t="str">
        <f t="shared" si="0"/>
        <v>|empty|</v>
      </c>
      <c r="AC38" s="48" t="str">
        <f>IF(AB38="","",IFERROR(VLOOKUP(AB38,'Overview - Section A'!AF$124:AG204,2,0),VLOOKUP("|empty|",'Overview - Section A'!AF$124:AG204,2,0)))</f>
        <v>INT-350981</v>
      </c>
      <c r="AD38" s="48">
        <f t="shared" si="1"/>
        <v>2926</v>
      </c>
      <c r="AE38" s="48">
        <f ca="1">AE37+'update Helper'!$T$2</f>
        <v>3259.6956521739085</v>
      </c>
      <c r="AF38" s="48" t="str">
        <f>IFERROR(IF(AB38="","",IFERROR(VLOOKUP(AB38,'Overview - Section A'!AF$124:AO204,10,0),VLOOKUP("|empty|",'Overview - Section A'!AF$124:AO204,10,0))),"")</f>
        <v/>
      </c>
      <c r="AH38" s="310" t="str">
        <f>IFERROR(IF($AC38="","",INDEX('Overview - Section A'!$AB$124:$AB$175,MATCH($AC38,'Overview - Section A'!$AG$124:$AG$175))),"")</f>
        <v>a1MDm000000Xod6MAC</v>
      </c>
      <c r="AI38" s="310" t="str">
        <f>IFERROR(IF('Overview - Section A'!$AN$5="Funding Request",
IF(AND('Reference Records'!$B$427&lt;&gt;"",$F38 ='Reference Records'!$B$427),'Reference Records'!$C$427,""),
INDEX('Reference Records'!$A$498:$C$499,MATCH($F38,'Reference Records'!$A$498:$A$499,0),3)),"")</f>
        <v/>
      </c>
    </row>
    <row r="39" spans="1:35" ht="30" customHeight="1">
      <c r="A39" s="117">
        <v>31</v>
      </c>
      <c r="B39" s="118"/>
      <c r="C39" s="118"/>
      <c r="D39" s="118"/>
      <c r="E39" s="118"/>
      <c r="F39" s="119"/>
      <c r="G39" s="118" t="e">
        <v>#REF!</v>
      </c>
      <c r="H39" s="118" t="e">
        <v>#REF!</v>
      </c>
      <c r="I39" s="118" t="e">
        <v>#REF!</v>
      </c>
      <c r="J39" s="118" t="e">
        <v>#REF!</v>
      </c>
      <c r="K39" s="118" t="e">
        <v>#REF!</v>
      </c>
      <c r="L39" s="118" t="e">
        <v>#REF!</v>
      </c>
      <c r="M39" s="118" t="e">
        <v>#REF!</v>
      </c>
      <c r="N39" s="118" t="e">
        <v>#REF!</v>
      </c>
      <c r="O39" s="118" t="e">
        <v>#REF!</v>
      </c>
      <c r="P39" s="118" t="e">
        <v>#REF!</v>
      </c>
      <c r="Q39" s="118" t="e">
        <v>#REF!</v>
      </c>
      <c r="R39" s="118" t="e">
        <v>#REF!</v>
      </c>
      <c r="S39" s="118" t="e">
        <v>#REF!</v>
      </c>
      <c r="T39" s="118" t="e">
        <v>#REF!</v>
      </c>
      <c r="U39" s="118" t="e">
        <v>#REF!</v>
      </c>
      <c r="V39" s="118" t="e">
        <v>#REF!</v>
      </c>
      <c r="W39" s="118"/>
      <c r="Y39" s="48" t="e">
        <f>VLOOKUP(X39,'Reference Records'!$E$253:$F$420,2,0)</f>
        <v>#N/A</v>
      </c>
      <c r="Z39" s="48" t="e">
        <f>MATCH($Y39,'Reference Records'!$E$507:$E$509,0)+ROW(Population_by_intervention) -1</f>
        <v>#N/A</v>
      </c>
      <c r="AA39" s="48" t="e">
        <f>MATCH($Y39,'Reference Records'!$E$507:$E$509,1)+ROW(Population_by_intervention) -1</f>
        <v>#N/A</v>
      </c>
      <c r="AB39" s="48" t="str">
        <f t="shared" si="0"/>
        <v>|empty|</v>
      </c>
      <c r="AC39" s="48" t="str">
        <f>IF(AB39="","",IFERROR(VLOOKUP(AB39,'Overview - Section A'!AF$124:AG205,2,0),VLOOKUP("|empty|",'Overview - Section A'!AF$124:AG205,2,0)))</f>
        <v>INT-350981</v>
      </c>
      <c r="AD39" s="48">
        <f t="shared" si="1"/>
        <v>2927</v>
      </c>
      <c r="AE39" s="48">
        <f ca="1">AE38+'update Helper'!$T$2</f>
        <v>3266.4782608695605</v>
      </c>
      <c r="AF39" s="48" t="str">
        <f>IFERROR(IF(AB39="","",IFERROR(VLOOKUP(AB39,'Overview - Section A'!AF$124:AO205,10,0),VLOOKUP("|empty|",'Overview - Section A'!AF$124:AO205,10,0))),"")</f>
        <v/>
      </c>
      <c r="AH39" s="310" t="str">
        <f>IFERROR(IF($AC39="","",INDEX('Overview - Section A'!$AB$124:$AB$175,MATCH($AC39,'Overview - Section A'!$AG$124:$AG$175))),"")</f>
        <v>a1MDm000000Xod6MAC</v>
      </c>
      <c r="AI39" s="310" t="str">
        <f>IFERROR(IF('Overview - Section A'!$AN$5="Funding Request",
IF(AND('Reference Records'!$B$427&lt;&gt;"",$F39 ='Reference Records'!$B$427),'Reference Records'!$C$427,""),
INDEX('Reference Records'!$A$498:$C$499,MATCH($F39,'Reference Records'!$A$498:$A$499,0),3)),"")</f>
        <v/>
      </c>
    </row>
    <row r="40" spans="1:35" ht="30" customHeight="1">
      <c r="A40" s="117">
        <v>32</v>
      </c>
      <c r="B40" s="120"/>
      <c r="C40" s="120"/>
      <c r="D40" s="120"/>
      <c r="E40" s="120"/>
      <c r="F40" s="121"/>
      <c r="G40" s="120" t="e">
        <v>#REF!</v>
      </c>
      <c r="H40" s="120" t="e">
        <v>#REF!</v>
      </c>
      <c r="I40" s="120" t="e">
        <v>#REF!</v>
      </c>
      <c r="J40" s="120" t="e">
        <v>#REF!</v>
      </c>
      <c r="K40" s="120" t="e">
        <v>#REF!</v>
      </c>
      <c r="L40" s="120" t="e">
        <v>#REF!</v>
      </c>
      <c r="M40" s="120" t="e">
        <v>#REF!</v>
      </c>
      <c r="N40" s="120" t="e">
        <v>#REF!</v>
      </c>
      <c r="O40" s="120" t="e">
        <v>#REF!</v>
      </c>
      <c r="P40" s="120" t="e">
        <v>#REF!</v>
      </c>
      <c r="Q40" s="120" t="e">
        <v>#REF!</v>
      </c>
      <c r="R40" s="120" t="e">
        <v>#REF!</v>
      </c>
      <c r="S40" s="120" t="e">
        <v>#REF!</v>
      </c>
      <c r="T40" s="120" t="e">
        <v>#REF!</v>
      </c>
      <c r="U40" s="120" t="e">
        <v>#REF!</v>
      </c>
      <c r="V40" s="120" t="e">
        <v>#REF!</v>
      </c>
      <c r="W40" s="120"/>
      <c r="Y40" s="48" t="e">
        <f>VLOOKUP(X40,'Reference Records'!$E$253:$F$420,2,0)</f>
        <v>#N/A</v>
      </c>
      <c r="Z40" s="48" t="e">
        <f>MATCH($Y40,'Reference Records'!$E$507:$E$509,0)+ROW(Population_by_intervention) -1</f>
        <v>#N/A</v>
      </c>
      <c r="AA40" s="48" t="e">
        <f>MATCH($Y40,'Reference Records'!$E$507:$E$509,1)+ROW(Population_by_intervention) -1</f>
        <v>#N/A</v>
      </c>
      <c r="AB40" s="48" t="str">
        <f t="shared" si="0"/>
        <v>|empty|</v>
      </c>
      <c r="AC40" s="48" t="str">
        <f>IF(AB40="","",IFERROR(VLOOKUP(AB40,'Overview - Section A'!AF$124:AG206,2,0),VLOOKUP("|empty|",'Overview - Section A'!AF$124:AG206,2,0)))</f>
        <v>INT-350981</v>
      </c>
      <c r="AD40" s="48">
        <f t="shared" si="1"/>
        <v>2928</v>
      </c>
      <c r="AE40" s="48">
        <f ca="1">AE39+'update Helper'!$T$2</f>
        <v>3273.2608695652125</v>
      </c>
      <c r="AF40" s="48" t="str">
        <f>IFERROR(IF(AB40="","",IFERROR(VLOOKUP(AB40,'Overview - Section A'!AF$124:AO206,10,0),VLOOKUP("|empty|",'Overview - Section A'!AF$124:AO206,10,0))),"")</f>
        <v/>
      </c>
      <c r="AH40" s="310" t="str">
        <f>IFERROR(IF($AC40="","",INDEX('Overview - Section A'!$AB$124:$AB$175,MATCH($AC40,'Overview - Section A'!$AG$124:$AG$175))),"")</f>
        <v>a1MDm000000Xod6MAC</v>
      </c>
      <c r="AI40" s="310" t="str">
        <f>IFERROR(IF('Overview - Section A'!$AN$5="Funding Request",
IF(AND('Reference Records'!$B$427&lt;&gt;"",$F40 ='Reference Records'!$B$427),'Reference Records'!$C$427,""),
INDEX('Reference Records'!$A$498:$C$499,MATCH($F40,'Reference Records'!$A$498:$A$499,0),3)),"")</f>
        <v/>
      </c>
    </row>
    <row r="41" spans="1:35" ht="30" customHeight="1">
      <c r="A41" s="117">
        <v>33</v>
      </c>
      <c r="B41" s="118"/>
      <c r="C41" s="118"/>
      <c r="D41" s="118"/>
      <c r="E41" s="118"/>
      <c r="F41" s="119"/>
      <c r="G41" s="118" t="e">
        <v>#REF!</v>
      </c>
      <c r="H41" s="118" t="e">
        <v>#REF!</v>
      </c>
      <c r="I41" s="118" t="e">
        <v>#REF!</v>
      </c>
      <c r="J41" s="118" t="e">
        <v>#REF!</v>
      </c>
      <c r="K41" s="118" t="e">
        <v>#REF!</v>
      </c>
      <c r="L41" s="118" t="e">
        <v>#REF!</v>
      </c>
      <c r="M41" s="118" t="e">
        <v>#REF!</v>
      </c>
      <c r="N41" s="118" t="e">
        <v>#REF!</v>
      </c>
      <c r="O41" s="118" t="e">
        <v>#REF!</v>
      </c>
      <c r="P41" s="118" t="e">
        <v>#REF!</v>
      </c>
      <c r="Q41" s="118" t="e">
        <v>#REF!</v>
      </c>
      <c r="R41" s="118" t="e">
        <v>#REF!</v>
      </c>
      <c r="S41" s="118" t="e">
        <v>#REF!</v>
      </c>
      <c r="T41" s="118" t="e">
        <v>#REF!</v>
      </c>
      <c r="U41" s="118" t="e">
        <v>#REF!</v>
      </c>
      <c r="V41" s="118" t="e">
        <v>#REF!</v>
      </c>
      <c r="W41" s="118"/>
      <c r="Y41" s="48" t="e">
        <f>VLOOKUP(X41,'Reference Records'!$E$253:$F$420,2,0)</f>
        <v>#N/A</v>
      </c>
      <c r="Z41" s="48" t="e">
        <f>MATCH($Y41,'Reference Records'!$E$507:$E$509,0)+ROW(Population_by_intervention) -1</f>
        <v>#N/A</v>
      </c>
      <c r="AA41" s="48" t="e">
        <f>MATCH($Y41,'Reference Records'!$E$507:$E$509,1)+ROW(Population_by_intervention) -1</f>
        <v>#N/A</v>
      </c>
      <c r="AB41" s="48" t="str">
        <f t="shared" si="0"/>
        <v>|empty|</v>
      </c>
      <c r="AC41" s="48" t="str">
        <f>IF(AB41="","",IFERROR(VLOOKUP(AB41,'Overview - Section A'!AF$124:AG207,2,0),VLOOKUP("|empty|",'Overview - Section A'!AF$124:AG207,2,0)))</f>
        <v>INT-350981</v>
      </c>
      <c r="AD41" s="48">
        <f t="shared" si="1"/>
        <v>2929</v>
      </c>
      <c r="AE41" s="48">
        <f ca="1">AE40+'update Helper'!$T$2</f>
        <v>3280.0434782608645</v>
      </c>
      <c r="AF41" s="48" t="str">
        <f>IFERROR(IF(AB41="","",IFERROR(VLOOKUP(AB41,'Overview - Section A'!AF$124:AO207,10,0),VLOOKUP("|empty|",'Overview - Section A'!AF$124:AO207,10,0))),"")</f>
        <v/>
      </c>
      <c r="AH41" s="310" t="str">
        <f>IFERROR(IF($AC41="","",INDEX('Overview - Section A'!$AB$124:$AB$175,MATCH($AC41,'Overview - Section A'!$AG$124:$AG$175))),"")</f>
        <v>a1MDm000000Xod6MAC</v>
      </c>
      <c r="AI41" s="310" t="str">
        <f>IFERROR(IF('Overview - Section A'!$AN$5="Funding Request",
IF(AND('Reference Records'!$B$427&lt;&gt;"",$F41 ='Reference Records'!$B$427),'Reference Records'!$C$427,""),
INDEX('Reference Records'!$A$498:$C$499,MATCH($F41,'Reference Records'!$A$498:$A$499,0),3)),"")</f>
        <v/>
      </c>
    </row>
    <row r="42" spans="1:35" ht="30" customHeight="1">
      <c r="A42" s="117">
        <v>34</v>
      </c>
      <c r="B42" s="120"/>
      <c r="C42" s="120"/>
      <c r="D42" s="120"/>
      <c r="E42" s="120"/>
      <c r="F42" s="121"/>
      <c r="G42" s="120" t="e">
        <v>#REF!</v>
      </c>
      <c r="H42" s="120" t="e">
        <v>#REF!</v>
      </c>
      <c r="I42" s="120" t="e">
        <v>#REF!</v>
      </c>
      <c r="J42" s="120" t="e">
        <v>#REF!</v>
      </c>
      <c r="K42" s="120" t="e">
        <v>#REF!</v>
      </c>
      <c r="L42" s="120" t="e">
        <v>#REF!</v>
      </c>
      <c r="M42" s="120" t="e">
        <v>#REF!</v>
      </c>
      <c r="N42" s="120" t="e">
        <v>#REF!</v>
      </c>
      <c r="O42" s="120" t="e">
        <v>#REF!</v>
      </c>
      <c r="P42" s="120" t="e">
        <v>#REF!</v>
      </c>
      <c r="Q42" s="120" t="e">
        <v>#REF!</v>
      </c>
      <c r="R42" s="120" t="e">
        <v>#REF!</v>
      </c>
      <c r="S42" s="120" t="e">
        <v>#REF!</v>
      </c>
      <c r="T42" s="120" t="e">
        <v>#REF!</v>
      </c>
      <c r="U42" s="120" t="e">
        <v>#REF!</v>
      </c>
      <c r="V42" s="120" t="e">
        <v>#REF!</v>
      </c>
      <c r="W42" s="120"/>
      <c r="Y42" s="48" t="e">
        <f>VLOOKUP(X42,'Reference Records'!$E$253:$F$420,2,0)</f>
        <v>#N/A</v>
      </c>
      <c r="Z42" s="48" t="e">
        <f>MATCH($Y42,'Reference Records'!$E$507:$E$509,0)+ROW(Population_by_intervention) -1</f>
        <v>#N/A</v>
      </c>
      <c r="AA42" s="48" t="e">
        <f>MATCH($Y42,'Reference Records'!$E$507:$E$509,1)+ROW(Population_by_intervention) -1</f>
        <v>#N/A</v>
      </c>
      <c r="AB42" s="48" t="str">
        <f t="shared" si="0"/>
        <v>|empty|</v>
      </c>
      <c r="AC42" s="48" t="str">
        <f>IF(AB42="","",IFERROR(VLOOKUP(AB42,'Overview - Section A'!AF$124:AG208,2,0),VLOOKUP("|empty|",'Overview - Section A'!AF$124:AG208,2,0)))</f>
        <v>INT-350981</v>
      </c>
      <c r="AD42" s="48">
        <f t="shared" si="1"/>
        <v>2930</v>
      </c>
      <c r="AE42" s="48">
        <f ca="1">AE41+'update Helper'!$T$2</f>
        <v>3286.8260869565165</v>
      </c>
      <c r="AF42" s="48" t="str">
        <f>IFERROR(IF(AB42="","",IFERROR(VLOOKUP(AB42,'Overview - Section A'!AF$124:AO208,10,0),VLOOKUP("|empty|",'Overview - Section A'!AF$124:AO208,10,0))),"")</f>
        <v/>
      </c>
      <c r="AH42" s="310" t="str">
        <f>IFERROR(IF($AC42="","",INDEX('Overview - Section A'!$AB$124:$AB$175,MATCH($AC42,'Overview - Section A'!$AG$124:$AG$175))),"")</f>
        <v>a1MDm000000Xod6MAC</v>
      </c>
      <c r="AI42" s="310" t="str">
        <f>IFERROR(IF('Overview - Section A'!$AN$5="Funding Request",
IF(AND('Reference Records'!$B$427&lt;&gt;"",$F42 ='Reference Records'!$B$427),'Reference Records'!$C$427,""),
INDEX('Reference Records'!$A$498:$C$499,MATCH($F42,'Reference Records'!$A$498:$A$499,0),3)),"")</f>
        <v/>
      </c>
    </row>
    <row r="43" spans="1:35" ht="30" customHeight="1">
      <c r="A43" s="117">
        <v>35</v>
      </c>
      <c r="B43" s="118"/>
      <c r="C43" s="118"/>
      <c r="D43" s="118"/>
      <c r="E43" s="118"/>
      <c r="F43" s="119"/>
      <c r="G43" s="118" t="e">
        <v>#REF!</v>
      </c>
      <c r="H43" s="118" t="e">
        <v>#REF!</v>
      </c>
      <c r="I43" s="118" t="e">
        <v>#REF!</v>
      </c>
      <c r="J43" s="118" t="e">
        <v>#REF!</v>
      </c>
      <c r="K43" s="118" t="e">
        <v>#REF!</v>
      </c>
      <c r="L43" s="118" t="e">
        <v>#REF!</v>
      </c>
      <c r="M43" s="118" t="e">
        <v>#REF!</v>
      </c>
      <c r="N43" s="118" t="e">
        <v>#REF!</v>
      </c>
      <c r="O43" s="118" t="e">
        <v>#REF!</v>
      </c>
      <c r="P43" s="118" t="e">
        <v>#REF!</v>
      </c>
      <c r="Q43" s="118" t="e">
        <v>#REF!</v>
      </c>
      <c r="R43" s="118" t="e">
        <v>#REF!</v>
      </c>
      <c r="S43" s="118" t="e">
        <v>#REF!</v>
      </c>
      <c r="T43" s="118" t="e">
        <v>#REF!</v>
      </c>
      <c r="U43" s="118" t="e">
        <v>#REF!</v>
      </c>
      <c r="V43" s="118" t="e">
        <v>#REF!</v>
      </c>
      <c r="W43" s="118"/>
      <c r="Y43" s="48" t="e">
        <f>VLOOKUP(X43,'Reference Records'!$E$253:$F$420,2,0)</f>
        <v>#N/A</v>
      </c>
      <c r="Z43" s="48" t="e">
        <f>MATCH($Y43,'Reference Records'!$E$507:$E$509,0)+ROW(Population_by_intervention) -1</f>
        <v>#N/A</v>
      </c>
      <c r="AA43" s="48" t="e">
        <f>MATCH($Y43,'Reference Records'!$E$507:$E$509,1)+ROW(Population_by_intervention) -1</f>
        <v>#N/A</v>
      </c>
      <c r="AB43" s="48" t="str">
        <f t="shared" si="0"/>
        <v>|empty|</v>
      </c>
      <c r="AC43" s="48" t="str">
        <f>IF(AB43="","",IFERROR(VLOOKUP(AB43,'Overview - Section A'!AF$124:AG209,2,0),VLOOKUP("|empty|",'Overview - Section A'!AF$124:AG209,2,0)))</f>
        <v>INT-350981</v>
      </c>
      <c r="AD43" s="48">
        <f t="shared" si="1"/>
        <v>2931</v>
      </c>
      <c r="AE43" s="48">
        <f ca="1">AE42+'update Helper'!$T$2</f>
        <v>3293.6086956521685</v>
      </c>
      <c r="AF43" s="48" t="str">
        <f>IFERROR(IF(AB43="","",IFERROR(VLOOKUP(AB43,'Overview - Section A'!AF$124:AO209,10,0),VLOOKUP("|empty|",'Overview - Section A'!AF$124:AO209,10,0))),"")</f>
        <v/>
      </c>
      <c r="AH43" s="310" t="str">
        <f>IFERROR(IF($AC43="","",INDEX('Overview - Section A'!$AB$124:$AB$175,MATCH($AC43,'Overview - Section A'!$AG$124:$AG$175))),"")</f>
        <v>a1MDm000000Xod6MAC</v>
      </c>
      <c r="AI43" s="310" t="str">
        <f>IFERROR(IF('Overview - Section A'!$AN$5="Funding Request",
IF(AND('Reference Records'!$B$427&lt;&gt;"",$F43 ='Reference Records'!$B$427),'Reference Records'!$C$427,""),
INDEX('Reference Records'!$A$498:$C$499,MATCH($F43,'Reference Records'!$A$498:$A$499,0),3)),"")</f>
        <v/>
      </c>
    </row>
    <row r="44" spans="1:35" ht="30" customHeight="1">
      <c r="A44" s="117">
        <v>36</v>
      </c>
      <c r="B44" s="120"/>
      <c r="C44" s="120"/>
      <c r="D44" s="120"/>
      <c r="E44" s="120"/>
      <c r="F44" s="121"/>
      <c r="G44" s="120" t="e">
        <v>#REF!</v>
      </c>
      <c r="H44" s="120" t="e">
        <v>#REF!</v>
      </c>
      <c r="I44" s="120" t="e">
        <v>#REF!</v>
      </c>
      <c r="J44" s="120" t="e">
        <v>#REF!</v>
      </c>
      <c r="K44" s="120" t="e">
        <v>#REF!</v>
      </c>
      <c r="L44" s="120" t="e">
        <v>#REF!</v>
      </c>
      <c r="M44" s="120" t="e">
        <v>#REF!</v>
      </c>
      <c r="N44" s="120" t="e">
        <v>#REF!</v>
      </c>
      <c r="O44" s="120" t="e">
        <v>#REF!</v>
      </c>
      <c r="P44" s="120" t="e">
        <v>#REF!</v>
      </c>
      <c r="Q44" s="120" t="e">
        <v>#REF!</v>
      </c>
      <c r="R44" s="120" t="e">
        <v>#REF!</v>
      </c>
      <c r="S44" s="120" t="e">
        <v>#REF!</v>
      </c>
      <c r="T44" s="120" t="e">
        <v>#REF!</v>
      </c>
      <c r="U44" s="120" t="e">
        <v>#REF!</v>
      </c>
      <c r="V44" s="120" t="e">
        <v>#REF!</v>
      </c>
      <c r="W44" s="120"/>
      <c r="Y44" s="48" t="e">
        <f>VLOOKUP(X44,'Reference Records'!$E$253:$F$420,2,0)</f>
        <v>#N/A</v>
      </c>
      <c r="Z44" s="48" t="e">
        <f>MATCH($Y44,'Reference Records'!$E$507:$E$509,0)+ROW(Population_by_intervention) -1</f>
        <v>#N/A</v>
      </c>
      <c r="AA44" s="48" t="e">
        <f>MATCH($Y44,'Reference Records'!$E$507:$E$509,1)+ROW(Population_by_intervention) -1</f>
        <v>#N/A</v>
      </c>
      <c r="AB44" s="48" t="str">
        <f t="shared" si="0"/>
        <v>|empty|</v>
      </c>
      <c r="AC44" s="48" t="str">
        <f>IF(AB44="","",IFERROR(VLOOKUP(AB44,'Overview - Section A'!AF$124:AG210,2,0),VLOOKUP("|empty|",'Overview - Section A'!AF$124:AG210,2,0)))</f>
        <v>INT-350981</v>
      </c>
      <c r="AD44" s="48">
        <f t="shared" si="1"/>
        <v>2932</v>
      </c>
      <c r="AE44" s="48">
        <f ca="1">AE43+'update Helper'!$T$2</f>
        <v>3300.3913043478206</v>
      </c>
      <c r="AF44" s="48" t="str">
        <f>IFERROR(IF(AB44="","",IFERROR(VLOOKUP(AB44,'Overview - Section A'!AF$124:AO210,10,0),VLOOKUP("|empty|",'Overview - Section A'!AF$124:AO210,10,0))),"")</f>
        <v/>
      </c>
      <c r="AH44" s="310" t="str">
        <f>IFERROR(IF($AC44="","",INDEX('Overview - Section A'!$AB$124:$AB$175,MATCH($AC44,'Overview - Section A'!$AG$124:$AG$175))),"")</f>
        <v>a1MDm000000Xod6MAC</v>
      </c>
      <c r="AI44" s="310" t="str">
        <f>IFERROR(IF('Overview - Section A'!$AN$5="Funding Request",
IF(AND('Reference Records'!$B$427&lt;&gt;"",$F44 ='Reference Records'!$B$427),'Reference Records'!$C$427,""),
INDEX('Reference Records'!$A$498:$C$499,MATCH($F44,'Reference Records'!$A$498:$A$499,0),3)),"")</f>
        <v/>
      </c>
    </row>
    <row r="45" spans="1:35" ht="30" customHeight="1">
      <c r="A45" s="117">
        <v>37</v>
      </c>
      <c r="B45" s="118"/>
      <c r="C45" s="118"/>
      <c r="D45" s="118"/>
      <c r="E45" s="118"/>
      <c r="F45" s="119"/>
      <c r="G45" s="118" t="e">
        <v>#REF!</v>
      </c>
      <c r="H45" s="118" t="e">
        <v>#REF!</v>
      </c>
      <c r="I45" s="118" t="e">
        <v>#REF!</v>
      </c>
      <c r="J45" s="118" t="e">
        <v>#REF!</v>
      </c>
      <c r="K45" s="118" t="e">
        <v>#REF!</v>
      </c>
      <c r="L45" s="118" t="e">
        <v>#REF!</v>
      </c>
      <c r="M45" s="118" t="e">
        <v>#REF!</v>
      </c>
      <c r="N45" s="118" t="e">
        <v>#REF!</v>
      </c>
      <c r="O45" s="118" t="e">
        <v>#REF!</v>
      </c>
      <c r="P45" s="118" t="e">
        <v>#REF!</v>
      </c>
      <c r="Q45" s="118" t="e">
        <v>#REF!</v>
      </c>
      <c r="R45" s="118" t="e">
        <v>#REF!</v>
      </c>
      <c r="S45" s="118" t="e">
        <v>#REF!</v>
      </c>
      <c r="T45" s="118" t="e">
        <v>#REF!</v>
      </c>
      <c r="U45" s="118" t="e">
        <v>#REF!</v>
      </c>
      <c r="V45" s="118" t="e">
        <v>#REF!</v>
      </c>
      <c r="W45" s="118"/>
      <c r="Y45" s="48" t="e">
        <f>VLOOKUP(X45,'Reference Records'!$E$253:$F$420,2,0)</f>
        <v>#N/A</v>
      </c>
      <c r="Z45" s="48" t="e">
        <f>MATCH($Y45,'Reference Records'!$E$507:$E$509,0)+ROW(Population_by_intervention) -1</f>
        <v>#N/A</v>
      </c>
      <c r="AA45" s="48" t="e">
        <f>MATCH($Y45,'Reference Records'!$E$507:$E$509,1)+ROW(Population_by_intervention) -1</f>
        <v>#N/A</v>
      </c>
      <c r="AB45" s="48" t="str">
        <f t="shared" si="0"/>
        <v>|empty|</v>
      </c>
      <c r="AC45" s="48" t="str">
        <f>IF(AB45="","",IFERROR(VLOOKUP(AB45,'Overview - Section A'!AF$124:AG211,2,0),VLOOKUP("|empty|",'Overview - Section A'!AF$124:AG211,2,0)))</f>
        <v>INT-350981</v>
      </c>
      <c r="AD45" s="48">
        <f t="shared" si="1"/>
        <v>2933</v>
      </c>
      <c r="AE45" s="48">
        <f ca="1">AE44+'update Helper'!$T$2</f>
        <v>3307.1739130434726</v>
      </c>
      <c r="AF45" s="48" t="str">
        <f>IFERROR(IF(AB45="","",IFERROR(VLOOKUP(AB45,'Overview - Section A'!AF$124:AO211,10,0),VLOOKUP("|empty|",'Overview - Section A'!AF$124:AO211,10,0))),"")</f>
        <v/>
      </c>
      <c r="AH45" s="310" t="str">
        <f>IFERROR(IF($AC45="","",INDEX('Overview - Section A'!$AB$124:$AB$175,MATCH($AC45,'Overview - Section A'!$AG$124:$AG$175))),"")</f>
        <v>a1MDm000000Xod6MAC</v>
      </c>
      <c r="AI45" s="310" t="str">
        <f>IFERROR(IF('Overview - Section A'!$AN$5="Funding Request",
IF(AND('Reference Records'!$B$427&lt;&gt;"",$F45 ='Reference Records'!$B$427),'Reference Records'!$C$427,""),
INDEX('Reference Records'!$A$498:$C$499,MATCH($F45,'Reference Records'!$A$498:$A$499,0),3)),"")</f>
        <v/>
      </c>
    </row>
    <row r="46" spans="1:35" ht="30" customHeight="1">
      <c r="A46" s="117">
        <v>38</v>
      </c>
      <c r="B46" s="120"/>
      <c r="C46" s="120"/>
      <c r="D46" s="120"/>
      <c r="E46" s="120"/>
      <c r="F46" s="121"/>
      <c r="G46" s="120" t="e">
        <v>#REF!</v>
      </c>
      <c r="H46" s="120" t="e">
        <v>#REF!</v>
      </c>
      <c r="I46" s="120" t="e">
        <v>#REF!</v>
      </c>
      <c r="J46" s="120" t="e">
        <v>#REF!</v>
      </c>
      <c r="K46" s="120" t="e">
        <v>#REF!</v>
      </c>
      <c r="L46" s="120" t="e">
        <v>#REF!</v>
      </c>
      <c r="M46" s="120" t="e">
        <v>#REF!</v>
      </c>
      <c r="N46" s="120" t="e">
        <v>#REF!</v>
      </c>
      <c r="O46" s="120" t="e">
        <v>#REF!</v>
      </c>
      <c r="P46" s="120" t="e">
        <v>#REF!</v>
      </c>
      <c r="Q46" s="120" t="e">
        <v>#REF!</v>
      </c>
      <c r="R46" s="120" t="e">
        <v>#REF!</v>
      </c>
      <c r="S46" s="120" t="e">
        <v>#REF!</v>
      </c>
      <c r="T46" s="120" t="e">
        <v>#REF!</v>
      </c>
      <c r="U46" s="120" t="e">
        <v>#REF!</v>
      </c>
      <c r="V46" s="120" t="e">
        <v>#REF!</v>
      </c>
      <c r="W46" s="120"/>
      <c r="Y46" s="48" t="e">
        <f>VLOOKUP(X46,'Reference Records'!$E$253:$F$420,2,0)</f>
        <v>#N/A</v>
      </c>
      <c r="Z46" s="48" t="e">
        <f>MATCH($Y46,'Reference Records'!$E$507:$E$509,0)+ROW(Population_by_intervention) -1</f>
        <v>#N/A</v>
      </c>
      <c r="AA46" s="48" t="e">
        <f>MATCH($Y46,'Reference Records'!$E$507:$E$509,1)+ROW(Population_by_intervention) -1</f>
        <v>#N/A</v>
      </c>
      <c r="AB46" s="48" t="str">
        <f t="shared" si="0"/>
        <v>|empty|</v>
      </c>
      <c r="AC46" s="48" t="str">
        <f>IF(AB46="","",IFERROR(VLOOKUP(AB46,'Overview - Section A'!AF$124:AG212,2,0),VLOOKUP("|empty|",'Overview - Section A'!AF$124:AG212,2,0)))</f>
        <v>INT-350981</v>
      </c>
      <c r="AD46" s="48">
        <f t="shared" si="1"/>
        <v>2934</v>
      </c>
      <c r="AE46" s="48">
        <f ca="1">AE45+'update Helper'!$T$2</f>
        <v>3313.9565217391246</v>
      </c>
      <c r="AF46" s="48" t="str">
        <f>IFERROR(IF(AB46="","",IFERROR(VLOOKUP(AB46,'Overview - Section A'!AF$124:AO212,10,0),VLOOKUP("|empty|",'Overview - Section A'!AF$124:AO212,10,0))),"")</f>
        <v/>
      </c>
      <c r="AH46" s="310" t="str">
        <f>IFERROR(IF($AC46="","",INDEX('Overview - Section A'!$AB$124:$AB$175,MATCH($AC46,'Overview - Section A'!$AG$124:$AG$175))),"")</f>
        <v>a1MDm000000Xod6MAC</v>
      </c>
      <c r="AI46" s="310" t="str">
        <f>IFERROR(IF('Overview - Section A'!$AN$5="Funding Request",
IF(AND('Reference Records'!$B$427&lt;&gt;"",$F46 ='Reference Records'!$B$427),'Reference Records'!$C$427,""),
INDEX('Reference Records'!$A$498:$C$499,MATCH($F46,'Reference Records'!$A$498:$A$499,0),3)),"")</f>
        <v/>
      </c>
    </row>
    <row r="47" spans="1:35" ht="30" customHeight="1">
      <c r="A47" s="117">
        <v>39</v>
      </c>
      <c r="B47" s="118"/>
      <c r="C47" s="118"/>
      <c r="D47" s="118"/>
      <c r="E47" s="118"/>
      <c r="F47" s="119"/>
      <c r="G47" s="118" t="e">
        <v>#REF!</v>
      </c>
      <c r="H47" s="118" t="e">
        <v>#REF!</v>
      </c>
      <c r="I47" s="118" t="e">
        <v>#REF!</v>
      </c>
      <c r="J47" s="118" t="e">
        <v>#REF!</v>
      </c>
      <c r="K47" s="118" t="e">
        <v>#REF!</v>
      </c>
      <c r="L47" s="118" t="e">
        <v>#REF!</v>
      </c>
      <c r="M47" s="118" t="e">
        <v>#REF!</v>
      </c>
      <c r="N47" s="118" t="e">
        <v>#REF!</v>
      </c>
      <c r="O47" s="118" t="e">
        <v>#REF!</v>
      </c>
      <c r="P47" s="118" t="e">
        <v>#REF!</v>
      </c>
      <c r="Q47" s="118" t="e">
        <v>#REF!</v>
      </c>
      <c r="R47" s="118" t="e">
        <v>#REF!</v>
      </c>
      <c r="S47" s="118" t="e">
        <v>#REF!</v>
      </c>
      <c r="T47" s="118" t="e">
        <v>#REF!</v>
      </c>
      <c r="U47" s="118" t="e">
        <v>#REF!</v>
      </c>
      <c r="V47" s="118" t="e">
        <v>#REF!</v>
      </c>
      <c r="W47" s="118"/>
      <c r="Y47" s="48" t="e">
        <f>VLOOKUP(X47,'Reference Records'!$E$253:$F$420,2,0)</f>
        <v>#N/A</v>
      </c>
      <c r="Z47" s="48" t="e">
        <f>MATCH($Y47,'Reference Records'!$E$507:$E$509,0)+ROW(Population_by_intervention) -1</f>
        <v>#N/A</v>
      </c>
      <c r="AA47" s="48" t="e">
        <f>MATCH($Y47,'Reference Records'!$E$507:$E$509,1)+ROW(Population_by_intervention) -1</f>
        <v>#N/A</v>
      </c>
      <c r="AB47" s="48" t="str">
        <f t="shared" si="0"/>
        <v>|empty|</v>
      </c>
      <c r="AC47" s="48" t="str">
        <f>IF(AB47="","",IFERROR(VLOOKUP(AB47,'Overview - Section A'!AF$124:AG213,2,0),VLOOKUP("|empty|",'Overview - Section A'!AF$124:AG213,2,0)))</f>
        <v>INT-350981</v>
      </c>
      <c r="AD47" s="48">
        <f t="shared" si="1"/>
        <v>2935</v>
      </c>
      <c r="AE47" s="48">
        <f ca="1">AE46+'update Helper'!$T$2</f>
        <v>3320.7391304347766</v>
      </c>
      <c r="AF47" s="48" t="str">
        <f>IFERROR(IF(AB47="","",IFERROR(VLOOKUP(AB47,'Overview - Section A'!AF$124:AO213,10,0),VLOOKUP("|empty|",'Overview - Section A'!AF$124:AO213,10,0))),"")</f>
        <v/>
      </c>
      <c r="AH47" s="310" t="str">
        <f>IFERROR(IF($AC47="","",INDEX('Overview - Section A'!$AB$124:$AB$175,MATCH($AC47,'Overview - Section A'!$AG$124:$AG$175))),"")</f>
        <v>a1MDm000000Xod6MAC</v>
      </c>
      <c r="AI47" s="310" t="str">
        <f>IFERROR(IF('Overview - Section A'!$AN$5="Funding Request",
IF(AND('Reference Records'!$B$427&lt;&gt;"",$F47 ='Reference Records'!$B$427),'Reference Records'!$C$427,""),
INDEX('Reference Records'!$A$498:$C$499,MATCH($F47,'Reference Records'!$A$498:$A$499,0),3)),"")</f>
        <v/>
      </c>
    </row>
    <row r="48" spans="1:35" ht="30" customHeight="1">
      <c r="A48" s="117">
        <v>40</v>
      </c>
      <c r="B48" s="120"/>
      <c r="C48" s="120"/>
      <c r="D48" s="120"/>
      <c r="E48" s="120"/>
      <c r="F48" s="121"/>
      <c r="G48" s="120" t="e">
        <v>#REF!</v>
      </c>
      <c r="H48" s="120" t="e">
        <v>#REF!</v>
      </c>
      <c r="I48" s="120" t="e">
        <v>#REF!</v>
      </c>
      <c r="J48" s="120" t="e">
        <v>#REF!</v>
      </c>
      <c r="K48" s="120" t="e">
        <v>#REF!</v>
      </c>
      <c r="L48" s="120" t="e">
        <v>#REF!</v>
      </c>
      <c r="M48" s="120" t="e">
        <v>#REF!</v>
      </c>
      <c r="N48" s="120" t="e">
        <v>#REF!</v>
      </c>
      <c r="O48" s="120" t="e">
        <v>#REF!</v>
      </c>
      <c r="P48" s="120" t="e">
        <v>#REF!</v>
      </c>
      <c r="Q48" s="120" t="e">
        <v>#REF!</v>
      </c>
      <c r="R48" s="120" t="e">
        <v>#REF!</v>
      </c>
      <c r="S48" s="120" t="e">
        <v>#REF!</v>
      </c>
      <c r="T48" s="120" t="e">
        <v>#REF!</v>
      </c>
      <c r="U48" s="120" t="e">
        <v>#REF!</v>
      </c>
      <c r="V48" s="120" t="e">
        <v>#REF!</v>
      </c>
      <c r="W48" s="120"/>
      <c r="Y48" s="48" t="e">
        <f>VLOOKUP(X48,'Reference Records'!$E$253:$F$420,2,0)</f>
        <v>#N/A</v>
      </c>
      <c r="Z48" s="48" t="e">
        <f>MATCH($Y48,'Reference Records'!$E$507:$E$509,0)+ROW(Population_by_intervention) -1</f>
        <v>#N/A</v>
      </c>
      <c r="AA48" s="48" t="e">
        <f>MATCH($Y48,'Reference Records'!$E$507:$E$509,1)+ROW(Population_by_intervention) -1</f>
        <v>#N/A</v>
      </c>
      <c r="AB48" s="48" t="str">
        <f t="shared" si="0"/>
        <v>|empty|</v>
      </c>
      <c r="AC48" s="48" t="str">
        <f>IF(AB48="","",IFERROR(VLOOKUP(AB48,'Overview - Section A'!AF$124:AG214,2,0),VLOOKUP("|empty|",'Overview - Section A'!AF$124:AG214,2,0)))</f>
        <v>INT-350981</v>
      </c>
      <c r="AD48" s="48">
        <f t="shared" si="1"/>
        <v>2936</v>
      </c>
      <c r="AE48" s="48">
        <f ca="1">AE47+'update Helper'!$T$2</f>
        <v>3327.5217391304286</v>
      </c>
      <c r="AF48" s="48" t="str">
        <f>IFERROR(IF(AB48="","",IFERROR(VLOOKUP(AB48,'Overview - Section A'!AF$124:AO214,10,0),VLOOKUP("|empty|",'Overview - Section A'!AF$124:AO214,10,0))),"")</f>
        <v/>
      </c>
      <c r="AH48" s="310" t="str">
        <f>IFERROR(IF($AC48="","",INDEX('Overview - Section A'!$AB$124:$AB$175,MATCH($AC48,'Overview - Section A'!$AG$124:$AG$175))),"")</f>
        <v>a1MDm000000Xod6MAC</v>
      </c>
      <c r="AI48" s="310" t="str">
        <f>IFERROR(IF('Overview - Section A'!$AN$5="Funding Request",
IF(AND('Reference Records'!$B$427&lt;&gt;"",$F48 ='Reference Records'!$B$427),'Reference Records'!$C$427,""),
INDEX('Reference Records'!$A$498:$C$499,MATCH($F48,'Reference Records'!$A$498:$A$499,0),3)),"")</f>
        <v/>
      </c>
    </row>
    <row r="49" spans="1:35" ht="30" customHeight="1">
      <c r="A49" s="117">
        <v>41</v>
      </c>
      <c r="B49" s="118"/>
      <c r="C49" s="118"/>
      <c r="D49" s="118"/>
      <c r="E49" s="118"/>
      <c r="F49" s="119"/>
      <c r="G49" s="118" t="e">
        <v>#REF!</v>
      </c>
      <c r="H49" s="118" t="e">
        <v>#REF!</v>
      </c>
      <c r="I49" s="118" t="e">
        <v>#REF!</v>
      </c>
      <c r="J49" s="118" t="e">
        <v>#REF!</v>
      </c>
      <c r="K49" s="118" t="e">
        <v>#REF!</v>
      </c>
      <c r="L49" s="118" t="e">
        <v>#REF!</v>
      </c>
      <c r="M49" s="118" t="e">
        <v>#REF!</v>
      </c>
      <c r="N49" s="118" t="e">
        <v>#REF!</v>
      </c>
      <c r="O49" s="118" t="e">
        <v>#REF!</v>
      </c>
      <c r="P49" s="118" t="e">
        <v>#REF!</v>
      </c>
      <c r="Q49" s="118" t="e">
        <v>#REF!</v>
      </c>
      <c r="R49" s="118" t="e">
        <v>#REF!</v>
      </c>
      <c r="S49" s="118" t="e">
        <v>#REF!</v>
      </c>
      <c r="T49" s="118" t="e">
        <v>#REF!</v>
      </c>
      <c r="U49" s="118" t="e">
        <v>#REF!</v>
      </c>
      <c r="V49" s="118" t="e">
        <v>#REF!</v>
      </c>
      <c r="W49" s="118"/>
      <c r="Y49" s="48" t="e">
        <f>VLOOKUP(X49,'Reference Records'!$E$253:$F$420,2,0)</f>
        <v>#N/A</v>
      </c>
      <c r="Z49" s="48" t="e">
        <f>MATCH($Y49,'Reference Records'!$E$507:$E$509,0)+ROW(Population_by_intervention) -1</f>
        <v>#N/A</v>
      </c>
      <c r="AA49" s="48" t="e">
        <f>MATCH($Y49,'Reference Records'!$E$507:$E$509,1)+ROW(Population_by_intervention) -1</f>
        <v>#N/A</v>
      </c>
      <c r="AB49" s="48" t="str">
        <f t="shared" si="0"/>
        <v>|empty|</v>
      </c>
      <c r="AC49" s="48" t="str">
        <f>IF(AB49="","",IFERROR(VLOOKUP(AB49,'Overview - Section A'!AF$124:AG215,2,0),VLOOKUP("|empty|",'Overview - Section A'!AF$124:AG215,2,0)))</f>
        <v>INT-350981</v>
      </c>
      <c r="AD49" s="48">
        <f t="shared" si="1"/>
        <v>2937</v>
      </c>
      <c r="AE49" s="48">
        <f ca="1">AE48+'update Helper'!$T$2</f>
        <v>3334.3043478260806</v>
      </c>
      <c r="AF49" s="48" t="str">
        <f>IFERROR(IF(AB49="","",IFERROR(VLOOKUP(AB49,'Overview - Section A'!AF$124:AO215,10,0),VLOOKUP("|empty|",'Overview - Section A'!AF$124:AO215,10,0))),"")</f>
        <v/>
      </c>
      <c r="AH49" s="310" t="str">
        <f>IFERROR(IF($AC49="","",INDEX('Overview - Section A'!$AB$124:$AB$175,MATCH($AC49,'Overview - Section A'!$AG$124:$AG$175))),"")</f>
        <v>a1MDm000000Xod6MAC</v>
      </c>
      <c r="AI49" s="310" t="str">
        <f>IFERROR(IF('Overview - Section A'!$AN$5="Funding Request",
IF(AND('Reference Records'!$B$427&lt;&gt;"",$F49 ='Reference Records'!$B$427),'Reference Records'!$C$427,""),
INDEX('Reference Records'!$A$498:$C$499,MATCH($F49,'Reference Records'!$A$498:$A$499,0),3)),"")</f>
        <v/>
      </c>
    </row>
    <row r="50" spans="1:35" ht="30" customHeight="1">
      <c r="A50" s="117">
        <v>42</v>
      </c>
      <c r="B50" s="120"/>
      <c r="C50" s="120"/>
      <c r="D50" s="120"/>
      <c r="E50" s="120"/>
      <c r="F50" s="121"/>
      <c r="G50" s="120" t="e">
        <v>#REF!</v>
      </c>
      <c r="H50" s="120" t="e">
        <v>#REF!</v>
      </c>
      <c r="I50" s="120" t="e">
        <v>#REF!</v>
      </c>
      <c r="J50" s="120" t="e">
        <v>#REF!</v>
      </c>
      <c r="K50" s="120" t="e">
        <v>#REF!</v>
      </c>
      <c r="L50" s="120" t="e">
        <v>#REF!</v>
      </c>
      <c r="M50" s="120" t="e">
        <v>#REF!</v>
      </c>
      <c r="N50" s="120" t="e">
        <v>#REF!</v>
      </c>
      <c r="O50" s="120" t="e">
        <v>#REF!</v>
      </c>
      <c r="P50" s="120" t="e">
        <v>#REF!</v>
      </c>
      <c r="Q50" s="120" t="e">
        <v>#REF!</v>
      </c>
      <c r="R50" s="120" t="e">
        <v>#REF!</v>
      </c>
      <c r="S50" s="120" t="e">
        <v>#REF!</v>
      </c>
      <c r="T50" s="120" t="e">
        <v>#REF!</v>
      </c>
      <c r="U50" s="120" t="e">
        <v>#REF!</v>
      </c>
      <c r="V50" s="120" t="e">
        <v>#REF!</v>
      </c>
      <c r="W50" s="120"/>
      <c r="Y50" s="48" t="e">
        <f>VLOOKUP(X50,'Reference Records'!$E$253:$F$420,2,0)</f>
        <v>#N/A</v>
      </c>
      <c r="Z50" s="48" t="e">
        <f>MATCH($Y50,'Reference Records'!$E$507:$E$509,0)+ROW(Population_by_intervention) -1</f>
        <v>#N/A</v>
      </c>
      <c r="AA50" s="48" t="e">
        <f>MATCH($Y50,'Reference Records'!$E$507:$E$509,1)+ROW(Population_by_intervention) -1</f>
        <v>#N/A</v>
      </c>
      <c r="AB50" s="48" t="str">
        <f t="shared" si="0"/>
        <v>|empty|</v>
      </c>
      <c r="AC50" s="48" t="str">
        <f>IF(AB50="","",IFERROR(VLOOKUP(AB50,'Overview - Section A'!AF$124:AG216,2,0),VLOOKUP("|empty|",'Overview - Section A'!AF$124:AG216,2,0)))</f>
        <v>INT-350981</v>
      </c>
      <c r="AD50" s="48">
        <f t="shared" si="1"/>
        <v>2938</v>
      </c>
      <c r="AE50" s="48">
        <f ca="1">AE49+'update Helper'!$T$2</f>
        <v>3341.0869565217326</v>
      </c>
      <c r="AF50" s="48" t="str">
        <f>IFERROR(IF(AB50="","",IFERROR(VLOOKUP(AB50,'Overview - Section A'!AF$124:AO216,10,0),VLOOKUP("|empty|",'Overview - Section A'!AF$124:AO216,10,0))),"")</f>
        <v/>
      </c>
      <c r="AH50" s="310" t="str">
        <f>IFERROR(IF($AC50="","",INDEX('Overview - Section A'!$AB$124:$AB$175,MATCH($AC50,'Overview - Section A'!$AG$124:$AG$175))),"")</f>
        <v>a1MDm000000Xod6MAC</v>
      </c>
      <c r="AI50" s="310" t="str">
        <f>IFERROR(IF('Overview - Section A'!$AN$5="Funding Request",
IF(AND('Reference Records'!$B$427&lt;&gt;"",$F50 ='Reference Records'!$B$427),'Reference Records'!$C$427,""),
INDEX('Reference Records'!$A$498:$C$499,MATCH($F50,'Reference Records'!$A$498:$A$499,0),3)),"")</f>
        <v/>
      </c>
    </row>
    <row r="51" spans="1:35" ht="30" customHeight="1">
      <c r="A51" s="117">
        <v>43</v>
      </c>
      <c r="B51" s="118"/>
      <c r="C51" s="118"/>
      <c r="D51" s="118"/>
      <c r="E51" s="118"/>
      <c r="F51" s="119"/>
      <c r="G51" s="118" t="e">
        <v>#REF!</v>
      </c>
      <c r="H51" s="118" t="e">
        <v>#REF!</v>
      </c>
      <c r="I51" s="118" t="e">
        <v>#REF!</v>
      </c>
      <c r="J51" s="118" t="e">
        <v>#REF!</v>
      </c>
      <c r="K51" s="118" t="e">
        <v>#REF!</v>
      </c>
      <c r="L51" s="118" t="e">
        <v>#REF!</v>
      </c>
      <c r="M51" s="118" t="e">
        <v>#REF!</v>
      </c>
      <c r="N51" s="118" t="e">
        <v>#REF!</v>
      </c>
      <c r="O51" s="118" t="e">
        <v>#REF!</v>
      </c>
      <c r="P51" s="118" t="e">
        <v>#REF!</v>
      </c>
      <c r="Q51" s="118" t="e">
        <v>#REF!</v>
      </c>
      <c r="R51" s="118" t="e">
        <v>#REF!</v>
      </c>
      <c r="S51" s="118" t="e">
        <v>#REF!</v>
      </c>
      <c r="T51" s="118" t="e">
        <v>#REF!</v>
      </c>
      <c r="U51" s="118" t="e">
        <v>#REF!</v>
      </c>
      <c r="V51" s="118" t="e">
        <v>#REF!</v>
      </c>
      <c r="W51" s="118"/>
      <c r="Y51" s="48" t="e">
        <f>VLOOKUP(X51,'Reference Records'!$E$253:$F$420,2,0)</f>
        <v>#N/A</v>
      </c>
      <c r="Z51" s="48" t="e">
        <f>MATCH($Y51,'Reference Records'!$E$507:$E$509,0)+ROW(Population_by_intervention) -1</f>
        <v>#N/A</v>
      </c>
      <c r="AA51" s="48" t="e">
        <f>MATCH($Y51,'Reference Records'!$E$507:$E$509,1)+ROW(Population_by_intervention) -1</f>
        <v>#N/A</v>
      </c>
      <c r="AB51" s="48" t="str">
        <f t="shared" si="0"/>
        <v>|empty|</v>
      </c>
      <c r="AC51" s="48" t="str">
        <f>IF(AB51="","",IFERROR(VLOOKUP(AB51,'Overview - Section A'!AF$124:AG217,2,0),VLOOKUP("|empty|",'Overview - Section A'!AF$124:AG217,2,0)))</f>
        <v>INT-350981</v>
      </c>
      <c r="AD51" s="48">
        <f t="shared" si="1"/>
        <v>2939</v>
      </c>
      <c r="AE51" s="48">
        <f ca="1">AE50+'update Helper'!$T$2</f>
        <v>3347.8695652173847</v>
      </c>
      <c r="AF51" s="48" t="str">
        <f>IFERROR(IF(AB51="","",IFERROR(VLOOKUP(AB51,'Overview - Section A'!AF$124:AO217,10,0),VLOOKUP("|empty|",'Overview - Section A'!AF$124:AO217,10,0))),"")</f>
        <v/>
      </c>
      <c r="AH51" s="310" t="str">
        <f>IFERROR(IF($AC51="","",INDEX('Overview - Section A'!$AB$124:$AB$175,MATCH($AC51,'Overview - Section A'!$AG$124:$AG$175))),"")</f>
        <v>a1MDm000000Xod6MAC</v>
      </c>
      <c r="AI51" s="310" t="str">
        <f>IFERROR(IF('Overview - Section A'!$AN$5="Funding Request",
IF(AND('Reference Records'!$B$427&lt;&gt;"",$F51 ='Reference Records'!$B$427),'Reference Records'!$C$427,""),
INDEX('Reference Records'!$A$498:$C$499,MATCH($F51,'Reference Records'!$A$498:$A$499,0),3)),"")</f>
        <v/>
      </c>
    </row>
    <row r="52" spans="1:35" ht="30" customHeight="1">
      <c r="A52" s="117">
        <v>44</v>
      </c>
      <c r="B52" s="120"/>
      <c r="C52" s="120"/>
      <c r="D52" s="120"/>
      <c r="E52" s="120"/>
      <c r="F52" s="121"/>
      <c r="G52" s="120" t="e">
        <v>#REF!</v>
      </c>
      <c r="H52" s="120" t="e">
        <v>#REF!</v>
      </c>
      <c r="I52" s="120" t="e">
        <v>#REF!</v>
      </c>
      <c r="J52" s="120" t="e">
        <v>#REF!</v>
      </c>
      <c r="K52" s="120" t="e">
        <v>#REF!</v>
      </c>
      <c r="L52" s="120" t="e">
        <v>#REF!</v>
      </c>
      <c r="M52" s="120" t="e">
        <v>#REF!</v>
      </c>
      <c r="N52" s="120" t="e">
        <v>#REF!</v>
      </c>
      <c r="O52" s="120" t="e">
        <v>#REF!</v>
      </c>
      <c r="P52" s="120" t="e">
        <v>#REF!</v>
      </c>
      <c r="Q52" s="120" t="e">
        <v>#REF!</v>
      </c>
      <c r="R52" s="120" t="e">
        <v>#REF!</v>
      </c>
      <c r="S52" s="120" t="e">
        <v>#REF!</v>
      </c>
      <c r="T52" s="120" t="e">
        <v>#REF!</v>
      </c>
      <c r="U52" s="120" t="e">
        <v>#REF!</v>
      </c>
      <c r="V52" s="120" t="e">
        <v>#REF!</v>
      </c>
      <c r="W52" s="120"/>
      <c r="Y52" s="48" t="e">
        <f>VLOOKUP(X52,'Reference Records'!$E$253:$F$420,2,0)</f>
        <v>#N/A</v>
      </c>
      <c r="Z52" s="48" t="e">
        <f>MATCH($Y52,'Reference Records'!$E$507:$E$509,0)+ROW(Population_by_intervention) -1</f>
        <v>#N/A</v>
      </c>
      <c r="AA52" s="48" t="e">
        <f>MATCH($Y52,'Reference Records'!$E$507:$E$509,1)+ROW(Population_by_intervention) -1</f>
        <v>#N/A</v>
      </c>
      <c r="AB52" s="48" t="str">
        <f t="shared" si="0"/>
        <v>|empty|</v>
      </c>
      <c r="AC52" s="48" t="str">
        <f>IF(AB52="","",IFERROR(VLOOKUP(AB52,'Overview - Section A'!AF$124:AG218,2,0),VLOOKUP("|empty|",'Overview - Section A'!AF$124:AG218,2,0)))</f>
        <v>INT-350981</v>
      </c>
      <c r="AD52" s="48">
        <f t="shared" si="1"/>
        <v>2940</v>
      </c>
      <c r="AE52" s="48">
        <f ca="1">AE51+'update Helper'!$T$2</f>
        <v>3354.6521739130367</v>
      </c>
      <c r="AF52" s="48" t="str">
        <f>IFERROR(IF(AB52="","",IFERROR(VLOOKUP(AB52,'Overview - Section A'!AF$124:AO218,10,0),VLOOKUP("|empty|",'Overview - Section A'!AF$124:AO218,10,0))),"")</f>
        <v/>
      </c>
      <c r="AH52" s="310" t="str">
        <f>IFERROR(IF($AC52="","",INDEX('Overview - Section A'!$AB$124:$AB$175,MATCH($AC52,'Overview - Section A'!$AG$124:$AG$175))),"")</f>
        <v>a1MDm000000Xod6MAC</v>
      </c>
      <c r="AI52" s="310" t="str">
        <f>IFERROR(IF('Overview - Section A'!$AN$5="Funding Request",
IF(AND('Reference Records'!$B$427&lt;&gt;"",$F52 ='Reference Records'!$B$427),'Reference Records'!$C$427,""),
INDEX('Reference Records'!$A$498:$C$499,MATCH($F52,'Reference Records'!$A$498:$A$499,0),3)),"")</f>
        <v/>
      </c>
    </row>
    <row r="53" spans="1:35" ht="30" customHeight="1">
      <c r="A53" s="117">
        <v>45</v>
      </c>
      <c r="B53" s="118"/>
      <c r="C53" s="118"/>
      <c r="D53" s="118"/>
      <c r="E53" s="118"/>
      <c r="F53" s="119"/>
      <c r="G53" s="118" t="e">
        <v>#REF!</v>
      </c>
      <c r="H53" s="118" t="e">
        <v>#REF!</v>
      </c>
      <c r="I53" s="118" t="e">
        <v>#REF!</v>
      </c>
      <c r="J53" s="118" t="e">
        <v>#REF!</v>
      </c>
      <c r="K53" s="118" t="e">
        <v>#REF!</v>
      </c>
      <c r="L53" s="118" t="e">
        <v>#REF!</v>
      </c>
      <c r="M53" s="118" t="e">
        <v>#REF!</v>
      </c>
      <c r="N53" s="118" t="e">
        <v>#REF!</v>
      </c>
      <c r="O53" s="118" t="e">
        <v>#REF!</v>
      </c>
      <c r="P53" s="118" t="e">
        <v>#REF!</v>
      </c>
      <c r="Q53" s="118" t="e">
        <v>#REF!</v>
      </c>
      <c r="R53" s="118" t="e">
        <v>#REF!</v>
      </c>
      <c r="S53" s="118" t="e">
        <v>#REF!</v>
      </c>
      <c r="T53" s="118" t="e">
        <v>#REF!</v>
      </c>
      <c r="U53" s="118" t="e">
        <v>#REF!</v>
      </c>
      <c r="V53" s="118" t="e">
        <v>#REF!</v>
      </c>
      <c r="W53" s="118"/>
      <c r="Y53" s="48" t="e">
        <f>VLOOKUP(X53,'Reference Records'!$E$253:$F$420,2,0)</f>
        <v>#N/A</v>
      </c>
      <c r="Z53" s="48" t="e">
        <f>MATCH($Y53,'Reference Records'!$E$507:$E$509,0)+ROW(Population_by_intervention) -1</f>
        <v>#N/A</v>
      </c>
      <c r="AA53" s="48" t="e">
        <f>MATCH($Y53,'Reference Records'!$E$507:$E$509,1)+ROW(Population_by_intervention) -1</f>
        <v>#N/A</v>
      </c>
      <c r="AB53" s="48" t="str">
        <f t="shared" si="0"/>
        <v>|empty|</v>
      </c>
      <c r="AC53" s="48" t="str">
        <f>IF(AB53="","",IFERROR(VLOOKUP(AB53,'Overview - Section A'!AF$124:AG219,2,0),VLOOKUP("|empty|",'Overview - Section A'!AF$124:AG219,2,0)))</f>
        <v>INT-350981</v>
      </c>
      <c r="AD53" s="48">
        <f t="shared" si="1"/>
        <v>2941</v>
      </c>
      <c r="AE53" s="48">
        <f ca="1">AE52+'update Helper'!$T$2</f>
        <v>3361.4347826086887</v>
      </c>
      <c r="AF53" s="48" t="str">
        <f>IFERROR(IF(AB53="","",IFERROR(VLOOKUP(AB53,'Overview - Section A'!AF$124:AO219,10,0),VLOOKUP("|empty|",'Overview - Section A'!AF$124:AO219,10,0))),"")</f>
        <v/>
      </c>
      <c r="AH53" s="310" t="str">
        <f>IFERROR(IF($AC53="","",INDEX('Overview - Section A'!$AB$124:$AB$175,MATCH($AC53,'Overview - Section A'!$AG$124:$AG$175))),"")</f>
        <v>a1MDm000000Xod6MAC</v>
      </c>
      <c r="AI53" s="310" t="str">
        <f>IFERROR(IF('Overview - Section A'!$AN$5="Funding Request",
IF(AND('Reference Records'!$B$427&lt;&gt;"",$F53 ='Reference Records'!$B$427),'Reference Records'!$C$427,""),
INDEX('Reference Records'!$A$498:$C$499,MATCH($F53,'Reference Records'!$A$498:$A$499,0),3)),"")</f>
        <v/>
      </c>
    </row>
    <row r="54" spans="1:35" ht="30" customHeight="1">
      <c r="A54" s="117">
        <v>46</v>
      </c>
      <c r="B54" s="120"/>
      <c r="C54" s="120"/>
      <c r="D54" s="120"/>
      <c r="E54" s="120"/>
      <c r="F54" s="121"/>
      <c r="G54" s="120" t="e">
        <v>#REF!</v>
      </c>
      <c r="H54" s="120" t="e">
        <v>#REF!</v>
      </c>
      <c r="I54" s="120" t="e">
        <v>#REF!</v>
      </c>
      <c r="J54" s="120" t="e">
        <v>#REF!</v>
      </c>
      <c r="K54" s="120" t="e">
        <v>#REF!</v>
      </c>
      <c r="L54" s="120" t="e">
        <v>#REF!</v>
      </c>
      <c r="M54" s="120" t="e">
        <v>#REF!</v>
      </c>
      <c r="N54" s="120" t="e">
        <v>#REF!</v>
      </c>
      <c r="O54" s="120" t="e">
        <v>#REF!</v>
      </c>
      <c r="P54" s="120" t="e">
        <v>#REF!</v>
      </c>
      <c r="Q54" s="120" t="e">
        <v>#REF!</v>
      </c>
      <c r="R54" s="120" t="e">
        <v>#REF!</v>
      </c>
      <c r="S54" s="120" t="e">
        <v>#REF!</v>
      </c>
      <c r="T54" s="120" t="e">
        <v>#REF!</v>
      </c>
      <c r="U54" s="120" t="e">
        <v>#REF!</v>
      </c>
      <c r="V54" s="120" t="e">
        <v>#REF!</v>
      </c>
      <c r="W54" s="120"/>
      <c r="Y54" s="48" t="e">
        <f>VLOOKUP(X54,'Reference Records'!$E$253:$F$420,2,0)</f>
        <v>#N/A</v>
      </c>
      <c r="Z54" s="48" t="e">
        <f>MATCH($Y54,'Reference Records'!$E$507:$E$509,0)+ROW(Population_by_intervention) -1</f>
        <v>#N/A</v>
      </c>
      <c r="AA54" s="48" t="e">
        <f>MATCH($Y54,'Reference Records'!$E$507:$E$509,1)+ROW(Population_by_intervention) -1</f>
        <v>#N/A</v>
      </c>
      <c r="AB54" s="48" t="str">
        <f t="shared" si="0"/>
        <v>|empty|</v>
      </c>
      <c r="AC54" s="48" t="str">
        <f>IF(AB54="","",IFERROR(VLOOKUP(AB54,'Overview - Section A'!AF$124:AG220,2,0),VLOOKUP("|empty|",'Overview - Section A'!AF$124:AG220,2,0)))</f>
        <v>INT-350981</v>
      </c>
      <c r="AD54" s="48">
        <f t="shared" si="1"/>
        <v>2942</v>
      </c>
      <c r="AE54" s="48">
        <f ca="1">AE53+'update Helper'!$T$2</f>
        <v>3368.2173913043407</v>
      </c>
      <c r="AF54" s="48" t="str">
        <f>IFERROR(IF(AB54="","",IFERROR(VLOOKUP(AB54,'Overview - Section A'!AF$124:AO220,10,0),VLOOKUP("|empty|",'Overview - Section A'!AF$124:AO220,10,0))),"")</f>
        <v/>
      </c>
      <c r="AH54" s="310" t="str">
        <f>IFERROR(IF($AC54="","",INDEX('Overview - Section A'!$AB$124:$AB$175,MATCH($AC54,'Overview - Section A'!$AG$124:$AG$175))),"")</f>
        <v>a1MDm000000Xod6MAC</v>
      </c>
      <c r="AI54" s="310" t="str">
        <f>IFERROR(IF('Overview - Section A'!$AN$5="Funding Request",
IF(AND('Reference Records'!$B$427&lt;&gt;"",$F54 ='Reference Records'!$B$427),'Reference Records'!$C$427,""),
INDEX('Reference Records'!$A$498:$C$499,MATCH($F54,'Reference Records'!$A$498:$A$499,0),3)),"")</f>
        <v/>
      </c>
    </row>
    <row r="55" spans="1:35" ht="30" customHeight="1">
      <c r="A55" s="117">
        <v>47</v>
      </c>
      <c r="B55" s="118"/>
      <c r="C55" s="118"/>
      <c r="D55" s="118"/>
      <c r="E55" s="118"/>
      <c r="F55" s="119"/>
      <c r="G55" s="118" t="e">
        <v>#REF!</v>
      </c>
      <c r="H55" s="118" t="e">
        <v>#REF!</v>
      </c>
      <c r="I55" s="118" t="e">
        <v>#REF!</v>
      </c>
      <c r="J55" s="118" t="e">
        <v>#REF!</v>
      </c>
      <c r="K55" s="118" t="e">
        <v>#REF!</v>
      </c>
      <c r="L55" s="118" t="e">
        <v>#REF!</v>
      </c>
      <c r="M55" s="118" t="e">
        <v>#REF!</v>
      </c>
      <c r="N55" s="118" t="e">
        <v>#REF!</v>
      </c>
      <c r="O55" s="118" t="e">
        <v>#REF!</v>
      </c>
      <c r="P55" s="118" t="e">
        <v>#REF!</v>
      </c>
      <c r="Q55" s="118" t="e">
        <v>#REF!</v>
      </c>
      <c r="R55" s="118" t="e">
        <v>#REF!</v>
      </c>
      <c r="S55" s="118" t="e">
        <v>#REF!</v>
      </c>
      <c r="T55" s="118" t="e">
        <v>#REF!</v>
      </c>
      <c r="U55" s="118" t="e">
        <v>#REF!</v>
      </c>
      <c r="V55" s="118" t="e">
        <v>#REF!</v>
      </c>
      <c r="W55" s="118"/>
      <c r="Y55" s="48" t="e">
        <f>VLOOKUP(X55,'Reference Records'!$E$253:$F$420,2,0)</f>
        <v>#N/A</v>
      </c>
      <c r="Z55" s="48" t="e">
        <f>MATCH($Y55,'Reference Records'!$E$507:$E$509,0)+ROW(Population_by_intervention) -1</f>
        <v>#N/A</v>
      </c>
      <c r="AA55" s="48" t="e">
        <f>MATCH($Y55,'Reference Records'!$E$507:$E$509,1)+ROW(Population_by_intervention) -1</f>
        <v>#N/A</v>
      </c>
      <c r="AB55" s="48" t="str">
        <f t="shared" si="0"/>
        <v>|empty|</v>
      </c>
      <c r="AC55" s="48" t="str">
        <f>IF(AB55="","",IFERROR(VLOOKUP(AB55,'Overview - Section A'!AF$124:AG221,2,0),VLOOKUP("|empty|",'Overview - Section A'!AF$124:AG221,2,0)))</f>
        <v>INT-350981</v>
      </c>
      <c r="AD55" s="48">
        <f t="shared" si="1"/>
        <v>2943</v>
      </c>
      <c r="AE55" s="48">
        <f ca="1">AE54+'update Helper'!$T$2</f>
        <v>3374.9999999999927</v>
      </c>
      <c r="AF55" s="48" t="str">
        <f>IFERROR(IF(AB55="","",IFERROR(VLOOKUP(AB55,'Overview - Section A'!AF$124:AO221,10,0),VLOOKUP("|empty|",'Overview - Section A'!AF$124:AO221,10,0))),"")</f>
        <v/>
      </c>
      <c r="AH55" s="310" t="str">
        <f>IFERROR(IF($AC55="","",INDEX('Overview - Section A'!$AB$124:$AB$175,MATCH($AC55,'Overview - Section A'!$AG$124:$AG$175))),"")</f>
        <v>a1MDm000000Xod6MAC</v>
      </c>
      <c r="AI55" s="310" t="str">
        <f>IFERROR(IF('Overview - Section A'!$AN$5="Funding Request",
IF(AND('Reference Records'!$B$427&lt;&gt;"",$F55 ='Reference Records'!$B$427),'Reference Records'!$C$427,""),
INDEX('Reference Records'!$A$498:$C$499,MATCH($F55,'Reference Records'!$A$498:$A$499,0),3)),"")</f>
        <v/>
      </c>
    </row>
    <row r="56" spans="1:35" ht="30" customHeight="1">
      <c r="A56" s="117">
        <v>48</v>
      </c>
      <c r="B56" s="120"/>
      <c r="C56" s="120"/>
      <c r="D56" s="120"/>
      <c r="E56" s="120"/>
      <c r="F56" s="121"/>
      <c r="G56" s="120" t="e">
        <v>#REF!</v>
      </c>
      <c r="H56" s="120" t="e">
        <v>#REF!</v>
      </c>
      <c r="I56" s="120" t="e">
        <v>#REF!</v>
      </c>
      <c r="J56" s="120" t="e">
        <v>#REF!</v>
      </c>
      <c r="K56" s="120" t="e">
        <v>#REF!</v>
      </c>
      <c r="L56" s="120" t="e">
        <v>#REF!</v>
      </c>
      <c r="M56" s="120" t="e">
        <v>#REF!</v>
      </c>
      <c r="N56" s="120" t="e">
        <v>#REF!</v>
      </c>
      <c r="O56" s="120" t="e">
        <v>#REF!</v>
      </c>
      <c r="P56" s="120" t="e">
        <v>#REF!</v>
      </c>
      <c r="Q56" s="120" t="e">
        <v>#REF!</v>
      </c>
      <c r="R56" s="120" t="e">
        <v>#REF!</v>
      </c>
      <c r="S56" s="120" t="e">
        <v>#REF!</v>
      </c>
      <c r="T56" s="120" t="e">
        <v>#REF!</v>
      </c>
      <c r="U56" s="120" t="e">
        <v>#REF!</v>
      </c>
      <c r="V56" s="120" t="e">
        <v>#REF!</v>
      </c>
      <c r="W56" s="120"/>
      <c r="Y56" s="48" t="e">
        <f>VLOOKUP(X56,'Reference Records'!$E$253:$F$420,2,0)</f>
        <v>#N/A</v>
      </c>
      <c r="Z56" s="48" t="e">
        <f>MATCH($Y56,'Reference Records'!$E$507:$E$509,0)+ROW(Population_by_intervention) -1</f>
        <v>#N/A</v>
      </c>
      <c r="AA56" s="48" t="e">
        <f>MATCH($Y56,'Reference Records'!$E$507:$E$509,1)+ROW(Population_by_intervention) -1</f>
        <v>#N/A</v>
      </c>
      <c r="AB56" s="48" t="str">
        <f t="shared" si="0"/>
        <v>|empty|</v>
      </c>
      <c r="AC56" s="48" t="str">
        <f>IF(AB56="","",IFERROR(VLOOKUP(AB56,'Overview - Section A'!AF$124:AG222,2,0),VLOOKUP("|empty|",'Overview - Section A'!AF$124:AG222,2,0)))</f>
        <v>INT-350981</v>
      </c>
      <c r="AD56" s="48">
        <f t="shared" si="1"/>
        <v>2944</v>
      </c>
      <c r="AE56" s="48">
        <f ca="1">AE55+'update Helper'!$T$2</f>
        <v>3381.7826086956447</v>
      </c>
      <c r="AF56" s="48" t="str">
        <f>IFERROR(IF(AB56="","",IFERROR(VLOOKUP(AB56,'Overview - Section A'!AF$124:AO222,10,0),VLOOKUP("|empty|",'Overview - Section A'!AF$124:AO222,10,0))),"")</f>
        <v/>
      </c>
      <c r="AH56" s="310" t="str">
        <f>IFERROR(IF($AC56="","",INDEX('Overview - Section A'!$AB$124:$AB$175,MATCH($AC56,'Overview - Section A'!$AG$124:$AG$175))),"")</f>
        <v>a1MDm000000Xod6MAC</v>
      </c>
      <c r="AI56" s="310" t="str">
        <f>IFERROR(IF('Overview - Section A'!$AN$5="Funding Request",
IF(AND('Reference Records'!$B$427&lt;&gt;"",$F56 ='Reference Records'!$B$427),'Reference Records'!$C$427,""),
INDEX('Reference Records'!$A$498:$C$499,MATCH($F56,'Reference Records'!$A$498:$A$499,0),3)),"")</f>
        <v/>
      </c>
    </row>
    <row r="57" spans="1:35" ht="30" customHeight="1">
      <c r="A57" s="117">
        <v>49</v>
      </c>
      <c r="B57" s="118"/>
      <c r="C57" s="118"/>
      <c r="D57" s="118"/>
      <c r="E57" s="118"/>
      <c r="F57" s="119"/>
      <c r="G57" s="118" t="e">
        <v>#REF!</v>
      </c>
      <c r="H57" s="118" t="e">
        <v>#REF!</v>
      </c>
      <c r="I57" s="118" t="e">
        <v>#REF!</v>
      </c>
      <c r="J57" s="118" t="e">
        <v>#REF!</v>
      </c>
      <c r="K57" s="118" t="e">
        <v>#REF!</v>
      </c>
      <c r="L57" s="118" t="e">
        <v>#REF!</v>
      </c>
      <c r="M57" s="118" t="e">
        <v>#REF!</v>
      </c>
      <c r="N57" s="118" t="e">
        <v>#REF!</v>
      </c>
      <c r="O57" s="118" t="e">
        <v>#REF!</v>
      </c>
      <c r="P57" s="118" t="e">
        <v>#REF!</v>
      </c>
      <c r="Q57" s="118" t="e">
        <v>#REF!</v>
      </c>
      <c r="R57" s="118" t="e">
        <v>#REF!</v>
      </c>
      <c r="S57" s="118" t="e">
        <v>#REF!</v>
      </c>
      <c r="T57" s="118" t="e">
        <v>#REF!</v>
      </c>
      <c r="U57" s="118" t="e">
        <v>#REF!</v>
      </c>
      <c r="V57" s="118" t="e">
        <v>#REF!</v>
      </c>
      <c r="W57" s="118"/>
      <c r="Y57" s="48" t="e">
        <f>VLOOKUP(X57,'Reference Records'!$E$253:$F$420,2,0)</f>
        <v>#N/A</v>
      </c>
      <c r="Z57" s="48" t="e">
        <f>MATCH($Y57,'Reference Records'!$E$507:$E$509,0)+ROW(Population_by_intervention) -1</f>
        <v>#N/A</v>
      </c>
      <c r="AA57" s="48" t="e">
        <f>MATCH($Y57,'Reference Records'!$E$507:$E$509,1)+ROW(Population_by_intervention) -1</f>
        <v>#N/A</v>
      </c>
      <c r="AB57" s="48" t="str">
        <f t="shared" si="0"/>
        <v>|empty|</v>
      </c>
      <c r="AC57" s="48" t="str">
        <f>IF(AB57="","",IFERROR(VLOOKUP(AB57,'Overview - Section A'!AF$124:AG223,2,0),VLOOKUP("|empty|",'Overview - Section A'!AF$124:AG223,2,0)))</f>
        <v>INT-350981</v>
      </c>
      <c r="AD57" s="48">
        <f t="shared" si="1"/>
        <v>2945</v>
      </c>
      <c r="AE57" s="48">
        <f ca="1">AE56+'update Helper'!$T$2</f>
        <v>3388.5652173912968</v>
      </c>
      <c r="AF57" s="48" t="str">
        <f>IFERROR(IF(AB57="","",IFERROR(VLOOKUP(AB57,'Overview - Section A'!AF$124:AO223,10,0),VLOOKUP("|empty|",'Overview - Section A'!AF$124:AO223,10,0))),"")</f>
        <v/>
      </c>
      <c r="AH57" s="310" t="str">
        <f>IFERROR(IF($AC57="","",INDEX('Overview - Section A'!$AB$124:$AB$175,MATCH($AC57,'Overview - Section A'!$AG$124:$AG$175))),"")</f>
        <v>a1MDm000000Xod6MAC</v>
      </c>
      <c r="AI57" s="310" t="str">
        <f>IFERROR(IF('Overview - Section A'!$AN$5="Funding Request",
IF(AND('Reference Records'!$B$427&lt;&gt;"",$F57 ='Reference Records'!$B$427),'Reference Records'!$C$427,""),
INDEX('Reference Records'!$A$498:$C$499,MATCH($F57,'Reference Records'!$A$498:$A$499,0),3)),"")</f>
        <v/>
      </c>
    </row>
    <row r="58" spans="1:35" ht="30" customHeight="1">
      <c r="A58" s="117">
        <v>50</v>
      </c>
      <c r="B58" s="120"/>
      <c r="C58" s="120"/>
      <c r="D58" s="120"/>
      <c r="E58" s="120"/>
      <c r="F58" s="121"/>
      <c r="G58" s="120" t="e">
        <v>#REF!</v>
      </c>
      <c r="H58" s="120" t="e">
        <v>#REF!</v>
      </c>
      <c r="I58" s="120" t="e">
        <v>#REF!</v>
      </c>
      <c r="J58" s="120" t="e">
        <v>#REF!</v>
      </c>
      <c r="K58" s="120" t="e">
        <v>#REF!</v>
      </c>
      <c r="L58" s="120" t="e">
        <v>#REF!</v>
      </c>
      <c r="M58" s="120" t="e">
        <v>#REF!</v>
      </c>
      <c r="N58" s="120" t="e">
        <v>#REF!</v>
      </c>
      <c r="O58" s="120" t="e">
        <v>#REF!</v>
      </c>
      <c r="P58" s="120" t="e">
        <v>#REF!</v>
      </c>
      <c r="Q58" s="120" t="e">
        <v>#REF!</v>
      </c>
      <c r="R58" s="120" t="e">
        <v>#REF!</v>
      </c>
      <c r="S58" s="120" t="e">
        <v>#REF!</v>
      </c>
      <c r="T58" s="120" t="e">
        <v>#REF!</v>
      </c>
      <c r="U58" s="120" t="e">
        <v>#REF!</v>
      </c>
      <c r="V58" s="120" t="e">
        <v>#REF!</v>
      </c>
      <c r="W58" s="120"/>
      <c r="Y58" s="48" t="e">
        <f>VLOOKUP(X58,'Reference Records'!$E$253:$F$420,2,0)</f>
        <v>#N/A</v>
      </c>
      <c r="Z58" s="48" t="e">
        <f>MATCH($Y58,'Reference Records'!$E$507:$E$509,0)+ROW(Population_by_intervention) -1</f>
        <v>#N/A</v>
      </c>
      <c r="AA58" s="48" t="e">
        <f>MATCH($Y58,'Reference Records'!$E$507:$E$509,1)+ROW(Population_by_intervention) -1</f>
        <v>#N/A</v>
      </c>
      <c r="AB58" s="48" t="str">
        <f t="shared" si="0"/>
        <v>|empty|</v>
      </c>
      <c r="AC58" s="48" t="str">
        <f>IF(AB58="","",IFERROR(VLOOKUP(AB58,'Overview - Section A'!AF$124:AG224,2,0),VLOOKUP("|empty|",'Overview - Section A'!AF$124:AG224,2,0)))</f>
        <v>INT-350981</v>
      </c>
      <c r="AD58" s="48">
        <f t="shared" si="1"/>
        <v>2946</v>
      </c>
      <c r="AE58" s="48">
        <f ca="1">AE57+'update Helper'!$T$2</f>
        <v>3395.3478260869488</v>
      </c>
      <c r="AF58" s="48" t="str">
        <f>IFERROR(IF(AB58="","",IFERROR(VLOOKUP(AB58,'Overview - Section A'!AF$124:AO224,10,0),VLOOKUP("|empty|",'Overview - Section A'!AF$124:AO224,10,0))),"")</f>
        <v/>
      </c>
      <c r="AH58" s="310" t="str">
        <f>IFERROR(IF($AC58="","",INDEX('Overview - Section A'!$AB$124:$AB$175,MATCH($AC58,'Overview - Section A'!$AG$124:$AG$175))),"")</f>
        <v>a1MDm000000Xod6MAC</v>
      </c>
      <c r="AI58" s="310" t="str">
        <f>IFERROR(IF('Overview - Section A'!$AN$5="Funding Request",
IF(AND('Reference Records'!$B$427&lt;&gt;"",$F58 ='Reference Records'!$B$427),'Reference Records'!$C$427,""),
INDEX('Reference Records'!$A$498:$C$499,MATCH($F58,'Reference Records'!$A$498:$A$499,0),3)),"")</f>
        <v/>
      </c>
    </row>
    <row r="59" spans="1:35" ht="30" customHeight="1">
      <c r="A59" s="117">
        <v>51</v>
      </c>
      <c r="B59" s="118"/>
      <c r="C59" s="118"/>
      <c r="D59" s="118"/>
      <c r="E59" s="118"/>
      <c r="F59" s="119"/>
      <c r="G59" s="118" t="e">
        <v>#REF!</v>
      </c>
      <c r="H59" s="118" t="e">
        <v>#REF!</v>
      </c>
      <c r="I59" s="118" t="e">
        <v>#REF!</v>
      </c>
      <c r="J59" s="118" t="e">
        <v>#REF!</v>
      </c>
      <c r="K59" s="118" t="e">
        <v>#REF!</v>
      </c>
      <c r="L59" s="118" t="e">
        <v>#REF!</v>
      </c>
      <c r="M59" s="118" t="e">
        <v>#REF!</v>
      </c>
      <c r="N59" s="118" t="e">
        <v>#REF!</v>
      </c>
      <c r="O59" s="118" t="e">
        <v>#REF!</v>
      </c>
      <c r="P59" s="118" t="e">
        <v>#REF!</v>
      </c>
      <c r="Q59" s="118" t="e">
        <v>#REF!</v>
      </c>
      <c r="R59" s="118" t="e">
        <v>#REF!</v>
      </c>
      <c r="S59" s="118" t="e">
        <v>#REF!</v>
      </c>
      <c r="T59" s="118" t="e">
        <v>#REF!</v>
      </c>
      <c r="U59" s="118" t="e">
        <v>#REF!</v>
      </c>
      <c r="V59" s="118" t="e">
        <v>#REF!</v>
      </c>
      <c r="W59" s="118"/>
      <c r="Y59" s="48" t="e">
        <f>VLOOKUP(X59,'Reference Records'!$E$253:$F$420,2,0)</f>
        <v>#N/A</v>
      </c>
      <c r="Z59" s="48" t="e">
        <f>MATCH($Y59,'Reference Records'!$E$507:$E$509,0)+ROW(Population_by_intervention) -1</f>
        <v>#N/A</v>
      </c>
      <c r="AA59" s="48" t="e">
        <f>MATCH($Y59,'Reference Records'!$E$507:$E$509,1)+ROW(Population_by_intervention) -1</f>
        <v>#N/A</v>
      </c>
      <c r="AB59" s="48" t="str">
        <f t="shared" si="0"/>
        <v>|empty|</v>
      </c>
      <c r="AC59" s="48" t="str">
        <f>IF(AB59="","",IFERROR(VLOOKUP(AB59,'Overview - Section A'!AF$124:AG225,2,0),VLOOKUP("|empty|",'Overview - Section A'!AF$124:AG225,2,0)))</f>
        <v>INT-350981</v>
      </c>
      <c r="AD59" s="48">
        <f t="shared" si="1"/>
        <v>2947</v>
      </c>
      <c r="AE59" s="48">
        <f ca="1">AE58+'update Helper'!$T$2</f>
        <v>3402.1304347826008</v>
      </c>
      <c r="AF59" s="48" t="str">
        <f>IFERROR(IF(AB59="","",IFERROR(VLOOKUP(AB59,'Overview - Section A'!AF$124:AO225,10,0),VLOOKUP("|empty|",'Overview - Section A'!AF$124:AO225,10,0))),"")</f>
        <v/>
      </c>
      <c r="AH59" s="310" t="str">
        <f>IFERROR(IF($AC59="","",INDEX('Overview - Section A'!$AB$124:$AB$175,MATCH($AC59,'Overview - Section A'!$AG$124:$AG$175))),"")</f>
        <v>a1MDm000000Xod6MAC</v>
      </c>
      <c r="AI59" s="310" t="str">
        <f>IFERROR(IF('Overview - Section A'!$AN$5="Funding Request",
IF(AND('Reference Records'!$B$427&lt;&gt;"",$F59 ='Reference Records'!$B$427),'Reference Records'!$C$427,""),
INDEX('Reference Records'!$A$498:$C$499,MATCH($F59,'Reference Records'!$A$498:$A$499,0),3)),"")</f>
        <v/>
      </c>
    </row>
    <row r="60" spans="1:35" ht="30" customHeight="1">
      <c r="A60" s="117">
        <v>52</v>
      </c>
      <c r="B60" s="120"/>
      <c r="C60" s="120"/>
      <c r="D60" s="120"/>
      <c r="E60" s="120"/>
      <c r="F60" s="121"/>
      <c r="G60" s="120" t="e">
        <v>#REF!</v>
      </c>
      <c r="H60" s="120" t="e">
        <v>#REF!</v>
      </c>
      <c r="I60" s="120" t="e">
        <v>#REF!</v>
      </c>
      <c r="J60" s="120" t="e">
        <v>#REF!</v>
      </c>
      <c r="K60" s="120" t="e">
        <v>#REF!</v>
      </c>
      <c r="L60" s="120" t="e">
        <v>#REF!</v>
      </c>
      <c r="M60" s="120" t="e">
        <v>#REF!</v>
      </c>
      <c r="N60" s="120" t="e">
        <v>#REF!</v>
      </c>
      <c r="O60" s="120" t="e">
        <v>#REF!</v>
      </c>
      <c r="P60" s="120" t="e">
        <v>#REF!</v>
      </c>
      <c r="Q60" s="120" t="e">
        <v>#REF!</v>
      </c>
      <c r="R60" s="120" t="e">
        <v>#REF!</v>
      </c>
      <c r="S60" s="120" t="e">
        <v>#REF!</v>
      </c>
      <c r="T60" s="120" t="e">
        <v>#REF!</v>
      </c>
      <c r="U60" s="120" t="e">
        <v>#REF!</v>
      </c>
      <c r="V60" s="120" t="e">
        <v>#REF!</v>
      </c>
      <c r="W60" s="120"/>
      <c r="Y60" s="48" t="e">
        <f>VLOOKUP(X60,'Reference Records'!$E$253:$F$420,2,0)</f>
        <v>#N/A</v>
      </c>
      <c r="Z60" s="48" t="e">
        <f>MATCH($Y60,'Reference Records'!$E$507:$E$509,0)+ROW(Population_by_intervention) -1</f>
        <v>#N/A</v>
      </c>
      <c r="AA60" s="48" t="e">
        <f>MATCH($Y60,'Reference Records'!$E$507:$E$509,1)+ROW(Population_by_intervention) -1</f>
        <v>#N/A</v>
      </c>
      <c r="AB60" s="48" t="str">
        <f t="shared" si="0"/>
        <v>|empty|</v>
      </c>
      <c r="AC60" s="48" t="str">
        <f>IF(AB60="","",IFERROR(VLOOKUP(AB60,'Overview - Section A'!AF$124:AG226,2,0),VLOOKUP("|empty|",'Overview - Section A'!AF$124:AG226,2,0)))</f>
        <v>INT-350981</v>
      </c>
      <c r="AD60" s="48">
        <f t="shared" si="1"/>
        <v>2948</v>
      </c>
      <c r="AE60" s="48">
        <f ca="1">AE59+'update Helper'!$T$2</f>
        <v>3408.9130434782528</v>
      </c>
      <c r="AF60" s="48" t="str">
        <f>IFERROR(IF(AB60="","",IFERROR(VLOOKUP(AB60,'Overview - Section A'!AF$124:AO226,10,0),VLOOKUP("|empty|",'Overview - Section A'!AF$124:AO226,10,0))),"")</f>
        <v/>
      </c>
      <c r="AH60" s="310" t="str">
        <f>IFERROR(IF($AC60="","",INDEX('Overview - Section A'!$AB$124:$AB$175,MATCH($AC60,'Overview - Section A'!$AG$124:$AG$175))),"")</f>
        <v>a1MDm000000Xod6MAC</v>
      </c>
      <c r="AI60" s="310" t="str">
        <f>IFERROR(IF('Overview - Section A'!$AN$5="Funding Request",
IF(AND('Reference Records'!$B$427&lt;&gt;"",$F60 ='Reference Records'!$B$427),'Reference Records'!$C$427,""),
INDEX('Reference Records'!$A$498:$C$499,MATCH($F60,'Reference Records'!$A$498:$A$499,0),3)),"")</f>
        <v/>
      </c>
    </row>
    <row r="61" spans="1:35" ht="30" customHeight="1">
      <c r="A61" s="117">
        <v>53</v>
      </c>
      <c r="B61" s="118"/>
      <c r="C61" s="118"/>
      <c r="D61" s="118"/>
      <c r="E61" s="118"/>
      <c r="F61" s="119"/>
      <c r="G61" s="118" t="e">
        <v>#REF!</v>
      </c>
      <c r="H61" s="118" t="e">
        <v>#REF!</v>
      </c>
      <c r="I61" s="118" t="e">
        <v>#REF!</v>
      </c>
      <c r="J61" s="118" t="e">
        <v>#REF!</v>
      </c>
      <c r="K61" s="118" t="e">
        <v>#REF!</v>
      </c>
      <c r="L61" s="118" t="e">
        <v>#REF!</v>
      </c>
      <c r="M61" s="118" t="e">
        <v>#REF!</v>
      </c>
      <c r="N61" s="118" t="e">
        <v>#REF!</v>
      </c>
      <c r="O61" s="118" t="e">
        <v>#REF!</v>
      </c>
      <c r="P61" s="118" t="e">
        <v>#REF!</v>
      </c>
      <c r="Q61" s="118" t="e">
        <v>#REF!</v>
      </c>
      <c r="R61" s="118" t="e">
        <v>#REF!</v>
      </c>
      <c r="S61" s="118" t="e">
        <v>#REF!</v>
      </c>
      <c r="T61" s="118" t="e">
        <v>#REF!</v>
      </c>
      <c r="U61" s="118" t="e">
        <v>#REF!</v>
      </c>
      <c r="V61" s="118" t="e">
        <v>#REF!</v>
      </c>
      <c r="W61" s="118"/>
      <c r="Y61" s="48" t="e">
        <f>VLOOKUP(X61,'Reference Records'!$E$253:$F$420,2,0)</f>
        <v>#N/A</v>
      </c>
      <c r="Z61" s="48" t="e">
        <f>MATCH($Y61,'Reference Records'!$E$507:$E$509,0)+ROW(Population_by_intervention) -1</f>
        <v>#N/A</v>
      </c>
      <c r="AA61" s="48" t="e">
        <f>MATCH($Y61,'Reference Records'!$E$507:$E$509,1)+ROW(Population_by_intervention) -1</f>
        <v>#N/A</v>
      </c>
      <c r="AB61" s="48" t="str">
        <f t="shared" si="0"/>
        <v>|empty|</v>
      </c>
      <c r="AC61" s="48" t="str">
        <f>IF(AB61="","",IFERROR(VLOOKUP(AB61,'Overview - Section A'!AF$124:AG227,2,0),VLOOKUP("|empty|",'Overview - Section A'!AF$124:AG227,2,0)))</f>
        <v>INT-350981</v>
      </c>
      <c r="AD61" s="48">
        <f t="shared" si="1"/>
        <v>2949</v>
      </c>
      <c r="AE61" s="48">
        <f ca="1">AE60+'update Helper'!$T$2</f>
        <v>3415.6956521739048</v>
      </c>
      <c r="AF61" s="48" t="str">
        <f>IFERROR(IF(AB61="","",IFERROR(VLOOKUP(AB61,'Overview - Section A'!AF$124:AO227,10,0),VLOOKUP("|empty|",'Overview - Section A'!AF$124:AO227,10,0))),"")</f>
        <v/>
      </c>
      <c r="AH61" s="310" t="str">
        <f>IFERROR(IF($AC61="","",INDEX('Overview - Section A'!$AB$124:$AB$175,MATCH($AC61,'Overview - Section A'!$AG$124:$AG$175))),"")</f>
        <v>a1MDm000000Xod6MAC</v>
      </c>
      <c r="AI61" s="310" t="str">
        <f>IFERROR(IF('Overview - Section A'!$AN$5="Funding Request",
IF(AND('Reference Records'!$B$427&lt;&gt;"",$F61 ='Reference Records'!$B$427),'Reference Records'!$C$427,""),
INDEX('Reference Records'!$A$498:$C$499,MATCH($F61,'Reference Records'!$A$498:$A$499,0),3)),"")</f>
        <v/>
      </c>
    </row>
    <row r="62" spans="1:35" ht="30" customHeight="1">
      <c r="A62" s="117">
        <v>54</v>
      </c>
      <c r="B62" s="120"/>
      <c r="C62" s="120"/>
      <c r="D62" s="120"/>
      <c r="E62" s="120"/>
      <c r="F62" s="121"/>
      <c r="G62" s="120" t="e">
        <v>#REF!</v>
      </c>
      <c r="H62" s="120" t="e">
        <v>#REF!</v>
      </c>
      <c r="I62" s="120" t="e">
        <v>#REF!</v>
      </c>
      <c r="J62" s="120" t="e">
        <v>#REF!</v>
      </c>
      <c r="K62" s="120" t="e">
        <v>#REF!</v>
      </c>
      <c r="L62" s="120" t="e">
        <v>#REF!</v>
      </c>
      <c r="M62" s="120" t="e">
        <v>#REF!</v>
      </c>
      <c r="N62" s="120" t="e">
        <v>#REF!</v>
      </c>
      <c r="O62" s="120" t="e">
        <v>#REF!</v>
      </c>
      <c r="P62" s="120" t="e">
        <v>#REF!</v>
      </c>
      <c r="Q62" s="120" t="e">
        <v>#REF!</v>
      </c>
      <c r="R62" s="120" t="e">
        <v>#REF!</v>
      </c>
      <c r="S62" s="120" t="e">
        <v>#REF!</v>
      </c>
      <c r="T62" s="120" t="e">
        <v>#REF!</v>
      </c>
      <c r="U62" s="120" t="e">
        <v>#REF!</v>
      </c>
      <c r="V62" s="120" t="e">
        <v>#REF!</v>
      </c>
      <c r="W62" s="120"/>
      <c r="Y62" s="48" t="e">
        <f>VLOOKUP(X62,'Reference Records'!$E$253:$F$420,2,0)</f>
        <v>#N/A</v>
      </c>
      <c r="Z62" s="48" t="e">
        <f>MATCH($Y62,'Reference Records'!$E$507:$E$509,0)+ROW(Population_by_intervention) -1</f>
        <v>#N/A</v>
      </c>
      <c r="AA62" s="48" t="e">
        <f>MATCH($Y62,'Reference Records'!$E$507:$E$509,1)+ROW(Population_by_intervention) -1</f>
        <v>#N/A</v>
      </c>
      <c r="AB62" s="48" t="str">
        <f t="shared" si="0"/>
        <v>|empty|</v>
      </c>
      <c r="AC62" s="48" t="str">
        <f>IF(AB62="","",IFERROR(VLOOKUP(AB62,'Overview - Section A'!AF$124:AG228,2,0),VLOOKUP("|empty|",'Overview - Section A'!AF$124:AG228,2,0)))</f>
        <v>INT-350981</v>
      </c>
      <c r="AD62" s="48">
        <f t="shared" si="1"/>
        <v>2950</v>
      </c>
      <c r="AE62" s="48">
        <f ca="1">AE61+'update Helper'!$T$2</f>
        <v>3422.4782608695568</v>
      </c>
      <c r="AF62" s="48" t="str">
        <f>IFERROR(IF(AB62="","",IFERROR(VLOOKUP(AB62,'Overview - Section A'!AF$124:AO228,10,0),VLOOKUP("|empty|",'Overview - Section A'!AF$124:AO228,10,0))),"")</f>
        <v/>
      </c>
      <c r="AH62" s="310" t="str">
        <f>IFERROR(IF($AC62="","",INDEX('Overview - Section A'!$AB$124:$AB$175,MATCH($AC62,'Overview - Section A'!$AG$124:$AG$175))),"")</f>
        <v>a1MDm000000Xod6MAC</v>
      </c>
      <c r="AI62" s="310" t="str">
        <f>IFERROR(IF('Overview - Section A'!$AN$5="Funding Request",
IF(AND('Reference Records'!$B$427&lt;&gt;"",$F62 ='Reference Records'!$B$427),'Reference Records'!$C$427,""),
INDEX('Reference Records'!$A$498:$C$499,MATCH($F62,'Reference Records'!$A$498:$A$499,0),3)),"")</f>
        <v/>
      </c>
    </row>
    <row r="63" spans="1:35" ht="30" customHeight="1">
      <c r="A63" s="117">
        <v>55</v>
      </c>
      <c r="B63" s="118"/>
      <c r="C63" s="118"/>
      <c r="D63" s="118"/>
      <c r="E63" s="118"/>
      <c r="F63" s="119"/>
      <c r="G63" s="118" t="e">
        <v>#REF!</v>
      </c>
      <c r="H63" s="118" t="e">
        <v>#REF!</v>
      </c>
      <c r="I63" s="118" t="e">
        <v>#REF!</v>
      </c>
      <c r="J63" s="118" t="e">
        <v>#REF!</v>
      </c>
      <c r="K63" s="118" t="e">
        <v>#REF!</v>
      </c>
      <c r="L63" s="118" t="e">
        <v>#REF!</v>
      </c>
      <c r="M63" s="118" t="e">
        <v>#REF!</v>
      </c>
      <c r="N63" s="118" t="e">
        <v>#REF!</v>
      </c>
      <c r="O63" s="118" t="e">
        <v>#REF!</v>
      </c>
      <c r="P63" s="118" t="e">
        <v>#REF!</v>
      </c>
      <c r="Q63" s="118" t="e">
        <v>#REF!</v>
      </c>
      <c r="R63" s="118" t="e">
        <v>#REF!</v>
      </c>
      <c r="S63" s="118" t="e">
        <v>#REF!</v>
      </c>
      <c r="T63" s="118" t="e">
        <v>#REF!</v>
      </c>
      <c r="U63" s="118" t="e">
        <v>#REF!</v>
      </c>
      <c r="V63" s="118" t="e">
        <v>#REF!</v>
      </c>
      <c r="W63" s="118"/>
      <c r="Y63" s="48" t="e">
        <f>VLOOKUP(X63,'Reference Records'!$E$253:$F$420,2,0)</f>
        <v>#N/A</v>
      </c>
      <c r="Z63" s="48" t="e">
        <f>MATCH($Y63,'Reference Records'!$E$507:$E$509,0)+ROW(Population_by_intervention) -1</f>
        <v>#N/A</v>
      </c>
      <c r="AA63" s="48" t="e">
        <f>MATCH($Y63,'Reference Records'!$E$507:$E$509,1)+ROW(Population_by_intervention) -1</f>
        <v>#N/A</v>
      </c>
      <c r="AB63" s="48" t="str">
        <f t="shared" si="0"/>
        <v>|empty|</v>
      </c>
      <c r="AC63" s="48" t="str">
        <f>IF(AB63="","",IFERROR(VLOOKUP(AB63,'Overview - Section A'!AF$124:AG229,2,0),VLOOKUP("|empty|",'Overview - Section A'!AF$124:AG229,2,0)))</f>
        <v>INT-350981</v>
      </c>
      <c r="AD63" s="48">
        <f t="shared" si="1"/>
        <v>2951</v>
      </c>
      <c r="AE63" s="48">
        <f ca="1">AE62+'update Helper'!$T$2</f>
        <v>3429.2608695652088</v>
      </c>
      <c r="AF63" s="48" t="str">
        <f>IFERROR(IF(AB63="","",IFERROR(VLOOKUP(AB63,'Overview - Section A'!AF$124:AO229,10,0),VLOOKUP("|empty|",'Overview - Section A'!AF$124:AO229,10,0))),"")</f>
        <v/>
      </c>
      <c r="AH63" s="310" t="str">
        <f>IFERROR(IF($AC63="","",INDEX('Overview - Section A'!$AB$124:$AB$175,MATCH($AC63,'Overview - Section A'!$AG$124:$AG$175))),"")</f>
        <v>a1MDm000000Xod6MAC</v>
      </c>
      <c r="AI63" s="310" t="str">
        <f>IFERROR(IF('Overview - Section A'!$AN$5="Funding Request",
IF(AND('Reference Records'!$B$427&lt;&gt;"",$F63 ='Reference Records'!$B$427),'Reference Records'!$C$427,""),
INDEX('Reference Records'!$A$498:$C$499,MATCH($F63,'Reference Records'!$A$498:$A$499,0),3)),"")</f>
        <v/>
      </c>
    </row>
    <row r="64" spans="1:35" ht="30" customHeight="1">
      <c r="A64" s="117">
        <v>56</v>
      </c>
      <c r="B64" s="120"/>
      <c r="C64" s="120"/>
      <c r="D64" s="120"/>
      <c r="E64" s="120"/>
      <c r="F64" s="121"/>
      <c r="G64" s="120" t="e">
        <v>#REF!</v>
      </c>
      <c r="H64" s="120" t="e">
        <v>#REF!</v>
      </c>
      <c r="I64" s="120" t="e">
        <v>#REF!</v>
      </c>
      <c r="J64" s="120" t="e">
        <v>#REF!</v>
      </c>
      <c r="K64" s="120" t="e">
        <v>#REF!</v>
      </c>
      <c r="L64" s="120" t="e">
        <v>#REF!</v>
      </c>
      <c r="M64" s="120" t="e">
        <v>#REF!</v>
      </c>
      <c r="N64" s="120" t="e">
        <v>#REF!</v>
      </c>
      <c r="O64" s="120" t="e">
        <v>#REF!</v>
      </c>
      <c r="P64" s="120" t="e">
        <v>#REF!</v>
      </c>
      <c r="Q64" s="120" t="e">
        <v>#REF!</v>
      </c>
      <c r="R64" s="120" t="e">
        <v>#REF!</v>
      </c>
      <c r="S64" s="120" t="e">
        <v>#REF!</v>
      </c>
      <c r="T64" s="120" t="e">
        <v>#REF!</v>
      </c>
      <c r="U64" s="120" t="e">
        <v>#REF!</v>
      </c>
      <c r="V64" s="120" t="e">
        <v>#REF!</v>
      </c>
      <c r="W64" s="120"/>
      <c r="Y64" s="48" t="e">
        <f>VLOOKUP(X64,'Reference Records'!$E$253:$F$420,2,0)</f>
        <v>#N/A</v>
      </c>
      <c r="Z64" s="48" t="e">
        <f>MATCH($Y64,'Reference Records'!$E$507:$E$509,0)+ROW(Population_by_intervention) -1</f>
        <v>#N/A</v>
      </c>
      <c r="AA64" s="48" t="e">
        <f>MATCH($Y64,'Reference Records'!$E$507:$E$509,1)+ROW(Population_by_intervention) -1</f>
        <v>#N/A</v>
      </c>
      <c r="AB64" s="48" t="str">
        <f t="shared" si="0"/>
        <v>|empty|</v>
      </c>
      <c r="AC64" s="48" t="str">
        <f>IF(AB64="","",IFERROR(VLOOKUP(AB64,'Overview - Section A'!AF$124:AG230,2,0),VLOOKUP("|empty|",'Overview - Section A'!AF$124:AG230,2,0)))</f>
        <v>INT-350981</v>
      </c>
      <c r="AD64" s="48">
        <f t="shared" si="1"/>
        <v>2952</v>
      </c>
      <c r="AE64" s="48">
        <f ca="1">AE63+'update Helper'!$T$2</f>
        <v>3436.0434782608609</v>
      </c>
      <c r="AF64" s="48" t="str">
        <f>IFERROR(IF(AB64="","",IFERROR(VLOOKUP(AB64,'Overview - Section A'!AF$124:AO230,10,0),VLOOKUP("|empty|",'Overview - Section A'!AF$124:AO230,10,0))),"")</f>
        <v/>
      </c>
      <c r="AH64" s="310" t="str">
        <f>IFERROR(IF($AC64="","",INDEX('Overview - Section A'!$AB$124:$AB$175,MATCH($AC64,'Overview - Section A'!$AG$124:$AG$175))),"")</f>
        <v>a1MDm000000Xod6MAC</v>
      </c>
      <c r="AI64" s="310" t="str">
        <f>IFERROR(IF('Overview - Section A'!$AN$5="Funding Request",
IF(AND('Reference Records'!$B$427&lt;&gt;"",$F64 ='Reference Records'!$B$427),'Reference Records'!$C$427,""),
INDEX('Reference Records'!$A$498:$C$499,MATCH($F64,'Reference Records'!$A$498:$A$499,0),3)),"")</f>
        <v/>
      </c>
    </row>
    <row r="65" spans="1:35" ht="30" customHeight="1">
      <c r="A65" s="117">
        <v>57</v>
      </c>
      <c r="B65" s="118"/>
      <c r="C65" s="118"/>
      <c r="D65" s="118"/>
      <c r="E65" s="118"/>
      <c r="F65" s="119"/>
      <c r="G65" s="118" t="e">
        <v>#REF!</v>
      </c>
      <c r="H65" s="118" t="e">
        <v>#REF!</v>
      </c>
      <c r="I65" s="118" t="e">
        <v>#REF!</v>
      </c>
      <c r="J65" s="118" t="e">
        <v>#REF!</v>
      </c>
      <c r="K65" s="118" t="e">
        <v>#REF!</v>
      </c>
      <c r="L65" s="118" t="e">
        <v>#REF!</v>
      </c>
      <c r="M65" s="118" t="e">
        <v>#REF!</v>
      </c>
      <c r="N65" s="118" t="e">
        <v>#REF!</v>
      </c>
      <c r="O65" s="118" t="e">
        <v>#REF!</v>
      </c>
      <c r="P65" s="118" t="e">
        <v>#REF!</v>
      </c>
      <c r="Q65" s="118" t="e">
        <v>#REF!</v>
      </c>
      <c r="R65" s="118" t="e">
        <v>#REF!</v>
      </c>
      <c r="S65" s="118" t="e">
        <v>#REF!</v>
      </c>
      <c r="T65" s="118" t="e">
        <v>#REF!</v>
      </c>
      <c r="U65" s="118" t="e">
        <v>#REF!</v>
      </c>
      <c r="V65" s="118" t="e">
        <v>#REF!</v>
      </c>
      <c r="W65" s="118"/>
      <c r="Y65" s="48" t="e">
        <f>VLOOKUP(X65,'Reference Records'!$E$253:$F$420,2,0)</f>
        <v>#N/A</v>
      </c>
      <c r="Z65" s="48" t="e">
        <f>MATCH($Y65,'Reference Records'!$E$507:$E$509,0)+ROW(Population_by_intervention) -1</f>
        <v>#N/A</v>
      </c>
      <c r="AA65" s="48" t="e">
        <f>MATCH($Y65,'Reference Records'!$E$507:$E$509,1)+ROW(Population_by_intervention) -1</f>
        <v>#N/A</v>
      </c>
      <c r="AB65" s="48" t="str">
        <f t="shared" si="0"/>
        <v>|empty|</v>
      </c>
      <c r="AC65" s="48" t="str">
        <f>IF(AB65="","",IFERROR(VLOOKUP(AB65,'Overview - Section A'!AF$124:AG231,2,0),VLOOKUP("|empty|",'Overview - Section A'!AF$124:AG231,2,0)))</f>
        <v>INT-350981</v>
      </c>
      <c r="AD65" s="48">
        <f t="shared" si="1"/>
        <v>2953</v>
      </c>
      <c r="AE65" s="48">
        <f ca="1">AE64+'update Helper'!$T$2</f>
        <v>3442.8260869565129</v>
      </c>
      <c r="AF65" s="48" t="str">
        <f>IFERROR(IF(AB65="","",IFERROR(VLOOKUP(AB65,'Overview - Section A'!AF$124:AO231,10,0),VLOOKUP("|empty|",'Overview - Section A'!AF$124:AO231,10,0))),"")</f>
        <v/>
      </c>
      <c r="AH65" s="310" t="str">
        <f>IFERROR(IF($AC65="","",INDEX('Overview - Section A'!$AB$124:$AB$175,MATCH($AC65,'Overview - Section A'!$AG$124:$AG$175))),"")</f>
        <v>a1MDm000000Xod6MAC</v>
      </c>
      <c r="AI65" s="310" t="str">
        <f>IFERROR(IF('Overview - Section A'!$AN$5="Funding Request",
IF(AND('Reference Records'!$B$427&lt;&gt;"",$F65 ='Reference Records'!$B$427),'Reference Records'!$C$427,""),
INDEX('Reference Records'!$A$498:$C$499,MATCH($F65,'Reference Records'!$A$498:$A$499,0),3)),"")</f>
        <v/>
      </c>
    </row>
    <row r="66" spans="1:35" ht="30" customHeight="1">
      <c r="A66" s="117">
        <v>58</v>
      </c>
      <c r="B66" s="120"/>
      <c r="C66" s="120"/>
      <c r="D66" s="120"/>
      <c r="E66" s="120"/>
      <c r="F66" s="121"/>
      <c r="G66" s="120" t="e">
        <v>#REF!</v>
      </c>
      <c r="H66" s="120" t="e">
        <v>#REF!</v>
      </c>
      <c r="I66" s="120" t="e">
        <v>#REF!</v>
      </c>
      <c r="J66" s="120" t="e">
        <v>#REF!</v>
      </c>
      <c r="K66" s="120" t="e">
        <v>#REF!</v>
      </c>
      <c r="L66" s="120" t="e">
        <v>#REF!</v>
      </c>
      <c r="M66" s="120" t="e">
        <v>#REF!</v>
      </c>
      <c r="N66" s="120" t="e">
        <v>#REF!</v>
      </c>
      <c r="O66" s="120" t="e">
        <v>#REF!</v>
      </c>
      <c r="P66" s="120" t="e">
        <v>#REF!</v>
      </c>
      <c r="Q66" s="120" t="e">
        <v>#REF!</v>
      </c>
      <c r="R66" s="120" t="e">
        <v>#REF!</v>
      </c>
      <c r="S66" s="120" t="e">
        <v>#REF!</v>
      </c>
      <c r="T66" s="120" t="e">
        <v>#REF!</v>
      </c>
      <c r="U66" s="120" t="e">
        <v>#REF!</v>
      </c>
      <c r="V66" s="120" t="e">
        <v>#REF!</v>
      </c>
      <c r="W66" s="120"/>
      <c r="Y66" s="48" t="e">
        <f>VLOOKUP(X66,'Reference Records'!$E$253:$F$420,2,0)</f>
        <v>#N/A</v>
      </c>
      <c r="Z66" s="48" t="e">
        <f>MATCH($Y66,'Reference Records'!$E$507:$E$509,0)+ROW(Population_by_intervention) -1</f>
        <v>#N/A</v>
      </c>
      <c r="AA66" s="48" t="e">
        <f>MATCH($Y66,'Reference Records'!$E$507:$E$509,1)+ROW(Population_by_intervention) -1</f>
        <v>#N/A</v>
      </c>
      <c r="AB66" s="48" t="str">
        <f t="shared" si="0"/>
        <v>|empty|</v>
      </c>
      <c r="AC66" s="48" t="str">
        <f>IF(AB66="","",IFERROR(VLOOKUP(AB66,'Overview - Section A'!AF$124:AG232,2,0),VLOOKUP("|empty|",'Overview - Section A'!AF$124:AG232,2,0)))</f>
        <v>INT-350981</v>
      </c>
      <c r="AD66" s="48">
        <f t="shared" si="1"/>
        <v>2954</v>
      </c>
      <c r="AE66" s="48">
        <f ca="1">AE65+'update Helper'!$T$2</f>
        <v>3449.6086956521649</v>
      </c>
      <c r="AF66" s="48" t="str">
        <f>IFERROR(IF(AB66="","",IFERROR(VLOOKUP(AB66,'Overview - Section A'!AF$124:AO232,10,0),VLOOKUP("|empty|",'Overview - Section A'!AF$124:AO232,10,0))),"")</f>
        <v/>
      </c>
      <c r="AH66" s="310" t="str">
        <f>IFERROR(IF($AC66="","",INDEX('Overview - Section A'!$AB$124:$AB$175,MATCH($AC66,'Overview - Section A'!$AG$124:$AG$175))),"")</f>
        <v>a1MDm000000Xod6MAC</v>
      </c>
      <c r="AI66" s="310" t="str">
        <f>IFERROR(IF('Overview - Section A'!$AN$5="Funding Request",
IF(AND('Reference Records'!$B$427&lt;&gt;"",$F66 ='Reference Records'!$B$427),'Reference Records'!$C$427,""),
INDEX('Reference Records'!$A$498:$C$499,MATCH($F66,'Reference Records'!$A$498:$A$499,0),3)),"")</f>
        <v/>
      </c>
    </row>
    <row r="67" spans="1:35" ht="30" customHeight="1">
      <c r="A67" s="117">
        <v>59</v>
      </c>
      <c r="B67" s="118"/>
      <c r="C67" s="118"/>
      <c r="D67" s="118"/>
      <c r="E67" s="118"/>
      <c r="F67" s="119"/>
      <c r="G67" s="118" t="e">
        <v>#REF!</v>
      </c>
      <c r="H67" s="118" t="e">
        <v>#REF!</v>
      </c>
      <c r="I67" s="118" t="e">
        <v>#REF!</v>
      </c>
      <c r="J67" s="118" t="e">
        <v>#REF!</v>
      </c>
      <c r="K67" s="118" t="e">
        <v>#REF!</v>
      </c>
      <c r="L67" s="118" t="e">
        <v>#REF!</v>
      </c>
      <c r="M67" s="118" t="e">
        <v>#REF!</v>
      </c>
      <c r="N67" s="118" t="e">
        <v>#REF!</v>
      </c>
      <c r="O67" s="118" t="e">
        <v>#REF!</v>
      </c>
      <c r="P67" s="118" t="e">
        <v>#REF!</v>
      </c>
      <c r="Q67" s="118" t="e">
        <v>#REF!</v>
      </c>
      <c r="R67" s="118" t="e">
        <v>#REF!</v>
      </c>
      <c r="S67" s="118" t="e">
        <v>#REF!</v>
      </c>
      <c r="T67" s="118" t="e">
        <v>#REF!</v>
      </c>
      <c r="U67" s="118" t="e">
        <v>#REF!</v>
      </c>
      <c r="V67" s="118" t="e">
        <v>#REF!</v>
      </c>
      <c r="W67" s="118"/>
      <c r="Y67" s="48" t="e">
        <f>VLOOKUP(X67,'Reference Records'!$E$253:$F$420,2,0)</f>
        <v>#N/A</v>
      </c>
      <c r="Z67" s="48" t="e">
        <f>MATCH($Y67,'Reference Records'!$E$507:$E$509,0)+ROW(Population_by_intervention) -1</f>
        <v>#N/A</v>
      </c>
      <c r="AA67" s="48" t="e">
        <f>MATCH($Y67,'Reference Records'!$E$507:$E$509,1)+ROW(Population_by_intervention) -1</f>
        <v>#N/A</v>
      </c>
      <c r="AB67" s="48" t="str">
        <f t="shared" si="0"/>
        <v>|empty|</v>
      </c>
      <c r="AC67" s="48" t="str">
        <f>IF(AB67="","",IFERROR(VLOOKUP(AB67,'Overview - Section A'!AF$124:AG233,2,0),VLOOKUP("|empty|",'Overview - Section A'!AF$124:AG233,2,0)))</f>
        <v>INT-350981</v>
      </c>
      <c r="AD67" s="48">
        <f t="shared" si="1"/>
        <v>2955</v>
      </c>
      <c r="AE67" s="48">
        <f ca="1">AE66+'update Helper'!$T$2</f>
        <v>3456.3913043478169</v>
      </c>
      <c r="AF67" s="48" t="str">
        <f>IFERROR(IF(AB67="","",IFERROR(VLOOKUP(AB67,'Overview - Section A'!AF$124:AO233,10,0),VLOOKUP("|empty|",'Overview - Section A'!AF$124:AO233,10,0))),"")</f>
        <v/>
      </c>
      <c r="AH67" s="310" t="str">
        <f>IFERROR(IF($AC67="","",INDEX('Overview - Section A'!$AB$124:$AB$175,MATCH($AC67,'Overview - Section A'!$AG$124:$AG$175))),"")</f>
        <v>a1MDm000000Xod6MAC</v>
      </c>
      <c r="AI67" s="310" t="str">
        <f>IFERROR(IF('Overview - Section A'!$AN$5="Funding Request",
IF(AND('Reference Records'!$B$427&lt;&gt;"",$F67 ='Reference Records'!$B$427),'Reference Records'!$C$427,""),
INDEX('Reference Records'!$A$498:$C$499,MATCH($F67,'Reference Records'!$A$498:$A$499,0),3)),"")</f>
        <v/>
      </c>
    </row>
    <row r="68" spans="1:35" ht="30" customHeight="1">
      <c r="A68" s="117">
        <v>60</v>
      </c>
      <c r="B68" s="120"/>
      <c r="C68" s="120"/>
      <c r="D68" s="120"/>
      <c r="E68" s="120"/>
      <c r="F68" s="121"/>
      <c r="G68" s="120" t="e">
        <v>#REF!</v>
      </c>
      <c r="H68" s="120" t="e">
        <v>#REF!</v>
      </c>
      <c r="I68" s="120" t="e">
        <v>#REF!</v>
      </c>
      <c r="J68" s="120" t="e">
        <v>#REF!</v>
      </c>
      <c r="K68" s="120" t="e">
        <v>#REF!</v>
      </c>
      <c r="L68" s="120" t="e">
        <v>#REF!</v>
      </c>
      <c r="M68" s="120" t="e">
        <v>#REF!</v>
      </c>
      <c r="N68" s="120" t="e">
        <v>#REF!</v>
      </c>
      <c r="O68" s="120" t="e">
        <v>#REF!</v>
      </c>
      <c r="P68" s="120" t="e">
        <v>#REF!</v>
      </c>
      <c r="Q68" s="120" t="e">
        <v>#REF!</v>
      </c>
      <c r="R68" s="120" t="e">
        <v>#REF!</v>
      </c>
      <c r="S68" s="120" t="e">
        <v>#REF!</v>
      </c>
      <c r="T68" s="120" t="e">
        <v>#REF!</v>
      </c>
      <c r="U68" s="120" t="e">
        <v>#REF!</v>
      </c>
      <c r="V68" s="120" t="e">
        <v>#REF!</v>
      </c>
      <c r="W68" s="120"/>
      <c r="Y68" s="48" t="e">
        <f>VLOOKUP(X68,'Reference Records'!$E$253:$F$420,2,0)</f>
        <v>#N/A</v>
      </c>
      <c r="Z68" s="48" t="e">
        <f>MATCH($Y68,'Reference Records'!$E$507:$E$509,0)+ROW(Population_by_intervention) -1</f>
        <v>#N/A</v>
      </c>
      <c r="AA68" s="48" t="e">
        <f>MATCH($Y68,'Reference Records'!$E$507:$E$509,1)+ROW(Population_by_intervention) -1</f>
        <v>#N/A</v>
      </c>
      <c r="AB68" s="48" t="str">
        <f t="shared" si="0"/>
        <v>|empty|</v>
      </c>
      <c r="AC68" s="48" t="str">
        <f>IF(AB68="","",IFERROR(VLOOKUP(AB68,'Overview - Section A'!AF$124:AG234,2,0),VLOOKUP("|empty|",'Overview - Section A'!AF$124:AG234,2,0)))</f>
        <v>INT-350981</v>
      </c>
      <c r="AD68" s="48">
        <f t="shared" si="1"/>
        <v>2956</v>
      </c>
      <c r="AE68" s="48">
        <f ca="1">AE67+'update Helper'!$T$2</f>
        <v>3463.1739130434689</v>
      </c>
      <c r="AF68" s="48" t="str">
        <f>IFERROR(IF(AB68="","",IFERROR(VLOOKUP(AB68,'Overview - Section A'!AF$124:AO234,10,0),VLOOKUP("|empty|",'Overview - Section A'!AF$124:AO234,10,0))),"")</f>
        <v/>
      </c>
      <c r="AH68" s="310" t="str">
        <f>IFERROR(IF($AC68="","",INDEX('Overview - Section A'!$AB$124:$AB$175,MATCH($AC68,'Overview - Section A'!$AG$124:$AG$175))),"")</f>
        <v>a1MDm000000Xod6MAC</v>
      </c>
      <c r="AI68" s="310" t="str">
        <f>IFERROR(IF('Overview - Section A'!$AN$5="Funding Request",
IF(AND('Reference Records'!$B$427&lt;&gt;"",$F68 ='Reference Records'!$B$427),'Reference Records'!$C$427,""),
INDEX('Reference Records'!$A$498:$C$499,MATCH($F68,'Reference Records'!$A$498:$A$499,0),3)),"")</f>
        <v/>
      </c>
    </row>
    <row r="69" spans="1:35" ht="30" customHeight="1">
      <c r="A69" s="117">
        <v>61</v>
      </c>
      <c r="B69" s="118"/>
      <c r="C69" s="118"/>
      <c r="D69" s="118"/>
      <c r="E69" s="118"/>
      <c r="F69" s="119"/>
      <c r="G69" s="118" t="e">
        <v>#REF!</v>
      </c>
      <c r="H69" s="118" t="e">
        <v>#REF!</v>
      </c>
      <c r="I69" s="118" t="e">
        <v>#REF!</v>
      </c>
      <c r="J69" s="118" t="e">
        <v>#REF!</v>
      </c>
      <c r="K69" s="118" t="e">
        <v>#REF!</v>
      </c>
      <c r="L69" s="118" t="e">
        <v>#REF!</v>
      </c>
      <c r="M69" s="118" t="e">
        <v>#REF!</v>
      </c>
      <c r="N69" s="118" t="e">
        <v>#REF!</v>
      </c>
      <c r="O69" s="118" t="e">
        <v>#REF!</v>
      </c>
      <c r="P69" s="118" t="e">
        <v>#REF!</v>
      </c>
      <c r="Q69" s="118" t="e">
        <v>#REF!</v>
      </c>
      <c r="R69" s="118" t="e">
        <v>#REF!</v>
      </c>
      <c r="S69" s="118" t="e">
        <v>#REF!</v>
      </c>
      <c r="T69" s="118" t="e">
        <v>#REF!</v>
      </c>
      <c r="U69" s="118" t="e">
        <v>#REF!</v>
      </c>
      <c r="V69" s="118" t="e">
        <v>#REF!</v>
      </c>
      <c r="W69" s="118"/>
      <c r="Y69" s="48" t="e">
        <f>VLOOKUP(X69,'Reference Records'!$E$253:$F$420,2,0)</f>
        <v>#N/A</v>
      </c>
      <c r="Z69" s="48" t="e">
        <f>MATCH($Y69,'Reference Records'!$E$507:$E$509,0)+ROW(Population_by_intervention) -1</f>
        <v>#N/A</v>
      </c>
      <c r="AA69" s="48" t="e">
        <f>MATCH($Y69,'Reference Records'!$E$507:$E$509,1)+ROW(Population_by_intervention) -1</f>
        <v>#N/A</v>
      </c>
      <c r="AB69" s="48" t="str">
        <f t="shared" si="0"/>
        <v>|empty|</v>
      </c>
      <c r="AC69" s="48" t="str">
        <f>IF(AB69="","",IFERROR(VLOOKUP(AB69,'Overview - Section A'!AF$124:AG235,2,0),VLOOKUP("|empty|",'Overview - Section A'!AF$124:AG235,2,0)))</f>
        <v>INT-350981</v>
      </c>
      <c r="AD69" s="48">
        <f t="shared" si="1"/>
        <v>2957</v>
      </c>
      <c r="AE69" s="48">
        <f ca="1">AE68+'update Helper'!$T$2</f>
        <v>3469.9565217391209</v>
      </c>
      <c r="AF69" s="48" t="str">
        <f>IFERROR(IF(AB69="","",IFERROR(VLOOKUP(AB69,'Overview - Section A'!AF$124:AO235,10,0),VLOOKUP("|empty|",'Overview - Section A'!AF$124:AO235,10,0))),"")</f>
        <v/>
      </c>
      <c r="AH69" s="310" t="str">
        <f>IFERROR(IF($AC69="","",INDEX('Overview - Section A'!$AB$124:$AB$175,MATCH($AC69,'Overview - Section A'!$AG$124:$AG$175))),"")</f>
        <v>a1MDm000000Xod6MAC</v>
      </c>
      <c r="AI69" s="310" t="str">
        <f>IFERROR(IF('Overview - Section A'!$AN$5="Funding Request",
IF(AND('Reference Records'!$B$427&lt;&gt;"",$F69 ='Reference Records'!$B$427),'Reference Records'!$C$427,""),
INDEX('Reference Records'!$A$498:$C$499,MATCH($F69,'Reference Records'!$A$498:$A$499,0),3)),"")</f>
        <v/>
      </c>
    </row>
    <row r="70" spans="1:35" ht="30" customHeight="1">
      <c r="A70" s="117">
        <v>62</v>
      </c>
      <c r="B70" s="120"/>
      <c r="C70" s="120"/>
      <c r="D70" s="120"/>
      <c r="E70" s="120"/>
      <c r="F70" s="121"/>
      <c r="G70" s="120" t="e">
        <v>#REF!</v>
      </c>
      <c r="H70" s="120" t="e">
        <v>#REF!</v>
      </c>
      <c r="I70" s="120" t="e">
        <v>#REF!</v>
      </c>
      <c r="J70" s="120" t="e">
        <v>#REF!</v>
      </c>
      <c r="K70" s="120" t="e">
        <v>#REF!</v>
      </c>
      <c r="L70" s="120" t="e">
        <v>#REF!</v>
      </c>
      <c r="M70" s="120" t="e">
        <v>#REF!</v>
      </c>
      <c r="N70" s="120" t="e">
        <v>#REF!</v>
      </c>
      <c r="O70" s="120" t="e">
        <v>#REF!</v>
      </c>
      <c r="P70" s="120" t="e">
        <v>#REF!</v>
      </c>
      <c r="Q70" s="120" t="e">
        <v>#REF!</v>
      </c>
      <c r="R70" s="120" t="e">
        <v>#REF!</v>
      </c>
      <c r="S70" s="120" t="e">
        <v>#REF!</v>
      </c>
      <c r="T70" s="120" t="e">
        <v>#REF!</v>
      </c>
      <c r="U70" s="120" t="e">
        <v>#REF!</v>
      </c>
      <c r="V70" s="120" t="e">
        <v>#REF!</v>
      </c>
      <c r="W70" s="120"/>
      <c r="Y70" s="48" t="e">
        <f>VLOOKUP(X70,'Reference Records'!$E$253:$F$420,2,0)</f>
        <v>#N/A</v>
      </c>
      <c r="Z70" s="48" t="e">
        <f>MATCH($Y70,'Reference Records'!$E$507:$E$509,0)+ROW(Population_by_intervention) -1</f>
        <v>#N/A</v>
      </c>
      <c r="AA70" s="48" t="e">
        <f>MATCH($Y70,'Reference Records'!$E$507:$E$509,1)+ROW(Population_by_intervention) -1</f>
        <v>#N/A</v>
      </c>
      <c r="AB70" s="48" t="str">
        <f t="shared" si="0"/>
        <v>|empty|</v>
      </c>
      <c r="AC70" s="48" t="str">
        <f>IF(AB70="","",IFERROR(VLOOKUP(AB70,'Overview - Section A'!AF$124:AG236,2,0),VLOOKUP("|empty|",'Overview - Section A'!AF$124:AG236,2,0)))</f>
        <v>INT-350981</v>
      </c>
      <c r="AD70" s="48">
        <f t="shared" si="1"/>
        <v>2958</v>
      </c>
      <c r="AE70" s="48">
        <f ca="1">AE69+'update Helper'!$T$2</f>
        <v>3476.739130434773</v>
      </c>
      <c r="AF70" s="48" t="str">
        <f>IFERROR(IF(AB70="","",IFERROR(VLOOKUP(AB70,'Overview - Section A'!AF$124:AO236,10,0),VLOOKUP("|empty|",'Overview - Section A'!AF$124:AO236,10,0))),"")</f>
        <v/>
      </c>
      <c r="AH70" s="310" t="str">
        <f>IFERROR(IF($AC70="","",INDEX('Overview - Section A'!$AB$124:$AB$175,MATCH($AC70,'Overview - Section A'!$AG$124:$AG$175))),"")</f>
        <v>a1MDm000000Xod6MAC</v>
      </c>
      <c r="AI70" s="310" t="str">
        <f>IFERROR(IF('Overview - Section A'!$AN$5="Funding Request",
IF(AND('Reference Records'!$B$427&lt;&gt;"",$F70 ='Reference Records'!$B$427),'Reference Records'!$C$427,""),
INDEX('Reference Records'!$A$498:$C$499,MATCH($F70,'Reference Records'!$A$498:$A$499,0),3)),"")</f>
        <v/>
      </c>
    </row>
    <row r="71" spans="1:35" ht="30" customHeight="1">
      <c r="A71" s="117">
        <v>63</v>
      </c>
      <c r="B71" s="118"/>
      <c r="C71" s="118"/>
      <c r="D71" s="118"/>
      <c r="E71" s="118"/>
      <c r="F71" s="119"/>
      <c r="G71" s="118" t="e">
        <v>#REF!</v>
      </c>
      <c r="H71" s="118" t="e">
        <v>#REF!</v>
      </c>
      <c r="I71" s="118" t="e">
        <v>#REF!</v>
      </c>
      <c r="J71" s="118" t="e">
        <v>#REF!</v>
      </c>
      <c r="K71" s="118" t="e">
        <v>#REF!</v>
      </c>
      <c r="L71" s="118" t="e">
        <v>#REF!</v>
      </c>
      <c r="M71" s="118" t="e">
        <v>#REF!</v>
      </c>
      <c r="N71" s="118" t="e">
        <v>#REF!</v>
      </c>
      <c r="O71" s="118" t="e">
        <v>#REF!</v>
      </c>
      <c r="P71" s="118" t="e">
        <v>#REF!</v>
      </c>
      <c r="Q71" s="118" t="e">
        <v>#REF!</v>
      </c>
      <c r="R71" s="118" t="e">
        <v>#REF!</v>
      </c>
      <c r="S71" s="118" t="e">
        <v>#REF!</v>
      </c>
      <c r="T71" s="118" t="e">
        <v>#REF!</v>
      </c>
      <c r="U71" s="118" t="e">
        <v>#REF!</v>
      </c>
      <c r="V71" s="118" t="e">
        <v>#REF!</v>
      </c>
      <c r="W71" s="118"/>
      <c r="Y71" s="48" t="e">
        <f>VLOOKUP(X71,'Reference Records'!$E$253:$F$420,2,0)</f>
        <v>#N/A</v>
      </c>
      <c r="Z71" s="48" t="e">
        <f>MATCH($Y71,'Reference Records'!$E$507:$E$509,0)+ROW(Population_by_intervention) -1</f>
        <v>#N/A</v>
      </c>
      <c r="AA71" s="48" t="e">
        <f>MATCH($Y71,'Reference Records'!$E$507:$E$509,1)+ROW(Population_by_intervention) -1</f>
        <v>#N/A</v>
      </c>
      <c r="AB71" s="48" t="str">
        <f t="shared" si="0"/>
        <v>|empty|</v>
      </c>
      <c r="AC71" s="48" t="str">
        <f>IF(AB71="","",IFERROR(VLOOKUP(AB71,'Overview - Section A'!AF$124:AG237,2,0),VLOOKUP("|empty|",'Overview - Section A'!AF$124:AG237,2,0)))</f>
        <v>INT-350981</v>
      </c>
      <c r="AD71" s="48">
        <f t="shared" si="1"/>
        <v>2959</v>
      </c>
      <c r="AE71" s="48">
        <f ca="1">AE70+'update Helper'!$T$2</f>
        <v>3483.521739130425</v>
      </c>
      <c r="AF71" s="48" t="str">
        <f>IFERROR(IF(AB71="","",IFERROR(VLOOKUP(AB71,'Overview - Section A'!AF$124:AO237,10,0),VLOOKUP("|empty|",'Overview - Section A'!AF$124:AO237,10,0))),"")</f>
        <v/>
      </c>
      <c r="AH71" s="310" t="str">
        <f>IFERROR(IF($AC71="","",INDEX('Overview - Section A'!$AB$124:$AB$175,MATCH($AC71,'Overview - Section A'!$AG$124:$AG$175))),"")</f>
        <v>a1MDm000000Xod6MAC</v>
      </c>
      <c r="AI71" s="310" t="str">
        <f>IFERROR(IF('Overview - Section A'!$AN$5="Funding Request",
IF(AND('Reference Records'!$B$427&lt;&gt;"",$F71 ='Reference Records'!$B$427),'Reference Records'!$C$427,""),
INDEX('Reference Records'!$A$498:$C$499,MATCH($F71,'Reference Records'!$A$498:$A$499,0),3)),"")</f>
        <v/>
      </c>
    </row>
    <row r="72" spans="1:35" ht="30" customHeight="1">
      <c r="A72" s="117">
        <v>64</v>
      </c>
      <c r="B72" s="120"/>
      <c r="C72" s="120"/>
      <c r="D72" s="120"/>
      <c r="E72" s="120"/>
      <c r="F72" s="121"/>
      <c r="G72" s="120" t="e">
        <v>#REF!</v>
      </c>
      <c r="H72" s="120" t="e">
        <v>#REF!</v>
      </c>
      <c r="I72" s="120" t="e">
        <v>#REF!</v>
      </c>
      <c r="J72" s="120" t="e">
        <v>#REF!</v>
      </c>
      <c r="K72" s="120" t="e">
        <v>#REF!</v>
      </c>
      <c r="L72" s="120" t="e">
        <v>#REF!</v>
      </c>
      <c r="M72" s="120" t="e">
        <v>#REF!</v>
      </c>
      <c r="N72" s="120" t="e">
        <v>#REF!</v>
      </c>
      <c r="O72" s="120" t="e">
        <v>#REF!</v>
      </c>
      <c r="P72" s="120" t="e">
        <v>#REF!</v>
      </c>
      <c r="Q72" s="120" t="e">
        <v>#REF!</v>
      </c>
      <c r="R72" s="120" t="e">
        <v>#REF!</v>
      </c>
      <c r="S72" s="120" t="e">
        <v>#REF!</v>
      </c>
      <c r="T72" s="120" t="e">
        <v>#REF!</v>
      </c>
      <c r="U72" s="120" t="e">
        <v>#REF!</v>
      </c>
      <c r="V72" s="120" t="e">
        <v>#REF!</v>
      </c>
      <c r="W72" s="120"/>
      <c r="Y72" s="48" t="e">
        <f>VLOOKUP(X72,'Reference Records'!$E$253:$F$420,2,0)</f>
        <v>#N/A</v>
      </c>
      <c r="Z72" s="48" t="e">
        <f>MATCH($Y72,'Reference Records'!$E$507:$E$509,0)+ROW(Population_by_intervention) -1</f>
        <v>#N/A</v>
      </c>
      <c r="AA72" s="48" t="e">
        <f>MATCH($Y72,'Reference Records'!$E$507:$E$509,1)+ROW(Population_by_intervention) -1</f>
        <v>#N/A</v>
      </c>
      <c r="AB72" s="48" t="str">
        <f t="shared" si="0"/>
        <v>|empty|</v>
      </c>
      <c r="AC72" s="48" t="str">
        <f>IF(AB72="","",IFERROR(VLOOKUP(AB72,'Overview - Section A'!AF$124:AG238,2,0),VLOOKUP("|empty|",'Overview - Section A'!AF$124:AG238,2,0)))</f>
        <v>INT-350981</v>
      </c>
      <c r="AD72" s="48">
        <f t="shared" si="1"/>
        <v>2960</v>
      </c>
      <c r="AE72" s="48">
        <f ca="1">AE71+'update Helper'!$T$2</f>
        <v>3490.304347826077</v>
      </c>
      <c r="AF72" s="48" t="str">
        <f>IFERROR(IF(AB72="","",IFERROR(VLOOKUP(AB72,'Overview - Section A'!AF$124:AO238,10,0),VLOOKUP("|empty|",'Overview - Section A'!AF$124:AO238,10,0))),"")</f>
        <v/>
      </c>
      <c r="AH72" s="310" t="str">
        <f>IFERROR(IF($AC72="","",INDEX('Overview - Section A'!$AB$124:$AB$175,MATCH($AC72,'Overview - Section A'!$AG$124:$AG$175))),"")</f>
        <v>a1MDm000000Xod6MAC</v>
      </c>
      <c r="AI72" s="310" t="str">
        <f>IFERROR(IF('Overview - Section A'!$AN$5="Funding Request",
IF(AND('Reference Records'!$B$427&lt;&gt;"",$F72 ='Reference Records'!$B$427),'Reference Records'!$C$427,""),
INDEX('Reference Records'!$A$498:$C$499,MATCH($F72,'Reference Records'!$A$498:$A$499,0),3)),"")</f>
        <v/>
      </c>
    </row>
    <row r="73" spans="1:35" ht="30" customHeight="1">
      <c r="A73" s="117">
        <v>65</v>
      </c>
      <c r="B73" s="118"/>
      <c r="C73" s="118"/>
      <c r="D73" s="118"/>
      <c r="E73" s="118"/>
      <c r="F73" s="119"/>
      <c r="G73" s="118" t="e">
        <v>#REF!</v>
      </c>
      <c r="H73" s="118" t="e">
        <v>#REF!</v>
      </c>
      <c r="I73" s="118" t="e">
        <v>#REF!</v>
      </c>
      <c r="J73" s="118" t="e">
        <v>#REF!</v>
      </c>
      <c r="K73" s="118" t="e">
        <v>#REF!</v>
      </c>
      <c r="L73" s="118" t="e">
        <v>#REF!</v>
      </c>
      <c r="M73" s="118" t="e">
        <v>#REF!</v>
      </c>
      <c r="N73" s="118" t="e">
        <v>#REF!</v>
      </c>
      <c r="O73" s="118" t="e">
        <v>#REF!</v>
      </c>
      <c r="P73" s="118" t="e">
        <v>#REF!</v>
      </c>
      <c r="Q73" s="118" t="e">
        <v>#REF!</v>
      </c>
      <c r="R73" s="118" t="e">
        <v>#REF!</v>
      </c>
      <c r="S73" s="118" t="e">
        <v>#REF!</v>
      </c>
      <c r="T73" s="118" t="e">
        <v>#REF!</v>
      </c>
      <c r="U73" s="118" t="e">
        <v>#REF!</v>
      </c>
      <c r="V73" s="118" t="e">
        <v>#REF!</v>
      </c>
      <c r="W73" s="118"/>
      <c r="Y73" s="48" t="e">
        <f>VLOOKUP(X73,'Reference Records'!$E$253:$F$420,2,0)</f>
        <v>#N/A</v>
      </c>
      <c r="Z73" s="48" t="e">
        <f>MATCH($Y73,'Reference Records'!$E$507:$E$509,0)+ROW(Population_by_intervention) -1</f>
        <v>#N/A</v>
      </c>
      <c r="AA73" s="48" t="e">
        <f>MATCH($Y73,'Reference Records'!$E$507:$E$509,1)+ROW(Population_by_intervention) -1</f>
        <v>#N/A</v>
      </c>
      <c r="AB73" s="48" t="str">
        <f t="shared" si="0"/>
        <v>|empty|</v>
      </c>
      <c r="AC73" s="48" t="str">
        <f>IF(AB73="","",IFERROR(VLOOKUP(AB73,'Overview - Section A'!AF$124:AG239,2,0),VLOOKUP("|empty|",'Overview - Section A'!AF$124:AG239,2,0)))</f>
        <v>INT-350981</v>
      </c>
      <c r="AD73" s="48">
        <f t="shared" si="1"/>
        <v>2961</v>
      </c>
      <c r="AE73" s="48">
        <f ca="1">AE72+'update Helper'!$T$2</f>
        <v>3497.086956521729</v>
      </c>
      <c r="AF73" s="48" t="str">
        <f>IFERROR(IF(AB73="","",IFERROR(VLOOKUP(AB73,'Overview - Section A'!AF$124:AO239,10,0),VLOOKUP("|empty|",'Overview - Section A'!AF$124:AO239,10,0))),"")</f>
        <v/>
      </c>
      <c r="AH73" s="310" t="str">
        <f>IFERROR(IF($AC73="","",INDEX('Overview - Section A'!$AB$124:$AB$175,MATCH($AC73,'Overview - Section A'!$AG$124:$AG$175))),"")</f>
        <v>a1MDm000000Xod6MAC</v>
      </c>
      <c r="AI73" s="310" t="str">
        <f>IFERROR(IF('Overview - Section A'!$AN$5="Funding Request",
IF(AND('Reference Records'!$B$427&lt;&gt;"",$F73 ='Reference Records'!$B$427),'Reference Records'!$C$427,""),
INDEX('Reference Records'!$A$498:$C$499,MATCH($F73,'Reference Records'!$A$498:$A$499,0),3)),"")</f>
        <v/>
      </c>
    </row>
    <row r="74" spans="1:35" ht="30" customHeight="1">
      <c r="A74" s="117">
        <v>66</v>
      </c>
      <c r="B74" s="120"/>
      <c r="C74" s="120"/>
      <c r="D74" s="120"/>
      <c r="E74" s="120"/>
      <c r="F74" s="121"/>
      <c r="G74" s="120" t="e">
        <v>#REF!</v>
      </c>
      <c r="H74" s="120" t="e">
        <v>#REF!</v>
      </c>
      <c r="I74" s="120" t="e">
        <v>#REF!</v>
      </c>
      <c r="J74" s="120" t="e">
        <v>#REF!</v>
      </c>
      <c r="K74" s="120" t="e">
        <v>#REF!</v>
      </c>
      <c r="L74" s="120" t="e">
        <v>#REF!</v>
      </c>
      <c r="M74" s="120" t="e">
        <v>#REF!</v>
      </c>
      <c r="N74" s="120" t="e">
        <v>#REF!</v>
      </c>
      <c r="O74" s="120" t="e">
        <v>#REF!</v>
      </c>
      <c r="P74" s="120" t="e">
        <v>#REF!</v>
      </c>
      <c r="Q74" s="120" t="e">
        <v>#REF!</v>
      </c>
      <c r="R74" s="120" t="e">
        <v>#REF!</v>
      </c>
      <c r="S74" s="120" t="e">
        <v>#REF!</v>
      </c>
      <c r="T74" s="120" t="e">
        <v>#REF!</v>
      </c>
      <c r="U74" s="120" t="e">
        <v>#REF!</v>
      </c>
      <c r="V74" s="120" t="e">
        <v>#REF!</v>
      </c>
      <c r="W74" s="120"/>
      <c r="Y74" s="48" t="e">
        <f>VLOOKUP(X74,'Reference Records'!$E$253:$F$420,2,0)</f>
        <v>#N/A</v>
      </c>
      <c r="Z74" s="48" t="e">
        <f>MATCH($Y74,'Reference Records'!$E$507:$E$509,0)+ROW(Population_by_intervention) -1</f>
        <v>#N/A</v>
      </c>
      <c r="AA74" s="48" t="e">
        <f>MATCH($Y74,'Reference Records'!$E$507:$E$509,1)+ROW(Population_by_intervention) -1</f>
        <v>#N/A</v>
      </c>
      <c r="AB74" s="48" t="str">
        <f t="shared" ref="AB74:AB88" si="2">IF(B74="","|empty|",B74&amp;C74)</f>
        <v>|empty|</v>
      </c>
      <c r="AC74" s="48" t="str">
        <f>IF(AB74="","",IFERROR(VLOOKUP(AB74,'Overview - Section A'!AF$124:AG240,2,0),VLOOKUP("|empty|",'Overview - Section A'!AF$124:AG240,2,0)))</f>
        <v>INT-350981</v>
      </c>
      <c r="AD74" s="48">
        <f t="shared" si="1"/>
        <v>2962</v>
      </c>
      <c r="AE74" s="48">
        <f ca="1">AE73+'update Helper'!$T$2</f>
        <v>3503.869565217381</v>
      </c>
      <c r="AF74" s="48" t="str">
        <f>IFERROR(IF(AB74="","",IFERROR(VLOOKUP(AB74,'Overview - Section A'!AF$124:AO240,10,0),VLOOKUP("|empty|",'Overview - Section A'!AF$124:AO240,10,0))),"")</f>
        <v/>
      </c>
      <c r="AH74" s="310" t="str">
        <f>IFERROR(IF($AC74="","",INDEX('Overview - Section A'!$AB$124:$AB$175,MATCH($AC74,'Overview - Section A'!$AG$124:$AG$175))),"")</f>
        <v>a1MDm000000Xod6MAC</v>
      </c>
      <c r="AI74" s="310" t="str">
        <f>IFERROR(IF('Overview - Section A'!$AN$5="Funding Request",
IF(AND('Reference Records'!$B$427&lt;&gt;"",$F74 ='Reference Records'!$B$427),'Reference Records'!$C$427,""),
INDEX('Reference Records'!$A$498:$C$499,MATCH($F74,'Reference Records'!$A$498:$A$499,0),3)),"")</f>
        <v/>
      </c>
    </row>
    <row r="75" spans="1:35" ht="30" customHeight="1">
      <c r="A75" s="117">
        <v>67</v>
      </c>
      <c r="B75" s="118"/>
      <c r="C75" s="118"/>
      <c r="D75" s="118"/>
      <c r="E75" s="118"/>
      <c r="F75" s="119"/>
      <c r="G75" s="118" t="e">
        <v>#REF!</v>
      </c>
      <c r="H75" s="118" t="e">
        <v>#REF!</v>
      </c>
      <c r="I75" s="118" t="e">
        <v>#REF!</v>
      </c>
      <c r="J75" s="118" t="e">
        <v>#REF!</v>
      </c>
      <c r="K75" s="118" t="e">
        <v>#REF!</v>
      </c>
      <c r="L75" s="118" t="e">
        <v>#REF!</v>
      </c>
      <c r="M75" s="118" t="e">
        <v>#REF!</v>
      </c>
      <c r="N75" s="118" t="e">
        <v>#REF!</v>
      </c>
      <c r="O75" s="118" t="e">
        <v>#REF!</v>
      </c>
      <c r="P75" s="118" t="e">
        <v>#REF!</v>
      </c>
      <c r="Q75" s="118" t="e">
        <v>#REF!</v>
      </c>
      <c r="R75" s="118" t="e">
        <v>#REF!</v>
      </c>
      <c r="S75" s="118" t="e">
        <v>#REF!</v>
      </c>
      <c r="T75" s="118" t="e">
        <v>#REF!</v>
      </c>
      <c r="U75" s="118" t="e">
        <v>#REF!</v>
      </c>
      <c r="V75" s="118" t="e">
        <v>#REF!</v>
      </c>
      <c r="W75" s="118"/>
      <c r="Y75" s="48" t="e">
        <f>VLOOKUP(X75,'Reference Records'!$E$253:$F$420,2,0)</f>
        <v>#N/A</v>
      </c>
      <c r="Z75" s="48" t="e">
        <f>MATCH($Y75,'Reference Records'!$E$507:$E$509,0)+ROW(Population_by_intervention) -1</f>
        <v>#N/A</v>
      </c>
      <c r="AA75" s="48" t="e">
        <f>MATCH($Y75,'Reference Records'!$E$507:$E$509,1)+ROW(Population_by_intervention) -1</f>
        <v>#N/A</v>
      </c>
      <c r="AB75" s="48" t="str">
        <f t="shared" si="2"/>
        <v>|empty|</v>
      </c>
      <c r="AC75" s="48" t="str">
        <f>IF(AB75="","",IFERROR(VLOOKUP(AB75,'Overview - Section A'!AF$124:AG241,2,0),VLOOKUP("|empty|",'Overview - Section A'!AF$124:AG241,2,0)))</f>
        <v>INT-350981</v>
      </c>
      <c r="AD75" s="48">
        <f t="shared" ref="AD75:AD88" si="3">AD74+1</f>
        <v>2963</v>
      </c>
      <c r="AE75" s="48">
        <f ca="1">AE74+'update Helper'!$T$2</f>
        <v>3510.652173913033</v>
      </c>
      <c r="AF75" s="48" t="str">
        <f>IFERROR(IF(AB75="","",IFERROR(VLOOKUP(AB75,'Overview - Section A'!AF$124:AO241,10,0),VLOOKUP("|empty|",'Overview - Section A'!AF$124:AO241,10,0))),"")</f>
        <v/>
      </c>
      <c r="AH75" s="310" t="str">
        <f>IFERROR(IF($AC75="","",INDEX('Overview - Section A'!$AB$124:$AB$175,MATCH($AC75,'Overview - Section A'!$AG$124:$AG$175))),"")</f>
        <v>a1MDm000000Xod6MAC</v>
      </c>
      <c r="AI75" s="310" t="str">
        <f>IFERROR(IF('Overview - Section A'!$AN$5="Funding Request",
IF(AND('Reference Records'!$B$427&lt;&gt;"",$F75 ='Reference Records'!$B$427),'Reference Records'!$C$427,""),
INDEX('Reference Records'!$A$498:$C$499,MATCH($F75,'Reference Records'!$A$498:$A$499,0),3)),"")</f>
        <v/>
      </c>
    </row>
    <row r="76" spans="1:35" ht="30" customHeight="1">
      <c r="A76" s="117">
        <v>68</v>
      </c>
      <c r="B76" s="120"/>
      <c r="C76" s="120"/>
      <c r="D76" s="120"/>
      <c r="E76" s="120"/>
      <c r="F76" s="121"/>
      <c r="G76" s="120" t="e">
        <v>#REF!</v>
      </c>
      <c r="H76" s="120" t="e">
        <v>#REF!</v>
      </c>
      <c r="I76" s="120" t="e">
        <v>#REF!</v>
      </c>
      <c r="J76" s="120" t="e">
        <v>#REF!</v>
      </c>
      <c r="K76" s="120" t="e">
        <v>#REF!</v>
      </c>
      <c r="L76" s="120" t="e">
        <v>#REF!</v>
      </c>
      <c r="M76" s="120" t="e">
        <v>#REF!</v>
      </c>
      <c r="N76" s="120" t="e">
        <v>#REF!</v>
      </c>
      <c r="O76" s="120" t="e">
        <v>#REF!</v>
      </c>
      <c r="P76" s="120" t="e">
        <v>#REF!</v>
      </c>
      <c r="Q76" s="120" t="e">
        <v>#REF!</v>
      </c>
      <c r="R76" s="120" t="e">
        <v>#REF!</v>
      </c>
      <c r="S76" s="120" t="e">
        <v>#REF!</v>
      </c>
      <c r="T76" s="120" t="e">
        <v>#REF!</v>
      </c>
      <c r="U76" s="120" t="e">
        <v>#REF!</v>
      </c>
      <c r="V76" s="120" t="e">
        <v>#REF!</v>
      </c>
      <c r="W76" s="120"/>
      <c r="Y76" s="48" t="e">
        <f>VLOOKUP(X76,'Reference Records'!$E$253:$F$420,2,0)</f>
        <v>#N/A</v>
      </c>
      <c r="Z76" s="48" t="e">
        <f>MATCH($Y76,'Reference Records'!$E$507:$E$509,0)+ROW(Population_by_intervention) -1</f>
        <v>#N/A</v>
      </c>
      <c r="AA76" s="48" t="e">
        <f>MATCH($Y76,'Reference Records'!$E$507:$E$509,1)+ROW(Population_by_intervention) -1</f>
        <v>#N/A</v>
      </c>
      <c r="AB76" s="48" t="str">
        <f t="shared" si="2"/>
        <v>|empty|</v>
      </c>
      <c r="AC76" s="48" t="str">
        <f>IF(AB76="","",IFERROR(VLOOKUP(AB76,'Overview - Section A'!AF$124:AG242,2,0),VLOOKUP("|empty|",'Overview - Section A'!AF$124:AG242,2,0)))</f>
        <v>INT-350981</v>
      </c>
      <c r="AD76" s="48">
        <f t="shared" si="3"/>
        <v>2964</v>
      </c>
      <c r="AE76" s="48">
        <f ca="1">AE75+'update Helper'!$T$2</f>
        <v>3517.4347826086851</v>
      </c>
      <c r="AF76" s="48" t="str">
        <f>IFERROR(IF(AB76="","",IFERROR(VLOOKUP(AB76,'Overview - Section A'!AF$124:AO242,10,0),VLOOKUP("|empty|",'Overview - Section A'!AF$124:AO242,10,0))),"")</f>
        <v/>
      </c>
      <c r="AH76" s="310" t="str">
        <f>IFERROR(IF($AC76="","",INDEX('Overview - Section A'!$AB$124:$AB$175,MATCH($AC76,'Overview - Section A'!$AG$124:$AG$175))),"")</f>
        <v>a1MDm000000Xod6MAC</v>
      </c>
      <c r="AI76" s="310" t="str">
        <f>IFERROR(IF('Overview - Section A'!$AN$5="Funding Request",
IF(AND('Reference Records'!$B$427&lt;&gt;"",$F76 ='Reference Records'!$B$427),'Reference Records'!$C$427,""),
INDEX('Reference Records'!$A$498:$C$499,MATCH($F76,'Reference Records'!$A$498:$A$499,0),3)),"")</f>
        <v/>
      </c>
    </row>
    <row r="77" spans="1:35" ht="30" customHeight="1">
      <c r="A77" s="117">
        <v>69</v>
      </c>
      <c r="B77" s="118"/>
      <c r="C77" s="118"/>
      <c r="D77" s="118"/>
      <c r="E77" s="118"/>
      <c r="F77" s="119"/>
      <c r="G77" s="118" t="e">
        <v>#REF!</v>
      </c>
      <c r="H77" s="118" t="e">
        <v>#REF!</v>
      </c>
      <c r="I77" s="118" t="e">
        <v>#REF!</v>
      </c>
      <c r="J77" s="118" t="e">
        <v>#REF!</v>
      </c>
      <c r="K77" s="118" t="e">
        <v>#REF!</v>
      </c>
      <c r="L77" s="118" t="e">
        <v>#REF!</v>
      </c>
      <c r="M77" s="118" t="e">
        <v>#REF!</v>
      </c>
      <c r="N77" s="118" t="e">
        <v>#REF!</v>
      </c>
      <c r="O77" s="118" t="e">
        <v>#REF!</v>
      </c>
      <c r="P77" s="118" t="e">
        <v>#REF!</v>
      </c>
      <c r="Q77" s="118" t="e">
        <v>#REF!</v>
      </c>
      <c r="R77" s="118" t="e">
        <v>#REF!</v>
      </c>
      <c r="S77" s="118" t="e">
        <v>#REF!</v>
      </c>
      <c r="T77" s="118" t="e">
        <v>#REF!</v>
      </c>
      <c r="U77" s="118" t="e">
        <v>#REF!</v>
      </c>
      <c r="V77" s="118" t="e">
        <v>#REF!</v>
      </c>
      <c r="W77" s="118"/>
      <c r="Y77" s="48" t="e">
        <f>VLOOKUP(X77,'Reference Records'!$E$253:$F$420,2,0)</f>
        <v>#N/A</v>
      </c>
      <c r="Z77" s="48" t="e">
        <f>MATCH($Y77,'Reference Records'!$E$507:$E$509,0)+ROW(Population_by_intervention) -1</f>
        <v>#N/A</v>
      </c>
      <c r="AA77" s="48" t="e">
        <f>MATCH($Y77,'Reference Records'!$E$507:$E$509,1)+ROW(Population_by_intervention) -1</f>
        <v>#N/A</v>
      </c>
      <c r="AB77" s="48" t="str">
        <f t="shared" si="2"/>
        <v>|empty|</v>
      </c>
      <c r="AC77" s="48" t="str">
        <f>IF(AB77="","",IFERROR(VLOOKUP(AB77,'Overview - Section A'!AF$124:AG243,2,0),VLOOKUP("|empty|",'Overview - Section A'!AF$124:AG243,2,0)))</f>
        <v>INT-350981</v>
      </c>
      <c r="AD77" s="48">
        <f t="shared" si="3"/>
        <v>2965</v>
      </c>
      <c r="AE77" s="48">
        <f ca="1">AE76+'update Helper'!$T$2</f>
        <v>3524.2173913043371</v>
      </c>
      <c r="AF77" s="48" t="str">
        <f>IFERROR(IF(AB77="","",IFERROR(VLOOKUP(AB77,'Overview - Section A'!AF$124:AO243,10,0),VLOOKUP("|empty|",'Overview - Section A'!AF$124:AO243,10,0))),"")</f>
        <v/>
      </c>
      <c r="AH77" s="310" t="str">
        <f>IFERROR(IF($AC77="","",INDEX('Overview - Section A'!$AB$124:$AB$175,MATCH($AC77,'Overview - Section A'!$AG$124:$AG$175))),"")</f>
        <v>a1MDm000000Xod6MAC</v>
      </c>
      <c r="AI77" s="310" t="str">
        <f>IFERROR(IF('Overview - Section A'!$AN$5="Funding Request",
IF(AND('Reference Records'!$B$427&lt;&gt;"",$F77 ='Reference Records'!$B$427),'Reference Records'!$C$427,""),
INDEX('Reference Records'!$A$498:$C$499,MATCH($F77,'Reference Records'!$A$498:$A$499,0),3)),"")</f>
        <v/>
      </c>
    </row>
    <row r="78" spans="1:35" ht="30" customHeight="1">
      <c r="A78" s="117">
        <v>70</v>
      </c>
      <c r="B78" s="120"/>
      <c r="C78" s="120"/>
      <c r="D78" s="120"/>
      <c r="E78" s="120"/>
      <c r="F78" s="121"/>
      <c r="G78" s="120" t="e">
        <v>#REF!</v>
      </c>
      <c r="H78" s="120" t="e">
        <v>#REF!</v>
      </c>
      <c r="I78" s="120" t="e">
        <v>#REF!</v>
      </c>
      <c r="J78" s="120" t="e">
        <v>#REF!</v>
      </c>
      <c r="K78" s="120" t="e">
        <v>#REF!</v>
      </c>
      <c r="L78" s="120" t="e">
        <v>#REF!</v>
      </c>
      <c r="M78" s="120" t="e">
        <v>#REF!</v>
      </c>
      <c r="N78" s="120" t="e">
        <v>#REF!</v>
      </c>
      <c r="O78" s="120" t="e">
        <v>#REF!</v>
      </c>
      <c r="P78" s="120" t="e">
        <v>#REF!</v>
      </c>
      <c r="Q78" s="120" t="e">
        <v>#REF!</v>
      </c>
      <c r="R78" s="120" t="e">
        <v>#REF!</v>
      </c>
      <c r="S78" s="120" t="e">
        <v>#REF!</v>
      </c>
      <c r="T78" s="120" t="e">
        <v>#REF!</v>
      </c>
      <c r="U78" s="120" t="e">
        <v>#REF!</v>
      </c>
      <c r="V78" s="120" t="e">
        <v>#REF!</v>
      </c>
      <c r="W78" s="120"/>
      <c r="Y78" s="48" t="e">
        <f>VLOOKUP(X78,'Reference Records'!$E$253:$F$420,2,0)</f>
        <v>#N/A</v>
      </c>
      <c r="Z78" s="48" t="e">
        <f>MATCH($Y78,'Reference Records'!$E$507:$E$509,0)+ROW(Population_by_intervention) -1</f>
        <v>#N/A</v>
      </c>
      <c r="AA78" s="48" t="e">
        <f>MATCH($Y78,'Reference Records'!$E$507:$E$509,1)+ROW(Population_by_intervention) -1</f>
        <v>#N/A</v>
      </c>
      <c r="AB78" s="48" t="str">
        <f t="shared" si="2"/>
        <v>|empty|</v>
      </c>
      <c r="AC78" s="48" t="str">
        <f>IF(AB78="","",IFERROR(VLOOKUP(AB78,'Overview - Section A'!AF$124:AG244,2,0),VLOOKUP("|empty|",'Overview - Section A'!AF$124:AG244,2,0)))</f>
        <v>INT-350981</v>
      </c>
      <c r="AD78" s="48">
        <f t="shared" si="3"/>
        <v>2966</v>
      </c>
      <c r="AE78" s="48">
        <f ca="1">AE77+'update Helper'!$T$2</f>
        <v>3530.9999999999891</v>
      </c>
      <c r="AF78" s="48" t="str">
        <f>IFERROR(IF(AB78="","",IFERROR(VLOOKUP(AB78,'Overview - Section A'!AF$124:AO244,10,0),VLOOKUP("|empty|",'Overview - Section A'!AF$124:AO244,10,0))),"")</f>
        <v/>
      </c>
      <c r="AH78" s="310" t="str">
        <f>IFERROR(IF($AC78="","",INDEX('Overview - Section A'!$AB$124:$AB$175,MATCH($AC78,'Overview - Section A'!$AG$124:$AG$175))),"")</f>
        <v>a1MDm000000Xod6MAC</v>
      </c>
      <c r="AI78" s="310" t="str">
        <f>IFERROR(IF('Overview - Section A'!$AN$5="Funding Request",
IF(AND('Reference Records'!$B$427&lt;&gt;"",$F78 ='Reference Records'!$B$427),'Reference Records'!$C$427,""),
INDEX('Reference Records'!$A$498:$C$499,MATCH($F78,'Reference Records'!$A$498:$A$499,0),3)),"")</f>
        <v/>
      </c>
    </row>
    <row r="79" spans="1:35" ht="30" customHeight="1">
      <c r="A79" s="117">
        <v>71</v>
      </c>
      <c r="B79" s="118"/>
      <c r="C79" s="118"/>
      <c r="D79" s="118"/>
      <c r="E79" s="118"/>
      <c r="F79" s="119"/>
      <c r="G79" s="118" t="e">
        <v>#REF!</v>
      </c>
      <c r="H79" s="118" t="e">
        <v>#REF!</v>
      </c>
      <c r="I79" s="118" t="e">
        <v>#REF!</v>
      </c>
      <c r="J79" s="118" t="e">
        <v>#REF!</v>
      </c>
      <c r="K79" s="118" t="e">
        <v>#REF!</v>
      </c>
      <c r="L79" s="118" t="e">
        <v>#REF!</v>
      </c>
      <c r="M79" s="118" t="e">
        <v>#REF!</v>
      </c>
      <c r="N79" s="118" t="e">
        <v>#REF!</v>
      </c>
      <c r="O79" s="118" t="e">
        <v>#REF!</v>
      </c>
      <c r="P79" s="118" t="e">
        <v>#REF!</v>
      </c>
      <c r="Q79" s="118" t="e">
        <v>#REF!</v>
      </c>
      <c r="R79" s="118" t="e">
        <v>#REF!</v>
      </c>
      <c r="S79" s="118" t="e">
        <v>#REF!</v>
      </c>
      <c r="T79" s="118" t="e">
        <v>#REF!</v>
      </c>
      <c r="U79" s="118" t="e">
        <v>#REF!</v>
      </c>
      <c r="V79" s="118" t="e">
        <v>#REF!</v>
      </c>
      <c r="W79" s="118"/>
      <c r="Y79" s="48" t="e">
        <f>VLOOKUP(X79,'Reference Records'!$E$253:$F$420,2,0)</f>
        <v>#N/A</v>
      </c>
      <c r="Z79" s="48" t="e">
        <f>MATCH($Y79,'Reference Records'!$E$507:$E$509,0)+ROW(Population_by_intervention) -1</f>
        <v>#N/A</v>
      </c>
      <c r="AA79" s="48" t="e">
        <f>MATCH($Y79,'Reference Records'!$E$507:$E$509,1)+ROW(Population_by_intervention) -1</f>
        <v>#N/A</v>
      </c>
      <c r="AB79" s="48" t="str">
        <f t="shared" si="2"/>
        <v>|empty|</v>
      </c>
      <c r="AC79" s="48" t="str">
        <f>IF(AB79="","",IFERROR(VLOOKUP(AB79,'Overview - Section A'!AF$124:AG245,2,0),VLOOKUP("|empty|",'Overview - Section A'!AF$124:AG245,2,0)))</f>
        <v>INT-350981</v>
      </c>
      <c r="AD79" s="48">
        <f t="shared" si="3"/>
        <v>2967</v>
      </c>
      <c r="AE79" s="48">
        <f ca="1">AE78+'update Helper'!$T$2</f>
        <v>3537.7826086956411</v>
      </c>
      <c r="AF79" s="48" t="str">
        <f>IFERROR(IF(AB79="","",IFERROR(VLOOKUP(AB79,'Overview - Section A'!AF$124:AO245,10,0),VLOOKUP("|empty|",'Overview - Section A'!AF$124:AO245,10,0))),"")</f>
        <v/>
      </c>
      <c r="AH79" s="310" t="str">
        <f>IFERROR(IF($AC79="","",INDEX('Overview - Section A'!$AB$124:$AB$175,MATCH($AC79,'Overview - Section A'!$AG$124:$AG$175))),"")</f>
        <v>a1MDm000000Xod6MAC</v>
      </c>
      <c r="AI79" s="310" t="str">
        <f>IFERROR(IF('Overview - Section A'!$AN$5="Funding Request",
IF(AND('Reference Records'!$B$427&lt;&gt;"",$F79 ='Reference Records'!$B$427),'Reference Records'!$C$427,""),
INDEX('Reference Records'!$A$498:$C$499,MATCH($F79,'Reference Records'!$A$498:$A$499,0),3)),"")</f>
        <v/>
      </c>
    </row>
    <row r="80" spans="1:35" ht="30" customHeight="1">
      <c r="A80" s="117">
        <v>72</v>
      </c>
      <c r="B80" s="120"/>
      <c r="C80" s="120"/>
      <c r="D80" s="120"/>
      <c r="E80" s="120"/>
      <c r="F80" s="121"/>
      <c r="G80" s="120" t="e">
        <v>#REF!</v>
      </c>
      <c r="H80" s="120" t="e">
        <v>#REF!</v>
      </c>
      <c r="I80" s="120" t="e">
        <v>#REF!</v>
      </c>
      <c r="J80" s="120" t="e">
        <v>#REF!</v>
      </c>
      <c r="K80" s="120" t="e">
        <v>#REF!</v>
      </c>
      <c r="L80" s="120" t="e">
        <v>#REF!</v>
      </c>
      <c r="M80" s="120" t="e">
        <v>#REF!</v>
      </c>
      <c r="N80" s="120" t="e">
        <v>#REF!</v>
      </c>
      <c r="O80" s="120" t="e">
        <v>#REF!</v>
      </c>
      <c r="P80" s="120" t="e">
        <v>#REF!</v>
      </c>
      <c r="Q80" s="120" t="e">
        <v>#REF!</v>
      </c>
      <c r="R80" s="120" t="e">
        <v>#REF!</v>
      </c>
      <c r="S80" s="120" t="e">
        <v>#REF!</v>
      </c>
      <c r="T80" s="120" t="e">
        <v>#REF!</v>
      </c>
      <c r="U80" s="120" t="e">
        <v>#REF!</v>
      </c>
      <c r="V80" s="120" t="e">
        <v>#REF!</v>
      </c>
      <c r="W80" s="120"/>
      <c r="Y80" s="48" t="e">
        <f>VLOOKUP(X80,'Reference Records'!$E$253:$F$420,2,0)</f>
        <v>#N/A</v>
      </c>
      <c r="Z80" s="48" t="e">
        <f>MATCH($Y80,'Reference Records'!$E$507:$E$509,0)+ROW(Population_by_intervention) -1</f>
        <v>#N/A</v>
      </c>
      <c r="AA80" s="48" t="e">
        <f>MATCH($Y80,'Reference Records'!$E$507:$E$509,1)+ROW(Population_by_intervention) -1</f>
        <v>#N/A</v>
      </c>
      <c r="AB80" s="48" t="str">
        <f t="shared" si="2"/>
        <v>|empty|</v>
      </c>
      <c r="AC80" s="48" t="str">
        <f>IF(AB80="","",IFERROR(VLOOKUP(AB80,'Overview - Section A'!AF$124:AG246,2,0),VLOOKUP("|empty|",'Overview - Section A'!AF$124:AG246,2,0)))</f>
        <v>INT-350981</v>
      </c>
      <c r="AD80" s="48">
        <f t="shared" si="3"/>
        <v>2968</v>
      </c>
      <c r="AE80" s="48">
        <f ca="1">AE79+'update Helper'!$T$2</f>
        <v>3544.5652173912931</v>
      </c>
      <c r="AF80" s="48" t="str">
        <f>IFERROR(IF(AB80="","",IFERROR(VLOOKUP(AB80,'Overview - Section A'!AF$124:AO246,10,0),VLOOKUP("|empty|",'Overview - Section A'!AF$124:AO246,10,0))),"")</f>
        <v/>
      </c>
      <c r="AH80" s="310" t="str">
        <f>IFERROR(IF($AC80="","",INDEX('Overview - Section A'!$AB$124:$AB$175,MATCH($AC80,'Overview - Section A'!$AG$124:$AG$175))),"")</f>
        <v>a1MDm000000Xod6MAC</v>
      </c>
      <c r="AI80" s="310" t="str">
        <f>IFERROR(IF('Overview - Section A'!$AN$5="Funding Request",
IF(AND('Reference Records'!$B$427&lt;&gt;"",$F80 ='Reference Records'!$B$427),'Reference Records'!$C$427,""),
INDEX('Reference Records'!$A$498:$C$499,MATCH($F80,'Reference Records'!$A$498:$A$499,0),3)),"")</f>
        <v/>
      </c>
    </row>
    <row r="81" spans="1:35" ht="30" customHeight="1">
      <c r="A81" s="117">
        <v>73</v>
      </c>
      <c r="B81" s="118"/>
      <c r="C81" s="118"/>
      <c r="D81" s="118"/>
      <c r="E81" s="118"/>
      <c r="F81" s="119"/>
      <c r="G81" s="118" t="e">
        <v>#REF!</v>
      </c>
      <c r="H81" s="118" t="e">
        <v>#REF!</v>
      </c>
      <c r="I81" s="118" t="e">
        <v>#REF!</v>
      </c>
      <c r="J81" s="118" t="e">
        <v>#REF!</v>
      </c>
      <c r="K81" s="118" t="e">
        <v>#REF!</v>
      </c>
      <c r="L81" s="118" t="e">
        <v>#REF!</v>
      </c>
      <c r="M81" s="118" t="e">
        <v>#REF!</v>
      </c>
      <c r="N81" s="118" t="e">
        <v>#REF!</v>
      </c>
      <c r="O81" s="118" t="e">
        <v>#REF!</v>
      </c>
      <c r="P81" s="118" t="e">
        <v>#REF!</v>
      </c>
      <c r="Q81" s="118" t="e">
        <v>#REF!</v>
      </c>
      <c r="R81" s="118" t="e">
        <v>#REF!</v>
      </c>
      <c r="S81" s="118" t="e">
        <v>#REF!</v>
      </c>
      <c r="T81" s="118" t="e">
        <v>#REF!</v>
      </c>
      <c r="U81" s="118" t="e">
        <v>#REF!</v>
      </c>
      <c r="V81" s="118" t="e">
        <v>#REF!</v>
      </c>
      <c r="W81" s="118"/>
      <c r="Y81" s="48" t="e">
        <f>VLOOKUP(X81,'Reference Records'!$E$253:$F$420,2,0)</f>
        <v>#N/A</v>
      </c>
      <c r="Z81" s="48" t="e">
        <f>MATCH($Y81,'Reference Records'!$E$507:$E$509,0)+ROW(Population_by_intervention) -1</f>
        <v>#N/A</v>
      </c>
      <c r="AA81" s="48" t="e">
        <f>MATCH($Y81,'Reference Records'!$E$507:$E$509,1)+ROW(Population_by_intervention) -1</f>
        <v>#N/A</v>
      </c>
      <c r="AB81" s="48" t="str">
        <f t="shared" si="2"/>
        <v>|empty|</v>
      </c>
      <c r="AC81" s="48" t="str">
        <f>IF(AB81="","",IFERROR(VLOOKUP(AB81,'Overview - Section A'!AF$124:AG247,2,0),VLOOKUP("|empty|",'Overview - Section A'!AF$124:AG247,2,0)))</f>
        <v>INT-350981</v>
      </c>
      <c r="AD81" s="48">
        <f t="shared" si="3"/>
        <v>2969</v>
      </c>
      <c r="AE81" s="48">
        <f ca="1">AE80+'update Helper'!$T$2</f>
        <v>3551.3478260869451</v>
      </c>
      <c r="AF81" s="48" t="str">
        <f>IFERROR(IF(AB81="","",IFERROR(VLOOKUP(AB81,'Overview - Section A'!AF$124:AO247,10,0),VLOOKUP("|empty|",'Overview - Section A'!AF$124:AO247,10,0))),"")</f>
        <v/>
      </c>
      <c r="AH81" s="310" t="str">
        <f>IFERROR(IF($AC81="","",INDEX('Overview - Section A'!$AB$124:$AB$175,MATCH($AC81,'Overview - Section A'!$AG$124:$AG$175))),"")</f>
        <v>a1MDm000000Xod6MAC</v>
      </c>
      <c r="AI81" s="310" t="str">
        <f>IFERROR(IF('Overview - Section A'!$AN$5="Funding Request",
IF(AND('Reference Records'!$B$427&lt;&gt;"",$F81 ='Reference Records'!$B$427),'Reference Records'!$C$427,""),
INDEX('Reference Records'!$A$498:$C$499,MATCH($F81,'Reference Records'!$A$498:$A$499,0),3)),"")</f>
        <v/>
      </c>
    </row>
    <row r="82" spans="1:35" ht="30" customHeight="1">
      <c r="A82" s="117">
        <v>74</v>
      </c>
      <c r="B82" s="120"/>
      <c r="C82" s="120"/>
      <c r="D82" s="120"/>
      <c r="E82" s="120"/>
      <c r="F82" s="121"/>
      <c r="G82" s="120" t="e">
        <v>#REF!</v>
      </c>
      <c r="H82" s="120" t="e">
        <v>#REF!</v>
      </c>
      <c r="I82" s="120" t="e">
        <v>#REF!</v>
      </c>
      <c r="J82" s="120" t="e">
        <v>#REF!</v>
      </c>
      <c r="K82" s="120" t="e">
        <v>#REF!</v>
      </c>
      <c r="L82" s="120" t="e">
        <v>#REF!</v>
      </c>
      <c r="M82" s="120" t="e">
        <v>#REF!</v>
      </c>
      <c r="N82" s="120" t="e">
        <v>#REF!</v>
      </c>
      <c r="O82" s="120" t="e">
        <v>#REF!</v>
      </c>
      <c r="P82" s="120" t="e">
        <v>#REF!</v>
      </c>
      <c r="Q82" s="120" t="e">
        <v>#REF!</v>
      </c>
      <c r="R82" s="120" t="e">
        <v>#REF!</v>
      </c>
      <c r="S82" s="120" t="e">
        <v>#REF!</v>
      </c>
      <c r="T82" s="120" t="e">
        <v>#REF!</v>
      </c>
      <c r="U82" s="120" t="e">
        <v>#REF!</v>
      </c>
      <c r="V82" s="120" t="e">
        <v>#REF!</v>
      </c>
      <c r="W82" s="120"/>
      <c r="Y82" s="48" t="e">
        <f>VLOOKUP(X82,'Reference Records'!$E$253:$F$420,2,0)</f>
        <v>#N/A</v>
      </c>
      <c r="Z82" s="48" t="e">
        <f>MATCH($Y82,'Reference Records'!$E$507:$E$509,0)+ROW(Population_by_intervention) -1</f>
        <v>#N/A</v>
      </c>
      <c r="AA82" s="48" t="e">
        <f>MATCH($Y82,'Reference Records'!$E$507:$E$509,1)+ROW(Population_by_intervention) -1</f>
        <v>#N/A</v>
      </c>
      <c r="AB82" s="48" t="str">
        <f t="shared" si="2"/>
        <v>|empty|</v>
      </c>
      <c r="AC82" s="48" t="str">
        <f>IF(AB82="","",IFERROR(VLOOKUP(AB82,'Overview - Section A'!AF$124:AG248,2,0),VLOOKUP("|empty|",'Overview - Section A'!AF$124:AG248,2,0)))</f>
        <v>INT-350981</v>
      </c>
      <c r="AD82" s="48">
        <f t="shared" si="3"/>
        <v>2970</v>
      </c>
      <c r="AE82" s="48">
        <f ca="1">AE81+'update Helper'!$T$2</f>
        <v>3558.1304347825971</v>
      </c>
      <c r="AF82" s="48" t="str">
        <f>IFERROR(IF(AB82="","",IFERROR(VLOOKUP(AB82,'Overview - Section A'!AF$124:AO248,10,0),VLOOKUP("|empty|",'Overview - Section A'!AF$124:AO248,10,0))),"")</f>
        <v/>
      </c>
      <c r="AH82" s="310" t="str">
        <f>IFERROR(IF($AC82="","",INDEX('Overview - Section A'!$AB$124:$AB$175,MATCH($AC82,'Overview - Section A'!$AG$124:$AG$175))),"")</f>
        <v>a1MDm000000Xod6MAC</v>
      </c>
      <c r="AI82" s="310" t="str">
        <f>IFERROR(IF('Overview - Section A'!$AN$5="Funding Request",
IF(AND('Reference Records'!$B$427&lt;&gt;"",$F82 ='Reference Records'!$B$427),'Reference Records'!$C$427,""),
INDEX('Reference Records'!$A$498:$C$499,MATCH($F82,'Reference Records'!$A$498:$A$499,0),3)),"")</f>
        <v/>
      </c>
    </row>
    <row r="83" spans="1:35" ht="30" customHeight="1">
      <c r="A83" s="117">
        <v>75</v>
      </c>
      <c r="B83" s="118"/>
      <c r="C83" s="118"/>
      <c r="D83" s="118"/>
      <c r="E83" s="118"/>
      <c r="F83" s="119"/>
      <c r="G83" s="118" t="e">
        <v>#REF!</v>
      </c>
      <c r="H83" s="118" t="e">
        <v>#REF!</v>
      </c>
      <c r="I83" s="118" t="e">
        <v>#REF!</v>
      </c>
      <c r="J83" s="118" t="e">
        <v>#REF!</v>
      </c>
      <c r="K83" s="118" t="e">
        <v>#REF!</v>
      </c>
      <c r="L83" s="118" t="e">
        <v>#REF!</v>
      </c>
      <c r="M83" s="118" t="e">
        <v>#REF!</v>
      </c>
      <c r="N83" s="118" t="e">
        <v>#REF!</v>
      </c>
      <c r="O83" s="118" t="e">
        <v>#REF!</v>
      </c>
      <c r="P83" s="118" t="e">
        <v>#REF!</v>
      </c>
      <c r="Q83" s="118" t="e">
        <v>#REF!</v>
      </c>
      <c r="R83" s="118" t="e">
        <v>#REF!</v>
      </c>
      <c r="S83" s="118" t="e">
        <v>#REF!</v>
      </c>
      <c r="T83" s="118" t="e">
        <v>#REF!</v>
      </c>
      <c r="U83" s="118" t="e">
        <v>#REF!</v>
      </c>
      <c r="V83" s="118" t="e">
        <v>#REF!</v>
      </c>
      <c r="W83" s="118"/>
      <c r="Y83" s="48" t="e">
        <f>VLOOKUP(X83,'Reference Records'!$E$253:$F$420,2,0)</f>
        <v>#N/A</v>
      </c>
      <c r="Z83" s="48" t="e">
        <f>MATCH($Y83,'Reference Records'!$E$507:$E$509,0)+ROW(Population_by_intervention) -1</f>
        <v>#N/A</v>
      </c>
      <c r="AA83" s="48" t="e">
        <f>MATCH($Y83,'Reference Records'!$E$507:$E$509,1)+ROW(Population_by_intervention) -1</f>
        <v>#N/A</v>
      </c>
      <c r="AB83" s="48" t="str">
        <f t="shared" si="2"/>
        <v>|empty|</v>
      </c>
      <c r="AC83" s="48" t="str">
        <f>IF(AB83="","",IFERROR(VLOOKUP(AB83,'Overview - Section A'!AF$124:AG249,2,0),VLOOKUP("|empty|",'Overview - Section A'!AF$124:AG249,2,0)))</f>
        <v>INT-350981</v>
      </c>
      <c r="AD83" s="48">
        <f t="shared" si="3"/>
        <v>2971</v>
      </c>
      <c r="AE83" s="48">
        <f ca="1">AE82+'update Helper'!$T$2</f>
        <v>3564.9130434782492</v>
      </c>
      <c r="AF83" s="48" t="str">
        <f>IFERROR(IF(AB83="","",IFERROR(VLOOKUP(AB83,'Overview - Section A'!AF$124:AO249,10,0),VLOOKUP("|empty|",'Overview - Section A'!AF$124:AO249,10,0))),"")</f>
        <v/>
      </c>
      <c r="AH83" s="310" t="str">
        <f>IFERROR(IF($AC83="","",INDEX('Overview - Section A'!$AB$124:$AB$175,MATCH($AC83,'Overview - Section A'!$AG$124:$AG$175))),"")</f>
        <v>a1MDm000000Xod6MAC</v>
      </c>
      <c r="AI83" s="310" t="str">
        <f>IFERROR(IF('Overview - Section A'!$AN$5="Funding Request",
IF(AND('Reference Records'!$B$427&lt;&gt;"",$F83 ='Reference Records'!$B$427),'Reference Records'!$C$427,""),
INDEX('Reference Records'!$A$498:$C$499,MATCH($F83,'Reference Records'!$A$498:$A$499,0),3)),"")</f>
        <v/>
      </c>
    </row>
    <row r="84" spans="1:35" ht="30" customHeight="1">
      <c r="A84" s="117">
        <v>76</v>
      </c>
      <c r="B84" s="120"/>
      <c r="C84" s="120"/>
      <c r="D84" s="120"/>
      <c r="E84" s="120"/>
      <c r="F84" s="121"/>
      <c r="G84" s="120" t="e">
        <v>#REF!</v>
      </c>
      <c r="H84" s="120" t="e">
        <v>#REF!</v>
      </c>
      <c r="I84" s="120" t="e">
        <v>#REF!</v>
      </c>
      <c r="J84" s="120" t="e">
        <v>#REF!</v>
      </c>
      <c r="K84" s="120" t="e">
        <v>#REF!</v>
      </c>
      <c r="L84" s="120" t="e">
        <v>#REF!</v>
      </c>
      <c r="M84" s="120" t="e">
        <v>#REF!</v>
      </c>
      <c r="N84" s="120" t="e">
        <v>#REF!</v>
      </c>
      <c r="O84" s="120" t="e">
        <v>#REF!</v>
      </c>
      <c r="P84" s="120" t="e">
        <v>#REF!</v>
      </c>
      <c r="Q84" s="120" t="e">
        <v>#REF!</v>
      </c>
      <c r="R84" s="120" t="e">
        <v>#REF!</v>
      </c>
      <c r="S84" s="120" t="e">
        <v>#REF!</v>
      </c>
      <c r="T84" s="120" t="e">
        <v>#REF!</v>
      </c>
      <c r="U84" s="120" t="e">
        <v>#REF!</v>
      </c>
      <c r="V84" s="120" t="e">
        <v>#REF!</v>
      </c>
      <c r="W84" s="120"/>
      <c r="Y84" s="48" t="e">
        <f>VLOOKUP(X84,'Reference Records'!$E$253:$F$420,2,0)</f>
        <v>#N/A</v>
      </c>
      <c r="Z84" s="48" t="e">
        <f>MATCH($Y84,'Reference Records'!$E$507:$E$509,0)+ROW(Population_by_intervention) -1</f>
        <v>#N/A</v>
      </c>
      <c r="AA84" s="48" t="e">
        <f>MATCH($Y84,'Reference Records'!$E$507:$E$509,1)+ROW(Population_by_intervention) -1</f>
        <v>#N/A</v>
      </c>
      <c r="AB84" s="48" t="str">
        <f t="shared" si="2"/>
        <v>|empty|</v>
      </c>
      <c r="AC84" s="48" t="str">
        <f>IF(AB84="","",IFERROR(VLOOKUP(AB84,'Overview - Section A'!AF$124:AG250,2,0),VLOOKUP("|empty|",'Overview - Section A'!AF$124:AG250,2,0)))</f>
        <v>INT-350981</v>
      </c>
      <c r="AD84" s="48">
        <f t="shared" si="3"/>
        <v>2972</v>
      </c>
      <c r="AE84" s="48">
        <f ca="1">AE83+'update Helper'!$T$2</f>
        <v>3571.6956521739012</v>
      </c>
      <c r="AF84" s="48" t="str">
        <f>IFERROR(IF(AB84="","",IFERROR(VLOOKUP(AB84,'Overview - Section A'!AF$124:AO250,10,0),VLOOKUP("|empty|",'Overview - Section A'!AF$124:AO250,10,0))),"")</f>
        <v/>
      </c>
      <c r="AH84" s="310" t="str">
        <f>IFERROR(IF($AC84="","",INDEX('Overview - Section A'!$AB$124:$AB$175,MATCH($AC84,'Overview - Section A'!$AG$124:$AG$175))),"")</f>
        <v>a1MDm000000Xod6MAC</v>
      </c>
      <c r="AI84" s="310" t="str">
        <f>IFERROR(IF('Overview - Section A'!$AN$5="Funding Request",
IF(AND('Reference Records'!$B$427&lt;&gt;"",$F84 ='Reference Records'!$B$427),'Reference Records'!$C$427,""),
INDEX('Reference Records'!$A$498:$C$499,MATCH($F84,'Reference Records'!$A$498:$A$499,0),3)),"")</f>
        <v/>
      </c>
    </row>
    <row r="85" spans="1:35" ht="30" customHeight="1">
      <c r="A85" s="117">
        <v>77</v>
      </c>
      <c r="B85" s="118"/>
      <c r="C85" s="118"/>
      <c r="D85" s="118"/>
      <c r="E85" s="118"/>
      <c r="F85" s="119"/>
      <c r="G85" s="118" t="e">
        <v>#REF!</v>
      </c>
      <c r="H85" s="118" t="e">
        <v>#REF!</v>
      </c>
      <c r="I85" s="118" t="e">
        <v>#REF!</v>
      </c>
      <c r="J85" s="118" t="e">
        <v>#REF!</v>
      </c>
      <c r="K85" s="118" t="e">
        <v>#REF!</v>
      </c>
      <c r="L85" s="118" t="e">
        <v>#REF!</v>
      </c>
      <c r="M85" s="118" t="e">
        <v>#REF!</v>
      </c>
      <c r="N85" s="118" t="e">
        <v>#REF!</v>
      </c>
      <c r="O85" s="118" t="e">
        <v>#REF!</v>
      </c>
      <c r="P85" s="118" t="e">
        <v>#REF!</v>
      </c>
      <c r="Q85" s="118" t="e">
        <v>#REF!</v>
      </c>
      <c r="R85" s="118" t="e">
        <v>#REF!</v>
      </c>
      <c r="S85" s="118" t="e">
        <v>#REF!</v>
      </c>
      <c r="T85" s="118" t="e">
        <v>#REF!</v>
      </c>
      <c r="U85" s="118" t="e">
        <v>#REF!</v>
      </c>
      <c r="V85" s="118" t="e">
        <v>#REF!</v>
      </c>
      <c r="W85" s="118"/>
      <c r="Y85" s="48" t="e">
        <f>VLOOKUP(X85,'Reference Records'!$E$253:$F$420,2,0)</f>
        <v>#N/A</v>
      </c>
      <c r="Z85" s="48" t="e">
        <f>MATCH($Y85,'Reference Records'!$E$507:$E$509,0)+ROW(Population_by_intervention) -1</f>
        <v>#N/A</v>
      </c>
      <c r="AA85" s="48" t="e">
        <f>MATCH($Y85,'Reference Records'!$E$507:$E$509,1)+ROW(Population_by_intervention) -1</f>
        <v>#N/A</v>
      </c>
      <c r="AB85" s="48" t="str">
        <f t="shared" si="2"/>
        <v>|empty|</v>
      </c>
      <c r="AC85" s="48" t="str">
        <f>IF(AB85="","",IFERROR(VLOOKUP(AB85,'Overview - Section A'!AF$124:AG251,2,0),VLOOKUP("|empty|",'Overview - Section A'!AF$124:AG251,2,0)))</f>
        <v>INT-350981</v>
      </c>
      <c r="AD85" s="48">
        <f t="shared" si="3"/>
        <v>2973</v>
      </c>
      <c r="AE85" s="48">
        <f ca="1">AE84+'update Helper'!$T$2</f>
        <v>3578.4782608695532</v>
      </c>
      <c r="AF85" s="48" t="str">
        <f>IFERROR(IF(AB85="","",IFERROR(VLOOKUP(AB85,'Overview - Section A'!AF$124:AO251,10,0),VLOOKUP("|empty|",'Overview - Section A'!AF$124:AO251,10,0))),"")</f>
        <v/>
      </c>
      <c r="AH85" s="310" t="str">
        <f>IFERROR(IF($AC85="","",INDEX('Overview - Section A'!$AB$124:$AB$175,MATCH($AC85,'Overview - Section A'!$AG$124:$AG$175))),"")</f>
        <v>a1MDm000000Xod6MAC</v>
      </c>
      <c r="AI85" s="310" t="str">
        <f>IFERROR(IF('Overview - Section A'!$AN$5="Funding Request",
IF(AND('Reference Records'!$B$427&lt;&gt;"",$F85 ='Reference Records'!$B$427),'Reference Records'!$C$427,""),
INDEX('Reference Records'!$A$498:$C$499,MATCH($F85,'Reference Records'!$A$498:$A$499,0),3)),"")</f>
        <v/>
      </c>
    </row>
    <row r="86" spans="1:35" ht="30" customHeight="1">
      <c r="A86" s="117">
        <v>78</v>
      </c>
      <c r="B86" s="120"/>
      <c r="C86" s="120"/>
      <c r="D86" s="120"/>
      <c r="E86" s="120"/>
      <c r="F86" s="121"/>
      <c r="G86" s="120" t="e">
        <v>#REF!</v>
      </c>
      <c r="H86" s="120" t="e">
        <v>#REF!</v>
      </c>
      <c r="I86" s="120" t="e">
        <v>#REF!</v>
      </c>
      <c r="J86" s="120" t="e">
        <v>#REF!</v>
      </c>
      <c r="K86" s="120" t="e">
        <v>#REF!</v>
      </c>
      <c r="L86" s="120" t="e">
        <v>#REF!</v>
      </c>
      <c r="M86" s="120" t="e">
        <v>#REF!</v>
      </c>
      <c r="N86" s="120" t="e">
        <v>#REF!</v>
      </c>
      <c r="O86" s="120" t="e">
        <v>#REF!</v>
      </c>
      <c r="P86" s="120" t="e">
        <v>#REF!</v>
      </c>
      <c r="Q86" s="120" t="e">
        <v>#REF!</v>
      </c>
      <c r="R86" s="120" t="e">
        <v>#REF!</v>
      </c>
      <c r="S86" s="120" t="e">
        <v>#REF!</v>
      </c>
      <c r="T86" s="120" t="e">
        <v>#REF!</v>
      </c>
      <c r="U86" s="120" t="e">
        <v>#REF!</v>
      </c>
      <c r="V86" s="120" t="e">
        <v>#REF!</v>
      </c>
      <c r="W86" s="120"/>
      <c r="Y86" s="48" t="e">
        <f>VLOOKUP(X86,'Reference Records'!$E$253:$F$420,2,0)</f>
        <v>#N/A</v>
      </c>
      <c r="Z86" s="48" t="e">
        <f>MATCH($Y86,'Reference Records'!$E$507:$E$509,0)+ROW(Population_by_intervention) -1</f>
        <v>#N/A</v>
      </c>
      <c r="AA86" s="48" t="e">
        <f>MATCH($Y86,'Reference Records'!$E$507:$E$509,1)+ROW(Population_by_intervention) -1</f>
        <v>#N/A</v>
      </c>
      <c r="AB86" s="48" t="str">
        <f t="shared" si="2"/>
        <v>|empty|</v>
      </c>
      <c r="AC86" s="48" t="str">
        <f>IF(AB86="","",IFERROR(VLOOKUP(AB86,'Overview - Section A'!AF$124:AG252,2,0),VLOOKUP("|empty|",'Overview - Section A'!AF$124:AG252,2,0)))</f>
        <v>INT-350981</v>
      </c>
      <c r="AD86" s="48">
        <f t="shared" si="3"/>
        <v>2974</v>
      </c>
      <c r="AE86" s="48">
        <f ca="1">AE85+'update Helper'!$T$2</f>
        <v>3585.2608695652052</v>
      </c>
      <c r="AF86" s="48" t="str">
        <f>IFERROR(IF(AB86="","",IFERROR(VLOOKUP(AB86,'Overview - Section A'!AF$124:AO252,10,0),VLOOKUP("|empty|",'Overview - Section A'!AF$124:AO252,10,0))),"")</f>
        <v/>
      </c>
      <c r="AH86" s="310" t="str">
        <f>IFERROR(IF($AC86="","",INDEX('Overview - Section A'!$AB$124:$AB$175,MATCH($AC86,'Overview - Section A'!$AG$124:$AG$175))),"")</f>
        <v>a1MDm000000Xod6MAC</v>
      </c>
      <c r="AI86" s="310" t="str">
        <f>IFERROR(IF('Overview - Section A'!$AN$5="Funding Request",
IF(AND('Reference Records'!$B$427&lt;&gt;"",$F86 ='Reference Records'!$B$427),'Reference Records'!$C$427,""),
INDEX('Reference Records'!$A$498:$C$499,MATCH($F86,'Reference Records'!$A$498:$A$499,0),3)),"")</f>
        <v/>
      </c>
    </row>
    <row r="87" spans="1:35" ht="30" customHeight="1">
      <c r="A87" s="117">
        <v>79</v>
      </c>
      <c r="B87" s="118"/>
      <c r="C87" s="118"/>
      <c r="D87" s="118"/>
      <c r="E87" s="118"/>
      <c r="F87" s="119"/>
      <c r="G87" s="118" t="e">
        <v>#REF!</v>
      </c>
      <c r="H87" s="118" t="e">
        <v>#REF!</v>
      </c>
      <c r="I87" s="118" t="e">
        <v>#REF!</v>
      </c>
      <c r="J87" s="118" t="e">
        <v>#REF!</v>
      </c>
      <c r="K87" s="118" t="e">
        <v>#REF!</v>
      </c>
      <c r="L87" s="118" t="e">
        <v>#REF!</v>
      </c>
      <c r="M87" s="118" t="e">
        <v>#REF!</v>
      </c>
      <c r="N87" s="118" t="e">
        <v>#REF!</v>
      </c>
      <c r="O87" s="118" t="e">
        <v>#REF!</v>
      </c>
      <c r="P87" s="118" t="e">
        <v>#REF!</v>
      </c>
      <c r="Q87" s="118" t="e">
        <v>#REF!</v>
      </c>
      <c r="R87" s="118" t="e">
        <v>#REF!</v>
      </c>
      <c r="S87" s="118" t="e">
        <v>#REF!</v>
      </c>
      <c r="T87" s="118" t="e">
        <v>#REF!</v>
      </c>
      <c r="U87" s="118" t="e">
        <v>#REF!</v>
      </c>
      <c r="V87" s="118" t="e">
        <v>#REF!</v>
      </c>
      <c r="W87" s="118"/>
      <c r="Y87" s="48" t="e">
        <f>VLOOKUP(X87,'Reference Records'!$E$253:$F$420,2,0)</f>
        <v>#N/A</v>
      </c>
      <c r="Z87" s="48" t="e">
        <f>MATCH($Y87,'Reference Records'!$E$507:$E$509,0)+ROW(Population_by_intervention) -1</f>
        <v>#N/A</v>
      </c>
      <c r="AA87" s="48" t="e">
        <f>MATCH($Y87,'Reference Records'!$E$507:$E$509,1)+ROW(Population_by_intervention) -1</f>
        <v>#N/A</v>
      </c>
      <c r="AB87" s="48" t="str">
        <f t="shared" si="2"/>
        <v>|empty|</v>
      </c>
      <c r="AC87" s="48" t="str">
        <f>IF(AB87="","",IFERROR(VLOOKUP(AB87,'Overview - Section A'!AF$124:AG253,2,0),VLOOKUP("|empty|",'Overview - Section A'!AF$124:AG253,2,0)))</f>
        <v>INT-350981</v>
      </c>
      <c r="AD87" s="48">
        <f t="shared" si="3"/>
        <v>2975</v>
      </c>
      <c r="AE87" s="48">
        <f ca="1">AE86+'update Helper'!$T$2</f>
        <v>3592.0434782608572</v>
      </c>
      <c r="AF87" s="48" t="str">
        <f>IFERROR(IF(AB87="","",IFERROR(VLOOKUP(AB87,'Overview - Section A'!AF$124:AO253,10,0),VLOOKUP("|empty|",'Overview - Section A'!AF$124:AO253,10,0))),"")</f>
        <v/>
      </c>
      <c r="AH87" s="310" t="str">
        <f>IFERROR(IF($AC87="","",INDEX('Overview - Section A'!$AB$124:$AB$175,MATCH($AC87,'Overview - Section A'!$AG$124:$AG$175))),"")</f>
        <v>a1MDm000000Xod6MAC</v>
      </c>
      <c r="AI87" s="310" t="str">
        <f>IFERROR(IF('Overview - Section A'!$AN$5="Funding Request",
IF(AND('Reference Records'!$B$427&lt;&gt;"",$F87 ='Reference Records'!$B$427),'Reference Records'!$C$427,""),
INDEX('Reference Records'!$A$498:$C$499,MATCH($F87,'Reference Records'!$A$498:$A$499,0),3)),"")</f>
        <v/>
      </c>
    </row>
    <row r="88" spans="1:35" ht="30" customHeight="1">
      <c r="A88" s="117">
        <v>80</v>
      </c>
      <c r="B88" s="120"/>
      <c r="C88" s="120"/>
      <c r="D88" s="120"/>
      <c r="E88" s="120"/>
      <c r="F88" s="121"/>
      <c r="G88" s="120" t="e">
        <v>#REF!</v>
      </c>
      <c r="H88" s="120" t="e">
        <v>#REF!</v>
      </c>
      <c r="I88" s="120" t="e">
        <v>#REF!</v>
      </c>
      <c r="J88" s="120" t="e">
        <v>#REF!</v>
      </c>
      <c r="K88" s="120" t="e">
        <v>#REF!</v>
      </c>
      <c r="L88" s="120" t="e">
        <v>#REF!</v>
      </c>
      <c r="M88" s="120" t="e">
        <v>#REF!</v>
      </c>
      <c r="N88" s="120" t="e">
        <v>#REF!</v>
      </c>
      <c r="O88" s="120" t="e">
        <v>#REF!</v>
      </c>
      <c r="P88" s="120" t="e">
        <v>#REF!</v>
      </c>
      <c r="Q88" s="120" t="e">
        <v>#REF!</v>
      </c>
      <c r="R88" s="120" t="e">
        <v>#REF!</v>
      </c>
      <c r="S88" s="120" t="e">
        <v>#REF!</v>
      </c>
      <c r="T88" s="120" t="e">
        <v>#REF!</v>
      </c>
      <c r="U88" s="120" t="e">
        <v>#REF!</v>
      </c>
      <c r="V88" s="120" t="e">
        <v>#REF!</v>
      </c>
      <c r="W88" s="120"/>
      <c r="Y88" s="48" t="e">
        <f>VLOOKUP(X88,'Reference Records'!$E$253:$F$420,2,0)</f>
        <v>#N/A</v>
      </c>
      <c r="Z88" s="48" t="e">
        <f>MATCH($Y88,'Reference Records'!$E$507:$E$509,0)+ROW(Population_by_intervention) -1</f>
        <v>#N/A</v>
      </c>
      <c r="AA88" s="48" t="e">
        <f>MATCH($Y88,'Reference Records'!$E$507:$E$509,1)+ROW(Population_by_intervention) -1</f>
        <v>#N/A</v>
      </c>
      <c r="AB88" s="48" t="str">
        <f t="shared" si="2"/>
        <v>|empty|</v>
      </c>
      <c r="AC88" s="48" t="str">
        <f>IF(AB88="","",IFERROR(VLOOKUP(AB88,'Overview - Section A'!AF$124:AG254,2,0),VLOOKUP("|empty|",'Overview - Section A'!AF$124:AG254,2,0)))</f>
        <v>INT-350981</v>
      </c>
      <c r="AD88" s="48">
        <f t="shared" si="3"/>
        <v>2976</v>
      </c>
      <c r="AE88" s="48">
        <f ca="1">AE87+'update Helper'!$T$2</f>
        <v>3598.8260869565092</v>
      </c>
      <c r="AF88" s="48" t="str">
        <f>IFERROR(IF(AB88="","",IFERROR(VLOOKUP(AB88,'Overview - Section A'!AF$124:AO254,10,0),VLOOKUP("|empty|",'Overview - Section A'!AF$124:AO254,10,0))),"")</f>
        <v/>
      </c>
      <c r="AH88" s="310" t="str">
        <f>IFERROR(IF($AC88="","",INDEX('Overview - Section A'!$AB$124:$AB$175,MATCH($AC88,'Overview - Section A'!$AG$124:$AG$175))),"")</f>
        <v>a1MDm000000Xod6MAC</v>
      </c>
      <c r="AI88" s="310" t="str">
        <f>IFERROR(IF('Overview - Section A'!$AN$5="Funding Request",
IF(AND('Reference Records'!$B$427&lt;&gt;"",$F88 ='Reference Records'!$B$427),'Reference Records'!$C$427,""),
INDEX('Reference Records'!$A$498:$C$499,MATCH($F88,'Reference Records'!$A$498:$A$499,0),3)),"")</f>
        <v/>
      </c>
    </row>
  </sheetData>
  <sheetProtection algorithmName="SHA-512" hashValue="+Ept0s3wS1GnbwfxJj1q+Ds9oJzX7aPdJvio0Vx2mO1GTWNIxA4kNC5mqIP3GVB3xq3F/nlZU801mn0S74bFew==" saltValue="dtKwFXOqkYv2qIgrP3ejHg==" spinCount="100000" sheet="1" objects="1" scenarios="1" formatCells="0" formatColumns="0" formatRows="0"/>
  <mergeCells count="9">
    <mergeCell ref="O7:P7"/>
    <mergeCell ref="Q7:R7"/>
    <mergeCell ref="U7:V7"/>
    <mergeCell ref="A1:F2"/>
    <mergeCell ref="G7:H7"/>
    <mergeCell ref="I7:J7"/>
    <mergeCell ref="K7:L7"/>
    <mergeCell ref="M7:N7"/>
    <mergeCell ref="S7:T7"/>
  </mergeCells>
  <dataValidations count="3">
    <dataValidation type="list" allowBlank="1" showInputMessage="1" showErrorMessage="1" error="Invalid entry. Select from dropdown list." sqref="B9:B88" xr:uid="{00000000-0002-0000-0B00-000000000000}">
      <formula1>WPTM_Modules</formula1>
    </dataValidation>
    <dataValidation type="list" allowBlank="1" showInputMessage="1" showErrorMessage="1" error="Invalid entry. Select from dropdown list." sqref="E9:E88" xr:uid="{00000000-0002-0000-0B00-000001000000}">
      <formula1>MergedAndDistinctPR</formula1>
    </dataValidation>
    <dataValidation type="list" allowBlank="1" showInputMessage="1" showErrorMessage="1" error="Invalid entry. Select from dropdown list." sqref="F9:F88" xr:uid="{00000000-0002-0000-0B00-000002000000}">
      <formula1>Country</formula1>
    </dataValidation>
  </dataValidations>
  <hyperlinks>
    <hyperlink ref="B5" location="'Print - WPTM'!A1" display="Instructions" xr:uid="{00000000-0004-0000-0B00-000000000000}"/>
    <hyperlink ref="C5" location="'Print - WPTM'!A1" display="Print View" xr:uid="{3F41250F-9B90-4800-9A50-59708BCFA386}"/>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error="Invalid entry. Select from dropdown list." xr:uid="{00000000-0002-0000-0B00-000003000000}">
          <x14:formula1>
            <xm:f>OFFSET(Setup!$P$2,MATCH($B9,Setup!$O$2:$O$50,0)-1,1,COUNTIF(Setup!$O$2:$O$50,$B9),1)</xm:f>
          </x14:formula1>
          <xm:sqref>C9:C88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C2DA7-DD95-49D2-9FA0-F00B1C3D79CF}">
  <sheetPr codeName="Sheet4"/>
  <dimension ref="A1"/>
  <sheetViews>
    <sheetView workbookViewId="0"/>
  </sheetViews>
  <sheetFormatPr defaultColWidth="8.625" defaultRowHeight="14.25"/>
  <cols>
    <col min="1" max="16384" width="8.625" style="48"/>
  </cols>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1A65E-DB22-4204-A13E-8AABAB32D243}">
  <sheetPr codeName="Sheet5">
    <pageSetUpPr fitToPage="1"/>
  </sheetPr>
  <dimension ref="A1:H17"/>
  <sheetViews>
    <sheetView view="pageBreakPreview" zoomScale="70" zoomScaleNormal="100" zoomScaleSheetLayoutView="70" workbookViewId="0">
      <selection activeCell="E2" sqref="E2"/>
    </sheetView>
  </sheetViews>
  <sheetFormatPr defaultColWidth="21.875" defaultRowHeight="18.75" customHeight="1"/>
  <cols>
    <col min="1" max="1" width="3.125" style="48" customWidth="1"/>
    <col min="2" max="7" width="21.875" style="48"/>
    <col min="8" max="8" width="10" style="48" hidden="1" customWidth="1"/>
    <col min="9" max="16384" width="21.875" style="48"/>
  </cols>
  <sheetData>
    <row r="1" spans="1:8" ht="18.75" customHeight="1">
      <c r="A1" s="590" t="s">
        <v>5039</v>
      </c>
      <c r="B1" s="591"/>
      <c r="C1" s="591"/>
      <c r="D1" s="591"/>
      <c r="E1" s="591"/>
      <c r="F1" s="591"/>
      <c r="G1" s="592"/>
    </row>
    <row r="2" spans="1:8" ht="18.75" customHeight="1">
      <c r="A2" s="671"/>
      <c r="B2" s="671"/>
      <c r="C2" s="58"/>
      <c r="D2" s="58"/>
      <c r="E2" s="58"/>
      <c r="F2" s="58"/>
      <c r="G2" s="58"/>
    </row>
    <row r="3" spans="1:8" ht="18.75" customHeight="1">
      <c r="A3" s="590" t="s">
        <v>89</v>
      </c>
      <c r="B3" s="592"/>
      <c r="C3" s="593" t="s">
        <v>5040</v>
      </c>
      <c r="D3" s="594"/>
      <c r="E3" s="58"/>
      <c r="F3" s="58"/>
      <c r="G3" s="58"/>
    </row>
    <row r="4" spans="1:8" ht="18.75" customHeight="1">
      <c r="A4" s="672"/>
      <c r="B4" s="672"/>
      <c r="C4" s="58"/>
      <c r="D4" s="58"/>
      <c r="E4" s="58"/>
      <c r="F4" s="59" t="s">
        <v>5041</v>
      </c>
      <c r="G4" s="59" t="s">
        <v>5042</v>
      </c>
    </row>
    <row r="5" spans="1:8" ht="18.75" customHeight="1">
      <c r="A5" s="58"/>
      <c r="B5" s="590" t="s">
        <v>5043</v>
      </c>
      <c r="C5" s="591"/>
      <c r="D5" s="592"/>
      <c r="E5" s="58"/>
      <c r="F5" s="59" t="s">
        <v>5044</v>
      </c>
      <c r="G5" s="59"/>
    </row>
    <row r="6" spans="1:8" ht="18.75" customHeight="1">
      <c r="A6" s="58"/>
      <c r="B6" s="595" t="str">
        <f>IF('Overview - Section A'!E5 &lt;&gt; "", 'Overview - Section A'!E5, "")</f>
        <v>Congo (Democratic Republic)</v>
      </c>
      <c r="C6" s="596"/>
      <c r="D6" s="597"/>
      <c r="E6" s="58"/>
      <c r="F6" s="60">
        <f>IF('Overview - Section A'!E7 &lt;&gt; "", 'Overview - Section A'!E7, "")</f>
        <v>45292</v>
      </c>
      <c r="G6" s="60">
        <f>IF('Overview - Section A'!E8 &lt;&gt; "", 'Overview - Section A'!E8, "")</f>
        <v>46387</v>
      </c>
    </row>
    <row r="7" spans="1:8" ht="18.75" customHeight="1">
      <c r="A7" s="58"/>
      <c r="B7" s="590" t="s">
        <v>5045</v>
      </c>
      <c r="C7" s="591"/>
      <c r="D7" s="592"/>
      <c r="E7" s="58"/>
      <c r="F7" s="59" t="s">
        <v>5046</v>
      </c>
      <c r="G7" s="59"/>
    </row>
    <row r="8" spans="1:8" ht="18.75" customHeight="1">
      <c r="A8" s="58"/>
      <c r="B8" s="595" t="str">
        <f>IF('Overview - Section A'!E6 &lt;&gt; "", 'Overview - Section A'!E6, "")</f>
        <v>FR1493-COD-C</v>
      </c>
      <c r="C8" s="596"/>
      <c r="D8" s="597"/>
      <c r="E8" s="58"/>
      <c r="F8" s="60">
        <f>IF('Overview - Section A'!E10&lt;&gt;"",'Overview - Section A'!E10,"")</f>
        <v>45292</v>
      </c>
      <c r="G8" s="60">
        <f>IF('Overview - Section A'!E11&lt;&gt;"",'Overview - Section A'!E11,"")</f>
        <v>46387</v>
      </c>
    </row>
    <row r="9" spans="1:8" ht="18.75" customHeight="1">
      <c r="A9" s="58"/>
      <c r="B9" s="590" t="s">
        <v>43</v>
      </c>
      <c r="C9" s="591"/>
      <c r="D9" s="592"/>
      <c r="E9" s="58"/>
      <c r="F9" s="59" t="s">
        <v>5047</v>
      </c>
      <c r="G9" s="59"/>
    </row>
    <row r="10" spans="1:8" ht="18.75" customHeight="1">
      <c r="A10" s="58"/>
      <c r="B10" s="595">
        <f>IF('Overview - Section A'!E9 &lt;&gt; "", 'Overview - Section A'!E9, "")</f>
        <v>6</v>
      </c>
      <c r="C10" s="596"/>
      <c r="D10" s="597"/>
      <c r="E10" s="58"/>
      <c r="F10" s="60">
        <f ca="1">IFERROR(IF(INDEX('Overview - Section A'!A$46:A$54,MATCH($H10,'Overview - Section A'!$B$46:$B$54,0))&lt;&gt;0,(INDEX('Overview - Section A'!A$46:A$54,MATCH($H10,'Overview - Section A'!$B$46:$B$54,0))),""),"")</f>
        <v>45292</v>
      </c>
      <c r="G10" s="60">
        <f ca="1">IFERROR(IF(INDEX('Overview - Section A'!E$46:E$54,MATCH($H10,'Overview - Section A'!$B$46:$B$54,0))&lt;&gt;0,(INDEX('Overview - Section A'!E$46:E$54,MATCH($H10,'Overview - Section A'!$B$46:$B$54,0))),""),"")</f>
        <v>45473</v>
      </c>
      <c r="H10" s="48">
        <v>2</v>
      </c>
    </row>
    <row r="11" spans="1:8" ht="18.75" customHeight="1">
      <c r="A11" s="58"/>
      <c r="B11" s="590" t="s">
        <v>317</v>
      </c>
      <c r="C11" s="591"/>
      <c r="D11" s="592"/>
      <c r="E11" s="58"/>
      <c r="F11" s="60">
        <f ca="1">IFERROR(IF(INDEX('Overview - Section A'!A$46:A$54,MATCH($H11,'Overview - Section A'!$B$46:$B$54,0))&lt;&gt;0,(INDEX('Overview - Section A'!A$46:A$54,MATCH($H11,'Overview - Section A'!$B$46:$B$54,0))),""),"")</f>
        <v>45474</v>
      </c>
      <c r="G11" s="60">
        <f ca="1">IFERROR(IF(INDEX('Overview - Section A'!E$46:E$54,MATCH($H11,'Overview - Section A'!$B$46:$B$54,0))&lt;&gt;0,(INDEX('Overview - Section A'!E$46:E$54,MATCH($H11,'Overview - Section A'!$B$46:$B$54,0))),""),"")</f>
        <v>45657</v>
      </c>
      <c r="H11" s="48">
        <v>3</v>
      </c>
    </row>
    <row r="12" spans="1:8" ht="18.75" customHeight="1">
      <c r="A12" s="58"/>
      <c r="B12" s="595" t="str">
        <f ca="1">Setup!I15</f>
        <v>PR 2</v>
      </c>
      <c r="C12" s="596"/>
      <c r="D12" s="597"/>
      <c r="E12" s="58"/>
      <c r="F12" s="60">
        <f ca="1">IFERROR(IF(INDEX('Overview - Section A'!A$46:A$54,MATCH($H12,'Overview - Section A'!$B$46:$B$54,0))&lt;&gt;0,(INDEX('Overview - Section A'!A$46:A$54,MATCH($H12,'Overview - Section A'!$B$46:$B$54,0))),""),"")</f>
        <v>45658</v>
      </c>
      <c r="G12" s="60">
        <f ca="1">IFERROR(IF(INDEX('Overview - Section A'!E$46:E$54,MATCH($H12,'Overview - Section A'!$B$46:$B$54,0))&lt;&gt;0,(INDEX('Overview - Section A'!E$46:E$54,MATCH($H12,'Overview - Section A'!$B$46:$B$54,0))),""),"")</f>
        <v>45838</v>
      </c>
      <c r="H12" s="48">
        <v>4</v>
      </c>
    </row>
    <row r="13" spans="1:8" ht="18.75" customHeight="1">
      <c r="A13" s="58"/>
      <c r="B13" s="595" t="str">
        <f ca="1">Setup!I16</f>
        <v>Ministry of Public Health, Hygiene and Prevention</v>
      </c>
      <c r="C13" s="596"/>
      <c r="D13" s="597"/>
      <c r="E13" s="58"/>
      <c r="F13" s="60">
        <f ca="1">IFERROR(IF(INDEX('Overview - Section A'!A$46:A$54,MATCH($H13,'Overview - Section A'!$B$46:$B$54,0))&lt;&gt;0,(INDEX('Overview - Section A'!A$46:A$54,MATCH($H13,'Overview - Section A'!$B$46:$B$54,0))),""),"")</f>
        <v>45839</v>
      </c>
      <c r="G13" s="60">
        <f ca="1">IFERROR(IF(INDEX('Overview - Section A'!E$46:E$54,MATCH($H13,'Overview - Section A'!$B$46:$B$54,0))&lt;&gt;0,(INDEX('Overview - Section A'!E$46:E$54,MATCH($H13,'Overview - Section A'!$B$46:$B$54,0))),""),"")</f>
        <v>46022</v>
      </c>
      <c r="H13" s="48">
        <v>5</v>
      </c>
    </row>
    <row r="14" spans="1:8" ht="18.75" customHeight="1">
      <c r="A14" s="58"/>
      <c r="B14" s="595" t="str">
        <f ca="1">Setup!I17</f>
        <v/>
      </c>
      <c r="C14" s="596"/>
      <c r="D14" s="597"/>
      <c r="E14" s="58"/>
      <c r="F14" s="60">
        <f ca="1">IFERROR(IF(INDEX('Overview - Section A'!A$46:A$54,MATCH($H14,'Overview - Section A'!$B$46:$B$54,0))&lt;&gt;0,(INDEX('Overview - Section A'!A$46:A$54,MATCH($H14,'Overview - Section A'!$B$46:$B$54,0))),""),"")</f>
        <v>46023</v>
      </c>
      <c r="G14" s="60">
        <f ca="1">IFERROR(IF(INDEX('Overview - Section A'!E$46:E$54,MATCH($H14,'Overview - Section A'!$B$46:$B$54,0))&lt;&gt;0,(INDEX('Overview - Section A'!E$46:E$54,MATCH($H14,'Overview - Section A'!$B$46:$B$54,0))),""),"")</f>
        <v>46203</v>
      </c>
      <c r="H14" s="48">
        <v>6</v>
      </c>
    </row>
    <row r="15" spans="1:8" ht="18.75" customHeight="1">
      <c r="A15" s="58"/>
      <c r="B15" s="595" t="str">
        <f ca="1">Setup!I18</f>
        <v/>
      </c>
      <c r="C15" s="596"/>
      <c r="D15" s="597"/>
      <c r="E15" s="58"/>
      <c r="F15" s="60">
        <f ca="1">IFERROR(IF(INDEX('Overview - Section A'!A$46:A$54,MATCH($H15,'Overview - Section A'!$B$46:$B$54,0))&lt;&gt;0,(INDEX('Overview - Section A'!A$46:A$54,MATCH($H15,'Overview - Section A'!$B$46:$B$54,0))),""),"")</f>
        <v>46204</v>
      </c>
      <c r="G15" s="60">
        <f ca="1">IFERROR(IF(INDEX('Overview - Section A'!E$46:E$54,MATCH($H15,'Overview - Section A'!$B$46:$B$54,0))&lt;&gt;0,(INDEX('Overview - Section A'!E$46:E$54,MATCH($H15,'Overview - Section A'!$B$46:$B$54,0))),""),"")</f>
        <v>46387</v>
      </c>
      <c r="H15" s="48">
        <v>7</v>
      </c>
    </row>
    <row r="16" spans="1:8" ht="18.75" customHeight="1">
      <c r="A16" s="58"/>
      <c r="B16" s="595" t="str">
        <f ca="1">Setup!I19</f>
        <v/>
      </c>
      <c r="C16" s="596"/>
      <c r="D16" s="597"/>
      <c r="E16" s="58"/>
      <c r="F16" s="60" t="str">
        <f ca="1">IFERROR(IF(INDEX('Overview - Section A'!A$46:A$54,MATCH($H16,'Overview - Section A'!$B$46:$B$54,0))&lt;&gt;0,(INDEX('Overview - Section A'!A$46:A$54,MATCH($H16,'Overview - Section A'!$B$46:$B$54,0))),""),"")</f>
        <v/>
      </c>
      <c r="G16" s="60" t="str">
        <f ca="1">IFERROR(IF(INDEX('Overview - Section A'!E$46:E$54,MATCH($H16,'Overview - Section A'!$B$46:$B$54,0))&lt;&gt;0,(INDEX('Overview - Section A'!E$46:E$54,MATCH($H16,'Overview - Section A'!$B$46:$B$54,0))),""),"")</f>
        <v/>
      </c>
      <c r="H16" s="48">
        <v>8</v>
      </c>
    </row>
    <row r="17" spans="1:8" ht="18.75" customHeight="1">
      <c r="A17" s="58"/>
      <c r="B17" s="595" t="str">
        <f ca="1">Setup!I20</f>
        <v/>
      </c>
      <c r="C17" s="596"/>
      <c r="D17" s="597"/>
      <c r="E17" s="58"/>
      <c r="F17" s="60" t="str">
        <f ca="1">IFERROR(IF(INDEX('Overview - Section A'!A$46:A$54,MATCH($H17,'Overview - Section A'!$B$46:$B$54,0))&lt;&gt;0,(INDEX('Overview - Section A'!A$46:A$54,MATCH($H17,'Overview - Section A'!$B$46:$B$54,0))),""),"")</f>
        <v/>
      </c>
      <c r="G17" s="60" t="str">
        <f ca="1">IFERROR(IF(INDEX('Overview - Section A'!E$46:E$54,MATCH($H17,'Overview - Section A'!$B$46:$B$54,0))&lt;&gt;0,(INDEX('Overview - Section A'!E$46:E$54,MATCH($H17,'Overview - Section A'!$B$46:$B$54,0))),""),"")</f>
        <v/>
      </c>
      <c r="H17" s="48">
        <v>9</v>
      </c>
    </row>
  </sheetData>
  <sheetProtection algorithmName="SHA-512" hashValue="d/0KLQcxhsxQEv3paGfFO5l8lceL+DSMfDqyCy9XxX6pA2bT8GkbI9mRxAS38FeCeKIcbk9d5Io/waO0/e6spA==" saltValue="AcbujCBvp0Gfi0i8lLdiKA==" spinCount="100000" sheet="1" objects="1" scenarios="1"/>
  <mergeCells count="18">
    <mergeCell ref="B14:D14"/>
    <mergeCell ref="B15:D15"/>
    <mergeCell ref="A1:G1"/>
    <mergeCell ref="A3:B3"/>
    <mergeCell ref="C3:D3"/>
    <mergeCell ref="B17:D17"/>
    <mergeCell ref="A2:B2"/>
    <mergeCell ref="A4:B4"/>
    <mergeCell ref="B9:D9"/>
    <mergeCell ref="B10:D10"/>
    <mergeCell ref="B16:D16"/>
    <mergeCell ref="B5:D5"/>
    <mergeCell ref="B6:D6"/>
    <mergeCell ref="B7:D7"/>
    <mergeCell ref="B8:D8"/>
    <mergeCell ref="B11:D11"/>
    <mergeCell ref="B12:D12"/>
    <mergeCell ref="B13:D13"/>
  </mergeCells>
  <conditionalFormatting sqref="F10:G10">
    <cfRule type="expression" dxfId="14" priority="15">
      <formula>$F$10&gt;$G$6</formula>
    </cfRule>
  </conditionalFormatting>
  <conditionalFormatting sqref="G10">
    <cfRule type="expression" dxfId="13" priority="14">
      <formula>$G$10&gt;$G$6</formula>
    </cfRule>
  </conditionalFormatting>
  <conditionalFormatting sqref="F11:G11">
    <cfRule type="expression" dxfId="12" priority="13">
      <formula>$F$11&gt;$G$6</formula>
    </cfRule>
  </conditionalFormatting>
  <conditionalFormatting sqref="G11">
    <cfRule type="expression" dxfId="11" priority="12">
      <formula>$G$11&gt;$G$6</formula>
    </cfRule>
  </conditionalFormatting>
  <conditionalFormatting sqref="F12:G12">
    <cfRule type="expression" dxfId="10" priority="11">
      <formula>$F$12&gt;$G$6</formula>
    </cfRule>
  </conditionalFormatting>
  <conditionalFormatting sqref="G12">
    <cfRule type="expression" dxfId="9" priority="10">
      <formula>$G$12&gt;$G$6</formula>
    </cfRule>
  </conditionalFormatting>
  <conditionalFormatting sqref="F13:G13">
    <cfRule type="expression" dxfId="8" priority="9">
      <formula>$F$13&gt;$G$6</formula>
    </cfRule>
  </conditionalFormatting>
  <conditionalFormatting sqref="F14:G14">
    <cfRule type="expression" dxfId="7" priority="8">
      <formula>$F$14&gt;$G$6</formula>
    </cfRule>
  </conditionalFormatting>
  <conditionalFormatting sqref="G14">
    <cfRule type="expression" dxfId="6" priority="7">
      <formula>$G$14&gt;$G$6</formula>
    </cfRule>
  </conditionalFormatting>
  <conditionalFormatting sqref="F15:G15">
    <cfRule type="expression" dxfId="5" priority="6">
      <formula>$F$15&gt;$G$6</formula>
    </cfRule>
  </conditionalFormatting>
  <conditionalFormatting sqref="G15">
    <cfRule type="expression" dxfId="4" priority="5">
      <formula>$G$15&gt;$G$6</formula>
    </cfRule>
  </conditionalFormatting>
  <conditionalFormatting sqref="F16:G16">
    <cfRule type="expression" dxfId="3" priority="4">
      <formula>$F$16&gt;$G$6</formula>
    </cfRule>
  </conditionalFormatting>
  <conditionalFormatting sqref="G16">
    <cfRule type="expression" dxfId="2" priority="3">
      <formula>$G$16&gt;$G$6</formula>
    </cfRule>
  </conditionalFormatting>
  <conditionalFormatting sqref="F17:G17">
    <cfRule type="expression" dxfId="1" priority="2">
      <formula>$F$17&gt;$G$6</formula>
    </cfRule>
  </conditionalFormatting>
  <conditionalFormatting sqref="G17">
    <cfRule type="expression" dxfId="0" priority="1">
      <formula>$G$17&gt;$G$6</formula>
    </cfRule>
  </conditionalFormatting>
  <hyperlinks>
    <hyperlink ref="C3" r:id="rId1" display="http://example.com/" xr:uid="{3B987439-87D5-4900-AB19-1D5600ADF776}"/>
    <hyperlink ref="C3:D3" location="SectionATab" display="Overview" xr:uid="{C3A70D5A-FBB1-4337-BBE6-042039E48A9B}"/>
  </hyperlinks>
  <pageMargins left="0.7" right="0.7" top="0.75" bottom="0.75" header="0.3" footer="0.3"/>
  <pageSetup paperSize="9" scale="90" orientation="landscape"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9EBDC-1E9C-4CDA-A388-17781B4872D4}">
  <sheetPr codeName="Sheet6">
    <pageSetUpPr fitToPage="1"/>
  </sheetPr>
  <dimension ref="A1:G424"/>
  <sheetViews>
    <sheetView view="pageBreakPreview" zoomScale="70" zoomScaleNormal="100" zoomScaleSheetLayoutView="70" workbookViewId="0">
      <selection activeCell="E55" sqref="E55:G56"/>
    </sheetView>
  </sheetViews>
  <sheetFormatPr defaultColWidth="9" defaultRowHeight="18.75" customHeight="1"/>
  <cols>
    <col min="1" max="1" width="3.125" style="48" customWidth="1"/>
    <col min="2" max="7" width="21.875" style="48" customWidth="1"/>
    <col min="8" max="16384" width="9" style="48"/>
  </cols>
  <sheetData>
    <row r="1" spans="1:7" ht="18.75" customHeight="1">
      <c r="A1" s="590" t="s">
        <v>305</v>
      </c>
      <c r="B1" s="591"/>
      <c r="C1" s="591"/>
      <c r="D1" s="591"/>
      <c r="E1" s="591"/>
      <c r="F1" s="591"/>
      <c r="G1" s="591"/>
    </row>
    <row r="2" spans="1:7" ht="18.75" customHeight="1">
      <c r="A2" s="61"/>
      <c r="B2" s="62"/>
      <c r="C2" s="62"/>
      <c r="D2" s="62"/>
      <c r="E2" s="62"/>
      <c r="F2" s="62"/>
      <c r="G2" s="63"/>
    </row>
    <row r="3" spans="1:7" ht="18.75" customHeight="1">
      <c r="A3" s="598" t="s">
        <v>89</v>
      </c>
      <c r="B3" s="599"/>
      <c r="C3" s="600" t="s">
        <v>5048</v>
      </c>
      <c r="D3" s="601"/>
      <c r="E3" s="64"/>
      <c r="F3" s="63"/>
      <c r="G3" s="65"/>
    </row>
    <row r="4" spans="1:7" ht="18.75" customHeight="1">
      <c r="A4" s="66"/>
      <c r="B4" s="67"/>
      <c r="C4" s="62"/>
      <c r="D4" s="62"/>
      <c r="E4" s="62"/>
      <c r="F4" s="62"/>
      <c r="G4" s="68"/>
    </row>
    <row r="5" spans="1:7" ht="18.75" customHeight="1">
      <c r="A5" s="59" t="s">
        <v>5049</v>
      </c>
      <c r="B5" s="590" t="s">
        <v>5050</v>
      </c>
      <c r="C5" s="591"/>
      <c r="D5" s="591"/>
      <c r="E5" s="591"/>
      <c r="F5" s="591"/>
      <c r="G5" s="592"/>
    </row>
    <row r="6" spans="1:7" ht="18.75" customHeight="1">
      <c r="A6" s="59">
        <v>1</v>
      </c>
      <c r="B6" s="602" t="str">
        <f>IFERROR(IF(INDEX('Overview - Section A'!$E$59:$E$73,MATCH($A6,'Overview - Section A'!$A$59:$A$73,0))&lt;&gt;0,INDEX('Overview - Section A'!$E$59:$E$73,MATCH($A6,'Overview - Section A'!$A$59:$A$73,0)),""),"")</f>
        <v>Contribuer à l'accéleration du progres vers la fin de l'épidemie de la TB en RDC / Contribute to accelerating progress towards the end of the TB epidemic in DRC</v>
      </c>
      <c r="C6" s="603"/>
      <c r="D6" s="603"/>
      <c r="E6" s="603"/>
      <c r="F6" s="603"/>
      <c r="G6" s="604"/>
    </row>
    <row r="7" spans="1:7" ht="18.75" customHeight="1">
      <c r="A7" s="59">
        <v>2</v>
      </c>
      <c r="B7" s="602" t="str">
        <f>IFERROR(IF(INDEX('Overview - Section A'!$E$59:$E$73,MATCH($A7,'Overview - Section A'!$A$59:$A$73,0))&lt;&gt;0,INDEX('Overview - Section A'!$E$59:$E$73,MATCH($A7,'Overview - Section A'!$A$59:$A$73,0)),""),"")</f>
        <v>Faire de la RDC un pays avec « ZERO nouvelle infection, ZERO décès lié au VIH/Sida et ZERO discrimination et stigmatisation » dans la perspective qu’en RDC, le VIH ne soit plus un problème de santé Publique à l’horizon 2030. / To make the DRC a country with "ZERO new infections, ZERO HIV/AIDS-related deaths, and ZERO discrimination and stigmatization" so that by 2030, HIV will no longer be a public health problem in the DRC.</v>
      </c>
      <c r="C7" s="603"/>
      <c r="D7" s="603"/>
      <c r="E7" s="603"/>
      <c r="F7" s="603"/>
      <c r="G7" s="604"/>
    </row>
    <row r="8" spans="1:7" ht="18.75" customHeight="1">
      <c r="A8" s="59">
        <v>3</v>
      </c>
      <c r="B8" s="602" t="str">
        <f>IFERROR(IF(INDEX('Overview - Section A'!$E$59:$E$73,MATCH($A8,'Overview - Section A'!$A$59:$A$73,0))&lt;&gt;0,INDEX('Overview - Section A'!$E$59:$E$73,MATCH($A8,'Overview - Section A'!$A$59:$A$73,0)),""),"")</f>
        <v/>
      </c>
      <c r="C8" s="603"/>
      <c r="D8" s="603"/>
      <c r="E8" s="603"/>
      <c r="F8" s="603"/>
      <c r="G8" s="604"/>
    </row>
    <row r="9" spans="1:7" ht="18.75" customHeight="1">
      <c r="A9" s="59">
        <v>4</v>
      </c>
      <c r="B9" s="602" t="str">
        <f>IFERROR(IF(INDEX('Overview - Section A'!$E$59:$E$73,MATCH($A9,'Overview - Section A'!$A$59:$A$73,0))&lt;&gt;0,INDEX('Overview - Section A'!$E$59:$E$73,MATCH($A9,'Overview - Section A'!$A$59:$A$73,0)),""),"")</f>
        <v/>
      </c>
      <c r="C9" s="603"/>
      <c r="D9" s="603"/>
      <c r="E9" s="603"/>
      <c r="F9" s="603"/>
      <c r="G9" s="604"/>
    </row>
    <row r="10" spans="1:7" ht="18.75" customHeight="1">
      <c r="A10" s="59">
        <v>5</v>
      </c>
      <c r="B10" s="602" t="str">
        <f>IFERROR(IF(INDEX('Overview - Section A'!$E$59:$E$73,MATCH($A10,'Overview - Section A'!$A$59:$A$73,0))&lt;&gt;0,INDEX('Overview - Section A'!$E$59:$E$73,MATCH($A10,'Overview - Section A'!$A$59:$A$73,0)),""),"")</f>
        <v/>
      </c>
      <c r="C10" s="603"/>
      <c r="D10" s="603"/>
      <c r="E10" s="603"/>
      <c r="F10" s="603"/>
      <c r="G10" s="604"/>
    </row>
    <row r="11" spans="1:7" ht="18.75" customHeight="1">
      <c r="A11" s="59">
        <v>6</v>
      </c>
      <c r="B11" s="602" t="str">
        <f>IFERROR(IF(INDEX('Overview - Section A'!$E$59:$E$73,MATCH($A11,'Overview - Section A'!$A$59:$A$73,0))&lt;&gt;0,INDEX('Overview - Section A'!$E$59:$E$73,MATCH($A11,'Overview - Section A'!$A$59:$A$73,0)),""),"")</f>
        <v/>
      </c>
      <c r="C11" s="603"/>
      <c r="D11" s="603"/>
      <c r="E11" s="603"/>
      <c r="F11" s="603"/>
      <c r="G11" s="604"/>
    </row>
    <row r="12" spans="1:7" ht="18.75" customHeight="1">
      <c r="A12" s="59">
        <v>7</v>
      </c>
      <c r="B12" s="602" t="str">
        <f>IFERROR(IF(INDEX('Overview - Section A'!$E$59:$E$73,MATCH($A12,'Overview - Section A'!$A$59:$A$73,0))&lt;&gt;0,INDEX('Overview - Section A'!$E$59:$E$73,MATCH($A12,'Overview - Section A'!$A$59:$A$73,0)),""),"")</f>
        <v/>
      </c>
      <c r="C12" s="603"/>
      <c r="D12" s="603"/>
      <c r="E12" s="603"/>
      <c r="F12" s="603"/>
      <c r="G12" s="604"/>
    </row>
    <row r="13" spans="1:7" ht="18.75" customHeight="1">
      <c r="A13" s="59">
        <v>8</v>
      </c>
      <c r="B13" s="602" t="str">
        <f>IFERROR(IF(INDEX('Overview - Section A'!$E$59:$E$73,MATCH($A13,'Overview - Section A'!$A$59:$A$73,0))&lt;&gt;0,INDEX('Overview - Section A'!$E$59:$E$73,MATCH($A13,'Overview - Section A'!$A$59:$A$73,0)),""),"")</f>
        <v/>
      </c>
      <c r="C13" s="603"/>
      <c r="D13" s="603"/>
      <c r="E13" s="603"/>
      <c r="F13" s="603"/>
      <c r="G13" s="604"/>
    </row>
    <row r="14" spans="1:7" ht="18.75" customHeight="1">
      <c r="A14" s="59">
        <v>9</v>
      </c>
      <c r="B14" s="602" t="str">
        <f>IFERROR(IF(INDEX('Overview - Section A'!$E$59:$E$73,MATCH($A14,'Overview - Section A'!$A$59:$A$73,0))&lt;&gt;0,INDEX('Overview - Section A'!$E$59:$E$73,MATCH($A14,'Overview - Section A'!$A$59:$A$73,0)),""),"")</f>
        <v/>
      </c>
      <c r="C14" s="603"/>
      <c r="D14" s="603"/>
      <c r="E14" s="603"/>
      <c r="F14" s="603"/>
      <c r="G14" s="604"/>
    </row>
    <row r="15" spans="1:7" ht="18.75" customHeight="1">
      <c r="A15" s="59">
        <v>10</v>
      </c>
      <c r="B15" s="602" t="str">
        <f>IFERROR(IF(INDEX('Overview - Section A'!$E$59:$E$73,MATCH($A15,'Overview - Section A'!$A$59:$A$73,0))&lt;&gt;0,INDEX('Overview - Section A'!$E$59:$E$73,MATCH($A15,'Overview - Section A'!$A$59:$A$73,0)),""),"")</f>
        <v/>
      </c>
      <c r="C15" s="603"/>
      <c r="D15" s="603"/>
      <c r="E15" s="603"/>
      <c r="F15" s="603"/>
      <c r="G15" s="604"/>
    </row>
    <row r="16" spans="1:7" ht="18.75" customHeight="1">
      <c r="A16" s="59">
        <v>11</v>
      </c>
      <c r="B16" s="602" t="str">
        <f>IFERROR(IF(INDEX('Overview - Section A'!$E$59:$E$73,MATCH($A16,'Overview - Section A'!$A$59:$A$73,0))&lt;&gt;0,INDEX('Overview - Section A'!$E$59:$E$73,MATCH($A16,'Overview - Section A'!$A$59:$A$73,0)),""),"")</f>
        <v/>
      </c>
      <c r="C16" s="603"/>
      <c r="D16" s="603"/>
      <c r="E16" s="603"/>
      <c r="F16" s="603"/>
      <c r="G16" s="604"/>
    </row>
    <row r="17" spans="1:7" ht="18.75" customHeight="1">
      <c r="A17" s="59">
        <v>12</v>
      </c>
      <c r="B17" s="602" t="str">
        <f>IFERROR(IF(INDEX('Overview - Section A'!$E$59:$E$73,MATCH($A17,'Overview - Section A'!$A$59:$A$73,0))&lt;&gt;0,INDEX('Overview - Section A'!$E$59:$E$73,MATCH($A17,'Overview - Section A'!$A$59:$A$73,0)),""),"")</f>
        <v/>
      </c>
      <c r="C17" s="603"/>
      <c r="D17" s="603"/>
      <c r="E17" s="603"/>
      <c r="F17" s="603"/>
      <c r="G17" s="604"/>
    </row>
    <row r="18" spans="1:7" ht="18.75" customHeight="1">
      <c r="A18" s="69"/>
      <c r="B18" s="70"/>
      <c r="C18" s="70"/>
      <c r="D18" s="70"/>
      <c r="E18" s="70"/>
      <c r="F18" s="70"/>
      <c r="G18" s="71"/>
    </row>
    <row r="19" spans="1:7" ht="18.75" customHeight="1">
      <c r="A19" s="590" t="s">
        <v>5048</v>
      </c>
      <c r="B19" s="591"/>
      <c r="C19" s="591"/>
      <c r="D19" s="591"/>
      <c r="E19" s="591"/>
      <c r="F19" s="591"/>
      <c r="G19" s="605"/>
    </row>
    <row r="20" spans="1:7" ht="18.75" customHeight="1">
      <c r="A20" s="61"/>
      <c r="B20" s="62"/>
      <c r="C20" s="62"/>
      <c r="D20" s="62"/>
      <c r="E20" s="62"/>
      <c r="F20" s="62"/>
      <c r="G20" s="72"/>
    </row>
    <row r="21" spans="1:7" ht="18.75" customHeight="1">
      <c r="A21" s="73" t="s">
        <v>5051</v>
      </c>
      <c r="B21" s="590" t="s">
        <v>765</v>
      </c>
      <c r="C21" s="591"/>
      <c r="D21" s="592"/>
      <c r="E21" s="590" t="s">
        <v>766</v>
      </c>
      <c r="F21" s="591"/>
      <c r="G21" s="592"/>
    </row>
    <row r="22" spans="1:7" ht="18.75" customHeight="1">
      <c r="A22" s="606">
        <v>1</v>
      </c>
      <c r="B22" s="608" t="str">
        <f ca="1">IFERROR(IF(INDEX('Impact Indicators - Section B '!B$1:B$98,MATCH($A22,'Impact Indicators - Section B '!$A$1:$A$98,0))&lt;&gt;0,INDEX('Impact Indicators - Section B '!B$1:B$98,MATCH($A22,'Impact Indicators - Section B '!$A$1:$A$98,0)),""),"")</f>
        <v>TB I-3 TB mortality rate per 100,000 population</v>
      </c>
      <c r="C22" s="609"/>
      <c r="D22" s="610"/>
      <c r="E22" s="608" t="str">
        <f>IFERROR(IF(INDEX('Impact Indicators - Section B '!C$1:C$98,MATCH($A22,'Impact Indicators - Section B '!$A$1:$A$98,0))&lt;&gt;0,INDEX('Impact Indicators - Section B '!C$1:C$98,MATCH($A22,'Impact Indicators - Section B '!$A$1:$A$98,0)),""),"")</f>
        <v/>
      </c>
      <c r="F22" s="609"/>
      <c r="G22" s="610"/>
    </row>
    <row r="23" spans="1:7" ht="18.75" customHeight="1">
      <c r="A23" s="607"/>
      <c r="B23" s="611"/>
      <c r="C23" s="612"/>
      <c r="D23" s="613"/>
      <c r="E23" s="611"/>
      <c r="F23" s="612"/>
      <c r="G23" s="613"/>
    </row>
    <row r="24" spans="1:7" ht="18.75" customHeight="1">
      <c r="A24" s="607"/>
      <c r="B24" s="614"/>
      <c r="C24" s="615"/>
      <c r="D24" s="616"/>
      <c r="E24" s="614"/>
      <c r="F24" s="615"/>
      <c r="G24" s="616"/>
    </row>
    <row r="25" spans="1:7" ht="18.75" customHeight="1">
      <c r="A25" s="607"/>
      <c r="B25" s="590" t="s">
        <v>769</v>
      </c>
      <c r="C25" s="591"/>
      <c r="D25" s="592"/>
      <c r="E25" s="590" t="s">
        <v>127</v>
      </c>
      <c r="F25" s="591"/>
      <c r="G25" s="592"/>
    </row>
    <row r="26" spans="1:7" ht="18.75" customHeight="1">
      <c r="A26" s="607"/>
      <c r="B26" s="617" t="str">
        <f>IFERROR(IF(INDEX('Impact Indicators - Section B '!H$1:H$98,MATCH($A22,'Impact Indicators - Section B '!$A$1:$A$98,0))&lt;&gt;0,INDEX('Impact Indicators - Section B '!H$1:H$98,MATCH($A22,'Impact Indicators - Section B '!$A$1:$A$98,0)),""),"")</f>
        <v/>
      </c>
      <c r="C26" s="603"/>
      <c r="D26" s="604"/>
      <c r="E26" s="617" t="str">
        <f>IFERROR(IF(INDEX('Impact Indicators - Section B '!J$1:J$98,MATCH($A22,'Impact Indicators - Section B '!$A$1:$A$98,0))&lt;&gt;0,INDEX('Impact Indicators - Section B '!J$1:J$98,MATCH($A22,'Impact Indicators - Section B '!$A$1:$A$98,0)),""),"")</f>
        <v>Congo (Democratic Republic)</v>
      </c>
      <c r="F26" s="603"/>
      <c r="G26" s="604"/>
    </row>
    <row r="27" spans="1:7" ht="18.75" customHeight="1">
      <c r="A27" s="607"/>
      <c r="B27" s="590" t="s">
        <v>199</v>
      </c>
      <c r="C27" s="591"/>
      <c r="D27" s="592"/>
      <c r="E27" s="590" t="s">
        <v>120</v>
      </c>
      <c r="F27" s="591"/>
      <c r="G27" s="592"/>
    </row>
    <row r="28" spans="1:7" ht="18.75" customHeight="1">
      <c r="A28" s="607"/>
      <c r="B28" s="608" t="str">
        <f>IFERROR(IF(INDEX('Impact Indicators - Section B '!G$1:G$98,MATCH($A22,'Impact Indicators - Section B '!$A$1:$A$98,0))&lt;&gt;0,INDEX('Impact Indicators - Section B '!G$1:G$98,MATCH($A22,'Impact Indicators - Section B '!$A$1:$A$98,0)),""),"")</f>
        <v>WHO TB Global Report 2022</v>
      </c>
      <c r="C28" s="609"/>
      <c r="D28" s="610"/>
      <c r="E28" s="608" t="str">
        <f ca="1">IFERROR(IF(AND('Overview - Section A'!AS$1="Grant Making",OR(B22&lt;&gt;"",E22&lt;&gt;"")),Setup!I15,IF(INDEX('Impact Indicators - Section B '!I$1:I$98,MATCH($A22,'Impact Indicators - Section B '!$A$1:$A$98,0))&lt;&gt;0,INDEX('Impact Indicators - Section B '!I$1:I$98,MATCH($A22,'Impact Indicators - Section B '!$A$1:$A$98,0)),"")),"")</f>
        <v>Ministry of Public Health, Hygiene and Prevention</v>
      </c>
      <c r="F28" s="609"/>
      <c r="G28" s="610"/>
    </row>
    <row r="29" spans="1:7" ht="18.75" customHeight="1">
      <c r="A29" s="607"/>
      <c r="B29" s="614"/>
      <c r="C29" s="615"/>
      <c r="D29" s="616"/>
      <c r="E29" s="614"/>
      <c r="F29" s="615"/>
      <c r="G29" s="616"/>
    </row>
    <row r="30" spans="1:7" ht="18.75" customHeight="1">
      <c r="A30" s="607"/>
      <c r="B30" s="74"/>
      <c r="C30" s="59" t="s">
        <v>5052</v>
      </c>
      <c r="D30" s="590" t="s">
        <v>5053</v>
      </c>
      <c r="E30" s="591"/>
      <c r="F30" s="591"/>
      <c r="G30" s="592"/>
    </row>
    <row r="31" spans="1:7" ht="18.75" customHeight="1">
      <c r="A31" s="607"/>
      <c r="B31" s="74" t="s">
        <v>2589</v>
      </c>
      <c r="C31" s="75" t="str">
        <f>IFERROR(IF(INDEX('Impact Indicators - Section B '!F$1:F$98,MATCH($A22,'Impact Indicators - Section B '!$A$1:$A$98,0))&lt;&gt;0,INDEX('Impact Indicators - Section B '!F$1:F$98,MATCH($A22,'Impact Indicators - Section B '!$A$1:$A$98,0)),""),"")&amp;CHAR(10)&amp;IFERROR(IF(INDEX('Impact Indicators - Section B '!G$1:G$98,MATCH($A22,'Impact Indicators - Section B '!$A$1:$A$98,0))&lt;&gt;0,INDEX('Impact Indicators - Section B '!G$1:G$98,MATCH($A22,'Impact Indicators - Section B '!$A$1:$A$98,0)),""),"")</f>
        <v>2021
WHO TB Global Report 2022</v>
      </c>
      <c r="D31" s="59">
        <f ca="1">IFERROR(IF(YEAR(INDEX('Overview - Section A'!$A$47:$A$54,MATCH('Print - Summary'!$H$10,'Overview - Section A'!$B$47:$B$54,0)))&lt;=YEAR('Overview - Section A'!$E$8),YEAR(INDEX('Overview - Section A'!$A$47:$A$54,MATCH('Print - Summary'!$H$10,'Overview - Section A'!$B$47:$B$54,0))),""),"")</f>
        <v>2024</v>
      </c>
      <c r="E31" s="59">
        <f ca="1">IFERROR(IF(D31+1&lt;=YEAR('Overview - Section A'!$E$8),D31+1,""),"")</f>
        <v>2025</v>
      </c>
      <c r="F31" s="59">
        <f ca="1">IFERROR(IF(E31+1&lt;=YEAR('Overview - Section A'!$E$8),E31+1,""),"")</f>
        <v>2026</v>
      </c>
      <c r="G31" s="59" t="str">
        <f ca="1">IFERROR(IF(F31+1&lt;=YEAR('Overview - Section A'!$E$8),F31+1,""),"")</f>
        <v/>
      </c>
    </row>
    <row r="32" spans="1:7" s="77" customFormat="1" ht="18.75" customHeight="1">
      <c r="A32" s="607"/>
      <c r="B32" s="74" t="s">
        <v>5054</v>
      </c>
      <c r="C32" s="76" t="str">
        <f>IFERROR(IF(INDEX('Impact Indicators - Section B '!D$1:D$98,MATCH($A22,'Impact Indicators - Section B '!$A$1:$A$98,0))&lt;&gt;"",FIXED(INDEX('Impact Indicators - Section B '!D$1:D$98,MATCH($A22,'Impact Indicators - Section B '!$A$1:$A$98,0)),4),""),"")</f>
        <v>44.0000</v>
      </c>
      <c r="D32" s="76" t="str">
        <f ca="1">IFERROR(IF(INDEX('Impact Indicators - Section B '!K$1:K$98,MATCH($A22,'Impact Indicators - Section B '!$A$1:$A$98,0))&lt;&gt;"",FIXED(INDEX('Impact Indicators - Section B '!K$1:K$98,MATCH($A22,'Impact Indicators - Section B '!$A$1:$A$98,0)),4),""),"")</f>
        <v>38.0000</v>
      </c>
      <c r="E32" s="76" t="str">
        <f ca="1">IFERROR(IF(INDEX('Impact Indicators - Section B '!O$1:O$98,MATCH($A22,'Impact Indicators - Section B '!$A$1:$A$98,0))&lt;&gt;"",FIXED(INDEX('Impact Indicators - Section B '!O$1:O$98,MATCH($A22,'Impact Indicators - Section B '!$A$1:$A$98,0)),4),""),"")</f>
        <v>33.0000</v>
      </c>
      <c r="F32" s="76" t="str">
        <f ca="1">IFERROR(IF(INDEX('Impact Indicators - Section B '!S$1:S$98,MATCH($A22,'Impact Indicators - Section B '!$A$1:$A$98,0))&lt;&gt;"",FIXED(INDEX('Impact Indicators - Section B '!S$1:S$98,MATCH($A22,'Impact Indicators - Section B '!$A$1:$A$98,0)),4),""),"")</f>
        <v>28.0000</v>
      </c>
      <c r="G32" s="76" t="str">
        <f ca="1">IFERROR(IF(INDEX('Impact Indicators - Section B '!W$1:W$98,MATCH($A22,'Impact Indicators - Section B '!$A$1:$A$98,0))&lt;&gt;"",FIXED(INDEX('Impact Indicators - Section B '!W$1:W$98,MATCH($A22,'Impact Indicators - Section B '!$A$1:$A$98,0)),4),""),"")</f>
        <v/>
      </c>
    </row>
    <row r="33" spans="1:7" s="79" customFormat="1" ht="18.75" customHeight="1">
      <c r="A33" s="607"/>
      <c r="B33" s="74" t="s">
        <v>5055</v>
      </c>
      <c r="C33" s="78" t="str">
        <f>IFERROR(IF(INDEX('Impact Indicators - Section B '!D$1:D$98,MATCH($A22,'Impact Indicators - Section B '!$A$1:$A$98,0)+1)&lt;&gt;"",FIXED(INDEX('Impact Indicators - Section B '!D$1:D$98,MATCH($A22,'Impact Indicators - Section B '!$A$1:$A$98,0)+1),2),""),"")</f>
        <v/>
      </c>
      <c r="D33" s="78" t="str">
        <f ca="1">IFERROR(IF(INDEX('Impact Indicators - Section B '!K$1:K$98,MATCH($A22,'Impact Indicators - Section B '!$A$1:$A$98,0)+1)&lt;&gt;"",FIXED(INDEX('Impact Indicators - Section B '!K$1:K$98,MATCH($A22,'Impact Indicators - Section B '!$A$1:$A$98,0)+1),2),""),"")</f>
        <v/>
      </c>
      <c r="E33" s="78" t="str">
        <f ca="1">IFERROR(IF(INDEX('Impact Indicators - Section B '!O$1:O$98,MATCH($A22,'Impact Indicators - Section B '!$A$1:$A$98,0)+1)&lt;&gt;"",FIXED(INDEX('Impact Indicators - Section B '!O$1:O$98,MATCH($A22,'Impact Indicators - Section B '!$A$1:$A$98,0)+1),2),""),"")</f>
        <v/>
      </c>
      <c r="F33" s="78" t="str">
        <f ca="1">IFERROR(IF(INDEX('Impact Indicators - Section B '!S$1:S$98,MATCH($A22,'Impact Indicators - Section B '!$A$1:$A$98,0)+1)&lt;&gt;"",FIXED(INDEX('Impact Indicators - Section B '!S$1:S$98,MATCH($A22,'Impact Indicators - Section B '!$A$1:$A$98,0)+1),2),""),"")</f>
        <v/>
      </c>
      <c r="G33" s="78" t="str">
        <f ca="1">IFERROR(IF(INDEX('Impact Indicators - Section B '!W$1:W$98,MATCH($A22,'Impact Indicators - Section B '!$A$1:$A$98,0)+1)&lt;&gt;"",FIXED(INDEX('Impact Indicators - Section B '!W$1:W$98,MATCH($A22,'Impact Indicators - Section B '!$A$1:$A$98,0)+1),2),""),"")</f>
        <v/>
      </c>
    </row>
    <row r="34" spans="1:7" ht="18.75" customHeight="1">
      <c r="A34" s="607"/>
      <c r="B34" s="74" t="s">
        <v>5056</v>
      </c>
      <c r="C34" s="75" t="str">
        <f ca="1">IFERROR(IF(INDEX('Impact Indicators - Section B '!E$1:E$98,MATCH($A22,'Impact Indicators - Section B '!$A$1:$A$98,0))&lt;&gt;"",FIXED(INDEX('Impact Indicators - Section B '!E$1:E$98,MATCH($A22,'Impact Indicators - Section B '!$A$1:$A$98,0))*100,2)&amp;"%",""),"")</f>
        <v/>
      </c>
      <c r="D34" s="75" t="str">
        <f ca="1">IFERROR(IF(INDEX('Impact Indicators - Section B '!L$1:L$98,MATCH($A22,'Impact Indicators - Section B '!$A$1:$A$98,0))&lt;&gt;"",FIXED(INDEX('Impact Indicators - Section B '!L$1:L$98,MATCH($A22,'Impact Indicators - Section B '!$A$1:$A$98,0))*100,2)&amp;"%",""),"")&amp;CHAR(10)&amp;IFERROR(IF(INDEX('Impact Indicators - Section B '!N$1:N$98,MATCH($A22,'Impact Indicators - Section B '!$A$1:$A$98,0))&lt;&gt;"",INDEX('Impact Indicators - Section B '!N$1:N$98,MATCH($A22,'Impact Indicators - Section B '!$A$1:$A$98,0)),""),"")&amp;CHAR(10)&amp;IFERROR(IF(INDEX('Impact Indicators - Section B '!M$1:M$98,MATCH($A22,'Impact Indicators - Section B '!$A$1:$A$98,0))&lt;&gt;"",TEXT(INDEX('Impact Indicators - Section B '!M$1:M$98,MATCH($A22,'Impact Indicators - Section B '!$A$1:$A$98,0)),Setup!$A$33),""),"")</f>
        <v xml:space="preserve">
</v>
      </c>
      <c r="E34" s="75" t="str">
        <f ca="1">IFERROR(IF(INDEX('Impact Indicators - Section B '!P$1:P$98,MATCH($A22,'Impact Indicators - Section B '!$A$1:$A$98,0))&lt;&gt;"",FIXED(INDEX('Impact Indicators - Section B '!P$1:P$98,MATCH($A22,'Impact Indicators - Section B '!$A$1:$A$98,0))*100,2)&amp;"%",""),"")&amp;CHAR(10)&amp;IFERROR(IF(INDEX('Impact Indicators - Section B '!R$1:R$98,MATCH($A22,'Impact Indicators - Section B '!$A$1:$A$98,0))&lt;&gt;"",INDEX('Impact Indicators - Section B '!R$1:R$98,MATCH($A22,'Impact Indicators - Section B '!$A$1:$A$98,0)),""),"")&amp;CHAR(10)&amp;IFERROR(IF(INDEX('Impact Indicators - Section B '!Q$1:Q$98,MATCH($A22,'Impact Indicators - Section B '!$A$1:$A$98,0))&lt;&gt;"",TEXT(INDEX('Impact Indicators - Section B '!Q$1:Q$98,MATCH($A22,'Impact Indicators - Section B '!$A$1:$A$98,0)),Setup!$A$33),""),"")</f>
        <v xml:space="preserve">
</v>
      </c>
      <c r="F34" s="75" t="str">
        <f ca="1">IFERROR(IF(INDEX('Impact Indicators - Section B '!T$1:T$98,MATCH($A22,'Impact Indicators - Section B '!$A$1:$A$98,0))&lt;&gt;"",FIXED(INDEX('Impact Indicators - Section B '!T$1:T$98,MATCH($A22,'Impact Indicators - Section B '!$A$1:$A$98,0))*100,2)&amp;"%",""),"")&amp;CHAR(10)&amp;IFERROR(IF(INDEX('Impact Indicators - Section B '!V$1:V$98,MATCH($A22,'Impact Indicators - Section B '!$A$1:$A$98,0))&lt;&gt;"",FIXED(INDEX('Impact Indicators - Section B '!V$1:V$98,MATCH($A22,'Impact Indicators - Section B '!$A$1:$A$98,0)),Setup!$A$33),""),"")&amp;CHAR(10)&amp;IFERROR(IF(INDEX('Impact Indicators - Section B '!U$1:U$98,MATCH($A22,'Impact Indicators - Section B '!$A$1:$A$98,0))&lt;&gt;"",TEXT(INDEX('Impact Indicators - Section B '!U$1:U$98,MATCH($A22,'Impact Indicators - Section B '!$A$1:$A$98,0)),Setup!$A$33),""),"")</f>
        <v xml:space="preserve">
</v>
      </c>
      <c r="G34" s="75" t="str">
        <f ca="1">IFERROR(IF(INDEX('Impact Indicators - Section B '!X$1:X$98,MATCH($A22,'Impact Indicators - Section B '!$A$1:$A$98,0))&lt;&gt;"",FIXED(INDEX('Impact Indicators - Section B '!X$1:X$98,MATCH($A22,'Impact Indicators - Section B '!$A$1:$A$98,0))*100,2)&amp;"%",""),"")&amp;CHAR(10)&amp;IFERROR(IF(INDEX('Impact Indicators - Section B '!Z$1:Z$98,MATCH($A22,'Impact Indicators - Section B '!$A$1:$A$98,0))&lt;&gt;"",INDEX('Impact Indicators - Section B '!Z$1:Z$98,MATCH($A22,'Impact Indicators - Section B '!$A$1:$A$98,0)),""),"")&amp;CHAR(10)&amp;IFERROR(IF(INDEX('Impact Indicators - Section B '!Y$1:Y$98,MATCH($A22,'Impact Indicators - Section B '!$A$1:$A$98,0))&lt;&gt;"",TEXT(INDEX('Impact Indicators - Section B '!Y$1:Y$98,MATCH($A22,'Impact Indicators - Section B '!$A$1:$A$98,0)),Setup!$A$33),""),"")</f>
        <v xml:space="preserve">
</v>
      </c>
    </row>
    <row r="35" spans="1:7" ht="18.75" customHeight="1">
      <c r="A35" s="607"/>
      <c r="B35" s="590" t="s">
        <v>176</v>
      </c>
      <c r="C35" s="591"/>
      <c r="D35" s="591"/>
      <c r="E35" s="591"/>
      <c r="F35" s="591"/>
      <c r="G35" s="592"/>
    </row>
    <row r="36" spans="1:7" ht="18.75" customHeight="1">
      <c r="A36" s="607"/>
      <c r="B36" s="608" t="str">
        <f>IFERROR(IF(INDEX('Impact Indicators - Section B '!AA$1:AA$98,MATCH($A22,'Impact Indicators - Section B '!$A$1:$A$98,0))&lt;&gt;0,INDEX('Impact Indicators - Section B '!AA$1:AA$98,MATCH($A22,'Impact Indicators - Section B '!$A$1:$A$98,0)),""),"")</f>
        <v>TB mortality has seen an average reduction of 4.6% between 2018 and 2020, from 64 per 100,000 to 51.5 per 100,000. In this grant, efforts will gradually decrease mortality between 2024 and 2026, so the reduction will be 4.6% in 2024, 5% in 2025 and 2026. These targets are aligned with the performance framework of the new NSP.</v>
      </c>
      <c r="C36" s="609"/>
      <c r="D36" s="609"/>
      <c r="E36" s="609"/>
      <c r="F36" s="609"/>
      <c r="G36" s="610"/>
    </row>
    <row r="37" spans="1:7" ht="18.75" customHeight="1">
      <c r="A37" s="607"/>
      <c r="B37" s="611"/>
      <c r="C37" s="612"/>
      <c r="D37" s="612"/>
      <c r="E37" s="612"/>
      <c r="F37" s="612"/>
      <c r="G37" s="613"/>
    </row>
    <row r="38" spans="1:7" ht="18.75" customHeight="1">
      <c r="A38" s="607"/>
      <c r="B38" s="611"/>
      <c r="C38" s="612"/>
      <c r="D38" s="612"/>
      <c r="E38" s="612"/>
      <c r="F38" s="612"/>
      <c r="G38" s="613"/>
    </row>
    <row r="39" spans="1:7" ht="18.75" customHeight="1">
      <c r="A39" s="607"/>
      <c r="B39" s="611"/>
      <c r="C39" s="612"/>
      <c r="D39" s="612"/>
      <c r="E39" s="612"/>
      <c r="F39" s="612"/>
      <c r="G39" s="613"/>
    </row>
    <row r="40" spans="1:7" ht="18.75" customHeight="1">
      <c r="A40" s="607"/>
      <c r="B40" s="611"/>
      <c r="C40" s="612"/>
      <c r="D40" s="612"/>
      <c r="E40" s="612"/>
      <c r="F40" s="612"/>
      <c r="G40" s="613"/>
    </row>
    <row r="41" spans="1:7" ht="18.75" customHeight="1">
      <c r="A41" s="607"/>
      <c r="B41" s="611"/>
      <c r="C41" s="612"/>
      <c r="D41" s="612"/>
      <c r="E41" s="612"/>
      <c r="F41" s="612"/>
      <c r="G41" s="613"/>
    </row>
    <row r="42" spans="1:7" ht="18.75" customHeight="1">
      <c r="A42" s="607"/>
      <c r="B42" s="611"/>
      <c r="C42" s="612"/>
      <c r="D42" s="612"/>
      <c r="E42" s="612"/>
      <c r="F42" s="612"/>
      <c r="G42" s="613"/>
    </row>
    <row r="43" spans="1:7" ht="18.75" customHeight="1">
      <c r="A43" s="607"/>
      <c r="B43" s="611"/>
      <c r="C43" s="612"/>
      <c r="D43" s="612"/>
      <c r="E43" s="612"/>
      <c r="F43" s="612"/>
      <c r="G43" s="613"/>
    </row>
    <row r="44" spans="1:7" ht="18.75" customHeight="1">
      <c r="A44" s="607"/>
      <c r="B44" s="611"/>
      <c r="C44" s="612"/>
      <c r="D44" s="612"/>
      <c r="E44" s="612"/>
      <c r="F44" s="612"/>
      <c r="G44" s="613"/>
    </row>
    <row r="45" spans="1:7" ht="18.75" customHeight="1">
      <c r="A45" s="607"/>
      <c r="B45" s="611"/>
      <c r="C45" s="612"/>
      <c r="D45" s="612"/>
      <c r="E45" s="612"/>
      <c r="F45" s="612"/>
      <c r="G45" s="613"/>
    </row>
    <row r="46" spans="1:7" ht="18.75" customHeight="1">
      <c r="A46" s="598"/>
      <c r="B46" s="618"/>
      <c r="C46" s="618"/>
      <c r="D46" s="618"/>
      <c r="E46" s="618"/>
      <c r="F46" s="618"/>
      <c r="G46" s="599"/>
    </row>
    <row r="48" spans="1:7" ht="18.75" customHeight="1">
      <c r="A48" s="73" t="s">
        <v>5051</v>
      </c>
      <c r="B48" s="590" t="s">
        <v>765</v>
      </c>
      <c r="C48" s="591"/>
      <c r="D48" s="592"/>
      <c r="E48" s="590" t="s">
        <v>766</v>
      </c>
      <c r="F48" s="591"/>
      <c r="G48" s="592"/>
    </row>
    <row r="49" spans="1:7" ht="18.75" customHeight="1">
      <c r="A49" s="606">
        <v>2</v>
      </c>
      <c r="B49" s="608" t="str">
        <f ca="1">IFERROR(IF(INDEX('Impact Indicators - Section B '!B$1:B$98,MATCH($A49,'Impact Indicators - Section B '!$A$1:$A$98,0))&lt;&gt;0,INDEX('Impact Indicators - Section B '!B$1:B$98,MATCH($A49,'Impact Indicators - Section B '!$A$1:$A$98,0)),""),"")</f>
        <v>TB I-2 TB incidence rate per 100,000 population</v>
      </c>
      <c r="C49" s="609"/>
      <c r="D49" s="610"/>
      <c r="E49" s="608" t="str">
        <f>IFERROR(IF(INDEX('Impact Indicators - Section B '!C$1:C$98,MATCH($A49,'Impact Indicators - Section B '!$A$1:$A$98,0))&lt;&gt;0,INDEX('Impact Indicators - Section B '!C$1:C$98,MATCH($A49,'Impact Indicators - Section B '!$A$1:$A$98,0)),""),"")</f>
        <v/>
      </c>
      <c r="F49" s="609"/>
      <c r="G49" s="610"/>
    </row>
    <row r="50" spans="1:7" ht="18.75" customHeight="1">
      <c r="A50" s="607"/>
      <c r="B50" s="611"/>
      <c r="C50" s="612"/>
      <c r="D50" s="613"/>
      <c r="E50" s="611"/>
      <c r="F50" s="612"/>
      <c r="G50" s="613"/>
    </row>
    <row r="51" spans="1:7" ht="18.75" customHeight="1">
      <c r="A51" s="607"/>
      <c r="B51" s="614"/>
      <c r="C51" s="615"/>
      <c r="D51" s="616"/>
      <c r="E51" s="614"/>
      <c r="F51" s="615"/>
      <c r="G51" s="616"/>
    </row>
    <row r="52" spans="1:7" ht="18.75" customHeight="1">
      <c r="A52" s="607"/>
      <c r="B52" s="590" t="s">
        <v>769</v>
      </c>
      <c r="C52" s="591"/>
      <c r="D52" s="592"/>
      <c r="E52" s="590" t="s">
        <v>127</v>
      </c>
      <c r="F52" s="591"/>
      <c r="G52" s="592"/>
    </row>
    <row r="53" spans="1:7" ht="18.75" customHeight="1">
      <c r="A53" s="607"/>
      <c r="B53" s="617" t="str">
        <f>IFERROR(IF(INDEX('Impact Indicators - Section B '!H$1:H$98,MATCH($A49,'Impact Indicators - Section B '!$A$1:$A$98,0))&lt;&gt;0,INDEX('Impact Indicators - Section B '!H$1:H$98,MATCH($A49,'Impact Indicators - Section B '!$A$1:$A$98,0)),""),"")</f>
        <v/>
      </c>
      <c r="C53" s="603"/>
      <c r="D53" s="604"/>
      <c r="E53" s="617" t="str">
        <f>IFERROR(IF(INDEX('Impact Indicators - Section B '!J$1:J$98,MATCH($A49,'Impact Indicators - Section B '!$A$1:$A$98,0))&lt;&gt;0,INDEX('Impact Indicators - Section B '!J$1:J$98,MATCH($A49,'Impact Indicators - Section B '!$A$1:$A$98,0)),""),"")</f>
        <v>Congo (Democratic Republic)</v>
      </c>
      <c r="F53" s="603"/>
      <c r="G53" s="604"/>
    </row>
    <row r="54" spans="1:7" ht="18.75" customHeight="1">
      <c r="A54" s="607"/>
      <c r="B54" s="590" t="s">
        <v>199</v>
      </c>
      <c r="C54" s="591"/>
      <c r="D54" s="592"/>
      <c r="E54" s="590" t="s">
        <v>120</v>
      </c>
      <c r="F54" s="591"/>
      <c r="G54" s="592"/>
    </row>
    <row r="55" spans="1:7" ht="18.75" customHeight="1">
      <c r="A55" s="607"/>
      <c r="B55" s="608" t="str">
        <f>IFERROR(IF(INDEX('Impact Indicators - Section B '!G$1:G$98,MATCH($A49,'Impact Indicators - Section B '!$A$1:$A$98,0))&lt;&gt;0,INDEX('Impact Indicators - Section B '!G$1:G$98,MATCH($A49,'Impact Indicators - Section B '!$A$1:$A$98,0)),""),"")</f>
        <v>WHO TB Global Report 2022</v>
      </c>
      <c r="C55" s="609"/>
      <c r="D55" s="610"/>
      <c r="E55" s="608" t="str">
        <f ca="1">IFERROR(IF(AND('Overview - Section A'!AS$1="Grant Making",OR(B49&lt;&gt;"",E49&lt;&gt;"")),Setup!I15,IF(INDEX('Impact Indicators - Section B '!I$1:I$98,MATCH($A49,'Impact Indicators - Section B '!$A$1:$A$98,0))&lt;&gt;0,INDEX('Impact Indicators - Section B '!I$1:I$98,MATCH($A49,'Impact Indicators - Section B '!$A$1:$A$98,0)),"")),"")</f>
        <v>Ministry of Public Health, Hygiene and Prevention</v>
      </c>
      <c r="F55" s="609"/>
      <c r="G55" s="610"/>
    </row>
    <row r="56" spans="1:7" ht="18.75" customHeight="1">
      <c r="A56" s="607"/>
      <c r="B56" s="614"/>
      <c r="C56" s="615"/>
      <c r="D56" s="616"/>
      <c r="E56" s="614"/>
      <c r="F56" s="615"/>
      <c r="G56" s="616"/>
    </row>
    <row r="57" spans="1:7" ht="18.75" customHeight="1">
      <c r="A57" s="607"/>
      <c r="B57" s="74"/>
      <c r="C57" s="59" t="s">
        <v>5052</v>
      </c>
      <c r="D57" s="590" t="s">
        <v>5053</v>
      </c>
      <c r="E57" s="591"/>
      <c r="F57" s="591"/>
      <c r="G57" s="592"/>
    </row>
    <row r="58" spans="1:7" ht="18.75" customHeight="1">
      <c r="A58" s="607"/>
      <c r="B58" s="74" t="s">
        <v>2589</v>
      </c>
      <c r="C58" s="75" t="str">
        <f>IFERROR(IF(INDEX('Impact Indicators - Section B '!F$1:F$98,MATCH($A49,'Impact Indicators - Section B '!$A$1:$A$98,0))&lt;&gt;0,INDEX('Impact Indicators - Section B '!F$1:F$98,MATCH($A49,'Impact Indicators - Section B '!$A$1:$A$98,0)),""),"")&amp;CHAR(10)&amp;IFERROR(IF(INDEX('Impact Indicators - Section B '!G$1:G$98,MATCH($A49,'Impact Indicators - Section B '!$A$1:$A$98,0))&lt;&gt;0,INDEX('Impact Indicators - Section B '!G$1:G$98,MATCH($A49,'Impact Indicators - Section B '!$A$1:$A$98,0)),""),"")</f>
        <v>2021
WHO TB Global Report 2022</v>
      </c>
      <c r="D58" s="59">
        <f ca="1">IFERROR(IF(YEAR(INDEX('Overview - Section A'!$A$47:$A$54,MATCH('Print - Summary'!$H$10,'Overview - Section A'!$B$47:$B$54,0)))&lt;=YEAR('Overview - Section A'!$E$8),YEAR(INDEX('Overview - Section A'!$A$47:$A$54,MATCH('Print - Summary'!$H$10,'Overview - Section A'!$B$47:$B$54,0))),""),"")</f>
        <v>2024</v>
      </c>
      <c r="E58" s="59">
        <f ca="1">IFERROR(IF(D58+1&lt;=YEAR('Overview - Section A'!$E$8),D58+1,""),"")</f>
        <v>2025</v>
      </c>
      <c r="F58" s="59">
        <f ca="1">IFERROR(IF(E58+1&lt;=YEAR('Overview - Section A'!$E$8),E58+1,""),"")</f>
        <v>2026</v>
      </c>
      <c r="G58" s="59" t="str">
        <f ca="1">IFERROR(IF(F58+1&lt;=YEAR('Overview - Section A'!$E$8),F58+1,""),"")</f>
        <v/>
      </c>
    </row>
    <row r="59" spans="1:7" s="77" customFormat="1" ht="18.75" customHeight="1">
      <c r="A59" s="607"/>
      <c r="B59" s="74" t="s">
        <v>5054</v>
      </c>
      <c r="C59" s="76" t="str">
        <f>IFERROR(IF(INDEX('Impact Indicators - Section B '!D$1:D$98,MATCH($A49,'Impact Indicators - Section B '!$A$1:$A$98,0))&lt;&gt;"",FIXED(INDEX('Impact Indicators - Section B '!D$1:D$98,MATCH($A49,'Impact Indicators - Section B '!$A$1:$A$98,0)),4),""),"")</f>
        <v>318.0000</v>
      </c>
      <c r="D59" s="76" t="str">
        <f ca="1">IFERROR(IF(INDEX('Impact Indicators - Section B '!K$1:K$98,MATCH($A49,'Impact Indicators - Section B '!$A$1:$A$98,0))&lt;&gt;"",FIXED(INDEX('Impact Indicators - Section B '!K$1:K$98,MATCH($A49,'Impact Indicators - Section B '!$A$1:$A$98,0)),4),""),"")</f>
        <v>315.0000</v>
      </c>
      <c r="E59" s="76" t="str">
        <f ca="1">IFERROR(IF(INDEX('Impact Indicators - Section B '!O$1:O$98,MATCH($A49,'Impact Indicators - Section B '!$A$1:$A$98,0))&lt;&gt;"",FIXED(INDEX('Impact Indicators - Section B '!O$1:O$98,MATCH($A49,'Impact Indicators - Section B '!$A$1:$A$98,0)),4),""),"")</f>
        <v>313.0000</v>
      </c>
      <c r="F59" s="76" t="str">
        <f ca="1">IFERROR(IF(INDEX('Impact Indicators - Section B '!S$1:S$98,MATCH($A49,'Impact Indicators - Section B '!$A$1:$A$98,0))&lt;&gt;"",FIXED(INDEX('Impact Indicators - Section B '!S$1:S$98,MATCH($A49,'Impact Indicators - Section B '!$A$1:$A$98,0)),4),""),"")</f>
        <v>311.0000</v>
      </c>
      <c r="G59" s="76" t="str">
        <f ca="1">IFERROR(IF(INDEX('Impact Indicators - Section B '!W$1:W$98,MATCH($A49,'Impact Indicators - Section B '!$A$1:$A$98,0))&lt;&gt;"",FIXED(INDEX('Impact Indicators - Section B '!W$1:W$98,MATCH($A49,'Impact Indicators - Section B '!$A$1:$A$98,0)),4),""),"")</f>
        <v/>
      </c>
    </row>
    <row r="60" spans="1:7" s="79" customFormat="1" ht="18.75" customHeight="1">
      <c r="A60" s="607"/>
      <c r="B60" s="74" t="s">
        <v>5055</v>
      </c>
      <c r="C60" s="78" t="str">
        <f>IFERROR(IF(INDEX('Impact Indicators - Section B '!D$1:D$98,MATCH($A49,'Impact Indicators - Section B '!$A$1:$A$98,0)+1)&lt;&gt;"",FIXED(INDEX('Impact Indicators - Section B '!D$1:D$98,MATCH($A49,'Impact Indicators - Section B '!$A$1:$A$98,0)+1),2),""),"")</f>
        <v/>
      </c>
      <c r="D60" s="78" t="str">
        <f ca="1">IFERROR(IF(INDEX('Impact Indicators - Section B '!K$1:K$98,MATCH($A49,'Impact Indicators - Section B '!$A$1:$A$98,0)+1)&lt;&gt;"",FIXED(INDEX('Impact Indicators - Section B '!K$1:K$98,MATCH($A49,'Impact Indicators - Section B '!$A$1:$A$98,0)+1),2),""),"")</f>
        <v/>
      </c>
      <c r="E60" s="78" t="str">
        <f ca="1">IFERROR(IF(INDEX('Impact Indicators - Section B '!O$1:O$98,MATCH($A49,'Impact Indicators - Section B '!$A$1:$A$98,0)+1)&lt;&gt;"",FIXED(INDEX('Impact Indicators - Section B '!O$1:O$98,MATCH($A49,'Impact Indicators - Section B '!$A$1:$A$98,0)+1),2),""),"")</f>
        <v/>
      </c>
      <c r="F60" s="78" t="str">
        <f ca="1">IFERROR(IF(INDEX('Impact Indicators - Section B '!S$1:S$98,MATCH($A49,'Impact Indicators - Section B '!$A$1:$A$98,0)+1)&lt;&gt;"",FIXED(INDEX('Impact Indicators - Section B '!S$1:S$98,MATCH($A49,'Impact Indicators - Section B '!$A$1:$A$98,0)+1),2),""),"")</f>
        <v/>
      </c>
      <c r="G60" s="78" t="str">
        <f ca="1">IFERROR(IF(INDEX('Impact Indicators - Section B '!W$1:W$98,MATCH($A49,'Impact Indicators - Section B '!$A$1:$A$98,0)+1)&lt;&gt;"",FIXED(INDEX('Impact Indicators - Section B '!W$1:W$98,MATCH($A49,'Impact Indicators - Section B '!$A$1:$A$98,0)+1),2),""),"")</f>
        <v/>
      </c>
    </row>
    <row r="61" spans="1:7" ht="18.75" customHeight="1">
      <c r="A61" s="607"/>
      <c r="B61" s="74" t="s">
        <v>5056</v>
      </c>
      <c r="C61" s="75" t="str">
        <f ca="1">IFERROR(IF(INDEX('Impact Indicators - Section B '!E$1:E$98,MATCH($A49,'Impact Indicators - Section B '!$A$1:$A$98,0))&lt;&gt;"",FIXED(INDEX('Impact Indicators - Section B '!E$1:E$98,MATCH($A49,'Impact Indicators - Section B '!$A$1:$A$98,0))*100,2)&amp;"%",""),"")</f>
        <v/>
      </c>
      <c r="D61" s="75" t="str">
        <f ca="1">IFERROR(IF(INDEX('Impact Indicators - Section B '!L$1:L$98,MATCH($A49,'Impact Indicators - Section B '!$A$1:$A$98,0))&lt;&gt;"",FIXED(INDEX('Impact Indicators - Section B '!L$1:L$98,MATCH($A49,'Impact Indicators - Section B '!$A$1:$A$98,0))*100,2)&amp;"%",""),"")&amp;CHAR(10)&amp;IFERROR(IF(INDEX('Impact Indicators - Section B '!N$1:N$98,MATCH($A49,'Impact Indicators - Section B '!$A$1:$A$98,0))&lt;&gt;"",INDEX('Impact Indicators - Section B '!N$1:N$98,MATCH($A49,'Impact Indicators - Section B '!$A$1:$A$98,0)),""),"")&amp;CHAR(10)&amp;IFERROR(IF(INDEX('Impact Indicators - Section B '!M$1:M$98,MATCH($A49,'Impact Indicators - Section B '!$A$1:$A$98,0))&lt;&gt;"",TEXT(INDEX('Impact Indicators - Section B '!M$1:M$98,MATCH($A49,'Impact Indicators - Section B '!$A$1:$A$98,0)),Setup!$A$33),""),"")</f>
        <v xml:space="preserve">
</v>
      </c>
      <c r="E61" s="75" t="str">
        <f ca="1">IFERROR(IF(INDEX('Impact Indicators - Section B '!P$1:P$98,MATCH($A49,'Impact Indicators - Section B '!$A$1:$A$98,0))&lt;&gt;"",FIXED(INDEX('Impact Indicators - Section B '!P$1:P$98,MATCH($A49,'Impact Indicators - Section B '!$A$1:$A$98,0))*100,2)&amp;"%",""),"")&amp;CHAR(10)&amp;IFERROR(IF(INDEX('Impact Indicators - Section B '!R$1:R$98,MATCH($A49,'Impact Indicators - Section B '!$A$1:$A$98,0))&lt;&gt;"",INDEX('Impact Indicators - Section B '!R$1:R$98,MATCH($A49,'Impact Indicators - Section B '!$A$1:$A$98,0)),""),"")&amp;CHAR(10)&amp;IFERROR(IF(INDEX('Impact Indicators - Section B '!Q$1:Q$98,MATCH($A49,'Impact Indicators - Section B '!$A$1:$A$98,0))&lt;&gt;"",TEXT(INDEX('Impact Indicators - Section B '!Q$1:Q$98,MATCH($A49,'Impact Indicators - Section B '!$A$1:$A$98,0)),Setup!$A$33),""),"")</f>
        <v xml:space="preserve">
</v>
      </c>
      <c r="F61" s="75" t="str">
        <f ca="1">IFERROR(IF(INDEX('Impact Indicators - Section B '!T$1:T$98,MATCH($A49,'Impact Indicators - Section B '!$A$1:$A$98,0))&lt;&gt;"",FIXED(INDEX('Impact Indicators - Section B '!T$1:T$98,MATCH($A49,'Impact Indicators - Section B '!$A$1:$A$98,0))*100,2)&amp;"%",""),"")&amp;CHAR(10)&amp;IFERROR(IF(INDEX('Impact Indicators - Section B '!V$1:V$98,MATCH($A49,'Impact Indicators - Section B '!$A$1:$A$98,0))&lt;&gt;"",FIXED(INDEX('Impact Indicators - Section B '!V$1:V$98,MATCH($A49,'Impact Indicators - Section B '!$A$1:$A$98,0)),Setup!$A$33),""),"")&amp;CHAR(10)&amp;IFERROR(IF(INDEX('Impact Indicators - Section B '!U$1:U$98,MATCH($A49,'Impact Indicators - Section B '!$A$1:$A$98,0))&lt;&gt;"",TEXT(INDEX('Impact Indicators - Section B '!U$1:U$98,MATCH($A49,'Impact Indicators - Section B '!$A$1:$A$98,0)),Setup!$A$33),""),"")</f>
        <v xml:space="preserve">
</v>
      </c>
      <c r="G61" s="75" t="str">
        <f ca="1">IFERROR(IF(INDEX('Impact Indicators - Section B '!X$1:X$98,MATCH($A49,'Impact Indicators - Section B '!$A$1:$A$98,0))&lt;&gt;"",FIXED(INDEX('Impact Indicators - Section B '!X$1:X$98,MATCH($A49,'Impact Indicators - Section B '!$A$1:$A$98,0))*100,2)&amp;"%",""),"")&amp;CHAR(10)&amp;IFERROR(IF(INDEX('Impact Indicators - Section B '!Z$1:Z$98,MATCH($A49,'Impact Indicators - Section B '!$A$1:$A$98,0))&lt;&gt;"",INDEX('Impact Indicators - Section B '!Z$1:Z$98,MATCH($A49,'Impact Indicators - Section B '!$A$1:$A$98,0)),""),"")&amp;CHAR(10)&amp;IFERROR(IF(INDEX('Impact Indicators - Section B '!Y$1:Y$98,MATCH($A49,'Impact Indicators - Section B '!$A$1:$A$98,0))&lt;&gt;"",TEXT(INDEX('Impact Indicators - Section B '!Y$1:Y$98,MATCH($A49,'Impact Indicators - Section B '!$A$1:$A$98,0)),Setup!$A$33),""),"")</f>
        <v xml:space="preserve">
</v>
      </c>
    </row>
    <row r="62" spans="1:7" ht="18.75" customHeight="1">
      <c r="A62" s="607"/>
      <c r="B62" s="590" t="s">
        <v>176</v>
      </c>
      <c r="C62" s="591"/>
      <c r="D62" s="591"/>
      <c r="E62" s="591"/>
      <c r="F62" s="591"/>
      <c r="G62" s="592"/>
    </row>
    <row r="63" spans="1:7" ht="18.75" customHeight="1">
      <c r="A63" s="607"/>
      <c r="B63" s="608" t="str">
        <f>IFERROR(IF(INDEX('Impact Indicators - Section B '!AA$1:AA$98,MATCH($A49,'Impact Indicators - Section B '!$A$1:$A$98,0))&lt;&gt;0,INDEX('Impact Indicators - Section B '!AA$1:AA$98,MATCH($A49,'Impact Indicators - Section B '!$A$1:$A$98,0)),""),"")</f>
        <v>In 2021, the WHO estimated incidence is 318 cases/100,000 population. The DRC has a history of reducing TB incidence by 1 point since 2015. The new NSP TB 2024-2028 foresees the intensification of NFM3 interventions boosted by activities financed by catalytic funds, a reduction in incidence of 2 points from 2024 and 2025. These targets are aligned with those of the performance framework of the new NSP.</v>
      </c>
      <c r="C63" s="609"/>
      <c r="D63" s="609"/>
      <c r="E63" s="609"/>
      <c r="F63" s="609"/>
      <c r="G63" s="610"/>
    </row>
    <row r="64" spans="1:7" ht="18.75" customHeight="1">
      <c r="A64" s="607"/>
      <c r="B64" s="611"/>
      <c r="C64" s="612"/>
      <c r="D64" s="612"/>
      <c r="E64" s="612"/>
      <c r="F64" s="612"/>
      <c r="G64" s="613"/>
    </row>
    <row r="65" spans="1:7" ht="18.75" customHeight="1">
      <c r="A65" s="607"/>
      <c r="B65" s="611"/>
      <c r="C65" s="612"/>
      <c r="D65" s="612"/>
      <c r="E65" s="612"/>
      <c r="F65" s="612"/>
      <c r="G65" s="613"/>
    </row>
    <row r="66" spans="1:7" ht="18.75" customHeight="1">
      <c r="A66" s="607"/>
      <c r="B66" s="611"/>
      <c r="C66" s="612"/>
      <c r="D66" s="612"/>
      <c r="E66" s="612"/>
      <c r="F66" s="612"/>
      <c r="G66" s="613"/>
    </row>
    <row r="67" spans="1:7" ht="18.75" customHeight="1">
      <c r="A67" s="607"/>
      <c r="B67" s="611"/>
      <c r="C67" s="612"/>
      <c r="D67" s="612"/>
      <c r="E67" s="612"/>
      <c r="F67" s="612"/>
      <c r="G67" s="613"/>
    </row>
    <row r="68" spans="1:7" ht="18.75" customHeight="1">
      <c r="A68" s="607"/>
      <c r="B68" s="611"/>
      <c r="C68" s="612"/>
      <c r="D68" s="612"/>
      <c r="E68" s="612"/>
      <c r="F68" s="612"/>
      <c r="G68" s="613"/>
    </row>
    <row r="69" spans="1:7" ht="18.75" customHeight="1">
      <c r="A69" s="607"/>
      <c r="B69" s="611"/>
      <c r="C69" s="612"/>
      <c r="D69" s="612"/>
      <c r="E69" s="612"/>
      <c r="F69" s="612"/>
      <c r="G69" s="613"/>
    </row>
    <row r="70" spans="1:7" ht="18.75" customHeight="1">
      <c r="A70" s="607"/>
      <c r="B70" s="611"/>
      <c r="C70" s="612"/>
      <c r="D70" s="612"/>
      <c r="E70" s="612"/>
      <c r="F70" s="612"/>
      <c r="G70" s="613"/>
    </row>
    <row r="71" spans="1:7" ht="18.75" customHeight="1">
      <c r="A71" s="607"/>
      <c r="B71" s="611"/>
      <c r="C71" s="612"/>
      <c r="D71" s="612"/>
      <c r="E71" s="612"/>
      <c r="F71" s="612"/>
      <c r="G71" s="613"/>
    </row>
    <row r="72" spans="1:7" ht="18.75" customHeight="1">
      <c r="A72" s="607"/>
      <c r="B72" s="611"/>
      <c r="C72" s="612"/>
      <c r="D72" s="612"/>
      <c r="E72" s="612"/>
      <c r="F72" s="612"/>
      <c r="G72" s="613"/>
    </row>
    <row r="73" spans="1:7" ht="18.75" customHeight="1">
      <c r="A73" s="598"/>
      <c r="B73" s="618"/>
      <c r="C73" s="618"/>
      <c r="D73" s="618"/>
      <c r="E73" s="618"/>
      <c r="F73" s="618"/>
      <c r="G73" s="599"/>
    </row>
    <row r="75" spans="1:7" ht="18.75" customHeight="1">
      <c r="A75" s="73" t="s">
        <v>5051</v>
      </c>
      <c r="B75" s="590" t="s">
        <v>765</v>
      </c>
      <c r="C75" s="591"/>
      <c r="D75" s="592"/>
      <c r="E75" s="590" t="s">
        <v>766</v>
      </c>
      <c r="F75" s="591"/>
      <c r="G75" s="592"/>
    </row>
    <row r="76" spans="1:7" ht="18.75" customHeight="1">
      <c r="A76" s="606">
        <v>3</v>
      </c>
      <c r="B76" s="608" t="str">
        <f ca="1">IFERROR(IF(INDEX('Impact Indicators - Section B '!B$1:B$98,MATCH($A76,'Impact Indicators - Section B '!$A$1:$A$98,0))&lt;&gt;0,INDEX('Impact Indicators - Section B '!B$1:B$98,MATCH($A76,'Impact Indicators - Section B '!$A$1:$A$98,0)),""),"")</f>
        <v>TB I-4 RR-TB and/or MDR-TB prevalence among new TB patients: Proportion of new TB patients with RR-TB and/or MDR-TB</v>
      </c>
      <c r="C76" s="609"/>
      <c r="D76" s="610"/>
      <c r="E76" s="608" t="str">
        <f>IFERROR(IF(INDEX('Impact Indicators - Section B '!C$1:C$98,MATCH($A76,'Impact Indicators - Section B '!$A$1:$A$98,0))&lt;&gt;0,INDEX('Impact Indicators - Section B '!C$1:C$98,MATCH($A76,'Impact Indicators - Section B '!$A$1:$A$98,0)),""),"")</f>
        <v/>
      </c>
      <c r="F76" s="609"/>
      <c r="G76" s="610"/>
    </row>
    <row r="77" spans="1:7" ht="18.75" customHeight="1">
      <c r="A77" s="607"/>
      <c r="B77" s="611"/>
      <c r="C77" s="612"/>
      <c r="D77" s="613"/>
      <c r="E77" s="611"/>
      <c r="F77" s="612"/>
      <c r="G77" s="613"/>
    </row>
    <row r="78" spans="1:7" ht="18.75" customHeight="1">
      <c r="A78" s="607"/>
      <c r="B78" s="614"/>
      <c r="C78" s="615"/>
      <c r="D78" s="616"/>
      <c r="E78" s="614"/>
      <c r="F78" s="615"/>
      <c r="G78" s="616"/>
    </row>
    <row r="79" spans="1:7" ht="18.75" customHeight="1">
      <c r="A79" s="607"/>
      <c r="B79" s="590" t="s">
        <v>769</v>
      </c>
      <c r="C79" s="591"/>
      <c r="D79" s="592"/>
      <c r="E79" s="590" t="s">
        <v>127</v>
      </c>
      <c r="F79" s="591"/>
      <c r="G79" s="592"/>
    </row>
    <row r="80" spans="1:7" ht="18.75" customHeight="1">
      <c r="A80" s="607"/>
      <c r="B80" s="617" t="str">
        <f>IFERROR(IF(INDEX('Impact Indicators - Section B '!H$1:H$98,MATCH($A76,'Impact Indicators - Section B '!$A$1:$A$98,0))&lt;&gt;0,INDEX('Impact Indicators - Section B '!H$1:H$98,MATCH($A76,'Impact Indicators - Section B '!$A$1:$A$98,0)),""),"")</f>
        <v/>
      </c>
      <c r="C80" s="603"/>
      <c r="D80" s="604"/>
      <c r="E80" s="617" t="str">
        <f>IFERROR(IF(INDEX('Impact Indicators - Section B '!J$1:J$98,MATCH($A76,'Impact Indicators - Section B '!$A$1:$A$98,0))&lt;&gt;0,INDEX('Impact Indicators - Section B '!J$1:J$98,MATCH($A76,'Impact Indicators - Section B '!$A$1:$A$98,0)),""),"")</f>
        <v>Congo (Democratic Republic)</v>
      </c>
      <c r="F80" s="603"/>
      <c r="G80" s="604"/>
    </row>
    <row r="81" spans="1:7" ht="18.75" customHeight="1">
      <c r="A81" s="607"/>
      <c r="B81" s="590" t="s">
        <v>199</v>
      </c>
      <c r="C81" s="591"/>
      <c r="D81" s="592"/>
      <c r="E81" s="590" t="s">
        <v>120</v>
      </c>
      <c r="F81" s="591"/>
      <c r="G81" s="592"/>
    </row>
    <row r="82" spans="1:7" ht="18.75" customHeight="1">
      <c r="A82" s="607"/>
      <c r="B82" s="608" t="str">
        <f>IFERROR(IF(INDEX('Impact Indicators - Section B '!G$1:G$98,MATCH($A76,'Impact Indicators - Section B '!$A$1:$A$98,0))&lt;&gt;0,INDEX('Impact Indicators - Section B '!G$1:G$98,MATCH($A76,'Impact Indicators - Section B '!$A$1:$A$98,0)),""),"")</f>
        <v>WHO TB Global Report 2022</v>
      </c>
      <c r="C82" s="609"/>
      <c r="D82" s="610"/>
      <c r="E82" s="608" t="str">
        <f ca="1">IFERROR(IF(AND('Overview - Section A'!AS$1="Grant Making",OR(B76&lt;&gt;"",E76&lt;&gt;"")),Setup!I15,IF(INDEX('Impact Indicators - Section B '!I$1:I$98,MATCH($A76,'Impact Indicators - Section B '!$A$1:$A$98,0))&lt;&gt;0,INDEX('Impact Indicators - Section B '!I$1:I$98,MATCH($A76,'Impact Indicators - Section B '!$A$1:$A$98,0)),"")),"")</f>
        <v>Ministry of Public Health, Hygiene and Prevention</v>
      </c>
      <c r="F82" s="609"/>
      <c r="G82" s="610"/>
    </row>
    <row r="83" spans="1:7" ht="18.75" customHeight="1">
      <c r="A83" s="607"/>
      <c r="B83" s="614"/>
      <c r="C83" s="615"/>
      <c r="D83" s="616"/>
      <c r="E83" s="614"/>
      <c r="F83" s="615"/>
      <c r="G83" s="616"/>
    </row>
    <row r="84" spans="1:7" ht="18.75" customHeight="1">
      <c r="A84" s="607"/>
      <c r="B84" s="74"/>
      <c r="C84" s="59" t="s">
        <v>5052</v>
      </c>
      <c r="D84" s="590" t="s">
        <v>5053</v>
      </c>
      <c r="E84" s="591"/>
      <c r="F84" s="591"/>
      <c r="G84" s="592"/>
    </row>
    <row r="85" spans="1:7" ht="18.75" customHeight="1">
      <c r="A85" s="607"/>
      <c r="B85" s="74" t="s">
        <v>2589</v>
      </c>
      <c r="C85" s="75" t="str">
        <f>IFERROR(IF(INDEX('Impact Indicators - Section B '!F$1:F$98,MATCH($A76,'Impact Indicators - Section B '!$A$1:$A$98,0))&lt;&gt;0,INDEX('Impact Indicators - Section B '!F$1:F$98,MATCH($A76,'Impact Indicators - Section B '!$A$1:$A$98,0)),""),"")&amp;CHAR(10)&amp;IFERROR(IF(INDEX('Impact Indicators - Section B '!G$1:G$98,MATCH($A76,'Impact Indicators - Section B '!$A$1:$A$98,0))&lt;&gt;0,INDEX('Impact Indicators - Section B '!G$1:G$98,MATCH($A76,'Impact Indicators - Section B '!$A$1:$A$98,0)),""),"")</f>
        <v>2021
WHO TB Global Report 2022</v>
      </c>
      <c r="D85" s="59">
        <f ca="1">IFERROR(IF(YEAR(INDEX('Overview - Section A'!$A$47:$A$54,MATCH('Print - Summary'!$H$10,'Overview - Section A'!$B$47:$B$54,0)))&lt;=YEAR('Overview - Section A'!$E$8),YEAR(INDEX('Overview - Section A'!$A$47:$A$54,MATCH('Print - Summary'!$H$10,'Overview - Section A'!$B$47:$B$54,0))),""),"")</f>
        <v>2024</v>
      </c>
      <c r="E85" s="59">
        <f ca="1">IFERROR(IF(D85+1&lt;=YEAR('Overview - Section A'!$E$8),D85+1,""),"")</f>
        <v>2025</v>
      </c>
      <c r="F85" s="59">
        <f ca="1">IFERROR(IF(E85+1&lt;=YEAR('Overview - Section A'!$E$8),E85+1,""),"")</f>
        <v>2026</v>
      </c>
      <c r="G85" s="59" t="str">
        <f ca="1">IFERROR(IF(F85+1&lt;=YEAR('Overview - Section A'!$E$8),F85+1,""),"")</f>
        <v/>
      </c>
    </row>
    <row r="86" spans="1:7" s="77" customFormat="1" ht="18.75" customHeight="1">
      <c r="A86" s="607"/>
      <c r="B86" s="74" t="s">
        <v>5054</v>
      </c>
      <c r="C86" s="76" t="str">
        <f>IFERROR(IF(INDEX('Impact Indicators - Section B '!D$1:D$98,MATCH($A76,'Impact Indicators - Section B '!$A$1:$A$98,0))&lt;&gt;"",FIXED(INDEX('Impact Indicators - Section B '!D$1:D$98,MATCH($A76,'Impact Indicators - Section B '!$A$1:$A$98,0)),4),""),"")</f>
        <v>1.6000</v>
      </c>
      <c r="D86" s="76" t="str">
        <f ca="1">IFERROR(IF(INDEX('Impact Indicators - Section B '!K$1:K$98,MATCH($A76,'Impact Indicators - Section B '!$A$1:$A$98,0))&lt;&gt;"",FIXED(INDEX('Impact Indicators - Section B '!K$1:K$98,MATCH($A76,'Impact Indicators - Section B '!$A$1:$A$98,0)),4),""),"")</f>
        <v>1.6000</v>
      </c>
      <c r="E86" s="76" t="str">
        <f ca="1">IFERROR(IF(INDEX('Impact Indicators - Section B '!O$1:O$98,MATCH($A76,'Impact Indicators - Section B '!$A$1:$A$98,0))&lt;&gt;"",FIXED(INDEX('Impact Indicators - Section B '!O$1:O$98,MATCH($A76,'Impact Indicators - Section B '!$A$1:$A$98,0)),4),""),"")</f>
        <v>1.6000</v>
      </c>
      <c r="F86" s="76" t="str">
        <f ca="1">IFERROR(IF(INDEX('Impact Indicators - Section B '!S$1:S$98,MATCH($A76,'Impact Indicators - Section B '!$A$1:$A$98,0))&lt;&gt;"",FIXED(INDEX('Impact Indicators - Section B '!S$1:S$98,MATCH($A76,'Impact Indicators - Section B '!$A$1:$A$98,0)),4),""),"")</f>
        <v>1.6000</v>
      </c>
      <c r="G86" s="76" t="str">
        <f ca="1">IFERROR(IF(INDEX('Impact Indicators - Section B '!W$1:W$98,MATCH($A76,'Impact Indicators - Section B '!$A$1:$A$98,0))&lt;&gt;"",FIXED(INDEX('Impact Indicators - Section B '!W$1:W$98,MATCH($A76,'Impact Indicators - Section B '!$A$1:$A$98,0)),4),""),"")</f>
        <v/>
      </c>
    </row>
    <row r="87" spans="1:7" s="79" customFormat="1" ht="18.75" customHeight="1">
      <c r="A87" s="607"/>
      <c r="B87" s="74" t="s">
        <v>5055</v>
      </c>
      <c r="C87" s="78" t="str">
        <f>IFERROR(IF(INDEX('Impact Indicators - Section B '!D$1:D$98,MATCH($A76,'Impact Indicators - Section B '!$A$1:$A$98,0)+1)&lt;&gt;"",FIXED(INDEX('Impact Indicators - Section B '!D$1:D$98,MATCH($A76,'Impact Indicators - Section B '!$A$1:$A$98,0)+1),2),""),"")</f>
        <v/>
      </c>
      <c r="D87" s="78" t="str">
        <f ca="1">IFERROR(IF(INDEX('Impact Indicators - Section B '!K$1:K$98,MATCH($A76,'Impact Indicators - Section B '!$A$1:$A$98,0)+1)&lt;&gt;"",FIXED(INDEX('Impact Indicators - Section B '!K$1:K$98,MATCH($A76,'Impact Indicators - Section B '!$A$1:$A$98,0)+1),2),""),"")</f>
        <v/>
      </c>
      <c r="E87" s="78" t="str">
        <f ca="1">IFERROR(IF(INDEX('Impact Indicators - Section B '!O$1:O$98,MATCH($A76,'Impact Indicators - Section B '!$A$1:$A$98,0)+1)&lt;&gt;"",FIXED(INDEX('Impact Indicators - Section B '!O$1:O$98,MATCH($A76,'Impact Indicators - Section B '!$A$1:$A$98,0)+1),2),""),"")</f>
        <v/>
      </c>
      <c r="F87" s="78" t="str">
        <f ca="1">IFERROR(IF(INDEX('Impact Indicators - Section B '!S$1:S$98,MATCH($A76,'Impact Indicators - Section B '!$A$1:$A$98,0)+1)&lt;&gt;"",FIXED(INDEX('Impact Indicators - Section B '!S$1:S$98,MATCH($A76,'Impact Indicators - Section B '!$A$1:$A$98,0)+1),2),""),"")</f>
        <v/>
      </c>
      <c r="G87" s="78" t="str">
        <f ca="1">IFERROR(IF(INDEX('Impact Indicators - Section B '!W$1:W$98,MATCH($A76,'Impact Indicators - Section B '!$A$1:$A$98,0)+1)&lt;&gt;"",FIXED(INDEX('Impact Indicators - Section B '!W$1:W$98,MATCH($A76,'Impact Indicators - Section B '!$A$1:$A$98,0)+1),2),""),"")</f>
        <v/>
      </c>
    </row>
    <row r="88" spans="1:7" ht="18.75" customHeight="1">
      <c r="A88" s="607"/>
      <c r="B88" s="74" t="s">
        <v>5056</v>
      </c>
      <c r="C88" s="75" t="str">
        <f ca="1">IFERROR(IF(INDEX('Impact Indicators - Section B '!E$1:E$98,MATCH($A76,'Impact Indicators - Section B '!$A$1:$A$98,0))&lt;&gt;"",FIXED(INDEX('Impact Indicators - Section B '!E$1:E$98,MATCH($A76,'Impact Indicators - Section B '!$A$1:$A$98,0))*100,2)&amp;"%",""),"")</f>
        <v/>
      </c>
      <c r="D88" s="75" t="str">
        <f ca="1">IFERROR(IF(INDEX('Impact Indicators - Section B '!L$1:L$98,MATCH($A76,'Impact Indicators - Section B '!$A$1:$A$98,0))&lt;&gt;"",FIXED(INDEX('Impact Indicators - Section B '!L$1:L$98,MATCH($A76,'Impact Indicators - Section B '!$A$1:$A$98,0))*100,2)&amp;"%",""),"")&amp;CHAR(10)&amp;IFERROR(IF(INDEX('Impact Indicators - Section B '!N$1:N$98,MATCH($A76,'Impact Indicators - Section B '!$A$1:$A$98,0))&lt;&gt;"",INDEX('Impact Indicators - Section B '!N$1:N$98,MATCH($A76,'Impact Indicators - Section B '!$A$1:$A$98,0)),""),"")&amp;CHAR(10)&amp;IFERROR(IF(INDEX('Impact Indicators - Section B '!M$1:M$98,MATCH($A76,'Impact Indicators - Section B '!$A$1:$A$98,0))&lt;&gt;"",TEXT(INDEX('Impact Indicators - Section B '!M$1:M$98,MATCH($A76,'Impact Indicators - Section B '!$A$1:$A$98,0)),Setup!$A$33),""),"")</f>
        <v xml:space="preserve">
</v>
      </c>
      <c r="E88" s="75" t="str">
        <f ca="1">IFERROR(IF(INDEX('Impact Indicators - Section B '!P$1:P$98,MATCH($A76,'Impact Indicators - Section B '!$A$1:$A$98,0))&lt;&gt;"",FIXED(INDEX('Impact Indicators - Section B '!P$1:P$98,MATCH($A76,'Impact Indicators - Section B '!$A$1:$A$98,0))*100,2)&amp;"%",""),"")&amp;CHAR(10)&amp;IFERROR(IF(INDEX('Impact Indicators - Section B '!R$1:R$98,MATCH($A76,'Impact Indicators - Section B '!$A$1:$A$98,0))&lt;&gt;"",INDEX('Impact Indicators - Section B '!R$1:R$98,MATCH($A76,'Impact Indicators - Section B '!$A$1:$A$98,0)),""),"")&amp;CHAR(10)&amp;IFERROR(IF(INDEX('Impact Indicators - Section B '!Q$1:Q$98,MATCH($A76,'Impact Indicators - Section B '!$A$1:$A$98,0))&lt;&gt;"",TEXT(INDEX('Impact Indicators - Section B '!Q$1:Q$98,MATCH($A76,'Impact Indicators - Section B '!$A$1:$A$98,0)),Setup!$A$33),""),"")</f>
        <v xml:space="preserve">
</v>
      </c>
      <c r="F88" s="75" t="str">
        <f ca="1">IFERROR(IF(INDEX('Impact Indicators - Section B '!T$1:T$98,MATCH($A76,'Impact Indicators - Section B '!$A$1:$A$98,0))&lt;&gt;"",FIXED(INDEX('Impact Indicators - Section B '!T$1:T$98,MATCH($A76,'Impact Indicators - Section B '!$A$1:$A$98,0))*100,2)&amp;"%",""),"")&amp;CHAR(10)&amp;IFERROR(IF(INDEX('Impact Indicators - Section B '!V$1:V$98,MATCH($A76,'Impact Indicators - Section B '!$A$1:$A$98,0))&lt;&gt;"",FIXED(INDEX('Impact Indicators - Section B '!V$1:V$98,MATCH($A76,'Impact Indicators - Section B '!$A$1:$A$98,0)),Setup!$A$33),""),"")&amp;CHAR(10)&amp;IFERROR(IF(INDEX('Impact Indicators - Section B '!U$1:U$98,MATCH($A76,'Impact Indicators - Section B '!$A$1:$A$98,0))&lt;&gt;"",TEXT(INDEX('Impact Indicators - Section B '!U$1:U$98,MATCH($A76,'Impact Indicators - Section B '!$A$1:$A$98,0)),Setup!$A$33),""),"")</f>
        <v xml:space="preserve">
</v>
      </c>
      <c r="G88" s="75" t="str">
        <f ca="1">IFERROR(IF(INDEX('Impact Indicators - Section B '!X$1:X$98,MATCH($A76,'Impact Indicators - Section B '!$A$1:$A$98,0))&lt;&gt;"",FIXED(INDEX('Impact Indicators - Section B '!X$1:X$98,MATCH($A76,'Impact Indicators - Section B '!$A$1:$A$98,0))*100,2)&amp;"%",""),"")&amp;CHAR(10)&amp;IFERROR(IF(INDEX('Impact Indicators - Section B '!Z$1:Z$98,MATCH($A76,'Impact Indicators - Section B '!$A$1:$A$98,0))&lt;&gt;"",INDEX('Impact Indicators - Section B '!Z$1:Z$98,MATCH($A76,'Impact Indicators - Section B '!$A$1:$A$98,0)),""),"")&amp;CHAR(10)&amp;IFERROR(IF(INDEX('Impact Indicators - Section B '!Y$1:Y$98,MATCH($A76,'Impact Indicators - Section B '!$A$1:$A$98,0))&lt;&gt;"",TEXT(INDEX('Impact Indicators - Section B '!Y$1:Y$98,MATCH($A76,'Impact Indicators - Section B '!$A$1:$A$98,0)),Setup!$A$33),""),"")</f>
        <v xml:space="preserve">
</v>
      </c>
    </row>
    <row r="89" spans="1:7" ht="18.75" customHeight="1">
      <c r="A89" s="607"/>
      <c r="B89" s="590" t="s">
        <v>176</v>
      </c>
      <c r="C89" s="591"/>
      <c r="D89" s="591"/>
      <c r="E89" s="591"/>
      <c r="F89" s="591"/>
      <c r="G89" s="592"/>
    </row>
    <row r="90" spans="1:7" ht="18.75" customHeight="1">
      <c r="A90" s="607"/>
      <c r="B90" s="608" t="str">
        <f>IFERROR(IF(INDEX('Impact Indicators - Section B '!AA$1:AA$98,MATCH($A76,'Impact Indicators - Section B '!$A$1:$A$98,0))&lt;&gt;0,INDEX('Impact Indicators - Section B '!AA$1:AA$98,MATCH($A76,'Impact Indicators - Section B '!$A$1:$A$98,0)),""),"")</f>
        <v>The result of the prevalence survey conducted in 2018 attributed a prevalence of MDR-TB of 1.6% among new cases. Efforts in early detection of MDR-TB in new cases and reprocessing, as well as improved results for susceptible TB and MDR-TB coupled with prevention efforts will lead to a stabilization of MDR-TB in new cases and then its reduction from the year of application of the new DRS result which will be conducted in 2023. The NMCP, while waiting for the results of the DRS, has chosen to keep the same prevalence for the three years.</v>
      </c>
      <c r="C90" s="609"/>
      <c r="D90" s="609"/>
      <c r="E90" s="609"/>
      <c r="F90" s="609"/>
      <c r="G90" s="610"/>
    </row>
    <row r="91" spans="1:7" ht="18.75" customHeight="1">
      <c r="A91" s="607"/>
      <c r="B91" s="611"/>
      <c r="C91" s="612"/>
      <c r="D91" s="612"/>
      <c r="E91" s="612"/>
      <c r="F91" s="612"/>
      <c r="G91" s="613"/>
    </row>
    <row r="92" spans="1:7" ht="18.75" customHeight="1">
      <c r="A92" s="607"/>
      <c r="B92" s="611"/>
      <c r="C92" s="612"/>
      <c r="D92" s="612"/>
      <c r="E92" s="612"/>
      <c r="F92" s="612"/>
      <c r="G92" s="613"/>
    </row>
    <row r="93" spans="1:7" ht="18.75" customHeight="1">
      <c r="A93" s="607"/>
      <c r="B93" s="611"/>
      <c r="C93" s="612"/>
      <c r="D93" s="612"/>
      <c r="E93" s="612"/>
      <c r="F93" s="612"/>
      <c r="G93" s="613"/>
    </row>
    <row r="94" spans="1:7" ht="18.75" customHeight="1">
      <c r="A94" s="607"/>
      <c r="B94" s="611"/>
      <c r="C94" s="612"/>
      <c r="D94" s="612"/>
      <c r="E94" s="612"/>
      <c r="F94" s="612"/>
      <c r="G94" s="613"/>
    </row>
    <row r="95" spans="1:7" ht="18.75" customHeight="1">
      <c r="A95" s="607"/>
      <c r="B95" s="611"/>
      <c r="C95" s="612"/>
      <c r="D95" s="612"/>
      <c r="E95" s="612"/>
      <c r="F95" s="612"/>
      <c r="G95" s="613"/>
    </row>
    <row r="96" spans="1:7" ht="18.75" customHeight="1">
      <c r="A96" s="607"/>
      <c r="B96" s="611"/>
      <c r="C96" s="612"/>
      <c r="D96" s="612"/>
      <c r="E96" s="612"/>
      <c r="F96" s="612"/>
      <c r="G96" s="613"/>
    </row>
    <row r="97" spans="1:7" ht="18.75" customHeight="1">
      <c r="A97" s="607"/>
      <c r="B97" s="611"/>
      <c r="C97" s="612"/>
      <c r="D97" s="612"/>
      <c r="E97" s="612"/>
      <c r="F97" s="612"/>
      <c r="G97" s="613"/>
    </row>
    <row r="98" spans="1:7" ht="18.75" customHeight="1">
      <c r="A98" s="607"/>
      <c r="B98" s="611"/>
      <c r="C98" s="612"/>
      <c r="D98" s="612"/>
      <c r="E98" s="612"/>
      <c r="F98" s="612"/>
      <c r="G98" s="613"/>
    </row>
    <row r="99" spans="1:7" ht="18.75" customHeight="1">
      <c r="A99" s="607"/>
      <c r="B99" s="611"/>
      <c r="C99" s="612"/>
      <c r="D99" s="612"/>
      <c r="E99" s="612"/>
      <c r="F99" s="612"/>
      <c r="G99" s="613"/>
    </row>
    <row r="100" spans="1:7" ht="18.75" customHeight="1">
      <c r="A100" s="598"/>
      <c r="B100" s="618"/>
      <c r="C100" s="618"/>
      <c r="D100" s="618"/>
      <c r="E100" s="618"/>
      <c r="F100" s="618"/>
      <c r="G100" s="599"/>
    </row>
    <row r="102" spans="1:7" ht="18.75" customHeight="1">
      <c r="A102" s="73" t="s">
        <v>5051</v>
      </c>
      <c r="B102" s="590" t="s">
        <v>765</v>
      </c>
      <c r="C102" s="591"/>
      <c r="D102" s="592"/>
      <c r="E102" s="590" t="s">
        <v>766</v>
      </c>
      <c r="F102" s="591"/>
      <c r="G102" s="592"/>
    </row>
    <row r="103" spans="1:7" ht="18.75" customHeight="1">
      <c r="A103" s="606">
        <v>4</v>
      </c>
      <c r="B103" s="608" t="str">
        <f ca="1">IFERROR(IF(INDEX('Impact Indicators - Section B '!B$1:B$98,MATCH($A103,'Impact Indicators - Section B '!$A$1:$A$98,0))&lt;&gt;0,INDEX('Impact Indicators - Section B '!B$1:B$98,MATCH($A103,'Impact Indicators - Section B '!$A$1:$A$98,0)),""),"")</f>
        <v>HIV I-9a Percentage of men who have sex with men who are living with HIV</v>
      </c>
      <c r="C103" s="609"/>
      <c r="D103" s="610"/>
      <c r="E103" s="608" t="str">
        <f>IFERROR(IF(INDEX('Impact Indicators - Section B '!C$1:C$98,MATCH($A103,'Impact Indicators - Section B '!$A$1:$A$98,0))&lt;&gt;0,INDEX('Impact Indicators - Section B '!C$1:C$98,MATCH($A103,'Impact Indicators - Section B '!$A$1:$A$98,0)),""),"")</f>
        <v/>
      </c>
      <c r="F103" s="609"/>
      <c r="G103" s="610"/>
    </row>
    <row r="104" spans="1:7" ht="18.75" customHeight="1">
      <c r="A104" s="607"/>
      <c r="B104" s="611"/>
      <c r="C104" s="612"/>
      <c r="D104" s="613"/>
      <c r="E104" s="611"/>
      <c r="F104" s="612"/>
      <c r="G104" s="613"/>
    </row>
    <row r="105" spans="1:7" ht="18.75" customHeight="1">
      <c r="A105" s="607"/>
      <c r="B105" s="614"/>
      <c r="C105" s="615"/>
      <c r="D105" s="616"/>
      <c r="E105" s="614"/>
      <c r="F105" s="615"/>
      <c r="G105" s="616"/>
    </row>
    <row r="106" spans="1:7" ht="18.75" customHeight="1">
      <c r="A106" s="607"/>
      <c r="B106" s="590" t="s">
        <v>769</v>
      </c>
      <c r="C106" s="591"/>
      <c r="D106" s="592"/>
      <c r="E106" s="590" t="s">
        <v>127</v>
      </c>
      <c r="F106" s="591"/>
      <c r="G106" s="592"/>
    </row>
    <row r="107" spans="1:7" ht="18.75" customHeight="1">
      <c r="A107" s="607"/>
      <c r="B107" s="617" t="str">
        <f>IFERROR(IF(INDEX('Impact Indicators - Section B '!H$1:H$98,MATCH($A103,'Impact Indicators - Section B '!$A$1:$A$98,0))&lt;&gt;0,INDEX('Impact Indicators - Section B '!H$1:H$98,MATCH($A103,'Impact Indicators - Section B '!$A$1:$A$98,0)),""),"")</f>
        <v>Age</v>
      </c>
      <c r="C107" s="603"/>
      <c r="D107" s="604"/>
      <c r="E107" s="617" t="str">
        <f>IFERROR(IF(INDEX('Impact Indicators - Section B '!J$1:J$98,MATCH($A103,'Impact Indicators - Section B '!$A$1:$A$98,0))&lt;&gt;0,INDEX('Impact Indicators - Section B '!J$1:J$98,MATCH($A103,'Impact Indicators - Section B '!$A$1:$A$98,0)),""),"")</f>
        <v>Congo (Democratic Republic)</v>
      </c>
      <c r="F107" s="603"/>
      <c r="G107" s="604"/>
    </row>
    <row r="108" spans="1:7" ht="18.75" customHeight="1">
      <c r="A108" s="607"/>
      <c r="B108" s="590" t="s">
        <v>199</v>
      </c>
      <c r="C108" s="591"/>
      <c r="D108" s="592"/>
      <c r="E108" s="590" t="s">
        <v>120</v>
      </c>
      <c r="F108" s="591"/>
      <c r="G108" s="592"/>
    </row>
    <row r="109" spans="1:7" ht="18.75" customHeight="1">
      <c r="A109" s="607"/>
      <c r="B109" s="608" t="str">
        <f>IFERROR(IF(INDEX('Impact Indicators - Section B '!G$1:G$98,MATCH($A103,'Impact Indicators - Section B '!$A$1:$A$98,0))&lt;&gt;0,INDEX('Impact Indicators - Section B '!G$1:G$98,MATCH($A103,'Impact Indicators - Section B '!$A$1:$A$98,0)),""),"")</f>
        <v>IBBS report 2018-2019</v>
      </c>
      <c r="C109" s="609"/>
      <c r="D109" s="610"/>
      <c r="E109" s="608" t="str">
        <f ca="1">IFERROR(IF(AND('Overview - Section A'!AS$1="Grant Making",OR(B103&lt;&gt;"",E103&lt;&gt;"")),Setup!I15,IF(INDEX('Impact Indicators - Section B '!I$1:I$98,MATCH($A103,'Impact Indicators - Section B '!$A$1:$A$98,0))&lt;&gt;0,INDEX('Impact Indicators - Section B '!I$1:I$98,MATCH($A103,'Impact Indicators - Section B '!$A$1:$A$98,0)),"")),"")</f>
        <v>Ministry of Public Health, Hygiene and Prevention</v>
      </c>
      <c r="F109" s="609"/>
      <c r="G109" s="610"/>
    </row>
    <row r="110" spans="1:7" ht="18.75" customHeight="1">
      <c r="A110" s="607"/>
      <c r="B110" s="614"/>
      <c r="C110" s="615"/>
      <c r="D110" s="616"/>
      <c r="E110" s="614"/>
      <c r="F110" s="615"/>
      <c r="G110" s="616"/>
    </row>
    <row r="111" spans="1:7" ht="18.75" customHeight="1">
      <c r="A111" s="607"/>
      <c r="B111" s="74"/>
      <c r="C111" s="59" t="s">
        <v>5052</v>
      </c>
      <c r="D111" s="590" t="s">
        <v>5053</v>
      </c>
      <c r="E111" s="591"/>
      <c r="F111" s="591"/>
      <c r="G111" s="592"/>
    </row>
    <row r="112" spans="1:7" ht="18.75" customHeight="1">
      <c r="A112" s="607"/>
      <c r="B112" s="74" t="s">
        <v>2589</v>
      </c>
      <c r="C112" s="75" t="str">
        <f>IFERROR(IF(INDEX('Impact Indicators - Section B '!F$1:F$98,MATCH($A103,'Impact Indicators - Section B '!$A$1:$A$98,0))&lt;&gt;0,INDEX('Impact Indicators - Section B '!F$1:F$98,MATCH($A103,'Impact Indicators - Section B '!$A$1:$A$98,0)),""),"")&amp;CHAR(10)&amp;IFERROR(IF(INDEX('Impact Indicators - Section B '!G$1:G$98,MATCH($A103,'Impact Indicators - Section B '!$A$1:$A$98,0))&lt;&gt;0,INDEX('Impact Indicators - Section B '!G$1:G$98,MATCH($A103,'Impact Indicators - Section B '!$A$1:$A$98,0)),""),"")</f>
        <v>2019
IBBS report 2018-2019</v>
      </c>
      <c r="D112" s="59">
        <f ca="1">IFERROR(IF(YEAR(INDEX('Overview - Section A'!$A$47:$A$54,MATCH('Print - Summary'!$H$10,'Overview - Section A'!$B$47:$B$54,0)))&lt;=YEAR('Overview - Section A'!$E$8),YEAR(INDEX('Overview - Section A'!$A$47:$A$54,MATCH('Print - Summary'!$H$10,'Overview - Section A'!$B$47:$B$54,0))),""),"")</f>
        <v>2024</v>
      </c>
      <c r="E112" s="59">
        <f ca="1">IFERROR(IF(D112+1&lt;=YEAR('Overview - Section A'!$E$8),D112+1,""),"")</f>
        <v>2025</v>
      </c>
      <c r="F112" s="59">
        <f ca="1">IFERROR(IF(E112+1&lt;=YEAR('Overview - Section A'!$E$8),E112+1,""),"")</f>
        <v>2026</v>
      </c>
      <c r="G112" s="59" t="str">
        <f ca="1">IFERROR(IF(F112+1&lt;=YEAR('Overview - Section A'!$E$8),F112+1,""),"")</f>
        <v/>
      </c>
    </row>
    <row r="113" spans="1:7" s="77" customFormat="1" ht="18.75" customHeight="1">
      <c r="A113" s="607"/>
      <c r="B113" s="74" t="s">
        <v>5054</v>
      </c>
      <c r="C113" s="76" t="str">
        <f>IFERROR(IF(INDEX('Impact Indicators - Section B '!D$1:D$98,MATCH($A103,'Impact Indicators - Section B '!$A$1:$A$98,0))&lt;&gt;"",FIXED(INDEX('Impact Indicators - Section B '!D$1:D$98,MATCH($A103,'Impact Indicators - Section B '!$A$1:$A$98,0)),4),""),"")</f>
        <v/>
      </c>
      <c r="D113" s="76" t="str">
        <f ca="1">IFERROR(IF(INDEX('Impact Indicators - Section B '!K$1:K$98,MATCH($A103,'Impact Indicators - Section B '!$A$1:$A$98,0))&lt;&gt;"",FIXED(INDEX('Impact Indicators - Section B '!K$1:K$98,MATCH($A103,'Impact Indicators - Section B '!$A$1:$A$98,0)),4),""),"")</f>
        <v/>
      </c>
      <c r="E113" s="76" t="str">
        <f ca="1">IFERROR(IF(INDEX('Impact Indicators - Section B '!O$1:O$98,MATCH($A103,'Impact Indicators - Section B '!$A$1:$A$98,0))&lt;&gt;"",FIXED(INDEX('Impact Indicators - Section B '!O$1:O$98,MATCH($A103,'Impact Indicators - Section B '!$A$1:$A$98,0)),4),""),"")</f>
        <v/>
      </c>
      <c r="F113" s="76" t="str">
        <f ca="1">IFERROR(IF(INDEX('Impact Indicators - Section B '!S$1:S$98,MATCH($A103,'Impact Indicators - Section B '!$A$1:$A$98,0))&lt;&gt;"",FIXED(INDEX('Impact Indicators - Section B '!S$1:S$98,MATCH($A103,'Impact Indicators - Section B '!$A$1:$A$98,0)),4),""),"")</f>
        <v/>
      </c>
      <c r="G113" s="76" t="str">
        <f ca="1">IFERROR(IF(INDEX('Impact Indicators - Section B '!W$1:W$98,MATCH($A103,'Impact Indicators - Section B '!$A$1:$A$98,0))&lt;&gt;"",FIXED(INDEX('Impact Indicators - Section B '!W$1:W$98,MATCH($A103,'Impact Indicators - Section B '!$A$1:$A$98,0)),4),""),"")</f>
        <v/>
      </c>
    </row>
    <row r="114" spans="1:7" s="79" customFormat="1" ht="18.75" customHeight="1">
      <c r="A114" s="607"/>
      <c r="B114" s="74" t="s">
        <v>5055</v>
      </c>
      <c r="C114" s="78" t="str">
        <f>IFERROR(IF(INDEX('Impact Indicators - Section B '!D$1:D$98,MATCH($A103,'Impact Indicators - Section B '!$A$1:$A$98,0)+1)&lt;&gt;"",FIXED(INDEX('Impact Indicators - Section B '!D$1:D$98,MATCH($A103,'Impact Indicators - Section B '!$A$1:$A$98,0)+1),2),""),"")</f>
        <v/>
      </c>
      <c r="D114" s="78" t="str">
        <f ca="1">IFERROR(IF(INDEX('Impact Indicators - Section B '!K$1:K$98,MATCH($A103,'Impact Indicators - Section B '!$A$1:$A$98,0)+1)&lt;&gt;"",FIXED(INDEX('Impact Indicators - Section B '!K$1:K$98,MATCH($A103,'Impact Indicators - Section B '!$A$1:$A$98,0)+1),2),""),"")</f>
        <v/>
      </c>
      <c r="E114" s="78" t="str">
        <f ca="1">IFERROR(IF(INDEX('Impact Indicators - Section B '!O$1:O$98,MATCH($A103,'Impact Indicators - Section B '!$A$1:$A$98,0)+1)&lt;&gt;"",FIXED(INDEX('Impact Indicators - Section B '!O$1:O$98,MATCH($A103,'Impact Indicators - Section B '!$A$1:$A$98,0)+1),2),""),"")</f>
        <v/>
      </c>
      <c r="F114" s="78" t="str">
        <f ca="1">IFERROR(IF(INDEX('Impact Indicators - Section B '!S$1:S$98,MATCH($A103,'Impact Indicators - Section B '!$A$1:$A$98,0)+1)&lt;&gt;"",FIXED(INDEX('Impact Indicators - Section B '!S$1:S$98,MATCH($A103,'Impact Indicators - Section B '!$A$1:$A$98,0)+1),2),""),"")</f>
        <v/>
      </c>
      <c r="G114" s="78" t="str">
        <f ca="1">IFERROR(IF(INDEX('Impact Indicators - Section B '!W$1:W$98,MATCH($A103,'Impact Indicators - Section B '!$A$1:$A$98,0)+1)&lt;&gt;"",FIXED(INDEX('Impact Indicators - Section B '!W$1:W$98,MATCH($A103,'Impact Indicators - Section B '!$A$1:$A$98,0)+1),2),""),"")</f>
        <v/>
      </c>
    </row>
    <row r="115" spans="1:7" ht="18.75" customHeight="1">
      <c r="A115" s="607"/>
      <c r="B115" s="74" t="s">
        <v>5056</v>
      </c>
      <c r="C115" s="75" t="str">
        <f ca="1">IFERROR(IF(INDEX('Impact Indicators - Section B '!E$1:E$98,MATCH($A103,'Impact Indicators - Section B '!$A$1:$A$98,0))&lt;&gt;"",FIXED(INDEX('Impact Indicators - Section B '!E$1:E$98,MATCH($A103,'Impact Indicators - Section B '!$A$1:$A$98,0))*100,2)&amp;"%",""),"")</f>
        <v>7.10%</v>
      </c>
      <c r="D115" s="75" t="str">
        <f ca="1">IFERROR(IF(INDEX('Impact Indicators - Section B '!L$1:L$98,MATCH($A103,'Impact Indicators - Section B '!$A$1:$A$98,0))&lt;&gt;"",FIXED(INDEX('Impact Indicators - Section B '!L$1:L$98,MATCH($A103,'Impact Indicators - Section B '!$A$1:$A$98,0))*100,2)&amp;"%",""),"")&amp;CHAR(10)&amp;IFERROR(IF(INDEX('Impact Indicators - Section B '!N$1:N$98,MATCH($A103,'Impact Indicators - Section B '!$A$1:$A$98,0))&lt;&gt;"",INDEX('Impact Indicators - Section B '!N$1:N$98,MATCH($A103,'Impact Indicators - Section B '!$A$1:$A$98,0)),""),"")&amp;CHAR(10)&amp;IFERROR(IF(INDEX('Impact Indicators - Section B '!M$1:M$98,MATCH($A103,'Impact Indicators - Section B '!$A$1:$A$98,0))&lt;&gt;"",TEXT(INDEX('Impact Indicators - Section B '!M$1:M$98,MATCH($A103,'Impact Indicators - Section B '!$A$1:$A$98,0)),Setup!$A$33),""),"")</f>
        <v xml:space="preserve">
</v>
      </c>
      <c r="E115" s="75" t="str">
        <f ca="1">IFERROR(IF(INDEX('Impact Indicators - Section B '!P$1:P$98,MATCH($A103,'Impact Indicators - Section B '!$A$1:$A$98,0))&lt;&gt;"",FIXED(INDEX('Impact Indicators - Section B '!P$1:P$98,MATCH($A103,'Impact Indicators - Section B '!$A$1:$A$98,0))*100,2)&amp;"%",""),"")&amp;CHAR(10)&amp;IFERROR(IF(INDEX('Impact Indicators - Section B '!R$1:R$98,MATCH($A103,'Impact Indicators - Section B '!$A$1:$A$98,0))&lt;&gt;"",INDEX('Impact Indicators - Section B '!R$1:R$98,MATCH($A103,'Impact Indicators - Section B '!$A$1:$A$98,0)),""),"")&amp;CHAR(10)&amp;IFERROR(IF(INDEX('Impact Indicators - Section B '!Q$1:Q$98,MATCH($A103,'Impact Indicators - Section B '!$A$1:$A$98,0))&lt;&gt;"",TEXT(INDEX('Impact Indicators - Section B '!Q$1:Q$98,MATCH($A103,'Impact Indicators - Section B '!$A$1:$A$98,0)),Setup!$A$33),""),"")</f>
        <v xml:space="preserve">
TBD
</v>
      </c>
      <c r="F115" s="75" t="str">
        <f ca="1">IFERROR(IF(INDEX('Impact Indicators - Section B '!T$1:T$98,MATCH($A103,'Impact Indicators - Section B '!$A$1:$A$98,0))&lt;&gt;"",FIXED(INDEX('Impact Indicators - Section B '!T$1:T$98,MATCH($A103,'Impact Indicators - Section B '!$A$1:$A$98,0))*100,2)&amp;"%",""),"")&amp;CHAR(10)&amp;IFERROR(IF(INDEX('Impact Indicators - Section B '!V$1:V$98,MATCH($A103,'Impact Indicators - Section B '!$A$1:$A$98,0))&lt;&gt;"",FIXED(INDEX('Impact Indicators - Section B '!V$1:V$98,MATCH($A103,'Impact Indicators - Section B '!$A$1:$A$98,0)),Setup!$A$33),""),"")&amp;CHAR(10)&amp;IFERROR(IF(INDEX('Impact Indicators - Section B '!U$1:U$98,MATCH($A103,'Impact Indicators - Section B '!$A$1:$A$98,0))&lt;&gt;"",TEXT(INDEX('Impact Indicators - Section B '!U$1:U$98,MATCH($A103,'Impact Indicators - Section B '!$A$1:$A$98,0)),Setup!$A$33),""),"")</f>
        <v xml:space="preserve">
</v>
      </c>
      <c r="G115" s="75" t="str">
        <f ca="1">IFERROR(IF(INDEX('Impact Indicators - Section B '!X$1:X$98,MATCH($A103,'Impact Indicators - Section B '!$A$1:$A$98,0))&lt;&gt;"",FIXED(INDEX('Impact Indicators - Section B '!X$1:X$98,MATCH($A103,'Impact Indicators - Section B '!$A$1:$A$98,0))*100,2)&amp;"%",""),"")&amp;CHAR(10)&amp;IFERROR(IF(INDEX('Impact Indicators - Section B '!Z$1:Z$98,MATCH($A103,'Impact Indicators - Section B '!$A$1:$A$98,0))&lt;&gt;"",INDEX('Impact Indicators - Section B '!Z$1:Z$98,MATCH($A103,'Impact Indicators - Section B '!$A$1:$A$98,0)),""),"")&amp;CHAR(10)&amp;IFERROR(IF(INDEX('Impact Indicators - Section B '!Y$1:Y$98,MATCH($A103,'Impact Indicators - Section B '!$A$1:$A$98,0))&lt;&gt;"",TEXT(INDEX('Impact Indicators - Section B '!Y$1:Y$98,MATCH($A103,'Impact Indicators - Section B '!$A$1:$A$98,0)),Setup!$A$33),""),"")</f>
        <v xml:space="preserve">
</v>
      </c>
    </row>
    <row r="116" spans="1:7" ht="18.75" customHeight="1">
      <c r="A116" s="607"/>
      <c r="B116" s="590" t="s">
        <v>176</v>
      </c>
      <c r="C116" s="591"/>
      <c r="D116" s="591"/>
      <c r="E116" s="591"/>
      <c r="F116" s="591"/>
      <c r="G116" s="592"/>
    </row>
    <row r="117" spans="1:7" ht="18.75" customHeight="1">
      <c r="A117" s="607"/>
      <c r="B117" s="608" t="str">
        <f>IFERROR(IF(INDEX('Impact Indicators - Section B '!AA$1:AA$98,MATCH($A103,'Impact Indicators - Section B '!$A$1:$A$98,0))&lt;&gt;0,INDEX('Impact Indicators - Section B '!AA$1:AA$98,MATCH($A103,'Impact Indicators - Section B '!$A$1:$A$98,0)),""),"")</f>
        <v>The IBBS survey will be conducted in 2024 and the results will be published in 2025. The report of the survey will be submitted in February 2025</v>
      </c>
      <c r="C117" s="609"/>
      <c r="D117" s="609"/>
      <c r="E117" s="609"/>
      <c r="F117" s="609"/>
      <c r="G117" s="610"/>
    </row>
    <row r="118" spans="1:7" ht="18.75" customHeight="1">
      <c r="A118" s="607"/>
      <c r="B118" s="611"/>
      <c r="C118" s="612"/>
      <c r="D118" s="612"/>
      <c r="E118" s="612"/>
      <c r="F118" s="612"/>
      <c r="G118" s="613"/>
    </row>
    <row r="119" spans="1:7" ht="18.75" customHeight="1">
      <c r="A119" s="607"/>
      <c r="B119" s="611"/>
      <c r="C119" s="612"/>
      <c r="D119" s="612"/>
      <c r="E119" s="612"/>
      <c r="F119" s="612"/>
      <c r="G119" s="613"/>
    </row>
    <row r="120" spans="1:7" ht="18.75" customHeight="1">
      <c r="A120" s="607"/>
      <c r="B120" s="611"/>
      <c r="C120" s="612"/>
      <c r="D120" s="612"/>
      <c r="E120" s="612"/>
      <c r="F120" s="612"/>
      <c r="G120" s="613"/>
    </row>
    <row r="121" spans="1:7" ht="18.75" customHeight="1">
      <c r="A121" s="607"/>
      <c r="B121" s="611"/>
      <c r="C121" s="612"/>
      <c r="D121" s="612"/>
      <c r="E121" s="612"/>
      <c r="F121" s="612"/>
      <c r="G121" s="613"/>
    </row>
    <row r="122" spans="1:7" ht="18.75" customHeight="1">
      <c r="A122" s="607"/>
      <c r="B122" s="611"/>
      <c r="C122" s="612"/>
      <c r="D122" s="612"/>
      <c r="E122" s="612"/>
      <c r="F122" s="612"/>
      <c r="G122" s="613"/>
    </row>
    <row r="123" spans="1:7" ht="18.75" customHeight="1">
      <c r="A123" s="607"/>
      <c r="B123" s="611"/>
      <c r="C123" s="612"/>
      <c r="D123" s="612"/>
      <c r="E123" s="612"/>
      <c r="F123" s="612"/>
      <c r="G123" s="613"/>
    </row>
    <row r="124" spans="1:7" ht="18.75" customHeight="1">
      <c r="A124" s="607"/>
      <c r="B124" s="611"/>
      <c r="C124" s="612"/>
      <c r="D124" s="612"/>
      <c r="E124" s="612"/>
      <c r="F124" s="612"/>
      <c r="G124" s="613"/>
    </row>
    <row r="125" spans="1:7" ht="18.75" customHeight="1">
      <c r="A125" s="607"/>
      <c r="B125" s="611"/>
      <c r="C125" s="612"/>
      <c r="D125" s="612"/>
      <c r="E125" s="612"/>
      <c r="F125" s="612"/>
      <c r="G125" s="613"/>
    </row>
    <row r="126" spans="1:7" ht="18.75" customHeight="1">
      <c r="A126" s="607"/>
      <c r="B126" s="611"/>
      <c r="C126" s="612"/>
      <c r="D126" s="612"/>
      <c r="E126" s="612"/>
      <c r="F126" s="612"/>
      <c r="G126" s="613"/>
    </row>
    <row r="127" spans="1:7" ht="18.75" customHeight="1">
      <c r="A127" s="598"/>
      <c r="B127" s="618"/>
      <c r="C127" s="618"/>
      <c r="D127" s="618"/>
      <c r="E127" s="618"/>
      <c r="F127" s="618"/>
      <c r="G127" s="599"/>
    </row>
    <row r="129" spans="1:7" ht="18.75" customHeight="1">
      <c r="A129" s="73" t="s">
        <v>5051</v>
      </c>
      <c r="B129" s="590" t="s">
        <v>765</v>
      </c>
      <c r="C129" s="591"/>
      <c r="D129" s="592"/>
      <c r="E129" s="590" t="s">
        <v>766</v>
      </c>
      <c r="F129" s="591"/>
      <c r="G129" s="592"/>
    </row>
    <row r="130" spans="1:7" ht="18.75" customHeight="1">
      <c r="A130" s="606">
        <v>5</v>
      </c>
      <c r="B130" s="608" t="str">
        <f ca="1">IFERROR(IF(INDEX('Impact Indicators - Section B '!B$1:B$98,MATCH($A130,'Impact Indicators - Section B '!$A$1:$A$98,0))&lt;&gt;0,INDEX('Impact Indicators - Section B '!B$1:B$98,MATCH($A130,'Impact Indicators - Section B '!$A$1:$A$98,0)),""),"")</f>
        <v>HIV I-10 Percentage of sex workers who are living with HIV</v>
      </c>
      <c r="C130" s="609"/>
      <c r="D130" s="610"/>
      <c r="E130" s="608" t="str">
        <f>IFERROR(IF(INDEX('Impact Indicators - Section B '!C$1:C$98,MATCH($A130,'Impact Indicators - Section B '!$A$1:$A$98,0))&lt;&gt;0,INDEX('Impact Indicators - Section B '!C$1:C$98,MATCH($A130,'Impact Indicators - Section B '!$A$1:$A$98,0)),""),"")</f>
        <v/>
      </c>
      <c r="F130" s="609"/>
      <c r="G130" s="610"/>
    </row>
    <row r="131" spans="1:7" ht="18.75" customHeight="1">
      <c r="A131" s="607"/>
      <c r="B131" s="611"/>
      <c r="C131" s="612"/>
      <c r="D131" s="613"/>
      <c r="E131" s="611"/>
      <c r="F131" s="612"/>
      <c r="G131" s="613"/>
    </row>
    <row r="132" spans="1:7" ht="18.75" customHeight="1">
      <c r="A132" s="607"/>
      <c r="B132" s="614"/>
      <c r="C132" s="615"/>
      <c r="D132" s="616"/>
      <c r="E132" s="614"/>
      <c r="F132" s="615"/>
      <c r="G132" s="616"/>
    </row>
    <row r="133" spans="1:7" ht="18.75" customHeight="1">
      <c r="A133" s="607"/>
      <c r="B133" s="590" t="s">
        <v>769</v>
      </c>
      <c r="C133" s="591"/>
      <c r="D133" s="592"/>
      <c r="E133" s="590" t="s">
        <v>127</v>
      </c>
      <c r="F133" s="591"/>
      <c r="G133" s="592"/>
    </row>
    <row r="134" spans="1:7" ht="18.75" customHeight="1">
      <c r="A134" s="607"/>
      <c r="B134" s="617" t="str">
        <f>IFERROR(IF(INDEX('Impact Indicators - Section B '!H$1:H$98,MATCH($A130,'Impact Indicators - Section B '!$A$1:$A$98,0))&lt;&gt;0,INDEX('Impact Indicators - Section B '!H$1:H$98,MATCH($A130,'Impact Indicators - Section B '!$A$1:$A$98,0)),""),"")</f>
        <v>Gender,Age</v>
      </c>
      <c r="C134" s="603"/>
      <c r="D134" s="604"/>
      <c r="E134" s="617" t="str">
        <f>IFERROR(IF(INDEX('Impact Indicators - Section B '!J$1:J$98,MATCH($A130,'Impact Indicators - Section B '!$A$1:$A$98,0))&lt;&gt;0,INDEX('Impact Indicators - Section B '!J$1:J$98,MATCH($A130,'Impact Indicators - Section B '!$A$1:$A$98,0)),""),"")</f>
        <v>Congo (Democratic Republic)</v>
      </c>
      <c r="F134" s="603"/>
      <c r="G134" s="604"/>
    </row>
    <row r="135" spans="1:7" ht="18.75" customHeight="1">
      <c r="A135" s="607"/>
      <c r="B135" s="590" t="s">
        <v>199</v>
      </c>
      <c r="C135" s="591"/>
      <c r="D135" s="592"/>
      <c r="E135" s="590" t="s">
        <v>120</v>
      </c>
      <c r="F135" s="591"/>
      <c r="G135" s="592"/>
    </row>
    <row r="136" spans="1:7" ht="18.75" customHeight="1">
      <c r="A136" s="607"/>
      <c r="B136" s="608" t="str">
        <f>IFERROR(IF(INDEX('Impact Indicators - Section B '!G$1:G$98,MATCH($A130,'Impact Indicators - Section B '!$A$1:$A$98,0))&lt;&gt;0,INDEX('Impact Indicators - Section B '!G$1:G$98,MATCH($A130,'Impact Indicators - Section B '!$A$1:$A$98,0)),""),"")</f>
        <v>IBBS report 2018-2019</v>
      </c>
      <c r="C136" s="609"/>
      <c r="D136" s="610"/>
      <c r="E136" s="608" t="str">
        <f ca="1">IFERROR(IF(AND('Overview - Section A'!AS$1="Grant Making",OR(B130&lt;&gt;"",E130&lt;&gt;"")),Setup!I15,IF(INDEX('Impact Indicators - Section B '!I$1:I$98,MATCH($A130,'Impact Indicators - Section B '!$A$1:$A$98,0))&lt;&gt;0,INDEX('Impact Indicators - Section B '!I$1:I$98,MATCH($A130,'Impact Indicators - Section B '!$A$1:$A$98,0)),"")),"")</f>
        <v>Ministry of Public Health, Hygiene and Prevention</v>
      </c>
      <c r="F136" s="609"/>
      <c r="G136" s="610"/>
    </row>
    <row r="137" spans="1:7" ht="18.75" customHeight="1">
      <c r="A137" s="607"/>
      <c r="B137" s="614"/>
      <c r="C137" s="615"/>
      <c r="D137" s="616"/>
      <c r="E137" s="614"/>
      <c r="F137" s="615"/>
      <c r="G137" s="616"/>
    </row>
    <row r="138" spans="1:7" ht="18.75" customHeight="1">
      <c r="A138" s="607"/>
      <c r="B138" s="74"/>
      <c r="C138" s="59" t="s">
        <v>5052</v>
      </c>
      <c r="D138" s="590" t="s">
        <v>5053</v>
      </c>
      <c r="E138" s="591"/>
      <c r="F138" s="591"/>
      <c r="G138" s="592"/>
    </row>
    <row r="139" spans="1:7" ht="18.75" customHeight="1">
      <c r="A139" s="607"/>
      <c r="B139" s="74" t="s">
        <v>2589</v>
      </c>
      <c r="C139" s="75" t="str">
        <f>IFERROR(IF(INDEX('Impact Indicators - Section B '!F$1:F$98,MATCH($A130,'Impact Indicators - Section B '!$A$1:$A$98,0))&lt;&gt;0,INDEX('Impact Indicators - Section B '!F$1:F$98,MATCH($A130,'Impact Indicators - Section B '!$A$1:$A$98,0)),""),"")&amp;CHAR(10)&amp;IFERROR(IF(INDEX('Impact Indicators - Section B '!G$1:G$98,MATCH($A130,'Impact Indicators - Section B '!$A$1:$A$98,0))&lt;&gt;0,INDEX('Impact Indicators - Section B '!G$1:G$98,MATCH($A130,'Impact Indicators - Section B '!$A$1:$A$98,0)),""),"")</f>
        <v>2019
IBBS report 2018-2019</v>
      </c>
      <c r="D139" s="59">
        <f ca="1">IFERROR(IF(YEAR(INDEX('Overview - Section A'!$A$47:$A$54,MATCH('Print - Summary'!$H$10,'Overview - Section A'!$B$47:$B$54,0)))&lt;=YEAR('Overview - Section A'!$E$8),YEAR(INDEX('Overview - Section A'!$A$47:$A$54,MATCH('Print - Summary'!$H$10,'Overview - Section A'!$B$47:$B$54,0))),""),"")</f>
        <v>2024</v>
      </c>
      <c r="E139" s="59">
        <f ca="1">IFERROR(IF(D139+1&lt;=YEAR('Overview - Section A'!$E$8),D139+1,""),"")</f>
        <v>2025</v>
      </c>
      <c r="F139" s="59">
        <f ca="1">IFERROR(IF(E139+1&lt;=YEAR('Overview - Section A'!$E$8),E139+1,""),"")</f>
        <v>2026</v>
      </c>
      <c r="G139" s="59" t="str">
        <f ca="1">IFERROR(IF(F139+1&lt;=YEAR('Overview - Section A'!$E$8),F139+1,""),"")</f>
        <v/>
      </c>
    </row>
    <row r="140" spans="1:7" s="77" customFormat="1" ht="18.75" customHeight="1">
      <c r="A140" s="607"/>
      <c r="B140" s="74" t="s">
        <v>5054</v>
      </c>
      <c r="C140" s="76" t="str">
        <f>IFERROR(IF(INDEX('Impact Indicators - Section B '!D$1:D$98,MATCH($A130,'Impact Indicators - Section B '!$A$1:$A$98,0))&lt;&gt;"",FIXED(INDEX('Impact Indicators - Section B '!D$1:D$98,MATCH($A130,'Impact Indicators - Section B '!$A$1:$A$98,0)),4),""),"")</f>
        <v/>
      </c>
      <c r="D140" s="76" t="str">
        <f ca="1">IFERROR(IF(INDEX('Impact Indicators - Section B '!K$1:K$98,MATCH($A130,'Impact Indicators - Section B '!$A$1:$A$98,0))&lt;&gt;"",FIXED(INDEX('Impact Indicators - Section B '!K$1:K$98,MATCH($A130,'Impact Indicators - Section B '!$A$1:$A$98,0)),4),""),"")</f>
        <v/>
      </c>
      <c r="E140" s="76" t="str">
        <f ca="1">IFERROR(IF(INDEX('Impact Indicators - Section B '!O$1:O$98,MATCH($A130,'Impact Indicators - Section B '!$A$1:$A$98,0))&lt;&gt;"",FIXED(INDEX('Impact Indicators - Section B '!O$1:O$98,MATCH($A130,'Impact Indicators - Section B '!$A$1:$A$98,0)),4),""),"")</f>
        <v/>
      </c>
      <c r="F140" s="76" t="str">
        <f ca="1">IFERROR(IF(INDEX('Impact Indicators - Section B '!S$1:S$98,MATCH($A130,'Impact Indicators - Section B '!$A$1:$A$98,0))&lt;&gt;"",FIXED(INDEX('Impact Indicators - Section B '!S$1:S$98,MATCH($A130,'Impact Indicators - Section B '!$A$1:$A$98,0)),4),""),"")</f>
        <v/>
      </c>
      <c r="G140" s="76" t="str">
        <f ca="1">IFERROR(IF(INDEX('Impact Indicators - Section B '!W$1:W$98,MATCH($A130,'Impact Indicators - Section B '!$A$1:$A$98,0))&lt;&gt;"",FIXED(INDEX('Impact Indicators - Section B '!W$1:W$98,MATCH($A130,'Impact Indicators - Section B '!$A$1:$A$98,0)),4),""),"")</f>
        <v/>
      </c>
    </row>
    <row r="141" spans="1:7" s="79" customFormat="1" ht="18.75" customHeight="1">
      <c r="A141" s="607"/>
      <c r="B141" s="74" t="s">
        <v>5055</v>
      </c>
      <c r="C141" s="78" t="str">
        <f>IFERROR(IF(INDEX('Impact Indicators - Section B '!D$1:D$98,MATCH($A130,'Impact Indicators - Section B '!$A$1:$A$98,0)+1)&lt;&gt;"",FIXED(INDEX('Impact Indicators - Section B '!D$1:D$98,MATCH($A130,'Impact Indicators - Section B '!$A$1:$A$98,0)+1),2),""),"")</f>
        <v/>
      </c>
      <c r="D141" s="78" t="str">
        <f ca="1">IFERROR(IF(INDEX('Impact Indicators - Section B '!K$1:K$98,MATCH($A130,'Impact Indicators - Section B '!$A$1:$A$98,0)+1)&lt;&gt;"",FIXED(INDEX('Impact Indicators - Section B '!K$1:K$98,MATCH($A130,'Impact Indicators - Section B '!$A$1:$A$98,0)+1),2),""),"")</f>
        <v/>
      </c>
      <c r="E141" s="78" t="str">
        <f ca="1">IFERROR(IF(INDEX('Impact Indicators - Section B '!O$1:O$98,MATCH($A130,'Impact Indicators - Section B '!$A$1:$A$98,0)+1)&lt;&gt;"",FIXED(INDEX('Impact Indicators - Section B '!O$1:O$98,MATCH($A130,'Impact Indicators - Section B '!$A$1:$A$98,0)+1),2),""),"")</f>
        <v/>
      </c>
      <c r="F141" s="78" t="str">
        <f ca="1">IFERROR(IF(INDEX('Impact Indicators - Section B '!S$1:S$98,MATCH($A130,'Impact Indicators - Section B '!$A$1:$A$98,0)+1)&lt;&gt;"",FIXED(INDEX('Impact Indicators - Section B '!S$1:S$98,MATCH($A130,'Impact Indicators - Section B '!$A$1:$A$98,0)+1),2),""),"")</f>
        <v/>
      </c>
      <c r="G141" s="78" t="str">
        <f ca="1">IFERROR(IF(INDEX('Impact Indicators - Section B '!W$1:W$98,MATCH($A130,'Impact Indicators - Section B '!$A$1:$A$98,0)+1)&lt;&gt;"",FIXED(INDEX('Impact Indicators - Section B '!W$1:W$98,MATCH($A130,'Impact Indicators - Section B '!$A$1:$A$98,0)+1),2),""),"")</f>
        <v/>
      </c>
    </row>
    <row r="142" spans="1:7" ht="18.75" customHeight="1">
      <c r="A142" s="607"/>
      <c r="B142" s="74" t="s">
        <v>5056</v>
      </c>
      <c r="C142" s="75" t="str">
        <f ca="1">IFERROR(IF(INDEX('Impact Indicators - Section B '!E$1:E$98,MATCH($A130,'Impact Indicators - Section B '!$A$1:$A$98,0))&lt;&gt;"",FIXED(INDEX('Impact Indicators - Section B '!E$1:E$98,MATCH($A130,'Impact Indicators - Section B '!$A$1:$A$98,0))*100,2)&amp;"%",""),"")</f>
        <v>7.70%</v>
      </c>
      <c r="D142" s="75" t="str">
        <f ca="1">IFERROR(IF(INDEX('Impact Indicators - Section B '!L$1:L$98,MATCH($A130,'Impact Indicators - Section B '!$A$1:$A$98,0))&lt;&gt;"",FIXED(INDEX('Impact Indicators - Section B '!L$1:L$98,MATCH($A130,'Impact Indicators - Section B '!$A$1:$A$98,0))*100,2)&amp;"%",""),"")&amp;CHAR(10)&amp;IFERROR(IF(INDEX('Impact Indicators - Section B '!N$1:N$98,MATCH($A130,'Impact Indicators - Section B '!$A$1:$A$98,0))&lt;&gt;"",INDEX('Impact Indicators - Section B '!N$1:N$98,MATCH($A130,'Impact Indicators - Section B '!$A$1:$A$98,0)),""),"")&amp;CHAR(10)&amp;IFERROR(IF(INDEX('Impact Indicators - Section B '!M$1:M$98,MATCH($A130,'Impact Indicators - Section B '!$A$1:$A$98,0))&lt;&gt;"",TEXT(INDEX('Impact Indicators - Section B '!M$1:M$98,MATCH($A130,'Impact Indicators - Section B '!$A$1:$A$98,0)),Setup!$A$33),""),"")</f>
        <v xml:space="preserve">
</v>
      </c>
      <c r="E142" s="75" t="str">
        <f ca="1">IFERROR(IF(INDEX('Impact Indicators - Section B '!P$1:P$98,MATCH($A130,'Impact Indicators - Section B '!$A$1:$A$98,0))&lt;&gt;"",FIXED(INDEX('Impact Indicators - Section B '!P$1:P$98,MATCH($A130,'Impact Indicators - Section B '!$A$1:$A$98,0))*100,2)&amp;"%",""),"")&amp;CHAR(10)&amp;IFERROR(IF(INDEX('Impact Indicators - Section B '!R$1:R$98,MATCH($A130,'Impact Indicators - Section B '!$A$1:$A$98,0))&lt;&gt;"",INDEX('Impact Indicators - Section B '!R$1:R$98,MATCH($A130,'Impact Indicators - Section B '!$A$1:$A$98,0)),""),"")&amp;CHAR(10)&amp;IFERROR(IF(INDEX('Impact Indicators - Section B '!Q$1:Q$98,MATCH($A130,'Impact Indicators - Section B '!$A$1:$A$98,0))&lt;&gt;"",TEXT(INDEX('Impact Indicators - Section B '!Q$1:Q$98,MATCH($A130,'Impact Indicators - Section B '!$A$1:$A$98,0)),Setup!$A$33),""),"")</f>
        <v xml:space="preserve">
TBD
</v>
      </c>
      <c r="F142" s="75" t="str">
        <f ca="1">IFERROR(IF(INDEX('Impact Indicators - Section B '!T$1:T$98,MATCH($A130,'Impact Indicators - Section B '!$A$1:$A$98,0))&lt;&gt;"",FIXED(INDEX('Impact Indicators - Section B '!T$1:T$98,MATCH($A130,'Impact Indicators - Section B '!$A$1:$A$98,0))*100,2)&amp;"%",""),"")&amp;CHAR(10)&amp;IFERROR(IF(INDEX('Impact Indicators - Section B '!V$1:V$98,MATCH($A130,'Impact Indicators - Section B '!$A$1:$A$98,0))&lt;&gt;"",FIXED(INDEX('Impact Indicators - Section B '!V$1:V$98,MATCH($A130,'Impact Indicators - Section B '!$A$1:$A$98,0)),Setup!$A$33),""),"")&amp;CHAR(10)&amp;IFERROR(IF(INDEX('Impact Indicators - Section B '!U$1:U$98,MATCH($A130,'Impact Indicators - Section B '!$A$1:$A$98,0))&lt;&gt;"",TEXT(INDEX('Impact Indicators - Section B '!U$1:U$98,MATCH($A130,'Impact Indicators - Section B '!$A$1:$A$98,0)),Setup!$A$33),""),"")</f>
        <v xml:space="preserve">
</v>
      </c>
      <c r="G142" s="75" t="str">
        <f ca="1">IFERROR(IF(INDEX('Impact Indicators - Section B '!X$1:X$98,MATCH($A130,'Impact Indicators - Section B '!$A$1:$A$98,0))&lt;&gt;"",FIXED(INDEX('Impact Indicators - Section B '!X$1:X$98,MATCH($A130,'Impact Indicators - Section B '!$A$1:$A$98,0))*100,2)&amp;"%",""),"")&amp;CHAR(10)&amp;IFERROR(IF(INDEX('Impact Indicators - Section B '!Z$1:Z$98,MATCH($A130,'Impact Indicators - Section B '!$A$1:$A$98,0))&lt;&gt;"",INDEX('Impact Indicators - Section B '!Z$1:Z$98,MATCH($A130,'Impact Indicators - Section B '!$A$1:$A$98,0)),""),"")&amp;CHAR(10)&amp;IFERROR(IF(INDEX('Impact Indicators - Section B '!Y$1:Y$98,MATCH($A130,'Impact Indicators - Section B '!$A$1:$A$98,0))&lt;&gt;"",TEXT(INDEX('Impact Indicators - Section B '!Y$1:Y$98,MATCH($A130,'Impact Indicators - Section B '!$A$1:$A$98,0)),Setup!$A$33),""),"")</f>
        <v xml:space="preserve">
</v>
      </c>
    </row>
    <row r="143" spans="1:7" ht="18.75" customHeight="1">
      <c r="A143" s="607"/>
      <c r="B143" s="590" t="s">
        <v>176</v>
      </c>
      <c r="C143" s="591"/>
      <c r="D143" s="591"/>
      <c r="E143" s="591"/>
      <c r="F143" s="591"/>
      <c r="G143" s="592"/>
    </row>
    <row r="144" spans="1:7" ht="18.75" customHeight="1">
      <c r="A144" s="607"/>
      <c r="B144" s="608" t="str">
        <f>IFERROR(IF(INDEX('Impact Indicators - Section B '!AA$1:AA$98,MATCH($A130,'Impact Indicators - Section B '!$A$1:$A$98,0))&lt;&gt;0,INDEX('Impact Indicators - Section B '!AA$1:AA$98,MATCH($A130,'Impact Indicators - Section B '!$A$1:$A$98,0)),""),"")</f>
        <v>The IBBS survey will be conducted in 2024 and the results will be published in 2025. The report of the survey will be submitted in February 2025</v>
      </c>
      <c r="C144" s="609"/>
      <c r="D144" s="609"/>
      <c r="E144" s="609"/>
      <c r="F144" s="609"/>
      <c r="G144" s="610"/>
    </row>
    <row r="145" spans="1:7" ht="18.75" customHeight="1">
      <c r="A145" s="607"/>
      <c r="B145" s="611"/>
      <c r="C145" s="612"/>
      <c r="D145" s="612"/>
      <c r="E145" s="612"/>
      <c r="F145" s="612"/>
      <c r="G145" s="613"/>
    </row>
    <row r="146" spans="1:7" ht="18.75" customHeight="1">
      <c r="A146" s="607"/>
      <c r="B146" s="611"/>
      <c r="C146" s="612"/>
      <c r="D146" s="612"/>
      <c r="E146" s="612"/>
      <c r="F146" s="612"/>
      <c r="G146" s="613"/>
    </row>
    <row r="147" spans="1:7" ht="18.75" customHeight="1">
      <c r="A147" s="607"/>
      <c r="B147" s="611"/>
      <c r="C147" s="612"/>
      <c r="D147" s="612"/>
      <c r="E147" s="612"/>
      <c r="F147" s="612"/>
      <c r="G147" s="613"/>
    </row>
    <row r="148" spans="1:7" ht="18.75" customHeight="1">
      <c r="A148" s="607"/>
      <c r="B148" s="611"/>
      <c r="C148" s="612"/>
      <c r="D148" s="612"/>
      <c r="E148" s="612"/>
      <c r="F148" s="612"/>
      <c r="G148" s="613"/>
    </row>
    <row r="149" spans="1:7" ht="18.75" customHeight="1">
      <c r="A149" s="607"/>
      <c r="B149" s="611"/>
      <c r="C149" s="612"/>
      <c r="D149" s="612"/>
      <c r="E149" s="612"/>
      <c r="F149" s="612"/>
      <c r="G149" s="613"/>
    </row>
    <row r="150" spans="1:7" ht="18.75" customHeight="1">
      <c r="A150" s="607"/>
      <c r="B150" s="611"/>
      <c r="C150" s="612"/>
      <c r="D150" s="612"/>
      <c r="E150" s="612"/>
      <c r="F150" s="612"/>
      <c r="G150" s="613"/>
    </row>
    <row r="151" spans="1:7" ht="18.75" customHeight="1">
      <c r="A151" s="607"/>
      <c r="B151" s="611"/>
      <c r="C151" s="612"/>
      <c r="D151" s="612"/>
      <c r="E151" s="612"/>
      <c r="F151" s="612"/>
      <c r="G151" s="613"/>
    </row>
    <row r="152" spans="1:7" ht="18.75" customHeight="1">
      <c r="A152" s="607"/>
      <c r="B152" s="611"/>
      <c r="C152" s="612"/>
      <c r="D152" s="612"/>
      <c r="E152" s="612"/>
      <c r="F152" s="612"/>
      <c r="G152" s="613"/>
    </row>
    <row r="153" spans="1:7" ht="18.75" customHeight="1">
      <c r="A153" s="607"/>
      <c r="B153" s="611"/>
      <c r="C153" s="612"/>
      <c r="D153" s="612"/>
      <c r="E153" s="612"/>
      <c r="F153" s="612"/>
      <c r="G153" s="613"/>
    </row>
    <row r="154" spans="1:7" ht="18.75" customHeight="1">
      <c r="A154" s="598"/>
      <c r="B154" s="618"/>
      <c r="C154" s="618"/>
      <c r="D154" s="618"/>
      <c r="E154" s="618"/>
      <c r="F154" s="618"/>
      <c r="G154" s="599"/>
    </row>
    <row r="156" spans="1:7" ht="18.75" customHeight="1">
      <c r="A156" s="73" t="s">
        <v>5051</v>
      </c>
      <c r="B156" s="590" t="s">
        <v>765</v>
      </c>
      <c r="C156" s="591"/>
      <c r="D156" s="592"/>
      <c r="E156" s="590" t="s">
        <v>766</v>
      </c>
      <c r="F156" s="591"/>
      <c r="G156" s="592"/>
    </row>
    <row r="157" spans="1:7" ht="18.75" customHeight="1">
      <c r="A157" s="606">
        <v>6</v>
      </c>
      <c r="B157" s="608" t="str">
        <f ca="1">IFERROR(IF(INDEX('Impact Indicators - Section B '!B$1:B$98,MATCH($A157,'Impact Indicators - Section B '!$A$1:$A$98,0))&lt;&gt;0,INDEX('Impact Indicators - Section B '!B$1:B$98,MATCH($A157,'Impact Indicators - Section B '!$A$1:$A$98,0)),""),"")</f>
        <v>HIV I-9b Percentage of transgender people who are living with HIV</v>
      </c>
      <c r="C157" s="609"/>
      <c r="D157" s="610"/>
      <c r="E157" s="608" t="str">
        <f>IFERROR(IF(INDEX('Impact Indicators - Section B '!C$1:C$98,MATCH($A157,'Impact Indicators - Section B '!$A$1:$A$98,0))&lt;&gt;0,INDEX('Impact Indicators - Section B '!C$1:C$98,MATCH($A157,'Impact Indicators - Section B '!$A$1:$A$98,0)),""),"")</f>
        <v/>
      </c>
      <c r="F157" s="609"/>
      <c r="G157" s="610"/>
    </row>
    <row r="158" spans="1:7" ht="18.75" customHeight="1">
      <c r="A158" s="607"/>
      <c r="B158" s="611"/>
      <c r="C158" s="612"/>
      <c r="D158" s="613"/>
      <c r="E158" s="611"/>
      <c r="F158" s="612"/>
      <c r="G158" s="613"/>
    </row>
    <row r="159" spans="1:7" ht="18.75" customHeight="1">
      <c r="A159" s="607"/>
      <c r="B159" s="614"/>
      <c r="C159" s="615"/>
      <c r="D159" s="616"/>
      <c r="E159" s="614"/>
      <c r="F159" s="615"/>
      <c r="G159" s="616"/>
    </row>
    <row r="160" spans="1:7" ht="18.75" customHeight="1">
      <c r="A160" s="607"/>
      <c r="B160" s="590" t="s">
        <v>769</v>
      </c>
      <c r="C160" s="591"/>
      <c r="D160" s="592"/>
      <c r="E160" s="590" t="s">
        <v>127</v>
      </c>
      <c r="F160" s="591"/>
      <c r="G160" s="592"/>
    </row>
    <row r="161" spans="1:7" ht="18.75" customHeight="1">
      <c r="A161" s="607"/>
      <c r="B161" s="617" t="str">
        <f>IFERROR(IF(INDEX('Impact Indicators - Section B '!H$1:H$98,MATCH($A157,'Impact Indicators - Section B '!$A$1:$A$98,0))&lt;&gt;0,INDEX('Impact Indicators - Section B '!H$1:H$98,MATCH($A157,'Impact Indicators - Section B '!$A$1:$A$98,0)),""),"")</f>
        <v>Age</v>
      </c>
      <c r="C161" s="603"/>
      <c r="D161" s="604"/>
      <c r="E161" s="617" t="str">
        <f>IFERROR(IF(INDEX('Impact Indicators - Section B '!J$1:J$98,MATCH($A157,'Impact Indicators - Section B '!$A$1:$A$98,0))&lt;&gt;0,INDEX('Impact Indicators - Section B '!J$1:J$98,MATCH($A157,'Impact Indicators - Section B '!$A$1:$A$98,0)),""),"")</f>
        <v>Congo (Democratic Republic)</v>
      </c>
      <c r="F161" s="603"/>
      <c r="G161" s="604"/>
    </row>
    <row r="162" spans="1:7" ht="18.75" customHeight="1">
      <c r="A162" s="607"/>
      <c r="B162" s="590" t="s">
        <v>199</v>
      </c>
      <c r="C162" s="591"/>
      <c r="D162" s="592"/>
      <c r="E162" s="590" t="s">
        <v>120</v>
      </c>
      <c r="F162" s="591"/>
      <c r="G162" s="592"/>
    </row>
    <row r="163" spans="1:7" ht="18.75" customHeight="1">
      <c r="A163" s="607"/>
      <c r="B163" s="608" t="str">
        <f>IFERROR(IF(INDEX('Impact Indicators - Section B '!G$1:G$98,MATCH($A157,'Impact Indicators - Section B '!$A$1:$A$98,0))&lt;&gt;0,INDEX('Impact Indicators - Section B '!G$1:G$98,MATCH($A157,'Impact Indicators - Section B '!$A$1:$A$98,0)),""),"")</f>
        <v>No baseline data available</v>
      </c>
      <c r="C163" s="619"/>
      <c r="D163" s="620"/>
      <c r="E163" s="608" t="str">
        <f ca="1">IFERROR(IF(AND('Overview - Section A'!AS$1="Grant Making",OR(B157&lt;&gt;"",E157&lt;&gt;"")),Setup!I15,IF(INDEX('Impact Indicators - Section B '!I$1:I$98,MATCH($A157,'Impact Indicators - Section B '!$A$1:$A$98,0))&lt;&gt;0,INDEX('Impact Indicators - Section B '!I$1:I$98,MATCH($A157,'Impact Indicators - Section B '!$A$1:$A$98,0)),"")),"")</f>
        <v>Ministry of Public Health, Hygiene and Prevention</v>
      </c>
      <c r="F163" s="609"/>
      <c r="G163" s="610"/>
    </row>
    <row r="164" spans="1:7" ht="18.75" customHeight="1">
      <c r="A164" s="607"/>
      <c r="B164" s="614"/>
      <c r="C164" s="621"/>
      <c r="D164" s="622"/>
      <c r="E164" s="614"/>
      <c r="F164" s="615"/>
      <c r="G164" s="616"/>
    </row>
    <row r="165" spans="1:7" ht="18.75" customHeight="1">
      <c r="A165" s="607"/>
      <c r="B165" s="74"/>
      <c r="C165" s="59" t="s">
        <v>5052</v>
      </c>
      <c r="D165" s="590" t="s">
        <v>5053</v>
      </c>
      <c r="E165" s="591"/>
      <c r="F165" s="591"/>
      <c r="G165" s="592"/>
    </row>
    <row r="166" spans="1:7" ht="18.75" customHeight="1">
      <c r="A166" s="607"/>
      <c r="B166" s="74" t="s">
        <v>2589</v>
      </c>
      <c r="C166" s="75" t="str">
        <f>IFERROR(IF(INDEX('Impact Indicators - Section B '!F$1:F$98,MATCH($A157,'Impact Indicators - Section B '!$A$1:$A$98,0))&lt;&gt;0,INDEX('Impact Indicators - Section B '!F$1:F$98,MATCH($A157,'Impact Indicators - Section B '!$A$1:$A$98,0)),""),"")&amp;CHAR(10)&amp;IFERROR(IF(INDEX('Impact Indicators - Section B '!G$1:G$98,MATCH($A157,'Impact Indicators - Section B '!$A$1:$A$98,0))&lt;&gt;0,INDEX('Impact Indicators - Section B '!G$1:G$98,MATCH($A157,'Impact Indicators - Section B '!$A$1:$A$98,0)),""),"")</f>
        <v xml:space="preserve">
No baseline data available</v>
      </c>
      <c r="D166" s="59">
        <f ca="1">IFERROR(IF(YEAR(INDEX('Overview - Section A'!$A$47:$A$54,MATCH('Print - Summary'!$H$10,'Overview - Section A'!$B$47:$B$54,0)))&lt;=YEAR('Overview - Section A'!$E$8),YEAR(INDEX('Overview - Section A'!$A$47:$A$54,MATCH('Print - Summary'!$H$10,'Overview - Section A'!$B$47:$B$54,0))),""),"")</f>
        <v>2024</v>
      </c>
      <c r="E166" s="59">
        <f ca="1">IFERROR(IF(D166+1&lt;=YEAR('Overview - Section A'!$E$8),D166+1,""),"")</f>
        <v>2025</v>
      </c>
      <c r="F166" s="59">
        <f ca="1">IFERROR(IF(E166+1&lt;=YEAR('Overview - Section A'!$E$8),E166+1,""),"")</f>
        <v>2026</v>
      </c>
      <c r="G166" s="59" t="str">
        <f ca="1">IFERROR(IF(F166+1&lt;=YEAR('Overview - Section A'!$E$8),F166+1,""),"")</f>
        <v/>
      </c>
    </row>
    <row r="167" spans="1:7" s="77" customFormat="1" ht="18.75" customHeight="1">
      <c r="A167" s="607"/>
      <c r="B167" s="74" t="s">
        <v>5054</v>
      </c>
      <c r="C167" s="76" t="str">
        <f>IFERROR(IF(INDEX('Impact Indicators - Section B '!D$1:D$98,MATCH($A157,'Impact Indicators - Section B '!$A$1:$A$98,0))&lt;&gt;"",FIXED(INDEX('Impact Indicators - Section B '!D$1:D$98,MATCH($A157,'Impact Indicators - Section B '!$A$1:$A$98,0)),4),""),"")</f>
        <v/>
      </c>
      <c r="D167" s="76" t="str">
        <f ca="1">IFERROR(IF(INDEX('Impact Indicators - Section B '!K$1:K$98,MATCH($A157,'Impact Indicators - Section B '!$A$1:$A$98,0))&lt;&gt;"",FIXED(INDEX('Impact Indicators - Section B '!K$1:K$98,MATCH($A157,'Impact Indicators - Section B '!$A$1:$A$98,0)),4),""),"")</f>
        <v/>
      </c>
      <c r="E167" s="76" t="str">
        <f ca="1">IFERROR(IF(INDEX('Impact Indicators - Section B '!O$1:O$98,MATCH($A157,'Impact Indicators - Section B '!$A$1:$A$98,0))&lt;&gt;"",FIXED(INDEX('Impact Indicators - Section B '!O$1:O$98,MATCH($A157,'Impact Indicators - Section B '!$A$1:$A$98,0)),4),""),"")</f>
        <v/>
      </c>
      <c r="F167" s="76" t="str">
        <f ca="1">IFERROR(IF(INDEX('Impact Indicators - Section B '!S$1:S$98,MATCH($A157,'Impact Indicators - Section B '!$A$1:$A$98,0))&lt;&gt;"",FIXED(INDEX('Impact Indicators - Section B '!S$1:S$98,MATCH($A157,'Impact Indicators - Section B '!$A$1:$A$98,0)),4),""),"")</f>
        <v/>
      </c>
      <c r="G167" s="76" t="str">
        <f ca="1">IFERROR(IF(INDEX('Impact Indicators - Section B '!W$1:W$98,MATCH($A157,'Impact Indicators - Section B '!$A$1:$A$98,0))&lt;&gt;"",FIXED(INDEX('Impact Indicators - Section B '!W$1:W$98,MATCH($A157,'Impact Indicators - Section B '!$A$1:$A$98,0)),4),""),"")</f>
        <v/>
      </c>
    </row>
    <row r="168" spans="1:7" s="79" customFormat="1" ht="18.75" customHeight="1">
      <c r="A168" s="607"/>
      <c r="B168" s="74" t="s">
        <v>5055</v>
      </c>
      <c r="C168" s="78" t="str">
        <f>IFERROR(IF(INDEX('Impact Indicators - Section B '!D$1:D$98,MATCH($A157,'Impact Indicators - Section B '!$A$1:$A$98,0)+1)&lt;&gt;"",FIXED(INDEX('Impact Indicators - Section B '!D$1:D$98,MATCH($A157,'Impact Indicators - Section B '!$A$1:$A$98,0)+1),2),""),"")</f>
        <v/>
      </c>
      <c r="D168" s="78" t="str">
        <f ca="1">IFERROR(IF(INDEX('Impact Indicators - Section B '!K$1:K$98,MATCH($A157,'Impact Indicators - Section B '!$A$1:$A$98,0)+1)&lt;&gt;"",FIXED(INDEX('Impact Indicators - Section B '!K$1:K$98,MATCH($A157,'Impact Indicators - Section B '!$A$1:$A$98,0)+1),2),""),"")</f>
        <v/>
      </c>
      <c r="E168" s="78" t="str">
        <f ca="1">IFERROR(IF(INDEX('Impact Indicators - Section B '!O$1:O$98,MATCH($A157,'Impact Indicators - Section B '!$A$1:$A$98,0)+1)&lt;&gt;"",FIXED(INDEX('Impact Indicators - Section B '!O$1:O$98,MATCH($A157,'Impact Indicators - Section B '!$A$1:$A$98,0)+1),2),""),"")</f>
        <v/>
      </c>
      <c r="F168" s="78" t="str">
        <f ca="1">IFERROR(IF(INDEX('Impact Indicators - Section B '!S$1:S$98,MATCH($A157,'Impact Indicators - Section B '!$A$1:$A$98,0)+1)&lt;&gt;"",FIXED(INDEX('Impact Indicators - Section B '!S$1:S$98,MATCH($A157,'Impact Indicators - Section B '!$A$1:$A$98,0)+1),2),""),"")</f>
        <v/>
      </c>
      <c r="G168" s="78" t="str">
        <f ca="1">IFERROR(IF(INDEX('Impact Indicators - Section B '!W$1:W$98,MATCH($A157,'Impact Indicators - Section B '!$A$1:$A$98,0)+1)&lt;&gt;"",FIXED(INDEX('Impact Indicators - Section B '!W$1:W$98,MATCH($A157,'Impact Indicators - Section B '!$A$1:$A$98,0)+1),2),""),"")</f>
        <v/>
      </c>
    </row>
    <row r="169" spans="1:7" ht="18.75" customHeight="1">
      <c r="A169" s="607"/>
      <c r="B169" s="74" t="s">
        <v>5056</v>
      </c>
      <c r="C169" s="75" t="str">
        <f ca="1">IFERROR(IF(INDEX('Impact Indicators - Section B '!E$1:E$98,MATCH($A157,'Impact Indicators - Section B '!$A$1:$A$98,0))&lt;&gt;"",FIXED(INDEX('Impact Indicators - Section B '!E$1:E$98,MATCH($A157,'Impact Indicators - Section B '!$A$1:$A$98,0))*100,2)&amp;"%",""),"")</f>
        <v/>
      </c>
      <c r="D169" s="75" t="str">
        <f ca="1">IFERROR(IF(INDEX('Impact Indicators - Section B '!L$1:L$98,MATCH($A157,'Impact Indicators - Section B '!$A$1:$A$98,0))&lt;&gt;"",FIXED(INDEX('Impact Indicators - Section B '!L$1:L$98,MATCH($A157,'Impact Indicators - Section B '!$A$1:$A$98,0))*100,2)&amp;"%",""),"")&amp;CHAR(10)&amp;IFERROR(IF(INDEX('Impact Indicators - Section B '!N$1:N$98,MATCH($A157,'Impact Indicators - Section B '!$A$1:$A$98,0))&lt;&gt;"",INDEX('Impact Indicators - Section B '!N$1:N$98,MATCH($A157,'Impact Indicators - Section B '!$A$1:$A$98,0)),""),"")&amp;CHAR(10)&amp;IFERROR(IF(INDEX('Impact Indicators - Section B '!M$1:M$98,MATCH($A157,'Impact Indicators - Section B '!$A$1:$A$98,0))&lt;&gt;"",TEXT(INDEX('Impact Indicators - Section B '!M$1:M$98,MATCH($A157,'Impact Indicators - Section B '!$A$1:$A$98,0)),Setup!$A$33),""),"")</f>
        <v xml:space="preserve">
</v>
      </c>
      <c r="E169" s="75" t="str">
        <f ca="1">IFERROR(IF(INDEX('Impact Indicators - Section B '!P$1:P$98,MATCH($A157,'Impact Indicators - Section B '!$A$1:$A$98,0))&lt;&gt;"",FIXED(INDEX('Impact Indicators - Section B '!P$1:P$98,MATCH($A157,'Impact Indicators - Section B '!$A$1:$A$98,0))*100,2)&amp;"%",""),"")&amp;CHAR(10)&amp;IFERROR(IF(INDEX('Impact Indicators - Section B '!R$1:R$98,MATCH($A157,'Impact Indicators - Section B '!$A$1:$A$98,0))&lt;&gt;"",INDEX('Impact Indicators - Section B '!R$1:R$98,MATCH($A157,'Impact Indicators - Section B '!$A$1:$A$98,0)),""),"")&amp;CHAR(10)&amp;IFERROR(IF(INDEX('Impact Indicators - Section B '!Q$1:Q$98,MATCH($A157,'Impact Indicators - Section B '!$A$1:$A$98,0))&lt;&gt;"",TEXT(INDEX('Impact Indicators - Section B '!Q$1:Q$98,MATCH($A157,'Impact Indicators - Section B '!$A$1:$A$98,0)),Setup!$A$33),""),"")</f>
        <v xml:space="preserve">
TBD
</v>
      </c>
      <c r="F169" s="75" t="str">
        <f ca="1">IFERROR(IF(INDEX('Impact Indicators - Section B '!T$1:T$98,MATCH($A157,'Impact Indicators - Section B '!$A$1:$A$98,0))&lt;&gt;"",FIXED(INDEX('Impact Indicators - Section B '!T$1:T$98,MATCH($A157,'Impact Indicators - Section B '!$A$1:$A$98,0))*100,2)&amp;"%",""),"")&amp;CHAR(10)&amp;IFERROR(IF(INDEX('Impact Indicators - Section B '!V$1:V$98,MATCH($A157,'Impact Indicators - Section B '!$A$1:$A$98,0))&lt;&gt;"",FIXED(INDEX('Impact Indicators - Section B '!V$1:V$98,MATCH($A157,'Impact Indicators - Section B '!$A$1:$A$98,0)),Setup!$A$33),""),"")&amp;CHAR(10)&amp;IFERROR(IF(INDEX('Impact Indicators - Section B '!U$1:U$98,MATCH($A157,'Impact Indicators - Section B '!$A$1:$A$98,0))&lt;&gt;"",TEXT(INDEX('Impact Indicators - Section B '!U$1:U$98,MATCH($A157,'Impact Indicators - Section B '!$A$1:$A$98,0)),Setup!$A$33),""),"")</f>
        <v xml:space="preserve">
</v>
      </c>
      <c r="G169" s="75" t="str">
        <f ca="1">IFERROR(IF(INDEX('Impact Indicators - Section B '!X$1:X$98,MATCH($A157,'Impact Indicators - Section B '!$A$1:$A$98,0))&lt;&gt;"",FIXED(INDEX('Impact Indicators - Section B '!X$1:X$98,MATCH($A157,'Impact Indicators - Section B '!$A$1:$A$98,0))*100,2)&amp;"%",""),"")&amp;CHAR(10)&amp;IFERROR(IF(INDEX('Impact Indicators - Section B '!Z$1:Z$98,MATCH($A157,'Impact Indicators - Section B '!$A$1:$A$98,0))&lt;&gt;"",INDEX('Impact Indicators - Section B '!Z$1:Z$98,MATCH($A157,'Impact Indicators - Section B '!$A$1:$A$98,0)),""),"")&amp;CHAR(10)&amp;IFERROR(IF(INDEX('Impact Indicators - Section B '!Y$1:Y$98,MATCH($A157,'Impact Indicators - Section B '!$A$1:$A$98,0))&lt;&gt;"",TEXT(INDEX('Impact Indicators - Section B '!Y$1:Y$98,MATCH($A157,'Impact Indicators - Section B '!$A$1:$A$98,0)),Setup!$A$33),""),"")</f>
        <v xml:space="preserve">
</v>
      </c>
    </row>
    <row r="170" spans="1:7" ht="18.75" customHeight="1">
      <c r="A170" s="607"/>
      <c r="B170" s="590" t="s">
        <v>176</v>
      </c>
      <c r="C170" s="591"/>
      <c r="D170" s="591"/>
      <c r="E170" s="591"/>
      <c r="F170" s="591"/>
      <c r="G170" s="592"/>
    </row>
    <row r="171" spans="1:7" ht="18.75" customHeight="1">
      <c r="A171" s="607"/>
      <c r="B171" s="608" t="str">
        <f>IFERROR(IF(INDEX('Impact Indicators - Section B '!AA$1:AA$98,MATCH($A157,'Impact Indicators - Section B '!$A$1:$A$98,0))&lt;&gt;0,INDEX('Impact Indicators - Section B '!AA$1:AA$98,MATCH($A157,'Impact Indicators - Section B '!$A$1:$A$98,0)),""),"")</f>
        <v>The IBBS survey will be conducted in 2024 and the results will be published in 2025. The report of the survey will be submitted in February 2025</v>
      </c>
      <c r="C171" s="609"/>
      <c r="D171" s="609"/>
      <c r="E171" s="609"/>
      <c r="F171" s="609"/>
      <c r="G171" s="610"/>
    </row>
    <row r="172" spans="1:7" ht="18.75" customHeight="1">
      <c r="A172" s="607"/>
      <c r="B172" s="611"/>
      <c r="C172" s="612"/>
      <c r="D172" s="612"/>
      <c r="E172" s="612"/>
      <c r="F172" s="612"/>
      <c r="G172" s="613"/>
    </row>
    <row r="173" spans="1:7" ht="18.75" customHeight="1">
      <c r="A173" s="607"/>
      <c r="B173" s="611"/>
      <c r="C173" s="612"/>
      <c r="D173" s="612"/>
      <c r="E173" s="612"/>
      <c r="F173" s="612"/>
      <c r="G173" s="613"/>
    </row>
    <row r="174" spans="1:7" ht="18.75" customHeight="1">
      <c r="A174" s="607"/>
      <c r="B174" s="611"/>
      <c r="C174" s="612"/>
      <c r="D174" s="612"/>
      <c r="E174" s="612"/>
      <c r="F174" s="612"/>
      <c r="G174" s="613"/>
    </row>
    <row r="175" spans="1:7" ht="18.75" customHeight="1">
      <c r="A175" s="607"/>
      <c r="B175" s="611"/>
      <c r="C175" s="612"/>
      <c r="D175" s="612"/>
      <c r="E175" s="612"/>
      <c r="F175" s="612"/>
      <c r="G175" s="613"/>
    </row>
    <row r="176" spans="1:7" ht="18.75" customHeight="1">
      <c r="A176" s="607"/>
      <c r="B176" s="611"/>
      <c r="C176" s="612"/>
      <c r="D176" s="612"/>
      <c r="E176" s="612"/>
      <c r="F176" s="612"/>
      <c r="G176" s="613"/>
    </row>
    <row r="177" spans="1:7" ht="18.75" customHeight="1">
      <c r="A177" s="607"/>
      <c r="B177" s="611"/>
      <c r="C177" s="612"/>
      <c r="D177" s="612"/>
      <c r="E177" s="612"/>
      <c r="F177" s="612"/>
      <c r="G177" s="613"/>
    </row>
    <row r="178" spans="1:7" ht="18.75" customHeight="1">
      <c r="A178" s="607"/>
      <c r="B178" s="611"/>
      <c r="C178" s="612"/>
      <c r="D178" s="612"/>
      <c r="E178" s="612"/>
      <c r="F178" s="612"/>
      <c r="G178" s="613"/>
    </row>
    <row r="179" spans="1:7" ht="18.75" customHeight="1">
      <c r="A179" s="607"/>
      <c r="B179" s="611"/>
      <c r="C179" s="612"/>
      <c r="D179" s="612"/>
      <c r="E179" s="612"/>
      <c r="F179" s="612"/>
      <c r="G179" s="613"/>
    </row>
    <row r="180" spans="1:7" ht="18.75" customHeight="1">
      <c r="A180" s="607"/>
      <c r="B180" s="611"/>
      <c r="C180" s="612"/>
      <c r="D180" s="612"/>
      <c r="E180" s="612"/>
      <c r="F180" s="612"/>
      <c r="G180" s="613"/>
    </row>
    <row r="181" spans="1:7" ht="18.75" customHeight="1">
      <c r="A181" s="598"/>
      <c r="B181" s="618"/>
      <c r="C181" s="618"/>
      <c r="D181" s="618"/>
      <c r="E181" s="618"/>
      <c r="F181" s="618"/>
      <c r="G181" s="599"/>
    </row>
    <row r="183" spans="1:7" ht="18.75" customHeight="1">
      <c r="A183" s="73" t="s">
        <v>5051</v>
      </c>
      <c r="B183" s="590" t="s">
        <v>765</v>
      </c>
      <c r="C183" s="591"/>
      <c r="D183" s="592"/>
      <c r="E183" s="590" t="s">
        <v>766</v>
      </c>
      <c r="F183" s="591"/>
      <c r="G183" s="592"/>
    </row>
    <row r="184" spans="1:7" ht="18.75" customHeight="1">
      <c r="A184" s="606">
        <v>7</v>
      </c>
      <c r="B184" s="608" t="str">
        <f ca="1">IFERROR(IF(INDEX('Impact Indicators - Section B '!B$1:B$98,MATCH($A184,'Impact Indicators - Section B '!$A$1:$A$98,0))&lt;&gt;0,INDEX('Impact Indicators - Section B '!B$1:B$98,MATCH($A184,'Impact Indicators - Section B '!$A$1:$A$98,0)),""),"")</f>
        <v>HIV I-11 Percentage of people who inject drugs who are living with HIV</v>
      </c>
      <c r="C184" s="609"/>
      <c r="D184" s="610"/>
      <c r="E184" s="608" t="str">
        <f>IFERROR(IF(INDEX('Impact Indicators - Section B '!C$1:C$98,MATCH($A184,'Impact Indicators - Section B '!$A$1:$A$98,0))&lt;&gt;0,INDEX('Impact Indicators - Section B '!C$1:C$98,MATCH($A184,'Impact Indicators - Section B '!$A$1:$A$98,0)),""),"")</f>
        <v/>
      </c>
      <c r="F184" s="609"/>
      <c r="G184" s="610"/>
    </row>
    <row r="185" spans="1:7" ht="18.75" customHeight="1">
      <c r="A185" s="607"/>
      <c r="B185" s="611"/>
      <c r="C185" s="612"/>
      <c r="D185" s="613"/>
      <c r="E185" s="611"/>
      <c r="F185" s="612"/>
      <c r="G185" s="613"/>
    </row>
    <row r="186" spans="1:7" ht="18.75" customHeight="1">
      <c r="A186" s="607"/>
      <c r="B186" s="614"/>
      <c r="C186" s="615"/>
      <c r="D186" s="616"/>
      <c r="E186" s="614"/>
      <c r="F186" s="615"/>
      <c r="G186" s="616"/>
    </row>
    <row r="187" spans="1:7" ht="18.75" customHeight="1">
      <c r="A187" s="607"/>
      <c r="B187" s="590" t="s">
        <v>769</v>
      </c>
      <c r="C187" s="591"/>
      <c r="D187" s="592"/>
      <c r="E187" s="590" t="s">
        <v>127</v>
      </c>
      <c r="F187" s="591"/>
      <c r="G187" s="592"/>
    </row>
    <row r="188" spans="1:7" ht="18.75" customHeight="1">
      <c r="A188" s="607"/>
      <c r="B188" s="617" t="str">
        <f>IFERROR(IF(INDEX('Impact Indicators - Section B '!H$1:H$98,MATCH($A184,'Impact Indicators - Section B '!$A$1:$A$98,0))&lt;&gt;0,INDEX('Impact Indicators - Section B '!H$1:H$98,MATCH($A184,'Impact Indicators - Section B '!$A$1:$A$98,0)),""),"")</f>
        <v>Gender,Age</v>
      </c>
      <c r="C188" s="603"/>
      <c r="D188" s="604"/>
      <c r="E188" s="617" t="str">
        <f>IFERROR(IF(INDEX('Impact Indicators - Section B '!J$1:J$98,MATCH($A184,'Impact Indicators - Section B '!$A$1:$A$98,0))&lt;&gt;0,INDEX('Impact Indicators - Section B '!J$1:J$98,MATCH($A184,'Impact Indicators - Section B '!$A$1:$A$98,0)),""),"")</f>
        <v>Congo (Democratic Republic)</v>
      </c>
      <c r="F188" s="603"/>
      <c r="G188" s="604"/>
    </row>
    <row r="189" spans="1:7" ht="18.75" customHeight="1">
      <c r="A189" s="607"/>
      <c r="B189" s="590" t="s">
        <v>199</v>
      </c>
      <c r="C189" s="591"/>
      <c r="D189" s="592"/>
      <c r="E189" s="590" t="s">
        <v>120</v>
      </c>
      <c r="F189" s="591"/>
      <c r="G189" s="592"/>
    </row>
    <row r="190" spans="1:7" ht="18.75" customHeight="1">
      <c r="A190" s="607"/>
      <c r="B190" s="608" t="str">
        <f>IFERROR(IF(INDEX('Impact Indicators - Section B '!G$1:G$98,MATCH($A184,'Impact Indicators - Section B '!$A$1:$A$98,0))&lt;&gt;0,INDEX('Impact Indicators - Section B '!G$1:G$98,MATCH($A184,'Impact Indicators - Section B '!$A$1:$A$98,0)),""),"")</f>
        <v>IBBS report 2018-2019</v>
      </c>
      <c r="C190" s="609"/>
      <c r="D190" s="610"/>
      <c r="E190" s="608" t="str">
        <f ca="1">IFERROR(IF(AND('Overview - Section A'!AS$1="Grant Making",OR(B184&lt;&gt;"",E184&lt;&gt;"")),Setup!I15,IF(INDEX('Impact Indicators - Section B '!I$1:I$98,MATCH($A184,'Impact Indicators - Section B '!$A$1:$A$98,0))&lt;&gt;0,INDEX('Impact Indicators - Section B '!I$1:I$98,MATCH($A184,'Impact Indicators - Section B '!$A$1:$A$98,0)),"")),"")</f>
        <v>Ministry of Public Health, Hygiene and Prevention</v>
      </c>
      <c r="F190" s="609"/>
      <c r="G190" s="610"/>
    </row>
    <row r="191" spans="1:7" ht="18.75" customHeight="1">
      <c r="A191" s="607"/>
      <c r="B191" s="614"/>
      <c r="C191" s="615"/>
      <c r="D191" s="616"/>
      <c r="E191" s="614"/>
      <c r="F191" s="615"/>
      <c r="G191" s="616"/>
    </row>
    <row r="192" spans="1:7" ht="18.75" customHeight="1">
      <c r="A192" s="607"/>
      <c r="B192" s="74"/>
      <c r="C192" s="59" t="s">
        <v>5052</v>
      </c>
      <c r="D192" s="590" t="s">
        <v>5053</v>
      </c>
      <c r="E192" s="591"/>
      <c r="F192" s="591"/>
      <c r="G192" s="592"/>
    </row>
    <row r="193" spans="1:7" ht="18.75" customHeight="1">
      <c r="A193" s="607"/>
      <c r="B193" s="74" t="s">
        <v>2589</v>
      </c>
      <c r="C193" s="75" t="str">
        <f>IFERROR(IF(INDEX('Impact Indicators - Section B '!F$1:F$98,MATCH($A184,'Impact Indicators - Section B '!$A$1:$A$98,0))&lt;&gt;0,INDEX('Impact Indicators - Section B '!F$1:F$98,MATCH($A184,'Impact Indicators - Section B '!$A$1:$A$98,0)),""),"")&amp;CHAR(10)&amp;IFERROR(IF(INDEX('Impact Indicators - Section B '!G$1:G$98,MATCH($A184,'Impact Indicators - Section B '!$A$1:$A$98,0))&lt;&gt;0,INDEX('Impact Indicators - Section B '!G$1:G$98,MATCH($A184,'Impact Indicators - Section B '!$A$1:$A$98,0)),""),"")</f>
        <v>2019
IBBS report 2018-2019</v>
      </c>
      <c r="D193" s="59">
        <f ca="1">IFERROR(IF(YEAR(INDEX('Overview - Section A'!$A$47:$A$54,MATCH('Print - Summary'!$H$10,'Overview - Section A'!$B$47:$B$54,0)))&lt;=YEAR('Overview - Section A'!$E$8),YEAR(INDEX('Overview - Section A'!$A$47:$A$54,MATCH('Print - Summary'!$H$10,'Overview - Section A'!$B$47:$B$54,0))),""),"")</f>
        <v>2024</v>
      </c>
      <c r="E193" s="59">
        <f ca="1">IFERROR(IF(D193+1&lt;=YEAR('Overview - Section A'!$E$8),D193+1,""),"")</f>
        <v>2025</v>
      </c>
      <c r="F193" s="59">
        <f ca="1">IFERROR(IF(E193+1&lt;=YEAR('Overview - Section A'!$E$8),E193+1,""),"")</f>
        <v>2026</v>
      </c>
      <c r="G193" s="59" t="str">
        <f ca="1">IFERROR(IF(F193+1&lt;=YEAR('Overview - Section A'!$E$8),F193+1,""),"")</f>
        <v/>
      </c>
    </row>
    <row r="194" spans="1:7" s="77" customFormat="1" ht="18.75" customHeight="1">
      <c r="A194" s="607"/>
      <c r="B194" s="74" t="s">
        <v>5054</v>
      </c>
      <c r="C194" s="76" t="str">
        <f>IFERROR(IF(INDEX('Impact Indicators - Section B '!D$1:D$98,MATCH($A184,'Impact Indicators - Section B '!$A$1:$A$98,0))&lt;&gt;"",FIXED(INDEX('Impact Indicators - Section B '!D$1:D$98,MATCH($A184,'Impact Indicators - Section B '!$A$1:$A$98,0)),4),""),"")</f>
        <v/>
      </c>
      <c r="D194" s="76" t="str">
        <f ca="1">IFERROR(IF(INDEX('Impact Indicators - Section B '!K$1:K$98,MATCH($A184,'Impact Indicators - Section B '!$A$1:$A$98,0))&lt;&gt;"",FIXED(INDEX('Impact Indicators - Section B '!K$1:K$98,MATCH($A184,'Impact Indicators - Section B '!$A$1:$A$98,0)),4),""),"")</f>
        <v/>
      </c>
      <c r="E194" s="76" t="str">
        <f ca="1">IFERROR(IF(INDEX('Impact Indicators - Section B '!O$1:O$98,MATCH($A184,'Impact Indicators - Section B '!$A$1:$A$98,0))&lt;&gt;"",FIXED(INDEX('Impact Indicators - Section B '!O$1:O$98,MATCH($A184,'Impact Indicators - Section B '!$A$1:$A$98,0)),4),""),"")</f>
        <v/>
      </c>
      <c r="F194" s="76" t="str">
        <f ca="1">IFERROR(IF(INDEX('Impact Indicators - Section B '!S$1:S$98,MATCH($A184,'Impact Indicators - Section B '!$A$1:$A$98,0))&lt;&gt;"",FIXED(INDEX('Impact Indicators - Section B '!S$1:S$98,MATCH($A184,'Impact Indicators - Section B '!$A$1:$A$98,0)),4),""),"")</f>
        <v/>
      </c>
      <c r="G194" s="76" t="str">
        <f ca="1">IFERROR(IF(INDEX('Impact Indicators - Section B '!W$1:W$98,MATCH($A184,'Impact Indicators - Section B '!$A$1:$A$98,0))&lt;&gt;"",FIXED(INDEX('Impact Indicators - Section B '!W$1:W$98,MATCH($A184,'Impact Indicators - Section B '!$A$1:$A$98,0)),4),""),"")</f>
        <v/>
      </c>
    </row>
    <row r="195" spans="1:7" s="79" customFormat="1" ht="18.75" customHeight="1">
      <c r="A195" s="607"/>
      <c r="B195" s="74" t="s">
        <v>5055</v>
      </c>
      <c r="C195" s="78" t="str">
        <f>IFERROR(IF(INDEX('Impact Indicators - Section B '!D$1:D$98,MATCH($A184,'Impact Indicators - Section B '!$A$1:$A$98,0)+1)&lt;&gt;"",FIXED(INDEX('Impact Indicators - Section B '!D$1:D$98,MATCH($A184,'Impact Indicators - Section B '!$A$1:$A$98,0)+1),2),""),"")</f>
        <v/>
      </c>
      <c r="D195" s="78" t="str">
        <f ca="1">IFERROR(IF(INDEX('Impact Indicators - Section B '!K$1:K$98,MATCH($A184,'Impact Indicators - Section B '!$A$1:$A$98,0)+1)&lt;&gt;"",FIXED(INDEX('Impact Indicators - Section B '!K$1:K$98,MATCH($A184,'Impact Indicators - Section B '!$A$1:$A$98,0)+1),2),""),"")</f>
        <v/>
      </c>
      <c r="E195" s="78" t="str">
        <f ca="1">IFERROR(IF(INDEX('Impact Indicators - Section B '!O$1:O$98,MATCH($A184,'Impact Indicators - Section B '!$A$1:$A$98,0)+1)&lt;&gt;"",FIXED(INDEX('Impact Indicators - Section B '!O$1:O$98,MATCH($A184,'Impact Indicators - Section B '!$A$1:$A$98,0)+1),2),""),"")</f>
        <v/>
      </c>
      <c r="F195" s="78" t="str">
        <f ca="1">IFERROR(IF(INDEX('Impact Indicators - Section B '!S$1:S$98,MATCH($A184,'Impact Indicators - Section B '!$A$1:$A$98,0)+1)&lt;&gt;"",FIXED(INDEX('Impact Indicators - Section B '!S$1:S$98,MATCH($A184,'Impact Indicators - Section B '!$A$1:$A$98,0)+1),2),""),"")</f>
        <v/>
      </c>
      <c r="G195" s="78" t="str">
        <f ca="1">IFERROR(IF(INDEX('Impact Indicators - Section B '!W$1:W$98,MATCH($A184,'Impact Indicators - Section B '!$A$1:$A$98,0)+1)&lt;&gt;"",FIXED(INDEX('Impact Indicators - Section B '!W$1:W$98,MATCH($A184,'Impact Indicators - Section B '!$A$1:$A$98,0)+1),2),""),"")</f>
        <v/>
      </c>
    </row>
    <row r="196" spans="1:7" ht="18.75" customHeight="1">
      <c r="A196" s="607"/>
      <c r="B196" s="74" t="s">
        <v>5056</v>
      </c>
      <c r="C196" s="75" t="str">
        <f ca="1">IFERROR(IF(INDEX('Impact Indicators - Section B '!E$1:E$98,MATCH($A184,'Impact Indicators - Section B '!$A$1:$A$98,0))&lt;&gt;"",FIXED(INDEX('Impact Indicators - Section B '!E$1:E$98,MATCH($A184,'Impact Indicators - Section B '!$A$1:$A$98,0))*100,2)&amp;"%",""),"")</f>
        <v>3.90%</v>
      </c>
      <c r="D196" s="75" t="str">
        <f ca="1">IFERROR(IF(INDEX('Impact Indicators - Section B '!L$1:L$98,MATCH($A184,'Impact Indicators - Section B '!$A$1:$A$98,0))&lt;&gt;"",FIXED(INDEX('Impact Indicators - Section B '!L$1:L$98,MATCH($A184,'Impact Indicators - Section B '!$A$1:$A$98,0))*100,2)&amp;"%",""),"")&amp;CHAR(10)&amp;IFERROR(IF(INDEX('Impact Indicators - Section B '!N$1:N$98,MATCH($A184,'Impact Indicators - Section B '!$A$1:$A$98,0))&lt;&gt;"",INDEX('Impact Indicators - Section B '!N$1:N$98,MATCH($A184,'Impact Indicators - Section B '!$A$1:$A$98,0)),""),"")&amp;CHAR(10)&amp;IFERROR(IF(INDEX('Impact Indicators - Section B '!M$1:M$98,MATCH($A184,'Impact Indicators - Section B '!$A$1:$A$98,0))&lt;&gt;"",TEXT(INDEX('Impact Indicators - Section B '!M$1:M$98,MATCH($A184,'Impact Indicators - Section B '!$A$1:$A$98,0)),Setup!$A$33),""),"")</f>
        <v xml:space="preserve">
</v>
      </c>
      <c r="E196" s="75" t="str">
        <f ca="1">IFERROR(IF(INDEX('Impact Indicators - Section B '!P$1:P$98,MATCH($A184,'Impact Indicators - Section B '!$A$1:$A$98,0))&lt;&gt;"",FIXED(INDEX('Impact Indicators - Section B '!P$1:P$98,MATCH($A184,'Impact Indicators - Section B '!$A$1:$A$98,0))*100,2)&amp;"%",""),"")&amp;CHAR(10)&amp;IFERROR(IF(INDEX('Impact Indicators - Section B '!R$1:R$98,MATCH($A184,'Impact Indicators - Section B '!$A$1:$A$98,0))&lt;&gt;"",INDEX('Impact Indicators - Section B '!R$1:R$98,MATCH($A184,'Impact Indicators - Section B '!$A$1:$A$98,0)),""),"")&amp;CHAR(10)&amp;IFERROR(IF(INDEX('Impact Indicators - Section B '!Q$1:Q$98,MATCH($A184,'Impact Indicators - Section B '!$A$1:$A$98,0))&lt;&gt;"",TEXT(INDEX('Impact Indicators - Section B '!Q$1:Q$98,MATCH($A184,'Impact Indicators - Section B '!$A$1:$A$98,0)),Setup!$A$33),""),"")</f>
        <v xml:space="preserve">
TBD
</v>
      </c>
      <c r="F196" s="75" t="str">
        <f ca="1">IFERROR(IF(INDEX('Impact Indicators - Section B '!T$1:T$98,MATCH($A184,'Impact Indicators - Section B '!$A$1:$A$98,0))&lt;&gt;"",FIXED(INDEX('Impact Indicators - Section B '!T$1:T$98,MATCH($A184,'Impact Indicators - Section B '!$A$1:$A$98,0))*100,2)&amp;"%",""),"")&amp;CHAR(10)&amp;IFERROR(IF(INDEX('Impact Indicators - Section B '!V$1:V$98,MATCH($A184,'Impact Indicators - Section B '!$A$1:$A$98,0))&lt;&gt;"",FIXED(INDEX('Impact Indicators - Section B '!V$1:V$98,MATCH($A184,'Impact Indicators - Section B '!$A$1:$A$98,0)),Setup!$A$33),""),"")&amp;CHAR(10)&amp;IFERROR(IF(INDEX('Impact Indicators - Section B '!U$1:U$98,MATCH($A184,'Impact Indicators - Section B '!$A$1:$A$98,0))&lt;&gt;"",TEXT(INDEX('Impact Indicators - Section B '!U$1:U$98,MATCH($A184,'Impact Indicators - Section B '!$A$1:$A$98,0)),Setup!$A$33),""),"")</f>
        <v xml:space="preserve">
</v>
      </c>
      <c r="G196" s="75" t="str">
        <f ca="1">IFERROR(IF(INDEX('Impact Indicators - Section B '!X$1:X$98,MATCH($A184,'Impact Indicators - Section B '!$A$1:$A$98,0))&lt;&gt;"",FIXED(INDEX('Impact Indicators - Section B '!X$1:X$98,MATCH($A184,'Impact Indicators - Section B '!$A$1:$A$98,0))*100,2)&amp;"%",""),"")&amp;CHAR(10)&amp;IFERROR(IF(INDEX('Impact Indicators - Section B '!Z$1:Z$98,MATCH($A184,'Impact Indicators - Section B '!$A$1:$A$98,0))&lt;&gt;"",INDEX('Impact Indicators - Section B '!Z$1:Z$98,MATCH($A184,'Impact Indicators - Section B '!$A$1:$A$98,0)),""),"")&amp;CHAR(10)&amp;IFERROR(IF(INDEX('Impact Indicators - Section B '!Y$1:Y$98,MATCH($A184,'Impact Indicators - Section B '!$A$1:$A$98,0))&lt;&gt;"",TEXT(INDEX('Impact Indicators - Section B '!Y$1:Y$98,MATCH($A184,'Impact Indicators - Section B '!$A$1:$A$98,0)),Setup!$A$33),""),"")</f>
        <v xml:space="preserve">
</v>
      </c>
    </row>
    <row r="197" spans="1:7" ht="18.75" customHeight="1">
      <c r="A197" s="607"/>
      <c r="B197" s="590" t="s">
        <v>176</v>
      </c>
      <c r="C197" s="591"/>
      <c r="D197" s="591"/>
      <c r="E197" s="591"/>
      <c r="F197" s="591"/>
      <c r="G197" s="592"/>
    </row>
    <row r="198" spans="1:7" ht="18.75" customHeight="1">
      <c r="A198" s="607"/>
      <c r="B198" s="608" t="str">
        <f>IFERROR(IF(INDEX('Impact Indicators - Section B '!AA$1:AA$98,MATCH($A184,'Impact Indicators - Section B '!$A$1:$A$98,0))&lt;&gt;0,INDEX('Impact Indicators - Section B '!AA$1:AA$98,MATCH($A184,'Impact Indicators - Section B '!$A$1:$A$98,0)),""),"")</f>
        <v>The IBBS survey will be conducted in 2024 and the results will be published in 2025. The report of the survey will be submitted in February 2025</v>
      </c>
      <c r="C198" s="609"/>
      <c r="D198" s="609"/>
      <c r="E198" s="609"/>
      <c r="F198" s="609"/>
      <c r="G198" s="610"/>
    </row>
    <row r="199" spans="1:7" ht="18.75" customHeight="1">
      <c r="A199" s="607"/>
      <c r="B199" s="611"/>
      <c r="C199" s="612"/>
      <c r="D199" s="612"/>
      <c r="E199" s="612"/>
      <c r="F199" s="612"/>
      <c r="G199" s="613"/>
    </row>
    <row r="200" spans="1:7" ht="18.75" customHeight="1">
      <c r="A200" s="607"/>
      <c r="B200" s="611"/>
      <c r="C200" s="612"/>
      <c r="D200" s="612"/>
      <c r="E200" s="612"/>
      <c r="F200" s="612"/>
      <c r="G200" s="613"/>
    </row>
    <row r="201" spans="1:7" ht="18.75" customHeight="1">
      <c r="A201" s="607"/>
      <c r="B201" s="611"/>
      <c r="C201" s="612"/>
      <c r="D201" s="612"/>
      <c r="E201" s="612"/>
      <c r="F201" s="612"/>
      <c r="G201" s="613"/>
    </row>
    <row r="202" spans="1:7" ht="18.75" customHeight="1">
      <c r="A202" s="607"/>
      <c r="B202" s="611"/>
      <c r="C202" s="612"/>
      <c r="D202" s="612"/>
      <c r="E202" s="612"/>
      <c r="F202" s="612"/>
      <c r="G202" s="613"/>
    </row>
    <row r="203" spans="1:7" ht="18.75" customHeight="1">
      <c r="A203" s="607"/>
      <c r="B203" s="611"/>
      <c r="C203" s="612"/>
      <c r="D203" s="612"/>
      <c r="E203" s="612"/>
      <c r="F203" s="612"/>
      <c r="G203" s="613"/>
    </row>
    <row r="204" spans="1:7" ht="18.75" customHeight="1">
      <c r="A204" s="607"/>
      <c r="B204" s="611"/>
      <c r="C204" s="612"/>
      <c r="D204" s="612"/>
      <c r="E204" s="612"/>
      <c r="F204" s="612"/>
      <c r="G204" s="613"/>
    </row>
    <row r="205" spans="1:7" ht="18.75" customHeight="1">
      <c r="A205" s="607"/>
      <c r="B205" s="611"/>
      <c r="C205" s="612"/>
      <c r="D205" s="612"/>
      <c r="E205" s="612"/>
      <c r="F205" s="612"/>
      <c r="G205" s="613"/>
    </row>
    <row r="206" spans="1:7" ht="18.75" customHeight="1">
      <c r="A206" s="607"/>
      <c r="B206" s="611"/>
      <c r="C206" s="612"/>
      <c r="D206" s="612"/>
      <c r="E206" s="612"/>
      <c r="F206" s="612"/>
      <c r="G206" s="613"/>
    </row>
    <row r="207" spans="1:7" ht="18.75" customHeight="1">
      <c r="A207" s="607"/>
      <c r="B207" s="611"/>
      <c r="C207" s="612"/>
      <c r="D207" s="612"/>
      <c r="E207" s="612"/>
      <c r="F207" s="612"/>
      <c r="G207" s="613"/>
    </row>
    <row r="208" spans="1:7" ht="18.75" customHeight="1">
      <c r="A208" s="598"/>
      <c r="B208" s="618"/>
      <c r="C208" s="618"/>
      <c r="D208" s="618"/>
      <c r="E208" s="618"/>
      <c r="F208" s="618"/>
      <c r="G208" s="599"/>
    </row>
    <row r="210" spans="1:7" ht="18.75" customHeight="1">
      <c r="A210" s="73" t="s">
        <v>5051</v>
      </c>
      <c r="B210" s="590" t="s">
        <v>765</v>
      </c>
      <c r="C210" s="591"/>
      <c r="D210" s="592"/>
      <c r="E210" s="590" t="s">
        <v>766</v>
      </c>
      <c r="F210" s="591"/>
      <c r="G210" s="592"/>
    </row>
    <row r="211" spans="1:7" ht="18.75" customHeight="1">
      <c r="A211" s="606">
        <v>8</v>
      </c>
      <c r="B211" s="608" t="str">
        <f ca="1">IFERROR(IF(INDEX('Impact Indicators - Section B '!B$1:B$98,MATCH($A211,'Impact Indicators - Section B '!$A$1:$A$98,0))&lt;&gt;0,INDEX('Impact Indicators - Section B '!B$1:B$98,MATCH($A211,'Impact Indicators - Section B '!$A$1:$A$98,0)),""),"")</f>
        <v>HIV I-13 Percentage of people living with HIV</v>
      </c>
      <c r="C211" s="609"/>
      <c r="D211" s="610"/>
      <c r="E211" s="608" t="str">
        <f>IFERROR(IF(INDEX('Impact Indicators - Section B '!C$1:C$98,MATCH($A211,'Impact Indicators - Section B '!$A$1:$A$98,0))&lt;&gt;0,INDEX('Impact Indicators - Section B '!C$1:C$98,MATCH($A211,'Impact Indicators - Section B '!$A$1:$A$98,0)),""),"")</f>
        <v/>
      </c>
      <c r="F211" s="609"/>
      <c r="G211" s="610"/>
    </row>
    <row r="212" spans="1:7" ht="18.75" customHeight="1">
      <c r="A212" s="607"/>
      <c r="B212" s="611"/>
      <c r="C212" s="612"/>
      <c r="D212" s="613"/>
      <c r="E212" s="611"/>
      <c r="F212" s="612"/>
      <c r="G212" s="613"/>
    </row>
    <row r="213" spans="1:7" ht="18.75" customHeight="1">
      <c r="A213" s="607"/>
      <c r="B213" s="614"/>
      <c r="C213" s="615"/>
      <c r="D213" s="616"/>
      <c r="E213" s="614"/>
      <c r="F213" s="615"/>
      <c r="G213" s="616"/>
    </row>
    <row r="214" spans="1:7" ht="18.75" customHeight="1">
      <c r="A214" s="607"/>
      <c r="B214" s="590" t="s">
        <v>769</v>
      </c>
      <c r="C214" s="591"/>
      <c r="D214" s="592"/>
      <c r="E214" s="590" t="s">
        <v>127</v>
      </c>
      <c r="F214" s="591"/>
      <c r="G214" s="592"/>
    </row>
    <row r="215" spans="1:7" ht="18.75" customHeight="1">
      <c r="A215" s="607"/>
      <c r="B215" s="617" t="str">
        <f>IFERROR(IF(INDEX('Impact Indicators - Section B '!H$1:H$98,MATCH($A211,'Impact Indicators - Section B '!$A$1:$A$98,0))&lt;&gt;0,INDEX('Impact Indicators - Section B '!H$1:H$98,MATCH($A211,'Impact Indicators - Section B '!$A$1:$A$98,0)),""),"")</f>
        <v>Gender,Gender | Age,Age</v>
      </c>
      <c r="C215" s="603"/>
      <c r="D215" s="604"/>
      <c r="E215" s="617" t="str">
        <f>IFERROR(IF(INDEX('Impact Indicators - Section B '!J$1:J$98,MATCH($A211,'Impact Indicators - Section B '!$A$1:$A$98,0))&lt;&gt;0,INDEX('Impact Indicators - Section B '!J$1:J$98,MATCH($A211,'Impact Indicators - Section B '!$A$1:$A$98,0)),""),"")</f>
        <v>Congo (Democratic Republic)</v>
      </c>
      <c r="F215" s="603"/>
      <c r="G215" s="604"/>
    </row>
    <row r="216" spans="1:7" ht="18.75" customHeight="1">
      <c r="A216" s="607"/>
      <c r="B216" s="590" t="s">
        <v>199</v>
      </c>
      <c r="C216" s="591"/>
      <c r="D216" s="592"/>
      <c r="E216" s="590" t="s">
        <v>120</v>
      </c>
      <c r="F216" s="591"/>
      <c r="G216" s="592"/>
    </row>
    <row r="217" spans="1:7" ht="18.75" customHeight="1">
      <c r="A217" s="607"/>
      <c r="B217" s="608" t="str">
        <f>IFERROR(IF(INDEX('Impact Indicators - Section B '!G$1:G$98,MATCH($A211,'Impact Indicators - Section B '!$A$1:$A$98,0))&lt;&gt;0,INDEX('Impact Indicators - Section B '!G$1:G$98,MATCH($A211,'Impact Indicators - Section B '!$A$1:$A$98,0)),""),"")</f>
        <v>Spectrrum v6.26</v>
      </c>
      <c r="C217" s="609"/>
      <c r="D217" s="610"/>
      <c r="E217" s="608" t="str">
        <f ca="1">IFERROR(IF(AND('Overview - Section A'!AS$1="Grant Making",OR(B211&lt;&gt;"",E211&lt;&gt;"")),Setup!I15,IF(INDEX('Impact Indicators - Section B '!I$1:I$98,MATCH($A211,'Impact Indicators - Section B '!$A$1:$A$98,0))&lt;&gt;0,INDEX('Impact Indicators - Section B '!I$1:I$98,MATCH($A211,'Impact Indicators - Section B '!$A$1:$A$98,0)),"")),"")</f>
        <v>Ministry of Public Health, Hygiene and Prevention</v>
      </c>
      <c r="F217" s="609"/>
      <c r="G217" s="610"/>
    </row>
    <row r="218" spans="1:7" ht="18.75" customHeight="1">
      <c r="A218" s="607"/>
      <c r="B218" s="614"/>
      <c r="C218" s="615"/>
      <c r="D218" s="616"/>
      <c r="E218" s="614"/>
      <c r="F218" s="615"/>
      <c r="G218" s="616"/>
    </row>
    <row r="219" spans="1:7" ht="18.75" customHeight="1">
      <c r="A219" s="607"/>
      <c r="B219" s="74"/>
      <c r="C219" s="59" t="s">
        <v>5052</v>
      </c>
      <c r="D219" s="590" t="s">
        <v>5053</v>
      </c>
      <c r="E219" s="591"/>
      <c r="F219" s="591"/>
      <c r="G219" s="592"/>
    </row>
    <row r="220" spans="1:7" ht="18.75" customHeight="1">
      <c r="A220" s="607"/>
      <c r="B220" s="74" t="s">
        <v>2589</v>
      </c>
      <c r="C220" s="75" t="str">
        <f>IFERROR(IF(INDEX('Impact Indicators - Section B '!F$1:F$98,MATCH($A211,'Impact Indicators - Section B '!$A$1:$A$98,0))&lt;&gt;0,INDEX('Impact Indicators - Section B '!F$1:F$98,MATCH($A211,'Impact Indicators - Section B '!$A$1:$A$98,0)),""),"")&amp;CHAR(10)&amp;IFERROR(IF(INDEX('Impact Indicators - Section B '!G$1:G$98,MATCH($A211,'Impact Indicators - Section B '!$A$1:$A$98,0))&lt;&gt;0,INDEX('Impact Indicators - Section B '!G$1:G$98,MATCH($A211,'Impact Indicators - Section B '!$A$1:$A$98,0)),""),"")</f>
        <v>2022
Spectrrum v6.26</v>
      </c>
      <c r="D220" s="59">
        <f ca="1">IFERROR(IF(YEAR(INDEX('Overview - Section A'!$A$47:$A$54,MATCH('Print - Summary'!$H$10,'Overview - Section A'!$B$47:$B$54,0)))&lt;=YEAR('Overview - Section A'!$E$8),YEAR(INDEX('Overview - Section A'!$A$47:$A$54,MATCH('Print - Summary'!$H$10,'Overview - Section A'!$B$47:$B$54,0))),""),"")</f>
        <v>2024</v>
      </c>
      <c r="E220" s="59">
        <f ca="1">IFERROR(IF(D220+1&lt;=YEAR('Overview - Section A'!$E$8),D220+1,""),"")</f>
        <v>2025</v>
      </c>
      <c r="F220" s="59">
        <f ca="1">IFERROR(IF(E220+1&lt;=YEAR('Overview - Section A'!$E$8),E220+1,""),"")</f>
        <v>2026</v>
      </c>
      <c r="G220" s="59" t="str">
        <f ca="1">IFERROR(IF(F220+1&lt;=YEAR('Overview - Section A'!$E$8),F220+1,""),"")</f>
        <v/>
      </c>
    </row>
    <row r="221" spans="1:7" s="77" customFormat="1" ht="18.75" customHeight="1">
      <c r="A221" s="607"/>
      <c r="B221" s="74" t="s">
        <v>5054</v>
      </c>
      <c r="C221" s="76" t="str">
        <f>IFERROR(IF(INDEX('Impact Indicators - Section B '!D$1:D$98,MATCH($A211,'Impact Indicators - Section B '!$A$1:$A$98,0))&lt;&gt;"",FIXED(INDEX('Impact Indicators - Section B '!D$1:D$98,MATCH($A211,'Impact Indicators - Section B '!$A$1:$A$98,0)),4),""),"")</f>
        <v/>
      </c>
      <c r="D221" s="76" t="str">
        <f ca="1">IFERROR(IF(INDEX('Impact Indicators - Section B '!K$1:K$98,MATCH($A211,'Impact Indicators - Section B '!$A$1:$A$98,0))&lt;&gt;"",FIXED(INDEX('Impact Indicators - Section B '!K$1:K$98,MATCH($A211,'Impact Indicators - Section B '!$A$1:$A$98,0)),4),""),"")</f>
        <v/>
      </c>
      <c r="E221" s="76" t="str">
        <f ca="1">IFERROR(IF(INDEX('Impact Indicators - Section B '!O$1:O$98,MATCH($A211,'Impact Indicators - Section B '!$A$1:$A$98,0))&lt;&gt;"",FIXED(INDEX('Impact Indicators - Section B '!O$1:O$98,MATCH($A211,'Impact Indicators - Section B '!$A$1:$A$98,0)),4),""),"")</f>
        <v/>
      </c>
      <c r="F221" s="76" t="str">
        <f ca="1">IFERROR(IF(INDEX('Impact Indicators - Section B '!S$1:S$98,MATCH($A211,'Impact Indicators - Section B '!$A$1:$A$98,0))&lt;&gt;"",FIXED(INDEX('Impact Indicators - Section B '!S$1:S$98,MATCH($A211,'Impact Indicators - Section B '!$A$1:$A$98,0)),4),""),"")</f>
        <v/>
      </c>
      <c r="G221" s="76" t="str">
        <f ca="1">IFERROR(IF(INDEX('Impact Indicators - Section B '!W$1:W$98,MATCH($A211,'Impact Indicators - Section B '!$A$1:$A$98,0))&lt;&gt;"",FIXED(INDEX('Impact Indicators - Section B '!W$1:W$98,MATCH($A211,'Impact Indicators - Section B '!$A$1:$A$98,0)),4),""),"")</f>
        <v/>
      </c>
    </row>
    <row r="222" spans="1:7" s="79" customFormat="1" ht="18.75" customHeight="1">
      <c r="A222" s="607"/>
      <c r="B222" s="74" t="s">
        <v>5055</v>
      </c>
      <c r="C222" s="78" t="str">
        <f>IFERROR(IF(INDEX('Impact Indicators - Section B '!D$1:D$98,MATCH($A211,'Impact Indicators - Section B '!$A$1:$A$98,0)+1)&lt;&gt;"",FIXED(INDEX('Impact Indicators - Section B '!D$1:D$98,MATCH($A211,'Impact Indicators - Section B '!$A$1:$A$98,0)+1),2),""),"")</f>
        <v/>
      </c>
      <c r="D222" s="78" t="str">
        <f ca="1">IFERROR(IF(INDEX('Impact Indicators - Section B '!K$1:K$98,MATCH($A211,'Impact Indicators - Section B '!$A$1:$A$98,0)+1)&lt;&gt;"",FIXED(INDEX('Impact Indicators - Section B '!K$1:K$98,MATCH($A211,'Impact Indicators - Section B '!$A$1:$A$98,0)+1),2),""),"")</f>
        <v/>
      </c>
      <c r="E222" s="78" t="str">
        <f ca="1">IFERROR(IF(INDEX('Impact Indicators - Section B '!O$1:O$98,MATCH($A211,'Impact Indicators - Section B '!$A$1:$A$98,0)+1)&lt;&gt;"",FIXED(INDEX('Impact Indicators - Section B '!O$1:O$98,MATCH($A211,'Impact Indicators - Section B '!$A$1:$A$98,0)+1),2),""),"")</f>
        <v/>
      </c>
      <c r="F222" s="78" t="str">
        <f ca="1">IFERROR(IF(INDEX('Impact Indicators - Section B '!S$1:S$98,MATCH($A211,'Impact Indicators - Section B '!$A$1:$A$98,0)+1)&lt;&gt;"",FIXED(INDEX('Impact Indicators - Section B '!S$1:S$98,MATCH($A211,'Impact Indicators - Section B '!$A$1:$A$98,0)+1),2),""),"")</f>
        <v/>
      </c>
      <c r="G222" s="78" t="str">
        <f ca="1">IFERROR(IF(INDEX('Impact Indicators - Section B '!W$1:W$98,MATCH($A211,'Impact Indicators - Section B '!$A$1:$A$98,0)+1)&lt;&gt;"",FIXED(INDEX('Impact Indicators - Section B '!W$1:W$98,MATCH($A211,'Impact Indicators - Section B '!$A$1:$A$98,0)+1),2),""),"")</f>
        <v/>
      </c>
    </row>
    <row r="223" spans="1:7" ht="18.75" customHeight="1">
      <c r="A223" s="607"/>
      <c r="B223" s="74" t="s">
        <v>5056</v>
      </c>
      <c r="C223" s="75" t="str">
        <f ca="1">IFERROR(IF(INDEX('Impact Indicators - Section B '!E$1:E$98,MATCH($A211,'Impact Indicators - Section B '!$A$1:$A$98,0))&lt;&gt;"",FIXED(INDEX('Impact Indicators - Section B '!E$1:E$98,MATCH($A211,'Impact Indicators - Section B '!$A$1:$A$98,0))*100,2)&amp;"%",""),"")</f>
        <v>0.80%</v>
      </c>
      <c r="D223" s="75" t="str">
        <f ca="1">IFERROR(IF(INDEX('Impact Indicators - Section B '!L$1:L$98,MATCH($A211,'Impact Indicators - Section B '!$A$1:$A$98,0))&lt;&gt;"",FIXED(INDEX('Impact Indicators - Section B '!L$1:L$98,MATCH($A211,'Impact Indicators - Section B '!$A$1:$A$98,0))*100,2)&amp;"%",""),"")&amp;CHAR(10)&amp;IFERROR(IF(INDEX('Impact Indicators - Section B '!N$1:N$98,MATCH($A211,'Impact Indicators - Section B '!$A$1:$A$98,0))&lt;&gt;"",INDEX('Impact Indicators - Section B '!N$1:N$98,MATCH($A211,'Impact Indicators - Section B '!$A$1:$A$98,0)),""),"")&amp;CHAR(10)&amp;IFERROR(IF(INDEX('Impact Indicators - Section B '!M$1:M$98,MATCH($A211,'Impact Indicators - Section B '!$A$1:$A$98,0))&lt;&gt;"",TEXT(INDEX('Impact Indicators - Section B '!M$1:M$98,MATCH($A211,'Impact Indicators - Section B '!$A$1:$A$98,0)),Setup!$A$33),""),"")</f>
        <v xml:space="preserve">
</v>
      </c>
      <c r="E223" s="75" t="str">
        <f ca="1">IFERROR(IF(INDEX('Impact Indicators - Section B '!P$1:P$98,MATCH($A211,'Impact Indicators - Section B '!$A$1:$A$98,0))&lt;&gt;"",FIXED(INDEX('Impact Indicators - Section B '!P$1:P$98,MATCH($A211,'Impact Indicators - Section B '!$A$1:$A$98,0))*100,2)&amp;"%",""),"")&amp;CHAR(10)&amp;IFERROR(IF(INDEX('Impact Indicators - Section B '!R$1:R$98,MATCH($A211,'Impact Indicators - Section B '!$A$1:$A$98,0))&lt;&gt;"",INDEX('Impact Indicators - Section B '!R$1:R$98,MATCH($A211,'Impact Indicators - Section B '!$A$1:$A$98,0)),""),"")&amp;CHAR(10)&amp;IFERROR(IF(INDEX('Impact Indicators - Section B '!Q$1:Q$98,MATCH($A211,'Impact Indicators - Section B '!$A$1:$A$98,0))&lt;&gt;"",TEXT(INDEX('Impact Indicators - Section B '!Q$1:Q$98,MATCH($A211,'Impact Indicators - Section B '!$A$1:$A$98,0)),Setup!$A$33),""),"")</f>
        <v xml:space="preserve">
TBD
</v>
      </c>
      <c r="F223" s="75" t="str">
        <f ca="1">IFERROR(IF(INDEX('Impact Indicators - Section B '!T$1:T$98,MATCH($A211,'Impact Indicators - Section B '!$A$1:$A$98,0))&lt;&gt;"",FIXED(INDEX('Impact Indicators - Section B '!T$1:T$98,MATCH($A211,'Impact Indicators - Section B '!$A$1:$A$98,0))*100,2)&amp;"%",""),"")&amp;CHAR(10)&amp;IFERROR(IF(INDEX('Impact Indicators - Section B '!V$1:V$98,MATCH($A211,'Impact Indicators - Section B '!$A$1:$A$98,0))&lt;&gt;"",FIXED(INDEX('Impact Indicators - Section B '!V$1:V$98,MATCH($A211,'Impact Indicators - Section B '!$A$1:$A$98,0)),Setup!$A$33),""),"")&amp;CHAR(10)&amp;IFERROR(IF(INDEX('Impact Indicators - Section B '!U$1:U$98,MATCH($A211,'Impact Indicators - Section B '!$A$1:$A$98,0))&lt;&gt;"",TEXT(INDEX('Impact Indicators - Section B '!U$1:U$98,MATCH($A211,'Impact Indicators - Section B '!$A$1:$A$98,0)),Setup!$A$33),""),"")</f>
        <v xml:space="preserve">
</v>
      </c>
      <c r="G223" s="75" t="str">
        <f ca="1">IFERROR(IF(INDEX('Impact Indicators - Section B '!X$1:X$98,MATCH($A211,'Impact Indicators - Section B '!$A$1:$A$98,0))&lt;&gt;"",FIXED(INDEX('Impact Indicators - Section B '!X$1:X$98,MATCH($A211,'Impact Indicators - Section B '!$A$1:$A$98,0))*100,2)&amp;"%",""),"")&amp;CHAR(10)&amp;IFERROR(IF(INDEX('Impact Indicators - Section B '!Z$1:Z$98,MATCH($A211,'Impact Indicators - Section B '!$A$1:$A$98,0))&lt;&gt;"",INDEX('Impact Indicators - Section B '!Z$1:Z$98,MATCH($A211,'Impact Indicators - Section B '!$A$1:$A$98,0)),""),"")&amp;CHAR(10)&amp;IFERROR(IF(INDEX('Impact Indicators - Section B '!Y$1:Y$98,MATCH($A211,'Impact Indicators - Section B '!$A$1:$A$98,0))&lt;&gt;"",TEXT(INDEX('Impact Indicators - Section B '!Y$1:Y$98,MATCH($A211,'Impact Indicators - Section B '!$A$1:$A$98,0)),Setup!$A$33),""),"")</f>
        <v xml:space="preserve">
</v>
      </c>
    </row>
    <row r="224" spans="1:7" ht="18.75" customHeight="1">
      <c r="A224" s="607"/>
      <c r="B224" s="590" t="s">
        <v>176</v>
      </c>
      <c r="C224" s="591"/>
      <c r="D224" s="591"/>
      <c r="E224" s="591"/>
      <c r="F224" s="591"/>
      <c r="G224" s="592"/>
    </row>
    <row r="225" spans="1:7" ht="18.75" customHeight="1">
      <c r="A225" s="607"/>
      <c r="B225" s="608" t="str">
        <f>IFERROR(IF(INDEX('Impact Indicators - Section B '!AA$1:AA$98,MATCH($A211,'Impact Indicators - Section B '!$A$1:$A$98,0))&lt;&gt;0,INDEX('Impact Indicators - Section B '!AA$1:AA$98,MATCH($A211,'Impact Indicators - Section B '!$A$1:$A$98,0)),""),"")</f>
        <v>Data from Spectrum v6.26</v>
      </c>
      <c r="C225" s="609"/>
      <c r="D225" s="609"/>
      <c r="E225" s="609"/>
      <c r="F225" s="609"/>
      <c r="G225" s="610"/>
    </row>
    <row r="226" spans="1:7" ht="18.75" customHeight="1">
      <c r="A226" s="607"/>
      <c r="B226" s="611"/>
      <c r="C226" s="612"/>
      <c r="D226" s="612"/>
      <c r="E226" s="612"/>
      <c r="F226" s="612"/>
      <c r="G226" s="613"/>
    </row>
    <row r="227" spans="1:7" ht="18.75" customHeight="1">
      <c r="A227" s="607"/>
      <c r="B227" s="611"/>
      <c r="C227" s="612"/>
      <c r="D227" s="612"/>
      <c r="E227" s="612"/>
      <c r="F227" s="612"/>
      <c r="G227" s="613"/>
    </row>
    <row r="228" spans="1:7" ht="18.75" customHeight="1">
      <c r="A228" s="607"/>
      <c r="B228" s="611"/>
      <c r="C228" s="612"/>
      <c r="D228" s="612"/>
      <c r="E228" s="612"/>
      <c r="F228" s="612"/>
      <c r="G228" s="613"/>
    </row>
    <row r="229" spans="1:7" ht="18.75" customHeight="1">
      <c r="A229" s="607"/>
      <c r="B229" s="611"/>
      <c r="C229" s="612"/>
      <c r="D229" s="612"/>
      <c r="E229" s="612"/>
      <c r="F229" s="612"/>
      <c r="G229" s="613"/>
    </row>
    <row r="230" spans="1:7" ht="18.75" customHeight="1">
      <c r="A230" s="607"/>
      <c r="B230" s="611"/>
      <c r="C230" s="612"/>
      <c r="D230" s="612"/>
      <c r="E230" s="612"/>
      <c r="F230" s="612"/>
      <c r="G230" s="613"/>
    </row>
    <row r="231" spans="1:7" ht="18.75" customHeight="1">
      <c r="A231" s="607"/>
      <c r="B231" s="611"/>
      <c r="C231" s="612"/>
      <c r="D231" s="612"/>
      <c r="E231" s="612"/>
      <c r="F231" s="612"/>
      <c r="G231" s="613"/>
    </row>
    <row r="232" spans="1:7" ht="18.75" customHeight="1">
      <c r="A232" s="607"/>
      <c r="B232" s="611"/>
      <c r="C232" s="612"/>
      <c r="D232" s="612"/>
      <c r="E232" s="612"/>
      <c r="F232" s="612"/>
      <c r="G232" s="613"/>
    </row>
    <row r="233" spans="1:7" ht="18.75" customHeight="1">
      <c r="A233" s="607"/>
      <c r="B233" s="611"/>
      <c r="C233" s="612"/>
      <c r="D233" s="612"/>
      <c r="E233" s="612"/>
      <c r="F233" s="612"/>
      <c r="G233" s="613"/>
    </row>
    <row r="234" spans="1:7" ht="18.75" customHeight="1">
      <c r="A234" s="607"/>
      <c r="B234" s="611"/>
      <c r="C234" s="612"/>
      <c r="D234" s="612"/>
      <c r="E234" s="612"/>
      <c r="F234" s="612"/>
      <c r="G234" s="613"/>
    </row>
    <row r="235" spans="1:7" ht="18.75" customHeight="1">
      <c r="A235" s="598"/>
      <c r="B235" s="618"/>
      <c r="C235" s="618"/>
      <c r="D235" s="618"/>
      <c r="E235" s="618"/>
      <c r="F235" s="618"/>
      <c r="G235" s="599"/>
    </row>
    <row r="237" spans="1:7" ht="18.75" customHeight="1">
      <c r="A237" s="73" t="s">
        <v>5051</v>
      </c>
      <c r="B237" s="590" t="s">
        <v>765</v>
      </c>
      <c r="C237" s="591"/>
      <c r="D237" s="592"/>
      <c r="E237" s="590" t="s">
        <v>766</v>
      </c>
      <c r="F237" s="591"/>
      <c r="G237" s="592"/>
    </row>
    <row r="238" spans="1:7" ht="18.75" customHeight="1">
      <c r="A238" s="606">
        <v>9</v>
      </c>
      <c r="B238" s="608" t="str">
        <f ca="1">IFERROR(IF(INDEX('Impact Indicators - Section B '!B$1:B$98,MATCH($A238,'Impact Indicators - Section B '!$A$1:$A$98,0))&lt;&gt;0,INDEX('Impact Indicators - Section B '!B$1:B$98,MATCH($A238,'Impact Indicators - Section B '!$A$1:$A$98,0)),""),"")</f>
        <v>HIV I-14 Number of new HIV infections per 1000 uninfected population</v>
      </c>
      <c r="C238" s="609"/>
      <c r="D238" s="610"/>
      <c r="E238" s="608" t="str">
        <f>IFERROR(IF(INDEX('Impact Indicators - Section B '!C$1:C$98,MATCH($A238,'Impact Indicators - Section B '!$A$1:$A$98,0))&lt;&gt;0,INDEX('Impact Indicators - Section B '!C$1:C$98,MATCH($A238,'Impact Indicators - Section B '!$A$1:$A$98,0)),""),"")</f>
        <v/>
      </c>
      <c r="F238" s="609"/>
      <c r="G238" s="610"/>
    </row>
    <row r="239" spans="1:7" ht="18.75" customHeight="1">
      <c r="A239" s="607"/>
      <c r="B239" s="611"/>
      <c r="C239" s="612"/>
      <c r="D239" s="613"/>
      <c r="E239" s="611"/>
      <c r="F239" s="612"/>
      <c r="G239" s="613"/>
    </row>
    <row r="240" spans="1:7" ht="18.75" customHeight="1">
      <c r="A240" s="607"/>
      <c r="B240" s="614"/>
      <c r="C240" s="615"/>
      <c r="D240" s="616"/>
      <c r="E240" s="614"/>
      <c r="F240" s="615"/>
      <c r="G240" s="616"/>
    </row>
    <row r="241" spans="1:7" ht="18.75" customHeight="1">
      <c r="A241" s="607"/>
      <c r="B241" s="590" t="s">
        <v>769</v>
      </c>
      <c r="C241" s="591"/>
      <c r="D241" s="592"/>
      <c r="E241" s="590" t="s">
        <v>127</v>
      </c>
      <c r="F241" s="591"/>
      <c r="G241" s="592"/>
    </row>
    <row r="242" spans="1:7" ht="18.75" customHeight="1">
      <c r="A242" s="607"/>
      <c r="B242" s="617" t="str">
        <f>IFERROR(IF(INDEX('Impact Indicators - Section B '!H$1:H$98,MATCH($A238,'Impact Indicators - Section B '!$A$1:$A$98,0))&lt;&gt;0,INDEX('Impact Indicators - Section B '!H$1:H$98,MATCH($A238,'Impact Indicators - Section B '!$A$1:$A$98,0)),""),"")</f>
        <v>Gender,Gender | Age,Age</v>
      </c>
      <c r="C242" s="603"/>
      <c r="D242" s="604"/>
      <c r="E242" s="617" t="str">
        <f>IFERROR(IF(INDEX('Impact Indicators - Section B '!J$1:J$98,MATCH($A238,'Impact Indicators - Section B '!$A$1:$A$98,0))&lt;&gt;0,INDEX('Impact Indicators - Section B '!J$1:J$98,MATCH($A238,'Impact Indicators - Section B '!$A$1:$A$98,0)),""),"")</f>
        <v>Congo (Democratic Republic)</v>
      </c>
      <c r="F242" s="603"/>
      <c r="G242" s="604"/>
    </row>
    <row r="243" spans="1:7" ht="18.75" customHeight="1">
      <c r="A243" s="607"/>
      <c r="B243" s="590" t="s">
        <v>199</v>
      </c>
      <c r="C243" s="591"/>
      <c r="D243" s="592"/>
      <c r="E243" s="590" t="s">
        <v>120</v>
      </c>
      <c r="F243" s="591"/>
      <c r="G243" s="592"/>
    </row>
    <row r="244" spans="1:7" ht="18.75" customHeight="1">
      <c r="A244" s="607"/>
      <c r="B244" s="608" t="str">
        <f>IFERROR(IF(INDEX('Impact Indicators - Section B '!G$1:G$98,MATCH($A238,'Impact Indicators - Section B '!$A$1:$A$98,0))&lt;&gt;0,INDEX('Impact Indicators - Section B '!G$1:G$98,MATCH($A238,'Impact Indicators - Section B '!$A$1:$A$98,0)),""),"")</f>
        <v>Spectrum v6.26</v>
      </c>
      <c r="C244" s="609"/>
      <c r="D244" s="610"/>
      <c r="E244" s="608" t="str">
        <f ca="1">IFERROR(IF(AND('Overview - Section A'!AS$1="Grant Making",OR(B238&lt;&gt;"",E238&lt;&gt;"")),Setup!I15,IF(INDEX('Impact Indicators - Section B '!I$1:I$98,MATCH($A238,'Impact Indicators - Section B '!$A$1:$A$98,0))&lt;&gt;0,INDEX('Impact Indicators - Section B '!I$1:I$98,MATCH($A238,'Impact Indicators - Section B '!$A$1:$A$98,0)),"")),"")</f>
        <v>Ministry of Public Health, Hygiene and Prevention</v>
      </c>
      <c r="F244" s="609"/>
      <c r="G244" s="610"/>
    </row>
    <row r="245" spans="1:7" ht="18.75" customHeight="1">
      <c r="A245" s="607"/>
      <c r="B245" s="614"/>
      <c r="C245" s="615"/>
      <c r="D245" s="616"/>
      <c r="E245" s="614"/>
      <c r="F245" s="615"/>
      <c r="G245" s="616"/>
    </row>
    <row r="246" spans="1:7" ht="18.75" customHeight="1">
      <c r="A246" s="607"/>
      <c r="B246" s="74"/>
      <c r="C246" s="59" t="s">
        <v>5052</v>
      </c>
      <c r="D246" s="590" t="s">
        <v>5053</v>
      </c>
      <c r="E246" s="591"/>
      <c r="F246" s="591"/>
      <c r="G246" s="592"/>
    </row>
    <row r="247" spans="1:7" ht="18.75" customHeight="1">
      <c r="A247" s="607"/>
      <c r="B247" s="74" t="s">
        <v>2589</v>
      </c>
      <c r="C247" s="75" t="str">
        <f>IFERROR(IF(INDEX('Impact Indicators - Section B '!F$1:F$98,MATCH($A238,'Impact Indicators - Section B '!$A$1:$A$98,0))&lt;&gt;0,INDEX('Impact Indicators - Section B '!F$1:F$98,MATCH($A238,'Impact Indicators - Section B '!$A$1:$A$98,0)),""),"")&amp;CHAR(10)&amp;IFERROR(IF(INDEX('Impact Indicators - Section B '!G$1:G$98,MATCH($A238,'Impact Indicators - Section B '!$A$1:$A$98,0))&lt;&gt;0,INDEX('Impact Indicators - Section B '!G$1:G$98,MATCH($A238,'Impact Indicators - Section B '!$A$1:$A$98,0)),""),"")</f>
        <v>2022
Spectrum v6.26</v>
      </c>
      <c r="D247" s="59">
        <f ca="1">IFERROR(IF(YEAR(INDEX('Overview - Section A'!$A$47:$A$54,MATCH('Print - Summary'!$H$10,'Overview - Section A'!$B$47:$B$54,0)))&lt;=YEAR('Overview - Section A'!$E$8),YEAR(INDEX('Overview - Section A'!$A$47:$A$54,MATCH('Print - Summary'!$H$10,'Overview - Section A'!$B$47:$B$54,0))),""),"")</f>
        <v>2024</v>
      </c>
      <c r="E247" s="59">
        <f ca="1">IFERROR(IF(D247+1&lt;=YEAR('Overview - Section A'!$E$8),D247+1,""),"")</f>
        <v>2025</v>
      </c>
      <c r="F247" s="59">
        <f ca="1">IFERROR(IF(E247+1&lt;=YEAR('Overview - Section A'!$E$8),E247+1,""),"")</f>
        <v>2026</v>
      </c>
      <c r="G247" s="59" t="str">
        <f ca="1">IFERROR(IF(F247+1&lt;=YEAR('Overview - Section A'!$E$8),F247+1,""),"")</f>
        <v/>
      </c>
    </row>
    <row r="248" spans="1:7" s="77" customFormat="1" ht="18.75" customHeight="1">
      <c r="A248" s="607"/>
      <c r="B248" s="74" t="s">
        <v>5054</v>
      </c>
      <c r="C248" s="76" t="str">
        <f>IFERROR(IF(INDEX('Impact Indicators - Section B '!D$1:D$98,MATCH($A238,'Impact Indicators - Section B '!$A$1:$A$98,0))&lt;&gt;"",FIXED(INDEX('Impact Indicators - Section B '!D$1:D$98,MATCH($A238,'Impact Indicators - Section B '!$A$1:$A$98,0)),4),""),"")</f>
        <v>21'036.0000</v>
      </c>
      <c r="D248" s="76" t="str">
        <f ca="1">IFERROR(IF(INDEX('Impact Indicators - Section B '!K$1:K$98,MATCH($A238,'Impact Indicators - Section B '!$A$1:$A$98,0))&lt;&gt;"",FIXED(INDEX('Impact Indicators - Section B '!K$1:K$98,MATCH($A238,'Impact Indicators - Section B '!$A$1:$A$98,0)),4),""),"")</f>
        <v>17'607.0000</v>
      </c>
      <c r="E248" s="76" t="str">
        <f ca="1">IFERROR(IF(INDEX('Impact Indicators - Section B '!O$1:O$98,MATCH($A238,'Impact Indicators - Section B '!$A$1:$A$98,0))&lt;&gt;"",FIXED(INDEX('Impact Indicators - Section B '!O$1:O$98,MATCH($A238,'Impact Indicators - Section B '!$A$1:$A$98,0)),4),""),"")</f>
        <v>16'072.0000</v>
      </c>
      <c r="F248" s="76" t="str">
        <f ca="1">IFERROR(IF(INDEX('Impact Indicators - Section B '!S$1:S$98,MATCH($A238,'Impact Indicators - Section B '!$A$1:$A$98,0))&lt;&gt;"",FIXED(INDEX('Impact Indicators - Section B '!S$1:S$98,MATCH($A238,'Impact Indicators - Section B '!$A$1:$A$98,0)),4),""),"")</f>
        <v>14'276.0000</v>
      </c>
      <c r="G248" s="76" t="str">
        <f ca="1">IFERROR(IF(INDEX('Impact Indicators - Section B '!W$1:W$98,MATCH($A238,'Impact Indicators - Section B '!$A$1:$A$98,0))&lt;&gt;"",FIXED(INDEX('Impact Indicators - Section B '!W$1:W$98,MATCH($A238,'Impact Indicators - Section B '!$A$1:$A$98,0)),4),""),"")</f>
        <v/>
      </c>
    </row>
    <row r="249" spans="1:7" s="79" customFormat="1" ht="18.75" customHeight="1">
      <c r="A249" s="607"/>
      <c r="B249" s="74" t="s">
        <v>5055</v>
      </c>
      <c r="C249" s="78" t="str">
        <f>IFERROR(IF(INDEX('Impact Indicators - Section B '!D$1:D$98,MATCH($A238,'Impact Indicators - Section B '!$A$1:$A$98,0)+1)&lt;&gt;"",FIXED(INDEX('Impact Indicators - Section B '!D$1:D$98,MATCH($A238,'Impact Indicators - Section B '!$A$1:$A$98,0)+1),2),""),"")</f>
        <v/>
      </c>
      <c r="D249" s="78" t="str">
        <f ca="1">IFERROR(IF(INDEX('Impact Indicators - Section B '!K$1:K$98,MATCH($A238,'Impact Indicators - Section B '!$A$1:$A$98,0)+1)&lt;&gt;"",FIXED(INDEX('Impact Indicators - Section B '!K$1:K$98,MATCH($A238,'Impact Indicators - Section B '!$A$1:$A$98,0)+1),2),""),"")</f>
        <v/>
      </c>
      <c r="E249" s="78" t="str">
        <f ca="1">IFERROR(IF(INDEX('Impact Indicators - Section B '!O$1:O$98,MATCH($A238,'Impact Indicators - Section B '!$A$1:$A$98,0)+1)&lt;&gt;"",FIXED(INDEX('Impact Indicators - Section B '!O$1:O$98,MATCH($A238,'Impact Indicators - Section B '!$A$1:$A$98,0)+1),2),""),"")</f>
        <v/>
      </c>
      <c r="F249" s="78" t="str">
        <f ca="1">IFERROR(IF(INDEX('Impact Indicators - Section B '!S$1:S$98,MATCH($A238,'Impact Indicators - Section B '!$A$1:$A$98,0)+1)&lt;&gt;"",FIXED(INDEX('Impact Indicators - Section B '!S$1:S$98,MATCH($A238,'Impact Indicators - Section B '!$A$1:$A$98,0)+1),2),""),"")</f>
        <v/>
      </c>
      <c r="G249" s="78" t="str">
        <f ca="1">IFERROR(IF(INDEX('Impact Indicators - Section B '!W$1:W$98,MATCH($A238,'Impact Indicators - Section B '!$A$1:$A$98,0)+1)&lt;&gt;"",FIXED(INDEX('Impact Indicators - Section B '!W$1:W$98,MATCH($A238,'Impact Indicators - Section B '!$A$1:$A$98,0)+1),2),""),"")</f>
        <v/>
      </c>
    </row>
    <row r="250" spans="1:7" ht="18.75" customHeight="1">
      <c r="A250" s="607"/>
      <c r="B250" s="74" t="s">
        <v>5056</v>
      </c>
      <c r="C250" s="75" t="str">
        <f ca="1">IFERROR(IF(INDEX('Impact Indicators - Section B '!E$1:E$98,MATCH($A238,'Impact Indicators - Section B '!$A$1:$A$98,0))&lt;&gt;"",FIXED(INDEX('Impact Indicators - Section B '!E$1:E$98,MATCH($A238,'Impact Indicators - Section B '!$A$1:$A$98,0))*100,2)&amp;"%",""),"")</f>
        <v/>
      </c>
      <c r="D250" s="75" t="str">
        <f ca="1">IFERROR(IF(INDEX('Impact Indicators - Section B '!L$1:L$98,MATCH($A238,'Impact Indicators - Section B '!$A$1:$A$98,0))&lt;&gt;"",FIXED(INDEX('Impact Indicators - Section B '!L$1:L$98,MATCH($A238,'Impact Indicators - Section B '!$A$1:$A$98,0))*100,2)&amp;"%",""),"")&amp;CHAR(10)&amp;IFERROR(IF(INDEX('Impact Indicators - Section B '!N$1:N$98,MATCH($A238,'Impact Indicators - Section B '!$A$1:$A$98,0))&lt;&gt;"",INDEX('Impact Indicators - Section B '!N$1:N$98,MATCH($A238,'Impact Indicators - Section B '!$A$1:$A$98,0)),""),"")&amp;CHAR(10)&amp;IFERROR(IF(INDEX('Impact Indicators - Section B '!M$1:M$98,MATCH($A238,'Impact Indicators - Section B '!$A$1:$A$98,0))&lt;&gt;"",TEXT(INDEX('Impact Indicators - Section B '!M$1:M$98,MATCH($A238,'Impact Indicators - Section B '!$A$1:$A$98,0)),Setup!$A$33),""),"")</f>
        <v xml:space="preserve">
</v>
      </c>
      <c r="E250" s="75" t="str">
        <f ca="1">IFERROR(IF(INDEX('Impact Indicators - Section B '!P$1:P$98,MATCH($A238,'Impact Indicators - Section B '!$A$1:$A$98,0))&lt;&gt;"",FIXED(INDEX('Impact Indicators - Section B '!P$1:P$98,MATCH($A238,'Impact Indicators - Section B '!$A$1:$A$98,0))*100,2)&amp;"%",""),"")&amp;CHAR(10)&amp;IFERROR(IF(INDEX('Impact Indicators - Section B '!R$1:R$98,MATCH($A238,'Impact Indicators - Section B '!$A$1:$A$98,0))&lt;&gt;"",INDEX('Impact Indicators - Section B '!R$1:R$98,MATCH($A238,'Impact Indicators - Section B '!$A$1:$A$98,0)),""),"")&amp;CHAR(10)&amp;IFERROR(IF(INDEX('Impact Indicators - Section B '!Q$1:Q$98,MATCH($A238,'Impact Indicators - Section B '!$A$1:$A$98,0))&lt;&gt;"",TEXT(INDEX('Impact Indicators - Section B '!Q$1:Q$98,MATCH($A238,'Impact Indicators - Section B '!$A$1:$A$98,0)),Setup!$A$33),""),"")</f>
        <v xml:space="preserve">
</v>
      </c>
      <c r="F250" s="75" t="str">
        <f ca="1">IFERROR(IF(INDEX('Impact Indicators - Section B '!T$1:T$98,MATCH($A238,'Impact Indicators - Section B '!$A$1:$A$98,0))&lt;&gt;"",FIXED(INDEX('Impact Indicators - Section B '!T$1:T$98,MATCH($A238,'Impact Indicators - Section B '!$A$1:$A$98,0))*100,2)&amp;"%",""),"")&amp;CHAR(10)&amp;IFERROR(IF(INDEX('Impact Indicators - Section B '!V$1:V$98,MATCH($A238,'Impact Indicators - Section B '!$A$1:$A$98,0))&lt;&gt;"",FIXED(INDEX('Impact Indicators - Section B '!V$1:V$98,MATCH($A238,'Impact Indicators - Section B '!$A$1:$A$98,0)),Setup!$A$33),""),"")&amp;CHAR(10)&amp;IFERROR(IF(INDEX('Impact Indicators - Section B '!U$1:U$98,MATCH($A238,'Impact Indicators - Section B '!$A$1:$A$98,0))&lt;&gt;"",TEXT(INDEX('Impact Indicators - Section B '!U$1:U$98,MATCH($A238,'Impact Indicators - Section B '!$A$1:$A$98,0)),Setup!$A$33),""),"")</f>
        <v xml:space="preserve">
</v>
      </c>
      <c r="G250" s="75" t="str">
        <f ca="1">IFERROR(IF(INDEX('Impact Indicators - Section B '!X$1:X$98,MATCH($A238,'Impact Indicators - Section B '!$A$1:$A$98,0))&lt;&gt;"",FIXED(INDEX('Impact Indicators - Section B '!X$1:X$98,MATCH($A238,'Impact Indicators - Section B '!$A$1:$A$98,0))*100,2)&amp;"%",""),"")&amp;CHAR(10)&amp;IFERROR(IF(INDEX('Impact Indicators - Section B '!Z$1:Z$98,MATCH($A238,'Impact Indicators - Section B '!$A$1:$A$98,0))&lt;&gt;"",INDEX('Impact Indicators - Section B '!Z$1:Z$98,MATCH($A238,'Impact Indicators - Section B '!$A$1:$A$98,0)),""),"")&amp;CHAR(10)&amp;IFERROR(IF(INDEX('Impact Indicators - Section B '!Y$1:Y$98,MATCH($A238,'Impact Indicators - Section B '!$A$1:$A$98,0))&lt;&gt;"",TEXT(INDEX('Impact Indicators - Section B '!Y$1:Y$98,MATCH($A238,'Impact Indicators - Section B '!$A$1:$A$98,0)),Setup!$A$33),""),"")</f>
        <v xml:space="preserve">
</v>
      </c>
    </row>
    <row r="251" spans="1:7" ht="18.75" customHeight="1">
      <c r="A251" s="607"/>
      <c r="B251" s="590" t="s">
        <v>176</v>
      </c>
      <c r="C251" s="591"/>
      <c r="D251" s="591"/>
      <c r="E251" s="591"/>
      <c r="F251" s="591"/>
      <c r="G251" s="592"/>
    </row>
    <row r="252" spans="1:7" ht="18.75" customHeight="1">
      <c r="A252" s="607"/>
      <c r="B252" s="608" t="str">
        <f>IFERROR(IF(INDEX('Impact Indicators - Section B '!AA$1:AA$98,MATCH($A238,'Impact Indicators - Section B '!$A$1:$A$98,0))&lt;&gt;0,INDEX('Impact Indicators - Section B '!AA$1:AA$98,MATCH($A238,'Impact Indicators - Section B '!$A$1:$A$98,0)),""),"")</f>
        <v>Data from Spectrum v6.26</v>
      </c>
      <c r="C252" s="609"/>
      <c r="D252" s="609"/>
      <c r="E252" s="609"/>
      <c r="F252" s="609"/>
      <c r="G252" s="610"/>
    </row>
    <row r="253" spans="1:7" ht="18.75" customHeight="1">
      <c r="A253" s="607"/>
      <c r="B253" s="611"/>
      <c r="C253" s="612"/>
      <c r="D253" s="612"/>
      <c r="E253" s="612"/>
      <c r="F253" s="612"/>
      <c r="G253" s="613"/>
    </row>
    <row r="254" spans="1:7" ht="18.75" customHeight="1">
      <c r="A254" s="607"/>
      <c r="B254" s="611"/>
      <c r="C254" s="612"/>
      <c r="D254" s="612"/>
      <c r="E254" s="612"/>
      <c r="F254" s="612"/>
      <c r="G254" s="613"/>
    </row>
    <row r="255" spans="1:7" ht="18.75" customHeight="1">
      <c r="A255" s="607"/>
      <c r="B255" s="611"/>
      <c r="C255" s="612"/>
      <c r="D255" s="612"/>
      <c r="E255" s="612"/>
      <c r="F255" s="612"/>
      <c r="G255" s="613"/>
    </row>
    <row r="256" spans="1:7" ht="18.75" customHeight="1">
      <c r="A256" s="607"/>
      <c r="B256" s="611"/>
      <c r="C256" s="612"/>
      <c r="D256" s="612"/>
      <c r="E256" s="612"/>
      <c r="F256" s="612"/>
      <c r="G256" s="613"/>
    </row>
    <row r="257" spans="1:7" ht="18.75" customHeight="1">
      <c r="A257" s="607"/>
      <c r="B257" s="611"/>
      <c r="C257" s="612"/>
      <c r="D257" s="612"/>
      <c r="E257" s="612"/>
      <c r="F257" s="612"/>
      <c r="G257" s="613"/>
    </row>
    <row r="258" spans="1:7" ht="18.75" customHeight="1">
      <c r="A258" s="607"/>
      <c r="B258" s="611"/>
      <c r="C258" s="612"/>
      <c r="D258" s="612"/>
      <c r="E258" s="612"/>
      <c r="F258" s="612"/>
      <c r="G258" s="613"/>
    </row>
    <row r="259" spans="1:7" ht="18.75" customHeight="1">
      <c r="A259" s="607"/>
      <c r="B259" s="611"/>
      <c r="C259" s="612"/>
      <c r="D259" s="612"/>
      <c r="E259" s="612"/>
      <c r="F259" s="612"/>
      <c r="G259" s="613"/>
    </row>
    <row r="260" spans="1:7" ht="18.75" customHeight="1">
      <c r="A260" s="607"/>
      <c r="B260" s="611"/>
      <c r="C260" s="612"/>
      <c r="D260" s="612"/>
      <c r="E260" s="612"/>
      <c r="F260" s="612"/>
      <c r="G260" s="613"/>
    </row>
    <row r="261" spans="1:7" ht="18.75" customHeight="1">
      <c r="A261" s="607"/>
      <c r="B261" s="611"/>
      <c r="C261" s="612"/>
      <c r="D261" s="612"/>
      <c r="E261" s="612"/>
      <c r="F261" s="612"/>
      <c r="G261" s="613"/>
    </row>
    <row r="262" spans="1:7" ht="18.75" customHeight="1">
      <c r="A262" s="598"/>
      <c r="B262" s="618"/>
      <c r="C262" s="618"/>
      <c r="D262" s="618"/>
      <c r="E262" s="618"/>
      <c r="F262" s="618"/>
      <c r="G262" s="599"/>
    </row>
    <row r="264" spans="1:7" ht="18.75" customHeight="1">
      <c r="A264" s="73" t="s">
        <v>5051</v>
      </c>
      <c r="B264" s="590" t="s">
        <v>765</v>
      </c>
      <c r="C264" s="591"/>
      <c r="D264" s="592"/>
      <c r="E264" s="590" t="s">
        <v>766</v>
      </c>
      <c r="F264" s="591"/>
      <c r="G264" s="592"/>
    </row>
    <row r="265" spans="1:7" ht="18.75" customHeight="1">
      <c r="A265" s="606">
        <v>10</v>
      </c>
      <c r="B265" s="608" t="str">
        <f ca="1">IFERROR(IF(INDEX('Impact Indicators - Section B '!B$1:B$98,MATCH($A265,'Impact Indicators - Section B '!$A$1:$A$98,0))&lt;&gt;0,INDEX('Impact Indicators - Section B '!B$1:B$98,MATCH($A265,'Impact Indicators - Section B '!$A$1:$A$98,0)),""),"")</f>
        <v>HIV I-4 Number of AIDS-related deaths per 100,000 population</v>
      </c>
      <c r="C265" s="609"/>
      <c r="D265" s="610"/>
      <c r="E265" s="608" t="str">
        <f>IFERROR(IF(INDEX('Impact Indicators - Section B '!C$1:C$98,MATCH($A265,'Impact Indicators - Section B '!$A$1:$A$98,0))&lt;&gt;0,INDEX('Impact Indicators - Section B '!C$1:C$98,MATCH($A265,'Impact Indicators - Section B '!$A$1:$A$98,0)),""),"")</f>
        <v/>
      </c>
      <c r="F265" s="609"/>
      <c r="G265" s="610"/>
    </row>
    <row r="266" spans="1:7" ht="18.75" customHeight="1">
      <c r="A266" s="607"/>
      <c r="B266" s="611"/>
      <c r="C266" s="612"/>
      <c r="D266" s="613"/>
      <c r="E266" s="611"/>
      <c r="F266" s="612"/>
      <c r="G266" s="613"/>
    </row>
    <row r="267" spans="1:7" ht="18.75" customHeight="1">
      <c r="A267" s="607"/>
      <c r="B267" s="614"/>
      <c r="C267" s="615"/>
      <c r="D267" s="616"/>
      <c r="E267" s="614"/>
      <c r="F267" s="615"/>
      <c r="G267" s="616"/>
    </row>
    <row r="268" spans="1:7" ht="18.75" customHeight="1">
      <c r="A268" s="607"/>
      <c r="B268" s="590" t="s">
        <v>769</v>
      </c>
      <c r="C268" s="591"/>
      <c r="D268" s="592"/>
      <c r="E268" s="590" t="s">
        <v>127</v>
      </c>
      <c r="F268" s="591"/>
      <c r="G268" s="592"/>
    </row>
    <row r="269" spans="1:7" ht="18.75" customHeight="1">
      <c r="A269" s="607"/>
      <c r="B269" s="617" t="str">
        <f>IFERROR(IF(INDEX('Impact Indicators - Section B '!H$1:H$98,MATCH($A265,'Impact Indicators - Section B '!$A$1:$A$98,0))&lt;&gt;0,INDEX('Impact Indicators - Section B '!H$1:H$98,MATCH($A265,'Impact Indicators - Section B '!$A$1:$A$98,0)),""),"")</f>
        <v>Gender,Age,Gender | Age</v>
      </c>
      <c r="C269" s="603"/>
      <c r="D269" s="604"/>
      <c r="E269" s="617" t="str">
        <f>IFERROR(IF(INDEX('Impact Indicators - Section B '!J$1:J$98,MATCH($A265,'Impact Indicators - Section B '!$A$1:$A$98,0))&lt;&gt;0,INDEX('Impact Indicators - Section B '!J$1:J$98,MATCH($A265,'Impact Indicators - Section B '!$A$1:$A$98,0)),""),"")</f>
        <v>Congo (Democratic Republic)</v>
      </c>
      <c r="F269" s="603"/>
      <c r="G269" s="604"/>
    </row>
    <row r="270" spans="1:7" ht="18.75" customHeight="1">
      <c r="A270" s="607"/>
      <c r="B270" s="590" t="s">
        <v>199</v>
      </c>
      <c r="C270" s="591"/>
      <c r="D270" s="592"/>
      <c r="E270" s="590" t="s">
        <v>120</v>
      </c>
      <c r="F270" s="591"/>
      <c r="G270" s="592"/>
    </row>
    <row r="271" spans="1:7" ht="18.75" customHeight="1">
      <c r="A271" s="607"/>
      <c r="B271" s="608" t="str">
        <f>IFERROR(IF(INDEX('Impact Indicators - Section B '!G$1:G$98,MATCH($A265,'Impact Indicators - Section B '!$A$1:$A$98,0))&lt;&gt;0,INDEX('Impact Indicators - Section B '!G$1:G$98,MATCH($A265,'Impact Indicators - Section B '!$A$1:$A$98,0)),""),"")</f>
        <v>Spectrum v6.26</v>
      </c>
      <c r="C271" s="609"/>
      <c r="D271" s="610"/>
      <c r="E271" s="608" t="str">
        <f ca="1">IFERROR(IF(AND('Overview - Section A'!AS$1="Grant Making",OR(B265&lt;&gt;"",E265&lt;&gt;"")),Setup!I15,IF(INDEX('Impact Indicators - Section B '!I$1:I$98,MATCH($A265,'Impact Indicators - Section B '!$A$1:$A$98,0))&lt;&gt;0,INDEX('Impact Indicators - Section B '!I$1:I$98,MATCH($A265,'Impact Indicators - Section B '!$A$1:$A$98,0)),"")),"")</f>
        <v>Ministry of Public Health, Hygiene and Prevention</v>
      </c>
      <c r="F271" s="609"/>
      <c r="G271" s="610"/>
    </row>
    <row r="272" spans="1:7" ht="18.75" customHeight="1">
      <c r="A272" s="607"/>
      <c r="B272" s="614"/>
      <c r="C272" s="615"/>
      <c r="D272" s="616"/>
      <c r="E272" s="614"/>
      <c r="F272" s="615"/>
      <c r="G272" s="616"/>
    </row>
    <row r="273" spans="1:7" ht="18.75" customHeight="1">
      <c r="A273" s="607"/>
      <c r="B273" s="74"/>
      <c r="C273" s="59" t="s">
        <v>5052</v>
      </c>
      <c r="D273" s="590" t="s">
        <v>5053</v>
      </c>
      <c r="E273" s="591"/>
      <c r="F273" s="591"/>
      <c r="G273" s="592"/>
    </row>
    <row r="274" spans="1:7" ht="18.75" customHeight="1">
      <c r="A274" s="607"/>
      <c r="B274" s="74" t="s">
        <v>2589</v>
      </c>
      <c r="C274" s="75" t="str">
        <f>IFERROR(IF(INDEX('Impact Indicators - Section B '!F$1:F$98,MATCH($A265,'Impact Indicators - Section B '!$A$1:$A$98,0))&lt;&gt;0,INDEX('Impact Indicators - Section B '!F$1:F$98,MATCH($A265,'Impact Indicators - Section B '!$A$1:$A$98,0)),""),"")&amp;CHAR(10)&amp;IFERROR(IF(INDEX('Impact Indicators - Section B '!G$1:G$98,MATCH($A265,'Impact Indicators - Section B '!$A$1:$A$98,0))&lt;&gt;0,INDEX('Impact Indicators - Section B '!G$1:G$98,MATCH($A265,'Impact Indicators - Section B '!$A$1:$A$98,0)),""),"")</f>
        <v>2022
Spectrum v6.26</v>
      </c>
      <c r="D274" s="59">
        <f ca="1">IFERROR(IF(YEAR(INDEX('Overview - Section A'!$A$47:$A$54,MATCH('Print - Summary'!$H$10,'Overview - Section A'!$B$47:$B$54,0)))&lt;=YEAR('Overview - Section A'!$E$8),YEAR(INDEX('Overview - Section A'!$A$47:$A$54,MATCH('Print - Summary'!$H$10,'Overview - Section A'!$B$47:$B$54,0))),""),"")</f>
        <v>2024</v>
      </c>
      <c r="E274" s="59">
        <f ca="1">IFERROR(IF(D274+1&lt;=YEAR('Overview - Section A'!$E$8),D274+1,""),"")</f>
        <v>2025</v>
      </c>
      <c r="F274" s="59">
        <f ca="1">IFERROR(IF(E274+1&lt;=YEAR('Overview - Section A'!$E$8),E274+1,""),"")</f>
        <v>2026</v>
      </c>
      <c r="G274" s="59" t="str">
        <f ca="1">IFERROR(IF(F274+1&lt;=YEAR('Overview - Section A'!$E$8),F274+1,""),"")</f>
        <v/>
      </c>
    </row>
    <row r="275" spans="1:7" s="77" customFormat="1" ht="18.75" customHeight="1">
      <c r="A275" s="607"/>
      <c r="B275" s="74" t="s">
        <v>5054</v>
      </c>
      <c r="C275" s="76" t="str">
        <f>IFERROR(IF(INDEX('Impact Indicators - Section B '!D$1:D$98,MATCH($A265,'Impact Indicators - Section B '!$A$1:$A$98,0))&lt;&gt;"",FIXED(INDEX('Impact Indicators - Section B '!D$1:D$98,MATCH($A265,'Impact Indicators - Section B '!$A$1:$A$98,0)),4),""),"")</f>
        <v>15'248.0000</v>
      </c>
      <c r="D275" s="76" t="str">
        <f ca="1">IFERROR(IF(INDEX('Impact Indicators - Section B '!K$1:K$98,MATCH($A265,'Impact Indicators - Section B '!$A$1:$A$98,0))&lt;&gt;"",FIXED(INDEX('Impact Indicators - Section B '!K$1:K$98,MATCH($A265,'Impact Indicators - Section B '!$A$1:$A$98,0)),4),""),"")</f>
        <v>12'157.0000</v>
      </c>
      <c r="E275" s="76" t="str">
        <f ca="1">IFERROR(IF(INDEX('Impact Indicators - Section B '!O$1:O$98,MATCH($A265,'Impact Indicators - Section B '!$A$1:$A$98,0))&lt;&gt;"",FIXED(INDEX('Impact Indicators - Section B '!O$1:O$98,MATCH($A265,'Impact Indicators - Section B '!$A$1:$A$98,0)),4),""),"")</f>
        <v>12'188.0000</v>
      </c>
      <c r="F275" s="76" t="str">
        <f ca="1">IFERROR(IF(INDEX('Impact Indicators - Section B '!S$1:S$98,MATCH($A265,'Impact Indicators - Section B '!$A$1:$A$98,0))&lt;&gt;"",FIXED(INDEX('Impact Indicators - Section B '!S$1:S$98,MATCH($A265,'Impact Indicators - Section B '!$A$1:$A$98,0)),4),""),"")</f>
        <v>11'980.0000</v>
      </c>
      <c r="G275" s="76" t="str">
        <f ca="1">IFERROR(IF(INDEX('Impact Indicators - Section B '!W$1:W$98,MATCH($A265,'Impact Indicators - Section B '!$A$1:$A$98,0))&lt;&gt;"",FIXED(INDEX('Impact Indicators - Section B '!W$1:W$98,MATCH($A265,'Impact Indicators - Section B '!$A$1:$A$98,0)),4),""),"")</f>
        <v/>
      </c>
    </row>
    <row r="276" spans="1:7" s="79" customFormat="1" ht="18.75" customHeight="1">
      <c r="A276" s="607"/>
      <c r="B276" s="74" t="s">
        <v>5055</v>
      </c>
      <c r="C276" s="78" t="str">
        <f>IFERROR(IF(INDEX('Impact Indicators - Section B '!D$1:D$98,MATCH($A265,'Impact Indicators - Section B '!$A$1:$A$98,0)+1)&lt;&gt;"",FIXED(INDEX('Impact Indicators - Section B '!D$1:D$98,MATCH($A265,'Impact Indicators - Section B '!$A$1:$A$98,0)+1),2),""),"")</f>
        <v/>
      </c>
      <c r="D276" s="78" t="str">
        <f ca="1">IFERROR(IF(INDEX('Impact Indicators - Section B '!K$1:K$98,MATCH($A265,'Impact Indicators - Section B '!$A$1:$A$98,0)+1)&lt;&gt;"",FIXED(INDEX('Impact Indicators - Section B '!K$1:K$98,MATCH($A265,'Impact Indicators - Section B '!$A$1:$A$98,0)+1),2),""),"")</f>
        <v/>
      </c>
      <c r="E276" s="78" t="str">
        <f ca="1">IFERROR(IF(INDEX('Impact Indicators - Section B '!O$1:O$98,MATCH($A265,'Impact Indicators - Section B '!$A$1:$A$98,0)+1)&lt;&gt;"",FIXED(INDEX('Impact Indicators - Section B '!O$1:O$98,MATCH($A265,'Impact Indicators - Section B '!$A$1:$A$98,0)+1),2),""),"")</f>
        <v/>
      </c>
      <c r="F276" s="78" t="str">
        <f ca="1">IFERROR(IF(INDEX('Impact Indicators - Section B '!S$1:S$98,MATCH($A265,'Impact Indicators - Section B '!$A$1:$A$98,0)+1)&lt;&gt;"",FIXED(INDEX('Impact Indicators - Section B '!S$1:S$98,MATCH($A265,'Impact Indicators - Section B '!$A$1:$A$98,0)+1),2),""),"")</f>
        <v/>
      </c>
      <c r="G276" s="78" t="str">
        <f ca="1">IFERROR(IF(INDEX('Impact Indicators - Section B '!W$1:W$98,MATCH($A265,'Impact Indicators - Section B '!$A$1:$A$98,0)+1)&lt;&gt;"",FIXED(INDEX('Impact Indicators - Section B '!W$1:W$98,MATCH($A265,'Impact Indicators - Section B '!$A$1:$A$98,0)+1),2),""),"")</f>
        <v/>
      </c>
    </row>
    <row r="277" spans="1:7" ht="18.75" customHeight="1">
      <c r="A277" s="607"/>
      <c r="B277" s="74" t="s">
        <v>5056</v>
      </c>
      <c r="C277" s="75" t="str">
        <f ca="1">IFERROR(IF(INDEX('Impact Indicators - Section B '!E$1:E$98,MATCH($A265,'Impact Indicators - Section B '!$A$1:$A$98,0))&lt;&gt;"",FIXED(INDEX('Impact Indicators - Section B '!E$1:E$98,MATCH($A265,'Impact Indicators - Section B '!$A$1:$A$98,0))*100,2)&amp;"%",""),"")</f>
        <v/>
      </c>
      <c r="D277" s="75" t="str">
        <f ca="1">IFERROR(IF(INDEX('Impact Indicators - Section B '!L$1:L$98,MATCH($A265,'Impact Indicators - Section B '!$A$1:$A$98,0))&lt;&gt;"",FIXED(INDEX('Impact Indicators - Section B '!L$1:L$98,MATCH($A265,'Impact Indicators - Section B '!$A$1:$A$98,0))*100,2)&amp;"%",""),"")&amp;CHAR(10)&amp;IFERROR(IF(INDEX('Impact Indicators - Section B '!N$1:N$98,MATCH($A265,'Impact Indicators - Section B '!$A$1:$A$98,0))&lt;&gt;"",INDEX('Impact Indicators - Section B '!N$1:N$98,MATCH($A265,'Impact Indicators - Section B '!$A$1:$A$98,0)),""),"")&amp;CHAR(10)&amp;IFERROR(IF(INDEX('Impact Indicators - Section B '!M$1:M$98,MATCH($A265,'Impact Indicators - Section B '!$A$1:$A$98,0))&lt;&gt;"",TEXT(INDEX('Impact Indicators - Section B '!M$1:M$98,MATCH($A265,'Impact Indicators - Section B '!$A$1:$A$98,0)),Setup!$A$33),""),"")</f>
        <v xml:space="preserve">
</v>
      </c>
      <c r="E277" s="75" t="str">
        <f ca="1">IFERROR(IF(INDEX('Impact Indicators - Section B '!P$1:P$98,MATCH($A265,'Impact Indicators - Section B '!$A$1:$A$98,0))&lt;&gt;"",FIXED(INDEX('Impact Indicators - Section B '!P$1:P$98,MATCH($A265,'Impact Indicators - Section B '!$A$1:$A$98,0))*100,2)&amp;"%",""),"")&amp;CHAR(10)&amp;IFERROR(IF(INDEX('Impact Indicators - Section B '!R$1:R$98,MATCH($A265,'Impact Indicators - Section B '!$A$1:$A$98,0))&lt;&gt;"",INDEX('Impact Indicators - Section B '!R$1:R$98,MATCH($A265,'Impact Indicators - Section B '!$A$1:$A$98,0)),""),"")&amp;CHAR(10)&amp;IFERROR(IF(INDEX('Impact Indicators - Section B '!Q$1:Q$98,MATCH($A265,'Impact Indicators - Section B '!$A$1:$A$98,0))&lt;&gt;"",TEXT(INDEX('Impact Indicators - Section B '!Q$1:Q$98,MATCH($A265,'Impact Indicators - Section B '!$A$1:$A$98,0)),Setup!$A$33),""),"")</f>
        <v xml:space="preserve">
</v>
      </c>
      <c r="F277" s="75" t="str">
        <f ca="1">IFERROR(IF(INDEX('Impact Indicators - Section B '!T$1:T$98,MATCH($A265,'Impact Indicators - Section B '!$A$1:$A$98,0))&lt;&gt;"",FIXED(INDEX('Impact Indicators - Section B '!T$1:T$98,MATCH($A265,'Impact Indicators - Section B '!$A$1:$A$98,0))*100,2)&amp;"%",""),"")&amp;CHAR(10)&amp;IFERROR(IF(INDEX('Impact Indicators - Section B '!V$1:V$98,MATCH($A265,'Impact Indicators - Section B '!$A$1:$A$98,0))&lt;&gt;"",FIXED(INDEX('Impact Indicators - Section B '!V$1:V$98,MATCH($A265,'Impact Indicators - Section B '!$A$1:$A$98,0)),Setup!$A$33),""),"")&amp;CHAR(10)&amp;IFERROR(IF(INDEX('Impact Indicators - Section B '!U$1:U$98,MATCH($A265,'Impact Indicators - Section B '!$A$1:$A$98,0))&lt;&gt;"",TEXT(INDEX('Impact Indicators - Section B '!U$1:U$98,MATCH($A265,'Impact Indicators - Section B '!$A$1:$A$98,0)),Setup!$A$33),""),"")</f>
        <v xml:space="preserve">
</v>
      </c>
      <c r="G277" s="75" t="str">
        <f ca="1">IFERROR(IF(INDEX('Impact Indicators - Section B '!X$1:X$98,MATCH($A265,'Impact Indicators - Section B '!$A$1:$A$98,0))&lt;&gt;"",FIXED(INDEX('Impact Indicators - Section B '!X$1:X$98,MATCH($A265,'Impact Indicators - Section B '!$A$1:$A$98,0))*100,2)&amp;"%",""),"")&amp;CHAR(10)&amp;IFERROR(IF(INDEX('Impact Indicators - Section B '!Z$1:Z$98,MATCH($A265,'Impact Indicators - Section B '!$A$1:$A$98,0))&lt;&gt;"",INDEX('Impact Indicators - Section B '!Z$1:Z$98,MATCH($A265,'Impact Indicators - Section B '!$A$1:$A$98,0)),""),"")&amp;CHAR(10)&amp;IFERROR(IF(INDEX('Impact Indicators - Section B '!Y$1:Y$98,MATCH($A265,'Impact Indicators - Section B '!$A$1:$A$98,0))&lt;&gt;"",TEXT(INDEX('Impact Indicators - Section B '!Y$1:Y$98,MATCH($A265,'Impact Indicators - Section B '!$A$1:$A$98,0)),Setup!$A$33),""),"")</f>
        <v xml:space="preserve">
</v>
      </c>
    </row>
    <row r="278" spans="1:7" ht="18.75" customHeight="1">
      <c r="A278" s="607"/>
      <c r="B278" s="590" t="s">
        <v>176</v>
      </c>
      <c r="C278" s="591"/>
      <c r="D278" s="591"/>
      <c r="E278" s="591"/>
      <c r="F278" s="591"/>
      <c r="G278" s="592"/>
    </row>
    <row r="279" spans="1:7" ht="18.75" customHeight="1">
      <c r="A279" s="607"/>
      <c r="B279" s="608" t="str">
        <f>IFERROR(IF(INDEX('Impact Indicators - Section B '!AA$1:AA$98,MATCH($A265,'Impact Indicators - Section B '!$A$1:$A$98,0))&lt;&gt;0,INDEX('Impact Indicators - Section B '!AA$1:AA$98,MATCH($A265,'Impact Indicators - Section B '!$A$1:$A$98,0)),""),"")</f>
        <v>Data from Spectrum v6.26</v>
      </c>
      <c r="C279" s="609"/>
      <c r="D279" s="609"/>
      <c r="E279" s="609"/>
      <c r="F279" s="609"/>
      <c r="G279" s="610"/>
    </row>
    <row r="280" spans="1:7" ht="18.75" customHeight="1">
      <c r="A280" s="607"/>
      <c r="B280" s="611"/>
      <c r="C280" s="612"/>
      <c r="D280" s="612"/>
      <c r="E280" s="612"/>
      <c r="F280" s="612"/>
      <c r="G280" s="613"/>
    </row>
    <row r="281" spans="1:7" ht="18.75" customHeight="1">
      <c r="A281" s="607"/>
      <c r="B281" s="611"/>
      <c r="C281" s="612"/>
      <c r="D281" s="612"/>
      <c r="E281" s="612"/>
      <c r="F281" s="612"/>
      <c r="G281" s="613"/>
    </row>
    <row r="282" spans="1:7" ht="18.75" customHeight="1">
      <c r="A282" s="607"/>
      <c r="B282" s="611"/>
      <c r="C282" s="612"/>
      <c r="D282" s="612"/>
      <c r="E282" s="612"/>
      <c r="F282" s="612"/>
      <c r="G282" s="613"/>
    </row>
    <row r="283" spans="1:7" ht="18.75" customHeight="1">
      <c r="A283" s="607"/>
      <c r="B283" s="611"/>
      <c r="C283" s="612"/>
      <c r="D283" s="612"/>
      <c r="E283" s="612"/>
      <c r="F283" s="612"/>
      <c r="G283" s="613"/>
    </row>
    <row r="284" spans="1:7" ht="18.75" customHeight="1">
      <c r="A284" s="607"/>
      <c r="B284" s="611"/>
      <c r="C284" s="612"/>
      <c r="D284" s="612"/>
      <c r="E284" s="612"/>
      <c r="F284" s="612"/>
      <c r="G284" s="613"/>
    </row>
    <row r="285" spans="1:7" ht="18.75" customHeight="1">
      <c r="A285" s="607"/>
      <c r="B285" s="611"/>
      <c r="C285" s="612"/>
      <c r="D285" s="612"/>
      <c r="E285" s="612"/>
      <c r="F285" s="612"/>
      <c r="G285" s="613"/>
    </row>
    <row r="286" spans="1:7" ht="18.75" customHeight="1">
      <c r="A286" s="607"/>
      <c r="B286" s="611"/>
      <c r="C286" s="612"/>
      <c r="D286" s="612"/>
      <c r="E286" s="612"/>
      <c r="F286" s="612"/>
      <c r="G286" s="613"/>
    </row>
    <row r="287" spans="1:7" ht="18.75" customHeight="1">
      <c r="A287" s="607"/>
      <c r="B287" s="611"/>
      <c r="C287" s="612"/>
      <c r="D287" s="612"/>
      <c r="E287" s="612"/>
      <c r="F287" s="612"/>
      <c r="G287" s="613"/>
    </row>
    <row r="288" spans="1:7" ht="18.75" customHeight="1">
      <c r="A288" s="607"/>
      <c r="B288" s="611"/>
      <c r="C288" s="612"/>
      <c r="D288" s="612"/>
      <c r="E288" s="612"/>
      <c r="F288" s="612"/>
      <c r="G288" s="613"/>
    </row>
    <row r="289" spans="1:7" ht="18.75" customHeight="1">
      <c r="A289" s="598"/>
      <c r="B289" s="618"/>
      <c r="C289" s="618"/>
      <c r="D289" s="618"/>
      <c r="E289" s="618"/>
      <c r="F289" s="618"/>
      <c r="G289" s="599"/>
    </row>
    <row r="291" spans="1:7" ht="18.75" customHeight="1">
      <c r="A291" s="73" t="s">
        <v>5051</v>
      </c>
      <c r="B291" s="590" t="s">
        <v>765</v>
      </c>
      <c r="C291" s="591"/>
      <c r="D291" s="592"/>
      <c r="E291" s="590" t="s">
        <v>766</v>
      </c>
      <c r="F291" s="591"/>
      <c r="G291" s="592"/>
    </row>
    <row r="292" spans="1:7" ht="18.75" customHeight="1">
      <c r="A292" s="606">
        <v>11</v>
      </c>
      <c r="B292" s="608" t="str">
        <f ca="1">IFERROR(IF(INDEX('Impact Indicators - Section B '!B$1:B$98,MATCH($A292,'Impact Indicators - Section B '!$A$1:$A$98,0))&lt;&gt;0,INDEX('Impact Indicators - Section B '!B$1:B$98,MATCH($A292,'Impact Indicators - Section B '!$A$1:$A$98,0)),""),"")</f>
        <v>HIV I-6 Estimated percentage of children newly infected with HIV from mother-to-child transmission among women living with HIV delivering in the past 12 months</v>
      </c>
      <c r="C292" s="609"/>
      <c r="D292" s="610"/>
      <c r="E292" s="608" t="str">
        <f>IFERROR(IF(INDEX('Impact Indicators - Section B '!C$1:C$98,MATCH($A292,'Impact Indicators - Section B '!$A$1:$A$98,0))&lt;&gt;0,INDEX('Impact Indicators - Section B '!C$1:C$98,MATCH($A292,'Impact Indicators - Section B '!$A$1:$A$98,0)),""),"")</f>
        <v/>
      </c>
      <c r="F292" s="609"/>
      <c r="G292" s="610"/>
    </row>
    <row r="293" spans="1:7" ht="18.75" customHeight="1">
      <c r="A293" s="607"/>
      <c r="B293" s="611"/>
      <c r="C293" s="612"/>
      <c r="D293" s="613"/>
      <c r="E293" s="611"/>
      <c r="F293" s="612"/>
      <c r="G293" s="613"/>
    </row>
    <row r="294" spans="1:7" ht="18.75" customHeight="1">
      <c r="A294" s="607"/>
      <c r="B294" s="614"/>
      <c r="C294" s="615"/>
      <c r="D294" s="616"/>
      <c r="E294" s="614"/>
      <c r="F294" s="615"/>
      <c r="G294" s="616"/>
    </row>
    <row r="295" spans="1:7" ht="18.75" customHeight="1">
      <c r="A295" s="607"/>
      <c r="B295" s="590" t="s">
        <v>769</v>
      </c>
      <c r="C295" s="591"/>
      <c r="D295" s="592"/>
      <c r="E295" s="590" t="s">
        <v>127</v>
      </c>
      <c r="F295" s="591"/>
      <c r="G295" s="592"/>
    </row>
    <row r="296" spans="1:7" ht="18.75" customHeight="1">
      <c r="A296" s="607"/>
      <c r="B296" s="617" t="str">
        <f>IFERROR(IF(INDEX('Impact Indicators - Section B '!H$1:H$98,MATCH($A292,'Impact Indicators - Section B '!$A$1:$A$98,0))&lt;&gt;0,INDEX('Impact Indicators - Section B '!H$1:H$98,MATCH($A292,'Impact Indicators - Section B '!$A$1:$A$98,0)),""),"")</f>
        <v/>
      </c>
      <c r="C296" s="603"/>
      <c r="D296" s="604"/>
      <c r="E296" s="617" t="str">
        <f>IFERROR(IF(INDEX('Impact Indicators - Section B '!J$1:J$98,MATCH($A292,'Impact Indicators - Section B '!$A$1:$A$98,0))&lt;&gt;0,INDEX('Impact Indicators - Section B '!J$1:J$98,MATCH($A292,'Impact Indicators - Section B '!$A$1:$A$98,0)),""),"")</f>
        <v>Congo (Democratic Republic)</v>
      </c>
      <c r="F296" s="603"/>
      <c r="G296" s="604"/>
    </row>
    <row r="297" spans="1:7" ht="18.75" customHeight="1">
      <c r="A297" s="607"/>
      <c r="B297" s="590" t="s">
        <v>199</v>
      </c>
      <c r="C297" s="591"/>
      <c r="D297" s="592"/>
      <c r="E297" s="590" t="s">
        <v>120</v>
      </c>
      <c r="F297" s="591"/>
      <c r="G297" s="592"/>
    </row>
    <row r="298" spans="1:7" ht="18.75" customHeight="1">
      <c r="A298" s="607"/>
      <c r="B298" s="608" t="str">
        <f>IFERROR(IF(INDEX('Impact Indicators - Section B '!G$1:G$98,MATCH($A292,'Impact Indicators - Section B '!$A$1:$A$98,0))&lt;&gt;0,INDEX('Impact Indicators - Section B '!G$1:G$98,MATCH($A292,'Impact Indicators - Section B '!$A$1:$A$98,0)),""),"")</f>
        <v>Spectrum v6.26</v>
      </c>
      <c r="C298" s="609"/>
      <c r="D298" s="610"/>
      <c r="E298" s="608" t="str">
        <f ca="1">IFERROR(IF(AND('Overview - Section A'!AS$1="Grant Making",OR(B292&lt;&gt;"",E292&lt;&gt;"")),Setup!I15,IF(INDEX('Impact Indicators - Section B '!I$1:I$98,MATCH($A292,'Impact Indicators - Section B '!$A$1:$A$98,0))&lt;&gt;0,INDEX('Impact Indicators - Section B '!I$1:I$98,MATCH($A292,'Impact Indicators - Section B '!$A$1:$A$98,0)),"")),"")</f>
        <v>Ministry of Public Health, Hygiene and Prevention</v>
      </c>
      <c r="F298" s="609"/>
      <c r="G298" s="610"/>
    </row>
    <row r="299" spans="1:7" ht="18.75" customHeight="1">
      <c r="A299" s="607"/>
      <c r="B299" s="614"/>
      <c r="C299" s="615"/>
      <c r="D299" s="616"/>
      <c r="E299" s="614"/>
      <c r="F299" s="615"/>
      <c r="G299" s="616"/>
    </row>
    <row r="300" spans="1:7" ht="18.75" customHeight="1">
      <c r="A300" s="607"/>
      <c r="B300" s="74"/>
      <c r="C300" s="59" t="s">
        <v>5052</v>
      </c>
      <c r="D300" s="590" t="s">
        <v>5053</v>
      </c>
      <c r="E300" s="591"/>
      <c r="F300" s="591"/>
      <c r="G300" s="592"/>
    </row>
    <row r="301" spans="1:7" ht="18.75" customHeight="1">
      <c r="A301" s="607"/>
      <c r="B301" s="74" t="s">
        <v>2589</v>
      </c>
      <c r="C301" s="75" t="str">
        <f>IFERROR(IF(INDEX('Impact Indicators - Section B '!F$1:F$98,MATCH($A292,'Impact Indicators - Section B '!$A$1:$A$98,0))&lt;&gt;0,INDEX('Impact Indicators - Section B '!F$1:F$98,MATCH($A292,'Impact Indicators - Section B '!$A$1:$A$98,0)),""),"")&amp;CHAR(10)&amp;IFERROR(IF(INDEX('Impact Indicators - Section B '!G$1:G$98,MATCH($A292,'Impact Indicators - Section B '!$A$1:$A$98,0))&lt;&gt;0,INDEX('Impact Indicators - Section B '!G$1:G$98,MATCH($A292,'Impact Indicators - Section B '!$A$1:$A$98,0)),""),"")</f>
        <v>2022
Spectrum v6.26</v>
      </c>
      <c r="D301" s="59">
        <f ca="1">IFERROR(IF(YEAR(INDEX('Overview - Section A'!$A$47:$A$54,MATCH('Print - Summary'!$H$10,'Overview - Section A'!$B$47:$B$54,0)))&lt;=YEAR('Overview - Section A'!$E$8),YEAR(INDEX('Overview - Section A'!$A$47:$A$54,MATCH('Print - Summary'!$H$10,'Overview - Section A'!$B$47:$B$54,0))),""),"")</f>
        <v>2024</v>
      </c>
      <c r="E301" s="59">
        <f ca="1">IFERROR(IF(D301+1&lt;=YEAR('Overview - Section A'!$E$8),D301+1,""),"")</f>
        <v>2025</v>
      </c>
      <c r="F301" s="59">
        <f ca="1">IFERROR(IF(E301+1&lt;=YEAR('Overview - Section A'!$E$8),E301+1,""),"")</f>
        <v>2026</v>
      </c>
      <c r="G301" s="59" t="str">
        <f ca="1">IFERROR(IF(F301+1&lt;=YEAR('Overview - Section A'!$E$8),F301+1,""),"")</f>
        <v/>
      </c>
    </row>
    <row r="302" spans="1:7" s="77" customFormat="1" ht="18.75" customHeight="1">
      <c r="A302" s="607"/>
      <c r="B302" s="74" t="s">
        <v>5054</v>
      </c>
      <c r="C302" s="76" t="str">
        <f>IFERROR(IF(INDEX('Impact Indicators - Section B '!D$1:D$98,MATCH($A292,'Impact Indicators - Section B '!$A$1:$A$98,0))&lt;&gt;"",FIXED(INDEX('Impact Indicators - Section B '!D$1:D$98,MATCH($A292,'Impact Indicators - Section B '!$A$1:$A$98,0)),4),""),"")</f>
        <v>12'508.0000</v>
      </c>
      <c r="D302" s="76" t="str">
        <f ca="1">IFERROR(IF(INDEX('Impact Indicators - Section B '!K$1:K$98,MATCH($A292,'Impact Indicators - Section B '!$A$1:$A$98,0))&lt;&gt;"",FIXED(INDEX('Impact Indicators - Section B '!K$1:K$98,MATCH($A292,'Impact Indicators - Section B '!$A$1:$A$98,0)),4),""),"")</f>
        <v>9'208.0000</v>
      </c>
      <c r="E302" s="76" t="str">
        <f ca="1">IFERROR(IF(INDEX('Impact Indicators - Section B '!O$1:O$98,MATCH($A292,'Impact Indicators - Section B '!$A$1:$A$98,0))&lt;&gt;"",FIXED(INDEX('Impact Indicators - Section B '!O$1:O$98,MATCH($A292,'Impact Indicators - Section B '!$A$1:$A$98,0)),4),""),"")</f>
        <v>8'062.0000</v>
      </c>
      <c r="F302" s="76" t="str">
        <f ca="1">IFERROR(IF(INDEX('Impact Indicators - Section B '!S$1:S$98,MATCH($A292,'Impact Indicators - Section B '!$A$1:$A$98,0))&lt;&gt;"",FIXED(INDEX('Impact Indicators - Section B '!S$1:S$98,MATCH($A292,'Impact Indicators - Section B '!$A$1:$A$98,0)),4),""),"")</f>
        <v>6'909.0000</v>
      </c>
      <c r="G302" s="76" t="str">
        <f ca="1">IFERROR(IF(INDEX('Impact Indicators - Section B '!W$1:W$98,MATCH($A292,'Impact Indicators - Section B '!$A$1:$A$98,0))&lt;&gt;"",FIXED(INDEX('Impact Indicators - Section B '!W$1:W$98,MATCH($A292,'Impact Indicators - Section B '!$A$1:$A$98,0)),4),""),"")</f>
        <v/>
      </c>
    </row>
    <row r="303" spans="1:7" s="79" customFormat="1" ht="18.75" customHeight="1">
      <c r="A303" s="607"/>
      <c r="B303" s="74" t="s">
        <v>5055</v>
      </c>
      <c r="C303" s="78" t="str">
        <f>IFERROR(IF(INDEX('Impact Indicators - Section B '!D$1:D$98,MATCH($A292,'Impact Indicators - Section B '!$A$1:$A$98,0)+1)&lt;&gt;"",FIXED(INDEX('Impact Indicators - Section B '!D$1:D$98,MATCH($A292,'Impact Indicators - Section B '!$A$1:$A$98,0)+1),2),""),"")</f>
        <v>40'716.00</v>
      </c>
      <c r="D303" s="78" t="str">
        <f ca="1">IFERROR(IF(INDEX('Impact Indicators - Section B '!K$1:K$98,MATCH($A292,'Impact Indicators - Section B '!$A$1:$A$98,0)+1)&lt;&gt;"",FIXED(INDEX('Impact Indicators - Section B '!K$1:K$98,MATCH($A292,'Impact Indicators - Section B '!$A$1:$A$98,0)+1),2),""),"")</f>
        <v>38'506.00</v>
      </c>
      <c r="E303" s="78" t="str">
        <f ca="1">IFERROR(IF(INDEX('Impact Indicators - Section B '!O$1:O$98,MATCH($A292,'Impact Indicators - Section B '!$A$1:$A$98,0)+1)&lt;&gt;"",FIXED(INDEX('Impact Indicators - Section B '!O$1:O$98,MATCH($A292,'Impact Indicators - Section B '!$A$1:$A$98,0)+1),2),""),"")</f>
        <v>37'061.00</v>
      </c>
      <c r="F303" s="78" t="str">
        <f ca="1">IFERROR(IF(INDEX('Impact Indicators - Section B '!S$1:S$98,MATCH($A292,'Impact Indicators - Section B '!$A$1:$A$98,0)+1)&lt;&gt;"",FIXED(INDEX('Impact Indicators - Section B '!S$1:S$98,MATCH($A292,'Impact Indicators - Section B '!$A$1:$A$98,0)+1),2),""),"")</f>
        <v>35'939.00</v>
      </c>
      <c r="G303" s="78" t="str">
        <f ca="1">IFERROR(IF(INDEX('Impact Indicators - Section B '!W$1:W$98,MATCH($A292,'Impact Indicators - Section B '!$A$1:$A$98,0)+1)&lt;&gt;"",FIXED(INDEX('Impact Indicators - Section B '!W$1:W$98,MATCH($A292,'Impact Indicators - Section B '!$A$1:$A$98,0)+1),2),""),"")</f>
        <v/>
      </c>
    </row>
    <row r="304" spans="1:7" ht="18.75" customHeight="1">
      <c r="A304" s="607"/>
      <c r="B304" s="74" t="s">
        <v>5056</v>
      </c>
      <c r="C304" s="75" t="str">
        <f ca="1">IFERROR(IF(INDEX('Impact Indicators - Section B '!E$1:E$98,MATCH($A292,'Impact Indicators - Section B '!$A$1:$A$98,0))&lt;&gt;"",FIXED(INDEX('Impact Indicators - Section B '!E$1:E$98,MATCH($A292,'Impact Indicators - Section B '!$A$1:$A$98,0))*100,2)&amp;"%",""),"")</f>
        <v>30.72%</v>
      </c>
      <c r="D304" s="75" t="str">
        <f ca="1">IFERROR(IF(INDEX('Impact Indicators - Section B '!L$1:L$98,MATCH($A292,'Impact Indicators - Section B '!$A$1:$A$98,0))&lt;&gt;"",FIXED(INDEX('Impact Indicators - Section B '!L$1:L$98,MATCH($A292,'Impact Indicators - Section B '!$A$1:$A$98,0))*100,2)&amp;"%",""),"")&amp;CHAR(10)&amp;IFERROR(IF(INDEX('Impact Indicators - Section B '!N$1:N$98,MATCH($A292,'Impact Indicators - Section B '!$A$1:$A$98,0))&lt;&gt;"",INDEX('Impact Indicators - Section B '!N$1:N$98,MATCH($A292,'Impact Indicators - Section B '!$A$1:$A$98,0)),""),"")&amp;CHAR(10)&amp;IFERROR(IF(INDEX('Impact Indicators - Section B '!M$1:M$98,MATCH($A292,'Impact Indicators - Section B '!$A$1:$A$98,0))&lt;&gt;"",TEXT(INDEX('Impact Indicators - Section B '!M$1:M$98,MATCH($A292,'Impact Indicators - Section B '!$A$1:$A$98,0)),Setup!$A$33),""),"")</f>
        <v xml:space="preserve">23.91%
</v>
      </c>
      <c r="E304" s="75" t="str">
        <f ca="1">IFERROR(IF(INDEX('Impact Indicators - Section B '!P$1:P$98,MATCH($A292,'Impact Indicators - Section B '!$A$1:$A$98,0))&lt;&gt;"",FIXED(INDEX('Impact Indicators - Section B '!P$1:P$98,MATCH($A292,'Impact Indicators - Section B '!$A$1:$A$98,0))*100,2)&amp;"%",""),"")&amp;CHAR(10)&amp;IFERROR(IF(INDEX('Impact Indicators - Section B '!R$1:R$98,MATCH($A292,'Impact Indicators - Section B '!$A$1:$A$98,0))&lt;&gt;"",INDEX('Impact Indicators - Section B '!R$1:R$98,MATCH($A292,'Impact Indicators - Section B '!$A$1:$A$98,0)),""),"")&amp;CHAR(10)&amp;IFERROR(IF(INDEX('Impact Indicators - Section B '!Q$1:Q$98,MATCH($A292,'Impact Indicators - Section B '!$A$1:$A$98,0))&lt;&gt;"",TEXT(INDEX('Impact Indicators - Section B '!Q$1:Q$98,MATCH($A292,'Impact Indicators - Section B '!$A$1:$A$98,0)),Setup!$A$33),""),"")</f>
        <v xml:space="preserve">21.75%
</v>
      </c>
      <c r="F304" s="75" t="str">
        <f ca="1">IFERROR(IF(INDEX('Impact Indicators - Section B '!T$1:T$98,MATCH($A292,'Impact Indicators - Section B '!$A$1:$A$98,0))&lt;&gt;"",FIXED(INDEX('Impact Indicators - Section B '!T$1:T$98,MATCH($A292,'Impact Indicators - Section B '!$A$1:$A$98,0))*100,2)&amp;"%",""),"")&amp;CHAR(10)&amp;IFERROR(IF(INDEX('Impact Indicators - Section B '!V$1:V$98,MATCH($A292,'Impact Indicators - Section B '!$A$1:$A$98,0))&lt;&gt;"",FIXED(INDEX('Impact Indicators - Section B '!V$1:V$98,MATCH($A292,'Impact Indicators - Section B '!$A$1:$A$98,0)),Setup!$A$33),""),"")&amp;CHAR(10)&amp;IFERROR(IF(INDEX('Impact Indicators - Section B '!U$1:U$98,MATCH($A292,'Impact Indicators - Section B '!$A$1:$A$98,0))&lt;&gt;"",TEXT(INDEX('Impact Indicators - Section B '!U$1:U$98,MATCH($A292,'Impact Indicators - Section B '!$A$1:$A$98,0)),Setup!$A$33),""),"")</f>
        <v xml:space="preserve">19.22%
</v>
      </c>
      <c r="G304" s="75" t="str">
        <f ca="1">IFERROR(IF(INDEX('Impact Indicators - Section B '!X$1:X$98,MATCH($A292,'Impact Indicators - Section B '!$A$1:$A$98,0))&lt;&gt;"",FIXED(INDEX('Impact Indicators - Section B '!X$1:X$98,MATCH($A292,'Impact Indicators - Section B '!$A$1:$A$98,0))*100,2)&amp;"%",""),"")&amp;CHAR(10)&amp;IFERROR(IF(INDEX('Impact Indicators - Section B '!Z$1:Z$98,MATCH($A292,'Impact Indicators - Section B '!$A$1:$A$98,0))&lt;&gt;"",INDEX('Impact Indicators - Section B '!Z$1:Z$98,MATCH($A292,'Impact Indicators - Section B '!$A$1:$A$98,0)),""),"")&amp;CHAR(10)&amp;IFERROR(IF(INDEX('Impact Indicators - Section B '!Y$1:Y$98,MATCH($A292,'Impact Indicators - Section B '!$A$1:$A$98,0))&lt;&gt;"",TEXT(INDEX('Impact Indicators - Section B '!Y$1:Y$98,MATCH($A292,'Impact Indicators - Section B '!$A$1:$A$98,0)),Setup!$A$33),""),"")</f>
        <v xml:space="preserve">
</v>
      </c>
    </row>
    <row r="305" spans="1:7" ht="18.75" customHeight="1">
      <c r="A305" s="607"/>
      <c r="B305" s="590" t="s">
        <v>176</v>
      </c>
      <c r="C305" s="591"/>
      <c r="D305" s="591"/>
      <c r="E305" s="591"/>
      <c r="F305" s="591"/>
      <c r="G305" s="592"/>
    </row>
    <row r="306" spans="1:7" ht="18.75" customHeight="1">
      <c r="A306" s="607"/>
      <c r="B306" s="608" t="str">
        <f>IFERROR(IF(INDEX('Impact Indicators - Section B '!AA$1:AA$98,MATCH($A292,'Impact Indicators - Section B '!$A$1:$A$98,0))&lt;&gt;0,INDEX('Impact Indicators - Section B '!AA$1:AA$98,MATCH($A292,'Impact Indicators - Section B '!$A$1:$A$98,0)),""),"")</f>
        <v>Data from Spectrum v6.26</v>
      </c>
      <c r="C306" s="609"/>
      <c r="D306" s="609"/>
      <c r="E306" s="609"/>
      <c r="F306" s="609"/>
      <c r="G306" s="610"/>
    </row>
    <row r="307" spans="1:7" ht="18.75" customHeight="1">
      <c r="A307" s="607"/>
      <c r="B307" s="611"/>
      <c r="C307" s="612"/>
      <c r="D307" s="612"/>
      <c r="E307" s="612"/>
      <c r="F307" s="612"/>
      <c r="G307" s="613"/>
    </row>
    <row r="308" spans="1:7" ht="18.75" customHeight="1">
      <c r="A308" s="607"/>
      <c r="B308" s="611"/>
      <c r="C308" s="612"/>
      <c r="D308" s="612"/>
      <c r="E308" s="612"/>
      <c r="F308" s="612"/>
      <c r="G308" s="613"/>
    </row>
    <row r="309" spans="1:7" ht="18.75" customHeight="1">
      <c r="A309" s="607"/>
      <c r="B309" s="611"/>
      <c r="C309" s="612"/>
      <c r="D309" s="612"/>
      <c r="E309" s="612"/>
      <c r="F309" s="612"/>
      <c r="G309" s="613"/>
    </row>
    <row r="310" spans="1:7" ht="18.75" customHeight="1">
      <c r="A310" s="607"/>
      <c r="B310" s="611"/>
      <c r="C310" s="612"/>
      <c r="D310" s="612"/>
      <c r="E310" s="612"/>
      <c r="F310" s="612"/>
      <c r="G310" s="613"/>
    </row>
    <row r="311" spans="1:7" ht="18.75" customHeight="1">
      <c r="A311" s="607"/>
      <c r="B311" s="611"/>
      <c r="C311" s="612"/>
      <c r="D311" s="612"/>
      <c r="E311" s="612"/>
      <c r="F311" s="612"/>
      <c r="G311" s="613"/>
    </row>
    <row r="312" spans="1:7" ht="18.75" customHeight="1">
      <c r="A312" s="607"/>
      <c r="B312" s="611"/>
      <c r="C312" s="612"/>
      <c r="D312" s="612"/>
      <c r="E312" s="612"/>
      <c r="F312" s="612"/>
      <c r="G312" s="613"/>
    </row>
    <row r="313" spans="1:7" ht="18.75" customHeight="1">
      <c r="A313" s="607"/>
      <c r="B313" s="611"/>
      <c r="C313" s="612"/>
      <c r="D313" s="612"/>
      <c r="E313" s="612"/>
      <c r="F313" s="612"/>
      <c r="G313" s="613"/>
    </row>
    <row r="314" spans="1:7" ht="18.75" customHeight="1">
      <c r="A314" s="607"/>
      <c r="B314" s="611"/>
      <c r="C314" s="612"/>
      <c r="D314" s="612"/>
      <c r="E314" s="612"/>
      <c r="F314" s="612"/>
      <c r="G314" s="613"/>
    </row>
    <row r="315" spans="1:7" ht="18.75" customHeight="1">
      <c r="A315" s="607"/>
      <c r="B315" s="611"/>
      <c r="C315" s="612"/>
      <c r="D315" s="612"/>
      <c r="E315" s="612"/>
      <c r="F315" s="612"/>
      <c r="G315" s="613"/>
    </row>
    <row r="316" spans="1:7" ht="18.75" customHeight="1">
      <c r="A316" s="598"/>
      <c r="B316" s="618"/>
      <c r="C316" s="618"/>
      <c r="D316" s="618"/>
      <c r="E316" s="618"/>
      <c r="F316" s="618"/>
      <c r="G316" s="599"/>
    </row>
    <row r="318" spans="1:7" ht="18.75" customHeight="1">
      <c r="A318" s="73" t="s">
        <v>5051</v>
      </c>
      <c r="B318" s="590" t="s">
        <v>765</v>
      </c>
      <c r="C318" s="591"/>
      <c r="D318" s="592"/>
      <c r="E318" s="590" t="s">
        <v>766</v>
      </c>
      <c r="F318" s="591"/>
      <c r="G318" s="592"/>
    </row>
    <row r="319" spans="1:7" ht="18.75" customHeight="1">
      <c r="A319" s="606">
        <v>12</v>
      </c>
      <c r="B319" s="608" t="str">
        <f ca="1">IFERROR(IF(INDEX('Impact Indicators - Section B '!B$1:B$98,MATCH($A319,'Impact Indicators - Section B '!$A$1:$A$98,0))&lt;&gt;0,INDEX('Impact Indicators - Section B '!B$1:B$98,MATCH($A319,'Impact Indicators - Section B '!$A$1:$A$98,0)),""),"")</f>
        <v/>
      </c>
      <c r="C319" s="609"/>
      <c r="D319" s="610"/>
      <c r="E319" s="608" t="str">
        <f>IFERROR(IF(INDEX('Impact Indicators - Section B '!C$1:C$98,MATCH($A319,'Impact Indicators - Section B '!$A$1:$A$98,0))&lt;&gt;0,INDEX('Impact Indicators - Section B '!C$1:C$98,MATCH($A319,'Impact Indicators - Section B '!$A$1:$A$98,0)),""),"")</f>
        <v/>
      </c>
      <c r="F319" s="609"/>
      <c r="G319" s="610"/>
    </row>
    <row r="320" spans="1:7" ht="18.75" customHeight="1">
      <c r="A320" s="607"/>
      <c r="B320" s="611"/>
      <c r="C320" s="612"/>
      <c r="D320" s="613"/>
      <c r="E320" s="611"/>
      <c r="F320" s="612"/>
      <c r="G320" s="613"/>
    </row>
    <row r="321" spans="1:7" ht="18.75" customHeight="1">
      <c r="A321" s="607"/>
      <c r="B321" s="614"/>
      <c r="C321" s="615"/>
      <c r="D321" s="616"/>
      <c r="E321" s="614"/>
      <c r="F321" s="615"/>
      <c r="G321" s="616"/>
    </row>
    <row r="322" spans="1:7" ht="18.75" customHeight="1">
      <c r="A322" s="607"/>
      <c r="B322" s="590" t="s">
        <v>769</v>
      </c>
      <c r="C322" s="591"/>
      <c r="D322" s="592"/>
      <c r="E322" s="590" t="s">
        <v>127</v>
      </c>
      <c r="F322" s="591"/>
      <c r="G322" s="592"/>
    </row>
    <row r="323" spans="1:7" ht="18.75" customHeight="1">
      <c r="A323" s="607"/>
      <c r="B323" s="617" t="str">
        <f>IFERROR(IF(INDEX('Impact Indicators - Section B '!H$1:H$98,MATCH($A319,'Impact Indicators - Section B '!$A$1:$A$98,0))&lt;&gt;0,INDEX('Impact Indicators - Section B '!H$1:H$98,MATCH($A319,'Impact Indicators - Section B '!$A$1:$A$98,0)),""),"")</f>
        <v/>
      </c>
      <c r="C323" s="603"/>
      <c r="D323" s="604"/>
      <c r="E323" s="617" t="str">
        <f>IFERROR(IF(INDEX('Impact Indicators - Section B '!J$1:J$98,MATCH($A319,'Impact Indicators - Section B '!$A$1:$A$98,0))&lt;&gt;0,INDEX('Impact Indicators - Section B '!J$1:J$98,MATCH($A319,'Impact Indicators - Section B '!$A$1:$A$98,0)),""),"")</f>
        <v/>
      </c>
      <c r="F323" s="603"/>
      <c r="G323" s="604"/>
    </row>
    <row r="324" spans="1:7" ht="18.75" customHeight="1">
      <c r="A324" s="607"/>
      <c r="B324" s="590" t="s">
        <v>199</v>
      </c>
      <c r="C324" s="591"/>
      <c r="D324" s="592"/>
      <c r="E324" s="590" t="s">
        <v>120</v>
      </c>
      <c r="F324" s="591"/>
      <c r="G324" s="592"/>
    </row>
    <row r="325" spans="1:7" ht="18.75" customHeight="1">
      <c r="A325" s="607"/>
      <c r="B325" s="608" t="str">
        <f>IFERROR(IF(INDEX('Impact Indicators - Section B '!G$1:G$98,MATCH($A319,'Impact Indicators - Section B '!$A$1:$A$98,0))&lt;&gt;0,INDEX('Impact Indicators - Section B '!G$1:G$98,MATCH($A319,'Impact Indicators - Section B '!$A$1:$A$98,0)),""),"")</f>
        <v/>
      </c>
      <c r="C325" s="609"/>
      <c r="D325" s="610"/>
      <c r="E325" s="608" t="str">
        <f ca="1">IFERROR(IF(AND('Overview - Section A'!AS$1="Grant Making",OR(B319&lt;&gt;"",E319&lt;&gt;"")),Setup!I15,IF(INDEX('Impact Indicators - Section B '!I$1:I$98,MATCH($A319,'Impact Indicators - Section B '!$A$1:$A$98,0))&lt;&gt;0,INDEX('Impact Indicators - Section B '!I$1:I$98,MATCH($A319,'Impact Indicators - Section B '!$A$1:$A$98,0)),"")),"")</f>
        <v/>
      </c>
      <c r="F325" s="609"/>
      <c r="G325" s="610"/>
    </row>
    <row r="326" spans="1:7" ht="18.75" customHeight="1">
      <c r="A326" s="607"/>
      <c r="B326" s="614"/>
      <c r="C326" s="615"/>
      <c r="D326" s="616"/>
      <c r="E326" s="614"/>
      <c r="F326" s="615"/>
      <c r="G326" s="616"/>
    </row>
    <row r="327" spans="1:7" ht="18.75" customHeight="1">
      <c r="A327" s="607"/>
      <c r="B327" s="74"/>
      <c r="C327" s="59" t="s">
        <v>5052</v>
      </c>
      <c r="D327" s="590" t="s">
        <v>5053</v>
      </c>
      <c r="E327" s="591"/>
      <c r="F327" s="591"/>
      <c r="G327" s="592"/>
    </row>
    <row r="328" spans="1:7" ht="18.75" customHeight="1">
      <c r="A328" s="607"/>
      <c r="B328" s="74" t="s">
        <v>2589</v>
      </c>
      <c r="C328" s="75" t="str">
        <f>IFERROR(IF(INDEX('Impact Indicators - Section B '!F$1:F$98,MATCH($A319,'Impact Indicators - Section B '!$A$1:$A$98,0))&lt;&gt;0,INDEX('Impact Indicators - Section B '!F$1:F$98,MATCH($A319,'Impact Indicators - Section B '!$A$1:$A$98,0)),""),"")&amp;CHAR(10)&amp;IFERROR(IF(INDEX('Impact Indicators - Section B '!G$1:G$98,MATCH($A319,'Impact Indicators - Section B '!$A$1:$A$98,0))&lt;&gt;0,INDEX('Impact Indicators - Section B '!G$1:G$98,MATCH($A319,'Impact Indicators - Section B '!$A$1:$A$98,0)),""),"")</f>
        <v xml:space="preserve">
</v>
      </c>
      <c r="D328" s="59">
        <f ca="1">IFERROR(IF(YEAR(INDEX('Overview - Section A'!$A$47:$A$54,MATCH('Print - Summary'!$H$10,'Overview - Section A'!$B$47:$B$54,0)))&lt;=YEAR('Overview - Section A'!$E$8),YEAR(INDEX('Overview - Section A'!$A$47:$A$54,MATCH('Print - Summary'!$H$10,'Overview - Section A'!$B$47:$B$54,0))),""),"")</f>
        <v>2024</v>
      </c>
      <c r="E328" s="59">
        <f ca="1">IFERROR(IF(D328+1&lt;=YEAR('Overview - Section A'!$E$8),D328+1,""),"")</f>
        <v>2025</v>
      </c>
      <c r="F328" s="59">
        <f ca="1">IFERROR(IF(E328+1&lt;=YEAR('Overview - Section A'!$E$8),E328+1,""),"")</f>
        <v>2026</v>
      </c>
      <c r="G328" s="59" t="str">
        <f ca="1">IFERROR(IF(F328+1&lt;=YEAR('Overview - Section A'!$E$8),F328+1,""),"")</f>
        <v/>
      </c>
    </row>
    <row r="329" spans="1:7" s="77" customFormat="1" ht="18.75" customHeight="1">
      <c r="A329" s="607"/>
      <c r="B329" s="74" t="s">
        <v>5054</v>
      </c>
      <c r="C329" s="76" t="str">
        <f>IFERROR(IF(INDEX('Impact Indicators - Section B '!D$1:D$98,MATCH($A319,'Impact Indicators - Section B '!$A$1:$A$98,0))&lt;&gt;"",FIXED(INDEX('Impact Indicators - Section B '!D$1:D$98,MATCH($A319,'Impact Indicators - Section B '!$A$1:$A$98,0)),4),""),"")</f>
        <v/>
      </c>
      <c r="D329" s="76" t="str">
        <f ca="1">IFERROR(IF(INDEX('Impact Indicators - Section B '!K$1:K$98,MATCH($A319,'Impact Indicators - Section B '!$A$1:$A$98,0))&lt;&gt;"",FIXED(INDEX('Impact Indicators - Section B '!K$1:K$98,MATCH($A319,'Impact Indicators - Section B '!$A$1:$A$98,0)),4),""),"")</f>
        <v/>
      </c>
      <c r="E329" s="76" t="str">
        <f ca="1">IFERROR(IF(INDEX('Impact Indicators - Section B '!O$1:O$98,MATCH($A319,'Impact Indicators - Section B '!$A$1:$A$98,0))&lt;&gt;"",FIXED(INDEX('Impact Indicators - Section B '!O$1:O$98,MATCH($A319,'Impact Indicators - Section B '!$A$1:$A$98,0)),4),""),"")</f>
        <v/>
      </c>
      <c r="F329" s="76" t="str">
        <f ca="1">IFERROR(IF(INDEX('Impact Indicators - Section B '!S$1:S$98,MATCH($A319,'Impact Indicators - Section B '!$A$1:$A$98,0))&lt;&gt;"",FIXED(INDEX('Impact Indicators - Section B '!S$1:S$98,MATCH($A319,'Impact Indicators - Section B '!$A$1:$A$98,0)),4),""),"")</f>
        <v/>
      </c>
      <c r="G329" s="76" t="str">
        <f ca="1">IFERROR(IF(INDEX('Impact Indicators - Section B '!W$1:W$98,MATCH($A319,'Impact Indicators - Section B '!$A$1:$A$98,0))&lt;&gt;"",FIXED(INDEX('Impact Indicators - Section B '!W$1:W$98,MATCH($A319,'Impact Indicators - Section B '!$A$1:$A$98,0)),4),""),"")</f>
        <v/>
      </c>
    </row>
    <row r="330" spans="1:7" s="79" customFormat="1" ht="18.75" customHeight="1">
      <c r="A330" s="607"/>
      <c r="B330" s="74" t="s">
        <v>5055</v>
      </c>
      <c r="C330" s="78" t="str">
        <f>IFERROR(IF(INDEX('Impact Indicators - Section B '!D$1:D$98,MATCH($A319,'Impact Indicators - Section B '!$A$1:$A$98,0)+1)&lt;&gt;"",FIXED(INDEX('Impact Indicators - Section B '!D$1:D$98,MATCH($A319,'Impact Indicators - Section B '!$A$1:$A$98,0)+1),2),""),"")</f>
        <v/>
      </c>
      <c r="D330" s="78" t="str">
        <f ca="1">IFERROR(IF(INDEX('Impact Indicators - Section B '!K$1:K$98,MATCH($A319,'Impact Indicators - Section B '!$A$1:$A$98,0)+1)&lt;&gt;"",FIXED(INDEX('Impact Indicators - Section B '!K$1:K$98,MATCH($A319,'Impact Indicators - Section B '!$A$1:$A$98,0)+1),2),""),"")</f>
        <v/>
      </c>
      <c r="E330" s="78" t="str">
        <f ca="1">IFERROR(IF(INDEX('Impact Indicators - Section B '!O$1:O$98,MATCH($A319,'Impact Indicators - Section B '!$A$1:$A$98,0)+1)&lt;&gt;"",FIXED(INDEX('Impact Indicators - Section B '!O$1:O$98,MATCH($A319,'Impact Indicators - Section B '!$A$1:$A$98,0)+1),2),""),"")</f>
        <v/>
      </c>
      <c r="F330" s="78" t="str">
        <f ca="1">IFERROR(IF(INDEX('Impact Indicators - Section B '!S$1:S$98,MATCH($A319,'Impact Indicators - Section B '!$A$1:$A$98,0)+1)&lt;&gt;"",FIXED(INDEX('Impact Indicators - Section B '!S$1:S$98,MATCH($A319,'Impact Indicators - Section B '!$A$1:$A$98,0)+1),2),""),"")</f>
        <v/>
      </c>
      <c r="G330" s="78" t="str">
        <f ca="1">IFERROR(IF(INDEX('Impact Indicators - Section B '!W$1:W$98,MATCH($A319,'Impact Indicators - Section B '!$A$1:$A$98,0)+1)&lt;&gt;"",FIXED(INDEX('Impact Indicators - Section B '!W$1:W$98,MATCH($A319,'Impact Indicators - Section B '!$A$1:$A$98,0)+1),2),""),"")</f>
        <v/>
      </c>
    </row>
    <row r="331" spans="1:7" ht="18.75" customHeight="1">
      <c r="A331" s="607"/>
      <c r="B331" s="74" t="s">
        <v>5056</v>
      </c>
      <c r="C331" s="75" t="str">
        <f ca="1">IFERROR(IF(INDEX('Impact Indicators - Section B '!E$1:E$98,MATCH($A319,'Impact Indicators - Section B '!$A$1:$A$98,0))&lt;&gt;"",FIXED(INDEX('Impact Indicators - Section B '!E$1:E$98,MATCH($A319,'Impact Indicators - Section B '!$A$1:$A$98,0))*100,2)&amp;"%",""),"")</f>
        <v/>
      </c>
      <c r="D331" s="75" t="str">
        <f ca="1">IFERROR(IF(INDEX('Impact Indicators - Section B '!L$1:L$98,MATCH($A319,'Impact Indicators - Section B '!$A$1:$A$98,0))&lt;&gt;"",FIXED(INDEX('Impact Indicators - Section B '!L$1:L$98,MATCH($A319,'Impact Indicators - Section B '!$A$1:$A$98,0))*100,2)&amp;"%",""),"")&amp;CHAR(10)&amp;IFERROR(IF(INDEX('Impact Indicators - Section B '!N$1:N$98,MATCH($A319,'Impact Indicators - Section B '!$A$1:$A$98,0))&lt;&gt;"",INDEX('Impact Indicators - Section B '!N$1:N$98,MATCH($A319,'Impact Indicators - Section B '!$A$1:$A$98,0)),""),"")&amp;CHAR(10)&amp;IFERROR(IF(INDEX('Impact Indicators - Section B '!M$1:M$98,MATCH($A319,'Impact Indicators - Section B '!$A$1:$A$98,0))&lt;&gt;"",TEXT(INDEX('Impact Indicators - Section B '!M$1:M$98,MATCH($A319,'Impact Indicators - Section B '!$A$1:$A$98,0)),Setup!$A$33),""),"")</f>
        <v xml:space="preserve">
</v>
      </c>
      <c r="E331" s="75" t="str">
        <f ca="1">IFERROR(IF(INDEX('Impact Indicators - Section B '!P$1:P$98,MATCH($A319,'Impact Indicators - Section B '!$A$1:$A$98,0))&lt;&gt;"",FIXED(INDEX('Impact Indicators - Section B '!P$1:P$98,MATCH($A319,'Impact Indicators - Section B '!$A$1:$A$98,0))*100,2)&amp;"%",""),"")&amp;CHAR(10)&amp;IFERROR(IF(INDEX('Impact Indicators - Section B '!R$1:R$98,MATCH($A319,'Impact Indicators - Section B '!$A$1:$A$98,0))&lt;&gt;"",INDEX('Impact Indicators - Section B '!R$1:R$98,MATCH($A319,'Impact Indicators - Section B '!$A$1:$A$98,0)),""),"")&amp;CHAR(10)&amp;IFERROR(IF(INDEX('Impact Indicators - Section B '!Q$1:Q$98,MATCH($A319,'Impact Indicators - Section B '!$A$1:$A$98,0))&lt;&gt;"",TEXT(INDEX('Impact Indicators - Section B '!Q$1:Q$98,MATCH($A319,'Impact Indicators - Section B '!$A$1:$A$98,0)),Setup!$A$33),""),"")</f>
        <v xml:space="preserve">
</v>
      </c>
      <c r="F331" s="75" t="str">
        <f ca="1">IFERROR(IF(INDEX('Impact Indicators - Section B '!T$1:T$98,MATCH($A319,'Impact Indicators - Section B '!$A$1:$A$98,0))&lt;&gt;"",FIXED(INDEX('Impact Indicators - Section B '!T$1:T$98,MATCH($A319,'Impact Indicators - Section B '!$A$1:$A$98,0))*100,2)&amp;"%",""),"")&amp;CHAR(10)&amp;IFERROR(IF(INDEX('Impact Indicators - Section B '!V$1:V$98,MATCH($A319,'Impact Indicators - Section B '!$A$1:$A$98,0))&lt;&gt;"",FIXED(INDEX('Impact Indicators - Section B '!V$1:V$98,MATCH($A319,'Impact Indicators - Section B '!$A$1:$A$98,0)),Setup!$A$33),""),"")&amp;CHAR(10)&amp;IFERROR(IF(INDEX('Impact Indicators - Section B '!U$1:U$98,MATCH($A319,'Impact Indicators - Section B '!$A$1:$A$98,0))&lt;&gt;"",TEXT(INDEX('Impact Indicators - Section B '!U$1:U$98,MATCH($A319,'Impact Indicators - Section B '!$A$1:$A$98,0)),Setup!$A$33),""),"")</f>
        <v xml:space="preserve">
</v>
      </c>
      <c r="G331" s="75" t="str">
        <f ca="1">IFERROR(IF(INDEX('Impact Indicators - Section B '!X$1:X$98,MATCH($A319,'Impact Indicators - Section B '!$A$1:$A$98,0))&lt;&gt;"",FIXED(INDEX('Impact Indicators - Section B '!X$1:X$98,MATCH($A319,'Impact Indicators - Section B '!$A$1:$A$98,0))*100,2)&amp;"%",""),"")&amp;CHAR(10)&amp;IFERROR(IF(INDEX('Impact Indicators - Section B '!Z$1:Z$98,MATCH($A319,'Impact Indicators - Section B '!$A$1:$A$98,0))&lt;&gt;"",INDEX('Impact Indicators - Section B '!Z$1:Z$98,MATCH($A319,'Impact Indicators - Section B '!$A$1:$A$98,0)),""),"")&amp;CHAR(10)&amp;IFERROR(IF(INDEX('Impact Indicators - Section B '!Y$1:Y$98,MATCH($A319,'Impact Indicators - Section B '!$A$1:$A$98,0))&lt;&gt;"",TEXT(INDEX('Impact Indicators - Section B '!Y$1:Y$98,MATCH($A319,'Impact Indicators - Section B '!$A$1:$A$98,0)),Setup!$A$33),""),"")</f>
        <v xml:space="preserve">
</v>
      </c>
    </row>
    <row r="332" spans="1:7" ht="18.75" customHeight="1">
      <c r="A332" s="607"/>
      <c r="B332" s="590" t="s">
        <v>176</v>
      </c>
      <c r="C332" s="591"/>
      <c r="D332" s="591"/>
      <c r="E332" s="591"/>
      <c r="F332" s="591"/>
      <c r="G332" s="592"/>
    </row>
    <row r="333" spans="1:7" ht="18.75" customHeight="1">
      <c r="A333" s="607"/>
      <c r="B333" s="608" t="str">
        <f>IFERROR(IF(INDEX('Impact Indicators - Section B '!AA$1:AA$98,MATCH($A319,'Impact Indicators - Section B '!$A$1:$A$98,0))&lt;&gt;0,INDEX('Impact Indicators - Section B '!AA$1:AA$98,MATCH($A319,'Impact Indicators - Section B '!$A$1:$A$98,0)),""),"")</f>
        <v/>
      </c>
      <c r="C333" s="609"/>
      <c r="D333" s="609"/>
      <c r="E333" s="609"/>
      <c r="F333" s="609"/>
      <c r="G333" s="610"/>
    </row>
    <row r="334" spans="1:7" ht="18.75" customHeight="1">
      <c r="A334" s="607"/>
      <c r="B334" s="611"/>
      <c r="C334" s="612"/>
      <c r="D334" s="612"/>
      <c r="E334" s="612"/>
      <c r="F334" s="612"/>
      <c r="G334" s="613"/>
    </row>
    <row r="335" spans="1:7" ht="18.75" customHeight="1">
      <c r="A335" s="607"/>
      <c r="B335" s="611"/>
      <c r="C335" s="612"/>
      <c r="D335" s="612"/>
      <c r="E335" s="612"/>
      <c r="F335" s="612"/>
      <c r="G335" s="613"/>
    </row>
    <row r="336" spans="1:7" ht="18.75" customHeight="1">
      <c r="A336" s="607"/>
      <c r="B336" s="611"/>
      <c r="C336" s="612"/>
      <c r="D336" s="612"/>
      <c r="E336" s="612"/>
      <c r="F336" s="612"/>
      <c r="G336" s="613"/>
    </row>
    <row r="337" spans="1:7" ht="18.75" customHeight="1">
      <c r="A337" s="607"/>
      <c r="B337" s="611"/>
      <c r="C337" s="612"/>
      <c r="D337" s="612"/>
      <c r="E337" s="612"/>
      <c r="F337" s="612"/>
      <c r="G337" s="613"/>
    </row>
    <row r="338" spans="1:7" ht="18.75" customHeight="1">
      <c r="A338" s="607"/>
      <c r="B338" s="611"/>
      <c r="C338" s="612"/>
      <c r="D338" s="612"/>
      <c r="E338" s="612"/>
      <c r="F338" s="612"/>
      <c r="G338" s="613"/>
    </row>
    <row r="339" spans="1:7" ht="18.75" customHeight="1">
      <c r="A339" s="607"/>
      <c r="B339" s="611"/>
      <c r="C339" s="612"/>
      <c r="D339" s="612"/>
      <c r="E339" s="612"/>
      <c r="F339" s="612"/>
      <c r="G339" s="613"/>
    </row>
    <row r="340" spans="1:7" ht="18.75" customHeight="1">
      <c r="A340" s="607"/>
      <c r="B340" s="611"/>
      <c r="C340" s="612"/>
      <c r="D340" s="612"/>
      <c r="E340" s="612"/>
      <c r="F340" s="612"/>
      <c r="G340" s="613"/>
    </row>
    <row r="341" spans="1:7" ht="18.75" customHeight="1">
      <c r="A341" s="607"/>
      <c r="B341" s="611"/>
      <c r="C341" s="612"/>
      <c r="D341" s="612"/>
      <c r="E341" s="612"/>
      <c r="F341" s="612"/>
      <c r="G341" s="613"/>
    </row>
    <row r="342" spans="1:7" ht="18.75" customHeight="1">
      <c r="A342" s="607"/>
      <c r="B342" s="611"/>
      <c r="C342" s="612"/>
      <c r="D342" s="612"/>
      <c r="E342" s="612"/>
      <c r="F342" s="612"/>
      <c r="G342" s="613"/>
    </row>
    <row r="343" spans="1:7" ht="18.75" customHeight="1">
      <c r="A343" s="598"/>
      <c r="B343" s="618"/>
      <c r="C343" s="618"/>
      <c r="D343" s="618"/>
      <c r="E343" s="618"/>
      <c r="F343" s="618"/>
      <c r="G343" s="599"/>
    </row>
    <row r="345" spans="1:7" ht="18.75" customHeight="1">
      <c r="A345" s="73" t="s">
        <v>5051</v>
      </c>
      <c r="B345" s="590" t="s">
        <v>765</v>
      </c>
      <c r="C345" s="591"/>
      <c r="D345" s="592"/>
      <c r="E345" s="590" t="s">
        <v>766</v>
      </c>
      <c r="F345" s="591"/>
      <c r="G345" s="592"/>
    </row>
    <row r="346" spans="1:7" ht="18.75" customHeight="1">
      <c r="A346" s="606">
        <v>13</v>
      </c>
      <c r="B346" s="608" t="str">
        <f ca="1">IFERROR(IF(INDEX('Impact Indicators - Section B '!B$1:B$98,MATCH($A346,'Impact Indicators - Section B '!$A$1:$A$98,0))&lt;&gt;0,INDEX('Impact Indicators - Section B '!B$1:B$98,MATCH($A346,'Impact Indicators - Section B '!$A$1:$A$98,0)),""),"")</f>
        <v/>
      </c>
      <c r="C346" s="609"/>
      <c r="D346" s="610"/>
      <c r="E346" s="608" t="str">
        <f>IFERROR(IF(INDEX('Impact Indicators - Section B '!C$1:C$98,MATCH($A346,'Impact Indicators - Section B '!$A$1:$A$98,0))&lt;&gt;0,INDEX('Impact Indicators - Section B '!C$1:C$98,MATCH($A346,'Impact Indicators - Section B '!$A$1:$A$98,0)),""),"")</f>
        <v/>
      </c>
      <c r="F346" s="609"/>
      <c r="G346" s="610"/>
    </row>
    <row r="347" spans="1:7" ht="18.75" customHeight="1">
      <c r="A347" s="607"/>
      <c r="B347" s="611"/>
      <c r="C347" s="612"/>
      <c r="D347" s="613"/>
      <c r="E347" s="611"/>
      <c r="F347" s="612"/>
      <c r="G347" s="613"/>
    </row>
    <row r="348" spans="1:7" ht="18.75" customHeight="1">
      <c r="A348" s="607"/>
      <c r="B348" s="614"/>
      <c r="C348" s="615"/>
      <c r="D348" s="616"/>
      <c r="E348" s="614"/>
      <c r="F348" s="615"/>
      <c r="G348" s="616"/>
    </row>
    <row r="349" spans="1:7" ht="18.75" customHeight="1">
      <c r="A349" s="607"/>
      <c r="B349" s="590" t="s">
        <v>769</v>
      </c>
      <c r="C349" s="591"/>
      <c r="D349" s="592"/>
      <c r="E349" s="590" t="s">
        <v>127</v>
      </c>
      <c r="F349" s="591"/>
      <c r="G349" s="592"/>
    </row>
    <row r="350" spans="1:7" ht="18.75" customHeight="1">
      <c r="A350" s="607"/>
      <c r="B350" s="617" t="str">
        <f>IFERROR(IF(INDEX('Impact Indicators - Section B '!H$1:H$98,MATCH($A346,'Impact Indicators - Section B '!$A$1:$A$98,0))&lt;&gt;0,INDEX('Impact Indicators - Section B '!H$1:H$98,MATCH($A346,'Impact Indicators - Section B '!$A$1:$A$98,0)),""),"")</f>
        <v/>
      </c>
      <c r="C350" s="603"/>
      <c r="D350" s="604"/>
      <c r="E350" s="617" t="str">
        <f>IFERROR(IF(INDEX('Impact Indicators - Section B '!J$1:J$98,MATCH($A346,'Impact Indicators - Section B '!$A$1:$A$98,0))&lt;&gt;0,INDEX('Impact Indicators - Section B '!J$1:J$98,MATCH($A346,'Impact Indicators - Section B '!$A$1:$A$98,0)),""),"")</f>
        <v/>
      </c>
      <c r="F350" s="603"/>
      <c r="G350" s="604"/>
    </row>
    <row r="351" spans="1:7" ht="18.75" customHeight="1">
      <c r="A351" s="607"/>
      <c r="B351" s="590" t="s">
        <v>199</v>
      </c>
      <c r="C351" s="591"/>
      <c r="D351" s="592"/>
      <c r="E351" s="590" t="s">
        <v>120</v>
      </c>
      <c r="F351" s="591"/>
      <c r="G351" s="592"/>
    </row>
    <row r="352" spans="1:7" ht="18.75" customHeight="1">
      <c r="A352" s="607"/>
      <c r="B352" s="608" t="str">
        <f>IFERROR(IF(INDEX('Impact Indicators - Section B '!G$1:G$98,MATCH($A346,'Impact Indicators - Section B '!$A$1:$A$98,0))&lt;&gt;0,INDEX('Impact Indicators - Section B '!G$1:G$98,MATCH($A346,'Impact Indicators - Section B '!$A$1:$A$98,0)),""),"")</f>
        <v/>
      </c>
      <c r="C352" s="609"/>
      <c r="D352" s="610"/>
      <c r="E352" s="608" t="str">
        <f ca="1">IFERROR(IF(AND('Overview - Section A'!AS$1="Grant Making",OR(B346&lt;&gt;"",E346&lt;&gt;"")),Setup!I15,IF(INDEX('Impact Indicators - Section B '!I$1:I$98,MATCH($A346,'Impact Indicators - Section B '!$A$1:$A$98,0))&lt;&gt;0,INDEX('Impact Indicators - Section B '!I$1:I$98,MATCH($A346,'Impact Indicators - Section B '!$A$1:$A$98,0)),"")),"")</f>
        <v/>
      </c>
      <c r="F352" s="609"/>
      <c r="G352" s="610"/>
    </row>
    <row r="353" spans="1:7" ht="18.75" customHeight="1">
      <c r="A353" s="607"/>
      <c r="B353" s="614"/>
      <c r="C353" s="615"/>
      <c r="D353" s="616"/>
      <c r="E353" s="614"/>
      <c r="F353" s="615"/>
      <c r="G353" s="616"/>
    </row>
    <row r="354" spans="1:7" ht="18.75" customHeight="1">
      <c r="A354" s="607"/>
      <c r="B354" s="74"/>
      <c r="C354" s="59" t="s">
        <v>5052</v>
      </c>
      <c r="D354" s="590" t="s">
        <v>5053</v>
      </c>
      <c r="E354" s="591"/>
      <c r="F354" s="591"/>
      <c r="G354" s="592"/>
    </row>
    <row r="355" spans="1:7" ht="18.75" customHeight="1">
      <c r="A355" s="607"/>
      <c r="B355" s="74" t="s">
        <v>2589</v>
      </c>
      <c r="C355" s="75" t="str">
        <f>IFERROR(IF(INDEX('Impact Indicators - Section B '!F$1:F$98,MATCH($A346,'Impact Indicators - Section B '!$A$1:$A$98,0))&lt;&gt;0,INDEX('Impact Indicators - Section B '!F$1:F$98,MATCH($A346,'Impact Indicators - Section B '!$A$1:$A$98,0)),""),"")&amp;CHAR(10)&amp;IFERROR(IF(INDEX('Impact Indicators - Section B '!G$1:G$98,MATCH($A346,'Impact Indicators - Section B '!$A$1:$A$98,0))&lt;&gt;0,INDEX('Impact Indicators - Section B '!G$1:G$98,MATCH($A346,'Impact Indicators - Section B '!$A$1:$A$98,0)),""),"")</f>
        <v xml:space="preserve">
</v>
      </c>
      <c r="D355" s="59">
        <f ca="1">IFERROR(IF(YEAR(INDEX('Overview - Section A'!$A$47:$A$54,MATCH('Print - Summary'!$H$10,'Overview - Section A'!$B$47:$B$54,0)))&lt;=YEAR('Overview - Section A'!$E$8),YEAR(INDEX('Overview - Section A'!$A$47:$A$54,MATCH('Print - Summary'!$H$10,'Overview - Section A'!$B$47:$B$54,0))),""),"")</f>
        <v>2024</v>
      </c>
      <c r="E355" s="59">
        <f ca="1">IFERROR(IF(D355+1&lt;=YEAR('Overview - Section A'!$E$8),D355+1,""),"")</f>
        <v>2025</v>
      </c>
      <c r="F355" s="59">
        <f ca="1">IFERROR(IF(E355+1&lt;=YEAR('Overview - Section A'!$E$8),E355+1,""),"")</f>
        <v>2026</v>
      </c>
      <c r="G355" s="59" t="str">
        <f ca="1">IFERROR(IF(F355+1&lt;=YEAR('Overview - Section A'!$E$8),F355+1,""),"")</f>
        <v/>
      </c>
    </row>
    <row r="356" spans="1:7" s="77" customFormat="1" ht="18.75" customHeight="1">
      <c r="A356" s="607"/>
      <c r="B356" s="74" t="s">
        <v>5054</v>
      </c>
      <c r="C356" s="76" t="str">
        <f>IFERROR(IF(INDEX('Impact Indicators - Section B '!D$1:D$98,MATCH($A346,'Impact Indicators - Section B '!$A$1:$A$98,0))&lt;&gt;"",FIXED(INDEX('Impact Indicators - Section B '!D$1:D$98,MATCH($A346,'Impact Indicators - Section B '!$A$1:$A$98,0)),4),""),"")</f>
        <v/>
      </c>
      <c r="D356" s="76" t="str">
        <f ca="1">IFERROR(IF(INDEX('Impact Indicators - Section B '!K$1:K$98,MATCH($A346,'Impact Indicators - Section B '!$A$1:$A$98,0))&lt;&gt;"",FIXED(INDEX('Impact Indicators - Section B '!K$1:K$98,MATCH($A346,'Impact Indicators - Section B '!$A$1:$A$98,0)),4),""),"")</f>
        <v/>
      </c>
      <c r="E356" s="76" t="str">
        <f ca="1">IFERROR(IF(INDEX('Impact Indicators - Section B '!O$1:O$98,MATCH($A346,'Impact Indicators - Section B '!$A$1:$A$98,0))&lt;&gt;"",FIXED(INDEX('Impact Indicators - Section B '!O$1:O$98,MATCH($A346,'Impact Indicators - Section B '!$A$1:$A$98,0)),4),""),"")</f>
        <v/>
      </c>
      <c r="F356" s="76" t="str">
        <f ca="1">IFERROR(IF(INDEX('Impact Indicators - Section B '!S$1:S$98,MATCH($A346,'Impact Indicators - Section B '!$A$1:$A$98,0))&lt;&gt;"",FIXED(INDEX('Impact Indicators - Section B '!S$1:S$98,MATCH($A346,'Impact Indicators - Section B '!$A$1:$A$98,0)),4),""),"")</f>
        <v/>
      </c>
      <c r="G356" s="76" t="str">
        <f ca="1">IFERROR(IF(INDEX('Impact Indicators - Section B '!W$1:W$98,MATCH($A346,'Impact Indicators - Section B '!$A$1:$A$98,0))&lt;&gt;"",FIXED(INDEX('Impact Indicators - Section B '!W$1:W$98,MATCH($A346,'Impact Indicators - Section B '!$A$1:$A$98,0)),4),""),"")</f>
        <v/>
      </c>
    </row>
    <row r="357" spans="1:7" s="79" customFormat="1" ht="18.75" customHeight="1">
      <c r="A357" s="607"/>
      <c r="B357" s="74" t="s">
        <v>5055</v>
      </c>
      <c r="C357" s="78" t="str">
        <f>IFERROR(IF(INDEX('Impact Indicators - Section B '!D$1:D$98,MATCH($A346,'Impact Indicators - Section B '!$A$1:$A$98,0)+1)&lt;&gt;"",FIXED(INDEX('Impact Indicators - Section B '!D$1:D$98,MATCH($A346,'Impact Indicators - Section B '!$A$1:$A$98,0)+1),2),""),"")</f>
        <v/>
      </c>
      <c r="D357" s="78" t="str">
        <f ca="1">IFERROR(IF(INDEX('Impact Indicators - Section B '!K$1:K$98,MATCH($A346,'Impact Indicators - Section B '!$A$1:$A$98,0)+1)&lt;&gt;"",FIXED(INDEX('Impact Indicators - Section B '!K$1:K$98,MATCH($A346,'Impact Indicators - Section B '!$A$1:$A$98,0)+1),2),""),"")</f>
        <v/>
      </c>
      <c r="E357" s="78" t="str">
        <f ca="1">IFERROR(IF(INDEX('Impact Indicators - Section B '!O$1:O$98,MATCH($A346,'Impact Indicators - Section B '!$A$1:$A$98,0)+1)&lt;&gt;"",FIXED(INDEX('Impact Indicators - Section B '!O$1:O$98,MATCH($A346,'Impact Indicators - Section B '!$A$1:$A$98,0)+1),2),""),"")</f>
        <v/>
      </c>
      <c r="F357" s="78" t="str">
        <f ca="1">IFERROR(IF(INDEX('Impact Indicators - Section B '!S$1:S$98,MATCH($A346,'Impact Indicators - Section B '!$A$1:$A$98,0)+1)&lt;&gt;"",FIXED(INDEX('Impact Indicators - Section B '!S$1:S$98,MATCH($A346,'Impact Indicators - Section B '!$A$1:$A$98,0)+1),2),""),"")</f>
        <v/>
      </c>
      <c r="G357" s="78" t="str">
        <f ca="1">IFERROR(IF(INDEX('Impact Indicators - Section B '!W$1:W$98,MATCH($A346,'Impact Indicators - Section B '!$A$1:$A$98,0)+1)&lt;&gt;"",FIXED(INDEX('Impact Indicators - Section B '!W$1:W$98,MATCH($A346,'Impact Indicators - Section B '!$A$1:$A$98,0)+1),2),""),"")</f>
        <v/>
      </c>
    </row>
    <row r="358" spans="1:7" ht="18.75" customHeight="1">
      <c r="A358" s="607"/>
      <c r="B358" s="74" t="s">
        <v>5056</v>
      </c>
      <c r="C358" s="75" t="str">
        <f ca="1">IFERROR(IF(INDEX('Impact Indicators - Section B '!E$1:E$98,MATCH($A346,'Impact Indicators - Section B '!$A$1:$A$98,0))&lt;&gt;"",FIXED(INDEX('Impact Indicators - Section B '!E$1:E$98,MATCH($A346,'Impact Indicators - Section B '!$A$1:$A$98,0))*100,2)&amp;"%",""),"")</f>
        <v/>
      </c>
      <c r="D358" s="75" t="str">
        <f ca="1">IFERROR(IF(INDEX('Impact Indicators - Section B '!L$1:L$98,MATCH($A346,'Impact Indicators - Section B '!$A$1:$A$98,0))&lt;&gt;"",FIXED(INDEX('Impact Indicators - Section B '!L$1:L$98,MATCH($A346,'Impact Indicators - Section B '!$A$1:$A$98,0))*100,2)&amp;"%",""),"")&amp;CHAR(10)&amp;IFERROR(IF(INDEX('Impact Indicators - Section B '!N$1:N$98,MATCH($A346,'Impact Indicators - Section B '!$A$1:$A$98,0))&lt;&gt;"",INDEX('Impact Indicators - Section B '!N$1:N$98,MATCH($A346,'Impact Indicators - Section B '!$A$1:$A$98,0)),""),"")&amp;CHAR(10)&amp;IFERROR(IF(INDEX('Impact Indicators - Section B '!M$1:M$98,MATCH($A346,'Impact Indicators - Section B '!$A$1:$A$98,0))&lt;&gt;"",TEXT(INDEX('Impact Indicators - Section B '!M$1:M$98,MATCH($A346,'Impact Indicators - Section B '!$A$1:$A$98,0)),Setup!$A$33),""),"")</f>
        <v xml:space="preserve">
</v>
      </c>
      <c r="E358" s="75" t="str">
        <f ca="1">IFERROR(IF(INDEX('Impact Indicators - Section B '!P$1:P$98,MATCH($A346,'Impact Indicators - Section B '!$A$1:$A$98,0))&lt;&gt;"",FIXED(INDEX('Impact Indicators - Section B '!P$1:P$98,MATCH($A346,'Impact Indicators - Section B '!$A$1:$A$98,0))*100,2)&amp;"%",""),"")&amp;CHAR(10)&amp;IFERROR(IF(INDEX('Impact Indicators - Section B '!R$1:R$98,MATCH($A346,'Impact Indicators - Section B '!$A$1:$A$98,0))&lt;&gt;"",INDEX('Impact Indicators - Section B '!R$1:R$98,MATCH($A346,'Impact Indicators - Section B '!$A$1:$A$98,0)),""),"")&amp;CHAR(10)&amp;IFERROR(IF(INDEX('Impact Indicators - Section B '!Q$1:Q$98,MATCH($A346,'Impact Indicators - Section B '!$A$1:$A$98,0))&lt;&gt;"",TEXT(INDEX('Impact Indicators - Section B '!Q$1:Q$98,MATCH($A346,'Impact Indicators - Section B '!$A$1:$A$98,0)),Setup!$A$33),""),"")</f>
        <v xml:space="preserve">
</v>
      </c>
      <c r="F358" s="75" t="str">
        <f ca="1">IFERROR(IF(INDEX('Impact Indicators - Section B '!T$1:T$98,MATCH($A346,'Impact Indicators - Section B '!$A$1:$A$98,0))&lt;&gt;"",FIXED(INDEX('Impact Indicators - Section B '!T$1:T$98,MATCH($A346,'Impact Indicators - Section B '!$A$1:$A$98,0))*100,2)&amp;"%",""),"")&amp;CHAR(10)&amp;IFERROR(IF(INDEX('Impact Indicators - Section B '!V$1:V$98,MATCH($A346,'Impact Indicators - Section B '!$A$1:$A$98,0))&lt;&gt;"",FIXED(INDEX('Impact Indicators - Section B '!V$1:V$98,MATCH($A346,'Impact Indicators - Section B '!$A$1:$A$98,0)),Setup!$A$33),""),"")&amp;CHAR(10)&amp;IFERROR(IF(INDEX('Impact Indicators - Section B '!U$1:U$98,MATCH($A346,'Impact Indicators - Section B '!$A$1:$A$98,0))&lt;&gt;"",TEXT(INDEX('Impact Indicators - Section B '!U$1:U$98,MATCH($A346,'Impact Indicators - Section B '!$A$1:$A$98,0)),Setup!$A$33),""),"")</f>
        <v xml:space="preserve">
</v>
      </c>
      <c r="G358" s="75" t="str">
        <f ca="1">IFERROR(IF(INDEX('Impact Indicators - Section B '!X$1:X$98,MATCH($A346,'Impact Indicators - Section B '!$A$1:$A$98,0))&lt;&gt;"",FIXED(INDEX('Impact Indicators - Section B '!X$1:X$98,MATCH($A346,'Impact Indicators - Section B '!$A$1:$A$98,0))*100,2)&amp;"%",""),"")&amp;CHAR(10)&amp;IFERROR(IF(INDEX('Impact Indicators - Section B '!Z$1:Z$98,MATCH($A346,'Impact Indicators - Section B '!$A$1:$A$98,0))&lt;&gt;"",INDEX('Impact Indicators - Section B '!Z$1:Z$98,MATCH($A346,'Impact Indicators - Section B '!$A$1:$A$98,0)),""),"")&amp;CHAR(10)&amp;IFERROR(IF(INDEX('Impact Indicators - Section B '!Y$1:Y$98,MATCH($A346,'Impact Indicators - Section B '!$A$1:$A$98,0))&lt;&gt;"",TEXT(INDEX('Impact Indicators - Section B '!Y$1:Y$98,MATCH($A346,'Impact Indicators - Section B '!$A$1:$A$98,0)),Setup!$A$33),""),"")</f>
        <v xml:space="preserve">
</v>
      </c>
    </row>
    <row r="359" spans="1:7" ht="18.75" customHeight="1">
      <c r="A359" s="607"/>
      <c r="B359" s="590" t="s">
        <v>176</v>
      </c>
      <c r="C359" s="591"/>
      <c r="D359" s="591"/>
      <c r="E359" s="591"/>
      <c r="F359" s="591"/>
      <c r="G359" s="592"/>
    </row>
    <row r="360" spans="1:7" ht="18.75" customHeight="1">
      <c r="A360" s="607"/>
      <c r="B360" s="608" t="str">
        <f>IFERROR(IF(INDEX('Impact Indicators - Section B '!AA$1:AA$98,MATCH($A346,'Impact Indicators - Section B '!$A$1:$A$98,0))&lt;&gt;0,INDEX('Impact Indicators - Section B '!AA$1:AA$98,MATCH($A346,'Impact Indicators - Section B '!$A$1:$A$98,0)),""),"")</f>
        <v/>
      </c>
      <c r="C360" s="609"/>
      <c r="D360" s="609"/>
      <c r="E360" s="609"/>
      <c r="F360" s="609"/>
      <c r="G360" s="610"/>
    </row>
    <row r="361" spans="1:7" ht="18.75" customHeight="1">
      <c r="A361" s="607"/>
      <c r="B361" s="611"/>
      <c r="C361" s="612"/>
      <c r="D361" s="612"/>
      <c r="E361" s="612"/>
      <c r="F361" s="612"/>
      <c r="G361" s="613"/>
    </row>
    <row r="362" spans="1:7" ht="18.75" customHeight="1">
      <c r="A362" s="607"/>
      <c r="B362" s="611"/>
      <c r="C362" s="612"/>
      <c r="D362" s="612"/>
      <c r="E362" s="612"/>
      <c r="F362" s="612"/>
      <c r="G362" s="613"/>
    </row>
    <row r="363" spans="1:7" ht="18.75" customHeight="1">
      <c r="A363" s="607"/>
      <c r="B363" s="611"/>
      <c r="C363" s="612"/>
      <c r="D363" s="612"/>
      <c r="E363" s="612"/>
      <c r="F363" s="612"/>
      <c r="G363" s="613"/>
    </row>
    <row r="364" spans="1:7" ht="18.75" customHeight="1">
      <c r="A364" s="607"/>
      <c r="B364" s="611"/>
      <c r="C364" s="612"/>
      <c r="D364" s="612"/>
      <c r="E364" s="612"/>
      <c r="F364" s="612"/>
      <c r="G364" s="613"/>
    </row>
    <row r="365" spans="1:7" ht="18.75" customHeight="1">
      <c r="A365" s="607"/>
      <c r="B365" s="611"/>
      <c r="C365" s="612"/>
      <c r="D365" s="612"/>
      <c r="E365" s="612"/>
      <c r="F365" s="612"/>
      <c r="G365" s="613"/>
    </row>
    <row r="366" spans="1:7" ht="18.75" customHeight="1">
      <c r="A366" s="607"/>
      <c r="B366" s="611"/>
      <c r="C366" s="612"/>
      <c r="D366" s="612"/>
      <c r="E366" s="612"/>
      <c r="F366" s="612"/>
      <c r="G366" s="613"/>
    </row>
    <row r="367" spans="1:7" ht="18.75" customHeight="1">
      <c r="A367" s="607"/>
      <c r="B367" s="611"/>
      <c r="C367" s="612"/>
      <c r="D367" s="612"/>
      <c r="E367" s="612"/>
      <c r="F367" s="612"/>
      <c r="G367" s="613"/>
    </row>
    <row r="368" spans="1:7" ht="18.75" customHeight="1">
      <c r="A368" s="607"/>
      <c r="B368" s="611"/>
      <c r="C368" s="612"/>
      <c r="D368" s="612"/>
      <c r="E368" s="612"/>
      <c r="F368" s="612"/>
      <c r="G368" s="613"/>
    </row>
    <row r="369" spans="1:7" ht="18.75" customHeight="1">
      <c r="A369" s="607"/>
      <c r="B369" s="611"/>
      <c r="C369" s="612"/>
      <c r="D369" s="612"/>
      <c r="E369" s="612"/>
      <c r="F369" s="612"/>
      <c r="G369" s="613"/>
    </row>
    <row r="370" spans="1:7" ht="18.75" customHeight="1">
      <c r="A370" s="598"/>
      <c r="B370" s="618"/>
      <c r="C370" s="618"/>
      <c r="D370" s="618"/>
      <c r="E370" s="618"/>
      <c r="F370" s="618"/>
      <c r="G370" s="599"/>
    </row>
    <row r="372" spans="1:7" ht="18.75" customHeight="1">
      <c r="A372" s="73" t="s">
        <v>5051</v>
      </c>
      <c r="B372" s="590" t="s">
        <v>765</v>
      </c>
      <c r="C372" s="591"/>
      <c r="D372" s="592"/>
      <c r="E372" s="590" t="s">
        <v>766</v>
      </c>
      <c r="F372" s="591"/>
      <c r="G372" s="592"/>
    </row>
    <row r="373" spans="1:7" ht="18.75" customHeight="1">
      <c r="A373" s="606">
        <v>14</v>
      </c>
      <c r="B373" s="608" t="str">
        <f ca="1">IFERROR(IF(INDEX('Impact Indicators - Section B '!B$1:B$98,MATCH($A373,'Impact Indicators - Section B '!$A$1:$A$98,0))&lt;&gt;0,INDEX('Impact Indicators - Section B '!B$1:B$98,MATCH($A373,'Impact Indicators - Section B '!$A$1:$A$98,0)),""),"")</f>
        <v/>
      </c>
      <c r="C373" s="609"/>
      <c r="D373" s="610"/>
      <c r="E373" s="608" t="str">
        <f>IFERROR(IF(INDEX('Impact Indicators - Section B '!C$1:C$98,MATCH($A373,'Impact Indicators - Section B '!$A$1:$A$98,0))&lt;&gt;0,INDEX('Impact Indicators - Section B '!C$1:C$98,MATCH($A373,'Impact Indicators - Section B '!$A$1:$A$98,0)),""),"")</f>
        <v/>
      </c>
      <c r="F373" s="609"/>
      <c r="G373" s="610"/>
    </row>
    <row r="374" spans="1:7" ht="18.75" customHeight="1">
      <c r="A374" s="607"/>
      <c r="B374" s="611"/>
      <c r="C374" s="612"/>
      <c r="D374" s="613"/>
      <c r="E374" s="611"/>
      <c r="F374" s="612"/>
      <c r="G374" s="613"/>
    </row>
    <row r="375" spans="1:7" ht="18.75" customHeight="1">
      <c r="A375" s="607"/>
      <c r="B375" s="614"/>
      <c r="C375" s="615"/>
      <c r="D375" s="616"/>
      <c r="E375" s="614"/>
      <c r="F375" s="615"/>
      <c r="G375" s="616"/>
    </row>
    <row r="376" spans="1:7" ht="18.75" customHeight="1">
      <c r="A376" s="607"/>
      <c r="B376" s="590" t="s">
        <v>769</v>
      </c>
      <c r="C376" s="591"/>
      <c r="D376" s="592"/>
      <c r="E376" s="590" t="s">
        <v>127</v>
      </c>
      <c r="F376" s="591"/>
      <c r="G376" s="592"/>
    </row>
    <row r="377" spans="1:7" ht="18.75" customHeight="1">
      <c r="A377" s="607"/>
      <c r="B377" s="617" t="str">
        <f>IFERROR(IF(INDEX('Impact Indicators - Section B '!H$1:H$98,MATCH($A373,'Impact Indicators - Section B '!$A$1:$A$98,0))&lt;&gt;0,INDEX('Impact Indicators - Section B '!H$1:H$98,MATCH($A373,'Impact Indicators - Section B '!$A$1:$A$98,0)),""),"")</f>
        <v/>
      </c>
      <c r="C377" s="603"/>
      <c r="D377" s="604"/>
      <c r="E377" s="617" t="str">
        <f>IFERROR(IF(INDEX('Impact Indicators - Section B '!J$1:J$98,MATCH($A373,'Impact Indicators - Section B '!$A$1:$A$98,0))&lt;&gt;0,INDEX('Impact Indicators - Section B '!J$1:J$98,MATCH($A373,'Impact Indicators - Section B '!$A$1:$A$98,0)),""),"")</f>
        <v/>
      </c>
      <c r="F377" s="603"/>
      <c r="G377" s="604"/>
    </row>
    <row r="378" spans="1:7" ht="18.75" customHeight="1">
      <c r="A378" s="607"/>
      <c r="B378" s="590" t="s">
        <v>199</v>
      </c>
      <c r="C378" s="591"/>
      <c r="D378" s="592"/>
      <c r="E378" s="590" t="s">
        <v>120</v>
      </c>
      <c r="F378" s="591"/>
      <c r="G378" s="592"/>
    </row>
    <row r="379" spans="1:7" ht="18.75" customHeight="1">
      <c r="A379" s="607"/>
      <c r="B379" s="608" t="str">
        <f>IFERROR(IF(INDEX('Impact Indicators - Section B '!G$1:G$98,MATCH($A373,'Impact Indicators - Section B '!$A$1:$A$98,0))&lt;&gt;0,INDEX('Impact Indicators - Section B '!G$1:G$98,MATCH($A373,'Impact Indicators - Section B '!$A$1:$A$98,0)),""),"")</f>
        <v/>
      </c>
      <c r="C379" s="609"/>
      <c r="D379" s="610"/>
      <c r="E379" s="608" t="str">
        <f ca="1">IFERROR(IF(AND('Overview - Section A'!AS$1="Grant Making",OR(B373&lt;&gt;"",E373&lt;&gt;"")),Setup!I15,IF(INDEX('Impact Indicators - Section B '!I$1:I$98,MATCH($A373,'Impact Indicators - Section B '!$A$1:$A$98,0))&lt;&gt;0,INDEX('Impact Indicators - Section B '!I$1:I$98,MATCH($A373,'Impact Indicators - Section B '!$A$1:$A$98,0)),"")),"")</f>
        <v/>
      </c>
      <c r="F379" s="609"/>
      <c r="G379" s="610"/>
    </row>
    <row r="380" spans="1:7" ht="18.75" customHeight="1">
      <c r="A380" s="607"/>
      <c r="B380" s="614"/>
      <c r="C380" s="615"/>
      <c r="D380" s="616"/>
      <c r="E380" s="614"/>
      <c r="F380" s="615"/>
      <c r="G380" s="616"/>
    </row>
    <row r="381" spans="1:7" ht="18.75" customHeight="1">
      <c r="A381" s="607"/>
      <c r="B381" s="74"/>
      <c r="C381" s="59" t="s">
        <v>5052</v>
      </c>
      <c r="D381" s="590" t="s">
        <v>5053</v>
      </c>
      <c r="E381" s="591"/>
      <c r="F381" s="591"/>
      <c r="G381" s="592"/>
    </row>
    <row r="382" spans="1:7" ht="18.75" customHeight="1">
      <c r="A382" s="607"/>
      <c r="B382" s="74" t="s">
        <v>2589</v>
      </c>
      <c r="C382" s="75" t="str">
        <f>IFERROR(IF(INDEX('Impact Indicators - Section B '!F$1:F$98,MATCH($A373,'Impact Indicators - Section B '!$A$1:$A$98,0))&lt;&gt;0,INDEX('Impact Indicators - Section B '!F$1:F$98,MATCH($A373,'Impact Indicators - Section B '!$A$1:$A$98,0)),""),"")&amp;CHAR(10)&amp;IFERROR(IF(INDEX('Impact Indicators - Section B '!G$1:G$98,MATCH($A373,'Impact Indicators - Section B '!$A$1:$A$98,0))&lt;&gt;0,INDEX('Impact Indicators - Section B '!G$1:G$98,MATCH($A373,'Impact Indicators - Section B '!$A$1:$A$98,0)),""),"")</f>
        <v xml:space="preserve">
</v>
      </c>
      <c r="D382" s="59">
        <f ca="1">IFERROR(IF(YEAR(INDEX('Overview - Section A'!$A$47:$A$54,MATCH('Print - Summary'!$H$10,'Overview - Section A'!$B$47:$B$54,0)))&lt;=YEAR('Overview - Section A'!$E$8),YEAR(INDEX('Overview - Section A'!$A$47:$A$54,MATCH('Print - Summary'!$H$10,'Overview - Section A'!$B$47:$B$54,0))),""),"")</f>
        <v>2024</v>
      </c>
      <c r="E382" s="59">
        <f ca="1">IFERROR(IF(D382+1&lt;=YEAR('Overview - Section A'!$E$8),D382+1,""),"")</f>
        <v>2025</v>
      </c>
      <c r="F382" s="59">
        <f ca="1">IFERROR(IF(E382+1&lt;=YEAR('Overview - Section A'!$E$8),E382+1,""),"")</f>
        <v>2026</v>
      </c>
      <c r="G382" s="59" t="str">
        <f ca="1">IFERROR(IF(F382+1&lt;=YEAR('Overview - Section A'!$E$8),F382+1,""),"")</f>
        <v/>
      </c>
    </row>
    <row r="383" spans="1:7" s="77" customFormat="1" ht="18.75" customHeight="1">
      <c r="A383" s="607"/>
      <c r="B383" s="74" t="s">
        <v>5054</v>
      </c>
      <c r="C383" s="76" t="str">
        <f>IFERROR(IF(INDEX('Impact Indicators - Section B '!D$1:D$98,MATCH($A373,'Impact Indicators - Section B '!$A$1:$A$98,0))&lt;&gt;"",FIXED(INDEX('Impact Indicators - Section B '!D$1:D$98,MATCH($A373,'Impact Indicators - Section B '!$A$1:$A$98,0)),4),""),"")</f>
        <v/>
      </c>
      <c r="D383" s="76" t="str">
        <f ca="1">IFERROR(IF(INDEX('Impact Indicators - Section B '!K$1:K$98,MATCH($A373,'Impact Indicators - Section B '!$A$1:$A$98,0))&lt;&gt;"",FIXED(INDEX('Impact Indicators - Section B '!K$1:K$98,MATCH($A373,'Impact Indicators - Section B '!$A$1:$A$98,0)),4),""),"")</f>
        <v/>
      </c>
      <c r="E383" s="76" t="str">
        <f ca="1">IFERROR(IF(INDEX('Impact Indicators - Section B '!O$1:O$98,MATCH($A373,'Impact Indicators - Section B '!$A$1:$A$98,0))&lt;&gt;"",FIXED(INDEX('Impact Indicators - Section B '!O$1:O$98,MATCH($A373,'Impact Indicators - Section B '!$A$1:$A$98,0)),4),""),"")</f>
        <v/>
      </c>
      <c r="F383" s="76" t="str">
        <f ca="1">IFERROR(IF(INDEX('Impact Indicators - Section B '!S$1:S$98,MATCH($A373,'Impact Indicators - Section B '!$A$1:$A$98,0))&lt;&gt;"",FIXED(INDEX('Impact Indicators - Section B '!S$1:S$98,MATCH($A373,'Impact Indicators - Section B '!$A$1:$A$98,0)),4),""),"")</f>
        <v/>
      </c>
      <c r="G383" s="76" t="str">
        <f ca="1">IFERROR(IF(INDEX('Impact Indicators - Section B '!W$1:W$98,MATCH($A373,'Impact Indicators - Section B '!$A$1:$A$98,0))&lt;&gt;"",FIXED(INDEX('Impact Indicators - Section B '!W$1:W$98,MATCH($A373,'Impact Indicators - Section B '!$A$1:$A$98,0)),4),""),"")</f>
        <v/>
      </c>
    </row>
    <row r="384" spans="1:7" s="79" customFormat="1" ht="18.75" customHeight="1">
      <c r="A384" s="607"/>
      <c r="B384" s="74" t="s">
        <v>5055</v>
      </c>
      <c r="C384" s="78" t="str">
        <f>IFERROR(IF(INDEX('Impact Indicators - Section B '!D$1:D$98,MATCH($A373,'Impact Indicators - Section B '!$A$1:$A$98,0)+1)&lt;&gt;"",FIXED(INDEX('Impact Indicators - Section B '!D$1:D$98,MATCH($A373,'Impact Indicators - Section B '!$A$1:$A$98,0)+1),2),""),"")</f>
        <v/>
      </c>
      <c r="D384" s="78" t="str">
        <f ca="1">IFERROR(IF(INDEX('Impact Indicators - Section B '!K$1:K$98,MATCH($A373,'Impact Indicators - Section B '!$A$1:$A$98,0)+1)&lt;&gt;"",FIXED(INDEX('Impact Indicators - Section B '!K$1:K$98,MATCH($A373,'Impact Indicators - Section B '!$A$1:$A$98,0)+1),2),""),"")</f>
        <v/>
      </c>
      <c r="E384" s="78" t="str">
        <f ca="1">IFERROR(IF(INDEX('Impact Indicators - Section B '!O$1:O$98,MATCH($A373,'Impact Indicators - Section B '!$A$1:$A$98,0)+1)&lt;&gt;"",FIXED(INDEX('Impact Indicators - Section B '!O$1:O$98,MATCH($A373,'Impact Indicators - Section B '!$A$1:$A$98,0)+1),2),""),"")</f>
        <v/>
      </c>
      <c r="F384" s="78" t="str">
        <f ca="1">IFERROR(IF(INDEX('Impact Indicators - Section B '!S$1:S$98,MATCH($A373,'Impact Indicators - Section B '!$A$1:$A$98,0)+1)&lt;&gt;"",FIXED(INDEX('Impact Indicators - Section B '!S$1:S$98,MATCH($A373,'Impact Indicators - Section B '!$A$1:$A$98,0)+1),2),""),"")</f>
        <v/>
      </c>
      <c r="G384" s="78" t="str">
        <f ca="1">IFERROR(IF(INDEX('Impact Indicators - Section B '!W$1:W$98,MATCH($A373,'Impact Indicators - Section B '!$A$1:$A$98,0)+1)&lt;&gt;"",FIXED(INDEX('Impact Indicators - Section B '!W$1:W$98,MATCH($A373,'Impact Indicators - Section B '!$A$1:$A$98,0)+1),2),""),"")</f>
        <v/>
      </c>
    </row>
    <row r="385" spans="1:7" ht="18.75" customHeight="1">
      <c r="A385" s="607"/>
      <c r="B385" s="74" t="s">
        <v>5056</v>
      </c>
      <c r="C385" s="75" t="str">
        <f ca="1">IFERROR(IF(INDEX('Impact Indicators - Section B '!E$1:E$98,MATCH($A373,'Impact Indicators - Section B '!$A$1:$A$98,0))&lt;&gt;"",FIXED(INDEX('Impact Indicators - Section B '!E$1:E$98,MATCH($A373,'Impact Indicators - Section B '!$A$1:$A$98,0))*100,2)&amp;"%",""),"")</f>
        <v/>
      </c>
      <c r="D385" s="75" t="str">
        <f ca="1">IFERROR(IF(INDEX('Impact Indicators - Section B '!L$1:L$98,MATCH($A373,'Impact Indicators - Section B '!$A$1:$A$98,0))&lt;&gt;"",FIXED(INDEX('Impact Indicators - Section B '!L$1:L$98,MATCH($A373,'Impact Indicators - Section B '!$A$1:$A$98,0))*100,2)&amp;"%",""),"")&amp;CHAR(10)&amp;IFERROR(IF(INDEX('Impact Indicators - Section B '!N$1:N$98,MATCH($A373,'Impact Indicators - Section B '!$A$1:$A$98,0))&lt;&gt;"",INDEX('Impact Indicators - Section B '!N$1:N$98,MATCH($A373,'Impact Indicators - Section B '!$A$1:$A$98,0)),""),"")&amp;CHAR(10)&amp;IFERROR(IF(INDEX('Impact Indicators - Section B '!M$1:M$98,MATCH($A373,'Impact Indicators - Section B '!$A$1:$A$98,0))&lt;&gt;"",TEXT(INDEX('Impact Indicators - Section B '!M$1:M$98,MATCH($A373,'Impact Indicators - Section B '!$A$1:$A$98,0)),Setup!$A$33),""),"")</f>
        <v xml:space="preserve">
</v>
      </c>
      <c r="E385" s="75" t="str">
        <f ca="1">IFERROR(IF(INDEX('Impact Indicators - Section B '!P$1:P$98,MATCH($A373,'Impact Indicators - Section B '!$A$1:$A$98,0))&lt;&gt;"",FIXED(INDEX('Impact Indicators - Section B '!P$1:P$98,MATCH($A373,'Impact Indicators - Section B '!$A$1:$A$98,0))*100,2)&amp;"%",""),"")&amp;CHAR(10)&amp;IFERROR(IF(INDEX('Impact Indicators - Section B '!R$1:R$98,MATCH($A373,'Impact Indicators - Section B '!$A$1:$A$98,0))&lt;&gt;"",INDEX('Impact Indicators - Section B '!R$1:R$98,MATCH($A373,'Impact Indicators - Section B '!$A$1:$A$98,0)),""),"")&amp;CHAR(10)&amp;IFERROR(IF(INDEX('Impact Indicators - Section B '!Q$1:Q$98,MATCH($A373,'Impact Indicators - Section B '!$A$1:$A$98,0))&lt;&gt;"",TEXT(INDEX('Impact Indicators - Section B '!Q$1:Q$98,MATCH($A373,'Impact Indicators - Section B '!$A$1:$A$98,0)),Setup!$A$33),""),"")</f>
        <v xml:space="preserve">
</v>
      </c>
      <c r="F385" s="75" t="str">
        <f ca="1">IFERROR(IF(INDEX('Impact Indicators - Section B '!T$1:T$98,MATCH($A373,'Impact Indicators - Section B '!$A$1:$A$98,0))&lt;&gt;"",FIXED(INDEX('Impact Indicators - Section B '!T$1:T$98,MATCH($A373,'Impact Indicators - Section B '!$A$1:$A$98,0))*100,2)&amp;"%",""),"")&amp;CHAR(10)&amp;IFERROR(IF(INDEX('Impact Indicators - Section B '!V$1:V$98,MATCH($A373,'Impact Indicators - Section B '!$A$1:$A$98,0))&lt;&gt;"",FIXED(INDEX('Impact Indicators - Section B '!V$1:V$98,MATCH($A373,'Impact Indicators - Section B '!$A$1:$A$98,0)),Setup!$A$33),""),"")&amp;CHAR(10)&amp;IFERROR(IF(INDEX('Impact Indicators - Section B '!U$1:U$98,MATCH($A373,'Impact Indicators - Section B '!$A$1:$A$98,0))&lt;&gt;"",TEXT(INDEX('Impact Indicators - Section B '!U$1:U$98,MATCH($A373,'Impact Indicators - Section B '!$A$1:$A$98,0)),Setup!$A$33),""),"")</f>
        <v xml:space="preserve">
</v>
      </c>
      <c r="G385" s="75" t="str">
        <f ca="1">IFERROR(IF(INDEX('Impact Indicators - Section B '!X$1:X$98,MATCH($A373,'Impact Indicators - Section B '!$A$1:$A$98,0))&lt;&gt;"",FIXED(INDEX('Impact Indicators - Section B '!X$1:X$98,MATCH($A373,'Impact Indicators - Section B '!$A$1:$A$98,0))*100,2)&amp;"%",""),"")&amp;CHAR(10)&amp;IFERROR(IF(INDEX('Impact Indicators - Section B '!Z$1:Z$98,MATCH($A373,'Impact Indicators - Section B '!$A$1:$A$98,0))&lt;&gt;"",INDEX('Impact Indicators - Section B '!Z$1:Z$98,MATCH($A373,'Impact Indicators - Section B '!$A$1:$A$98,0)),""),"")&amp;CHAR(10)&amp;IFERROR(IF(INDEX('Impact Indicators - Section B '!Y$1:Y$98,MATCH($A373,'Impact Indicators - Section B '!$A$1:$A$98,0))&lt;&gt;"",TEXT(INDEX('Impact Indicators - Section B '!Y$1:Y$98,MATCH($A373,'Impact Indicators - Section B '!$A$1:$A$98,0)),Setup!$A$33),""),"")</f>
        <v xml:space="preserve">
</v>
      </c>
    </row>
    <row r="386" spans="1:7" ht="18.75" customHeight="1">
      <c r="A386" s="607"/>
      <c r="B386" s="590" t="s">
        <v>176</v>
      </c>
      <c r="C386" s="591"/>
      <c r="D386" s="591"/>
      <c r="E386" s="591"/>
      <c r="F386" s="591"/>
      <c r="G386" s="592"/>
    </row>
    <row r="387" spans="1:7" ht="18.75" customHeight="1">
      <c r="A387" s="607"/>
      <c r="B387" s="608" t="str">
        <f>IFERROR(IF(INDEX('Impact Indicators - Section B '!AA$1:AA$98,MATCH($A373,'Impact Indicators - Section B '!$A$1:$A$98,0))&lt;&gt;0,INDEX('Impact Indicators - Section B '!AA$1:AA$98,MATCH($A373,'Impact Indicators - Section B '!$A$1:$A$98,0)),""),"")</f>
        <v/>
      </c>
      <c r="C387" s="609"/>
      <c r="D387" s="609"/>
      <c r="E387" s="609"/>
      <c r="F387" s="609"/>
      <c r="G387" s="610"/>
    </row>
    <row r="388" spans="1:7" ht="18.75" customHeight="1">
      <c r="A388" s="607"/>
      <c r="B388" s="611"/>
      <c r="C388" s="612"/>
      <c r="D388" s="612"/>
      <c r="E388" s="612"/>
      <c r="F388" s="612"/>
      <c r="G388" s="613"/>
    </row>
    <row r="389" spans="1:7" ht="18.75" customHeight="1">
      <c r="A389" s="607"/>
      <c r="B389" s="611"/>
      <c r="C389" s="612"/>
      <c r="D389" s="612"/>
      <c r="E389" s="612"/>
      <c r="F389" s="612"/>
      <c r="G389" s="613"/>
    </row>
    <row r="390" spans="1:7" ht="18.75" customHeight="1">
      <c r="A390" s="607"/>
      <c r="B390" s="611"/>
      <c r="C390" s="612"/>
      <c r="D390" s="612"/>
      <c r="E390" s="612"/>
      <c r="F390" s="612"/>
      <c r="G390" s="613"/>
    </row>
    <row r="391" spans="1:7" ht="18.75" customHeight="1">
      <c r="A391" s="607"/>
      <c r="B391" s="611"/>
      <c r="C391" s="612"/>
      <c r="D391" s="612"/>
      <c r="E391" s="612"/>
      <c r="F391" s="612"/>
      <c r="G391" s="613"/>
    </row>
    <row r="392" spans="1:7" ht="18.75" customHeight="1">
      <c r="A392" s="607"/>
      <c r="B392" s="611"/>
      <c r="C392" s="612"/>
      <c r="D392" s="612"/>
      <c r="E392" s="612"/>
      <c r="F392" s="612"/>
      <c r="G392" s="613"/>
    </row>
    <row r="393" spans="1:7" ht="18.75" customHeight="1">
      <c r="A393" s="607"/>
      <c r="B393" s="611"/>
      <c r="C393" s="612"/>
      <c r="D393" s="612"/>
      <c r="E393" s="612"/>
      <c r="F393" s="612"/>
      <c r="G393" s="613"/>
    </row>
    <row r="394" spans="1:7" ht="18.75" customHeight="1">
      <c r="A394" s="607"/>
      <c r="B394" s="611"/>
      <c r="C394" s="612"/>
      <c r="D394" s="612"/>
      <c r="E394" s="612"/>
      <c r="F394" s="612"/>
      <c r="G394" s="613"/>
    </row>
    <row r="395" spans="1:7" ht="18.75" customHeight="1">
      <c r="A395" s="607"/>
      <c r="B395" s="611"/>
      <c r="C395" s="612"/>
      <c r="D395" s="612"/>
      <c r="E395" s="612"/>
      <c r="F395" s="612"/>
      <c r="G395" s="613"/>
    </row>
    <row r="396" spans="1:7" ht="18.75" customHeight="1">
      <c r="A396" s="607"/>
      <c r="B396" s="611"/>
      <c r="C396" s="612"/>
      <c r="D396" s="612"/>
      <c r="E396" s="612"/>
      <c r="F396" s="612"/>
      <c r="G396" s="613"/>
    </row>
    <row r="397" spans="1:7" ht="18.75" customHeight="1">
      <c r="A397" s="598"/>
      <c r="B397" s="618"/>
      <c r="C397" s="618"/>
      <c r="D397" s="618"/>
      <c r="E397" s="618"/>
      <c r="F397" s="618"/>
      <c r="G397" s="599"/>
    </row>
    <row r="399" spans="1:7" ht="18.75" customHeight="1">
      <c r="A399" s="73" t="s">
        <v>5051</v>
      </c>
      <c r="B399" s="590" t="s">
        <v>765</v>
      </c>
      <c r="C399" s="591"/>
      <c r="D399" s="592"/>
      <c r="E399" s="590" t="s">
        <v>766</v>
      </c>
      <c r="F399" s="591"/>
      <c r="G399" s="592"/>
    </row>
    <row r="400" spans="1:7" ht="18.75" customHeight="1">
      <c r="A400" s="606">
        <v>15</v>
      </c>
      <c r="B400" s="608" t="str">
        <f ca="1">IFERROR(IF(INDEX('Impact Indicators - Section B '!B$1:B$98,MATCH($A400,'Impact Indicators - Section B '!$A$1:$A$98,0))&lt;&gt;0,INDEX('Impact Indicators - Section B '!B$1:B$98,MATCH($A400,'Impact Indicators - Section B '!$A$1:$A$98,0)),""),"")</f>
        <v/>
      </c>
      <c r="C400" s="609"/>
      <c r="D400" s="610"/>
      <c r="E400" s="608" t="str">
        <f>IFERROR(IF(INDEX('Impact Indicators - Section B '!C$1:C$98,MATCH($A400,'Impact Indicators - Section B '!$A$1:$A$98,0))&lt;&gt;0,INDEX('Impact Indicators - Section B '!C$1:C$98,MATCH($A400,'Impact Indicators - Section B '!$A$1:$A$98,0)),""),"")</f>
        <v/>
      </c>
      <c r="F400" s="609"/>
      <c r="G400" s="610"/>
    </row>
    <row r="401" spans="1:7" ht="18.75" customHeight="1">
      <c r="A401" s="607"/>
      <c r="B401" s="611"/>
      <c r="C401" s="612"/>
      <c r="D401" s="613"/>
      <c r="E401" s="611"/>
      <c r="F401" s="612"/>
      <c r="G401" s="613"/>
    </row>
    <row r="402" spans="1:7" ht="18.75" customHeight="1">
      <c r="A402" s="607"/>
      <c r="B402" s="614"/>
      <c r="C402" s="615"/>
      <c r="D402" s="616"/>
      <c r="E402" s="614"/>
      <c r="F402" s="615"/>
      <c r="G402" s="616"/>
    </row>
    <row r="403" spans="1:7" ht="18.75" customHeight="1">
      <c r="A403" s="607"/>
      <c r="B403" s="590" t="s">
        <v>769</v>
      </c>
      <c r="C403" s="591"/>
      <c r="D403" s="592"/>
      <c r="E403" s="590" t="s">
        <v>127</v>
      </c>
      <c r="F403" s="591"/>
      <c r="G403" s="592"/>
    </row>
    <row r="404" spans="1:7" ht="18.75" customHeight="1">
      <c r="A404" s="607"/>
      <c r="B404" s="617" t="str">
        <f>IFERROR(IF(INDEX('Impact Indicators - Section B '!H$1:H$98,MATCH($A400,'Impact Indicators - Section B '!$A$1:$A$98,0))&lt;&gt;0,INDEX('Impact Indicators - Section B '!H$1:H$98,MATCH($A400,'Impact Indicators - Section B '!$A$1:$A$98,0)),""),"")</f>
        <v/>
      </c>
      <c r="C404" s="603"/>
      <c r="D404" s="604"/>
      <c r="E404" s="617" t="str">
        <f>IFERROR(IF(INDEX('Impact Indicators - Section B '!J$1:J$98,MATCH($A400,'Impact Indicators - Section B '!$A$1:$A$98,0))&lt;&gt;0,INDEX('Impact Indicators - Section B '!J$1:J$98,MATCH($A400,'Impact Indicators - Section B '!$A$1:$A$98,0)),""),"")</f>
        <v/>
      </c>
      <c r="F404" s="603"/>
      <c r="G404" s="604"/>
    </row>
    <row r="405" spans="1:7" ht="18.75" customHeight="1">
      <c r="A405" s="607"/>
      <c r="B405" s="590" t="s">
        <v>199</v>
      </c>
      <c r="C405" s="591"/>
      <c r="D405" s="592"/>
      <c r="E405" s="590" t="s">
        <v>120</v>
      </c>
      <c r="F405" s="591"/>
      <c r="G405" s="592"/>
    </row>
    <row r="406" spans="1:7" ht="18.75" customHeight="1">
      <c r="A406" s="607"/>
      <c r="B406" s="608" t="str">
        <f>IFERROR(IF(INDEX('Impact Indicators - Section B '!G$1:G$98,MATCH($A400,'Impact Indicators - Section B '!$A$1:$A$98,0))&lt;&gt;0,INDEX('Impact Indicators - Section B '!G$1:G$98,MATCH($A400,'Impact Indicators - Section B '!$A$1:$A$98,0)),""),"")</f>
        <v/>
      </c>
      <c r="C406" s="609"/>
      <c r="D406" s="610"/>
      <c r="E406" s="608" t="str">
        <f ca="1">IFERROR(IF(AND('Overview - Section A'!AS$1="Grant Making",OR(B400&lt;&gt;"",E400&lt;&gt;"")),Setup!I15,IF(INDEX('Impact Indicators - Section B '!I$1:I$98,MATCH($A400,'Impact Indicators - Section B '!$A$1:$A$98,0))&lt;&gt;0,INDEX('Impact Indicators - Section B '!I$1:I$98,MATCH($A400,'Impact Indicators - Section B '!$A$1:$A$98,0)),"")),"")</f>
        <v/>
      </c>
      <c r="F406" s="609"/>
      <c r="G406" s="610"/>
    </row>
    <row r="407" spans="1:7" ht="18.75" customHeight="1">
      <c r="A407" s="607"/>
      <c r="B407" s="614"/>
      <c r="C407" s="615"/>
      <c r="D407" s="616"/>
      <c r="E407" s="614"/>
      <c r="F407" s="615"/>
      <c r="G407" s="616"/>
    </row>
    <row r="408" spans="1:7" ht="18.75" customHeight="1">
      <c r="A408" s="607"/>
      <c r="B408" s="74"/>
      <c r="C408" s="59" t="s">
        <v>5052</v>
      </c>
      <c r="D408" s="590" t="s">
        <v>5053</v>
      </c>
      <c r="E408" s="591"/>
      <c r="F408" s="591"/>
      <c r="G408" s="592"/>
    </row>
    <row r="409" spans="1:7" ht="18.75" customHeight="1">
      <c r="A409" s="607"/>
      <c r="B409" s="74" t="s">
        <v>2589</v>
      </c>
      <c r="C409" s="75" t="str">
        <f>IFERROR(IF(INDEX('Impact Indicators - Section B '!F$1:F$98,MATCH($A400,'Impact Indicators - Section B '!$A$1:$A$98,0))&lt;&gt;0,INDEX('Impact Indicators - Section B '!F$1:F$98,MATCH($A400,'Impact Indicators - Section B '!$A$1:$A$98,0)),""),"")&amp;CHAR(10)&amp;IFERROR(IF(INDEX('Impact Indicators - Section B '!G$1:G$98,MATCH($A400,'Impact Indicators - Section B '!$A$1:$A$98,0))&lt;&gt;0,INDEX('Impact Indicators - Section B '!G$1:G$98,MATCH($A400,'Impact Indicators - Section B '!$A$1:$A$98,0)),""),"")</f>
        <v xml:space="preserve">
</v>
      </c>
      <c r="D409" s="59">
        <f ca="1">IFERROR(IF(YEAR(INDEX('Overview - Section A'!$A$47:$A$54,MATCH('Print - Summary'!$H$10,'Overview - Section A'!$B$47:$B$54,0)))&lt;=YEAR('Overview - Section A'!$E$8),YEAR(INDEX('Overview - Section A'!$A$47:$A$54,MATCH('Print - Summary'!$H$10,'Overview - Section A'!$B$47:$B$54,0))),""),"")</f>
        <v>2024</v>
      </c>
      <c r="E409" s="59">
        <f ca="1">IFERROR(IF(D409+1&lt;=YEAR('Overview - Section A'!$E$8),D409+1,""),"")</f>
        <v>2025</v>
      </c>
      <c r="F409" s="59">
        <f ca="1">IFERROR(IF(E409+1&lt;=YEAR('Overview - Section A'!$E$8),E409+1,""),"")</f>
        <v>2026</v>
      </c>
      <c r="G409" s="59" t="str">
        <f ca="1">IFERROR(IF(F409+1&lt;=YEAR('Overview - Section A'!$E$8),F409+1,""),"")</f>
        <v/>
      </c>
    </row>
    <row r="410" spans="1:7" s="77" customFormat="1" ht="18.75" customHeight="1">
      <c r="A410" s="607"/>
      <c r="B410" s="74" t="s">
        <v>5054</v>
      </c>
      <c r="C410" s="76" t="str">
        <f>IFERROR(IF(INDEX('Impact Indicators - Section B '!D$1:D$98,MATCH($A400,'Impact Indicators - Section B '!$A$1:$A$98,0))&lt;&gt;"",FIXED(INDEX('Impact Indicators - Section B '!D$1:D$98,MATCH($A400,'Impact Indicators - Section B '!$A$1:$A$98,0)),4),""),"")</f>
        <v/>
      </c>
      <c r="D410" s="76" t="str">
        <f ca="1">IFERROR(IF(INDEX('Impact Indicators - Section B '!K$1:K$98,MATCH($A400,'Impact Indicators - Section B '!$A$1:$A$98,0))&lt;&gt;"",FIXED(INDEX('Impact Indicators - Section B '!K$1:K$98,MATCH($A400,'Impact Indicators - Section B '!$A$1:$A$98,0)),4),""),"")</f>
        <v/>
      </c>
      <c r="E410" s="76" t="str">
        <f ca="1">IFERROR(IF(INDEX('Impact Indicators - Section B '!O$1:O$98,MATCH($A400,'Impact Indicators - Section B '!$A$1:$A$98,0))&lt;&gt;"",FIXED(INDEX('Impact Indicators - Section B '!O$1:O$98,MATCH($A400,'Impact Indicators - Section B '!$A$1:$A$98,0)),4),""),"")</f>
        <v/>
      </c>
      <c r="F410" s="76" t="str">
        <f ca="1">IFERROR(IF(INDEX('Impact Indicators - Section B '!S$1:S$98,MATCH($A400,'Impact Indicators - Section B '!$A$1:$A$98,0))&lt;&gt;"",FIXED(INDEX('Impact Indicators - Section B '!S$1:S$98,MATCH($A400,'Impact Indicators - Section B '!$A$1:$A$98,0)),4),""),"")</f>
        <v/>
      </c>
      <c r="G410" s="76" t="str">
        <f ca="1">IFERROR(IF(INDEX('Impact Indicators - Section B '!W$1:W$98,MATCH($A400,'Impact Indicators - Section B '!$A$1:$A$98,0))&lt;&gt;"",FIXED(INDEX('Impact Indicators - Section B '!W$1:W$98,MATCH($A400,'Impact Indicators - Section B '!$A$1:$A$98,0)),4),""),"")</f>
        <v/>
      </c>
    </row>
    <row r="411" spans="1:7" s="79" customFormat="1" ht="18.75" customHeight="1">
      <c r="A411" s="607"/>
      <c r="B411" s="74" t="s">
        <v>5055</v>
      </c>
      <c r="C411" s="78" t="str">
        <f>IFERROR(IF(INDEX('Impact Indicators - Section B '!D$1:D$98,MATCH($A400,'Impact Indicators - Section B '!$A$1:$A$98,0)+1)&lt;&gt;"",FIXED(INDEX('Impact Indicators - Section B '!D$1:D$98,MATCH($A400,'Impact Indicators - Section B '!$A$1:$A$98,0)+1),2),""),"")</f>
        <v/>
      </c>
      <c r="D411" s="78" t="str">
        <f ca="1">IFERROR(IF(INDEX('Impact Indicators - Section B '!K$1:K$98,MATCH($A400,'Impact Indicators - Section B '!$A$1:$A$98,0)+1)&lt;&gt;"",FIXED(INDEX('Impact Indicators - Section B '!K$1:K$98,MATCH($A400,'Impact Indicators - Section B '!$A$1:$A$98,0)+1),2),""),"")</f>
        <v/>
      </c>
      <c r="E411" s="78" t="str">
        <f ca="1">IFERROR(IF(INDEX('Impact Indicators - Section B '!O$1:O$98,MATCH($A400,'Impact Indicators - Section B '!$A$1:$A$98,0)+1)&lt;&gt;"",FIXED(INDEX('Impact Indicators - Section B '!O$1:O$98,MATCH($A400,'Impact Indicators - Section B '!$A$1:$A$98,0)+1),2),""),"")</f>
        <v/>
      </c>
      <c r="F411" s="78" t="str">
        <f ca="1">IFERROR(IF(INDEX('Impact Indicators - Section B '!S$1:S$98,MATCH($A400,'Impact Indicators - Section B '!$A$1:$A$98,0)+1)&lt;&gt;"",FIXED(INDEX('Impact Indicators - Section B '!S$1:S$98,MATCH($A400,'Impact Indicators - Section B '!$A$1:$A$98,0)+1),2),""),"")</f>
        <v/>
      </c>
      <c r="G411" s="78" t="str">
        <f ca="1">IFERROR(IF(INDEX('Impact Indicators - Section B '!W$1:W$98,MATCH($A400,'Impact Indicators - Section B '!$A$1:$A$98,0)+1)&lt;&gt;"",FIXED(INDEX('Impact Indicators - Section B '!W$1:W$98,MATCH($A400,'Impact Indicators - Section B '!$A$1:$A$98,0)+1),2),""),"")</f>
        <v/>
      </c>
    </row>
    <row r="412" spans="1:7" ht="18.75" customHeight="1">
      <c r="A412" s="607"/>
      <c r="B412" s="74" t="s">
        <v>5056</v>
      </c>
      <c r="C412" s="75" t="str">
        <f ca="1">IFERROR(IF(INDEX('Impact Indicators - Section B '!E$1:E$98,MATCH($A400,'Impact Indicators - Section B '!$A$1:$A$98,0))&lt;&gt;"",FIXED(INDEX('Impact Indicators - Section B '!E$1:E$98,MATCH($A400,'Impact Indicators - Section B '!$A$1:$A$98,0))*100,2)&amp;"%",""),"")</f>
        <v/>
      </c>
      <c r="D412" s="75" t="str">
        <f ca="1">IFERROR(IF(INDEX('Impact Indicators - Section B '!L$1:L$98,MATCH($A400,'Impact Indicators - Section B '!$A$1:$A$98,0))&lt;&gt;"",FIXED(INDEX('Impact Indicators - Section B '!L$1:L$98,MATCH($A400,'Impact Indicators - Section B '!$A$1:$A$98,0))*100,2)&amp;"%",""),"")&amp;CHAR(10)&amp;IFERROR(IF(INDEX('Impact Indicators - Section B '!N$1:N$98,MATCH($A400,'Impact Indicators - Section B '!$A$1:$A$98,0))&lt;&gt;"",INDEX('Impact Indicators - Section B '!N$1:N$98,MATCH($A400,'Impact Indicators - Section B '!$A$1:$A$98,0)),""),"")&amp;CHAR(10)&amp;IFERROR(IF(INDEX('Impact Indicators - Section B '!M$1:M$98,MATCH($A400,'Impact Indicators - Section B '!$A$1:$A$98,0))&lt;&gt;"",TEXT(INDEX('Impact Indicators - Section B '!M$1:M$98,MATCH($A400,'Impact Indicators - Section B '!$A$1:$A$98,0)),Setup!$A$33),""),"")</f>
        <v xml:space="preserve">
</v>
      </c>
      <c r="E412" s="75" t="str">
        <f ca="1">IFERROR(IF(INDEX('Impact Indicators - Section B '!P$1:P$98,MATCH($A400,'Impact Indicators - Section B '!$A$1:$A$98,0))&lt;&gt;"",FIXED(INDEX('Impact Indicators - Section B '!P$1:P$98,MATCH($A400,'Impact Indicators - Section B '!$A$1:$A$98,0))*100,2)&amp;"%",""),"")&amp;CHAR(10)&amp;IFERROR(IF(INDEX('Impact Indicators - Section B '!R$1:R$98,MATCH($A400,'Impact Indicators - Section B '!$A$1:$A$98,0))&lt;&gt;"",INDEX('Impact Indicators - Section B '!R$1:R$98,MATCH($A400,'Impact Indicators - Section B '!$A$1:$A$98,0)),""),"")&amp;CHAR(10)&amp;IFERROR(IF(INDEX('Impact Indicators - Section B '!Q$1:Q$98,MATCH($A400,'Impact Indicators - Section B '!$A$1:$A$98,0))&lt;&gt;"",TEXT(INDEX('Impact Indicators - Section B '!Q$1:Q$98,MATCH($A400,'Impact Indicators - Section B '!$A$1:$A$98,0)),Setup!$A$33),""),"")</f>
        <v xml:space="preserve">
</v>
      </c>
      <c r="F412" s="75" t="str">
        <f ca="1">IFERROR(IF(INDEX('Impact Indicators - Section B '!T$1:T$98,MATCH($A400,'Impact Indicators - Section B '!$A$1:$A$98,0))&lt;&gt;"",FIXED(INDEX('Impact Indicators - Section B '!T$1:T$98,MATCH($A400,'Impact Indicators - Section B '!$A$1:$A$98,0))*100,2)&amp;"%",""),"")&amp;CHAR(10)&amp;IFERROR(IF(INDEX('Impact Indicators - Section B '!V$1:V$98,MATCH($A400,'Impact Indicators - Section B '!$A$1:$A$98,0))&lt;&gt;"",FIXED(INDEX('Impact Indicators - Section B '!V$1:V$98,MATCH($A400,'Impact Indicators - Section B '!$A$1:$A$98,0)),Setup!$A$33),""),"")&amp;CHAR(10)&amp;IFERROR(IF(INDEX('Impact Indicators - Section B '!U$1:U$98,MATCH($A400,'Impact Indicators - Section B '!$A$1:$A$98,0))&lt;&gt;"",TEXT(INDEX('Impact Indicators - Section B '!U$1:U$98,MATCH($A400,'Impact Indicators - Section B '!$A$1:$A$98,0)),Setup!$A$33),""),"")</f>
        <v xml:space="preserve">
</v>
      </c>
      <c r="G412" s="75" t="str">
        <f ca="1">IFERROR(IF(INDEX('Impact Indicators - Section B '!X$1:X$98,MATCH($A400,'Impact Indicators - Section B '!$A$1:$A$98,0))&lt;&gt;"",FIXED(INDEX('Impact Indicators - Section B '!X$1:X$98,MATCH($A400,'Impact Indicators - Section B '!$A$1:$A$98,0))*100,2)&amp;"%",""),"")&amp;CHAR(10)&amp;IFERROR(IF(INDEX('Impact Indicators - Section B '!Z$1:Z$98,MATCH($A400,'Impact Indicators - Section B '!$A$1:$A$98,0))&lt;&gt;"",INDEX('Impact Indicators - Section B '!Z$1:Z$98,MATCH($A400,'Impact Indicators - Section B '!$A$1:$A$98,0)),""),"")&amp;CHAR(10)&amp;IFERROR(IF(INDEX('Impact Indicators - Section B '!Y$1:Y$98,MATCH($A400,'Impact Indicators - Section B '!$A$1:$A$98,0))&lt;&gt;"",TEXT(INDEX('Impact Indicators - Section B '!Y$1:Y$98,MATCH($A400,'Impact Indicators - Section B '!$A$1:$A$98,0)),Setup!$A$33),""),"")</f>
        <v xml:space="preserve">
</v>
      </c>
    </row>
    <row r="413" spans="1:7" ht="18.75" customHeight="1">
      <c r="A413" s="607"/>
      <c r="B413" s="590" t="s">
        <v>176</v>
      </c>
      <c r="C413" s="591"/>
      <c r="D413" s="591"/>
      <c r="E413" s="591"/>
      <c r="F413" s="591"/>
      <c r="G413" s="592"/>
    </row>
    <row r="414" spans="1:7" ht="18.75" customHeight="1">
      <c r="A414" s="607"/>
      <c r="B414" s="608" t="str">
        <f>IFERROR(IF(INDEX('Impact Indicators - Section B '!AA$1:AA$98,MATCH($A400,'Impact Indicators - Section B '!$A$1:$A$98,0))&lt;&gt;0,INDEX('Impact Indicators - Section B '!AA$1:AA$98,MATCH($A400,'Impact Indicators - Section B '!$A$1:$A$98,0)),""),"")</f>
        <v/>
      </c>
      <c r="C414" s="609"/>
      <c r="D414" s="609"/>
      <c r="E414" s="609"/>
      <c r="F414" s="609"/>
      <c r="G414" s="610"/>
    </row>
    <row r="415" spans="1:7" ht="18.75" customHeight="1">
      <c r="A415" s="607"/>
      <c r="B415" s="611"/>
      <c r="C415" s="612"/>
      <c r="D415" s="612"/>
      <c r="E415" s="612"/>
      <c r="F415" s="612"/>
      <c r="G415" s="613"/>
    </row>
    <row r="416" spans="1:7" ht="18.75" customHeight="1">
      <c r="A416" s="607"/>
      <c r="B416" s="611"/>
      <c r="C416" s="612"/>
      <c r="D416" s="612"/>
      <c r="E416" s="612"/>
      <c r="F416" s="612"/>
      <c r="G416" s="613"/>
    </row>
    <row r="417" spans="1:7" ht="18.75" customHeight="1">
      <c r="A417" s="607"/>
      <c r="B417" s="611"/>
      <c r="C417" s="612"/>
      <c r="D417" s="612"/>
      <c r="E417" s="612"/>
      <c r="F417" s="612"/>
      <c r="G417" s="613"/>
    </row>
    <row r="418" spans="1:7" ht="18.75" customHeight="1">
      <c r="A418" s="607"/>
      <c r="B418" s="611"/>
      <c r="C418" s="612"/>
      <c r="D418" s="612"/>
      <c r="E418" s="612"/>
      <c r="F418" s="612"/>
      <c r="G418" s="613"/>
    </row>
    <row r="419" spans="1:7" ht="18.75" customHeight="1">
      <c r="A419" s="607"/>
      <c r="B419" s="611"/>
      <c r="C419" s="612"/>
      <c r="D419" s="612"/>
      <c r="E419" s="612"/>
      <c r="F419" s="612"/>
      <c r="G419" s="613"/>
    </row>
    <row r="420" spans="1:7" ht="18.75" customHeight="1">
      <c r="A420" s="607"/>
      <c r="B420" s="611"/>
      <c r="C420" s="612"/>
      <c r="D420" s="612"/>
      <c r="E420" s="612"/>
      <c r="F420" s="612"/>
      <c r="G420" s="613"/>
    </row>
    <row r="421" spans="1:7" ht="18.75" customHeight="1">
      <c r="A421" s="607"/>
      <c r="B421" s="611"/>
      <c r="C421" s="612"/>
      <c r="D421" s="612"/>
      <c r="E421" s="612"/>
      <c r="F421" s="612"/>
      <c r="G421" s="613"/>
    </row>
    <row r="422" spans="1:7" ht="18.75" customHeight="1">
      <c r="A422" s="607"/>
      <c r="B422" s="611"/>
      <c r="C422" s="612"/>
      <c r="D422" s="612"/>
      <c r="E422" s="612"/>
      <c r="F422" s="612"/>
      <c r="G422" s="613"/>
    </row>
    <row r="423" spans="1:7" ht="18.75" customHeight="1">
      <c r="A423" s="607"/>
      <c r="B423" s="611"/>
      <c r="C423" s="612"/>
      <c r="D423" s="612"/>
      <c r="E423" s="612"/>
      <c r="F423" s="612"/>
      <c r="G423" s="613"/>
    </row>
    <row r="424" spans="1:7" ht="18.75" customHeight="1">
      <c r="A424" s="598"/>
      <c r="B424" s="618"/>
      <c r="C424" s="618"/>
      <c r="D424" s="618"/>
      <c r="E424" s="618"/>
      <c r="F424" s="618"/>
      <c r="G424" s="599"/>
    </row>
  </sheetData>
  <sheetProtection algorithmName="SHA-512" hashValue="NGA0NSXgt9E5YeXFIZ1+K/1D+Rx51Xiol1ohZitKdS0tF9CV9PuPPjowVlIrVetrkeX83V7i4hePryk8BNxUyg==" saltValue="9HpCOTQsCcaN+1BCPJLgWg==" spinCount="100000" sheet="1" objects="1" scenarios="1"/>
  <mergeCells count="272">
    <mergeCell ref="B414:G423"/>
    <mergeCell ref="A424:G424"/>
    <mergeCell ref="A397:G397"/>
    <mergeCell ref="B399:D399"/>
    <mergeCell ref="E399:G399"/>
    <mergeCell ref="A400:A423"/>
    <mergeCell ref="B400:D402"/>
    <mergeCell ref="E400:G402"/>
    <mergeCell ref="B403:D403"/>
    <mergeCell ref="E403:G403"/>
    <mergeCell ref="B404:D404"/>
    <mergeCell ref="E404:G404"/>
    <mergeCell ref="B405:D405"/>
    <mergeCell ref="E405:G405"/>
    <mergeCell ref="B406:D407"/>
    <mergeCell ref="E406:G407"/>
    <mergeCell ref="D408:G408"/>
    <mergeCell ref="B413:G413"/>
    <mergeCell ref="A373:A396"/>
    <mergeCell ref="B373:D375"/>
    <mergeCell ref="E373:G375"/>
    <mergeCell ref="B376:D376"/>
    <mergeCell ref="E376:G376"/>
    <mergeCell ref="B377:D377"/>
    <mergeCell ref="E377:G377"/>
    <mergeCell ref="B378:D378"/>
    <mergeCell ref="E378:G378"/>
    <mergeCell ref="B379:D380"/>
    <mergeCell ref="E379:G380"/>
    <mergeCell ref="D381:G381"/>
    <mergeCell ref="B386:G386"/>
    <mergeCell ref="B387:G396"/>
    <mergeCell ref="B359:G359"/>
    <mergeCell ref="B360:G369"/>
    <mergeCell ref="A370:G370"/>
    <mergeCell ref="B372:D372"/>
    <mergeCell ref="E372:G372"/>
    <mergeCell ref="B333:G342"/>
    <mergeCell ref="A343:G343"/>
    <mergeCell ref="B345:D345"/>
    <mergeCell ref="E345:G345"/>
    <mergeCell ref="A346:A369"/>
    <mergeCell ref="B346:D348"/>
    <mergeCell ref="E346:G348"/>
    <mergeCell ref="B349:D349"/>
    <mergeCell ref="E349:G349"/>
    <mergeCell ref="B350:D350"/>
    <mergeCell ref="E350:G350"/>
    <mergeCell ref="B351:D351"/>
    <mergeCell ref="E351:G351"/>
    <mergeCell ref="B352:D353"/>
    <mergeCell ref="E352:G353"/>
    <mergeCell ref="D354:G354"/>
    <mergeCell ref="A316:G316"/>
    <mergeCell ref="B318:D318"/>
    <mergeCell ref="E318:G318"/>
    <mergeCell ref="A319:A342"/>
    <mergeCell ref="B319:D321"/>
    <mergeCell ref="E319:G321"/>
    <mergeCell ref="B322:D322"/>
    <mergeCell ref="E322:G322"/>
    <mergeCell ref="B323:D323"/>
    <mergeCell ref="E323:G323"/>
    <mergeCell ref="B324:D324"/>
    <mergeCell ref="E324:G324"/>
    <mergeCell ref="B325:D326"/>
    <mergeCell ref="E325:G326"/>
    <mergeCell ref="D327:G327"/>
    <mergeCell ref="B332:G332"/>
    <mergeCell ref="A292:A315"/>
    <mergeCell ref="B292:D294"/>
    <mergeCell ref="E292:G294"/>
    <mergeCell ref="B295:D295"/>
    <mergeCell ref="E295:G295"/>
    <mergeCell ref="B296:D296"/>
    <mergeCell ref="E296:G296"/>
    <mergeCell ref="B297:D297"/>
    <mergeCell ref="E297:G297"/>
    <mergeCell ref="B298:D299"/>
    <mergeCell ref="E298:G299"/>
    <mergeCell ref="D300:G300"/>
    <mergeCell ref="B305:G305"/>
    <mergeCell ref="B306:G315"/>
    <mergeCell ref="B278:G278"/>
    <mergeCell ref="B279:G288"/>
    <mergeCell ref="A289:G289"/>
    <mergeCell ref="B291:D291"/>
    <mergeCell ref="E291:G291"/>
    <mergeCell ref="B252:G261"/>
    <mergeCell ref="A262:G262"/>
    <mergeCell ref="B264:D264"/>
    <mergeCell ref="E264:G264"/>
    <mergeCell ref="A265:A288"/>
    <mergeCell ref="B265:D267"/>
    <mergeCell ref="E265:G267"/>
    <mergeCell ref="B268:D268"/>
    <mergeCell ref="E268:G268"/>
    <mergeCell ref="B269:D269"/>
    <mergeCell ref="E269:G269"/>
    <mergeCell ref="B270:D270"/>
    <mergeCell ref="E270:G270"/>
    <mergeCell ref="B271:D272"/>
    <mergeCell ref="E271:G272"/>
    <mergeCell ref="D273:G273"/>
    <mergeCell ref="A235:G235"/>
    <mergeCell ref="B237:D237"/>
    <mergeCell ref="E237:G237"/>
    <mergeCell ref="A238:A261"/>
    <mergeCell ref="B238:D240"/>
    <mergeCell ref="E238:G240"/>
    <mergeCell ref="B241:D241"/>
    <mergeCell ref="E241:G241"/>
    <mergeCell ref="B242:D242"/>
    <mergeCell ref="E242:G242"/>
    <mergeCell ref="B243:D243"/>
    <mergeCell ref="E243:G243"/>
    <mergeCell ref="B244:D245"/>
    <mergeCell ref="E244:G245"/>
    <mergeCell ref="D246:G246"/>
    <mergeCell ref="B251:G251"/>
    <mergeCell ref="A211:A234"/>
    <mergeCell ref="B211:D213"/>
    <mergeCell ref="E211:G213"/>
    <mergeCell ref="B214:D214"/>
    <mergeCell ref="E214:G214"/>
    <mergeCell ref="B215:D215"/>
    <mergeCell ref="E215:G215"/>
    <mergeCell ref="B216:D216"/>
    <mergeCell ref="E216:G216"/>
    <mergeCell ref="B217:D218"/>
    <mergeCell ref="E217:G218"/>
    <mergeCell ref="D219:G219"/>
    <mergeCell ref="B224:G224"/>
    <mergeCell ref="B225:G234"/>
    <mergeCell ref="B197:G197"/>
    <mergeCell ref="B198:G207"/>
    <mergeCell ref="A208:G208"/>
    <mergeCell ref="B210:D210"/>
    <mergeCell ref="E210:G210"/>
    <mergeCell ref="B171:G180"/>
    <mergeCell ref="A181:G181"/>
    <mergeCell ref="B183:D183"/>
    <mergeCell ref="E183:G183"/>
    <mergeCell ref="A184:A207"/>
    <mergeCell ref="B184:D186"/>
    <mergeCell ref="E184:G186"/>
    <mergeCell ref="B187:D187"/>
    <mergeCell ref="E187:G187"/>
    <mergeCell ref="B188:D188"/>
    <mergeCell ref="E188:G188"/>
    <mergeCell ref="B189:D189"/>
    <mergeCell ref="E189:G189"/>
    <mergeCell ref="B190:D191"/>
    <mergeCell ref="E190:G191"/>
    <mergeCell ref="D192:G192"/>
    <mergeCell ref="A154:G154"/>
    <mergeCell ref="B156:D156"/>
    <mergeCell ref="E156:G156"/>
    <mergeCell ref="A157:A180"/>
    <mergeCell ref="B157:D159"/>
    <mergeCell ref="E157:G159"/>
    <mergeCell ref="B160:D160"/>
    <mergeCell ref="E160:G160"/>
    <mergeCell ref="B161:D161"/>
    <mergeCell ref="E161:G161"/>
    <mergeCell ref="B162:D162"/>
    <mergeCell ref="E162:G162"/>
    <mergeCell ref="B163:D164"/>
    <mergeCell ref="E163:G164"/>
    <mergeCell ref="D165:G165"/>
    <mergeCell ref="B170:G170"/>
    <mergeCell ref="A130:A153"/>
    <mergeCell ref="B130:D132"/>
    <mergeCell ref="E130:G132"/>
    <mergeCell ref="B133:D133"/>
    <mergeCell ref="E133:G133"/>
    <mergeCell ref="B134:D134"/>
    <mergeCell ref="E134:G134"/>
    <mergeCell ref="B135:D135"/>
    <mergeCell ref="E135:G135"/>
    <mergeCell ref="B136:D137"/>
    <mergeCell ref="E136:G137"/>
    <mergeCell ref="D138:G138"/>
    <mergeCell ref="B143:G143"/>
    <mergeCell ref="B144:G153"/>
    <mergeCell ref="B116:G116"/>
    <mergeCell ref="B117:G126"/>
    <mergeCell ref="A127:G127"/>
    <mergeCell ref="B129:D129"/>
    <mergeCell ref="E129:G129"/>
    <mergeCell ref="B90:G99"/>
    <mergeCell ref="A100:G100"/>
    <mergeCell ref="B102:D102"/>
    <mergeCell ref="E102:G102"/>
    <mergeCell ref="A103:A126"/>
    <mergeCell ref="B103:D105"/>
    <mergeCell ref="E103:G105"/>
    <mergeCell ref="B106:D106"/>
    <mergeCell ref="E106:G106"/>
    <mergeCell ref="B107:D107"/>
    <mergeCell ref="E107:G107"/>
    <mergeCell ref="B108:D108"/>
    <mergeCell ref="E108:G108"/>
    <mergeCell ref="B109:D110"/>
    <mergeCell ref="E109:G110"/>
    <mergeCell ref="D111:G111"/>
    <mergeCell ref="A73:G73"/>
    <mergeCell ref="B75:D75"/>
    <mergeCell ref="E75:G75"/>
    <mergeCell ref="A76:A99"/>
    <mergeCell ref="B76:D78"/>
    <mergeCell ref="E76:G78"/>
    <mergeCell ref="B79:D79"/>
    <mergeCell ref="E79:G79"/>
    <mergeCell ref="B80:D80"/>
    <mergeCell ref="E80:G80"/>
    <mergeCell ref="B81:D81"/>
    <mergeCell ref="E81:G81"/>
    <mergeCell ref="B82:D83"/>
    <mergeCell ref="E82:G83"/>
    <mergeCell ref="D84:G84"/>
    <mergeCell ref="B89:G89"/>
    <mergeCell ref="A46:G46"/>
    <mergeCell ref="B16:G16"/>
    <mergeCell ref="B48:D48"/>
    <mergeCell ref="E48:G48"/>
    <mergeCell ref="A49:A72"/>
    <mergeCell ref="B49:D51"/>
    <mergeCell ref="E49:G51"/>
    <mergeCell ref="B52:D52"/>
    <mergeCell ref="E52:G52"/>
    <mergeCell ref="B53:D53"/>
    <mergeCell ref="E53:G53"/>
    <mergeCell ref="B54:D54"/>
    <mergeCell ref="E54:G54"/>
    <mergeCell ref="B55:D56"/>
    <mergeCell ref="E55:G56"/>
    <mergeCell ref="D57:G57"/>
    <mergeCell ref="B62:G62"/>
    <mergeCell ref="B63:G72"/>
    <mergeCell ref="B15:G15"/>
    <mergeCell ref="B17:G17"/>
    <mergeCell ref="A19:G19"/>
    <mergeCell ref="B21:D21"/>
    <mergeCell ref="E21:G21"/>
    <mergeCell ref="A22:A45"/>
    <mergeCell ref="B22:D24"/>
    <mergeCell ref="E22:G24"/>
    <mergeCell ref="B25:D25"/>
    <mergeCell ref="E25:G25"/>
    <mergeCell ref="B26:D26"/>
    <mergeCell ref="E26:G26"/>
    <mergeCell ref="B27:D27"/>
    <mergeCell ref="E27:G27"/>
    <mergeCell ref="B28:D29"/>
    <mergeCell ref="E28:G29"/>
    <mergeCell ref="D30:G30"/>
    <mergeCell ref="B35:G35"/>
    <mergeCell ref="B36:G45"/>
    <mergeCell ref="A1:G1"/>
    <mergeCell ref="A3:B3"/>
    <mergeCell ref="C3:D3"/>
    <mergeCell ref="B5:G5"/>
    <mergeCell ref="B6:G6"/>
    <mergeCell ref="B12:G12"/>
    <mergeCell ref="B13:G13"/>
    <mergeCell ref="B14:G14"/>
    <mergeCell ref="B7:G7"/>
    <mergeCell ref="B8:G8"/>
    <mergeCell ref="B9:G9"/>
    <mergeCell ref="B10:G10"/>
    <mergeCell ref="B11:G11"/>
  </mergeCells>
  <hyperlinks>
    <hyperlink ref="C3" r:id="rId1" display="http://example.com/" xr:uid="{666A093A-48F4-4F36-8BDC-A414E55365F0}"/>
    <hyperlink ref="C3:D3" location="'Impact Indicators - Section B '!A1" display="Impact Indicators" xr:uid="{6E7DD664-CE33-40AD-9EE0-11061CDF595C}"/>
  </hyperlinks>
  <pageMargins left="0.7" right="0.7" top="0.75" bottom="0.75" header="0.3" footer="0.3"/>
  <pageSetup paperSize="9" scale="90" fitToHeight="0" orientation="landscape"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22BE6-297C-4469-8770-D228AE11D26F}">
  <sheetPr codeName="Sheet7">
    <pageSetUpPr fitToPage="1"/>
  </sheetPr>
  <dimension ref="A1:G424"/>
  <sheetViews>
    <sheetView view="pageBreakPreview" zoomScale="70" zoomScaleNormal="100" zoomScaleSheetLayoutView="70" workbookViewId="0">
      <selection activeCell="E28" sqref="E28:G29"/>
    </sheetView>
  </sheetViews>
  <sheetFormatPr defaultColWidth="9" defaultRowHeight="18.75" customHeight="1"/>
  <cols>
    <col min="1" max="1" width="3.125" style="48" customWidth="1"/>
    <col min="2" max="7" width="21.875" style="48" customWidth="1"/>
    <col min="8" max="16384" width="9" style="48"/>
  </cols>
  <sheetData>
    <row r="1" spans="1:7" ht="18.75" customHeight="1">
      <c r="A1" s="590" t="s">
        <v>307</v>
      </c>
      <c r="B1" s="591"/>
      <c r="C1" s="591"/>
      <c r="D1" s="591"/>
      <c r="E1" s="591"/>
      <c r="F1" s="591"/>
      <c r="G1" s="591"/>
    </row>
    <row r="2" spans="1:7" ht="18.75" customHeight="1">
      <c r="A2" s="61"/>
      <c r="B2" s="62"/>
      <c r="C2" s="62"/>
      <c r="D2" s="62"/>
      <c r="E2" s="62"/>
      <c r="F2" s="62"/>
      <c r="G2" s="63"/>
    </row>
    <row r="3" spans="1:7" ht="18.75" customHeight="1">
      <c r="A3" s="598" t="s">
        <v>89</v>
      </c>
      <c r="B3" s="599"/>
      <c r="C3" s="623" t="s">
        <v>5057</v>
      </c>
      <c r="D3" s="594"/>
      <c r="E3" s="64"/>
      <c r="F3" s="63"/>
      <c r="G3" s="65"/>
    </row>
    <row r="4" spans="1:7" ht="18.75" customHeight="1">
      <c r="A4" s="66"/>
      <c r="B4" s="67"/>
      <c r="C4" s="62"/>
      <c r="D4" s="62"/>
      <c r="E4" s="62"/>
      <c r="F4" s="62"/>
      <c r="G4" s="68"/>
    </row>
    <row r="5" spans="1:7" ht="18.75" customHeight="1">
      <c r="A5" s="59" t="s">
        <v>5051</v>
      </c>
      <c r="B5" s="590" t="s">
        <v>5058</v>
      </c>
      <c r="C5" s="591"/>
      <c r="D5" s="591"/>
      <c r="E5" s="591"/>
      <c r="F5" s="591"/>
      <c r="G5" s="592"/>
    </row>
    <row r="6" spans="1:7" ht="18.75" customHeight="1">
      <c r="A6" s="59">
        <v>1</v>
      </c>
      <c r="B6" s="617" t="str">
        <f>IFERROR(IF(INDEX('Overview - Section A'!$E$77:$E$91,MATCH($A6,'Overview - Section A'!$A$77:$A$91,0))&lt;&gt;0,INDEX('Overview - Section A'!$E$77:$E$91,MATCH($A6,'Overview - Section A'!$A$77:$A$91,0)),""),"")</f>
        <v>Dépister  un total cumulé de 854 736  cas  de TB toutes formes dans le cadre du GC7 parmi lequel 137 901 enfants et 6330  cas de TBMR / Screen a cumulative total of 854,736 cases of all forms of TB within the framework of GC7, including 137,901 children and 6,330 cases of MDR-TB</v>
      </c>
      <c r="C6" s="603"/>
      <c r="D6" s="603"/>
      <c r="E6" s="603"/>
      <c r="F6" s="603"/>
      <c r="G6" s="604"/>
    </row>
    <row r="7" spans="1:7" ht="18.75" customHeight="1">
      <c r="A7" s="59">
        <v>2</v>
      </c>
      <c r="B7" s="617" t="str">
        <f>IFERROR(IF(INDEX('Overview - Section A'!$E$77:$E$91,MATCH($A7,'Overview - Section A'!$A$77:$A$91,0))&lt;&gt;0,INDEX('Overview - Section A'!$E$77:$E$91,MATCH($A7,'Overview - Section A'!$A$77:$A$91,0)),""),"")</f>
        <v>Traiter avec succès au moins 95% des patients TB PS notifiés et au moins 85 % des TB MR notifiés; / Successfully treat at least 95% of notified SP-TB patients and at least 85% of notified MDR-TB patients;</v>
      </c>
      <c r="C7" s="603"/>
      <c r="D7" s="603"/>
      <c r="E7" s="603"/>
      <c r="F7" s="603"/>
      <c r="G7" s="604"/>
    </row>
    <row r="8" spans="1:7" ht="18.75" customHeight="1">
      <c r="A8" s="59">
        <v>3</v>
      </c>
      <c r="B8" s="617" t="str">
        <f>IFERROR(IF(INDEX('Overview - Section A'!$E$77:$E$91,MATCH($A8,'Overview - Section A'!$A$77:$A$91,0))&lt;&gt;0,INDEX('Overview - Section A'!$E$77:$E$91,MATCH($A8,'Overview - Section A'!$A$77:$A$91,0)),""),"")</f>
        <v>Mettre sous traitement d’infection latente  enfants de moins de 5 ans en contact avec des cas TB+  exclue de la TB (352 801) ; / Put on treatment for latent infection children under 5 years of age in contact with TB+ cases excluded from TB (352,801);</v>
      </c>
      <c r="C8" s="603"/>
      <c r="D8" s="603"/>
      <c r="E8" s="603"/>
      <c r="F8" s="603"/>
      <c r="G8" s="604"/>
    </row>
    <row r="9" spans="1:7" ht="18.75" customHeight="1">
      <c r="A9" s="59">
        <v>4</v>
      </c>
      <c r="B9" s="617" t="str">
        <f>IFERROR(IF(INDEX('Overview - Section A'!$E$77:$E$91,MATCH($A9,'Overview - Section A'!$A$77:$A$91,0))&lt;&gt;0,INDEX('Overview - Section A'!$E$77:$E$91,MATCH($A9,'Overview - Section A'!$A$77:$A$91,0)),""),"")</f>
        <v>Tester au VIH au moins 90% des patients tuberculeux notifiés  durant la période  ; / Test at least 90% of TB patients notified during the period for HIV;</v>
      </c>
      <c r="C9" s="603"/>
      <c r="D9" s="603"/>
      <c r="E9" s="603"/>
      <c r="F9" s="603"/>
      <c r="G9" s="604"/>
    </row>
    <row r="10" spans="1:7" ht="18.75" customHeight="1">
      <c r="A10" s="59">
        <v>5</v>
      </c>
      <c r="B10" s="617" t="str">
        <f>IFERROR(IF(INDEX('Overview - Section A'!$E$77:$E$91,MATCH($A10,'Overview - Section A'!$A$77:$A$91,0))&lt;&gt;0,INDEX('Overview - Section A'!$E$77:$E$91,MATCH($A10,'Overview - Section A'!$A$77:$A$91,0)),""),"")</f>
        <v>Mettre sous ARV 95% des patients coïnfectés (TB VIH+) durant la période dans le pays ; / Put 95% of co-infected patients (HIV+ TB) on ARVs during the period in the country;</v>
      </c>
      <c r="C10" s="603"/>
      <c r="D10" s="603"/>
      <c r="E10" s="603"/>
      <c r="F10" s="603"/>
      <c r="G10" s="604"/>
    </row>
    <row r="11" spans="1:7" ht="18.75" customHeight="1">
      <c r="A11" s="59">
        <v>6</v>
      </c>
      <c r="B11" s="617" t="str">
        <f>IFERROR(IF(INDEX('Overview - Section A'!$E$77:$E$91,MATCH($A11,'Overview - Section A'!$A$77:$A$91,0))&lt;&gt;0,INDEX('Overview - Section A'!$E$77:$E$91,MATCH($A11,'Overview - Section A'!$A$77:$A$91,0)),""),"")</f>
        <v>Réduire les nouvelles infections VIH de 95% d’ici  2027 / Reduce new HIV infections by 95% by 2027</v>
      </c>
      <c r="C11" s="603"/>
      <c r="D11" s="603"/>
      <c r="E11" s="603"/>
      <c r="F11" s="603"/>
      <c r="G11" s="604"/>
    </row>
    <row r="12" spans="1:7" ht="18.75" customHeight="1">
      <c r="A12" s="59">
        <v>7</v>
      </c>
      <c r="B12" s="617" t="str">
        <f>IFERROR(IF(INDEX('Overview - Section A'!$E$77:$E$91,MATCH($A12,'Overview - Section A'!$A$77:$A$91,0))&lt;&gt;0,INDEX('Overview - Section A'!$E$77:$E$91,MATCH($A12,'Overview - Section A'!$A$77:$A$91,0)),""),"")</f>
        <v>Réduire les nouvelles infections chez les nourrissons nés des mères infectées par le VIH de 98 % d'ici 2027 / Reduce new infections among infants born to HIV-infected mothers by 98% by 2027</v>
      </c>
      <c r="C12" s="603"/>
      <c r="D12" s="603"/>
      <c r="E12" s="603"/>
      <c r="F12" s="603"/>
      <c r="G12" s="604"/>
    </row>
    <row r="13" spans="1:7" ht="18.75" customHeight="1">
      <c r="A13" s="59">
        <v>8</v>
      </c>
      <c r="B13" s="617" t="str">
        <f>IFERROR(IF(INDEX('Overview - Section A'!$E$77:$E$91,MATCH($A13,'Overview - Section A'!$A$77:$A$91,0))&lt;&gt;0,INDEX('Overview - Section A'!$E$77:$E$91,MATCH($A13,'Overview - Section A'!$A$77:$A$91,0)),""),"")</f>
        <v>Réduire la mortalité liée au VIH de 9.5% à 7.4% / Reduce HIV-related mortality from 9.5% to 7.4% by the end of 2027</v>
      </c>
      <c r="C13" s="603"/>
      <c r="D13" s="603"/>
      <c r="E13" s="603"/>
      <c r="F13" s="603"/>
      <c r="G13" s="604"/>
    </row>
    <row r="14" spans="1:7" ht="18.75" customHeight="1">
      <c r="A14" s="59">
        <v>9</v>
      </c>
      <c r="B14" s="617" t="str">
        <f>IFERROR(IF(INDEX('Overview - Section A'!$E$77:$E$91,MATCH($A14,'Overview - Section A'!$A$77:$A$91,0))&lt;&gt;0,INDEX('Overview - Section A'!$E$77:$E$91,MATCH($A14,'Overview - Section A'!$A$77:$A$91,0)),""),"")</f>
        <v>Reduire la discrimination, la stigmatisation et les inégalités sociales liées au VIH/TB à l’égard des  PVVIH, populations clés (Transgenre, HSH, PS, UDI, PS, détenus ) et autres populations vulnérables (SVS, SVBG et OEV) de 95%  d’ici fin  2027 / Reduce discrimination, stigma and social inequalities related to HIV/TB for PLHIV, key populations (Transgender, MSM, PS, IDU, PS, prisoners) and other vulnerable populations (SVS, SVBG and OVC) by 95% by the end of 2027</v>
      </c>
      <c r="C14" s="603"/>
      <c r="D14" s="603"/>
      <c r="E14" s="603"/>
      <c r="F14" s="603"/>
      <c r="G14" s="604"/>
    </row>
    <row r="15" spans="1:7" ht="18.75" customHeight="1">
      <c r="A15" s="59">
        <v>10</v>
      </c>
      <c r="B15" s="617" t="str">
        <f>IFERROR(IF(INDEX('Overview - Section A'!$E$77:$E$91,MATCH($A15,'Overview - Section A'!$A$77:$A$91,0))&lt;&gt;0,INDEX('Overview - Section A'!$E$77:$E$91,MATCH($A15,'Overview - Section A'!$A$77:$A$91,0)),""),"")</f>
        <v>Soutenir la riposte nationale VIH par une bonne gouvernance et une coordination multisectorielle optimale à tous les niveaux d’ici à 2027 / Support the national HIV response through good governance and optimal multisectoral coordination at all levels by 2027</v>
      </c>
      <c r="C15" s="603"/>
      <c r="D15" s="603"/>
      <c r="E15" s="603"/>
      <c r="F15" s="603"/>
      <c r="G15" s="604"/>
    </row>
    <row r="16" spans="1:7" ht="18.75" customHeight="1">
      <c r="A16" s="59">
        <v>11</v>
      </c>
      <c r="B16" s="617" t="str">
        <f>IFERROR(IF(INDEX('Overview - Section A'!$E$77:$E$91,MATCH($A16,'Overview - Section A'!$A$77:$A$91,0))&lt;&gt;0,INDEX('Overview - Section A'!$E$77:$E$91,MATCH($A16,'Overview - Section A'!$A$77:$A$91,0)),""),"")</f>
        <v/>
      </c>
      <c r="C16" s="603"/>
      <c r="D16" s="603"/>
      <c r="E16" s="603"/>
      <c r="F16" s="603"/>
      <c r="G16" s="604"/>
    </row>
    <row r="17" spans="1:7" ht="18.75" customHeight="1">
      <c r="A17" s="59">
        <v>12</v>
      </c>
      <c r="B17" s="617" t="str">
        <f>IFERROR(IF(INDEX('Overview - Section A'!$E$77:$E$91,MATCH($A17,'Overview - Section A'!$A$77:$A$91,0))&lt;&gt;0,INDEX('Overview - Section A'!$E$77:$E$91,MATCH($A17,'Overview - Section A'!$A$77:$A$91,0)),""),"")</f>
        <v/>
      </c>
      <c r="C17" s="603"/>
      <c r="D17" s="603"/>
      <c r="E17" s="603"/>
      <c r="F17" s="603"/>
      <c r="G17" s="604"/>
    </row>
    <row r="18" spans="1:7" ht="18.75" customHeight="1">
      <c r="A18" s="69"/>
      <c r="B18" s="70"/>
      <c r="C18" s="70"/>
      <c r="D18" s="70"/>
      <c r="E18" s="70"/>
      <c r="F18" s="70"/>
      <c r="G18" s="71"/>
    </row>
    <row r="19" spans="1:7" ht="18.75" customHeight="1">
      <c r="A19" s="590" t="s">
        <v>5057</v>
      </c>
      <c r="B19" s="591"/>
      <c r="C19" s="591"/>
      <c r="D19" s="591"/>
      <c r="E19" s="591"/>
      <c r="F19" s="591"/>
      <c r="G19" s="605"/>
    </row>
    <row r="20" spans="1:7" ht="18.75" customHeight="1">
      <c r="A20" s="61"/>
      <c r="B20" s="62"/>
      <c r="C20" s="62"/>
      <c r="D20" s="62"/>
      <c r="E20" s="62"/>
      <c r="F20" s="62"/>
      <c r="G20" s="72"/>
    </row>
    <row r="21" spans="1:7" ht="18.75" customHeight="1">
      <c r="A21" s="73" t="s">
        <v>5051</v>
      </c>
      <c r="B21" s="590" t="s">
        <v>765</v>
      </c>
      <c r="C21" s="591"/>
      <c r="D21" s="592"/>
      <c r="E21" s="590" t="s">
        <v>766</v>
      </c>
      <c r="F21" s="591"/>
      <c r="G21" s="592"/>
    </row>
    <row r="22" spans="1:7" ht="18.75" customHeight="1">
      <c r="A22" s="606">
        <v>1</v>
      </c>
      <c r="B22" s="608" t="str">
        <f ca="1">IFERROR(IF(INDEX('Outcome Indicators - Section C '!B$1:B$100,MATCH($A22,'Outcome Indicators - Section C '!$A$1:$A$100,0))&lt;&gt;0,INDEX('Outcome Indicators - Section C '!B$1:B$100,MATCH($A22,'Outcome Indicators - Section C '!$A$1:$A$100,0)),""),"")</f>
        <v>TB O-5 TB treatment coverage: Percentage of patients with new and relapse TB that were notified and treated among the estimated number of incident TB in the same year (all forms of TB - bacteriologically confirmed plus clinically diagnosed</v>
      </c>
      <c r="C22" s="609"/>
      <c r="D22" s="610"/>
      <c r="E22" s="608" t="str">
        <f>IFERROR(IF(INDEX('Outcome Indicators - Section C '!C$1:C$100,MATCH($A22,'Outcome Indicators - Section C '!$A$1:$A$100,0))&lt;&gt;0,INDEX('Outcome Indicators - Section C '!C$1:C$100,MATCH($A22,'Outcome Indicators - Section C '!$A$1:$A$100,0)),""),"")</f>
        <v/>
      </c>
      <c r="F22" s="609"/>
      <c r="G22" s="610"/>
    </row>
    <row r="23" spans="1:7" ht="18.75" customHeight="1">
      <c r="A23" s="607"/>
      <c r="B23" s="611"/>
      <c r="C23" s="612"/>
      <c r="D23" s="613"/>
      <c r="E23" s="611"/>
      <c r="F23" s="612"/>
      <c r="G23" s="613"/>
    </row>
    <row r="24" spans="1:7" ht="18.75" customHeight="1">
      <c r="A24" s="607"/>
      <c r="B24" s="614"/>
      <c r="C24" s="615"/>
      <c r="D24" s="616"/>
      <c r="E24" s="614"/>
      <c r="F24" s="615"/>
      <c r="G24" s="616"/>
    </row>
    <row r="25" spans="1:7" ht="18.75" customHeight="1">
      <c r="A25" s="607"/>
      <c r="B25" s="590" t="s">
        <v>769</v>
      </c>
      <c r="C25" s="591"/>
      <c r="D25" s="592"/>
      <c r="E25" s="590" t="s">
        <v>127</v>
      </c>
      <c r="F25" s="591"/>
      <c r="G25" s="592"/>
    </row>
    <row r="26" spans="1:7" ht="18.75" customHeight="1">
      <c r="A26" s="607"/>
      <c r="B26" s="617" t="str">
        <f>IFERROR(IF(INDEX('Outcome Indicators - Section C '!H$1:H$100,MATCH($A22,'Outcome Indicators - Section C '!$A$1:$A$100,0))&lt;&gt;0,INDEX('Outcome Indicators - Section C '!H$1:H$100,MATCH($A22,'Outcome Indicators - Section C '!$A$1:$A$100,0)),""),"")</f>
        <v>Gender,Age</v>
      </c>
      <c r="C26" s="603"/>
      <c r="D26" s="604"/>
      <c r="E26" s="617" t="str">
        <f>IFERROR(IF(INDEX('Outcome Indicators - Section C '!J$9:J$38,MATCH($A22,'Outcome Indicators - Section C '!$A$9:$A$100,0))&lt;&gt;0,INDEX('Outcome Indicators - Section C '!J$9:J$38,MATCH($A22,'Outcome Indicators - Section C '!$A$9:$A$100,0)),""),"")</f>
        <v>Congo (Democratic Republic)</v>
      </c>
      <c r="F26" s="603"/>
      <c r="G26" s="604"/>
    </row>
    <row r="27" spans="1:7" ht="18.75" customHeight="1">
      <c r="A27" s="607"/>
      <c r="B27" s="590" t="s">
        <v>199</v>
      </c>
      <c r="C27" s="591"/>
      <c r="D27" s="592"/>
      <c r="E27" s="590" t="s">
        <v>120</v>
      </c>
      <c r="F27" s="591"/>
      <c r="G27" s="592"/>
    </row>
    <row r="28" spans="1:7" ht="18.75" customHeight="1">
      <c r="A28" s="607"/>
      <c r="B28" s="608" t="str">
        <f>IFERROR(IF(INDEX('Outcome Indicators - Section C '!G$1:G$100,MATCH($A22,'Outcome Indicators - Section C '!$A$1:$A$100,0))&lt;&gt;0,INDEX('Outcome Indicators - Section C '!G$1:G$100,MATCH($A22,'Outcome Indicators - Section C '!$A$1:$A$100,0)),""),"")</f>
        <v>WHO TB Global Report 2022</v>
      </c>
      <c r="C28" s="609"/>
      <c r="D28" s="610"/>
      <c r="E28" s="608" t="str">
        <f ca="1">IFERROR(IF(AND('Overview - Section A'!AS$1="Grant Making",OR(B22&lt;&gt;"",E22&lt;&gt;"")),Setup!I15,IF(INDEX('Outcome Indicators - Section C '!I$1:I$100,MATCH($A22,'Outcome Indicators - Section C '!$A$1:$A$100,0))&lt;&gt;0,INDEX('Outcome Indicators - Section C '!I$1:I$100,MATCH($A22,'Outcome Indicators - Section C '!$A$1:$A$100,0)),"")),"")</f>
        <v>Ministry of Public Health, Hygiene and Prevention</v>
      </c>
      <c r="F28" s="609"/>
      <c r="G28" s="610"/>
    </row>
    <row r="29" spans="1:7" ht="18.75" customHeight="1">
      <c r="A29" s="607"/>
      <c r="B29" s="614"/>
      <c r="C29" s="615"/>
      <c r="D29" s="616"/>
      <c r="E29" s="614"/>
      <c r="F29" s="615"/>
      <c r="G29" s="616"/>
    </row>
    <row r="30" spans="1:7" ht="18.75" customHeight="1">
      <c r="A30" s="607"/>
      <c r="B30" s="74"/>
      <c r="C30" s="59" t="s">
        <v>5052</v>
      </c>
      <c r="D30" s="590" t="s">
        <v>5053</v>
      </c>
      <c r="E30" s="591"/>
      <c r="F30" s="591"/>
      <c r="G30" s="592"/>
    </row>
    <row r="31" spans="1:7" ht="18.75" customHeight="1">
      <c r="A31" s="607"/>
      <c r="B31" s="74" t="s">
        <v>2589</v>
      </c>
      <c r="C31" s="75">
        <f>IFERROR(IF(INDEX('Outcome Indicators - Section C '!F$1:F$100,MATCH($A22,'Outcome Indicators - Section C '!$A$1:$A$100,0))&lt;&gt;0,INDEX('Outcome Indicators - Section C '!F$1:F$100,MATCH($A22,'Outcome Indicators - Section C '!$A$1:$A$100,0)),""),"")</f>
        <v>2021</v>
      </c>
      <c r="D31" s="59">
        <f ca="1">IFERROR(IF(YEAR(INDEX('Overview - Section A'!$A$47:$A$54,MATCH('Print - Summary'!$H$10,'Overview - Section A'!$B$47:$B$54,0)))&lt;=YEAR('Overview - Section A'!$E$8),YEAR(INDEX('Overview - Section A'!$A$47:$A$54,MATCH('Print - Summary'!$H$10,'Overview - Section A'!$B$47:$B$54,0))),""),"")</f>
        <v>2024</v>
      </c>
      <c r="E31" s="59">
        <f ca="1">IFERROR(IF(D31+1&lt;=YEAR('Overview - Section A'!$E$8),D31+1,""),"")</f>
        <v>2025</v>
      </c>
      <c r="F31" s="59">
        <f ca="1">IFERROR(IF(E31+1&lt;=YEAR('Overview - Section A'!$E$8),E31+1,""),"")</f>
        <v>2026</v>
      </c>
      <c r="G31" s="59" t="str">
        <f ca="1">IFERROR(IF(F31+1&lt;=YEAR('Overview - Section A'!$E$8),F31+1,""),"")</f>
        <v/>
      </c>
    </row>
    <row r="32" spans="1:7" s="81" customFormat="1" ht="18.75" customHeight="1">
      <c r="A32" s="607"/>
      <c r="B32" s="74" t="s">
        <v>5054</v>
      </c>
      <c r="C32" s="80" t="str">
        <f>IFERROR(IF(INDEX('Outcome Indicators - Section C '!D$1:D$100,MATCH($A22,'Outcome Indicators - Section C '!$A$1:$A$100,0))&lt;&gt;"",FIXED(INDEX('Outcome Indicators - Section C '!D$1:D$100,MATCH($A22,'Outcome Indicators - Section C '!$A$1:$A$100,0)),4),""),"")</f>
        <v/>
      </c>
      <c r="D32" s="80" t="str">
        <f ca="1">IFERROR(IF(INDEX('Outcome Indicators - Section C '!K$1:K$100,MATCH($A22,'Outcome Indicators - Section C '!$A$1:$A$100,0))&lt;&gt;"",FIXED(INDEX('Outcome Indicators - Section C '!K$1:K$100,MATCH($A22,'Outcome Indicators - Section C '!$A$1:$A$100,0)),4),""),"")</f>
        <v/>
      </c>
      <c r="E32" s="80" t="str">
        <f ca="1">IFERROR(IF(INDEX('Outcome Indicators - Section C '!O$1:O$100,MATCH($A22,'Outcome Indicators - Section C '!$A$1:$A$100,0))&lt;&gt;"",FIXED(INDEX('Outcome Indicators - Section C '!O$1:O$100,MATCH($A22,'Outcome Indicators - Section C '!$A$1:$A$100,0)),4),""),"")</f>
        <v/>
      </c>
      <c r="F32" s="80" t="str">
        <f ca="1">IFERROR(IF(INDEX('Outcome Indicators - Section C '!S$1:S$100,MATCH($A22,'Outcome Indicators - Section C '!$A$1:$A$100,0))&lt;&gt;"",FIXED(INDEX('Outcome Indicators - Section C '!S$1:S$100,MATCH($A22,'Outcome Indicators - Section C '!$A$1:$A$100,0)),4),""),"")</f>
        <v/>
      </c>
      <c r="G32" s="80" t="str">
        <f ca="1">IFERROR(IF(INDEX('Outcome Indicators - Section C '!W$1:W$100,MATCH($A22,'Outcome Indicators - Section C '!$A$1:$A$100,0))&lt;&gt;"",FIXED(INDEX('Outcome Indicators - Section C '!W$1:W$100,MATCH($A22,'Outcome Indicators - Section C '!$A$1:$A$100,0)),4),""),"")</f>
        <v/>
      </c>
    </row>
    <row r="33" spans="1:7" s="79" customFormat="1" ht="18.75" customHeight="1">
      <c r="A33" s="607"/>
      <c r="B33" s="74" t="s">
        <v>5055</v>
      </c>
      <c r="C33" s="78" t="str">
        <f>IFERROR(IF(INDEX('Outcome Indicators - Section C '!D$1:D$100,MATCH($A22,'Outcome Indicators - Section C '!$A$1:$A$100,0)+1)&lt;&gt;"",FIXED(INDEX('Outcome Indicators - Section C '!D$1:D$100,MATCH($A22,'Outcome Indicators - Section C '!$A$1:$A$100,0)+1),2),""),"")</f>
        <v/>
      </c>
      <c r="D33" s="78" t="str">
        <f ca="1">IFERROR(IF(INDEX('Outcome Indicators - Section C '!K$1:K$100,MATCH($A22,'Outcome Indicators - Section C '!$A$1:$A$100,0)+1)&lt;&gt;"",FIXED(INDEX('Outcome Indicators - Section C '!K$1:K$100,MATCH($A22,'Outcome Indicators - Section C '!$A$1:$A$100,0)+1),2),""),"")</f>
        <v/>
      </c>
      <c r="E33" s="78" t="str">
        <f ca="1">IFERROR(IF(INDEX('Outcome Indicators - Section C '!O$1:O$100,MATCH($A22,'Outcome Indicators - Section C '!$A$1:$A$100,0)+1)&lt;&gt;"",FIXED(INDEX('Outcome Indicators - Section C '!O$1:O$100,MATCH($A22,'Outcome Indicators - Section C '!$A$1:$A$100,0)+1),2),""),"")</f>
        <v/>
      </c>
      <c r="F33" s="78" t="str">
        <f ca="1">IFERROR(IF(INDEX('Outcome Indicators - Section C '!S$1:S$100,MATCH($A22,'Outcome Indicators - Section C '!$A$1:$A$100,0)+1)&lt;&gt;"",FIXED(INDEX('Outcome Indicators - Section C '!S$1:S$100,MATCH($A22,'Outcome Indicators - Section C '!$A$1:$A$100,0)+1),2),""),"")</f>
        <v/>
      </c>
      <c r="G33" s="78" t="str">
        <f ca="1">IFERROR(IF(INDEX('Outcome Indicators - Section C '!W$1:W$100,MATCH($A22,'Outcome Indicators - Section C '!$A$1:$A$100,0)+1)&lt;&gt;"",FIXED(INDEX('Outcome Indicators - Section C '!W$1:W$100,MATCH($A22,'Outcome Indicators - Section C '!$A$1:$A$100,0)+1),2),""),"")</f>
        <v/>
      </c>
    </row>
    <row r="34" spans="1:7" ht="18.75" customHeight="1">
      <c r="A34" s="607"/>
      <c r="B34" s="74" t="s">
        <v>5056</v>
      </c>
      <c r="C34" s="75" t="str">
        <f ca="1">IFERROR(IF(INDEX('Outcome Indicators - Section C '!E$1:E$100,MATCH($A22,'Outcome Indicators - Section C '!$A$1:$A$100,0))&lt;&gt;"",FIXED(INDEX('Outcome Indicators - Section C '!E$1:E$100,MATCH($A22,'Outcome Indicators - Section C '!$A$1:$A$100,0))*100,2)&amp;"%",""),"")</f>
        <v>70.00%</v>
      </c>
      <c r="D34" s="75" t="str">
        <f ca="1">IFERROR(IF(INDEX('Outcome Indicators - Section C '!L$1:L$100,MATCH($A22,'Outcome Indicators - Section C '!$A$1:$A$100,0))&lt;&gt;"",FIXED(INDEX('Outcome Indicators - Section C '!L$1:L$100,MATCH($A22,'Outcome Indicators - Section C '!$A$1:$A$100,0))*100,2)&amp;"%",""),"")&amp;CHAR(10)&amp;IFERROR(IF(INDEX('Outcome Indicators - Section C '!N$1:N$100,MATCH($A22,'Outcome Indicators - Section C '!$A$1:$A$100,0))&lt;&gt;"",INDEX('Outcome Indicators - Section C '!N$1:N$100,MATCH($A22,'Outcome Indicators - Section C '!$A$1:$A$100,0)),""),"")&amp;CHAR(10)&amp;IFERROR(IF(INDEX('Outcome Indicators - Section C '!M$1:M$100,MATCH($A22,'Outcome Indicators - Section C '!$A$1:$A$100,0))&lt;&gt;"",TEXT(INDEX('Outcome Indicators - Section C '!M$1:M$100,MATCH($A22,'Outcome Indicators - Section C '!$A$1:$A$100,0)),Setup!$A$33),""),"")</f>
        <v xml:space="preserve">80.00%
</v>
      </c>
      <c r="E34" s="75" t="str">
        <f ca="1">IFERROR(IF(INDEX('Outcome Indicators - Section C '!P$1:P$100,MATCH($A22,'Outcome Indicators - Section C '!$A$1:$A$100,0))&lt;&gt;"",FIXED(INDEX('Outcome Indicators - Section C '!P$1:P$100,MATCH($A22,'Outcome Indicators - Section C '!$A$1:$A$100,0))*100,2)&amp;"%",""),)&amp;CHAR(10)&amp;IFERROR(IF(INDEX('Outcome Indicators - Section C '!R$1:R$100,MATCH($A22,'Outcome Indicators - Section C '!$A$1:$A$100,0))&lt;&gt;"",INDEX('Outcome Indicators - Section C '!R$1:R$100,MATCH($A22,'Outcome Indicators - Section C '!$A$1:$A$100,0)),""),"")&amp;CHAR(10)&amp;IFERROR(IF(INDEX('Outcome Indicators - Section C '!Q$1:Q$100,MATCH($A22,'Outcome Indicators - Section C '!$A$1:$A$100,0))&lt;&gt;"",TEXT(INDEX('Outcome Indicators - Section C '!Q$1:Q$100,MATCH($A22,'Outcome Indicators - Section C '!$A$1:$A$100,0)),Setup!$A$33),""),"")</f>
        <v xml:space="preserve">86.00%
</v>
      </c>
      <c r="F34" s="75" t="str">
        <f ca="1">IFERROR(IF(INDEX('Outcome Indicators - Section C '!T$1:T$100,MATCH($A22,'Outcome Indicators - Section C '!$A$1:$A$100,0))&lt;&gt;"",FIXED(INDEX('Outcome Indicators - Section C '!T$1:T$100,MATCH($A22,'Outcome Indicators - Section C '!$A$1:$A$100,0))*100,2)&amp;"%",""),)&amp;CHAR(10)&amp;IFERROR(IF(INDEX('Outcome Indicators - Section C '!V$1:V$100,MATCH($A22,'Outcome Indicators - Section C '!$A$1:$A$100,0))&lt;&gt;"",INDEX('Outcome Indicators - Section C '!V$1:V$100,MATCH($A22,'Outcome Indicators - Section C '!$A$1:$A$100,0)),""),"")&amp;CHAR(10)&amp;IFERROR(IF(INDEX('Outcome Indicators - Section C '!U$1:U$100,MATCH($A22,'Outcome Indicators - Section C '!$A$1:$A$100,0))&lt;&gt;"",TEXT(INDEX('Outcome Indicators - Section C '!U$1:U$100,MATCH($A22,'Outcome Indicators - Section C '!$A$1:$A$100,0)),Setup!$A$33),""),"")</f>
        <v xml:space="preserve">92.00%
</v>
      </c>
      <c r="G34" s="75" t="str">
        <f ca="1">IFERROR(IF(INDEX('Outcome Indicators - Section C '!X$1:X$100,MATCH($A22,'Outcome Indicators - Section C '!$A$1:$A$100,0))&lt;&gt;"",FIXED(INDEX('Outcome Indicators - Section C '!X$1:X$100,MATCH($A22,'Outcome Indicators - Section C '!$A$1:$A$100,0))*100,2)&amp;"%",""),"")&amp;CHAR(10)&amp;IFERROR(IF(INDEX('Outcome Indicators - Section C '!Z$1:Z$100,MATCH($A22,'Outcome Indicators - Section C '!$A$1:$A$100,0))&lt;&gt;"",INDEX('Outcome Indicators - Section C '!Z$1:Z$100,MATCH($A22,'Outcome Indicators - Section C '!$A$1:$A$100,0)),""),"")&amp;CHAR(10)&amp;IFERROR(IF(INDEX('Outcome Indicators - Section C '!Y$1:Y$100,MATCH($A22,'Outcome Indicators - Section C '!$A$1:$A$100,0))&lt;&gt;"",TEXT(INDEX('Outcome Indicators - Section C '!Y$1:Y$100,MATCH($A22,'Outcome Indicators - Section C '!$A$1:$A$100,0)),Setup!$A$33),""),"")</f>
        <v xml:space="preserve">
</v>
      </c>
    </row>
    <row r="35" spans="1:7" ht="18.75" customHeight="1">
      <c r="A35" s="607"/>
      <c r="B35" s="590" t="s">
        <v>176</v>
      </c>
      <c r="C35" s="591"/>
      <c r="D35" s="591"/>
      <c r="E35" s="591"/>
      <c r="F35" s="591"/>
      <c r="G35" s="592"/>
    </row>
    <row r="36" spans="1:7" ht="18.75" customHeight="1">
      <c r="A36" s="607"/>
      <c r="B36" s="608" t="str">
        <f>IFERROR(IF(INDEX('Outcome Indicators - Section C '!AA$1:AA$100,MATCH($A22,'Outcome Indicators - Section C '!$A$1:$A$100,0))&lt;&gt;0,INDEX('Outcome Indicators - Section C '!AA$1:AA$100,MATCH($A22,'Outcome Indicators - Section C '!$A$1:$A$100,0)),""),"")</f>
        <v>The increase in TB coverage (or detection rate) has evolved by an average of 4% between 2015 and 2021. In 2022, despite the significant jump in case notification with 30,364 additional cases compared to 2021, the base population used did not reflect the program's treatment coverage efforts. In fact, the population used by WHO was lower than the INS population (a gap of 8,448,783 in 2021). Based on these arguments, the country has applied in the NSP an increase in coverage of 4% in 2023 and 2024, and 6% in 2025 and 2026. Thus, the coverage rate provided for in the NSP is 80% in 2024, 86% in 2025 and 92% in 2026.</v>
      </c>
      <c r="C36" s="609"/>
      <c r="D36" s="609"/>
      <c r="E36" s="609"/>
      <c r="F36" s="609"/>
      <c r="G36" s="610"/>
    </row>
    <row r="37" spans="1:7" ht="18.75" customHeight="1">
      <c r="A37" s="607"/>
      <c r="B37" s="611"/>
      <c r="C37" s="612"/>
      <c r="D37" s="612"/>
      <c r="E37" s="612"/>
      <c r="F37" s="612"/>
      <c r="G37" s="613"/>
    </row>
    <row r="38" spans="1:7" ht="18.75" customHeight="1">
      <c r="A38" s="607"/>
      <c r="B38" s="611"/>
      <c r="C38" s="612"/>
      <c r="D38" s="612"/>
      <c r="E38" s="612"/>
      <c r="F38" s="612"/>
      <c r="G38" s="613"/>
    </row>
    <row r="39" spans="1:7" ht="18.75" customHeight="1">
      <c r="A39" s="607"/>
      <c r="B39" s="611"/>
      <c r="C39" s="612"/>
      <c r="D39" s="612"/>
      <c r="E39" s="612"/>
      <c r="F39" s="612"/>
      <c r="G39" s="613"/>
    </row>
    <row r="40" spans="1:7" ht="18.75" customHeight="1">
      <c r="A40" s="607"/>
      <c r="B40" s="611"/>
      <c r="C40" s="612"/>
      <c r="D40" s="612"/>
      <c r="E40" s="612"/>
      <c r="F40" s="612"/>
      <c r="G40" s="613"/>
    </row>
    <row r="41" spans="1:7" ht="18.75" customHeight="1">
      <c r="A41" s="607"/>
      <c r="B41" s="611"/>
      <c r="C41" s="612"/>
      <c r="D41" s="612"/>
      <c r="E41" s="612"/>
      <c r="F41" s="612"/>
      <c r="G41" s="613"/>
    </row>
    <row r="42" spans="1:7" ht="18.75" customHeight="1">
      <c r="A42" s="607"/>
      <c r="B42" s="611"/>
      <c r="C42" s="612"/>
      <c r="D42" s="612"/>
      <c r="E42" s="612"/>
      <c r="F42" s="612"/>
      <c r="G42" s="613"/>
    </row>
    <row r="43" spans="1:7" ht="18.75" customHeight="1">
      <c r="A43" s="607"/>
      <c r="B43" s="611"/>
      <c r="C43" s="612"/>
      <c r="D43" s="612"/>
      <c r="E43" s="612"/>
      <c r="F43" s="612"/>
      <c r="G43" s="613"/>
    </row>
    <row r="44" spans="1:7" ht="18.75" customHeight="1">
      <c r="A44" s="607"/>
      <c r="B44" s="611"/>
      <c r="C44" s="612"/>
      <c r="D44" s="612"/>
      <c r="E44" s="612"/>
      <c r="F44" s="612"/>
      <c r="G44" s="613"/>
    </row>
    <row r="45" spans="1:7" ht="18.75" customHeight="1">
      <c r="A45" s="624"/>
      <c r="B45" s="614"/>
      <c r="C45" s="615"/>
      <c r="D45" s="615"/>
      <c r="E45" s="615"/>
      <c r="F45" s="615"/>
      <c r="G45" s="616"/>
    </row>
    <row r="46" spans="1:7" ht="18.75" customHeight="1">
      <c r="A46" s="590"/>
      <c r="B46" s="591"/>
      <c r="C46" s="591"/>
      <c r="D46" s="591"/>
      <c r="E46" s="591"/>
      <c r="F46" s="591"/>
      <c r="G46" s="592"/>
    </row>
    <row r="48" spans="1:7" ht="18.75" customHeight="1">
      <c r="A48" s="73" t="s">
        <v>5051</v>
      </c>
      <c r="B48" s="590" t="s">
        <v>765</v>
      </c>
      <c r="C48" s="591"/>
      <c r="D48" s="592"/>
      <c r="E48" s="590" t="s">
        <v>766</v>
      </c>
      <c r="F48" s="591"/>
      <c r="G48" s="592"/>
    </row>
    <row r="49" spans="1:7" ht="18.75" customHeight="1">
      <c r="A49" s="606">
        <v>2</v>
      </c>
      <c r="B49" s="608" t="str">
        <f ca="1">IFERROR(IF(INDEX('Outcome Indicators - Section C '!B$1:B$100,MATCH($A49,'Outcome Indicators - Section C '!$A$1:$A$100,0))&lt;&gt;0,INDEX('Outcome Indicators - Section C '!B$1:B$100,MATCH($A49,'Outcome Indicators - Section C '!$A$1:$A$100,0)),""),"")</f>
        <v>TB O-2a Treatment success rate of all forms of TB - bacteriologically confirmed plus clinically diagnosed, new and relapse</v>
      </c>
      <c r="C49" s="609"/>
      <c r="D49" s="610"/>
      <c r="E49" s="608" t="str">
        <f>IFERROR(IF(INDEX('Outcome Indicators - Section C '!C$1:C$100,MATCH($A49,'Outcome Indicators - Section C '!$A$1:$A$100,0))&lt;&gt;0,INDEX('Outcome Indicators - Section C '!C$1:C$100,MATCH($A49,'Outcome Indicators - Section C '!$A$1:$A$100,0)),""),"")</f>
        <v/>
      </c>
      <c r="F49" s="609"/>
      <c r="G49" s="610"/>
    </row>
    <row r="50" spans="1:7" ht="18.75" customHeight="1">
      <c r="A50" s="607"/>
      <c r="B50" s="611"/>
      <c r="C50" s="612"/>
      <c r="D50" s="613"/>
      <c r="E50" s="611"/>
      <c r="F50" s="612"/>
      <c r="G50" s="613"/>
    </row>
    <row r="51" spans="1:7" ht="18.75" customHeight="1">
      <c r="A51" s="607"/>
      <c r="B51" s="614"/>
      <c r="C51" s="615"/>
      <c r="D51" s="616"/>
      <c r="E51" s="614"/>
      <c r="F51" s="615"/>
      <c r="G51" s="616"/>
    </row>
    <row r="52" spans="1:7" ht="18.75" customHeight="1">
      <c r="A52" s="607"/>
      <c r="B52" s="590" t="s">
        <v>769</v>
      </c>
      <c r="C52" s="591"/>
      <c r="D52" s="592"/>
      <c r="E52" s="590" t="s">
        <v>127</v>
      </c>
      <c r="F52" s="591"/>
      <c r="G52" s="592"/>
    </row>
    <row r="53" spans="1:7" ht="18.75" customHeight="1">
      <c r="A53" s="607"/>
      <c r="B53" s="617" t="str">
        <f>IFERROR(IF(INDEX('Outcome Indicators - Section C '!H$1:H$100,MATCH($A49,'Outcome Indicators - Section C '!$A$1:$A$100,0))&lt;&gt;0,INDEX('Outcome Indicators - Section C '!H$1:H$100,MATCH($A49,'Outcome Indicators - Section C '!$A$1:$A$100,0)),""),"")</f>
        <v/>
      </c>
      <c r="C53" s="603"/>
      <c r="D53" s="604"/>
      <c r="E53" s="617" t="str">
        <f>IFERROR(IF(INDEX('Outcome Indicators - Section C '!J$9:J$38,MATCH($A49,'Outcome Indicators - Section C '!$A$9:$A$100,0))&lt;&gt;0,INDEX('Outcome Indicators - Section C '!J$9:J$38,MATCH($A49,'Outcome Indicators - Section C '!$A$9:$A$100,0)),""),"")</f>
        <v>Congo (Democratic Republic)</v>
      </c>
      <c r="F53" s="603"/>
      <c r="G53" s="604"/>
    </row>
    <row r="54" spans="1:7" ht="18.75" customHeight="1">
      <c r="A54" s="607"/>
      <c r="B54" s="590" t="s">
        <v>199</v>
      </c>
      <c r="C54" s="591"/>
      <c r="D54" s="592"/>
      <c r="E54" s="590" t="s">
        <v>120</v>
      </c>
      <c r="F54" s="591"/>
      <c r="G54" s="592"/>
    </row>
    <row r="55" spans="1:7" ht="18.75" customHeight="1">
      <c r="A55" s="607"/>
      <c r="B55" s="608" t="str">
        <f>IFERROR(IF(INDEX('Outcome Indicators - Section C '!G$1:G$100,MATCH($A49,'Outcome Indicators - Section C '!$A$1:$A$100,0))&lt;&gt;0,INDEX('Outcome Indicators - Section C '!G$1:G$100,MATCH($A49,'Outcome Indicators - Section C '!$A$1:$A$100,0)),""),"")</f>
        <v>WHO TB Global Report 2022</v>
      </c>
      <c r="C55" s="609"/>
      <c r="D55" s="610"/>
      <c r="E55" s="608" t="str">
        <f ca="1">IFERROR(IF(AND('Overview - Section A'!AS$1="Grant Making",OR(B49&lt;&gt;"",E49&lt;&gt;"")),Setup!I15,IF(INDEX('Outcome Indicators - Section C '!I$1:I$100,MATCH($A49,'Outcome Indicators - Section C '!$A$1:$A$100,0))&lt;&gt;0,INDEX('Outcome Indicators - Section C '!I$1:I$100,MATCH($A49,'Outcome Indicators - Section C '!$A$1:$A$100,0)),"")),"")</f>
        <v>Ministry of Public Health, Hygiene and Prevention</v>
      </c>
      <c r="F55" s="609"/>
      <c r="G55" s="610"/>
    </row>
    <row r="56" spans="1:7" ht="18.75" customHeight="1">
      <c r="A56" s="607"/>
      <c r="B56" s="614"/>
      <c r="C56" s="615"/>
      <c r="D56" s="616"/>
      <c r="E56" s="614"/>
      <c r="F56" s="615"/>
      <c r="G56" s="616"/>
    </row>
    <row r="57" spans="1:7" ht="18.75" customHeight="1">
      <c r="A57" s="607"/>
      <c r="B57" s="74"/>
      <c r="C57" s="59" t="s">
        <v>5052</v>
      </c>
      <c r="D57" s="590" t="s">
        <v>5053</v>
      </c>
      <c r="E57" s="591"/>
      <c r="F57" s="591"/>
      <c r="G57" s="592"/>
    </row>
    <row r="58" spans="1:7" ht="18.75" customHeight="1">
      <c r="A58" s="607"/>
      <c r="B58" s="74" t="s">
        <v>2589</v>
      </c>
      <c r="C58" s="75">
        <f>IFERROR(IF(INDEX('Outcome Indicators - Section C '!F$1:F$100,MATCH($A49,'Outcome Indicators - Section C '!$A$1:$A$100,0))&lt;&gt;0,INDEX('Outcome Indicators - Section C '!F$1:F$100,MATCH($A49,'Outcome Indicators - Section C '!$A$1:$A$100,0)),""),"")</f>
        <v>2021</v>
      </c>
      <c r="D58" s="59">
        <f ca="1">IFERROR(IF(YEAR(INDEX('Overview - Section A'!$A$47:$A$54,MATCH('Print - Summary'!$H$10,'Overview - Section A'!$B$47:$B$54,0)))&lt;=YEAR('Overview - Section A'!$E$8),YEAR(INDEX('Overview - Section A'!$A$47:$A$54,MATCH('Print - Summary'!$H$10,'Overview - Section A'!$B$47:$B$54,0))),""),"")</f>
        <v>2024</v>
      </c>
      <c r="E58" s="59">
        <f ca="1">IFERROR(IF(D58+1&lt;=YEAR('Overview - Section A'!$E$8),D58+1,""),"")</f>
        <v>2025</v>
      </c>
      <c r="F58" s="59">
        <f ca="1">IFERROR(IF(E58+1&lt;=YEAR('Overview - Section A'!$E$8),E58+1,""),"")</f>
        <v>2026</v>
      </c>
      <c r="G58" s="59" t="str">
        <f ca="1">IFERROR(IF(F58+1&lt;=YEAR('Overview - Section A'!$E$8),F58+1,""),"")</f>
        <v/>
      </c>
    </row>
    <row r="59" spans="1:7" s="81" customFormat="1" ht="18.75" customHeight="1">
      <c r="A59" s="607"/>
      <c r="B59" s="74" t="s">
        <v>5054</v>
      </c>
      <c r="C59" s="80" t="str">
        <f>IFERROR(IF(INDEX('Outcome Indicators - Section C '!D$1:D$100,MATCH($A49,'Outcome Indicators - Section C '!$A$1:$A$100,0))&lt;&gt;"",FIXED(INDEX('Outcome Indicators - Section C '!D$1:D$100,MATCH($A49,'Outcome Indicators - Section C '!$A$1:$A$100,0)),4),""),"")</f>
        <v/>
      </c>
      <c r="D59" s="80" t="str">
        <f ca="1">IFERROR(IF(INDEX('Outcome Indicators - Section C '!K$1:K$100,MATCH($A49,'Outcome Indicators - Section C '!$A$1:$A$100,0))&lt;&gt;"",FIXED(INDEX('Outcome Indicators - Section C '!K$1:K$100,MATCH($A49,'Outcome Indicators - Section C '!$A$1:$A$100,0)),4),""),"")</f>
        <v/>
      </c>
      <c r="E59" s="80" t="str">
        <f ca="1">IFERROR(IF(INDEX('Outcome Indicators - Section C '!O$1:O$100,MATCH($A49,'Outcome Indicators - Section C '!$A$1:$A$100,0))&lt;&gt;"",FIXED(INDEX('Outcome Indicators - Section C '!O$1:O$100,MATCH($A49,'Outcome Indicators - Section C '!$A$1:$A$100,0)),4),""),"")</f>
        <v/>
      </c>
      <c r="F59" s="80" t="str">
        <f ca="1">IFERROR(IF(INDEX('Outcome Indicators - Section C '!S$1:S$100,MATCH($A49,'Outcome Indicators - Section C '!$A$1:$A$100,0))&lt;&gt;"",FIXED(INDEX('Outcome Indicators - Section C '!S$1:S$100,MATCH($A49,'Outcome Indicators - Section C '!$A$1:$A$100,0)),4),""),"")</f>
        <v/>
      </c>
      <c r="G59" s="80" t="str">
        <f ca="1">IFERROR(IF(INDEX('Outcome Indicators - Section C '!W$1:W$100,MATCH($A49,'Outcome Indicators - Section C '!$A$1:$A$100,0))&lt;&gt;"",FIXED(INDEX('Outcome Indicators - Section C '!W$1:W$100,MATCH($A49,'Outcome Indicators - Section C '!$A$1:$A$100,0)),4),""),"")</f>
        <v/>
      </c>
    </row>
    <row r="60" spans="1:7" s="79" customFormat="1" ht="18.75" customHeight="1">
      <c r="A60" s="607"/>
      <c r="B60" s="74" t="s">
        <v>5055</v>
      </c>
      <c r="C60" s="78" t="str">
        <f>IFERROR(IF(INDEX('Outcome Indicators - Section C '!D$1:D$100,MATCH($A49,'Outcome Indicators - Section C '!$A$1:$A$100,0)+1)&lt;&gt;"",FIXED(INDEX('Outcome Indicators - Section C '!D$1:D$100,MATCH($A49,'Outcome Indicators - Section C '!$A$1:$A$100,0)+1),2),""),"")</f>
        <v/>
      </c>
      <c r="D60" s="78" t="str">
        <f ca="1">IFERROR(IF(INDEX('Outcome Indicators - Section C '!K$1:K$100,MATCH($A49,'Outcome Indicators - Section C '!$A$1:$A$100,0)+1)&lt;&gt;"",FIXED(INDEX('Outcome Indicators - Section C '!K$1:K$100,MATCH($A49,'Outcome Indicators - Section C '!$A$1:$A$100,0)+1),2),""),"")</f>
        <v/>
      </c>
      <c r="E60" s="78" t="str">
        <f ca="1">IFERROR(IF(INDEX('Outcome Indicators - Section C '!O$1:O$100,MATCH($A49,'Outcome Indicators - Section C '!$A$1:$A$100,0)+1)&lt;&gt;"",FIXED(INDEX('Outcome Indicators - Section C '!O$1:O$100,MATCH($A49,'Outcome Indicators - Section C '!$A$1:$A$100,0)+1),2),""),"")</f>
        <v/>
      </c>
      <c r="F60" s="78" t="str">
        <f ca="1">IFERROR(IF(INDEX('Outcome Indicators - Section C '!S$1:S$100,MATCH($A49,'Outcome Indicators - Section C '!$A$1:$A$100,0)+1)&lt;&gt;"",FIXED(INDEX('Outcome Indicators - Section C '!S$1:S$100,MATCH($A49,'Outcome Indicators - Section C '!$A$1:$A$100,0)+1),2),""),"")</f>
        <v/>
      </c>
      <c r="G60" s="78" t="str">
        <f ca="1">IFERROR(IF(INDEX('Outcome Indicators - Section C '!W$1:W$100,MATCH($A49,'Outcome Indicators - Section C '!$A$1:$A$100,0)+1)&lt;&gt;"",FIXED(INDEX('Outcome Indicators - Section C '!W$1:W$100,MATCH($A49,'Outcome Indicators - Section C '!$A$1:$A$100,0)+1),2),""),"")</f>
        <v/>
      </c>
    </row>
    <row r="61" spans="1:7" ht="18.75" customHeight="1">
      <c r="A61" s="607"/>
      <c r="B61" s="74" t="s">
        <v>5056</v>
      </c>
      <c r="C61" s="75" t="str">
        <f ca="1">IFERROR(IF(INDEX('Outcome Indicators - Section C '!E$1:E$100,MATCH($A49,'Outcome Indicators - Section C '!$A$1:$A$100,0))&lt;&gt;"",FIXED(INDEX('Outcome Indicators - Section C '!E$1:E$100,MATCH($A49,'Outcome Indicators - Section C '!$A$1:$A$100,0))*100,2)&amp;"%",""),"")</f>
        <v>94.00%</v>
      </c>
      <c r="D61" s="75" t="str">
        <f ca="1">IFERROR(IF(INDEX('Outcome Indicators - Section C '!L$1:L$100,MATCH($A49,'Outcome Indicators - Section C '!$A$1:$A$100,0))&lt;&gt;"",FIXED(INDEX('Outcome Indicators - Section C '!L$1:L$100,MATCH($A49,'Outcome Indicators - Section C '!$A$1:$A$100,0))*100,2)&amp;"%",""),"")&amp;CHAR(10)&amp;IFERROR(IF(INDEX('Outcome Indicators - Section C '!N$1:N$100,MATCH($A49,'Outcome Indicators - Section C '!$A$1:$A$100,0))&lt;&gt;"",INDEX('Outcome Indicators - Section C '!N$1:N$100,MATCH($A49,'Outcome Indicators - Section C '!$A$1:$A$100,0)),""),"")&amp;CHAR(10)&amp;IFERROR(IF(INDEX('Outcome Indicators - Section C '!M$1:M$100,MATCH($A49,'Outcome Indicators - Section C '!$A$1:$A$100,0))&lt;&gt;"",TEXT(INDEX('Outcome Indicators - Section C '!M$1:M$100,MATCH($A49,'Outcome Indicators - Section C '!$A$1:$A$100,0)),Setup!$A$33),""),"")</f>
        <v xml:space="preserve">95.00%
</v>
      </c>
      <c r="E61" s="75" t="str">
        <f ca="1">IFERROR(IF(INDEX('Outcome Indicators - Section C '!P$1:P$100,MATCH($A49,'Outcome Indicators - Section C '!$A$1:$A$100,0))&lt;&gt;"",FIXED(INDEX('Outcome Indicators - Section C '!P$1:P$100,MATCH($A49,'Outcome Indicators - Section C '!$A$1:$A$100,0))*100,2)&amp;"%",""),)&amp;CHAR(10)&amp;IFERROR(IF(INDEX('Outcome Indicators - Section C '!R$1:R$100,MATCH($A49,'Outcome Indicators - Section C '!$A$1:$A$100,0))&lt;&gt;"",INDEX('Outcome Indicators - Section C '!R$1:R$100,MATCH($A49,'Outcome Indicators - Section C '!$A$1:$A$100,0)),""),"")&amp;CHAR(10)&amp;IFERROR(IF(INDEX('Outcome Indicators - Section C '!Q$1:Q$100,MATCH($A49,'Outcome Indicators - Section C '!$A$1:$A$100,0))&lt;&gt;"",TEXT(INDEX('Outcome Indicators - Section C '!Q$1:Q$100,MATCH($A49,'Outcome Indicators - Section C '!$A$1:$A$100,0)),Setup!$A$33),""),"")</f>
        <v xml:space="preserve">95.00%
</v>
      </c>
      <c r="F61" s="75" t="str">
        <f ca="1">IFERROR(IF(INDEX('Outcome Indicators - Section C '!T$1:T$100,MATCH($A49,'Outcome Indicators - Section C '!$A$1:$A$100,0))&lt;&gt;"",FIXED(INDEX('Outcome Indicators - Section C '!T$1:T$100,MATCH($A49,'Outcome Indicators - Section C '!$A$1:$A$100,0))*100,2)&amp;"%",""),)&amp;CHAR(10)&amp;IFERROR(IF(INDEX('Outcome Indicators - Section C '!V$1:V$100,MATCH($A49,'Outcome Indicators - Section C '!$A$1:$A$100,0))&lt;&gt;"",INDEX('Outcome Indicators - Section C '!V$1:V$100,MATCH($A49,'Outcome Indicators - Section C '!$A$1:$A$100,0)),""),"")&amp;CHAR(10)&amp;IFERROR(IF(INDEX('Outcome Indicators - Section C '!U$1:U$100,MATCH($A49,'Outcome Indicators - Section C '!$A$1:$A$100,0))&lt;&gt;"",TEXT(INDEX('Outcome Indicators - Section C '!U$1:U$100,MATCH($A49,'Outcome Indicators - Section C '!$A$1:$A$100,0)),Setup!$A$33),""),"")</f>
        <v xml:space="preserve">95.00%
</v>
      </c>
      <c r="G61" s="75" t="str">
        <f ca="1">IFERROR(IF(INDEX('Outcome Indicators - Section C '!X$1:X$100,MATCH($A49,'Outcome Indicators - Section C '!$A$1:$A$100,0))&lt;&gt;"",FIXED(INDEX('Outcome Indicators - Section C '!X$1:X$100,MATCH($A49,'Outcome Indicators - Section C '!$A$1:$A$100,0))*100,2)&amp;"%",""),"")&amp;CHAR(10)&amp;IFERROR(IF(INDEX('Outcome Indicators - Section C '!Z$1:Z$100,MATCH($A49,'Outcome Indicators - Section C '!$A$1:$A$100,0))&lt;&gt;"",INDEX('Outcome Indicators - Section C '!Z$1:Z$100,MATCH($A49,'Outcome Indicators - Section C '!$A$1:$A$100,0)),""),"")&amp;CHAR(10)&amp;IFERROR(IF(INDEX('Outcome Indicators - Section C '!Y$1:Y$100,MATCH($A49,'Outcome Indicators - Section C '!$A$1:$A$100,0))&lt;&gt;"",TEXT(INDEX('Outcome Indicators - Section C '!Y$1:Y$100,MATCH($A49,'Outcome Indicators - Section C '!$A$1:$A$100,0)),Setup!$A$33),""),"")</f>
        <v xml:space="preserve">
</v>
      </c>
    </row>
    <row r="62" spans="1:7" ht="18.75" customHeight="1">
      <c r="A62" s="607"/>
      <c r="B62" s="590" t="s">
        <v>176</v>
      </c>
      <c r="C62" s="591"/>
      <c r="D62" s="591"/>
      <c r="E62" s="591"/>
      <c r="F62" s="591"/>
      <c r="G62" s="592"/>
    </row>
    <row r="63" spans="1:7" ht="18.75" customHeight="1">
      <c r="A63" s="607"/>
      <c r="B63" s="608" t="str">
        <f>IFERROR(IF(INDEX('Outcome Indicators - Section C '!AA$1:AA$100,MATCH($A49,'Outcome Indicators - Section C '!$A$1:$A$100,0))&lt;&gt;0,INDEX('Outcome Indicators - Section C '!AA$1:AA$100,MATCH($A49,'Outcome Indicators - Section C '!$A$1:$A$100,0)),""),"")</f>
        <v>The country has reported a 94% treatment success rate for susceptible TB. The efforts made in this application with the choice of a patient-centered approach, community involvement and decentralization of services will allow the country to reach at least the 95% therapeutic success rate of 2024-2026. (NSP Targets)</v>
      </c>
      <c r="C63" s="609"/>
      <c r="D63" s="609"/>
      <c r="E63" s="609"/>
      <c r="F63" s="609"/>
      <c r="G63" s="610"/>
    </row>
    <row r="64" spans="1:7" ht="18.75" customHeight="1">
      <c r="A64" s="607"/>
      <c r="B64" s="611"/>
      <c r="C64" s="612"/>
      <c r="D64" s="612"/>
      <c r="E64" s="612"/>
      <c r="F64" s="612"/>
      <c r="G64" s="613"/>
    </row>
    <row r="65" spans="1:7" ht="18.75" customHeight="1">
      <c r="A65" s="607"/>
      <c r="B65" s="611"/>
      <c r="C65" s="612"/>
      <c r="D65" s="612"/>
      <c r="E65" s="612"/>
      <c r="F65" s="612"/>
      <c r="G65" s="613"/>
    </row>
    <row r="66" spans="1:7" ht="18.75" customHeight="1">
      <c r="A66" s="607"/>
      <c r="B66" s="611"/>
      <c r="C66" s="612"/>
      <c r="D66" s="612"/>
      <c r="E66" s="612"/>
      <c r="F66" s="612"/>
      <c r="G66" s="613"/>
    </row>
    <row r="67" spans="1:7" ht="18.75" customHeight="1">
      <c r="A67" s="607"/>
      <c r="B67" s="611"/>
      <c r="C67" s="612"/>
      <c r="D67" s="612"/>
      <c r="E67" s="612"/>
      <c r="F67" s="612"/>
      <c r="G67" s="613"/>
    </row>
    <row r="68" spans="1:7" ht="18.75" customHeight="1">
      <c r="A68" s="607"/>
      <c r="B68" s="611"/>
      <c r="C68" s="612"/>
      <c r="D68" s="612"/>
      <c r="E68" s="612"/>
      <c r="F68" s="612"/>
      <c r="G68" s="613"/>
    </row>
    <row r="69" spans="1:7" ht="18.75" customHeight="1">
      <c r="A69" s="607"/>
      <c r="B69" s="611"/>
      <c r="C69" s="612"/>
      <c r="D69" s="612"/>
      <c r="E69" s="612"/>
      <c r="F69" s="612"/>
      <c r="G69" s="613"/>
    </row>
    <row r="70" spans="1:7" ht="18.75" customHeight="1">
      <c r="A70" s="607"/>
      <c r="B70" s="611"/>
      <c r="C70" s="612"/>
      <c r="D70" s="612"/>
      <c r="E70" s="612"/>
      <c r="F70" s="612"/>
      <c r="G70" s="613"/>
    </row>
    <row r="71" spans="1:7" ht="18.75" customHeight="1">
      <c r="A71" s="607"/>
      <c r="B71" s="611"/>
      <c r="C71" s="612"/>
      <c r="D71" s="612"/>
      <c r="E71" s="612"/>
      <c r="F71" s="612"/>
      <c r="G71" s="613"/>
    </row>
    <row r="72" spans="1:7" ht="18.75" customHeight="1">
      <c r="A72" s="624"/>
      <c r="B72" s="614"/>
      <c r="C72" s="615"/>
      <c r="D72" s="615"/>
      <c r="E72" s="615"/>
      <c r="F72" s="615"/>
      <c r="G72" s="616"/>
    </row>
    <row r="73" spans="1:7" ht="18.75" customHeight="1">
      <c r="A73" s="590"/>
      <c r="B73" s="591"/>
      <c r="C73" s="591"/>
      <c r="D73" s="591"/>
      <c r="E73" s="591"/>
      <c r="F73" s="591"/>
      <c r="G73" s="592"/>
    </row>
    <row r="75" spans="1:7" ht="18.75" customHeight="1">
      <c r="A75" s="73" t="s">
        <v>5051</v>
      </c>
      <c r="B75" s="590" t="s">
        <v>765</v>
      </c>
      <c r="C75" s="591"/>
      <c r="D75" s="592"/>
      <c r="E75" s="590" t="s">
        <v>766</v>
      </c>
      <c r="F75" s="591"/>
      <c r="G75" s="592"/>
    </row>
    <row r="76" spans="1:7" ht="18.75" customHeight="1">
      <c r="A76" s="606">
        <v>3</v>
      </c>
      <c r="B76" s="608" t="str">
        <f ca="1">IFERROR(IF(INDEX('Outcome Indicators - Section C '!B$1:B$100,MATCH($A76,'Outcome Indicators - Section C '!$A$1:$A$100,0))&lt;&gt;0,INDEX('Outcome Indicators - Section C '!B$1:B$100,MATCH($A76,'Outcome Indicators - Section C '!$A$1:$A$100,0)),""),"")</f>
        <v>TB O-6 Treatment coverage of RR-TB and/or MDR-TB: Percentage of notified people with bacteriologically confirmed, drug resistant RR-TB and/or MDR-TB as a proportion of all estimated people with RR-TB and/or MDR-TB</v>
      </c>
      <c r="C76" s="609"/>
      <c r="D76" s="610"/>
      <c r="E76" s="608" t="str">
        <f>IFERROR(IF(INDEX('Outcome Indicators - Section C '!C$1:C$100,MATCH($A76,'Outcome Indicators - Section C '!$A$1:$A$100,0))&lt;&gt;0,INDEX('Outcome Indicators - Section C '!C$1:C$100,MATCH($A76,'Outcome Indicators - Section C '!$A$1:$A$100,0)),""),"")</f>
        <v/>
      </c>
      <c r="F76" s="609"/>
      <c r="G76" s="610"/>
    </row>
    <row r="77" spans="1:7" ht="18.75" customHeight="1">
      <c r="A77" s="607"/>
      <c r="B77" s="611"/>
      <c r="C77" s="612"/>
      <c r="D77" s="613"/>
      <c r="E77" s="611"/>
      <c r="F77" s="612"/>
      <c r="G77" s="613"/>
    </row>
    <row r="78" spans="1:7" ht="18.75" customHeight="1">
      <c r="A78" s="607"/>
      <c r="B78" s="614"/>
      <c r="C78" s="615"/>
      <c r="D78" s="616"/>
      <c r="E78" s="614"/>
      <c r="F78" s="615"/>
      <c r="G78" s="616"/>
    </row>
    <row r="79" spans="1:7" ht="18.75" customHeight="1">
      <c r="A79" s="607"/>
      <c r="B79" s="590" t="s">
        <v>769</v>
      </c>
      <c r="C79" s="591"/>
      <c r="D79" s="592"/>
      <c r="E79" s="590" t="s">
        <v>127</v>
      </c>
      <c r="F79" s="591"/>
      <c r="G79" s="592"/>
    </row>
    <row r="80" spans="1:7" ht="18.75" customHeight="1">
      <c r="A80" s="607"/>
      <c r="B80" s="617" t="str">
        <f>IFERROR(IF(INDEX('Outcome Indicators - Section C '!H$1:H$100,MATCH($A76,'Outcome Indicators - Section C '!$A$1:$A$100,0))&lt;&gt;0,INDEX('Outcome Indicators - Section C '!H$1:H$100,MATCH($A76,'Outcome Indicators - Section C '!$A$1:$A$100,0)),""),"")</f>
        <v/>
      </c>
      <c r="C80" s="603"/>
      <c r="D80" s="604"/>
      <c r="E80" s="617" t="str">
        <f>IFERROR(IF(INDEX('Outcome Indicators - Section C '!J$9:J$38,MATCH($A76,'Outcome Indicators - Section C '!$A$9:$A$100,0))&lt;&gt;0,INDEX('Outcome Indicators - Section C '!J$9:J$38,MATCH($A76,'Outcome Indicators - Section C '!$A$9:$A$100,0)),""),"")</f>
        <v>Congo (Democratic Republic)</v>
      </c>
      <c r="F80" s="603"/>
      <c r="G80" s="604"/>
    </row>
    <row r="81" spans="1:7" ht="18.75" customHeight="1">
      <c r="A81" s="607"/>
      <c r="B81" s="590" t="s">
        <v>199</v>
      </c>
      <c r="C81" s="591"/>
      <c r="D81" s="592"/>
      <c r="E81" s="590" t="s">
        <v>120</v>
      </c>
      <c r="F81" s="591"/>
      <c r="G81" s="592"/>
    </row>
    <row r="82" spans="1:7" ht="18.75" customHeight="1">
      <c r="A82" s="607"/>
      <c r="B82" s="608" t="str">
        <f>IFERROR(IF(INDEX('Outcome Indicators - Section C '!G$1:G$100,MATCH($A76,'Outcome Indicators - Section C '!$A$1:$A$100,0))&lt;&gt;0,INDEX('Outcome Indicators - Section C '!G$1:G$100,MATCH($A76,'Outcome Indicators - Section C '!$A$1:$A$100,0)),""),"")</f>
        <v>WHO TB Global Report 2022</v>
      </c>
      <c r="C82" s="609"/>
      <c r="D82" s="610"/>
      <c r="E82" s="608" t="str">
        <f ca="1">IFERROR(IF(AND('Overview - Section A'!AS$1="Grant Making",OR(B76&lt;&gt;"",E76&lt;&gt;"")),Setup!I15,IF(INDEX('Outcome Indicators - Section C '!I$1:I$100,MATCH($A76,'Outcome Indicators - Section C '!$A$1:$A$100,0))&lt;&gt;0,INDEX('Outcome Indicators - Section C '!I$1:I$100,MATCH($A76,'Outcome Indicators - Section C '!$A$1:$A$100,0)),"")),"")</f>
        <v>Ministry of Public Health, Hygiene and Prevention</v>
      </c>
      <c r="F82" s="609"/>
      <c r="G82" s="610"/>
    </row>
    <row r="83" spans="1:7" ht="18.75" customHeight="1">
      <c r="A83" s="607"/>
      <c r="B83" s="614"/>
      <c r="C83" s="615"/>
      <c r="D83" s="616"/>
      <c r="E83" s="614"/>
      <c r="F83" s="615"/>
      <c r="G83" s="616"/>
    </row>
    <row r="84" spans="1:7" ht="18.75" customHeight="1">
      <c r="A84" s="607"/>
      <c r="B84" s="74"/>
      <c r="C84" s="59" t="s">
        <v>5052</v>
      </c>
      <c r="D84" s="590" t="s">
        <v>5053</v>
      </c>
      <c r="E84" s="591"/>
      <c r="F84" s="591"/>
      <c r="G84" s="592"/>
    </row>
    <row r="85" spans="1:7" ht="18.75" customHeight="1">
      <c r="A85" s="607"/>
      <c r="B85" s="74" t="s">
        <v>2589</v>
      </c>
      <c r="C85" s="75">
        <f>IFERROR(IF(INDEX('Outcome Indicators - Section C '!F$1:F$100,MATCH($A76,'Outcome Indicators - Section C '!$A$1:$A$100,0))&lt;&gt;0,INDEX('Outcome Indicators - Section C '!F$1:F$100,MATCH($A76,'Outcome Indicators - Section C '!$A$1:$A$100,0)),""),"")</f>
        <v>2021</v>
      </c>
      <c r="D85" s="59">
        <f ca="1">IFERROR(IF(YEAR(INDEX('Overview - Section A'!$A$47:$A$54,MATCH('Print - Summary'!$H$10,'Overview - Section A'!$B$47:$B$54,0)))&lt;=YEAR('Overview - Section A'!$E$8),YEAR(INDEX('Overview - Section A'!$A$47:$A$54,MATCH('Print - Summary'!$H$10,'Overview - Section A'!$B$47:$B$54,0))),""),"")</f>
        <v>2024</v>
      </c>
      <c r="E85" s="59">
        <f ca="1">IFERROR(IF(D85+1&lt;=YEAR('Overview - Section A'!$E$8),D85+1,""),"")</f>
        <v>2025</v>
      </c>
      <c r="F85" s="59">
        <f ca="1">IFERROR(IF(E85+1&lt;=YEAR('Overview - Section A'!$E$8),E85+1,""),"")</f>
        <v>2026</v>
      </c>
      <c r="G85" s="59" t="str">
        <f ca="1">IFERROR(IF(F85+1&lt;=YEAR('Overview - Section A'!$E$8),F85+1,""),"")</f>
        <v/>
      </c>
    </row>
    <row r="86" spans="1:7" s="81" customFormat="1" ht="18.75" customHeight="1">
      <c r="A86" s="607"/>
      <c r="B86" s="74" t="s">
        <v>5054</v>
      </c>
      <c r="C86" s="80" t="str">
        <f>IFERROR(IF(INDEX('Outcome Indicators - Section C '!D$1:D$100,MATCH($A76,'Outcome Indicators - Section C '!$A$1:$A$100,0))&lt;&gt;"",FIXED(INDEX('Outcome Indicators - Section C '!D$1:D$100,MATCH($A76,'Outcome Indicators - Section C '!$A$1:$A$100,0)),4),""),"")</f>
        <v/>
      </c>
      <c r="D86" s="80" t="str">
        <f ca="1">IFERROR(IF(INDEX('Outcome Indicators - Section C '!K$1:K$100,MATCH($A76,'Outcome Indicators - Section C '!$A$1:$A$100,0))&lt;&gt;"",FIXED(INDEX('Outcome Indicators - Section C '!K$1:K$100,MATCH($A76,'Outcome Indicators - Section C '!$A$1:$A$100,0)),4),""),"")</f>
        <v/>
      </c>
      <c r="E86" s="80" t="str">
        <f ca="1">IFERROR(IF(INDEX('Outcome Indicators - Section C '!O$1:O$100,MATCH($A76,'Outcome Indicators - Section C '!$A$1:$A$100,0))&lt;&gt;"",FIXED(INDEX('Outcome Indicators - Section C '!O$1:O$100,MATCH($A76,'Outcome Indicators - Section C '!$A$1:$A$100,0)),4),""),"")</f>
        <v/>
      </c>
      <c r="F86" s="80" t="str">
        <f ca="1">IFERROR(IF(INDEX('Outcome Indicators - Section C '!S$1:S$100,MATCH($A76,'Outcome Indicators - Section C '!$A$1:$A$100,0))&lt;&gt;"",FIXED(INDEX('Outcome Indicators - Section C '!S$1:S$100,MATCH($A76,'Outcome Indicators - Section C '!$A$1:$A$100,0)),4),""),"")</f>
        <v/>
      </c>
      <c r="G86" s="80" t="str">
        <f ca="1">IFERROR(IF(INDEX('Outcome Indicators - Section C '!W$1:W$100,MATCH($A76,'Outcome Indicators - Section C '!$A$1:$A$100,0))&lt;&gt;"",FIXED(INDEX('Outcome Indicators - Section C '!W$1:W$100,MATCH($A76,'Outcome Indicators - Section C '!$A$1:$A$100,0)),4),""),"")</f>
        <v/>
      </c>
    </row>
    <row r="87" spans="1:7" s="79" customFormat="1" ht="18.75" customHeight="1">
      <c r="A87" s="607"/>
      <c r="B87" s="74" t="s">
        <v>5055</v>
      </c>
      <c r="C87" s="78" t="str">
        <f>IFERROR(IF(INDEX('Outcome Indicators - Section C '!D$1:D$100,MATCH($A76,'Outcome Indicators - Section C '!$A$1:$A$100,0)+1)&lt;&gt;"",FIXED(INDEX('Outcome Indicators - Section C '!D$1:D$100,MATCH($A76,'Outcome Indicators - Section C '!$A$1:$A$100,0)+1),2),""),"")</f>
        <v/>
      </c>
      <c r="D87" s="78" t="str">
        <f ca="1">IFERROR(IF(INDEX('Outcome Indicators - Section C '!K$1:K$100,MATCH($A76,'Outcome Indicators - Section C '!$A$1:$A$100,0)+1)&lt;&gt;"",FIXED(INDEX('Outcome Indicators - Section C '!K$1:K$100,MATCH($A76,'Outcome Indicators - Section C '!$A$1:$A$100,0)+1),2),""),"")</f>
        <v/>
      </c>
      <c r="E87" s="78" t="str">
        <f ca="1">IFERROR(IF(INDEX('Outcome Indicators - Section C '!O$1:O$100,MATCH($A76,'Outcome Indicators - Section C '!$A$1:$A$100,0)+1)&lt;&gt;"",FIXED(INDEX('Outcome Indicators - Section C '!O$1:O$100,MATCH($A76,'Outcome Indicators - Section C '!$A$1:$A$100,0)+1),2),""),"")</f>
        <v/>
      </c>
      <c r="F87" s="78" t="str">
        <f ca="1">IFERROR(IF(INDEX('Outcome Indicators - Section C '!S$1:S$100,MATCH($A76,'Outcome Indicators - Section C '!$A$1:$A$100,0)+1)&lt;&gt;"",FIXED(INDEX('Outcome Indicators - Section C '!S$1:S$100,MATCH($A76,'Outcome Indicators - Section C '!$A$1:$A$100,0)+1),2),""),"")</f>
        <v/>
      </c>
      <c r="G87" s="78" t="str">
        <f ca="1">IFERROR(IF(INDEX('Outcome Indicators - Section C '!W$1:W$100,MATCH($A76,'Outcome Indicators - Section C '!$A$1:$A$100,0)+1)&lt;&gt;"",FIXED(INDEX('Outcome Indicators - Section C '!W$1:W$100,MATCH($A76,'Outcome Indicators - Section C '!$A$1:$A$100,0)+1),2),""),"")</f>
        <v/>
      </c>
    </row>
    <row r="88" spans="1:7" ht="18.75" customHeight="1">
      <c r="A88" s="607"/>
      <c r="B88" s="74" t="s">
        <v>5056</v>
      </c>
      <c r="C88" s="75" t="str">
        <f ca="1">IFERROR(IF(INDEX('Outcome Indicators - Section C '!E$1:E$100,MATCH($A76,'Outcome Indicators - Section C '!$A$1:$A$100,0))&lt;&gt;"",FIXED(INDEX('Outcome Indicators - Section C '!E$1:E$100,MATCH($A76,'Outcome Indicators - Section C '!$A$1:$A$100,0))*100,2)&amp;"%",""),"")</f>
        <v>19.00%</v>
      </c>
      <c r="D88" s="75" t="str">
        <f ca="1">IFERROR(IF(INDEX('Outcome Indicators - Section C '!L$1:L$100,MATCH($A76,'Outcome Indicators - Section C '!$A$1:$A$100,0))&lt;&gt;"",FIXED(INDEX('Outcome Indicators - Section C '!L$1:L$100,MATCH($A76,'Outcome Indicators - Section C '!$A$1:$A$100,0))*100,2)&amp;"%",""),"")&amp;CHAR(10)&amp;IFERROR(IF(INDEX('Outcome Indicators - Section C '!N$1:N$100,MATCH($A76,'Outcome Indicators - Section C '!$A$1:$A$100,0))&lt;&gt;"",INDEX('Outcome Indicators - Section C '!N$1:N$100,MATCH($A76,'Outcome Indicators - Section C '!$A$1:$A$100,0)),""),"")&amp;CHAR(10)&amp;IFERROR(IF(INDEX('Outcome Indicators - Section C '!M$1:M$100,MATCH($A76,'Outcome Indicators - Section C '!$A$1:$A$100,0))&lt;&gt;"",TEXT(INDEX('Outcome Indicators - Section C '!M$1:M$100,MATCH($A76,'Outcome Indicators - Section C '!$A$1:$A$100,0)),Setup!$A$33),""),"")</f>
        <v xml:space="preserve">33.00%
</v>
      </c>
      <c r="E88" s="75" t="str">
        <f ca="1">IFERROR(IF(INDEX('Outcome Indicators - Section C '!P$1:P$100,MATCH($A76,'Outcome Indicators - Section C '!$A$1:$A$100,0))&lt;&gt;"",FIXED(INDEX('Outcome Indicators - Section C '!P$1:P$100,MATCH($A76,'Outcome Indicators - Section C '!$A$1:$A$100,0))*100,2)&amp;"%",""),)&amp;CHAR(10)&amp;IFERROR(IF(INDEX('Outcome Indicators - Section C '!R$1:R$100,MATCH($A76,'Outcome Indicators - Section C '!$A$1:$A$100,0))&lt;&gt;"",INDEX('Outcome Indicators - Section C '!R$1:R$100,MATCH($A76,'Outcome Indicators - Section C '!$A$1:$A$100,0)),""),"")&amp;CHAR(10)&amp;IFERROR(IF(INDEX('Outcome Indicators - Section C '!Q$1:Q$100,MATCH($A76,'Outcome Indicators - Section C '!$A$1:$A$100,0))&lt;&gt;"",TEXT(INDEX('Outcome Indicators - Section C '!Q$1:Q$100,MATCH($A76,'Outcome Indicators - Section C '!$A$1:$A$100,0)),Setup!$A$33),""),"")</f>
        <v xml:space="preserve">40.00%
</v>
      </c>
      <c r="F88" s="75" t="str">
        <f ca="1">IFERROR(IF(INDEX('Outcome Indicators - Section C '!T$1:T$100,MATCH($A76,'Outcome Indicators - Section C '!$A$1:$A$100,0))&lt;&gt;"",FIXED(INDEX('Outcome Indicators - Section C '!T$1:T$100,MATCH($A76,'Outcome Indicators - Section C '!$A$1:$A$100,0))*100,2)&amp;"%",""),)&amp;CHAR(10)&amp;IFERROR(IF(INDEX('Outcome Indicators - Section C '!V$1:V$100,MATCH($A76,'Outcome Indicators - Section C '!$A$1:$A$100,0))&lt;&gt;"",INDEX('Outcome Indicators - Section C '!V$1:V$100,MATCH($A76,'Outcome Indicators - Section C '!$A$1:$A$100,0)),""),"")&amp;CHAR(10)&amp;IFERROR(IF(INDEX('Outcome Indicators - Section C '!U$1:U$100,MATCH($A76,'Outcome Indicators - Section C '!$A$1:$A$100,0))&lt;&gt;"",TEXT(INDEX('Outcome Indicators - Section C '!U$1:U$100,MATCH($A76,'Outcome Indicators - Section C '!$A$1:$A$100,0)),Setup!$A$33),""),"")</f>
        <v xml:space="preserve">50.00%
</v>
      </c>
      <c r="G88" s="75" t="str">
        <f ca="1">IFERROR(IF(INDEX('Outcome Indicators - Section C '!X$1:X$100,MATCH($A76,'Outcome Indicators - Section C '!$A$1:$A$100,0))&lt;&gt;"",FIXED(INDEX('Outcome Indicators - Section C '!X$1:X$100,MATCH($A76,'Outcome Indicators - Section C '!$A$1:$A$100,0))*100,2)&amp;"%",""),"")&amp;CHAR(10)&amp;IFERROR(IF(INDEX('Outcome Indicators - Section C '!Z$1:Z$100,MATCH($A76,'Outcome Indicators - Section C '!$A$1:$A$100,0))&lt;&gt;"",INDEX('Outcome Indicators - Section C '!Z$1:Z$100,MATCH($A76,'Outcome Indicators - Section C '!$A$1:$A$100,0)),""),"")&amp;CHAR(10)&amp;IFERROR(IF(INDEX('Outcome Indicators - Section C '!Y$1:Y$100,MATCH($A76,'Outcome Indicators - Section C '!$A$1:$A$100,0))&lt;&gt;"",TEXT(INDEX('Outcome Indicators - Section C '!Y$1:Y$100,MATCH($A76,'Outcome Indicators - Section C '!$A$1:$A$100,0)),Setup!$A$33),""),"")</f>
        <v xml:space="preserve">
</v>
      </c>
    </row>
    <row r="89" spans="1:7" ht="18.75" customHeight="1">
      <c r="A89" s="607"/>
      <c r="B89" s="590" t="s">
        <v>176</v>
      </c>
      <c r="C89" s="591"/>
      <c r="D89" s="591"/>
      <c r="E89" s="591"/>
      <c r="F89" s="591"/>
      <c r="G89" s="592"/>
    </row>
    <row r="90" spans="1:7" ht="18.75" customHeight="1">
      <c r="A90" s="607"/>
      <c r="B90" s="608" t="str">
        <f>IFERROR(IF(INDEX('Outcome Indicators - Section C '!AA$1:AA$100,MATCH($A76,'Outcome Indicators - Section C '!$A$1:$A$100,0))&lt;&gt;0,INDEX('Outcome Indicators - Section C '!AA$1:AA$100,MATCH($A76,'Outcome Indicators - Section C '!$A$1:$A$100,0)),""),"")</f>
        <v>Apart from the WHO TB-PR targets expected in the country, the NTP has calculated the number of cases expected among the notified cases. This calculation takes into account the prevalence of MDR-TB resistance among new cases (1.6%) and retreatments (20%) and the strategy of universal screening using rifampicin resistance diagnostic tests such as GeneXpert. This trend will be maintained by the NTP until the results of the drug resistance survey are available in 2023. The laboratory results showed that the Xpert test was widely used for reprocessing (81% in 2021). For new cases, the rate of Xpert testing has steadily increased from 9.1% in 2020 to 22% in 2021 (WHO Global TB report 2022). Following this reasoning, the expected number of PR-TB cases among notified cases would be 3547 in 2024, 3981 in 2025, and 4515 in 2026. The results of the NTP showed a capacity to cover 44.3% of the identified MDR-TB cases among notified patients in 2021 (NC + retreatment). With the activities of the MDR-TB acceleration plan, the Xpert test in 1st line and the Xpert testing strategy for all detected TB+ cases, an annual progression of 10% is expected to reach in 2026 90% of MDR-TB cases identified among notified cases. These targets are aligned with those of the performance framework of the new NSP.</v>
      </c>
      <c r="C90" s="609"/>
      <c r="D90" s="609"/>
      <c r="E90" s="609"/>
      <c r="F90" s="609"/>
      <c r="G90" s="610"/>
    </row>
    <row r="91" spans="1:7" ht="18.75" customHeight="1">
      <c r="A91" s="607"/>
      <c r="B91" s="611"/>
      <c r="C91" s="612"/>
      <c r="D91" s="612"/>
      <c r="E91" s="612"/>
      <c r="F91" s="612"/>
      <c r="G91" s="613"/>
    </row>
    <row r="92" spans="1:7" ht="18.75" customHeight="1">
      <c r="A92" s="607"/>
      <c r="B92" s="611"/>
      <c r="C92" s="612"/>
      <c r="D92" s="612"/>
      <c r="E92" s="612"/>
      <c r="F92" s="612"/>
      <c r="G92" s="613"/>
    </row>
    <row r="93" spans="1:7" ht="18.75" customHeight="1">
      <c r="A93" s="607"/>
      <c r="B93" s="611"/>
      <c r="C93" s="612"/>
      <c r="D93" s="612"/>
      <c r="E93" s="612"/>
      <c r="F93" s="612"/>
      <c r="G93" s="613"/>
    </row>
    <row r="94" spans="1:7" ht="18.75" customHeight="1">
      <c r="A94" s="607"/>
      <c r="B94" s="611"/>
      <c r="C94" s="612"/>
      <c r="D94" s="612"/>
      <c r="E94" s="612"/>
      <c r="F94" s="612"/>
      <c r="G94" s="613"/>
    </row>
    <row r="95" spans="1:7" ht="18.75" customHeight="1">
      <c r="A95" s="607"/>
      <c r="B95" s="611"/>
      <c r="C95" s="612"/>
      <c r="D95" s="612"/>
      <c r="E95" s="612"/>
      <c r="F95" s="612"/>
      <c r="G95" s="613"/>
    </row>
    <row r="96" spans="1:7" ht="18.75" customHeight="1">
      <c r="A96" s="607"/>
      <c r="B96" s="611"/>
      <c r="C96" s="612"/>
      <c r="D96" s="612"/>
      <c r="E96" s="612"/>
      <c r="F96" s="612"/>
      <c r="G96" s="613"/>
    </row>
    <row r="97" spans="1:7" ht="18.75" customHeight="1">
      <c r="A97" s="607"/>
      <c r="B97" s="611"/>
      <c r="C97" s="612"/>
      <c r="D97" s="612"/>
      <c r="E97" s="612"/>
      <c r="F97" s="612"/>
      <c r="G97" s="613"/>
    </row>
    <row r="98" spans="1:7" ht="18.75" customHeight="1">
      <c r="A98" s="607"/>
      <c r="B98" s="611"/>
      <c r="C98" s="612"/>
      <c r="D98" s="612"/>
      <c r="E98" s="612"/>
      <c r="F98" s="612"/>
      <c r="G98" s="613"/>
    </row>
    <row r="99" spans="1:7" ht="18.75" customHeight="1">
      <c r="A99" s="624"/>
      <c r="B99" s="614"/>
      <c r="C99" s="615"/>
      <c r="D99" s="615"/>
      <c r="E99" s="615"/>
      <c r="F99" s="615"/>
      <c r="G99" s="616"/>
    </row>
    <row r="100" spans="1:7" ht="18.75" customHeight="1">
      <c r="A100" s="590"/>
      <c r="B100" s="591"/>
      <c r="C100" s="591"/>
      <c r="D100" s="591"/>
      <c r="E100" s="591"/>
      <c r="F100" s="591"/>
      <c r="G100" s="592"/>
    </row>
    <row r="102" spans="1:7" ht="18.75" customHeight="1">
      <c r="A102" s="73" t="s">
        <v>5051</v>
      </c>
      <c r="B102" s="590" t="s">
        <v>765</v>
      </c>
      <c r="C102" s="591"/>
      <c r="D102" s="592"/>
      <c r="E102" s="590" t="s">
        <v>766</v>
      </c>
      <c r="F102" s="591"/>
      <c r="G102" s="592"/>
    </row>
    <row r="103" spans="1:7" ht="18.75" customHeight="1">
      <c r="A103" s="606">
        <v>4</v>
      </c>
      <c r="B103" s="608" t="str">
        <f ca="1">IFERROR(IF(INDEX('Outcome Indicators - Section C '!B$1:B$100,MATCH($A103,'Outcome Indicators - Section C '!$A$1:$A$100,0))&lt;&gt;0,INDEX('Outcome Indicators - Section C '!B$1:B$100,MATCH($A103,'Outcome Indicators - Section C '!$A$1:$A$100,0)),""),"")</f>
        <v>TB O-4 Treatment success rate of RR-TB and/or MDR-TB: Percentage of patients with RR and/or MDR-TB successfully treated</v>
      </c>
      <c r="C103" s="609"/>
      <c r="D103" s="610"/>
      <c r="E103" s="608" t="str">
        <f>IFERROR(IF(INDEX('Outcome Indicators - Section C '!C$1:C$100,MATCH($A103,'Outcome Indicators - Section C '!$A$1:$A$100,0))&lt;&gt;0,INDEX('Outcome Indicators - Section C '!C$1:C$100,MATCH($A103,'Outcome Indicators - Section C '!$A$1:$A$100,0)),""),"")</f>
        <v/>
      </c>
      <c r="F103" s="609"/>
      <c r="G103" s="610"/>
    </row>
    <row r="104" spans="1:7" ht="18.75" customHeight="1">
      <c r="A104" s="607"/>
      <c r="B104" s="611"/>
      <c r="C104" s="612"/>
      <c r="D104" s="613"/>
      <c r="E104" s="611"/>
      <c r="F104" s="612"/>
      <c r="G104" s="613"/>
    </row>
    <row r="105" spans="1:7" ht="18.75" customHeight="1">
      <c r="A105" s="607"/>
      <c r="B105" s="614"/>
      <c r="C105" s="615"/>
      <c r="D105" s="616"/>
      <c r="E105" s="614"/>
      <c r="F105" s="615"/>
      <c r="G105" s="616"/>
    </row>
    <row r="106" spans="1:7" ht="18.75" customHeight="1">
      <c r="A106" s="607"/>
      <c r="B106" s="590" t="s">
        <v>769</v>
      </c>
      <c r="C106" s="591"/>
      <c r="D106" s="592"/>
      <c r="E106" s="590" t="s">
        <v>127</v>
      </c>
      <c r="F106" s="591"/>
      <c r="G106" s="592"/>
    </row>
    <row r="107" spans="1:7" ht="18.75" customHeight="1">
      <c r="A107" s="607"/>
      <c r="B107" s="617" t="str">
        <f>IFERROR(IF(INDEX('Outcome Indicators - Section C '!H$1:H$100,MATCH($A103,'Outcome Indicators - Section C '!$A$1:$A$100,0))&lt;&gt;0,INDEX('Outcome Indicators - Section C '!H$1:H$100,MATCH($A103,'Outcome Indicators - Section C '!$A$1:$A$100,0)),""),"")</f>
        <v/>
      </c>
      <c r="C107" s="603"/>
      <c r="D107" s="604"/>
      <c r="E107" s="617" t="str">
        <f>IFERROR(IF(INDEX('Outcome Indicators - Section C '!J$9:J$38,MATCH($A103,'Outcome Indicators - Section C '!$A$9:$A$100,0))&lt;&gt;0,INDEX('Outcome Indicators - Section C '!J$9:J$38,MATCH($A103,'Outcome Indicators - Section C '!$A$9:$A$100,0)),""),"")</f>
        <v>Congo (Democratic Republic)</v>
      </c>
      <c r="F107" s="603"/>
      <c r="G107" s="604"/>
    </row>
    <row r="108" spans="1:7" ht="18.75" customHeight="1">
      <c r="A108" s="607"/>
      <c r="B108" s="590" t="s">
        <v>199</v>
      </c>
      <c r="C108" s="591"/>
      <c r="D108" s="592"/>
      <c r="E108" s="590" t="s">
        <v>120</v>
      </c>
      <c r="F108" s="591"/>
      <c r="G108" s="592"/>
    </row>
    <row r="109" spans="1:7" ht="18.75" customHeight="1">
      <c r="A109" s="607"/>
      <c r="B109" s="608" t="str">
        <f>IFERROR(IF(INDEX('Outcome Indicators - Section C '!G$1:G$100,MATCH($A103,'Outcome Indicators - Section C '!$A$1:$A$100,0))&lt;&gt;0,INDEX('Outcome Indicators - Section C '!G$1:G$100,MATCH($A103,'Outcome Indicators - Section C '!$A$1:$A$100,0)),""),"")</f>
        <v>WHO TB Global Report 2022</v>
      </c>
      <c r="C109" s="609"/>
      <c r="D109" s="610"/>
      <c r="E109" s="608" t="str">
        <f ca="1">IFERROR(IF(AND('Overview - Section A'!AS$1="Grant Making",OR(B103&lt;&gt;"",E103&lt;&gt;"")),Setup!I15,IF(INDEX('Outcome Indicators - Section C '!I$1:I$100,MATCH($A103,'Outcome Indicators - Section C '!$A$1:$A$100,0))&lt;&gt;0,INDEX('Outcome Indicators - Section C '!I$1:I$100,MATCH($A103,'Outcome Indicators - Section C '!$A$1:$A$100,0)),"")),"")</f>
        <v>Ministry of Public Health, Hygiene and Prevention</v>
      </c>
      <c r="F109" s="609"/>
      <c r="G109" s="610"/>
    </row>
    <row r="110" spans="1:7" ht="18.75" customHeight="1">
      <c r="A110" s="607"/>
      <c r="B110" s="614"/>
      <c r="C110" s="615"/>
      <c r="D110" s="616"/>
      <c r="E110" s="614"/>
      <c r="F110" s="615"/>
      <c r="G110" s="616"/>
    </row>
    <row r="111" spans="1:7" ht="18.75" customHeight="1">
      <c r="A111" s="607"/>
      <c r="B111" s="74"/>
      <c r="C111" s="59" t="s">
        <v>5052</v>
      </c>
      <c r="D111" s="590" t="s">
        <v>5053</v>
      </c>
      <c r="E111" s="591"/>
      <c r="F111" s="591"/>
      <c r="G111" s="592"/>
    </row>
    <row r="112" spans="1:7" ht="18.75" customHeight="1">
      <c r="A112" s="607"/>
      <c r="B112" s="74" t="s">
        <v>2589</v>
      </c>
      <c r="C112" s="75">
        <f>IFERROR(IF(INDEX('Outcome Indicators - Section C '!F$1:F$100,MATCH($A103,'Outcome Indicators - Section C '!$A$1:$A$100,0))&lt;&gt;0,INDEX('Outcome Indicators - Section C '!F$1:F$100,MATCH($A103,'Outcome Indicators - Section C '!$A$1:$A$100,0)),""),"")</f>
        <v>2021</v>
      </c>
      <c r="D112" s="59">
        <f ca="1">IFERROR(IF(YEAR(INDEX('Overview - Section A'!$A$47:$A$54,MATCH('Print - Summary'!$H$10,'Overview - Section A'!$B$47:$B$54,0)))&lt;=YEAR('Overview - Section A'!$E$8),YEAR(INDEX('Overview - Section A'!$A$47:$A$54,MATCH('Print - Summary'!$H$10,'Overview - Section A'!$B$47:$B$54,0))),""),"")</f>
        <v>2024</v>
      </c>
      <c r="E112" s="59">
        <f ca="1">IFERROR(IF(D112+1&lt;=YEAR('Overview - Section A'!$E$8),D112+1,""),"")</f>
        <v>2025</v>
      </c>
      <c r="F112" s="59">
        <f ca="1">IFERROR(IF(E112+1&lt;=YEAR('Overview - Section A'!$E$8),E112+1,""),"")</f>
        <v>2026</v>
      </c>
      <c r="G112" s="59" t="str">
        <f ca="1">IFERROR(IF(F112+1&lt;=YEAR('Overview - Section A'!$E$8),F112+1,""),"")</f>
        <v/>
      </c>
    </row>
    <row r="113" spans="1:7" s="81" customFormat="1" ht="18.75" customHeight="1">
      <c r="A113" s="607"/>
      <c r="B113" s="74" t="s">
        <v>5054</v>
      </c>
      <c r="C113" s="80" t="str">
        <f>IFERROR(IF(INDEX('Outcome Indicators - Section C '!D$1:D$100,MATCH($A103,'Outcome Indicators - Section C '!$A$1:$A$100,0))&lt;&gt;"",FIXED(INDEX('Outcome Indicators - Section C '!D$1:D$100,MATCH($A103,'Outcome Indicators - Section C '!$A$1:$A$100,0)),4),""),"")</f>
        <v/>
      </c>
      <c r="D113" s="80" t="str">
        <f ca="1">IFERROR(IF(INDEX('Outcome Indicators - Section C '!K$1:K$100,MATCH($A103,'Outcome Indicators - Section C '!$A$1:$A$100,0))&lt;&gt;"",FIXED(INDEX('Outcome Indicators - Section C '!K$1:K$100,MATCH($A103,'Outcome Indicators - Section C '!$A$1:$A$100,0)),4),""),"")</f>
        <v/>
      </c>
      <c r="E113" s="80" t="str">
        <f ca="1">IFERROR(IF(INDEX('Outcome Indicators - Section C '!O$1:O$100,MATCH($A103,'Outcome Indicators - Section C '!$A$1:$A$100,0))&lt;&gt;"",FIXED(INDEX('Outcome Indicators - Section C '!O$1:O$100,MATCH($A103,'Outcome Indicators - Section C '!$A$1:$A$100,0)),4),""),"")</f>
        <v/>
      </c>
      <c r="F113" s="80" t="str">
        <f ca="1">IFERROR(IF(INDEX('Outcome Indicators - Section C '!S$1:S$100,MATCH($A103,'Outcome Indicators - Section C '!$A$1:$A$100,0))&lt;&gt;"",FIXED(INDEX('Outcome Indicators - Section C '!S$1:S$100,MATCH($A103,'Outcome Indicators - Section C '!$A$1:$A$100,0)),4),""),"")</f>
        <v/>
      </c>
      <c r="G113" s="80" t="str">
        <f ca="1">IFERROR(IF(INDEX('Outcome Indicators - Section C '!W$1:W$100,MATCH($A103,'Outcome Indicators - Section C '!$A$1:$A$100,0))&lt;&gt;"",FIXED(INDEX('Outcome Indicators - Section C '!W$1:W$100,MATCH($A103,'Outcome Indicators - Section C '!$A$1:$A$100,0)),4),""),"")</f>
        <v/>
      </c>
    </row>
    <row r="114" spans="1:7" s="79" customFormat="1" ht="18.75" customHeight="1">
      <c r="A114" s="607"/>
      <c r="B114" s="74" t="s">
        <v>5055</v>
      </c>
      <c r="C114" s="78" t="str">
        <f>IFERROR(IF(INDEX('Outcome Indicators - Section C '!D$1:D$100,MATCH($A103,'Outcome Indicators - Section C '!$A$1:$A$100,0)+1)&lt;&gt;"",FIXED(INDEX('Outcome Indicators - Section C '!D$1:D$100,MATCH($A103,'Outcome Indicators - Section C '!$A$1:$A$100,0)+1),2),""),"")</f>
        <v/>
      </c>
      <c r="D114" s="78" t="str">
        <f ca="1">IFERROR(IF(INDEX('Outcome Indicators - Section C '!K$1:K$100,MATCH($A103,'Outcome Indicators - Section C '!$A$1:$A$100,0)+1)&lt;&gt;"",FIXED(INDEX('Outcome Indicators - Section C '!K$1:K$100,MATCH($A103,'Outcome Indicators - Section C '!$A$1:$A$100,0)+1),2),""),"")</f>
        <v/>
      </c>
      <c r="E114" s="78" t="str">
        <f ca="1">IFERROR(IF(INDEX('Outcome Indicators - Section C '!O$1:O$100,MATCH($A103,'Outcome Indicators - Section C '!$A$1:$A$100,0)+1)&lt;&gt;"",FIXED(INDEX('Outcome Indicators - Section C '!O$1:O$100,MATCH($A103,'Outcome Indicators - Section C '!$A$1:$A$100,0)+1),2),""),"")</f>
        <v/>
      </c>
      <c r="F114" s="78" t="str">
        <f ca="1">IFERROR(IF(INDEX('Outcome Indicators - Section C '!S$1:S$100,MATCH($A103,'Outcome Indicators - Section C '!$A$1:$A$100,0)+1)&lt;&gt;"",FIXED(INDEX('Outcome Indicators - Section C '!S$1:S$100,MATCH($A103,'Outcome Indicators - Section C '!$A$1:$A$100,0)+1),2),""),"")</f>
        <v/>
      </c>
      <c r="G114" s="78" t="str">
        <f ca="1">IFERROR(IF(INDEX('Outcome Indicators - Section C '!W$1:W$100,MATCH($A103,'Outcome Indicators - Section C '!$A$1:$A$100,0)+1)&lt;&gt;"",FIXED(INDEX('Outcome Indicators - Section C '!W$1:W$100,MATCH($A103,'Outcome Indicators - Section C '!$A$1:$A$100,0)+1),2),""),"")</f>
        <v/>
      </c>
    </row>
    <row r="115" spans="1:7" ht="18.75" customHeight="1">
      <c r="A115" s="607"/>
      <c r="B115" s="74" t="s">
        <v>5056</v>
      </c>
      <c r="C115" s="75" t="str">
        <f ca="1">IFERROR(IF(INDEX('Outcome Indicators - Section C '!E$1:E$100,MATCH($A103,'Outcome Indicators - Section C '!$A$1:$A$100,0))&lt;&gt;"",FIXED(INDEX('Outcome Indicators - Section C '!E$1:E$100,MATCH($A103,'Outcome Indicators - Section C '!$A$1:$A$100,0))*100,2)&amp;"%",""),"")</f>
        <v>80.00%</v>
      </c>
      <c r="D115" s="75" t="str">
        <f ca="1">IFERROR(IF(INDEX('Outcome Indicators - Section C '!L$1:L$100,MATCH($A103,'Outcome Indicators - Section C '!$A$1:$A$100,0))&lt;&gt;"",FIXED(INDEX('Outcome Indicators - Section C '!L$1:L$100,MATCH($A103,'Outcome Indicators - Section C '!$A$1:$A$100,0))*100,2)&amp;"%",""),"")&amp;CHAR(10)&amp;IFERROR(IF(INDEX('Outcome Indicators - Section C '!N$1:N$100,MATCH($A103,'Outcome Indicators - Section C '!$A$1:$A$100,0))&lt;&gt;"",INDEX('Outcome Indicators - Section C '!N$1:N$100,MATCH($A103,'Outcome Indicators - Section C '!$A$1:$A$100,0)),""),"")&amp;CHAR(10)&amp;IFERROR(IF(INDEX('Outcome Indicators - Section C '!M$1:M$100,MATCH($A103,'Outcome Indicators - Section C '!$A$1:$A$100,0))&lt;&gt;"",TEXT(INDEX('Outcome Indicators - Section C '!M$1:M$100,MATCH($A103,'Outcome Indicators - Section C '!$A$1:$A$100,0)),Setup!$A$33),""),"")</f>
        <v xml:space="preserve">85.00%
</v>
      </c>
      <c r="E115" s="75" t="str">
        <f ca="1">IFERROR(IF(INDEX('Outcome Indicators - Section C '!P$1:P$100,MATCH($A103,'Outcome Indicators - Section C '!$A$1:$A$100,0))&lt;&gt;"",FIXED(INDEX('Outcome Indicators - Section C '!P$1:P$100,MATCH($A103,'Outcome Indicators - Section C '!$A$1:$A$100,0))*100,2)&amp;"%",""),)&amp;CHAR(10)&amp;IFERROR(IF(INDEX('Outcome Indicators - Section C '!R$1:R$100,MATCH($A103,'Outcome Indicators - Section C '!$A$1:$A$100,0))&lt;&gt;"",INDEX('Outcome Indicators - Section C '!R$1:R$100,MATCH($A103,'Outcome Indicators - Section C '!$A$1:$A$100,0)),""),"")&amp;CHAR(10)&amp;IFERROR(IF(INDEX('Outcome Indicators - Section C '!Q$1:Q$100,MATCH($A103,'Outcome Indicators - Section C '!$A$1:$A$100,0))&lt;&gt;"",TEXT(INDEX('Outcome Indicators - Section C '!Q$1:Q$100,MATCH($A103,'Outcome Indicators - Section C '!$A$1:$A$100,0)),Setup!$A$33),""),"")</f>
        <v xml:space="preserve">85.00%
</v>
      </c>
      <c r="F115" s="75" t="str">
        <f ca="1">IFERROR(IF(INDEX('Outcome Indicators - Section C '!T$1:T$100,MATCH($A103,'Outcome Indicators - Section C '!$A$1:$A$100,0))&lt;&gt;"",FIXED(INDEX('Outcome Indicators - Section C '!T$1:T$100,MATCH($A103,'Outcome Indicators - Section C '!$A$1:$A$100,0))*100,2)&amp;"%",""),)&amp;CHAR(10)&amp;IFERROR(IF(INDEX('Outcome Indicators - Section C '!V$1:V$100,MATCH($A103,'Outcome Indicators - Section C '!$A$1:$A$100,0))&lt;&gt;"",INDEX('Outcome Indicators - Section C '!V$1:V$100,MATCH($A103,'Outcome Indicators - Section C '!$A$1:$A$100,0)),""),"")&amp;CHAR(10)&amp;IFERROR(IF(INDEX('Outcome Indicators - Section C '!U$1:U$100,MATCH($A103,'Outcome Indicators - Section C '!$A$1:$A$100,0))&lt;&gt;"",TEXT(INDEX('Outcome Indicators - Section C '!U$1:U$100,MATCH($A103,'Outcome Indicators - Section C '!$A$1:$A$100,0)),Setup!$A$33),""),"")</f>
        <v xml:space="preserve">85.00%
</v>
      </c>
      <c r="G115" s="75" t="str">
        <f ca="1">IFERROR(IF(INDEX('Outcome Indicators - Section C '!X$1:X$100,MATCH($A103,'Outcome Indicators - Section C '!$A$1:$A$100,0))&lt;&gt;"",FIXED(INDEX('Outcome Indicators - Section C '!X$1:X$100,MATCH($A103,'Outcome Indicators - Section C '!$A$1:$A$100,0))*100,2)&amp;"%",""),"")&amp;CHAR(10)&amp;IFERROR(IF(INDEX('Outcome Indicators - Section C '!Z$1:Z$100,MATCH($A103,'Outcome Indicators - Section C '!$A$1:$A$100,0))&lt;&gt;"",INDEX('Outcome Indicators - Section C '!Z$1:Z$100,MATCH($A103,'Outcome Indicators - Section C '!$A$1:$A$100,0)),""),"")&amp;CHAR(10)&amp;IFERROR(IF(INDEX('Outcome Indicators - Section C '!Y$1:Y$100,MATCH($A103,'Outcome Indicators - Section C '!$A$1:$A$100,0))&lt;&gt;"",TEXT(INDEX('Outcome Indicators - Section C '!Y$1:Y$100,MATCH($A103,'Outcome Indicators - Section C '!$A$1:$A$100,0)),Setup!$A$33),""),"")</f>
        <v xml:space="preserve">
</v>
      </c>
    </row>
    <row r="116" spans="1:7" ht="18.75" customHeight="1">
      <c r="A116" s="607"/>
      <c r="B116" s="590" t="s">
        <v>176</v>
      </c>
      <c r="C116" s="591"/>
      <c r="D116" s="591"/>
      <c r="E116" s="591"/>
      <c r="F116" s="591"/>
      <c r="G116" s="592"/>
    </row>
    <row r="117" spans="1:7" ht="18.75" customHeight="1">
      <c r="A117" s="607"/>
      <c r="B117" s="608" t="str">
        <f>IFERROR(IF(INDEX('Outcome Indicators - Section C '!AA$1:AA$100,MATCH($A103,'Outcome Indicators - Section C '!$A$1:$A$100,0))&lt;&gt;0,INDEX('Outcome Indicators - Section C '!AA$1:AA$100,MATCH($A103,'Outcome Indicators - Section C '!$A$1:$A$100,0)),""),"")</f>
        <v>The country reports for the 2019 cohort a treatment success rate of 83% for MDR-TB patients put on treatment (80% for detected cases). the efforts made in this application with the choice of a patient-centered approach to MDR-TB, the expansion of the use of the new BPaL/BPaLM regimen, community involvement and the decentralization of services will enable the country to reach at least the 85% treatment success rate by 2024-2026. (NSP Target)</v>
      </c>
      <c r="C117" s="609"/>
      <c r="D117" s="609"/>
      <c r="E117" s="609"/>
      <c r="F117" s="609"/>
      <c r="G117" s="610"/>
    </row>
    <row r="118" spans="1:7" ht="18.75" customHeight="1">
      <c r="A118" s="607"/>
      <c r="B118" s="611"/>
      <c r="C118" s="612"/>
      <c r="D118" s="612"/>
      <c r="E118" s="612"/>
      <c r="F118" s="612"/>
      <c r="G118" s="613"/>
    </row>
    <row r="119" spans="1:7" ht="18.75" customHeight="1">
      <c r="A119" s="607"/>
      <c r="B119" s="611"/>
      <c r="C119" s="612"/>
      <c r="D119" s="612"/>
      <c r="E119" s="612"/>
      <c r="F119" s="612"/>
      <c r="G119" s="613"/>
    </row>
    <row r="120" spans="1:7" ht="18.75" customHeight="1">
      <c r="A120" s="607"/>
      <c r="B120" s="611"/>
      <c r="C120" s="612"/>
      <c r="D120" s="612"/>
      <c r="E120" s="612"/>
      <c r="F120" s="612"/>
      <c r="G120" s="613"/>
    </row>
    <row r="121" spans="1:7" ht="18.75" customHeight="1">
      <c r="A121" s="607"/>
      <c r="B121" s="611"/>
      <c r="C121" s="612"/>
      <c r="D121" s="612"/>
      <c r="E121" s="612"/>
      <c r="F121" s="612"/>
      <c r="G121" s="613"/>
    </row>
    <row r="122" spans="1:7" ht="18.75" customHeight="1">
      <c r="A122" s="607"/>
      <c r="B122" s="611"/>
      <c r="C122" s="612"/>
      <c r="D122" s="612"/>
      <c r="E122" s="612"/>
      <c r="F122" s="612"/>
      <c r="G122" s="613"/>
    </row>
    <row r="123" spans="1:7" ht="18.75" customHeight="1">
      <c r="A123" s="607"/>
      <c r="B123" s="611"/>
      <c r="C123" s="612"/>
      <c r="D123" s="612"/>
      <c r="E123" s="612"/>
      <c r="F123" s="612"/>
      <c r="G123" s="613"/>
    </row>
    <row r="124" spans="1:7" ht="18.75" customHeight="1">
      <c r="A124" s="607"/>
      <c r="B124" s="611"/>
      <c r="C124" s="612"/>
      <c r="D124" s="612"/>
      <c r="E124" s="612"/>
      <c r="F124" s="612"/>
      <c r="G124" s="613"/>
    </row>
    <row r="125" spans="1:7" ht="18.75" customHeight="1">
      <c r="A125" s="607"/>
      <c r="B125" s="611"/>
      <c r="C125" s="612"/>
      <c r="D125" s="612"/>
      <c r="E125" s="612"/>
      <c r="F125" s="612"/>
      <c r="G125" s="613"/>
    </row>
    <row r="126" spans="1:7" ht="18.75" customHeight="1">
      <c r="A126" s="624"/>
      <c r="B126" s="614"/>
      <c r="C126" s="615"/>
      <c r="D126" s="615"/>
      <c r="E126" s="615"/>
      <c r="F126" s="615"/>
      <c r="G126" s="616"/>
    </row>
    <row r="127" spans="1:7" ht="18.75" customHeight="1">
      <c r="A127" s="590"/>
      <c r="B127" s="591"/>
      <c r="C127" s="591"/>
      <c r="D127" s="591"/>
      <c r="E127" s="591"/>
      <c r="F127" s="591"/>
      <c r="G127" s="592"/>
    </row>
    <row r="129" spans="1:7" ht="18.75" customHeight="1">
      <c r="A129" s="73" t="s">
        <v>5051</v>
      </c>
      <c r="B129" s="590" t="s">
        <v>765</v>
      </c>
      <c r="C129" s="591"/>
      <c r="D129" s="592"/>
      <c r="E129" s="590" t="s">
        <v>766</v>
      </c>
      <c r="F129" s="591"/>
      <c r="G129" s="592"/>
    </row>
    <row r="130" spans="1:7" ht="18.75" customHeight="1">
      <c r="A130" s="606">
        <v>5</v>
      </c>
      <c r="B130" s="608" t="str">
        <f ca="1">IFERROR(IF(INDEX('Outcome Indicators - Section C '!B$1:B$100,MATCH($A130,'Outcome Indicators - Section C '!$A$1:$A$100,0))&lt;&gt;0,INDEX('Outcome Indicators - Section C '!B$1:B$100,MATCH($A130,'Outcome Indicators - Section C '!$A$1:$A$100,0)),""),"")</f>
        <v>HIV O-4a Percentage of men reporting using a condom the last time they had anal sex with a male partner</v>
      </c>
      <c r="C130" s="609"/>
      <c r="D130" s="610"/>
      <c r="E130" s="608" t="str">
        <f>IFERROR(IF(INDEX('Outcome Indicators - Section C '!C$1:C$100,MATCH($A130,'Outcome Indicators - Section C '!$A$1:$A$100,0))&lt;&gt;0,INDEX('Outcome Indicators - Section C '!C$1:C$100,MATCH($A130,'Outcome Indicators - Section C '!$A$1:$A$100,0)),""),"")</f>
        <v/>
      </c>
      <c r="F130" s="609"/>
      <c r="G130" s="610"/>
    </row>
    <row r="131" spans="1:7" ht="18.75" customHeight="1">
      <c r="A131" s="607"/>
      <c r="B131" s="611"/>
      <c r="C131" s="612"/>
      <c r="D131" s="613"/>
      <c r="E131" s="611"/>
      <c r="F131" s="612"/>
      <c r="G131" s="613"/>
    </row>
    <row r="132" spans="1:7" ht="18.75" customHeight="1">
      <c r="A132" s="607"/>
      <c r="B132" s="614"/>
      <c r="C132" s="615"/>
      <c r="D132" s="616"/>
      <c r="E132" s="614"/>
      <c r="F132" s="615"/>
      <c r="G132" s="616"/>
    </row>
    <row r="133" spans="1:7" ht="18.75" customHeight="1">
      <c r="A133" s="607"/>
      <c r="B133" s="590" t="s">
        <v>769</v>
      </c>
      <c r="C133" s="591"/>
      <c r="D133" s="592"/>
      <c r="E133" s="590" t="s">
        <v>127</v>
      </c>
      <c r="F133" s="591"/>
      <c r="G133" s="592"/>
    </row>
    <row r="134" spans="1:7" ht="18.75" customHeight="1">
      <c r="A134" s="607"/>
      <c r="B134" s="617" t="str">
        <f>IFERROR(IF(INDEX('Outcome Indicators - Section C '!H$1:H$100,MATCH($A130,'Outcome Indicators - Section C '!$A$1:$A$100,0))&lt;&gt;0,INDEX('Outcome Indicators - Section C '!H$1:H$100,MATCH($A130,'Outcome Indicators - Section C '!$A$1:$A$100,0)),""),"")</f>
        <v/>
      </c>
      <c r="C134" s="603"/>
      <c r="D134" s="604"/>
      <c r="E134" s="617" t="str">
        <f>IFERROR(IF(INDEX('Outcome Indicators - Section C '!J$9:J$38,MATCH($A130,'Outcome Indicators - Section C '!$A$9:$A$100,0))&lt;&gt;0,INDEX('Outcome Indicators - Section C '!J$9:J$38,MATCH($A130,'Outcome Indicators - Section C '!$A$9:$A$100,0)),""),"")</f>
        <v>Congo (Democratic Republic)</v>
      </c>
      <c r="F134" s="603"/>
      <c r="G134" s="604"/>
    </row>
    <row r="135" spans="1:7" ht="18.75" customHeight="1">
      <c r="A135" s="607"/>
      <c r="B135" s="590" t="s">
        <v>199</v>
      </c>
      <c r="C135" s="591"/>
      <c r="D135" s="592"/>
      <c r="E135" s="590" t="s">
        <v>120</v>
      </c>
      <c r="F135" s="591"/>
      <c r="G135" s="592"/>
    </row>
    <row r="136" spans="1:7" ht="18.75" customHeight="1">
      <c r="A136" s="607"/>
      <c r="B136" s="608" t="str">
        <f>IFERROR(IF(INDEX('Outcome Indicators - Section C '!G$1:G$100,MATCH($A130,'Outcome Indicators - Section C '!$A$1:$A$100,0))&lt;&gt;0,INDEX('Outcome Indicators - Section C '!G$1:G$100,MATCH($A130,'Outcome Indicators - Section C '!$A$1:$A$100,0)),""),"")</f>
        <v>Mapping report and key population estimates</v>
      </c>
      <c r="C136" s="609"/>
      <c r="D136" s="610"/>
      <c r="E136" s="608" t="str">
        <f ca="1">IFERROR(IF(AND('Overview - Section A'!AS$1="Grant Making",OR(B130&lt;&gt;"",E130&lt;&gt;"")),Setup!I15,IF(INDEX('Outcome Indicators - Section C '!I$1:I$100,MATCH($A130,'Outcome Indicators - Section C '!$A$1:$A$100,0))&lt;&gt;0,INDEX('Outcome Indicators - Section C '!I$1:I$100,MATCH($A130,'Outcome Indicators - Section C '!$A$1:$A$100,0)),"")),"")</f>
        <v>Ministry of Public Health, Hygiene and Prevention</v>
      </c>
      <c r="F136" s="609"/>
      <c r="G136" s="610"/>
    </row>
    <row r="137" spans="1:7" ht="18.75" customHeight="1">
      <c r="A137" s="607"/>
      <c r="B137" s="614"/>
      <c r="C137" s="615"/>
      <c r="D137" s="616"/>
      <c r="E137" s="614"/>
      <c r="F137" s="615"/>
      <c r="G137" s="616"/>
    </row>
    <row r="138" spans="1:7" ht="18.75" customHeight="1">
      <c r="A138" s="607"/>
      <c r="B138" s="74"/>
      <c r="C138" s="59" t="s">
        <v>5052</v>
      </c>
      <c r="D138" s="590" t="s">
        <v>5053</v>
      </c>
      <c r="E138" s="591"/>
      <c r="F138" s="591"/>
      <c r="G138" s="592"/>
    </row>
    <row r="139" spans="1:7" ht="18.75" customHeight="1">
      <c r="A139" s="607"/>
      <c r="B139" s="74" t="s">
        <v>2589</v>
      </c>
      <c r="C139" s="75">
        <f>IFERROR(IF(INDEX('Outcome Indicators - Section C '!F$1:F$100,MATCH($A130,'Outcome Indicators - Section C '!$A$1:$A$100,0))&lt;&gt;0,INDEX('Outcome Indicators - Section C '!F$1:F$100,MATCH($A130,'Outcome Indicators - Section C '!$A$1:$A$100,0)),""),"")</f>
        <v>2022</v>
      </c>
      <c r="D139" s="59">
        <f ca="1">IFERROR(IF(YEAR(INDEX('Overview - Section A'!$A$47:$A$54,MATCH('Print - Summary'!$H$10,'Overview - Section A'!$B$47:$B$54,0)))&lt;=YEAR('Overview - Section A'!$E$8),YEAR(INDEX('Overview - Section A'!$A$47:$A$54,MATCH('Print - Summary'!$H$10,'Overview - Section A'!$B$47:$B$54,0))),""),"")</f>
        <v>2024</v>
      </c>
      <c r="E139" s="59">
        <f ca="1">IFERROR(IF(D139+1&lt;=YEAR('Overview - Section A'!$E$8),D139+1,""),"")</f>
        <v>2025</v>
      </c>
      <c r="F139" s="59">
        <f ca="1">IFERROR(IF(E139+1&lt;=YEAR('Overview - Section A'!$E$8),E139+1,""),"")</f>
        <v>2026</v>
      </c>
      <c r="G139" s="59" t="str">
        <f ca="1">IFERROR(IF(F139+1&lt;=YEAR('Overview - Section A'!$E$8),F139+1,""),"")</f>
        <v/>
      </c>
    </row>
    <row r="140" spans="1:7" s="81" customFormat="1" ht="18.75" customHeight="1">
      <c r="A140" s="607"/>
      <c r="B140" s="74" t="s">
        <v>5054</v>
      </c>
      <c r="C140" s="80" t="str">
        <f>IFERROR(IF(INDEX('Outcome Indicators - Section C '!D$1:D$100,MATCH($A130,'Outcome Indicators - Section C '!$A$1:$A$100,0))&lt;&gt;"",FIXED(INDEX('Outcome Indicators - Section C '!D$1:D$100,MATCH($A130,'Outcome Indicators - Section C '!$A$1:$A$100,0)),4),""),"")</f>
        <v>1'288.0000</v>
      </c>
      <c r="D140" s="80" t="str">
        <f ca="1">IFERROR(IF(INDEX('Outcome Indicators - Section C '!K$1:K$100,MATCH($A130,'Outcome Indicators - Section C '!$A$1:$A$100,0))&lt;&gt;"",FIXED(INDEX('Outcome Indicators - Section C '!K$1:K$100,MATCH($A130,'Outcome Indicators - Section C '!$A$1:$A$100,0)),4),""),"")</f>
        <v/>
      </c>
      <c r="E140" s="80" t="str">
        <f ca="1">IFERROR(IF(INDEX('Outcome Indicators - Section C '!O$1:O$100,MATCH($A130,'Outcome Indicators - Section C '!$A$1:$A$100,0))&lt;&gt;"",FIXED(INDEX('Outcome Indicators - Section C '!O$1:O$100,MATCH($A130,'Outcome Indicators - Section C '!$A$1:$A$100,0)),4),""),"")</f>
        <v/>
      </c>
      <c r="F140" s="80" t="str">
        <f ca="1">IFERROR(IF(INDEX('Outcome Indicators - Section C '!S$1:S$100,MATCH($A130,'Outcome Indicators - Section C '!$A$1:$A$100,0))&lt;&gt;"",FIXED(INDEX('Outcome Indicators - Section C '!S$1:S$100,MATCH($A130,'Outcome Indicators - Section C '!$A$1:$A$100,0)),4),""),"")</f>
        <v/>
      </c>
      <c r="G140" s="80" t="str">
        <f ca="1">IFERROR(IF(INDEX('Outcome Indicators - Section C '!W$1:W$100,MATCH($A130,'Outcome Indicators - Section C '!$A$1:$A$100,0))&lt;&gt;"",FIXED(INDEX('Outcome Indicators - Section C '!W$1:W$100,MATCH($A130,'Outcome Indicators - Section C '!$A$1:$A$100,0)),4),""),"")</f>
        <v/>
      </c>
    </row>
    <row r="141" spans="1:7" s="79" customFormat="1" ht="18.75" customHeight="1">
      <c r="A141" s="607"/>
      <c r="B141" s="74" t="s">
        <v>5055</v>
      </c>
      <c r="C141" s="78" t="str">
        <f>IFERROR(IF(INDEX('Outcome Indicators - Section C '!D$1:D$100,MATCH($A130,'Outcome Indicators - Section C '!$A$1:$A$100,0)+1)&lt;&gt;"",FIXED(INDEX('Outcome Indicators - Section C '!D$1:D$100,MATCH($A130,'Outcome Indicators - Section C '!$A$1:$A$100,0)+1),2),""),"")</f>
        <v>2'075.00</v>
      </c>
      <c r="D141" s="78" t="str">
        <f ca="1">IFERROR(IF(INDEX('Outcome Indicators - Section C '!K$1:K$100,MATCH($A130,'Outcome Indicators - Section C '!$A$1:$A$100,0)+1)&lt;&gt;"",FIXED(INDEX('Outcome Indicators - Section C '!K$1:K$100,MATCH($A130,'Outcome Indicators - Section C '!$A$1:$A$100,0)+1),2),""),"")</f>
        <v/>
      </c>
      <c r="E141" s="78" t="str">
        <f ca="1">IFERROR(IF(INDEX('Outcome Indicators - Section C '!O$1:O$100,MATCH($A130,'Outcome Indicators - Section C '!$A$1:$A$100,0)+1)&lt;&gt;"",FIXED(INDEX('Outcome Indicators - Section C '!O$1:O$100,MATCH($A130,'Outcome Indicators - Section C '!$A$1:$A$100,0)+1),2),""),"")</f>
        <v/>
      </c>
      <c r="F141" s="78" t="str">
        <f ca="1">IFERROR(IF(INDEX('Outcome Indicators - Section C '!S$1:S$100,MATCH($A130,'Outcome Indicators - Section C '!$A$1:$A$100,0)+1)&lt;&gt;"",FIXED(INDEX('Outcome Indicators - Section C '!S$1:S$100,MATCH($A130,'Outcome Indicators - Section C '!$A$1:$A$100,0)+1),2),""),"")</f>
        <v/>
      </c>
      <c r="G141" s="78" t="str">
        <f ca="1">IFERROR(IF(INDEX('Outcome Indicators - Section C '!W$1:W$100,MATCH($A130,'Outcome Indicators - Section C '!$A$1:$A$100,0)+1)&lt;&gt;"",FIXED(INDEX('Outcome Indicators - Section C '!W$1:W$100,MATCH($A130,'Outcome Indicators - Section C '!$A$1:$A$100,0)+1),2),""),"")</f>
        <v/>
      </c>
    </row>
    <row r="142" spans="1:7" ht="18.75" customHeight="1">
      <c r="A142" s="607"/>
      <c r="B142" s="74" t="s">
        <v>5056</v>
      </c>
      <c r="C142" s="75" t="str">
        <f ca="1">IFERROR(IF(INDEX('Outcome Indicators - Section C '!E$1:E$100,MATCH($A130,'Outcome Indicators - Section C '!$A$1:$A$100,0))&lt;&gt;"",FIXED(INDEX('Outcome Indicators - Section C '!E$1:E$100,MATCH($A130,'Outcome Indicators - Section C '!$A$1:$A$100,0))*100,2)&amp;"%",""),"")</f>
        <v>62.07%</v>
      </c>
      <c r="D142" s="75" t="str">
        <f ca="1">IFERROR(IF(INDEX('Outcome Indicators - Section C '!L$1:L$100,MATCH($A130,'Outcome Indicators - Section C '!$A$1:$A$100,0))&lt;&gt;"",FIXED(INDEX('Outcome Indicators - Section C '!L$1:L$100,MATCH($A130,'Outcome Indicators - Section C '!$A$1:$A$100,0))*100,2)&amp;"%",""),"")&amp;CHAR(10)&amp;IFERROR(IF(INDEX('Outcome Indicators - Section C '!N$1:N$100,MATCH($A130,'Outcome Indicators - Section C '!$A$1:$A$100,0))&lt;&gt;"",INDEX('Outcome Indicators - Section C '!N$1:N$100,MATCH($A130,'Outcome Indicators - Section C '!$A$1:$A$100,0)),""),"")&amp;CHAR(10)&amp;IFERROR(IF(INDEX('Outcome Indicators - Section C '!M$1:M$100,MATCH($A130,'Outcome Indicators - Section C '!$A$1:$A$100,0))&lt;&gt;"",TEXT(INDEX('Outcome Indicators - Section C '!M$1:M$100,MATCH($A130,'Outcome Indicators - Section C '!$A$1:$A$100,0)),Setup!$A$33),""),"")</f>
        <v xml:space="preserve">
</v>
      </c>
      <c r="E142" s="75" t="str">
        <f ca="1">IFERROR(IF(INDEX('Outcome Indicators - Section C '!P$1:P$100,MATCH($A130,'Outcome Indicators - Section C '!$A$1:$A$100,0))&lt;&gt;"",FIXED(INDEX('Outcome Indicators - Section C '!P$1:P$100,MATCH($A130,'Outcome Indicators - Section C '!$A$1:$A$100,0))*100,2)&amp;"%",""),)&amp;CHAR(10)&amp;IFERROR(IF(INDEX('Outcome Indicators - Section C '!R$1:R$100,MATCH($A130,'Outcome Indicators - Section C '!$A$1:$A$100,0))&lt;&gt;"",INDEX('Outcome Indicators - Section C '!R$1:R$100,MATCH($A130,'Outcome Indicators - Section C '!$A$1:$A$100,0)),""),"")&amp;CHAR(10)&amp;IFERROR(IF(INDEX('Outcome Indicators - Section C '!Q$1:Q$100,MATCH($A130,'Outcome Indicators - Section C '!$A$1:$A$100,0))&lt;&gt;"",TEXT(INDEX('Outcome Indicators - Section C '!Q$1:Q$100,MATCH($A130,'Outcome Indicators - Section C '!$A$1:$A$100,0)),Setup!$A$33),""),"")</f>
        <v xml:space="preserve">
TBD
</v>
      </c>
      <c r="F142" s="75" t="str">
        <f ca="1">IFERROR(IF(INDEX('Outcome Indicators - Section C '!T$1:T$100,MATCH($A130,'Outcome Indicators - Section C '!$A$1:$A$100,0))&lt;&gt;"",FIXED(INDEX('Outcome Indicators - Section C '!T$1:T$100,MATCH($A130,'Outcome Indicators - Section C '!$A$1:$A$100,0))*100,2)&amp;"%",""),)&amp;CHAR(10)&amp;IFERROR(IF(INDEX('Outcome Indicators - Section C '!V$1:V$100,MATCH($A130,'Outcome Indicators - Section C '!$A$1:$A$100,0))&lt;&gt;"",INDEX('Outcome Indicators - Section C '!V$1:V$100,MATCH($A130,'Outcome Indicators - Section C '!$A$1:$A$100,0)),""),"")&amp;CHAR(10)&amp;IFERROR(IF(INDEX('Outcome Indicators - Section C '!U$1:U$100,MATCH($A130,'Outcome Indicators - Section C '!$A$1:$A$100,0))&lt;&gt;"",TEXT(INDEX('Outcome Indicators - Section C '!U$1:U$100,MATCH($A130,'Outcome Indicators - Section C '!$A$1:$A$100,0)),Setup!$A$33),""),"")</f>
        <v xml:space="preserve">
</v>
      </c>
      <c r="G142" s="75" t="str">
        <f ca="1">IFERROR(IF(INDEX('Outcome Indicators - Section C '!X$1:X$100,MATCH($A130,'Outcome Indicators - Section C '!$A$1:$A$100,0))&lt;&gt;"",FIXED(INDEX('Outcome Indicators - Section C '!X$1:X$100,MATCH($A130,'Outcome Indicators - Section C '!$A$1:$A$100,0))*100,2)&amp;"%",""),"")&amp;CHAR(10)&amp;IFERROR(IF(INDEX('Outcome Indicators - Section C '!Z$1:Z$100,MATCH($A130,'Outcome Indicators - Section C '!$A$1:$A$100,0))&lt;&gt;"",INDEX('Outcome Indicators - Section C '!Z$1:Z$100,MATCH($A130,'Outcome Indicators - Section C '!$A$1:$A$100,0)),""),"")&amp;CHAR(10)&amp;IFERROR(IF(INDEX('Outcome Indicators - Section C '!Y$1:Y$100,MATCH($A130,'Outcome Indicators - Section C '!$A$1:$A$100,0))&lt;&gt;"",TEXT(INDEX('Outcome Indicators - Section C '!Y$1:Y$100,MATCH($A130,'Outcome Indicators - Section C '!$A$1:$A$100,0)),Setup!$A$33),""),"")</f>
        <v xml:space="preserve">
</v>
      </c>
    </row>
    <row r="143" spans="1:7" ht="18.75" customHeight="1">
      <c r="A143" s="607"/>
      <c r="B143" s="590" t="s">
        <v>176</v>
      </c>
      <c r="C143" s="591"/>
      <c r="D143" s="591"/>
      <c r="E143" s="591"/>
      <c r="F143" s="591"/>
      <c r="G143" s="592"/>
    </row>
    <row r="144" spans="1:7" ht="18.75" customHeight="1">
      <c r="A144" s="607"/>
      <c r="B144" s="608" t="str">
        <f>IFERROR(IF(INDEX('Outcome Indicators - Section C '!AA$1:AA$100,MATCH($A130,'Outcome Indicators - Section C '!$A$1:$A$100,0))&lt;&gt;0,INDEX('Outcome Indicators - Section C '!AA$1:AA$100,MATCH($A130,'Outcome Indicators - Section C '!$A$1:$A$100,0)),""),"")</f>
        <v>N: Number of men who have sex with men who reported using a condom the last time they had anal sex
D: Number of men who have sex with men who reported having anal sex with a male partner in the last six months 
The survey will be conducted in 2024 and the results will be published in 2025. The survey report will be submitted in February 2025.</v>
      </c>
      <c r="C144" s="609"/>
      <c r="D144" s="609"/>
      <c r="E144" s="609"/>
      <c r="F144" s="609"/>
      <c r="G144" s="610"/>
    </row>
    <row r="145" spans="1:7" ht="18.75" customHeight="1">
      <c r="A145" s="607"/>
      <c r="B145" s="611"/>
      <c r="C145" s="612"/>
      <c r="D145" s="612"/>
      <c r="E145" s="612"/>
      <c r="F145" s="612"/>
      <c r="G145" s="613"/>
    </row>
    <row r="146" spans="1:7" ht="18.75" customHeight="1">
      <c r="A146" s="607"/>
      <c r="B146" s="611"/>
      <c r="C146" s="612"/>
      <c r="D146" s="612"/>
      <c r="E146" s="612"/>
      <c r="F146" s="612"/>
      <c r="G146" s="613"/>
    </row>
    <row r="147" spans="1:7" ht="18.75" customHeight="1">
      <c r="A147" s="607"/>
      <c r="B147" s="611"/>
      <c r="C147" s="612"/>
      <c r="D147" s="612"/>
      <c r="E147" s="612"/>
      <c r="F147" s="612"/>
      <c r="G147" s="613"/>
    </row>
    <row r="148" spans="1:7" ht="18.75" customHeight="1">
      <c r="A148" s="607"/>
      <c r="B148" s="611"/>
      <c r="C148" s="612"/>
      <c r="D148" s="612"/>
      <c r="E148" s="612"/>
      <c r="F148" s="612"/>
      <c r="G148" s="613"/>
    </row>
    <row r="149" spans="1:7" ht="18.75" customHeight="1">
      <c r="A149" s="607"/>
      <c r="B149" s="611"/>
      <c r="C149" s="612"/>
      <c r="D149" s="612"/>
      <c r="E149" s="612"/>
      <c r="F149" s="612"/>
      <c r="G149" s="613"/>
    </row>
    <row r="150" spans="1:7" ht="18.75" customHeight="1">
      <c r="A150" s="607"/>
      <c r="B150" s="611"/>
      <c r="C150" s="612"/>
      <c r="D150" s="612"/>
      <c r="E150" s="612"/>
      <c r="F150" s="612"/>
      <c r="G150" s="613"/>
    </row>
    <row r="151" spans="1:7" ht="18.75" customHeight="1">
      <c r="A151" s="607"/>
      <c r="B151" s="611"/>
      <c r="C151" s="612"/>
      <c r="D151" s="612"/>
      <c r="E151" s="612"/>
      <c r="F151" s="612"/>
      <c r="G151" s="613"/>
    </row>
    <row r="152" spans="1:7" ht="18.75" customHeight="1">
      <c r="A152" s="607"/>
      <c r="B152" s="611"/>
      <c r="C152" s="612"/>
      <c r="D152" s="612"/>
      <c r="E152" s="612"/>
      <c r="F152" s="612"/>
      <c r="G152" s="613"/>
    </row>
    <row r="153" spans="1:7" ht="18.75" customHeight="1">
      <c r="A153" s="624"/>
      <c r="B153" s="614"/>
      <c r="C153" s="615"/>
      <c r="D153" s="615"/>
      <c r="E153" s="615"/>
      <c r="F153" s="615"/>
      <c r="G153" s="616"/>
    </row>
    <row r="154" spans="1:7" ht="18.75" customHeight="1">
      <c r="A154" s="590"/>
      <c r="B154" s="591"/>
      <c r="C154" s="591"/>
      <c r="D154" s="591"/>
      <c r="E154" s="591"/>
      <c r="F154" s="591"/>
      <c r="G154" s="592"/>
    </row>
    <row r="156" spans="1:7" ht="18.75" customHeight="1">
      <c r="A156" s="73" t="s">
        <v>5051</v>
      </c>
      <c r="B156" s="590" t="s">
        <v>765</v>
      </c>
      <c r="C156" s="591"/>
      <c r="D156" s="592"/>
      <c r="E156" s="590" t="s">
        <v>766</v>
      </c>
      <c r="F156" s="591"/>
      <c r="G156" s="592"/>
    </row>
    <row r="157" spans="1:7" ht="18.75" customHeight="1">
      <c r="A157" s="606">
        <v>6</v>
      </c>
      <c r="B157" s="608" t="str">
        <f ca="1">IFERROR(IF(INDEX('Outcome Indicators - Section C '!B$1:B$100,MATCH($A157,'Outcome Indicators - Section C '!$A$1:$A$100,0))&lt;&gt;0,INDEX('Outcome Indicators - Section C '!B$1:B$100,MATCH($A157,'Outcome Indicators - Section C '!$A$1:$A$100,0)),""),"")</f>
        <v>HIV O-4.1b Percentage of transgender people reporting using a condom during their most recent sexual intercourse or anal sex</v>
      </c>
      <c r="C157" s="609"/>
      <c r="D157" s="610"/>
      <c r="E157" s="608" t="str">
        <f>IFERROR(IF(INDEX('Outcome Indicators - Section C '!C$1:C$100,MATCH($A157,'Outcome Indicators - Section C '!$A$1:$A$100,0))&lt;&gt;0,INDEX('Outcome Indicators - Section C '!C$1:C$100,MATCH($A157,'Outcome Indicators - Section C '!$A$1:$A$100,0)),""),"")</f>
        <v/>
      </c>
      <c r="F157" s="609"/>
      <c r="G157" s="610"/>
    </row>
    <row r="158" spans="1:7" ht="18.75" customHeight="1">
      <c r="A158" s="607"/>
      <c r="B158" s="611"/>
      <c r="C158" s="612"/>
      <c r="D158" s="613"/>
      <c r="E158" s="611"/>
      <c r="F158" s="612"/>
      <c r="G158" s="613"/>
    </row>
    <row r="159" spans="1:7" ht="18.75" customHeight="1">
      <c r="A159" s="607"/>
      <c r="B159" s="614"/>
      <c r="C159" s="615"/>
      <c r="D159" s="616"/>
      <c r="E159" s="614"/>
      <c r="F159" s="615"/>
      <c r="G159" s="616"/>
    </row>
    <row r="160" spans="1:7" ht="18.75" customHeight="1">
      <c r="A160" s="607"/>
      <c r="B160" s="590" t="s">
        <v>769</v>
      </c>
      <c r="C160" s="591"/>
      <c r="D160" s="592"/>
      <c r="E160" s="590" t="s">
        <v>127</v>
      </c>
      <c r="F160" s="591"/>
      <c r="G160" s="592"/>
    </row>
    <row r="161" spans="1:7" ht="18.75" customHeight="1">
      <c r="A161" s="607"/>
      <c r="B161" s="617" t="str">
        <f>IFERROR(IF(INDEX('Outcome Indicators - Section C '!H$1:H$100,MATCH($A157,'Outcome Indicators - Section C '!$A$1:$A$100,0))&lt;&gt;0,INDEX('Outcome Indicators - Section C '!H$1:H$100,MATCH($A157,'Outcome Indicators - Section C '!$A$1:$A$100,0)),""),"")</f>
        <v/>
      </c>
      <c r="C161" s="603"/>
      <c r="D161" s="604"/>
      <c r="E161" s="617" t="str">
        <f>IFERROR(IF(INDEX('Outcome Indicators - Section C '!J$9:J$38,MATCH($A157,'Outcome Indicators - Section C '!$A$9:$A$100,0))&lt;&gt;0,INDEX('Outcome Indicators - Section C '!J$9:J$38,MATCH($A157,'Outcome Indicators - Section C '!$A$9:$A$100,0)),""),"")</f>
        <v>Congo (Democratic Republic)</v>
      </c>
      <c r="F161" s="603"/>
      <c r="G161" s="604"/>
    </row>
    <row r="162" spans="1:7" ht="18.75" customHeight="1">
      <c r="A162" s="607"/>
      <c r="B162" s="590" t="s">
        <v>199</v>
      </c>
      <c r="C162" s="591"/>
      <c r="D162" s="592"/>
      <c r="E162" s="590" t="s">
        <v>120</v>
      </c>
      <c r="F162" s="591"/>
      <c r="G162" s="592"/>
    </row>
    <row r="163" spans="1:7" ht="18.75" customHeight="1">
      <c r="A163" s="607"/>
      <c r="B163" s="608" t="str">
        <f>IFERROR(IF(INDEX('Outcome Indicators - Section C '!G$1:G$100,MATCH($A157,'Outcome Indicators - Section C '!$A$1:$A$100,0))&lt;&gt;0,INDEX('Outcome Indicators - Section C '!G$1:G$100,MATCH($A157,'Outcome Indicators - Section C '!$A$1:$A$100,0)),""),"")</f>
        <v>Mapping report and key population estimates</v>
      </c>
      <c r="C163" s="609"/>
      <c r="D163" s="610"/>
      <c r="E163" s="608" t="str">
        <f ca="1">IFERROR(IF(AND('Overview - Section A'!AS$1="Grant Making",OR(B157&lt;&gt;"",E157&lt;&gt;"")),Setup!I15,IF(INDEX('Outcome Indicators - Section C '!I$1:I$100,MATCH($A157,'Outcome Indicators - Section C '!$A$1:$A$100,0))&lt;&gt;0,INDEX('Outcome Indicators - Section C '!I$1:I$100,MATCH($A157,'Outcome Indicators - Section C '!$A$1:$A$100,0)),"")),"")</f>
        <v>Ministry of Public Health, Hygiene and Prevention</v>
      </c>
      <c r="F163" s="609"/>
      <c r="G163" s="610"/>
    </row>
    <row r="164" spans="1:7" ht="18.75" customHeight="1">
      <c r="A164" s="607"/>
      <c r="B164" s="614"/>
      <c r="C164" s="615"/>
      <c r="D164" s="616"/>
      <c r="E164" s="614"/>
      <c r="F164" s="615"/>
      <c r="G164" s="616"/>
    </row>
    <row r="165" spans="1:7" ht="18.75" customHeight="1">
      <c r="A165" s="607"/>
      <c r="B165" s="74"/>
      <c r="C165" s="59" t="s">
        <v>5052</v>
      </c>
      <c r="D165" s="590" t="s">
        <v>5053</v>
      </c>
      <c r="E165" s="591"/>
      <c r="F165" s="591"/>
      <c r="G165" s="592"/>
    </row>
    <row r="166" spans="1:7" ht="18.75" customHeight="1">
      <c r="A166" s="607"/>
      <c r="B166" s="74" t="s">
        <v>2589</v>
      </c>
      <c r="C166" s="75">
        <f>IFERROR(IF(INDEX('Outcome Indicators - Section C '!F$1:F$100,MATCH($A157,'Outcome Indicators - Section C '!$A$1:$A$100,0))&lt;&gt;0,INDEX('Outcome Indicators - Section C '!F$1:F$100,MATCH($A157,'Outcome Indicators - Section C '!$A$1:$A$100,0)),""),"")</f>
        <v>2022</v>
      </c>
      <c r="D166" s="59">
        <f ca="1">IFERROR(IF(YEAR(INDEX('Overview - Section A'!$A$47:$A$54,MATCH('Print - Summary'!$H$10,'Overview - Section A'!$B$47:$B$54,0)))&lt;=YEAR('Overview - Section A'!$E$8),YEAR(INDEX('Overview - Section A'!$A$47:$A$54,MATCH('Print - Summary'!$H$10,'Overview - Section A'!$B$47:$B$54,0))),""),"")</f>
        <v>2024</v>
      </c>
      <c r="E166" s="59">
        <f ca="1">IFERROR(IF(D166+1&lt;=YEAR('Overview - Section A'!$E$8),D166+1,""),"")</f>
        <v>2025</v>
      </c>
      <c r="F166" s="59">
        <f ca="1">IFERROR(IF(E166+1&lt;=YEAR('Overview - Section A'!$E$8),E166+1,""),"")</f>
        <v>2026</v>
      </c>
      <c r="G166" s="59" t="str">
        <f ca="1">IFERROR(IF(F166+1&lt;=YEAR('Overview - Section A'!$E$8),F166+1,""),"")</f>
        <v/>
      </c>
    </row>
    <row r="167" spans="1:7" s="81" customFormat="1" ht="18.75" customHeight="1">
      <c r="A167" s="607"/>
      <c r="B167" s="74" t="s">
        <v>5054</v>
      </c>
      <c r="C167" s="80" t="str">
        <f>IFERROR(IF(INDEX('Outcome Indicators - Section C '!D$1:D$100,MATCH($A157,'Outcome Indicators - Section C '!$A$1:$A$100,0))&lt;&gt;"",FIXED(INDEX('Outcome Indicators - Section C '!D$1:D$100,MATCH($A157,'Outcome Indicators - Section C '!$A$1:$A$100,0)),4),""),"")</f>
        <v>388.0000</v>
      </c>
      <c r="D167" s="80" t="str">
        <f ca="1">IFERROR(IF(INDEX('Outcome Indicators - Section C '!K$1:K$100,MATCH($A157,'Outcome Indicators - Section C '!$A$1:$A$100,0))&lt;&gt;"",FIXED(INDEX('Outcome Indicators - Section C '!K$1:K$100,MATCH($A157,'Outcome Indicators - Section C '!$A$1:$A$100,0)),4),""),"")</f>
        <v/>
      </c>
      <c r="E167" s="80" t="str">
        <f ca="1">IFERROR(IF(INDEX('Outcome Indicators - Section C '!O$1:O$100,MATCH($A157,'Outcome Indicators - Section C '!$A$1:$A$100,0))&lt;&gt;"",FIXED(INDEX('Outcome Indicators - Section C '!O$1:O$100,MATCH($A157,'Outcome Indicators - Section C '!$A$1:$A$100,0)),4),""),"")</f>
        <v/>
      </c>
      <c r="F167" s="80" t="str">
        <f ca="1">IFERROR(IF(INDEX('Outcome Indicators - Section C '!S$1:S$100,MATCH($A157,'Outcome Indicators - Section C '!$A$1:$A$100,0))&lt;&gt;"",FIXED(INDEX('Outcome Indicators - Section C '!S$1:S$100,MATCH($A157,'Outcome Indicators - Section C '!$A$1:$A$100,0)),4),""),"")</f>
        <v/>
      </c>
      <c r="G167" s="80" t="str">
        <f ca="1">IFERROR(IF(INDEX('Outcome Indicators - Section C '!W$1:W$100,MATCH($A157,'Outcome Indicators - Section C '!$A$1:$A$100,0))&lt;&gt;"",FIXED(INDEX('Outcome Indicators - Section C '!W$1:W$100,MATCH($A157,'Outcome Indicators - Section C '!$A$1:$A$100,0)),4),""),"")</f>
        <v/>
      </c>
    </row>
    <row r="168" spans="1:7" s="79" customFormat="1" ht="18.75" customHeight="1">
      <c r="A168" s="607"/>
      <c r="B168" s="74" t="s">
        <v>5055</v>
      </c>
      <c r="C168" s="78" t="str">
        <f>IFERROR(IF(INDEX('Outcome Indicators - Section C '!D$1:D$100,MATCH($A157,'Outcome Indicators - Section C '!$A$1:$A$100,0)+1)&lt;&gt;"",FIXED(INDEX('Outcome Indicators - Section C '!D$1:D$100,MATCH($A157,'Outcome Indicators - Section C '!$A$1:$A$100,0)+1),2),""),"")</f>
        <v>651.00</v>
      </c>
      <c r="D168" s="78" t="str">
        <f ca="1">IFERROR(IF(INDEX('Outcome Indicators - Section C '!K$1:K$100,MATCH($A157,'Outcome Indicators - Section C '!$A$1:$A$100,0)+1)&lt;&gt;"",FIXED(INDEX('Outcome Indicators - Section C '!K$1:K$100,MATCH($A157,'Outcome Indicators - Section C '!$A$1:$A$100,0)+1),2),""),"")</f>
        <v/>
      </c>
      <c r="E168" s="78" t="str">
        <f ca="1">IFERROR(IF(INDEX('Outcome Indicators - Section C '!O$1:O$100,MATCH($A157,'Outcome Indicators - Section C '!$A$1:$A$100,0)+1)&lt;&gt;"",FIXED(INDEX('Outcome Indicators - Section C '!O$1:O$100,MATCH($A157,'Outcome Indicators - Section C '!$A$1:$A$100,0)+1),2),""),"")</f>
        <v/>
      </c>
      <c r="F168" s="78" t="str">
        <f ca="1">IFERROR(IF(INDEX('Outcome Indicators - Section C '!S$1:S$100,MATCH($A157,'Outcome Indicators - Section C '!$A$1:$A$100,0)+1)&lt;&gt;"",FIXED(INDEX('Outcome Indicators - Section C '!S$1:S$100,MATCH($A157,'Outcome Indicators - Section C '!$A$1:$A$100,0)+1),2),""),"")</f>
        <v/>
      </c>
      <c r="G168" s="78" t="str">
        <f ca="1">IFERROR(IF(INDEX('Outcome Indicators - Section C '!W$1:W$100,MATCH($A157,'Outcome Indicators - Section C '!$A$1:$A$100,0)+1)&lt;&gt;"",FIXED(INDEX('Outcome Indicators - Section C '!W$1:W$100,MATCH($A157,'Outcome Indicators - Section C '!$A$1:$A$100,0)+1),2),""),"")</f>
        <v/>
      </c>
    </row>
    <row r="169" spans="1:7" ht="18.75" customHeight="1">
      <c r="A169" s="607"/>
      <c r="B169" s="74" t="s">
        <v>5056</v>
      </c>
      <c r="C169" s="75" t="str">
        <f ca="1">IFERROR(IF(INDEX('Outcome Indicators - Section C '!E$1:E$100,MATCH($A157,'Outcome Indicators - Section C '!$A$1:$A$100,0))&lt;&gt;"",FIXED(INDEX('Outcome Indicators - Section C '!E$1:E$100,MATCH($A157,'Outcome Indicators - Section C '!$A$1:$A$100,0))*100,2)&amp;"%",""),"")</f>
        <v>59.60%</v>
      </c>
      <c r="D169" s="75" t="str">
        <f ca="1">IFERROR(IF(INDEX('Outcome Indicators - Section C '!L$1:L$100,MATCH($A157,'Outcome Indicators - Section C '!$A$1:$A$100,0))&lt;&gt;"",FIXED(INDEX('Outcome Indicators - Section C '!L$1:L$100,MATCH($A157,'Outcome Indicators - Section C '!$A$1:$A$100,0))*100,2)&amp;"%",""),"")&amp;CHAR(10)&amp;IFERROR(IF(INDEX('Outcome Indicators - Section C '!N$1:N$100,MATCH($A157,'Outcome Indicators - Section C '!$A$1:$A$100,0))&lt;&gt;"",INDEX('Outcome Indicators - Section C '!N$1:N$100,MATCH($A157,'Outcome Indicators - Section C '!$A$1:$A$100,0)),""),"")&amp;CHAR(10)&amp;IFERROR(IF(INDEX('Outcome Indicators - Section C '!M$1:M$100,MATCH($A157,'Outcome Indicators - Section C '!$A$1:$A$100,0))&lt;&gt;"",TEXT(INDEX('Outcome Indicators - Section C '!M$1:M$100,MATCH($A157,'Outcome Indicators - Section C '!$A$1:$A$100,0)),Setup!$A$33),""),"")</f>
        <v xml:space="preserve">
</v>
      </c>
      <c r="E169" s="75" t="str">
        <f ca="1">IFERROR(IF(INDEX('Outcome Indicators - Section C '!P$1:P$100,MATCH($A157,'Outcome Indicators - Section C '!$A$1:$A$100,0))&lt;&gt;"",FIXED(INDEX('Outcome Indicators - Section C '!P$1:P$100,MATCH($A157,'Outcome Indicators - Section C '!$A$1:$A$100,0))*100,2)&amp;"%",""),)&amp;CHAR(10)&amp;IFERROR(IF(INDEX('Outcome Indicators - Section C '!R$1:R$100,MATCH($A157,'Outcome Indicators - Section C '!$A$1:$A$100,0))&lt;&gt;"",INDEX('Outcome Indicators - Section C '!R$1:R$100,MATCH($A157,'Outcome Indicators - Section C '!$A$1:$A$100,0)),""),"")&amp;CHAR(10)&amp;IFERROR(IF(INDEX('Outcome Indicators - Section C '!Q$1:Q$100,MATCH($A157,'Outcome Indicators - Section C '!$A$1:$A$100,0))&lt;&gt;"",TEXT(INDEX('Outcome Indicators - Section C '!Q$1:Q$100,MATCH($A157,'Outcome Indicators - Section C '!$A$1:$A$100,0)),Setup!$A$33),""),"")</f>
        <v xml:space="preserve">
TBD
</v>
      </c>
      <c r="F169" s="75" t="str">
        <f ca="1">IFERROR(IF(INDEX('Outcome Indicators - Section C '!T$1:T$100,MATCH($A157,'Outcome Indicators - Section C '!$A$1:$A$100,0))&lt;&gt;"",FIXED(INDEX('Outcome Indicators - Section C '!T$1:T$100,MATCH($A157,'Outcome Indicators - Section C '!$A$1:$A$100,0))*100,2)&amp;"%",""),)&amp;CHAR(10)&amp;IFERROR(IF(INDEX('Outcome Indicators - Section C '!V$1:V$100,MATCH($A157,'Outcome Indicators - Section C '!$A$1:$A$100,0))&lt;&gt;"",INDEX('Outcome Indicators - Section C '!V$1:V$100,MATCH($A157,'Outcome Indicators - Section C '!$A$1:$A$100,0)),""),"")&amp;CHAR(10)&amp;IFERROR(IF(INDEX('Outcome Indicators - Section C '!U$1:U$100,MATCH($A157,'Outcome Indicators - Section C '!$A$1:$A$100,0))&lt;&gt;"",TEXT(INDEX('Outcome Indicators - Section C '!U$1:U$100,MATCH($A157,'Outcome Indicators - Section C '!$A$1:$A$100,0)),Setup!$A$33),""),"")</f>
        <v xml:space="preserve">
</v>
      </c>
      <c r="G169" s="75" t="str">
        <f ca="1">IFERROR(IF(INDEX('Outcome Indicators - Section C '!X$1:X$100,MATCH($A157,'Outcome Indicators - Section C '!$A$1:$A$100,0))&lt;&gt;"",FIXED(INDEX('Outcome Indicators - Section C '!X$1:X$100,MATCH($A157,'Outcome Indicators - Section C '!$A$1:$A$100,0))*100,2)&amp;"%",""),"")&amp;CHAR(10)&amp;IFERROR(IF(INDEX('Outcome Indicators - Section C '!Z$1:Z$100,MATCH($A157,'Outcome Indicators - Section C '!$A$1:$A$100,0))&lt;&gt;"",INDEX('Outcome Indicators - Section C '!Z$1:Z$100,MATCH($A157,'Outcome Indicators - Section C '!$A$1:$A$100,0)),""),"")&amp;CHAR(10)&amp;IFERROR(IF(INDEX('Outcome Indicators - Section C '!Y$1:Y$100,MATCH($A157,'Outcome Indicators - Section C '!$A$1:$A$100,0))&lt;&gt;"",TEXT(INDEX('Outcome Indicators - Section C '!Y$1:Y$100,MATCH($A157,'Outcome Indicators - Section C '!$A$1:$A$100,0)),Setup!$A$33),""),"")</f>
        <v xml:space="preserve">
</v>
      </c>
    </row>
    <row r="170" spans="1:7" ht="18.75" customHeight="1">
      <c r="A170" s="607"/>
      <c r="B170" s="590" t="s">
        <v>176</v>
      </c>
      <c r="C170" s="591"/>
      <c r="D170" s="591"/>
      <c r="E170" s="591"/>
      <c r="F170" s="591"/>
      <c r="G170" s="592"/>
    </row>
    <row r="171" spans="1:7" ht="18.75" customHeight="1">
      <c r="A171" s="607"/>
      <c r="B171" s="608" t="str">
        <f>IFERROR(IF(INDEX('Outcome Indicators - Section C '!AA$1:AA$100,MATCH($A157,'Outcome Indicators - Section C '!$A$1:$A$100,0))&lt;&gt;0,INDEX('Outcome Indicators - Section C '!AA$1:AA$100,MATCH($A157,'Outcome Indicators - Section C '!$A$1:$A$100,0)),""),"")</f>
        <v>N: Number of transgender people who reported using a condom at last sex or anal sex
D: Number of transgender respondents who reported having sex or anal sex in the past six months
The survey will be conducted in 2024 and the results will be published in 2025. The survey report will be submitted in February 2025.</v>
      </c>
      <c r="C171" s="609"/>
      <c r="D171" s="609"/>
      <c r="E171" s="609"/>
      <c r="F171" s="609"/>
      <c r="G171" s="610"/>
    </row>
    <row r="172" spans="1:7" ht="18.75" customHeight="1">
      <c r="A172" s="607"/>
      <c r="B172" s="611"/>
      <c r="C172" s="612"/>
      <c r="D172" s="612"/>
      <c r="E172" s="612"/>
      <c r="F172" s="612"/>
      <c r="G172" s="613"/>
    </row>
    <row r="173" spans="1:7" ht="18.75" customHeight="1">
      <c r="A173" s="607"/>
      <c r="B173" s="611"/>
      <c r="C173" s="612"/>
      <c r="D173" s="612"/>
      <c r="E173" s="612"/>
      <c r="F173" s="612"/>
      <c r="G173" s="613"/>
    </row>
    <row r="174" spans="1:7" ht="18.75" customHeight="1">
      <c r="A174" s="607"/>
      <c r="B174" s="611"/>
      <c r="C174" s="612"/>
      <c r="D174" s="612"/>
      <c r="E174" s="612"/>
      <c r="F174" s="612"/>
      <c r="G174" s="613"/>
    </row>
    <row r="175" spans="1:7" ht="18.75" customHeight="1">
      <c r="A175" s="607"/>
      <c r="B175" s="611"/>
      <c r="C175" s="612"/>
      <c r="D175" s="612"/>
      <c r="E175" s="612"/>
      <c r="F175" s="612"/>
      <c r="G175" s="613"/>
    </row>
    <row r="176" spans="1:7" ht="18.75" customHeight="1">
      <c r="A176" s="607"/>
      <c r="B176" s="611"/>
      <c r="C176" s="612"/>
      <c r="D176" s="612"/>
      <c r="E176" s="612"/>
      <c r="F176" s="612"/>
      <c r="G176" s="613"/>
    </row>
    <row r="177" spans="1:7" ht="18.75" customHeight="1">
      <c r="A177" s="607"/>
      <c r="B177" s="611"/>
      <c r="C177" s="612"/>
      <c r="D177" s="612"/>
      <c r="E177" s="612"/>
      <c r="F177" s="612"/>
      <c r="G177" s="613"/>
    </row>
    <row r="178" spans="1:7" ht="18.75" customHeight="1">
      <c r="A178" s="607"/>
      <c r="B178" s="611"/>
      <c r="C178" s="612"/>
      <c r="D178" s="612"/>
      <c r="E178" s="612"/>
      <c r="F178" s="612"/>
      <c r="G178" s="613"/>
    </row>
    <row r="179" spans="1:7" ht="18.75" customHeight="1">
      <c r="A179" s="607"/>
      <c r="B179" s="611"/>
      <c r="C179" s="612"/>
      <c r="D179" s="612"/>
      <c r="E179" s="612"/>
      <c r="F179" s="612"/>
      <c r="G179" s="613"/>
    </row>
    <row r="180" spans="1:7" ht="18.75" customHeight="1">
      <c r="A180" s="624"/>
      <c r="B180" s="614"/>
      <c r="C180" s="615"/>
      <c r="D180" s="615"/>
      <c r="E180" s="615"/>
      <c r="F180" s="615"/>
      <c r="G180" s="616"/>
    </row>
    <row r="181" spans="1:7" ht="18.75" customHeight="1">
      <c r="A181" s="590"/>
      <c r="B181" s="591"/>
      <c r="C181" s="591"/>
      <c r="D181" s="591"/>
      <c r="E181" s="591"/>
      <c r="F181" s="591"/>
      <c r="G181" s="592"/>
    </row>
    <row r="183" spans="1:7" ht="18.75" customHeight="1">
      <c r="A183" s="73" t="s">
        <v>5051</v>
      </c>
      <c r="B183" s="590" t="s">
        <v>765</v>
      </c>
      <c r="C183" s="591"/>
      <c r="D183" s="592"/>
      <c r="E183" s="590" t="s">
        <v>766</v>
      </c>
      <c r="F183" s="591"/>
      <c r="G183" s="592"/>
    </row>
    <row r="184" spans="1:7" ht="18.75" customHeight="1">
      <c r="A184" s="606">
        <v>7</v>
      </c>
      <c r="B184" s="608" t="str">
        <f ca="1">IFERROR(IF(INDEX('Outcome Indicators - Section C '!B$1:B$100,MATCH($A184,'Outcome Indicators - Section C '!$A$1:$A$100,0))&lt;&gt;0,INDEX('Outcome Indicators - Section C '!B$1:B$100,MATCH($A184,'Outcome Indicators - Section C '!$A$1:$A$100,0)),""),"")</f>
        <v>HIV O-5 Percentage of sex workers reporting using a condom with their most recent client</v>
      </c>
      <c r="C184" s="609"/>
      <c r="D184" s="610"/>
      <c r="E184" s="608" t="str">
        <f>IFERROR(IF(INDEX('Outcome Indicators - Section C '!C$1:C$100,MATCH($A184,'Outcome Indicators - Section C '!$A$1:$A$100,0))&lt;&gt;0,INDEX('Outcome Indicators - Section C '!C$1:C$100,MATCH($A184,'Outcome Indicators - Section C '!$A$1:$A$100,0)),""),"")</f>
        <v/>
      </c>
      <c r="F184" s="609"/>
      <c r="G184" s="610"/>
    </row>
    <row r="185" spans="1:7" ht="18.75" customHeight="1">
      <c r="A185" s="607"/>
      <c r="B185" s="611"/>
      <c r="C185" s="612"/>
      <c r="D185" s="613"/>
      <c r="E185" s="611"/>
      <c r="F185" s="612"/>
      <c r="G185" s="613"/>
    </row>
    <row r="186" spans="1:7" ht="18.75" customHeight="1">
      <c r="A186" s="607"/>
      <c r="B186" s="614"/>
      <c r="C186" s="615"/>
      <c r="D186" s="616"/>
      <c r="E186" s="614"/>
      <c r="F186" s="615"/>
      <c r="G186" s="616"/>
    </row>
    <row r="187" spans="1:7" ht="18.75" customHeight="1">
      <c r="A187" s="607"/>
      <c r="B187" s="590" t="s">
        <v>769</v>
      </c>
      <c r="C187" s="591"/>
      <c r="D187" s="592"/>
      <c r="E187" s="590" t="s">
        <v>127</v>
      </c>
      <c r="F187" s="591"/>
      <c r="G187" s="592"/>
    </row>
    <row r="188" spans="1:7" ht="18.75" customHeight="1">
      <c r="A188" s="607"/>
      <c r="B188" s="617" t="str">
        <f>IFERROR(IF(INDEX('Outcome Indicators - Section C '!H$1:H$100,MATCH($A184,'Outcome Indicators - Section C '!$A$1:$A$100,0))&lt;&gt;0,INDEX('Outcome Indicators - Section C '!H$1:H$100,MATCH($A184,'Outcome Indicators - Section C '!$A$1:$A$100,0)),""),"")</f>
        <v/>
      </c>
      <c r="C188" s="603"/>
      <c r="D188" s="604"/>
      <c r="E188" s="617" t="str">
        <f>IFERROR(IF(INDEX('Outcome Indicators - Section C '!J$9:J$38,MATCH($A184,'Outcome Indicators - Section C '!$A$9:$A$100,0))&lt;&gt;0,INDEX('Outcome Indicators - Section C '!J$9:J$38,MATCH($A184,'Outcome Indicators - Section C '!$A$9:$A$100,0)),""),"")</f>
        <v>Congo (Democratic Republic)</v>
      </c>
      <c r="F188" s="603"/>
      <c r="G188" s="604"/>
    </row>
    <row r="189" spans="1:7" ht="18.75" customHeight="1">
      <c r="A189" s="607"/>
      <c r="B189" s="590" t="s">
        <v>199</v>
      </c>
      <c r="C189" s="591"/>
      <c r="D189" s="592"/>
      <c r="E189" s="590" t="s">
        <v>120</v>
      </c>
      <c r="F189" s="591"/>
      <c r="G189" s="592"/>
    </row>
    <row r="190" spans="1:7" ht="18.75" customHeight="1">
      <c r="A190" s="607"/>
      <c r="B190" s="608" t="str">
        <f>IFERROR(IF(INDEX('Outcome Indicators - Section C '!G$1:G$100,MATCH($A184,'Outcome Indicators - Section C '!$A$1:$A$100,0))&lt;&gt;0,INDEX('Outcome Indicators - Section C '!G$1:G$100,MATCH($A184,'Outcome Indicators - Section C '!$A$1:$A$100,0)),""),"")</f>
        <v>Mapping report and key population estimates</v>
      </c>
      <c r="C190" s="609"/>
      <c r="D190" s="610"/>
      <c r="E190" s="608" t="str">
        <f ca="1">IFERROR(IF(AND('Overview - Section A'!AS$1="Grant Making",OR(B184&lt;&gt;"",E184&lt;&gt;"")),Setup!I15,IF(INDEX('Outcome Indicators - Section C '!I$1:I$100,MATCH($A184,'Outcome Indicators - Section C '!$A$1:$A$100,0))&lt;&gt;0,INDEX('Outcome Indicators - Section C '!I$1:I$100,MATCH($A184,'Outcome Indicators - Section C '!$A$1:$A$100,0)),"")),"")</f>
        <v>Ministry of Public Health, Hygiene and Prevention</v>
      </c>
      <c r="F190" s="609"/>
      <c r="G190" s="610"/>
    </row>
    <row r="191" spans="1:7" ht="18.75" customHeight="1">
      <c r="A191" s="607"/>
      <c r="B191" s="614"/>
      <c r="C191" s="615"/>
      <c r="D191" s="616"/>
      <c r="E191" s="614"/>
      <c r="F191" s="615"/>
      <c r="G191" s="616"/>
    </row>
    <row r="192" spans="1:7" ht="18.75" customHeight="1">
      <c r="A192" s="607"/>
      <c r="B192" s="74"/>
      <c r="C192" s="59" t="s">
        <v>5052</v>
      </c>
      <c r="D192" s="590" t="s">
        <v>5053</v>
      </c>
      <c r="E192" s="591"/>
      <c r="F192" s="591"/>
      <c r="G192" s="592"/>
    </row>
    <row r="193" spans="1:7" ht="18.75" customHeight="1">
      <c r="A193" s="607"/>
      <c r="B193" s="74" t="s">
        <v>2589</v>
      </c>
      <c r="C193" s="75">
        <f>IFERROR(IF(INDEX('Outcome Indicators - Section C '!F$1:F$100,MATCH($A184,'Outcome Indicators - Section C '!$A$1:$A$100,0))&lt;&gt;0,INDEX('Outcome Indicators - Section C '!F$1:F$100,MATCH($A184,'Outcome Indicators - Section C '!$A$1:$A$100,0)),""),"")</f>
        <v>2022</v>
      </c>
      <c r="D193" s="59">
        <f ca="1">IFERROR(IF(YEAR(INDEX('Overview - Section A'!$A$47:$A$54,MATCH('Print - Summary'!$H$10,'Overview - Section A'!$B$47:$B$54,0)))&lt;=YEAR('Overview - Section A'!$E$8),YEAR(INDEX('Overview - Section A'!$A$47:$A$54,MATCH('Print - Summary'!$H$10,'Overview - Section A'!$B$47:$B$54,0))),""),"")</f>
        <v>2024</v>
      </c>
      <c r="E193" s="59">
        <f ca="1">IFERROR(IF(D193+1&lt;=YEAR('Overview - Section A'!$E$8),D193+1,""),"")</f>
        <v>2025</v>
      </c>
      <c r="F193" s="59">
        <f ca="1">IFERROR(IF(E193+1&lt;=YEAR('Overview - Section A'!$E$8),E193+1,""),"")</f>
        <v>2026</v>
      </c>
      <c r="G193" s="59" t="str">
        <f ca="1">IFERROR(IF(F193+1&lt;=YEAR('Overview - Section A'!$E$8),F193+1,""),"")</f>
        <v/>
      </c>
    </row>
    <row r="194" spans="1:7" s="81" customFormat="1" ht="18.75" customHeight="1">
      <c r="A194" s="607"/>
      <c r="B194" s="74" t="s">
        <v>5054</v>
      </c>
      <c r="C194" s="80" t="str">
        <f>IFERROR(IF(INDEX('Outcome Indicators - Section C '!D$1:D$100,MATCH($A184,'Outcome Indicators - Section C '!$A$1:$A$100,0))&lt;&gt;"",FIXED(INDEX('Outcome Indicators - Section C '!D$1:D$100,MATCH($A184,'Outcome Indicators - Section C '!$A$1:$A$100,0)),4),""),"")</f>
        <v>2'853.0000</v>
      </c>
      <c r="D194" s="80" t="str">
        <f ca="1">IFERROR(IF(INDEX('Outcome Indicators - Section C '!K$1:K$100,MATCH($A184,'Outcome Indicators - Section C '!$A$1:$A$100,0))&lt;&gt;"",FIXED(INDEX('Outcome Indicators - Section C '!K$1:K$100,MATCH($A184,'Outcome Indicators - Section C '!$A$1:$A$100,0)),4),""),"")</f>
        <v/>
      </c>
      <c r="E194" s="80" t="str">
        <f ca="1">IFERROR(IF(INDEX('Outcome Indicators - Section C '!O$1:O$100,MATCH($A184,'Outcome Indicators - Section C '!$A$1:$A$100,0))&lt;&gt;"",FIXED(INDEX('Outcome Indicators - Section C '!O$1:O$100,MATCH($A184,'Outcome Indicators - Section C '!$A$1:$A$100,0)),4),""),"")</f>
        <v/>
      </c>
      <c r="F194" s="80" t="str">
        <f ca="1">IFERROR(IF(INDEX('Outcome Indicators - Section C '!S$1:S$100,MATCH($A184,'Outcome Indicators - Section C '!$A$1:$A$100,0))&lt;&gt;"",FIXED(INDEX('Outcome Indicators - Section C '!S$1:S$100,MATCH($A184,'Outcome Indicators - Section C '!$A$1:$A$100,0)),4),""),"")</f>
        <v/>
      </c>
      <c r="G194" s="80" t="str">
        <f ca="1">IFERROR(IF(INDEX('Outcome Indicators - Section C '!W$1:W$100,MATCH($A184,'Outcome Indicators - Section C '!$A$1:$A$100,0))&lt;&gt;"",FIXED(INDEX('Outcome Indicators - Section C '!W$1:W$100,MATCH($A184,'Outcome Indicators - Section C '!$A$1:$A$100,0)),4),""),"")</f>
        <v/>
      </c>
    </row>
    <row r="195" spans="1:7" s="79" customFormat="1" ht="18.75" customHeight="1">
      <c r="A195" s="607"/>
      <c r="B195" s="74" t="s">
        <v>5055</v>
      </c>
      <c r="C195" s="78" t="str">
        <f>IFERROR(IF(INDEX('Outcome Indicators - Section C '!D$1:D$100,MATCH($A184,'Outcome Indicators - Section C '!$A$1:$A$100,0)+1)&lt;&gt;"",FIXED(INDEX('Outcome Indicators - Section C '!D$1:D$100,MATCH($A184,'Outcome Indicators - Section C '!$A$1:$A$100,0)+1),2),""),"")</f>
        <v>4'050.00</v>
      </c>
      <c r="D195" s="78" t="str">
        <f ca="1">IFERROR(IF(INDEX('Outcome Indicators - Section C '!K$1:K$100,MATCH($A184,'Outcome Indicators - Section C '!$A$1:$A$100,0)+1)&lt;&gt;"",FIXED(INDEX('Outcome Indicators - Section C '!K$1:K$100,MATCH($A184,'Outcome Indicators - Section C '!$A$1:$A$100,0)+1),2),""),"")</f>
        <v/>
      </c>
      <c r="E195" s="78" t="str">
        <f ca="1">IFERROR(IF(INDEX('Outcome Indicators - Section C '!O$1:O$100,MATCH($A184,'Outcome Indicators - Section C '!$A$1:$A$100,0)+1)&lt;&gt;"",FIXED(INDEX('Outcome Indicators - Section C '!O$1:O$100,MATCH($A184,'Outcome Indicators - Section C '!$A$1:$A$100,0)+1),2),""),"")</f>
        <v/>
      </c>
      <c r="F195" s="78" t="str">
        <f ca="1">IFERROR(IF(INDEX('Outcome Indicators - Section C '!S$1:S$100,MATCH($A184,'Outcome Indicators - Section C '!$A$1:$A$100,0)+1)&lt;&gt;"",FIXED(INDEX('Outcome Indicators - Section C '!S$1:S$100,MATCH($A184,'Outcome Indicators - Section C '!$A$1:$A$100,0)+1),2),""),"")</f>
        <v/>
      </c>
      <c r="G195" s="78" t="str">
        <f ca="1">IFERROR(IF(INDEX('Outcome Indicators - Section C '!W$1:W$100,MATCH($A184,'Outcome Indicators - Section C '!$A$1:$A$100,0)+1)&lt;&gt;"",FIXED(INDEX('Outcome Indicators - Section C '!W$1:W$100,MATCH($A184,'Outcome Indicators - Section C '!$A$1:$A$100,0)+1),2),""),"")</f>
        <v/>
      </c>
    </row>
    <row r="196" spans="1:7" ht="18.75" customHeight="1">
      <c r="A196" s="607"/>
      <c r="B196" s="74" t="s">
        <v>5056</v>
      </c>
      <c r="C196" s="75" t="str">
        <f ca="1">IFERROR(IF(INDEX('Outcome Indicators - Section C '!E$1:E$100,MATCH($A184,'Outcome Indicators - Section C '!$A$1:$A$100,0))&lt;&gt;"",FIXED(INDEX('Outcome Indicators - Section C '!E$1:E$100,MATCH($A184,'Outcome Indicators - Section C '!$A$1:$A$100,0))*100,2)&amp;"%",""),"")</f>
        <v>70.44%</v>
      </c>
      <c r="D196" s="75" t="str">
        <f ca="1">IFERROR(IF(INDEX('Outcome Indicators - Section C '!L$1:L$100,MATCH($A184,'Outcome Indicators - Section C '!$A$1:$A$100,0))&lt;&gt;"",FIXED(INDEX('Outcome Indicators - Section C '!L$1:L$100,MATCH($A184,'Outcome Indicators - Section C '!$A$1:$A$100,0))*100,2)&amp;"%",""),"")&amp;CHAR(10)&amp;IFERROR(IF(INDEX('Outcome Indicators - Section C '!N$1:N$100,MATCH($A184,'Outcome Indicators - Section C '!$A$1:$A$100,0))&lt;&gt;"",INDEX('Outcome Indicators - Section C '!N$1:N$100,MATCH($A184,'Outcome Indicators - Section C '!$A$1:$A$100,0)),""),"")&amp;CHAR(10)&amp;IFERROR(IF(INDEX('Outcome Indicators - Section C '!M$1:M$100,MATCH($A184,'Outcome Indicators - Section C '!$A$1:$A$100,0))&lt;&gt;"",TEXT(INDEX('Outcome Indicators - Section C '!M$1:M$100,MATCH($A184,'Outcome Indicators - Section C '!$A$1:$A$100,0)),Setup!$A$33),""),"")</f>
        <v xml:space="preserve">
</v>
      </c>
      <c r="E196" s="75" t="str">
        <f ca="1">IFERROR(IF(INDEX('Outcome Indicators - Section C '!P$1:P$100,MATCH($A184,'Outcome Indicators - Section C '!$A$1:$A$100,0))&lt;&gt;"",FIXED(INDEX('Outcome Indicators - Section C '!P$1:P$100,MATCH($A184,'Outcome Indicators - Section C '!$A$1:$A$100,0))*100,2)&amp;"%",""),)&amp;CHAR(10)&amp;IFERROR(IF(INDEX('Outcome Indicators - Section C '!R$1:R$100,MATCH($A184,'Outcome Indicators - Section C '!$A$1:$A$100,0))&lt;&gt;"",INDEX('Outcome Indicators - Section C '!R$1:R$100,MATCH($A184,'Outcome Indicators - Section C '!$A$1:$A$100,0)),""),"")&amp;CHAR(10)&amp;IFERROR(IF(INDEX('Outcome Indicators - Section C '!Q$1:Q$100,MATCH($A184,'Outcome Indicators - Section C '!$A$1:$A$100,0))&lt;&gt;"",TEXT(INDEX('Outcome Indicators - Section C '!Q$1:Q$100,MATCH($A184,'Outcome Indicators - Section C '!$A$1:$A$100,0)),Setup!$A$33),""),"")</f>
        <v xml:space="preserve">
TBD
</v>
      </c>
      <c r="F196" s="75" t="str">
        <f ca="1">IFERROR(IF(INDEX('Outcome Indicators - Section C '!T$1:T$100,MATCH($A184,'Outcome Indicators - Section C '!$A$1:$A$100,0))&lt;&gt;"",FIXED(INDEX('Outcome Indicators - Section C '!T$1:T$100,MATCH($A184,'Outcome Indicators - Section C '!$A$1:$A$100,0))*100,2)&amp;"%",""),)&amp;CHAR(10)&amp;IFERROR(IF(INDEX('Outcome Indicators - Section C '!V$1:V$100,MATCH($A184,'Outcome Indicators - Section C '!$A$1:$A$100,0))&lt;&gt;"",INDEX('Outcome Indicators - Section C '!V$1:V$100,MATCH($A184,'Outcome Indicators - Section C '!$A$1:$A$100,0)),""),"")&amp;CHAR(10)&amp;IFERROR(IF(INDEX('Outcome Indicators - Section C '!U$1:U$100,MATCH($A184,'Outcome Indicators - Section C '!$A$1:$A$100,0))&lt;&gt;"",TEXT(INDEX('Outcome Indicators - Section C '!U$1:U$100,MATCH($A184,'Outcome Indicators - Section C '!$A$1:$A$100,0)),Setup!$A$33),""),"")</f>
        <v xml:space="preserve">
</v>
      </c>
      <c r="G196" s="75" t="str">
        <f ca="1">IFERROR(IF(INDEX('Outcome Indicators - Section C '!X$1:X$100,MATCH($A184,'Outcome Indicators - Section C '!$A$1:$A$100,0))&lt;&gt;"",FIXED(INDEX('Outcome Indicators - Section C '!X$1:X$100,MATCH($A184,'Outcome Indicators - Section C '!$A$1:$A$100,0))*100,2)&amp;"%",""),"")&amp;CHAR(10)&amp;IFERROR(IF(INDEX('Outcome Indicators - Section C '!Z$1:Z$100,MATCH($A184,'Outcome Indicators - Section C '!$A$1:$A$100,0))&lt;&gt;"",INDEX('Outcome Indicators - Section C '!Z$1:Z$100,MATCH($A184,'Outcome Indicators - Section C '!$A$1:$A$100,0)),""),"")&amp;CHAR(10)&amp;IFERROR(IF(INDEX('Outcome Indicators - Section C '!Y$1:Y$100,MATCH($A184,'Outcome Indicators - Section C '!$A$1:$A$100,0))&lt;&gt;"",TEXT(INDEX('Outcome Indicators - Section C '!Y$1:Y$100,MATCH($A184,'Outcome Indicators - Section C '!$A$1:$A$100,0)),Setup!$A$33),""),"")</f>
        <v xml:space="preserve">
</v>
      </c>
    </row>
    <row r="197" spans="1:7" ht="18.75" customHeight="1">
      <c r="A197" s="607"/>
      <c r="B197" s="590" t="s">
        <v>176</v>
      </c>
      <c r="C197" s="591"/>
      <c r="D197" s="591"/>
      <c r="E197" s="591"/>
      <c r="F197" s="591"/>
      <c r="G197" s="592"/>
    </row>
    <row r="198" spans="1:7" ht="18.75" customHeight="1">
      <c r="A198" s="607"/>
      <c r="B198" s="608" t="str">
        <f>IFERROR(IF(INDEX('Outcome Indicators - Section C '!AA$1:AA$100,MATCH($A184,'Outcome Indicators - Section C '!$A$1:$A$100,0))&lt;&gt;0,INDEX('Outcome Indicators - Section C '!AA$1:AA$100,MATCH($A184,'Outcome Indicators - Section C '!$A$1:$A$100,0)),""),"")</f>
        <v>N: number of sex workers who reported using a condom with their last client
D: number of sex workers who reported having sex in the last 12 months
The survey will be conducted in 2024 and the results will be published in 2025. The survey report will be submitted in February 2025.</v>
      </c>
      <c r="C198" s="609"/>
      <c r="D198" s="609"/>
      <c r="E198" s="609"/>
      <c r="F198" s="609"/>
      <c r="G198" s="610"/>
    </row>
    <row r="199" spans="1:7" ht="18.75" customHeight="1">
      <c r="A199" s="607"/>
      <c r="B199" s="611"/>
      <c r="C199" s="612"/>
      <c r="D199" s="612"/>
      <c r="E199" s="612"/>
      <c r="F199" s="612"/>
      <c r="G199" s="613"/>
    </row>
    <row r="200" spans="1:7" ht="18.75" customHeight="1">
      <c r="A200" s="607"/>
      <c r="B200" s="611"/>
      <c r="C200" s="612"/>
      <c r="D200" s="612"/>
      <c r="E200" s="612"/>
      <c r="F200" s="612"/>
      <c r="G200" s="613"/>
    </row>
    <row r="201" spans="1:7" ht="18.75" customHeight="1">
      <c r="A201" s="607"/>
      <c r="B201" s="611"/>
      <c r="C201" s="612"/>
      <c r="D201" s="612"/>
      <c r="E201" s="612"/>
      <c r="F201" s="612"/>
      <c r="G201" s="613"/>
    </row>
    <row r="202" spans="1:7" ht="18.75" customHeight="1">
      <c r="A202" s="607"/>
      <c r="B202" s="611"/>
      <c r="C202" s="612"/>
      <c r="D202" s="612"/>
      <c r="E202" s="612"/>
      <c r="F202" s="612"/>
      <c r="G202" s="613"/>
    </row>
    <row r="203" spans="1:7" ht="18.75" customHeight="1">
      <c r="A203" s="607"/>
      <c r="B203" s="611"/>
      <c r="C203" s="612"/>
      <c r="D203" s="612"/>
      <c r="E203" s="612"/>
      <c r="F203" s="612"/>
      <c r="G203" s="613"/>
    </row>
    <row r="204" spans="1:7" ht="18.75" customHeight="1">
      <c r="A204" s="607"/>
      <c r="B204" s="611"/>
      <c r="C204" s="612"/>
      <c r="D204" s="612"/>
      <c r="E204" s="612"/>
      <c r="F204" s="612"/>
      <c r="G204" s="613"/>
    </row>
    <row r="205" spans="1:7" ht="18.75" customHeight="1">
      <c r="A205" s="607"/>
      <c r="B205" s="611"/>
      <c r="C205" s="612"/>
      <c r="D205" s="612"/>
      <c r="E205" s="612"/>
      <c r="F205" s="612"/>
      <c r="G205" s="613"/>
    </row>
    <row r="206" spans="1:7" ht="18.75" customHeight="1">
      <c r="A206" s="607"/>
      <c r="B206" s="611"/>
      <c r="C206" s="612"/>
      <c r="D206" s="612"/>
      <c r="E206" s="612"/>
      <c r="F206" s="612"/>
      <c r="G206" s="613"/>
    </row>
    <row r="207" spans="1:7" ht="18.75" customHeight="1">
      <c r="A207" s="624"/>
      <c r="B207" s="614"/>
      <c r="C207" s="615"/>
      <c r="D207" s="615"/>
      <c r="E207" s="615"/>
      <c r="F207" s="615"/>
      <c r="G207" s="616"/>
    </row>
    <row r="208" spans="1:7" ht="18.75" customHeight="1">
      <c r="A208" s="590"/>
      <c r="B208" s="591"/>
      <c r="C208" s="591"/>
      <c r="D208" s="591"/>
      <c r="E208" s="591"/>
      <c r="F208" s="591"/>
      <c r="G208" s="592"/>
    </row>
    <row r="210" spans="1:7" ht="18.75" customHeight="1">
      <c r="A210" s="73" t="s">
        <v>5051</v>
      </c>
      <c r="B210" s="590" t="s">
        <v>765</v>
      </c>
      <c r="C210" s="591"/>
      <c r="D210" s="592"/>
      <c r="E210" s="590" t="s">
        <v>766</v>
      </c>
      <c r="F210" s="591"/>
      <c r="G210" s="592"/>
    </row>
    <row r="211" spans="1:7" ht="18.75" customHeight="1">
      <c r="A211" s="606">
        <v>8</v>
      </c>
      <c r="B211" s="608" t="str">
        <f ca="1">IFERROR(IF(INDEX('Outcome Indicators - Section C '!B$1:B$100,MATCH($A211,'Outcome Indicators - Section C '!$A$1:$A$100,0))&lt;&gt;0,INDEX('Outcome Indicators - Section C '!B$1:B$100,MATCH($A211,'Outcome Indicators - Section C '!$A$1:$A$100,0)),""),"")</f>
        <v>HIV O-6 Percentage of people who inject drugs reporting using sterile injecting equipment the last time they injected</v>
      </c>
      <c r="C211" s="609"/>
      <c r="D211" s="610"/>
      <c r="E211" s="608" t="str">
        <f>IFERROR(IF(INDEX('Outcome Indicators - Section C '!C$1:C$100,MATCH($A211,'Outcome Indicators - Section C '!$A$1:$A$100,0))&lt;&gt;0,INDEX('Outcome Indicators - Section C '!C$1:C$100,MATCH($A211,'Outcome Indicators - Section C '!$A$1:$A$100,0)),""),"")</f>
        <v/>
      </c>
      <c r="F211" s="609"/>
      <c r="G211" s="610"/>
    </row>
    <row r="212" spans="1:7" ht="18.75" customHeight="1">
      <c r="A212" s="607"/>
      <c r="B212" s="611"/>
      <c r="C212" s="612"/>
      <c r="D212" s="613"/>
      <c r="E212" s="611"/>
      <c r="F212" s="612"/>
      <c r="G212" s="613"/>
    </row>
    <row r="213" spans="1:7" ht="18.75" customHeight="1">
      <c r="A213" s="607"/>
      <c r="B213" s="614"/>
      <c r="C213" s="615"/>
      <c r="D213" s="616"/>
      <c r="E213" s="614"/>
      <c r="F213" s="615"/>
      <c r="G213" s="616"/>
    </row>
    <row r="214" spans="1:7" ht="18.75" customHeight="1">
      <c r="A214" s="607"/>
      <c r="B214" s="590" t="s">
        <v>769</v>
      </c>
      <c r="C214" s="591"/>
      <c r="D214" s="592"/>
      <c r="E214" s="590" t="s">
        <v>127</v>
      </c>
      <c r="F214" s="591"/>
      <c r="G214" s="592"/>
    </row>
    <row r="215" spans="1:7" ht="18.75" customHeight="1">
      <c r="A215" s="607"/>
      <c r="B215" s="617" t="str">
        <f>IFERROR(IF(INDEX('Outcome Indicators - Section C '!H$1:H$100,MATCH($A211,'Outcome Indicators - Section C '!$A$1:$A$100,0))&lt;&gt;0,INDEX('Outcome Indicators - Section C '!H$1:H$100,MATCH($A211,'Outcome Indicators - Section C '!$A$1:$A$100,0)),""),"")</f>
        <v/>
      </c>
      <c r="C215" s="603"/>
      <c r="D215" s="604"/>
      <c r="E215" s="617" t="str">
        <f>IFERROR(IF(INDEX('Outcome Indicators - Section C '!J$9:J$38,MATCH($A211,'Outcome Indicators - Section C '!$A$9:$A$100,0))&lt;&gt;0,INDEX('Outcome Indicators - Section C '!J$9:J$38,MATCH($A211,'Outcome Indicators - Section C '!$A$9:$A$100,0)),""),"")</f>
        <v>Congo (Democratic Republic)</v>
      </c>
      <c r="F215" s="603"/>
      <c r="G215" s="604"/>
    </row>
    <row r="216" spans="1:7" ht="18.75" customHeight="1">
      <c r="A216" s="607"/>
      <c r="B216" s="590" t="s">
        <v>199</v>
      </c>
      <c r="C216" s="591"/>
      <c r="D216" s="592"/>
      <c r="E216" s="590" t="s">
        <v>120</v>
      </c>
      <c r="F216" s="591"/>
      <c r="G216" s="592"/>
    </row>
    <row r="217" spans="1:7" ht="18.75" customHeight="1">
      <c r="A217" s="607"/>
      <c r="B217" s="608" t="str">
        <f>IFERROR(IF(INDEX('Outcome Indicators - Section C '!G$1:G$100,MATCH($A211,'Outcome Indicators - Section C '!$A$1:$A$100,0))&lt;&gt;0,INDEX('Outcome Indicators - Section C '!G$1:G$100,MATCH($A211,'Outcome Indicators - Section C '!$A$1:$A$100,0)),""),"")</f>
        <v>Mapping report and key population estimates</v>
      </c>
      <c r="C217" s="609"/>
      <c r="D217" s="610"/>
      <c r="E217" s="608" t="str">
        <f ca="1">IFERROR(IF(AND('Overview - Section A'!AS$1="Grant Making",OR(B211&lt;&gt;"",E211&lt;&gt;"")),Setup!I15,IF(INDEX('Outcome Indicators - Section C '!I$1:I$100,MATCH($A211,'Outcome Indicators - Section C '!$A$1:$A$100,0))&lt;&gt;0,INDEX('Outcome Indicators - Section C '!I$1:I$100,MATCH($A211,'Outcome Indicators - Section C '!$A$1:$A$100,0)),"")),"")</f>
        <v>Ministry of Public Health, Hygiene and Prevention</v>
      </c>
      <c r="F217" s="609"/>
      <c r="G217" s="610"/>
    </row>
    <row r="218" spans="1:7" ht="18.75" customHeight="1">
      <c r="A218" s="607"/>
      <c r="B218" s="614"/>
      <c r="C218" s="615"/>
      <c r="D218" s="616"/>
      <c r="E218" s="614"/>
      <c r="F218" s="615"/>
      <c r="G218" s="616"/>
    </row>
    <row r="219" spans="1:7" ht="18.75" customHeight="1">
      <c r="A219" s="607"/>
      <c r="B219" s="74"/>
      <c r="C219" s="59" t="s">
        <v>5052</v>
      </c>
      <c r="D219" s="590" t="s">
        <v>5053</v>
      </c>
      <c r="E219" s="591"/>
      <c r="F219" s="591"/>
      <c r="G219" s="592"/>
    </row>
    <row r="220" spans="1:7" ht="18.75" customHeight="1">
      <c r="A220" s="607"/>
      <c r="B220" s="74" t="s">
        <v>2589</v>
      </c>
      <c r="C220" s="75">
        <f>IFERROR(IF(INDEX('Outcome Indicators - Section C '!F$1:F$100,MATCH($A211,'Outcome Indicators - Section C '!$A$1:$A$100,0))&lt;&gt;0,INDEX('Outcome Indicators - Section C '!F$1:F$100,MATCH($A211,'Outcome Indicators - Section C '!$A$1:$A$100,0)),""),"")</f>
        <v>2022</v>
      </c>
      <c r="D220" s="59">
        <f ca="1">IFERROR(IF(YEAR(INDEX('Overview - Section A'!$A$47:$A$54,MATCH('Print - Summary'!$H$10,'Overview - Section A'!$B$47:$B$54,0)))&lt;=YEAR('Overview - Section A'!$E$8),YEAR(INDEX('Overview - Section A'!$A$47:$A$54,MATCH('Print - Summary'!$H$10,'Overview - Section A'!$B$47:$B$54,0))),""),"")</f>
        <v>2024</v>
      </c>
      <c r="E220" s="59">
        <f ca="1">IFERROR(IF(D220+1&lt;=YEAR('Overview - Section A'!$E$8),D220+1,""),"")</f>
        <v>2025</v>
      </c>
      <c r="F220" s="59">
        <f ca="1">IFERROR(IF(E220+1&lt;=YEAR('Overview - Section A'!$E$8),E220+1,""),"")</f>
        <v>2026</v>
      </c>
      <c r="G220" s="59" t="str">
        <f ca="1">IFERROR(IF(F220+1&lt;=YEAR('Overview - Section A'!$E$8),F220+1,""),"")</f>
        <v/>
      </c>
    </row>
    <row r="221" spans="1:7" s="81" customFormat="1" ht="18.75" customHeight="1">
      <c r="A221" s="607"/>
      <c r="B221" s="74" t="s">
        <v>5054</v>
      </c>
      <c r="C221" s="80" t="str">
        <f>IFERROR(IF(INDEX('Outcome Indicators - Section C '!D$1:D$100,MATCH($A211,'Outcome Indicators - Section C '!$A$1:$A$100,0))&lt;&gt;"",FIXED(INDEX('Outcome Indicators - Section C '!D$1:D$100,MATCH($A211,'Outcome Indicators - Section C '!$A$1:$A$100,0)),4),""),"")</f>
        <v/>
      </c>
      <c r="D221" s="80" t="str">
        <f ca="1">IFERROR(IF(INDEX('Outcome Indicators - Section C '!K$1:K$100,MATCH($A211,'Outcome Indicators - Section C '!$A$1:$A$100,0))&lt;&gt;"",FIXED(INDEX('Outcome Indicators - Section C '!K$1:K$100,MATCH($A211,'Outcome Indicators - Section C '!$A$1:$A$100,0)),4),""),"")</f>
        <v>434'595.0000</v>
      </c>
      <c r="E221" s="80" t="str">
        <f ca="1">IFERROR(IF(INDEX('Outcome Indicators - Section C '!O$1:O$100,MATCH($A211,'Outcome Indicators - Section C '!$A$1:$A$100,0))&lt;&gt;"",FIXED(INDEX('Outcome Indicators - Section C '!O$1:O$100,MATCH($A211,'Outcome Indicators - Section C '!$A$1:$A$100,0)),4),""),"")</f>
        <v>449'887.0000</v>
      </c>
      <c r="F221" s="80" t="str">
        <f ca="1">IFERROR(IF(INDEX('Outcome Indicators - Section C '!S$1:S$100,MATCH($A211,'Outcome Indicators - Section C '!$A$1:$A$100,0))&lt;&gt;"",FIXED(INDEX('Outcome Indicators - Section C '!S$1:S$100,MATCH($A211,'Outcome Indicators - Section C '!$A$1:$A$100,0)),4),""),"")</f>
        <v>468'823.0000</v>
      </c>
      <c r="G221" s="80" t="str">
        <f ca="1">IFERROR(IF(INDEX('Outcome Indicators - Section C '!W$1:W$100,MATCH($A211,'Outcome Indicators - Section C '!$A$1:$A$100,0))&lt;&gt;"",FIXED(INDEX('Outcome Indicators - Section C '!W$1:W$100,MATCH($A211,'Outcome Indicators - Section C '!$A$1:$A$100,0)),4),""),"")</f>
        <v/>
      </c>
    </row>
    <row r="222" spans="1:7" s="79" customFormat="1" ht="18.75" customHeight="1">
      <c r="A222" s="607"/>
      <c r="B222" s="74" t="s">
        <v>5055</v>
      </c>
      <c r="C222" s="78" t="str">
        <f>IFERROR(IF(INDEX('Outcome Indicators - Section C '!D$1:D$100,MATCH($A211,'Outcome Indicators - Section C '!$A$1:$A$100,0)+1)&lt;&gt;"",FIXED(INDEX('Outcome Indicators - Section C '!D$1:D$100,MATCH($A211,'Outcome Indicators - Section C '!$A$1:$A$100,0)+1),2),""),"")</f>
        <v/>
      </c>
      <c r="D222" s="78" t="str">
        <f ca="1">IFERROR(IF(INDEX('Outcome Indicators - Section C '!K$1:K$100,MATCH($A211,'Outcome Indicators - Section C '!$A$1:$A$100,0)+1)&lt;&gt;"",FIXED(INDEX('Outcome Indicators - Section C '!K$1:K$100,MATCH($A211,'Outcome Indicators - Section C '!$A$1:$A$100,0)+1),2),""),"")</f>
        <v>517'375.00</v>
      </c>
      <c r="E222" s="78" t="str">
        <f ca="1">IFERROR(IF(INDEX('Outcome Indicators - Section C '!O$1:O$100,MATCH($A211,'Outcome Indicators - Section C '!$A$1:$A$100,0)+1)&lt;&gt;"",FIXED(INDEX('Outcome Indicators - Section C '!O$1:O$100,MATCH($A211,'Outcome Indicators - Section C '!$A$1:$A$100,0)+1),2),""),"")</f>
        <v>517'111.00</v>
      </c>
      <c r="F222" s="78" t="str">
        <f ca="1">IFERROR(IF(INDEX('Outcome Indicators - Section C '!S$1:S$100,MATCH($A211,'Outcome Indicators - Section C '!$A$1:$A$100,0)+1)&lt;&gt;"",FIXED(INDEX('Outcome Indicators - Section C '!S$1:S$100,MATCH($A211,'Outcome Indicators - Section C '!$A$1:$A$100,0)+1),2),""),"")</f>
        <v>515'190.00</v>
      </c>
      <c r="G222" s="78" t="str">
        <f ca="1">IFERROR(IF(INDEX('Outcome Indicators - Section C '!W$1:W$100,MATCH($A211,'Outcome Indicators - Section C '!$A$1:$A$100,0)+1)&lt;&gt;"",FIXED(INDEX('Outcome Indicators - Section C '!W$1:W$100,MATCH($A211,'Outcome Indicators - Section C '!$A$1:$A$100,0)+1),2),""),"")</f>
        <v/>
      </c>
    </row>
    <row r="223" spans="1:7" ht="18.75" customHeight="1">
      <c r="A223" s="607"/>
      <c r="B223" s="74" t="s">
        <v>5056</v>
      </c>
      <c r="C223" s="75" t="str">
        <f ca="1">IFERROR(IF(INDEX('Outcome Indicators - Section C '!E$1:E$100,MATCH($A211,'Outcome Indicators - Section C '!$A$1:$A$100,0))&lt;&gt;"",FIXED(INDEX('Outcome Indicators - Section C '!E$1:E$100,MATCH($A211,'Outcome Indicators - Section C '!$A$1:$A$100,0))*100,2)&amp;"%",""),"")</f>
        <v>50.60%</v>
      </c>
      <c r="D223" s="75" t="str">
        <f ca="1">IFERROR(IF(INDEX('Outcome Indicators - Section C '!L$1:L$100,MATCH($A211,'Outcome Indicators - Section C '!$A$1:$A$100,0))&lt;&gt;"",FIXED(INDEX('Outcome Indicators - Section C '!L$1:L$100,MATCH($A211,'Outcome Indicators - Section C '!$A$1:$A$100,0))*100,2)&amp;"%",""),"")&amp;CHAR(10)&amp;IFERROR(IF(INDEX('Outcome Indicators - Section C '!N$1:N$100,MATCH($A211,'Outcome Indicators - Section C '!$A$1:$A$100,0))&lt;&gt;"",INDEX('Outcome Indicators - Section C '!N$1:N$100,MATCH($A211,'Outcome Indicators - Section C '!$A$1:$A$100,0)),""),"")&amp;CHAR(10)&amp;IFERROR(IF(INDEX('Outcome Indicators - Section C '!M$1:M$100,MATCH($A211,'Outcome Indicators - Section C '!$A$1:$A$100,0))&lt;&gt;"",TEXT(INDEX('Outcome Indicators - Section C '!M$1:M$100,MATCH($A211,'Outcome Indicators - Section C '!$A$1:$A$100,0)),Setup!$A$33),""),"")</f>
        <v xml:space="preserve">84.00%
</v>
      </c>
      <c r="E223" s="75" t="str">
        <f ca="1">IFERROR(IF(INDEX('Outcome Indicators - Section C '!P$1:P$100,MATCH($A211,'Outcome Indicators - Section C '!$A$1:$A$100,0))&lt;&gt;"",FIXED(INDEX('Outcome Indicators - Section C '!P$1:P$100,MATCH($A211,'Outcome Indicators - Section C '!$A$1:$A$100,0))*100,2)&amp;"%",""),)&amp;CHAR(10)&amp;IFERROR(IF(INDEX('Outcome Indicators - Section C '!R$1:R$100,MATCH($A211,'Outcome Indicators - Section C '!$A$1:$A$100,0))&lt;&gt;"",INDEX('Outcome Indicators - Section C '!R$1:R$100,MATCH($A211,'Outcome Indicators - Section C '!$A$1:$A$100,0)),""),"")&amp;CHAR(10)&amp;IFERROR(IF(INDEX('Outcome Indicators - Section C '!Q$1:Q$100,MATCH($A211,'Outcome Indicators - Section C '!$A$1:$A$100,0))&lt;&gt;"",TEXT(INDEX('Outcome Indicators - Section C '!Q$1:Q$100,MATCH($A211,'Outcome Indicators - Section C '!$A$1:$A$100,0)),Setup!$A$33),""),"")</f>
        <v xml:space="preserve">87.00%
</v>
      </c>
      <c r="F223" s="75" t="str">
        <f ca="1">IFERROR(IF(INDEX('Outcome Indicators - Section C '!T$1:T$100,MATCH($A211,'Outcome Indicators - Section C '!$A$1:$A$100,0))&lt;&gt;"",FIXED(INDEX('Outcome Indicators - Section C '!T$1:T$100,MATCH($A211,'Outcome Indicators - Section C '!$A$1:$A$100,0))*100,2)&amp;"%",""),)&amp;CHAR(10)&amp;IFERROR(IF(INDEX('Outcome Indicators - Section C '!V$1:V$100,MATCH($A211,'Outcome Indicators - Section C '!$A$1:$A$100,0))&lt;&gt;"",INDEX('Outcome Indicators - Section C '!V$1:V$100,MATCH($A211,'Outcome Indicators - Section C '!$A$1:$A$100,0)),""),"")&amp;CHAR(10)&amp;IFERROR(IF(INDEX('Outcome Indicators - Section C '!U$1:U$100,MATCH($A211,'Outcome Indicators - Section C '!$A$1:$A$100,0))&lt;&gt;"",TEXT(INDEX('Outcome Indicators - Section C '!U$1:U$100,MATCH($A211,'Outcome Indicators - Section C '!$A$1:$A$100,0)),Setup!$A$33),""),"")</f>
        <v xml:space="preserve">91.00%
</v>
      </c>
      <c r="G223" s="75" t="str">
        <f ca="1">IFERROR(IF(INDEX('Outcome Indicators - Section C '!X$1:X$100,MATCH($A211,'Outcome Indicators - Section C '!$A$1:$A$100,0))&lt;&gt;"",FIXED(INDEX('Outcome Indicators - Section C '!X$1:X$100,MATCH($A211,'Outcome Indicators - Section C '!$A$1:$A$100,0))*100,2)&amp;"%",""),"")&amp;CHAR(10)&amp;IFERROR(IF(INDEX('Outcome Indicators - Section C '!Z$1:Z$100,MATCH($A211,'Outcome Indicators - Section C '!$A$1:$A$100,0))&lt;&gt;"",INDEX('Outcome Indicators - Section C '!Z$1:Z$100,MATCH($A211,'Outcome Indicators - Section C '!$A$1:$A$100,0)),""),"")&amp;CHAR(10)&amp;IFERROR(IF(INDEX('Outcome Indicators - Section C '!Y$1:Y$100,MATCH($A211,'Outcome Indicators - Section C '!$A$1:$A$100,0))&lt;&gt;"",TEXT(INDEX('Outcome Indicators - Section C '!Y$1:Y$100,MATCH($A211,'Outcome Indicators - Section C '!$A$1:$A$100,0)),Setup!$A$33),""),"")</f>
        <v xml:space="preserve">
</v>
      </c>
    </row>
    <row r="224" spans="1:7" ht="18.75" customHeight="1">
      <c r="A224" s="607"/>
      <c r="B224" s="590" t="s">
        <v>176</v>
      </c>
      <c r="C224" s="591"/>
      <c r="D224" s="591"/>
      <c r="E224" s="591"/>
      <c r="F224" s="591"/>
      <c r="G224" s="592"/>
    </row>
    <row r="225" spans="1:7" ht="18.75" customHeight="1">
      <c r="A225" s="607"/>
      <c r="B225" s="608" t="str">
        <f>IFERROR(IF(INDEX('Outcome Indicators - Section C '!AA$1:AA$100,MATCH($A211,'Outcome Indicators - Section C '!$A$1:$A$100,0))&lt;&gt;0,INDEX('Outcome Indicators - Section C '!AA$1:AA$100,MATCH($A211,'Outcome Indicators - Section C '!$A$1:$A$100,0)),""),"")</f>
        <v>N: Number of people who used a new needle when they last injected the drug during the reporting period
D: Number of people who inject drugs who report injecting during the reporting period
The survey will be conducted in 2024 and the results will be published in 2025. The survey report will be submitted in February 2025.</v>
      </c>
      <c r="C225" s="609"/>
      <c r="D225" s="609"/>
      <c r="E225" s="609"/>
      <c r="F225" s="609"/>
      <c r="G225" s="610"/>
    </row>
    <row r="226" spans="1:7" ht="18.75" customHeight="1">
      <c r="A226" s="607"/>
      <c r="B226" s="611"/>
      <c r="C226" s="612"/>
      <c r="D226" s="612"/>
      <c r="E226" s="612"/>
      <c r="F226" s="612"/>
      <c r="G226" s="613"/>
    </row>
    <row r="227" spans="1:7" ht="18.75" customHeight="1">
      <c r="A227" s="607"/>
      <c r="B227" s="611"/>
      <c r="C227" s="612"/>
      <c r="D227" s="612"/>
      <c r="E227" s="612"/>
      <c r="F227" s="612"/>
      <c r="G227" s="613"/>
    </row>
    <row r="228" spans="1:7" ht="18.75" customHeight="1">
      <c r="A228" s="607"/>
      <c r="B228" s="611"/>
      <c r="C228" s="612"/>
      <c r="D228" s="612"/>
      <c r="E228" s="612"/>
      <c r="F228" s="612"/>
      <c r="G228" s="613"/>
    </row>
    <row r="229" spans="1:7" ht="18.75" customHeight="1">
      <c r="A229" s="607"/>
      <c r="B229" s="611"/>
      <c r="C229" s="612"/>
      <c r="D229" s="612"/>
      <c r="E229" s="612"/>
      <c r="F229" s="612"/>
      <c r="G229" s="613"/>
    </row>
    <row r="230" spans="1:7" ht="18.75" customHeight="1">
      <c r="A230" s="607"/>
      <c r="B230" s="611"/>
      <c r="C230" s="612"/>
      <c r="D230" s="612"/>
      <c r="E230" s="612"/>
      <c r="F230" s="612"/>
      <c r="G230" s="613"/>
    </row>
    <row r="231" spans="1:7" ht="18.75" customHeight="1">
      <c r="A231" s="607"/>
      <c r="B231" s="611"/>
      <c r="C231" s="612"/>
      <c r="D231" s="612"/>
      <c r="E231" s="612"/>
      <c r="F231" s="612"/>
      <c r="G231" s="613"/>
    </row>
    <row r="232" spans="1:7" ht="18.75" customHeight="1">
      <c r="A232" s="607"/>
      <c r="B232" s="611"/>
      <c r="C232" s="612"/>
      <c r="D232" s="612"/>
      <c r="E232" s="612"/>
      <c r="F232" s="612"/>
      <c r="G232" s="613"/>
    </row>
    <row r="233" spans="1:7" ht="18.75" customHeight="1">
      <c r="A233" s="607"/>
      <c r="B233" s="611"/>
      <c r="C233" s="612"/>
      <c r="D233" s="612"/>
      <c r="E233" s="612"/>
      <c r="F233" s="612"/>
      <c r="G233" s="613"/>
    </row>
    <row r="234" spans="1:7" ht="18.75" customHeight="1">
      <c r="A234" s="624"/>
      <c r="B234" s="614"/>
      <c r="C234" s="615"/>
      <c r="D234" s="615"/>
      <c r="E234" s="615"/>
      <c r="F234" s="615"/>
      <c r="G234" s="616"/>
    </row>
    <row r="235" spans="1:7" ht="18.75" customHeight="1">
      <c r="A235" s="590"/>
      <c r="B235" s="591"/>
      <c r="C235" s="591"/>
      <c r="D235" s="591"/>
      <c r="E235" s="591"/>
      <c r="F235" s="591"/>
      <c r="G235" s="592"/>
    </row>
    <row r="237" spans="1:7" ht="18.75" customHeight="1">
      <c r="A237" s="73" t="s">
        <v>5051</v>
      </c>
      <c r="B237" s="590" t="s">
        <v>765</v>
      </c>
      <c r="C237" s="591"/>
      <c r="D237" s="592"/>
      <c r="E237" s="590" t="s">
        <v>766</v>
      </c>
      <c r="F237" s="591"/>
      <c r="G237" s="592"/>
    </row>
    <row r="238" spans="1:7" ht="18.75" customHeight="1">
      <c r="A238" s="606">
        <v>9</v>
      </c>
      <c r="B238" s="608" t="str">
        <f ca="1">IFERROR(IF(INDEX('Outcome Indicators - Section C '!B$1:B$100,MATCH($A238,'Outcome Indicators - Section C '!$A$1:$A$100,0))&lt;&gt;0,INDEX('Outcome Indicators - Section C '!B$1:B$100,MATCH($A238,'Outcome Indicators - Section C '!$A$1:$A$100,0)),""),"")</f>
        <v>HIV O-11 Percentage of people living with HIV who know their HIV status at the end of the reporting period</v>
      </c>
      <c r="C238" s="609"/>
      <c r="D238" s="610"/>
      <c r="E238" s="608" t="str">
        <f>IFERROR(IF(INDEX('Outcome Indicators - Section C '!C$1:C$100,MATCH($A238,'Outcome Indicators - Section C '!$A$1:$A$100,0))&lt;&gt;0,INDEX('Outcome Indicators - Section C '!C$1:C$100,MATCH($A238,'Outcome Indicators - Section C '!$A$1:$A$100,0)),""),"")</f>
        <v/>
      </c>
      <c r="F238" s="609"/>
      <c r="G238" s="610"/>
    </row>
    <row r="239" spans="1:7" ht="18.75" customHeight="1">
      <c r="A239" s="607"/>
      <c r="B239" s="611"/>
      <c r="C239" s="612"/>
      <c r="D239" s="613"/>
      <c r="E239" s="611"/>
      <c r="F239" s="612"/>
      <c r="G239" s="613"/>
    </row>
    <row r="240" spans="1:7" ht="18.75" customHeight="1">
      <c r="A240" s="607"/>
      <c r="B240" s="614"/>
      <c r="C240" s="615"/>
      <c r="D240" s="616"/>
      <c r="E240" s="614"/>
      <c r="F240" s="615"/>
      <c r="G240" s="616"/>
    </row>
    <row r="241" spans="1:7" ht="18.75" customHeight="1">
      <c r="A241" s="607"/>
      <c r="B241" s="590" t="s">
        <v>769</v>
      </c>
      <c r="C241" s="591"/>
      <c r="D241" s="592"/>
      <c r="E241" s="590" t="s">
        <v>127</v>
      </c>
      <c r="F241" s="591"/>
      <c r="G241" s="592"/>
    </row>
    <row r="242" spans="1:7" ht="18.75" customHeight="1">
      <c r="A242" s="607"/>
      <c r="B242" s="617" t="str">
        <f>IFERROR(IF(INDEX('Outcome Indicators - Section C '!H$1:H$100,MATCH($A238,'Outcome Indicators - Section C '!$A$1:$A$100,0))&lt;&gt;0,INDEX('Outcome Indicators - Section C '!H$1:H$100,MATCH($A238,'Outcome Indicators - Section C '!$A$1:$A$100,0)),""),"")</f>
        <v>Gender | Age,Age</v>
      </c>
      <c r="C242" s="603"/>
      <c r="D242" s="604"/>
      <c r="E242" s="617" t="str">
        <f>IFERROR(IF(INDEX('Outcome Indicators - Section C '!J$9:J$38,MATCH($A238,'Outcome Indicators - Section C '!$A$9:$A$100,0))&lt;&gt;0,INDEX('Outcome Indicators - Section C '!J$9:J$38,MATCH($A238,'Outcome Indicators - Section C '!$A$9:$A$100,0)),""),"")</f>
        <v>Congo (Democratic Republic)</v>
      </c>
      <c r="F242" s="603"/>
      <c r="G242" s="604"/>
    </row>
    <row r="243" spans="1:7" ht="18.75" customHeight="1">
      <c r="A243" s="607"/>
      <c r="B243" s="590" t="s">
        <v>199</v>
      </c>
      <c r="C243" s="591"/>
      <c r="D243" s="592"/>
      <c r="E243" s="590" t="s">
        <v>120</v>
      </c>
      <c r="F243" s="591"/>
      <c r="G243" s="592"/>
    </row>
    <row r="244" spans="1:7" ht="18.75" customHeight="1">
      <c r="A244" s="607"/>
      <c r="B244" s="608" t="str">
        <f>IFERROR(IF(INDEX('Outcome Indicators - Section C '!G$1:G$100,MATCH($A238,'Outcome Indicators - Section C '!$A$1:$A$100,0))&lt;&gt;0,INDEX('Outcome Indicators - Section C '!G$1:G$100,MATCH($A238,'Outcome Indicators - Section C '!$A$1:$A$100,0)),""),"")</f>
        <v>HIV program annual report</v>
      </c>
      <c r="C244" s="609"/>
      <c r="D244" s="610"/>
      <c r="E244" s="608" t="str">
        <f ca="1">IFERROR(IF(AND('Overview - Section A'!AS$1="Grant Making",OR(B238&lt;&gt;"",E238&lt;&gt;"")),Setup!I15,IF(INDEX('Outcome Indicators - Section C '!I$1:I$100,MATCH($A238,'Outcome Indicators - Section C '!$A$1:$A$100,0))&lt;&gt;0,INDEX('Outcome Indicators - Section C '!I$1:I$100,MATCH($A238,'Outcome Indicators - Section C '!$A$1:$A$100,0)),"")),"")</f>
        <v>Ministry of Public Health, Hygiene and Prevention</v>
      </c>
      <c r="F244" s="609"/>
      <c r="G244" s="610"/>
    </row>
    <row r="245" spans="1:7" ht="18.75" customHeight="1">
      <c r="A245" s="607"/>
      <c r="B245" s="614"/>
      <c r="C245" s="615"/>
      <c r="D245" s="616"/>
      <c r="E245" s="614"/>
      <c r="F245" s="615"/>
      <c r="G245" s="616"/>
    </row>
    <row r="246" spans="1:7" ht="18.75" customHeight="1">
      <c r="A246" s="607"/>
      <c r="B246" s="74"/>
      <c r="C246" s="59" t="s">
        <v>5052</v>
      </c>
      <c r="D246" s="590" t="s">
        <v>5053</v>
      </c>
      <c r="E246" s="591"/>
      <c r="F246" s="591"/>
      <c r="G246" s="592"/>
    </row>
    <row r="247" spans="1:7" ht="18.75" customHeight="1">
      <c r="A247" s="607"/>
      <c r="B247" s="74" t="s">
        <v>2589</v>
      </c>
      <c r="C247" s="75">
        <f>IFERROR(IF(INDEX('Outcome Indicators - Section C '!F$1:F$100,MATCH($A238,'Outcome Indicators - Section C '!$A$1:$A$100,0))&lt;&gt;0,INDEX('Outcome Indicators - Section C '!F$1:F$100,MATCH($A238,'Outcome Indicators - Section C '!$A$1:$A$100,0)),""),"")</f>
        <v>2021</v>
      </c>
      <c r="D247" s="59">
        <f ca="1">IFERROR(IF(YEAR(INDEX('Overview - Section A'!$A$47:$A$54,MATCH('Print - Summary'!$H$10,'Overview - Section A'!$B$47:$B$54,0)))&lt;=YEAR('Overview - Section A'!$E$8),YEAR(INDEX('Overview - Section A'!$A$47:$A$54,MATCH('Print - Summary'!$H$10,'Overview - Section A'!$B$47:$B$54,0))),""),"")</f>
        <v>2024</v>
      </c>
      <c r="E247" s="59">
        <f ca="1">IFERROR(IF(D247+1&lt;=YEAR('Overview - Section A'!$E$8),D247+1,""),"")</f>
        <v>2025</v>
      </c>
      <c r="F247" s="59">
        <f ca="1">IFERROR(IF(E247+1&lt;=YEAR('Overview - Section A'!$E$8),E247+1,""),"")</f>
        <v>2026</v>
      </c>
      <c r="G247" s="59" t="str">
        <f ca="1">IFERROR(IF(F247+1&lt;=YEAR('Overview - Section A'!$E$8),F247+1,""),"")</f>
        <v/>
      </c>
    </row>
    <row r="248" spans="1:7" s="81" customFormat="1" ht="18.75" customHeight="1">
      <c r="A248" s="607"/>
      <c r="B248" s="74" t="s">
        <v>5054</v>
      </c>
      <c r="C248" s="80" t="str">
        <f>IFERROR(IF(INDEX('Outcome Indicators - Section C '!D$1:D$100,MATCH($A238,'Outcome Indicators - Section C '!$A$1:$A$100,0))&lt;&gt;"",FIXED(INDEX('Outcome Indicators - Section C '!D$1:D$100,MATCH($A238,'Outcome Indicators - Section C '!$A$1:$A$100,0)),4),""),"")</f>
        <v>459'868.0000</v>
      </c>
      <c r="D248" s="80" t="str">
        <f ca="1">IFERROR(IF(INDEX('Outcome Indicators - Section C '!K$1:K$100,MATCH($A238,'Outcome Indicators - Section C '!$A$1:$A$100,0))&lt;&gt;"",FIXED(INDEX('Outcome Indicators - Section C '!K$1:K$100,MATCH($A238,'Outcome Indicators - Section C '!$A$1:$A$100,0)),4),""),"")</f>
        <v>391'398.0367</v>
      </c>
      <c r="E248" s="80" t="str">
        <f ca="1">IFERROR(IF(INDEX('Outcome Indicators - Section C '!O$1:O$100,MATCH($A238,'Outcome Indicators - Section C '!$A$1:$A$100,0))&lt;&gt;"",FIXED(INDEX('Outcome Indicators - Section C '!O$1:O$100,MATCH($A238,'Outcome Indicators - Section C '!$A$1:$A$100,0)),4),""),"")</f>
        <v>409'604.6671</v>
      </c>
      <c r="F248" s="80" t="str">
        <f ca="1">IFERROR(IF(INDEX('Outcome Indicators - Section C '!S$1:S$100,MATCH($A238,'Outcome Indicators - Section C '!$A$1:$A$100,0))&lt;&gt;"",FIXED(INDEX('Outcome Indicators - Section C '!S$1:S$100,MATCH($A238,'Outcome Indicators - Section C '!$A$1:$A$100,0)),4),""),"")</f>
        <v>426'422.2775</v>
      </c>
      <c r="G248" s="80" t="str">
        <f ca="1">IFERROR(IF(INDEX('Outcome Indicators - Section C '!W$1:W$100,MATCH($A238,'Outcome Indicators - Section C '!$A$1:$A$100,0))&lt;&gt;"",FIXED(INDEX('Outcome Indicators - Section C '!W$1:W$100,MATCH($A238,'Outcome Indicators - Section C '!$A$1:$A$100,0)),4),""),"")</f>
        <v/>
      </c>
    </row>
    <row r="249" spans="1:7" s="79" customFormat="1" ht="18.75" customHeight="1">
      <c r="A249" s="607"/>
      <c r="B249" s="74" t="s">
        <v>5055</v>
      </c>
      <c r="C249" s="78" t="str">
        <f>IFERROR(IF(INDEX('Outcome Indicators - Section C '!D$1:D$100,MATCH($A238,'Outcome Indicators - Section C '!$A$1:$A$100,0)+1)&lt;&gt;"",FIXED(INDEX('Outcome Indicators - Section C '!D$1:D$100,MATCH($A238,'Outcome Indicators - Section C '!$A$1:$A$100,0)+1),2),""),"")</f>
        <v>541'829.00</v>
      </c>
      <c r="D249" s="78" t="str">
        <f ca="1">IFERROR(IF(INDEX('Outcome Indicators - Section C '!K$1:K$100,MATCH($A238,'Outcome Indicators - Section C '!$A$1:$A$100,0)+1)&lt;&gt;"",FIXED(INDEX('Outcome Indicators - Section C '!K$1:K$100,MATCH($A238,'Outcome Indicators - Section C '!$A$1:$A$100,0)+1),2),""),"")</f>
        <v>517'375.00</v>
      </c>
      <c r="E249" s="78" t="str">
        <f ca="1">IFERROR(IF(INDEX('Outcome Indicators - Section C '!O$1:O$100,MATCH($A238,'Outcome Indicators - Section C '!$A$1:$A$100,0)+1)&lt;&gt;"",FIXED(INDEX('Outcome Indicators - Section C '!O$1:O$100,MATCH($A238,'Outcome Indicators - Section C '!$A$1:$A$100,0)+1),2),""),"")</f>
        <v>517'111.00</v>
      </c>
      <c r="F249" s="78" t="str">
        <f ca="1">IFERROR(IF(INDEX('Outcome Indicators - Section C '!S$1:S$100,MATCH($A238,'Outcome Indicators - Section C '!$A$1:$A$100,0)+1)&lt;&gt;"",FIXED(INDEX('Outcome Indicators - Section C '!S$1:S$100,MATCH($A238,'Outcome Indicators - Section C '!$A$1:$A$100,0)+1),2),""),"")</f>
        <v>515'190.00</v>
      </c>
      <c r="G249" s="78" t="str">
        <f ca="1">IFERROR(IF(INDEX('Outcome Indicators - Section C '!W$1:W$100,MATCH($A238,'Outcome Indicators - Section C '!$A$1:$A$100,0)+1)&lt;&gt;"",FIXED(INDEX('Outcome Indicators - Section C '!W$1:W$100,MATCH($A238,'Outcome Indicators - Section C '!$A$1:$A$100,0)+1),2),""),"")</f>
        <v/>
      </c>
    </row>
    <row r="250" spans="1:7" ht="18.75" customHeight="1">
      <c r="A250" s="607"/>
      <c r="B250" s="74" t="s">
        <v>5056</v>
      </c>
      <c r="C250" s="75" t="str">
        <f ca="1">IFERROR(IF(INDEX('Outcome Indicators - Section C '!E$1:E$100,MATCH($A238,'Outcome Indicators - Section C '!$A$1:$A$100,0))&lt;&gt;"",FIXED(INDEX('Outcome Indicators - Section C '!E$1:E$100,MATCH($A238,'Outcome Indicators - Section C '!$A$1:$A$100,0))*100,2)&amp;"%",""),"")</f>
        <v>84.87%</v>
      </c>
      <c r="D250" s="75" t="str">
        <f ca="1">IFERROR(IF(INDEX('Outcome Indicators - Section C '!L$1:L$100,MATCH($A238,'Outcome Indicators - Section C '!$A$1:$A$100,0))&lt;&gt;"",FIXED(INDEX('Outcome Indicators - Section C '!L$1:L$100,MATCH($A238,'Outcome Indicators - Section C '!$A$1:$A$100,0))*100,2)&amp;"%",""),"")&amp;CHAR(10)&amp;IFERROR(IF(INDEX('Outcome Indicators - Section C '!N$1:N$100,MATCH($A238,'Outcome Indicators - Section C '!$A$1:$A$100,0))&lt;&gt;"",INDEX('Outcome Indicators - Section C '!N$1:N$100,MATCH($A238,'Outcome Indicators - Section C '!$A$1:$A$100,0)),""),"")&amp;CHAR(10)&amp;IFERROR(IF(INDEX('Outcome Indicators - Section C '!M$1:M$100,MATCH($A238,'Outcome Indicators - Section C '!$A$1:$A$100,0))&lt;&gt;"",TEXT(INDEX('Outcome Indicators - Section C '!M$1:M$100,MATCH($A238,'Outcome Indicators - Section C '!$A$1:$A$100,0)),Setup!$A$33),""),"")</f>
        <v xml:space="preserve">75.65%
</v>
      </c>
      <c r="E250" s="75" t="str">
        <f ca="1">IFERROR(IF(INDEX('Outcome Indicators - Section C '!P$1:P$100,MATCH($A238,'Outcome Indicators - Section C '!$A$1:$A$100,0))&lt;&gt;"",FIXED(INDEX('Outcome Indicators - Section C '!P$1:P$100,MATCH($A238,'Outcome Indicators - Section C '!$A$1:$A$100,0))*100,2)&amp;"%",""),)&amp;CHAR(10)&amp;IFERROR(IF(INDEX('Outcome Indicators - Section C '!R$1:R$100,MATCH($A238,'Outcome Indicators - Section C '!$A$1:$A$100,0))&lt;&gt;"",INDEX('Outcome Indicators - Section C '!R$1:R$100,MATCH($A238,'Outcome Indicators - Section C '!$A$1:$A$100,0)),""),"")&amp;CHAR(10)&amp;IFERROR(IF(INDEX('Outcome Indicators - Section C '!Q$1:Q$100,MATCH($A238,'Outcome Indicators - Section C '!$A$1:$A$100,0))&lt;&gt;"",TEXT(INDEX('Outcome Indicators - Section C '!Q$1:Q$100,MATCH($A238,'Outcome Indicators - Section C '!$A$1:$A$100,0)),Setup!$A$33),""),"")</f>
        <v xml:space="preserve">79.21%
</v>
      </c>
      <c r="F250" s="75" t="str">
        <f ca="1">IFERROR(IF(INDEX('Outcome Indicators - Section C '!T$1:T$100,MATCH($A238,'Outcome Indicators - Section C '!$A$1:$A$100,0))&lt;&gt;"",FIXED(INDEX('Outcome Indicators - Section C '!T$1:T$100,MATCH($A238,'Outcome Indicators - Section C '!$A$1:$A$100,0))*100,2)&amp;"%",""),)&amp;CHAR(10)&amp;IFERROR(IF(INDEX('Outcome Indicators - Section C '!V$1:V$100,MATCH($A238,'Outcome Indicators - Section C '!$A$1:$A$100,0))&lt;&gt;"",INDEX('Outcome Indicators - Section C '!V$1:V$100,MATCH($A238,'Outcome Indicators - Section C '!$A$1:$A$100,0)),""),"")&amp;CHAR(10)&amp;IFERROR(IF(INDEX('Outcome Indicators - Section C '!U$1:U$100,MATCH($A238,'Outcome Indicators - Section C '!$A$1:$A$100,0))&lt;&gt;"",TEXT(INDEX('Outcome Indicators - Section C '!U$1:U$100,MATCH($A238,'Outcome Indicators - Section C '!$A$1:$A$100,0)),Setup!$A$33),""),"")</f>
        <v xml:space="preserve">82.77%
</v>
      </c>
      <c r="G250" s="75" t="str">
        <f ca="1">IFERROR(IF(INDEX('Outcome Indicators - Section C '!X$1:X$100,MATCH($A238,'Outcome Indicators - Section C '!$A$1:$A$100,0))&lt;&gt;"",FIXED(INDEX('Outcome Indicators - Section C '!X$1:X$100,MATCH($A238,'Outcome Indicators - Section C '!$A$1:$A$100,0))*100,2)&amp;"%",""),"")&amp;CHAR(10)&amp;IFERROR(IF(INDEX('Outcome Indicators - Section C '!Z$1:Z$100,MATCH($A238,'Outcome Indicators - Section C '!$A$1:$A$100,0))&lt;&gt;"",INDEX('Outcome Indicators - Section C '!Z$1:Z$100,MATCH($A238,'Outcome Indicators - Section C '!$A$1:$A$100,0)),""),"")&amp;CHAR(10)&amp;IFERROR(IF(INDEX('Outcome Indicators - Section C '!Y$1:Y$100,MATCH($A238,'Outcome Indicators - Section C '!$A$1:$A$100,0))&lt;&gt;"",TEXT(INDEX('Outcome Indicators - Section C '!Y$1:Y$100,MATCH($A238,'Outcome Indicators - Section C '!$A$1:$A$100,0)),Setup!$A$33),""),"")</f>
        <v xml:space="preserve">
</v>
      </c>
    </row>
    <row r="251" spans="1:7" ht="18.75" customHeight="1">
      <c r="A251" s="607"/>
      <c r="B251" s="590" t="s">
        <v>176</v>
      </c>
      <c r="C251" s="591"/>
      <c r="D251" s="591"/>
      <c r="E251" s="591"/>
      <c r="F251" s="591"/>
      <c r="G251" s="592"/>
    </row>
    <row r="252" spans="1:7" ht="18.75" customHeight="1">
      <c r="A252" s="607"/>
      <c r="B252" s="608" t="str">
        <f>IFERROR(IF(INDEX('Outcome Indicators - Section C '!AA$1:AA$100,MATCH($A238,'Outcome Indicators - Section C '!$A$1:$A$100,0))&lt;&gt;0,INDEX('Outcome Indicators - Section C '!AA$1:AA$100,MATCH($A238,'Outcome Indicators - Section C '!$A$1:$A$100,0)),""),"")</f>
        <v>N: Number of people living with HIV who know their HIV status
D: Number of people living with HIV
The contribution of the GF to knowledge of HIV status will be: 265,893 in 2024; 271,696 in 2025 and 276,573 in 2026.</v>
      </c>
      <c r="C252" s="609"/>
      <c r="D252" s="609"/>
      <c r="E252" s="609"/>
      <c r="F252" s="609"/>
      <c r="G252" s="610"/>
    </row>
    <row r="253" spans="1:7" ht="18.75" customHeight="1">
      <c r="A253" s="607"/>
      <c r="B253" s="611"/>
      <c r="C253" s="612"/>
      <c r="D253" s="612"/>
      <c r="E253" s="612"/>
      <c r="F253" s="612"/>
      <c r="G253" s="613"/>
    </row>
    <row r="254" spans="1:7" ht="18.75" customHeight="1">
      <c r="A254" s="607"/>
      <c r="B254" s="611"/>
      <c r="C254" s="612"/>
      <c r="D254" s="612"/>
      <c r="E254" s="612"/>
      <c r="F254" s="612"/>
      <c r="G254" s="613"/>
    </row>
    <row r="255" spans="1:7" ht="18.75" customHeight="1">
      <c r="A255" s="607"/>
      <c r="B255" s="611"/>
      <c r="C255" s="612"/>
      <c r="D255" s="612"/>
      <c r="E255" s="612"/>
      <c r="F255" s="612"/>
      <c r="G255" s="613"/>
    </row>
    <row r="256" spans="1:7" ht="18.75" customHeight="1">
      <c r="A256" s="607"/>
      <c r="B256" s="611"/>
      <c r="C256" s="612"/>
      <c r="D256" s="612"/>
      <c r="E256" s="612"/>
      <c r="F256" s="612"/>
      <c r="G256" s="613"/>
    </row>
    <row r="257" spans="1:7" ht="18.75" customHeight="1">
      <c r="A257" s="607"/>
      <c r="B257" s="611"/>
      <c r="C257" s="612"/>
      <c r="D257" s="612"/>
      <c r="E257" s="612"/>
      <c r="F257" s="612"/>
      <c r="G257" s="613"/>
    </row>
    <row r="258" spans="1:7" ht="18.75" customHeight="1">
      <c r="A258" s="607"/>
      <c r="B258" s="611"/>
      <c r="C258" s="612"/>
      <c r="D258" s="612"/>
      <c r="E258" s="612"/>
      <c r="F258" s="612"/>
      <c r="G258" s="613"/>
    </row>
    <row r="259" spans="1:7" ht="18.75" customHeight="1">
      <c r="A259" s="607"/>
      <c r="B259" s="611"/>
      <c r="C259" s="612"/>
      <c r="D259" s="612"/>
      <c r="E259" s="612"/>
      <c r="F259" s="612"/>
      <c r="G259" s="613"/>
    </row>
    <row r="260" spans="1:7" ht="18.75" customHeight="1">
      <c r="A260" s="607"/>
      <c r="B260" s="611"/>
      <c r="C260" s="612"/>
      <c r="D260" s="612"/>
      <c r="E260" s="612"/>
      <c r="F260" s="612"/>
      <c r="G260" s="613"/>
    </row>
    <row r="261" spans="1:7" ht="18.75" customHeight="1">
      <c r="A261" s="624"/>
      <c r="B261" s="614"/>
      <c r="C261" s="615"/>
      <c r="D261" s="615"/>
      <c r="E261" s="615"/>
      <c r="F261" s="615"/>
      <c r="G261" s="616"/>
    </row>
    <row r="262" spans="1:7" ht="18.75" customHeight="1">
      <c r="A262" s="590"/>
      <c r="B262" s="591"/>
      <c r="C262" s="591"/>
      <c r="D262" s="591"/>
      <c r="E262" s="591"/>
      <c r="F262" s="591"/>
      <c r="G262" s="592"/>
    </row>
    <row r="264" spans="1:7" ht="18.75" customHeight="1">
      <c r="A264" s="73" t="s">
        <v>5051</v>
      </c>
      <c r="B264" s="590" t="s">
        <v>765</v>
      </c>
      <c r="C264" s="591"/>
      <c r="D264" s="592"/>
      <c r="E264" s="590" t="s">
        <v>766</v>
      </c>
      <c r="F264" s="591"/>
      <c r="G264" s="592"/>
    </row>
    <row r="265" spans="1:7" ht="18.75" customHeight="1">
      <c r="A265" s="606">
        <v>10</v>
      </c>
      <c r="B265" s="608" t="str">
        <f ca="1">IFERROR(IF(INDEX('Outcome Indicators - Section C '!B$1:B$100,MATCH($A265,'Outcome Indicators - Section C '!$A$1:$A$100,0))&lt;&gt;0,INDEX('Outcome Indicators - Section C '!B$1:B$100,MATCH($A265,'Outcome Indicators - Section C '!$A$1:$A$100,0)),""),"")</f>
        <v>HIV O-12 Percentage of people living with HIV and on ART who are virologically suppressed</v>
      </c>
      <c r="C265" s="609"/>
      <c r="D265" s="610"/>
      <c r="E265" s="608" t="str">
        <f>IFERROR(IF(INDEX('Outcome Indicators - Section C '!C$1:C$100,MATCH($A265,'Outcome Indicators - Section C '!$A$1:$A$100,0))&lt;&gt;0,INDEX('Outcome Indicators - Section C '!C$1:C$100,MATCH($A265,'Outcome Indicators - Section C '!$A$1:$A$100,0)),""),"")</f>
        <v/>
      </c>
      <c r="F265" s="609"/>
      <c r="G265" s="610"/>
    </row>
    <row r="266" spans="1:7" ht="18.75" customHeight="1">
      <c r="A266" s="607"/>
      <c r="B266" s="611"/>
      <c r="C266" s="612"/>
      <c r="D266" s="613"/>
      <c r="E266" s="611"/>
      <c r="F266" s="612"/>
      <c r="G266" s="613"/>
    </row>
    <row r="267" spans="1:7" ht="18.75" customHeight="1">
      <c r="A267" s="607"/>
      <c r="B267" s="614"/>
      <c r="C267" s="615"/>
      <c r="D267" s="616"/>
      <c r="E267" s="614"/>
      <c r="F267" s="615"/>
      <c r="G267" s="616"/>
    </row>
    <row r="268" spans="1:7" ht="18.75" customHeight="1">
      <c r="A268" s="607"/>
      <c r="B268" s="590" t="s">
        <v>769</v>
      </c>
      <c r="C268" s="591"/>
      <c r="D268" s="592"/>
      <c r="E268" s="590" t="s">
        <v>127</v>
      </c>
      <c r="F268" s="591"/>
      <c r="G268" s="592"/>
    </row>
    <row r="269" spans="1:7" ht="18.75" customHeight="1">
      <c r="A269" s="607"/>
      <c r="B269" s="617" t="str">
        <f>IFERROR(IF(INDEX('Outcome Indicators - Section C '!H$1:H$100,MATCH($A265,'Outcome Indicators - Section C '!$A$1:$A$100,0))&lt;&gt;0,INDEX('Outcome Indicators - Section C '!H$1:H$100,MATCH($A265,'Outcome Indicators - Section C '!$A$1:$A$100,0)),""),"")</f>
        <v>Gender | Age,Age</v>
      </c>
      <c r="C269" s="603"/>
      <c r="D269" s="604"/>
      <c r="E269" s="617" t="str">
        <f>IFERROR(IF(INDEX('Outcome Indicators - Section C '!J$9:J$38,MATCH($A265,'Outcome Indicators - Section C '!$A$9:$A$100,0))&lt;&gt;0,INDEX('Outcome Indicators - Section C '!J$9:J$38,MATCH($A265,'Outcome Indicators - Section C '!$A$9:$A$100,0)),""),"")</f>
        <v>Congo (Democratic Republic)</v>
      </c>
      <c r="F269" s="603"/>
      <c r="G269" s="604"/>
    </row>
    <row r="270" spans="1:7" ht="18.75" customHeight="1">
      <c r="A270" s="607"/>
      <c r="B270" s="590" t="s">
        <v>199</v>
      </c>
      <c r="C270" s="591"/>
      <c r="D270" s="592"/>
      <c r="E270" s="590" t="s">
        <v>120</v>
      </c>
      <c r="F270" s="591"/>
      <c r="G270" s="592"/>
    </row>
    <row r="271" spans="1:7" ht="18.75" customHeight="1">
      <c r="A271" s="607"/>
      <c r="B271" s="608" t="str">
        <f>IFERROR(IF(INDEX('Outcome Indicators - Section C '!G$1:G$100,MATCH($A265,'Outcome Indicators - Section C '!$A$1:$A$100,0))&lt;&gt;0,INDEX('Outcome Indicators - Section C '!G$1:G$100,MATCH($A265,'Outcome Indicators - Section C '!$A$1:$A$100,0)),""),"")</f>
        <v>HIV program annual report</v>
      </c>
      <c r="C271" s="609"/>
      <c r="D271" s="610"/>
      <c r="E271" s="608" t="str">
        <f ca="1">IFERROR(IF(AND('Overview - Section A'!AS$1="Grant Making",OR(B265&lt;&gt;"",E265&lt;&gt;"")),Setup!I15,IF(INDEX('Outcome Indicators - Section C '!I$1:I$100,MATCH($A265,'Outcome Indicators - Section C '!$A$1:$A$100,0))&lt;&gt;0,INDEX('Outcome Indicators - Section C '!I$1:I$100,MATCH($A265,'Outcome Indicators - Section C '!$A$1:$A$100,0)),"")),"")</f>
        <v>Ministry of Public Health, Hygiene and Prevention</v>
      </c>
      <c r="F271" s="609"/>
      <c r="G271" s="610"/>
    </row>
    <row r="272" spans="1:7" ht="18.75" customHeight="1">
      <c r="A272" s="607"/>
      <c r="B272" s="614"/>
      <c r="C272" s="615"/>
      <c r="D272" s="616"/>
      <c r="E272" s="614"/>
      <c r="F272" s="615"/>
      <c r="G272" s="616"/>
    </row>
    <row r="273" spans="1:7" ht="18.75" customHeight="1">
      <c r="A273" s="607"/>
      <c r="B273" s="74"/>
      <c r="C273" s="59" t="s">
        <v>5052</v>
      </c>
      <c r="D273" s="590" t="s">
        <v>5053</v>
      </c>
      <c r="E273" s="591"/>
      <c r="F273" s="591"/>
      <c r="G273" s="592"/>
    </row>
    <row r="274" spans="1:7" ht="18.75" customHeight="1">
      <c r="A274" s="607"/>
      <c r="B274" s="74" t="s">
        <v>2589</v>
      </c>
      <c r="C274" s="75">
        <f>IFERROR(IF(INDEX('Outcome Indicators - Section C '!F$1:F$100,MATCH($A265,'Outcome Indicators - Section C '!$A$1:$A$100,0))&lt;&gt;0,INDEX('Outcome Indicators - Section C '!F$1:F$100,MATCH($A265,'Outcome Indicators - Section C '!$A$1:$A$100,0)),""),"")</f>
        <v>2022</v>
      </c>
      <c r="D274" s="59">
        <f ca="1">IFERROR(IF(YEAR(INDEX('Overview - Section A'!$A$47:$A$54,MATCH('Print - Summary'!$H$10,'Overview - Section A'!$B$47:$B$54,0)))&lt;=YEAR('Overview - Section A'!$E$8),YEAR(INDEX('Overview - Section A'!$A$47:$A$54,MATCH('Print - Summary'!$H$10,'Overview - Section A'!$B$47:$B$54,0))),""),"")</f>
        <v>2024</v>
      </c>
      <c r="E274" s="59">
        <f ca="1">IFERROR(IF(D274+1&lt;=YEAR('Overview - Section A'!$E$8),D274+1,""),"")</f>
        <v>2025</v>
      </c>
      <c r="F274" s="59">
        <f ca="1">IFERROR(IF(E274+1&lt;=YEAR('Overview - Section A'!$E$8),E274+1,""),"")</f>
        <v>2026</v>
      </c>
      <c r="G274" s="59" t="str">
        <f ca="1">IFERROR(IF(F274+1&lt;=YEAR('Overview - Section A'!$E$8),F274+1,""),"")</f>
        <v/>
      </c>
    </row>
    <row r="275" spans="1:7" s="81" customFormat="1" ht="18.75" customHeight="1">
      <c r="A275" s="607"/>
      <c r="B275" s="74" t="s">
        <v>5054</v>
      </c>
      <c r="C275" s="80" t="str">
        <f>IFERROR(IF(INDEX('Outcome Indicators - Section C '!D$1:D$100,MATCH($A265,'Outcome Indicators - Section C '!$A$1:$A$100,0))&lt;&gt;"",FIXED(INDEX('Outcome Indicators - Section C '!D$1:D$100,MATCH($A265,'Outcome Indicators - Section C '!$A$1:$A$100,0)),4),""),"")</f>
        <v>395'603.1397</v>
      </c>
      <c r="D275" s="80" t="str">
        <f ca="1">IFERROR(IF(INDEX('Outcome Indicators - Section C '!K$1:K$100,MATCH($A265,'Outcome Indicators - Section C '!$A$1:$A$100,0))&lt;&gt;"",FIXED(INDEX('Outcome Indicators - Section C '!K$1:K$100,MATCH($A265,'Outcome Indicators - Section C '!$A$1:$A$100,0)),4),""),"")</f>
        <v/>
      </c>
      <c r="E275" s="80" t="str">
        <f ca="1">IFERROR(IF(INDEX('Outcome Indicators - Section C '!O$1:O$100,MATCH($A265,'Outcome Indicators - Section C '!$A$1:$A$100,0))&lt;&gt;"",FIXED(INDEX('Outcome Indicators - Section C '!O$1:O$100,MATCH($A265,'Outcome Indicators - Section C '!$A$1:$A$100,0)),4),""),"")</f>
        <v/>
      </c>
      <c r="F275" s="80" t="str">
        <f ca="1">IFERROR(IF(INDEX('Outcome Indicators - Section C '!S$1:S$100,MATCH($A265,'Outcome Indicators - Section C '!$A$1:$A$100,0))&lt;&gt;"",FIXED(INDEX('Outcome Indicators - Section C '!S$1:S$100,MATCH($A265,'Outcome Indicators - Section C '!$A$1:$A$100,0)),4),""),"")</f>
        <v/>
      </c>
      <c r="G275" s="80" t="str">
        <f ca="1">IFERROR(IF(INDEX('Outcome Indicators - Section C '!W$1:W$100,MATCH($A265,'Outcome Indicators - Section C '!$A$1:$A$100,0))&lt;&gt;"",FIXED(INDEX('Outcome Indicators - Section C '!W$1:W$100,MATCH($A265,'Outcome Indicators - Section C '!$A$1:$A$100,0)),4),""),"")</f>
        <v/>
      </c>
    </row>
    <row r="276" spans="1:7" s="79" customFormat="1" ht="18.75" customHeight="1">
      <c r="A276" s="607"/>
      <c r="B276" s="74" t="s">
        <v>5055</v>
      </c>
      <c r="C276" s="78" t="str">
        <f>IFERROR(IF(INDEX('Outcome Indicators - Section C '!D$1:D$100,MATCH($A265,'Outcome Indicators - Section C '!$A$1:$A$100,0)+1)&lt;&gt;"",FIXED(INDEX('Outcome Indicators - Section C '!D$1:D$100,MATCH($A265,'Outcome Indicators - Section C '!$A$1:$A$100,0)+1),2),""),"")</f>
        <v>541'829.00</v>
      </c>
      <c r="D276" s="78" t="str">
        <f ca="1">IFERROR(IF(INDEX('Outcome Indicators - Section C '!K$1:K$100,MATCH($A265,'Outcome Indicators - Section C '!$A$1:$A$100,0)+1)&lt;&gt;"",FIXED(INDEX('Outcome Indicators - Section C '!K$1:K$100,MATCH($A265,'Outcome Indicators - Section C '!$A$1:$A$100,0)+1),2),""),"")</f>
        <v/>
      </c>
      <c r="E276" s="78" t="str">
        <f ca="1">IFERROR(IF(INDEX('Outcome Indicators - Section C '!O$1:O$100,MATCH($A265,'Outcome Indicators - Section C '!$A$1:$A$100,0)+1)&lt;&gt;"",FIXED(INDEX('Outcome Indicators - Section C '!O$1:O$100,MATCH($A265,'Outcome Indicators - Section C '!$A$1:$A$100,0)+1),2),""),"")</f>
        <v/>
      </c>
      <c r="F276" s="78" t="str">
        <f ca="1">IFERROR(IF(INDEX('Outcome Indicators - Section C '!S$1:S$100,MATCH($A265,'Outcome Indicators - Section C '!$A$1:$A$100,0)+1)&lt;&gt;"",FIXED(INDEX('Outcome Indicators - Section C '!S$1:S$100,MATCH($A265,'Outcome Indicators - Section C '!$A$1:$A$100,0)+1),2),""),"")</f>
        <v/>
      </c>
      <c r="G276" s="78" t="str">
        <f ca="1">IFERROR(IF(INDEX('Outcome Indicators - Section C '!W$1:W$100,MATCH($A265,'Outcome Indicators - Section C '!$A$1:$A$100,0)+1)&lt;&gt;"",FIXED(INDEX('Outcome Indicators - Section C '!W$1:W$100,MATCH($A265,'Outcome Indicators - Section C '!$A$1:$A$100,0)+1),2),""),"")</f>
        <v/>
      </c>
    </row>
    <row r="277" spans="1:7" ht="18.75" customHeight="1">
      <c r="A277" s="607"/>
      <c r="B277" s="74" t="s">
        <v>5056</v>
      </c>
      <c r="C277" s="75" t="str">
        <f ca="1">IFERROR(IF(INDEX('Outcome Indicators - Section C '!E$1:E$100,MATCH($A265,'Outcome Indicators - Section C '!$A$1:$A$100,0))&lt;&gt;"",FIXED(INDEX('Outcome Indicators - Section C '!E$1:E$100,MATCH($A265,'Outcome Indicators - Section C '!$A$1:$A$100,0))*100,2)&amp;"%",""),"")</f>
        <v>73.01%</v>
      </c>
      <c r="D277" s="75" t="str">
        <f ca="1">IFERROR(IF(INDEX('Outcome Indicators - Section C '!L$1:L$100,MATCH($A265,'Outcome Indicators - Section C '!$A$1:$A$100,0))&lt;&gt;"",FIXED(INDEX('Outcome Indicators - Section C '!L$1:L$100,MATCH($A265,'Outcome Indicators - Section C '!$A$1:$A$100,0))*100,2)&amp;"%",""),"")&amp;CHAR(10)&amp;IFERROR(IF(INDEX('Outcome Indicators - Section C '!N$1:N$100,MATCH($A265,'Outcome Indicators - Section C '!$A$1:$A$100,0))&lt;&gt;"",INDEX('Outcome Indicators - Section C '!N$1:N$100,MATCH($A265,'Outcome Indicators - Section C '!$A$1:$A$100,0)),""),"")&amp;CHAR(10)&amp;IFERROR(IF(INDEX('Outcome Indicators - Section C '!M$1:M$100,MATCH($A265,'Outcome Indicators - Section C '!$A$1:$A$100,0))&lt;&gt;"",TEXT(INDEX('Outcome Indicators - Section C '!M$1:M$100,MATCH($A265,'Outcome Indicators - Section C '!$A$1:$A$100,0)),Setup!$A$33),""),"")</f>
        <v xml:space="preserve">
</v>
      </c>
      <c r="E277" s="75" t="str">
        <f ca="1">IFERROR(IF(INDEX('Outcome Indicators - Section C '!P$1:P$100,MATCH($A265,'Outcome Indicators - Section C '!$A$1:$A$100,0))&lt;&gt;"",FIXED(INDEX('Outcome Indicators - Section C '!P$1:P$100,MATCH($A265,'Outcome Indicators - Section C '!$A$1:$A$100,0))*100,2)&amp;"%",""),)&amp;CHAR(10)&amp;IFERROR(IF(INDEX('Outcome Indicators - Section C '!R$1:R$100,MATCH($A265,'Outcome Indicators - Section C '!$A$1:$A$100,0))&lt;&gt;"",INDEX('Outcome Indicators - Section C '!R$1:R$100,MATCH($A265,'Outcome Indicators - Section C '!$A$1:$A$100,0)),""),"")&amp;CHAR(10)&amp;IFERROR(IF(INDEX('Outcome Indicators - Section C '!Q$1:Q$100,MATCH($A265,'Outcome Indicators - Section C '!$A$1:$A$100,0))&lt;&gt;"",TEXT(INDEX('Outcome Indicators - Section C '!Q$1:Q$100,MATCH($A265,'Outcome Indicators - Section C '!$A$1:$A$100,0)),Setup!$A$33),""),"")</f>
        <v xml:space="preserve">
TBD
</v>
      </c>
      <c r="F277" s="75" t="str">
        <f ca="1">IFERROR(IF(INDEX('Outcome Indicators - Section C '!T$1:T$100,MATCH($A265,'Outcome Indicators - Section C '!$A$1:$A$100,0))&lt;&gt;"",FIXED(INDEX('Outcome Indicators - Section C '!T$1:T$100,MATCH($A265,'Outcome Indicators - Section C '!$A$1:$A$100,0))*100,2)&amp;"%",""),)&amp;CHAR(10)&amp;IFERROR(IF(INDEX('Outcome Indicators - Section C '!V$1:V$100,MATCH($A265,'Outcome Indicators - Section C '!$A$1:$A$100,0))&lt;&gt;"",INDEX('Outcome Indicators - Section C '!V$1:V$100,MATCH($A265,'Outcome Indicators - Section C '!$A$1:$A$100,0)),""),"")&amp;CHAR(10)&amp;IFERROR(IF(INDEX('Outcome Indicators - Section C '!U$1:U$100,MATCH($A265,'Outcome Indicators - Section C '!$A$1:$A$100,0))&lt;&gt;"",TEXT(INDEX('Outcome Indicators - Section C '!U$1:U$100,MATCH($A265,'Outcome Indicators - Section C '!$A$1:$A$100,0)),Setup!$A$33),""),"")</f>
        <v xml:space="preserve">
</v>
      </c>
      <c r="G277" s="75" t="str">
        <f ca="1">IFERROR(IF(INDEX('Outcome Indicators - Section C '!X$1:X$100,MATCH($A265,'Outcome Indicators - Section C '!$A$1:$A$100,0))&lt;&gt;"",FIXED(INDEX('Outcome Indicators - Section C '!X$1:X$100,MATCH($A265,'Outcome Indicators - Section C '!$A$1:$A$100,0))*100,2)&amp;"%",""),"")&amp;CHAR(10)&amp;IFERROR(IF(INDEX('Outcome Indicators - Section C '!Z$1:Z$100,MATCH($A265,'Outcome Indicators - Section C '!$A$1:$A$100,0))&lt;&gt;"",INDEX('Outcome Indicators - Section C '!Z$1:Z$100,MATCH($A265,'Outcome Indicators - Section C '!$A$1:$A$100,0)),""),"")&amp;CHAR(10)&amp;IFERROR(IF(INDEX('Outcome Indicators - Section C '!Y$1:Y$100,MATCH($A265,'Outcome Indicators - Section C '!$A$1:$A$100,0))&lt;&gt;"",TEXT(INDEX('Outcome Indicators - Section C '!Y$1:Y$100,MATCH($A265,'Outcome Indicators - Section C '!$A$1:$A$100,0)),Setup!$A$33),""),"")</f>
        <v xml:space="preserve">
</v>
      </c>
    </row>
    <row r="278" spans="1:7" ht="18.75" customHeight="1">
      <c r="A278" s="607"/>
      <c r="B278" s="590" t="s">
        <v>176</v>
      </c>
      <c r="C278" s="591"/>
      <c r="D278" s="591"/>
      <c r="E278" s="591"/>
      <c r="F278" s="591"/>
      <c r="G278" s="592"/>
    </row>
    <row r="279" spans="1:7" ht="18.75" customHeight="1">
      <c r="A279" s="607"/>
      <c r="B279" s="608" t="str">
        <f>IFERROR(IF(INDEX('Outcome Indicators - Section C '!AA$1:AA$100,MATCH($A265,'Outcome Indicators - Section C '!$A$1:$A$100,0))&lt;&gt;0,INDEX('Outcome Indicators - Section C '!AA$1:AA$100,MATCH($A265,'Outcome Indicators - Section C '!$A$1:$A$100,0)),""),"")</f>
        <v>N: Number of people living with HIV who were started on ART 12 months prior to the start of the reporting period and have suppressed viral load
D: Number of people living with HIV who were started on ART 12 months prior to the beginning of the reporting year
The contribution of the GF to viral load access will be: 79,159 (30%) in 2024; 16,080 (50%) in 2025 and 268,311 (70%) in 2026</v>
      </c>
      <c r="C279" s="609"/>
      <c r="D279" s="609"/>
      <c r="E279" s="609"/>
      <c r="F279" s="609"/>
      <c r="G279" s="610"/>
    </row>
    <row r="280" spans="1:7" ht="18.75" customHeight="1">
      <c r="A280" s="607"/>
      <c r="B280" s="611"/>
      <c r="C280" s="612"/>
      <c r="D280" s="612"/>
      <c r="E280" s="612"/>
      <c r="F280" s="612"/>
      <c r="G280" s="613"/>
    </row>
    <row r="281" spans="1:7" ht="18.75" customHeight="1">
      <c r="A281" s="607"/>
      <c r="B281" s="611"/>
      <c r="C281" s="612"/>
      <c r="D281" s="612"/>
      <c r="E281" s="612"/>
      <c r="F281" s="612"/>
      <c r="G281" s="613"/>
    </row>
    <row r="282" spans="1:7" ht="18.75" customHeight="1">
      <c r="A282" s="607"/>
      <c r="B282" s="611"/>
      <c r="C282" s="612"/>
      <c r="D282" s="612"/>
      <c r="E282" s="612"/>
      <c r="F282" s="612"/>
      <c r="G282" s="613"/>
    </row>
    <row r="283" spans="1:7" ht="18.75" customHeight="1">
      <c r="A283" s="607"/>
      <c r="B283" s="611"/>
      <c r="C283" s="612"/>
      <c r="D283" s="612"/>
      <c r="E283" s="612"/>
      <c r="F283" s="612"/>
      <c r="G283" s="613"/>
    </row>
    <row r="284" spans="1:7" ht="18.75" customHeight="1">
      <c r="A284" s="607"/>
      <c r="B284" s="611"/>
      <c r="C284" s="612"/>
      <c r="D284" s="612"/>
      <c r="E284" s="612"/>
      <c r="F284" s="612"/>
      <c r="G284" s="613"/>
    </row>
    <row r="285" spans="1:7" ht="18.75" customHeight="1">
      <c r="A285" s="607"/>
      <c r="B285" s="611"/>
      <c r="C285" s="612"/>
      <c r="D285" s="612"/>
      <c r="E285" s="612"/>
      <c r="F285" s="612"/>
      <c r="G285" s="613"/>
    </row>
    <row r="286" spans="1:7" ht="18.75" customHeight="1">
      <c r="A286" s="607"/>
      <c r="B286" s="611"/>
      <c r="C286" s="612"/>
      <c r="D286" s="612"/>
      <c r="E286" s="612"/>
      <c r="F286" s="612"/>
      <c r="G286" s="613"/>
    </row>
    <row r="287" spans="1:7" ht="18.75" customHeight="1">
      <c r="A287" s="607"/>
      <c r="B287" s="611"/>
      <c r="C287" s="612"/>
      <c r="D287" s="612"/>
      <c r="E287" s="612"/>
      <c r="F287" s="612"/>
      <c r="G287" s="613"/>
    </row>
    <row r="288" spans="1:7" ht="18.75" customHeight="1">
      <c r="A288" s="624"/>
      <c r="B288" s="614"/>
      <c r="C288" s="615"/>
      <c r="D288" s="615"/>
      <c r="E288" s="615"/>
      <c r="F288" s="615"/>
      <c r="G288" s="616"/>
    </row>
    <row r="289" spans="1:7" ht="18.75" customHeight="1">
      <c r="A289" s="590"/>
      <c r="B289" s="591"/>
      <c r="C289" s="591"/>
      <c r="D289" s="591"/>
      <c r="E289" s="591"/>
      <c r="F289" s="591"/>
      <c r="G289" s="592"/>
    </row>
    <row r="291" spans="1:7" ht="18.75" customHeight="1">
      <c r="A291" s="73" t="s">
        <v>5051</v>
      </c>
      <c r="B291" s="590" t="s">
        <v>765</v>
      </c>
      <c r="C291" s="591"/>
      <c r="D291" s="592"/>
      <c r="E291" s="590" t="s">
        <v>766</v>
      </c>
      <c r="F291" s="591"/>
      <c r="G291" s="592"/>
    </row>
    <row r="292" spans="1:7" ht="18.75" customHeight="1">
      <c r="A292" s="606">
        <v>11</v>
      </c>
      <c r="B292" s="608" t="str">
        <f ca="1">IFERROR(IF(INDEX('Outcome Indicators - Section C '!B$1:B$100,MATCH($A292,'Outcome Indicators - Section C '!$A$1:$A$100,0))&lt;&gt;0,INDEX('Outcome Indicators - Section C '!B$1:B$100,MATCH($A292,'Outcome Indicators - Section C '!$A$1:$A$100,0)),""),"")</f>
        <v>HIV O-16a Percentage of men who have sex with men who avoid health care because of stigma and discrimination</v>
      </c>
      <c r="C292" s="609"/>
      <c r="D292" s="610"/>
      <c r="E292" s="608" t="str">
        <f>IFERROR(IF(INDEX('Outcome Indicators - Section C '!C$1:C$100,MATCH($A292,'Outcome Indicators - Section C '!$A$1:$A$100,0))&lt;&gt;0,INDEX('Outcome Indicators - Section C '!C$1:C$100,MATCH($A292,'Outcome Indicators - Section C '!$A$1:$A$100,0)),""),"")</f>
        <v/>
      </c>
      <c r="F292" s="609"/>
      <c r="G292" s="610"/>
    </row>
    <row r="293" spans="1:7" ht="18.75" customHeight="1">
      <c r="A293" s="607"/>
      <c r="B293" s="611"/>
      <c r="C293" s="612"/>
      <c r="D293" s="613"/>
      <c r="E293" s="611"/>
      <c r="F293" s="612"/>
      <c r="G293" s="613"/>
    </row>
    <row r="294" spans="1:7" ht="18.75" customHeight="1">
      <c r="A294" s="607"/>
      <c r="B294" s="614"/>
      <c r="C294" s="615"/>
      <c r="D294" s="616"/>
      <c r="E294" s="614"/>
      <c r="F294" s="615"/>
      <c r="G294" s="616"/>
    </row>
    <row r="295" spans="1:7" ht="18.75" customHeight="1">
      <c r="A295" s="607"/>
      <c r="B295" s="590" t="s">
        <v>769</v>
      </c>
      <c r="C295" s="591"/>
      <c r="D295" s="592"/>
      <c r="E295" s="590" t="s">
        <v>127</v>
      </c>
      <c r="F295" s="591"/>
      <c r="G295" s="592"/>
    </row>
    <row r="296" spans="1:7" ht="18.75" customHeight="1">
      <c r="A296" s="607"/>
      <c r="B296" s="617" t="str">
        <f>IFERROR(IF(INDEX('Outcome Indicators - Section C '!H$1:H$100,MATCH($A292,'Outcome Indicators - Section C '!$A$1:$A$100,0))&lt;&gt;0,INDEX('Outcome Indicators - Section C '!H$1:H$100,MATCH($A292,'Outcome Indicators - Section C '!$A$1:$A$100,0)),""),"")</f>
        <v>Age</v>
      </c>
      <c r="C296" s="603"/>
      <c r="D296" s="604"/>
      <c r="E296" s="617" t="str">
        <f>IFERROR(IF(INDEX('Outcome Indicators - Section C '!J$9:J$38,MATCH($A292,'Outcome Indicators - Section C '!$A$9:$A$100,0))&lt;&gt;0,INDEX('Outcome Indicators - Section C '!J$9:J$38,MATCH($A292,'Outcome Indicators - Section C '!$A$9:$A$100,0)),""),"")</f>
        <v>Congo (Democratic Republic)</v>
      </c>
      <c r="F296" s="603"/>
      <c r="G296" s="604"/>
    </row>
    <row r="297" spans="1:7" ht="18.75" customHeight="1">
      <c r="A297" s="607"/>
      <c r="B297" s="590" t="s">
        <v>199</v>
      </c>
      <c r="C297" s="591"/>
      <c r="D297" s="592"/>
      <c r="E297" s="590" t="s">
        <v>120</v>
      </c>
      <c r="F297" s="591"/>
      <c r="G297" s="592"/>
    </row>
    <row r="298" spans="1:7" ht="18.75" customHeight="1">
      <c r="A298" s="607"/>
      <c r="B298" s="608" t="str">
        <f>IFERROR(IF(INDEX('Outcome Indicators - Section C '!G$1:G$100,MATCH($A292,'Outcome Indicators - Section C '!$A$1:$A$100,0))&lt;&gt;0,INDEX('Outcome Indicators - Section C '!G$1:G$100,MATCH($A292,'Outcome Indicators - Section C '!$A$1:$A$100,0)),""),"")</f>
        <v>Data Not Available</v>
      </c>
      <c r="C298" s="609"/>
      <c r="D298" s="610"/>
      <c r="E298" s="608" t="str">
        <f ca="1">IFERROR(IF(AND('Overview - Section A'!AS$1="Grant Making",OR(B292&lt;&gt;"",E292&lt;&gt;"")),Setup!I15,IF(INDEX('Outcome Indicators - Section C '!I$1:I$100,MATCH($A292,'Outcome Indicators - Section C '!$A$1:$A$100,0))&lt;&gt;0,INDEX('Outcome Indicators - Section C '!I$1:I$100,MATCH($A292,'Outcome Indicators - Section C '!$A$1:$A$100,0)),"")),"")</f>
        <v>Ministry of Public Health, Hygiene and Prevention</v>
      </c>
      <c r="F298" s="609"/>
      <c r="G298" s="610"/>
    </row>
    <row r="299" spans="1:7" ht="18.75" customHeight="1">
      <c r="A299" s="607"/>
      <c r="B299" s="614"/>
      <c r="C299" s="615"/>
      <c r="D299" s="616"/>
      <c r="E299" s="614"/>
      <c r="F299" s="615"/>
      <c r="G299" s="616"/>
    </row>
    <row r="300" spans="1:7" ht="18.75" customHeight="1">
      <c r="A300" s="607"/>
      <c r="B300" s="74"/>
      <c r="C300" s="59" t="s">
        <v>5052</v>
      </c>
      <c r="D300" s="590" t="s">
        <v>5053</v>
      </c>
      <c r="E300" s="591"/>
      <c r="F300" s="591"/>
      <c r="G300" s="592"/>
    </row>
    <row r="301" spans="1:7" ht="18.75" customHeight="1">
      <c r="A301" s="607"/>
      <c r="B301" s="74" t="s">
        <v>2589</v>
      </c>
      <c r="C301" s="75" t="str">
        <f>IFERROR(IF(INDEX('Outcome Indicators - Section C '!F$1:F$100,MATCH($A292,'Outcome Indicators - Section C '!$A$1:$A$100,0))&lt;&gt;0,INDEX('Outcome Indicators - Section C '!F$1:F$100,MATCH($A292,'Outcome Indicators - Section C '!$A$1:$A$100,0)),""),"")</f>
        <v/>
      </c>
      <c r="D301" s="59">
        <f ca="1">IFERROR(IF(YEAR(INDEX('Overview - Section A'!$A$47:$A$54,MATCH('Print - Summary'!$H$10,'Overview - Section A'!$B$47:$B$54,0)))&lt;=YEAR('Overview - Section A'!$E$8),YEAR(INDEX('Overview - Section A'!$A$47:$A$54,MATCH('Print - Summary'!$H$10,'Overview - Section A'!$B$47:$B$54,0))),""),"")</f>
        <v>2024</v>
      </c>
      <c r="E301" s="59">
        <f ca="1">IFERROR(IF(D301+1&lt;=YEAR('Overview - Section A'!$E$8),D301+1,""),"")</f>
        <v>2025</v>
      </c>
      <c r="F301" s="59">
        <f ca="1">IFERROR(IF(E301+1&lt;=YEAR('Overview - Section A'!$E$8),E301+1,""),"")</f>
        <v>2026</v>
      </c>
      <c r="G301" s="59" t="str">
        <f ca="1">IFERROR(IF(F301+1&lt;=YEAR('Overview - Section A'!$E$8),F301+1,""),"")</f>
        <v/>
      </c>
    </row>
    <row r="302" spans="1:7" s="81" customFormat="1" ht="18.75" customHeight="1">
      <c r="A302" s="607"/>
      <c r="B302" s="74" t="s">
        <v>5054</v>
      </c>
      <c r="C302" s="80" t="str">
        <f>IFERROR(IF(INDEX('Outcome Indicators - Section C '!D$1:D$100,MATCH($A292,'Outcome Indicators - Section C '!$A$1:$A$100,0))&lt;&gt;"",FIXED(INDEX('Outcome Indicators - Section C '!D$1:D$100,MATCH($A292,'Outcome Indicators - Section C '!$A$1:$A$100,0)),4),""),"")</f>
        <v/>
      </c>
      <c r="D302" s="80" t="str">
        <f ca="1">IFERROR(IF(INDEX('Outcome Indicators - Section C '!K$1:K$100,MATCH($A292,'Outcome Indicators - Section C '!$A$1:$A$100,0))&lt;&gt;"",FIXED(INDEX('Outcome Indicators - Section C '!K$1:K$100,MATCH($A292,'Outcome Indicators - Section C '!$A$1:$A$100,0)),4),""),"")</f>
        <v/>
      </c>
      <c r="E302" s="80" t="str">
        <f ca="1">IFERROR(IF(INDEX('Outcome Indicators - Section C '!O$1:O$100,MATCH($A292,'Outcome Indicators - Section C '!$A$1:$A$100,0))&lt;&gt;"",FIXED(INDEX('Outcome Indicators - Section C '!O$1:O$100,MATCH($A292,'Outcome Indicators - Section C '!$A$1:$A$100,0)),4),""),"")</f>
        <v/>
      </c>
      <c r="F302" s="80" t="str">
        <f ca="1">IFERROR(IF(INDEX('Outcome Indicators - Section C '!S$1:S$100,MATCH($A292,'Outcome Indicators - Section C '!$A$1:$A$100,0))&lt;&gt;"",FIXED(INDEX('Outcome Indicators - Section C '!S$1:S$100,MATCH($A292,'Outcome Indicators - Section C '!$A$1:$A$100,0)),4),""),"")</f>
        <v/>
      </c>
      <c r="G302" s="80" t="str">
        <f ca="1">IFERROR(IF(INDEX('Outcome Indicators - Section C '!W$1:W$100,MATCH($A292,'Outcome Indicators - Section C '!$A$1:$A$100,0))&lt;&gt;"",FIXED(INDEX('Outcome Indicators - Section C '!W$1:W$100,MATCH($A292,'Outcome Indicators - Section C '!$A$1:$A$100,0)),4),""),"")</f>
        <v/>
      </c>
    </row>
    <row r="303" spans="1:7" s="79" customFormat="1" ht="18.75" customHeight="1">
      <c r="A303" s="607"/>
      <c r="B303" s="74" t="s">
        <v>5055</v>
      </c>
      <c r="C303" s="78" t="str">
        <f>IFERROR(IF(INDEX('Outcome Indicators - Section C '!D$1:D$100,MATCH($A292,'Outcome Indicators - Section C '!$A$1:$A$100,0)+1)&lt;&gt;"",FIXED(INDEX('Outcome Indicators - Section C '!D$1:D$100,MATCH($A292,'Outcome Indicators - Section C '!$A$1:$A$100,0)+1),2),""),"")</f>
        <v/>
      </c>
      <c r="D303" s="78" t="str">
        <f ca="1">IFERROR(IF(INDEX('Outcome Indicators - Section C '!K$1:K$100,MATCH($A292,'Outcome Indicators - Section C '!$A$1:$A$100,0)+1)&lt;&gt;"",FIXED(INDEX('Outcome Indicators - Section C '!K$1:K$100,MATCH($A292,'Outcome Indicators - Section C '!$A$1:$A$100,0)+1),2),""),"")</f>
        <v/>
      </c>
      <c r="E303" s="78" t="str">
        <f ca="1">IFERROR(IF(INDEX('Outcome Indicators - Section C '!O$1:O$100,MATCH($A292,'Outcome Indicators - Section C '!$A$1:$A$100,0)+1)&lt;&gt;"",FIXED(INDEX('Outcome Indicators - Section C '!O$1:O$100,MATCH($A292,'Outcome Indicators - Section C '!$A$1:$A$100,0)+1),2),""),"")</f>
        <v/>
      </c>
      <c r="F303" s="78" t="str">
        <f ca="1">IFERROR(IF(INDEX('Outcome Indicators - Section C '!S$1:S$100,MATCH($A292,'Outcome Indicators - Section C '!$A$1:$A$100,0)+1)&lt;&gt;"",FIXED(INDEX('Outcome Indicators - Section C '!S$1:S$100,MATCH($A292,'Outcome Indicators - Section C '!$A$1:$A$100,0)+1),2),""),"")</f>
        <v/>
      </c>
      <c r="G303" s="78" t="str">
        <f ca="1">IFERROR(IF(INDEX('Outcome Indicators - Section C '!W$1:W$100,MATCH($A292,'Outcome Indicators - Section C '!$A$1:$A$100,0)+1)&lt;&gt;"",FIXED(INDEX('Outcome Indicators - Section C '!W$1:W$100,MATCH($A292,'Outcome Indicators - Section C '!$A$1:$A$100,0)+1),2),""),"")</f>
        <v/>
      </c>
    </row>
    <row r="304" spans="1:7" ht="18.75" customHeight="1">
      <c r="A304" s="607"/>
      <c r="B304" s="74" t="s">
        <v>5056</v>
      </c>
      <c r="C304" s="75" t="str">
        <f ca="1">IFERROR(IF(INDEX('Outcome Indicators - Section C '!E$1:E$100,MATCH($A292,'Outcome Indicators - Section C '!$A$1:$A$100,0))&lt;&gt;"",FIXED(INDEX('Outcome Indicators - Section C '!E$1:E$100,MATCH($A292,'Outcome Indicators - Section C '!$A$1:$A$100,0))*100,2)&amp;"%",""),"")</f>
        <v/>
      </c>
      <c r="D304" s="75" t="str">
        <f ca="1">IFERROR(IF(INDEX('Outcome Indicators - Section C '!L$1:L$100,MATCH($A292,'Outcome Indicators - Section C '!$A$1:$A$100,0))&lt;&gt;"",FIXED(INDEX('Outcome Indicators - Section C '!L$1:L$100,MATCH($A292,'Outcome Indicators - Section C '!$A$1:$A$100,0))*100,2)&amp;"%",""),"")&amp;CHAR(10)&amp;IFERROR(IF(INDEX('Outcome Indicators - Section C '!N$1:N$100,MATCH($A292,'Outcome Indicators - Section C '!$A$1:$A$100,0))&lt;&gt;"",INDEX('Outcome Indicators - Section C '!N$1:N$100,MATCH($A292,'Outcome Indicators - Section C '!$A$1:$A$100,0)),""),"")&amp;CHAR(10)&amp;IFERROR(IF(INDEX('Outcome Indicators - Section C '!M$1:M$100,MATCH($A292,'Outcome Indicators - Section C '!$A$1:$A$100,0))&lt;&gt;"",TEXT(INDEX('Outcome Indicators - Section C '!M$1:M$100,MATCH($A292,'Outcome Indicators - Section C '!$A$1:$A$100,0)),Setup!$A$33),""),"")</f>
        <v xml:space="preserve">
</v>
      </c>
      <c r="E304" s="75" t="str">
        <f ca="1">IFERROR(IF(INDEX('Outcome Indicators - Section C '!P$1:P$100,MATCH($A292,'Outcome Indicators - Section C '!$A$1:$A$100,0))&lt;&gt;"",FIXED(INDEX('Outcome Indicators - Section C '!P$1:P$100,MATCH($A292,'Outcome Indicators - Section C '!$A$1:$A$100,0))*100,2)&amp;"%",""),)&amp;CHAR(10)&amp;IFERROR(IF(INDEX('Outcome Indicators - Section C '!R$1:R$100,MATCH($A292,'Outcome Indicators - Section C '!$A$1:$A$100,0))&lt;&gt;"",INDEX('Outcome Indicators - Section C '!R$1:R$100,MATCH($A292,'Outcome Indicators - Section C '!$A$1:$A$100,0)),""),"")&amp;CHAR(10)&amp;IFERROR(IF(INDEX('Outcome Indicators - Section C '!Q$1:Q$100,MATCH($A292,'Outcome Indicators - Section C '!$A$1:$A$100,0))&lt;&gt;"",TEXT(INDEX('Outcome Indicators - Section C '!Q$1:Q$100,MATCH($A292,'Outcome Indicators - Section C '!$A$1:$A$100,0)),Setup!$A$33),""),"")</f>
        <v xml:space="preserve">
TBD
</v>
      </c>
      <c r="F304" s="75" t="str">
        <f ca="1">IFERROR(IF(INDEX('Outcome Indicators - Section C '!T$1:T$100,MATCH($A292,'Outcome Indicators - Section C '!$A$1:$A$100,0))&lt;&gt;"",FIXED(INDEX('Outcome Indicators - Section C '!T$1:T$100,MATCH($A292,'Outcome Indicators - Section C '!$A$1:$A$100,0))*100,2)&amp;"%",""),)&amp;CHAR(10)&amp;IFERROR(IF(INDEX('Outcome Indicators - Section C '!V$1:V$100,MATCH($A292,'Outcome Indicators - Section C '!$A$1:$A$100,0))&lt;&gt;"",INDEX('Outcome Indicators - Section C '!V$1:V$100,MATCH($A292,'Outcome Indicators - Section C '!$A$1:$A$100,0)),""),"")&amp;CHAR(10)&amp;IFERROR(IF(INDEX('Outcome Indicators - Section C '!U$1:U$100,MATCH($A292,'Outcome Indicators - Section C '!$A$1:$A$100,0))&lt;&gt;"",TEXT(INDEX('Outcome Indicators - Section C '!U$1:U$100,MATCH($A292,'Outcome Indicators - Section C '!$A$1:$A$100,0)),Setup!$A$33),""),"")</f>
        <v xml:space="preserve">
</v>
      </c>
      <c r="G304" s="75" t="str">
        <f ca="1">IFERROR(IF(INDEX('Outcome Indicators - Section C '!X$1:X$100,MATCH($A292,'Outcome Indicators - Section C '!$A$1:$A$100,0))&lt;&gt;"",FIXED(INDEX('Outcome Indicators - Section C '!X$1:X$100,MATCH($A292,'Outcome Indicators - Section C '!$A$1:$A$100,0))*100,2)&amp;"%",""),"")&amp;CHAR(10)&amp;IFERROR(IF(INDEX('Outcome Indicators - Section C '!Z$1:Z$100,MATCH($A292,'Outcome Indicators - Section C '!$A$1:$A$100,0))&lt;&gt;"",INDEX('Outcome Indicators - Section C '!Z$1:Z$100,MATCH($A292,'Outcome Indicators - Section C '!$A$1:$A$100,0)),""),"")&amp;CHAR(10)&amp;IFERROR(IF(INDEX('Outcome Indicators - Section C '!Y$1:Y$100,MATCH($A292,'Outcome Indicators - Section C '!$A$1:$A$100,0))&lt;&gt;"",TEXT(INDEX('Outcome Indicators - Section C '!Y$1:Y$100,MATCH($A292,'Outcome Indicators - Section C '!$A$1:$A$100,0)),Setup!$A$33),""),"")</f>
        <v xml:space="preserve">
</v>
      </c>
    </row>
    <row r="305" spans="1:7" ht="18.75" customHeight="1">
      <c r="A305" s="607"/>
      <c r="B305" s="590" t="s">
        <v>176</v>
      </c>
      <c r="C305" s="591"/>
      <c r="D305" s="591"/>
      <c r="E305" s="591"/>
      <c r="F305" s="591"/>
      <c r="G305" s="592"/>
    </row>
    <row r="306" spans="1:7" ht="18.75" customHeight="1">
      <c r="A306" s="607"/>
      <c r="B306" s="608" t="str">
        <f>IFERROR(IF(INDEX('Outcome Indicators - Section C '!AA$1:AA$100,MATCH($A292,'Outcome Indicators - Section C '!$A$1:$A$100,0))&lt;&gt;0,INDEX('Outcome Indicators - Section C '!AA$1:AA$100,MATCH($A292,'Outcome Indicators - Section C '!$A$1:$A$100,0)),""),"")</f>
        <v>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v>
      </c>
      <c r="C306" s="609"/>
      <c r="D306" s="609"/>
      <c r="E306" s="609"/>
      <c r="F306" s="609"/>
      <c r="G306" s="610"/>
    </row>
    <row r="307" spans="1:7" ht="18.75" customHeight="1">
      <c r="A307" s="607"/>
      <c r="B307" s="611"/>
      <c r="C307" s="612"/>
      <c r="D307" s="612"/>
      <c r="E307" s="612"/>
      <c r="F307" s="612"/>
      <c r="G307" s="613"/>
    </row>
    <row r="308" spans="1:7" ht="18.75" customHeight="1">
      <c r="A308" s="607"/>
      <c r="B308" s="611"/>
      <c r="C308" s="612"/>
      <c r="D308" s="612"/>
      <c r="E308" s="612"/>
      <c r="F308" s="612"/>
      <c r="G308" s="613"/>
    </row>
    <row r="309" spans="1:7" ht="18.75" customHeight="1">
      <c r="A309" s="607"/>
      <c r="B309" s="611"/>
      <c r="C309" s="612"/>
      <c r="D309" s="612"/>
      <c r="E309" s="612"/>
      <c r="F309" s="612"/>
      <c r="G309" s="613"/>
    </row>
    <row r="310" spans="1:7" ht="18.75" customHeight="1">
      <c r="A310" s="607"/>
      <c r="B310" s="611"/>
      <c r="C310" s="612"/>
      <c r="D310" s="612"/>
      <c r="E310" s="612"/>
      <c r="F310" s="612"/>
      <c r="G310" s="613"/>
    </row>
    <row r="311" spans="1:7" ht="18.75" customHeight="1">
      <c r="A311" s="607"/>
      <c r="B311" s="611"/>
      <c r="C311" s="612"/>
      <c r="D311" s="612"/>
      <c r="E311" s="612"/>
      <c r="F311" s="612"/>
      <c r="G311" s="613"/>
    </row>
    <row r="312" spans="1:7" ht="18.75" customHeight="1">
      <c r="A312" s="607"/>
      <c r="B312" s="611"/>
      <c r="C312" s="612"/>
      <c r="D312" s="612"/>
      <c r="E312" s="612"/>
      <c r="F312" s="612"/>
      <c r="G312" s="613"/>
    </row>
    <row r="313" spans="1:7" ht="18.75" customHeight="1">
      <c r="A313" s="607"/>
      <c r="B313" s="611"/>
      <c r="C313" s="612"/>
      <c r="D313" s="612"/>
      <c r="E313" s="612"/>
      <c r="F313" s="612"/>
      <c r="G313" s="613"/>
    </row>
    <row r="314" spans="1:7" ht="18.75" customHeight="1">
      <c r="A314" s="607"/>
      <c r="B314" s="611"/>
      <c r="C314" s="612"/>
      <c r="D314" s="612"/>
      <c r="E314" s="612"/>
      <c r="F314" s="612"/>
      <c r="G314" s="613"/>
    </row>
    <row r="315" spans="1:7" ht="18.75" customHeight="1">
      <c r="A315" s="624"/>
      <c r="B315" s="614"/>
      <c r="C315" s="615"/>
      <c r="D315" s="615"/>
      <c r="E315" s="615"/>
      <c r="F315" s="615"/>
      <c r="G315" s="616"/>
    </row>
    <row r="316" spans="1:7" ht="18.75" customHeight="1">
      <c r="A316" s="590"/>
      <c r="B316" s="591"/>
      <c r="C316" s="591"/>
      <c r="D316" s="591"/>
      <c r="E316" s="591"/>
      <c r="F316" s="591"/>
      <c r="G316" s="592"/>
    </row>
    <row r="318" spans="1:7" ht="18.75" customHeight="1">
      <c r="A318" s="73" t="s">
        <v>5051</v>
      </c>
      <c r="B318" s="590" t="s">
        <v>765</v>
      </c>
      <c r="C318" s="591"/>
      <c r="D318" s="592"/>
      <c r="E318" s="590" t="s">
        <v>766</v>
      </c>
      <c r="F318" s="591"/>
      <c r="G318" s="592"/>
    </row>
    <row r="319" spans="1:7" ht="18.75" customHeight="1">
      <c r="A319" s="606">
        <v>12</v>
      </c>
      <c r="B319" s="608" t="str">
        <f ca="1">IFERROR(IF(INDEX('Outcome Indicators - Section C '!B$1:B$100,MATCH($A319,'Outcome Indicators - Section C '!$A$1:$A$100,0))&lt;&gt;0,INDEX('Outcome Indicators - Section C '!B$1:B$100,MATCH($A319,'Outcome Indicators - Section C '!$A$1:$A$100,0)),""),"")</f>
        <v>HIV O-16b Percentage of transgender people who avoid health care because of stigma and discrimination</v>
      </c>
      <c r="C319" s="609"/>
      <c r="D319" s="610"/>
      <c r="E319" s="608" t="str">
        <f>IFERROR(IF(INDEX('Outcome Indicators - Section C '!C$1:C$100,MATCH($A319,'Outcome Indicators - Section C '!$A$1:$A$100,0))&lt;&gt;0,INDEX('Outcome Indicators - Section C '!C$1:C$100,MATCH($A319,'Outcome Indicators - Section C '!$A$1:$A$100,0)),""),"")</f>
        <v/>
      </c>
      <c r="F319" s="609"/>
      <c r="G319" s="610"/>
    </row>
    <row r="320" spans="1:7" ht="18.75" customHeight="1">
      <c r="A320" s="607"/>
      <c r="B320" s="611"/>
      <c r="C320" s="612"/>
      <c r="D320" s="613"/>
      <c r="E320" s="611"/>
      <c r="F320" s="612"/>
      <c r="G320" s="613"/>
    </row>
    <row r="321" spans="1:7" ht="18.75" customHeight="1">
      <c r="A321" s="607"/>
      <c r="B321" s="614"/>
      <c r="C321" s="615"/>
      <c r="D321" s="616"/>
      <c r="E321" s="614"/>
      <c r="F321" s="615"/>
      <c r="G321" s="616"/>
    </row>
    <row r="322" spans="1:7" ht="18.75" customHeight="1">
      <c r="A322" s="607"/>
      <c r="B322" s="590" t="s">
        <v>769</v>
      </c>
      <c r="C322" s="591"/>
      <c r="D322" s="592"/>
      <c r="E322" s="590" t="s">
        <v>127</v>
      </c>
      <c r="F322" s="591"/>
      <c r="G322" s="592"/>
    </row>
    <row r="323" spans="1:7" ht="18.75" customHeight="1">
      <c r="A323" s="607"/>
      <c r="B323" s="617" t="str">
        <f>IFERROR(IF(INDEX('Outcome Indicators - Section C '!H$1:H$100,MATCH($A319,'Outcome Indicators - Section C '!$A$1:$A$100,0))&lt;&gt;0,INDEX('Outcome Indicators - Section C '!H$1:H$100,MATCH($A319,'Outcome Indicators - Section C '!$A$1:$A$100,0)),""),"")</f>
        <v>Age</v>
      </c>
      <c r="C323" s="603"/>
      <c r="D323" s="604"/>
      <c r="E323" s="617" t="str">
        <f>IFERROR(IF(INDEX('Outcome Indicators - Section C '!J$9:J$38,MATCH($A319,'Outcome Indicators - Section C '!$A$9:$A$100,0))&lt;&gt;0,INDEX('Outcome Indicators - Section C '!J$9:J$38,MATCH($A319,'Outcome Indicators - Section C '!$A$9:$A$100,0)),""),"")</f>
        <v>Congo (Democratic Republic)</v>
      </c>
      <c r="F323" s="603"/>
      <c r="G323" s="604"/>
    </row>
    <row r="324" spans="1:7" ht="18.75" customHeight="1">
      <c r="A324" s="607"/>
      <c r="B324" s="590" t="s">
        <v>199</v>
      </c>
      <c r="C324" s="591"/>
      <c r="D324" s="592"/>
      <c r="E324" s="590" t="s">
        <v>120</v>
      </c>
      <c r="F324" s="591"/>
      <c r="G324" s="592"/>
    </row>
    <row r="325" spans="1:7" ht="18.75" customHeight="1">
      <c r="A325" s="607"/>
      <c r="B325" s="608" t="str">
        <f>IFERROR(IF(INDEX('Outcome Indicators - Section C '!G$1:G$100,MATCH($A319,'Outcome Indicators - Section C '!$A$1:$A$100,0))&lt;&gt;0,INDEX('Outcome Indicators - Section C '!G$1:G$100,MATCH($A319,'Outcome Indicators - Section C '!$A$1:$A$100,0)),""),"")</f>
        <v>Data Not Available</v>
      </c>
      <c r="C325" s="609"/>
      <c r="D325" s="610"/>
      <c r="E325" s="608" t="str">
        <f ca="1">IFERROR(IF(AND('Overview - Section A'!AS$1="Grant Making",OR(B319&lt;&gt;"",E319&lt;&gt;"")),Setup!I15,IF(INDEX('Outcome Indicators - Section C '!I$1:I$100,MATCH($A319,'Outcome Indicators - Section C '!$A$1:$A$100,0))&lt;&gt;0,INDEX('Outcome Indicators - Section C '!I$1:I$100,MATCH($A319,'Outcome Indicators - Section C '!$A$1:$A$100,0)),"")),"")</f>
        <v>Ministry of Public Health, Hygiene and Prevention</v>
      </c>
      <c r="F325" s="609"/>
      <c r="G325" s="610"/>
    </row>
    <row r="326" spans="1:7" ht="18.75" customHeight="1">
      <c r="A326" s="607"/>
      <c r="B326" s="614"/>
      <c r="C326" s="615"/>
      <c r="D326" s="616"/>
      <c r="E326" s="614"/>
      <c r="F326" s="615"/>
      <c r="G326" s="616"/>
    </row>
    <row r="327" spans="1:7" ht="18.75" customHeight="1">
      <c r="A327" s="607"/>
      <c r="B327" s="74"/>
      <c r="C327" s="59" t="s">
        <v>5052</v>
      </c>
      <c r="D327" s="590" t="s">
        <v>5053</v>
      </c>
      <c r="E327" s="591"/>
      <c r="F327" s="591"/>
      <c r="G327" s="592"/>
    </row>
    <row r="328" spans="1:7" ht="18.75" customHeight="1">
      <c r="A328" s="607"/>
      <c r="B328" s="74" t="s">
        <v>2589</v>
      </c>
      <c r="C328" s="75" t="str">
        <f>IFERROR(IF(INDEX('Outcome Indicators - Section C '!F$1:F$100,MATCH($A319,'Outcome Indicators - Section C '!$A$1:$A$100,0))&lt;&gt;0,INDEX('Outcome Indicators - Section C '!F$1:F$100,MATCH($A319,'Outcome Indicators - Section C '!$A$1:$A$100,0)),""),"")</f>
        <v/>
      </c>
      <c r="D328" s="59">
        <f ca="1">IFERROR(IF(YEAR(INDEX('Overview - Section A'!$A$47:$A$54,MATCH('Print - Summary'!$H$10,'Overview - Section A'!$B$47:$B$54,0)))&lt;=YEAR('Overview - Section A'!$E$8),YEAR(INDEX('Overview - Section A'!$A$47:$A$54,MATCH('Print - Summary'!$H$10,'Overview - Section A'!$B$47:$B$54,0))),""),"")</f>
        <v>2024</v>
      </c>
      <c r="E328" s="59">
        <f ca="1">IFERROR(IF(D328+1&lt;=YEAR('Overview - Section A'!$E$8),D328+1,""),"")</f>
        <v>2025</v>
      </c>
      <c r="F328" s="59">
        <f ca="1">IFERROR(IF(E328+1&lt;=YEAR('Overview - Section A'!$E$8),E328+1,""),"")</f>
        <v>2026</v>
      </c>
      <c r="G328" s="59" t="str">
        <f ca="1">IFERROR(IF(F328+1&lt;=YEAR('Overview - Section A'!$E$8),F328+1,""),"")</f>
        <v/>
      </c>
    </row>
    <row r="329" spans="1:7" s="81" customFormat="1" ht="18.75" customHeight="1">
      <c r="A329" s="607"/>
      <c r="B329" s="74" t="s">
        <v>5054</v>
      </c>
      <c r="C329" s="80" t="str">
        <f>IFERROR(IF(INDEX('Outcome Indicators - Section C '!D$1:D$100,MATCH($A319,'Outcome Indicators - Section C '!$A$1:$A$100,0))&lt;&gt;"",FIXED(INDEX('Outcome Indicators - Section C '!D$1:D$100,MATCH($A319,'Outcome Indicators - Section C '!$A$1:$A$100,0)),4),""),"")</f>
        <v/>
      </c>
      <c r="D329" s="80" t="str">
        <f ca="1">IFERROR(IF(INDEX('Outcome Indicators - Section C '!K$1:K$100,MATCH($A319,'Outcome Indicators - Section C '!$A$1:$A$100,0))&lt;&gt;"",FIXED(INDEX('Outcome Indicators - Section C '!K$1:K$100,MATCH($A319,'Outcome Indicators - Section C '!$A$1:$A$100,0)),4),""),"")</f>
        <v/>
      </c>
      <c r="E329" s="80" t="str">
        <f ca="1">IFERROR(IF(INDEX('Outcome Indicators - Section C '!O$1:O$100,MATCH($A319,'Outcome Indicators - Section C '!$A$1:$A$100,0))&lt;&gt;"",FIXED(INDEX('Outcome Indicators - Section C '!O$1:O$100,MATCH($A319,'Outcome Indicators - Section C '!$A$1:$A$100,0)),4),""),"")</f>
        <v/>
      </c>
      <c r="F329" s="80" t="str">
        <f ca="1">IFERROR(IF(INDEX('Outcome Indicators - Section C '!S$1:S$100,MATCH($A319,'Outcome Indicators - Section C '!$A$1:$A$100,0))&lt;&gt;"",FIXED(INDEX('Outcome Indicators - Section C '!S$1:S$100,MATCH($A319,'Outcome Indicators - Section C '!$A$1:$A$100,0)),4),""),"")</f>
        <v/>
      </c>
      <c r="G329" s="80" t="str">
        <f ca="1">IFERROR(IF(INDEX('Outcome Indicators - Section C '!W$1:W$100,MATCH($A319,'Outcome Indicators - Section C '!$A$1:$A$100,0))&lt;&gt;"",FIXED(INDEX('Outcome Indicators - Section C '!W$1:W$100,MATCH($A319,'Outcome Indicators - Section C '!$A$1:$A$100,0)),4),""),"")</f>
        <v/>
      </c>
    </row>
    <row r="330" spans="1:7" s="79" customFormat="1" ht="18.75" customHeight="1">
      <c r="A330" s="607"/>
      <c r="B330" s="74" t="s">
        <v>5055</v>
      </c>
      <c r="C330" s="78" t="str">
        <f>IFERROR(IF(INDEX('Outcome Indicators - Section C '!D$1:D$100,MATCH($A319,'Outcome Indicators - Section C '!$A$1:$A$100,0)+1)&lt;&gt;"",FIXED(INDEX('Outcome Indicators - Section C '!D$1:D$100,MATCH($A319,'Outcome Indicators - Section C '!$A$1:$A$100,0)+1),2),""),"")</f>
        <v/>
      </c>
      <c r="D330" s="78" t="str">
        <f ca="1">IFERROR(IF(INDEX('Outcome Indicators - Section C '!K$1:K$100,MATCH($A319,'Outcome Indicators - Section C '!$A$1:$A$100,0)+1)&lt;&gt;"",FIXED(INDEX('Outcome Indicators - Section C '!K$1:K$100,MATCH($A319,'Outcome Indicators - Section C '!$A$1:$A$100,0)+1),2),""),"")</f>
        <v/>
      </c>
      <c r="E330" s="78" t="str">
        <f ca="1">IFERROR(IF(INDEX('Outcome Indicators - Section C '!O$1:O$100,MATCH($A319,'Outcome Indicators - Section C '!$A$1:$A$100,0)+1)&lt;&gt;"",FIXED(INDEX('Outcome Indicators - Section C '!O$1:O$100,MATCH($A319,'Outcome Indicators - Section C '!$A$1:$A$100,0)+1),2),""),"")</f>
        <v/>
      </c>
      <c r="F330" s="78" t="str">
        <f ca="1">IFERROR(IF(INDEX('Outcome Indicators - Section C '!S$1:S$100,MATCH($A319,'Outcome Indicators - Section C '!$A$1:$A$100,0)+1)&lt;&gt;"",FIXED(INDEX('Outcome Indicators - Section C '!S$1:S$100,MATCH($A319,'Outcome Indicators - Section C '!$A$1:$A$100,0)+1),2),""),"")</f>
        <v/>
      </c>
      <c r="G330" s="78" t="str">
        <f ca="1">IFERROR(IF(INDEX('Outcome Indicators - Section C '!W$1:W$100,MATCH($A319,'Outcome Indicators - Section C '!$A$1:$A$100,0)+1)&lt;&gt;"",FIXED(INDEX('Outcome Indicators - Section C '!W$1:W$100,MATCH($A319,'Outcome Indicators - Section C '!$A$1:$A$100,0)+1),2),""),"")</f>
        <v/>
      </c>
    </row>
    <row r="331" spans="1:7" ht="18.75" customHeight="1">
      <c r="A331" s="607"/>
      <c r="B331" s="74" t="s">
        <v>5056</v>
      </c>
      <c r="C331" s="75" t="str">
        <f ca="1">IFERROR(IF(INDEX('Outcome Indicators - Section C '!E$1:E$100,MATCH($A319,'Outcome Indicators - Section C '!$A$1:$A$100,0))&lt;&gt;"",FIXED(INDEX('Outcome Indicators - Section C '!E$1:E$100,MATCH($A319,'Outcome Indicators - Section C '!$A$1:$A$100,0))*100,2)&amp;"%",""),"")</f>
        <v/>
      </c>
      <c r="D331" s="75" t="str">
        <f ca="1">IFERROR(IF(INDEX('Outcome Indicators - Section C '!L$1:L$100,MATCH($A319,'Outcome Indicators - Section C '!$A$1:$A$100,0))&lt;&gt;"",FIXED(INDEX('Outcome Indicators - Section C '!L$1:L$100,MATCH($A319,'Outcome Indicators - Section C '!$A$1:$A$100,0))*100,2)&amp;"%",""),"")&amp;CHAR(10)&amp;IFERROR(IF(INDEX('Outcome Indicators - Section C '!N$1:N$100,MATCH($A319,'Outcome Indicators - Section C '!$A$1:$A$100,0))&lt;&gt;"",INDEX('Outcome Indicators - Section C '!N$1:N$100,MATCH($A319,'Outcome Indicators - Section C '!$A$1:$A$100,0)),""),"")&amp;CHAR(10)&amp;IFERROR(IF(INDEX('Outcome Indicators - Section C '!M$1:M$100,MATCH($A319,'Outcome Indicators - Section C '!$A$1:$A$100,0))&lt;&gt;"",TEXT(INDEX('Outcome Indicators - Section C '!M$1:M$100,MATCH($A319,'Outcome Indicators - Section C '!$A$1:$A$100,0)),Setup!$A$33),""),"")</f>
        <v xml:space="preserve">
</v>
      </c>
      <c r="E331" s="75" t="str">
        <f ca="1">IFERROR(IF(INDEX('Outcome Indicators - Section C '!P$1:P$100,MATCH($A319,'Outcome Indicators - Section C '!$A$1:$A$100,0))&lt;&gt;"",FIXED(INDEX('Outcome Indicators - Section C '!P$1:P$100,MATCH($A319,'Outcome Indicators - Section C '!$A$1:$A$100,0))*100,2)&amp;"%",""),)&amp;CHAR(10)&amp;IFERROR(IF(INDEX('Outcome Indicators - Section C '!R$1:R$100,MATCH($A319,'Outcome Indicators - Section C '!$A$1:$A$100,0))&lt;&gt;"",INDEX('Outcome Indicators - Section C '!R$1:R$100,MATCH($A319,'Outcome Indicators - Section C '!$A$1:$A$100,0)),""),"")&amp;CHAR(10)&amp;IFERROR(IF(INDEX('Outcome Indicators - Section C '!Q$1:Q$100,MATCH($A319,'Outcome Indicators - Section C '!$A$1:$A$100,0))&lt;&gt;"",TEXT(INDEX('Outcome Indicators - Section C '!Q$1:Q$100,MATCH($A319,'Outcome Indicators - Section C '!$A$1:$A$100,0)),Setup!$A$33),""),"")</f>
        <v xml:space="preserve">
TBD
</v>
      </c>
      <c r="F331" s="75" t="str">
        <f ca="1">IFERROR(IF(INDEX('Outcome Indicators - Section C '!T$1:T$100,MATCH($A319,'Outcome Indicators - Section C '!$A$1:$A$100,0))&lt;&gt;"",FIXED(INDEX('Outcome Indicators - Section C '!T$1:T$100,MATCH($A319,'Outcome Indicators - Section C '!$A$1:$A$100,0))*100,2)&amp;"%",""),)&amp;CHAR(10)&amp;IFERROR(IF(INDEX('Outcome Indicators - Section C '!V$1:V$100,MATCH($A319,'Outcome Indicators - Section C '!$A$1:$A$100,0))&lt;&gt;"",INDEX('Outcome Indicators - Section C '!V$1:V$100,MATCH($A319,'Outcome Indicators - Section C '!$A$1:$A$100,0)),""),"")&amp;CHAR(10)&amp;IFERROR(IF(INDEX('Outcome Indicators - Section C '!U$1:U$100,MATCH($A319,'Outcome Indicators - Section C '!$A$1:$A$100,0))&lt;&gt;"",TEXT(INDEX('Outcome Indicators - Section C '!U$1:U$100,MATCH($A319,'Outcome Indicators - Section C '!$A$1:$A$100,0)),Setup!$A$33),""),"")</f>
        <v xml:space="preserve">
</v>
      </c>
      <c r="G331" s="75" t="str">
        <f ca="1">IFERROR(IF(INDEX('Outcome Indicators - Section C '!X$1:X$100,MATCH($A319,'Outcome Indicators - Section C '!$A$1:$A$100,0))&lt;&gt;"",FIXED(INDEX('Outcome Indicators - Section C '!X$1:X$100,MATCH($A319,'Outcome Indicators - Section C '!$A$1:$A$100,0))*100,2)&amp;"%",""),"")&amp;CHAR(10)&amp;IFERROR(IF(INDEX('Outcome Indicators - Section C '!Z$1:Z$100,MATCH($A319,'Outcome Indicators - Section C '!$A$1:$A$100,0))&lt;&gt;"",INDEX('Outcome Indicators - Section C '!Z$1:Z$100,MATCH($A319,'Outcome Indicators - Section C '!$A$1:$A$100,0)),""),"")&amp;CHAR(10)&amp;IFERROR(IF(INDEX('Outcome Indicators - Section C '!Y$1:Y$100,MATCH($A319,'Outcome Indicators - Section C '!$A$1:$A$100,0))&lt;&gt;"",TEXT(INDEX('Outcome Indicators - Section C '!Y$1:Y$100,MATCH($A319,'Outcome Indicators - Section C '!$A$1:$A$100,0)),Setup!$A$33),""),"")</f>
        <v xml:space="preserve">
</v>
      </c>
    </row>
    <row r="332" spans="1:7" ht="18.75" customHeight="1">
      <c r="A332" s="607"/>
      <c r="B332" s="590" t="s">
        <v>176</v>
      </c>
      <c r="C332" s="591"/>
      <c r="D332" s="591"/>
      <c r="E332" s="591"/>
      <c r="F332" s="591"/>
      <c r="G332" s="592"/>
    </row>
    <row r="333" spans="1:7" ht="18.75" customHeight="1">
      <c r="A333" s="607"/>
      <c r="B333" s="608" t="str">
        <f>IFERROR(IF(INDEX('Outcome Indicators - Section C '!AA$1:AA$100,MATCH($A319,'Outcome Indicators - Section C '!$A$1:$A$100,0))&lt;&gt;0,INDEX('Outcome Indicators - Section C '!AA$1:AA$100,MATCH($A319,'Outcome Indicators - Section C '!$A$1:$A$100,0)),""),"")</f>
        <v>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v>
      </c>
      <c r="C333" s="609"/>
      <c r="D333" s="609"/>
      <c r="E333" s="609"/>
      <c r="F333" s="609"/>
      <c r="G333" s="610"/>
    </row>
    <row r="334" spans="1:7" ht="18.75" customHeight="1">
      <c r="A334" s="607"/>
      <c r="B334" s="611"/>
      <c r="C334" s="612"/>
      <c r="D334" s="612"/>
      <c r="E334" s="612"/>
      <c r="F334" s="612"/>
      <c r="G334" s="613"/>
    </row>
    <row r="335" spans="1:7" ht="18.75" customHeight="1">
      <c r="A335" s="607"/>
      <c r="B335" s="611"/>
      <c r="C335" s="612"/>
      <c r="D335" s="612"/>
      <c r="E335" s="612"/>
      <c r="F335" s="612"/>
      <c r="G335" s="613"/>
    </row>
    <row r="336" spans="1:7" ht="18.75" customHeight="1">
      <c r="A336" s="607"/>
      <c r="B336" s="611"/>
      <c r="C336" s="612"/>
      <c r="D336" s="612"/>
      <c r="E336" s="612"/>
      <c r="F336" s="612"/>
      <c r="G336" s="613"/>
    </row>
    <row r="337" spans="1:7" ht="18.75" customHeight="1">
      <c r="A337" s="607"/>
      <c r="B337" s="611"/>
      <c r="C337" s="612"/>
      <c r="D337" s="612"/>
      <c r="E337" s="612"/>
      <c r="F337" s="612"/>
      <c r="G337" s="613"/>
    </row>
    <row r="338" spans="1:7" ht="18.75" customHeight="1">
      <c r="A338" s="607"/>
      <c r="B338" s="611"/>
      <c r="C338" s="612"/>
      <c r="D338" s="612"/>
      <c r="E338" s="612"/>
      <c r="F338" s="612"/>
      <c r="G338" s="613"/>
    </row>
    <row r="339" spans="1:7" ht="18.75" customHeight="1">
      <c r="A339" s="607"/>
      <c r="B339" s="611"/>
      <c r="C339" s="612"/>
      <c r="D339" s="612"/>
      <c r="E339" s="612"/>
      <c r="F339" s="612"/>
      <c r="G339" s="613"/>
    </row>
    <row r="340" spans="1:7" ht="18.75" customHeight="1">
      <c r="A340" s="607"/>
      <c r="B340" s="611"/>
      <c r="C340" s="612"/>
      <c r="D340" s="612"/>
      <c r="E340" s="612"/>
      <c r="F340" s="612"/>
      <c r="G340" s="613"/>
    </row>
    <row r="341" spans="1:7" ht="18.75" customHeight="1">
      <c r="A341" s="607"/>
      <c r="B341" s="611"/>
      <c r="C341" s="612"/>
      <c r="D341" s="612"/>
      <c r="E341" s="612"/>
      <c r="F341" s="612"/>
      <c r="G341" s="613"/>
    </row>
    <row r="342" spans="1:7" ht="18.75" customHeight="1">
      <c r="A342" s="624"/>
      <c r="B342" s="614"/>
      <c r="C342" s="615"/>
      <c r="D342" s="615"/>
      <c r="E342" s="615"/>
      <c r="F342" s="615"/>
      <c r="G342" s="616"/>
    </row>
    <row r="343" spans="1:7" ht="18.75" customHeight="1">
      <c r="A343" s="590"/>
      <c r="B343" s="591"/>
      <c r="C343" s="591"/>
      <c r="D343" s="591"/>
      <c r="E343" s="591"/>
      <c r="F343" s="591"/>
      <c r="G343" s="592"/>
    </row>
    <row r="345" spans="1:7" ht="18.75" customHeight="1">
      <c r="A345" s="73" t="s">
        <v>5051</v>
      </c>
      <c r="B345" s="590" t="s">
        <v>765</v>
      </c>
      <c r="C345" s="591"/>
      <c r="D345" s="592"/>
      <c r="E345" s="590" t="s">
        <v>766</v>
      </c>
      <c r="F345" s="591"/>
      <c r="G345" s="592"/>
    </row>
    <row r="346" spans="1:7" ht="18.75" customHeight="1">
      <c r="A346" s="606">
        <v>13</v>
      </c>
      <c r="B346" s="608" t="str">
        <f ca="1">IFERROR(IF(INDEX('Outcome Indicators - Section C '!B$1:B$100,MATCH($A346,'Outcome Indicators - Section C '!$A$1:$A$100,0))&lt;&gt;0,INDEX('Outcome Indicators - Section C '!B$1:B$100,MATCH($A346,'Outcome Indicators - Section C '!$A$1:$A$100,0)),""),"")</f>
        <v>HIV O-16c Percentage of sex workers who avoid health care because of stigma and discrimination</v>
      </c>
      <c r="C346" s="609"/>
      <c r="D346" s="610"/>
      <c r="E346" s="608" t="str">
        <f>IFERROR(IF(INDEX('Outcome Indicators - Section C '!C$1:C$100,MATCH($A346,'Outcome Indicators - Section C '!$A$1:$A$100,0))&lt;&gt;0,INDEX('Outcome Indicators - Section C '!C$1:C$100,MATCH($A346,'Outcome Indicators - Section C '!$A$1:$A$100,0)),""),"")</f>
        <v/>
      </c>
      <c r="F346" s="609"/>
      <c r="G346" s="610"/>
    </row>
    <row r="347" spans="1:7" ht="18.75" customHeight="1">
      <c r="A347" s="607"/>
      <c r="B347" s="611"/>
      <c r="C347" s="612"/>
      <c r="D347" s="613"/>
      <c r="E347" s="611"/>
      <c r="F347" s="612"/>
      <c r="G347" s="613"/>
    </row>
    <row r="348" spans="1:7" ht="18.75" customHeight="1">
      <c r="A348" s="607"/>
      <c r="B348" s="614"/>
      <c r="C348" s="615"/>
      <c r="D348" s="616"/>
      <c r="E348" s="614"/>
      <c r="F348" s="615"/>
      <c r="G348" s="616"/>
    </row>
    <row r="349" spans="1:7" ht="18.75" customHeight="1">
      <c r="A349" s="607"/>
      <c r="B349" s="590" t="s">
        <v>769</v>
      </c>
      <c r="C349" s="591"/>
      <c r="D349" s="592"/>
      <c r="E349" s="590" t="s">
        <v>127</v>
      </c>
      <c r="F349" s="591"/>
      <c r="G349" s="592"/>
    </row>
    <row r="350" spans="1:7" ht="18.75" customHeight="1">
      <c r="A350" s="607"/>
      <c r="B350" s="617" t="str">
        <f>IFERROR(IF(INDEX('Outcome Indicators - Section C '!H$1:H$100,MATCH($A346,'Outcome Indicators - Section C '!$A$1:$A$100,0))&lt;&gt;0,INDEX('Outcome Indicators - Section C '!H$1:H$100,MATCH($A346,'Outcome Indicators - Section C '!$A$1:$A$100,0)),""),"")</f>
        <v>Gender,Age</v>
      </c>
      <c r="C350" s="603"/>
      <c r="D350" s="604"/>
      <c r="E350" s="617" t="str">
        <f>IFERROR(IF(INDEX('Outcome Indicators - Section C '!J$9:J$38,MATCH($A346,'Outcome Indicators - Section C '!$A$9:$A$100,0))&lt;&gt;0,INDEX('Outcome Indicators - Section C '!J$9:J$38,MATCH($A346,'Outcome Indicators - Section C '!$A$9:$A$100,0)),""),"")</f>
        <v>Congo (Democratic Republic)</v>
      </c>
      <c r="F350" s="603"/>
      <c r="G350" s="604"/>
    </row>
    <row r="351" spans="1:7" ht="18.75" customHeight="1">
      <c r="A351" s="607"/>
      <c r="B351" s="590" t="s">
        <v>199</v>
      </c>
      <c r="C351" s="591"/>
      <c r="D351" s="592"/>
      <c r="E351" s="590" t="s">
        <v>120</v>
      </c>
      <c r="F351" s="591"/>
      <c r="G351" s="592"/>
    </row>
    <row r="352" spans="1:7" ht="18.75" customHeight="1">
      <c r="A352" s="607"/>
      <c r="B352" s="608" t="str">
        <f>IFERROR(IF(INDEX('Outcome Indicators - Section C '!G$1:G$100,MATCH($A346,'Outcome Indicators - Section C '!$A$1:$A$100,0))&lt;&gt;0,INDEX('Outcome Indicators - Section C '!G$1:G$100,MATCH($A346,'Outcome Indicators - Section C '!$A$1:$A$100,0)),""),"")</f>
        <v>Data Not Available</v>
      </c>
      <c r="C352" s="609"/>
      <c r="D352" s="610"/>
      <c r="E352" s="608" t="str">
        <f ca="1">IFERROR(IF(AND('Overview - Section A'!AS$1="Grant Making",OR(B346&lt;&gt;"",E346&lt;&gt;"")),Setup!I15,IF(INDEX('Outcome Indicators - Section C '!I$1:I$100,MATCH($A346,'Outcome Indicators - Section C '!$A$1:$A$100,0))&lt;&gt;0,INDEX('Outcome Indicators - Section C '!I$1:I$100,MATCH($A346,'Outcome Indicators - Section C '!$A$1:$A$100,0)),"")),"")</f>
        <v>Ministry of Public Health, Hygiene and Prevention</v>
      </c>
      <c r="F352" s="609"/>
      <c r="G352" s="610"/>
    </row>
    <row r="353" spans="1:7" ht="18.75" customHeight="1">
      <c r="A353" s="607"/>
      <c r="B353" s="614"/>
      <c r="C353" s="615"/>
      <c r="D353" s="616"/>
      <c r="E353" s="614"/>
      <c r="F353" s="615"/>
      <c r="G353" s="616"/>
    </row>
    <row r="354" spans="1:7" ht="18.75" customHeight="1">
      <c r="A354" s="607"/>
      <c r="B354" s="74"/>
      <c r="C354" s="59" t="s">
        <v>5052</v>
      </c>
      <c r="D354" s="590" t="s">
        <v>5053</v>
      </c>
      <c r="E354" s="591"/>
      <c r="F354" s="591"/>
      <c r="G354" s="592"/>
    </row>
    <row r="355" spans="1:7" ht="18.75" customHeight="1">
      <c r="A355" s="607"/>
      <c r="B355" s="74" t="s">
        <v>2589</v>
      </c>
      <c r="C355" s="75" t="str">
        <f>IFERROR(IF(INDEX('Outcome Indicators - Section C '!F$1:F$100,MATCH($A346,'Outcome Indicators - Section C '!$A$1:$A$100,0))&lt;&gt;0,INDEX('Outcome Indicators - Section C '!F$1:F$100,MATCH($A346,'Outcome Indicators - Section C '!$A$1:$A$100,0)),""),"")</f>
        <v/>
      </c>
      <c r="D355" s="59">
        <f ca="1">IFERROR(IF(YEAR(INDEX('Overview - Section A'!$A$47:$A$54,MATCH('Print - Summary'!$H$10,'Overview - Section A'!$B$47:$B$54,0)))&lt;=YEAR('Overview - Section A'!$E$8),YEAR(INDEX('Overview - Section A'!$A$47:$A$54,MATCH('Print - Summary'!$H$10,'Overview - Section A'!$B$47:$B$54,0))),""),"")</f>
        <v>2024</v>
      </c>
      <c r="E355" s="59">
        <f ca="1">IFERROR(IF(D355+1&lt;=YEAR('Overview - Section A'!$E$8),D355+1,""),"")</f>
        <v>2025</v>
      </c>
      <c r="F355" s="59">
        <f ca="1">IFERROR(IF(E355+1&lt;=YEAR('Overview - Section A'!$E$8),E355+1,""),"")</f>
        <v>2026</v>
      </c>
      <c r="G355" s="59" t="str">
        <f ca="1">IFERROR(IF(F355+1&lt;=YEAR('Overview - Section A'!$E$8),F355+1,""),"")</f>
        <v/>
      </c>
    </row>
    <row r="356" spans="1:7" s="81" customFormat="1" ht="18.75" customHeight="1">
      <c r="A356" s="607"/>
      <c r="B356" s="74" t="s">
        <v>5054</v>
      </c>
      <c r="C356" s="80" t="str">
        <f>IFERROR(IF(INDEX('Outcome Indicators - Section C '!D$1:D$100,MATCH($A346,'Outcome Indicators - Section C '!$A$1:$A$100,0))&lt;&gt;"",FIXED(INDEX('Outcome Indicators - Section C '!D$1:D$100,MATCH($A346,'Outcome Indicators - Section C '!$A$1:$A$100,0)),4),""),"")</f>
        <v/>
      </c>
      <c r="D356" s="80" t="str">
        <f ca="1">IFERROR(IF(INDEX('Outcome Indicators - Section C '!K$1:K$100,MATCH($A346,'Outcome Indicators - Section C '!$A$1:$A$100,0))&lt;&gt;"",FIXED(INDEX('Outcome Indicators - Section C '!K$1:K$100,MATCH($A346,'Outcome Indicators - Section C '!$A$1:$A$100,0)),4),""),"")</f>
        <v/>
      </c>
      <c r="E356" s="80" t="str">
        <f ca="1">IFERROR(IF(INDEX('Outcome Indicators - Section C '!O$1:O$100,MATCH($A346,'Outcome Indicators - Section C '!$A$1:$A$100,0))&lt;&gt;"",FIXED(INDEX('Outcome Indicators - Section C '!O$1:O$100,MATCH($A346,'Outcome Indicators - Section C '!$A$1:$A$100,0)),4),""),"")</f>
        <v/>
      </c>
      <c r="F356" s="80" t="str">
        <f ca="1">IFERROR(IF(INDEX('Outcome Indicators - Section C '!S$1:S$100,MATCH($A346,'Outcome Indicators - Section C '!$A$1:$A$100,0))&lt;&gt;"",FIXED(INDEX('Outcome Indicators - Section C '!S$1:S$100,MATCH($A346,'Outcome Indicators - Section C '!$A$1:$A$100,0)),4),""),"")</f>
        <v/>
      </c>
      <c r="G356" s="80" t="str">
        <f ca="1">IFERROR(IF(INDEX('Outcome Indicators - Section C '!W$1:W$100,MATCH($A346,'Outcome Indicators - Section C '!$A$1:$A$100,0))&lt;&gt;"",FIXED(INDEX('Outcome Indicators - Section C '!W$1:W$100,MATCH($A346,'Outcome Indicators - Section C '!$A$1:$A$100,0)),4),""),"")</f>
        <v/>
      </c>
    </row>
    <row r="357" spans="1:7" s="79" customFormat="1" ht="18.75" customHeight="1">
      <c r="A357" s="607"/>
      <c r="B357" s="74" t="s">
        <v>5055</v>
      </c>
      <c r="C357" s="78" t="str">
        <f>IFERROR(IF(INDEX('Outcome Indicators - Section C '!D$1:D$100,MATCH($A346,'Outcome Indicators - Section C '!$A$1:$A$100,0)+1)&lt;&gt;"",FIXED(INDEX('Outcome Indicators - Section C '!D$1:D$100,MATCH($A346,'Outcome Indicators - Section C '!$A$1:$A$100,0)+1),2),""),"")</f>
        <v/>
      </c>
      <c r="D357" s="78" t="str">
        <f ca="1">IFERROR(IF(INDEX('Outcome Indicators - Section C '!K$1:K$100,MATCH($A346,'Outcome Indicators - Section C '!$A$1:$A$100,0)+1)&lt;&gt;"",FIXED(INDEX('Outcome Indicators - Section C '!K$1:K$100,MATCH($A346,'Outcome Indicators - Section C '!$A$1:$A$100,0)+1),2),""),"")</f>
        <v/>
      </c>
      <c r="E357" s="78" t="str">
        <f ca="1">IFERROR(IF(INDEX('Outcome Indicators - Section C '!O$1:O$100,MATCH($A346,'Outcome Indicators - Section C '!$A$1:$A$100,0)+1)&lt;&gt;"",FIXED(INDEX('Outcome Indicators - Section C '!O$1:O$100,MATCH($A346,'Outcome Indicators - Section C '!$A$1:$A$100,0)+1),2),""),"")</f>
        <v/>
      </c>
      <c r="F357" s="78" t="str">
        <f ca="1">IFERROR(IF(INDEX('Outcome Indicators - Section C '!S$1:S$100,MATCH($A346,'Outcome Indicators - Section C '!$A$1:$A$100,0)+1)&lt;&gt;"",FIXED(INDEX('Outcome Indicators - Section C '!S$1:S$100,MATCH($A346,'Outcome Indicators - Section C '!$A$1:$A$100,0)+1),2),""),"")</f>
        <v/>
      </c>
      <c r="G357" s="78" t="str">
        <f ca="1">IFERROR(IF(INDEX('Outcome Indicators - Section C '!W$1:W$100,MATCH($A346,'Outcome Indicators - Section C '!$A$1:$A$100,0)+1)&lt;&gt;"",FIXED(INDEX('Outcome Indicators - Section C '!W$1:W$100,MATCH($A346,'Outcome Indicators - Section C '!$A$1:$A$100,0)+1),2),""),"")</f>
        <v/>
      </c>
    </row>
    <row r="358" spans="1:7" ht="18.75" customHeight="1">
      <c r="A358" s="607"/>
      <c r="B358" s="74" t="s">
        <v>5056</v>
      </c>
      <c r="C358" s="75" t="str">
        <f ca="1">IFERROR(IF(INDEX('Outcome Indicators - Section C '!E$1:E$100,MATCH($A346,'Outcome Indicators - Section C '!$A$1:$A$100,0))&lt;&gt;"",FIXED(INDEX('Outcome Indicators - Section C '!E$1:E$100,MATCH($A346,'Outcome Indicators - Section C '!$A$1:$A$100,0))*100,2)&amp;"%",""),"")</f>
        <v/>
      </c>
      <c r="D358" s="75" t="str">
        <f ca="1">IFERROR(IF(INDEX('Outcome Indicators - Section C '!L$1:L$100,MATCH($A346,'Outcome Indicators - Section C '!$A$1:$A$100,0))&lt;&gt;"",FIXED(INDEX('Outcome Indicators - Section C '!L$1:L$100,MATCH($A346,'Outcome Indicators - Section C '!$A$1:$A$100,0))*100,2)&amp;"%",""),"")&amp;CHAR(10)&amp;IFERROR(IF(INDEX('Outcome Indicators - Section C '!N$1:N$100,MATCH($A346,'Outcome Indicators - Section C '!$A$1:$A$100,0))&lt;&gt;"",INDEX('Outcome Indicators - Section C '!N$1:N$100,MATCH($A346,'Outcome Indicators - Section C '!$A$1:$A$100,0)),""),"")&amp;CHAR(10)&amp;IFERROR(IF(INDEX('Outcome Indicators - Section C '!M$1:M$100,MATCH($A346,'Outcome Indicators - Section C '!$A$1:$A$100,0))&lt;&gt;"",TEXT(INDEX('Outcome Indicators - Section C '!M$1:M$100,MATCH($A346,'Outcome Indicators - Section C '!$A$1:$A$100,0)),Setup!$A$33),""),"")</f>
        <v xml:space="preserve">
</v>
      </c>
      <c r="E358" s="75" t="str">
        <f ca="1">IFERROR(IF(INDEX('Outcome Indicators - Section C '!P$1:P$100,MATCH($A346,'Outcome Indicators - Section C '!$A$1:$A$100,0))&lt;&gt;"",FIXED(INDEX('Outcome Indicators - Section C '!P$1:P$100,MATCH($A346,'Outcome Indicators - Section C '!$A$1:$A$100,0))*100,2)&amp;"%",""),)&amp;CHAR(10)&amp;IFERROR(IF(INDEX('Outcome Indicators - Section C '!R$1:R$100,MATCH($A346,'Outcome Indicators - Section C '!$A$1:$A$100,0))&lt;&gt;"",INDEX('Outcome Indicators - Section C '!R$1:R$100,MATCH($A346,'Outcome Indicators - Section C '!$A$1:$A$100,0)),""),"")&amp;CHAR(10)&amp;IFERROR(IF(INDEX('Outcome Indicators - Section C '!Q$1:Q$100,MATCH($A346,'Outcome Indicators - Section C '!$A$1:$A$100,0))&lt;&gt;"",TEXT(INDEX('Outcome Indicators - Section C '!Q$1:Q$100,MATCH($A346,'Outcome Indicators - Section C '!$A$1:$A$100,0)),Setup!$A$33),""),"")</f>
        <v xml:space="preserve">
TBD
</v>
      </c>
      <c r="F358" s="75" t="str">
        <f ca="1">IFERROR(IF(INDEX('Outcome Indicators - Section C '!T$1:T$100,MATCH($A346,'Outcome Indicators - Section C '!$A$1:$A$100,0))&lt;&gt;"",FIXED(INDEX('Outcome Indicators - Section C '!T$1:T$100,MATCH($A346,'Outcome Indicators - Section C '!$A$1:$A$100,0))*100,2)&amp;"%",""),)&amp;CHAR(10)&amp;IFERROR(IF(INDEX('Outcome Indicators - Section C '!V$1:V$100,MATCH($A346,'Outcome Indicators - Section C '!$A$1:$A$100,0))&lt;&gt;"",INDEX('Outcome Indicators - Section C '!V$1:V$100,MATCH($A346,'Outcome Indicators - Section C '!$A$1:$A$100,0)),""),"")&amp;CHAR(10)&amp;IFERROR(IF(INDEX('Outcome Indicators - Section C '!U$1:U$100,MATCH($A346,'Outcome Indicators - Section C '!$A$1:$A$100,0))&lt;&gt;"",TEXT(INDEX('Outcome Indicators - Section C '!U$1:U$100,MATCH($A346,'Outcome Indicators - Section C '!$A$1:$A$100,0)),Setup!$A$33),""),"")</f>
        <v xml:space="preserve">
</v>
      </c>
      <c r="G358" s="75" t="str">
        <f ca="1">IFERROR(IF(INDEX('Outcome Indicators - Section C '!X$1:X$100,MATCH($A346,'Outcome Indicators - Section C '!$A$1:$A$100,0))&lt;&gt;"",FIXED(INDEX('Outcome Indicators - Section C '!X$1:X$100,MATCH($A346,'Outcome Indicators - Section C '!$A$1:$A$100,0))*100,2)&amp;"%",""),"")&amp;CHAR(10)&amp;IFERROR(IF(INDEX('Outcome Indicators - Section C '!Z$1:Z$100,MATCH($A346,'Outcome Indicators - Section C '!$A$1:$A$100,0))&lt;&gt;"",INDEX('Outcome Indicators - Section C '!Z$1:Z$100,MATCH($A346,'Outcome Indicators - Section C '!$A$1:$A$100,0)),""),"")&amp;CHAR(10)&amp;IFERROR(IF(INDEX('Outcome Indicators - Section C '!Y$1:Y$100,MATCH($A346,'Outcome Indicators - Section C '!$A$1:$A$100,0))&lt;&gt;"",TEXT(INDEX('Outcome Indicators - Section C '!Y$1:Y$100,MATCH($A346,'Outcome Indicators - Section C '!$A$1:$A$100,0)),Setup!$A$33),""),"")</f>
        <v xml:space="preserve">
</v>
      </c>
    </row>
    <row r="359" spans="1:7" ht="18.75" customHeight="1">
      <c r="A359" s="607"/>
      <c r="B359" s="590" t="s">
        <v>176</v>
      </c>
      <c r="C359" s="591"/>
      <c r="D359" s="591"/>
      <c r="E359" s="591"/>
      <c r="F359" s="591"/>
      <c r="G359" s="592"/>
    </row>
    <row r="360" spans="1:7" ht="18.75" customHeight="1">
      <c r="A360" s="607"/>
      <c r="B360" s="608" t="str">
        <f>IFERROR(IF(INDEX('Outcome Indicators - Section C '!AA$1:AA$100,MATCH($A346,'Outcome Indicators - Section C '!$A$1:$A$100,0))&lt;&gt;0,INDEX('Outcome Indicators - Section C '!AA$1:AA$100,MATCH($A346,'Outcome Indicators - Section C '!$A$1:$A$100,0)),""),"")</f>
        <v>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v>
      </c>
      <c r="C360" s="609"/>
      <c r="D360" s="609"/>
      <c r="E360" s="609"/>
      <c r="F360" s="609"/>
      <c r="G360" s="610"/>
    </row>
    <row r="361" spans="1:7" ht="18.75" customHeight="1">
      <c r="A361" s="607"/>
      <c r="B361" s="611"/>
      <c r="C361" s="612"/>
      <c r="D361" s="612"/>
      <c r="E361" s="612"/>
      <c r="F361" s="612"/>
      <c r="G361" s="613"/>
    </row>
    <row r="362" spans="1:7" ht="18.75" customHeight="1">
      <c r="A362" s="607"/>
      <c r="B362" s="611"/>
      <c r="C362" s="612"/>
      <c r="D362" s="612"/>
      <c r="E362" s="612"/>
      <c r="F362" s="612"/>
      <c r="G362" s="613"/>
    </row>
    <row r="363" spans="1:7" ht="18.75" customHeight="1">
      <c r="A363" s="607"/>
      <c r="B363" s="611"/>
      <c r="C363" s="612"/>
      <c r="D363" s="612"/>
      <c r="E363" s="612"/>
      <c r="F363" s="612"/>
      <c r="G363" s="613"/>
    </row>
    <row r="364" spans="1:7" ht="18.75" customHeight="1">
      <c r="A364" s="607"/>
      <c r="B364" s="611"/>
      <c r="C364" s="612"/>
      <c r="D364" s="612"/>
      <c r="E364" s="612"/>
      <c r="F364" s="612"/>
      <c r="G364" s="613"/>
    </row>
    <row r="365" spans="1:7" ht="18.75" customHeight="1">
      <c r="A365" s="607"/>
      <c r="B365" s="611"/>
      <c r="C365" s="612"/>
      <c r="D365" s="612"/>
      <c r="E365" s="612"/>
      <c r="F365" s="612"/>
      <c r="G365" s="613"/>
    </row>
    <row r="366" spans="1:7" ht="18.75" customHeight="1">
      <c r="A366" s="607"/>
      <c r="B366" s="611"/>
      <c r="C366" s="612"/>
      <c r="D366" s="612"/>
      <c r="E366" s="612"/>
      <c r="F366" s="612"/>
      <c r="G366" s="613"/>
    </row>
    <row r="367" spans="1:7" ht="18.75" customHeight="1">
      <c r="A367" s="607"/>
      <c r="B367" s="611"/>
      <c r="C367" s="612"/>
      <c r="D367" s="612"/>
      <c r="E367" s="612"/>
      <c r="F367" s="612"/>
      <c r="G367" s="613"/>
    </row>
    <row r="368" spans="1:7" ht="18.75" customHeight="1">
      <c r="A368" s="607"/>
      <c r="B368" s="611"/>
      <c r="C368" s="612"/>
      <c r="D368" s="612"/>
      <c r="E368" s="612"/>
      <c r="F368" s="612"/>
      <c r="G368" s="613"/>
    </row>
    <row r="369" spans="1:7" ht="18.75" customHeight="1">
      <c r="A369" s="624"/>
      <c r="B369" s="614"/>
      <c r="C369" s="615"/>
      <c r="D369" s="615"/>
      <c r="E369" s="615"/>
      <c r="F369" s="615"/>
      <c r="G369" s="616"/>
    </row>
    <row r="370" spans="1:7" ht="18.75" customHeight="1">
      <c r="A370" s="590"/>
      <c r="B370" s="591"/>
      <c r="C370" s="591"/>
      <c r="D370" s="591"/>
      <c r="E370" s="591"/>
      <c r="F370" s="591"/>
      <c r="G370" s="592"/>
    </row>
    <row r="372" spans="1:7" ht="18.75" customHeight="1">
      <c r="A372" s="73" t="s">
        <v>5051</v>
      </c>
      <c r="B372" s="590" t="s">
        <v>765</v>
      </c>
      <c r="C372" s="591"/>
      <c r="D372" s="592"/>
      <c r="E372" s="590" t="s">
        <v>766</v>
      </c>
      <c r="F372" s="591"/>
      <c r="G372" s="592"/>
    </row>
    <row r="373" spans="1:7" ht="18.75" customHeight="1">
      <c r="A373" s="606">
        <v>14</v>
      </c>
      <c r="B373" s="608" t="str">
        <f ca="1">IFERROR(IF(INDEX('Outcome Indicators - Section C '!B$1:B$100,MATCH($A373,'Outcome Indicators - Section C '!$A$1:$A$100,0))&lt;&gt;0,INDEX('Outcome Indicators - Section C '!B$1:B$100,MATCH($A373,'Outcome Indicators - Section C '!$A$1:$A$100,0)),""),"")</f>
        <v>HIV O-16d Percentage of people who inject drugs who avoid health care because of stigma and discrimination</v>
      </c>
      <c r="C373" s="609"/>
      <c r="D373" s="610"/>
      <c r="E373" s="608" t="str">
        <f>IFERROR(IF(INDEX('Outcome Indicators - Section C '!C$1:C$100,MATCH($A373,'Outcome Indicators - Section C '!$A$1:$A$100,0))&lt;&gt;0,INDEX('Outcome Indicators - Section C '!C$1:C$100,MATCH($A373,'Outcome Indicators - Section C '!$A$1:$A$100,0)),""),"")</f>
        <v/>
      </c>
      <c r="F373" s="609"/>
      <c r="G373" s="610"/>
    </row>
    <row r="374" spans="1:7" ht="18.75" customHeight="1">
      <c r="A374" s="607"/>
      <c r="B374" s="611"/>
      <c r="C374" s="612"/>
      <c r="D374" s="613"/>
      <c r="E374" s="611"/>
      <c r="F374" s="612"/>
      <c r="G374" s="613"/>
    </row>
    <row r="375" spans="1:7" ht="18.75" customHeight="1">
      <c r="A375" s="607"/>
      <c r="B375" s="614"/>
      <c r="C375" s="615"/>
      <c r="D375" s="616"/>
      <c r="E375" s="614"/>
      <c r="F375" s="615"/>
      <c r="G375" s="616"/>
    </row>
    <row r="376" spans="1:7" ht="18.75" customHeight="1">
      <c r="A376" s="607"/>
      <c r="B376" s="590" t="s">
        <v>769</v>
      </c>
      <c r="C376" s="591"/>
      <c r="D376" s="592"/>
      <c r="E376" s="590" t="s">
        <v>127</v>
      </c>
      <c r="F376" s="591"/>
      <c r="G376" s="592"/>
    </row>
    <row r="377" spans="1:7" ht="18.75" customHeight="1">
      <c r="A377" s="607"/>
      <c r="B377" s="617" t="str">
        <f>IFERROR(IF(INDEX('Outcome Indicators - Section C '!H$1:H$100,MATCH($A373,'Outcome Indicators - Section C '!$A$1:$A$100,0))&lt;&gt;0,INDEX('Outcome Indicators - Section C '!H$1:H$100,MATCH($A373,'Outcome Indicators - Section C '!$A$1:$A$100,0)),""),"")</f>
        <v>Gender,Age</v>
      </c>
      <c r="C377" s="603"/>
      <c r="D377" s="604"/>
      <c r="E377" s="617" t="str">
        <f>IFERROR(IF(INDEX('Outcome Indicators - Section C '!J$9:J$38,MATCH($A373,'Outcome Indicators - Section C '!$A$9:$A$100,0))&lt;&gt;0,INDEX('Outcome Indicators - Section C '!J$9:J$38,MATCH($A373,'Outcome Indicators - Section C '!$A$9:$A$100,0)),""),"")</f>
        <v>Congo (Democratic Republic)</v>
      </c>
      <c r="F377" s="603"/>
      <c r="G377" s="604"/>
    </row>
    <row r="378" spans="1:7" ht="18.75" customHeight="1">
      <c r="A378" s="607"/>
      <c r="B378" s="590" t="s">
        <v>199</v>
      </c>
      <c r="C378" s="591"/>
      <c r="D378" s="592"/>
      <c r="E378" s="590" t="s">
        <v>120</v>
      </c>
      <c r="F378" s="591"/>
      <c r="G378" s="592"/>
    </row>
    <row r="379" spans="1:7" ht="18.75" customHeight="1">
      <c r="A379" s="607"/>
      <c r="B379" s="608" t="str">
        <f>IFERROR(IF(INDEX('Outcome Indicators - Section C '!G$1:G$100,MATCH($A373,'Outcome Indicators - Section C '!$A$1:$A$100,0))&lt;&gt;0,INDEX('Outcome Indicators - Section C '!G$1:G$100,MATCH($A373,'Outcome Indicators - Section C '!$A$1:$A$100,0)),""),"")</f>
        <v>Data Not Available</v>
      </c>
      <c r="C379" s="609"/>
      <c r="D379" s="610"/>
      <c r="E379" s="608" t="str">
        <f ca="1">IFERROR(IF(AND('Overview - Section A'!AS$1="Grant Making",OR(B373&lt;&gt;"",E373&lt;&gt;"")),Setup!I15,IF(INDEX('Outcome Indicators - Section C '!I$1:I$100,MATCH($A373,'Outcome Indicators - Section C '!$A$1:$A$100,0))&lt;&gt;0,INDEX('Outcome Indicators - Section C '!I$1:I$100,MATCH($A373,'Outcome Indicators - Section C '!$A$1:$A$100,0)),"")),"")</f>
        <v>Ministry of Public Health, Hygiene and Prevention</v>
      </c>
      <c r="F379" s="609"/>
      <c r="G379" s="610"/>
    </row>
    <row r="380" spans="1:7" ht="18.75" customHeight="1">
      <c r="A380" s="607"/>
      <c r="B380" s="614"/>
      <c r="C380" s="615"/>
      <c r="D380" s="616"/>
      <c r="E380" s="614"/>
      <c r="F380" s="615"/>
      <c r="G380" s="616"/>
    </row>
    <row r="381" spans="1:7" ht="18.75" customHeight="1">
      <c r="A381" s="607"/>
      <c r="B381" s="74"/>
      <c r="C381" s="59" t="s">
        <v>5052</v>
      </c>
      <c r="D381" s="590" t="s">
        <v>5053</v>
      </c>
      <c r="E381" s="591"/>
      <c r="F381" s="591"/>
      <c r="G381" s="592"/>
    </row>
    <row r="382" spans="1:7" ht="18.75" customHeight="1">
      <c r="A382" s="607"/>
      <c r="B382" s="74" t="s">
        <v>2589</v>
      </c>
      <c r="C382" s="75" t="str">
        <f>IFERROR(IF(INDEX('Outcome Indicators - Section C '!F$1:F$100,MATCH($A373,'Outcome Indicators - Section C '!$A$1:$A$100,0))&lt;&gt;0,INDEX('Outcome Indicators - Section C '!F$1:F$100,MATCH($A373,'Outcome Indicators - Section C '!$A$1:$A$100,0)),""),"")</f>
        <v/>
      </c>
      <c r="D382" s="59">
        <f ca="1">IFERROR(IF(YEAR(INDEX('Overview - Section A'!$A$47:$A$54,MATCH('Print - Summary'!$H$10,'Overview - Section A'!$B$47:$B$54,0)))&lt;=YEAR('Overview - Section A'!$E$8),YEAR(INDEX('Overview - Section A'!$A$47:$A$54,MATCH('Print - Summary'!$H$10,'Overview - Section A'!$B$47:$B$54,0))),""),"")</f>
        <v>2024</v>
      </c>
      <c r="E382" s="59">
        <f ca="1">IFERROR(IF(D382+1&lt;=YEAR('Overview - Section A'!$E$8),D382+1,""),"")</f>
        <v>2025</v>
      </c>
      <c r="F382" s="59">
        <f ca="1">IFERROR(IF(E382+1&lt;=YEAR('Overview - Section A'!$E$8),E382+1,""),"")</f>
        <v>2026</v>
      </c>
      <c r="G382" s="59" t="str">
        <f ca="1">IFERROR(IF(F382+1&lt;=YEAR('Overview - Section A'!$E$8),F382+1,""),"")</f>
        <v/>
      </c>
    </row>
    <row r="383" spans="1:7" s="81" customFormat="1" ht="18.75" customHeight="1">
      <c r="A383" s="607"/>
      <c r="B383" s="74" t="s">
        <v>5054</v>
      </c>
      <c r="C383" s="80" t="str">
        <f>IFERROR(IF(INDEX('Outcome Indicators - Section C '!D$1:D$100,MATCH($A373,'Outcome Indicators - Section C '!$A$1:$A$100,0))&lt;&gt;"",FIXED(INDEX('Outcome Indicators - Section C '!D$1:D$100,MATCH($A373,'Outcome Indicators - Section C '!$A$1:$A$100,0)),4),""),"")</f>
        <v/>
      </c>
      <c r="D383" s="80" t="str">
        <f ca="1">IFERROR(IF(INDEX('Outcome Indicators - Section C '!K$1:K$100,MATCH($A373,'Outcome Indicators - Section C '!$A$1:$A$100,0))&lt;&gt;"",FIXED(INDEX('Outcome Indicators - Section C '!K$1:K$100,MATCH($A373,'Outcome Indicators - Section C '!$A$1:$A$100,0)),4),""),"")</f>
        <v/>
      </c>
      <c r="E383" s="80" t="str">
        <f ca="1">IFERROR(IF(INDEX('Outcome Indicators - Section C '!O$1:O$100,MATCH($A373,'Outcome Indicators - Section C '!$A$1:$A$100,0))&lt;&gt;"",FIXED(INDEX('Outcome Indicators - Section C '!O$1:O$100,MATCH($A373,'Outcome Indicators - Section C '!$A$1:$A$100,0)),4),""),"")</f>
        <v/>
      </c>
      <c r="F383" s="80" t="str">
        <f ca="1">IFERROR(IF(INDEX('Outcome Indicators - Section C '!S$1:S$100,MATCH($A373,'Outcome Indicators - Section C '!$A$1:$A$100,0))&lt;&gt;"",FIXED(INDEX('Outcome Indicators - Section C '!S$1:S$100,MATCH($A373,'Outcome Indicators - Section C '!$A$1:$A$100,0)),4),""),"")</f>
        <v/>
      </c>
      <c r="G383" s="80" t="str">
        <f ca="1">IFERROR(IF(INDEX('Outcome Indicators - Section C '!W$1:W$100,MATCH($A373,'Outcome Indicators - Section C '!$A$1:$A$100,0))&lt;&gt;"",FIXED(INDEX('Outcome Indicators - Section C '!W$1:W$100,MATCH($A373,'Outcome Indicators - Section C '!$A$1:$A$100,0)),4),""),"")</f>
        <v/>
      </c>
    </row>
    <row r="384" spans="1:7" s="79" customFormat="1" ht="18.75" customHeight="1">
      <c r="A384" s="607"/>
      <c r="B384" s="74" t="s">
        <v>5055</v>
      </c>
      <c r="C384" s="78" t="str">
        <f>IFERROR(IF(INDEX('Outcome Indicators - Section C '!D$1:D$100,MATCH($A373,'Outcome Indicators - Section C '!$A$1:$A$100,0)+1)&lt;&gt;"",FIXED(INDEX('Outcome Indicators - Section C '!D$1:D$100,MATCH($A373,'Outcome Indicators - Section C '!$A$1:$A$100,0)+1),2),""),"")</f>
        <v/>
      </c>
      <c r="D384" s="78" t="str">
        <f ca="1">IFERROR(IF(INDEX('Outcome Indicators - Section C '!K$1:K$100,MATCH($A373,'Outcome Indicators - Section C '!$A$1:$A$100,0)+1)&lt;&gt;"",FIXED(INDEX('Outcome Indicators - Section C '!K$1:K$100,MATCH($A373,'Outcome Indicators - Section C '!$A$1:$A$100,0)+1),2),""),"")</f>
        <v/>
      </c>
      <c r="E384" s="78" t="str">
        <f ca="1">IFERROR(IF(INDEX('Outcome Indicators - Section C '!O$1:O$100,MATCH($A373,'Outcome Indicators - Section C '!$A$1:$A$100,0)+1)&lt;&gt;"",FIXED(INDEX('Outcome Indicators - Section C '!O$1:O$100,MATCH($A373,'Outcome Indicators - Section C '!$A$1:$A$100,0)+1),2),""),"")</f>
        <v/>
      </c>
      <c r="F384" s="78" t="str">
        <f ca="1">IFERROR(IF(INDEX('Outcome Indicators - Section C '!S$1:S$100,MATCH($A373,'Outcome Indicators - Section C '!$A$1:$A$100,0)+1)&lt;&gt;"",FIXED(INDEX('Outcome Indicators - Section C '!S$1:S$100,MATCH($A373,'Outcome Indicators - Section C '!$A$1:$A$100,0)+1),2),""),"")</f>
        <v/>
      </c>
      <c r="G384" s="78" t="str">
        <f ca="1">IFERROR(IF(INDEX('Outcome Indicators - Section C '!W$1:W$100,MATCH($A373,'Outcome Indicators - Section C '!$A$1:$A$100,0)+1)&lt;&gt;"",FIXED(INDEX('Outcome Indicators - Section C '!W$1:W$100,MATCH($A373,'Outcome Indicators - Section C '!$A$1:$A$100,0)+1),2),""),"")</f>
        <v/>
      </c>
    </row>
    <row r="385" spans="1:7" ht="18.75" customHeight="1">
      <c r="A385" s="607"/>
      <c r="B385" s="74" t="s">
        <v>5056</v>
      </c>
      <c r="C385" s="75" t="str">
        <f ca="1">IFERROR(IF(INDEX('Outcome Indicators - Section C '!E$1:E$100,MATCH($A373,'Outcome Indicators - Section C '!$A$1:$A$100,0))&lt;&gt;"",FIXED(INDEX('Outcome Indicators - Section C '!E$1:E$100,MATCH($A373,'Outcome Indicators - Section C '!$A$1:$A$100,0))*100,2)&amp;"%",""),"")</f>
        <v/>
      </c>
      <c r="D385" s="75" t="str">
        <f ca="1">IFERROR(IF(INDEX('Outcome Indicators - Section C '!L$1:L$100,MATCH($A373,'Outcome Indicators - Section C '!$A$1:$A$100,0))&lt;&gt;"",FIXED(INDEX('Outcome Indicators - Section C '!L$1:L$100,MATCH($A373,'Outcome Indicators - Section C '!$A$1:$A$100,0))*100,2)&amp;"%",""),"")&amp;CHAR(10)&amp;IFERROR(IF(INDEX('Outcome Indicators - Section C '!N$1:N$100,MATCH($A373,'Outcome Indicators - Section C '!$A$1:$A$100,0))&lt;&gt;"",INDEX('Outcome Indicators - Section C '!N$1:N$100,MATCH($A373,'Outcome Indicators - Section C '!$A$1:$A$100,0)),""),"")&amp;CHAR(10)&amp;IFERROR(IF(INDEX('Outcome Indicators - Section C '!M$1:M$100,MATCH($A373,'Outcome Indicators - Section C '!$A$1:$A$100,0))&lt;&gt;"",TEXT(INDEX('Outcome Indicators - Section C '!M$1:M$100,MATCH($A373,'Outcome Indicators - Section C '!$A$1:$A$100,0)),Setup!$A$33),""),"")</f>
        <v xml:space="preserve">
</v>
      </c>
      <c r="E385" s="75" t="str">
        <f ca="1">IFERROR(IF(INDEX('Outcome Indicators - Section C '!P$1:P$100,MATCH($A373,'Outcome Indicators - Section C '!$A$1:$A$100,0))&lt;&gt;"",FIXED(INDEX('Outcome Indicators - Section C '!P$1:P$100,MATCH($A373,'Outcome Indicators - Section C '!$A$1:$A$100,0))*100,2)&amp;"%",""),)&amp;CHAR(10)&amp;IFERROR(IF(INDEX('Outcome Indicators - Section C '!R$1:R$100,MATCH($A373,'Outcome Indicators - Section C '!$A$1:$A$100,0))&lt;&gt;"",INDEX('Outcome Indicators - Section C '!R$1:R$100,MATCH($A373,'Outcome Indicators - Section C '!$A$1:$A$100,0)),""),"")&amp;CHAR(10)&amp;IFERROR(IF(INDEX('Outcome Indicators - Section C '!Q$1:Q$100,MATCH($A373,'Outcome Indicators - Section C '!$A$1:$A$100,0))&lt;&gt;"",TEXT(INDEX('Outcome Indicators - Section C '!Q$1:Q$100,MATCH($A373,'Outcome Indicators - Section C '!$A$1:$A$100,0)),Setup!$A$33),""),"")</f>
        <v xml:space="preserve">
TBD
</v>
      </c>
      <c r="F385" s="75" t="str">
        <f ca="1">IFERROR(IF(INDEX('Outcome Indicators - Section C '!T$1:T$100,MATCH($A373,'Outcome Indicators - Section C '!$A$1:$A$100,0))&lt;&gt;"",FIXED(INDEX('Outcome Indicators - Section C '!T$1:T$100,MATCH($A373,'Outcome Indicators - Section C '!$A$1:$A$100,0))*100,2)&amp;"%",""),)&amp;CHAR(10)&amp;IFERROR(IF(INDEX('Outcome Indicators - Section C '!V$1:V$100,MATCH($A373,'Outcome Indicators - Section C '!$A$1:$A$100,0))&lt;&gt;"",INDEX('Outcome Indicators - Section C '!V$1:V$100,MATCH($A373,'Outcome Indicators - Section C '!$A$1:$A$100,0)),""),"")&amp;CHAR(10)&amp;IFERROR(IF(INDEX('Outcome Indicators - Section C '!U$1:U$100,MATCH($A373,'Outcome Indicators - Section C '!$A$1:$A$100,0))&lt;&gt;"",TEXT(INDEX('Outcome Indicators - Section C '!U$1:U$100,MATCH($A373,'Outcome Indicators - Section C '!$A$1:$A$100,0)),Setup!$A$33),""),"")</f>
        <v xml:space="preserve">
</v>
      </c>
      <c r="G385" s="75" t="str">
        <f ca="1">IFERROR(IF(INDEX('Outcome Indicators - Section C '!X$1:X$100,MATCH($A373,'Outcome Indicators - Section C '!$A$1:$A$100,0))&lt;&gt;"",FIXED(INDEX('Outcome Indicators - Section C '!X$1:X$100,MATCH($A373,'Outcome Indicators - Section C '!$A$1:$A$100,0))*100,2)&amp;"%",""),"")&amp;CHAR(10)&amp;IFERROR(IF(INDEX('Outcome Indicators - Section C '!Z$1:Z$100,MATCH($A373,'Outcome Indicators - Section C '!$A$1:$A$100,0))&lt;&gt;"",INDEX('Outcome Indicators - Section C '!Z$1:Z$100,MATCH($A373,'Outcome Indicators - Section C '!$A$1:$A$100,0)),""),"")&amp;CHAR(10)&amp;IFERROR(IF(INDEX('Outcome Indicators - Section C '!Y$1:Y$100,MATCH($A373,'Outcome Indicators - Section C '!$A$1:$A$100,0))&lt;&gt;"",TEXT(INDEX('Outcome Indicators - Section C '!Y$1:Y$100,MATCH($A373,'Outcome Indicators - Section C '!$A$1:$A$100,0)),Setup!$A$33),""),"")</f>
        <v xml:space="preserve">
</v>
      </c>
    </row>
    <row r="386" spans="1:7" ht="18.75" customHeight="1">
      <c r="A386" s="607"/>
      <c r="B386" s="590" t="s">
        <v>176</v>
      </c>
      <c r="C386" s="591"/>
      <c r="D386" s="591"/>
      <c r="E386" s="591"/>
      <c r="F386" s="591"/>
      <c r="G386" s="592"/>
    </row>
    <row r="387" spans="1:7" ht="18.75" customHeight="1">
      <c r="A387" s="607"/>
      <c r="B387" s="608" t="str">
        <f>IFERROR(IF(INDEX('Outcome Indicators - Section C '!AA$1:AA$100,MATCH($A373,'Outcome Indicators - Section C '!$A$1:$A$100,0))&lt;&gt;0,INDEX('Outcome Indicators - Section C '!AA$1:AA$100,MATCH($A373,'Outcome Indicators - Section C '!$A$1:$A$100,0)),""),"")</f>
        <v>The 2017 Stigma Index survey does not report on this indicator as defined in the performance framework.
The Stigma Index survey will be conducted in 2024 and the results will be published in 2025. The survey report will be submitted in February 2025.
This indicator has not been considered in the analysis plan for the survey protocol.</v>
      </c>
      <c r="C387" s="609"/>
      <c r="D387" s="609"/>
      <c r="E387" s="609"/>
      <c r="F387" s="609"/>
      <c r="G387" s="610"/>
    </row>
    <row r="388" spans="1:7" ht="18.75" customHeight="1">
      <c r="A388" s="607"/>
      <c r="B388" s="611"/>
      <c r="C388" s="612"/>
      <c r="D388" s="612"/>
      <c r="E388" s="612"/>
      <c r="F388" s="612"/>
      <c r="G388" s="613"/>
    </row>
    <row r="389" spans="1:7" ht="18.75" customHeight="1">
      <c r="A389" s="607"/>
      <c r="B389" s="611"/>
      <c r="C389" s="612"/>
      <c r="D389" s="612"/>
      <c r="E389" s="612"/>
      <c r="F389" s="612"/>
      <c r="G389" s="613"/>
    </row>
    <row r="390" spans="1:7" ht="18.75" customHeight="1">
      <c r="A390" s="607"/>
      <c r="B390" s="611"/>
      <c r="C390" s="612"/>
      <c r="D390" s="612"/>
      <c r="E390" s="612"/>
      <c r="F390" s="612"/>
      <c r="G390" s="613"/>
    </row>
    <row r="391" spans="1:7" ht="18.75" customHeight="1">
      <c r="A391" s="607"/>
      <c r="B391" s="611"/>
      <c r="C391" s="612"/>
      <c r="D391" s="612"/>
      <c r="E391" s="612"/>
      <c r="F391" s="612"/>
      <c r="G391" s="613"/>
    </row>
    <row r="392" spans="1:7" ht="18.75" customHeight="1">
      <c r="A392" s="607"/>
      <c r="B392" s="611"/>
      <c r="C392" s="612"/>
      <c r="D392" s="612"/>
      <c r="E392" s="612"/>
      <c r="F392" s="612"/>
      <c r="G392" s="613"/>
    </row>
    <row r="393" spans="1:7" ht="18.75" customHeight="1">
      <c r="A393" s="607"/>
      <c r="B393" s="611"/>
      <c r="C393" s="612"/>
      <c r="D393" s="612"/>
      <c r="E393" s="612"/>
      <c r="F393" s="612"/>
      <c r="G393" s="613"/>
    </row>
    <row r="394" spans="1:7" ht="18.75" customHeight="1">
      <c r="A394" s="607"/>
      <c r="B394" s="611"/>
      <c r="C394" s="612"/>
      <c r="D394" s="612"/>
      <c r="E394" s="612"/>
      <c r="F394" s="612"/>
      <c r="G394" s="613"/>
    </row>
    <row r="395" spans="1:7" ht="18.75" customHeight="1">
      <c r="A395" s="607"/>
      <c r="B395" s="611"/>
      <c r="C395" s="612"/>
      <c r="D395" s="612"/>
      <c r="E395" s="612"/>
      <c r="F395" s="612"/>
      <c r="G395" s="613"/>
    </row>
    <row r="396" spans="1:7" ht="18.75" customHeight="1">
      <c r="A396" s="624"/>
      <c r="B396" s="614"/>
      <c r="C396" s="615"/>
      <c r="D396" s="615"/>
      <c r="E396" s="615"/>
      <c r="F396" s="615"/>
      <c r="G396" s="616"/>
    </row>
    <row r="397" spans="1:7" ht="18.75" customHeight="1">
      <c r="A397" s="590"/>
      <c r="B397" s="591"/>
      <c r="C397" s="591"/>
      <c r="D397" s="591"/>
      <c r="E397" s="591"/>
      <c r="F397" s="591"/>
      <c r="G397" s="592"/>
    </row>
    <row r="399" spans="1:7" ht="18.75" customHeight="1">
      <c r="A399" s="73" t="s">
        <v>5051</v>
      </c>
      <c r="B399" s="590" t="s">
        <v>765</v>
      </c>
      <c r="C399" s="591"/>
      <c r="D399" s="592"/>
      <c r="E399" s="590" t="s">
        <v>766</v>
      </c>
      <c r="F399" s="591"/>
      <c r="G399" s="592"/>
    </row>
    <row r="400" spans="1:7" ht="18.75" customHeight="1">
      <c r="A400" s="606">
        <v>15</v>
      </c>
      <c r="B400" s="608" t="str">
        <f ca="1">IFERROR(IF(INDEX('Outcome Indicators - Section C '!B$1:B$100,MATCH($A400,'Outcome Indicators - Section C '!$A$1:$A$100,0))&lt;&gt;0,INDEX('Outcome Indicators - Section C '!B$1:B$100,MATCH($A400,'Outcome Indicators - Section C '!$A$1:$A$100,0)),""),"")</f>
        <v/>
      </c>
      <c r="C400" s="609"/>
      <c r="D400" s="610"/>
      <c r="E400" s="608" t="str">
        <f>IFERROR(IF(INDEX('Outcome Indicators - Section C '!C$1:C$100,MATCH($A400,'Outcome Indicators - Section C '!$A$1:$A$100,0))&lt;&gt;0,INDEX('Outcome Indicators - Section C '!C$1:C$100,MATCH($A400,'Outcome Indicators - Section C '!$A$1:$A$100,0)),""),"")</f>
        <v>Number of female patients with all forms of TB notified (i.e., bacteriologically confirmed + clinically diagnosed); *includes only those with new and relapse TB.</v>
      </c>
      <c r="F400" s="609"/>
      <c r="G400" s="610"/>
    </row>
    <row r="401" spans="1:7" ht="18.75" customHeight="1">
      <c r="A401" s="607"/>
      <c r="B401" s="611"/>
      <c r="C401" s="612"/>
      <c r="D401" s="613"/>
      <c r="E401" s="611"/>
      <c r="F401" s="612"/>
      <c r="G401" s="613"/>
    </row>
    <row r="402" spans="1:7" ht="18.75" customHeight="1">
      <c r="A402" s="607"/>
      <c r="B402" s="614"/>
      <c r="C402" s="615"/>
      <c r="D402" s="616"/>
      <c r="E402" s="614"/>
      <c r="F402" s="615"/>
      <c r="G402" s="616"/>
    </row>
    <row r="403" spans="1:7" ht="18.75" customHeight="1">
      <c r="A403" s="607"/>
      <c r="B403" s="590" t="s">
        <v>769</v>
      </c>
      <c r="C403" s="591"/>
      <c r="D403" s="592"/>
      <c r="E403" s="590" t="s">
        <v>127</v>
      </c>
      <c r="F403" s="591"/>
      <c r="G403" s="592"/>
    </row>
    <row r="404" spans="1:7" ht="18.75" customHeight="1">
      <c r="A404" s="607"/>
      <c r="B404" s="617" t="str">
        <f>IFERROR(IF(INDEX('Outcome Indicators - Section C '!H$1:H$100,MATCH($A400,'Outcome Indicators - Section C '!$A$1:$A$100,0))&lt;&gt;0,INDEX('Outcome Indicators - Section C '!H$1:H$100,MATCH($A400,'Outcome Indicators - Section C '!$A$1:$A$100,0)),""),"")</f>
        <v/>
      </c>
      <c r="C404" s="603"/>
      <c r="D404" s="604"/>
      <c r="E404" s="617" t="str">
        <f>IFERROR(IF(INDEX('Outcome Indicators - Section C '!J$9:J$38,MATCH($A400,'Outcome Indicators - Section C '!$A$9:$A$100,0))&lt;&gt;0,INDEX('Outcome Indicators - Section C '!J$9:J$38,MATCH($A400,'Outcome Indicators - Section C '!$A$9:$A$100,0)),""),"")</f>
        <v>Congo (Democratic Republic)</v>
      </c>
      <c r="F404" s="603"/>
      <c r="G404" s="604"/>
    </row>
    <row r="405" spans="1:7" ht="18.75" customHeight="1">
      <c r="A405" s="607"/>
      <c r="B405" s="590" t="s">
        <v>199</v>
      </c>
      <c r="C405" s="591"/>
      <c r="D405" s="592"/>
      <c r="E405" s="590" t="s">
        <v>120</v>
      </c>
      <c r="F405" s="591"/>
      <c r="G405" s="592"/>
    </row>
    <row r="406" spans="1:7" ht="18.75" customHeight="1">
      <c r="A406" s="607"/>
      <c r="B406" s="608" t="str">
        <f>IFERROR(IF(INDEX('Outcome Indicators - Section C '!G$1:G$100,MATCH($A400,'Outcome Indicators - Section C '!$A$1:$A$100,0))&lt;&gt;0,INDEX('Outcome Indicators - Section C '!G$1:G$100,MATCH($A400,'Outcome Indicators - Section C '!$A$1:$A$100,0)),""),"")</f>
        <v>TB program annual report</v>
      </c>
      <c r="C406" s="609"/>
      <c r="D406" s="610"/>
      <c r="E406" s="608" t="str">
        <f ca="1">IFERROR(IF(AND('Overview - Section A'!AS$1="Grant Making",OR(B400&lt;&gt;"",E400&lt;&gt;"")),Setup!I15,IF(INDEX('Outcome Indicators - Section C '!I$1:I$100,MATCH($A400,'Outcome Indicators - Section C '!$A$1:$A$100,0))&lt;&gt;0,INDEX('Outcome Indicators - Section C '!I$1:I$100,MATCH($A400,'Outcome Indicators - Section C '!$A$1:$A$100,0)),"")),"")</f>
        <v>Ministry of Public Health, Hygiene and Prevention</v>
      </c>
      <c r="F406" s="609"/>
      <c r="G406" s="610"/>
    </row>
    <row r="407" spans="1:7" ht="18.75" customHeight="1">
      <c r="A407" s="607"/>
      <c r="B407" s="614"/>
      <c r="C407" s="615"/>
      <c r="D407" s="616"/>
      <c r="E407" s="614"/>
      <c r="F407" s="615"/>
      <c r="G407" s="616"/>
    </row>
    <row r="408" spans="1:7" ht="18.75" customHeight="1">
      <c r="A408" s="607"/>
      <c r="B408" s="74"/>
      <c r="C408" s="59" t="s">
        <v>5052</v>
      </c>
      <c r="D408" s="590" t="s">
        <v>5053</v>
      </c>
      <c r="E408" s="591"/>
      <c r="F408" s="591"/>
      <c r="G408" s="592"/>
    </row>
    <row r="409" spans="1:7" ht="18.75" customHeight="1">
      <c r="A409" s="607"/>
      <c r="B409" s="74" t="s">
        <v>2589</v>
      </c>
      <c r="C409" s="75">
        <f>IFERROR(IF(INDEX('Outcome Indicators - Section C '!F$1:F$100,MATCH($A400,'Outcome Indicators - Section C '!$A$1:$A$100,0))&lt;&gt;0,INDEX('Outcome Indicators - Section C '!F$1:F$100,MATCH($A400,'Outcome Indicators - Section C '!$A$1:$A$100,0)),""),"")</f>
        <v>2021</v>
      </c>
      <c r="D409" s="59">
        <f ca="1">IFERROR(IF(YEAR(INDEX('Overview - Section A'!$A$47:$A$54,MATCH('Print - Summary'!$H$10,'Overview - Section A'!$B$47:$B$54,0)))&lt;=YEAR('Overview - Section A'!$E$8),YEAR(INDEX('Overview - Section A'!$A$47:$A$54,MATCH('Print - Summary'!$H$10,'Overview - Section A'!$B$47:$B$54,0))),""),"")</f>
        <v>2024</v>
      </c>
      <c r="E409" s="59">
        <f ca="1">IFERROR(IF(D409+1&lt;=YEAR('Overview - Section A'!$E$8),D409+1,""),"")</f>
        <v>2025</v>
      </c>
      <c r="F409" s="59">
        <f ca="1">IFERROR(IF(E409+1&lt;=YEAR('Overview - Section A'!$E$8),E409+1,""),"")</f>
        <v>2026</v>
      </c>
      <c r="G409" s="59" t="str">
        <f ca="1">IFERROR(IF(F409+1&lt;=YEAR('Overview - Section A'!$E$8),F409+1,""),"")</f>
        <v/>
      </c>
    </row>
    <row r="410" spans="1:7" s="81" customFormat="1" ht="18.75" customHeight="1">
      <c r="A410" s="607"/>
      <c r="B410" s="74" t="s">
        <v>5054</v>
      </c>
      <c r="C410" s="80" t="str">
        <f>IFERROR(IF(INDEX('Outcome Indicators - Section C '!D$1:D$100,MATCH($A400,'Outcome Indicators - Section C '!$A$1:$A$100,0))&lt;&gt;"",FIXED(INDEX('Outcome Indicators - Section C '!D$1:D$100,MATCH($A400,'Outcome Indicators - Section C '!$A$1:$A$100,0)),4),""),"")</f>
        <v>93'041.0000</v>
      </c>
      <c r="D410" s="80" t="str">
        <f ca="1">IFERROR(IF(INDEX('Outcome Indicators - Section C '!K$1:K$100,MATCH($A400,'Outcome Indicators - Section C '!$A$1:$A$100,0))&lt;&gt;"",FIXED(INDEX('Outcome Indicators - Section C '!K$1:K$100,MATCH($A400,'Outcome Indicators - Section C '!$A$1:$A$100,0)),4),""),"")</f>
        <v>113'800.0000</v>
      </c>
      <c r="E410" s="80" t="str">
        <f ca="1">IFERROR(IF(INDEX('Outcome Indicators - Section C '!O$1:O$100,MATCH($A400,'Outcome Indicators - Section C '!$A$1:$A$100,0))&lt;&gt;"",FIXED(INDEX('Outcome Indicators - Section C '!O$1:O$100,MATCH($A400,'Outcome Indicators - Section C '!$A$1:$A$100,0)),4),""),"")</f>
        <v>125'205.0000</v>
      </c>
      <c r="F410" s="80" t="str">
        <f ca="1">IFERROR(IF(INDEX('Outcome Indicators - Section C '!S$1:S$100,MATCH($A400,'Outcome Indicators - Section C '!$A$1:$A$100,0))&lt;&gt;"",FIXED(INDEX('Outcome Indicators - Section C '!S$1:S$100,MATCH($A400,'Outcome Indicators - Section C '!$A$1:$A$100,0)),4),""),"")</f>
        <v>137'077.0000</v>
      </c>
      <c r="G410" s="80" t="str">
        <f ca="1">IFERROR(IF(INDEX('Outcome Indicators - Section C '!W$1:W$100,MATCH($A400,'Outcome Indicators - Section C '!$A$1:$A$100,0))&lt;&gt;"",FIXED(INDEX('Outcome Indicators - Section C '!W$1:W$100,MATCH($A400,'Outcome Indicators - Section C '!$A$1:$A$100,0)),4),""),"")</f>
        <v/>
      </c>
    </row>
    <row r="411" spans="1:7" s="79" customFormat="1" ht="18.75" customHeight="1">
      <c r="A411" s="607"/>
      <c r="B411" s="74" t="s">
        <v>5055</v>
      </c>
      <c r="C411" s="78" t="str">
        <f>IFERROR(IF(INDEX('Outcome Indicators - Section C '!D$1:D$100,MATCH($A400,'Outcome Indicators - Section C '!$A$1:$A$100,0)+1)&lt;&gt;"",FIXED(INDEX('Outcome Indicators - Section C '!D$1:D$100,MATCH($A400,'Outcome Indicators - Section C '!$A$1:$A$100,0)+1),2),""),"")</f>
        <v/>
      </c>
      <c r="D411" s="78" t="str">
        <f ca="1">IFERROR(IF(INDEX('Outcome Indicators - Section C '!K$1:K$100,MATCH($A400,'Outcome Indicators - Section C '!$A$1:$A$100,0)+1)&lt;&gt;"",FIXED(INDEX('Outcome Indicators - Section C '!K$1:K$100,MATCH($A400,'Outcome Indicators - Section C '!$A$1:$A$100,0)+1),2),""),"")</f>
        <v/>
      </c>
      <c r="E411" s="78" t="str">
        <f ca="1">IFERROR(IF(INDEX('Outcome Indicators - Section C '!O$1:O$100,MATCH($A400,'Outcome Indicators - Section C '!$A$1:$A$100,0)+1)&lt;&gt;"",FIXED(INDEX('Outcome Indicators - Section C '!O$1:O$100,MATCH($A400,'Outcome Indicators - Section C '!$A$1:$A$100,0)+1),2),""),"")</f>
        <v/>
      </c>
      <c r="F411" s="78" t="str">
        <f ca="1">IFERROR(IF(INDEX('Outcome Indicators - Section C '!S$1:S$100,MATCH($A400,'Outcome Indicators - Section C '!$A$1:$A$100,0)+1)&lt;&gt;"",FIXED(INDEX('Outcome Indicators - Section C '!S$1:S$100,MATCH($A400,'Outcome Indicators - Section C '!$A$1:$A$100,0)+1),2),""),"")</f>
        <v/>
      </c>
      <c r="G411" s="78" t="str">
        <f ca="1">IFERROR(IF(INDEX('Outcome Indicators - Section C '!W$1:W$100,MATCH($A400,'Outcome Indicators - Section C '!$A$1:$A$100,0)+1)&lt;&gt;"",FIXED(INDEX('Outcome Indicators - Section C '!W$1:W$100,MATCH($A400,'Outcome Indicators - Section C '!$A$1:$A$100,0)+1),2),""),"")</f>
        <v/>
      </c>
    </row>
    <row r="412" spans="1:7" ht="18.75" customHeight="1">
      <c r="A412" s="607"/>
      <c r="B412" s="74" t="s">
        <v>5056</v>
      </c>
      <c r="C412" s="75" t="str">
        <f ca="1">IFERROR(IF(INDEX('Outcome Indicators - Section C '!E$1:E$100,MATCH($A400,'Outcome Indicators - Section C '!$A$1:$A$100,0))&lt;&gt;"",FIXED(INDEX('Outcome Indicators - Section C '!E$1:E$100,MATCH($A400,'Outcome Indicators - Section C '!$A$1:$A$100,0))*100,2)&amp;"%",""),"")</f>
        <v/>
      </c>
      <c r="D412" s="75" t="str">
        <f ca="1">IFERROR(IF(INDEX('Outcome Indicators - Section C '!L$1:L$100,MATCH($A400,'Outcome Indicators - Section C '!$A$1:$A$100,0))&lt;&gt;"",FIXED(INDEX('Outcome Indicators - Section C '!L$1:L$100,MATCH($A400,'Outcome Indicators - Section C '!$A$1:$A$100,0))*100,2)&amp;"%",""),"")&amp;CHAR(10)&amp;IFERROR(IF(INDEX('Outcome Indicators - Section C '!N$1:N$100,MATCH($A400,'Outcome Indicators - Section C '!$A$1:$A$100,0))&lt;&gt;"",INDEX('Outcome Indicators - Section C '!N$1:N$100,MATCH($A400,'Outcome Indicators - Section C '!$A$1:$A$100,0)),""),"")&amp;CHAR(10)&amp;IFERROR(IF(INDEX('Outcome Indicators - Section C '!M$1:M$100,MATCH($A400,'Outcome Indicators - Section C '!$A$1:$A$100,0))&lt;&gt;"",TEXT(INDEX('Outcome Indicators - Section C '!M$1:M$100,MATCH($A400,'Outcome Indicators - Section C '!$A$1:$A$100,0)),Setup!$A$33),""),"")</f>
        <v xml:space="preserve">
</v>
      </c>
      <c r="E412" s="75" t="str">
        <f ca="1">IFERROR(IF(INDEX('Outcome Indicators - Section C '!P$1:P$100,MATCH($A400,'Outcome Indicators - Section C '!$A$1:$A$100,0))&lt;&gt;"",FIXED(INDEX('Outcome Indicators - Section C '!P$1:P$100,MATCH($A400,'Outcome Indicators - Section C '!$A$1:$A$100,0))*100,2)&amp;"%",""),)&amp;CHAR(10)&amp;IFERROR(IF(INDEX('Outcome Indicators - Section C '!R$1:R$100,MATCH($A400,'Outcome Indicators - Section C '!$A$1:$A$100,0))&lt;&gt;"",INDEX('Outcome Indicators - Section C '!R$1:R$100,MATCH($A400,'Outcome Indicators - Section C '!$A$1:$A$100,0)),""),"")&amp;CHAR(10)&amp;IFERROR(IF(INDEX('Outcome Indicators - Section C '!Q$1:Q$100,MATCH($A400,'Outcome Indicators - Section C '!$A$1:$A$100,0))&lt;&gt;"",TEXT(INDEX('Outcome Indicators - Section C '!Q$1:Q$100,MATCH($A400,'Outcome Indicators - Section C '!$A$1:$A$100,0)),Setup!$A$33),""),"")</f>
        <v xml:space="preserve">
</v>
      </c>
      <c r="F412" s="75" t="str">
        <f ca="1">IFERROR(IF(INDEX('Outcome Indicators - Section C '!T$1:T$100,MATCH($A400,'Outcome Indicators - Section C '!$A$1:$A$100,0))&lt;&gt;"",FIXED(INDEX('Outcome Indicators - Section C '!T$1:T$100,MATCH($A400,'Outcome Indicators - Section C '!$A$1:$A$100,0))*100,2)&amp;"%",""),)&amp;CHAR(10)&amp;IFERROR(IF(INDEX('Outcome Indicators - Section C '!V$1:V$100,MATCH($A400,'Outcome Indicators - Section C '!$A$1:$A$100,0))&lt;&gt;"",INDEX('Outcome Indicators - Section C '!V$1:V$100,MATCH($A400,'Outcome Indicators - Section C '!$A$1:$A$100,0)),""),"")&amp;CHAR(10)&amp;IFERROR(IF(INDEX('Outcome Indicators - Section C '!U$1:U$100,MATCH($A400,'Outcome Indicators - Section C '!$A$1:$A$100,0))&lt;&gt;"",TEXT(INDEX('Outcome Indicators - Section C '!U$1:U$100,MATCH($A400,'Outcome Indicators - Section C '!$A$1:$A$100,0)),Setup!$A$33),""),"")</f>
        <v xml:space="preserve">
</v>
      </c>
      <c r="G412" s="75" t="str">
        <f ca="1">IFERROR(IF(INDEX('Outcome Indicators - Section C '!X$1:X$100,MATCH($A400,'Outcome Indicators - Section C '!$A$1:$A$100,0))&lt;&gt;"",FIXED(INDEX('Outcome Indicators - Section C '!X$1:X$100,MATCH($A400,'Outcome Indicators - Section C '!$A$1:$A$100,0))*100,2)&amp;"%",""),"")&amp;CHAR(10)&amp;IFERROR(IF(INDEX('Outcome Indicators - Section C '!Z$1:Z$100,MATCH($A400,'Outcome Indicators - Section C '!$A$1:$A$100,0))&lt;&gt;"",INDEX('Outcome Indicators - Section C '!Z$1:Z$100,MATCH($A400,'Outcome Indicators - Section C '!$A$1:$A$100,0)),""),"")&amp;CHAR(10)&amp;IFERROR(IF(INDEX('Outcome Indicators - Section C '!Y$1:Y$100,MATCH($A400,'Outcome Indicators - Section C '!$A$1:$A$100,0))&lt;&gt;"",TEXT(INDEX('Outcome Indicators - Section C '!Y$1:Y$100,MATCH($A400,'Outcome Indicators - Section C '!$A$1:$A$100,0)),Setup!$A$33),""),"")</f>
        <v xml:space="preserve">
</v>
      </c>
    </row>
    <row r="413" spans="1:7" ht="18.75" customHeight="1">
      <c r="A413" s="607"/>
      <c r="B413" s="590" t="s">
        <v>176</v>
      </c>
      <c r="C413" s="591"/>
      <c r="D413" s="591"/>
      <c r="E413" s="591"/>
      <c r="F413" s="591"/>
      <c r="G413" s="592"/>
    </row>
    <row r="414" spans="1:7" ht="18.75" customHeight="1">
      <c r="A414" s="607"/>
      <c r="B414" s="608" t="str">
        <f>IFERROR(IF(INDEX('Outcome Indicators - Section C '!AA$1:AA$100,MATCH($A400,'Outcome Indicators - Section C '!$A$1:$A$100,0))&lt;&gt;0,INDEX('Outcome Indicators - Section C '!AA$1:AA$100,MATCH($A400,'Outcome Indicators - Section C '!$A$1:$A$100,0)),""),"")</f>
        <v>The increase in TB coverage (or detection rate) has evolved on average by 4% between 2015 and 2021. The 2022 data being validated The country has implemented in the NSP an increase in coverage of 4% in 2023 and 2024, and 6% in 2025 and 2026 which will be achieved through the following strategies: 1) decentralization and provision of integrated and person-centered TB services; 2) optimization of the use of molecular diagnostic tools, expanding specimen transport with accurate mapping at the SLA level; 3) an efficient diagnostic network 4) expansion of the quality approach 5) implementation of active screening in key and vulnerable populations using digital radiography with CAD or not. The coverage rate planned in the NSP is 80% in 2024, 86% in 2025 and 92% in 2026. The country expects to reach 90% of the NSP target with the grant. Thus, the expected number of TB cases is 258,638 in 2024, 284,558 in 2025 and 311,540 in 2026. The contribution of women during the grant period is 44% per year, or 113,800 in 2024, 125,205 in 2025 and 137,077 in 2026.
This is a gender equity indicator.</v>
      </c>
      <c r="C414" s="609"/>
      <c r="D414" s="609"/>
      <c r="E414" s="609"/>
      <c r="F414" s="609"/>
      <c r="G414" s="610"/>
    </row>
    <row r="415" spans="1:7" ht="18.75" customHeight="1">
      <c r="A415" s="607"/>
      <c r="B415" s="611"/>
      <c r="C415" s="612"/>
      <c r="D415" s="612"/>
      <c r="E415" s="612"/>
      <c r="F415" s="612"/>
      <c r="G415" s="613"/>
    </row>
    <row r="416" spans="1:7" ht="18.75" customHeight="1">
      <c r="A416" s="607"/>
      <c r="B416" s="611"/>
      <c r="C416" s="612"/>
      <c r="D416" s="612"/>
      <c r="E416" s="612"/>
      <c r="F416" s="612"/>
      <c r="G416" s="613"/>
    </row>
    <row r="417" spans="1:7" ht="18.75" customHeight="1">
      <c r="A417" s="607"/>
      <c r="B417" s="611"/>
      <c r="C417" s="612"/>
      <c r="D417" s="612"/>
      <c r="E417" s="612"/>
      <c r="F417" s="612"/>
      <c r="G417" s="613"/>
    </row>
    <row r="418" spans="1:7" ht="18.75" customHeight="1">
      <c r="A418" s="607"/>
      <c r="B418" s="611"/>
      <c r="C418" s="612"/>
      <c r="D418" s="612"/>
      <c r="E418" s="612"/>
      <c r="F418" s="612"/>
      <c r="G418" s="613"/>
    </row>
    <row r="419" spans="1:7" ht="18.75" customHeight="1">
      <c r="A419" s="607"/>
      <c r="B419" s="611"/>
      <c r="C419" s="612"/>
      <c r="D419" s="612"/>
      <c r="E419" s="612"/>
      <c r="F419" s="612"/>
      <c r="G419" s="613"/>
    </row>
    <row r="420" spans="1:7" ht="18.75" customHeight="1">
      <c r="A420" s="607"/>
      <c r="B420" s="611"/>
      <c r="C420" s="612"/>
      <c r="D420" s="612"/>
      <c r="E420" s="612"/>
      <c r="F420" s="612"/>
      <c r="G420" s="613"/>
    </row>
    <row r="421" spans="1:7" ht="18.75" customHeight="1">
      <c r="A421" s="607"/>
      <c r="B421" s="611"/>
      <c r="C421" s="612"/>
      <c r="D421" s="612"/>
      <c r="E421" s="612"/>
      <c r="F421" s="612"/>
      <c r="G421" s="613"/>
    </row>
    <row r="422" spans="1:7" ht="18.75" customHeight="1">
      <c r="A422" s="607"/>
      <c r="B422" s="611"/>
      <c r="C422" s="612"/>
      <c r="D422" s="612"/>
      <c r="E422" s="612"/>
      <c r="F422" s="612"/>
      <c r="G422" s="613"/>
    </row>
    <row r="423" spans="1:7" ht="18.75" customHeight="1">
      <c r="A423" s="624"/>
      <c r="B423" s="614"/>
      <c r="C423" s="615"/>
      <c r="D423" s="615"/>
      <c r="E423" s="615"/>
      <c r="F423" s="615"/>
      <c r="G423" s="616"/>
    </row>
    <row r="424" spans="1:7" ht="18.75" customHeight="1">
      <c r="A424" s="590"/>
      <c r="B424" s="591"/>
      <c r="C424" s="591"/>
      <c r="D424" s="591"/>
      <c r="E424" s="591"/>
      <c r="F424" s="591"/>
      <c r="G424" s="592"/>
    </row>
  </sheetData>
  <sheetProtection algorithmName="SHA-512" hashValue="B0OYFtJ8HQuVOCAhibXIkt9W16CDNIukAkDUm3DXCq5lGqgVtBRFtSQ53Ull8Z6G+ObaRlZoNrFS6ZacK99RDg==" saltValue="BP8JSUJ9sd6l+AFeIIiStQ==" spinCount="100000" sheet="1" objects="1" scenarios="1"/>
  <mergeCells count="272">
    <mergeCell ref="B414:G423"/>
    <mergeCell ref="A424:G424"/>
    <mergeCell ref="A397:G397"/>
    <mergeCell ref="B399:D399"/>
    <mergeCell ref="E399:G399"/>
    <mergeCell ref="A400:A423"/>
    <mergeCell ref="B400:D402"/>
    <mergeCell ref="E400:G402"/>
    <mergeCell ref="B403:D403"/>
    <mergeCell ref="E403:G403"/>
    <mergeCell ref="B404:D404"/>
    <mergeCell ref="E404:G404"/>
    <mergeCell ref="B405:D405"/>
    <mergeCell ref="E405:G405"/>
    <mergeCell ref="B406:D407"/>
    <mergeCell ref="E406:G407"/>
    <mergeCell ref="D408:G408"/>
    <mergeCell ref="B413:G413"/>
    <mergeCell ref="A373:A396"/>
    <mergeCell ref="B373:D375"/>
    <mergeCell ref="E373:G375"/>
    <mergeCell ref="B376:D376"/>
    <mergeCell ref="E376:G376"/>
    <mergeCell ref="B377:D377"/>
    <mergeCell ref="E377:G377"/>
    <mergeCell ref="B378:D378"/>
    <mergeCell ref="E378:G378"/>
    <mergeCell ref="B379:D380"/>
    <mergeCell ref="E379:G380"/>
    <mergeCell ref="D381:G381"/>
    <mergeCell ref="B386:G386"/>
    <mergeCell ref="B387:G396"/>
    <mergeCell ref="B359:G359"/>
    <mergeCell ref="B360:G369"/>
    <mergeCell ref="A370:G370"/>
    <mergeCell ref="B372:D372"/>
    <mergeCell ref="E372:G372"/>
    <mergeCell ref="B333:G342"/>
    <mergeCell ref="A343:G343"/>
    <mergeCell ref="B345:D345"/>
    <mergeCell ref="E345:G345"/>
    <mergeCell ref="A346:A369"/>
    <mergeCell ref="B346:D348"/>
    <mergeCell ref="E346:G348"/>
    <mergeCell ref="B349:D349"/>
    <mergeCell ref="E349:G349"/>
    <mergeCell ref="B350:D350"/>
    <mergeCell ref="E350:G350"/>
    <mergeCell ref="B351:D351"/>
    <mergeCell ref="E351:G351"/>
    <mergeCell ref="B352:D353"/>
    <mergeCell ref="E352:G353"/>
    <mergeCell ref="D354:G354"/>
    <mergeCell ref="A316:G316"/>
    <mergeCell ref="B318:D318"/>
    <mergeCell ref="E318:G318"/>
    <mergeCell ref="A319:A342"/>
    <mergeCell ref="B319:D321"/>
    <mergeCell ref="E319:G321"/>
    <mergeCell ref="B322:D322"/>
    <mergeCell ref="E322:G322"/>
    <mergeCell ref="B323:D323"/>
    <mergeCell ref="E323:G323"/>
    <mergeCell ref="B324:D324"/>
    <mergeCell ref="E324:G324"/>
    <mergeCell ref="B325:D326"/>
    <mergeCell ref="E325:G326"/>
    <mergeCell ref="D327:G327"/>
    <mergeCell ref="B332:G332"/>
    <mergeCell ref="A292:A315"/>
    <mergeCell ref="B292:D294"/>
    <mergeCell ref="E292:G294"/>
    <mergeCell ref="B295:D295"/>
    <mergeCell ref="E295:G295"/>
    <mergeCell ref="B296:D296"/>
    <mergeCell ref="E296:G296"/>
    <mergeCell ref="B297:D297"/>
    <mergeCell ref="E297:G297"/>
    <mergeCell ref="B298:D299"/>
    <mergeCell ref="E298:G299"/>
    <mergeCell ref="D300:G300"/>
    <mergeCell ref="B305:G305"/>
    <mergeCell ref="B306:G315"/>
    <mergeCell ref="B278:G278"/>
    <mergeCell ref="B279:G288"/>
    <mergeCell ref="A289:G289"/>
    <mergeCell ref="B291:D291"/>
    <mergeCell ref="E291:G291"/>
    <mergeCell ref="B252:G261"/>
    <mergeCell ref="A262:G262"/>
    <mergeCell ref="B264:D264"/>
    <mergeCell ref="E264:G264"/>
    <mergeCell ref="A265:A288"/>
    <mergeCell ref="B265:D267"/>
    <mergeCell ref="E265:G267"/>
    <mergeCell ref="B268:D268"/>
    <mergeCell ref="E268:G268"/>
    <mergeCell ref="B269:D269"/>
    <mergeCell ref="E269:G269"/>
    <mergeCell ref="B270:D270"/>
    <mergeCell ref="E270:G270"/>
    <mergeCell ref="B271:D272"/>
    <mergeCell ref="E271:G272"/>
    <mergeCell ref="D273:G273"/>
    <mergeCell ref="A235:G235"/>
    <mergeCell ref="B237:D237"/>
    <mergeCell ref="E237:G237"/>
    <mergeCell ref="A238:A261"/>
    <mergeCell ref="B238:D240"/>
    <mergeCell ref="E238:G240"/>
    <mergeCell ref="B241:D241"/>
    <mergeCell ref="E241:G241"/>
    <mergeCell ref="B242:D242"/>
    <mergeCell ref="E242:G242"/>
    <mergeCell ref="B243:D243"/>
    <mergeCell ref="E243:G243"/>
    <mergeCell ref="B244:D245"/>
    <mergeCell ref="E244:G245"/>
    <mergeCell ref="D246:G246"/>
    <mergeCell ref="B251:G251"/>
    <mergeCell ref="A211:A234"/>
    <mergeCell ref="B211:D213"/>
    <mergeCell ref="E211:G213"/>
    <mergeCell ref="B214:D214"/>
    <mergeCell ref="E214:G214"/>
    <mergeCell ref="B215:D215"/>
    <mergeCell ref="E215:G215"/>
    <mergeCell ref="B216:D216"/>
    <mergeCell ref="E216:G216"/>
    <mergeCell ref="B217:D218"/>
    <mergeCell ref="E217:G218"/>
    <mergeCell ref="D219:G219"/>
    <mergeCell ref="B224:G224"/>
    <mergeCell ref="B225:G234"/>
    <mergeCell ref="B197:G197"/>
    <mergeCell ref="B198:G207"/>
    <mergeCell ref="A208:G208"/>
    <mergeCell ref="B210:D210"/>
    <mergeCell ref="E210:G210"/>
    <mergeCell ref="B171:G180"/>
    <mergeCell ref="A181:G181"/>
    <mergeCell ref="B183:D183"/>
    <mergeCell ref="E183:G183"/>
    <mergeCell ref="A184:A207"/>
    <mergeCell ref="B184:D186"/>
    <mergeCell ref="E184:G186"/>
    <mergeCell ref="B187:D187"/>
    <mergeCell ref="E187:G187"/>
    <mergeCell ref="B188:D188"/>
    <mergeCell ref="E188:G188"/>
    <mergeCell ref="B189:D189"/>
    <mergeCell ref="E189:G189"/>
    <mergeCell ref="B190:D191"/>
    <mergeCell ref="E190:G191"/>
    <mergeCell ref="D192:G192"/>
    <mergeCell ref="A154:G154"/>
    <mergeCell ref="B156:D156"/>
    <mergeCell ref="E156:G156"/>
    <mergeCell ref="A157:A180"/>
    <mergeCell ref="B157:D159"/>
    <mergeCell ref="E157:G159"/>
    <mergeCell ref="B160:D160"/>
    <mergeCell ref="E160:G160"/>
    <mergeCell ref="B161:D161"/>
    <mergeCell ref="E161:G161"/>
    <mergeCell ref="B162:D162"/>
    <mergeCell ref="E162:G162"/>
    <mergeCell ref="B163:D164"/>
    <mergeCell ref="E163:G164"/>
    <mergeCell ref="D165:G165"/>
    <mergeCell ref="B170:G170"/>
    <mergeCell ref="A130:A153"/>
    <mergeCell ref="B130:D132"/>
    <mergeCell ref="E130:G132"/>
    <mergeCell ref="B133:D133"/>
    <mergeCell ref="E133:G133"/>
    <mergeCell ref="B134:D134"/>
    <mergeCell ref="E134:G134"/>
    <mergeCell ref="B135:D135"/>
    <mergeCell ref="E135:G135"/>
    <mergeCell ref="B136:D137"/>
    <mergeCell ref="E136:G137"/>
    <mergeCell ref="D138:G138"/>
    <mergeCell ref="B143:G143"/>
    <mergeCell ref="B144:G153"/>
    <mergeCell ref="B116:G116"/>
    <mergeCell ref="B117:G126"/>
    <mergeCell ref="A127:G127"/>
    <mergeCell ref="B129:D129"/>
    <mergeCell ref="E129:G129"/>
    <mergeCell ref="B90:G99"/>
    <mergeCell ref="A100:G100"/>
    <mergeCell ref="B102:D102"/>
    <mergeCell ref="E102:G102"/>
    <mergeCell ref="A103:A126"/>
    <mergeCell ref="B103:D105"/>
    <mergeCell ref="E103:G105"/>
    <mergeCell ref="B106:D106"/>
    <mergeCell ref="E106:G106"/>
    <mergeCell ref="B107:D107"/>
    <mergeCell ref="E107:G107"/>
    <mergeCell ref="B108:D108"/>
    <mergeCell ref="E108:G108"/>
    <mergeCell ref="B109:D110"/>
    <mergeCell ref="E109:G110"/>
    <mergeCell ref="D111:G111"/>
    <mergeCell ref="A73:G73"/>
    <mergeCell ref="B75:D75"/>
    <mergeCell ref="E75:G75"/>
    <mergeCell ref="A76:A99"/>
    <mergeCell ref="B76:D78"/>
    <mergeCell ref="E76:G78"/>
    <mergeCell ref="B79:D79"/>
    <mergeCell ref="E79:G79"/>
    <mergeCell ref="B80:D80"/>
    <mergeCell ref="E80:G80"/>
    <mergeCell ref="B81:D81"/>
    <mergeCell ref="E81:G81"/>
    <mergeCell ref="B82:D83"/>
    <mergeCell ref="E82:G83"/>
    <mergeCell ref="D84:G84"/>
    <mergeCell ref="B89:G89"/>
    <mergeCell ref="B48:D48"/>
    <mergeCell ref="E48:G48"/>
    <mergeCell ref="A49:A72"/>
    <mergeCell ref="B49:D51"/>
    <mergeCell ref="E49:G51"/>
    <mergeCell ref="B52:D52"/>
    <mergeCell ref="E52:G52"/>
    <mergeCell ref="B53:D53"/>
    <mergeCell ref="E53:G53"/>
    <mergeCell ref="B54:D54"/>
    <mergeCell ref="E54:G54"/>
    <mergeCell ref="B55:D56"/>
    <mergeCell ref="E55:G56"/>
    <mergeCell ref="D57:G57"/>
    <mergeCell ref="B62:G62"/>
    <mergeCell ref="B63:G72"/>
    <mergeCell ref="A46:G46"/>
    <mergeCell ref="B15:G15"/>
    <mergeCell ref="B16:G16"/>
    <mergeCell ref="B17:G17"/>
    <mergeCell ref="A19:G19"/>
    <mergeCell ref="B26:D26"/>
    <mergeCell ref="E26:G26"/>
    <mergeCell ref="A22:A45"/>
    <mergeCell ref="B22:D24"/>
    <mergeCell ref="E22:G24"/>
    <mergeCell ref="B25:D25"/>
    <mergeCell ref="E25:G25"/>
    <mergeCell ref="B21:D21"/>
    <mergeCell ref="E21:G21"/>
    <mergeCell ref="B27:D27"/>
    <mergeCell ref="E27:G27"/>
    <mergeCell ref="B28:D29"/>
    <mergeCell ref="E28:G29"/>
    <mergeCell ref="D30:G30"/>
    <mergeCell ref="B35:G35"/>
    <mergeCell ref="B36:G45"/>
    <mergeCell ref="B14:G14"/>
    <mergeCell ref="B12:G12"/>
    <mergeCell ref="B13:G13"/>
    <mergeCell ref="A1:G1"/>
    <mergeCell ref="A3:B3"/>
    <mergeCell ref="C3:D3"/>
    <mergeCell ref="B5:G5"/>
    <mergeCell ref="B6:G6"/>
    <mergeCell ref="B7:G7"/>
    <mergeCell ref="B8:G8"/>
    <mergeCell ref="B9:G9"/>
    <mergeCell ref="B10:G10"/>
    <mergeCell ref="B11:G11"/>
  </mergeCells>
  <hyperlinks>
    <hyperlink ref="C3" r:id="rId1" display="http://example.com/" xr:uid="{70E225B1-26C4-4431-BB6D-555B20BFE572}"/>
    <hyperlink ref="C3:D3" location="'Outcome Indicators - Section C '!A1" display="Outcome Indicators" xr:uid="{3938486F-EC52-4EE7-8E39-BB58CAB6A215}"/>
  </hyperlinks>
  <pageMargins left="0.7" right="0.7" top="0.75" bottom="0.75" header="0.3" footer="0.3"/>
  <pageSetup paperSize="9" scale="90" fitToHeight="0" orientation="landscape"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B51AD-5AC5-4854-BCB5-4204DD3867CE}">
  <sheetPr codeName="Sheet23">
    <pageSetUpPr fitToPage="1"/>
  </sheetPr>
  <dimension ref="A1:L843"/>
  <sheetViews>
    <sheetView view="pageBreakPreview" zoomScale="60" zoomScaleNormal="80" workbookViewId="0">
      <selection activeCell="D15" sqref="D15:K15"/>
    </sheetView>
  </sheetViews>
  <sheetFormatPr defaultColWidth="9" defaultRowHeight="18.75" customHeight="1"/>
  <cols>
    <col min="1" max="1" width="3.125" style="83" customWidth="1"/>
    <col min="2" max="11" width="21.875" style="83" customWidth="1"/>
    <col min="12" max="16384" width="9" style="83"/>
  </cols>
  <sheetData>
    <row r="1" spans="1:12" ht="18.75" customHeight="1">
      <c r="A1" s="625" t="s">
        <v>5059</v>
      </c>
      <c r="B1" s="626"/>
      <c r="C1" s="626"/>
      <c r="D1" s="626"/>
      <c r="E1" s="626"/>
      <c r="F1" s="626"/>
      <c r="G1" s="626"/>
      <c r="H1" s="626"/>
      <c r="I1" s="626"/>
      <c r="J1" s="626"/>
      <c r="K1" s="626"/>
      <c r="L1" s="82"/>
    </row>
    <row r="2" spans="1:12" ht="18.75" customHeight="1">
      <c r="A2" s="84"/>
      <c r="B2" s="85"/>
      <c r="C2" s="85"/>
      <c r="D2" s="85"/>
      <c r="E2" s="85"/>
      <c r="F2" s="85"/>
      <c r="G2" s="85"/>
      <c r="H2" s="85"/>
      <c r="I2" s="85"/>
      <c r="J2" s="85"/>
      <c r="K2" s="85"/>
      <c r="L2" s="82"/>
    </row>
    <row r="3" spans="1:12" ht="18.75" customHeight="1">
      <c r="A3" s="627" t="s">
        <v>89</v>
      </c>
      <c r="B3" s="627"/>
      <c r="C3" s="628" t="s">
        <v>5059</v>
      </c>
      <c r="D3" s="629"/>
      <c r="E3" s="86"/>
      <c r="F3" s="85"/>
      <c r="G3" s="85"/>
      <c r="H3" s="85"/>
      <c r="I3" s="85"/>
      <c r="J3" s="85"/>
      <c r="K3" s="85"/>
      <c r="L3" s="82"/>
    </row>
    <row r="4" spans="1:12" ht="18.75" customHeight="1">
      <c r="A4" s="87"/>
      <c r="B4" s="88"/>
      <c r="C4" s="88"/>
      <c r="D4" s="88"/>
      <c r="E4" s="85"/>
      <c r="F4" s="85"/>
      <c r="G4" s="85"/>
      <c r="H4" s="85"/>
      <c r="I4" s="85"/>
      <c r="J4" s="85"/>
      <c r="K4" s="85"/>
      <c r="L4" s="82"/>
    </row>
    <row r="5" spans="1:12" ht="18.75" customHeight="1">
      <c r="A5" s="89" t="s">
        <v>5051</v>
      </c>
      <c r="B5" s="625" t="s">
        <v>1077</v>
      </c>
      <c r="C5" s="630"/>
      <c r="D5" s="631" t="str">
        <f ca="1">IFERROR(IF(INDEX('Coverage Indicators - Section D'!B$1:B$124,MATCH($A6,'Coverage Indicators - Section D'!$A$1:$A$124,0))&lt;&gt;0,INDEX('Coverage Indicators - Section D'!B$1:B$124,MATCH($A6,'Coverage Indicators - Section D'!$A$1:$A$124,0)),""),"")</f>
        <v>TB diagnosis, treatment and care</v>
      </c>
      <c r="E5" s="632"/>
      <c r="F5" s="632"/>
      <c r="G5" s="632"/>
      <c r="H5" s="632"/>
      <c r="I5" s="632"/>
      <c r="J5" s="632"/>
      <c r="K5" s="633"/>
      <c r="L5" s="82"/>
    </row>
    <row r="6" spans="1:12" ht="18.75" customHeight="1">
      <c r="A6" s="640">
        <v>1</v>
      </c>
      <c r="B6" s="625" t="s">
        <v>765</v>
      </c>
      <c r="C6" s="626"/>
      <c r="D6" s="626"/>
      <c r="E6" s="626"/>
      <c r="F6" s="630"/>
      <c r="G6" s="625" t="s">
        <v>766</v>
      </c>
      <c r="H6" s="626"/>
      <c r="I6" s="626"/>
      <c r="J6" s="626"/>
      <c r="K6" s="630"/>
      <c r="L6" s="82"/>
    </row>
    <row r="7" spans="1:12" ht="18.75" customHeight="1">
      <c r="A7" s="641"/>
      <c r="B7" s="634" t="str">
        <f>IFERROR(IF(INDEX('Coverage Indicators - Section D'!C$1:C$124,MATCH($A6,'Coverage Indicators - Section D'!$A$1:$A$124,0))&lt;&gt;0,INDEX('Coverage Indicators - Section D'!C$1:C$124,MATCH($A6,'Coverage Indicators - Section D'!$A$1:$A$124,0)),""),"")</f>
        <v>TBDT-1 Number of patients with of all forms of TB notified (i.e., bacteriologically confirmed + clinically diagnosed); *includes only those with new and relapse TB</v>
      </c>
      <c r="C7" s="635"/>
      <c r="D7" s="635"/>
      <c r="E7" s="635"/>
      <c r="F7" s="636"/>
      <c r="G7" s="634" t="str">
        <f>IFERROR(IF(INDEX('Coverage Indicators - Section D'!D$1:D$124,MATCH($A6,'Coverage Indicators - Section D'!$A$1:$A$124,0))&lt;&gt;0,INDEX('Coverage Indicators - Section D'!D$1:D$124,MATCH($A6,'Coverage Indicators - Section D'!$A$1:$A$124,0)),""),"")</f>
        <v/>
      </c>
      <c r="H7" s="635"/>
      <c r="I7" s="635"/>
      <c r="J7" s="635"/>
      <c r="K7" s="636"/>
      <c r="L7" s="82"/>
    </row>
    <row r="8" spans="1:12" ht="18.75" customHeight="1">
      <c r="A8" s="641"/>
      <c r="B8" s="643"/>
      <c r="C8" s="644"/>
      <c r="D8" s="644"/>
      <c r="E8" s="644"/>
      <c r="F8" s="645"/>
      <c r="G8" s="643"/>
      <c r="H8" s="644"/>
      <c r="I8" s="644"/>
      <c r="J8" s="644"/>
      <c r="K8" s="645"/>
      <c r="L8" s="82"/>
    </row>
    <row r="9" spans="1:12" ht="18.75" customHeight="1">
      <c r="A9" s="641"/>
      <c r="B9" s="637"/>
      <c r="C9" s="638"/>
      <c r="D9" s="638"/>
      <c r="E9" s="638"/>
      <c r="F9" s="639"/>
      <c r="G9" s="637"/>
      <c r="H9" s="638"/>
      <c r="I9" s="638"/>
      <c r="J9" s="638"/>
      <c r="K9" s="639"/>
      <c r="L9" s="82"/>
    </row>
    <row r="10" spans="1:12" ht="18.75" customHeight="1">
      <c r="A10" s="641"/>
      <c r="B10" s="625" t="s">
        <v>769</v>
      </c>
      <c r="C10" s="626"/>
      <c r="D10" s="630"/>
      <c r="E10" s="625" t="s">
        <v>216</v>
      </c>
      <c r="F10" s="626"/>
      <c r="G10" s="630"/>
      <c r="H10" s="625" t="s">
        <v>127</v>
      </c>
      <c r="I10" s="626"/>
      <c r="J10" s="630"/>
      <c r="K10" s="89" t="s">
        <v>2204</v>
      </c>
      <c r="L10" s="82"/>
    </row>
    <row r="11" spans="1:12" ht="18.75" customHeight="1">
      <c r="A11" s="641"/>
      <c r="B11" s="631" t="str">
        <f>IFERROR(IF(INDEX('Coverage Indicators - Section D'!I$9:I$92,MATCH($A6,'Coverage Indicators - Section D'!$A$9:$A$92,0))&lt;&gt;0,INDEX('Coverage Indicators - Section D'!I$9:I$92,MATCH($A6,'Coverage Indicators - Section D'!$A$9:$A$92,0)),""),"")</f>
        <v>HIV status,Gender,TB case definition,Age</v>
      </c>
      <c r="C11" s="632"/>
      <c r="D11" s="633"/>
      <c r="E11" s="631" t="str">
        <f>IFERROR(IF(INDEX('Coverage Indicators - Section D'!M$1:M$124,MATCH($A6,'Coverage Indicators - Section D'!$A$1:$A$124,0))&lt;&gt;0,INDEX('Coverage Indicators - Section D'!M$1:M$124,MATCH($A6,'Coverage Indicators - Section D'!$A$1:$A$124,0)),""),"")</f>
        <v>Non cumulative</v>
      </c>
      <c r="F11" s="632"/>
      <c r="G11" s="633"/>
      <c r="H11" s="631" t="str">
        <f>IFERROR(IF(INDEX('Coverage Indicators - Section D'!L$1:L$124,MATCH($A6,'Coverage Indicators - Section D'!$A$1:$A$124,0))&lt;&gt;0,INDEX('Coverage Indicators - Section D'!L$1:L$124,MATCH($A6,'Coverage Indicators - Section D'!$A$1:$A$124,0)),""),"")</f>
        <v>Congo (Democratic Republic)</v>
      </c>
      <c r="I11" s="632"/>
      <c r="J11" s="633"/>
      <c r="K11" s="90" t="str">
        <f>IFERROR(IF(INDEX('Coverage Indicators - Section D'!J$1:J$124,MATCH($A6,'Coverage Indicators - Section D'!$A$1:$A$124,0))&lt;&gt;0,INDEX('Coverage Indicators - Section D'!J$1:J$124,MATCH($A6,'Coverage Indicators - Section D'!$A$1:$A$124,0)),""),"")</f>
        <v>Yes</v>
      </c>
      <c r="L11" s="82"/>
    </row>
    <row r="12" spans="1:12" ht="18.75" customHeight="1">
      <c r="A12" s="641"/>
      <c r="B12" s="625" t="s">
        <v>199</v>
      </c>
      <c r="C12" s="626"/>
      <c r="D12" s="630"/>
      <c r="E12" s="625" t="s">
        <v>5060</v>
      </c>
      <c r="F12" s="626"/>
      <c r="G12" s="630"/>
      <c r="H12" s="625" t="s">
        <v>120</v>
      </c>
      <c r="I12" s="626"/>
      <c r="J12" s="626"/>
      <c r="K12" s="630"/>
      <c r="L12" s="82"/>
    </row>
    <row r="13" spans="1:12" ht="18.75" customHeight="1">
      <c r="A13" s="641"/>
      <c r="B13" s="634" t="str">
        <f>IFERROR(IF(INDEX('Coverage Indicators - Section D'!H$1:H$124,MATCH($A6,'Coverage Indicators - Section D'!$A$1:$A$124,0))&lt;&gt;0,INDEX('Coverage Indicators - Section D'!H$1:H$124,MATCH($A6,'Coverage Indicators - Section D'!$A$1:$A$124,0)),""),"")</f>
        <v>DHIS2</v>
      </c>
      <c r="C13" s="635"/>
      <c r="D13" s="636"/>
      <c r="E13" s="634" t="str">
        <f>IFERROR(IF(INDEX('Coverage Indicators - Section D'!L$1:L$124,MATCH($A6,'Coverage Indicators - Section D'!$A$1:$A$124,0)+1)&lt;&gt;0,INDEX('Coverage Indicators - Section D'!L$1:L$124,MATCH($A6,'Coverage Indicators - Section D'!$A$1:$A$124,0)+1),""),"")</f>
        <v>Geographic National, 100% of national program target</v>
      </c>
      <c r="F13" s="635"/>
      <c r="G13" s="636"/>
      <c r="H13" s="634" t="str">
        <f ca="1">IFERROR(IF(AND('Overview - Section A'!AS$1="Grant Making",OR(B7&lt;&gt;"",G7&lt;&gt;"")),Setup!I15,IF(INDEX('Coverage Indicators - Section D'!K$1:K$124,MATCH($A6,'Coverage Indicators - Section D'!$A$1:$A$124,0))&lt;&gt;0,INDEX('Coverage Indicators - Section D'!K$1:K$124,MATCH($A6,'Coverage Indicators - Section D'!$A$1:$A$124,0)),"")),"")</f>
        <v>Ministry of Public Health, Hygiene and Prevention</v>
      </c>
      <c r="I13" s="635"/>
      <c r="J13" s="635"/>
      <c r="K13" s="636"/>
      <c r="L13" s="82"/>
    </row>
    <row r="14" spans="1:12" ht="18.75" customHeight="1">
      <c r="A14" s="641"/>
      <c r="B14" s="637"/>
      <c r="C14" s="638"/>
      <c r="D14" s="639"/>
      <c r="E14" s="637"/>
      <c r="F14" s="638"/>
      <c r="G14" s="639"/>
      <c r="H14" s="637"/>
      <c r="I14" s="638"/>
      <c r="J14" s="638"/>
      <c r="K14" s="639"/>
      <c r="L14" s="82"/>
    </row>
    <row r="15" spans="1:12" ht="18.75" customHeight="1">
      <c r="A15" s="641"/>
      <c r="B15" s="89"/>
      <c r="C15" s="89" t="s">
        <v>5052</v>
      </c>
      <c r="D15" s="625" t="s">
        <v>5053</v>
      </c>
      <c r="E15" s="626"/>
      <c r="F15" s="626"/>
      <c r="G15" s="626"/>
      <c r="H15" s="626"/>
      <c r="I15" s="626"/>
      <c r="J15" s="626"/>
      <c r="K15" s="630"/>
      <c r="L15" s="82"/>
    </row>
    <row r="16" spans="1:12" ht="18.75" customHeight="1">
      <c r="A16" s="641"/>
      <c r="B16" s="89" t="s">
        <v>2589</v>
      </c>
      <c r="C16" s="90">
        <f>IFERROR(IF(INDEX('Coverage Indicators - Section D'!G$1:G$124,MATCH($A6,'Coverage Indicators - Section D'!$A$1:$A$124,0))&lt;&gt;0,INDEX('Coverage Indicators - Section D'!G$1:G$124,MATCH($A6,'Coverage Indicators - Section D'!$A$1:$A$124,0)),""),"")</f>
        <v>2022</v>
      </c>
      <c r="D16"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16"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16"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16"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16"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16"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16"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16"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16" s="82"/>
    </row>
    <row r="17" spans="1:12" s="93" customFormat="1" ht="18.75" customHeight="1">
      <c r="A17" s="641"/>
      <c r="B17" s="89" t="s">
        <v>5054</v>
      </c>
      <c r="C17" s="91">
        <f>IFERROR(IF(INDEX('Coverage Indicators - Section D'!E$1:E$124,MATCH($A6,'Coverage Indicators - Section D'!$A$1:$A$124,0))&lt;&gt;"",INDEX('Coverage Indicators - Section D'!E$1:E$124,MATCH($A6,'Coverage Indicators - Section D'!$A$1:$A$124,0)),""),"")</f>
        <v>245490</v>
      </c>
      <c r="D17" s="91">
        <f ca="1">IFERROR(IF(INDEX('Coverage Indicators - Section D'!N$1:N$124,MATCH($A6,'Coverage Indicators - Section D'!$A$1:$A$124,0))&lt;&gt;"",INDEX('Coverage Indicators - Section D'!N$1:N$124,MATCH($A6,'Coverage Indicators - Section D'!$A$1:$A$124,0)),""),"")</f>
        <v>129319</v>
      </c>
      <c r="E17" s="91">
        <f ca="1">IFERROR(IF(INDEX('Coverage Indicators - Section D'!Q$1:Q$124,MATCH($A6,'Coverage Indicators - Section D'!$A$1:$A$124,0))&lt;&gt;"",INDEX('Coverage Indicators - Section D'!Q$1:Q$124,MATCH($A6,'Coverage Indicators - Section D'!$A$1:$A$124,0)),""),"")</f>
        <v>129319</v>
      </c>
      <c r="F17" s="91">
        <f ca="1">IFERROR(IF(INDEX('Coverage Indicators - Section D'!T$1:T$124,MATCH($A6,'Coverage Indicators - Section D'!$A$1:$A$124,0))&lt;&gt;"",INDEX('Coverage Indicators - Section D'!T$1:T$124,MATCH($A6,'Coverage Indicators - Section D'!$A$1:$A$124,0)),""),"")</f>
        <v>142279</v>
      </c>
      <c r="G17" s="91">
        <f ca="1">IFERROR(IF(INDEX('Coverage Indicators - Section D'!W$1:W$124,MATCH($A6,'Coverage Indicators - Section D'!$A$1:$A$124,0))&lt;&gt;"",INDEX('Coverage Indicators - Section D'!W$1:W$124,MATCH($A6,'Coverage Indicators - Section D'!$A$1:$A$124,0)),""),"")</f>
        <v>142279</v>
      </c>
      <c r="H17" s="91">
        <f ca="1">IFERROR(IF(INDEX('Coverage Indicators - Section D'!Z$1:Z$124,MATCH($A6,'Coverage Indicators - Section D'!$A$1:$A$124,0))&lt;&gt;"",INDEX('Coverage Indicators - Section D'!Z$1:Z$124,MATCH($A6,'Coverage Indicators - Section D'!$A$1:$A$124,0)),""),"")</f>
        <v>155770</v>
      </c>
      <c r="I17" s="91">
        <f ca="1">IFERROR(IF(INDEX('Coverage Indicators - Section D'!AC$1:AC$124,MATCH($A6,'Coverage Indicators - Section D'!$A$1:$A$124,0))&lt;&gt;"",INDEX('Coverage Indicators - Section D'!AC$1:AC$124,MATCH($A6,'Coverage Indicators - Section D'!$A$1:$A$124,0)),""),"")</f>
        <v>155770</v>
      </c>
      <c r="J17" s="91" t="str">
        <f ca="1">IFERROR(IF(INDEX('Coverage Indicators - Section D'!AF$1:AF$124,MATCH($A6,'Coverage Indicators - Section D'!$A$1:$A$124,0))&lt;&gt;"",INDEX('Coverage Indicators - Section D'!AF$1:AF$124,MATCH($A6,'Coverage Indicators - Section D'!$A$1:$A$124,0)),""),"")</f>
        <v/>
      </c>
      <c r="K17" s="91" t="str">
        <f ca="1">IFERROR(IF(INDEX('Coverage Indicators - Section D'!AI$1:AI$124,MATCH($A6,'Coverage Indicators - Section D'!$A$1:$A$124,0))&lt;&gt;"",INDEX('Coverage Indicators - Section D'!AI$1:AI$124,MATCH($A6,'Coverage Indicators - Section D'!$A$1:$A$124,0)),""),"")</f>
        <v/>
      </c>
      <c r="L17" s="92"/>
    </row>
    <row r="18" spans="1:12" s="96" customFormat="1" ht="18.75" customHeight="1">
      <c r="A18" s="641"/>
      <c r="B18" s="89" t="s">
        <v>5055</v>
      </c>
      <c r="C18" s="94" t="str">
        <f>IFERROR(IF(INDEX('Coverage Indicators - Section D'!E$1:E$124,MATCH($A6,'Coverage Indicators - Section D'!$A$1:$A$124,0)+1)&lt;&gt;"",INDEX('Coverage Indicators - Section D'!E$1:E$124,MATCH($A6,'Coverage Indicators - Section D'!$A$1:$A$124,0)+1),""),"")</f>
        <v/>
      </c>
      <c r="D18" s="94" t="str">
        <f ca="1">IFERROR(IF(INDEX('Coverage Indicators - Section D'!N$1:N$124,MATCH($A6,'Coverage Indicators - Section D'!$A$1:$A$124,0)+1)&lt;&gt;"",INDEX('Coverage Indicators - Section D'!N$1:N$124,MATCH($A6,'Coverage Indicators - Section D'!$A$1:$A$124,0)+1),""),"")</f>
        <v/>
      </c>
      <c r="E18" s="94" t="str">
        <f ca="1">IFERROR(IF(INDEX('Coverage Indicators - Section D'!Q$1:Q$124,MATCH($A6,'Coverage Indicators - Section D'!$A$1:$A$124,0)+1)&lt;&gt;"",INDEX('Coverage Indicators - Section D'!Q$1:Q$124,MATCH($A6,'Coverage Indicators - Section D'!$A$1:$A$124,0)+1),""),"")</f>
        <v/>
      </c>
      <c r="F18" s="94" t="str">
        <f ca="1">IFERROR(IF(INDEX('Coverage Indicators - Section D'!T$1:T$124,MATCH($A6,'Coverage Indicators - Section D'!$A$1:$A$124,0)+1)&lt;&gt;"",INDEX('Coverage Indicators - Section D'!T$1:T$124,MATCH($A6,'Coverage Indicators - Section D'!$A$1:$A$124,0)+1),""),"")</f>
        <v/>
      </c>
      <c r="G18" s="94" t="str">
        <f ca="1">IFERROR(IF(INDEX('Coverage Indicators - Section D'!W$1:W$124,MATCH($A6,'Coverage Indicators - Section D'!$A$1:$A$124,0)+1)&lt;&gt;"",INDEX('Coverage Indicators - Section D'!W$1:W$124,MATCH($A6,'Coverage Indicators - Section D'!$A$1:$A$124,0)+1),""),"")</f>
        <v/>
      </c>
      <c r="H18" s="94" t="str">
        <f ca="1">IFERROR(IF(INDEX('Coverage Indicators - Section D'!Z$1:Z$124,MATCH($A6,'Coverage Indicators - Section D'!$A$1:$A$124,0)+1)&lt;&gt;"",INDEX('Coverage Indicators - Section D'!Z$1:Z$124,MATCH($A6,'Coverage Indicators - Section D'!$A$1:$A$124,0)+1),""),"")</f>
        <v/>
      </c>
      <c r="I18" s="94" t="str">
        <f ca="1">IFERROR(IF(INDEX('Coverage Indicators - Section D'!AC$1:AC$124,MATCH($A6,'Coverage Indicators - Section D'!$A$1:$A$124,0)+1)&lt;&gt;"",INDEX('Coverage Indicators - Section D'!AC$1:AC$124,MATCH($A6,'Coverage Indicators - Section D'!$A$1:$A$124,0)+1),""),"")</f>
        <v/>
      </c>
      <c r="J18" s="94" t="str">
        <f ca="1">IFERROR(IF(INDEX('Coverage Indicators - Section D'!AF$1:AF$124,MATCH($A6,'Coverage Indicators - Section D'!$A$1:$A$124,0)+1)&lt;&gt;"",INDEX('Coverage Indicators - Section D'!AF$1:AF$124,MATCH($A6,'Coverage Indicators - Section D'!$A$1:$A$124,0)+1),""),"")</f>
        <v/>
      </c>
      <c r="K18" s="94" t="str">
        <f ca="1">IFERROR(IF(INDEX('Coverage Indicators - Section D'!AI$1:AI$124,MATCH($A6,'Coverage Indicators - Section D'!$A$1:$A$124,0)+1)&lt;&gt;"",INDEX('Coverage Indicators - Section D'!AI$1:AI$124,MATCH($A6,'Coverage Indicators - Section D'!$A$1:$A$124,0)+1),""),"")</f>
        <v/>
      </c>
      <c r="L18" s="95"/>
    </row>
    <row r="19" spans="1:12" ht="18.75" customHeight="1">
      <c r="A19" s="641"/>
      <c r="B19" s="89" t="s">
        <v>5056</v>
      </c>
      <c r="C19" s="90" t="str">
        <f ca="1">IFERROR(IF(INDEX('Coverage Indicators - Section D'!F$1:F$124,MATCH($A6,'Coverage Indicators - Section D'!$A$1:$A$124,0))&lt;&gt;"",FIXED(INDEX('Coverage Indicators - Section D'!F$1:F$124,MATCH($A6,'Coverage Indicators - Section D'!$A$1:$A$124,0))*100,2)&amp;"%",""),"")</f>
        <v/>
      </c>
      <c r="D19" s="90" t="str">
        <f>IFERROR(IF(INDEX('Coverage Indicators - Section D'!O$1:O$124,MATCH($A6,'Coverage Indicators - Section D'!$A$1:$A$124,0))&lt;&gt;"",FIXED(INDEX('Coverage Indicators - Section D'!O$1:O$124,MATCH($A6,'Coverage Indicators - Section D'!$A$1:$A$124,0))*100,2)&amp;"%",""),"")&amp;CHAR(10)&amp;IFERROR(IF(INDEX('Coverage Indicators - Section D'!P$1:P$124,MATCH($A6,'Coverage Indicators - Section D'!$A$1:$A$124,0))&lt;&gt;"",INDEX('Coverage Indicators - Section D'!P$1:P$124,MATCH($A6,'Coverage Indicators - Section D'!$A$1:$A$124,0)),""),"")</f>
        <v xml:space="preserve">
</v>
      </c>
      <c r="E19" s="90" t="str">
        <f>IFERROR(IF(INDEX('Coverage Indicators - Section D'!R$1:R$124,MATCH($A6,'Coverage Indicators - Section D'!$A$1:$A$124,0))&lt;&gt;"",FIXED(INDEX('Coverage Indicators - Section D'!R$1:R$124,MATCH($A6,'Coverage Indicators - Section D'!$A$1:$A$124,0))*100,2)&amp;"%",""),"")&amp;CHAR(10)&amp;IFERROR(IF(INDEX('Coverage Indicators - Section D'!S$1:S$124,MATCH($A6,'Coverage Indicators - Section D'!$A$1:$A$124,0))&lt;&gt;"",INDEX('Coverage Indicators - Section D'!S$1:S$124,MATCH($A6,'Coverage Indicators - Section D'!$A$1:$A$124,0)),""),"")</f>
        <v xml:space="preserve">
</v>
      </c>
      <c r="F19" s="90" t="str">
        <f>IFERROR(IF(INDEX('Coverage Indicators - Section D'!U$1:U$124,MATCH($A6,'Coverage Indicators - Section D'!$A$1:$A$124,0))&lt;&gt;"",FIXED(INDEX('Coverage Indicators - Section D'!U$1:U$124,MATCH($A6,'Coverage Indicators - Section D'!$A$1:$A$124,0))*100,2)&amp;"%",""),"")&amp;CHAR(10)&amp;IFERROR(IF(INDEX('Coverage Indicators - Section D'!V$1:V$124,MATCH($A6,'Coverage Indicators - Section D'!$A$1:$A$124,0))&lt;&gt;"",INDEX('Coverage Indicators - Section D'!V$1:V$124,MATCH($A6,'Coverage Indicators - Section D'!$A$1:$A$124,0)),""),"")</f>
        <v xml:space="preserve">
</v>
      </c>
      <c r="G19" s="90" t="str">
        <f>IFERROR(IF(INDEX('Coverage Indicators - Section D'!X$1:X$124,MATCH($A6,'Coverage Indicators - Section D'!$A$1:$A$124,0))&lt;&gt;"",FIXED(INDEX('Coverage Indicators - Section D'!X$1:X$124,MATCH($A6,'Coverage Indicators - Section D'!$A$1:$A$124,0))*100,2)&amp;"%",""),"")&amp;CHAR(10)&amp;IFERROR(IF(INDEX('Coverage Indicators - Section D'!Y$1:Y$124,MATCH($A6,'Coverage Indicators - Section D'!$A$1:$A$124,0))&lt;&gt;"",INDEX('Coverage Indicators - Section D'!Y$1:Y$124,MATCH($A6,'Coverage Indicators - Section D'!$A$1:$A$124,0)),""),"")</f>
        <v xml:space="preserve">
</v>
      </c>
      <c r="H19" s="90" t="str">
        <f>IFERROR(IF(INDEX('Coverage Indicators - Section D'!AA$1:AA$124,MATCH(A6,'Coverage Indicators - Section D'!$A$1:$A$124,0))&lt;&gt;"",FIXED(INDEX('Coverage Indicators - Section D'!AA$1:AA$124,MATCH($A6,'Coverage Indicators - Section D'!$A$1:$A$124,0))*100,2)&amp;"%",""),"")&amp;CHAR(10)&amp;IFERROR(IF(INDEX('Coverage Indicators - Section D'!AB$1:AB$124,MATCH($A6,'Coverage Indicators - Section D'!$A$1:$A$124,0))&lt;&gt;"",INDEX('Coverage Indicators - Section D'!AB$1:AB$124,MATCH($A6,'Coverage Indicators - Section D'!$A$1:$A$124,0)),""),"")</f>
        <v xml:space="preserve">
</v>
      </c>
      <c r="I19" s="90" t="str">
        <f>IFERROR(IF(INDEX('Coverage Indicators - Section D'!AD$1:AD$124,MATCH($A6,'Coverage Indicators - Section D'!$A$1:$A$124,0))&lt;&gt;"",FIXED(INDEX('Coverage Indicators - Section D'!AD$1:AD$124,MATCH($A6,'Coverage Indicators - Section D'!$A$1:$A$124,0))*100,2)&amp;"%",""),"")&amp;CHAR(10)&amp;IFERROR(IF(INDEX('Coverage Indicators - Section D'!AE$1:AE$124,MATCH($A6,'Coverage Indicators - Section D'!$A$1:$A$124,0))&lt;&gt;"",INDEX('Coverage Indicators - Section D'!AE$1:AE$124,MATCH($A6,'Coverage Indicators - Section D'!$A$1:$A$124,0)),""),"")</f>
        <v xml:space="preserve">
</v>
      </c>
      <c r="J19" s="90" t="str">
        <f>IFERROR(IF(INDEX('Coverage Indicators - Section D'!AG$1:AG$124,MATCH($A6,'Coverage Indicators - Section D'!$A$1:$A$124,0))&lt;&gt;"",FIXED(INDEX('Coverage Indicators - Section D'!AG$1:AG$124,MATCH($A6,'Coverage Indicators - Section D'!$A$1:$A$124,0))*100,2)&amp;"%",""),"")&amp;CHAR(10)&amp;IFERROR(IF(INDEX('Coverage Indicators - Section D'!AH$1:AH$124,MATCH($A6,'Coverage Indicators - Section D'!$A$1:$A$124,0))&lt;&gt;"",INDEX('Coverage Indicators - Section D'!AH$1:AH$124,MATCH($A6,'Coverage Indicators - Section D'!$A$1:$A$124,0)),""),"")</f>
        <v xml:space="preserve">
</v>
      </c>
      <c r="K19" s="90" t="str">
        <f>IFERROR(IF(INDEX('Coverage Indicators - Section D'!AJ$1:AJ$124,MATCH($A6,'Coverage Indicators - Section D'!$A$1:$A$124,0))&lt;&gt;"",FIXED(INDEX('Coverage Indicators - Section D'!AJ$1:AJ$124,MATCH($A6,'Coverage Indicators - Section D'!$A$1:$A$124,0))*100,2)&amp;"%",""),"")&amp;CHAR(10)&amp;IFERROR(IF(INDEX('Coverage Indicators - Section D'!AK$1:AK$124,MATCH($A6,'Coverage Indicators - Section D'!$A$1:$A$124,0))&lt;&gt;"",INDEX('Coverage Indicators - Section D'!AK$1:AK$124,MATCH($A6,'Coverage Indicators - Section D'!$A$1:$A$124,0)),""),"")</f>
        <v xml:space="preserve">
</v>
      </c>
      <c r="L19" s="82"/>
    </row>
    <row r="20" spans="1:12" ht="18.75" customHeight="1">
      <c r="A20" s="641"/>
      <c r="B20" s="625" t="s">
        <v>176</v>
      </c>
      <c r="C20" s="626"/>
      <c r="D20" s="626"/>
      <c r="E20" s="626"/>
      <c r="F20" s="626"/>
      <c r="G20" s="626"/>
      <c r="H20" s="626"/>
      <c r="I20" s="626"/>
      <c r="J20" s="626"/>
      <c r="K20" s="630"/>
      <c r="L20" s="82"/>
    </row>
    <row r="21" spans="1:12" ht="18.75" customHeight="1">
      <c r="A21" s="641"/>
      <c r="B21" s="634" t="str">
        <f>IFERROR(IF(INDEX('Coverage Indicators - Section D'!AL$1:AL$134,MATCH($A6,'Coverage Indicators - Section D'!$A$1:$A$134,0))&lt;&gt;0,INDEX('Coverage Indicators - Section D'!AL$1:AL$134,MATCH($A6,'Coverage Indicators - Section D'!$A$1:$A$134,0)),""),"")</f>
        <v>The increase in TB coverage (or detection rate) has evolved on average by 4% between 2015 and 2021. The 2022 data being validated The country has implemented in the NSP an increase in coverage of 4% in 2023 and 2024, and 6% in 2025 and 2026 which will be achieved through the following strategies: 1) decentralization and provision of integrated and person-centered TB services; 2) optimization of the use of molecular diagnostic tools, expanding specimen transport with accurate mapping at the SLA level; 3) an efficient diagnostic network 4) expansion of the quality approach 5) implementation of active screening in key and vulnerable populations using digital radiography with CAD or not. The coverage rate planned in the NSP is 80% in 2024, 86% in 2025 and 92% in 2026. The country expects to reach 90% of the NSP target with the grant. Thus, the expected number of TB cases is 258,638 in 2024, 284,558 in 2025 and 311,540 in 2026.
This is an equity indicator.</v>
      </c>
      <c r="C21" s="635"/>
      <c r="D21" s="635"/>
      <c r="E21" s="635"/>
      <c r="F21" s="635"/>
      <c r="G21" s="635"/>
      <c r="H21" s="635"/>
      <c r="I21" s="635"/>
      <c r="J21" s="635"/>
      <c r="K21" s="636"/>
      <c r="L21" s="82"/>
    </row>
    <row r="22" spans="1:12" ht="18.75" customHeight="1">
      <c r="A22" s="641"/>
      <c r="B22" s="643"/>
      <c r="C22" s="644"/>
      <c r="D22" s="644"/>
      <c r="E22" s="644"/>
      <c r="F22" s="644"/>
      <c r="G22" s="644"/>
      <c r="H22" s="644"/>
      <c r="I22" s="644"/>
      <c r="J22" s="644"/>
      <c r="K22" s="645"/>
      <c r="L22" s="82"/>
    </row>
    <row r="23" spans="1:12" ht="18.75" customHeight="1">
      <c r="A23" s="641"/>
      <c r="B23" s="643"/>
      <c r="C23" s="644"/>
      <c r="D23" s="644"/>
      <c r="E23" s="644"/>
      <c r="F23" s="644"/>
      <c r="G23" s="644"/>
      <c r="H23" s="644"/>
      <c r="I23" s="644"/>
      <c r="J23" s="644"/>
      <c r="K23" s="645"/>
      <c r="L23" s="82"/>
    </row>
    <row r="24" spans="1:12" ht="18.75" customHeight="1">
      <c r="A24" s="641"/>
      <c r="B24" s="643"/>
      <c r="C24" s="644"/>
      <c r="D24" s="644"/>
      <c r="E24" s="644"/>
      <c r="F24" s="644"/>
      <c r="G24" s="644"/>
      <c r="H24" s="644"/>
      <c r="I24" s="644"/>
      <c r="J24" s="644"/>
      <c r="K24" s="645"/>
      <c r="L24" s="82"/>
    </row>
    <row r="25" spans="1:12" ht="18.75" customHeight="1">
      <c r="A25" s="641"/>
      <c r="B25" s="643"/>
      <c r="C25" s="644"/>
      <c r="D25" s="644"/>
      <c r="E25" s="644"/>
      <c r="F25" s="644"/>
      <c r="G25" s="644"/>
      <c r="H25" s="644"/>
      <c r="I25" s="644"/>
      <c r="J25" s="644"/>
      <c r="K25" s="645"/>
      <c r="L25" s="82"/>
    </row>
    <row r="26" spans="1:12" ht="18.75" customHeight="1">
      <c r="A26" s="641"/>
      <c r="B26" s="643"/>
      <c r="C26" s="644"/>
      <c r="D26" s="644"/>
      <c r="E26" s="644"/>
      <c r="F26" s="644"/>
      <c r="G26" s="644"/>
      <c r="H26" s="644"/>
      <c r="I26" s="644"/>
      <c r="J26" s="644"/>
      <c r="K26" s="645"/>
      <c r="L26" s="82"/>
    </row>
    <row r="27" spans="1:12" ht="18.75" customHeight="1">
      <c r="A27" s="641"/>
      <c r="B27" s="643"/>
      <c r="C27" s="644"/>
      <c r="D27" s="644"/>
      <c r="E27" s="644"/>
      <c r="F27" s="644"/>
      <c r="G27" s="644"/>
      <c r="H27" s="644"/>
      <c r="I27" s="644"/>
      <c r="J27" s="644"/>
      <c r="K27" s="645"/>
      <c r="L27" s="82"/>
    </row>
    <row r="28" spans="1:12" ht="18.75" customHeight="1">
      <c r="A28" s="641"/>
      <c r="B28" s="643"/>
      <c r="C28" s="644"/>
      <c r="D28" s="644"/>
      <c r="E28" s="644"/>
      <c r="F28" s="644"/>
      <c r="G28" s="644"/>
      <c r="H28" s="644"/>
      <c r="I28" s="644"/>
      <c r="J28" s="644"/>
      <c r="K28" s="645"/>
      <c r="L28" s="82"/>
    </row>
    <row r="29" spans="1:12" ht="18.75" customHeight="1">
      <c r="A29" s="641"/>
      <c r="B29" s="643"/>
      <c r="C29" s="644"/>
      <c r="D29" s="644"/>
      <c r="E29" s="644"/>
      <c r="F29" s="644"/>
      <c r="G29" s="644"/>
      <c r="H29" s="644"/>
      <c r="I29" s="644"/>
      <c r="J29" s="644"/>
      <c r="K29" s="645"/>
      <c r="L29" s="82"/>
    </row>
    <row r="30" spans="1:12" ht="18.75" customHeight="1">
      <c r="A30" s="642"/>
      <c r="B30" s="637"/>
      <c r="C30" s="638"/>
      <c r="D30" s="638"/>
      <c r="E30" s="638"/>
      <c r="F30" s="638"/>
      <c r="G30" s="638"/>
      <c r="H30" s="638"/>
      <c r="I30" s="638"/>
      <c r="J30" s="638"/>
      <c r="K30" s="639"/>
      <c r="L30" s="82"/>
    </row>
    <row r="31" spans="1:12" ht="18.75" customHeight="1">
      <c r="A31" s="625"/>
      <c r="B31" s="626"/>
      <c r="C31" s="626"/>
      <c r="D31" s="626"/>
      <c r="E31" s="626"/>
      <c r="F31" s="626"/>
      <c r="G31" s="626"/>
      <c r="H31" s="626"/>
      <c r="I31" s="626"/>
      <c r="J31" s="626"/>
      <c r="K31" s="630"/>
      <c r="L31" s="82"/>
    </row>
    <row r="33" spans="1:12" ht="18.75" customHeight="1">
      <c r="A33" s="89" t="s">
        <v>5051</v>
      </c>
      <c r="B33" s="625" t="s">
        <v>1077</v>
      </c>
      <c r="C33" s="630"/>
      <c r="D33" s="631" t="str">
        <f ca="1">IFERROR(IF(INDEX('Coverage Indicators - Section D'!B$1:B$124,MATCH($A34,'Coverage Indicators - Section D'!$A$1:$A$124,0))&lt;&gt;0,INDEX('Coverage Indicators - Section D'!B$1:B$124,MATCH($A34,'Coverage Indicators - Section D'!$A$1:$A$124,0)),""),"")</f>
        <v>TB diagnosis, treatment and care</v>
      </c>
      <c r="E33" s="632"/>
      <c r="F33" s="632"/>
      <c r="G33" s="632"/>
      <c r="H33" s="632"/>
      <c r="I33" s="632"/>
      <c r="J33" s="632"/>
      <c r="K33" s="633"/>
      <c r="L33" s="82"/>
    </row>
    <row r="34" spans="1:12" ht="18.75" customHeight="1">
      <c r="A34" s="640">
        <v>2</v>
      </c>
      <c r="B34" s="625" t="s">
        <v>765</v>
      </c>
      <c r="C34" s="626"/>
      <c r="D34" s="626"/>
      <c r="E34" s="626"/>
      <c r="F34" s="630"/>
      <c r="G34" s="625" t="s">
        <v>766</v>
      </c>
      <c r="H34" s="626"/>
      <c r="I34" s="626"/>
      <c r="J34" s="626"/>
      <c r="K34" s="630"/>
      <c r="L34" s="82"/>
    </row>
    <row r="35" spans="1:12" ht="18.75" customHeight="1">
      <c r="A35" s="641"/>
      <c r="B35" s="634" t="str">
        <f>IFERROR(IF(INDEX('Coverage Indicators - Section D'!C$1:C$124,MATCH($A34,'Coverage Indicators - Section D'!$A$1:$A$124,0))&lt;&gt;0,INDEX('Coverage Indicators - Section D'!C$1:C$124,MATCH($A34,'Coverage Indicators - Section D'!$A$1:$A$124,0)),""),"")</f>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C35" s="635"/>
      <c r="D35" s="635"/>
      <c r="E35" s="635"/>
      <c r="F35" s="636"/>
      <c r="G35" s="634" t="str">
        <f>IFERROR(IF(INDEX('Coverage Indicators - Section D'!D$1:D$124,MATCH($A34,'Coverage Indicators - Section D'!$A$1:$A$124,0))&lt;&gt;0,INDEX('Coverage Indicators - Section D'!D$1:D$124,MATCH($A34,'Coverage Indicators - Section D'!$A$1:$A$124,0)),""),"")</f>
        <v/>
      </c>
      <c r="H35" s="635"/>
      <c r="I35" s="635"/>
      <c r="J35" s="635"/>
      <c r="K35" s="636"/>
      <c r="L35" s="82"/>
    </row>
    <row r="36" spans="1:12" ht="18.75" customHeight="1">
      <c r="A36" s="641"/>
      <c r="B36" s="643"/>
      <c r="C36" s="644"/>
      <c r="D36" s="644"/>
      <c r="E36" s="644"/>
      <c r="F36" s="645"/>
      <c r="G36" s="643"/>
      <c r="H36" s="644"/>
      <c r="I36" s="644"/>
      <c r="J36" s="644"/>
      <c r="K36" s="645"/>
      <c r="L36" s="82"/>
    </row>
    <row r="37" spans="1:12" ht="18.75" customHeight="1">
      <c r="A37" s="641"/>
      <c r="B37" s="637"/>
      <c r="C37" s="638"/>
      <c r="D37" s="638"/>
      <c r="E37" s="638"/>
      <c r="F37" s="639"/>
      <c r="G37" s="637"/>
      <c r="H37" s="638"/>
      <c r="I37" s="638"/>
      <c r="J37" s="638"/>
      <c r="K37" s="639"/>
      <c r="L37" s="82"/>
    </row>
    <row r="38" spans="1:12" ht="18.75" customHeight="1">
      <c r="A38" s="641"/>
      <c r="B38" s="625" t="s">
        <v>769</v>
      </c>
      <c r="C38" s="626"/>
      <c r="D38" s="630"/>
      <c r="E38" s="625" t="s">
        <v>216</v>
      </c>
      <c r="F38" s="626"/>
      <c r="G38" s="630"/>
      <c r="H38" s="625" t="s">
        <v>127</v>
      </c>
      <c r="I38" s="626"/>
      <c r="J38" s="630"/>
      <c r="K38" s="89" t="s">
        <v>2204</v>
      </c>
      <c r="L38" s="82"/>
    </row>
    <row r="39" spans="1:12" ht="18.75" customHeight="1">
      <c r="A39" s="641"/>
      <c r="B39" s="631" t="str">
        <f>IFERROR(IF(INDEX('Coverage Indicators - Section D'!I$9:I$92,MATCH($A34,'Coverage Indicators - Section D'!$A$9:$A$92,0))&lt;&gt;0,INDEX('Coverage Indicators - Section D'!I$9:I$92,MATCH($A34,'Coverage Indicators - Section D'!$A$9:$A$92,0)),""),"")</f>
        <v>HIV status,Gender,Age</v>
      </c>
      <c r="C39" s="632"/>
      <c r="D39" s="633"/>
      <c r="E39" s="631" t="str">
        <f>IFERROR(IF(INDEX('Coverage Indicators - Section D'!M$1:M$124,MATCH($A34,'Coverage Indicators - Section D'!$A$1:$A$124,0))&lt;&gt;0,INDEX('Coverage Indicators - Section D'!M$1:M$124,MATCH($A34,'Coverage Indicators - Section D'!$A$1:$A$124,0)),""),"")</f>
        <v>Non cumulative</v>
      </c>
      <c r="F39" s="632"/>
      <c r="G39" s="633"/>
      <c r="H39" s="631" t="str">
        <f>IFERROR(IF(INDEX('Coverage Indicators - Section D'!L$1:L$124,MATCH($A34,'Coverage Indicators - Section D'!$A$1:$A$124,0))&lt;&gt;0,INDEX('Coverage Indicators - Section D'!L$1:L$124,MATCH($A34,'Coverage Indicators - Section D'!$A$1:$A$124,0)),""),"")</f>
        <v>Congo (Democratic Republic)</v>
      </c>
      <c r="I39" s="632"/>
      <c r="J39" s="633"/>
      <c r="K39" s="90" t="str">
        <f>IFERROR(IF(INDEX('Coverage Indicators - Section D'!J$1:J$124,MATCH($A34,'Coverage Indicators - Section D'!$A$1:$A$124,0))&lt;&gt;0,INDEX('Coverage Indicators - Section D'!J$1:J$124,MATCH($A34,'Coverage Indicators - Section D'!$A$1:$A$124,0)),""),"")</f>
        <v>Yes</v>
      </c>
      <c r="L39" s="82"/>
    </row>
    <row r="40" spans="1:12" ht="18.75" customHeight="1">
      <c r="A40" s="641"/>
      <c r="B40" s="625" t="s">
        <v>199</v>
      </c>
      <c r="C40" s="626"/>
      <c r="D40" s="630"/>
      <c r="E40" s="625" t="s">
        <v>5060</v>
      </c>
      <c r="F40" s="626"/>
      <c r="G40" s="630"/>
      <c r="H40" s="625" t="s">
        <v>120</v>
      </c>
      <c r="I40" s="626"/>
      <c r="J40" s="626"/>
      <c r="K40" s="630"/>
      <c r="L40" s="82"/>
    </row>
    <row r="41" spans="1:12" ht="18.75" customHeight="1">
      <c r="A41" s="641"/>
      <c r="B41" s="634" t="str">
        <f>IFERROR(IF(INDEX('Coverage Indicators - Section D'!H$1:H$124,MATCH($A34,'Coverage Indicators - Section D'!$A$1:$A$124,0))&lt;&gt;0,INDEX('Coverage Indicators - Section D'!H$1:H$124,MATCH($A34,'Coverage Indicators - Section D'!$A$1:$A$124,0)),""),"")</f>
        <v>WHO TB Global Report 2022</v>
      </c>
      <c r="C41" s="635"/>
      <c r="D41" s="636"/>
      <c r="E41" s="634" t="str">
        <f>IFERROR(IF(INDEX('Coverage Indicators - Section D'!L$1:L$124,MATCH($A34,'Coverage Indicators - Section D'!$A$1:$A$124,0)+1)&lt;&gt;0,INDEX('Coverage Indicators - Section D'!L$1:L$124,MATCH($A34,'Coverage Indicators - Section D'!$A$1:$A$124,0)+1),""),"")</f>
        <v>Geographic National, 100% of national program target</v>
      </c>
      <c r="F41" s="635"/>
      <c r="G41" s="636"/>
      <c r="H41" s="634" t="str">
        <f ca="1">IFERROR(IF(AND('Overview - Section A'!AS$1="Grant Making",OR(B35&lt;&gt;"",G35&lt;&gt;"")),Setup!I15,IF(INDEX('Coverage Indicators - Section D'!K$1:K$124,MATCH($A34,'Coverage Indicators - Section D'!$A$1:$A$124,0))&lt;&gt;0,INDEX('Coverage Indicators - Section D'!K$1:K$124,MATCH($A34,'Coverage Indicators - Section D'!$A$1:$A$124,0)),"")),"")</f>
        <v>Ministry of Public Health, Hygiene and Prevention</v>
      </c>
      <c r="I41" s="635"/>
      <c r="J41" s="635"/>
      <c r="K41" s="636"/>
      <c r="L41" s="82"/>
    </row>
    <row r="42" spans="1:12" ht="18.75" customHeight="1">
      <c r="A42" s="641"/>
      <c r="B42" s="637"/>
      <c r="C42" s="638"/>
      <c r="D42" s="639"/>
      <c r="E42" s="637"/>
      <c r="F42" s="638"/>
      <c r="G42" s="639"/>
      <c r="H42" s="637"/>
      <c r="I42" s="638"/>
      <c r="J42" s="638"/>
      <c r="K42" s="639"/>
      <c r="L42" s="82"/>
    </row>
    <row r="43" spans="1:12" ht="18.75" customHeight="1">
      <c r="A43" s="641"/>
      <c r="B43" s="89"/>
      <c r="C43" s="89" t="s">
        <v>5052</v>
      </c>
      <c r="D43" s="625" t="s">
        <v>5053</v>
      </c>
      <c r="E43" s="626"/>
      <c r="F43" s="626"/>
      <c r="G43" s="626"/>
      <c r="H43" s="626"/>
      <c r="I43" s="626"/>
      <c r="J43" s="626"/>
      <c r="K43" s="630"/>
      <c r="L43" s="82"/>
    </row>
    <row r="44" spans="1:12" ht="18.75" customHeight="1">
      <c r="A44" s="641"/>
      <c r="B44" s="89" t="s">
        <v>2589</v>
      </c>
      <c r="C44" s="90">
        <f>IFERROR(IF(INDEX('Coverage Indicators - Section D'!G$1:G$124,MATCH($A34,'Coverage Indicators - Section D'!$A$1:$A$124,0))&lt;&gt;0,INDEX('Coverage Indicators - Section D'!G$1:G$124,MATCH($A34,'Coverage Indicators - Section D'!$A$1:$A$124,0)),""),"")</f>
        <v>2021</v>
      </c>
      <c r="D44"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44"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44"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44"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44"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44"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44"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44"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44" s="82"/>
    </row>
    <row r="45" spans="1:12" s="93" customFormat="1" ht="18.75" customHeight="1">
      <c r="A45" s="641"/>
      <c r="B45" s="89" t="s">
        <v>5054</v>
      </c>
      <c r="C45" s="91" t="str">
        <f>IFERROR(IF(INDEX('Coverage Indicators - Section D'!E$1:E$124,MATCH($A34,'Coverage Indicators - Section D'!$A$1:$A$124,0))&lt;&gt;"",INDEX('Coverage Indicators - Section D'!E$1:E$124,MATCH($A34,'Coverage Indicators - Section D'!$A$1:$A$124,0)),""),"")</f>
        <v/>
      </c>
      <c r="D45" s="91" t="str">
        <f ca="1">IFERROR(IF(INDEX('Coverage Indicators - Section D'!N$1:N$124,MATCH($A34,'Coverage Indicators - Section D'!$A$1:$A$124,0))&lt;&gt;"",INDEX('Coverage Indicators - Section D'!N$1:N$124,MATCH($A34,'Coverage Indicators - Section D'!$A$1:$A$124,0)),""),"")</f>
        <v/>
      </c>
      <c r="E45" s="91" t="str">
        <f ca="1">IFERROR(IF(INDEX('Coverage Indicators - Section D'!Q$1:Q$124,MATCH($A34,'Coverage Indicators - Section D'!$A$1:$A$124,0))&lt;&gt;"",INDEX('Coverage Indicators - Section D'!Q$1:Q$124,MATCH($A34,'Coverage Indicators - Section D'!$A$1:$A$124,0)),""),"")</f>
        <v/>
      </c>
      <c r="F45" s="91" t="str">
        <f ca="1">IFERROR(IF(INDEX('Coverage Indicators - Section D'!T$1:T$124,MATCH($A34,'Coverage Indicators - Section D'!$A$1:$A$124,0))&lt;&gt;"",INDEX('Coverage Indicators - Section D'!T$1:T$124,MATCH($A34,'Coverage Indicators - Section D'!$A$1:$A$124,0)),""),"")</f>
        <v/>
      </c>
      <c r="G45" s="91" t="str">
        <f ca="1">IFERROR(IF(INDEX('Coverage Indicators - Section D'!W$1:W$124,MATCH($A34,'Coverage Indicators - Section D'!$A$1:$A$124,0))&lt;&gt;"",INDEX('Coverage Indicators - Section D'!W$1:W$124,MATCH($A34,'Coverage Indicators - Section D'!$A$1:$A$124,0)),""),"")</f>
        <v/>
      </c>
      <c r="H45" s="91" t="str">
        <f ca="1">IFERROR(IF(INDEX('Coverage Indicators - Section D'!Z$1:Z$124,MATCH($A34,'Coverage Indicators - Section D'!$A$1:$A$124,0))&lt;&gt;"",INDEX('Coverage Indicators - Section D'!Z$1:Z$124,MATCH($A34,'Coverage Indicators - Section D'!$A$1:$A$124,0)),""),"")</f>
        <v/>
      </c>
      <c r="I45" s="91" t="str">
        <f ca="1">IFERROR(IF(INDEX('Coverage Indicators - Section D'!AC$1:AC$124,MATCH($A34,'Coverage Indicators - Section D'!$A$1:$A$124,0))&lt;&gt;"",INDEX('Coverage Indicators - Section D'!AC$1:AC$124,MATCH($A34,'Coverage Indicators - Section D'!$A$1:$A$124,0)),""),"")</f>
        <v/>
      </c>
      <c r="J45" s="91" t="str">
        <f ca="1">IFERROR(IF(INDEX('Coverage Indicators - Section D'!AF$1:AF$124,MATCH($A34,'Coverage Indicators - Section D'!$A$1:$A$124,0))&lt;&gt;"",INDEX('Coverage Indicators - Section D'!AF$1:AF$124,MATCH($A34,'Coverage Indicators - Section D'!$A$1:$A$124,0)),""),"")</f>
        <v/>
      </c>
      <c r="K45" s="91" t="str">
        <f ca="1">IFERROR(IF(INDEX('Coverage Indicators - Section D'!AI$1:AI$124,MATCH($A34,'Coverage Indicators - Section D'!$A$1:$A$124,0))&lt;&gt;"",INDEX('Coverage Indicators - Section D'!AI$1:AI$124,MATCH($A34,'Coverage Indicators - Section D'!$A$1:$A$124,0)),""),"")</f>
        <v/>
      </c>
      <c r="L45" s="92"/>
    </row>
    <row r="46" spans="1:12" s="96" customFormat="1" ht="18.75" customHeight="1">
      <c r="A46" s="641"/>
      <c r="B46" s="89" t="s">
        <v>5055</v>
      </c>
      <c r="C46" s="94" t="str">
        <f>IFERROR(IF(INDEX('Coverage Indicators - Section D'!E$1:E$124,MATCH($A34,'Coverage Indicators - Section D'!$A$1:$A$124,0)+1)&lt;&gt;"",INDEX('Coverage Indicators - Section D'!E$1:E$124,MATCH($A34,'Coverage Indicators - Section D'!$A$1:$A$124,0)+1),""),"")</f>
        <v/>
      </c>
      <c r="D46" s="94" t="str">
        <f ca="1">IFERROR(IF(INDEX('Coverage Indicators - Section D'!N$1:N$124,MATCH($A34,'Coverage Indicators - Section D'!$A$1:$A$124,0)+1)&lt;&gt;"",INDEX('Coverage Indicators - Section D'!N$1:N$124,MATCH($A34,'Coverage Indicators - Section D'!$A$1:$A$124,0)+1),""),"")</f>
        <v/>
      </c>
      <c r="E46" s="94" t="str">
        <f ca="1">IFERROR(IF(INDEX('Coverage Indicators - Section D'!Q$1:Q$124,MATCH($A34,'Coverage Indicators - Section D'!$A$1:$A$124,0)+1)&lt;&gt;"",INDEX('Coverage Indicators - Section D'!Q$1:Q$124,MATCH($A34,'Coverage Indicators - Section D'!$A$1:$A$124,0)+1),""),"")</f>
        <v/>
      </c>
      <c r="F46" s="94" t="str">
        <f ca="1">IFERROR(IF(INDEX('Coverage Indicators - Section D'!T$1:T$124,MATCH($A34,'Coverage Indicators - Section D'!$A$1:$A$124,0)+1)&lt;&gt;"",INDEX('Coverage Indicators - Section D'!T$1:T$124,MATCH($A34,'Coverage Indicators - Section D'!$A$1:$A$124,0)+1),""),"")</f>
        <v/>
      </c>
      <c r="G46" s="94" t="str">
        <f ca="1">IFERROR(IF(INDEX('Coverage Indicators - Section D'!W$1:W$124,MATCH($A34,'Coverage Indicators - Section D'!$A$1:$A$124,0)+1)&lt;&gt;"",INDEX('Coverage Indicators - Section D'!W$1:W$124,MATCH($A34,'Coverage Indicators - Section D'!$A$1:$A$124,0)+1),""),"")</f>
        <v/>
      </c>
      <c r="H46" s="94" t="str">
        <f ca="1">IFERROR(IF(INDEX('Coverage Indicators - Section D'!Z$1:Z$124,MATCH($A34,'Coverage Indicators - Section D'!$A$1:$A$124,0)+1)&lt;&gt;"",INDEX('Coverage Indicators - Section D'!Z$1:Z$124,MATCH($A34,'Coverage Indicators - Section D'!$A$1:$A$124,0)+1),""),"")</f>
        <v/>
      </c>
      <c r="I46" s="94" t="str">
        <f ca="1">IFERROR(IF(INDEX('Coverage Indicators - Section D'!AC$1:AC$124,MATCH($A34,'Coverage Indicators - Section D'!$A$1:$A$124,0)+1)&lt;&gt;"",INDEX('Coverage Indicators - Section D'!AC$1:AC$124,MATCH($A34,'Coverage Indicators - Section D'!$A$1:$A$124,0)+1),""),"")</f>
        <v/>
      </c>
      <c r="J46" s="94" t="str">
        <f ca="1">IFERROR(IF(INDEX('Coverage Indicators - Section D'!AF$1:AF$124,MATCH($A34,'Coverage Indicators - Section D'!$A$1:$A$124,0)+1)&lt;&gt;"",INDEX('Coverage Indicators - Section D'!AF$1:AF$124,MATCH($A34,'Coverage Indicators - Section D'!$A$1:$A$124,0)+1),""),"")</f>
        <v/>
      </c>
      <c r="K46" s="94" t="str">
        <f ca="1">IFERROR(IF(INDEX('Coverage Indicators - Section D'!AI$1:AI$124,MATCH($A34,'Coverage Indicators - Section D'!$A$1:$A$124,0)+1)&lt;&gt;"",INDEX('Coverage Indicators - Section D'!AI$1:AI$124,MATCH($A34,'Coverage Indicators - Section D'!$A$1:$A$124,0)+1),""),"")</f>
        <v/>
      </c>
      <c r="L46" s="95"/>
    </row>
    <row r="47" spans="1:12" ht="18.75" customHeight="1">
      <c r="A47" s="641"/>
      <c r="B47" s="89" t="s">
        <v>5056</v>
      </c>
      <c r="C47" s="90" t="str">
        <f ca="1">IFERROR(IF(INDEX('Coverage Indicators - Section D'!F$1:F$124,MATCH($A34,'Coverage Indicators - Section D'!$A$1:$A$124,0))&lt;&gt;"",FIXED(INDEX('Coverage Indicators - Section D'!F$1:F$124,MATCH($A34,'Coverage Indicators - Section D'!$A$1:$A$124,0))*100,2)&amp;"%",""),"")</f>
        <v>94.00%</v>
      </c>
      <c r="D47" s="90" t="str">
        <f>IFERROR(IF(INDEX('Coverage Indicators - Section D'!O$1:O$124,MATCH($A34,'Coverage Indicators - Section D'!$A$1:$A$124,0))&lt;&gt;"",FIXED(INDEX('Coverage Indicators - Section D'!O$1:O$124,MATCH($A34,'Coverage Indicators - Section D'!$A$1:$A$124,0))*100,2)&amp;"%",""),"")&amp;CHAR(10)&amp;IFERROR(IF(INDEX('Coverage Indicators - Section D'!P$1:P$124,MATCH($A34,'Coverage Indicators - Section D'!$A$1:$A$124,0))&lt;&gt;"",INDEX('Coverage Indicators - Section D'!P$1:P$124,MATCH($A34,'Coverage Indicators - Section D'!$A$1:$A$124,0)),""),"")</f>
        <v xml:space="preserve">95.00%
</v>
      </c>
      <c r="E47" s="90" t="str">
        <f>IFERROR(IF(INDEX('Coverage Indicators - Section D'!R$1:R$124,MATCH($A34,'Coverage Indicators - Section D'!$A$1:$A$124,0))&lt;&gt;"",FIXED(INDEX('Coverage Indicators - Section D'!R$1:R$124,MATCH($A34,'Coverage Indicators - Section D'!$A$1:$A$124,0))*100,2)&amp;"%",""),"")&amp;CHAR(10)&amp;IFERROR(IF(INDEX('Coverage Indicators - Section D'!S$1:S$124,MATCH($A34,'Coverage Indicators - Section D'!$A$1:$A$124,0))&lt;&gt;"",INDEX('Coverage Indicators - Section D'!S$1:S$124,MATCH($A34,'Coverage Indicators - Section D'!$A$1:$A$124,0)),""),"")</f>
        <v xml:space="preserve">95.00%
</v>
      </c>
      <c r="F47" s="90" t="str">
        <f>IFERROR(IF(INDEX('Coverage Indicators - Section D'!U$1:U$124,MATCH($A34,'Coverage Indicators - Section D'!$A$1:$A$124,0))&lt;&gt;"",FIXED(INDEX('Coverage Indicators - Section D'!U$1:U$124,MATCH($A34,'Coverage Indicators - Section D'!$A$1:$A$124,0))*100,2)&amp;"%",""),"")&amp;CHAR(10)&amp;IFERROR(IF(INDEX('Coverage Indicators - Section D'!V$1:V$124,MATCH($A34,'Coverage Indicators - Section D'!$A$1:$A$124,0))&lt;&gt;"",INDEX('Coverage Indicators - Section D'!V$1:V$124,MATCH($A34,'Coverage Indicators - Section D'!$A$1:$A$124,0)),""),"")</f>
        <v xml:space="preserve">95.00%
</v>
      </c>
      <c r="G47" s="90" t="str">
        <f>IFERROR(IF(INDEX('Coverage Indicators - Section D'!X$1:X$124,MATCH($A34,'Coverage Indicators - Section D'!$A$1:$A$124,0))&lt;&gt;"",FIXED(INDEX('Coverage Indicators - Section D'!X$1:X$124,MATCH($A34,'Coverage Indicators - Section D'!$A$1:$A$124,0))*100,2)&amp;"%",""),"")&amp;CHAR(10)&amp;IFERROR(IF(INDEX('Coverage Indicators - Section D'!Y$1:Y$124,MATCH($A34,'Coverage Indicators - Section D'!$A$1:$A$124,0))&lt;&gt;"",INDEX('Coverage Indicators - Section D'!Y$1:Y$124,MATCH($A34,'Coverage Indicators - Section D'!$A$1:$A$124,0)),""),"")</f>
        <v xml:space="preserve">95.00%
</v>
      </c>
      <c r="H47" s="90" t="str">
        <f>IFERROR(IF(INDEX('Coverage Indicators - Section D'!AA$1:AA$124,MATCH(A34,'Coverage Indicators - Section D'!$A$1:$A$124,0))&lt;&gt;"",FIXED(INDEX('Coverage Indicators - Section D'!AA$1:AA$124,MATCH($A34,'Coverage Indicators - Section D'!$A$1:$A$124,0))*100,2)&amp;"%",""),"")&amp;CHAR(10)&amp;IFERROR(IF(INDEX('Coverage Indicators - Section D'!AB$1:AB$124,MATCH($A34,'Coverage Indicators - Section D'!$A$1:$A$124,0))&lt;&gt;"",INDEX('Coverage Indicators - Section D'!AB$1:AB$124,MATCH($A34,'Coverage Indicators - Section D'!$A$1:$A$124,0)),""),"")</f>
        <v xml:space="preserve">95.00%
</v>
      </c>
      <c r="I47" s="90" t="str">
        <f>IFERROR(IF(INDEX('Coverage Indicators - Section D'!AD$1:AD$124,MATCH($A34,'Coverage Indicators - Section D'!$A$1:$A$124,0))&lt;&gt;"",FIXED(INDEX('Coverage Indicators - Section D'!AD$1:AD$124,MATCH($A34,'Coverage Indicators - Section D'!$A$1:$A$124,0))*100,2)&amp;"%",""),"")&amp;CHAR(10)&amp;IFERROR(IF(INDEX('Coverage Indicators - Section D'!AE$1:AE$124,MATCH($A34,'Coverage Indicators - Section D'!$A$1:$A$124,0))&lt;&gt;"",INDEX('Coverage Indicators - Section D'!AE$1:AE$124,MATCH($A34,'Coverage Indicators - Section D'!$A$1:$A$124,0)),""),"")</f>
        <v xml:space="preserve">95.00%
</v>
      </c>
      <c r="J47" s="90" t="str">
        <f>IFERROR(IF(INDEX('Coverage Indicators - Section D'!AG$1:AG$124,MATCH($A34,'Coverage Indicators - Section D'!$A$1:$A$124,0))&lt;&gt;"",FIXED(INDEX('Coverage Indicators - Section D'!AG$1:AG$124,MATCH($A34,'Coverage Indicators - Section D'!$A$1:$A$124,0))*100,2)&amp;"%",""),"")&amp;CHAR(10)&amp;IFERROR(IF(INDEX('Coverage Indicators - Section D'!AH$1:AH$124,MATCH($A34,'Coverage Indicators - Section D'!$A$1:$A$124,0))&lt;&gt;"",INDEX('Coverage Indicators - Section D'!AH$1:AH$124,MATCH($A34,'Coverage Indicators - Section D'!$A$1:$A$124,0)),""),"")</f>
        <v xml:space="preserve">
</v>
      </c>
      <c r="K47" s="90" t="str">
        <f>IFERROR(IF(INDEX('Coverage Indicators - Section D'!AJ$1:AJ$124,MATCH($A34,'Coverage Indicators - Section D'!$A$1:$A$124,0))&lt;&gt;"",FIXED(INDEX('Coverage Indicators - Section D'!AJ$1:AJ$124,MATCH($A34,'Coverage Indicators - Section D'!$A$1:$A$124,0))*100,2)&amp;"%",""),"")&amp;CHAR(10)&amp;IFERROR(IF(INDEX('Coverage Indicators - Section D'!AK$1:AK$124,MATCH($A34,'Coverage Indicators - Section D'!$A$1:$A$124,0))&lt;&gt;"",INDEX('Coverage Indicators - Section D'!AK$1:AK$124,MATCH($A34,'Coverage Indicators - Section D'!$A$1:$A$124,0)),""),"")</f>
        <v xml:space="preserve">
</v>
      </c>
      <c r="L47" s="82"/>
    </row>
    <row r="48" spans="1:12" ht="18.75" customHeight="1">
      <c r="A48" s="641"/>
      <c r="B48" s="625" t="s">
        <v>176</v>
      </c>
      <c r="C48" s="626"/>
      <c r="D48" s="626"/>
      <c r="E48" s="626"/>
      <c r="F48" s="626"/>
      <c r="G48" s="626"/>
      <c r="H48" s="626"/>
      <c r="I48" s="626"/>
      <c r="J48" s="626"/>
      <c r="K48" s="630"/>
      <c r="L48" s="82"/>
    </row>
    <row r="49" spans="1:12" ht="18.75" customHeight="1">
      <c r="A49" s="641"/>
      <c r="B49" s="634" t="str">
        <f>IFERROR(IF(INDEX('Coverage Indicators - Section D'!AL$1:AL$134,MATCH($A34,'Coverage Indicators - Section D'!$A$1:$A$134,0))&lt;&gt;0,INDEX('Coverage Indicators - Section D'!AL$1:AL$134,MATCH($A34,'Coverage Indicators - Section D'!$A$1:$A$134,0)),""),"")</f>
        <v>The country has reported a 94% treatment success rate for patients who repeat susceptible TB. The efforts made in this application with the choice of a patient-centered approach, community involvement and decentralization of services will enable the country to reach at least the 95% treatment success rate by 2024-2026 as expected as a target by WHO. (NSP targets).</v>
      </c>
      <c r="C49" s="635"/>
      <c r="D49" s="635"/>
      <c r="E49" s="635"/>
      <c r="F49" s="635"/>
      <c r="G49" s="635"/>
      <c r="H49" s="635"/>
      <c r="I49" s="635"/>
      <c r="J49" s="635"/>
      <c r="K49" s="636"/>
      <c r="L49" s="82"/>
    </row>
    <row r="50" spans="1:12" ht="18.75" customHeight="1">
      <c r="A50" s="641"/>
      <c r="B50" s="643"/>
      <c r="C50" s="644"/>
      <c r="D50" s="644"/>
      <c r="E50" s="644"/>
      <c r="F50" s="644"/>
      <c r="G50" s="644"/>
      <c r="H50" s="644"/>
      <c r="I50" s="644"/>
      <c r="J50" s="644"/>
      <c r="K50" s="645"/>
      <c r="L50" s="82"/>
    </row>
    <row r="51" spans="1:12" ht="18.75" customHeight="1">
      <c r="A51" s="641"/>
      <c r="B51" s="643"/>
      <c r="C51" s="644"/>
      <c r="D51" s="644"/>
      <c r="E51" s="644"/>
      <c r="F51" s="644"/>
      <c r="G51" s="644"/>
      <c r="H51" s="644"/>
      <c r="I51" s="644"/>
      <c r="J51" s="644"/>
      <c r="K51" s="645"/>
      <c r="L51" s="82"/>
    </row>
    <row r="52" spans="1:12" ht="18.75" customHeight="1">
      <c r="A52" s="641"/>
      <c r="B52" s="643"/>
      <c r="C52" s="644"/>
      <c r="D52" s="644"/>
      <c r="E52" s="644"/>
      <c r="F52" s="644"/>
      <c r="G52" s="644"/>
      <c r="H52" s="644"/>
      <c r="I52" s="644"/>
      <c r="J52" s="644"/>
      <c r="K52" s="645"/>
      <c r="L52" s="82"/>
    </row>
    <row r="53" spans="1:12" ht="18.75" customHeight="1">
      <c r="A53" s="641"/>
      <c r="B53" s="643"/>
      <c r="C53" s="644"/>
      <c r="D53" s="644"/>
      <c r="E53" s="644"/>
      <c r="F53" s="644"/>
      <c r="G53" s="644"/>
      <c r="H53" s="644"/>
      <c r="I53" s="644"/>
      <c r="J53" s="644"/>
      <c r="K53" s="645"/>
      <c r="L53" s="82"/>
    </row>
    <row r="54" spans="1:12" ht="18.75" customHeight="1">
      <c r="A54" s="641"/>
      <c r="B54" s="643"/>
      <c r="C54" s="644"/>
      <c r="D54" s="644"/>
      <c r="E54" s="644"/>
      <c r="F54" s="644"/>
      <c r="G54" s="644"/>
      <c r="H54" s="644"/>
      <c r="I54" s="644"/>
      <c r="J54" s="644"/>
      <c r="K54" s="645"/>
      <c r="L54" s="82"/>
    </row>
    <row r="55" spans="1:12" ht="18.75" customHeight="1">
      <c r="A55" s="641"/>
      <c r="B55" s="643"/>
      <c r="C55" s="644"/>
      <c r="D55" s="644"/>
      <c r="E55" s="644"/>
      <c r="F55" s="644"/>
      <c r="G55" s="644"/>
      <c r="H55" s="644"/>
      <c r="I55" s="644"/>
      <c r="J55" s="644"/>
      <c r="K55" s="645"/>
      <c r="L55" s="82"/>
    </row>
    <row r="56" spans="1:12" ht="18.75" customHeight="1">
      <c r="A56" s="641"/>
      <c r="B56" s="643"/>
      <c r="C56" s="644"/>
      <c r="D56" s="644"/>
      <c r="E56" s="644"/>
      <c r="F56" s="644"/>
      <c r="G56" s="644"/>
      <c r="H56" s="644"/>
      <c r="I56" s="644"/>
      <c r="J56" s="644"/>
      <c r="K56" s="645"/>
      <c r="L56" s="82"/>
    </row>
    <row r="57" spans="1:12" ht="18.75" customHeight="1">
      <c r="A57" s="641"/>
      <c r="B57" s="643"/>
      <c r="C57" s="644"/>
      <c r="D57" s="644"/>
      <c r="E57" s="644"/>
      <c r="F57" s="644"/>
      <c r="G57" s="644"/>
      <c r="H57" s="644"/>
      <c r="I57" s="644"/>
      <c r="J57" s="644"/>
      <c r="K57" s="645"/>
      <c r="L57" s="82"/>
    </row>
    <row r="58" spans="1:12" ht="18.75" customHeight="1">
      <c r="A58" s="642"/>
      <c r="B58" s="637"/>
      <c r="C58" s="638"/>
      <c r="D58" s="638"/>
      <c r="E58" s="638"/>
      <c r="F58" s="638"/>
      <c r="G58" s="638"/>
      <c r="H58" s="638"/>
      <c r="I58" s="638"/>
      <c r="J58" s="638"/>
      <c r="K58" s="639"/>
      <c r="L58" s="82"/>
    </row>
    <row r="59" spans="1:12" ht="18.75" customHeight="1">
      <c r="A59" s="625"/>
      <c r="B59" s="626"/>
      <c r="C59" s="626"/>
      <c r="D59" s="626"/>
      <c r="E59" s="626"/>
      <c r="F59" s="626"/>
      <c r="G59" s="626"/>
      <c r="H59" s="626"/>
      <c r="I59" s="626"/>
      <c r="J59" s="626"/>
      <c r="K59" s="630"/>
      <c r="L59" s="82"/>
    </row>
    <row r="61" spans="1:12" ht="18.75" customHeight="1">
      <c r="A61" s="89" t="s">
        <v>5051</v>
      </c>
      <c r="B61" s="625" t="s">
        <v>1077</v>
      </c>
      <c r="C61" s="630"/>
      <c r="D61" s="631" t="str">
        <f ca="1">IFERROR(IF(INDEX('Coverage Indicators - Section D'!B$1:B$124,MATCH($A62,'Coverage Indicators - Section D'!$A$1:$A$124,0))&lt;&gt;0,INDEX('Coverage Indicators - Section D'!B$1:B$124,MATCH($A62,'Coverage Indicators - Section D'!$A$1:$A$124,0)),""),"")</f>
        <v>TB diagnosis, treatment and care</v>
      </c>
      <c r="E61" s="632"/>
      <c r="F61" s="632"/>
      <c r="G61" s="632"/>
      <c r="H61" s="632"/>
      <c r="I61" s="632"/>
      <c r="J61" s="632"/>
      <c r="K61" s="633"/>
      <c r="L61" s="82"/>
    </row>
    <row r="62" spans="1:12" ht="18.75" customHeight="1">
      <c r="A62" s="640">
        <v>3</v>
      </c>
      <c r="B62" s="625" t="s">
        <v>765</v>
      </c>
      <c r="C62" s="626"/>
      <c r="D62" s="626"/>
      <c r="E62" s="626"/>
      <c r="F62" s="630"/>
      <c r="G62" s="625" t="s">
        <v>766</v>
      </c>
      <c r="H62" s="626"/>
      <c r="I62" s="626"/>
      <c r="J62" s="626"/>
      <c r="K62" s="630"/>
      <c r="L62" s="82"/>
    </row>
    <row r="63" spans="1:12" ht="18.75" customHeight="1">
      <c r="A63" s="641"/>
      <c r="B63" s="634" t="str">
        <f>IFERROR(IF(INDEX('Coverage Indicators - Section D'!C$1:C$124,MATCH($A62,'Coverage Indicators - Section D'!$A$1:$A$124,0))&lt;&gt;0,INDEX('Coverage Indicators - Section D'!C$1:C$124,MATCH($A62,'Coverage Indicators - Section D'!$A$1:$A$124,0)),""),"")</f>
        <v>TBDT-4 Percentage of new and relapse TB patients tested using WHO recommended rapid diagnostic tests at the time of diagnosis</v>
      </c>
      <c r="C63" s="635"/>
      <c r="D63" s="635"/>
      <c r="E63" s="635"/>
      <c r="F63" s="636"/>
      <c r="G63" s="634" t="str">
        <f>IFERROR(IF(INDEX('Coverage Indicators - Section D'!D$1:D$124,MATCH($A62,'Coverage Indicators - Section D'!$A$1:$A$124,0))&lt;&gt;0,INDEX('Coverage Indicators - Section D'!D$1:D$124,MATCH($A62,'Coverage Indicators - Section D'!$A$1:$A$124,0)),""),"")</f>
        <v/>
      </c>
      <c r="H63" s="635"/>
      <c r="I63" s="635"/>
      <c r="J63" s="635"/>
      <c r="K63" s="636"/>
      <c r="L63" s="82"/>
    </row>
    <row r="64" spans="1:12" ht="18.75" customHeight="1">
      <c r="A64" s="641"/>
      <c r="B64" s="643"/>
      <c r="C64" s="644"/>
      <c r="D64" s="644"/>
      <c r="E64" s="644"/>
      <c r="F64" s="645"/>
      <c r="G64" s="643"/>
      <c r="H64" s="644"/>
      <c r="I64" s="644"/>
      <c r="J64" s="644"/>
      <c r="K64" s="645"/>
      <c r="L64" s="82"/>
    </row>
    <row r="65" spans="1:12" ht="18.75" customHeight="1">
      <c r="A65" s="641"/>
      <c r="B65" s="637"/>
      <c r="C65" s="638"/>
      <c r="D65" s="638"/>
      <c r="E65" s="638"/>
      <c r="F65" s="639"/>
      <c r="G65" s="637"/>
      <c r="H65" s="638"/>
      <c r="I65" s="638"/>
      <c r="J65" s="638"/>
      <c r="K65" s="639"/>
      <c r="L65" s="82"/>
    </row>
    <row r="66" spans="1:12" ht="18.75" customHeight="1">
      <c r="A66" s="641"/>
      <c r="B66" s="625" t="s">
        <v>769</v>
      </c>
      <c r="C66" s="626"/>
      <c r="D66" s="630"/>
      <c r="E66" s="625" t="s">
        <v>216</v>
      </c>
      <c r="F66" s="626"/>
      <c r="G66" s="630"/>
      <c r="H66" s="625" t="s">
        <v>127</v>
      </c>
      <c r="I66" s="626"/>
      <c r="J66" s="630"/>
      <c r="K66" s="89" t="s">
        <v>2204</v>
      </c>
      <c r="L66" s="82"/>
    </row>
    <row r="67" spans="1:12" ht="18.75" customHeight="1">
      <c r="A67" s="641"/>
      <c r="B67" s="631" t="str">
        <f>IFERROR(IF(INDEX('Coverage Indicators - Section D'!I$9:I$92,MATCH($A62,'Coverage Indicators - Section D'!$A$9:$A$92,0))&lt;&gt;0,INDEX('Coverage Indicators - Section D'!I$9:I$92,MATCH($A62,'Coverage Indicators - Section D'!$A$9:$A$92,0)),""),"")</f>
        <v>Provider type</v>
      </c>
      <c r="C67" s="632"/>
      <c r="D67" s="633"/>
      <c r="E67" s="631" t="str">
        <f>IFERROR(IF(INDEX('Coverage Indicators - Section D'!M$1:M$124,MATCH($A62,'Coverage Indicators - Section D'!$A$1:$A$124,0))&lt;&gt;0,INDEX('Coverage Indicators - Section D'!M$1:M$124,MATCH($A62,'Coverage Indicators - Section D'!$A$1:$A$124,0)),""),"")</f>
        <v>Non cumulative</v>
      </c>
      <c r="F67" s="632"/>
      <c r="G67" s="633"/>
      <c r="H67" s="631" t="str">
        <f>IFERROR(IF(INDEX('Coverage Indicators - Section D'!L$1:L$124,MATCH($A62,'Coverage Indicators - Section D'!$A$1:$A$124,0))&lt;&gt;0,INDEX('Coverage Indicators - Section D'!L$1:L$124,MATCH($A62,'Coverage Indicators - Section D'!$A$1:$A$124,0)),""),"")</f>
        <v>Congo (Democratic Republic)</v>
      </c>
      <c r="I67" s="632"/>
      <c r="J67" s="633"/>
      <c r="K67" s="90" t="str">
        <f>IFERROR(IF(INDEX('Coverage Indicators - Section D'!J$1:J$124,MATCH($A62,'Coverage Indicators - Section D'!$A$1:$A$124,0))&lt;&gt;0,INDEX('Coverage Indicators - Section D'!J$1:J$124,MATCH($A62,'Coverage Indicators - Section D'!$A$1:$A$124,0)),""),"")</f>
        <v>Yes</v>
      </c>
      <c r="L67" s="82"/>
    </row>
    <row r="68" spans="1:12" ht="18.75" customHeight="1">
      <c r="A68" s="641"/>
      <c r="B68" s="625" t="s">
        <v>199</v>
      </c>
      <c r="C68" s="626"/>
      <c r="D68" s="630"/>
      <c r="E68" s="625" t="s">
        <v>5060</v>
      </c>
      <c r="F68" s="626"/>
      <c r="G68" s="630"/>
      <c r="H68" s="625" t="s">
        <v>120</v>
      </c>
      <c r="I68" s="626"/>
      <c r="J68" s="626"/>
      <c r="K68" s="630"/>
      <c r="L68" s="82"/>
    </row>
    <row r="69" spans="1:12" ht="18.75" customHeight="1">
      <c r="A69" s="641"/>
      <c r="B69" s="634" t="str">
        <f>IFERROR(IF(INDEX('Coverage Indicators - Section D'!H$1:H$124,MATCH($A62,'Coverage Indicators - Section D'!$A$1:$A$124,0))&lt;&gt;0,INDEX('Coverage Indicators - Section D'!H$1:H$124,MATCH($A62,'Coverage Indicators - Section D'!$A$1:$A$124,0)),""),"")</f>
        <v>WHO TB Global Report 2022</v>
      </c>
      <c r="C69" s="635"/>
      <c r="D69" s="636"/>
      <c r="E69" s="634" t="str">
        <f>IFERROR(IF(INDEX('Coverage Indicators - Section D'!L$1:L$124,MATCH($A62,'Coverage Indicators - Section D'!$A$1:$A$124,0)+1)&lt;&gt;0,INDEX('Coverage Indicators - Section D'!L$1:L$124,MATCH($A62,'Coverage Indicators - Section D'!$A$1:$A$124,0)+1),""),"")</f>
        <v>Geographic National, 100% of national program target</v>
      </c>
      <c r="F69" s="635"/>
      <c r="G69" s="636"/>
      <c r="H69" s="634" t="str">
        <f ca="1">IFERROR(IF(AND('Overview - Section A'!AS$1="Grant Making",OR(B63&lt;&gt;"",G63&lt;&gt;"")),Setup!I15,IF(INDEX('Coverage Indicators - Section D'!K$1:K$124,MATCH($A62,'Coverage Indicators - Section D'!$A$1:$A$124,0))&lt;&gt;0,INDEX('Coverage Indicators - Section D'!K$1:K$124,MATCH($A62,'Coverage Indicators - Section D'!$A$1:$A$124,0)),"")),"")</f>
        <v>Ministry of Public Health, Hygiene and Prevention</v>
      </c>
      <c r="I69" s="635"/>
      <c r="J69" s="635"/>
      <c r="K69" s="636"/>
      <c r="L69" s="82"/>
    </row>
    <row r="70" spans="1:12" ht="18.75" customHeight="1">
      <c r="A70" s="641"/>
      <c r="B70" s="637"/>
      <c r="C70" s="638"/>
      <c r="D70" s="639"/>
      <c r="E70" s="637"/>
      <c r="F70" s="638"/>
      <c r="G70" s="639"/>
      <c r="H70" s="637"/>
      <c r="I70" s="638"/>
      <c r="J70" s="638"/>
      <c r="K70" s="639"/>
      <c r="L70" s="82"/>
    </row>
    <row r="71" spans="1:12" ht="18.75" customHeight="1">
      <c r="A71" s="641"/>
      <c r="B71" s="89"/>
      <c r="C71" s="89" t="s">
        <v>5052</v>
      </c>
      <c r="D71" s="625" t="s">
        <v>5053</v>
      </c>
      <c r="E71" s="626"/>
      <c r="F71" s="626"/>
      <c r="G71" s="626"/>
      <c r="H71" s="626"/>
      <c r="I71" s="626"/>
      <c r="J71" s="626"/>
      <c r="K71" s="630"/>
      <c r="L71" s="82"/>
    </row>
    <row r="72" spans="1:12" ht="18.75" customHeight="1">
      <c r="A72" s="641"/>
      <c r="B72" s="89" t="s">
        <v>2589</v>
      </c>
      <c r="C72" s="90">
        <f>IFERROR(IF(INDEX('Coverage Indicators - Section D'!G$1:G$124,MATCH($A62,'Coverage Indicators - Section D'!$A$1:$A$124,0))&lt;&gt;0,INDEX('Coverage Indicators - Section D'!G$1:G$124,MATCH($A62,'Coverage Indicators - Section D'!$A$1:$A$124,0)),""),"")</f>
        <v>2021</v>
      </c>
      <c r="D72"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72"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72"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72"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72"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72"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72"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72"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72" s="82"/>
    </row>
    <row r="73" spans="1:12" s="93" customFormat="1" ht="18.75" customHeight="1">
      <c r="A73" s="641"/>
      <c r="B73" s="89" t="s">
        <v>5054</v>
      </c>
      <c r="C73" s="91">
        <f>IFERROR(IF(INDEX('Coverage Indicators - Section D'!E$1:E$124,MATCH($A62,'Coverage Indicators - Section D'!$A$1:$A$124,0))&lt;&gt;"",INDEX('Coverage Indicators - Section D'!E$1:E$124,MATCH($A62,'Coverage Indicators - Section D'!$A$1:$A$124,0)),""),"")</f>
        <v>20155</v>
      </c>
      <c r="D73" s="91" t="str">
        <f ca="1">IFERROR(IF(INDEX('Coverage Indicators - Section D'!N$1:N$124,MATCH($A62,'Coverage Indicators - Section D'!$A$1:$A$124,0))&lt;&gt;"",INDEX('Coverage Indicators - Section D'!N$1:N$124,MATCH($A62,'Coverage Indicators - Section D'!$A$1:$A$124,0)),""),"")</f>
        <v/>
      </c>
      <c r="E73" s="91" t="str">
        <f ca="1">IFERROR(IF(INDEX('Coverage Indicators - Section D'!Q$1:Q$124,MATCH($A62,'Coverage Indicators - Section D'!$A$1:$A$124,0))&lt;&gt;"",INDEX('Coverage Indicators - Section D'!Q$1:Q$124,MATCH($A62,'Coverage Indicators - Section D'!$A$1:$A$124,0)),""),"")</f>
        <v/>
      </c>
      <c r="F73" s="91" t="str">
        <f ca="1">IFERROR(IF(INDEX('Coverage Indicators - Section D'!T$1:T$124,MATCH($A62,'Coverage Indicators - Section D'!$A$1:$A$124,0))&lt;&gt;"",INDEX('Coverage Indicators - Section D'!T$1:T$124,MATCH($A62,'Coverage Indicators - Section D'!$A$1:$A$124,0)),""),"")</f>
        <v/>
      </c>
      <c r="G73" s="91" t="str">
        <f ca="1">IFERROR(IF(INDEX('Coverage Indicators - Section D'!W$1:W$124,MATCH($A62,'Coverage Indicators - Section D'!$A$1:$A$124,0))&lt;&gt;"",INDEX('Coverage Indicators - Section D'!W$1:W$124,MATCH($A62,'Coverage Indicators - Section D'!$A$1:$A$124,0)),""),"")</f>
        <v/>
      </c>
      <c r="H73" s="91" t="str">
        <f ca="1">IFERROR(IF(INDEX('Coverage Indicators - Section D'!Z$1:Z$124,MATCH($A62,'Coverage Indicators - Section D'!$A$1:$A$124,0))&lt;&gt;"",INDEX('Coverage Indicators - Section D'!Z$1:Z$124,MATCH($A62,'Coverage Indicators - Section D'!$A$1:$A$124,0)),""),"")</f>
        <v/>
      </c>
      <c r="I73" s="91" t="str">
        <f ca="1">IFERROR(IF(INDEX('Coverage Indicators - Section D'!AC$1:AC$124,MATCH($A62,'Coverage Indicators - Section D'!$A$1:$A$124,0))&lt;&gt;"",INDEX('Coverage Indicators - Section D'!AC$1:AC$124,MATCH($A62,'Coverage Indicators - Section D'!$A$1:$A$124,0)),""),"")</f>
        <v/>
      </c>
      <c r="J73" s="91" t="str">
        <f ca="1">IFERROR(IF(INDEX('Coverage Indicators - Section D'!AF$1:AF$124,MATCH($A62,'Coverage Indicators - Section D'!$A$1:$A$124,0))&lt;&gt;"",INDEX('Coverage Indicators - Section D'!AF$1:AF$124,MATCH($A62,'Coverage Indicators - Section D'!$A$1:$A$124,0)),""),"")</f>
        <v/>
      </c>
      <c r="K73" s="91" t="str">
        <f ca="1">IFERROR(IF(INDEX('Coverage Indicators - Section D'!AI$1:AI$124,MATCH($A62,'Coverage Indicators - Section D'!$A$1:$A$124,0))&lt;&gt;"",INDEX('Coverage Indicators - Section D'!AI$1:AI$124,MATCH($A62,'Coverage Indicators - Section D'!$A$1:$A$124,0)),""),"")</f>
        <v/>
      </c>
      <c r="L73" s="92"/>
    </row>
    <row r="74" spans="1:12" s="96" customFormat="1" ht="18.75" customHeight="1">
      <c r="A74" s="641"/>
      <c r="B74" s="89" t="s">
        <v>5055</v>
      </c>
      <c r="C74" s="94">
        <f>IFERROR(IF(INDEX('Coverage Indicators - Section D'!E$1:E$124,MATCH($A62,'Coverage Indicators - Section D'!$A$1:$A$124,0)+1)&lt;&gt;"",INDEX('Coverage Indicators - Section D'!E$1:E$124,MATCH($A62,'Coverage Indicators - Section D'!$A$1:$A$124,0)+1),""),"")</f>
        <v>214408</v>
      </c>
      <c r="D74" s="94" t="str">
        <f ca="1">IFERROR(IF(INDEX('Coverage Indicators - Section D'!N$1:N$124,MATCH($A62,'Coverage Indicators - Section D'!$A$1:$A$124,0)+1)&lt;&gt;"",INDEX('Coverage Indicators - Section D'!N$1:N$124,MATCH($A62,'Coverage Indicators - Section D'!$A$1:$A$124,0)+1),""),"")</f>
        <v/>
      </c>
      <c r="E74" s="94" t="str">
        <f ca="1">IFERROR(IF(INDEX('Coverage Indicators - Section D'!Q$1:Q$124,MATCH($A62,'Coverage Indicators - Section D'!$A$1:$A$124,0)+1)&lt;&gt;"",INDEX('Coverage Indicators - Section D'!Q$1:Q$124,MATCH($A62,'Coverage Indicators - Section D'!$A$1:$A$124,0)+1),""),"")</f>
        <v/>
      </c>
      <c r="F74" s="94" t="str">
        <f ca="1">IFERROR(IF(INDEX('Coverage Indicators - Section D'!T$1:T$124,MATCH($A62,'Coverage Indicators - Section D'!$A$1:$A$124,0)+1)&lt;&gt;"",INDEX('Coverage Indicators - Section D'!T$1:T$124,MATCH($A62,'Coverage Indicators - Section D'!$A$1:$A$124,0)+1),""),"")</f>
        <v/>
      </c>
      <c r="G74" s="94" t="str">
        <f ca="1">IFERROR(IF(INDEX('Coverage Indicators - Section D'!W$1:W$124,MATCH($A62,'Coverage Indicators - Section D'!$A$1:$A$124,0)+1)&lt;&gt;"",INDEX('Coverage Indicators - Section D'!W$1:W$124,MATCH($A62,'Coverage Indicators - Section D'!$A$1:$A$124,0)+1),""),"")</f>
        <v/>
      </c>
      <c r="H74" s="94" t="str">
        <f ca="1">IFERROR(IF(INDEX('Coverage Indicators - Section D'!Z$1:Z$124,MATCH($A62,'Coverage Indicators - Section D'!$A$1:$A$124,0)+1)&lt;&gt;"",INDEX('Coverage Indicators - Section D'!Z$1:Z$124,MATCH($A62,'Coverage Indicators - Section D'!$A$1:$A$124,0)+1),""),"")</f>
        <v/>
      </c>
      <c r="I74" s="94" t="str">
        <f ca="1">IFERROR(IF(INDEX('Coverage Indicators - Section D'!AC$1:AC$124,MATCH($A62,'Coverage Indicators - Section D'!$A$1:$A$124,0)+1)&lt;&gt;"",INDEX('Coverage Indicators - Section D'!AC$1:AC$124,MATCH($A62,'Coverage Indicators - Section D'!$A$1:$A$124,0)+1),""),"")</f>
        <v/>
      </c>
      <c r="J74" s="94" t="str">
        <f ca="1">IFERROR(IF(INDEX('Coverage Indicators - Section D'!AF$1:AF$124,MATCH($A62,'Coverage Indicators - Section D'!$A$1:$A$124,0)+1)&lt;&gt;"",INDEX('Coverage Indicators - Section D'!AF$1:AF$124,MATCH($A62,'Coverage Indicators - Section D'!$A$1:$A$124,0)+1),""),"")</f>
        <v/>
      </c>
      <c r="K74" s="94" t="str">
        <f ca="1">IFERROR(IF(INDEX('Coverage Indicators - Section D'!AI$1:AI$124,MATCH($A62,'Coverage Indicators - Section D'!$A$1:$A$124,0)+1)&lt;&gt;"",INDEX('Coverage Indicators - Section D'!AI$1:AI$124,MATCH($A62,'Coverage Indicators - Section D'!$A$1:$A$124,0)+1),""),"")</f>
        <v/>
      </c>
      <c r="L74" s="95"/>
    </row>
    <row r="75" spans="1:12" ht="18.75" customHeight="1">
      <c r="A75" s="641"/>
      <c r="B75" s="89" t="s">
        <v>5056</v>
      </c>
      <c r="C75" s="90" t="str">
        <f ca="1">IFERROR(IF(INDEX('Coverage Indicators - Section D'!F$1:F$124,MATCH($A62,'Coverage Indicators - Section D'!$A$1:$A$124,0))&lt;&gt;"",FIXED(INDEX('Coverage Indicators - Section D'!F$1:F$124,MATCH($A62,'Coverage Indicators - Section D'!$A$1:$A$124,0))*100,2)&amp;"%",""),"")</f>
        <v>9.40%</v>
      </c>
      <c r="D75" s="90" t="str">
        <f>IFERROR(IF(INDEX('Coverage Indicators - Section D'!O$1:O$124,MATCH($A62,'Coverage Indicators - Section D'!$A$1:$A$124,0))&lt;&gt;"",FIXED(INDEX('Coverage Indicators - Section D'!O$1:O$124,MATCH($A62,'Coverage Indicators - Section D'!$A$1:$A$124,0))*100,2)&amp;"%",""),"")&amp;CHAR(10)&amp;IFERROR(IF(INDEX('Coverage Indicators - Section D'!P$1:P$124,MATCH($A62,'Coverage Indicators - Section D'!$A$1:$A$124,0))&lt;&gt;"",INDEX('Coverage Indicators - Section D'!P$1:P$124,MATCH($A62,'Coverage Indicators - Section D'!$A$1:$A$124,0)),""),"")</f>
        <v xml:space="preserve">20.00%
</v>
      </c>
      <c r="E75" s="90" t="str">
        <f>IFERROR(IF(INDEX('Coverage Indicators - Section D'!R$1:R$124,MATCH($A62,'Coverage Indicators - Section D'!$A$1:$A$124,0))&lt;&gt;"",FIXED(INDEX('Coverage Indicators - Section D'!R$1:R$124,MATCH($A62,'Coverage Indicators - Section D'!$A$1:$A$124,0))*100,2)&amp;"%",""),"")&amp;CHAR(10)&amp;IFERROR(IF(INDEX('Coverage Indicators - Section D'!S$1:S$124,MATCH($A62,'Coverage Indicators - Section D'!$A$1:$A$124,0))&lt;&gt;"",INDEX('Coverage Indicators - Section D'!S$1:S$124,MATCH($A62,'Coverage Indicators - Section D'!$A$1:$A$124,0)),""),"")</f>
        <v xml:space="preserve">20.00%
</v>
      </c>
      <c r="F75" s="90" t="str">
        <f>IFERROR(IF(INDEX('Coverage Indicators - Section D'!U$1:U$124,MATCH($A62,'Coverage Indicators - Section D'!$A$1:$A$124,0))&lt;&gt;"",FIXED(INDEX('Coverage Indicators - Section D'!U$1:U$124,MATCH($A62,'Coverage Indicators - Section D'!$A$1:$A$124,0))*100,2)&amp;"%",""),"")&amp;CHAR(10)&amp;IFERROR(IF(INDEX('Coverage Indicators - Section D'!V$1:V$124,MATCH($A62,'Coverage Indicators - Section D'!$A$1:$A$124,0))&lt;&gt;"",INDEX('Coverage Indicators - Section D'!V$1:V$124,MATCH($A62,'Coverage Indicators - Section D'!$A$1:$A$124,0)),""),"")</f>
        <v xml:space="preserve">30.00%
</v>
      </c>
      <c r="G75" s="90" t="str">
        <f>IFERROR(IF(INDEX('Coverage Indicators - Section D'!X$1:X$124,MATCH($A62,'Coverage Indicators - Section D'!$A$1:$A$124,0))&lt;&gt;"",FIXED(INDEX('Coverage Indicators - Section D'!X$1:X$124,MATCH($A62,'Coverage Indicators - Section D'!$A$1:$A$124,0))*100,2)&amp;"%",""),"")&amp;CHAR(10)&amp;IFERROR(IF(INDEX('Coverage Indicators - Section D'!Y$1:Y$124,MATCH($A62,'Coverage Indicators - Section D'!$A$1:$A$124,0))&lt;&gt;"",INDEX('Coverage Indicators - Section D'!Y$1:Y$124,MATCH($A62,'Coverage Indicators - Section D'!$A$1:$A$124,0)),""),"")</f>
        <v xml:space="preserve">30.00%
</v>
      </c>
      <c r="H75" s="90" t="str">
        <f>IFERROR(IF(INDEX('Coverage Indicators - Section D'!AA$1:AA$124,MATCH(A62,'Coverage Indicators - Section D'!$A$1:$A$124,0))&lt;&gt;"",FIXED(INDEX('Coverage Indicators - Section D'!AA$1:AA$124,MATCH($A62,'Coverage Indicators - Section D'!$A$1:$A$124,0))*100,2)&amp;"%",""),"")&amp;CHAR(10)&amp;IFERROR(IF(INDEX('Coverage Indicators - Section D'!AB$1:AB$124,MATCH($A62,'Coverage Indicators - Section D'!$A$1:$A$124,0))&lt;&gt;"",INDEX('Coverage Indicators - Section D'!AB$1:AB$124,MATCH($A62,'Coverage Indicators - Section D'!$A$1:$A$124,0)),""),"")</f>
        <v xml:space="preserve">45.00%
</v>
      </c>
      <c r="I75" s="90" t="str">
        <f>IFERROR(IF(INDEX('Coverage Indicators - Section D'!AD$1:AD$124,MATCH($A62,'Coverage Indicators - Section D'!$A$1:$A$124,0))&lt;&gt;"",FIXED(INDEX('Coverage Indicators - Section D'!AD$1:AD$124,MATCH($A62,'Coverage Indicators - Section D'!$A$1:$A$124,0))*100,2)&amp;"%",""),"")&amp;CHAR(10)&amp;IFERROR(IF(INDEX('Coverage Indicators - Section D'!AE$1:AE$124,MATCH($A62,'Coverage Indicators - Section D'!$A$1:$A$124,0))&lt;&gt;"",INDEX('Coverage Indicators - Section D'!AE$1:AE$124,MATCH($A62,'Coverage Indicators - Section D'!$A$1:$A$124,0)),""),"")</f>
        <v xml:space="preserve">45.00%
</v>
      </c>
      <c r="J75" s="90" t="str">
        <f>IFERROR(IF(INDEX('Coverage Indicators - Section D'!AG$1:AG$124,MATCH($A62,'Coverage Indicators - Section D'!$A$1:$A$124,0))&lt;&gt;"",FIXED(INDEX('Coverage Indicators - Section D'!AG$1:AG$124,MATCH($A62,'Coverage Indicators - Section D'!$A$1:$A$124,0))*100,2)&amp;"%",""),"")&amp;CHAR(10)&amp;IFERROR(IF(INDEX('Coverage Indicators - Section D'!AH$1:AH$124,MATCH($A62,'Coverage Indicators - Section D'!$A$1:$A$124,0))&lt;&gt;"",INDEX('Coverage Indicators - Section D'!AH$1:AH$124,MATCH($A62,'Coverage Indicators - Section D'!$A$1:$A$124,0)),""),"")</f>
        <v xml:space="preserve">
</v>
      </c>
      <c r="K75" s="90" t="str">
        <f>IFERROR(IF(INDEX('Coverage Indicators - Section D'!AJ$1:AJ$124,MATCH($A62,'Coverage Indicators - Section D'!$A$1:$A$124,0))&lt;&gt;"",FIXED(INDEX('Coverage Indicators - Section D'!AJ$1:AJ$124,MATCH($A62,'Coverage Indicators - Section D'!$A$1:$A$124,0))*100,2)&amp;"%",""),"")&amp;CHAR(10)&amp;IFERROR(IF(INDEX('Coverage Indicators - Section D'!AK$1:AK$124,MATCH($A62,'Coverage Indicators - Section D'!$A$1:$A$124,0))&lt;&gt;"",INDEX('Coverage Indicators - Section D'!AK$1:AK$124,MATCH($A62,'Coverage Indicators - Section D'!$A$1:$A$124,0)),""),"")</f>
        <v xml:space="preserve">
</v>
      </c>
      <c r="L75" s="82"/>
    </row>
    <row r="76" spans="1:12" ht="18.75" customHeight="1">
      <c r="A76" s="641"/>
      <c r="B76" s="625" t="s">
        <v>176</v>
      </c>
      <c r="C76" s="626"/>
      <c r="D76" s="626"/>
      <c r="E76" s="626"/>
      <c r="F76" s="626"/>
      <c r="G76" s="626"/>
      <c r="H76" s="626"/>
      <c r="I76" s="626"/>
      <c r="J76" s="626"/>
      <c r="K76" s="630"/>
      <c r="L76" s="82"/>
    </row>
    <row r="77" spans="1:12" ht="18.75" customHeight="1">
      <c r="A77" s="641"/>
      <c r="B77" s="634" t="str">
        <f>IFERROR(IF(INDEX('Coverage Indicators - Section D'!AL$1:AL$134,MATCH($A62,'Coverage Indicators - Section D'!$A$1:$A$134,0))&lt;&gt;0,INDEX('Coverage Indicators - Section D'!AL$1:AL$134,MATCH($A62,'Coverage Indicators - Section D'!$A$1:$A$134,0)),""),"")</f>
        <v>The DRC has experienced a significant increase in the number of Xpert machines available; by the end of 2023, the country will have a total of 341 Xpert machines and 38 Truenat machines. Combined with a strengthening of the sample transport system, with community actors and the purchase of X new machines and the application of the PATI 6 diagnostic algorithm (initial molecular diagnostic test in sites equipped with molecular devices), the NTP expects to screen at least 45% of patients with molecular tests by 2026.</v>
      </c>
      <c r="C77" s="635"/>
      <c r="D77" s="635"/>
      <c r="E77" s="635"/>
      <c r="F77" s="635"/>
      <c r="G77" s="635"/>
      <c r="H77" s="635"/>
      <c r="I77" s="635"/>
      <c r="J77" s="635"/>
      <c r="K77" s="636"/>
      <c r="L77" s="82"/>
    </row>
    <row r="78" spans="1:12" ht="18.75" customHeight="1">
      <c r="A78" s="641"/>
      <c r="B78" s="643"/>
      <c r="C78" s="644"/>
      <c r="D78" s="644"/>
      <c r="E78" s="644"/>
      <c r="F78" s="644"/>
      <c r="G78" s="644"/>
      <c r="H78" s="644"/>
      <c r="I78" s="644"/>
      <c r="J78" s="644"/>
      <c r="K78" s="645"/>
      <c r="L78" s="82"/>
    </row>
    <row r="79" spans="1:12" ht="18.75" customHeight="1">
      <c r="A79" s="641"/>
      <c r="B79" s="643"/>
      <c r="C79" s="644"/>
      <c r="D79" s="644"/>
      <c r="E79" s="644"/>
      <c r="F79" s="644"/>
      <c r="G79" s="644"/>
      <c r="H79" s="644"/>
      <c r="I79" s="644"/>
      <c r="J79" s="644"/>
      <c r="K79" s="645"/>
      <c r="L79" s="82"/>
    </row>
    <row r="80" spans="1:12" ht="18.75" customHeight="1">
      <c r="A80" s="641"/>
      <c r="B80" s="643"/>
      <c r="C80" s="644"/>
      <c r="D80" s="644"/>
      <c r="E80" s="644"/>
      <c r="F80" s="644"/>
      <c r="G80" s="644"/>
      <c r="H80" s="644"/>
      <c r="I80" s="644"/>
      <c r="J80" s="644"/>
      <c r="K80" s="645"/>
      <c r="L80" s="82"/>
    </row>
    <row r="81" spans="1:12" ht="18.75" customHeight="1">
      <c r="A81" s="641"/>
      <c r="B81" s="643"/>
      <c r="C81" s="644"/>
      <c r="D81" s="644"/>
      <c r="E81" s="644"/>
      <c r="F81" s="644"/>
      <c r="G81" s="644"/>
      <c r="H81" s="644"/>
      <c r="I81" s="644"/>
      <c r="J81" s="644"/>
      <c r="K81" s="645"/>
      <c r="L81" s="82"/>
    </row>
    <row r="82" spans="1:12" ht="18.75" customHeight="1">
      <c r="A82" s="641"/>
      <c r="B82" s="643"/>
      <c r="C82" s="644"/>
      <c r="D82" s="644"/>
      <c r="E82" s="644"/>
      <c r="F82" s="644"/>
      <c r="G82" s="644"/>
      <c r="H82" s="644"/>
      <c r="I82" s="644"/>
      <c r="J82" s="644"/>
      <c r="K82" s="645"/>
      <c r="L82" s="82"/>
    </row>
    <row r="83" spans="1:12" ht="18.75" customHeight="1">
      <c r="A83" s="641"/>
      <c r="B83" s="643"/>
      <c r="C83" s="644"/>
      <c r="D83" s="644"/>
      <c r="E83" s="644"/>
      <c r="F83" s="644"/>
      <c r="G83" s="644"/>
      <c r="H83" s="644"/>
      <c r="I83" s="644"/>
      <c r="J83" s="644"/>
      <c r="K83" s="645"/>
      <c r="L83" s="82"/>
    </row>
    <row r="84" spans="1:12" ht="18.75" customHeight="1">
      <c r="A84" s="641"/>
      <c r="B84" s="643"/>
      <c r="C84" s="644"/>
      <c r="D84" s="644"/>
      <c r="E84" s="644"/>
      <c r="F84" s="644"/>
      <c r="G84" s="644"/>
      <c r="H84" s="644"/>
      <c r="I84" s="644"/>
      <c r="J84" s="644"/>
      <c r="K84" s="645"/>
      <c r="L84" s="82"/>
    </row>
    <row r="85" spans="1:12" ht="18.75" customHeight="1">
      <c r="A85" s="641"/>
      <c r="B85" s="643"/>
      <c r="C85" s="644"/>
      <c r="D85" s="644"/>
      <c r="E85" s="644"/>
      <c r="F85" s="644"/>
      <c r="G85" s="644"/>
      <c r="H85" s="644"/>
      <c r="I85" s="644"/>
      <c r="J85" s="644"/>
      <c r="K85" s="645"/>
      <c r="L85" s="82"/>
    </row>
    <row r="86" spans="1:12" ht="18.75" customHeight="1">
      <c r="A86" s="642"/>
      <c r="B86" s="637"/>
      <c r="C86" s="638"/>
      <c r="D86" s="638"/>
      <c r="E86" s="638"/>
      <c r="F86" s="638"/>
      <c r="G86" s="638"/>
      <c r="H86" s="638"/>
      <c r="I86" s="638"/>
      <c r="J86" s="638"/>
      <c r="K86" s="639"/>
      <c r="L86" s="82"/>
    </row>
    <row r="87" spans="1:12" ht="18.75" customHeight="1">
      <c r="A87" s="625"/>
      <c r="B87" s="626"/>
      <c r="C87" s="626"/>
      <c r="D87" s="626"/>
      <c r="E87" s="626"/>
      <c r="F87" s="626"/>
      <c r="G87" s="626"/>
      <c r="H87" s="626"/>
      <c r="I87" s="626"/>
      <c r="J87" s="626"/>
      <c r="K87" s="630"/>
      <c r="L87" s="82"/>
    </row>
    <row r="89" spans="1:12" ht="18.75" customHeight="1">
      <c r="A89" s="89" t="s">
        <v>5051</v>
      </c>
      <c r="B89" s="625" t="s">
        <v>1077</v>
      </c>
      <c r="C89" s="630"/>
      <c r="D89" s="631" t="str">
        <f ca="1">IFERROR(IF(INDEX('Coverage Indicators - Section D'!B$1:B$124,MATCH($A90,'Coverage Indicators - Section D'!$A$1:$A$124,0))&lt;&gt;0,INDEX('Coverage Indicators - Section D'!B$1:B$124,MATCH($A90,'Coverage Indicators - Section D'!$A$1:$A$124,0)),""),"")</f>
        <v>Drug-resistant (DR)-TB diagnosis, treatment and care</v>
      </c>
      <c r="E89" s="632"/>
      <c r="F89" s="632"/>
      <c r="G89" s="632"/>
      <c r="H89" s="632"/>
      <c r="I89" s="632"/>
      <c r="J89" s="632"/>
      <c r="K89" s="633"/>
      <c r="L89" s="82"/>
    </row>
    <row r="90" spans="1:12" ht="18.75" customHeight="1">
      <c r="A90" s="640">
        <v>4</v>
      </c>
      <c r="B90" s="625" t="s">
        <v>765</v>
      </c>
      <c r="C90" s="626"/>
      <c r="D90" s="626"/>
      <c r="E90" s="626"/>
      <c r="F90" s="630"/>
      <c r="G90" s="625" t="s">
        <v>766</v>
      </c>
      <c r="H90" s="626"/>
      <c r="I90" s="626"/>
      <c r="J90" s="626"/>
      <c r="K90" s="630"/>
      <c r="L90" s="82"/>
    </row>
    <row r="91" spans="1:12" ht="18.75" customHeight="1">
      <c r="A91" s="641"/>
      <c r="B91" s="634" t="str">
        <f>IFERROR(IF(INDEX('Coverage Indicators - Section D'!C$1:C$124,MATCH($A90,'Coverage Indicators - Section D'!$A$1:$A$124,0))&lt;&gt;0,INDEX('Coverage Indicators - Section D'!C$1:C$124,MATCH($A90,'Coverage Indicators - Section D'!$A$1:$A$124,0)),""),"")</f>
        <v>DRTB-2 Number of people with confirmed RR-TB and/or MDR-TB notified</v>
      </c>
      <c r="C91" s="635"/>
      <c r="D91" s="635"/>
      <c r="E91" s="635"/>
      <c r="F91" s="636"/>
      <c r="G91" s="634" t="str">
        <f>IFERROR(IF(INDEX('Coverage Indicators - Section D'!D$1:D$124,MATCH($A90,'Coverage Indicators - Section D'!$A$1:$A$124,0))&lt;&gt;0,INDEX('Coverage Indicators - Section D'!D$1:D$124,MATCH($A90,'Coverage Indicators - Section D'!$A$1:$A$124,0)),""),"")</f>
        <v/>
      </c>
      <c r="H91" s="635"/>
      <c r="I91" s="635"/>
      <c r="J91" s="635"/>
      <c r="K91" s="636"/>
      <c r="L91" s="82"/>
    </row>
    <row r="92" spans="1:12" ht="18.75" customHeight="1">
      <c r="A92" s="641"/>
      <c r="B92" s="643"/>
      <c r="C92" s="644"/>
      <c r="D92" s="644"/>
      <c r="E92" s="644"/>
      <c r="F92" s="645"/>
      <c r="G92" s="643"/>
      <c r="H92" s="644"/>
      <c r="I92" s="644"/>
      <c r="J92" s="644"/>
      <c r="K92" s="645"/>
      <c r="L92" s="82"/>
    </row>
    <row r="93" spans="1:12" ht="18.75" customHeight="1">
      <c r="A93" s="641"/>
      <c r="B93" s="637"/>
      <c r="C93" s="638"/>
      <c r="D93" s="638"/>
      <c r="E93" s="638"/>
      <c r="F93" s="639"/>
      <c r="G93" s="637"/>
      <c r="H93" s="638"/>
      <c r="I93" s="638"/>
      <c r="J93" s="638"/>
      <c r="K93" s="639"/>
      <c r="L93" s="82"/>
    </row>
    <row r="94" spans="1:12" ht="18.75" customHeight="1">
      <c r="A94" s="641"/>
      <c r="B94" s="625" t="s">
        <v>769</v>
      </c>
      <c r="C94" s="626"/>
      <c r="D94" s="630"/>
      <c r="E94" s="625" t="s">
        <v>216</v>
      </c>
      <c r="F94" s="626"/>
      <c r="G94" s="630"/>
      <c r="H94" s="625" t="s">
        <v>127</v>
      </c>
      <c r="I94" s="626"/>
      <c r="J94" s="630"/>
      <c r="K94" s="89" t="s">
        <v>2204</v>
      </c>
      <c r="L94" s="82"/>
    </row>
    <row r="95" spans="1:12" ht="18.75" customHeight="1">
      <c r="A95" s="641"/>
      <c r="B95" s="631" t="str">
        <f>IFERROR(IF(INDEX('Coverage Indicators - Section D'!I$9:I$92,MATCH($A90,'Coverage Indicators - Section D'!$A$9:$A$92,0))&lt;&gt;0,INDEX('Coverage Indicators - Section D'!I$9:I$92,MATCH($A90,'Coverage Indicators - Section D'!$A$9:$A$92,0)),""),"")</f>
        <v>HIV status,Gender,Age</v>
      </c>
      <c r="C95" s="632"/>
      <c r="D95" s="633"/>
      <c r="E95" s="631" t="str">
        <f>IFERROR(IF(INDEX('Coverage Indicators - Section D'!M$1:M$124,MATCH($A90,'Coverage Indicators - Section D'!$A$1:$A$124,0))&lt;&gt;0,INDEX('Coverage Indicators - Section D'!M$1:M$124,MATCH($A90,'Coverage Indicators - Section D'!$A$1:$A$124,0)),""),"")</f>
        <v>Non cumulative</v>
      </c>
      <c r="F95" s="632"/>
      <c r="G95" s="633"/>
      <c r="H95" s="631" t="str">
        <f>IFERROR(IF(INDEX('Coverage Indicators - Section D'!L$1:L$124,MATCH($A90,'Coverage Indicators - Section D'!$A$1:$A$124,0))&lt;&gt;0,INDEX('Coverage Indicators - Section D'!L$1:L$124,MATCH($A90,'Coverage Indicators - Section D'!$A$1:$A$124,0)),""),"")</f>
        <v>Congo (Democratic Republic)</v>
      </c>
      <c r="I95" s="632"/>
      <c r="J95" s="633"/>
      <c r="K95" s="90" t="str">
        <f>IFERROR(IF(INDEX('Coverage Indicators - Section D'!J$1:J$124,MATCH($A90,'Coverage Indicators - Section D'!$A$1:$A$124,0))&lt;&gt;0,INDEX('Coverage Indicators - Section D'!J$1:J$124,MATCH($A90,'Coverage Indicators - Section D'!$A$1:$A$124,0)),""),"")</f>
        <v>Yes</v>
      </c>
      <c r="L95" s="82"/>
    </row>
    <row r="96" spans="1:12" ht="18.75" customHeight="1">
      <c r="A96" s="641"/>
      <c r="B96" s="625" t="s">
        <v>199</v>
      </c>
      <c r="C96" s="626"/>
      <c r="D96" s="630"/>
      <c r="E96" s="625" t="s">
        <v>5060</v>
      </c>
      <c r="F96" s="626"/>
      <c r="G96" s="630"/>
      <c r="H96" s="625" t="s">
        <v>120</v>
      </c>
      <c r="I96" s="626"/>
      <c r="J96" s="626"/>
      <c r="K96" s="630"/>
      <c r="L96" s="82"/>
    </row>
    <row r="97" spans="1:12" ht="18.75" customHeight="1">
      <c r="A97" s="641"/>
      <c r="B97" s="634" t="str">
        <f>IFERROR(IF(INDEX('Coverage Indicators - Section D'!H$1:H$124,MATCH($A90,'Coverage Indicators - Section D'!$A$1:$A$124,0))&lt;&gt;0,INDEX('Coverage Indicators - Section D'!H$1:H$124,MATCH($A90,'Coverage Indicators - Section D'!$A$1:$A$124,0)),""),"")</f>
        <v>TB program annual report</v>
      </c>
      <c r="C97" s="635"/>
      <c r="D97" s="636"/>
      <c r="E97" s="634" t="str">
        <f>IFERROR(IF(INDEX('Coverage Indicators - Section D'!L$1:L$124,MATCH($A90,'Coverage Indicators - Section D'!$A$1:$A$124,0)+1)&lt;&gt;0,INDEX('Coverage Indicators - Section D'!L$1:L$124,MATCH($A90,'Coverage Indicators - Section D'!$A$1:$A$124,0)+1),""),"")</f>
        <v>Geographic National, 100% of national program target</v>
      </c>
      <c r="F97" s="635"/>
      <c r="G97" s="636"/>
      <c r="H97" s="634" t="str">
        <f ca="1">IFERROR(IF(AND('Overview - Section A'!AS$1="Grant Making",OR(B91&lt;&gt;"",G91&lt;&gt;"")),Setup!I15,IF(INDEX('Coverage Indicators - Section D'!K$1:K$124,MATCH($A90,'Coverage Indicators - Section D'!$A$1:$A$124,0))&lt;&gt;0,INDEX('Coverage Indicators - Section D'!K$1:K$124,MATCH($A90,'Coverage Indicators - Section D'!$A$1:$A$124,0)),"")),"")</f>
        <v>Ministry of Public Health, Hygiene and Prevention</v>
      </c>
      <c r="I97" s="635"/>
      <c r="J97" s="635"/>
      <c r="K97" s="636"/>
      <c r="L97" s="82"/>
    </row>
    <row r="98" spans="1:12" ht="18.75" customHeight="1">
      <c r="A98" s="641"/>
      <c r="B98" s="637"/>
      <c r="C98" s="638"/>
      <c r="D98" s="639"/>
      <c r="E98" s="637"/>
      <c r="F98" s="638"/>
      <c r="G98" s="639"/>
      <c r="H98" s="637"/>
      <c r="I98" s="638"/>
      <c r="J98" s="638"/>
      <c r="K98" s="639"/>
      <c r="L98" s="82"/>
    </row>
    <row r="99" spans="1:12" ht="18.75" customHeight="1">
      <c r="A99" s="641"/>
      <c r="B99" s="89"/>
      <c r="C99" s="89" t="s">
        <v>5052</v>
      </c>
      <c r="D99" s="625" t="s">
        <v>5053</v>
      </c>
      <c r="E99" s="626"/>
      <c r="F99" s="626"/>
      <c r="G99" s="626"/>
      <c r="H99" s="626"/>
      <c r="I99" s="626"/>
      <c r="J99" s="626"/>
      <c r="K99" s="630"/>
      <c r="L99" s="82"/>
    </row>
    <row r="100" spans="1:12" ht="18.75" customHeight="1">
      <c r="A100" s="641"/>
      <c r="B100" s="89" t="s">
        <v>2589</v>
      </c>
      <c r="C100" s="90">
        <f>IFERROR(IF(INDEX('Coverage Indicators - Section D'!G$1:G$124,MATCH($A90,'Coverage Indicators - Section D'!$A$1:$A$124,0))&lt;&gt;0,INDEX('Coverage Indicators - Section D'!G$1:G$124,MATCH($A90,'Coverage Indicators - Section D'!$A$1:$A$124,0)),""),"")</f>
        <v>2022</v>
      </c>
      <c r="D100"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100"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100"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100"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100"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100"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100"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100"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100" s="82"/>
    </row>
    <row r="101" spans="1:12" s="93" customFormat="1" ht="18.75" customHeight="1">
      <c r="A101" s="641"/>
      <c r="B101" s="89" t="s">
        <v>5054</v>
      </c>
      <c r="C101" s="91">
        <f>IFERROR(IF(INDEX('Coverage Indicators - Section D'!E$1:E$124,MATCH($A90,'Coverage Indicators - Section D'!$A$1:$A$124,0))&lt;&gt;"",INDEX('Coverage Indicators - Section D'!E$1:E$124,MATCH($A90,'Coverage Indicators - Section D'!$A$1:$A$124,0)),""),"")</f>
        <v>1614</v>
      </c>
      <c r="D101" s="91">
        <f ca="1">IFERROR(IF(INDEX('Coverage Indicators - Section D'!N$1:N$124,MATCH($A90,'Coverage Indicators - Section D'!$A$1:$A$124,0))&lt;&gt;"",INDEX('Coverage Indicators - Section D'!N$1:N$124,MATCH($A90,'Coverage Indicators - Section D'!$A$1:$A$124,0)),""),"")</f>
        <v>1241.5</v>
      </c>
      <c r="E101" s="91">
        <f ca="1">IFERROR(IF(INDEX('Coverage Indicators - Section D'!Q$1:Q$124,MATCH($A90,'Coverage Indicators - Section D'!$A$1:$A$124,0))&lt;&gt;"",INDEX('Coverage Indicators - Section D'!Q$1:Q$124,MATCH($A90,'Coverage Indicators - Section D'!$A$1:$A$124,0)),""),"")</f>
        <v>1241.5</v>
      </c>
      <c r="F101" s="91">
        <f ca="1">IFERROR(IF(INDEX('Coverage Indicators - Section D'!T$1:T$124,MATCH($A90,'Coverage Indicators - Section D'!$A$1:$A$124,0))&lt;&gt;"",INDEX('Coverage Indicators - Section D'!T$1:T$124,MATCH($A90,'Coverage Indicators - Section D'!$A$1:$A$124,0)),""),"")</f>
        <v>1592.5</v>
      </c>
      <c r="G101" s="91">
        <f ca="1">IFERROR(IF(INDEX('Coverage Indicators - Section D'!W$1:W$124,MATCH($A90,'Coverage Indicators - Section D'!$A$1:$A$124,0))&lt;&gt;"",INDEX('Coverage Indicators - Section D'!W$1:W$124,MATCH($A90,'Coverage Indicators - Section D'!$A$1:$A$124,0)),""),"")</f>
        <v>1592.5</v>
      </c>
      <c r="H101" s="91">
        <f ca="1">IFERROR(IF(INDEX('Coverage Indicators - Section D'!Z$1:Z$124,MATCH($A90,'Coverage Indicators - Section D'!$A$1:$A$124,0))&lt;&gt;"",INDEX('Coverage Indicators - Section D'!Z$1:Z$124,MATCH($A90,'Coverage Indicators - Section D'!$A$1:$A$124,0)),""),"")</f>
        <v>2031.5</v>
      </c>
      <c r="I101" s="91">
        <f ca="1">IFERROR(IF(INDEX('Coverage Indicators - Section D'!AC$1:AC$124,MATCH($A90,'Coverage Indicators - Section D'!$A$1:$A$124,0))&lt;&gt;"",INDEX('Coverage Indicators - Section D'!AC$1:AC$124,MATCH($A90,'Coverage Indicators - Section D'!$A$1:$A$124,0)),""),"")</f>
        <v>2031.5</v>
      </c>
      <c r="J101" s="91" t="str">
        <f ca="1">IFERROR(IF(INDEX('Coverage Indicators - Section D'!AF$1:AF$124,MATCH($A90,'Coverage Indicators - Section D'!$A$1:$A$124,0))&lt;&gt;"",INDEX('Coverage Indicators - Section D'!AF$1:AF$124,MATCH($A90,'Coverage Indicators - Section D'!$A$1:$A$124,0)),""),"")</f>
        <v/>
      </c>
      <c r="K101" s="91" t="str">
        <f ca="1">IFERROR(IF(INDEX('Coverage Indicators - Section D'!AI$1:AI$124,MATCH($A90,'Coverage Indicators - Section D'!$A$1:$A$124,0))&lt;&gt;"",INDEX('Coverage Indicators - Section D'!AI$1:AI$124,MATCH($A90,'Coverage Indicators - Section D'!$A$1:$A$124,0)),""),"")</f>
        <v/>
      </c>
      <c r="L101" s="92"/>
    </row>
    <row r="102" spans="1:12" s="96" customFormat="1" ht="18.75" customHeight="1">
      <c r="A102" s="641"/>
      <c r="B102" s="89" t="s">
        <v>5055</v>
      </c>
      <c r="C102" s="94" t="str">
        <f>IFERROR(IF(INDEX('Coverage Indicators - Section D'!E$1:E$124,MATCH($A90,'Coverage Indicators - Section D'!$A$1:$A$124,0)+1)&lt;&gt;"",INDEX('Coverage Indicators - Section D'!E$1:E$124,MATCH($A90,'Coverage Indicators - Section D'!$A$1:$A$124,0)+1),""),"")</f>
        <v/>
      </c>
      <c r="D102" s="94" t="str">
        <f ca="1">IFERROR(IF(INDEX('Coverage Indicators - Section D'!N$1:N$124,MATCH($A90,'Coverage Indicators - Section D'!$A$1:$A$124,0)+1)&lt;&gt;"",INDEX('Coverage Indicators - Section D'!N$1:N$124,MATCH($A90,'Coverage Indicators - Section D'!$A$1:$A$124,0)+1),""),"")</f>
        <v/>
      </c>
      <c r="E102" s="94" t="str">
        <f ca="1">IFERROR(IF(INDEX('Coverage Indicators - Section D'!Q$1:Q$124,MATCH($A90,'Coverage Indicators - Section D'!$A$1:$A$124,0)+1)&lt;&gt;"",INDEX('Coverage Indicators - Section D'!Q$1:Q$124,MATCH($A90,'Coverage Indicators - Section D'!$A$1:$A$124,0)+1),""),"")</f>
        <v/>
      </c>
      <c r="F102" s="94" t="str">
        <f ca="1">IFERROR(IF(INDEX('Coverage Indicators - Section D'!T$1:T$124,MATCH($A90,'Coverage Indicators - Section D'!$A$1:$A$124,0)+1)&lt;&gt;"",INDEX('Coverage Indicators - Section D'!T$1:T$124,MATCH($A90,'Coverage Indicators - Section D'!$A$1:$A$124,0)+1),""),"")</f>
        <v/>
      </c>
      <c r="G102" s="94" t="str">
        <f ca="1">IFERROR(IF(INDEX('Coverage Indicators - Section D'!W$1:W$124,MATCH($A90,'Coverage Indicators - Section D'!$A$1:$A$124,0)+1)&lt;&gt;"",INDEX('Coverage Indicators - Section D'!W$1:W$124,MATCH($A90,'Coverage Indicators - Section D'!$A$1:$A$124,0)+1),""),"")</f>
        <v/>
      </c>
      <c r="H102" s="94" t="str">
        <f ca="1">IFERROR(IF(INDEX('Coverage Indicators - Section D'!Z$1:Z$124,MATCH($A90,'Coverage Indicators - Section D'!$A$1:$A$124,0)+1)&lt;&gt;"",INDEX('Coverage Indicators - Section D'!Z$1:Z$124,MATCH($A90,'Coverage Indicators - Section D'!$A$1:$A$124,0)+1),""),"")</f>
        <v/>
      </c>
      <c r="I102" s="94" t="str">
        <f ca="1">IFERROR(IF(INDEX('Coverage Indicators - Section D'!AC$1:AC$124,MATCH($A90,'Coverage Indicators - Section D'!$A$1:$A$124,0)+1)&lt;&gt;"",INDEX('Coverage Indicators - Section D'!AC$1:AC$124,MATCH($A90,'Coverage Indicators - Section D'!$A$1:$A$124,0)+1),""),"")</f>
        <v/>
      </c>
      <c r="J102" s="94" t="str">
        <f ca="1">IFERROR(IF(INDEX('Coverage Indicators - Section D'!AF$1:AF$124,MATCH($A90,'Coverage Indicators - Section D'!$A$1:$A$124,0)+1)&lt;&gt;"",INDEX('Coverage Indicators - Section D'!AF$1:AF$124,MATCH($A90,'Coverage Indicators - Section D'!$A$1:$A$124,0)+1),""),"")</f>
        <v/>
      </c>
      <c r="K102" s="94" t="str">
        <f ca="1">IFERROR(IF(INDEX('Coverage Indicators - Section D'!AI$1:AI$124,MATCH($A90,'Coverage Indicators - Section D'!$A$1:$A$124,0)+1)&lt;&gt;"",INDEX('Coverage Indicators - Section D'!AI$1:AI$124,MATCH($A90,'Coverage Indicators - Section D'!$A$1:$A$124,0)+1),""),"")</f>
        <v/>
      </c>
      <c r="L102" s="95"/>
    </row>
    <row r="103" spans="1:12" ht="18.75" customHeight="1">
      <c r="A103" s="641"/>
      <c r="B103" s="89" t="s">
        <v>5056</v>
      </c>
      <c r="C103" s="90" t="str">
        <f ca="1">IFERROR(IF(INDEX('Coverage Indicators - Section D'!F$1:F$124,MATCH($A90,'Coverage Indicators - Section D'!$A$1:$A$124,0))&lt;&gt;"",FIXED(INDEX('Coverage Indicators - Section D'!F$1:F$124,MATCH($A90,'Coverage Indicators - Section D'!$A$1:$A$124,0))*100,2)&amp;"%",""),"")</f>
        <v/>
      </c>
      <c r="D103" s="90" t="str">
        <f>IFERROR(IF(INDEX('Coverage Indicators - Section D'!O$1:O$124,MATCH($A90,'Coverage Indicators - Section D'!$A$1:$A$124,0))&lt;&gt;"",FIXED(INDEX('Coverage Indicators - Section D'!O$1:O$124,MATCH($A90,'Coverage Indicators - Section D'!$A$1:$A$124,0))*100,2)&amp;"%",""),"")&amp;CHAR(10)&amp;IFERROR(IF(INDEX('Coverage Indicators - Section D'!P$1:P$124,MATCH($A90,'Coverage Indicators - Section D'!$A$1:$A$124,0))&lt;&gt;"",INDEX('Coverage Indicators - Section D'!P$1:P$124,MATCH($A90,'Coverage Indicators - Section D'!$A$1:$A$124,0)),""),"")</f>
        <v xml:space="preserve">
</v>
      </c>
      <c r="E103" s="90" t="str">
        <f>IFERROR(IF(INDEX('Coverage Indicators - Section D'!R$1:R$124,MATCH($A90,'Coverage Indicators - Section D'!$A$1:$A$124,0))&lt;&gt;"",FIXED(INDEX('Coverage Indicators - Section D'!R$1:R$124,MATCH($A90,'Coverage Indicators - Section D'!$A$1:$A$124,0))*100,2)&amp;"%",""),"")&amp;CHAR(10)&amp;IFERROR(IF(INDEX('Coverage Indicators - Section D'!S$1:S$124,MATCH($A90,'Coverage Indicators - Section D'!$A$1:$A$124,0))&lt;&gt;"",INDEX('Coverage Indicators - Section D'!S$1:S$124,MATCH($A90,'Coverage Indicators - Section D'!$A$1:$A$124,0)),""),"")</f>
        <v xml:space="preserve">
</v>
      </c>
      <c r="F103" s="90" t="str">
        <f>IFERROR(IF(INDEX('Coverage Indicators - Section D'!U$1:U$124,MATCH($A90,'Coverage Indicators - Section D'!$A$1:$A$124,0))&lt;&gt;"",FIXED(INDEX('Coverage Indicators - Section D'!U$1:U$124,MATCH($A90,'Coverage Indicators - Section D'!$A$1:$A$124,0))*100,2)&amp;"%",""),"")&amp;CHAR(10)&amp;IFERROR(IF(INDEX('Coverage Indicators - Section D'!V$1:V$124,MATCH($A90,'Coverage Indicators - Section D'!$A$1:$A$124,0))&lt;&gt;"",INDEX('Coverage Indicators - Section D'!V$1:V$124,MATCH($A90,'Coverage Indicators - Section D'!$A$1:$A$124,0)),""),"")</f>
        <v xml:space="preserve">
</v>
      </c>
      <c r="G103" s="90" t="str">
        <f>IFERROR(IF(INDEX('Coverage Indicators - Section D'!X$1:X$124,MATCH($A90,'Coverage Indicators - Section D'!$A$1:$A$124,0))&lt;&gt;"",FIXED(INDEX('Coverage Indicators - Section D'!X$1:X$124,MATCH($A90,'Coverage Indicators - Section D'!$A$1:$A$124,0))*100,2)&amp;"%",""),"")&amp;CHAR(10)&amp;IFERROR(IF(INDEX('Coverage Indicators - Section D'!Y$1:Y$124,MATCH($A90,'Coverage Indicators - Section D'!$A$1:$A$124,0))&lt;&gt;"",INDEX('Coverage Indicators - Section D'!Y$1:Y$124,MATCH($A90,'Coverage Indicators - Section D'!$A$1:$A$124,0)),""),"")</f>
        <v xml:space="preserve">
</v>
      </c>
      <c r="H103" s="90" t="str">
        <f>IFERROR(IF(INDEX('Coverage Indicators - Section D'!AA$1:AA$124,MATCH(A90,'Coverage Indicators - Section D'!$A$1:$A$124,0))&lt;&gt;"",FIXED(INDEX('Coverage Indicators - Section D'!AA$1:AA$124,MATCH($A90,'Coverage Indicators - Section D'!$A$1:$A$124,0))*100,2)&amp;"%",""),"")&amp;CHAR(10)&amp;IFERROR(IF(INDEX('Coverage Indicators - Section D'!AB$1:AB$124,MATCH($A90,'Coverage Indicators - Section D'!$A$1:$A$124,0))&lt;&gt;"",INDEX('Coverage Indicators - Section D'!AB$1:AB$124,MATCH($A90,'Coverage Indicators - Section D'!$A$1:$A$124,0)),""),"")</f>
        <v xml:space="preserve">
</v>
      </c>
      <c r="I103" s="90" t="str">
        <f>IFERROR(IF(INDEX('Coverage Indicators - Section D'!AD$1:AD$124,MATCH($A90,'Coverage Indicators - Section D'!$A$1:$A$124,0))&lt;&gt;"",FIXED(INDEX('Coverage Indicators - Section D'!AD$1:AD$124,MATCH($A90,'Coverage Indicators - Section D'!$A$1:$A$124,0))*100,2)&amp;"%",""),"")&amp;CHAR(10)&amp;IFERROR(IF(INDEX('Coverage Indicators - Section D'!AE$1:AE$124,MATCH($A90,'Coverage Indicators - Section D'!$A$1:$A$124,0))&lt;&gt;"",INDEX('Coverage Indicators - Section D'!AE$1:AE$124,MATCH($A90,'Coverage Indicators - Section D'!$A$1:$A$124,0)),""),"")</f>
        <v xml:space="preserve">
</v>
      </c>
      <c r="J103" s="90" t="str">
        <f>IFERROR(IF(INDEX('Coverage Indicators - Section D'!AG$1:AG$124,MATCH($A90,'Coverage Indicators - Section D'!$A$1:$A$124,0))&lt;&gt;"",FIXED(INDEX('Coverage Indicators - Section D'!AG$1:AG$124,MATCH($A90,'Coverage Indicators - Section D'!$A$1:$A$124,0))*100,2)&amp;"%",""),"")&amp;CHAR(10)&amp;IFERROR(IF(INDEX('Coverage Indicators - Section D'!AH$1:AH$124,MATCH($A90,'Coverage Indicators - Section D'!$A$1:$A$124,0))&lt;&gt;"",INDEX('Coverage Indicators - Section D'!AH$1:AH$124,MATCH($A90,'Coverage Indicators - Section D'!$A$1:$A$124,0)),""),"")</f>
        <v xml:space="preserve">
</v>
      </c>
      <c r="K103" s="90" t="str">
        <f>IFERROR(IF(INDEX('Coverage Indicators - Section D'!AJ$1:AJ$124,MATCH($A90,'Coverage Indicators - Section D'!$A$1:$A$124,0))&lt;&gt;"",FIXED(INDEX('Coverage Indicators - Section D'!AJ$1:AJ$124,MATCH($A90,'Coverage Indicators - Section D'!$A$1:$A$124,0))*100,2)&amp;"%",""),"")&amp;CHAR(10)&amp;IFERROR(IF(INDEX('Coverage Indicators - Section D'!AK$1:AK$124,MATCH($A90,'Coverage Indicators - Section D'!$A$1:$A$124,0))&lt;&gt;"",INDEX('Coverage Indicators - Section D'!AK$1:AK$124,MATCH($A90,'Coverage Indicators - Section D'!$A$1:$A$124,0)),""),"")</f>
        <v xml:space="preserve">
</v>
      </c>
      <c r="L103" s="82"/>
    </row>
    <row r="104" spans="1:12" ht="18.75" customHeight="1">
      <c r="A104" s="641"/>
      <c r="B104" s="625" t="s">
        <v>176</v>
      </c>
      <c r="C104" s="626"/>
      <c r="D104" s="626"/>
      <c r="E104" s="626"/>
      <c r="F104" s="626"/>
      <c r="G104" s="626"/>
      <c r="H104" s="626"/>
      <c r="I104" s="626"/>
      <c r="J104" s="626"/>
      <c r="K104" s="630"/>
      <c r="L104" s="82"/>
    </row>
    <row r="105" spans="1:12" ht="18.75" customHeight="1">
      <c r="A105" s="641"/>
      <c r="B105" s="634" t="str">
        <f>IFERROR(IF(INDEX('Coverage Indicators - Section D'!AL$1:AL$134,MATCH($A90,'Coverage Indicators - Section D'!$A$1:$A$134,0))&lt;&gt;0,INDEX('Coverage Indicators - Section D'!AL$1:AL$134,MATCH($A90,'Coverage Indicators - Section D'!$A$1:$A$134,0)),""),"")</f>
        <v>In 2022, 1614 RP-TB cases were reported and in 2021, 1236 RP-TB cases, which is an increase of 30%. With the implementation of the RP-TB acceleration plan, the increase of access to and optimization of the GeneXpert and Truenat machines, the implementation of the Xpert test for all confirmed TPB+ cases, the country plans to notify 9731 RP-TB patients over the 3 years: 2483 in 2024, 3185 in 2025 and 4063 in 2026.</v>
      </c>
      <c r="C105" s="635"/>
      <c r="D105" s="635"/>
      <c r="E105" s="635"/>
      <c r="F105" s="635"/>
      <c r="G105" s="635"/>
      <c r="H105" s="635"/>
      <c r="I105" s="635"/>
      <c r="J105" s="635"/>
      <c r="K105" s="636"/>
      <c r="L105" s="82"/>
    </row>
    <row r="106" spans="1:12" ht="18.75" customHeight="1">
      <c r="A106" s="641"/>
      <c r="B106" s="643"/>
      <c r="C106" s="644"/>
      <c r="D106" s="644"/>
      <c r="E106" s="644"/>
      <c r="F106" s="644"/>
      <c r="G106" s="644"/>
      <c r="H106" s="644"/>
      <c r="I106" s="644"/>
      <c r="J106" s="644"/>
      <c r="K106" s="645"/>
      <c r="L106" s="82"/>
    </row>
    <row r="107" spans="1:12" ht="18.75" customHeight="1">
      <c r="A107" s="641"/>
      <c r="B107" s="643"/>
      <c r="C107" s="644"/>
      <c r="D107" s="644"/>
      <c r="E107" s="644"/>
      <c r="F107" s="644"/>
      <c r="G107" s="644"/>
      <c r="H107" s="644"/>
      <c r="I107" s="644"/>
      <c r="J107" s="644"/>
      <c r="K107" s="645"/>
      <c r="L107" s="82"/>
    </row>
    <row r="108" spans="1:12" ht="18.75" customHeight="1">
      <c r="A108" s="641"/>
      <c r="B108" s="643"/>
      <c r="C108" s="644"/>
      <c r="D108" s="644"/>
      <c r="E108" s="644"/>
      <c r="F108" s="644"/>
      <c r="G108" s="644"/>
      <c r="H108" s="644"/>
      <c r="I108" s="644"/>
      <c r="J108" s="644"/>
      <c r="K108" s="645"/>
      <c r="L108" s="82"/>
    </row>
    <row r="109" spans="1:12" ht="18.75" customHeight="1">
      <c r="A109" s="641"/>
      <c r="B109" s="643"/>
      <c r="C109" s="644"/>
      <c r="D109" s="644"/>
      <c r="E109" s="644"/>
      <c r="F109" s="644"/>
      <c r="G109" s="644"/>
      <c r="H109" s="644"/>
      <c r="I109" s="644"/>
      <c r="J109" s="644"/>
      <c r="K109" s="645"/>
      <c r="L109" s="82"/>
    </row>
    <row r="110" spans="1:12" ht="18.75" customHeight="1">
      <c r="A110" s="641"/>
      <c r="B110" s="643"/>
      <c r="C110" s="644"/>
      <c r="D110" s="644"/>
      <c r="E110" s="644"/>
      <c r="F110" s="644"/>
      <c r="G110" s="644"/>
      <c r="H110" s="644"/>
      <c r="I110" s="644"/>
      <c r="J110" s="644"/>
      <c r="K110" s="645"/>
      <c r="L110" s="82"/>
    </row>
    <row r="111" spans="1:12" ht="18.75" customHeight="1">
      <c r="A111" s="641"/>
      <c r="B111" s="643"/>
      <c r="C111" s="644"/>
      <c r="D111" s="644"/>
      <c r="E111" s="644"/>
      <c r="F111" s="644"/>
      <c r="G111" s="644"/>
      <c r="H111" s="644"/>
      <c r="I111" s="644"/>
      <c r="J111" s="644"/>
      <c r="K111" s="645"/>
      <c r="L111" s="82"/>
    </row>
    <row r="112" spans="1:12" ht="18.75" customHeight="1">
      <c r="A112" s="641"/>
      <c r="B112" s="643"/>
      <c r="C112" s="644"/>
      <c r="D112" s="644"/>
      <c r="E112" s="644"/>
      <c r="F112" s="644"/>
      <c r="G112" s="644"/>
      <c r="H112" s="644"/>
      <c r="I112" s="644"/>
      <c r="J112" s="644"/>
      <c r="K112" s="645"/>
      <c r="L112" s="82"/>
    </row>
    <row r="113" spans="1:12" ht="18.75" customHeight="1">
      <c r="A113" s="641"/>
      <c r="B113" s="643"/>
      <c r="C113" s="644"/>
      <c r="D113" s="644"/>
      <c r="E113" s="644"/>
      <c r="F113" s="644"/>
      <c r="G113" s="644"/>
      <c r="H113" s="644"/>
      <c r="I113" s="644"/>
      <c r="J113" s="644"/>
      <c r="K113" s="645"/>
      <c r="L113" s="82"/>
    </row>
    <row r="114" spans="1:12" ht="18.75" customHeight="1">
      <c r="A114" s="642"/>
      <c r="B114" s="637"/>
      <c r="C114" s="638"/>
      <c r="D114" s="638"/>
      <c r="E114" s="638"/>
      <c r="F114" s="638"/>
      <c r="G114" s="638"/>
      <c r="H114" s="638"/>
      <c r="I114" s="638"/>
      <c r="J114" s="638"/>
      <c r="K114" s="639"/>
      <c r="L114" s="82"/>
    </row>
    <row r="115" spans="1:12" ht="18.75" customHeight="1">
      <c r="A115" s="625"/>
      <c r="B115" s="626"/>
      <c r="C115" s="626"/>
      <c r="D115" s="626"/>
      <c r="E115" s="626"/>
      <c r="F115" s="626"/>
      <c r="G115" s="626"/>
      <c r="H115" s="626"/>
      <c r="I115" s="626"/>
      <c r="J115" s="626"/>
      <c r="K115" s="630"/>
      <c r="L115" s="82"/>
    </row>
    <row r="117" spans="1:12" ht="18.75" customHeight="1">
      <c r="A117" s="89" t="s">
        <v>5051</v>
      </c>
      <c r="B117" s="625" t="s">
        <v>1077</v>
      </c>
      <c r="C117" s="630"/>
      <c r="D117" s="631" t="str">
        <f ca="1">IFERROR(IF(INDEX('Coverage Indicators - Section D'!B$1:B$124,MATCH($A118,'Coverage Indicators - Section D'!$A$1:$A$124,0))&lt;&gt;0,INDEX('Coverage Indicators - Section D'!B$1:B$124,MATCH($A118,'Coverage Indicators - Section D'!$A$1:$A$124,0)),""),"")</f>
        <v>Drug-resistant (DR)-TB diagnosis, treatment and care</v>
      </c>
      <c r="E117" s="632"/>
      <c r="F117" s="632"/>
      <c r="G117" s="632"/>
      <c r="H117" s="632"/>
      <c r="I117" s="632"/>
      <c r="J117" s="632"/>
      <c r="K117" s="633"/>
      <c r="L117" s="82"/>
    </row>
    <row r="118" spans="1:12" ht="18.75" customHeight="1">
      <c r="A118" s="640">
        <v>5</v>
      </c>
      <c r="B118" s="625" t="s">
        <v>765</v>
      </c>
      <c r="C118" s="626"/>
      <c r="D118" s="626"/>
      <c r="E118" s="626"/>
      <c r="F118" s="630"/>
      <c r="G118" s="625" t="s">
        <v>766</v>
      </c>
      <c r="H118" s="626"/>
      <c r="I118" s="626"/>
      <c r="J118" s="626"/>
      <c r="K118" s="630"/>
      <c r="L118" s="82"/>
    </row>
    <row r="119" spans="1:12" ht="18.75" customHeight="1">
      <c r="A119" s="641"/>
      <c r="B119" s="634" t="str">
        <f>IFERROR(IF(INDEX('Coverage Indicators - Section D'!C$1:C$124,MATCH($A118,'Coverage Indicators - Section D'!$A$1:$A$124,0))&lt;&gt;0,INDEX('Coverage Indicators - Section D'!C$1:C$124,MATCH($A118,'Coverage Indicators - Section D'!$A$1:$A$124,0)),""),"")</f>
        <v>DRTB-3 Percentage of people with confirmed RR-TB and/or MDR-TB that began second-line treatment</v>
      </c>
      <c r="C119" s="635"/>
      <c r="D119" s="635"/>
      <c r="E119" s="635"/>
      <c r="F119" s="636"/>
      <c r="G119" s="634" t="str">
        <f>IFERROR(IF(INDEX('Coverage Indicators - Section D'!D$1:D$124,MATCH($A118,'Coverage Indicators - Section D'!$A$1:$A$124,0))&lt;&gt;0,INDEX('Coverage Indicators - Section D'!D$1:D$124,MATCH($A118,'Coverage Indicators - Section D'!$A$1:$A$124,0)),""),"")</f>
        <v/>
      </c>
      <c r="H119" s="635"/>
      <c r="I119" s="635"/>
      <c r="J119" s="635"/>
      <c r="K119" s="636"/>
      <c r="L119" s="82"/>
    </row>
    <row r="120" spans="1:12" ht="18.75" customHeight="1">
      <c r="A120" s="641"/>
      <c r="B120" s="643"/>
      <c r="C120" s="644"/>
      <c r="D120" s="644"/>
      <c r="E120" s="644"/>
      <c r="F120" s="645"/>
      <c r="G120" s="643"/>
      <c r="H120" s="644"/>
      <c r="I120" s="644"/>
      <c r="J120" s="644"/>
      <c r="K120" s="645"/>
      <c r="L120" s="82"/>
    </row>
    <row r="121" spans="1:12" ht="18.75" customHeight="1">
      <c r="A121" s="641"/>
      <c r="B121" s="637"/>
      <c r="C121" s="638"/>
      <c r="D121" s="638"/>
      <c r="E121" s="638"/>
      <c r="F121" s="639"/>
      <c r="G121" s="637"/>
      <c r="H121" s="638"/>
      <c r="I121" s="638"/>
      <c r="J121" s="638"/>
      <c r="K121" s="639"/>
      <c r="L121" s="82"/>
    </row>
    <row r="122" spans="1:12" ht="18.75" customHeight="1">
      <c r="A122" s="641"/>
      <c r="B122" s="625" t="s">
        <v>769</v>
      </c>
      <c r="C122" s="626"/>
      <c r="D122" s="630"/>
      <c r="E122" s="625" t="s">
        <v>216</v>
      </c>
      <c r="F122" s="626"/>
      <c r="G122" s="630"/>
      <c r="H122" s="625" t="s">
        <v>127</v>
      </c>
      <c r="I122" s="626"/>
      <c r="J122" s="630"/>
      <c r="K122" s="89" t="s">
        <v>2204</v>
      </c>
      <c r="L122" s="82"/>
    </row>
    <row r="123" spans="1:12" ht="18.75" customHeight="1">
      <c r="A123" s="641"/>
      <c r="B123" s="631" t="str">
        <f>IFERROR(IF(INDEX('Coverage Indicators - Section D'!I$9:I$92,MATCH($A118,'Coverage Indicators - Section D'!$A$9:$A$92,0))&lt;&gt;0,INDEX('Coverage Indicators - Section D'!I$9:I$92,MATCH($A118,'Coverage Indicators - Section D'!$A$9:$A$92,0)),""),"")</f>
        <v>Treatment regimen,Gender,Age</v>
      </c>
      <c r="C123" s="632"/>
      <c r="D123" s="633"/>
      <c r="E123" s="631" t="str">
        <f>IFERROR(IF(INDEX('Coverage Indicators - Section D'!M$1:M$124,MATCH($A118,'Coverage Indicators - Section D'!$A$1:$A$124,0))&lt;&gt;0,INDEX('Coverage Indicators - Section D'!M$1:M$124,MATCH($A118,'Coverage Indicators - Section D'!$A$1:$A$124,0)),""),"")</f>
        <v>Non cumulative</v>
      </c>
      <c r="F123" s="632"/>
      <c r="G123" s="633"/>
      <c r="H123" s="631" t="str">
        <f>IFERROR(IF(INDEX('Coverage Indicators - Section D'!L$1:L$124,MATCH($A118,'Coverage Indicators - Section D'!$A$1:$A$124,0))&lt;&gt;0,INDEX('Coverage Indicators - Section D'!L$1:L$124,MATCH($A118,'Coverage Indicators - Section D'!$A$1:$A$124,0)),""),"")</f>
        <v>Congo (Democratic Republic)</v>
      </c>
      <c r="I123" s="632"/>
      <c r="J123" s="633"/>
      <c r="K123" s="90" t="str">
        <f>IFERROR(IF(INDEX('Coverage Indicators - Section D'!J$1:J$124,MATCH($A118,'Coverage Indicators - Section D'!$A$1:$A$124,0))&lt;&gt;0,INDEX('Coverage Indicators - Section D'!J$1:J$124,MATCH($A118,'Coverage Indicators - Section D'!$A$1:$A$124,0)),""),"")</f>
        <v>Yes</v>
      </c>
      <c r="L123" s="82"/>
    </row>
    <row r="124" spans="1:12" ht="18.75" customHeight="1">
      <c r="A124" s="641"/>
      <c r="B124" s="625" t="s">
        <v>199</v>
      </c>
      <c r="C124" s="626"/>
      <c r="D124" s="630"/>
      <c r="E124" s="625" t="s">
        <v>5060</v>
      </c>
      <c r="F124" s="626"/>
      <c r="G124" s="630"/>
      <c r="H124" s="625" t="s">
        <v>120</v>
      </c>
      <c r="I124" s="626"/>
      <c r="J124" s="626"/>
      <c r="K124" s="630"/>
      <c r="L124" s="82"/>
    </row>
    <row r="125" spans="1:12" ht="18.75" customHeight="1">
      <c r="A125" s="641"/>
      <c r="B125" s="634" t="str">
        <f>IFERROR(IF(INDEX('Coverage Indicators - Section D'!H$1:H$124,MATCH($A118,'Coverage Indicators - Section D'!$A$1:$A$124,0))&lt;&gt;0,INDEX('Coverage Indicators - Section D'!H$1:H$124,MATCH($A118,'Coverage Indicators - Section D'!$A$1:$A$124,0)),""),"")</f>
        <v>WHO TB Global Report 2022</v>
      </c>
      <c r="C125" s="635"/>
      <c r="D125" s="636"/>
      <c r="E125" s="634" t="str">
        <f>IFERROR(IF(INDEX('Coverage Indicators - Section D'!L$1:L$124,MATCH($A118,'Coverage Indicators - Section D'!$A$1:$A$124,0)+1)&lt;&gt;0,INDEX('Coverage Indicators - Section D'!L$1:L$124,MATCH($A118,'Coverage Indicators - Section D'!$A$1:$A$124,0)+1),""),"")</f>
        <v>Geographic National, 100% of national program target</v>
      </c>
      <c r="F125" s="635"/>
      <c r="G125" s="636"/>
      <c r="H125" s="634" t="str">
        <f ca="1">IFERROR(IF(AND('Overview - Section A'!AS$1="Grant Making",OR(B119&lt;&gt;"",G119&lt;&gt;"")),Setup!I15,IF(INDEX('Coverage Indicators - Section D'!K$1:K$124,MATCH($A118,'Coverage Indicators - Section D'!$A$1:$A$124,0))&lt;&gt;0,INDEX('Coverage Indicators - Section D'!K$1:K$124,MATCH($A118,'Coverage Indicators - Section D'!$A$1:$A$124,0)),"")),"")</f>
        <v>Ministry of Public Health, Hygiene and Prevention</v>
      </c>
      <c r="I125" s="635"/>
      <c r="J125" s="635"/>
      <c r="K125" s="636"/>
      <c r="L125" s="82"/>
    </row>
    <row r="126" spans="1:12" ht="18.75" customHeight="1">
      <c r="A126" s="641"/>
      <c r="B126" s="637"/>
      <c r="C126" s="638"/>
      <c r="D126" s="639"/>
      <c r="E126" s="637"/>
      <c r="F126" s="638"/>
      <c r="G126" s="639"/>
      <c r="H126" s="637"/>
      <c r="I126" s="638"/>
      <c r="J126" s="638"/>
      <c r="K126" s="639"/>
      <c r="L126" s="82"/>
    </row>
    <row r="127" spans="1:12" ht="18.75" customHeight="1">
      <c r="A127" s="641"/>
      <c r="B127" s="89"/>
      <c r="C127" s="89" t="s">
        <v>5052</v>
      </c>
      <c r="D127" s="625" t="s">
        <v>5053</v>
      </c>
      <c r="E127" s="626"/>
      <c r="F127" s="626"/>
      <c r="G127" s="626"/>
      <c r="H127" s="626"/>
      <c r="I127" s="626"/>
      <c r="J127" s="626"/>
      <c r="K127" s="630"/>
      <c r="L127" s="82"/>
    </row>
    <row r="128" spans="1:12" ht="18.75" customHeight="1">
      <c r="A128" s="641"/>
      <c r="B128" s="89" t="s">
        <v>2589</v>
      </c>
      <c r="C128" s="90">
        <f>IFERROR(IF(INDEX('Coverage Indicators - Section D'!G$1:G$124,MATCH($A118,'Coverage Indicators - Section D'!$A$1:$A$124,0))&lt;&gt;0,INDEX('Coverage Indicators - Section D'!G$1:G$124,MATCH($A118,'Coverage Indicators - Section D'!$A$1:$A$124,0)),""),"")</f>
        <v>2021</v>
      </c>
      <c r="D128"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128"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128"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128"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128"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128"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128"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128"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128" s="82"/>
    </row>
    <row r="129" spans="1:12" s="93" customFormat="1" ht="18.75" customHeight="1">
      <c r="A129" s="641"/>
      <c r="B129" s="89" t="s">
        <v>5054</v>
      </c>
      <c r="C129" s="91">
        <f>IFERROR(IF(INDEX('Coverage Indicators - Section D'!E$1:E$124,MATCH($A118,'Coverage Indicators - Section D'!$A$1:$A$124,0))&lt;&gt;"",INDEX('Coverage Indicators - Section D'!E$1:E$124,MATCH($A118,'Coverage Indicators - Section D'!$A$1:$A$124,0)),""),"")</f>
        <v>1125</v>
      </c>
      <c r="D129" s="91" t="str">
        <f ca="1">IFERROR(IF(INDEX('Coverage Indicators - Section D'!N$1:N$124,MATCH($A118,'Coverage Indicators - Section D'!$A$1:$A$124,0))&lt;&gt;"",INDEX('Coverage Indicators - Section D'!N$1:N$124,MATCH($A118,'Coverage Indicators - Section D'!$A$1:$A$124,0)),""),"")</f>
        <v/>
      </c>
      <c r="E129" s="91" t="str">
        <f ca="1">IFERROR(IF(INDEX('Coverage Indicators - Section D'!Q$1:Q$124,MATCH($A118,'Coverage Indicators - Section D'!$A$1:$A$124,0))&lt;&gt;"",INDEX('Coverage Indicators - Section D'!Q$1:Q$124,MATCH($A118,'Coverage Indicators - Section D'!$A$1:$A$124,0)),""),"")</f>
        <v/>
      </c>
      <c r="F129" s="91" t="str">
        <f ca="1">IFERROR(IF(INDEX('Coverage Indicators - Section D'!T$1:T$124,MATCH($A118,'Coverage Indicators - Section D'!$A$1:$A$124,0))&lt;&gt;"",INDEX('Coverage Indicators - Section D'!T$1:T$124,MATCH($A118,'Coverage Indicators - Section D'!$A$1:$A$124,0)),""),"")</f>
        <v/>
      </c>
      <c r="G129" s="91" t="str">
        <f ca="1">IFERROR(IF(INDEX('Coverage Indicators - Section D'!W$1:W$124,MATCH($A118,'Coverage Indicators - Section D'!$A$1:$A$124,0))&lt;&gt;"",INDEX('Coverage Indicators - Section D'!W$1:W$124,MATCH($A118,'Coverage Indicators - Section D'!$A$1:$A$124,0)),""),"")</f>
        <v/>
      </c>
      <c r="H129" s="91" t="str">
        <f ca="1">IFERROR(IF(INDEX('Coverage Indicators - Section D'!Z$1:Z$124,MATCH($A118,'Coverage Indicators - Section D'!$A$1:$A$124,0))&lt;&gt;"",INDEX('Coverage Indicators - Section D'!Z$1:Z$124,MATCH($A118,'Coverage Indicators - Section D'!$A$1:$A$124,0)),""),"")</f>
        <v/>
      </c>
      <c r="I129" s="91" t="str">
        <f ca="1">IFERROR(IF(INDEX('Coverage Indicators - Section D'!AC$1:AC$124,MATCH($A118,'Coverage Indicators - Section D'!$A$1:$A$124,0))&lt;&gt;"",INDEX('Coverage Indicators - Section D'!AC$1:AC$124,MATCH($A118,'Coverage Indicators - Section D'!$A$1:$A$124,0)),""),"")</f>
        <v/>
      </c>
      <c r="J129" s="91" t="str">
        <f ca="1">IFERROR(IF(INDEX('Coverage Indicators - Section D'!AF$1:AF$124,MATCH($A118,'Coverage Indicators - Section D'!$A$1:$A$124,0))&lt;&gt;"",INDEX('Coverage Indicators - Section D'!AF$1:AF$124,MATCH($A118,'Coverage Indicators - Section D'!$A$1:$A$124,0)),""),"")</f>
        <v/>
      </c>
      <c r="K129" s="91" t="str">
        <f ca="1">IFERROR(IF(INDEX('Coverage Indicators - Section D'!AI$1:AI$124,MATCH($A118,'Coverage Indicators - Section D'!$A$1:$A$124,0))&lt;&gt;"",INDEX('Coverage Indicators - Section D'!AI$1:AI$124,MATCH($A118,'Coverage Indicators - Section D'!$A$1:$A$124,0)),""),"")</f>
        <v/>
      </c>
      <c r="L129" s="92"/>
    </row>
    <row r="130" spans="1:12" s="96" customFormat="1" ht="18.75" customHeight="1">
      <c r="A130" s="641"/>
      <c r="B130" s="89" t="s">
        <v>5055</v>
      </c>
      <c r="C130" s="94">
        <f>IFERROR(IF(INDEX('Coverage Indicators - Section D'!E$1:E$124,MATCH($A118,'Coverage Indicators - Section D'!$A$1:$A$124,0)+1)&lt;&gt;"",INDEX('Coverage Indicators - Section D'!E$1:E$124,MATCH($A118,'Coverage Indicators - Section D'!$A$1:$A$124,0)+1),""),"")</f>
        <v>1236</v>
      </c>
      <c r="D130" s="94" t="str">
        <f ca="1">IFERROR(IF(INDEX('Coverage Indicators - Section D'!N$1:N$124,MATCH($A118,'Coverage Indicators - Section D'!$A$1:$A$124,0)+1)&lt;&gt;"",INDEX('Coverage Indicators - Section D'!N$1:N$124,MATCH($A118,'Coverage Indicators - Section D'!$A$1:$A$124,0)+1),""),"")</f>
        <v/>
      </c>
      <c r="E130" s="94" t="str">
        <f ca="1">IFERROR(IF(INDEX('Coverage Indicators - Section D'!Q$1:Q$124,MATCH($A118,'Coverage Indicators - Section D'!$A$1:$A$124,0)+1)&lt;&gt;"",INDEX('Coverage Indicators - Section D'!Q$1:Q$124,MATCH($A118,'Coverage Indicators - Section D'!$A$1:$A$124,0)+1),""),"")</f>
        <v/>
      </c>
      <c r="F130" s="94" t="str">
        <f ca="1">IFERROR(IF(INDEX('Coverage Indicators - Section D'!T$1:T$124,MATCH($A118,'Coverage Indicators - Section D'!$A$1:$A$124,0)+1)&lt;&gt;"",INDEX('Coverage Indicators - Section D'!T$1:T$124,MATCH($A118,'Coverage Indicators - Section D'!$A$1:$A$124,0)+1),""),"")</f>
        <v/>
      </c>
      <c r="G130" s="94" t="str">
        <f ca="1">IFERROR(IF(INDEX('Coverage Indicators - Section D'!W$1:W$124,MATCH($A118,'Coverage Indicators - Section D'!$A$1:$A$124,0)+1)&lt;&gt;"",INDEX('Coverage Indicators - Section D'!W$1:W$124,MATCH($A118,'Coverage Indicators - Section D'!$A$1:$A$124,0)+1),""),"")</f>
        <v/>
      </c>
      <c r="H130" s="94" t="str">
        <f ca="1">IFERROR(IF(INDEX('Coverage Indicators - Section D'!Z$1:Z$124,MATCH($A118,'Coverage Indicators - Section D'!$A$1:$A$124,0)+1)&lt;&gt;"",INDEX('Coverage Indicators - Section D'!Z$1:Z$124,MATCH($A118,'Coverage Indicators - Section D'!$A$1:$A$124,0)+1),""),"")</f>
        <v/>
      </c>
      <c r="I130" s="94" t="str">
        <f ca="1">IFERROR(IF(INDEX('Coverage Indicators - Section D'!AC$1:AC$124,MATCH($A118,'Coverage Indicators - Section D'!$A$1:$A$124,0)+1)&lt;&gt;"",INDEX('Coverage Indicators - Section D'!AC$1:AC$124,MATCH($A118,'Coverage Indicators - Section D'!$A$1:$A$124,0)+1),""),"")</f>
        <v/>
      </c>
      <c r="J130" s="94" t="str">
        <f ca="1">IFERROR(IF(INDEX('Coverage Indicators - Section D'!AF$1:AF$124,MATCH($A118,'Coverage Indicators - Section D'!$A$1:$A$124,0)+1)&lt;&gt;"",INDEX('Coverage Indicators - Section D'!AF$1:AF$124,MATCH($A118,'Coverage Indicators - Section D'!$A$1:$A$124,0)+1),""),"")</f>
        <v/>
      </c>
      <c r="K130" s="94" t="str">
        <f ca="1">IFERROR(IF(INDEX('Coverage Indicators - Section D'!AI$1:AI$124,MATCH($A118,'Coverage Indicators - Section D'!$A$1:$A$124,0)+1)&lt;&gt;"",INDEX('Coverage Indicators - Section D'!AI$1:AI$124,MATCH($A118,'Coverage Indicators - Section D'!$A$1:$A$124,0)+1),""),"")</f>
        <v/>
      </c>
      <c r="L130" s="95"/>
    </row>
    <row r="131" spans="1:12" ht="18.75" customHeight="1">
      <c r="A131" s="641"/>
      <c r="B131" s="89" t="s">
        <v>5056</v>
      </c>
      <c r="C131" s="90" t="str">
        <f ca="1">IFERROR(IF(INDEX('Coverage Indicators - Section D'!F$1:F$124,MATCH($A118,'Coverage Indicators - Section D'!$A$1:$A$124,0))&lt;&gt;"",FIXED(INDEX('Coverage Indicators - Section D'!F$1:F$124,MATCH($A118,'Coverage Indicators - Section D'!$A$1:$A$124,0))*100,2)&amp;"%",""),"")</f>
        <v>91.02%</v>
      </c>
      <c r="D131" s="90" t="str">
        <f>IFERROR(IF(INDEX('Coverage Indicators - Section D'!O$1:O$124,MATCH($A118,'Coverage Indicators - Section D'!$A$1:$A$124,0))&lt;&gt;"",FIXED(INDEX('Coverage Indicators - Section D'!O$1:O$124,MATCH($A118,'Coverage Indicators - Section D'!$A$1:$A$124,0))*100,2)&amp;"%",""),"")&amp;CHAR(10)&amp;IFERROR(IF(INDEX('Coverage Indicators - Section D'!P$1:P$124,MATCH($A118,'Coverage Indicators - Section D'!$A$1:$A$124,0))&lt;&gt;"",INDEX('Coverage Indicators - Section D'!P$1:P$124,MATCH($A118,'Coverage Indicators - Section D'!$A$1:$A$124,0)),""),"")</f>
        <v xml:space="preserve">100.00%
</v>
      </c>
      <c r="E131" s="90" t="str">
        <f>IFERROR(IF(INDEX('Coverage Indicators - Section D'!R$1:R$124,MATCH($A118,'Coverage Indicators - Section D'!$A$1:$A$124,0))&lt;&gt;"",FIXED(INDEX('Coverage Indicators - Section D'!R$1:R$124,MATCH($A118,'Coverage Indicators - Section D'!$A$1:$A$124,0))*100,2)&amp;"%",""),"")&amp;CHAR(10)&amp;IFERROR(IF(INDEX('Coverage Indicators - Section D'!S$1:S$124,MATCH($A118,'Coverage Indicators - Section D'!$A$1:$A$124,0))&lt;&gt;"",INDEX('Coverage Indicators - Section D'!S$1:S$124,MATCH($A118,'Coverage Indicators - Section D'!$A$1:$A$124,0)),""),"")</f>
        <v xml:space="preserve">100.00%
</v>
      </c>
      <c r="F131" s="90" t="str">
        <f>IFERROR(IF(INDEX('Coverage Indicators - Section D'!U$1:U$124,MATCH($A118,'Coverage Indicators - Section D'!$A$1:$A$124,0))&lt;&gt;"",FIXED(INDEX('Coverage Indicators - Section D'!U$1:U$124,MATCH($A118,'Coverage Indicators - Section D'!$A$1:$A$124,0))*100,2)&amp;"%",""),"")&amp;CHAR(10)&amp;IFERROR(IF(INDEX('Coverage Indicators - Section D'!V$1:V$124,MATCH($A118,'Coverage Indicators - Section D'!$A$1:$A$124,0))&lt;&gt;"",INDEX('Coverage Indicators - Section D'!V$1:V$124,MATCH($A118,'Coverage Indicators - Section D'!$A$1:$A$124,0)),""),"")</f>
        <v xml:space="preserve">100.00%
</v>
      </c>
      <c r="G131" s="90" t="str">
        <f>IFERROR(IF(INDEX('Coverage Indicators - Section D'!X$1:X$124,MATCH($A118,'Coverage Indicators - Section D'!$A$1:$A$124,0))&lt;&gt;"",FIXED(INDEX('Coverage Indicators - Section D'!X$1:X$124,MATCH($A118,'Coverage Indicators - Section D'!$A$1:$A$124,0))*100,2)&amp;"%",""),"")&amp;CHAR(10)&amp;IFERROR(IF(INDEX('Coverage Indicators - Section D'!Y$1:Y$124,MATCH($A118,'Coverage Indicators - Section D'!$A$1:$A$124,0))&lt;&gt;"",INDEX('Coverage Indicators - Section D'!Y$1:Y$124,MATCH($A118,'Coverage Indicators - Section D'!$A$1:$A$124,0)),""),"")</f>
        <v xml:space="preserve">100.00%
</v>
      </c>
      <c r="H131" s="90" t="str">
        <f>IFERROR(IF(INDEX('Coverage Indicators - Section D'!AA$1:AA$124,MATCH(A118,'Coverage Indicators - Section D'!$A$1:$A$124,0))&lt;&gt;"",FIXED(INDEX('Coverage Indicators - Section D'!AA$1:AA$124,MATCH($A118,'Coverage Indicators - Section D'!$A$1:$A$124,0))*100,2)&amp;"%",""),"")&amp;CHAR(10)&amp;IFERROR(IF(INDEX('Coverage Indicators - Section D'!AB$1:AB$124,MATCH($A118,'Coverage Indicators - Section D'!$A$1:$A$124,0))&lt;&gt;"",INDEX('Coverage Indicators - Section D'!AB$1:AB$124,MATCH($A118,'Coverage Indicators - Section D'!$A$1:$A$124,0)),""),"")</f>
        <v xml:space="preserve">100.00%
</v>
      </c>
      <c r="I131" s="90" t="str">
        <f>IFERROR(IF(INDEX('Coverage Indicators - Section D'!AD$1:AD$124,MATCH($A118,'Coverage Indicators - Section D'!$A$1:$A$124,0))&lt;&gt;"",FIXED(INDEX('Coverage Indicators - Section D'!AD$1:AD$124,MATCH($A118,'Coverage Indicators - Section D'!$A$1:$A$124,0))*100,2)&amp;"%",""),"")&amp;CHAR(10)&amp;IFERROR(IF(INDEX('Coverage Indicators - Section D'!AE$1:AE$124,MATCH($A118,'Coverage Indicators - Section D'!$A$1:$A$124,0))&lt;&gt;"",INDEX('Coverage Indicators - Section D'!AE$1:AE$124,MATCH($A118,'Coverage Indicators - Section D'!$A$1:$A$124,0)),""),"")</f>
        <v xml:space="preserve">100.00%
</v>
      </c>
      <c r="J131" s="90" t="str">
        <f>IFERROR(IF(INDEX('Coverage Indicators - Section D'!AG$1:AG$124,MATCH($A118,'Coverage Indicators - Section D'!$A$1:$A$124,0))&lt;&gt;"",FIXED(INDEX('Coverage Indicators - Section D'!AG$1:AG$124,MATCH($A118,'Coverage Indicators - Section D'!$A$1:$A$124,0))*100,2)&amp;"%",""),"")&amp;CHAR(10)&amp;IFERROR(IF(INDEX('Coverage Indicators - Section D'!AH$1:AH$124,MATCH($A118,'Coverage Indicators - Section D'!$A$1:$A$124,0))&lt;&gt;"",INDEX('Coverage Indicators - Section D'!AH$1:AH$124,MATCH($A118,'Coverage Indicators - Section D'!$A$1:$A$124,0)),""),"")</f>
        <v xml:space="preserve">
</v>
      </c>
      <c r="K131" s="90" t="str">
        <f>IFERROR(IF(INDEX('Coverage Indicators - Section D'!AJ$1:AJ$124,MATCH($A118,'Coverage Indicators - Section D'!$A$1:$A$124,0))&lt;&gt;"",FIXED(INDEX('Coverage Indicators - Section D'!AJ$1:AJ$124,MATCH($A118,'Coverage Indicators - Section D'!$A$1:$A$124,0))*100,2)&amp;"%",""),"")&amp;CHAR(10)&amp;IFERROR(IF(INDEX('Coverage Indicators - Section D'!AK$1:AK$124,MATCH($A118,'Coverage Indicators - Section D'!$A$1:$A$124,0))&lt;&gt;"",INDEX('Coverage Indicators - Section D'!AK$1:AK$124,MATCH($A118,'Coverage Indicators - Section D'!$A$1:$A$124,0)),""),"")</f>
        <v xml:space="preserve">
</v>
      </c>
      <c r="L131" s="82"/>
    </row>
    <row r="132" spans="1:12" ht="18.75" customHeight="1">
      <c r="A132" s="641"/>
      <c r="B132" s="625" t="s">
        <v>176</v>
      </c>
      <c r="C132" s="626"/>
      <c r="D132" s="626"/>
      <c r="E132" s="626"/>
      <c r="F132" s="626"/>
      <c r="G132" s="626"/>
      <c r="H132" s="626"/>
      <c r="I132" s="626"/>
      <c r="J132" s="626"/>
      <c r="K132" s="630"/>
      <c r="L132" s="82"/>
    </row>
    <row r="133" spans="1:12" ht="18.75" customHeight="1">
      <c r="A133" s="641"/>
      <c r="B133" s="634" t="str">
        <f>IFERROR(IF(INDEX('Coverage Indicators - Section D'!AL$1:AL$134,MATCH($A118,'Coverage Indicators - Section D'!$A$1:$A$134,0))&lt;&gt;0,INDEX('Coverage Indicators - Section D'!AL$1:AL$134,MATCH($A118,'Coverage Indicators - Section D'!$A$1:$A$134,0)),""),"")</f>
        <v>By 2021, the country will have treated 91% of detected cases of MDR-TB. In the NSP, the program foresees an extension of the decentralization of the management with a revitalization of the provincial MDR-TB committees with a particular emphasis on the importance of the rapid enrolment of the totality of the cases detected, i.e., 2322 in 2024, 2978 in 2025 and 3799 in 2026. The targets for the enrolment on treatment are aligned with those of the DR-TB2 indicator.</v>
      </c>
      <c r="C133" s="635"/>
      <c r="D133" s="635"/>
      <c r="E133" s="635"/>
      <c r="F133" s="635"/>
      <c r="G133" s="635"/>
      <c r="H133" s="635"/>
      <c r="I133" s="635"/>
      <c r="J133" s="635"/>
      <c r="K133" s="636"/>
      <c r="L133" s="82"/>
    </row>
    <row r="134" spans="1:12" ht="18.75" customHeight="1">
      <c r="A134" s="641"/>
      <c r="B134" s="643"/>
      <c r="C134" s="644"/>
      <c r="D134" s="644"/>
      <c r="E134" s="644"/>
      <c r="F134" s="644"/>
      <c r="G134" s="644"/>
      <c r="H134" s="644"/>
      <c r="I134" s="644"/>
      <c r="J134" s="644"/>
      <c r="K134" s="645"/>
      <c r="L134" s="82"/>
    </row>
    <row r="135" spans="1:12" ht="18.75" customHeight="1">
      <c r="A135" s="641"/>
      <c r="B135" s="643"/>
      <c r="C135" s="644"/>
      <c r="D135" s="644"/>
      <c r="E135" s="644"/>
      <c r="F135" s="644"/>
      <c r="G135" s="644"/>
      <c r="H135" s="644"/>
      <c r="I135" s="644"/>
      <c r="J135" s="644"/>
      <c r="K135" s="645"/>
      <c r="L135" s="82"/>
    </row>
    <row r="136" spans="1:12" ht="18.75" customHeight="1">
      <c r="A136" s="641"/>
      <c r="B136" s="643"/>
      <c r="C136" s="644"/>
      <c r="D136" s="644"/>
      <c r="E136" s="644"/>
      <c r="F136" s="644"/>
      <c r="G136" s="644"/>
      <c r="H136" s="644"/>
      <c r="I136" s="644"/>
      <c r="J136" s="644"/>
      <c r="K136" s="645"/>
      <c r="L136" s="82"/>
    </row>
    <row r="137" spans="1:12" ht="18.75" customHeight="1">
      <c r="A137" s="641"/>
      <c r="B137" s="643"/>
      <c r="C137" s="644"/>
      <c r="D137" s="644"/>
      <c r="E137" s="644"/>
      <c r="F137" s="644"/>
      <c r="G137" s="644"/>
      <c r="H137" s="644"/>
      <c r="I137" s="644"/>
      <c r="J137" s="644"/>
      <c r="K137" s="645"/>
      <c r="L137" s="82"/>
    </row>
    <row r="138" spans="1:12" ht="18.75" customHeight="1">
      <c r="A138" s="641"/>
      <c r="B138" s="643"/>
      <c r="C138" s="644"/>
      <c r="D138" s="644"/>
      <c r="E138" s="644"/>
      <c r="F138" s="644"/>
      <c r="G138" s="644"/>
      <c r="H138" s="644"/>
      <c r="I138" s="644"/>
      <c r="J138" s="644"/>
      <c r="K138" s="645"/>
      <c r="L138" s="82"/>
    </row>
    <row r="139" spans="1:12" ht="18.75" customHeight="1">
      <c r="A139" s="641"/>
      <c r="B139" s="643"/>
      <c r="C139" s="644"/>
      <c r="D139" s="644"/>
      <c r="E139" s="644"/>
      <c r="F139" s="644"/>
      <c r="G139" s="644"/>
      <c r="H139" s="644"/>
      <c r="I139" s="644"/>
      <c r="J139" s="644"/>
      <c r="K139" s="645"/>
      <c r="L139" s="82"/>
    </row>
    <row r="140" spans="1:12" ht="18.75" customHeight="1">
      <c r="A140" s="641"/>
      <c r="B140" s="643"/>
      <c r="C140" s="644"/>
      <c r="D140" s="644"/>
      <c r="E140" s="644"/>
      <c r="F140" s="644"/>
      <c r="G140" s="644"/>
      <c r="H140" s="644"/>
      <c r="I140" s="644"/>
      <c r="J140" s="644"/>
      <c r="K140" s="645"/>
      <c r="L140" s="82"/>
    </row>
    <row r="141" spans="1:12" ht="18.75" customHeight="1">
      <c r="A141" s="641"/>
      <c r="B141" s="643"/>
      <c r="C141" s="644"/>
      <c r="D141" s="644"/>
      <c r="E141" s="644"/>
      <c r="F141" s="644"/>
      <c r="G141" s="644"/>
      <c r="H141" s="644"/>
      <c r="I141" s="644"/>
      <c r="J141" s="644"/>
      <c r="K141" s="645"/>
      <c r="L141" s="82"/>
    </row>
    <row r="142" spans="1:12" ht="18.75" customHeight="1">
      <c r="A142" s="642"/>
      <c r="B142" s="637"/>
      <c r="C142" s="638"/>
      <c r="D142" s="638"/>
      <c r="E142" s="638"/>
      <c r="F142" s="638"/>
      <c r="G142" s="638"/>
      <c r="H142" s="638"/>
      <c r="I142" s="638"/>
      <c r="J142" s="638"/>
      <c r="K142" s="639"/>
      <c r="L142" s="82"/>
    </row>
    <row r="143" spans="1:12" ht="18.75" customHeight="1">
      <c r="A143" s="625"/>
      <c r="B143" s="626"/>
      <c r="C143" s="626"/>
      <c r="D143" s="626"/>
      <c r="E143" s="626"/>
      <c r="F143" s="626"/>
      <c r="G143" s="626"/>
      <c r="H143" s="626"/>
      <c r="I143" s="626"/>
      <c r="J143" s="626"/>
      <c r="K143" s="630"/>
      <c r="L143" s="82"/>
    </row>
    <row r="145" spans="1:12" ht="18.75" customHeight="1">
      <c r="A145" s="89" t="s">
        <v>5051</v>
      </c>
      <c r="B145" s="625" t="s">
        <v>1077</v>
      </c>
      <c r="C145" s="630"/>
      <c r="D145" s="631" t="str">
        <f ca="1">IFERROR(IF(INDEX('Coverage Indicators - Section D'!B$1:B$124,MATCH($A146,'Coverage Indicators - Section D'!$A$1:$A$124,0))&lt;&gt;0,INDEX('Coverage Indicators - Section D'!B$1:B$124,MATCH($A146,'Coverage Indicators - Section D'!$A$1:$A$124,0)),""),"")</f>
        <v>TB/DR-TB Prevention</v>
      </c>
      <c r="E145" s="632"/>
      <c r="F145" s="632"/>
      <c r="G145" s="632"/>
      <c r="H145" s="632"/>
      <c r="I145" s="632"/>
      <c r="J145" s="632"/>
      <c r="K145" s="633"/>
      <c r="L145" s="82"/>
    </row>
    <row r="146" spans="1:12" ht="18.75" customHeight="1">
      <c r="A146" s="640">
        <v>6</v>
      </c>
      <c r="B146" s="625" t="s">
        <v>765</v>
      </c>
      <c r="C146" s="626"/>
      <c r="D146" s="626"/>
      <c r="E146" s="626"/>
      <c r="F146" s="630"/>
      <c r="G146" s="625" t="s">
        <v>766</v>
      </c>
      <c r="H146" s="626"/>
      <c r="I146" s="626"/>
      <c r="J146" s="626"/>
      <c r="K146" s="630"/>
      <c r="L146" s="82"/>
    </row>
    <row r="147" spans="1:12" ht="18.75" customHeight="1">
      <c r="A147" s="641"/>
      <c r="B147" s="634" t="str">
        <f>IFERROR(IF(INDEX('Coverage Indicators - Section D'!C$1:C$124,MATCH($A146,'Coverage Indicators - Section D'!$A$1:$A$124,0))&lt;&gt;0,INDEX('Coverage Indicators - Section D'!C$1:C$124,MATCH($A146,'Coverage Indicators - Section D'!$A$1:$A$124,0)),""),"")</f>
        <v>TBP-1 Number of people in contact with TB patients who began preventive therapy</v>
      </c>
      <c r="C147" s="635"/>
      <c r="D147" s="635"/>
      <c r="E147" s="635"/>
      <c r="F147" s="636"/>
      <c r="G147" s="634" t="str">
        <f>IFERROR(IF(INDEX('Coverage Indicators - Section D'!D$1:D$124,MATCH($A146,'Coverage Indicators - Section D'!$A$1:$A$124,0))&lt;&gt;0,INDEX('Coverage Indicators - Section D'!D$1:D$124,MATCH($A146,'Coverage Indicators - Section D'!$A$1:$A$124,0)),""),"")</f>
        <v/>
      </c>
      <c r="H147" s="635"/>
      <c r="I147" s="635"/>
      <c r="J147" s="635"/>
      <c r="K147" s="636"/>
      <c r="L147" s="82"/>
    </row>
    <row r="148" spans="1:12" ht="18.75" customHeight="1">
      <c r="A148" s="641"/>
      <c r="B148" s="643"/>
      <c r="C148" s="644"/>
      <c r="D148" s="644"/>
      <c r="E148" s="644"/>
      <c r="F148" s="645"/>
      <c r="G148" s="643"/>
      <c r="H148" s="644"/>
      <c r="I148" s="644"/>
      <c r="J148" s="644"/>
      <c r="K148" s="645"/>
      <c r="L148" s="82"/>
    </row>
    <row r="149" spans="1:12" ht="18.75" customHeight="1">
      <c r="A149" s="641"/>
      <c r="B149" s="637"/>
      <c r="C149" s="638"/>
      <c r="D149" s="638"/>
      <c r="E149" s="638"/>
      <c r="F149" s="639"/>
      <c r="G149" s="637"/>
      <c r="H149" s="638"/>
      <c r="I149" s="638"/>
      <c r="J149" s="638"/>
      <c r="K149" s="639"/>
      <c r="L149" s="82"/>
    </row>
    <row r="150" spans="1:12" ht="18.75" customHeight="1">
      <c r="A150" s="641"/>
      <c r="B150" s="625" t="s">
        <v>769</v>
      </c>
      <c r="C150" s="626"/>
      <c r="D150" s="630"/>
      <c r="E150" s="625" t="s">
        <v>216</v>
      </c>
      <c r="F150" s="626"/>
      <c r="G150" s="630"/>
      <c r="H150" s="625" t="s">
        <v>127</v>
      </c>
      <c r="I150" s="626"/>
      <c r="J150" s="630"/>
      <c r="K150" s="89" t="s">
        <v>2204</v>
      </c>
      <c r="L150" s="82"/>
    </row>
    <row r="151" spans="1:12" ht="18.75" customHeight="1">
      <c r="A151" s="641"/>
      <c r="B151" s="631" t="str">
        <f>IFERROR(IF(INDEX('Coverage Indicators - Section D'!I$9:I$92,MATCH($A146,'Coverage Indicators - Section D'!$A$9:$A$92,0))&lt;&gt;0,INDEX('Coverage Indicators - Section D'!I$9:I$92,MATCH($A146,'Coverage Indicators - Section D'!$A$9:$A$92,0)),""),"")</f>
        <v>HIV status,Provider type,Age,TPT regimen</v>
      </c>
      <c r="C151" s="632"/>
      <c r="D151" s="633"/>
      <c r="E151" s="631" t="str">
        <f>IFERROR(IF(INDEX('Coverage Indicators - Section D'!M$1:M$124,MATCH($A146,'Coverage Indicators - Section D'!$A$1:$A$124,0))&lt;&gt;0,INDEX('Coverage Indicators - Section D'!M$1:M$124,MATCH($A146,'Coverage Indicators - Section D'!$A$1:$A$124,0)),""),"")</f>
        <v>Non cumulative</v>
      </c>
      <c r="F151" s="632"/>
      <c r="G151" s="633"/>
      <c r="H151" s="631" t="str">
        <f>IFERROR(IF(INDEX('Coverage Indicators - Section D'!L$1:L$124,MATCH($A146,'Coverage Indicators - Section D'!$A$1:$A$124,0))&lt;&gt;0,INDEX('Coverage Indicators - Section D'!L$1:L$124,MATCH($A146,'Coverage Indicators - Section D'!$A$1:$A$124,0)),""),"")</f>
        <v>Congo (Democratic Republic)</v>
      </c>
      <c r="I151" s="632"/>
      <c r="J151" s="633"/>
      <c r="K151" s="90" t="str">
        <f>IFERROR(IF(INDEX('Coverage Indicators - Section D'!J$1:J$124,MATCH($A146,'Coverage Indicators - Section D'!$A$1:$A$124,0))&lt;&gt;0,INDEX('Coverage Indicators - Section D'!J$1:J$124,MATCH($A146,'Coverage Indicators - Section D'!$A$1:$A$124,0)),""),"")</f>
        <v>Yes</v>
      </c>
      <c r="L151" s="82"/>
    </row>
    <row r="152" spans="1:12" ht="18.75" customHeight="1">
      <c r="A152" s="641"/>
      <c r="B152" s="625" t="s">
        <v>199</v>
      </c>
      <c r="C152" s="626"/>
      <c r="D152" s="630"/>
      <c r="E152" s="625" t="s">
        <v>5060</v>
      </c>
      <c r="F152" s="626"/>
      <c r="G152" s="630"/>
      <c r="H152" s="625" t="s">
        <v>120</v>
      </c>
      <c r="I152" s="626"/>
      <c r="J152" s="626"/>
      <c r="K152" s="630"/>
      <c r="L152" s="82"/>
    </row>
    <row r="153" spans="1:12" ht="18.75" customHeight="1">
      <c r="A153" s="641"/>
      <c r="B153" s="634" t="str">
        <f>IFERROR(IF(INDEX('Coverage Indicators - Section D'!H$1:H$124,MATCH($A146,'Coverage Indicators - Section D'!$A$1:$A$124,0))&lt;&gt;0,INDEX('Coverage Indicators - Section D'!H$1:H$124,MATCH($A146,'Coverage Indicators - Section D'!$A$1:$A$124,0)),""),"")</f>
        <v>WHO TB Global Report 2022</v>
      </c>
      <c r="C153" s="635"/>
      <c r="D153" s="636"/>
      <c r="E153" s="634" t="str">
        <f>IFERROR(IF(INDEX('Coverage Indicators - Section D'!L$1:L$124,MATCH($A146,'Coverage Indicators - Section D'!$A$1:$A$124,0)+1)&lt;&gt;0,INDEX('Coverage Indicators - Section D'!L$1:L$124,MATCH($A146,'Coverage Indicators - Section D'!$A$1:$A$124,0)+1),""),"")</f>
        <v>Geographic National, 100% of national program target</v>
      </c>
      <c r="F153" s="635"/>
      <c r="G153" s="636"/>
      <c r="H153" s="634" t="str">
        <f ca="1">IFERROR(IF(AND('Overview - Section A'!AS$1="Grant Making",OR(B147&lt;&gt;"",G147&lt;&gt;"")),Setup!I15,IF(INDEX('Coverage Indicators - Section D'!K$1:K$124,MATCH($A146,'Coverage Indicators - Section D'!$A$1:$A$124,0))&lt;&gt;0,INDEX('Coverage Indicators - Section D'!K$1:K$124,MATCH($A146,'Coverage Indicators - Section D'!$A$1:$A$124,0)),"")),"")</f>
        <v>Ministry of Public Health, Hygiene and Prevention</v>
      </c>
      <c r="I153" s="635"/>
      <c r="J153" s="635"/>
      <c r="K153" s="636"/>
      <c r="L153" s="82"/>
    </row>
    <row r="154" spans="1:12" ht="18.75" customHeight="1">
      <c r="A154" s="641"/>
      <c r="B154" s="637"/>
      <c r="C154" s="638"/>
      <c r="D154" s="639"/>
      <c r="E154" s="637"/>
      <c r="F154" s="638"/>
      <c r="G154" s="639"/>
      <c r="H154" s="637"/>
      <c r="I154" s="638"/>
      <c r="J154" s="638"/>
      <c r="K154" s="639"/>
      <c r="L154" s="82"/>
    </row>
    <row r="155" spans="1:12" ht="18.75" customHeight="1">
      <c r="A155" s="641"/>
      <c r="B155" s="89"/>
      <c r="C155" s="89" t="s">
        <v>5052</v>
      </c>
      <c r="D155" s="625" t="s">
        <v>5053</v>
      </c>
      <c r="E155" s="626"/>
      <c r="F155" s="626"/>
      <c r="G155" s="626"/>
      <c r="H155" s="626"/>
      <c r="I155" s="626"/>
      <c r="J155" s="626"/>
      <c r="K155" s="630"/>
      <c r="L155" s="82"/>
    </row>
    <row r="156" spans="1:12" ht="18.75" customHeight="1">
      <c r="A156" s="641"/>
      <c r="B156" s="89" t="s">
        <v>2589</v>
      </c>
      <c r="C156" s="90">
        <f>IFERROR(IF(INDEX('Coverage Indicators - Section D'!G$1:G$124,MATCH($A146,'Coverage Indicators - Section D'!$A$1:$A$124,0))&lt;&gt;0,INDEX('Coverage Indicators - Section D'!G$1:G$124,MATCH($A146,'Coverage Indicators - Section D'!$A$1:$A$124,0)),""),"")</f>
        <v>2021</v>
      </c>
      <c r="D156"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156"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156"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156"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156"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156"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156"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156"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156" s="82"/>
    </row>
    <row r="157" spans="1:12" s="93" customFormat="1" ht="18.75" customHeight="1">
      <c r="A157" s="641"/>
      <c r="B157" s="89" t="s">
        <v>5054</v>
      </c>
      <c r="C157" s="91">
        <f>IFERROR(IF(INDEX('Coverage Indicators - Section D'!E$1:E$124,MATCH($A146,'Coverage Indicators - Section D'!$A$1:$A$124,0))&lt;&gt;"",INDEX('Coverage Indicators - Section D'!E$1:E$124,MATCH($A146,'Coverage Indicators - Section D'!$A$1:$A$124,0)),""),"")</f>
        <v>59006</v>
      </c>
      <c r="D157" s="91">
        <f ca="1">IFERROR(IF(INDEX('Coverage Indicators - Section D'!N$1:N$124,MATCH($A146,'Coverage Indicators - Section D'!$A$1:$A$124,0))&lt;&gt;"",INDEX('Coverage Indicators - Section D'!N$1:N$124,MATCH($A146,'Coverage Indicators - Section D'!$A$1:$A$124,0)),""),"")</f>
        <v>37290.5</v>
      </c>
      <c r="E157" s="91">
        <f ca="1">IFERROR(IF(INDEX('Coverage Indicators - Section D'!Q$1:Q$124,MATCH($A146,'Coverage Indicators - Section D'!$A$1:$A$124,0))&lt;&gt;"",INDEX('Coverage Indicators - Section D'!Q$1:Q$124,MATCH($A146,'Coverage Indicators - Section D'!$A$1:$A$124,0)),""),"")</f>
        <v>37290.5</v>
      </c>
      <c r="F157" s="91">
        <f ca="1">IFERROR(IF(INDEX('Coverage Indicators - Section D'!T$1:T$124,MATCH($A146,'Coverage Indicators - Section D'!$A$1:$A$124,0))&lt;&gt;"",INDEX('Coverage Indicators - Section D'!T$1:T$124,MATCH($A146,'Coverage Indicators - Section D'!$A$1:$A$124,0)),""),"")</f>
        <v>48975</v>
      </c>
      <c r="G157" s="91">
        <f ca="1">IFERROR(IF(INDEX('Coverage Indicators - Section D'!W$1:W$124,MATCH($A146,'Coverage Indicators - Section D'!$A$1:$A$124,0))&lt;&gt;"",INDEX('Coverage Indicators - Section D'!W$1:W$124,MATCH($A146,'Coverage Indicators - Section D'!$A$1:$A$124,0)),""),"")</f>
        <v>48975</v>
      </c>
      <c r="H157" s="91">
        <f ca="1">IFERROR(IF(INDEX('Coverage Indicators - Section D'!Z$1:Z$124,MATCH($A146,'Coverage Indicators - Section D'!$A$1:$A$124,0))&lt;&gt;"",INDEX('Coverage Indicators - Section D'!Z$1:Z$124,MATCH($A146,'Coverage Indicators - Section D'!$A$1:$A$124,0)),""),"")</f>
        <v>59005.5</v>
      </c>
      <c r="I157" s="91">
        <f ca="1">IFERROR(IF(INDEX('Coverage Indicators - Section D'!AC$1:AC$124,MATCH($A146,'Coverage Indicators - Section D'!$A$1:$A$124,0))&lt;&gt;"",INDEX('Coverage Indicators - Section D'!AC$1:AC$124,MATCH($A146,'Coverage Indicators - Section D'!$A$1:$A$124,0)),""),"")</f>
        <v>59005.5</v>
      </c>
      <c r="J157" s="91" t="str">
        <f ca="1">IFERROR(IF(INDEX('Coverage Indicators - Section D'!AF$1:AF$124,MATCH($A146,'Coverage Indicators - Section D'!$A$1:$A$124,0))&lt;&gt;"",INDEX('Coverage Indicators - Section D'!AF$1:AF$124,MATCH($A146,'Coverage Indicators - Section D'!$A$1:$A$124,0)),""),"")</f>
        <v/>
      </c>
      <c r="K157" s="91" t="str">
        <f ca="1">IFERROR(IF(INDEX('Coverage Indicators - Section D'!AI$1:AI$124,MATCH($A146,'Coverage Indicators - Section D'!$A$1:$A$124,0))&lt;&gt;"",INDEX('Coverage Indicators - Section D'!AI$1:AI$124,MATCH($A146,'Coverage Indicators - Section D'!$A$1:$A$124,0)),""),"")</f>
        <v/>
      </c>
      <c r="L157" s="92"/>
    </row>
    <row r="158" spans="1:12" s="96" customFormat="1" ht="18.75" customHeight="1">
      <c r="A158" s="641"/>
      <c r="B158" s="89" t="s">
        <v>5055</v>
      </c>
      <c r="C158" s="94" t="str">
        <f>IFERROR(IF(INDEX('Coverage Indicators - Section D'!E$1:E$124,MATCH($A146,'Coverage Indicators - Section D'!$A$1:$A$124,0)+1)&lt;&gt;"",INDEX('Coverage Indicators - Section D'!E$1:E$124,MATCH($A146,'Coverage Indicators - Section D'!$A$1:$A$124,0)+1),""),"")</f>
        <v/>
      </c>
      <c r="D158" s="94" t="str">
        <f ca="1">IFERROR(IF(INDEX('Coverage Indicators - Section D'!N$1:N$124,MATCH($A146,'Coverage Indicators - Section D'!$A$1:$A$124,0)+1)&lt;&gt;"",INDEX('Coverage Indicators - Section D'!N$1:N$124,MATCH($A146,'Coverage Indicators - Section D'!$A$1:$A$124,0)+1),""),"")</f>
        <v/>
      </c>
      <c r="E158" s="94" t="str">
        <f ca="1">IFERROR(IF(INDEX('Coverage Indicators - Section D'!Q$1:Q$124,MATCH($A146,'Coverage Indicators - Section D'!$A$1:$A$124,0)+1)&lt;&gt;"",INDEX('Coverage Indicators - Section D'!Q$1:Q$124,MATCH($A146,'Coverage Indicators - Section D'!$A$1:$A$124,0)+1),""),"")</f>
        <v/>
      </c>
      <c r="F158" s="94" t="str">
        <f ca="1">IFERROR(IF(INDEX('Coverage Indicators - Section D'!T$1:T$124,MATCH($A146,'Coverage Indicators - Section D'!$A$1:$A$124,0)+1)&lt;&gt;"",INDEX('Coverage Indicators - Section D'!T$1:T$124,MATCH($A146,'Coverage Indicators - Section D'!$A$1:$A$124,0)+1),""),"")</f>
        <v/>
      </c>
      <c r="G158" s="94" t="str">
        <f ca="1">IFERROR(IF(INDEX('Coverage Indicators - Section D'!W$1:W$124,MATCH($A146,'Coverage Indicators - Section D'!$A$1:$A$124,0)+1)&lt;&gt;"",INDEX('Coverage Indicators - Section D'!W$1:W$124,MATCH($A146,'Coverage Indicators - Section D'!$A$1:$A$124,0)+1),""),"")</f>
        <v/>
      </c>
      <c r="H158" s="94" t="str">
        <f ca="1">IFERROR(IF(INDEX('Coverage Indicators - Section D'!Z$1:Z$124,MATCH($A146,'Coverage Indicators - Section D'!$A$1:$A$124,0)+1)&lt;&gt;"",INDEX('Coverage Indicators - Section D'!Z$1:Z$124,MATCH($A146,'Coverage Indicators - Section D'!$A$1:$A$124,0)+1),""),"")</f>
        <v/>
      </c>
      <c r="I158" s="94" t="str">
        <f ca="1">IFERROR(IF(INDEX('Coverage Indicators - Section D'!AC$1:AC$124,MATCH($A146,'Coverage Indicators - Section D'!$A$1:$A$124,0)+1)&lt;&gt;"",INDEX('Coverage Indicators - Section D'!AC$1:AC$124,MATCH($A146,'Coverage Indicators - Section D'!$A$1:$A$124,0)+1),""),"")</f>
        <v/>
      </c>
      <c r="J158" s="94" t="str">
        <f ca="1">IFERROR(IF(INDEX('Coverage Indicators - Section D'!AF$1:AF$124,MATCH($A146,'Coverage Indicators - Section D'!$A$1:$A$124,0)+1)&lt;&gt;"",INDEX('Coverage Indicators - Section D'!AF$1:AF$124,MATCH($A146,'Coverage Indicators - Section D'!$A$1:$A$124,0)+1),""),"")</f>
        <v/>
      </c>
      <c r="K158" s="94" t="str">
        <f ca="1">IFERROR(IF(INDEX('Coverage Indicators - Section D'!AI$1:AI$124,MATCH($A146,'Coverage Indicators - Section D'!$A$1:$A$124,0)+1)&lt;&gt;"",INDEX('Coverage Indicators - Section D'!AI$1:AI$124,MATCH($A146,'Coverage Indicators - Section D'!$A$1:$A$124,0)+1),""),"")</f>
        <v/>
      </c>
      <c r="L158" s="95"/>
    </row>
    <row r="159" spans="1:12" ht="18.75" customHeight="1">
      <c r="A159" s="641"/>
      <c r="B159" s="89" t="s">
        <v>5056</v>
      </c>
      <c r="C159" s="90" t="str">
        <f ca="1">IFERROR(IF(INDEX('Coverage Indicators - Section D'!F$1:F$124,MATCH($A146,'Coverage Indicators - Section D'!$A$1:$A$124,0))&lt;&gt;"",FIXED(INDEX('Coverage Indicators - Section D'!F$1:F$124,MATCH($A146,'Coverage Indicators - Section D'!$A$1:$A$124,0))*100,2)&amp;"%",""),"")</f>
        <v/>
      </c>
      <c r="D159" s="90" t="str">
        <f>IFERROR(IF(INDEX('Coverage Indicators - Section D'!O$1:O$124,MATCH($A146,'Coverage Indicators - Section D'!$A$1:$A$124,0))&lt;&gt;"",FIXED(INDEX('Coverage Indicators - Section D'!O$1:O$124,MATCH($A146,'Coverage Indicators - Section D'!$A$1:$A$124,0))*100,2)&amp;"%",""),"")&amp;CHAR(10)&amp;IFERROR(IF(INDEX('Coverage Indicators - Section D'!P$1:P$124,MATCH($A146,'Coverage Indicators - Section D'!$A$1:$A$124,0))&lt;&gt;"",INDEX('Coverage Indicators - Section D'!P$1:P$124,MATCH($A146,'Coverage Indicators - Section D'!$A$1:$A$124,0)),""),"")</f>
        <v xml:space="preserve">
</v>
      </c>
      <c r="E159" s="90" t="str">
        <f>IFERROR(IF(INDEX('Coverage Indicators - Section D'!R$1:R$124,MATCH($A146,'Coverage Indicators - Section D'!$A$1:$A$124,0))&lt;&gt;"",FIXED(INDEX('Coverage Indicators - Section D'!R$1:R$124,MATCH($A146,'Coverage Indicators - Section D'!$A$1:$A$124,0))*100,2)&amp;"%",""),"")&amp;CHAR(10)&amp;IFERROR(IF(INDEX('Coverage Indicators - Section D'!S$1:S$124,MATCH($A146,'Coverage Indicators - Section D'!$A$1:$A$124,0))&lt;&gt;"",INDEX('Coverage Indicators - Section D'!S$1:S$124,MATCH($A146,'Coverage Indicators - Section D'!$A$1:$A$124,0)),""),"")</f>
        <v xml:space="preserve">
</v>
      </c>
      <c r="F159" s="90" t="str">
        <f>IFERROR(IF(INDEX('Coverage Indicators - Section D'!U$1:U$124,MATCH($A146,'Coverage Indicators - Section D'!$A$1:$A$124,0))&lt;&gt;"",FIXED(INDEX('Coverage Indicators - Section D'!U$1:U$124,MATCH($A146,'Coverage Indicators - Section D'!$A$1:$A$124,0))*100,2)&amp;"%",""),"")&amp;CHAR(10)&amp;IFERROR(IF(INDEX('Coverage Indicators - Section D'!V$1:V$124,MATCH($A146,'Coverage Indicators - Section D'!$A$1:$A$124,0))&lt;&gt;"",INDEX('Coverage Indicators - Section D'!V$1:V$124,MATCH($A146,'Coverage Indicators - Section D'!$A$1:$A$124,0)),""),"")</f>
        <v xml:space="preserve">
</v>
      </c>
      <c r="G159" s="90" t="str">
        <f>IFERROR(IF(INDEX('Coverage Indicators - Section D'!X$1:X$124,MATCH($A146,'Coverage Indicators - Section D'!$A$1:$A$124,0))&lt;&gt;"",FIXED(INDEX('Coverage Indicators - Section D'!X$1:X$124,MATCH($A146,'Coverage Indicators - Section D'!$A$1:$A$124,0))*100,2)&amp;"%",""),"")&amp;CHAR(10)&amp;IFERROR(IF(INDEX('Coverage Indicators - Section D'!Y$1:Y$124,MATCH($A146,'Coverage Indicators - Section D'!$A$1:$A$124,0))&lt;&gt;"",INDEX('Coverage Indicators - Section D'!Y$1:Y$124,MATCH($A146,'Coverage Indicators - Section D'!$A$1:$A$124,0)),""),"")</f>
        <v xml:space="preserve">
</v>
      </c>
      <c r="H159" s="90" t="str">
        <f>IFERROR(IF(INDEX('Coverage Indicators - Section D'!AA$1:AA$124,MATCH(A146,'Coverage Indicators - Section D'!$A$1:$A$124,0))&lt;&gt;"",FIXED(INDEX('Coverage Indicators - Section D'!AA$1:AA$124,MATCH($A146,'Coverage Indicators - Section D'!$A$1:$A$124,0))*100,2)&amp;"%",""),"")&amp;CHAR(10)&amp;IFERROR(IF(INDEX('Coverage Indicators - Section D'!AB$1:AB$124,MATCH($A146,'Coverage Indicators - Section D'!$A$1:$A$124,0))&lt;&gt;"",INDEX('Coverage Indicators - Section D'!AB$1:AB$124,MATCH($A146,'Coverage Indicators - Section D'!$A$1:$A$124,0)),""),"")</f>
        <v xml:space="preserve">
</v>
      </c>
      <c r="I159" s="90" t="str">
        <f>IFERROR(IF(INDEX('Coverage Indicators - Section D'!AD$1:AD$124,MATCH($A146,'Coverage Indicators - Section D'!$A$1:$A$124,0))&lt;&gt;"",FIXED(INDEX('Coverage Indicators - Section D'!AD$1:AD$124,MATCH($A146,'Coverage Indicators - Section D'!$A$1:$A$124,0))*100,2)&amp;"%",""),"")&amp;CHAR(10)&amp;IFERROR(IF(INDEX('Coverage Indicators - Section D'!AE$1:AE$124,MATCH($A146,'Coverage Indicators - Section D'!$A$1:$A$124,0))&lt;&gt;"",INDEX('Coverage Indicators - Section D'!AE$1:AE$124,MATCH($A146,'Coverage Indicators - Section D'!$A$1:$A$124,0)),""),"")</f>
        <v xml:space="preserve">
</v>
      </c>
      <c r="J159" s="90" t="str">
        <f>IFERROR(IF(INDEX('Coverage Indicators - Section D'!AG$1:AG$124,MATCH($A146,'Coverage Indicators - Section D'!$A$1:$A$124,0))&lt;&gt;"",FIXED(INDEX('Coverage Indicators - Section D'!AG$1:AG$124,MATCH($A146,'Coverage Indicators - Section D'!$A$1:$A$124,0))*100,2)&amp;"%",""),"")&amp;CHAR(10)&amp;IFERROR(IF(INDEX('Coverage Indicators - Section D'!AH$1:AH$124,MATCH($A146,'Coverage Indicators - Section D'!$A$1:$A$124,0))&lt;&gt;"",INDEX('Coverage Indicators - Section D'!AH$1:AH$124,MATCH($A146,'Coverage Indicators - Section D'!$A$1:$A$124,0)),""),"")</f>
        <v xml:space="preserve">
</v>
      </c>
      <c r="K159" s="90" t="str">
        <f>IFERROR(IF(INDEX('Coverage Indicators - Section D'!AJ$1:AJ$124,MATCH($A146,'Coverage Indicators - Section D'!$A$1:$A$124,0))&lt;&gt;"",FIXED(INDEX('Coverage Indicators - Section D'!AJ$1:AJ$124,MATCH($A146,'Coverage Indicators - Section D'!$A$1:$A$124,0))*100,2)&amp;"%",""),"")&amp;CHAR(10)&amp;IFERROR(IF(INDEX('Coverage Indicators - Section D'!AK$1:AK$124,MATCH($A146,'Coverage Indicators - Section D'!$A$1:$A$124,0))&lt;&gt;"",INDEX('Coverage Indicators - Section D'!AK$1:AK$124,MATCH($A146,'Coverage Indicators - Section D'!$A$1:$A$124,0)),""),"")</f>
        <v xml:space="preserve">
</v>
      </c>
      <c r="L159" s="82"/>
    </row>
    <row r="160" spans="1:12" ht="18.75" customHeight="1">
      <c r="A160" s="641"/>
      <c r="B160" s="625" t="s">
        <v>176</v>
      </c>
      <c r="C160" s="626"/>
      <c r="D160" s="626"/>
      <c r="E160" s="626"/>
      <c r="F160" s="626"/>
      <c r="G160" s="626"/>
      <c r="H160" s="626"/>
      <c r="I160" s="626"/>
      <c r="J160" s="626"/>
      <c r="K160" s="630"/>
      <c r="L160" s="82"/>
    </row>
    <row r="161" spans="1:12" ht="18.75" customHeight="1">
      <c r="A161" s="641"/>
      <c r="B161" s="634" t="str">
        <f>IFERROR(IF(INDEX('Coverage Indicators - Section D'!AL$1:AL$134,MATCH($A146,'Coverage Indicators - Section D'!$A$1:$A$134,0))&lt;&gt;0,INDEX('Coverage Indicators - Section D'!AL$1:AL$134,MATCH($A146,'Coverage Indicators - Section D'!$A$1:$A$134,0)),""),"")</f>
        <v>The expected contribution for this GF grant application for the period 2024-2026 will cover 80% of the needs in year 1 and 70% in year 2 and 3. The support will be mainly for the purchase of the Isoniazid-rifapentine combination for children over 5 years of age and RH for children under 5 years of age in accordance with WHO guidelines adopted by the country, community support for contact tracing and reimbursement of transportation for contacts referred to health facilities. Priority in this application will be given to children under 5 years of age (74,581 in 2024, 97,950 in 2025 and 118,011 in 2026).</v>
      </c>
      <c r="C161" s="635"/>
      <c r="D161" s="635"/>
      <c r="E161" s="635"/>
      <c r="F161" s="635"/>
      <c r="G161" s="635"/>
      <c r="H161" s="635"/>
      <c r="I161" s="635"/>
      <c r="J161" s="635"/>
      <c r="K161" s="636"/>
      <c r="L161" s="82"/>
    </row>
    <row r="162" spans="1:12" ht="18.75" customHeight="1">
      <c r="A162" s="641"/>
      <c r="B162" s="643"/>
      <c r="C162" s="644"/>
      <c r="D162" s="644"/>
      <c r="E162" s="644"/>
      <c r="F162" s="644"/>
      <c r="G162" s="644"/>
      <c r="H162" s="644"/>
      <c r="I162" s="644"/>
      <c r="J162" s="644"/>
      <c r="K162" s="645"/>
      <c r="L162" s="82"/>
    </row>
    <row r="163" spans="1:12" ht="18.75" customHeight="1">
      <c r="A163" s="641"/>
      <c r="B163" s="643"/>
      <c r="C163" s="644"/>
      <c r="D163" s="644"/>
      <c r="E163" s="644"/>
      <c r="F163" s="644"/>
      <c r="G163" s="644"/>
      <c r="H163" s="644"/>
      <c r="I163" s="644"/>
      <c r="J163" s="644"/>
      <c r="K163" s="645"/>
      <c r="L163" s="82"/>
    </row>
    <row r="164" spans="1:12" ht="18.75" customHeight="1">
      <c r="A164" s="641"/>
      <c r="B164" s="643"/>
      <c r="C164" s="644"/>
      <c r="D164" s="644"/>
      <c r="E164" s="644"/>
      <c r="F164" s="644"/>
      <c r="G164" s="644"/>
      <c r="H164" s="644"/>
      <c r="I164" s="644"/>
      <c r="J164" s="644"/>
      <c r="K164" s="645"/>
      <c r="L164" s="82"/>
    </row>
    <row r="165" spans="1:12" ht="18.75" customHeight="1">
      <c r="A165" s="641"/>
      <c r="B165" s="643"/>
      <c r="C165" s="644"/>
      <c r="D165" s="644"/>
      <c r="E165" s="644"/>
      <c r="F165" s="644"/>
      <c r="G165" s="644"/>
      <c r="H165" s="644"/>
      <c r="I165" s="644"/>
      <c r="J165" s="644"/>
      <c r="K165" s="645"/>
      <c r="L165" s="82"/>
    </row>
    <row r="166" spans="1:12" ht="18.75" customHeight="1">
      <c r="A166" s="641"/>
      <c r="B166" s="643"/>
      <c r="C166" s="644"/>
      <c r="D166" s="644"/>
      <c r="E166" s="644"/>
      <c r="F166" s="644"/>
      <c r="G166" s="644"/>
      <c r="H166" s="644"/>
      <c r="I166" s="644"/>
      <c r="J166" s="644"/>
      <c r="K166" s="645"/>
      <c r="L166" s="82"/>
    </row>
    <row r="167" spans="1:12" ht="18.75" customHeight="1">
      <c r="A167" s="641"/>
      <c r="B167" s="643"/>
      <c r="C167" s="644"/>
      <c r="D167" s="644"/>
      <c r="E167" s="644"/>
      <c r="F167" s="644"/>
      <c r="G167" s="644"/>
      <c r="H167" s="644"/>
      <c r="I167" s="644"/>
      <c r="J167" s="644"/>
      <c r="K167" s="645"/>
      <c r="L167" s="82"/>
    </row>
    <row r="168" spans="1:12" ht="18.75" customHeight="1">
      <c r="A168" s="641"/>
      <c r="B168" s="643"/>
      <c r="C168" s="644"/>
      <c r="D168" s="644"/>
      <c r="E168" s="644"/>
      <c r="F168" s="644"/>
      <c r="G168" s="644"/>
      <c r="H168" s="644"/>
      <c r="I168" s="644"/>
      <c r="J168" s="644"/>
      <c r="K168" s="645"/>
      <c r="L168" s="82"/>
    </row>
    <row r="169" spans="1:12" ht="18.75" customHeight="1">
      <c r="A169" s="641"/>
      <c r="B169" s="643"/>
      <c r="C169" s="644"/>
      <c r="D169" s="644"/>
      <c r="E169" s="644"/>
      <c r="F169" s="644"/>
      <c r="G169" s="644"/>
      <c r="H169" s="644"/>
      <c r="I169" s="644"/>
      <c r="J169" s="644"/>
      <c r="K169" s="645"/>
      <c r="L169" s="82"/>
    </row>
    <row r="170" spans="1:12" ht="18.75" customHeight="1">
      <c r="A170" s="642"/>
      <c r="B170" s="637"/>
      <c r="C170" s="638"/>
      <c r="D170" s="638"/>
      <c r="E170" s="638"/>
      <c r="F170" s="638"/>
      <c r="G170" s="638"/>
      <c r="H170" s="638"/>
      <c r="I170" s="638"/>
      <c r="J170" s="638"/>
      <c r="K170" s="639"/>
      <c r="L170" s="82"/>
    </row>
    <row r="171" spans="1:12" ht="18.75" customHeight="1">
      <c r="A171" s="625"/>
      <c r="B171" s="626"/>
      <c r="C171" s="626"/>
      <c r="D171" s="626"/>
      <c r="E171" s="626"/>
      <c r="F171" s="626"/>
      <c r="G171" s="626"/>
      <c r="H171" s="626"/>
      <c r="I171" s="626"/>
      <c r="J171" s="626"/>
      <c r="K171" s="630"/>
      <c r="L171" s="82"/>
    </row>
    <row r="173" spans="1:12" ht="18.75" customHeight="1">
      <c r="A173" s="89" t="s">
        <v>5051</v>
      </c>
      <c r="B173" s="625" t="s">
        <v>1077</v>
      </c>
      <c r="C173" s="630"/>
      <c r="D173" s="631" t="str">
        <f ca="1">IFERROR(IF(INDEX('Coverage Indicators - Section D'!B$1:B$124,MATCH($A174,'Coverage Indicators - Section D'!$A$1:$A$124,0))&lt;&gt;0,INDEX('Coverage Indicators - Section D'!B$1:B$124,MATCH($A174,'Coverage Indicators - Section D'!$A$1:$A$124,0)),""),"")</f>
        <v>Key and vulnerable populations (KVP) – TB/DR-TB</v>
      </c>
      <c r="E173" s="632"/>
      <c r="F173" s="632"/>
      <c r="G173" s="632"/>
      <c r="H173" s="632"/>
      <c r="I173" s="632"/>
      <c r="J173" s="632"/>
      <c r="K173" s="633"/>
      <c r="L173" s="82"/>
    </row>
    <row r="174" spans="1:12" ht="18.75" customHeight="1">
      <c r="A174" s="640">
        <v>7</v>
      </c>
      <c r="B174" s="625" t="s">
        <v>765</v>
      </c>
      <c r="C174" s="626"/>
      <c r="D174" s="626"/>
      <c r="E174" s="626"/>
      <c r="F174" s="630"/>
      <c r="G174" s="625" t="s">
        <v>766</v>
      </c>
      <c r="H174" s="626"/>
      <c r="I174" s="626"/>
      <c r="J174" s="626"/>
      <c r="K174" s="630"/>
      <c r="L174" s="82"/>
    </row>
    <row r="175" spans="1:12" ht="18.75" customHeight="1">
      <c r="A175" s="641"/>
      <c r="B175" s="634" t="str">
        <f>IFERROR(IF(INDEX('Coverage Indicators - Section D'!C$1:C$124,MATCH($A174,'Coverage Indicators - Section D'!$A$1:$A$124,0))&lt;&gt;0,INDEX('Coverage Indicators - Section D'!C$1:C$124,MATCH($A174,'Coverage Indicators - Section D'!$A$1:$A$124,0)),""),"")</f>
        <v>KVP-1 Number of people with TB (all forms) notified among prisoners; *includes only those with new and relapse TB</v>
      </c>
      <c r="C175" s="635"/>
      <c r="D175" s="635"/>
      <c r="E175" s="635"/>
      <c r="F175" s="636"/>
      <c r="G175" s="634" t="str">
        <f>IFERROR(IF(INDEX('Coverage Indicators - Section D'!D$1:D$124,MATCH($A174,'Coverage Indicators - Section D'!$A$1:$A$124,0))&lt;&gt;0,INDEX('Coverage Indicators - Section D'!D$1:D$124,MATCH($A174,'Coverage Indicators - Section D'!$A$1:$A$124,0)),""),"")</f>
        <v/>
      </c>
      <c r="H175" s="635"/>
      <c r="I175" s="635"/>
      <c r="J175" s="635"/>
      <c r="K175" s="636"/>
      <c r="L175" s="82"/>
    </row>
    <row r="176" spans="1:12" ht="18.75" customHeight="1">
      <c r="A176" s="641"/>
      <c r="B176" s="643"/>
      <c r="C176" s="644"/>
      <c r="D176" s="644"/>
      <c r="E176" s="644"/>
      <c r="F176" s="645"/>
      <c r="G176" s="643"/>
      <c r="H176" s="644"/>
      <c r="I176" s="644"/>
      <c r="J176" s="644"/>
      <c r="K176" s="645"/>
      <c r="L176" s="82"/>
    </row>
    <row r="177" spans="1:12" ht="18.75" customHeight="1">
      <c r="A177" s="641"/>
      <c r="B177" s="637"/>
      <c r="C177" s="638"/>
      <c r="D177" s="638"/>
      <c r="E177" s="638"/>
      <c r="F177" s="639"/>
      <c r="G177" s="637"/>
      <c r="H177" s="638"/>
      <c r="I177" s="638"/>
      <c r="J177" s="638"/>
      <c r="K177" s="639"/>
      <c r="L177" s="82"/>
    </row>
    <row r="178" spans="1:12" ht="18.75" customHeight="1">
      <c r="A178" s="641"/>
      <c r="B178" s="625" t="s">
        <v>769</v>
      </c>
      <c r="C178" s="626"/>
      <c r="D178" s="630"/>
      <c r="E178" s="625" t="s">
        <v>216</v>
      </c>
      <c r="F178" s="626"/>
      <c r="G178" s="630"/>
      <c r="H178" s="625" t="s">
        <v>127</v>
      </c>
      <c r="I178" s="626"/>
      <c r="J178" s="630"/>
      <c r="K178" s="89" t="s">
        <v>2204</v>
      </c>
      <c r="L178" s="82"/>
    </row>
    <row r="179" spans="1:12" ht="18.75" customHeight="1">
      <c r="A179" s="641"/>
      <c r="B179" s="631" t="str">
        <f>IFERROR(IF(INDEX('Coverage Indicators - Section D'!I$9:I$92,MATCH($A174,'Coverage Indicators - Section D'!$A$9:$A$92,0))&lt;&gt;0,INDEX('Coverage Indicators - Section D'!I$9:I$92,MATCH($A174,'Coverage Indicators - Section D'!$A$9:$A$92,0)),""),"")</f>
        <v/>
      </c>
      <c r="C179" s="632"/>
      <c r="D179" s="633"/>
      <c r="E179" s="631" t="str">
        <f>IFERROR(IF(INDEX('Coverage Indicators - Section D'!M$1:M$124,MATCH($A174,'Coverage Indicators - Section D'!$A$1:$A$124,0))&lt;&gt;0,INDEX('Coverage Indicators - Section D'!M$1:M$124,MATCH($A174,'Coverage Indicators - Section D'!$A$1:$A$124,0)),""),"")</f>
        <v>Non cumulative</v>
      </c>
      <c r="F179" s="632"/>
      <c r="G179" s="633"/>
      <c r="H179" s="631" t="str">
        <f>IFERROR(IF(INDEX('Coverage Indicators - Section D'!L$1:L$124,MATCH($A174,'Coverage Indicators - Section D'!$A$1:$A$124,0))&lt;&gt;0,INDEX('Coverage Indicators - Section D'!L$1:L$124,MATCH($A174,'Coverage Indicators - Section D'!$A$1:$A$124,0)),""),"")</f>
        <v>Congo (Democratic Republic)</v>
      </c>
      <c r="I179" s="632"/>
      <c r="J179" s="633"/>
      <c r="K179" s="90" t="str">
        <f>IFERROR(IF(INDEX('Coverage Indicators - Section D'!J$1:J$124,MATCH($A174,'Coverage Indicators - Section D'!$A$1:$A$124,0))&lt;&gt;0,INDEX('Coverage Indicators - Section D'!J$1:J$124,MATCH($A174,'Coverage Indicators - Section D'!$A$1:$A$124,0)),""),"")</f>
        <v>Yes</v>
      </c>
      <c r="L179" s="82"/>
    </row>
    <row r="180" spans="1:12" ht="18.75" customHeight="1">
      <c r="A180" s="641"/>
      <c r="B180" s="625" t="s">
        <v>199</v>
      </c>
      <c r="C180" s="626"/>
      <c r="D180" s="630"/>
      <c r="E180" s="625" t="s">
        <v>5060</v>
      </c>
      <c r="F180" s="626"/>
      <c r="G180" s="630"/>
      <c r="H180" s="625" t="s">
        <v>120</v>
      </c>
      <c r="I180" s="626"/>
      <c r="J180" s="626"/>
      <c r="K180" s="630"/>
      <c r="L180" s="82"/>
    </row>
    <row r="181" spans="1:12" ht="18.75" customHeight="1">
      <c r="A181" s="641"/>
      <c r="B181" s="634" t="str">
        <f>IFERROR(IF(INDEX('Coverage Indicators - Section D'!H$1:H$124,MATCH($A174,'Coverage Indicators - Section D'!$A$1:$A$124,0))&lt;&gt;0,INDEX('Coverage Indicators - Section D'!H$1:H$124,MATCH($A174,'Coverage Indicators - Section D'!$A$1:$A$124,0)),""),"")</f>
        <v>DHIS2</v>
      </c>
      <c r="C181" s="635"/>
      <c r="D181" s="636"/>
      <c r="E181" s="634" t="str">
        <f>IFERROR(IF(INDEX('Coverage Indicators - Section D'!L$1:L$124,MATCH($A174,'Coverage Indicators - Section D'!$A$1:$A$124,0)+1)&lt;&gt;0,INDEX('Coverage Indicators - Section D'!L$1:L$124,MATCH($A174,'Coverage Indicators - Section D'!$A$1:$A$124,0)+1),""),"")</f>
        <v>Geographic National, 100% of national program target</v>
      </c>
      <c r="F181" s="635"/>
      <c r="G181" s="636"/>
      <c r="H181" s="634" t="str">
        <f ca="1">IFERROR(IF(AND('Overview - Section A'!AS$1="Grant Making",OR(B175&lt;&gt;"",G175&lt;&gt;"")),Setup!I15,IF(INDEX('Coverage Indicators - Section D'!K$1:K$124,MATCH($A174,'Coverage Indicators - Section D'!$A$1:$A$124,0))&lt;&gt;0,INDEX('Coverage Indicators - Section D'!K$1:K$124,MATCH($A174,'Coverage Indicators - Section D'!$A$1:$A$124,0)),"")),"")</f>
        <v>Ministry of Public Health, Hygiene and Prevention</v>
      </c>
      <c r="I181" s="635"/>
      <c r="J181" s="635"/>
      <c r="K181" s="636"/>
      <c r="L181" s="82"/>
    </row>
    <row r="182" spans="1:12" ht="18.75" customHeight="1">
      <c r="A182" s="641"/>
      <c r="B182" s="637"/>
      <c r="C182" s="638"/>
      <c r="D182" s="639"/>
      <c r="E182" s="637"/>
      <c r="F182" s="638"/>
      <c r="G182" s="639"/>
      <c r="H182" s="637"/>
      <c r="I182" s="638"/>
      <c r="J182" s="638"/>
      <c r="K182" s="639"/>
      <c r="L182" s="82"/>
    </row>
    <row r="183" spans="1:12" ht="18.75" customHeight="1">
      <c r="A183" s="641"/>
      <c r="B183" s="89"/>
      <c r="C183" s="89" t="s">
        <v>5052</v>
      </c>
      <c r="D183" s="625" t="s">
        <v>5053</v>
      </c>
      <c r="E183" s="626"/>
      <c r="F183" s="626"/>
      <c r="G183" s="626"/>
      <c r="H183" s="626"/>
      <c r="I183" s="626"/>
      <c r="J183" s="626"/>
      <c r="K183" s="630"/>
      <c r="L183" s="82"/>
    </row>
    <row r="184" spans="1:12" ht="18.75" customHeight="1">
      <c r="A184" s="641"/>
      <c r="B184" s="89" t="s">
        <v>2589</v>
      </c>
      <c r="C184" s="90">
        <f>IFERROR(IF(INDEX('Coverage Indicators - Section D'!G$1:G$124,MATCH($A174,'Coverage Indicators - Section D'!$A$1:$A$124,0))&lt;&gt;0,INDEX('Coverage Indicators - Section D'!G$1:G$124,MATCH($A174,'Coverage Indicators - Section D'!$A$1:$A$124,0)),""),"")</f>
        <v>2021</v>
      </c>
      <c r="D184"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184"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184"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184"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184"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184"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184"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184"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184" s="82"/>
    </row>
    <row r="185" spans="1:12" s="93" customFormat="1" ht="18.75" customHeight="1">
      <c r="A185" s="641"/>
      <c r="B185" s="89" t="s">
        <v>5054</v>
      </c>
      <c r="C185" s="91">
        <f>IFERROR(IF(INDEX('Coverage Indicators - Section D'!E$1:E$124,MATCH($A174,'Coverage Indicators - Section D'!$A$1:$A$124,0))&lt;&gt;"",INDEX('Coverage Indicators - Section D'!E$1:E$124,MATCH($A174,'Coverage Indicators - Section D'!$A$1:$A$124,0)),""),"")</f>
        <v>1939</v>
      </c>
      <c r="D185" s="91">
        <f ca="1">IFERROR(IF(INDEX('Coverage Indicators - Section D'!N$1:N$124,MATCH($A174,'Coverage Indicators - Section D'!$A$1:$A$124,0))&lt;&gt;"",INDEX('Coverage Indicators - Section D'!N$1:N$124,MATCH($A174,'Coverage Indicators - Section D'!$A$1:$A$124,0)),""),"")</f>
        <v>1220</v>
      </c>
      <c r="E185" s="91">
        <f ca="1">IFERROR(IF(INDEX('Coverage Indicators - Section D'!Q$1:Q$124,MATCH($A174,'Coverage Indicators - Section D'!$A$1:$A$124,0))&lt;&gt;"",INDEX('Coverage Indicators - Section D'!Q$1:Q$124,MATCH($A174,'Coverage Indicators - Section D'!$A$1:$A$124,0)),""),"")</f>
        <v>1220</v>
      </c>
      <c r="F185" s="91">
        <f ca="1">IFERROR(IF(INDEX('Coverage Indicators - Section D'!T$1:T$124,MATCH($A174,'Coverage Indicators - Section D'!$A$1:$A$124,0))&lt;&gt;"",INDEX('Coverage Indicators - Section D'!T$1:T$124,MATCH($A174,'Coverage Indicators - Section D'!$A$1:$A$124,0)),""),"")</f>
        <v>1269</v>
      </c>
      <c r="G185" s="91">
        <f ca="1">IFERROR(IF(INDEX('Coverage Indicators - Section D'!W$1:W$124,MATCH($A174,'Coverage Indicators - Section D'!$A$1:$A$124,0))&lt;&gt;"",INDEX('Coverage Indicators - Section D'!W$1:W$124,MATCH($A174,'Coverage Indicators - Section D'!$A$1:$A$124,0)),""),"")</f>
        <v>1269</v>
      </c>
      <c r="H185" s="91">
        <f ca="1">IFERROR(IF(INDEX('Coverage Indicators - Section D'!Z$1:Z$124,MATCH($A174,'Coverage Indicators - Section D'!$A$1:$A$124,0))&lt;&gt;"",INDEX('Coverage Indicators - Section D'!Z$1:Z$124,MATCH($A174,'Coverage Indicators - Section D'!$A$1:$A$124,0)),""),"")</f>
        <v>1319.5</v>
      </c>
      <c r="I185" s="91">
        <f ca="1">IFERROR(IF(INDEX('Coverage Indicators - Section D'!AC$1:AC$124,MATCH($A174,'Coverage Indicators - Section D'!$A$1:$A$124,0))&lt;&gt;"",INDEX('Coverage Indicators - Section D'!AC$1:AC$124,MATCH($A174,'Coverage Indicators - Section D'!$A$1:$A$124,0)),""),"")</f>
        <v>1319.5</v>
      </c>
      <c r="J185" s="91" t="str">
        <f ca="1">IFERROR(IF(INDEX('Coverage Indicators - Section D'!AF$1:AF$124,MATCH($A174,'Coverage Indicators - Section D'!$A$1:$A$124,0))&lt;&gt;"",INDEX('Coverage Indicators - Section D'!AF$1:AF$124,MATCH($A174,'Coverage Indicators - Section D'!$A$1:$A$124,0)),""),"")</f>
        <v/>
      </c>
      <c r="K185" s="91" t="str">
        <f ca="1">IFERROR(IF(INDEX('Coverage Indicators - Section D'!AI$1:AI$124,MATCH($A174,'Coverage Indicators - Section D'!$A$1:$A$124,0))&lt;&gt;"",INDEX('Coverage Indicators - Section D'!AI$1:AI$124,MATCH($A174,'Coverage Indicators - Section D'!$A$1:$A$124,0)),""),"")</f>
        <v/>
      </c>
      <c r="L185" s="92"/>
    </row>
    <row r="186" spans="1:12" s="96" customFormat="1" ht="18.75" customHeight="1">
      <c r="A186" s="641"/>
      <c r="B186" s="89" t="s">
        <v>5055</v>
      </c>
      <c r="C186" s="94" t="str">
        <f>IFERROR(IF(INDEX('Coverage Indicators - Section D'!E$1:E$124,MATCH($A174,'Coverage Indicators - Section D'!$A$1:$A$124,0)+1)&lt;&gt;"",INDEX('Coverage Indicators - Section D'!E$1:E$124,MATCH($A174,'Coverage Indicators - Section D'!$A$1:$A$124,0)+1),""),"")</f>
        <v/>
      </c>
      <c r="D186" s="94" t="str">
        <f ca="1">IFERROR(IF(INDEX('Coverage Indicators - Section D'!N$1:N$124,MATCH($A174,'Coverage Indicators - Section D'!$A$1:$A$124,0)+1)&lt;&gt;"",INDEX('Coverage Indicators - Section D'!N$1:N$124,MATCH($A174,'Coverage Indicators - Section D'!$A$1:$A$124,0)+1),""),"")</f>
        <v/>
      </c>
      <c r="E186" s="94" t="str">
        <f ca="1">IFERROR(IF(INDEX('Coverage Indicators - Section D'!Q$1:Q$124,MATCH($A174,'Coverage Indicators - Section D'!$A$1:$A$124,0)+1)&lt;&gt;"",INDEX('Coverage Indicators - Section D'!Q$1:Q$124,MATCH($A174,'Coverage Indicators - Section D'!$A$1:$A$124,0)+1),""),"")</f>
        <v/>
      </c>
      <c r="F186" s="94" t="str">
        <f ca="1">IFERROR(IF(INDEX('Coverage Indicators - Section D'!T$1:T$124,MATCH($A174,'Coverage Indicators - Section D'!$A$1:$A$124,0)+1)&lt;&gt;"",INDEX('Coverage Indicators - Section D'!T$1:T$124,MATCH($A174,'Coverage Indicators - Section D'!$A$1:$A$124,0)+1),""),"")</f>
        <v/>
      </c>
      <c r="G186" s="94" t="str">
        <f ca="1">IFERROR(IF(INDEX('Coverage Indicators - Section D'!W$1:W$124,MATCH($A174,'Coverage Indicators - Section D'!$A$1:$A$124,0)+1)&lt;&gt;"",INDEX('Coverage Indicators - Section D'!W$1:W$124,MATCH($A174,'Coverage Indicators - Section D'!$A$1:$A$124,0)+1),""),"")</f>
        <v/>
      </c>
      <c r="H186" s="94" t="str">
        <f ca="1">IFERROR(IF(INDEX('Coverage Indicators - Section D'!Z$1:Z$124,MATCH($A174,'Coverage Indicators - Section D'!$A$1:$A$124,0)+1)&lt;&gt;"",INDEX('Coverage Indicators - Section D'!Z$1:Z$124,MATCH($A174,'Coverage Indicators - Section D'!$A$1:$A$124,0)+1),""),"")</f>
        <v/>
      </c>
      <c r="I186" s="94" t="str">
        <f ca="1">IFERROR(IF(INDEX('Coverage Indicators - Section D'!AC$1:AC$124,MATCH($A174,'Coverage Indicators - Section D'!$A$1:$A$124,0)+1)&lt;&gt;"",INDEX('Coverage Indicators - Section D'!AC$1:AC$124,MATCH($A174,'Coverage Indicators - Section D'!$A$1:$A$124,0)+1),""),"")</f>
        <v/>
      </c>
      <c r="J186" s="94" t="str">
        <f ca="1">IFERROR(IF(INDEX('Coverage Indicators - Section D'!AF$1:AF$124,MATCH($A174,'Coverage Indicators - Section D'!$A$1:$A$124,0)+1)&lt;&gt;"",INDEX('Coverage Indicators - Section D'!AF$1:AF$124,MATCH($A174,'Coverage Indicators - Section D'!$A$1:$A$124,0)+1),""),"")</f>
        <v/>
      </c>
      <c r="K186" s="94" t="str">
        <f ca="1">IFERROR(IF(INDEX('Coverage Indicators - Section D'!AI$1:AI$124,MATCH($A174,'Coverage Indicators - Section D'!$A$1:$A$124,0)+1)&lt;&gt;"",INDEX('Coverage Indicators - Section D'!AI$1:AI$124,MATCH($A174,'Coverage Indicators - Section D'!$A$1:$A$124,0)+1),""),"")</f>
        <v/>
      </c>
      <c r="L186" s="95"/>
    </row>
    <row r="187" spans="1:12" ht="18.75" customHeight="1">
      <c r="A187" s="641"/>
      <c r="B187" s="89" t="s">
        <v>5056</v>
      </c>
      <c r="C187" s="90" t="str">
        <f ca="1">IFERROR(IF(INDEX('Coverage Indicators - Section D'!F$1:F$124,MATCH($A174,'Coverage Indicators - Section D'!$A$1:$A$124,0))&lt;&gt;"",FIXED(INDEX('Coverage Indicators - Section D'!F$1:F$124,MATCH($A174,'Coverage Indicators - Section D'!$A$1:$A$124,0))*100,2)&amp;"%",""),"")</f>
        <v/>
      </c>
      <c r="D187" s="90" t="str">
        <f>IFERROR(IF(INDEX('Coverage Indicators - Section D'!O$1:O$124,MATCH($A174,'Coverage Indicators - Section D'!$A$1:$A$124,0))&lt;&gt;"",FIXED(INDEX('Coverage Indicators - Section D'!O$1:O$124,MATCH($A174,'Coverage Indicators - Section D'!$A$1:$A$124,0))*100,2)&amp;"%",""),"")&amp;CHAR(10)&amp;IFERROR(IF(INDEX('Coverage Indicators - Section D'!P$1:P$124,MATCH($A174,'Coverage Indicators - Section D'!$A$1:$A$124,0))&lt;&gt;"",INDEX('Coverage Indicators - Section D'!P$1:P$124,MATCH($A174,'Coverage Indicators - Section D'!$A$1:$A$124,0)),""),"")</f>
        <v xml:space="preserve">
</v>
      </c>
      <c r="E187" s="90" t="str">
        <f>IFERROR(IF(INDEX('Coverage Indicators - Section D'!R$1:R$124,MATCH($A174,'Coverage Indicators - Section D'!$A$1:$A$124,0))&lt;&gt;"",FIXED(INDEX('Coverage Indicators - Section D'!R$1:R$124,MATCH($A174,'Coverage Indicators - Section D'!$A$1:$A$124,0))*100,2)&amp;"%",""),"")&amp;CHAR(10)&amp;IFERROR(IF(INDEX('Coverage Indicators - Section D'!S$1:S$124,MATCH($A174,'Coverage Indicators - Section D'!$A$1:$A$124,0))&lt;&gt;"",INDEX('Coverage Indicators - Section D'!S$1:S$124,MATCH($A174,'Coverage Indicators - Section D'!$A$1:$A$124,0)),""),"")</f>
        <v xml:space="preserve">
</v>
      </c>
      <c r="F187" s="90" t="str">
        <f>IFERROR(IF(INDEX('Coverage Indicators - Section D'!U$1:U$124,MATCH($A174,'Coverage Indicators - Section D'!$A$1:$A$124,0))&lt;&gt;"",FIXED(INDEX('Coverage Indicators - Section D'!U$1:U$124,MATCH($A174,'Coverage Indicators - Section D'!$A$1:$A$124,0))*100,2)&amp;"%",""),"")&amp;CHAR(10)&amp;IFERROR(IF(INDEX('Coverage Indicators - Section D'!V$1:V$124,MATCH($A174,'Coverage Indicators - Section D'!$A$1:$A$124,0))&lt;&gt;"",INDEX('Coverage Indicators - Section D'!V$1:V$124,MATCH($A174,'Coverage Indicators - Section D'!$A$1:$A$124,0)),""),"")</f>
        <v xml:space="preserve">
</v>
      </c>
      <c r="G187" s="90" t="str">
        <f>IFERROR(IF(INDEX('Coverage Indicators - Section D'!X$1:X$124,MATCH($A174,'Coverage Indicators - Section D'!$A$1:$A$124,0))&lt;&gt;"",FIXED(INDEX('Coverage Indicators - Section D'!X$1:X$124,MATCH($A174,'Coverage Indicators - Section D'!$A$1:$A$124,0))*100,2)&amp;"%",""),"")&amp;CHAR(10)&amp;IFERROR(IF(INDEX('Coverage Indicators - Section D'!Y$1:Y$124,MATCH($A174,'Coverage Indicators - Section D'!$A$1:$A$124,0))&lt;&gt;"",INDEX('Coverage Indicators - Section D'!Y$1:Y$124,MATCH($A174,'Coverage Indicators - Section D'!$A$1:$A$124,0)),""),"")</f>
        <v xml:space="preserve">
</v>
      </c>
      <c r="H187" s="90" t="str">
        <f>IFERROR(IF(INDEX('Coverage Indicators - Section D'!AA$1:AA$124,MATCH(A174,'Coverage Indicators - Section D'!$A$1:$A$124,0))&lt;&gt;"",FIXED(INDEX('Coverage Indicators - Section D'!AA$1:AA$124,MATCH($A174,'Coverage Indicators - Section D'!$A$1:$A$124,0))*100,2)&amp;"%",""),"")&amp;CHAR(10)&amp;IFERROR(IF(INDEX('Coverage Indicators - Section D'!AB$1:AB$124,MATCH($A174,'Coverage Indicators - Section D'!$A$1:$A$124,0))&lt;&gt;"",INDEX('Coverage Indicators - Section D'!AB$1:AB$124,MATCH($A174,'Coverage Indicators - Section D'!$A$1:$A$124,0)),""),"")</f>
        <v xml:space="preserve">
</v>
      </c>
      <c r="I187" s="90" t="str">
        <f>IFERROR(IF(INDEX('Coverage Indicators - Section D'!AD$1:AD$124,MATCH($A174,'Coverage Indicators - Section D'!$A$1:$A$124,0))&lt;&gt;"",FIXED(INDEX('Coverage Indicators - Section D'!AD$1:AD$124,MATCH($A174,'Coverage Indicators - Section D'!$A$1:$A$124,0))*100,2)&amp;"%",""),"")&amp;CHAR(10)&amp;IFERROR(IF(INDEX('Coverage Indicators - Section D'!AE$1:AE$124,MATCH($A174,'Coverage Indicators - Section D'!$A$1:$A$124,0))&lt;&gt;"",INDEX('Coverage Indicators - Section D'!AE$1:AE$124,MATCH($A174,'Coverage Indicators - Section D'!$A$1:$A$124,0)),""),"")</f>
        <v xml:space="preserve">
</v>
      </c>
      <c r="J187" s="90" t="str">
        <f>IFERROR(IF(INDEX('Coverage Indicators - Section D'!AG$1:AG$124,MATCH($A174,'Coverage Indicators - Section D'!$A$1:$A$124,0))&lt;&gt;"",FIXED(INDEX('Coverage Indicators - Section D'!AG$1:AG$124,MATCH($A174,'Coverage Indicators - Section D'!$A$1:$A$124,0))*100,2)&amp;"%",""),"")&amp;CHAR(10)&amp;IFERROR(IF(INDEX('Coverage Indicators - Section D'!AH$1:AH$124,MATCH($A174,'Coverage Indicators - Section D'!$A$1:$A$124,0))&lt;&gt;"",INDEX('Coverage Indicators - Section D'!AH$1:AH$124,MATCH($A174,'Coverage Indicators - Section D'!$A$1:$A$124,0)),""),"")</f>
        <v xml:space="preserve">
</v>
      </c>
      <c r="K187" s="90" t="str">
        <f>IFERROR(IF(INDEX('Coverage Indicators - Section D'!AJ$1:AJ$124,MATCH($A174,'Coverage Indicators - Section D'!$A$1:$A$124,0))&lt;&gt;"",FIXED(INDEX('Coverage Indicators - Section D'!AJ$1:AJ$124,MATCH($A174,'Coverage Indicators - Section D'!$A$1:$A$124,0))*100,2)&amp;"%",""),"")&amp;CHAR(10)&amp;IFERROR(IF(INDEX('Coverage Indicators - Section D'!AK$1:AK$124,MATCH($A174,'Coverage Indicators - Section D'!$A$1:$A$124,0))&lt;&gt;"",INDEX('Coverage Indicators - Section D'!AK$1:AK$124,MATCH($A174,'Coverage Indicators - Section D'!$A$1:$A$124,0)),""),"")</f>
        <v xml:space="preserve">
</v>
      </c>
      <c r="L187" s="82"/>
    </row>
    <row r="188" spans="1:12" ht="18.75" customHeight="1">
      <c r="A188" s="641"/>
      <c r="B188" s="625" t="s">
        <v>176</v>
      </c>
      <c r="C188" s="626"/>
      <c r="D188" s="626"/>
      <c r="E188" s="626"/>
      <c r="F188" s="626"/>
      <c r="G188" s="626"/>
      <c r="H188" s="626"/>
      <c r="I188" s="626"/>
      <c r="J188" s="626"/>
      <c r="K188" s="630"/>
      <c r="L188" s="82"/>
    </row>
    <row r="189" spans="1:12" ht="18.75" customHeight="1">
      <c r="A189" s="641"/>
      <c r="B189" s="634" t="str">
        <f>IFERROR(IF(INDEX('Coverage Indicators - Section D'!AL$1:AL$134,MATCH($A174,'Coverage Indicators - Section D'!$A$1:$A$134,0))&lt;&gt;0,INDEX('Coverage Indicators - Section D'!AL$1:AL$134,MATCH($A174,'Coverage Indicators - Section D'!$A$1:$A$134,0)),""),"")</f>
        <v>This indicator is selected as an equity indicator. This target concerns prisoners. In 2021, the PNLT reported 1939 cases of TB among prisoners according to DHIS2 data. In collaboration with the HIV program and GIZ, an integrated action plan to fight TB in prisons for equity in access to TB care has been developed and will be implemented. This involves the implementation of systematic screening at the entrance of prisons, the improvement of laboratory services, and the improvement of case management in prisons.   Based on the 2021 target of 1939 TB patients screened, an increase rate of 4% per year is planned until 2026.</v>
      </c>
      <c r="C189" s="635"/>
      <c r="D189" s="635"/>
      <c r="E189" s="635"/>
      <c r="F189" s="635"/>
      <c r="G189" s="635"/>
      <c r="H189" s="635"/>
      <c r="I189" s="635"/>
      <c r="J189" s="635"/>
      <c r="K189" s="636"/>
      <c r="L189" s="82"/>
    </row>
    <row r="190" spans="1:12" ht="18.75" customHeight="1">
      <c r="A190" s="641"/>
      <c r="B190" s="643"/>
      <c r="C190" s="644"/>
      <c r="D190" s="644"/>
      <c r="E190" s="644"/>
      <c r="F190" s="644"/>
      <c r="G190" s="644"/>
      <c r="H190" s="644"/>
      <c r="I190" s="644"/>
      <c r="J190" s="644"/>
      <c r="K190" s="645"/>
      <c r="L190" s="82"/>
    </row>
    <row r="191" spans="1:12" ht="18.75" customHeight="1">
      <c r="A191" s="641"/>
      <c r="B191" s="643"/>
      <c r="C191" s="644"/>
      <c r="D191" s="644"/>
      <c r="E191" s="644"/>
      <c r="F191" s="644"/>
      <c r="G191" s="644"/>
      <c r="H191" s="644"/>
      <c r="I191" s="644"/>
      <c r="J191" s="644"/>
      <c r="K191" s="645"/>
      <c r="L191" s="82"/>
    </row>
    <row r="192" spans="1:12" ht="18.75" customHeight="1">
      <c r="A192" s="641"/>
      <c r="B192" s="643"/>
      <c r="C192" s="644"/>
      <c r="D192" s="644"/>
      <c r="E192" s="644"/>
      <c r="F192" s="644"/>
      <c r="G192" s="644"/>
      <c r="H192" s="644"/>
      <c r="I192" s="644"/>
      <c r="J192" s="644"/>
      <c r="K192" s="645"/>
      <c r="L192" s="82"/>
    </row>
    <row r="193" spans="1:12" ht="18.75" customHeight="1">
      <c r="A193" s="641"/>
      <c r="B193" s="643"/>
      <c r="C193" s="644"/>
      <c r="D193" s="644"/>
      <c r="E193" s="644"/>
      <c r="F193" s="644"/>
      <c r="G193" s="644"/>
      <c r="H193" s="644"/>
      <c r="I193" s="644"/>
      <c r="J193" s="644"/>
      <c r="K193" s="645"/>
      <c r="L193" s="82"/>
    </row>
    <row r="194" spans="1:12" ht="18.75" customHeight="1">
      <c r="A194" s="641"/>
      <c r="B194" s="643"/>
      <c r="C194" s="644"/>
      <c r="D194" s="644"/>
      <c r="E194" s="644"/>
      <c r="F194" s="644"/>
      <c r="G194" s="644"/>
      <c r="H194" s="644"/>
      <c r="I194" s="644"/>
      <c r="J194" s="644"/>
      <c r="K194" s="645"/>
      <c r="L194" s="82"/>
    </row>
    <row r="195" spans="1:12" ht="18.75" customHeight="1">
      <c r="A195" s="641"/>
      <c r="B195" s="643"/>
      <c r="C195" s="644"/>
      <c r="D195" s="644"/>
      <c r="E195" s="644"/>
      <c r="F195" s="644"/>
      <c r="G195" s="644"/>
      <c r="H195" s="644"/>
      <c r="I195" s="644"/>
      <c r="J195" s="644"/>
      <c r="K195" s="645"/>
      <c r="L195" s="82"/>
    </row>
    <row r="196" spans="1:12" ht="18.75" customHeight="1">
      <c r="A196" s="641"/>
      <c r="B196" s="643"/>
      <c r="C196" s="644"/>
      <c r="D196" s="644"/>
      <c r="E196" s="644"/>
      <c r="F196" s="644"/>
      <c r="G196" s="644"/>
      <c r="H196" s="644"/>
      <c r="I196" s="644"/>
      <c r="J196" s="644"/>
      <c r="K196" s="645"/>
      <c r="L196" s="82"/>
    </row>
    <row r="197" spans="1:12" ht="18.75" customHeight="1">
      <c r="A197" s="641"/>
      <c r="B197" s="643"/>
      <c r="C197" s="644"/>
      <c r="D197" s="644"/>
      <c r="E197" s="644"/>
      <c r="F197" s="644"/>
      <c r="G197" s="644"/>
      <c r="H197" s="644"/>
      <c r="I197" s="644"/>
      <c r="J197" s="644"/>
      <c r="K197" s="645"/>
      <c r="L197" s="82"/>
    </row>
    <row r="198" spans="1:12" ht="18.75" customHeight="1">
      <c r="A198" s="642"/>
      <c r="B198" s="637"/>
      <c r="C198" s="638"/>
      <c r="D198" s="638"/>
      <c r="E198" s="638"/>
      <c r="F198" s="638"/>
      <c r="G198" s="638"/>
      <c r="H198" s="638"/>
      <c r="I198" s="638"/>
      <c r="J198" s="638"/>
      <c r="K198" s="639"/>
      <c r="L198" s="82"/>
    </row>
    <row r="199" spans="1:12" ht="18.75" customHeight="1">
      <c r="A199" s="625"/>
      <c r="B199" s="626"/>
      <c r="C199" s="626"/>
      <c r="D199" s="626"/>
      <c r="E199" s="626"/>
      <c r="F199" s="626"/>
      <c r="G199" s="626"/>
      <c r="H199" s="626"/>
      <c r="I199" s="626"/>
      <c r="J199" s="626"/>
      <c r="K199" s="630"/>
      <c r="L199" s="82"/>
    </row>
    <row r="201" spans="1:12" ht="18.75" customHeight="1">
      <c r="A201" s="89" t="s">
        <v>5051</v>
      </c>
      <c r="B201" s="625" t="s">
        <v>1077</v>
      </c>
      <c r="C201" s="630"/>
      <c r="D201" s="631" t="str">
        <f ca="1">IFERROR(IF(INDEX('Coverage Indicators - Section D'!B$1:B$124,MATCH($A202,'Coverage Indicators - Section D'!$A$1:$A$124,0))&lt;&gt;0,INDEX('Coverage Indicators - Section D'!B$1:B$124,MATCH($A202,'Coverage Indicators - Section D'!$A$1:$A$124,0)),""),"")</f>
        <v>Key and vulnerable populations (KVP) – TB/DR-TB</v>
      </c>
      <c r="E201" s="632"/>
      <c r="F201" s="632"/>
      <c r="G201" s="632"/>
      <c r="H201" s="632"/>
      <c r="I201" s="632"/>
      <c r="J201" s="632"/>
      <c r="K201" s="633"/>
      <c r="L201" s="82"/>
    </row>
    <row r="202" spans="1:12" ht="18.75" customHeight="1">
      <c r="A202" s="640">
        <v>8</v>
      </c>
      <c r="B202" s="625" t="s">
        <v>765</v>
      </c>
      <c r="C202" s="626"/>
      <c r="D202" s="626"/>
      <c r="E202" s="626"/>
      <c r="F202" s="630"/>
      <c r="G202" s="625" t="s">
        <v>766</v>
      </c>
      <c r="H202" s="626"/>
      <c r="I202" s="626"/>
      <c r="J202" s="626"/>
      <c r="K202" s="630"/>
      <c r="L202" s="82"/>
    </row>
    <row r="203" spans="1:12" ht="18.75" customHeight="1">
      <c r="A203" s="641"/>
      <c r="B203" s="634" t="str">
        <f>IFERROR(IF(INDEX('Coverage Indicators - Section D'!C$1:C$124,MATCH($A202,'Coverage Indicators - Section D'!$A$1:$A$124,0))&lt;&gt;0,INDEX('Coverage Indicators - Section D'!C$1:C$124,MATCH($A202,'Coverage Indicators - Section D'!$A$1:$A$124,0)),""),"")</f>
        <v>KVP-2 Number of people with TB (all forms) notified among key affected populations/high risk groups (other than prisoners); *includes only those with new and relapse</v>
      </c>
      <c r="C203" s="635"/>
      <c r="D203" s="635"/>
      <c r="E203" s="635"/>
      <c r="F203" s="636"/>
      <c r="G203" s="634" t="str">
        <f>IFERROR(IF(INDEX('Coverage Indicators - Section D'!D$1:D$124,MATCH($A202,'Coverage Indicators - Section D'!$A$1:$A$124,0))&lt;&gt;0,INDEX('Coverage Indicators - Section D'!D$1:D$124,MATCH($A202,'Coverage Indicators - Section D'!$A$1:$A$124,0)),""),"")</f>
        <v/>
      </c>
      <c r="H203" s="635"/>
      <c r="I203" s="635"/>
      <c r="J203" s="635"/>
      <c r="K203" s="636"/>
      <c r="L203" s="82"/>
    </row>
    <row r="204" spans="1:12" ht="18.75" customHeight="1">
      <c r="A204" s="641"/>
      <c r="B204" s="643"/>
      <c r="C204" s="644"/>
      <c r="D204" s="644"/>
      <c r="E204" s="644"/>
      <c r="F204" s="645"/>
      <c r="G204" s="643"/>
      <c r="H204" s="644"/>
      <c r="I204" s="644"/>
      <c r="J204" s="644"/>
      <c r="K204" s="645"/>
      <c r="L204" s="82"/>
    </row>
    <row r="205" spans="1:12" ht="18.75" customHeight="1">
      <c r="A205" s="641"/>
      <c r="B205" s="637"/>
      <c r="C205" s="638"/>
      <c r="D205" s="638"/>
      <c r="E205" s="638"/>
      <c r="F205" s="639"/>
      <c r="G205" s="637"/>
      <c r="H205" s="638"/>
      <c r="I205" s="638"/>
      <c r="J205" s="638"/>
      <c r="K205" s="639"/>
      <c r="L205" s="82"/>
    </row>
    <row r="206" spans="1:12" ht="18.75" customHeight="1">
      <c r="A206" s="641"/>
      <c r="B206" s="625" t="s">
        <v>769</v>
      </c>
      <c r="C206" s="626"/>
      <c r="D206" s="630"/>
      <c r="E206" s="625" t="s">
        <v>216</v>
      </c>
      <c r="F206" s="626"/>
      <c r="G206" s="630"/>
      <c r="H206" s="625" t="s">
        <v>127</v>
      </c>
      <c r="I206" s="626"/>
      <c r="J206" s="630"/>
      <c r="K206" s="89" t="s">
        <v>2204</v>
      </c>
      <c r="L206" s="82"/>
    </row>
    <row r="207" spans="1:12" ht="18.75" customHeight="1">
      <c r="A207" s="641"/>
      <c r="B207" s="631" t="str">
        <f>IFERROR(IF(INDEX('Coverage Indicators - Section D'!I$9:I$92,MATCH($A202,'Coverage Indicators - Section D'!$A$9:$A$92,0))&lt;&gt;0,INDEX('Coverage Indicators - Section D'!I$9:I$92,MATCH($A202,'Coverage Indicators - Section D'!$A$9:$A$92,0)),""),"")</f>
        <v/>
      </c>
      <c r="C207" s="632"/>
      <c r="D207" s="633"/>
      <c r="E207" s="631" t="str">
        <f>IFERROR(IF(INDEX('Coverage Indicators - Section D'!M$1:M$124,MATCH($A202,'Coverage Indicators - Section D'!$A$1:$A$124,0))&lt;&gt;0,INDEX('Coverage Indicators - Section D'!M$1:M$124,MATCH($A202,'Coverage Indicators - Section D'!$A$1:$A$124,0)),""),"")</f>
        <v>Non cumulative</v>
      </c>
      <c r="F207" s="632"/>
      <c r="G207" s="633"/>
      <c r="H207" s="631" t="str">
        <f>IFERROR(IF(INDEX('Coverage Indicators - Section D'!L$1:L$124,MATCH($A202,'Coverage Indicators - Section D'!$A$1:$A$124,0))&lt;&gt;0,INDEX('Coverage Indicators - Section D'!L$1:L$124,MATCH($A202,'Coverage Indicators - Section D'!$A$1:$A$124,0)),""),"")</f>
        <v>Congo (Democratic Republic)</v>
      </c>
      <c r="I207" s="632"/>
      <c r="J207" s="633"/>
      <c r="K207" s="90" t="str">
        <f>IFERROR(IF(INDEX('Coverage Indicators - Section D'!J$1:J$124,MATCH($A202,'Coverage Indicators - Section D'!$A$1:$A$124,0))&lt;&gt;0,INDEX('Coverage Indicators - Section D'!J$1:J$124,MATCH($A202,'Coverage Indicators - Section D'!$A$1:$A$124,0)),""),"")</f>
        <v>Yes</v>
      </c>
      <c r="L207" s="82"/>
    </row>
    <row r="208" spans="1:12" ht="18.75" customHeight="1">
      <c r="A208" s="641"/>
      <c r="B208" s="625" t="s">
        <v>199</v>
      </c>
      <c r="C208" s="626"/>
      <c r="D208" s="630"/>
      <c r="E208" s="625" t="s">
        <v>5060</v>
      </c>
      <c r="F208" s="626"/>
      <c r="G208" s="630"/>
      <c r="H208" s="625" t="s">
        <v>120</v>
      </c>
      <c r="I208" s="626"/>
      <c r="J208" s="626"/>
      <c r="K208" s="630"/>
      <c r="L208" s="82"/>
    </row>
    <row r="209" spans="1:12" ht="18.75" customHeight="1">
      <c r="A209" s="641"/>
      <c r="B209" s="634" t="str">
        <f>IFERROR(IF(INDEX('Coverage Indicators - Section D'!H$1:H$124,MATCH($A202,'Coverage Indicators - Section D'!$A$1:$A$124,0))&lt;&gt;0,INDEX('Coverage Indicators - Section D'!H$1:H$124,MATCH($A202,'Coverage Indicators - Section D'!$A$1:$A$124,0)),""),"")</f>
        <v>DHIS2</v>
      </c>
      <c r="C209" s="635"/>
      <c r="D209" s="636"/>
      <c r="E209" s="634" t="str">
        <f>IFERROR(IF(INDEX('Coverage Indicators - Section D'!L$1:L$124,MATCH($A202,'Coverage Indicators - Section D'!$A$1:$A$124,0)+1)&lt;&gt;0,INDEX('Coverage Indicators - Section D'!L$1:L$124,MATCH($A202,'Coverage Indicators - Section D'!$A$1:$A$124,0)+1),""),"")</f>
        <v>Geographic National, 100% of national program target</v>
      </c>
      <c r="F209" s="635"/>
      <c r="G209" s="636"/>
      <c r="H209" s="634" t="str">
        <f ca="1">IFERROR(IF(AND('Overview - Section A'!AS$1="Grant Making",OR(B203&lt;&gt;"",G203&lt;&gt;"")),Setup!I15,IF(INDEX('Coverage Indicators - Section D'!K$1:K$124,MATCH($A202,'Coverage Indicators - Section D'!$A$1:$A$124,0))&lt;&gt;0,INDEX('Coverage Indicators - Section D'!K$1:K$124,MATCH($A202,'Coverage Indicators - Section D'!$A$1:$A$124,0)),"")),"")</f>
        <v>Ministry of Public Health, Hygiene and Prevention</v>
      </c>
      <c r="I209" s="635"/>
      <c r="J209" s="635"/>
      <c r="K209" s="636"/>
      <c r="L209" s="82"/>
    </row>
    <row r="210" spans="1:12" ht="18.75" customHeight="1">
      <c r="A210" s="641"/>
      <c r="B210" s="637"/>
      <c r="C210" s="638"/>
      <c r="D210" s="639"/>
      <c r="E210" s="637"/>
      <c r="F210" s="638"/>
      <c r="G210" s="639"/>
      <c r="H210" s="637"/>
      <c r="I210" s="638"/>
      <c r="J210" s="638"/>
      <c r="K210" s="639"/>
      <c r="L210" s="82"/>
    </row>
    <row r="211" spans="1:12" ht="18.75" customHeight="1">
      <c r="A211" s="641"/>
      <c r="B211" s="89"/>
      <c r="C211" s="89" t="s">
        <v>5052</v>
      </c>
      <c r="D211" s="625" t="s">
        <v>5053</v>
      </c>
      <c r="E211" s="626"/>
      <c r="F211" s="626"/>
      <c r="G211" s="626"/>
      <c r="H211" s="626"/>
      <c r="I211" s="626"/>
      <c r="J211" s="626"/>
      <c r="K211" s="630"/>
      <c r="L211" s="82"/>
    </row>
    <row r="212" spans="1:12" ht="18.75" customHeight="1">
      <c r="A212" s="641"/>
      <c r="B212" s="89" t="s">
        <v>2589</v>
      </c>
      <c r="C212" s="90">
        <f>IFERROR(IF(INDEX('Coverage Indicators - Section D'!G$1:G$124,MATCH($A202,'Coverage Indicators - Section D'!$A$1:$A$124,0))&lt;&gt;0,INDEX('Coverage Indicators - Section D'!G$1:G$124,MATCH($A202,'Coverage Indicators - Section D'!$A$1:$A$124,0)),""),"")</f>
        <v>2021</v>
      </c>
      <c r="D212"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212"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212"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212"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212"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212"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212"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212"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212" s="82"/>
    </row>
    <row r="213" spans="1:12" s="93" customFormat="1" ht="18.75" customHeight="1">
      <c r="A213" s="641"/>
      <c r="B213" s="89" t="s">
        <v>5054</v>
      </c>
      <c r="C213" s="91">
        <f>IFERROR(IF(INDEX('Coverage Indicators - Section D'!E$1:E$124,MATCH($A202,'Coverage Indicators - Section D'!$A$1:$A$124,0))&lt;&gt;"",INDEX('Coverage Indicators - Section D'!E$1:E$124,MATCH($A202,'Coverage Indicators - Section D'!$A$1:$A$124,0)),""),"")</f>
        <v>8132</v>
      </c>
      <c r="D213" s="91">
        <f ca="1">IFERROR(IF(INDEX('Coverage Indicators - Section D'!N$1:N$124,MATCH($A202,'Coverage Indicators - Section D'!$A$1:$A$124,0))&lt;&gt;"",INDEX('Coverage Indicators - Section D'!N$1:N$124,MATCH($A202,'Coverage Indicators - Section D'!$A$1:$A$124,0)),""),"")</f>
        <v>6211</v>
      </c>
      <c r="E213" s="91">
        <f ca="1">IFERROR(IF(INDEX('Coverage Indicators - Section D'!Q$1:Q$124,MATCH($A202,'Coverage Indicators - Section D'!$A$1:$A$124,0))&lt;&gt;"",INDEX('Coverage Indicators - Section D'!Q$1:Q$124,MATCH($A202,'Coverage Indicators - Section D'!$A$1:$A$124,0)),""),"")</f>
        <v>6211</v>
      </c>
      <c r="F213" s="91">
        <f ca="1">IFERROR(IF(INDEX('Coverage Indicators - Section D'!T$1:T$124,MATCH($A202,'Coverage Indicators - Section D'!$A$1:$A$124,0))&lt;&gt;"",INDEX('Coverage Indicators - Section D'!T$1:T$124,MATCH($A202,'Coverage Indicators - Section D'!$A$1:$A$124,0)),""),"")</f>
        <v>7143</v>
      </c>
      <c r="G213" s="91">
        <f ca="1">IFERROR(IF(INDEX('Coverage Indicators - Section D'!W$1:W$124,MATCH($A202,'Coverage Indicators - Section D'!$A$1:$A$124,0))&lt;&gt;"",INDEX('Coverage Indicators - Section D'!W$1:W$124,MATCH($A202,'Coverage Indicators - Section D'!$A$1:$A$124,0)),""),"")</f>
        <v>7143</v>
      </c>
      <c r="H213" s="91">
        <f ca="1">IFERROR(IF(INDEX('Coverage Indicators - Section D'!Z$1:Z$124,MATCH($A202,'Coverage Indicators - Section D'!$A$1:$A$124,0))&lt;&gt;"",INDEX('Coverage Indicators - Section D'!Z$1:Z$124,MATCH($A202,'Coverage Indicators - Section D'!$A$1:$A$124,0)),""),"")</f>
        <v>8214</v>
      </c>
      <c r="I213" s="91">
        <f ca="1">IFERROR(IF(INDEX('Coverage Indicators - Section D'!AC$1:AC$124,MATCH($A202,'Coverage Indicators - Section D'!$A$1:$A$124,0))&lt;&gt;"",INDEX('Coverage Indicators - Section D'!AC$1:AC$124,MATCH($A202,'Coverage Indicators - Section D'!$A$1:$A$124,0)),""),"")</f>
        <v>8214</v>
      </c>
      <c r="J213" s="91" t="str">
        <f ca="1">IFERROR(IF(INDEX('Coverage Indicators - Section D'!AF$1:AF$124,MATCH($A202,'Coverage Indicators - Section D'!$A$1:$A$124,0))&lt;&gt;"",INDEX('Coverage Indicators - Section D'!AF$1:AF$124,MATCH($A202,'Coverage Indicators - Section D'!$A$1:$A$124,0)),""),"")</f>
        <v/>
      </c>
      <c r="K213" s="91" t="str">
        <f ca="1">IFERROR(IF(INDEX('Coverage Indicators - Section D'!AI$1:AI$124,MATCH($A202,'Coverage Indicators - Section D'!$A$1:$A$124,0))&lt;&gt;"",INDEX('Coverage Indicators - Section D'!AI$1:AI$124,MATCH($A202,'Coverage Indicators - Section D'!$A$1:$A$124,0)),""),"")</f>
        <v/>
      </c>
      <c r="L213" s="92"/>
    </row>
    <row r="214" spans="1:12" s="96" customFormat="1" ht="18.75" customHeight="1">
      <c r="A214" s="641"/>
      <c r="B214" s="89" t="s">
        <v>5055</v>
      </c>
      <c r="C214" s="94" t="str">
        <f>IFERROR(IF(INDEX('Coverage Indicators - Section D'!E$1:E$124,MATCH($A202,'Coverage Indicators - Section D'!$A$1:$A$124,0)+1)&lt;&gt;"",INDEX('Coverage Indicators - Section D'!E$1:E$124,MATCH($A202,'Coverage Indicators - Section D'!$A$1:$A$124,0)+1),""),"")</f>
        <v/>
      </c>
      <c r="D214" s="94" t="str">
        <f ca="1">IFERROR(IF(INDEX('Coverage Indicators - Section D'!N$1:N$124,MATCH($A202,'Coverage Indicators - Section D'!$A$1:$A$124,0)+1)&lt;&gt;"",INDEX('Coverage Indicators - Section D'!N$1:N$124,MATCH($A202,'Coverage Indicators - Section D'!$A$1:$A$124,0)+1),""),"")</f>
        <v/>
      </c>
      <c r="E214" s="94" t="str">
        <f ca="1">IFERROR(IF(INDEX('Coverage Indicators - Section D'!Q$1:Q$124,MATCH($A202,'Coverage Indicators - Section D'!$A$1:$A$124,0)+1)&lt;&gt;"",INDEX('Coverage Indicators - Section D'!Q$1:Q$124,MATCH($A202,'Coverage Indicators - Section D'!$A$1:$A$124,0)+1),""),"")</f>
        <v/>
      </c>
      <c r="F214" s="94" t="str">
        <f ca="1">IFERROR(IF(INDEX('Coverage Indicators - Section D'!T$1:T$124,MATCH($A202,'Coverage Indicators - Section D'!$A$1:$A$124,0)+1)&lt;&gt;"",INDEX('Coverage Indicators - Section D'!T$1:T$124,MATCH($A202,'Coverage Indicators - Section D'!$A$1:$A$124,0)+1),""),"")</f>
        <v/>
      </c>
      <c r="G214" s="94" t="str">
        <f ca="1">IFERROR(IF(INDEX('Coverage Indicators - Section D'!W$1:W$124,MATCH($A202,'Coverage Indicators - Section D'!$A$1:$A$124,0)+1)&lt;&gt;"",INDEX('Coverage Indicators - Section D'!W$1:W$124,MATCH($A202,'Coverage Indicators - Section D'!$A$1:$A$124,0)+1),""),"")</f>
        <v/>
      </c>
      <c r="H214" s="94" t="str">
        <f ca="1">IFERROR(IF(INDEX('Coverage Indicators - Section D'!Z$1:Z$124,MATCH($A202,'Coverage Indicators - Section D'!$A$1:$A$124,0)+1)&lt;&gt;"",INDEX('Coverage Indicators - Section D'!Z$1:Z$124,MATCH($A202,'Coverage Indicators - Section D'!$A$1:$A$124,0)+1),""),"")</f>
        <v/>
      </c>
      <c r="I214" s="94" t="str">
        <f ca="1">IFERROR(IF(INDEX('Coverage Indicators - Section D'!AC$1:AC$124,MATCH($A202,'Coverage Indicators - Section D'!$A$1:$A$124,0)+1)&lt;&gt;"",INDEX('Coverage Indicators - Section D'!AC$1:AC$124,MATCH($A202,'Coverage Indicators - Section D'!$A$1:$A$124,0)+1),""),"")</f>
        <v/>
      </c>
      <c r="J214" s="94" t="str">
        <f ca="1">IFERROR(IF(INDEX('Coverage Indicators - Section D'!AF$1:AF$124,MATCH($A202,'Coverage Indicators - Section D'!$A$1:$A$124,0)+1)&lt;&gt;"",INDEX('Coverage Indicators - Section D'!AF$1:AF$124,MATCH($A202,'Coverage Indicators - Section D'!$A$1:$A$124,0)+1),""),"")</f>
        <v/>
      </c>
      <c r="K214" s="94" t="str">
        <f ca="1">IFERROR(IF(INDEX('Coverage Indicators - Section D'!AI$1:AI$124,MATCH($A202,'Coverage Indicators - Section D'!$A$1:$A$124,0)+1)&lt;&gt;"",INDEX('Coverage Indicators - Section D'!AI$1:AI$124,MATCH($A202,'Coverage Indicators - Section D'!$A$1:$A$124,0)+1),""),"")</f>
        <v/>
      </c>
      <c r="L214" s="95"/>
    </row>
    <row r="215" spans="1:12" ht="18.75" customHeight="1">
      <c r="A215" s="641"/>
      <c r="B215" s="89" t="s">
        <v>5056</v>
      </c>
      <c r="C215" s="90" t="str">
        <f ca="1">IFERROR(IF(INDEX('Coverage Indicators - Section D'!F$1:F$124,MATCH($A202,'Coverage Indicators - Section D'!$A$1:$A$124,0))&lt;&gt;"",FIXED(INDEX('Coverage Indicators - Section D'!F$1:F$124,MATCH($A202,'Coverage Indicators - Section D'!$A$1:$A$124,0))*100,2)&amp;"%",""),"")</f>
        <v/>
      </c>
      <c r="D215" s="90" t="str">
        <f>IFERROR(IF(INDEX('Coverage Indicators - Section D'!O$1:O$124,MATCH($A202,'Coverage Indicators - Section D'!$A$1:$A$124,0))&lt;&gt;"",FIXED(INDEX('Coverage Indicators - Section D'!O$1:O$124,MATCH($A202,'Coverage Indicators - Section D'!$A$1:$A$124,0))*100,2)&amp;"%",""),"")&amp;CHAR(10)&amp;IFERROR(IF(INDEX('Coverage Indicators - Section D'!P$1:P$124,MATCH($A202,'Coverage Indicators - Section D'!$A$1:$A$124,0))&lt;&gt;"",INDEX('Coverage Indicators - Section D'!P$1:P$124,MATCH($A202,'Coverage Indicators - Section D'!$A$1:$A$124,0)),""),"")</f>
        <v xml:space="preserve">
</v>
      </c>
      <c r="E215" s="90" t="str">
        <f>IFERROR(IF(INDEX('Coverage Indicators - Section D'!R$1:R$124,MATCH($A202,'Coverage Indicators - Section D'!$A$1:$A$124,0))&lt;&gt;"",FIXED(INDEX('Coverage Indicators - Section D'!R$1:R$124,MATCH($A202,'Coverage Indicators - Section D'!$A$1:$A$124,0))*100,2)&amp;"%",""),"")&amp;CHAR(10)&amp;IFERROR(IF(INDEX('Coverage Indicators - Section D'!S$1:S$124,MATCH($A202,'Coverage Indicators - Section D'!$A$1:$A$124,0))&lt;&gt;"",INDEX('Coverage Indicators - Section D'!S$1:S$124,MATCH($A202,'Coverage Indicators - Section D'!$A$1:$A$124,0)),""),"")</f>
        <v xml:space="preserve">
</v>
      </c>
      <c r="F215" s="90" t="str">
        <f>IFERROR(IF(INDEX('Coverage Indicators - Section D'!U$1:U$124,MATCH($A202,'Coverage Indicators - Section D'!$A$1:$A$124,0))&lt;&gt;"",FIXED(INDEX('Coverage Indicators - Section D'!U$1:U$124,MATCH($A202,'Coverage Indicators - Section D'!$A$1:$A$124,0))*100,2)&amp;"%",""),"")&amp;CHAR(10)&amp;IFERROR(IF(INDEX('Coverage Indicators - Section D'!V$1:V$124,MATCH($A202,'Coverage Indicators - Section D'!$A$1:$A$124,0))&lt;&gt;"",INDEX('Coverage Indicators - Section D'!V$1:V$124,MATCH($A202,'Coverage Indicators - Section D'!$A$1:$A$124,0)),""),"")</f>
        <v xml:space="preserve">
</v>
      </c>
      <c r="G215" s="90" t="str">
        <f>IFERROR(IF(INDEX('Coverage Indicators - Section D'!X$1:X$124,MATCH($A202,'Coverage Indicators - Section D'!$A$1:$A$124,0))&lt;&gt;"",FIXED(INDEX('Coverage Indicators - Section D'!X$1:X$124,MATCH($A202,'Coverage Indicators - Section D'!$A$1:$A$124,0))*100,2)&amp;"%",""),"")&amp;CHAR(10)&amp;IFERROR(IF(INDEX('Coverage Indicators - Section D'!Y$1:Y$124,MATCH($A202,'Coverage Indicators - Section D'!$A$1:$A$124,0))&lt;&gt;"",INDEX('Coverage Indicators - Section D'!Y$1:Y$124,MATCH($A202,'Coverage Indicators - Section D'!$A$1:$A$124,0)),""),"")</f>
        <v xml:space="preserve">
</v>
      </c>
      <c r="H215" s="90" t="str">
        <f>IFERROR(IF(INDEX('Coverage Indicators - Section D'!AA$1:AA$124,MATCH(A202,'Coverage Indicators - Section D'!$A$1:$A$124,0))&lt;&gt;"",FIXED(INDEX('Coverage Indicators - Section D'!AA$1:AA$124,MATCH($A202,'Coverage Indicators - Section D'!$A$1:$A$124,0))*100,2)&amp;"%",""),"")&amp;CHAR(10)&amp;IFERROR(IF(INDEX('Coverage Indicators - Section D'!AB$1:AB$124,MATCH($A202,'Coverage Indicators - Section D'!$A$1:$A$124,0))&lt;&gt;"",INDEX('Coverage Indicators - Section D'!AB$1:AB$124,MATCH($A202,'Coverage Indicators - Section D'!$A$1:$A$124,0)),""),"")</f>
        <v xml:space="preserve">
</v>
      </c>
      <c r="I215" s="90" t="str">
        <f>IFERROR(IF(INDEX('Coverage Indicators - Section D'!AD$1:AD$124,MATCH($A202,'Coverage Indicators - Section D'!$A$1:$A$124,0))&lt;&gt;"",FIXED(INDEX('Coverage Indicators - Section D'!AD$1:AD$124,MATCH($A202,'Coverage Indicators - Section D'!$A$1:$A$124,0))*100,2)&amp;"%",""),"")&amp;CHAR(10)&amp;IFERROR(IF(INDEX('Coverage Indicators - Section D'!AE$1:AE$124,MATCH($A202,'Coverage Indicators - Section D'!$A$1:$A$124,0))&lt;&gt;"",INDEX('Coverage Indicators - Section D'!AE$1:AE$124,MATCH($A202,'Coverage Indicators - Section D'!$A$1:$A$124,0)),""),"")</f>
        <v xml:space="preserve">
</v>
      </c>
      <c r="J215" s="90" t="str">
        <f>IFERROR(IF(INDEX('Coverage Indicators - Section D'!AG$1:AG$124,MATCH($A202,'Coverage Indicators - Section D'!$A$1:$A$124,0))&lt;&gt;"",FIXED(INDEX('Coverage Indicators - Section D'!AG$1:AG$124,MATCH($A202,'Coverage Indicators - Section D'!$A$1:$A$124,0))*100,2)&amp;"%",""),"")&amp;CHAR(10)&amp;IFERROR(IF(INDEX('Coverage Indicators - Section D'!AH$1:AH$124,MATCH($A202,'Coverage Indicators - Section D'!$A$1:$A$124,0))&lt;&gt;"",INDEX('Coverage Indicators - Section D'!AH$1:AH$124,MATCH($A202,'Coverage Indicators - Section D'!$A$1:$A$124,0)),""),"")</f>
        <v xml:space="preserve">
</v>
      </c>
      <c r="K215" s="90" t="str">
        <f>IFERROR(IF(INDEX('Coverage Indicators - Section D'!AJ$1:AJ$124,MATCH($A202,'Coverage Indicators - Section D'!$A$1:$A$124,0))&lt;&gt;"",FIXED(INDEX('Coverage Indicators - Section D'!AJ$1:AJ$124,MATCH($A202,'Coverage Indicators - Section D'!$A$1:$A$124,0))*100,2)&amp;"%",""),"")&amp;CHAR(10)&amp;IFERROR(IF(INDEX('Coverage Indicators - Section D'!AK$1:AK$124,MATCH($A202,'Coverage Indicators - Section D'!$A$1:$A$124,0))&lt;&gt;"",INDEX('Coverage Indicators - Section D'!AK$1:AK$124,MATCH($A202,'Coverage Indicators - Section D'!$A$1:$A$124,0)),""),"")</f>
        <v xml:space="preserve">
</v>
      </c>
      <c r="L215" s="82"/>
    </row>
    <row r="216" spans="1:12" ht="18.75" customHeight="1">
      <c r="A216" s="641"/>
      <c r="B216" s="625" t="s">
        <v>176</v>
      </c>
      <c r="C216" s="626"/>
      <c r="D216" s="626"/>
      <c r="E216" s="626"/>
      <c r="F216" s="626"/>
      <c r="G216" s="626"/>
      <c r="H216" s="626"/>
      <c r="I216" s="626"/>
      <c r="J216" s="626"/>
      <c r="K216" s="630"/>
      <c r="L216" s="82"/>
    </row>
    <row r="217" spans="1:12" ht="18.75" customHeight="1">
      <c r="A217" s="641"/>
      <c r="B217" s="634" t="str">
        <f>IFERROR(IF(INDEX('Coverage Indicators - Section D'!AL$1:AL$134,MATCH($A202,'Coverage Indicators - Section D'!$A$1:$A$134,0))&lt;&gt;0,INDEX('Coverage Indicators - Section D'!AL$1:AL$134,MATCH($A202,'Coverage Indicators - Section D'!$A$1:$A$134,0)),""),"")</f>
        <v>This indicator is retained as an equity indicator. This target concerns miners (artisanal miners and mining companies). In 2021, the PNLT reported 8132 cases of TB among miners according to DHIS2 data.  Based on the 2021 target, the projection for the three years was made with an annual increase rate of 15%. For an equitable access to TB care, passive and active screening will be done in all these sites. For the passive screening, the presumed patients will be directed to the CSDT/CST and for the active screening, it will be a mass campaign with the collaboration of the RECOs for the transport of the samples to the CSDT. Collaboration with the mining companies will be implemented.   
This is an indicator of equity.</v>
      </c>
      <c r="C217" s="635"/>
      <c r="D217" s="635"/>
      <c r="E217" s="635"/>
      <c r="F217" s="635"/>
      <c r="G217" s="635"/>
      <c r="H217" s="635"/>
      <c r="I217" s="635"/>
      <c r="J217" s="635"/>
      <c r="K217" s="636"/>
      <c r="L217" s="82"/>
    </row>
    <row r="218" spans="1:12" ht="18.75" customHeight="1">
      <c r="A218" s="641"/>
      <c r="B218" s="643"/>
      <c r="C218" s="644"/>
      <c r="D218" s="644"/>
      <c r="E218" s="644"/>
      <c r="F218" s="644"/>
      <c r="G218" s="644"/>
      <c r="H218" s="644"/>
      <c r="I218" s="644"/>
      <c r="J218" s="644"/>
      <c r="K218" s="645"/>
      <c r="L218" s="82"/>
    </row>
    <row r="219" spans="1:12" ht="18.75" customHeight="1">
      <c r="A219" s="641"/>
      <c r="B219" s="643"/>
      <c r="C219" s="644"/>
      <c r="D219" s="644"/>
      <c r="E219" s="644"/>
      <c r="F219" s="644"/>
      <c r="G219" s="644"/>
      <c r="H219" s="644"/>
      <c r="I219" s="644"/>
      <c r="J219" s="644"/>
      <c r="K219" s="645"/>
      <c r="L219" s="82"/>
    </row>
    <row r="220" spans="1:12" ht="18.75" customHeight="1">
      <c r="A220" s="641"/>
      <c r="B220" s="643"/>
      <c r="C220" s="644"/>
      <c r="D220" s="644"/>
      <c r="E220" s="644"/>
      <c r="F220" s="644"/>
      <c r="G220" s="644"/>
      <c r="H220" s="644"/>
      <c r="I220" s="644"/>
      <c r="J220" s="644"/>
      <c r="K220" s="645"/>
      <c r="L220" s="82"/>
    </row>
    <row r="221" spans="1:12" ht="18.75" customHeight="1">
      <c r="A221" s="641"/>
      <c r="B221" s="643"/>
      <c r="C221" s="644"/>
      <c r="D221" s="644"/>
      <c r="E221" s="644"/>
      <c r="F221" s="644"/>
      <c r="G221" s="644"/>
      <c r="H221" s="644"/>
      <c r="I221" s="644"/>
      <c r="J221" s="644"/>
      <c r="K221" s="645"/>
      <c r="L221" s="82"/>
    </row>
    <row r="222" spans="1:12" ht="18.75" customHeight="1">
      <c r="A222" s="641"/>
      <c r="B222" s="643"/>
      <c r="C222" s="644"/>
      <c r="D222" s="644"/>
      <c r="E222" s="644"/>
      <c r="F222" s="644"/>
      <c r="G222" s="644"/>
      <c r="H222" s="644"/>
      <c r="I222" s="644"/>
      <c r="J222" s="644"/>
      <c r="K222" s="645"/>
      <c r="L222" s="82"/>
    </row>
    <row r="223" spans="1:12" ht="18.75" customHeight="1">
      <c r="A223" s="641"/>
      <c r="B223" s="643"/>
      <c r="C223" s="644"/>
      <c r="D223" s="644"/>
      <c r="E223" s="644"/>
      <c r="F223" s="644"/>
      <c r="G223" s="644"/>
      <c r="H223" s="644"/>
      <c r="I223" s="644"/>
      <c r="J223" s="644"/>
      <c r="K223" s="645"/>
      <c r="L223" s="82"/>
    </row>
    <row r="224" spans="1:12" ht="18.75" customHeight="1">
      <c r="A224" s="641"/>
      <c r="B224" s="643"/>
      <c r="C224" s="644"/>
      <c r="D224" s="644"/>
      <c r="E224" s="644"/>
      <c r="F224" s="644"/>
      <c r="G224" s="644"/>
      <c r="H224" s="644"/>
      <c r="I224" s="644"/>
      <c r="J224" s="644"/>
      <c r="K224" s="645"/>
      <c r="L224" s="82"/>
    </row>
    <row r="225" spans="1:12" ht="18.75" customHeight="1">
      <c r="A225" s="641"/>
      <c r="B225" s="643"/>
      <c r="C225" s="644"/>
      <c r="D225" s="644"/>
      <c r="E225" s="644"/>
      <c r="F225" s="644"/>
      <c r="G225" s="644"/>
      <c r="H225" s="644"/>
      <c r="I225" s="644"/>
      <c r="J225" s="644"/>
      <c r="K225" s="645"/>
      <c r="L225" s="82"/>
    </row>
    <row r="226" spans="1:12" ht="18.75" customHeight="1">
      <c r="A226" s="642"/>
      <c r="B226" s="637"/>
      <c r="C226" s="638"/>
      <c r="D226" s="638"/>
      <c r="E226" s="638"/>
      <c r="F226" s="638"/>
      <c r="G226" s="638"/>
      <c r="H226" s="638"/>
      <c r="I226" s="638"/>
      <c r="J226" s="638"/>
      <c r="K226" s="639"/>
      <c r="L226" s="82"/>
    </row>
    <row r="227" spans="1:12" ht="18.75" customHeight="1">
      <c r="A227" s="625"/>
      <c r="B227" s="626"/>
      <c r="C227" s="626"/>
      <c r="D227" s="626"/>
      <c r="E227" s="626"/>
      <c r="F227" s="626"/>
      <c r="G227" s="626"/>
      <c r="H227" s="626"/>
      <c r="I227" s="626"/>
      <c r="J227" s="626"/>
      <c r="K227" s="630"/>
      <c r="L227" s="82"/>
    </row>
    <row r="229" spans="1:12" ht="18.75" customHeight="1">
      <c r="A229" s="89" t="s">
        <v>5051</v>
      </c>
      <c r="B229" s="625" t="s">
        <v>1077</v>
      </c>
      <c r="C229" s="630"/>
      <c r="D229" s="631" t="str">
        <f ca="1">IFERROR(IF(INDEX('Coverage Indicators - Section D'!B$1:B$124,MATCH($A230,'Coverage Indicators - Section D'!$A$1:$A$124,0))&lt;&gt;0,INDEX('Coverage Indicators - Section D'!B$1:B$124,MATCH($A230,'Coverage Indicators - Section D'!$A$1:$A$124,0)),""),"")</f>
        <v>TB/HIV</v>
      </c>
      <c r="E229" s="632"/>
      <c r="F229" s="632"/>
      <c r="G229" s="632"/>
      <c r="H229" s="632"/>
      <c r="I229" s="632"/>
      <c r="J229" s="632"/>
      <c r="K229" s="633"/>
      <c r="L229" s="82"/>
    </row>
    <row r="230" spans="1:12" ht="18.75" customHeight="1">
      <c r="A230" s="640">
        <v>9</v>
      </c>
      <c r="B230" s="625" t="s">
        <v>765</v>
      </c>
      <c r="C230" s="626"/>
      <c r="D230" s="626"/>
      <c r="E230" s="626"/>
      <c r="F230" s="630"/>
      <c r="G230" s="625" t="s">
        <v>766</v>
      </c>
      <c r="H230" s="626"/>
      <c r="I230" s="626"/>
      <c r="J230" s="626"/>
      <c r="K230" s="630"/>
      <c r="L230" s="82"/>
    </row>
    <row r="231" spans="1:12" ht="18.75" customHeight="1">
      <c r="A231" s="641"/>
      <c r="B231" s="634" t="str">
        <f>IFERROR(IF(INDEX('Coverage Indicators - Section D'!C$1:C$124,MATCH($A230,'Coverage Indicators - Section D'!$A$1:$A$124,0))&lt;&gt;0,INDEX('Coverage Indicators - Section D'!C$1:C$124,MATCH($A230,'Coverage Indicators - Section D'!$A$1:$A$124,0)),""),"")</f>
        <v>TB/HIV-5 Percentage of registered new and relapse TB patients with documented HIV status</v>
      </c>
      <c r="C231" s="635"/>
      <c r="D231" s="635"/>
      <c r="E231" s="635"/>
      <c r="F231" s="636"/>
      <c r="G231" s="634" t="str">
        <f>IFERROR(IF(INDEX('Coverage Indicators - Section D'!D$1:D$124,MATCH($A230,'Coverage Indicators - Section D'!$A$1:$A$124,0))&lt;&gt;0,INDEX('Coverage Indicators - Section D'!D$1:D$124,MATCH($A230,'Coverage Indicators - Section D'!$A$1:$A$124,0)),""),"")</f>
        <v/>
      </c>
      <c r="H231" s="635"/>
      <c r="I231" s="635"/>
      <c r="J231" s="635"/>
      <c r="K231" s="636"/>
      <c r="L231" s="82"/>
    </row>
    <row r="232" spans="1:12" ht="18.75" customHeight="1">
      <c r="A232" s="641"/>
      <c r="B232" s="643"/>
      <c r="C232" s="644"/>
      <c r="D232" s="644"/>
      <c r="E232" s="644"/>
      <c r="F232" s="645"/>
      <c r="G232" s="643"/>
      <c r="H232" s="644"/>
      <c r="I232" s="644"/>
      <c r="J232" s="644"/>
      <c r="K232" s="645"/>
      <c r="L232" s="82"/>
    </row>
    <row r="233" spans="1:12" ht="18.75" customHeight="1">
      <c r="A233" s="641"/>
      <c r="B233" s="637"/>
      <c r="C233" s="638"/>
      <c r="D233" s="638"/>
      <c r="E233" s="638"/>
      <c r="F233" s="639"/>
      <c r="G233" s="637"/>
      <c r="H233" s="638"/>
      <c r="I233" s="638"/>
      <c r="J233" s="638"/>
      <c r="K233" s="639"/>
      <c r="L233" s="82"/>
    </row>
    <row r="234" spans="1:12" ht="18.75" customHeight="1">
      <c r="A234" s="641"/>
      <c r="B234" s="625" t="s">
        <v>769</v>
      </c>
      <c r="C234" s="626"/>
      <c r="D234" s="630"/>
      <c r="E234" s="625" t="s">
        <v>216</v>
      </c>
      <c r="F234" s="626"/>
      <c r="G234" s="630"/>
      <c r="H234" s="625" t="s">
        <v>127</v>
      </c>
      <c r="I234" s="626"/>
      <c r="J234" s="630"/>
      <c r="K234" s="89" t="s">
        <v>2204</v>
      </c>
      <c r="L234" s="82"/>
    </row>
    <row r="235" spans="1:12" ht="18.75" customHeight="1">
      <c r="A235" s="641"/>
      <c r="B235" s="631" t="str">
        <f>IFERROR(IF(INDEX('Coverage Indicators - Section D'!I$9:I$92,MATCH($A230,'Coverage Indicators - Section D'!$A$9:$A$92,0))&lt;&gt;0,INDEX('Coverage Indicators - Section D'!I$9:I$92,MATCH($A230,'Coverage Indicators - Section D'!$A$9:$A$92,0)),""),"")</f>
        <v>Gender,HIV status,Age</v>
      </c>
      <c r="C235" s="632"/>
      <c r="D235" s="633"/>
      <c r="E235" s="631" t="str">
        <f>IFERROR(IF(INDEX('Coverage Indicators - Section D'!M$1:M$124,MATCH($A230,'Coverage Indicators - Section D'!$A$1:$A$124,0))&lt;&gt;0,INDEX('Coverage Indicators - Section D'!M$1:M$124,MATCH($A230,'Coverage Indicators - Section D'!$A$1:$A$124,0)),""),"")</f>
        <v>Non cumulative</v>
      </c>
      <c r="F235" s="632"/>
      <c r="G235" s="633"/>
      <c r="H235" s="631" t="str">
        <f>IFERROR(IF(INDEX('Coverage Indicators - Section D'!L$1:L$124,MATCH($A230,'Coverage Indicators - Section D'!$A$1:$A$124,0))&lt;&gt;0,INDEX('Coverage Indicators - Section D'!L$1:L$124,MATCH($A230,'Coverage Indicators - Section D'!$A$1:$A$124,0)),""),"")</f>
        <v>Congo (Democratic Republic)</v>
      </c>
      <c r="I235" s="632"/>
      <c r="J235" s="633"/>
      <c r="K235" s="90" t="str">
        <f>IFERROR(IF(INDEX('Coverage Indicators - Section D'!J$1:J$124,MATCH($A230,'Coverage Indicators - Section D'!$A$1:$A$124,0))&lt;&gt;0,INDEX('Coverage Indicators - Section D'!J$1:J$124,MATCH($A230,'Coverage Indicators - Section D'!$A$1:$A$124,0)),""),"")</f>
        <v>Yes</v>
      </c>
      <c r="L235" s="82"/>
    </row>
    <row r="236" spans="1:12" ht="18.75" customHeight="1">
      <c r="A236" s="641"/>
      <c r="B236" s="625" t="s">
        <v>199</v>
      </c>
      <c r="C236" s="626"/>
      <c r="D236" s="630"/>
      <c r="E236" s="625" t="s">
        <v>5060</v>
      </c>
      <c r="F236" s="626"/>
      <c r="G236" s="630"/>
      <c r="H236" s="625" t="s">
        <v>120</v>
      </c>
      <c r="I236" s="626"/>
      <c r="J236" s="626"/>
      <c r="K236" s="630"/>
      <c r="L236" s="82"/>
    </row>
    <row r="237" spans="1:12" ht="18.75" customHeight="1">
      <c r="A237" s="641"/>
      <c r="B237" s="634" t="str">
        <f>IFERROR(IF(INDEX('Coverage Indicators - Section D'!H$1:H$124,MATCH($A230,'Coverage Indicators - Section D'!$A$1:$A$124,0))&lt;&gt;0,INDEX('Coverage Indicators - Section D'!H$1:H$124,MATCH($A230,'Coverage Indicators - Section D'!$A$1:$A$124,0)),""),"")</f>
        <v>WHO TB Global Report 2022</v>
      </c>
      <c r="C237" s="635"/>
      <c r="D237" s="636"/>
      <c r="E237" s="634" t="str">
        <f>IFERROR(IF(INDEX('Coverage Indicators - Section D'!L$1:L$124,MATCH($A230,'Coverage Indicators - Section D'!$A$1:$A$124,0)+1)&lt;&gt;0,INDEX('Coverage Indicators - Section D'!L$1:L$124,MATCH($A230,'Coverage Indicators - Section D'!$A$1:$A$124,0)+1),""),"")</f>
        <v>Geographic National, 100% of national program target</v>
      </c>
      <c r="F237" s="635"/>
      <c r="G237" s="636"/>
      <c r="H237" s="634" t="str">
        <f ca="1">IFERROR(IF(AND('Overview - Section A'!AS$1="Grant Making",OR(B231&lt;&gt;"",G231&lt;&gt;"")),Setup!I15,IF(INDEX('Coverage Indicators - Section D'!K$1:K$124,MATCH($A230,'Coverage Indicators - Section D'!$A$1:$A$124,0))&lt;&gt;0,INDEX('Coverage Indicators - Section D'!K$1:K$124,MATCH($A230,'Coverage Indicators - Section D'!$A$1:$A$124,0)),"")),"")</f>
        <v>Ministry of Public Health, Hygiene and Prevention</v>
      </c>
      <c r="I237" s="635"/>
      <c r="J237" s="635"/>
      <c r="K237" s="636"/>
      <c r="L237" s="82"/>
    </row>
    <row r="238" spans="1:12" ht="18.75" customHeight="1">
      <c r="A238" s="641"/>
      <c r="B238" s="637"/>
      <c r="C238" s="638"/>
      <c r="D238" s="639"/>
      <c r="E238" s="637"/>
      <c r="F238" s="638"/>
      <c r="G238" s="639"/>
      <c r="H238" s="637"/>
      <c r="I238" s="638"/>
      <c r="J238" s="638"/>
      <c r="K238" s="639"/>
      <c r="L238" s="82"/>
    </row>
    <row r="239" spans="1:12" ht="18.75" customHeight="1">
      <c r="A239" s="641"/>
      <c r="B239" s="89"/>
      <c r="C239" s="89" t="s">
        <v>5052</v>
      </c>
      <c r="D239" s="625" t="s">
        <v>5053</v>
      </c>
      <c r="E239" s="626"/>
      <c r="F239" s="626"/>
      <c r="G239" s="626"/>
      <c r="H239" s="626"/>
      <c r="I239" s="626"/>
      <c r="J239" s="626"/>
      <c r="K239" s="630"/>
      <c r="L239" s="82"/>
    </row>
    <row r="240" spans="1:12" ht="18.75" customHeight="1">
      <c r="A240" s="641"/>
      <c r="B240" s="89" t="s">
        <v>2589</v>
      </c>
      <c r="C240" s="90">
        <f>IFERROR(IF(INDEX('Coverage Indicators - Section D'!G$1:G$124,MATCH($A230,'Coverage Indicators - Section D'!$A$1:$A$124,0))&lt;&gt;0,INDEX('Coverage Indicators - Section D'!G$1:G$124,MATCH($A230,'Coverage Indicators - Section D'!$A$1:$A$124,0)),""),"")</f>
        <v>2022</v>
      </c>
      <c r="D240"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240"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240"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240"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240"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240"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240"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240"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240" s="82"/>
    </row>
    <row r="241" spans="1:12" s="93" customFormat="1" ht="18.75" customHeight="1">
      <c r="A241" s="641"/>
      <c r="B241" s="89" t="s">
        <v>5054</v>
      </c>
      <c r="C241" s="91" t="str">
        <f>IFERROR(IF(INDEX('Coverage Indicators - Section D'!E$1:E$124,MATCH($A230,'Coverage Indicators - Section D'!$A$1:$A$124,0))&lt;&gt;"",INDEX('Coverage Indicators - Section D'!E$1:E$124,MATCH($A230,'Coverage Indicators - Section D'!$A$1:$A$124,0)),""),"")</f>
        <v/>
      </c>
      <c r="D241" s="91" t="str">
        <f ca="1">IFERROR(IF(INDEX('Coverage Indicators - Section D'!N$1:N$124,MATCH($A230,'Coverage Indicators - Section D'!$A$1:$A$124,0))&lt;&gt;"",INDEX('Coverage Indicators - Section D'!N$1:N$124,MATCH($A230,'Coverage Indicators - Section D'!$A$1:$A$124,0)),""),"")</f>
        <v/>
      </c>
      <c r="E241" s="91" t="str">
        <f ca="1">IFERROR(IF(INDEX('Coverage Indicators - Section D'!Q$1:Q$124,MATCH($A230,'Coverage Indicators - Section D'!$A$1:$A$124,0))&lt;&gt;"",INDEX('Coverage Indicators - Section D'!Q$1:Q$124,MATCH($A230,'Coverage Indicators - Section D'!$A$1:$A$124,0)),""),"")</f>
        <v/>
      </c>
      <c r="F241" s="91" t="str">
        <f ca="1">IFERROR(IF(INDEX('Coverage Indicators - Section D'!T$1:T$124,MATCH($A230,'Coverage Indicators - Section D'!$A$1:$A$124,0))&lt;&gt;"",INDEX('Coverage Indicators - Section D'!T$1:T$124,MATCH($A230,'Coverage Indicators - Section D'!$A$1:$A$124,0)),""),"")</f>
        <v/>
      </c>
      <c r="G241" s="91" t="str">
        <f ca="1">IFERROR(IF(INDEX('Coverage Indicators - Section D'!W$1:W$124,MATCH($A230,'Coverage Indicators - Section D'!$A$1:$A$124,0))&lt;&gt;"",INDEX('Coverage Indicators - Section D'!W$1:W$124,MATCH($A230,'Coverage Indicators - Section D'!$A$1:$A$124,0)),""),"")</f>
        <v/>
      </c>
      <c r="H241" s="91" t="str">
        <f ca="1">IFERROR(IF(INDEX('Coverage Indicators - Section D'!Z$1:Z$124,MATCH($A230,'Coverage Indicators - Section D'!$A$1:$A$124,0))&lt;&gt;"",INDEX('Coverage Indicators - Section D'!Z$1:Z$124,MATCH($A230,'Coverage Indicators - Section D'!$A$1:$A$124,0)),""),"")</f>
        <v/>
      </c>
      <c r="I241" s="91" t="str">
        <f ca="1">IFERROR(IF(INDEX('Coverage Indicators - Section D'!AC$1:AC$124,MATCH($A230,'Coverage Indicators - Section D'!$A$1:$A$124,0))&lt;&gt;"",INDEX('Coverage Indicators - Section D'!AC$1:AC$124,MATCH($A230,'Coverage Indicators - Section D'!$A$1:$A$124,0)),""),"")</f>
        <v/>
      </c>
      <c r="J241" s="91" t="str">
        <f ca="1">IFERROR(IF(INDEX('Coverage Indicators - Section D'!AF$1:AF$124,MATCH($A230,'Coverage Indicators - Section D'!$A$1:$A$124,0))&lt;&gt;"",INDEX('Coverage Indicators - Section D'!AF$1:AF$124,MATCH($A230,'Coverage Indicators - Section D'!$A$1:$A$124,0)),""),"")</f>
        <v/>
      </c>
      <c r="K241" s="91" t="str">
        <f ca="1">IFERROR(IF(INDEX('Coverage Indicators - Section D'!AI$1:AI$124,MATCH($A230,'Coverage Indicators - Section D'!$A$1:$A$124,0))&lt;&gt;"",INDEX('Coverage Indicators - Section D'!AI$1:AI$124,MATCH($A230,'Coverage Indicators - Section D'!$A$1:$A$124,0)),""),"")</f>
        <v/>
      </c>
      <c r="L241" s="92"/>
    </row>
    <row r="242" spans="1:12" s="96" customFormat="1" ht="18.75" customHeight="1">
      <c r="A242" s="641"/>
      <c r="B242" s="89" t="s">
        <v>5055</v>
      </c>
      <c r="C242" s="94" t="str">
        <f>IFERROR(IF(INDEX('Coverage Indicators - Section D'!E$1:E$124,MATCH($A230,'Coverage Indicators - Section D'!$A$1:$A$124,0)+1)&lt;&gt;"",INDEX('Coverage Indicators - Section D'!E$1:E$124,MATCH($A230,'Coverage Indicators - Section D'!$A$1:$A$124,0)+1),""),"")</f>
        <v/>
      </c>
      <c r="D242" s="94" t="str">
        <f ca="1">IFERROR(IF(INDEX('Coverage Indicators - Section D'!N$1:N$124,MATCH($A230,'Coverage Indicators - Section D'!$A$1:$A$124,0)+1)&lt;&gt;"",INDEX('Coverage Indicators - Section D'!N$1:N$124,MATCH($A230,'Coverage Indicators - Section D'!$A$1:$A$124,0)+1),""),"")</f>
        <v/>
      </c>
      <c r="E242" s="94" t="str">
        <f ca="1">IFERROR(IF(INDEX('Coverage Indicators - Section D'!Q$1:Q$124,MATCH($A230,'Coverage Indicators - Section D'!$A$1:$A$124,0)+1)&lt;&gt;"",INDEX('Coverage Indicators - Section D'!Q$1:Q$124,MATCH($A230,'Coverage Indicators - Section D'!$A$1:$A$124,0)+1),""),"")</f>
        <v/>
      </c>
      <c r="F242" s="94" t="str">
        <f ca="1">IFERROR(IF(INDEX('Coverage Indicators - Section D'!T$1:T$124,MATCH($A230,'Coverage Indicators - Section D'!$A$1:$A$124,0)+1)&lt;&gt;"",INDEX('Coverage Indicators - Section D'!T$1:T$124,MATCH($A230,'Coverage Indicators - Section D'!$A$1:$A$124,0)+1),""),"")</f>
        <v/>
      </c>
      <c r="G242" s="94" t="str">
        <f ca="1">IFERROR(IF(INDEX('Coverage Indicators - Section D'!W$1:W$124,MATCH($A230,'Coverage Indicators - Section D'!$A$1:$A$124,0)+1)&lt;&gt;"",INDEX('Coverage Indicators - Section D'!W$1:W$124,MATCH($A230,'Coverage Indicators - Section D'!$A$1:$A$124,0)+1),""),"")</f>
        <v/>
      </c>
      <c r="H242" s="94" t="str">
        <f ca="1">IFERROR(IF(INDEX('Coverage Indicators - Section D'!Z$1:Z$124,MATCH($A230,'Coverage Indicators - Section D'!$A$1:$A$124,0)+1)&lt;&gt;"",INDEX('Coverage Indicators - Section D'!Z$1:Z$124,MATCH($A230,'Coverage Indicators - Section D'!$A$1:$A$124,0)+1),""),"")</f>
        <v/>
      </c>
      <c r="I242" s="94" t="str">
        <f ca="1">IFERROR(IF(INDEX('Coverage Indicators - Section D'!AC$1:AC$124,MATCH($A230,'Coverage Indicators - Section D'!$A$1:$A$124,0)+1)&lt;&gt;"",INDEX('Coverage Indicators - Section D'!AC$1:AC$124,MATCH($A230,'Coverage Indicators - Section D'!$A$1:$A$124,0)+1),""),"")</f>
        <v/>
      </c>
      <c r="J242" s="94" t="str">
        <f ca="1">IFERROR(IF(INDEX('Coverage Indicators - Section D'!AF$1:AF$124,MATCH($A230,'Coverage Indicators - Section D'!$A$1:$A$124,0)+1)&lt;&gt;"",INDEX('Coverage Indicators - Section D'!AF$1:AF$124,MATCH($A230,'Coverage Indicators - Section D'!$A$1:$A$124,0)+1),""),"")</f>
        <v/>
      </c>
      <c r="K242" s="94" t="str">
        <f ca="1">IFERROR(IF(INDEX('Coverage Indicators - Section D'!AI$1:AI$124,MATCH($A230,'Coverage Indicators - Section D'!$A$1:$A$124,0)+1)&lt;&gt;"",INDEX('Coverage Indicators - Section D'!AI$1:AI$124,MATCH($A230,'Coverage Indicators - Section D'!$A$1:$A$124,0)+1),""),"")</f>
        <v/>
      </c>
      <c r="L242" s="95"/>
    </row>
    <row r="243" spans="1:12" ht="18.75" customHeight="1">
      <c r="A243" s="641"/>
      <c r="B243" s="89" t="s">
        <v>5056</v>
      </c>
      <c r="C243" s="90" t="str">
        <f ca="1">IFERROR(IF(INDEX('Coverage Indicators - Section D'!F$1:F$124,MATCH($A230,'Coverage Indicators - Section D'!$A$1:$A$124,0))&lt;&gt;"",FIXED(INDEX('Coverage Indicators - Section D'!F$1:F$124,MATCH($A230,'Coverage Indicators - Section D'!$A$1:$A$124,0))*100,2)&amp;"%",""),"")</f>
        <v>75.00%</v>
      </c>
      <c r="D243" s="90" t="str">
        <f>IFERROR(IF(INDEX('Coverage Indicators - Section D'!O$1:O$124,MATCH($A230,'Coverage Indicators - Section D'!$A$1:$A$124,0))&lt;&gt;"",FIXED(INDEX('Coverage Indicators - Section D'!O$1:O$124,MATCH($A230,'Coverage Indicators - Section D'!$A$1:$A$124,0))*100,2)&amp;"%",""),"")&amp;CHAR(10)&amp;IFERROR(IF(INDEX('Coverage Indicators - Section D'!P$1:P$124,MATCH($A230,'Coverage Indicators - Section D'!$A$1:$A$124,0))&lt;&gt;"",INDEX('Coverage Indicators - Section D'!P$1:P$124,MATCH($A230,'Coverage Indicators - Section D'!$A$1:$A$124,0)),""),"")</f>
        <v xml:space="preserve">80.00%
</v>
      </c>
      <c r="E243" s="90" t="str">
        <f>IFERROR(IF(INDEX('Coverage Indicators - Section D'!R$1:R$124,MATCH($A230,'Coverage Indicators - Section D'!$A$1:$A$124,0))&lt;&gt;"",FIXED(INDEX('Coverage Indicators - Section D'!R$1:R$124,MATCH($A230,'Coverage Indicators - Section D'!$A$1:$A$124,0))*100,2)&amp;"%",""),"")&amp;CHAR(10)&amp;IFERROR(IF(INDEX('Coverage Indicators - Section D'!S$1:S$124,MATCH($A230,'Coverage Indicators - Section D'!$A$1:$A$124,0))&lt;&gt;"",INDEX('Coverage Indicators - Section D'!S$1:S$124,MATCH($A230,'Coverage Indicators - Section D'!$A$1:$A$124,0)),""),"")</f>
        <v xml:space="preserve">80.00%
</v>
      </c>
      <c r="F243" s="90" t="str">
        <f>IFERROR(IF(INDEX('Coverage Indicators - Section D'!U$1:U$124,MATCH($A230,'Coverage Indicators - Section D'!$A$1:$A$124,0))&lt;&gt;"",FIXED(INDEX('Coverage Indicators - Section D'!U$1:U$124,MATCH($A230,'Coverage Indicators - Section D'!$A$1:$A$124,0))*100,2)&amp;"%",""),"")&amp;CHAR(10)&amp;IFERROR(IF(INDEX('Coverage Indicators - Section D'!V$1:V$124,MATCH($A230,'Coverage Indicators - Section D'!$A$1:$A$124,0))&lt;&gt;"",INDEX('Coverage Indicators - Section D'!V$1:V$124,MATCH($A230,'Coverage Indicators - Section D'!$A$1:$A$124,0)),""),"")</f>
        <v xml:space="preserve">85.00%
</v>
      </c>
      <c r="G243" s="90" t="str">
        <f>IFERROR(IF(INDEX('Coverage Indicators - Section D'!X$1:X$124,MATCH($A230,'Coverage Indicators - Section D'!$A$1:$A$124,0))&lt;&gt;"",FIXED(INDEX('Coverage Indicators - Section D'!X$1:X$124,MATCH($A230,'Coverage Indicators - Section D'!$A$1:$A$124,0))*100,2)&amp;"%",""),"")&amp;CHAR(10)&amp;IFERROR(IF(INDEX('Coverage Indicators - Section D'!Y$1:Y$124,MATCH($A230,'Coverage Indicators - Section D'!$A$1:$A$124,0))&lt;&gt;"",INDEX('Coverage Indicators - Section D'!Y$1:Y$124,MATCH($A230,'Coverage Indicators - Section D'!$A$1:$A$124,0)),""),"")</f>
        <v xml:space="preserve">85.00%
</v>
      </c>
      <c r="H243" s="90" t="str">
        <f>IFERROR(IF(INDEX('Coverage Indicators - Section D'!AA$1:AA$124,MATCH(A230,'Coverage Indicators - Section D'!$A$1:$A$124,0))&lt;&gt;"",FIXED(INDEX('Coverage Indicators - Section D'!AA$1:AA$124,MATCH($A230,'Coverage Indicators - Section D'!$A$1:$A$124,0))*100,2)&amp;"%",""),"")&amp;CHAR(10)&amp;IFERROR(IF(INDEX('Coverage Indicators - Section D'!AB$1:AB$124,MATCH($A230,'Coverage Indicators - Section D'!$A$1:$A$124,0))&lt;&gt;"",INDEX('Coverage Indicators - Section D'!AB$1:AB$124,MATCH($A230,'Coverage Indicators - Section D'!$A$1:$A$124,0)),""),"")</f>
        <v xml:space="preserve">90.00%
</v>
      </c>
      <c r="I243" s="90" t="str">
        <f>IFERROR(IF(INDEX('Coverage Indicators - Section D'!AD$1:AD$124,MATCH($A230,'Coverage Indicators - Section D'!$A$1:$A$124,0))&lt;&gt;"",FIXED(INDEX('Coverage Indicators - Section D'!AD$1:AD$124,MATCH($A230,'Coverage Indicators - Section D'!$A$1:$A$124,0))*100,2)&amp;"%",""),"")&amp;CHAR(10)&amp;IFERROR(IF(INDEX('Coverage Indicators - Section D'!AE$1:AE$124,MATCH($A230,'Coverage Indicators - Section D'!$A$1:$A$124,0))&lt;&gt;"",INDEX('Coverage Indicators - Section D'!AE$1:AE$124,MATCH($A230,'Coverage Indicators - Section D'!$A$1:$A$124,0)),""),"")</f>
        <v xml:space="preserve">90.00%
</v>
      </c>
      <c r="J243" s="90" t="str">
        <f>IFERROR(IF(INDEX('Coverage Indicators - Section D'!AG$1:AG$124,MATCH($A230,'Coverage Indicators - Section D'!$A$1:$A$124,0))&lt;&gt;"",FIXED(INDEX('Coverage Indicators - Section D'!AG$1:AG$124,MATCH($A230,'Coverage Indicators - Section D'!$A$1:$A$124,0))*100,2)&amp;"%",""),"")&amp;CHAR(10)&amp;IFERROR(IF(INDEX('Coverage Indicators - Section D'!AH$1:AH$124,MATCH($A230,'Coverage Indicators - Section D'!$A$1:$A$124,0))&lt;&gt;"",INDEX('Coverage Indicators - Section D'!AH$1:AH$124,MATCH($A230,'Coverage Indicators - Section D'!$A$1:$A$124,0)),""),"")</f>
        <v xml:space="preserve">
</v>
      </c>
      <c r="K243" s="90" t="str">
        <f>IFERROR(IF(INDEX('Coverage Indicators - Section D'!AJ$1:AJ$124,MATCH($A230,'Coverage Indicators - Section D'!$A$1:$A$124,0))&lt;&gt;"",FIXED(INDEX('Coverage Indicators - Section D'!AJ$1:AJ$124,MATCH($A230,'Coverage Indicators - Section D'!$A$1:$A$124,0))*100,2)&amp;"%",""),"")&amp;CHAR(10)&amp;IFERROR(IF(INDEX('Coverage Indicators - Section D'!AK$1:AK$124,MATCH($A230,'Coverage Indicators - Section D'!$A$1:$A$124,0))&lt;&gt;"",INDEX('Coverage Indicators - Section D'!AK$1:AK$124,MATCH($A230,'Coverage Indicators - Section D'!$A$1:$A$124,0)),""),"")</f>
        <v xml:space="preserve">
</v>
      </c>
      <c r="L243" s="82"/>
    </row>
    <row r="244" spans="1:12" ht="18.75" customHeight="1">
      <c r="A244" s="641"/>
      <c r="B244" s="625" t="s">
        <v>176</v>
      </c>
      <c r="C244" s="626"/>
      <c r="D244" s="626"/>
      <c r="E244" s="626"/>
      <c r="F244" s="626"/>
      <c r="G244" s="626"/>
      <c r="H244" s="626"/>
      <c r="I244" s="626"/>
      <c r="J244" s="626"/>
      <c r="K244" s="630"/>
      <c r="L244" s="82"/>
    </row>
    <row r="245" spans="1:12" ht="18.75" customHeight="1">
      <c r="A245" s="641"/>
      <c r="B245" s="634" t="str">
        <f>IFERROR(IF(INDEX('Coverage Indicators - Section D'!AL$1:AL$134,MATCH($A230,'Coverage Indicators - Section D'!$A$1:$A$134,0))&lt;&gt;0,INDEX('Coverage Indicators - Section D'!AL$1:AL$134,MATCH($A230,'Coverage Indicators - Section D'!$A$1:$A$134,0)),""),"")</f>
        <v>In 2021, 77% of patients knew their HIV status, according to the DHIS2 data for 2021. Assuming that we will reach 80% in 2023, this proportion will increase to 83% in 2024, 86% in 2025 and 89% in 2026. The numerator is the number of TB patients (new and relapsed) who know their HIV status at a given time during their TB treatment and the denominator is the number of TB patients (new cases and relapsed) screened during the same insured period. Each year, the country aims to increase the number of patients who know their HIV status by 5%. 80% in 2024, 85% in 2025 and 90% in 2026.</v>
      </c>
      <c r="C245" s="635"/>
      <c r="D245" s="635"/>
      <c r="E245" s="635"/>
      <c r="F245" s="635"/>
      <c r="G245" s="635"/>
      <c r="H245" s="635"/>
      <c r="I245" s="635"/>
      <c r="J245" s="635"/>
      <c r="K245" s="636"/>
      <c r="L245" s="82"/>
    </row>
    <row r="246" spans="1:12" ht="18.75" customHeight="1">
      <c r="A246" s="641"/>
      <c r="B246" s="643"/>
      <c r="C246" s="644"/>
      <c r="D246" s="644"/>
      <c r="E246" s="644"/>
      <c r="F246" s="644"/>
      <c r="G246" s="644"/>
      <c r="H246" s="644"/>
      <c r="I246" s="644"/>
      <c r="J246" s="644"/>
      <c r="K246" s="645"/>
      <c r="L246" s="82"/>
    </row>
    <row r="247" spans="1:12" ht="18.75" customHeight="1">
      <c r="A247" s="641"/>
      <c r="B247" s="643"/>
      <c r="C247" s="644"/>
      <c r="D247" s="644"/>
      <c r="E247" s="644"/>
      <c r="F247" s="644"/>
      <c r="G247" s="644"/>
      <c r="H247" s="644"/>
      <c r="I247" s="644"/>
      <c r="J247" s="644"/>
      <c r="K247" s="645"/>
      <c r="L247" s="82"/>
    </row>
    <row r="248" spans="1:12" ht="18.75" customHeight="1">
      <c r="A248" s="641"/>
      <c r="B248" s="643"/>
      <c r="C248" s="644"/>
      <c r="D248" s="644"/>
      <c r="E248" s="644"/>
      <c r="F248" s="644"/>
      <c r="G248" s="644"/>
      <c r="H248" s="644"/>
      <c r="I248" s="644"/>
      <c r="J248" s="644"/>
      <c r="K248" s="645"/>
      <c r="L248" s="82"/>
    </row>
    <row r="249" spans="1:12" ht="18.75" customHeight="1">
      <c r="A249" s="641"/>
      <c r="B249" s="643"/>
      <c r="C249" s="644"/>
      <c r="D249" s="644"/>
      <c r="E249" s="644"/>
      <c r="F249" s="644"/>
      <c r="G249" s="644"/>
      <c r="H249" s="644"/>
      <c r="I249" s="644"/>
      <c r="J249" s="644"/>
      <c r="K249" s="645"/>
      <c r="L249" s="82"/>
    </row>
    <row r="250" spans="1:12" ht="18.75" customHeight="1">
      <c r="A250" s="641"/>
      <c r="B250" s="643"/>
      <c r="C250" s="644"/>
      <c r="D250" s="644"/>
      <c r="E250" s="644"/>
      <c r="F250" s="644"/>
      <c r="G250" s="644"/>
      <c r="H250" s="644"/>
      <c r="I250" s="644"/>
      <c r="J250" s="644"/>
      <c r="K250" s="645"/>
      <c r="L250" s="82"/>
    </row>
    <row r="251" spans="1:12" ht="18.75" customHeight="1">
      <c r="A251" s="641"/>
      <c r="B251" s="643"/>
      <c r="C251" s="644"/>
      <c r="D251" s="644"/>
      <c r="E251" s="644"/>
      <c r="F251" s="644"/>
      <c r="G251" s="644"/>
      <c r="H251" s="644"/>
      <c r="I251" s="644"/>
      <c r="J251" s="644"/>
      <c r="K251" s="645"/>
      <c r="L251" s="82"/>
    </row>
    <row r="252" spans="1:12" ht="18.75" customHeight="1">
      <c r="A252" s="641"/>
      <c r="B252" s="643"/>
      <c r="C252" s="644"/>
      <c r="D252" s="644"/>
      <c r="E252" s="644"/>
      <c r="F252" s="644"/>
      <c r="G252" s="644"/>
      <c r="H252" s="644"/>
      <c r="I252" s="644"/>
      <c r="J252" s="644"/>
      <c r="K252" s="645"/>
      <c r="L252" s="82"/>
    </row>
    <row r="253" spans="1:12" ht="18.75" customHeight="1">
      <c r="A253" s="641"/>
      <c r="B253" s="643"/>
      <c r="C253" s="644"/>
      <c r="D253" s="644"/>
      <c r="E253" s="644"/>
      <c r="F253" s="644"/>
      <c r="G253" s="644"/>
      <c r="H253" s="644"/>
      <c r="I253" s="644"/>
      <c r="J253" s="644"/>
      <c r="K253" s="645"/>
      <c r="L253" s="82"/>
    </row>
    <row r="254" spans="1:12" ht="18.75" customHeight="1">
      <c r="A254" s="642"/>
      <c r="B254" s="637"/>
      <c r="C254" s="638"/>
      <c r="D254" s="638"/>
      <c r="E254" s="638"/>
      <c r="F254" s="638"/>
      <c r="G254" s="638"/>
      <c r="H254" s="638"/>
      <c r="I254" s="638"/>
      <c r="J254" s="638"/>
      <c r="K254" s="639"/>
      <c r="L254" s="82"/>
    </row>
    <row r="255" spans="1:12" ht="18.75" customHeight="1">
      <c r="A255" s="625"/>
      <c r="B255" s="626"/>
      <c r="C255" s="626"/>
      <c r="D255" s="626"/>
      <c r="E255" s="626"/>
      <c r="F255" s="626"/>
      <c r="G255" s="626"/>
      <c r="H255" s="626"/>
      <c r="I255" s="626"/>
      <c r="J255" s="626"/>
      <c r="K255" s="630"/>
      <c r="L255" s="82"/>
    </row>
    <row r="257" spans="1:12" ht="18.75" customHeight="1">
      <c r="A257" s="89" t="s">
        <v>5051</v>
      </c>
      <c r="B257" s="625" t="s">
        <v>1077</v>
      </c>
      <c r="C257" s="630"/>
      <c r="D257" s="631" t="str">
        <f ca="1">IFERROR(IF(INDEX('Coverage Indicators - Section D'!B$1:B$124,MATCH($A258,'Coverage Indicators - Section D'!$A$1:$A$124,0))&lt;&gt;0,INDEX('Coverage Indicators - Section D'!B$1:B$124,MATCH($A258,'Coverage Indicators - Section D'!$A$1:$A$124,0)),""),"")</f>
        <v>TB/HIV</v>
      </c>
      <c r="E257" s="632"/>
      <c r="F257" s="632"/>
      <c r="G257" s="632"/>
      <c r="H257" s="632"/>
      <c r="I257" s="632"/>
      <c r="J257" s="632"/>
      <c r="K257" s="633"/>
      <c r="L257" s="82"/>
    </row>
    <row r="258" spans="1:12" ht="18.75" customHeight="1">
      <c r="A258" s="640">
        <v>10</v>
      </c>
      <c r="B258" s="625" t="s">
        <v>765</v>
      </c>
      <c r="C258" s="626"/>
      <c r="D258" s="626"/>
      <c r="E258" s="626"/>
      <c r="F258" s="630"/>
      <c r="G258" s="625" t="s">
        <v>766</v>
      </c>
      <c r="H258" s="626"/>
      <c r="I258" s="626"/>
      <c r="J258" s="626"/>
      <c r="K258" s="630"/>
      <c r="L258" s="82"/>
    </row>
    <row r="259" spans="1:12" ht="18.75" customHeight="1">
      <c r="A259" s="641"/>
      <c r="B259" s="634" t="str">
        <f>IFERROR(IF(INDEX('Coverage Indicators - Section D'!C$1:C$124,MATCH($A258,'Coverage Indicators - Section D'!$A$1:$A$124,0))&lt;&gt;0,INDEX('Coverage Indicators - Section D'!C$1:C$124,MATCH($A258,'Coverage Indicators - Section D'!$A$1:$A$124,0)),""),"")</f>
        <v>TB/HIV-6 Percentage of HIV-positive new and relapse TB patients on ART during TB treatment</v>
      </c>
      <c r="C259" s="635"/>
      <c r="D259" s="635"/>
      <c r="E259" s="635"/>
      <c r="F259" s="636"/>
      <c r="G259" s="634" t="str">
        <f>IFERROR(IF(INDEX('Coverage Indicators - Section D'!D$1:D$124,MATCH($A258,'Coverage Indicators - Section D'!$A$1:$A$124,0))&lt;&gt;0,INDEX('Coverage Indicators - Section D'!D$1:D$124,MATCH($A258,'Coverage Indicators - Section D'!$A$1:$A$124,0)),""),"")</f>
        <v/>
      </c>
      <c r="H259" s="635"/>
      <c r="I259" s="635"/>
      <c r="J259" s="635"/>
      <c r="K259" s="636"/>
      <c r="L259" s="82"/>
    </row>
    <row r="260" spans="1:12" ht="18.75" customHeight="1">
      <c r="A260" s="641"/>
      <c r="B260" s="643"/>
      <c r="C260" s="644"/>
      <c r="D260" s="644"/>
      <c r="E260" s="644"/>
      <c r="F260" s="645"/>
      <c r="G260" s="643"/>
      <c r="H260" s="644"/>
      <c r="I260" s="644"/>
      <c r="J260" s="644"/>
      <c r="K260" s="645"/>
      <c r="L260" s="82"/>
    </row>
    <row r="261" spans="1:12" ht="18.75" customHeight="1">
      <c r="A261" s="641"/>
      <c r="B261" s="637"/>
      <c r="C261" s="638"/>
      <c r="D261" s="638"/>
      <c r="E261" s="638"/>
      <c r="F261" s="639"/>
      <c r="G261" s="637"/>
      <c r="H261" s="638"/>
      <c r="I261" s="638"/>
      <c r="J261" s="638"/>
      <c r="K261" s="639"/>
      <c r="L261" s="82"/>
    </row>
    <row r="262" spans="1:12" ht="18.75" customHeight="1">
      <c r="A262" s="641"/>
      <c r="B262" s="625" t="s">
        <v>769</v>
      </c>
      <c r="C262" s="626"/>
      <c r="D262" s="630"/>
      <c r="E262" s="625" t="s">
        <v>216</v>
      </c>
      <c r="F262" s="626"/>
      <c r="G262" s="630"/>
      <c r="H262" s="625" t="s">
        <v>127</v>
      </c>
      <c r="I262" s="626"/>
      <c r="J262" s="630"/>
      <c r="K262" s="89" t="s">
        <v>2204</v>
      </c>
      <c r="L262" s="82"/>
    </row>
    <row r="263" spans="1:12" ht="18.75" customHeight="1">
      <c r="A263" s="641"/>
      <c r="B263" s="631" t="str">
        <f>IFERROR(IF(INDEX('Coverage Indicators - Section D'!I$9:I$92,MATCH($A258,'Coverage Indicators - Section D'!$A$9:$A$92,0))&lt;&gt;0,INDEX('Coverage Indicators - Section D'!I$9:I$92,MATCH($A258,'Coverage Indicators - Section D'!$A$9:$A$92,0)),""),"")</f>
        <v>Gender,Age</v>
      </c>
      <c r="C263" s="632"/>
      <c r="D263" s="633"/>
      <c r="E263" s="631" t="str">
        <f>IFERROR(IF(INDEX('Coverage Indicators - Section D'!M$1:M$124,MATCH($A258,'Coverage Indicators - Section D'!$A$1:$A$124,0))&lt;&gt;0,INDEX('Coverage Indicators - Section D'!M$1:M$124,MATCH($A258,'Coverage Indicators - Section D'!$A$1:$A$124,0)),""),"")</f>
        <v>Non cumulative</v>
      </c>
      <c r="F263" s="632"/>
      <c r="G263" s="633"/>
      <c r="H263" s="631" t="str">
        <f>IFERROR(IF(INDEX('Coverage Indicators - Section D'!L$1:L$124,MATCH($A258,'Coverage Indicators - Section D'!$A$1:$A$124,0))&lt;&gt;0,INDEX('Coverage Indicators - Section D'!L$1:L$124,MATCH($A258,'Coverage Indicators - Section D'!$A$1:$A$124,0)),""),"")</f>
        <v>Congo (Democratic Republic)</v>
      </c>
      <c r="I263" s="632"/>
      <c r="J263" s="633"/>
      <c r="K263" s="90" t="str">
        <f>IFERROR(IF(INDEX('Coverage Indicators - Section D'!J$1:J$124,MATCH($A258,'Coverage Indicators - Section D'!$A$1:$A$124,0))&lt;&gt;0,INDEX('Coverage Indicators - Section D'!J$1:J$124,MATCH($A258,'Coverage Indicators - Section D'!$A$1:$A$124,0)),""),"")</f>
        <v>Yes</v>
      </c>
      <c r="L263" s="82"/>
    </row>
    <row r="264" spans="1:12" ht="18.75" customHeight="1">
      <c r="A264" s="641"/>
      <c r="B264" s="625" t="s">
        <v>199</v>
      </c>
      <c r="C264" s="626"/>
      <c r="D264" s="630"/>
      <c r="E264" s="625" t="s">
        <v>5060</v>
      </c>
      <c r="F264" s="626"/>
      <c r="G264" s="630"/>
      <c r="H264" s="625" t="s">
        <v>120</v>
      </c>
      <c r="I264" s="626"/>
      <c r="J264" s="626"/>
      <c r="K264" s="630"/>
      <c r="L264" s="82"/>
    </row>
    <row r="265" spans="1:12" ht="18.75" customHeight="1">
      <c r="A265" s="641"/>
      <c r="B265" s="634" t="str">
        <f>IFERROR(IF(INDEX('Coverage Indicators - Section D'!H$1:H$124,MATCH($A258,'Coverage Indicators - Section D'!$A$1:$A$124,0))&lt;&gt;0,INDEX('Coverage Indicators - Section D'!H$1:H$124,MATCH($A258,'Coverage Indicators - Section D'!$A$1:$A$124,0)),""),"")</f>
        <v>WHO TB Global Report 2022</v>
      </c>
      <c r="C265" s="635"/>
      <c r="D265" s="636"/>
      <c r="E265" s="634" t="str">
        <f>IFERROR(IF(INDEX('Coverage Indicators - Section D'!L$1:L$124,MATCH($A258,'Coverage Indicators - Section D'!$A$1:$A$124,0)+1)&lt;&gt;0,INDEX('Coverage Indicators - Section D'!L$1:L$124,MATCH($A258,'Coverage Indicators - Section D'!$A$1:$A$124,0)+1),""),"")</f>
        <v>Geographic National, 100% of national program target</v>
      </c>
      <c r="F265" s="635"/>
      <c r="G265" s="636"/>
      <c r="H265" s="634" t="str">
        <f ca="1">IFERROR(IF(AND('Overview - Section A'!AS$1="Grant Making",OR(B259&lt;&gt;"",G259&lt;&gt;"")),Setup!I15,IF(INDEX('Coverage Indicators - Section D'!K$1:K$124,MATCH($A258,'Coverage Indicators - Section D'!$A$1:$A$124,0))&lt;&gt;0,INDEX('Coverage Indicators - Section D'!K$1:K$124,MATCH($A258,'Coverage Indicators - Section D'!$A$1:$A$124,0)),"")),"")</f>
        <v>Ministry of Public Health, Hygiene and Prevention</v>
      </c>
      <c r="I265" s="635"/>
      <c r="J265" s="635"/>
      <c r="K265" s="636"/>
      <c r="L265" s="82"/>
    </row>
    <row r="266" spans="1:12" ht="18.75" customHeight="1">
      <c r="A266" s="641"/>
      <c r="B266" s="637"/>
      <c r="C266" s="638"/>
      <c r="D266" s="639"/>
      <c r="E266" s="637"/>
      <c r="F266" s="638"/>
      <c r="G266" s="639"/>
      <c r="H266" s="637"/>
      <c r="I266" s="638"/>
      <c r="J266" s="638"/>
      <c r="K266" s="639"/>
      <c r="L266" s="82"/>
    </row>
    <row r="267" spans="1:12" ht="18.75" customHeight="1">
      <c r="A267" s="641"/>
      <c r="B267" s="89"/>
      <c r="C267" s="89" t="s">
        <v>5052</v>
      </c>
      <c r="D267" s="625" t="s">
        <v>5053</v>
      </c>
      <c r="E267" s="626"/>
      <c r="F267" s="626"/>
      <c r="G267" s="626"/>
      <c r="H267" s="626"/>
      <c r="I267" s="626"/>
      <c r="J267" s="626"/>
      <c r="K267" s="630"/>
      <c r="L267" s="82"/>
    </row>
    <row r="268" spans="1:12" ht="18.75" customHeight="1">
      <c r="A268" s="641"/>
      <c r="B268" s="89" t="s">
        <v>2589</v>
      </c>
      <c r="C268" s="90">
        <f>IFERROR(IF(INDEX('Coverage Indicators - Section D'!G$1:G$124,MATCH($A258,'Coverage Indicators - Section D'!$A$1:$A$124,0))&lt;&gt;0,INDEX('Coverage Indicators - Section D'!G$1:G$124,MATCH($A258,'Coverage Indicators - Section D'!$A$1:$A$124,0)),""),"")</f>
        <v>2021</v>
      </c>
      <c r="D268"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268"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268"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268"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268"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268"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268"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268"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268" s="82"/>
    </row>
    <row r="269" spans="1:12" s="93" customFormat="1" ht="18.75" customHeight="1">
      <c r="A269" s="641"/>
      <c r="B269" s="89" t="s">
        <v>5054</v>
      </c>
      <c r="C269" s="91" t="str">
        <f>IFERROR(IF(INDEX('Coverage Indicators - Section D'!E$1:E$124,MATCH($A258,'Coverage Indicators - Section D'!$A$1:$A$124,0))&lt;&gt;"",INDEX('Coverage Indicators - Section D'!E$1:E$124,MATCH($A258,'Coverage Indicators - Section D'!$A$1:$A$124,0)),""),"")</f>
        <v/>
      </c>
      <c r="D269" s="91" t="str">
        <f ca="1">IFERROR(IF(INDEX('Coverage Indicators - Section D'!N$1:N$124,MATCH($A258,'Coverage Indicators - Section D'!$A$1:$A$124,0))&lt;&gt;"",INDEX('Coverage Indicators - Section D'!N$1:N$124,MATCH($A258,'Coverage Indicators - Section D'!$A$1:$A$124,0)),""),"")</f>
        <v/>
      </c>
      <c r="E269" s="91" t="str">
        <f ca="1">IFERROR(IF(INDEX('Coverage Indicators - Section D'!Q$1:Q$124,MATCH($A258,'Coverage Indicators - Section D'!$A$1:$A$124,0))&lt;&gt;"",INDEX('Coverage Indicators - Section D'!Q$1:Q$124,MATCH($A258,'Coverage Indicators - Section D'!$A$1:$A$124,0)),""),"")</f>
        <v/>
      </c>
      <c r="F269" s="91" t="str">
        <f ca="1">IFERROR(IF(INDEX('Coverage Indicators - Section D'!T$1:T$124,MATCH($A258,'Coverage Indicators - Section D'!$A$1:$A$124,0))&lt;&gt;"",INDEX('Coverage Indicators - Section D'!T$1:T$124,MATCH($A258,'Coverage Indicators - Section D'!$A$1:$A$124,0)),""),"")</f>
        <v/>
      </c>
      <c r="G269" s="91" t="str">
        <f ca="1">IFERROR(IF(INDEX('Coverage Indicators - Section D'!W$1:W$124,MATCH($A258,'Coverage Indicators - Section D'!$A$1:$A$124,0))&lt;&gt;"",INDEX('Coverage Indicators - Section D'!W$1:W$124,MATCH($A258,'Coverage Indicators - Section D'!$A$1:$A$124,0)),""),"")</f>
        <v/>
      </c>
      <c r="H269" s="91" t="str">
        <f ca="1">IFERROR(IF(INDEX('Coverage Indicators - Section D'!Z$1:Z$124,MATCH($A258,'Coverage Indicators - Section D'!$A$1:$A$124,0))&lt;&gt;"",INDEX('Coverage Indicators - Section D'!Z$1:Z$124,MATCH($A258,'Coverage Indicators - Section D'!$A$1:$A$124,0)),""),"")</f>
        <v/>
      </c>
      <c r="I269" s="91" t="str">
        <f ca="1">IFERROR(IF(INDEX('Coverage Indicators - Section D'!AC$1:AC$124,MATCH($A258,'Coverage Indicators - Section D'!$A$1:$A$124,0))&lt;&gt;"",INDEX('Coverage Indicators - Section D'!AC$1:AC$124,MATCH($A258,'Coverage Indicators - Section D'!$A$1:$A$124,0)),""),"")</f>
        <v/>
      </c>
      <c r="J269" s="91" t="str">
        <f ca="1">IFERROR(IF(INDEX('Coverage Indicators - Section D'!AF$1:AF$124,MATCH($A258,'Coverage Indicators - Section D'!$A$1:$A$124,0))&lt;&gt;"",INDEX('Coverage Indicators - Section D'!AF$1:AF$124,MATCH($A258,'Coverage Indicators - Section D'!$A$1:$A$124,0)),""),"")</f>
        <v/>
      </c>
      <c r="K269" s="91" t="str">
        <f ca="1">IFERROR(IF(INDEX('Coverage Indicators - Section D'!AI$1:AI$124,MATCH($A258,'Coverage Indicators - Section D'!$A$1:$A$124,0))&lt;&gt;"",INDEX('Coverage Indicators - Section D'!AI$1:AI$124,MATCH($A258,'Coverage Indicators - Section D'!$A$1:$A$124,0)),""),"")</f>
        <v/>
      </c>
      <c r="L269" s="92"/>
    </row>
    <row r="270" spans="1:12" s="96" customFormat="1" ht="18.75" customHeight="1">
      <c r="A270" s="641"/>
      <c r="B270" s="89" t="s">
        <v>5055</v>
      </c>
      <c r="C270" s="94" t="str">
        <f>IFERROR(IF(INDEX('Coverage Indicators - Section D'!E$1:E$124,MATCH($A258,'Coverage Indicators - Section D'!$A$1:$A$124,0)+1)&lt;&gt;"",INDEX('Coverage Indicators - Section D'!E$1:E$124,MATCH($A258,'Coverage Indicators - Section D'!$A$1:$A$124,0)+1),""),"")</f>
        <v/>
      </c>
      <c r="D270" s="94" t="str">
        <f ca="1">IFERROR(IF(INDEX('Coverage Indicators - Section D'!N$1:N$124,MATCH($A258,'Coverage Indicators - Section D'!$A$1:$A$124,0)+1)&lt;&gt;"",INDEX('Coverage Indicators - Section D'!N$1:N$124,MATCH($A258,'Coverage Indicators - Section D'!$A$1:$A$124,0)+1),""),"")</f>
        <v/>
      </c>
      <c r="E270" s="94" t="str">
        <f ca="1">IFERROR(IF(INDEX('Coverage Indicators - Section D'!Q$1:Q$124,MATCH($A258,'Coverage Indicators - Section D'!$A$1:$A$124,0)+1)&lt;&gt;"",INDEX('Coverage Indicators - Section D'!Q$1:Q$124,MATCH($A258,'Coverage Indicators - Section D'!$A$1:$A$124,0)+1),""),"")</f>
        <v/>
      </c>
      <c r="F270" s="94" t="str">
        <f ca="1">IFERROR(IF(INDEX('Coverage Indicators - Section D'!T$1:T$124,MATCH($A258,'Coverage Indicators - Section D'!$A$1:$A$124,0)+1)&lt;&gt;"",INDEX('Coverage Indicators - Section D'!T$1:T$124,MATCH($A258,'Coverage Indicators - Section D'!$A$1:$A$124,0)+1),""),"")</f>
        <v/>
      </c>
      <c r="G270" s="94" t="str">
        <f ca="1">IFERROR(IF(INDEX('Coverage Indicators - Section D'!W$1:W$124,MATCH($A258,'Coverage Indicators - Section D'!$A$1:$A$124,0)+1)&lt;&gt;"",INDEX('Coverage Indicators - Section D'!W$1:W$124,MATCH($A258,'Coverage Indicators - Section D'!$A$1:$A$124,0)+1),""),"")</f>
        <v/>
      </c>
      <c r="H270" s="94" t="str">
        <f ca="1">IFERROR(IF(INDEX('Coverage Indicators - Section D'!Z$1:Z$124,MATCH($A258,'Coverage Indicators - Section D'!$A$1:$A$124,0)+1)&lt;&gt;"",INDEX('Coverage Indicators - Section D'!Z$1:Z$124,MATCH($A258,'Coverage Indicators - Section D'!$A$1:$A$124,0)+1),""),"")</f>
        <v/>
      </c>
      <c r="I270" s="94" t="str">
        <f ca="1">IFERROR(IF(INDEX('Coverage Indicators - Section D'!AC$1:AC$124,MATCH($A258,'Coverage Indicators - Section D'!$A$1:$A$124,0)+1)&lt;&gt;"",INDEX('Coverage Indicators - Section D'!AC$1:AC$124,MATCH($A258,'Coverage Indicators - Section D'!$A$1:$A$124,0)+1),""),"")</f>
        <v/>
      </c>
      <c r="J270" s="94" t="str">
        <f ca="1">IFERROR(IF(INDEX('Coverage Indicators - Section D'!AF$1:AF$124,MATCH($A258,'Coverage Indicators - Section D'!$A$1:$A$124,0)+1)&lt;&gt;"",INDEX('Coverage Indicators - Section D'!AF$1:AF$124,MATCH($A258,'Coverage Indicators - Section D'!$A$1:$A$124,0)+1),""),"")</f>
        <v/>
      </c>
      <c r="K270" s="94" t="str">
        <f ca="1">IFERROR(IF(INDEX('Coverage Indicators - Section D'!AI$1:AI$124,MATCH($A258,'Coverage Indicators - Section D'!$A$1:$A$124,0)+1)&lt;&gt;"",INDEX('Coverage Indicators - Section D'!AI$1:AI$124,MATCH($A258,'Coverage Indicators - Section D'!$A$1:$A$124,0)+1),""),"")</f>
        <v/>
      </c>
      <c r="L270" s="95"/>
    </row>
    <row r="271" spans="1:12" ht="18.75" customHeight="1">
      <c r="A271" s="641"/>
      <c r="B271" s="89" t="s">
        <v>5056</v>
      </c>
      <c r="C271" s="90" t="str">
        <f ca="1">IFERROR(IF(INDEX('Coverage Indicators - Section D'!F$1:F$124,MATCH($A258,'Coverage Indicators - Section D'!$A$1:$A$124,0))&lt;&gt;"",FIXED(INDEX('Coverage Indicators - Section D'!F$1:F$124,MATCH($A258,'Coverage Indicators - Section D'!$A$1:$A$124,0))*100,2)&amp;"%",""),"")</f>
        <v>86.00%</v>
      </c>
      <c r="D271" s="90" t="str">
        <f>IFERROR(IF(INDEX('Coverage Indicators - Section D'!O$1:O$124,MATCH($A258,'Coverage Indicators - Section D'!$A$1:$A$124,0))&lt;&gt;"",FIXED(INDEX('Coverage Indicators - Section D'!O$1:O$124,MATCH($A258,'Coverage Indicators - Section D'!$A$1:$A$124,0))*100,2)&amp;"%",""),"")&amp;CHAR(10)&amp;IFERROR(IF(INDEX('Coverage Indicators - Section D'!P$1:P$124,MATCH($A258,'Coverage Indicators - Section D'!$A$1:$A$124,0))&lt;&gt;"",INDEX('Coverage Indicators - Section D'!P$1:P$124,MATCH($A258,'Coverage Indicators - Section D'!$A$1:$A$124,0)),""),"")</f>
        <v xml:space="preserve">90.00%
</v>
      </c>
      <c r="E271" s="90" t="str">
        <f>IFERROR(IF(INDEX('Coverage Indicators - Section D'!R$1:R$124,MATCH($A258,'Coverage Indicators - Section D'!$A$1:$A$124,0))&lt;&gt;"",FIXED(INDEX('Coverage Indicators - Section D'!R$1:R$124,MATCH($A258,'Coverage Indicators - Section D'!$A$1:$A$124,0))*100,2)&amp;"%",""),"")&amp;CHAR(10)&amp;IFERROR(IF(INDEX('Coverage Indicators - Section D'!S$1:S$124,MATCH($A258,'Coverage Indicators - Section D'!$A$1:$A$124,0))&lt;&gt;"",INDEX('Coverage Indicators - Section D'!S$1:S$124,MATCH($A258,'Coverage Indicators - Section D'!$A$1:$A$124,0)),""),"")</f>
        <v xml:space="preserve">90.00%
</v>
      </c>
      <c r="F271" s="90" t="str">
        <f>IFERROR(IF(INDEX('Coverage Indicators - Section D'!U$1:U$124,MATCH($A258,'Coverage Indicators - Section D'!$A$1:$A$124,0))&lt;&gt;"",FIXED(INDEX('Coverage Indicators - Section D'!U$1:U$124,MATCH($A258,'Coverage Indicators - Section D'!$A$1:$A$124,0))*100,2)&amp;"%",""),"")&amp;CHAR(10)&amp;IFERROR(IF(INDEX('Coverage Indicators - Section D'!V$1:V$124,MATCH($A258,'Coverage Indicators - Section D'!$A$1:$A$124,0))&lt;&gt;"",INDEX('Coverage Indicators - Section D'!V$1:V$124,MATCH($A258,'Coverage Indicators - Section D'!$A$1:$A$124,0)),""),"")</f>
        <v xml:space="preserve">92.00%
</v>
      </c>
      <c r="G271" s="90" t="str">
        <f>IFERROR(IF(INDEX('Coverage Indicators - Section D'!X$1:X$124,MATCH($A258,'Coverage Indicators - Section D'!$A$1:$A$124,0))&lt;&gt;"",FIXED(INDEX('Coverage Indicators - Section D'!X$1:X$124,MATCH($A258,'Coverage Indicators - Section D'!$A$1:$A$124,0))*100,2)&amp;"%",""),"")&amp;CHAR(10)&amp;IFERROR(IF(INDEX('Coverage Indicators - Section D'!Y$1:Y$124,MATCH($A258,'Coverage Indicators - Section D'!$A$1:$A$124,0))&lt;&gt;"",INDEX('Coverage Indicators - Section D'!Y$1:Y$124,MATCH($A258,'Coverage Indicators - Section D'!$A$1:$A$124,0)),""),"")</f>
        <v xml:space="preserve">92.00%
</v>
      </c>
      <c r="H271" s="90" t="str">
        <f>IFERROR(IF(INDEX('Coverage Indicators - Section D'!AA$1:AA$124,MATCH(A258,'Coverage Indicators - Section D'!$A$1:$A$124,0))&lt;&gt;"",FIXED(INDEX('Coverage Indicators - Section D'!AA$1:AA$124,MATCH($A258,'Coverage Indicators - Section D'!$A$1:$A$124,0))*100,2)&amp;"%",""),"")&amp;CHAR(10)&amp;IFERROR(IF(INDEX('Coverage Indicators - Section D'!AB$1:AB$124,MATCH($A258,'Coverage Indicators - Section D'!$A$1:$A$124,0))&lt;&gt;"",INDEX('Coverage Indicators - Section D'!AB$1:AB$124,MATCH($A258,'Coverage Indicators - Section D'!$A$1:$A$124,0)),""),"")</f>
        <v xml:space="preserve">95.00%
</v>
      </c>
      <c r="I271" s="90" t="str">
        <f>IFERROR(IF(INDEX('Coverage Indicators - Section D'!AD$1:AD$124,MATCH($A258,'Coverage Indicators - Section D'!$A$1:$A$124,0))&lt;&gt;"",FIXED(INDEX('Coverage Indicators - Section D'!AD$1:AD$124,MATCH($A258,'Coverage Indicators - Section D'!$A$1:$A$124,0))*100,2)&amp;"%",""),"")&amp;CHAR(10)&amp;IFERROR(IF(INDEX('Coverage Indicators - Section D'!AE$1:AE$124,MATCH($A258,'Coverage Indicators - Section D'!$A$1:$A$124,0))&lt;&gt;"",INDEX('Coverage Indicators - Section D'!AE$1:AE$124,MATCH($A258,'Coverage Indicators - Section D'!$A$1:$A$124,0)),""),"")</f>
        <v xml:space="preserve">95.00%
</v>
      </c>
      <c r="J271" s="90" t="str">
        <f>IFERROR(IF(INDEX('Coverage Indicators - Section D'!AG$1:AG$124,MATCH($A258,'Coverage Indicators - Section D'!$A$1:$A$124,0))&lt;&gt;"",FIXED(INDEX('Coverage Indicators - Section D'!AG$1:AG$124,MATCH($A258,'Coverage Indicators - Section D'!$A$1:$A$124,0))*100,2)&amp;"%",""),"")&amp;CHAR(10)&amp;IFERROR(IF(INDEX('Coverage Indicators - Section D'!AH$1:AH$124,MATCH($A258,'Coverage Indicators - Section D'!$A$1:$A$124,0))&lt;&gt;"",INDEX('Coverage Indicators - Section D'!AH$1:AH$124,MATCH($A258,'Coverage Indicators - Section D'!$A$1:$A$124,0)),""),"")</f>
        <v xml:space="preserve">
</v>
      </c>
      <c r="K271" s="90" t="str">
        <f>IFERROR(IF(INDEX('Coverage Indicators - Section D'!AJ$1:AJ$124,MATCH($A258,'Coverage Indicators - Section D'!$A$1:$A$124,0))&lt;&gt;"",FIXED(INDEX('Coverage Indicators - Section D'!AJ$1:AJ$124,MATCH($A258,'Coverage Indicators - Section D'!$A$1:$A$124,0))*100,2)&amp;"%",""),"")&amp;CHAR(10)&amp;IFERROR(IF(INDEX('Coverage Indicators - Section D'!AK$1:AK$124,MATCH($A258,'Coverage Indicators - Section D'!$A$1:$A$124,0))&lt;&gt;"",INDEX('Coverage Indicators - Section D'!AK$1:AK$124,MATCH($A258,'Coverage Indicators - Section D'!$A$1:$A$124,0)),""),"")</f>
        <v xml:space="preserve">
</v>
      </c>
      <c r="L271" s="82"/>
    </row>
    <row r="272" spans="1:12" ht="18.75" customHeight="1">
      <c r="A272" s="641"/>
      <c r="B272" s="625" t="s">
        <v>176</v>
      </c>
      <c r="C272" s="626"/>
      <c r="D272" s="626"/>
      <c r="E272" s="626"/>
      <c r="F272" s="626"/>
      <c r="G272" s="626"/>
      <c r="H272" s="626"/>
      <c r="I272" s="626"/>
      <c r="J272" s="626"/>
      <c r="K272" s="630"/>
      <c r="L272" s="82"/>
    </row>
    <row r="273" spans="1:12" ht="18.75" customHeight="1">
      <c r="A273" s="641"/>
      <c r="B273" s="634" t="str">
        <f>IFERROR(IF(INDEX('Coverage Indicators - Section D'!AL$1:AL$134,MATCH($A258,'Coverage Indicators - Section D'!$A$1:$A$134,0))&lt;&gt;0,INDEX('Coverage Indicators - Section D'!AL$1:AL$134,MATCH($A258,'Coverage Indicators - Section D'!$A$1:$A$134,0)),""),"")</f>
        <v>In 2021, 83% of HIV+ TB co-infected patients received ARV treatment. According to the 2021 DHIS2 data, this proportion is 90% in 2024, 92% in 2025 and 95% in 2025.     The numerator is HIV+ TB co-infected patients put on ARVs and the denominator is all HIV+ TB co-infected patients.</v>
      </c>
      <c r="C273" s="635"/>
      <c r="D273" s="635"/>
      <c r="E273" s="635"/>
      <c r="F273" s="635"/>
      <c r="G273" s="635"/>
      <c r="H273" s="635"/>
      <c r="I273" s="635"/>
      <c r="J273" s="635"/>
      <c r="K273" s="636"/>
      <c r="L273" s="82"/>
    </row>
    <row r="274" spans="1:12" ht="18.75" customHeight="1">
      <c r="A274" s="641"/>
      <c r="B274" s="643"/>
      <c r="C274" s="644"/>
      <c r="D274" s="644"/>
      <c r="E274" s="644"/>
      <c r="F274" s="644"/>
      <c r="G274" s="644"/>
      <c r="H274" s="644"/>
      <c r="I274" s="644"/>
      <c r="J274" s="644"/>
      <c r="K274" s="645"/>
      <c r="L274" s="82"/>
    </row>
    <row r="275" spans="1:12" ht="18.75" customHeight="1">
      <c r="A275" s="641"/>
      <c r="B275" s="643"/>
      <c r="C275" s="644"/>
      <c r="D275" s="644"/>
      <c r="E275" s="644"/>
      <c r="F275" s="644"/>
      <c r="G275" s="644"/>
      <c r="H275" s="644"/>
      <c r="I275" s="644"/>
      <c r="J275" s="644"/>
      <c r="K275" s="645"/>
      <c r="L275" s="82"/>
    </row>
    <row r="276" spans="1:12" ht="18.75" customHeight="1">
      <c r="A276" s="641"/>
      <c r="B276" s="643"/>
      <c r="C276" s="644"/>
      <c r="D276" s="644"/>
      <c r="E276" s="644"/>
      <c r="F276" s="644"/>
      <c r="G276" s="644"/>
      <c r="H276" s="644"/>
      <c r="I276" s="644"/>
      <c r="J276" s="644"/>
      <c r="K276" s="645"/>
      <c r="L276" s="82"/>
    </row>
    <row r="277" spans="1:12" ht="18.75" customHeight="1">
      <c r="A277" s="641"/>
      <c r="B277" s="643"/>
      <c r="C277" s="644"/>
      <c r="D277" s="644"/>
      <c r="E277" s="644"/>
      <c r="F277" s="644"/>
      <c r="G277" s="644"/>
      <c r="H277" s="644"/>
      <c r="I277" s="644"/>
      <c r="J277" s="644"/>
      <c r="K277" s="645"/>
      <c r="L277" s="82"/>
    </row>
    <row r="278" spans="1:12" ht="18.75" customHeight="1">
      <c r="A278" s="641"/>
      <c r="B278" s="643"/>
      <c r="C278" s="644"/>
      <c r="D278" s="644"/>
      <c r="E278" s="644"/>
      <c r="F278" s="644"/>
      <c r="G278" s="644"/>
      <c r="H278" s="644"/>
      <c r="I278" s="644"/>
      <c r="J278" s="644"/>
      <c r="K278" s="645"/>
      <c r="L278" s="82"/>
    </row>
    <row r="279" spans="1:12" ht="18.75" customHeight="1">
      <c r="A279" s="641"/>
      <c r="B279" s="643"/>
      <c r="C279" s="644"/>
      <c r="D279" s="644"/>
      <c r="E279" s="644"/>
      <c r="F279" s="644"/>
      <c r="G279" s="644"/>
      <c r="H279" s="644"/>
      <c r="I279" s="644"/>
      <c r="J279" s="644"/>
      <c r="K279" s="645"/>
      <c r="L279" s="82"/>
    </row>
    <row r="280" spans="1:12" ht="18.75" customHeight="1">
      <c r="A280" s="641"/>
      <c r="B280" s="643"/>
      <c r="C280" s="644"/>
      <c r="D280" s="644"/>
      <c r="E280" s="644"/>
      <c r="F280" s="644"/>
      <c r="G280" s="644"/>
      <c r="H280" s="644"/>
      <c r="I280" s="644"/>
      <c r="J280" s="644"/>
      <c r="K280" s="645"/>
      <c r="L280" s="82"/>
    </row>
    <row r="281" spans="1:12" ht="18.75" customHeight="1">
      <c r="A281" s="641"/>
      <c r="B281" s="643"/>
      <c r="C281" s="644"/>
      <c r="D281" s="644"/>
      <c r="E281" s="644"/>
      <c r="F281" s="644"/>
      <c r="G281" s="644"/>
      <c r="H281" s="644"/>
      <c r="I281" s="644"/>
      <c r="J281" s="644"/>
      <c r="K281" s="645"/>
      <c r="L281" s="82"/>
    </row>
    <row r="282" spans="1:12" ht="18.75" customHeight="1">
      <c r="A282" s="642"/>
      <c r="B282" s="637"/>
      <c r="C282" s="638"/>
      <c r="D282" s="638"/>
      <c r="E282" s="638"/>
      <c r="F282" s="638"/>
      <c r="G282" s="638"/>
      <c r="H282" s="638"/>
      <c r="I282" s="638"/>
      <c r="J282" s="638"/>
      <c r="K282" s="639"/>
      <c r="L282" s="82"/>
    </row>
    <row r="283" spans="1:12" ht="18.75" customHeight="1">
      <c r="A283" s="625"/>
      <c r="B283" s="626"/>
      <c r="C283" s="626"/>
      <c r="D283" s="626"/>
      <c r="E283" s="626"/>
      <c r="F283" s="626"/>
      <c r="G283" s="626"/>
      <c r="H283" s="626"/>
      <c r="I283" s="626"/>
      <c r="J283" s="626"/>
      <c r="K283" s="630"/>
      <c r="L283" s="82"/>
    </row>
    <row r="285" spans="1:12" ht="18.75" customHeight="1">
      <c r="A285" s="89" t="s">
        <v>5051</v>
      </c>
      <c r="B285" s="625" t="s">
        <v>1077</v>
      </c>
      <c r="C285" s="630"/>
      <c r="D285" s="631" t="str">
        <f ca="1">IFERROR(IF(INDEX('Coverage Indicators - Section D'!B$1:B$124,MATCH($A286,'Coverage Indicators - Section D'!$A$1:$A$124,0))&lt;&gt;0,INDEX('Coverage Indicators - Section D'!B$1:B$124,MATCH($A286,'Coverage Indicators - Section D'!$A$1:$A$124,0)),""),"")</f>
        <v>Drug-resistant (DR)-TB diagnosis, treatment and care</v>
      </c>
      <c r="E285" s="632"/>
      <c r="F285" s="632"/>
      <c r="G285" s="632"/>
      <c r="H285" s="632"/>
      <c r="I285" s="632"/>
      <c r="J285" s="632"/>
      <c r="K285" s="633"/>
      <c r="L285" s="82"/>
    </row>
    <row r="286" spans="1:12" ht="18.75" customHeight="1">
      <c r="A286" s="640">
        <v>11</v>
      </c>
      <c r="B286" s="625" t="s">
        <v>765</v>
      </c>
      <c r="C286" s="626"/>
      <c r="D286" s="626"/>
      <c r="E286" s="626"/>
      <c r="F286" s="630"/>
      <c r="G286" s="625" t="s">
        <v>766</v>
      </c>
      <c r="H286" s="626"/>
      <c r="I286" s="626"/>
      <c r="J286" s="626"/>
      <c r="K286" s="630"/>
      <c r="L286" s="82"/>
    </row>
    <row r="287" spans="1:12" ht="18.75" customHeight="1">
      <c r="A287" s="641"/>
      <c r="B287" s="634" t="str">
        <f>IFERROR(IF(INDEX('Coverage Indicators - Section D'!C$1:C$124,MATCH($A286,'Coverage Indicators - Section D'!$A$1:$A$124,0))&lt;&gt;0,INDEX('Coverage Indicators - Section D'!C$1:C$124,MATCH($A286,'Coverage Indicators - Section D'!$A$1:$A$124,0)),""),"")</f>
        <v>DRTB-9 Treatment success rate of RR-TB and/or MDR-TB: Percentage of patients with RR and/or MDR-TB successfully treated</v>
      </c>
      <c r="C287" s="635"/>
      <c r="D287" s="635"/>
      <c r="E287" s="635"/>
      <c r="F287" s="636"/>
      <c r="G287" s="634" t="str">
        <f>IFERROR(IF(INDEX('Coverage Indicators - Section D'!D$1:D$124,MATCH($A286,'Coverage Indicators - Section D'!$A$1:$A$124,0))&lt;&gt;0,INDEX('Coverage Indicators - Section D'!D$1:D$124,MATCH($A286,'Coverage Indicators - Section D'!$A$1:$A$124,0)),""),"")</f>
        <v/>
      </c>
      <c r="H287" s="635"/>
      <c r="I287" s="635"/>
      <c r="J287" s="635"/>
      <c r="K287" s="636"/>
      <c r="L287" s="82"/>
    </row>
    <row r="288" spans="1:12" ht="18.75" customHeight="1">
      <c r="A288" s="641"/>
      <c r="B288" s="643"/>
      <c r="C288" s="644"/>
      <c r="D288" s="644"/>
      <c r="E288" s="644"/>
      <c r="F288" s="645"/>
      <c r="G288" s="643"/>
      <c r="H288" s="644"/>
      <c r="I288" s="644"/>
      <c r="J288" s="644"/>
      <c r="K288" s="645"/>
      <c r="L288" s="82"/>
    </row>
    <row r="289" spans="1:12" ht="18.75" customHeight="1">
      <c r="A289" s="641"/>
      <c r="B289" s="637"/>
      <c r="C289" s="638"/>
      <c r="D289" s="638"/>
      <c r="E289" s="638"/>
      <c r="F289" s="639"/>
      <c r="G289" s="637"/>
      <c r="H289" s="638"/>
      <c r="I289" s="638"/>
      <c r="J289" s="638"/>
      <c r="K289" s="639"/>
      <c r="L289" s="82"/>
    </row>
    <row r="290" spans="1:12" ht="18.75" customHeight="1">
      <c r="A290" s="641"/>
      <c r="B290" s="625" t="s">
        <v>769</v>
      </c>
      <c r="C290" s="626"/>
      <c r="D290" s="630"/>
      <c r="E290" s="625" t="s">
        <v>216</v>
      </c>
      <c r="F290" s="626"/>
      <c r="G290" s="630"/>
      <c r="H290" s="625" t="s">
        <v>127</v>
      </c>
      <c r="I290" s="626"/>
      <c r="J290" s="630"/>
      <c r="K290" s="89" t="s">
        <v>2204</v>
      </c>
      <c r="L290" s="82"/>
    </row>
    <row r="291" spans="1:12" ht="18.75" customHeight="1">
      <c r="A291" s="641"/>
      <c r="B291" s="631" t="str">
        <f>IFERROR(IF(INDEX('Coverage Indicators - Section D'!I$9:I$92,MATCH($A286,'Coverage Indicators - Section D'!$A$9:$A$92,0))&lt;&gt;0,INDEX('Coverage Indicators - Section D'!I$9:I$92,MATCH($A286,'Coverage Indicators - Section D'!$A$9:$A$92,0)),""),"")</f>
        <v>HIV status,Treatment regimen,Gender,Provider type,Age</v>
      </c>
      <c r="C291" s="632"/>
      <c r="D291" s="633"/>
      <c r="E291" s="631" t="str">
        <f>IFERROR(IF(INDEX('Coverage Indicators - Section D'!M$1:M$124,MATCH($A286,'Coverage Indicators - Section D'!$A$1:$A$124,0))&lt;&gt;0,INDEX('Coverage Indicators - Section D'!M$1:M$124,MATCH($A286,'Coverage Indicators - Section D'!$A$1:$A$124,0)),""),"")</f>
        <v>Non cumulative</v>
      </c>
      <c r="F291" s="632"/>
      <c r="G291" s="633"/>
      <c r="H291" s="631" t="str">
        <f>IFERROR(IF(INDEX('Coverage Indicators - Section D'!L$1:L$124,MATCH($A286,'Coverage Indicators - Section D'!$A$1:$A$124,0))&lt;&gt;0,INDEX('Coverage Indicators - Section D'!L$1:L$124,MATCH($A286,'Coverage Indicators - Section D'!$A$1:$A$124,0)),""),"")</f>
        <v>Congo (Democratic Republic)</v>
      </c>
      <c r="I291" s="632"/>
      <c r="J291" s="633"/>
      <c r="K291" s="90" t="str">
        <f>IFERROR(IF(INDEX('Coverage Indicators - Section D'!J$1:J$124,MATCH($A286,'Coverage Indicators - Section D'!$A$1:$A$124,0))&lt;&gt;0,INDEX('Coverage Indicators - Section D'!J$1:J$124,MATCH($A286,'Coverage Indicators - Section D'!$A$1:$A$124,0)),""),"")</f>
        <v>Yes</v>
      </c>
      <c r="L291" s="82"/>
    </row>
    <row r="292" spans="1:12" ht="18.75" customHeight="1">
      <c r="A292" s="641"/>
      <c r="B292" s="625" t="s">
        <v>199</v>
      </c>
      <c r="C292" s="626"/>
      <c r="D292" s="630"/>
      <c r="E292" s="625" t="s">
        <v>5060</v>
      </c>
      <c r="F292" s="626"/>
      <c r="G292" s="630"/>
      <c r="H292" s="625" t="s">
        <v>120</v>
      </c>
      <c r="I292" s="626"/>
      <c r="J292" s="626"/>
      <c r="K292" s="630"/>
      <c r="L292" s="82"/>
    </row>
    <row r="293" spans="1:12" ht="18.75" customHeight="1">
      <c r="A293" s="641"/>
      <c r="B293" s="634" t="str">
        <f>IFERROR(IF(INDEX('Coverage Indicators - Section D'!H$1:H$124,MATCH($A286,'Coverage Indicators - Section D'!$A$1:$A$124,0))&lt;&gt;0,INDEX('Coverage Indicators - Section D'!H$1:H$124,MATCH($A286,'Coverage Indicators - Section D'!$A$1:$A$124,0)),""),"")</f>
        <v>TB program annual report</v>
      </c>
      <c r="C293" s="635"/>
      <c r="D293" s="636"/>
      <c r="E293" s="634" t="str">
        <f>IFERROR(IF(INDEX('Coverage Indicators - Section D'!L$1:L$124,MATCH($A286,'Coverage Indicators - Section D'!$A$1:$A$124,0)+1)&lt;&gt;0,INDEX('Coverage Indicators - Section D'!L$1:L$124,MATCH($A286,'Coverage Indicators - Section D'!$A$1:$A$124,0)+1),""),"")</f>
        <v>Geographic National, 100% of national program target</v>
      </c>
      <c r="F293" s="635"/>
      <c r="G293" s="636"/>
      <c r="H293" s="634" t="str">
        <f ca="1">IFERROR(IF(AND('Overview - Section A'!AS$1="Grant Making",OR(B287&lt;&gt;"",G287&lt;&gt;"")),Setup!I15,IF(INDEX('Coverage Indicators - Section D'!K$1:K$124,MATCH($A286,'Coverage Indicators - Section D'!$A$1:$A$124,0))&lt;&gt;0,INDEX('Coverage Indicators - Section D'!K$1:K$124,MATCH($A286,'Coverage Indicators - Section D'!$A$1:$A$124,0)),"")),"")</f>
        <v>Ministry of Public Health, Hygiene and Prevention</v>
      </c>
      <c r="I293" s="635"/>
      <c r="J293" s="635"/>
      <c r="K293" s="636"/>
      <c r="L293" s="82"/>
    </row>
    <row r="294" spans="1:12" ht="18.75" customHeight="1">
      <c r="A294" s="641"/>
      <c r="B294" s="637"/>
      <c r="C294" s="638"/>
      <c r="D294" s="639"/>
      <c r="E294" s="637"/>
      <c r="F294" s="638"/>
      <c r="G294" s="639"/>
      <c r="H294" s="637"/>
      <c r="I294" s="638"/>
      <c r="J294" s="638"/>
      <c r="K294" s="639"/>
      <c r="L294" s="82"/>
    </row>
    <row r="295" spans="1:12" ht="18.75" customHeight="1">
      <c r="A295" s="641"/>
      <c r="B295" s="89"/>
      <c r="C295" s="89" t="s">
        <v>5052</v>
      </c>
      <c r="D295" s="625" t="s">
        <v>5053</v>
      </c>
      <c r="E295" s="626"/>
      <c r="F295" s="626"/>
      <c r="G295" s="626"/>
      <c r="H295" s="626"/>
      <c r="I295" s="626"/>
      <c r="J295" s="626"/>
      <c r="K295" s="630"/>
      <c r="L295" s="82"/>
    </row>
    <row r="296" spans="1:12" ht="18.75" customHeight="1">
      <c r="A296" s="641"/>
      <c r="B296" s="89" t="s">
        <v>2589</v>
      </c>
      <c r="C296" s="90">
        <f>IFERROR(IF(INDEX('Coverage Indicators - Section D'!G$1:G$124,MATCH($A286,'Coverage Indicators - Section D'!$A$1:$A$124,0))&lt;&gt;0,INDEX('Coverage Indicators - Section D'!G$1:G$124,MATCH($A286,'Coverage Indicators - Section D'!$A$1:$A$124,0)),""),"")</f>
        <v>2021</v>
      </c>
      <c r="D296"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296"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296"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296"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296"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296"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296"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296"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296" s="82"/>
    </row>
    <row r="297" spans="1:12" s="93" customFormat="1" ht="18.75" customHeight="1">
      <c r="A297" s="641"/>
      <c r="B297" s="89" t="s">
        <v>5054</v>
      </c>
      <c r="C297" s="91" t="str">
        <f>IFERROR(IF(INDEX('Coverage Indicators - Section D'!E$1:E$124,MATCH($A286,'Coverage Indicators - Section D'!$A$1:$A$124,0))&lt;&gt;"",INDEX('Coverage Indicators - Section D'!E$1:E$124,MATCH($A286,'Coverage Indicators - Section D'!$A$1:$A$124,0)),""),"")</f>
        <v/>
      </c>
      <c r="D297" s="91" t="str">
        <f ca="1">IFERROR(IF(INDEX('Coverage Indicators - Section D'!N$1:N$124,MATCH($A286,'Coverage Indicators - Section D'!$A$1:$A$124,0))&lt;&gt;"",INDEX('Coverage Indicators - Section D'!N$1:N$124,MATCH($A286,'Coverage Indicators - Section D'!$A$1:$A$124,0)),""),"")</f>
        <v/>
      </c>
      <c r="E297" s="91" t="str">
        <f ca="1">IFERROR(IF(INDEX('Coverage Indicators - Section D'!Q$1:Q$124,MATCH($A286,'Coverage Indicators - Section D'!$A$1:$A$124,0))&lt;&gt;"",INDEX('Coverage Indicators - Section D'!Q$1:Q$124,MATCH($A286,'Coverage Indicators - Section D'!$A$1:$A$124,0)),""),"")</f>
        <v/>
      </c>
      <c r="F297" s="91" t="str">
        <f ca="1">IFERROR(IF(INDEX('Coverage Indicators - Section D'!T$1:T$124,MATCH($A286,'Coverage Indicators - Section D'!$A$1:$A$124,0))&lt;&gt;"",INDEX('Coverage Indicators - Section D'!T$1:T$124,MATCH($A286,'Coverage Indicators - Section D'!$A$1:$A$124,0)),""),"")</f>
        <v/>
      </c>
      <c r="G297" s="91" t="str">
        <f ca="1">IFERROR(IF(INDEX('Coverage Indicators - Section D'!W$1:W$124,MATCH($A286,'Coverage Indicators - Section D'!$A$1:$A$124,0))&lt;&gt;"",INDEX('Coverage Indicators - Section D'!W$1:W$124,MATCH($A286,'Coverage Indicators - Section D'!$A$1:$A$124,0)),""),"")</f>
        <v/>
      </c>
      <c r="H297" s="91" t="str">
        <f ca="1">IFERROR(IF(INDEX('Coverage Indicators - Section D'!Z$1:Z$124,MATCH($A286,'Coverage Indicators - Section D'!$A$1:$A$124,0))&lt;&gt;"",INDEX('Coverage Indicators - Section D'!Z$1:Z$124,MATCH($A286,'Coverage Indicators - Section D'!$A$1:$A$124,0)),""),"")</f>
        <v/>
      </c>
      <c r="I297" s="91" t="str">
        <f ca="1">IFERROR(IF(INDEX('Coverage Indicators - Section D'!AC$1:AC$124,MATCH($A286,'Coverage Indicators - Section D'!$A$1:$A$124,0))&lt;&gt;"",INDEX('Coverage Indicators - Section D'!AC$1:AC$124,MATCH($A286,'Coverage Indicators - Section D'!$A$1:$A$124,0)),""),"")</f>
        <v/>
      </c>
      <c r="J297" s="91" t="str">
        <f ca="1">IFERROR(IF(INDEX('Coverage Indicators - Section D'!AF$1:AF$124,MATCH($A286,'Coverage Indicators - Section D'!$A$1:$A$124,0))&lt;&gt;"",INDEX('Coverage Indicators - Section D'!AF$1:AF$124,MATCH($A286,'Coverage Indicators - Section D'!$A$1:$A$124,0)),""),"")</f>
        <v/>
      </c>
      <c r="K297" s="91" t="str">
        <f ca="1">IFERROR(IF(INDEX('Coverage Indicators - Section D'!AI$1:AI$124,MATCH($A286,'Coverage Indicators - Section D'!$A$1:$A$124,0))&lt;&gt;"",INDEX('Coverage Indicators - Section D'!AI$1:AI$124,MATCH($A286,'Coverage Indicators - Section D'!$A$1:$A$124,0)),""),"")</f>
        <v/>
      </c>
      <c r="L297" s="92"/>
    </row>
    <row r="298" spans="1:12" s="96" customFormat="1" ht="18.75" customHeight="1">
      <c r="A298" s="641"/>
      <c r="B298" s="89" t="s">
        <v>5055</v>
      </c>
      <c r="C298" s="94" t="str">
        <f>IFERROR(IF(INDEX('Coverage Indicators - Section D'!E$1:E$124,MATCH($A286,'Coverage Indicators - Section D'!$A$1:$A$124,0)+1)&lt;&gt;"",INDEX('Coverage Indicators - Section D'!E$1:E$124,MATCH($A286,'Coverage Indicators - Section D'!$A$1:$A$124,0)+1),""),"")</f>
        <v/>
      </c>
      <c r="D298" s="94" t="str">
        <f ca="1">IFERROR(IF(INDEX('Coverage Indicators - Section D'!N$1:N$124,MATCH($A286,'Coverage Indicators - Section D'!$A$1:$A$124,0)+1)&lt;&gt;"",INDEX('Coverage Indicators - Section D'!N$1:N$124,MATCH($A286,'Coverage Indicators - Section D'!$A$1:$A$124,0)+1),""),"")</f>
        <v/>
      </c>
      <c r="E298" s="94" t="str">
        <f ca="1">IFERROR(IF(INDEX('Coverage Indicators - Section D'!Q$1:Q$124,MATCH($A286,'Coverage Indicators - Section D'!$A$1:$A$124,0)+1)&lt;&gt;"",INDEX('Coverage Indicators - Section D'!Q$1:Q$124,MATCH($A286,'Coverage Indicators - Section D'!$A$1:$A$124,0)+1),""),"")</f>
        <v/>
      </c>
      <c r="F298" s="94" t="str">
        <f ca="1">IFERROR(IF(INDEX('Coverage Indicators - Section D'!T$1:T$124,MATCH($A286,'Coverage Indicators - Section D'!$A$1:$A$124,0)+1)&lt;&gt;"",INDEX('Coverage Indicators - Section D'!T$1:T$124,MATCH($A286,'Coverage Indicators - Section D'!$A$1:$A$124,0)+1),""),"")</f>
        <v/>
      </c>
      <c r="G298" s="94" t="str">
        <f ca="1">IFERROR(IF(INDEX('Coverage Indicators - Section D'!W$1:W$124,MATCH($A286,'Coverage Indicators - Section D'!$A$1:$A$124,0)+1)&lt;&gt;"",INDEX('Coverage Indicators - Section D'!W$1:W$124,MATCH($A286,'Coverage Indicators - Section D'!$A$1:$A$124,0)+1),""),"")</f>
        <v/>
      </c>
      <c r="H298" s="94" t="str">
        <f ca="1">IFERROR(IF(INDEX('Coverage Indicators - Section D'!Z$1:Z$124,MATCH($A286,'Coverage Indicators - Section D'!$A$1:$A$124,0)+1)&lt;&gt;"",INDEX('Coverage Indicators - Section D'!Z$1:Z$124,MATCH($A286,'Coverage Indicators - Section D'!$A$1:$A$124,0)+1),""),"")</f>
        <v/>
      </c>
      <c r="I298" s="94" t="str">
        <f ca="1">IFERROR(IF(INDEX('Coverage Indicators - Section D'!AC$1:AC$124,MATCH($A286,'Coverage Indicators - Section D'!$A$1:$A$124,0)+1)&lt;&gt;"",INDEX('Coverage Indicators - Section D'!AC$1:AC$124,MATCH($A286,'Coverage Indicators - Section D'!$A$1:$A$124,0)+1),""),"")</f>
        <v/>
      </c>
      <c r="J298" s="94" t="str">
        <f ca="1">IFERROR(IF(INDEX('Coverage Indicators - Section D'!AF$1:AF$124,MATCH($A286,'Coverage Indicators - Section D'!$A$1:$A$124,0)+1)&lt;&gt;"",INDEX('Coverage Indicators - Section D'!AF$1:AF$124,MATCH($A286,'Coverage Indicators - Section D'!$A$1:$A$124,0)+1),""),"")</f>
        <v/>
      </c>
      <c r="K298" s="94" t="str">
        <f ca="1">IFERROR(IF(INDEX('Coverage Indicators - Section D'!AI$1:AI$124,MATCH($A286,'Coverage Indicators - Section D'!$A$1:$A$124,0)+1)&lt;&gt;"",INDEX('Coverage Indicators - Section D'!AI$1:AI$124,MATCH($A286,'Coverage Indicators - Section D'!$A$1:$A$124,0)+1),""),"")</f>
        <v/>
      </c>
      <c r="L298" s="95"/>
    </row>
    <row r="299" spans="1:12" ht="18.75" customHeight="1">
      <c r="A299" s="641"/>
      <c r="B299" s="89" t="s">
        <v>5056</v>
      </c>
      <c r="C299" s="90" t="str">
        <f ca="1">IFERROR(IF(INDEX('Coverage Indicators - Section D'!F$1:F$124,MATCH($A286,'Coverage Indicators - Section D'!$A$1:$A$124,0))&lt;&gt;"",FIXED(INDEX('Coverage Indicators - Section D'!F$1:F$124,MATCH($A286,'Coverage Indicators - Section D'!$A$1:$A$124,0))*100,2)&amp;"%",""),"")</f>
        <v>80.00%</v>
      </c>
      <c r="D299" s="90" t="str">
        <f>IFERROR(IF(INDEX('Coverage Indicators - Section D'!O$1:O$124,MATCH($A286,'Coverage Indicators - Section D'!$A$1:$A$124,0))&lt;&gt;"",FIXED(INDEX('Coverage Indicators - Section D'!O$1:O$124,MATCH($A286,'Coverage Indicators - Section D'!$A$1:$A$124,0))*100,2)&amp;"%",""),"")&amp;CHAR(10)&amp;IFERROR(IF(INDEX('Coverage Indicators - Section D'!P$1:P$124,MATCH($A286,'Coverage Indicators - Section D'!$A$1:$A$124,0))&lt;&gt;"",INDEX('Coverage Indicators - Section D'!P$1:P$124,MATCH($A286,'Coverage Indicators - Section D'!$A$1:$A$124,0)),""),"")</f>
        <v xml:space="preserve">85.00%
</v>
      </c>
      <c r="E299" s="90" t="str">
        <f>IFERROR(IF(INDEX('Coverage Indicators - Section D'!R$1:R$124,MATCH($A286,'Coverage Indicators - Section D'!$A$1:$A$124,0))&lt;&gt;"",FIXED(INDEX('Coverage Indicators - Section D'!R$1:R$124,MATCH($A286,'Coverage Indicators - Section D'!$A$1:$A$124,0))*100,2)&amp;"%",""),"")&amp;CHAR(10)&amp;IFERROR(IF(INDEX('Coverage Indicators - Section D'!S$1:S$124,MATCH($A286,'Coverage Indicators - Section D'!$A$1:$A$124,0))&lt;&gt;"",INDEX('Coverage Indicators - Section D'!S$1:S$124,MATCH($A286,'Coverage Indicators - Section D'!$A$1:$A$124,0)),""),"")</f>
        <v xml:space="preserve">85.00%
</v>
      </c>
      <c r="F299" s="90" t="str">
        <f>IFERROR(IF(INDEX('Coverage Indicators - Section D'!U$1:U$124,MATCH($A286,'Coverage Indicators - Section D'!$A$1:$A$124,0))&lt;&gt;"",FIXED(INDEX('Coverage Indicators - Section D'!U$1:U$124,MATCH($A286,'Coverage Indicators - Section D'!$A$1:$A$124,0))*100,2)&amp;"%",""),"")&amp;CHAR(10)&amp;IFERROR(IF(INDEX('Coverage Indicators - Section D'!V$1:V$124,MATCH($A286,'Coverage Indicators - Section D'!$A$1:$A$124,0))&lt;&gt;"",INDEX('Coverage Indicators - Section D'!V$1:V$124,MATCH($A286,'Coverage Indicators - Section D'!$A$1:$A$124,0)),""),"")</f>
        <v xml:space="preserve">85.00%
</v>
      </c>
      <c r="G299" s="90" t="str">
        <f>IFERROR(IF(INDEX('Coverage Indicators - Section D'!X$1:X$124,MATCH($A286,'Coverage Indicators - Section D'!$A$1:$A$124,0))&lt;&gt;"",FIXED(INDEX('Coverage Indicators - Section D'!X$1:X$124,MATCH($A286,'Coverage Indicators - Section D'!$A$1:$A$124,0))*100,2)&amp;"%",""),"")&amp;CHAR(10)&amp;IFERROR(IF(INDEX('Coverage Indicators - Section D'!Y$1:Y$124,MATCH($A286,'Coverage Indicators - Section D'!$A$1:$A$124,0))&lt;&gt;"",INDEX('Coverage Indicators - Section D'!Y$1:Y$124,MATCH($A286,'Coverage Indicators - Section D'!$A$1:$A$124,0)),""),"")</f>
        <v xml:space="preserve">85.00%
</v>
      </c>
      <c r="H299" s="90" t="str">
        <f>IFERROR(IF(INDEX('Coverage Indicators - Section D'!AA$1:AA$124,MATCH(A286,'Coverage Indicators - Section D'!$A$1:$A$124,0))&lt;&gt;"",FIXED(INDEX('Coverage Indicators - Section D'!AA$1:AA$124,MATCH($A286,'Coverage Indicators - Section D'!$A$1:$A$124,0))*100,2)&amp;"%",""),"")&amp;CHAR(10)&amp;IFERROR(IF(INDEX('Coverage Indicators - Section D'!AB$1:AB$124,MATCH($A286,'Coverage Indicators - Section D'!$A$1:$A$124,0))&lt;&gt;"",INDEX('Coverage Indicators - Section D'!AB$1:AB$124,MATCH($A286,'Coverage Indicators - Section D'!$A$1:$A$124,0)),""),"")</f>
        <v xml:space="preserve">85.00%
</v>
      </c>
      <c r="I299" s="90" t="str">
        <f>IFERROR(IF(INDEX('Coverage Indicators - Section D'!AD$1:AD$124,MATCH($A286,'Coverage Indicators - Section D'!$A$1:$A$124,0))&lt;&gt;"",FIXED(INDEX('Coverage Indicators - Section D'!AD$1:AD$124,MATCH($A286,'Coverage Indicators - Section D'!$A$1:$A$124,0))*100,2)&amp;"%",""),"")&amp;CHAR(10)&amp;IFERROR(IF(INDEX('Coverage Indicators - Section D'!AE$1:AE$124,MATCH($A286,'Coverage Indicators - Section D'!$A$1:$A$124,0))&lt;&gt;"",INDEX('Coverage Indicators - Section D'!AE$1:AE$124,MATCH($A286,'Coverage Indicators - Section D'!$A$1:$A$124,0)),""),"")</f>
        <v xml:space="preserve">85.00%
</v>
      </c>
      <c r="J299" s="90" t="str">
        <f>IFERROR(IF(INDEX('Coverage Indicators - Section D'!AG$1:AG$124,MATCH($A286,'Coverage Indicators - Section D'!$A$1:$A$124,0))&lt;&gt;"",FIXED(INDEX('Coverage Indicators - Section D'!AG$1:AG$124,MATCH($A286,'Coverage Indicators - Section D'!$A$1:$A$124,0))*100,2)&amp;"%",""),"")&amp;CHAR(10)&amp;IFERROR(IF(INDEX('Coverage Indicators - Section D'!AH$1:AH$124,MATCH($A286,'Coverage Indicators - Section D'!$A$1:$A$124,0))&lt;&gt;"",INDEX('Coverage Indicators - Section D'!AH$1:AH$124,MATCH($A286,'Coverage Indicators - Section D'!$A$1:$A$124,0)),""),"")</f>
        <v xml:space="preserve">
</v>
      </c>
      <c r="K299" s="90" t="str">
        <f>IFERROR(IF(INDEX('Coverage Indicators - Section D'!AJ$1:AJ$124,MATCH($A286,'Coverage Indicators - Section D'!$A$1:$A$124,0))&lt;&gt;"",FIXED(INDEX('Coverage Indicators - Section D'!AJ$1:AJ$124,MATCH($A286,'Coverage Indicators - Section D'!$A$1:$A$124,0))*100,2)&amp;"%",""),"")&amp;CHAR(10)&amp;IFERROR(IF(INDEX('Coverage Indicators - Section D'!AK$1:AK$124,MATCH($A286,'Coverage Indicators - Section D'!$A$1:$A$124,0))&lt;&gt;"",INDEX('Coverage Indicators - Section D'!AK$1:AK$124,MATCH($A286,'Coverage Indicators - Section D'!$A$1:$A$124,0)),""),"")</f>
        <v xml:space="preserve">
</v>
      </c>
      <c r="L299" s="82"/>
    </row>
    <row r="300" spans="1:12" ht="18.75" customHeight="1">
      <c r="A300" s="641"/>
      <c r="B300" s="625" t="s">
        <v>176</v>
      </c>
      <c r="C300" s="626"/>
      <c r="D300" s="626"/>
      <c r="E300" s="626"/>
      <c r="F300" s="626"/>
      <c r="G300" s="626"/>
      <c r="H300" s="626"/>
      <c r="I300" s="626"/>
      <c r="J300" s="626"/>
      <c r="K300" s="630"/>
      <c r="L300" s="82"/>
    </row>
    <row r="301" spans="1:12" ht="18.75" customHeight="1">
      <c r="A301" s="641"/>
      <c r="B301" s="634" t="str">
        <f>IFERROR(IF(INDEX('Coverage Indicators - Section D'!AL$1:AL$134,MATCH($A286,'Coverage Indicators - Section D'!$A$1:$A$134,0))&lt;&gt;0,INDEX('Coverage Indicators - Section D'!AL$1:AL$134,MATCH($A286,'Coverage Indicators - Section D'!$A$1:$A$134,0)),""),"")</f>
        <v>The country reports for the 2019 cohort a treatment success rate of 83% for MDR-TB patients put on treatment (80% for detected cases). the efforts made in this application with the choice of a patient-centered approach to MDR-TB, the expansion of the use of the new BPaL/BPaLM regimen, community involvement and the decentralization of services will enable the country to reach at least the 85% treatment success rate by 2024-2026. (NSP Target)</v>
      </c>
      <c r="C301" s="635"/>
      <c r="D301" s="635"/>
      <c r="E301" s="635"/>
      <c r="F301" s="635"/>
      <c r="G301" s="635"/>
      <c r="H301" s="635"/>
      <c r="I301" s="635"/>
      <c r="J301" s="635"/>
      <c r="K301" s="636"/>
      <c r="L301" s="82"/>
    </row>
    <row r="302" spans="1:12" ht="18.75" customHeight="1">
      <c r="A302" s="641"/>
      <c r="B302" s="643"/>
      <c r="C302" s="644"/>
      <c r="D302" s="644"/>
      <c r="E302" s="644"/>
      <c r="F302" s="644"/>
      <c r="G302" s="644"/>
      <c r="H302" s="644"/>
      <c r="I302" s="644"/>
      <c r="J302" s="644"/>
      <c r="K302" s="645"/>
      <c r="L302" s="82"/>
    </row>
    <row r="303" spans="1:12" ht="18.75" customHeight="1">
      <c r="A303" s="641"/>
      <c r="B303" s="643"/>
      <c r="C303" s="644"/>
      <c r="D303" s="644"/>
      <c r="E303" s="644"/>
      <c r="F303" s="644"/>
      <c r="G303" s="644"/>
      <c r="H303" s="644"/>
      <c r="I303" s="644"/>
      <c r="J303" s="644"/>
      <c r="K303" s="645"/>
      <c r="L303" s="82"/>
    </row>
    <row r="304" spans="1:12" ht="18.75" customHeight="1">
      <c r="A304" s="641"/>
      <c r="B304" s="643"/>
      <c r="C304" s="644"/>
      <c r="D304" s="644"/>
      <c r="E304" s="644"/>
      <c r="F304" s="644"/>
      <c r="G304" s="644"/>
      <c r="H304" s="644"/>
      <c r="I304" s="644"/>
      <c r="J304" s="644"/>
      <c r="K304" s="645"/>
      <c r="L304" s="82"/>
    </row>
    <row r="305" spans="1:12" ht="18.75" customHeight="1">
      <c r="A305" s="641"/>
      <c r="B305" s="643"/>
      <c r="C305" s="644"/>
      <c r="D305" s="644"/>
      <c r="E305" s="644"/>
      <c r="F305" s="644"/>
      <c r="G305" s="644"/>
      <c r="H305" s="644"/>
      <c r="I305" s="644"/>
      <c r="J305" s="644"/>
      <c r="K305" s="645"/>
      <c r="L305" s="82"/>
    </row>
    <row r="306" spans="1:12" ht="18.75" customHeight="1">
      <c r="A306" s="641"/>
      <c r="B306" s="643"/>
      <c r="C306" s="644"/>
      <c r="D306" s="644"/>
      <c r="E306" s="644"/>
      <c r="F306" s="644"/>
      <c r="G306" s="644"/>
      <c r="H306" s="644"/>
      <c r="I306" s="644"/>
      <c r="J306" s="644"/>
      <c r="K306" s="645"/>
      <c r="L306" s="82"/>
    </row>
    <row r="307" spans="1:12" ht="18.75" customHeight="1">
      <c r="A307" s="641"/>
      <c r="B307" s="643"/>
      <c r="C307" s="644"/>
      <c r="D307" s="644"/>
      <c r="E307" s="644"/>
      <c r="F307" s="644"/>
      <c r="G307" s="644"/>
      <c r="H307" s="644"/>
      <c r="I307" s="644"/>
      <c r="J307" s="644"/>
      <c r="K307" s="645"/>
      <c r="L307" s="82"/>
    </row>
    <row r="308" spans="1:12" ht="18.75" customHeight="1">
      <c r="A308" s="641"/>
      <c r="B308" s="643"/>
      <c r="C308" s="644"/>
      <c r="D308" s="644"/>
      <c r="E308" s="644"/>
      <c r="F308" s="644"/>
      <c r="G308" s="644"/>
      <c r="H308" s="644"/>
      <c r="I308" s="644"/>
      <c r="J308" s="644"/>
      <c r="K308" s="645"/>
      <c r="L308" s="82"/>
    </row>
    <row r="309" spans="1:12" ht="18.75" customHeight="1">
      <c r="A309" s="641"/>
      <c r="B309" s="643"/>
      <c r="C309" s="644"/>
      <c r="D309" s="644"/>
      <c r="E309" s="644"/>
      <c r="F309" s="644"/>
      <c r="G309" s="644"/>
      <c r="H309" s="644"/>
      <c r="I309" s="644"/>
      <c r="J309" s="644"/>
      <c r="K309" s="645"/>
      <c r="L309" s="82"/>
    </row>
    <row r="310" spans="1:12" ht="18.75" customHeight="1">
      <c r="A310" s="642"/>
      <c r="B310" s="637"/>
      <c r="C310" s="638"/>
      <c r="D310" s="638"/>
      <c r="E310" s="638"/>
      <c r="F310" s="638"/>
      <c r="G310" s="638"/>
      <c r="H310" s="638"/>
      <c r="I310" s="638"/>
      <c r="J310" s="638"/>
      <c r="K310" s="639"/>
      <c r="L310" s="82"/>
    </row>
    <row r="311" spans="1:12" ht="18.75" customHeight="1">
      <c r="A311" s="625"/>
      <c r="B311" s="626"/>
      <c r="C311" s="626"/>
      <c r="D311" s="626"/>
      <c r="E311" s="626"/>
      <c r="F311" s="626"/>
      <c r="G311" s="626"/>
      <c r="H311" s="626"/>
      <c r="I311" s="626"/>
      <c r="J311" s="626"/>
      <c r="K311" s="630"/>
      <c r="L311" s="82"/>
    </row>
    <row r="313" spans="1:12" ht="18.75" customHeight="1">
      <c r="A313" s="89" t="s">
        <v>5051</v>
      </c>
      <c r="B313" s="625" t="s">
        <v>1077</v>
      </c>
      <c r="C313" s="630"/>
      <c r="D313" s="631" t="str">
        <f ca="1">IFERROR(IF(INDEX('Coverage Indicators - Section D'!B$1:B$124,MATCH($A314,'Coverage Indicators - Section D'!$A$1:$A$124,0))&lt;&gt;0,INDEX('Coverage Indicators - Section D'!B$1:B$124,MATCH($A314,'Coverage Indicators - Section D'!$A$1:$A$124,0)),""),"")</f>
        <v/>
      </c>
      <c r="E313" s="632"/>
      <c r="F313" s="632"/>
      <c r="G313" s="632"/>
      <c r="H313" s="632"/>
      <c r="I313" s="632"/>
      <c r="J313" s="632"/>
      <c r="K313" s="633"/>
      <c r="L313" s="82"/>
    </row>
    <row r="314" spans="1:12" ht="18.75" customHeight="1">
      <c r="A314" s="640">
        <v>12</v>
      </c>
      <c r="B314" s="625" t="s">
        <v>765</v>
      </c>
      <c r="C314" s="626"/>
      <c r="D314" s="626"/>
      <c r="E314" s="626"/>
      <c r="F314" s="630"/>
      <c r="G314" s="625" t="s">
        <v>766</v>
      </c>
      <c r="H314" s="626"/>
      <c r="I314" s="626"/>
      <c r="J314" s="626"/>
      <c r="K314" s="630"/>
      <c r="L314" s="82"/>
    </row>
    <row r="315" spans="1:12" ht="18.75" customHeight="1">
      <c r="A315" s="641"/>
      <c r="B315" s="634" t="str">
        <f>IFERROR(IF(INDEX('Coverage Indicators - Section D'!C$1:C$124,MATCH($A314,'Coverage Indicators - Section D'!$A$1:$A$124,0))&lt;&gt;0,INDEX('Coverage Indicators - Section D'!C$1:C$124,MATCH($A314,'Coverage Indicators - Section D'!$A$1:$A$124,0)),""),"")</f>
        <v/>
      </c>
      <c r="C315" s="635"/>
      <c r="D315" s="635"/>
      <c r="E315" s="635"/>
      <c r="F315" s="636"/>
      <c r="G315" s="634" t="str">
        <f>IFERROR(IF(INDEX('Coverage Indicators - Section D'!D$1:D$124,MATCH($A314,'Coverage Indicators - Section D'!$A$1:$A$124,0))&lt;&gt;0,INDEX('Coverage Indicators - Section D'!D$1:D$124,MATCH($A314,'Coverage Indicators - Section D'!$A$1:$A$124,0)),""),"")</f>
        <v/>
      </c>
      <c r="H315" s="635"/>
      <c r="I315" s="635"/>
      <c r="J315" s="635"/>
      <c r="K315" s="636"/>
      <c r="L315" s="82"/>
    </row>
    <row r="316" spans="1:12" ht="18.75" customHeight="1">
      <c r="A316" s="641"/>
      <c r="B316" s="643"/>
      <c r="C316" s="644"/>
      <c r="D316" s="644"/>
      <c r="E316" s="644"/>
      <c r="F316" s="645"/>
      <c r="G316" s="643"/>
      <c r="H316" s="644"/>
      <c r="I316" s="644"/>
      <c r="J316" s="644"/>
      <c r="K316" s="645"/>
      <c r="L316" s="82"/>
    </row>
    <row r="317" spans="1:12" ht="18.75" customHeight="1">
      <c r="A317" s="641"/>
      <c r="B317" s="637"/>
      <c r="C317" s="638"/>
      <c r="D317" s="638"/>
      <c r="E317" s="638"/>
      <c r="F317" s="639"/>
      <c r="G317" s="637"/>
      <c r="H317" s="638"/>
      <c r="I317" s="638"/>
      <c r="J317" s="638"/>
      <c r="K317" s="639"/>
      <c r="L317" s="82"/>
    </row>
    <row r="318" spans="1:12" ht="18.75" customHeight="1">
      <c r="A318" s="641"/>
      <c r="B318" s="625" t="s">
        <v>769</v>
      </c>
      <c r="C318" s="626"/>
      <c r="D318" s="630"/>
      <c r="E318" s="625" t="s">
        <v>216</v>
      </c>
      <c r="F318" s="626"/>
      <c r="G318" s="630"/>
      <c r="H318" s="625" t="s">
        <v>127</v>
      </c>
      <c r="I318" s="626"/>
      <c r="J318" s="630"/>
      <c r="K318" s="89" t="s">
        <v>2204</v>
      </c>
      <c r="L318" s="82"/>
    </row>
    <row r="319" spans="1:12" ht="18.75" customHeight="1">
      <c r="A319" s="641"/>
      <c r="B319" s="631" t="str">
        <f>IFERROR(IF(INDEX('Coverage Indicators - Section D'!I$9:I$92,MATCH($A314,'Coverage Indicators - Section D'!$A$9:$A$92,0))&lt;&gt;0,INDEX('Coverage Indicators - Section D'!I$9:I$92,MATCH($A314,'Coverage Indicators - Section D'!$A$9:$A$92,0)),""),"")</f>
        <v/>
      </c>
      <c r="C319" s="632"/>
      <c r="D319" s="633"/>
      <c r="E319" s="631" t="str">
        <f>IFERROR(IF(INDEX('Coverage Indicators - Section D'!M$1:M$124,MATCH($A314,'Coverage Indicators - Section D'!$A$1:$A$124,0))&lt;&gt;0,INDEX('Coverage Indicators - Section D'!M$1:M$124,MATCH($A314,'Coverage Indicators - Section D'!$A$1:$A$124,0)),""),"")</f>
        <v/>
      </c>
      <c r="F319" s="632"/>
      <c r="G319" s="633"/>
      <c r="H319" s="631" t="str">
        <f>IFERROR(IF(INDEX('Coverage Indicators - Section D'!L$1:L$124,MATCH($A314,'Coverage Indicators - Section D'!$A$1:$A$124,0))&lt;&gt;0,INDEX('Coverage Indicators - Section D'!L$1:L$124,MATCH($A314,'Coverage Indicators - Section D'!$A$1:$A$124,0)),""),"")</f>
        <v/>
      </c>
      <c r="I319" s="632"/>
      <c r="J319" s="633"/>
      <c r="K319" s="90" t="str">
        <f>IFERROR(IF(INDEX('Coverage Indicators - Section D'!J$1:J$124,MATCH($A314,'Coverage Indicators - Section D'!$A$1:$A$124,0))&lt;&gt;0,INDEX('Coverage Indicators - Section D'!J$1:J$124,MATCH($A314,'Coverage Indicators - Section D'!$A$1:$A$124,0)),""),"")</f>
        <v/>
      </c>
      <c r="L319" s="82"/>
    </row>
    <row r="320" spans="1:12" ht="18.75" customHeight="1">
      <c r="A320" s="641"/>
      <c r="B320" s="625" t="s">
        <v>199</v>
      </c>
      <c r="C320" s="626"/>
      <c r="D320" s="630"/>
      <c r="E320" s="625" t="s">
        <v>5060</v>
      </c>
      <c r="F320" s="626"/>
      <c r="G320" s="630"/>
      <c r="H320" s="625" t="s">
        <v>120</v>
      </c>
      <c r="I320" s="626"/>
      <c r="J320" s="626"/>
      <c r="K320" s="630"/>
      <c r="L320" s="82"/>
    </row>
    <row r="321" spans="1:12" ht="18.75" customHeight="1">
      <c r="A321" s="641"/>
      <c r="B321" s="634" t="str">
        <f>IFERROR(IF(INDEX('Coverage Indicators - Section D'!H$1:H$124,MATCH($A314,'Coverage Indicators - Section D'!$A$1:$A$124,0))&lt;&gt;0,INDEX('Coverage Indicators - Section D'!H$1:H$124,MATCH($A314,'Coverage Indicators - Section D'!$A$1:$A$124,0)),""),"")</f>
        <v/>
      </c>
      <c r="C321" s="635"/>
      <c r="D321" s="636"/>
      <c r="E321" s="634" t="str">
        <f>IFERROR(IF(INDEX('Coverage Indicators - Section D'!L$1:L$124,MATCH($A314,'Coverage Indicators - Section D'!$A$1:$A$124,0)+1)&lt;&gt;0,INDEX('Coverage Indicators - Section D'!L$1:L$124,MATCH($A314,'Coverage Indicators - Section D'!$A$1:$A$124,0)+1),""),"")</f>
        <v/>
      </c>
      <c r="F321" s="635"/>
      <c r="G321" s="636"/>
      <c r="H321" s="634" t="str">
        <f ca="1">IFERROR(IF(AND('Overview - Section A'!AS$1="Grant Making",OR(B315&lt;&gt;"",G315&lt;&gt;"")),Setup!I15,IF(INDEX('Coverage Indicators - Section D'!K$1:K$124,MATCH($A314,'Coverage Indicators - Section D'!$A$1:$A$124,0))&lt;&gt;0,INDEX('Coverage Indicators - Section D'!K$1:K$124,MATCH($A314,'Coverage Indicators - Section D'!$A$1:$A$124,0)),"")),"")</f>
        <v/>
      </c>
      <c r="I321" s="635"/>
      <c r="J321" s="635"/>
      <c r="K321" s="636"/>
      <c r="L321" s="82"/>
    </row>
    <row r="322" spans="1:12" ht="18.75" customHeight="1">
      <c r="A322" s="641"/>
      <c r="B322" s="637"/>
      <c r="C322" s="638"/>
      <c r="D322" s="639"/>
      <c r="E322" s="637"/>
      <c r="F322" s="638"/>
      <c r="G322" s="639"/>
      <c r="H322" s="637"/>
      <c r="I322" s="638"/>
      <c r="J322" s="638"/>
      <c r="K322" s="639"/>
      <c r="L322" s="82"/>
    </row>
    <row r="323" spans="1:12" ht="18.75" customHeight="1">
      <c r="A323" s="641"/>
      <c r="B323" s="89"/>
      <c r="C323" s="89" t="s">
        <v>5052</v>
      </c>
      <c r="D323" s="625" t="s">
        <v>5053</v>
      </c>
      <c r="E323" s="626"/>
      <c r="F323" s="626"/>
      <c r="G323" s="626"/>
      <c r="H323" s="626"/>
      <c r="I323" s="626"/>
      <c r="J323" s="626"/>
      <c r="K323" s="630"/>
      <c r="L323" s="82"/>
    </row>
    <row r="324" spans="1:12" ht="18.75" customHeight="1">
      <c r="A324" s="641"/>
      <c r="B324" s="89" t="s">
        <v>2589</v>
      </c>
      <c r="C324" s="90" t="str">
        <f>IFERROR(IF(INDEX('Coverage Indicators - Section D'!G$1:G$124,MATCH($A314,'Coverage Indicators - Section D'!$A$1:$A$124,0))&lt;&gt;0,INDEX('Coverage Indicators - Section D'!G$1:G$124,MATCH($A314,'Coverage Indicators - Section D'!$A$1:$A$124,0)),""),"")</f>
        <v/>
      </c>
      <c r="D324"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324"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324"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324"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324"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324"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324"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324"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324" s="82"/>
    </row>
    <row r="325" spans="1:12" s="93" customFormat="1" ht="18.75" customHeight="1">
      <c r="A325" s="641"/>
      <c r="B325" s="89" t="s">
        <v>5054</v>
      </c>
      <c r="C325" s="91" t="str">
        <f>IFERROR(IF(INDEX('Coverage Indicators - Section D'!E$1:E$124,MATCH($A314,'Coverage Indicators - Section D'!$A$1:$A$124,0))&lt;&gt;"",INDEX('Coverage Indicators - Section D'!E$1:E$124,MATCH($A314,'Coverage Indicators - Section D'!$A$1:$A$124,0)),""),"")</f>
        <v/>
      </c>
      <c r="D325" s="91" t="str">
        <f ca="1">IFERROR(IF(INDEX('Coverage Indicators - Section D'!N$1:N$124,MATCH($A314,'Coverage Indicators - Section D'!$A$1:$A$124,0))&lt;&gt;"",INDEX('Coverage Indicators - Section D'!N$1:N$124,MATCH($A314,'Coverage Indicators - Section D'!$A$1:$A$124,0)),""),"")</f>
        <v/>
      </c>
      <c r="E325" s="91" t="str">
        <f ca="1">IFERROR(IF(INDEX('Coverage Indicators - Section D'!Q$1:Q$124,MATCH($A314,'Coverage Indicators - Section D'!$A$1:$A$124,0))&lt;&gt;"",INDEX('Coverage Indicators - Section D'!Q$1:Q$124,MATCH($A314,'Coverage Indicators - Section D'!$A$1:$A$124,0)),""),"")</f>
        <v/>
      </c>
      <c r="F325" s="91" t="str">
        <f ca="1">IFERROR(IF(INDEX('Coverage Indicators - Section D'!T$1:T$124,MATCH($A314,'Coverage Indicators - Section D'!$A$1:$A$124,0))&lt;&gt;"",INDEX('Coverage Indicators - Section D'!T$1:T$124,MATCH($A314,'Coverage Indicators - Section D'!$A$1:$A$124,0)),""),"")</f>
        <v/>
      </c>
      <c r="G325" s="91" t="str">
        <f ca="1">IFERROR(IF(INDEX('Coverage Indicators - Section D'!W$1:W$124,MATCH($A314,'Coverage Indicators - Section D'!$A$1:$A$124,0))&lt;&gt;"",INDEX('Coverage Indicators - Section D'!W$1:W$124,MATCH($A314,'Coverage Indicators - Section D'!$A$1:$A$124,0)),""),"")</f>
        <v/>
      </c>
      <c r="H325" s="91" t="str">
        <f ca="1">IFERROR(IF(INDEX('Coverage Indicators - Section D'!Z$1:Z$124,MATCH($A314,'Coverage Indicators - Section D'!$A$1:$A$124,0))&lt;&gt;"",INDEX('Coverage Indicators - Section D'!Z$1:Z$124,MATCH($A314,'Coverage Indicators - Section D'!$A$1:$A$124,0)),""),"")</f>
        <v/>
      </c>
      <c r="I325" s="91" t="str">
        <f ca="1">IFERROR(IF(INDEX('Coverage Indicators - Section D'!AC$1:AC$124,MATCH($A314,'Coverage Indicators - Section D'!$A$1:$A$124,0))&lt;&gt;"",INDEX('Coverage Indicators - Section D'!AC$1:AC$124,MATCH($A314,'Coverage Indicators - Section D'!$A$1:$A$124,0)),""),"")</f>
        <v/>
      </c>
      <c r="J325" s="91" t="str">
        <f ca="1">IFERROR(IF(INDEX('Coverage Indicators - Section D'!AF$1:AF$124,MATCH($A314,'Coverage Indicators - Section D'!$A$1:$A$124,0))&lt;&gt;"",INDEX('Coverage Indicators - Section D'!AF$1:AF$124,MATCH($A314,'Coverage Indicators - Section D'!$A$1:$A$124,0)),""),"")</f>
        <v/>
      </c>
      <c r="K325" s="91" t="str">
        <f ca="1">IFERROR(IF(INDEX('Coverage Indicators - Section D'!AI$1:AI$124,MATCH($A314,'Coverage Indicators - Section D'!$A$1:$A$124,0))&lt;&gt;"",INDEX('Coverage Indicators - Section D'!AI$1:AI$124,MATCH($A314,'Coverage Indicators - Section D'!$A$1:$A$124,0)),""),"")</f>
        <v/>
      </c>
      <c r="L325" s="92"/>
    </row>
    <row r="326" spans="1:12" s="96" customFormat="1" ht="18.75" customHeight="1">
      <c r="A326" s="641"/>
      <c r="B326" s="89" t="s">
        <v>5055</v>
      </c>
      <c r="C326" s="94" t="str">
        <f>IFERROR(IF(INDEX('Coverage Indicators - Section D'!E$1:E$124,MATCH($A314,'Coverage Indicators - Section D'!$A$1:$A$124,0)+1)&lt;&gt;"",INDEX('Coverage Indicators - Section D'!E$1:E$124,MATCH($A314,'Coverage Indicators - Section D'!$A$1:$A$124,0)+1),""),"")</f>
        <v/>
      </c>
      <c r="D326" s="94" t="str">
        <f ca="1">IFERROR(IF(INDEX('Coverage Indicators - Section D'!N$1:N$124,MATCH($A314,'Coverage Indicators - Section D'!$A$1:$A$124,0)+1)&lt;&gt;"",INDEX('Coverage Indicators - Section D'!N$1:N$124,MATCH($A314,'Coverage Indicators - Section D'!$A$1:$A$124,0)+1),""),"")</f>
        <v/>
      </c>
      <c r="E326" s="94" t="str">
        <f ca="1">IFERROR(IF(INDEX('Coverage Indicators - Section D'!Q$1:Q$124,MATCH($A314,'Coverage Indicators - Section D'!$A$1:$A$124,0)+1)&lt;&gt;"",INDEX('Coverage Indicators - Section D'!Q$1:Q$124,MATCH($A314,'Coverage Indicators - Section D'!$A$1:$A$124,0)+1),""),"")</f>
        <v/>
      </c>
      <c r="F326" s="94" t="str">
        <f ca="1">IFERROR(IF(INDEX('Coverage Indicators - Section D'!T$1:T$124,MATCH($A314,'Coverage Indicators - Section D'!$A$1:$A$124,0)+1)&lt;&gt;"",INDEX('Coverage Indicators - Section D'!T$1:T$124,MATCH($A314,'Coverage Indicators - Section D'!$A$1:$A$124,0)+1),""),"")</f>
        <v/>
      </c>
      <c r="G326" s="94" t="str">
        <f ca="1">IFERROR(IF(INDEX('Coverage Indicators - Section D'!W$1:W$124,MATCH($A314,'Coverage Indicators - Section D'!$A$1:$A$124,0)+1)&lt;&gt;"",INDEX('Coverage Indicators - Section D'!W$1:W$124,MATCH($A314,'Coverage Indicators - Section D'!$A$1:$A$124,0)+1),""),"")</f>
        <v/>
      </c>
      <c r="H326" s="94" t="str">
        <f ca="1">IFERROR(IF(INDEX('Coverage Indicators - Section D'!Z$1:Z$124,MATCH($A314,'Coverage Indicators - Section D'!$A$1:$A$124,0)+1)&lt;&gt;"",INDEX('Coverage Indicators - Section D'!Z$1:Z$124,MATCH($A314,'Coverage Indicators - Section D'!$A$1:$A$124,0)+1),""),"")</f>
        <v/>
      </c>
      <c r="I326" s="94" t="str">
        <f ca="1">IFERROR(IF(INDEX('Coverage Indicators - Section D'!AC$1:AC$124,MATCH($A314,'Coverage Indicators - Section D'!$A$1:$A$124,0)+1)&lt;&gt;"",INDEX('Coverage Indicators - Section D'!AC$1:AC$124,MATCH($A314,'Coverage Indicators - Section D'!$A$1:$A$124,0)+1),""),"")</f>
        <v/>
      </c>
      <c r="J326" s="94" t="str">
        <f ca="1">IFERROR(IF(INDEX('Coverage Indicators - Section D'!AF$1:AF$124,MATCH($A314,'Coverage Indicators - Section D'!$A$1:$A$124,0)+1)&lt;&gt;"",INDEX('Coverage Indicators - Section D'!AF$1:AF$124,MATCH($A314,'Coverage Indicators - Section D'!$A$1:$A$124,0)+1),""),"")</f>
        <v/>
      </c>
      <c r="K326" s="94" t="str">
        <f ca="1">IFERROR(IF(INDEX('Coverage Indicators - Section D'!AI$1:AI$124,MATCH($A314,'Coverage Indicators - Section D'!$A$1:$A$124,0)+1)&lt;&gt;"",INDEX('Coverage Indicators - Section D'!AI$1:AI$124,MATCH($A314,'Coverage Indicators - Section D'!$A$1:$A$124,0)+1),""),"")</f>
        <v/>
      </c>
      <c r="L326" s="95"/>
    </row>
    <row r="327" spans="1:12" ht="18.75" customHeight="1">
      <c r="A327" s="641"/>
      <c r="B327" s="89" t="s">
        <v>5056</v>
      </c>
      <c r="C327" s="90" t="str">
        <f ca="1">IFERROR(IF(INDEX('Coverage Indicators - Section D'!F$1:F$124,MATCH($A314,'Coverage Indicators - Section D'!$A$1:$A$124,0))&lt;&gt;"",FIXED(INDEX('Coverage Indicators - Section D'!F$1:F$124,MATCH($A314,'Coverage Indicators - Section D'!$A$1:$A$124,0))*100,2)&amp;"%",""),"")</f>
        <v/>
      </c>
      <c r="D327" s="90" t="str">
        <f>IFERROR(IF(INDEX('Coverage Indicators - Section D'!O$1:O$124,MATCH($A314,'Coverage Indicators - Section D'!$A$1:$A$124,0))&lt;&gt;"",FIXED(INDEX('Coverage Indicators - Section D'!O$1:O$124,MATCH($A314,'Coverage Indicators - Section D'!$A$1:$A$124,0))*100,2)&amp;"%",""),"")&amp;CHAR(10)&amp;IFERROR(IF(INDEX('Coverage Indicators - Section D'!P$1:P$124,MATCH($A314,'Coverage Indicators - Section D'!$A$1:$A$124,0))&lt;&gt;"",INDEX('Coverage Indicators - Section D'!P$1:P$124,MATCH($A314,'Coverage Indicators - Section D'!$A$1:$A$124,0)),""),"")</f>
        <v xml:space="preserve">
</v>
      </c>
      <c r="E327" s="90" t="str">
        <f>IFERROR(IF(INDEX('Coverage Indicators - Section D'!R$1:R$124,MATCH($A314,'Coverage Indicators - Section D'!$A$1:$A$124,0))&lt;&gt;"",FIXED(INDEX('Coverage Indicators - Section D'!R$1:R$124,MATCH($A314,'Coverage Indicators - Section D'!$A$1:$A$124,0))*100,2)&amp;"%",""),"")&amp;CHAR(10)&amp;IFERROR(IF(INDEX('Coverage Indicators - Section D'!S$1:S$124,MATCH($A314,'Coverage Indicators - Section D'!$A$1:$A$124,0))&lt;&gt;"",INDEX('Coverage Indicators - Section D'!S$1:S$124,MATCH($A314,'Coverage Indicators - Section D'!$A$1:$A$124,0)),""),"")</f>
        <v xml:space="preserve">
</v>
      </c>
      <c r="F327" s="90" t="str">
        <f>IFERROR(IF(INDEX('Coverage Indicators - Section D'!U$1:U$124,MATCH($A314,'Coverage Indicators - Section D'!$A$1:$A$124,0))&lt;&gt;"",FIXED(INDEX('Coverage Indicators - Section D'!U$1:U$124,MATCH($A314,'Coverage Indicators - Section D'!$A$1:$A$124,0))*100,2)&amp;"%",""),"")&amp;CHAR(10)&amp;IFERROR(IF(INDEX('Coverage Indicators - Section D'!V$1:V$124,MATCH($A314,'Coverage Indicators - Section D'!$A$1:$A$124,0))&lt;&gt;"",INDEX('Coverage Indicators - Section D'!V$1:V$124,MATCH($A314,'Coverage Indicators - Section D'!$A$1:$A$124,0)),""),"")</f>
        <v xml:space="preserve">
</v>
      </c>
      <c r="G327" s="90" t="str">
        <f>IFERROR(IF(INDEX('Coverage Indicators - Section D'!X$1:X$124,MATCH($A314,'Coverage Indicators - Section D'!$A$1:$A$124,0))&lt;&gt;"",FIXED(INDEX('Coverage Indicators - Section D'!X$1:X$124,MATCH($A314,'Coverage Indicators - Section D'!$A$1:$A$124,0))*100,2)&amp;"%",""),"")&amp;CHAR(10)&amp;IFERROR(IF(INDEX('Coverage Indicators - Section D'!Y$1:Y$124,MATCH($A314,'Coverage Indicators - Section D'!$A$1:$A$124,0))&lt;&gt;"",INDEX('Coverage Indicators - Section D'!Y$1:Y$124,MATCH($A314,'Coverage Indicators - Section D'!$A$1:$A$124,0)),""),"")</f>
        <v xml:space="preserve">
</v>
      </c>
      <c r="H327" s="90" t="str">
        <f>IFERROR(IF(INDEX('Coverage Indicators - Section D'!AA$1:AA$124,MATCH(A314,'Coverage Indicators - Section D'!$A$1:$A$124,0))&lt;&gt;"",FIXED(INDEX('Coverage Indicators - Section D'!AA$1:AA$124,MATCH($A314,'Coverage Indicators - Section D'!$A$1:$A$124,0))*100,2)&amp;"%",""),"")&amp;CHAR(10)&amp;IFERROR(IF(INDEX('Coverage Indicators - Section D'!AB$1:AB$124,MATCH($A314,'Coverage Indicators - Section D'!$A$1:$A$124,0))&lt;&gt;"",INDEX('Coverage Indicators - Section D'!AB$1:AB$124,MATCH($A314,'Coverage Indicators - Section D'!$A$1:$A$124,0)),""),"")</f>
        <v xml:space="preserve">
</v>
      </c>
      <c r="I327" s="90" t="str">
        <f>IFERROR(IF(INDEX('Coverage Indicators - Section D'!AD$1:AD$124,MATCH($A314,'Coverage Indicators - Section D'!$A$1:$A$124,0))&lt;&gt;"",FIXED(INDEX('Coverage Indicators - Section D'!AD$1:AD$124,MATCH($A314,'Coverage Indicators - Section D'!$A$1:$A$124,0))*100,2)&amp;"%",""),"")&amp;CHAR(10)&amp;IFERROR(IF(INDEX('Coverage Indicators - Section D'!AE$1:AE$124,MATCH($A314,'Coverage Indicators - Section D'!$A$1:$A$124,0))&lt;&gt;"",INDEX('Coverage Indicators - Section D'!AE$1:AE$124,MATCH($A314,'Coverage Indicators - Section D'!$A$1:$A$124,0)),""),"")</f>
        <v xml:space="preserve">
</v>
      </c>
      <c r="J327" s="90" t="str">
        <f>IFERROR(IF(INDEX('Coverage Indicators - Section D'!AG$1:AG$124,MATCH($A314,'Coverage Indicators - Section D'!$A$1:$A$124,0))&lt;&gt;"",FIXED(INDEX('Coverage Indicators - Section D'!AG$1:AG$124,MATCH($A314,'Coverage Indicators - Section D'!$A$1:$A$124,0))*100,2)&amp;"%",""),"")&amp;CHAR(10)&amp;IFERROR(IF(INDEX('Coverage Indicators - Section D'!AH$1:AH$124,MATCH($A314,'Coverage Indicators - Section D'!$A$1:$A$124,0))&lt;&gt;"",INDEX('Coverage Indicators - Section D'!AH$1:AH$124,MATCH($A314,'Coverage Indicators - Section D'!$A$1:$A$124,0)),""),"")</f>
        <v xml:space="preserve">
</v>
      </c>
      <c r="K327" s="90" t="str">
        <f>IFERROR(IF(INDEX('Coverage Indicators - Section D'!AJ$1:AJ$124,MATCH($A314,'Coverage Indicators - Section D'!$A$1:$A$124,0))&lt;&gt;"",FIXED(INDEX('Coverage Indicators - Section D'!AJ$1:AJ$124,MATCH($A314,'Coverage Indicators - Section D'!$A$1:$A$124,0))*100,2)&amp;"%",""),"")&amp;CHAR(10)&amp;IFERROR(IF(INDEX('Coverage Indicators - Section D'!AK$1:AK$124,MATCH($A314,'Coverage Indicators - Section D'!$A$1:$A$124,0))&lt;&gt;"",INDEX('Coverage Indicators - Section D'!AK$1:AK$124,MATCH($A314,'Coverage Indicators - Section D'!$A$1:$A$124,0)),""),"")</f>
        <v xml:space="preserve">
</v>
      </c>
      <c r="L327" s="82"/>
    </row>
    <row r="328" spans="1:12" ht="18.75" customHeight="1">
      <c r="A328" s="641"/>
      <c r="B328" s="625" t="s">
        <v>176</v>
      </c>
      <c r="C328" s="626"/>
      <c r="D328" s="626"/>
      <c r="E328" s="626"/>
      <c r="F328" s="626"/>
      <c r="G328" s="626"/>
      <c r="H328" s="626"/>
      <c r="I328" s="626"/>
      <c r="J328" s="626"/>
      <c r="K328" s="630"/>
      <c r="L328" s="82"/>
    </row>
    <row r="329" spans="1:12" ht="18.75" customHeight="1">
      <c r="A329" s="641"/>
      <c r="B329" s="634" t="str">
        <f>IFERROR(IF(INDEX('Coverage Indicators - Section D'!AL$1:AL$134,MATCH($A314,'Coverage Indicators - Section D'!$A$1:$A$134,0))&lt;&gt;0,INDEX('Coverage Indicators - Section D'!AL$1:AL$134,MATCH($A314,'Coverage Indicators - Section D'!$A$1:$A$134,0)),""),"")</f>
        <v/>
      </c>
      <c r="C329" s="635"/>
      <c r="D329" s="635"/>
      <c r="E329" s="635"/>
      <c r="F329" s="635"/>
      <c r="G329" s="635"/>
      <c r="H329" s="635"/>
      <c r="I329" s="635"/>
      <c r="J329" s="635"/>
      <c r="K329" s="636"/>
      <c r="L329" s="82"/>
    </row>
    <row r="330" spans="1:12" ht="18.75" customHeight="1">
      <c r="A330" s="641"/>
      <c r="B330" s="643"/>
      <c r="C330" s="644"/>
      <c r="D330" s="644"/>
      <c r="E330" s="644"/>
      <c r="F330" s="644"/>
      <c r="G330" s="644"/>
      <c r="H330" s="644"/>
      <c r="I330" s="644"/>
      <c r="J330" s="644"/>
      <c r="K330" s="645"/>
      <c r="L330" s="82"/>
    </row>
    <row r="331" spans="1:12" ht="18.75" customHeight="1">
      <c r="A331" s="641"/>
      <c r="B331" s="643"/>
      <c r="C331" s="644"/>
      <c r="D331" s="644"/>
      <c r="E331" s="644"/>
      <c r="F331" s="644"/>
      <c r="G331" s="644"/>
      <c r="H331" s="644"/>
      <c r="I331" s="644"/>
      <c r="J331" s="644"/>
      <c r="K331" s="645"/>
      <c r="L331" s="82"/>
    </row>
    <row r="332" spans="1:12" ht="18.75" customHeight="1">
      <c r="A332" s="641"/>
      <c r="B332" s="643"/>
      <c r="C332" s="644"/>
      <c r="D332" s="644"/>
      <c r="E332" s="644"/>
      <c r="F332" s="644"/>
      <c r="G332" s="644"/>
      <c r="H332" s="644"/>
      <c r="I332" s="644"/>
      <c r="J332" s="644"/>
      <c r="K332" s="645"/>
      <c r="L332" s="82"/>
    </row>
    <row r="333" spans="1:12" ht="18.75" customHeight="1">
      <c r="A333" s="641"/>
      <c r="B333" s="643"/>
      <c r="C333" s="644"/>
      <c r="D333" s="644"/>
      <c r="E333" s="644"/>
      <c r="F333" s="644"/>
      <c r="G333" s="644"/>
      <c r="H333" s="644"/>
      <c r="I333" s="644"/>
      <c r="J333" s="644"/>
      <c r="K333" s="645"/>
      <c r="L333" s="82"/>
    </row>
    <row r="334" spans="1:12" ht="18.75" customHeight="1">
      <c r="A334" s="641"/>
      <c r="B334" s="643"/>
      <c r="C334" s="644"/>
      <c r="D334" s="644"/>
      <c r="E334" s="644"/>
      <c r="F334" s="644"/>
      <c r="G334" s="644"/>
      <c r="H334" s="644"/>
      <c r="I334" s="644"/>
      <c r="J334" s="644"/>
      <c r="K334" s="645"/>
      <c r="L334" s="82"/>
    </row>
    <row r="335" spans="1:12" ht="18.75" customHeight="1">
      <c r="A335" s="641"/>
      <c r="B335" s="643"/>
      <c r="C335" s="644"/>
      <c r="D335" s="644"/>
      <c r="E335" s="644"/>
      <c r="F335" s="644"/>
      <c r="G335" s="644"/>
      <c r="H335" s="644"/>
      <c r="I335" s="644"/>
      <c r="J335" s="644"/>
      <c r="K335" s="645"/>
      <c r="L335" s="82"/>
    </row>
    <row r="336" spans="1:12" ht="18.75" customHeight="1">
      <c r="A336" s="641"/>
      <c r="B336" s="643"/>
      <c r="C336" s="644"/>
      <c r="D336" s="644"/>
      <c r="E336" s="644"/>
      <c r="F336" s="644"/>
      <c r="G336" s="644"/>
      <c r="H336" s="644"/>
      <c r="I336" s="644"/>
      <c r="J336" s="644"/>
      <c r="K336" s="645"/>
      <c r="L336" s="82"/>
    </row>
    <row r="337" spans="1:12" ht="18.75" customHeight="1">
      <c r="A337" s="641"/>
      <c r="B337" s="643"/>
      <c r="C337" s="644"/>
      <c r="D337" s="644"/>
      <c r="E337" s="644"/>
      <c r="F337" s="644"/>
      <c r="G337" s="644"/>
      <c r="H337" s="644"/>
      <c r="I337" s="644"/>
      <c r="J337" s="644"/>
      <c r="K337" s="645"/>
      <c r="L337" s="82"/>
    </row>
    <row r="338" spans="1:12" ht="18.75" customHeight="1">
      <c r="A338" s="642"/>
      <c r="B338" s="637"/>
      <c r="C338" s="638"/>
      <c r="D338" s="638"/>
      <c r="E338" s="638"/>
      <c r="F338" s="638"/>
      <c r="G338" s="638"/>
      <c r="H338" s="638"/>
      <c r="I338" s="638"/>
      <c r="J338" s="638"/>
      <c r="K338" s="639"/>
      <c r="L338" s="82"/>
    </row>
    <row r="339" spans="1:12" ht="18.75" customHeight="1">
      <c r="A339" s="625"/>
      <c r="B339" s="626"/>
      <c r="C339" s="626"/>
      <c r="D339" s="626"/>
      <c r="E339" s="626"/>
      <c r="F339" s="626"/>
      <c r="G339" s="626"/>
      <c r="H339" s="626"/>
      <c r="I339" s="626"/>
      <c r="J339" s="626"/>
      <c r="K339" s="630"/>
      <c r="L339" s="82"/>
    </row>
    <row r="341" spans="1:12" ht="18.75" customHeight="1">
      <c r="A341" s="89" t="s">
        <v>5051</v>
      </c>
      <c r="B341" s="625" t="s">
        <v>1077</v>
      </c>
      <c r="C341" s="630"/>
      <c r="D341" s="631" t="str">
        <f ca="1">IFERROR(IF(INDEX('Coverage Indicators - Section D'!B$1:B$124,MATCH($A342,'Coverage Indicators - Section D'!$A$1:$A$124,0))&lt;&gt;0,INDEX('Coverage Indicators - Section D'!B$1:B$124,MATCH($A342,'Coverage Indicators - Section D'!$A$1:$A$124,0)),""),"")</f>
        <v>Prevention package for men who have sex with men (MSM) and their sexual partners</v>
      </c>
      <c r="E341" s="632"/>
      <c r="F341" s="632"/>
      <c r="G341" s="632"/>
      <c r="H341" s="632"/>
      <c r="I341" s="632"/>
      <c r="J341" s="632"/>
      <c r="K341" s="633"/>
      <c r="L341" s="82"/>
    </row>
    <row r="342" spans="1:12" ht="18.75" customHeight="1">
      <c r="A342" s="640">
        <v>13</v>
      </c>
      <c r="B342" s="625" t="s">
        <v>765</v>
      </c>
      <c r="C342" s="626"/>
      <c r="D342" s="626"/>
      <c r="E342" s="626"/>
      <c r="F342" s="630"/>
      <c r="G342" s="625" t="s">
        <v>766</v>
      </c>
      <c r="H342" s="626"/>
      <c r="I342" s="626"/>
      <c r="J342" s="626"/>
      <c r="K342" s="630"/>
      <c r="L342" s="82"/>
    </row>
    <row r="343" spans="1:12" ht="18.75" customHeight="1">
      <c r="A343" s="641"/>
      <c r="B343" s="634" t="str">
        <f>IFERROR(IF(INDEX('Coverage Indicators - Section D'!C$1:C$124,MATCH($A342,'Coverage Indicators - Section D'!$A$1:$A$124,0))&lt;&gt;0,INDEX('Coverage Indicators - Section D'!C$1:C$124,MATCH($A342,'Coverage Indicators - Section D'!$A$1:$A$124,0)),""),"")</f>
        <v>KP-1a Percentage of men who have sex with men reached with HIV prevention programs - defined package of services</v>
      </c>
      <c r="C343" s="635"/>
      <c r="D343" s="635"/>
      <c r="E343" s="635"/>
      <c r="F343" s="636"/>
      <c r="G343" s="634" t="str">
        <f>IFERROR(IF(INDEX('Coverage Indicators - Section D'!D$1:D$124,MATCH($A342,'Coverage Indicators - Section D'!$A$1:$A$124,0))&lt;&gt;0,INDEX('Coverage Indicators - Section D'!D$1:D$124,MATCH($A342,'Coverage Indicators - Section D'!$A$1:$A$124,0)),""),"")</f>
        <v/>
      </c>
      <c r="H343" s="635"/>
      <c r="I343" s="635"/>
      <c r="J343" s="635"/>
      <c r="K343" s="636"/>
      <c r="L343" s="82"/>
    </row>
    <row r="344" spans="1:12" ht="18.75" customHeight="1">
      <c r="A344" s="641"/>
      <c r="B344" s="643"/>
      <c r="C344" s="644"/>
      <c r="D344" s="644"/>
      <c r="E344" s="644"/>
      <c r="F344" s="645"/>
      <c r="G344" s="643"/>
      <c r="H344" s="644"/>
      <c r="I344" s="644"/>
      <c r="J344" s="644"/>
      <c r="K344" s="645"/>
      <c r="L344" s="82"/>
    </row>
    <row r="345" spans="1:12" ht="18.75" customHeight="1">
      <c r="A345" s="641"/>
      <c r="B345" s="637"/>
      <c r="C345" s="638"/>
      <c r="D345" s="638"/>
      <c r="E345" s="638"/>
      <c r="F345" s="639"/>
      <c r="G345" s="637"/>
      <c r="H345" s="638"/>
      <c r="I345" s="638"/>
      <c r="J345" s="638"/>
      <c r="K345" s="639"/>
      <c r="L345" s="82"/>
    </row>
    <row r="346" spans="1:12" ht="18.75" customHeight="1">
      <c r="A346" s="641"/>
      <c r="B346" s="625" t="s">
        <v>769</v>
      </c>
      <c r="C346" s="626"/>
      <c r="D346" s="630"/>
      <c r="E346" s="625" t="s">
        <v>216</v>
      </c>
      <c r="F346" s="626"/>
      <c r="G346" s="630"/>
      <c r="H346" s="625" t="s">
        <v>127</v>
      </c>
      <c r="I346" s="626"/>
      <c r="J346" s="630"/>
      <c r="K346" s="89" t="s">
        <v>2204</v>
      </c>
      <c r="L346" s="82"/>
    </row>
    <row r="347" spans="1:12" ht="18.75" customHeight="1">
      <c r="A347" s="641"/>
      <c r="B347" s="631" t="str">
        <f>IFERROR(IF(INDEX('Coverage Indicators - Section D'!I$9:I$92,MATCH($A342,'Coverage Indicators - Section D'!$A$9:$A$92,0))&lt;&gt;0,INDEX('Coverage Indicators - Section D'!I$9:I$92,MATCH($A342,'Coverage Indicators - Section D'!$A$9:$A$92,0)),""),"")</f>
        <v>Age</v>
      </c>
      <c r="C347" s="632"/>
      <c r="D347" s="633"/>
      <c r="E347" s="631" t="str">
        <f>IFERROR(IF(INDEX('Coverage Indicators - Section D'!M$1:M$124,MATCH($A342,'Coverage Indicators - Section D'!$A$1:$A$124,0))&lt;&gt;0,INDEX('Coverage Indicators - Section D'!M$1:M$124,MATCH($A342,'Coverage Indicators - Section D'!$A$1:$A$124,0)),""),"")</f>
        <v>Non cumulative</v>
      </c>
      <c r="F347" s="632"/>
      <c r="G347" s="633"/>
      <c r="H347" s="631" t="str">
        <f>IFERROR(IF(INDEX('Coverage Indicators - Section D'!L$1:L$124,MATCH($A342,'Coverage Indicators - Section D'!$A$1:$A$124,0))&lt;&gt;0,INDEX('Coverage Indicators - Section D'!L$1:L$124,MATCH($A342,'Coverage Indicators - Section D'!$A$1:$A$124,0)),""),"")</f>
        <v/>
      </c>
      <c r="I347" s="632"/>
      <c r="J347" s="633"/>
      <c r="K347" s="90" t="str">
        <f>IFERROR(IF(INDEX('Coverage Indicators - Section D'!J$1:J$124,MATCH($A342,'Coverage Indicators - Section D'!$A$1:$A$124,0))&lt;&gt;0,INDEX('Coverage Indicators - Section D'!J$1:J$124,MATCH($A342,'Coverage Indicators - Section D'!$A$1:$A$124,0)),""),"")</f>
        <v>Yes</v>
      </c>
      <c r="L347" s="82"/>
    </row>
    <row r="348" spans="1:12" ht="18.75" customHeight="1">
      <c r="A348" s="641"/>
      <c r="B348" s="625" t="s">
        <v>199</v>
      </c>
      <c r="C348" s="626"/>
      <c r="D348" s="630"/>
      <c r="E348" s="625" t="s">
        <v>5060</v>
      </c>
      <c r="F348" s="626"/>
      <c r="G348" s="630"/>
      <c r="H348" s="625" t="s">
        <v>120</v>
      </c>
      <c r="I348" s="626"/>
      <c r="J348" s="626"/>
      <c r="K348" s="630"/>
      <c r="L348" s="82"/>
    </row>
    <row r="349" spans="1:12" ht="18.75" customHeight="1">
      <c r="A349" s="641"/>
      <c r="B349" s="634" t="str">
        <f>IFERROR(IF(INDEX('Coverage Indicators - Section D'!H$1:H$124,MATCH($A342,'Coverage Indicators - Section D'!$A$1:$A$124,0))&lt;&gt;0,INDEX('Coverage Indicators - Section D'!H$1:H$124,MATCH($A342,'Coverage Indicators - Section D'!$A$1:$A$124,0)),""),"")</f>
        <v>HIV program annual report</v>
      </c>
      <c r="C349" s="635"/>
      <c r="D349" s="636"/>
      <c r="E349" s="634" t="str">
        <f>IFERROR(IF(INDEX('Coverage Indicators - Section D'!L$1:L$124,MATCH($A342,'Coverage Indicators - Section D'!$A$1:$A$124,0)+1)&lt;&gt;0,INDEX('Coverage Indicators - Section D'!L$1:L$124,MATCH($A342,'Coverage Indicators - Section D'!$A$1:$A$124,0)+1),""),"")</f>
        <v>Geographic National, 100% of national program target</v>
      </c>
      <c r="F349" s="635"/>
      <c r="G349" s="636"/>
      <c r="H349" s="634" t="str">
        <f ca="1">IFERROR(IF(AND('Overview - Section A'!AS$1="Grant Making",OR(B343&lt;&gt;"",G343&lt;&gt;"")),Setup!I15,IF(INDEX('Coverage Indicators - Section D'!K$1:K$124,MATCH($A342,'Coverage Indicators - Section D'!$A$1:$A$124,0))&lt;&gt;0,INDEX('Coverage Indicators - Section D'!K$1:K$124,MATCH($A342,'Coverage Indicators - Section D'!$A$1:$A$124,0)),"")),"")</f>
        <v>PR 2</v>
      </c>
      <c r="I349" s="635"/>
      <c r="J349" s="635"/>
      <c r="K349" s="636"/>
      <c r="L349" s="82"/>
    </row>
    <row r="350" spans="1:12" ht="18.75" customHeight="1">
      <c r="A350" s="641"/>
      <c r="B350" s="637"/>
      <c r="C350" s="638"/>
      <c r="D350" s="639"/>
      <c r="E350" s="637"/>
      <c r="F350" s="638"/>
      <c r="G350" s="639"/>
      <c r="H350" s="637"/>
      <c r="I350" s="638"/>
      <c r="J350" s="638"/>
      <c r="K350" s="639"/>
      <c r="L350" s="82"/>
    </row>
    <row r="351" spans="1:12" ht="18.75" customHeight="1">
      <c r="A351" s="641"/>
      <c r="B351" s="89"/>
      <c r="C351" s="89" t="s">
        <v>5052</v>
      </c>
      <c r="D351" s="625" t="s">
        <v>5053</v>
      </c>
      <c r="E351" s="626"/>
      <c r="F351" s="626"/>
      <c r="G351" s="626"/>
      <c r="H351" s="626"/>
      <c r="I351" s="626"/>
      <c r="J351" s="626"/>
      <c r="K351" s="630"/>
      <c r="L351" s="82"/>
    </row>
    <row r="352" spans="1:12" ht="18.75" customHeight="1">
      <c r="A352" s="641"/>
      <c r="B352" s="89" t="s">
        <v>2589</v>
      </c>
      <c r="C352" s="90">
        <f>IFERROR(IF(INDEX('Coverage Indicators - Section D'!G$1:G$124,MATCH($A342,'Coverage Indicators - Section D'!$A$1:$A$124,0))&lt;&gt;0,INDEX('Coverage Indicators - Section D'!G$1:G$124,MATCH($A342,'Coverage Indicators - Section D'!$A$1:$A$124,0)),""),"")</f>
        <v>2021</v>
      </c>
      <c r="D352"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352"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352"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352"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352"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352"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352"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352"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352" s="82"/>
    </row>
    <row r="353" spans="1:12" s="93" customFormat="1" ht="18.75" customHeight="1">
      <c r="A353" s="641"/>
      <c r="B353" s="89" t="s">
        <v>5054</v>
      </c>
      <c r="C353" s="91">
        <f>IFERROR(IF(INDEX('Coverage Indicators - Section D'!E$1:E$124,MATCH($A342,'Coverage Indicators - Section D'!$A$1:$A$124,0))&lt;&gt;"",INDEX('Coverage Indicators - Section D'!E$1:E$124,MATCH($A342,'Coverage Indicators - Section D'!$A$1:$A$124,0)),""),"")</f>
        <v>18243</v>
      </c>
      <c r="D353" s="91">
        <f ca="1">IFERROR(IF(INDEX('Coverage Indicators - Section D'!N$1:N$124,MATCH($A342,'Coverage Indicators - Section D'!$A$1:$A$124,0))&lt;&gt;"",INDEX('Coverage Indicators - Section D'!N$1:N$124,MATCH($A342,'Coverage Indicators - Section D'!$A$1:$A$124,0)),""),"")</f>
        <v>44331.5</v>
      </c>
      <c r="E353" s="91">
        <f ca="1">IFERROR(IF(INDEX('Coverage Indicators - Section D'!Q$1:Q$124,MATCH($A342,'Coverage Indicators - Section D'!$A$1:$A$124,0))&lt;&gt;"",INDEX('Coverage Indicators - Section D'!Q$1:Q$124,MATCH($A342,'Coverage Indicators - Section D'!$A$1:$A$124,0)),""),"")</f>
        <v>44331.5</v>
      </c>
      <c r="F353" s="91">
        <f ca="1">IFERROR(IF(INDEX('Coverage Indicators - Section D'!T$1:T$124,MATCH($A342,'Coverage Indicators - Section D'!$A$1:$A$124,0))&lt;&gt;"",INDEX('Coverage Indicators - Section D'!T$1:T$124,MATCH($A342,'Coverage Indicators - Section D'!$A$1:$A$124,0)),""),"")</f>
        <v>53422.5</v>
      </c>
      <c r="G353" s="91">
        <f ca="1">IFERROR(IF(INDEX('Coverage Indicators - Section D'!W$1:W$124,MATCH($A342,'Coverage Indicators - Section D'!$A$1:$A$124,0))&lt;&gt;"",INDEX('Coverage Indicators - Section D'!W$1:W$124,MATCH($A342,'Coverage Indicators - Section D'!$A$1:$A$124,0)),""),"")</f>
        <v>53422.5</v>
      </c>
      <c r="H353" s="91">
        <f ca="1">IFERROR(IF(INDEX('Coverage Indicators - Section D'!Z$1:Z$124,MATCH($A342,'Coverage Indicators - Section D'!$A$1:$A$124,0))&lt;&gt;"",INDEX('Coverage Indicators - Section D'!Z$1:Z$124,MATCH($A342,'Coverage Indicators - Section D'!$A$1:$A$124,0)),""),"")</f>
        <v>62760.5</v>
      </c>
      <c r="I353" s="91">
        <f ca="1">IFERROR(IF(INDEX('Coverage Indicators - Section D'!AC$1:AC$124,MATCH($A342,'Coverage Indicators - Section D'!$A$1:$A$124,0))&lt;&gt;"",INDEX('Coverage Indicators - Section D'!AC$1:AC$124,MATCH($A342,'Coverage Indicators - Section D'!$A$1:$A$124,0)),""),"")</f>
        <v>62760.5</v>
      </c>
      <c r="J353" s="91" t="str">
        <f ca="1">IFERROR(IF(INDEX('Coverage Indicators - Section D'!AF$1:AF$124,MATCH($A342,'Coverage Indicators - Section D'!$A$1:$A$124,0))&lt;&gt;"",INDEX('Coverage Indicators - Section D'!AF$1:AF$124,MATCH($A342,'Coverage Indicators - Section D'!$A$1:$A$124,0)),""),"")</f>
        <v/>
      </c>
      <c r="K353" s="91" t="str">
        <f ca="1">IFERROR(IF(INDEX('Coverage Indicators - Section D'!AI$1:AI$124,MATCH($A342,'Coverage Indicators - Section D'!$A$1:$A$124,0))&lt;&gt;"",INDEX('Coverage Indicators - Section D'!AI$1:AI$124,MATCH($A342,'Coverage Indicators - Section D'!$A$1:$A$124,0)),""),"")</f>
        <v/>
      </c>
      <c r="L353" s="92"/>
    </row>
    <row r="354" spans="1:12" s="96" customFormat="1" ht="18.75" customHeight="1">
      <c r="A354" s="641"/>
      <c r="B354" s="89" t="s">
        <v>5055</v>
      </c>
      <c r="C354" s="94">
        <f>IFERROR(IF(INDEX('Coverage Indicators - Section D'!E$1:E$124,MATCH($A342,'Coverage Indicators - Section D'!$A$1:$A$124,0)+1)&lt;&gt;"",INDEX('Coverage Indicators - Section D'!E$1:E$124,MATCH($A342,'Coverage Indicators - Section D'!$A$1:$A$124,0)+1),""),"")</f>
        <v>120556.851311953</v>
      </c>
      <c r="D354" s="94">
        <f ca="1">IFERROR(IF(INDEX('Coverage Indicators - Section D'!N$1:N$124,MATCH($A342,'Coverage Indicators - Section D'!$A$1:$A$124,0)+1)&lt;&gt;"",INDEX('Coverage Indicators - Section D'!N$1:N$124,MATCH($A342,'Coverage Indicators - Section D'!$A$1:$A$124,0)+1),""),"")</f>
        <v>124784.4</v>
      </c>
      <c r="E354" s="94">
        <f ca="1">IFERROR(IF(INDEX('Coverage Indicators - Section D'!Q$1:Q$124,MATCH($A342,'Coverage Indicators - Section D'!$A$1:$A$124,0)+1)&lt;&gt;"",INDEX('Coverage Indicators - Section D'!Q$1:Q$124,MATCH($A342,'Coverage Indicators - Section D'!$A$1:$A$124,0)+1),""),"")</f>
        <v>124784.4</v>
      </c>
      <c r="F354" s="94">
        <f ca="1">IFERROR(IF(INDEX('Coverage Indicators - Section D'!T$1:T$124,MATCH($A342,'Coverage Indicators - Section D'!$A$1:$A$124,0)+1)&lt;&gt;"",INDEX('Coverage Indicators - Section D'!T$1:T$124,MATCH($A342,'Coverage Indicators - Section D'!$A$1:$A$124,0)+1),""),"")</f>
        <v>128403.9</v>
      </c>
      <c r="G354" s="94">
        <f ca="1">IFERROR(IF(INDEX('Coverage Indicators - Section D'!W$1:W$124,MATCH($A342,'Coverage Indicators - Section D'!$A$1:$A$124,0)+1)&lt;&gt;"",INDEX('Coverage Indicators - Section D'!W$1:W$124,MATCH($A342,'Coverage Indicators - Section D'!$A$1:$A$124,0)+1),""),"")</f>
        <v>128403.9</v>
      </c>
      <c r="H354" s="94">
        <f ca="1">IFERROR(IF(INDEX('Coverage Indicators - Section D'!Z$1:Z$124,MATCH($A342,'Coverage Indicators - Section D'!$A$1:$A$124,0)+1)&lt;&gt;"",INDEX('Coverage Indicators - Section D'!Z$1:Z$124,MATCH($A342,'Coverage Indicators - Section D'!$A$1:$A$124,0)+1),""),"")</f>
        <v>132126.94999999998</v>
      </c>
      <c r="I354" s="94">
        <f ca="1">IFERROR(IF(INDEX('Coverage Indicators - Section D'!AC$1:AC$124,MATCH($A342,'Coverage Indicators - Section D'!$A$1:$A$124,0)+1)&lt;&gt;"",INDEX('Coverage Indicators - Section D'!AC$1:AC$124,MATCH($A342,'Coverage Indicators - Section D'!$A$1:$A$124,0)+1),""),"")</f>
        <v>132126.94999999998</v>
      </c>
      <c r="J354" s="94" t="str">
        <f ca="1">IFERROR(IF(INDEX('Coverage Indicators - Section D'!AF$1:AF$124,MATCH($A342,'Coverage Indicators - Section D'!$A$1:$A$124,0)+1)&lt;&gt;"",INDEX('Coverage Indicators - Section D'!AF$1:AF$124,MATCH($A342,'Coverage Indicators - Section D'!$A$1:$A$124,0)+1),""),"")</f>
        <v/>
      </c>
      <c r="K354" s="94" t="str">
        <f ca="1">IFERROR(IF(INDEX('Coverage Indicators - Section D'!AI$1:AI$124,MATCH($A342,'Coverage Indicators - Section D'!$A$1:$A$124,0)+1)&lt;&gt;"",INDEX('Coverage Indicators - Section D'!AI$1:AI$124,MATCH($A342,'Coverage Indicators - Section D'!$A$1:$A$124,0)+1),""),"")</f>
        <v/>
      </c>
      <c r="L354" s="95"/>
    </row>
    <row r="355" spans="1:12" ht="18.75" customHeight="1">
      <c r="A355" s="641"/>
      <c r="B355" s="89" t="s">
        <v>5056</v>
      </c>
      <c r="C355" s="90" t="str">
        <f ca="1">IFERROR(IF(INDEX('Coverage Indicators - Section D'!F$1:F$124,MATCH($A342,'Coverage Indicators - Section D'!$A$1:$A$124,0))&lt;&gt;"",FIXED(INDEX('Coverage Indicators - Section D'!F$1:F$124,MATCH($A342,'Coverage Indicators - Section D'!$A$1:$A$124,0))*100,2)&amp;"%",""),"")</f>
        <v>15.13%</v>
      </c>
      <c r="D355" s="90" t="str">
        <f>IFERROR(IF(INDEX('Coverage Indicators - Section D'!O$1:O$124,MATCH($A342,'Coverage Indicators - Section D'!$A$1:$A$124,0))&lt;&gt;"",FIXED(INDEX('Coverage Indicators - Section D'!O$1:O$124,MATCH($A342,'Coverage Indicators - Section D'!$A$1:$A$124,0))*100,2)&amp;"%",""),"")&amp;CHAR(10)&amp;IFERROR(IF(INDEX('Coverage Indicators - Section D'!P$1:P$124,MATCH($A342,'Coverage Indicators - Section D'!$A$1:$A$124,0))&lt;&gt;"",INDEX('Coverage Indicators - Section D'!P$1:P$124,MATCH($A342,'Coverage Indicators - Section D'!$A$1:$A$124,0)),""),"")</f>
        <v xml:space="preserve">35.53%
</v>
      </c>
      <c r="E355" s="90" t="str">
        <f>IFERROR(IF(INDEX('Coverage Indicators - Section D'!R$1:R$124,MATCH($A342,'Coverage Indicators - Section D'!$A$1:$A$124,0))&lt;&gt;"",FIXED(INDEX('Coverage Indicators - Section D'!R$1:R$124,MATCH($A342,'Coverage Indicators - Section D'!$A$1:$A$124,0))*100,2)&amp;"%",""),"")&amp;CHAR(10)&amp;IFERROR(IF(INDEX('Coverage Indicators - Section D'!S$1:S$124,MATCH($A342,'Coverage Indicators - Section D'!$A$1:$A$124,0))&lt;&gt;"",INDEX('Coverage Indicators - Section D'!S$1:S$124,MATCH($A342,'Coverage Indicators - Section D'!$A$1:$A$124,0)),""),"")</f>
        <v xml:space="preserve">35.53%
</v>
      </c>
      <c r="F355" s="90" t="str">
        <f>IFERROR(IF(INDEX('Coverage Indicators - Section D'!U$1:U$124,MATCH($A342,'Coverage Indicators - Section D'!$A$1:$A$124,0))&lt;&gt;"",FIXED(INDEX('Coverage Indicators - Section D'!U$1:U$124,MATCH($A342,'Coverage Indicators - Section D'!$A$1:$A$124,0))*100,2)&amp;"%",""),"")&amp;CHAR(10)&amp;IFERROR(IF(INDEX('Coverage Indicators - Section D'!V$1:V$124,MATCH($A342,'Coverage Indicators - Section D'!$A$1:$A$124,0))&lt;&gt;"",INDEX('Coverage Indicators - Section D'!V$1:V$124,MATCH($A342,'Coverage Indicators - Section D'!$A$1:$A$124,0)),""),"")</f>
        <v xml:space="preserve">41.61%
</v>
      </c>
      <c r="G355" s="90" t="str">
        <f>IFERROR(IF(INDEX('Coverage Indicators - Section D'!X$1:X$124,MATCH($A342,'Coverage Indicators - Section D'!$A$1:$A$124,0))&lt;&gt;"",FIXED(INDEX('Coverage Indicators - Section D'!X$1:X$124,MATCH($A342,'Coverage Indicators - Section D'!$A$1:$A$124,0))*100,2)&amp;"%",""),"")&amp;CHAR(10)&amp;IFERROR(IF(INDEX('Coverage Indicators - Section D'!Y$1:Y$124,MATCH($A342,'Coverage Indicators - Section D'!$A$1:$A$124,0))&lt;&gt;"",INDEX('Coverage Indicators - Section D'!Y$1:Y$124,MATCH($A342,'Coverage Indicators - Section D'!$A$1:$A$124,0)),""),"")</f>
        <v xml:space="preserve">41.61%
</v>
      </c>
      <c r="H355" s="90" t="str">
        <f>IFERROR(IF(INDEX('Coverage Indicators - Section D'!AA$1:AA$124,MATCH(A342,'Coverage Indicators - Section D'!$A$1:$A$124,0))&lt;&gt;"",FIXED(INDEX('Coverage Indicators - Section D'!AA$1:AA$124,MATCH($A342,'Coverage Indicators - Section D'!$A$1:$A$124,0))*100,2)&amp;"%",""),"")&amp;CHAR(10)&amp;IFERROR(IF(INDEX('Coverage Indicators - Section D'!AB$1:AB$124,MATCH($A342,'Coverage Indicators - Section D'!$A$1:$A$124,0))&lt;&gt;"",INDEX('Coverage Indicators - Section D'!AB$1:AB$124,MATCH($A342,'Coverage Indicators - Section D'!$A$1:$A$124,0)),""),"")</f>
        <v xml:space="preserve">47.50%
</v>
      </c>
      <c r="I355" s="90" t="str">
        <f>IFERROR(IF(INDEX('Coverage Indicators - Section D'!AD$1:AD$124,MATCH($A342,'Coverage Indicators - Section D'!$A$1:$A$124,0))&lt;&gt;"",FIXED(INDEX('Coverage Indicators - Section D'!AD$1:AD$124,MATCH($A342,'Coverage Indicators - Section D'!$A$1:$A$124,0))*100,2)&amp;"%",""),"")&amp;CHAR(10)&amp;IFERROR(IF(INDEX('Coverage Indicators - Section D'!AE$1:AE$124,MATCH($A342,'Coverage Indicators - Section D'!$A$1:$A$124,0))&lt;&gt;"",INDEX('Coverage Indicators - Section D'!AE$1:AE$124,MATCH($A342,'Coverage Indicators - Section D'!$A$1:$A$124,0)),""),"")</f>
        <v xml:space="preserve">47.50%
</v>
      </c>
      <c r="J355" s="90" t="str">
        <f>IFERROR(IF(INDEX('Coverage Indicators - Section D'!AG$1:AG$124,MATCH($A342,'Coverage Indicators - Section D'!$A$1:$A$124,0))&lt;&gt;"",FIXED(INDEX('Coverage Indicators - Section D'!AG$1:AG$124,MATCH($A342,'Coverage Indicators - Section D'!$A$1:$A$124,0))*100,2)&amp;"%",""),"")&amp;CHAR(10)&amp;IFERROR(IF(INDEX('Coverage Indicators - Section D'!AH$1:AH$124,MATCH($A342,'Coverage Indicators - Section D'!$A$1:$A$124,0))&lt;&gt;"",INDEX('Coverage Indicators - Section D'!AH$1:AH$124,MATCH($A342,'Coverage Indicators - Section D'!$A$1:$A$124,0)),""),"")</f>
        <v xml:space="preserve">
</v>
      </c>
      <c r="K355" s="90" t="str">
        <f>IFERROR(IF(INDEX('Coverage Indicators - Section D'!AJ$1:AJ$124,MATCH($A342,'Coverage Indicators - Section D'!$A$1:$A$124,0))&lt;&gt;"",FIXED(INDEX('Coverage Indicators - Section D'!AJ$1:AJ$124,MATCH($A342,'Coverage Indicators - Section D'!$A$1:$A$124,0))*100,2)&amp;"%",""),"")&amp;CHAR(10)&amp;IFERROR(IF(INDEX('Coverage Indicators - Section D'!AK$1:AK$124,MATCH($A342,'Coverage Indicators - Section D'!$A$1:$A$124,0))&lt;&gt;"",INDEX('Coverage Indicators - Section D'!AK$1:AK$124,MATCH($A342,'Coverage Indicators - Section D'!$A$1:$A$124,0)),""),"")</f>
        <v xml:space="preserve">
</v>
      </c>
      <c r="L355" s="82"/>
    </row>
    <row r="356" spans="1:12" ht="18.75" customHeight="1">
      <c r="A356" s="641"/>
      <c r="B356" s="625" t="s">
        <v>176</v>
      </c>
      <c r="C356" s="626"/>
      <c r="D356" s="626"/>
      <c r="E356" s="626"/>
      <c r="F356" s="626"/>
      <c r="G356" s="626"/>
      <c r="H356" s="626"/>
      <c r="I356" s="626"/>
      <c r="J356" s="626"/>
      <c r="K356" s="630"/>
      <c r="L356" s="82"/>
    </row>
    <row r="357" spans="1:12" ht="18.75" customHeight="1">
      <c r="A357" s="641"/>
      <c r="B357" s="634" t="str">
        <f>IFERROR(IF(INDEX('Coverage Indicators - Section D'!AL$1:AL$134,MATCH($A342,'Coverage Indicators - Section D'!$A$1:$A$134,0))&lt;&gt;0,INDEX('Coverage Indicators - Section D'!AL$1:AL$134,MATCH($A342,'Coverage Indicators - Section D'!$A$1:$A$134,0)),""),"")</f>
        <v>N: Number of MSM who received a defined package of HIV prevention services
D: Estimated number of MSM in the target area
The GF contribution is 41,376 in 2024; 50,280 in 2025; and 59,477 in 2026.</v>
      </c>
      <c r="C357" s="635"/>
      <c r="D357" s="635"/>
      <c r="E357" s="635"/>
      <c r="F357" s="635"/>
      <c r="G357" s="635"/>
      <c r="H357" s="635"/>
      <c r="I357" s="635"/>
      <c r="J357" s="635"/>
      <c r="K357" s="636"/>
      <c r="L357" s="82"/>
    </row>
    <row r="358" spans="1:12" ht="18.75" customHeight="1">
      <c r="A358" s="641"/>
      <c r="B358" s="643"/>
      <c r="C358" s="644"/>
      <c r="D358" s="644"/>
      <c r="E358" s="644"/>
      <c r="F358" s="644"/>
      <c r="G358" s="644"/>
      <c r="H358" s="644"/>
      <c r="I358" s="644"/>
      <c r="J358" s="644"/>
      <c r="K358" s="645"/>
      <c r="L358" s="82"/>
    </row>
    <row r="359" spans="1:12" ht="18.75" customHeight="1">
      <c r="A359" s="641"/>
      <c r="B359" s="643"/>
      <c r="C359" s="644"/>
      <c r="D359" s="644"/>
      <c r="E359" s="644"/>
      <c r="F359" s="644"/>
      <c r="G359" s="644"/>
      <c r="H359" s="644"/>
      <c r="I359" s="644"/>
      <c r="J359" s="644"/>
      <c r="K359" s="645"/>
      <c r="L359" s="82"/>
    </row>
    <row r="360" spans="1:12" ht="18.75" customHeight="1">
      <c r="A360" s="641"/>
      <c r="B360" s="643"/>
      <c r="C360" s="644"/>
      <c r="D360" s="644"/>
      <c r="E360" s="644"/>
      <c r="F360" s="644"/>
      <c r="G360" s="644"/>
      <c r="H360" s="644"/>
      <c r="I360" s="644"/>
      <c r="J360" s="644"/>
      <c r="K360" s="645"/>
      <c r="L360" s="82"/>
    </row>
    <row r="361" spans="1:12" ht="18.75" customHeight="1">
      <c r="A361" s="641"/>
      <c r="B361" s="643"/>
      <c r="C361" s="644"/>
      <c r="D361" s="644"/>
      <c r="E361" s="644"/>
      <c r="F361" s="644"/>
      <c r="G361" s="644"/>
      <c r="H361" s="644"/>
      <c r="I361" s="644"/>
      <c r="J361" s="644"/>
      <c r="K361" s="645"/>
      <c r="L361" s="82"/>
    </row>
    <row r="362" spans="1:12" ht="18.75" customHeight="1">
      <c r="A362" s="641"/>
      <c r="B362" s="643"/>
      <c r="C362" s="644"/>
      <c r="D362" s="644"/>
      <c r="E362" s="644"/>
      <c r="F362" s="644"/>
      <c r="G362" s="644"/>
      <c r="H362" s="644"/>
      <c r="I362" s="644"/>
      <c r="J362" s="644"/>
      <c r="K362" s="645"/>
      <c r="L362" s="82"/>
    </row>
    <row r="363" spans="1:12" ht="18.75" customHeight="1">
      <c r="A363" s="641"/>
      <c r="B363" s="643"/>
      <c r="C363" s="644"/>
      <c r="D363" s="644"/>
      <c r="E363" s="644"/>
      <c r="F363" s="644"/>
      <c r="G363" s="644"/>
      <c r="H363" s="644"/>
      <c r="I363" s="644"/>
      <c r="J363" s="644"/>
      <c r="K363" s="645"/>
      <c r="L363" s="82"/>
    </row>
    <row r="364" spans="1:12" ht="18.75" customHeight="1">
      <c r="A364" s="641"/>
      <c r="B364" s="643"/>
      <c r="C364" s="644"/>
      <c r="D364" s="644"/>
      <c r="E364" s="644"/>
      <c r="F364" s="644"/>
      <c r="G364" s="644"/>
      <c r="H364" s="644"/>
      <c r="I364" s="644"/>
      <c r="J364" s="644"/>
      <c r="K364" s="645"/>
      <c r="L364" s="82"/>
    </row>
    <row r="365" spans="1:12" ht="18.75" customHeight="1">
      <c r="A365" s="641"/>
      <c r="B365" s="643"/>
      <c r="C365" s="644"/>
      <c r="D365" s="644"/>
      <c r="E365" s="644"/>
      <c r="F365" s="644"/>
      <c r="G365" s="644"/>
      <c r="H365" s="644"/>
      <c r="I365" s="644"/>
      <c r="J365" s="644"/>
      <c r="K365" s="645"/>
      <c r="L365" s="82"/>
    </row>
    <row r="366" spans="1:12" ht="18.75" customHeight="1">
      <c r="A366" s="642"/>
      <c r="B366" s="637"/>
      <c r="C366" s="638"/>
      <c r="D366" s="638"/>
      <c r="E366" s="638"/>
      <c r="F366" s="638"/>
      <c r="G366" s="638"/>
      <c r="H366" s="638"/>
      <c r="I366" s="638"/>
      <c r="J366" s="638"/>
      <c r="K366" s="639"/>
      <c r="L366" s="82"/>
    </row>
    <row r="367" spans="1:12" ht="18.75" customHeight="1">
      <c r="A367" s="625"/>
      <c r="B367" s="626"/>
      <c r="C367" s="626"/>
      <c r="D367" s="626"/>
      <c r="E367" s="626"/>
      <c r="F367" s="626"/>
      <c r="G367" s="626"/>
      <c r="H367" s="626"/>
      <c r="I367" s="626"/>
      <c r="J367" s="626"/>
      <c r="K367" s="630"/>
      <c r="L367" s="82"/>
    </row>
    <row r="369" spans="1:12" ht="18.75" customHeight="1">
      <c r="A369" s="89" t="s">
        <v>5051</v>
      </c>
      <c r="B369" s="625" t="s">
        <v>1077</v>
      </c>
      <c r="C369" s="630"/>
      <c r="D369" s="631" t="str">
        <f ca="1">IFERROR(IF(INDEX('Coverage Indicators - Section D'!B$1:B$124,MATCH($A370,'Coverage Indicators - Section D'!$A$1:$A$124,0))&lt;&gt;0,INDEX('Coverage Indicators - Section D'!B$1:B$124,MATCH($A370,'Coverage Indicators - Section D'!$A$1:$A$124,0)),""),"")</f>
        <v>Prevention package for men who have sex with men (MSM) and their sexual partners</v>
      </c>
      <c r="E369" s="632"/>
      <c r="F369" s="632"/>
      <c r="G369" s="632"/>
      <c r="H369" s="632"/>
      <c r="I369" s="632"/>
      <c r="J369" s="632"/>
      <c r="K369" s="633"/>
      <c r="L369" s="82"/>
    </row>
    <row r="370" spans="1:12" ht="18.75" customHeight="1">
      <c r="A370" s="640">
        <v>14</v>
      </c>
      <c r="B370" s="625" t="s">
        <v>765</v>
      </c>
      <c r="C370" s="626"/>
      <c r="D370" s="626"/>
      <c r="E370" s="626"/>
      <c r="F370" s="630"/>
      <c r="G370" s="625" t="s">
        <v>766</v>
      </c>
      <c r="H370" s="626"/>
      <c r="I370" s="626"/>
      <c r="J370" s="626"/>
      <c r="K370" s="630"/>
      <c r="L370" s="82"/>
    </row>
    <row r="371" spans="1:12" ht="18.75" customHeight="1">
      <c r="A371" s="641"/>
      <c r="B371" s="634" t="str">
        <f>IFERROR(IF(INDEX('Coverage Indicators - Section D'!C$1:C$124,MATCH($A370,'Coverage Indicators - Section D'!$A$1:$A$124,0))&lt;&gt;0,INDEX('Coverage Indicators - Section D'!C$1:C$124,MATCH($A370,'Coverage Indicators - Section D'!$A$1:$A$124,0)),""),"")</f>
        <v>KP-6a Number of MSM who received any PrEP product at least once during the reporting period</v>
      </c>
      <c r="C371" s="635"/>
      <c r="D371" s="635"/>
      <c r="E371" s="635"/>
      <c r="F371" s="636"/>
      <c r="G371" s="634" t="str">
        <f>IFERROR(IF(INDEX('Coverage Indicators - Section D'!D$1:D$124,MATCH($A370,'Coverage Indicators - Section D'!$A$1:$A$124,0))&lt;&gt;0,INDEX('Coverage Indicators - Section D'!D$1:D$124,MATCH($A370,'Coverage Indicators - Section D'!$A$1:$A$124,0)),""),"")</f>
        <v/>
      </c>
      <c r="H371" s="635"/>
      <c r="I371" s="635"/>
      <c r="J371" s="635"/>
      <c r="K371" s="636"/>
      <c r="L371" s="82"/>
    </row>
    <row r="372" spans="1:12" ht="18.75" customHeight="1">
      <c r="A372" s="641"/>
      <c r="B372" s="643"/>
      <c r="C372" s="644"/>
      <c r="D372" s="644"/>
      <c r="E372" s="644"/>
      <c r="F372" s="645"/>
      <c r="G372" s="643"/>
      <c r="H372" s="644"/>
      <c r="I372" s="644"/>
      <c r="J372" s="644"/>
      <c r="K372" s="645"/>
      <c r="L372" s="82"/>
    </row>
    <row r="373" spans="1:12" ht="18.75" customHeight="1">
      <c r="A373" s="641"/>
      <c r="B373" s="637"/>
      <c r="C373" s="638"/>
      <c r="D373" s="638"/>
      <c r="E373" s="638"/>
      <c r="F373" s="639"/>
      <c r="G373" s="637"/>
      <c r="H373" s="638"/>
      <c r="I373" s="638"/>
      <c r="J373" s="638"/>
      <c r="K373" s="639"/>
      <c r="L373" s="82"/>
    </row>
    <row r="374" spans="1:12" ht="18.75" customHeight="1">
      <c r="A374" s="641"/>
      <c r="B374" s="625" t="s">
        <v>769</v>
      </c>
      <c r="C374" s="626"/>
      <c r="D374" s="630"/>
      <c r="E374" s="625" t="s">
        <v>216</v>
      </c>
      <c r="F374" s="626"/>
      <c r="G374" s="630"/>
      <c r="H374" s="625" t="s">
        <v>127</v>
      </c>
      <c r="I374" s="626"/>
      <c r="J374" s="630"/>
      <c r="K374" s="89" t="s">
        <v>2204</v>
      </c>
      <c r="L374" s="82"/>
    </row>
    <row r="375" spans="1:12" ht="18.75" customHeight="1">
      <c r="A375" s="641"/>
      <c r="B375" s="631" t="str">
        <f>IFERROR(IF(INDEX('Coverage Indicators - Section D'!I$9:I$92,MATCH($A370,'Coverage Indicators - Section D'!$A$9:$A$92,0))&lt;&gt;0,INDEX('Coverage Indicators - Section D'!I$9:I$92,MATCH($A370,'Coverage Indicators - Section D'!$A$9:$A$92,0)),""),"")</f>
        <v>PrEP product,Age</v>
      </c>
      <c r="C375" s="632"/>
      <c r="D375" s="633"/>
      <c r="E375" s="631" t="str">
        <f>IFERROR(IF(INDEX('Coverage Indicators - Section D'!M$1:M$124,MATCH($A370,'Coverage Indicators - Section D'!$A$1:$A$124,0))&lt;&gt;0,INDEX('Coverage Indicators - Section D'!M$1:M$124,MATCH($A370,'Coverage Indicators - Section D'!$A$1:$A$124,0)),""),"")</f>
        <v>Non cumulative</v>
      </c>
      <c r="F375" s="632"/>
      <c r="G375" s="633"/>
      <c r="H375" s="631" t="str">
        <f>IFERROR(IF(INDEX('Coverage Indicators - Section D'!L$1:L$124,MATCH($A370,'Coverage Indicators - Section D'!$A$1:$A$124,0))&lt;&gt;0,INDEX('Coverage Indicators - Section D'!L$1:L$124,MATCH($A370,'Coverage Indicators - Section D'!$A$1:$A$124,0)),""),"")</f>
        <v/>
      </c>
      <c r="I375" s="632"/>
      <c r="J375" s="633"/>
      <c r="K375" s="90" t="str">
        <f>IFERROR(IF(INDEX('Coverage Indicators - Section D'!J$1:J$124,MATCH($A370,'Coverage Indicators - Section D'!$A$1:$A$124,0))&lt;&gt;0,INDEX('Coverage Indicators - Section D'!J$1:J$124,MATCH($A370,'Coverage Indicators - Section D'!$A$1:$A$124,0)),""),"")</f>
        <v>Yes</v>
      </c>
      <c r="L375" s="82"/>
    </row>
    <row r="376" spans="1:12" ht="18.75" customHeight="1">
      <c r="A376" s="641"/>
      <c r="B376" s="625" t="s">
        <v>199</v>
      </c>
      <c r="C376" s="626"/>
      <c r="D376" s="630"/>
      <c r="E376" s="625" t="s">
        <v>5060</v>
      </c>
      <c r="F376" s="626"/>
      <c r="G376" s="630"/>
      <c r="H376" s="625" t="s">
        <v>120</v>
      </c>
      <c r="I376" s="626"/>
      <c r="J376" s="626"/>
      <c r="K376" s="630"/>
      <c r="L376" s="82"/>
    </row>
    <row r="377" spans="1:12" ht="18.75" customHeight="1">
      <c r="A377" s="641"/>
      <c r="B377" s="634" t="str">
        <f>IFERROR(IF(INDEX('Coverage Indicators - Section D'!H$1:H$124,MATCH($A370,'Coverage Indicators - Section D'!$A$1:$A$124,0))&lt;&gt;0,INDEX('Coverage Indicators - Section D'!H$1:H$124,MATCH($A370,'Coverage Indicators - Section D'!$A$1:$A$124,0)),""),"")</f>
        <v>Data Not Available</v>
      </c>
      <c r="C377" s="635"/>
      <c r="D377" s="636"/>
      <c r="E377" s="634" t="str">
        <f>IFERROR(IF(INDEX('Coverage Indicators - Section D'!L$1:L$124,MATCH($A370,'Coverage Indicators - Section D'!$A$1:$A$124,0)+1)&lt;&gt;0,INDEX('Coverage Indicators - Section D'!L$1:L$124,MATCH($A370,'Coverage Indicators - Section D'!$A$1:$A$124,0)+1),""),"")</f>
        <v>Geographic National, 100% of national program target</v>
      </c>
      <c r="F377" s="635"/>
      <c r="G377" s="636"/>
      <c r="H377" s="634" t="str">
        <f ca="1">IFERROR(IF(AND('Overview - Section A'!AS$1="Grant Making",OR(B371&lt;&gt;"",G371&lt;&gt;"")),Setup!I15,IF(INDEX('Coverage Indicators - Section D'!K$1:K$124,MATCH($A370,'Coverage Indicators - Section D'!$A$1:$A$124,0))&lt;&gt;0,INDEX('Coverage Indicators - Section D'!K$1:K$124,MATCH($A370,'Coverage Indicators - Section D'!$A$1:$A$124,0)),"")),"")</f>
        <v>PR 2</v>
      </c>
      <c r="I377" s="635"/>
      <c r="J377" s="635"/>
      <c r="K377" s="636"/>
      <c r="L377" s="82"/>
    </row>
    <row r="378" spans="1:12" ht="18.75" customHeight="1">
      <c r="A378" s="641"/>
      <c r="B378" s="637"/>
      <c r="C378" s="638"/>
      <c r="D378" s="639"/>
      <c r="E378" s="637"/>
      <c r="F378" s="638"/>
      <c r="G378" s="639"/>
      <c r="H378" s="637"/>
      <c r="I378" s="638"/>
      <c r="J378" s="638"/>
      <c r="K378" s="639"/>
      <c r="L378" s="82"/>
    </row>
    <row r="379" spans="1:12" ht="18.75" customHeight="1">
      <c r="A379" s="641"/>
      <c r="B379" s="89"/>
      <c r="C379" s="89" t="s">
        <v>5052</v>
      </c>
      <c r="D379" s="625" t="s">
        <v>5053</v>
      </c>
      <c r="E379" s="626"/>
      <c r="F379" s="626"/>
      <c r="G379" s="626"/>
      <c r="H379" s="626"/>
      <c r="I379" s="626"/>
      <c r="J379" s="626"/>
      <c r="K379" s="630"/>
      <c r="L379" s="82"/>
    </row>
    <row r="380" spans="1:12" ht="18.75" customHeight="1">
      <c r="A380" s="641"/>
      <c r="B380" s="89" t="s">
        <v>2589</v>
      </c>
      <c r="C380" s="90" t="str">
        <f>IFERROR(IF(INDEX('Coverage Indicators - Section D'!G$1:G$124,MATCH($A370,'Coverage Indicators - Section D'!$A$1:$A$124,0))&lt;&gt;0,INDEX('Coverage Indicators - Section D'!G$1:G$124,MATCH($A370,'Coverage Indicators - Section D'!$A$1:$A$124,0)),""),"")</f>
        <v/>
      </c>
      <c r="D380"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380"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380"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380"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380"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380"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380"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380"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380" s="82"/>
    </row>
    <row r="381" spans="1:12" s="93" customFormat="1" ht="18.75" customHeight="1">
      <c r="A381" s="641"/>
      <c r="B381" s="89" t="s">
        <v>5054</v>
      </c>
      <c r="C381" s="91" t="str">
        <f>IFERROR(IF(INDEX('Coverage Indicators - Section D'!E$1:E$124,MATCH($A370,'Coverage Indicators - Section D'!$A$1:$A$124,0))&lt;&gt;"",INDEX('Coverage Indicators - Section D'!E$1:E$124,MATCH($A370,'Coverage Indicators - Section D'!$A$1:$A$124,0)),""),"")</f>
        <v/>
      </c>
      <c r="D381" s="91">
        <f ca="1">IFERROR(IF(INDEX('Coverage Indicators - Section D'!N$1:N$124,MATCH($A370,'Coverage Indicators - Section D'!$A$1:$A$124,0))&lt;&gt;"",INDEX('Coverage Indicators - Section D'!N$1:N$124,MATCH($A370,'Coverage Indicators - Section D'!$A$1:$A$124,0)),""),"")</f>
        <v>6128</v>
      </c>
      <c r="E381" s="91">
        <f ca="1">IFERROR(IF(INDEX('Coverage Indicators - Section D'!Q$1:Q$124,MATCH($A370,'Coverage Indicators - Section D'!$A$1:$A$124,0))&lt;&gt;"",INDEX('Coverage Indicators - Section D'!Q$1:Q$124,MATCH($A370,'Coverage Indicators - Section D'!$A$1:$A$124,0)),""),"")</f>
        <v>6556</v>
      </c>
      <c r="F381" s="91">
        <f ca="1">IFERROR(IF(INDEX('Coverage Indicators - Section D'!T$1:T$124,MATCH($A370,'Coverage Indicators - Section D'!$A$1:$A$124,0))&lt;&gt;"",INDEX('Coverage Indicators - Section D'!T$1:T$124,MATCH($A370,'Coverage Indicators - Section D'!$A$1:$A$124,0)),""),"")</f>
        <v>8184</v>
      </c>
      <c r="G381" s="91">
        <f ca="1">IFERROR(IF(INDEX('Coverage Indicators - Section D'!W$1:W$124,MATCH($A370,'Coverage Indicators - Section D'!$A$1:$A$124,0))&lt;&gt;"",INDEX('Coverage Indicators - Section D'!W$1:W$124,MATCH($A370,'Coverage Indicators - Section D'!$A$1:$A$124,0)),""),"")</f>
        <v>8986</v>
      </c>
      <c r="H381" s="91">
        <f ca="1">IFERROR(IF(INDEX('Coverage Indicators - Section D'!Z$1:Z$124,MATCH($A370,'Coverage Indicators - Section D'!$A$1:$A$124,0))&lt;&gt;"",INDEX('Coverage Indicators - Section D'!Z$1:Z$124,MATCH($A370,'Coverage Indicators - Section D'!$A$1:$A$124,0)),""),"")</f>
        <v>10860</v>
      </c>
      <c r="I381" s="91">
        <f ca="1">IFERROR(IF(INDEX('Coverage Indicators - Section D'!AC$1:AC$124,MATCH($A370,'Coverage Indicators - Section D'!$A$1:$A$124,0))&lt;&gt;"",INDEX('Coverage Indicators - Section D'!AC$1:AC$124,MATCH($A370,'Coverage Indicators - Section D'!$A$1:$A$124,0)),""),"")</f>
        <v>11750</v>
      </c>
      <c r="J381" s="91" t="str">
        <f ca="1">IFERROR(IF(INDEX('Coverage Indicators - Section D'!AF$1:AF$124,MATCH($A370,'Coverage Indicators - Section D'!$A$1:$A$124,0))&lt;&gt;"",INDEX('Coverage Indicators - Section D'!AF$1:AF$124,MATCH($A370,'Coverage Indicators - Section D'!$A$1:$A$124,0)),""),"")</f>
        <v/>
      </c>
      <c r="K381" s="91" t="str">
        <f ca="1">IFERROR(IF(INDEX('Coverage Indicators - Section D'!AI$1:AI$124,MATCH($A370,'Coverage Indicators - Section D'!$A$1:$A$124,0))&lt;&gt;"",INDEX('Coverage Indicators - Section D'!AI$1:AI$124,MATCH($A370,'Coverage Indicators - Section D'!$A$1:$A$124,0)),""),"")</f>
        <v/>
      </c>
      <c r="L381" s="92"/>
    </row>
    <row r="382" spans="1:12" s="96" customFormat="1" ht="18.75" customHeight="1">
      <c r="A382" s="641"/>
      <c r="B382" s="89" t="s">
        <v>5055</v>
      </c>
      <c r="C382" s="94" t="str">
        <f>IFERROR(IF(INDEX('Coverage Indicators - Section D'!E$1:E$124,MATCH($A370,'Coverage Indicators - Section D'!$A$1:$A$124,0)+1)&lt;&gt;"",INDEX('Coverage Indicators - Section D'!E$1:E$124,MATCH($A370,'Coverage Indicators - Section D'!$A$1:$A$124,0)+1),""),"")</f>
        <v/>
      </c>
      <c r="D382" s="94">
        <f ca="1">IFERROR(IF(INDEX('Coverage Indicators - Section D'!N$1:N$124,MATCH($A370,'Coverage Indicators - Section D'!$A$1:$A$124,0)+1)&lt;&gt;"",INDEX('Coverage Indicators - Section D'!N$1:N$124,MATCH($A370,'Coverage Indicators - Section D'!$A$1:$A$124,0)+1),""),"")</f>
        <v>14252</v>
      </c>
      <c r="E382" s="94">
        <f ca="1">IFERROR(IF(INDEX('Coverage Indicators - Section D'!Q$1:Q$124,MATCH($A370,'Coverage Indicators - Section D'!$A$1:$A$124,0)+1)&lt;&gt;"",INDEX('Coverage Indicators - Section D'!Q$1:Q$124,MATCH($A370,'Coverage Indicators - Section D'!$A$1:$A$124,0)+1),""),"")</f>
        <v>14252</v>
      </c>
      <c r="F382" s="94">
        <f ca="1">IFERROR(IF(INDEX('Coverage Indicators - Section D'!T$1:T$124,MATCH($A370,'Coverage Indicators - Section D'!$A$1:$A$124,0)+1)&lt;&gt;"",INDEX('Coverage Indicators - Section D'!T$1:T$124,MATCH($A370,'Coverage Indicators - Section D'!$A$1:$A$124,0)+1),""),"")</f>
        <v>16046</v>
      </c>
      <c r="G382" s="94">
        <f ca="1">IFERROR(IF(INDEX('Coverage Indicators - Section D'!W$1:W$124,MATCH($A370,'Coverage Indicators - Section D'!$A$1:$A$124,0)+1)&lt;&gt;"",INDEX('Coverage Indicators - Section D'!W$1:W$124,MATCH($A370,'Coverage Indicators - Section D'!$A$1:$A$124,0)+1),""),"")</f>
        <v>16046</v>
      </c>
      <c r="H382" s="94">
        <f ca="1">IFERROR(IF(INDEX('Coverage Indicators - Section D'!Z$1:Z$124,MATCH($A370,'Coverage Indicators - Section D'!$A$1:$A$124,0)+1)&lt;&gt;"",INDEX('Coverage Indicators - Section D'!Z$1:Z$124,MATCH($A370,'Coverage Indicators - Section D'!$A$1:$A$124,0)+1),""),"")</f>
        <v>17803</v>
      </c>
      <c r="I382" s="94">
        <f ca="1">IFERROR(IF(INDEX('Coverage Indicators - Section D'!AC$1:AC$124,MATCH($A370,'Coverage Indicators - Section D'!$A$1:$A$124,0)+1)&lt;&gt;"",INDEX('Coverage Indicators - Section D'!AC$1:AC$124,MATCH($A370,'Coverage Indicators - Section D'!$A$1:$A$124,0)+1),""),"")</f>
        <v>17803</v>
      </c>
      <c r="J382" s="94" t="str">
        <f ca="1">IFERROR(IF(INDEX('Coverage Indicators - Section D'!AF$1:AF$124,MATCH($A370,'Coverage Indicators - Section D'!$A$1:$A$124,0)+1)&lt;&gt;"",INDEX('Coverage Indicators - Section D'!AF$1:AF$124,MATCH($A370,'Coverage Indicators - Section D'!$A$1:$A$124,0)+1),""),"")</f>
        <v/>
      </c>
      <c r="K382" s="94" t="str">
        <f ca="1">IFERROR(IF(INDEX('Coverage Indicators - Section D'!AI$1:AI$124,MATCH($A370,'Coverage Indicators - Section D'!$A$1:$A$124,0)+1)&lt;&gt;"",INDEX('Coverage Indicators - Section D'!AI$1:AI$124,MATCH($A370,'Coverage Indicators - Section D'!$A$1:$A$124,0)+1),""),"")</f>
        <v/>
      </c>
      <c r="L382" s="95"/>
    </row>
    <row r="383" spans="1:12" ht="18.75" customHeight="1">
      <c r="A383" s="641"/>
      <c r="B383" s="89" t="s">
        <v>5056</v>
      </c>
      <c r="C383" s="90" t="str">
        <f ca="1">IFERROR(IF(INDEX('Coverage Indicators - Section D'!F$1:F$124,MATCH($A370,'Coverage Indicators - Section D'!$A$1:$A$124,0))&lt;&gt;"",FIXED(INDEX('Coverage Indicators - Section D'!F$1:F$124,MATCH($A370,'Coverage Indicators - Section D'!$A$1:$A$124,0))*100,2)&amp;"%",""),"")</f>
        <v/>
      </c>
      <c r="D383" s="90" t="str">
        <f>IFERROR(IF(INDEX('Coverage Indicators - Section D'!O$1:O$124,MATCH($A370,'Coverage Indicators - Section D'!$A$1:$A$124,0))&lt;&gt;"",FIXED(INDEX('Coverage Indicators - Section D'!O$1:O$124,MATCH($A370,'Coverage Indicators - Section D'!$A$1:$A$124,0))*100,2)&amp;"%",""),"")&amp;CHAR(10)&amp;IFERROR(IF(INDEX('Coverage Indicators - Section D'!P$1:P$124,MATCH($A370,'Coverage Indicators - Section D'!$A$1:$A$124,0))&lt;&gt;"",INDEX('Coverage Indicators - Section D'!P$1:P$124,MATCH($A370,'Coverage Indicators - Section D'!$A$1:$A$124,0)),""),"")</f>
        <v xml:space="preserve">43.00%
</v>
      </c>
      <c r="E383" s="90" t="str">
        <f>IFERROR(IF(INDEX('Coverage Indicators - Section D'!R$1:R$124,MATCH($A370,'Coverage Indicators - Section D'!$A$1:$A$124,0))&lt;&gt;"",FIXED(INDEX('Coverage Indicators - Section D'!R$1:R$124,MATCH($A370,'Coverage Indicators - Section D'!$A$1:$A$124,0))*100,2)&amp;"%",""),"")&amp;CHAR(10)&amp;IFERROR(IF(INDEX('Coverage Indicators - Section D'!S$1:S$124,MATCH($A370,'Coverage Indicators - Section D'!$A$1:$A$124,0))&lt;&gt;"",INDEX('Coverage Indicators - Section D'!S$1:S$124,MATCH($A370,'Coverage Indicators - Section D'!$A$1:$A$124,0)),""),"")</f>
        <v xml:space="preserve">46.00%
</v>
      </c>
      <c r="F383" s="90" t="str">
        <f>IFERROR(IF(INDEX('Coverage Indicators - Section D'!U$1:U$124,MATCH($A370,'Coverage Indicators - Section D'!$A$1:$A$124,0))&lt;&gt;"",FIXED(INDEX('Coverage Indicators - Section D'!U$1:U$124,MATCH($A370,'Coverage Indicators - Section D'!$A$1:$A$124,0))*100,2)&amp;"%",""),"")&amp;CHAR(10)&amp;IFERROR(IF(INDEX('Coverage Indicators - Section D'!V$1:V$124,MATCH($A370,'Coverage Indicators - Section D'!$A$1:$A$124,0))&lt;&gt;"",INDEX('Coverage Indicators - Section D'!V$1:V$124,MATCH($A370,'Coverage Indicators - Section D'!$A$1:$A$124,0)),""),"")</f>
        <v xml:space="preserve">51.00%
</v>
      </c>
      <c r="G383" s="90" t="str">
        <f>IFERROR(IF(INDEX('Coverage Indicators - Section D'!X$1:X$124,MATCH($A370,'Coverage Indicators - Section D'!$A$1:$A$124,0))&lt;&gt;"",FIXED(INDEX('Coverage Indicators - Section D'!X$1:X$124,MATCH($A370,'Coverage Indicators - Section D'!$A$1:$A$124,0))*100,2)&amp;"%",""),"")&amp;CHAR(10)&amp;IFERROR(IF(INDEX('Coverage Indicators - Section D'!Y$1:Y$124,MATCH($A370,'Coverage Indicators - Section D'!$A$1:$A$124,0))&lt;&gt;"",INDEX('Coverage Indicators - Section D'!Y$1:Y$124,MATCH($A370,'Coverage Indicators - Section D'!$A$1:$A$124,0)),""),"")</f>
        <v xml:space="preserve">56.00%
</v>
      </c>
      <c r="H383" s="90" t="str">
        <f>IFERROR(IF(INDEX('Coverage Indicators - Section D'!AA$1:AA$124,MATCH(A370,'Coverage Indicators - Section D'!$A$1:$A$124,0))&lt;&gt;"",FIXED(INDEX('Coverage Indicators - Section D'!AA$1:AA$124,MATCH($A370,'Coverage Indicators - Section D'!$A$1:$A$124,0))*100,2)&amp;"%",""),"")&amp;CHAR(10)&amp;IFERROR(IF(INDEX('Coverage Indicators - Section D'!AB$1:AB$124,MATCH($A370,'Coverage Indicators - Section D'!$A$1:$A$124,0))&lt;&gt;"",INDEX('Coverage Indicators - Section D'!AB$1:AB$124,MATCH($A370,'Coverage Indicators - Section D'!$A$1:$A$124,0)),""),"")</f>
        <v xml:space="preserve">61.00%
</v>
      </c>
      <c r="I383" s="90" t="str">
        <f>IFERROR(IF(INDEX('Coverage Indicators - Section D'!AD$1:AD$124,MATCH($A370,'Coverage Indicators - Section D'!$A$1:$A$124,0))&lt;&gt;"",FIXED(INDEX('Coverage Indicators - Section D'!AD$1:AD$124,MATCH($A370,'Coverage Indicators - Section D'!$A$1:$A$124,0))*100,2)&amp;"%",""),"")&amp;CHAR(10)&amp;IFERROR(IF(INDEX('Coverage Indicators - Section D'!AE$1:AE$124,MATCH($A370,'Coverage Indicators - Section D'!$A$1:$A$124,0))&lt;&gt;"",INDEX('Coverage Indicators - Section D'!AE$1:AE$124,MATCH($A370,'Coverage Indicators - Section D'!$A$1:$A$124,0)),""),"")</f>
        <v xml:space="preserve">66.00%
</v>
      </c>
      <c r="J383" s="90" t="str">
        <f>IFERROR(IF(INDEX('Coverage Indicators - Section D'!AG$1:AG$124,MATCH($A370,'Coverage Indicators - Section D'!$A$1:$A$124,0))&lt;&gt;"",FIXED(INDEX('Coverage Indicators - Section D'!AG$1:AG$124,MATCH($A370,'Coverage Indicators - Section D'!$A$1:$A$124,0))*100,2)&amp;"%",""),"")&amp;CHAR(10)&amp;IFERROR(IF(INDEX('Coverage Indicators - Section D'!AH$1:AH$124,MATCH($A370,'Coverage Indicators - Section D'!$A$1:$A$124,0))&lt;&gt;"",INDEX('Coverage Indicators - Section D'!AH$1:AH$124,MATCH($A370,'Coverage Indicators - Section D'!$A$1:$A$124,0)),""),"")</f>
        <v xml:space="preserve">
</v>
      </c>
      <c r="K383" s="90" t="str">
        <f>IFERROR(IF(INDEX('Coverage Indicators - Section D'!AJ$1:AJ$124,MATCH($A370,'Coverage Indicators - Section D'!$A$1:$A$124,0))&lt;&gt;"",FIXED(INDEX('Coverage Indicators - Section D'!AJ$1:AJ$124,MATCH($A370,'Coverage Indicators - Section D'!$A$1:$A$124,0))*100,2)&amp;"%",""),"")&amp;CHAR(10)&amp;IFERROR(IF(INDEX('Coverage Indicators - Section D'!AK$1:AK$124,MATCH($A370,'Coverage Indicators - Section D'!$A$1:$A$124,0))&lt;&gt;"",INDEX('Coverage Indicators - Section D'!AK$1:AK$124,MATCH($A370,'Coverage Indicators - Section D'!$A$1:$A$124,0)),""),"")</f>
        <v xml:space="preserve">
</v>
      </c>
      <c r="L383" s="82"/>
    </row>
    <row r="384" spans="1:12" ht="18.75" customHeight="1">
      <c r="A384" s="641"/>
      <c r="B384" s="625" t="s">
        <v>176</v>
      </c>
      <c r="C384" s="626"/>
      <c r="D384" s="626"/>
      <c r="E384" s="626"/>
      <c r="F384" s="626"/>
      <c r="G384" s="626"/>
      <c r="H384" s="626"/>
      <c r="I384" s="626"/>
      <c r="J384" s="626"/>
      <c r="K384" s="630"/>
      <c r="L384" s="82"/>
    </row>
    <row r="385" spans="1:12" ht="18.75" customHeight="1">
      <c r="A385" s="641"/>
      <c r="B385" s="634" t="str">
        <f>IFERROR(IF(INDEX('Coverage Indicators - Section D'!AL$1:AL$134,MATCH($A370,'Coverage Indicators - Section D'!$A$1:$A$134,0))&lt;&gt;0,INDEX('Coverage Indicators - Section D'!AL$1:AL$134,MATCH($A370,'Coverage Indicators - Section D'!$A$1:$A$134,0)),""),"")</f>
        <v>N: Number of MSM who received PrEP at least once during the reporting period
D: Number of MSM eligible for PrEP during the reporting period
The GF contribution is 2.850 in 2024; 4.011 in 2025 and 5.341 in 2026.
The PEPFAR-led pilot (FHI 360) in 2022 covered a target of 1214.</v>
      </c>
      <c r="C385" s="635"/>
      <c r="D385" s="635"/>
      <c r="E385" s="635"/>
      <c r="F385" s="635"/>
      <c r="G385" s="635"/>
      <c r="H385" s="635"/>
      <c r="I385" s="635"/>
      <c r="J385" s="635"/>
      <c r="K385" s="636"/>
      <c r="L385" s="82"/>
    </row>
    <row r="386" spans="1:12" ht="18.75" customHeight="1">
      <c r="A386" s="641"/>
      <c r="B386" s="643"/>
      <c r="C386" s="644"/>
      <c r="D386" s="644"/>
      <c r="E386" s="644"/>
      <c r="F386" s="644"/>
      <c r="G386" s="644"/>
      <c r="H386" s="644"/>
      <c r="I386" s="644"/>
      <c r="J386" s="644"/>
      <c r="K386" s="645"/>
      <c r="L386" s="82"/>
    </row>
    <row r="387" spans="1:12" ht="18.75" customHeight="1">
      <c r="A387" s="641"/>
      <c r="B387" s="643"/>
      <c r="C387" s="644"/>
      <c r="D387" s="644"/>
      <c r="E387" s="644"/>
      <c r="F387" s="644"/>
      <c r="G387" s="644"/>
      <c r="H387" s="644"/>
      <c r="I387" s="644"/>
      <c r="J387" s="644"/>
      <c r="K387" s="645"/>
      <c r="L387" s="82"/>
    </row>
    <row r="388" spans="1:12" ht="18.75" customHeight="1">
      <c r="A388" s="641"/>
      <c r="B388" s="643"/>
      <c r="C388" s="644"/>
      <c r="D388" s="644"/>
      <c r="E388" s="644"/>
      <c r="F388" s="644"/>
      <c r="G388" s="644"/>
      <c r="H388" s="644"/>
      <c r="I388" s="644"/>
      <c r="J388" s="644"/>
      <c r="K388" s="645"/>
      <c r="L388" s="82"/>
    </row>
    <row r="389" spans="1:12" ht="18.75" customHeight="1">
      <c r="A389" s="641"/>
      <c r="B389" s="643"/>
      <c r="C389" s="644"/>
      <c r="D389" s="644"/>
      <c r="E389" s="644"/>
      <c r="F389" s="644"/>
      <c r="G389" s="644"/>
      <c r="H389" s="644"/>
      <c r="I389" s="644"/>
      <c r="J389" s="644"/>
      <c r="K389" s="645"/>
      <c r="L389" s="82"/>
    </row>
    <row r="390" spans="1:12" ht="18.75" customHeight="1">
      <c r="A390" s="641"/>
      <c r="B390" s="643"/>
      <c r="C390" s="644"/>
      <c r="D390" s="644"/>
      <c r="E390" s="644"/>
      <c r="F390" s="644"/>
      <c r="G390" s="644"/>
      <c r="H390" s="644"/>
      <c r="I390" s="644"/>
      <c r="J390" s="644"/>
      <c r="K390" s="645"/>
      <c r="L390" s="82"/>
    </row>
    <row r="391" spans="1:12" ht="18.75" customHeight="1">
      <c r="A391" s="641"/>
      <c r="B391" s="643"/>
      <c r="C391" s="644"/>
      <c r="D391" s="644"/>
      <c r="E391" s="644"/>
      <c r="F391" s="644"/>
      <c r="G391" s="644"/>
      <c r="H391" s="644"/>
      <c r="I391" s="644"/>
      <c r="J391" s="644"/>
      <c r="K391" s="645"/>
      <c r="L391" s="82"/>
    </row>
    <row r="392" spans="1:12" ht="18.75" customHeight="1">
      <c r="A392" s="641"/>
      <c r="B392" s="643"/>
      <c r="C392" s="644"/>
      <c r="D392" s="644"/>
      <c r="E392" s="644"/>
      <c r="F392" s="644"/>
      <c r="G392" s="644"/>
      <c r="H392" s="644"/>
      <c r="I392" s="644"/>
      <c r="J392" s="644"/>
      <c r="K392" s="645"/>
      <c r="L392" s="82"/>
    </row>
    <row r="393" spans="1:12" ht="18.75" customHeight="1">
      <c r="A393" s="641"/>
      <c r="B393" s="643"/>
      <c r="C393" s="644"/>
      <c r="D393" s="644"/>
      <c r="E393" s="644"/>
      <c r="F393" s="644"/>
      <c r="G393" s="644"/>
      <c r="H393" s="644"/>
      <c r="I393" s="644"/>
      <c r="J393" s="644"/>
      <c r="K393" s="645"/>
      <c r="L393" s="82"/>
    </row>
    <row r="394" spans="1:12" ht="18.75" customHeight="1">
      <c r="A394" s="642"/>
      <c r="B394" s="637"/>
      <c r="C394" s="638"/>
      <c r="D394" s="638"/>
      <c r="E394" s="638"/>
      <c r="F394" s="638"/>
      <c r="G394" s="638"/>
      <c r="H394" s="638"/>
      <c r="I394" s="638"/>
      <c r="J394" s="638"/>
      <c r="K394" s="639"/>
      <c r="L394" s="82"/>
    </row>
    <row r="395" spans="1:12" ht="18.75" customHeight="1">
      <c r="A395" s="625"/>
      <c r="B395" s="626"/>
      <c r="C395" s="626"/>
      <c r="D395" s="626"/>
      <c r="E395" s="626"/>
      <c r="F395" s="626"/>
      <c r="G395" s="626"/>
      <c r="H395" s="626"/>
      <c r="I395" s="626"/>
      <c r="J395" s="626"/>
      <c r="K395" s="630"/>
      <c r="L395" s="82"/>
    </row>
    <row r="397" spans="1:12" ht="18.75" customHeight="1">
      <c r="A397" s="89" t="s">
        <v>5051</v>
      </c>
      <c r="B397" s="625" t="s">
        <v>1077</v>
      </c>
      <c r="C397" s="630"/>
      <c r="D397" s="631" t="str">
        <f ca="1">IFERROR(IF(INDEX('Coverage Indicators - Section D'!B$1:B$124,MATCH($A398,'Coverage Indicators - Section D'!$A$1:$A$124,0))&lt;&gt;0,INDEX('Coverage Indicators - Section D'!B$1:B$124,MATCH($A398,'Coverage Indicators - Section D'!$A$1:$A$124,0)),""),"")</f>
        <v>Prevention package for sex workers, their clients and other sexual partners</v>
      </c>
      <c r="E397" s="632"/>
      <c r="F397" s="632"/>
      <c r="G397" s="632"/>
      <c r="H397" s="632"/>
      <c r="I397" s="632"/>
      <c r="J397" s="632"/>
      <c r="K397" s="633"/>
      <c r="L397" s="82"/>
    </row>
    <row r="398" spans="1:12" ht="18.75" customHeight="1">
      <c r="A398" s="640">
        <v>15</v>
      </c>
      <c r="B398" s="625" t="s">
        <v>765</v>
      </c>
      <c r="C398" s="626"/>
      <c r="D398" s="626"/>
      <c r="E398" s="626"/>
      <c r="F398" s="630"/>
      <c r="G398" s="625" t="s">
        <v>766</v>
      </c>
      <c r="H398" s="626"/>
      <c r="I398" s="626"/>
      <c r="J398" s="626"/>
      <c r="K398" s="630"/>
      <c r="L398" s="82"/>
    </row>
    <row r="399" spans="1:12" ht="18.75" customHeight="1">
      <c r="A399" s="641"/>
      <c r="B399" s="634" t="str">
        <f>IFERROR(IF(INDEX('Coverage Indicators - Section D'!C$1:C$124,MATCH($A398,'Coverage Indicators - Section D'!$A$1:$A$124,0))&lt;&gt;0,INDEX('Coverage Indicators - Section D'!C$1:C$124,MATCH($A398,'Coverage Indicators - Section D'!$A$1:$A$124,0)),""),"")</f>
        <v>KP-1c Percentage of sex workers reached with HIV prevention programs - defined package of services</v>
      </c>
      <c r="C399" s="635"/>
      <c r="D399" s="635"/>
      <c r="E399" s="635"/>
      <c r="F399" s="636"/>
      <c r="G399" s="634" t="str">
        <f>IFERROR(IF(INDEX('Coverage Indicators - Section D'!D$1:D$124,MATCH($A398,'Coverage Indicators - Section D'!$A$1:$A$124,0))&lt;&gt;0,INDEX('Coverage Indicators - Section D'!D$1:D$124,MATCH($A398,'Coverage Indicators - Section D'!$A$1:$A$124,0)),""),"")</f>
        <v/>
      </c>
      <c r="H399" s="635"/>
      <c r="I399" s="635"/>
      <c r="J399" s="635"/>
      <c r="K399" s="636"/>
      <c r="L399" s="82"/>
    </row>
    <row r="400" spans="1:12" ht="18.75" customHeight="1">
      <c r="A400" s="641"/>
      <c r="B400" s="643"/>
      <c r="C400" s="644"/>
      <c r="D400" s="644"/>
      <c r="E400" s="644"/>
      <c r="F400" s="645"/>
      <c r="G400" s="643"/>
      <c r="H400" s="644"/>
      <c r="I400" s="644"/>
      <c r="J400" s="644"/>
      <c r="K400" s="645"/>
      <c r="L400" s="82"/>
    </row>
    <row r="401" spans="1:12" ht="18.75" customHeight="1">
      <c r="A401" s="641"/>
      <c r="B401" s="637"/>
      <c r="C401" s="638"/>
      <c r="D401" s="638"/>
      <c r="E401" s="638"/>
      <c r="F401" s="639"/>
      <c r="G401" s="637"/>
      <c r="H401" s="638"/>
      <c r="I401" s="638"/>
      <c r="J401" s="638"/>
      <c r="K401" s="639"/>
      <c r="L401" s="82"/>
    </row>
    <row r="402" spans="1:12" ht="18.75" customHeight="1">
      <c r="A402" s="641"/>
      <c r="B402" s="625" t="s">
        <v>769</v>
      </c>
      <c r="C402" s="626"/>
      <c r="D402" s="630"/>
      <c r="E402" s="625" t="s">
        <v>216</v>
      </c>
      <c r="F402" s="626"/>
      <c r="G402" s="630"/>
      <c r="H402" s="625" t="s">
        <v>127</v>
      </c>
      <c r="I402" s="626"/>
      <c r="J402" s="630"/>
      <c r="K402" s="89" t="s">
        <v>2204</v>
      </c>
      <c r="L402" s="82"/>
    </row>
    <row r="403" spans="1:12" ht="18.75" customHeight="1">
      <c r="A403" s="641"/>
      <c r="B403" s="631" t="str">
        <f>IFERROR(IF(INDEX('Coverage Indicators - Section D'!I$9:I$92,MATCH($A398,'Coverage Indicators - Section D'!$A$9:$A$92,0))&lt;&gt;0,INDEX('Coverage Indicators - Section D'!I$9:I$92,MATCH($A398,'Coverage Indicators - Section D'!$A$9:$A$92,0)),""),"")</f>
        <v>Age,Gender</v>
      </c>
      <c r="C403" s="632"/>
      <c r="D403" s="633"/>
      <c r="E403" s="631" t="str">
        <f>IFERROR(IF(INDEX('Coverage Indicators - Section D'!M$1:M$124,MATCH($A398,'Coverage Indicators - Section D'!$A$1:$A$124,0))&lt;&gt;0,INDEX('Coverage Indicators - Section D'!M$1:M$124,MATCH($A398,'Coverage Indicators - Section D'!$A$1:$A$124,0)),""),"")</f>
        <v>Non cumulative</v>
      </c>
      <c r="F403" s="632"/>
      <c r="G403" s="633"/>
      <c r="H403" s="631" t="str">
        <f>IFERROR(IF(INDEX('Coverage Indicators - Section D'!L$1:L$124,MATCH($A398,'Coverage Indicators - Section D'!$A$1:$A$124,0))&lt;&gt;0,INDEX('Coverage Indicators - Section D'!L$1:L$124,MATCH($A398,'Coverage Indicators - Section D'!$A$1:$A$124,0)),""),"")</f>
        <v>Congo (Democratic Republic)</v>
      </c>
      <c r="I403" s="632"/>
      <c r="J403" s="633"/>
      <c r="K403" s="90" t="str">
        <f>IFERROR(IF(INDEX('Coverage Indicators - Section D'!J$1:J$124,MATCH($A398,'Coverage Indicators - Section D'!$A$1:$A$124,0))&lt;&gt;0,INDEX('Coverage Indicators - Section D'!J$1:J$124,MATCH($A398,'Coverage Indicators - Section D'!$A$1:$A$124,0)),""),"")</f>
        <v>Yes</v>
      </c>
      <c r="L403" s="82"/>
    </row>
    <row r="404" spans="1:12" ht="18.75" customHeight="1">
      <c r="A404" s="641"/>
      <c r="B404" s="625" t="s">
        <v>199</v>
      </c>
      <c r="C404" s="626"/>
      <c r="D404" s="630"/>
      <c r="E404" s="625" t="s">
        <v>5060</v>
      </c>
      <c r="F404" s="626"/>
      <c r="G404" s="630"/>
      <c r="H404" s="625" t="s">
        <v>120</v>
      </c>
      <c r="I404" s="626"/>
      <c r="J404" s="626"/>
      <c r="K404" s="630"/>
      <c r="L404" s="82"/>
    </row>
    <row r="405" spans="1:12" ht="18.75" customHeight="1">
      <c r="A405" s="641"/>
      <c r="B405" s="634" t="str">
        <f>IFERROR(IF(INDEX('Coverage Indicators - Section D'!H$1:H$124,MATCH($A398,'Coverage Indicators - Section D'!$A$1:$A$124,0))&lt;&gt;0,INDEX('Coverage Indicators - Section D'!H$1:H$124,MATCH($A398,'Coverage Indicators - Section D'!$A$1:$A$124,0)),""),"")</f>
        <v>HIV program annual report</v>
      </c>
      <c r="C405" s="635"/>
      <c r="D405" s="636"/>
      <c r="E405" s="634" t="str">
        <f>IFERROR(IF(INDEX('Coverage Indicators - Section D'!L$1:L$124,MATCH($A398,'Coverage Indicators - Section D'!$A$1:$A$124,0)+1)&lt;&gt;0,INDEX('Coverage Indicators - Section D'!L$1:L$124,MATCH($A398,'Coverage Indicators - Section D'!$A$1:$A$124,0)+1),""),"")</f>
        <v>Geographic National, 100% of national program target</v>
      </c>
      <c r="F405" s="635"/>
      <c r="G405" s="636"/>
      <c r="H405" s="634" t="str">
        <f ca="1">IFERROR(IF(AND('Overview - Section A'!AS$1="Grant Making",OR(B399&lt;&gt;"",G399&lt;&gt;"")),Setup!I15,IF(INDEX('Coverage Indicators - Section D'!K$1:K$124,MATCH($A398,'Coverage Indicators - Section D'!$A$1:$A$124,0))&lt;&gt;0,INDEX('Coverage Indicators - Section D'!K$1:K$124,MATCH($A398,'Coverage Indicators - Section D'!$A$1:$A$124,0)),"")),"")</f>
        <v>PR 2</v>
      </c>
      <c r="I405" s="635"/>
      <c r="J405" s="635"/>
      <c r="K405" s="636"/>
      <c r="L405" s="82"/>
    </row>
    <row r="406" spans="1:12" ht="18.75" customHeight="1">
      <c r="A406" s="641"/>
      <c r="B406" s="637"/>
      <c r="C406" s="638"/>
      <c r="D406" s="639"/>
      <c r="E406" s="637"/>
      <c r="F406" s="638"/>
      <c r="G406" s="639"/>
      <c r="H406" s="637"/>
      <c r="I406" s="638"/>
      <c r="J406" s="638"/>
      <c r="K406" s="639"/>
      <c r="L406" s="82"/>
    </row>
    <row r="407" spans="1:12" ht="18.75" customHeight="1">
      <c r="A407" s="641"/>
      <c r="B407" s="89"/>
      <c r="C407" s="89" t="s">
        <v>5052</v>
      </c>
      <c r="D407" s="625" t="s">
        <v>5053</v>
      </c>
      <c r="E407" s="626"/>
      <c r="F407" s="626"/>
      <c r="G407" s="626"/>
      <c r="H407" s="626"/>
      <c r="I407" s="626"/>
      <c r="J407" s="626"/>
      <c r="K407" s="630"/>
      <c r="L407" s="82"/>
    </row>
    <row r="408" spans="1:12" ht="18.75" customHeight="1">
      <c r="A408" s="641"/>
      <c r="B408" s="89" t="s">
        <v>2589</v>
      </c>
      <c r="C408" s="90">
        <f>IFERROR(IF(INDEX('Coverage Indicators - Section D'!G$1:G$124,MATCH($A398,'Coverage Indicators - Section D'!$A$1:$A$124,0))&lt;&gt;0,INDEX('Coverage Indicators - Section D'!G$1:G$124,MATCH($A398,'Coverage Indicators - Section D'!$A$1:$A$124,0)),""),"")</f>
        <v>2021</v>
      </c>
      <c r="D408"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408"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408"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408"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408"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408"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408"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408"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408" s="82"/>
    </row>
    <row r="409" spans="1:12" s="93" customFormat="1" ht="18.75" customHeight="1">
      <c r="A409" s="641"/>
      <c r="B409" s="89" t="s">
        <v>5054</v>
      </c>
      <c r="C409" s="91">
        <f>IFERROR(IF(INDEX('Coverage Indicators - Section D'!E$1:E$124,MATCH($A398,'Coverage Indicators - Section D'!$A$1:$A$124,0))&lt;&gt;"",INDEX('Coverage Indicators - Section D'!E$1:E$124,MATCH($A398,'Coverage Indicators - Section D'!$A$1:$A$124,0)),""),"")</f>
        <v>104477</v>
      </c>
      <c r="D409" s="91">
        <f ca="1">IFERROR(IF(INDEX('Coverage Indicators - Section D'!N$1:N$124,MATCH($A398,'Coverage Indicators - Section D'!$A$1:$A$124,0))&lt;&gt;"",INDEX('Coverage Indicators - Section D'!N$1:N$124,MATCH($A398,'Coverage Indicators - Section D'!$A$1:$A$124,0)),""),"")</f>
        <v>90092.5</v>
      </c>
      <c r="E409" s="91">
        <f ca="1">IFERROR(IF(INDEX('Coverage Indicators - Section D'!Q$1:Q$124,MATCH($A398,'Coverage Indicators - Section D'!$A$1:$A$124,0))&lt;&gt;"",INDEX('Coverage Indicators - Section D'!Q$1:Q$124,MATCH($A398,'Coverage Indicators - Section D'!$A$1:$A$124,0)),""),"")</f>
        <v>90092.5</v>
      </c>
      <c r="F409" s="91">
        <f ca="1">IFERROR(IF(INDEX('Coverage Indicators - Section D'!T$1:T$124,MATCH($A398,'Coverage Indicators - Section D'!$A$1:$A$124,0))&lt;&gt;"",INDEX('Coverage Indicators - Section D'!T$1:T$124,MATCH($A398,'Coverage Indicators - Section D'!$A$1:$A$124,0)),""),"")</f>
        <v>111761</v>
      </c>
      <c r="G409" s="91">
        <f ca="1">IFERROR(IF(INDEX('Coverage Indicators - Section D'!W$1:W$124,MATCH($A398,'Coverage Indicators - Section D'!$A$1:$A$124,0))&lt;&gt;"",INDEX('Coverage Indicators - Section D'!W$1:W$124,MATCH($A398,'Coverage Indicators - Section D'!$A$1:$A$124,0)),""),"")</f>
        <v>111761</v>
      </c>
      <c r="H409" s="91">
        <f ca="1">IFERROR(IF(INDEX('Coverage Indicators - Section D'!Z$1:Z$124,MATCH($A398,'Coverage Indicators - Section D'!$A$1:$A$124,0))&lt;&gt;"",INDEX('Coverage Indicators - Section D'!Z$1:Z$124,MATCH($A398,'Coverage Indicators - Section D'!$A$1:$A$124,0)),""),"")</f>
        <v>134257.5</v>
      </c>
      <c r="I409" s="91">
        <f ca="1">IFERROR(IF(INDEX('Coverage Indicators - Section D'!AC$1:AC$124,MATCH($A398,'Coverage Indicators - Section D'!$A$1:$A$124,0))&lt;&gt;"",INDEX('Coverage Indicators - Section D'!AC$1:AC$124,MATCH($A398,'Coverage Indicators - Section D'!$A$1:$A$124,0)),""),"")</f>
        <v>134257.5</v>
      </c>
      <c r="J409" s="91" t="str">
        <f ca="1">IFERROR(IF(INDEX('Coverage Indicators - Section D'!AF$1:AF$124,MATCH($A398,'Coverage Indicators - Section D'!$A$1:$A$124,0))&lt;&gt;"",INDEX('Coverage Indicators - Section D'!AF$1:AF$124,MATCH($A398,'Coverage Indicators - Section D'!$A$1:$A$124,0)),""),"")</f>
        <v/>
      </c>
      <c r="K409" s="91" t="str">
        <f ca="1">IFERROR(IF(INDEX('Coverage Indicators - Section D'!AI$1:AI$124,MATCH($A398,'Coverage Indicators - Section D'!$A$1:$A$124,0))&lt;&gt;"",INDEX('Coverage Indicators - Section D'!AI$1:AI$124,MATCH($A398,'Coverage Indicators - Section D'!$A$1:$A$124,0)),""),"")</f>
        <v/>
      </c>
      <c r="L409" s="92"/>
    </row>
    <row r="410" spans="1:12" s="96" customFormat="1" ht="18.75" customHeight="1">
      <c r="A410" s="641"/>
      <c r="B410" s="89" t="s">
        <v>5055</v>
      </c>
      <c r="C410" s="94">
        <f>IFERROR(IF(INDEX('Coverage Indicators - Section D'!E$1:E$124,MATCH($A398,'Coverage Indicators - Section D'!$A$1:$A$124,0)+1)&lt;&gt;"",INDEX('Coverage Indicators - Section D'!E$1:E$124,MATCH($A398,'Coverage Indicators - Section D'!$A$1:$A$124,0)+1),""),"")</f>
        <v>306251.70068027201</v>
      </c>
      <c r="D410" s="94">
        <f ca="1">IFERROR(IF(INDEX('Coverage Indicators - Section D'!N$1:N$124,MATCH($A398,'Coverage Indicators - Section D'!$A$1:$A$124,0)+1)&lt;&gt;"",INDEX('Coverage Indicators - Section D'!N$1:N$124,MATCH($A398,'Coverage Indicators - Section D'!$A$1:$A$124,0)+1),""),"")</f>
        <v>316993.14999999997</v>
      </c>
      <c r="E410" s="94">
        <f ca="1">IFERROR(IF(INDEX('Coverage Indicators - Section D'!Q$1:Q$124,MATCH($A398,'Coverage Indicators - Section D'!$A$1:$A$124,0)+1)&lt;&gt;"",INDEX('Coverage Indicators - Section D'!Q$1:Q$124,MATCH($A398,'Coverage Indicators - Section D'!$A$1:$A$124,0)+1),""),"")</f>
        <v>316993.14999999997</v>
      </c>
      <c r="F410" s="94">
        <f ca="1">IFERROR(IF(INDEX('Coverage Indicators - Section D'!T$1:T$124,MATCH($A398,'Coverage Indicators - Section D'!$A$1:$A$124,0)+1)&lt;&gt;"",INDEX('Coverage Indicators - Section D'!T$1:T$124,MATCH($A398,'Coverage Indicators - Section D'!$A$1:$A$124,0)+1),""),"")</f>
        <v>326184.39999999997</v>
      </c>
      <c r="G410" s="94">
        <f ca="1">IFERROR(IF(INDEX('Coverage Indicators - Section D'!W$1:W$124,MATCH($A398,'Coverage Indicators - Section D'!$A$1:$A$124,0)+1)&lt;&gt;"",INDEX('Coverage Indicators - Section D'!W$1:W$124,MATCH($A398,'Coverage Indicators - Section D'!$A$1:$A$124,0)+1),""),"")</f>
        <v>326184.39999999997</v>
      </c>
      <c r="H410" s="94">
        <f ca="1">IFERROR(IF(INDEX('Coverage Indicators - Section D'!Z$1:Z$124,MATCH($A398,'Coverage Indicators - Section D'!$A$1:$A$124,0)+1)&lt;&gt;"",INDEX('Coverage Indicators - Section D'!Z$1:Z$124,MATCH($A398,'Coverage Indicators - Section D'!$A$1:$A$124,0)+1),""),"")</f>
        <v>335644.5</v>
      </c>
      <c r="I410" s="94">
        <f ca="1">IFERROR(IF(INDEX('Coverage Indicators - Section D'!AC$1:AC$124,MATCH($A398,'Coverage Indicators - Section D'!$A$1:$A$124,0)+1)&lt;&gt;"",INDEX('Coverage Indicators - Section D'!AC$1:AC$124,MATCH($A398,'Coverage Indicators - Section D'!$A$1:$A$124,0)+1),""),"")</f>
        <v>335644.5</v>
      </c>
      <c r="J410" s="94" t="str">
        <f ca="1">IFERROR(IF(INDEX('Coverage Indicators - Section D'!AF$1:AF$124,MATCH($A398,'Coverage Indicators - Section D'!$A$1:$A$124,0)+1)&lt;&gt;"",INDEX('Coverage Indicators - Section D'!AF$1:AF$124,MATCH($A398,'Coverage Indicators - Section D'!$A$1:$A$124,0)+1),""),"")</f>
        <v/>
      </c>
      <c r="K410" s="94" t="str">
        <f ca="1">IFERROR(IF(INDEX('Coverage Indicators - Section D'!AI$1:AI$124,MATCH($A398,'Coverage Indicators - Section D'!$A$1:$A$124,0)+1)&lt;&gt;"",INDEX('Coverage Indicators - Section D'!AI$1:AI$124,MATCH($A398,'Coverage Indicators - Section D'!$A$1:$A$124,0)+1),""),"")</f>
        <v/>
      </c>
      <c r="L410" s="95"/>
    </row>
    <row r="411" spans="1:12" ht="18.75" customHeight="1">
      <c r="A411" s="641"/>
      <c r="B411" s="89" t="s">
        <v>5056</v>
      </c>
      <c r="C411" s="90" t="str">
        <f ca="1">IFERROR(IF(INDEX('Coverage Indicators - Section D'!F$1:F$124,MATCH($A398,'Coverage Indicators - Section D'!$A$1:$A$124,0))&lt;&gt;"",FIXED(INDEX('Coverage Indicators - Section D'!F$1:F$124,MATCH($A398,'Coverage Indicators - Section D'!$A$1:$A$124,0))*100,2)&amp;"%",""),"")</f>
        <v>34.11%</v>
      </c>
      <c r="D411" s="90" t="str">
        <f>IFERROR(IF(INDEX('Coverage Indicators - Section D'!O$1:O$124,MATCH($A398,'Coverage Indicators - Section D'!$A$1:$A$124,0))&lt;&gt;"",FIXED(INDEX('Coverage Indicators - Section D'!O$1:O$124,MATCH($A398,'Coverage Indicators - Section D'!$A$1:$A$124,0))*100,2)&amp;"%",""),"")&amp;CHAR(10)&amp;IFERROR(IF(INDEX('Coverage Indicators - Section D'!P$1:P$124,MATCH($A398,'Coverage Indicators - Section D'!$A$1:$A$124,0))&lt;&gt;"",INDEX('Coverage Indicators - Section D'!P$1:P$124,MATCH($A398,'Coverage Indicators - Section D'!$A$1:$A$124,0)),""),"")</f>
        <v xml:space="preserve">28.42%
</v>
      </c>
      <c r="E411" s="90" t="str">
        <f>IFERROR(IF(INDEX('Coverage Indicators - Section D'!R$1:R$124,MATCH($A398,'Coverage Indicators - Section D'!$A$1:$A$124,0))&lt;&gt;"",FIXED(INDEX('Coverage Indicators - Section D'!R$1:R$124,MATCH($A398,'Coverage Indicators - Section D'!$A$1:$A$124,0))*100,2)&amp;"%",""),"")&amp;CHAR(10)&amp;IFERROR(IF(INDEX('Coverage Indicators - Section D'!S$1:S$124,MATCH($A398,'Coverage Indicators - Section D'!$A$1:$A$124,0))&lt;&gt;"",INDEX('Coverage Indicators - Section D'!S$1:S$124,MATCH($A398,'Coverage Indicators - Section D'!$A$1:$A$124,0)),""),"")</f>
        <v xml:space="preserve">28.42%
</v>
      </c>
      <c r="F411" s="90" t="str">
        <f>IFERROR(IF(INDEX('Coverage Indicators - Section D'!U$1:U$124,MATCH($A398,'Coverage Indicators - Section D'!$A$1:$A$124,0))&lt;&gt;"",FIXED(INDEX('Coverage Indicators - Section D'!U$1:U$124,MATCH($A398,'Coverage Indicators - Section D'!$A$1:$A$124,0))*100,2)&amp;"%",""),"")&amp;CHAR(10)&amp;IFERROR(IF(INDEX('Coverage Indicators - Section D'!V$1:V$124,MATCH($A398,'Coverage Indicators - Section D'!$A$1:$A$124,0))&lt;&gt;"",INDEX('Coverage Indicators - Section D'!V$1:V$124,MATCH($A398,'Coverage Indicators - Section D'!$A$1:$A$124,0)),""),"")</f>
        <v xml:space="preserve">34.26%
</v>
      </c>
      <c r="G411" s="90" t="str">
        <f>IFERROR(IF(INDEX('Coverage Indicators - Section D'!X$1:X$124,MATCH($A398,'Coverage Indicators - Section D'!$A$1:$A$124,0))&lt;&gt;"",FIXED(INDEX('Coverage Indicators - Section D'!X$1:X$124,MATCH($A398,'Coverage Indicators - Section D'!$A$1:$A$124,0))*100,2)&amp;"%",""),"")&amp;CHAR(10)&amp;IFERROR(IF(INDEX('Coverage Indicators - Section D'!Y$1:Y$124,MATCH($A398,'Coverage Indicators - Section D'!$A$1:$A$124,0))&lt;&gt;"",INDEX('Coverage Indicators - Section D'!Y$1:Y$124,MATCH($A398,'Coverage Indicators - Section D'!$A$1:$A$124,0)),""),"")</f>
        <v xml:space="preserve">34.26%
</v>
      </c>
      <c r="H411" s="90" t="str">
        <f>IFERROR(IF(INDEX('Coverage Indicators - Section D'!AA$1:AA$124,MATCH(A398,'Coverage Indicators - Section D'!$A$1:$A$124,0))&lt;&gt;"",FIXED(INDEX('Coverage Indicators - Section D'!AA$1:AA$124,MATCH($A398,'Coverage Indicators - Section D'!$A$1:$A$124,0))*100,2)&amp;"%",""),"")&amp;CHAR(10)&amp;IFERROR(IF(INDEX('Coverage Indicators - Section D'!AB$1:AB$124,MATCH($A398,'Coverage Indicators - Section D'!$A$1:$A$124,0))&lt;&gt;"",INDEX('Coverage Indicators - Section D'!AB$1:AB$124,MATCH($A398,'Coverage Indicators - Section D'!$A$1:$A$124,0)),""),"")</f>
        <v xml:space="preserve">40.00%
</v>
      </c>
      <c r="I411" s="90" t="str">
        <f>IFERROR(IF(INDEX('Coverage Indicators - Section D'!AD$1:AD$124,MATCH($A398,'Coverage Indicators - Section D'!$A$1:$A$124,0))&lt;&gt;"",FIXED(INDEX('Coverage Indicators - Section D'!AD$1:AD$124,MATCH($A398,'Coverage Indicators - Section D'!$A$1:$A$124,0))*100,2)&amp;"%",""),"")&amp;CHAR(10)&amp;IFERROR(IF(INDEX('Coverage Indicators - Section D'!AE$1:AE$124,MATCH($A398,'Coverage Indicators - Section D'!$A$1:$A$124,0))&lt;&gt;"",INDEX('Coverage Indicators - Section D'!AE$1:AE$124,MATCH($A398,'Coverage Indicators - Section D'!$A$1:$A$124,0)),""),"")</f>
        <v xml:space="preserve">40.00%
</v>
      </c>
      <c r="J411" s="90" t="str">
        <f>IFERROR(IF(INDEX('Coverage Indicators - Section D'!AG$1:AG$124,MATCH($A398,'Coverage Indicators - Section D'!$A$1:$A$124,0))&lt;&gt;"",FIXED(INDEX('Coverage Indicators - Section D'!AG$1:AG$124,MATCH($A398,'Coverage Indicators - Section D'!$A$1:$A$124,0))*100,2)&amp;"%",""),"")&amp;CHAR(10)&amp;IFERROR(IF(INDEX('Coverage Indicators - Section D'!AH$1:AH$124,MATCH($A398,'Coverage Indicators - Section D'!$A$1:$A$124,0))&lt;&gt;"",INDEX('Coverage Indicators - Section D'!AH$1:AH$124,MATCH($A398,'Coverage Indicators - Section D'!$A$1:$A$124,0)),""),"")</f>
        <v xml:space="preserve">
</v>
      </c>
      <c r="K411" s="90" t="str">
        <f>IFERROR(IF(INDEX('Coverage Indicators - Section D'!AJ$1:AJ$124,MATCH($A398,'Coverage Indicators - Section D'!$A$1:$A$124,0))&lt;&gt;"",FIXED(INDEX('Coverage Indicators - Section D'!AJ$1:AJ$124,MATCH($A398,'Coverage Indicators - Section D'!$A$1:$A$124,0))*100,2)&amp;"%",""),"")&amp;CHAR(10)&amp;IFERROR(IF(INDEX('Coverage Indicators - Section D'!AK$1:AK$124,MATCH($A398,'Coverage Indicators - Section D'!$A$1:$A$124,0))&lt;&gt;"",INDEX('Coverage Indicators - Section D'!AK$1:AK$124,MATCH($A398,'Coverage Indicators - Section D'!$A$1:$A$124,0)),""),"")</f>
        <v xml:space="preserve">
</v>
      </c>
      <c r="L411" s="82"/>
    </row>
    <row r="412" spans="1:12" ht="18.75" customHeight="1">
      <c r="A412" s="641"/>
      <c r="B412" s="625" t="s">
        <v>176</v>
      </c>
      <c r="C412" s="626"/>
      <c r="D412" s="626"/>
      <c r="E412" s="626"/>
      <c r="F412" s="626"/>
      <c r="G412" s="626"/>
      <c r="H412" s="626"/>
      <c r="I412" s="626"/>
      <c r="J412" s="626"/>
      <c r="K412" s="630"/>
      <c r="L412" s="82"/>
    </row>
    <row r="413" spans="1:12" ht="18.75" customHeight="1">
      <c r="A413" s="641"/>
      <c r="B413" s="634" t="str">
        <f>IFERROR(IF(INDEX('Coverage Indicators - Section D'!AL$1:AL$134,MATCH($A398,'Coverage Indicators - Section D'!$A$1:$A$134,0))&lt;&gt;0,INDEX('Coverage Indicators - Section D'!AL$1:AL$134,MATCH($A398,'Coverage Indicators - Section D'!$A$1:$A$134,0)),""),"")</f>
        <v>N: Number of sex workers who received a defined package of HIV prevention services 
D: Estimated number of sex workers in the target area
The GF contribution is 105,108 in 2024; 127,727 in 2025 and 151,040 in 2026.</v>
      </c>
      <c r="C413" s="635"/>
      <c r="D413" s="635"/>
      <c r="E413" s="635"/>
      <c r="F413" s="635"/>
      <c r="G413" s="635"/>
      <c r="H413" s="635"/>
      <c r="I413" s="635"/>
      <c r="J413" s="635"/>
      <c r="K413" s="636"/>
      <c r="L413" s="82"/>
    </row>
    <row r="414" spans="1:12" ht="18.75" customHeight="1">
      <c r="A414" s="641"/>
      <c r="B414" s="643"/>
      <c r="C414" s="644"/>
      <c r="D414" s="644"/>
      <c r="E414" s="644"/>
      <c r="F414" s="644"/>
      <c r="G414" s="644"/>
      <c r="H414" s="644"/>
      <c r="I414" s="644"/>
      <c r="J414" s="644"/>
      <c r="K414" s="645"/>
      <c r="L414" s="82"/>
    </row>
    <row r="415" spans="1:12" ht="18.75" customHeight="1">
      <c r="A415" s="641"/>
      <c r="B415" s="643"/>
      <c r="C415" s="644"/>
      <c r="D415" s="644"/>
      <c r="E415" s="644"/>
      <c r="F415" s="644"/>
      <c r="G415" s="644"/>
      <c r="H415" s="644"/>
      <c r="I415" s="644"/>
      <c r="J415" s="644"/>
      <c r="K415" s="645"/>
      <c r="L415" s="82"/>
    </row>
    <row r="416" spans="1:12" ht="18.75" customHeight="1">
      <c r="A416" s="641"/>
      <c r="B416" s="643"/>
      <c r="C416" s="644"/>
      <c r="D416" s="644"/>
      <c r="E416" s="644"/>
      <c r="F416" s="644"/>
      <c r="G416" s="644"/>
      <c r="H416" s="644"/>
      <c r="I416" s="644"/>
      <c r="J416" s="644"/>
      <c r="K416" s="645"/>
      <c r="L416" s="82"/>
    </row>
    <row r="417" spans="1:12" ht="18.75" customHeight="1">
      <c r="A417" s="641"/>
      <c r="B417" s="643"/>
      <c r="C417" s="644"/>
      <c r="D417" s="644"/>
      <c r="E417" s="644"/>
      <c r="F417" s="644"/>
      <c r="G417" s="644"/>
      <c r="H417" s="644"/>
      <c r="I417" s="644"/>
      <c r="J417" s="644"/>
      <c r="K417" s="645"/>
      <c r="L417" s="82"/>
    </row>
    <row r="418" spans="1:12" ht="18.75" customHeight="1">
      <c r="A418" s="641"/>
      <c r="B418" s="643"/>
      <c r="C418" s="644"/>
      <c r="D418" s="644"/>
      <c r="E418" s="644"/>
      <c r="F418" s="644"/>
      <c r="G418" s="644"/>
      <c r="H418" s="644"/>
      <c r="I418" s="644"/>
      <c r="J418" s="644"/>
      <c r="K418" s="645"/>
      <c r="L418" s="82"/>
    </row>
    <row r="419" spans="1:12" ht="18.75" customHeight="1">
      <c r="A419" s="641"/>
      <c r="B419" s="643"/>
      <c r="C419" s="644"/>
      <c r="D419" s="644"/>
      <c r="E419" s="644"/>
      <c r="F419" s="644"/>
      <c r="G419" s="644"/>
      <c r="H419" s="644"/>
      <c r="I419" s="644"/>
      <c r="J419" s="644"/>
      <c r="K419" s="645"/>
      <c r="L419" s="82"/>
    </row>
    <row r="420" spans="1:12" ht="18.75" customHeight="1">
      <c r="A420" s="641"/>
      <c r="B420" s="643"/>
      <c r="C420" s="644"/>
      <c r="D420" s="644"/>
      <c r="E420" s="644"/>
      <c r="F420" s="644"/>
      <c r="G420" s="644"/>
      <c r="H420" s="644"/>
      <c r="I420" s="644"/>
      <c r="J420" s="644"/>
      <c r="K420" s="645"/>
      <c r="L420" s="82"/>
    </row>
    <row r="421" spans="1:12" ht="18.75" customHeight="1">
      <c r="A421" s="641"/>
      <c r="B421" s="643"/>
      <c r="C421" s="644"/>
      <c r="D421" s="644"/>
      <c r="E421" s="644"/>
      <c r="F421" s="644"/>
      <c r="G421" s="644"/>
      <c r="H421" s="644"/>
      <c r="I421" s="644"/>
      <c r="J421" s="644"/>
      <c r="K421" s="645"/>
      <c r="L421" s="82"/>
    </row>
    <row r="422" spans="1:12" ht="18.75" customHeight="1">
      <c r="A422" s="642"/>
      <c r="B422" s="637"/>
      <c r="C422" s="638"/>
      <c r="D422" s="638"/>
      <c r="E422" s="638"/>
      <c r="F422" s="638"/>
      <c r="G422" s="638"/>
      <c r="H422" s="638"/>
      <c r="I422" s="638"/>
      <c r="J422" s="638"/>
      <c r="K422" s="639"/>
      <c r="L422" s="82"/>
    </row>
    <row r="423" spans="1:12" ht="18.75" customHeight="1">
      <c r="A423" s="625"/>
      <c r="B423" s="626"/>
      <c r="C423" s="626"/>
      <c r="D423" s="626"/>
      <c r="E423" s="626"/>
      <c r="F423" s="626"/>
      <c r="G423" s="626"/>
      <c r="H423" s="626"/>
      <c r="I423" s="626"/>
      <c r="J423" s="626"/>
      <c r="K423" s="630"/>
      <c r="L423" s="82"/>
    </row>
    <row r="425" spans="1:12" ht="18.75" customHeight="1">
      <c r="A425" s="89" t="s">
        <v>5051</v>
      </c>
      <c r="B425" s="625" t="s">
        <v>1077</v>
      </c>
      <c r="C425" s="630"/>
      <c r="D425" s="631" t="str">
        <f ca="1">IFERROR(IF(INDEX('Coverage Indicators - Section D'!B$1:B$124,MATCH($A426,'Coverage Indicators - Section D'!$A$1:$A$124,0))&lt;&gt;0,INDEX('Coverage Indicators - Section D'!B$1:B$124,MATCH($A426,'Coverage Indicators - Section D'!$A$1:$A$124,0)),""),"")</f>
        <v>Prevention package for sex workers, their clients and other sexual partners</v>
      </c>
      <c r="E425" s="632"/>
      <c r="F425" s="632"/>
      <c r="G425" s="632"/>
      <c r="H425" s="632"/>
      <c r="I425" s="632"/>
      <c r="J425" s="632"/>
      <c r="K425" s="633"/>
      <c r="L425" s="82"/>
    </row>
    <row r="426" spans="1:12" ht="18.75" customHeight="1">
      <c r="A426" s="640">
        <v>16</v>
      </c>
      <c r="B426" s="625" t="s">
        <v>765</v>
      </c>
      <c r="C426" s="626"/>
      <c r="D426" s="626"/>
      <c r="E426" s="626"/>
      <c r="F426" s="630"/>
      <c r="G426" s="625" t="s">
        <v>766</v>
      </c>
      <c r="H426" s="626"/>
      <c r="I426" s="626"/>
      <c r="J426" s="626"/>
      <c r="K426" s="630"/>
      <c r="L426" s="82"/>
    </row>
    <row r="427" spans="1:12" ht="18.75" customHeight="1">
      <c r="A427" s="641"/>
      <c r="B427" s="634" t="str">
        <f>IFERROR(IF(INDEX('Coverage Indicators - Section D'!C$1:C$124,MATCH($A426,'Coverage Indicators - Section D'!$A$1:$A$124,0))&lt;&gt;0,INDEX('Coverage Indicators - Section D'!C$1:C$124,MATCH($A426,'Coverage Indicators - Section D'!$A$1:$A$124,0)),""),"")</f>
        <v>KP-6c Number of sex workers who received any PrEP product at least once during the reporting period</v>
      </c>
      <c r="C427" s="635"/>
      <c r="D427" s="635"/>
      <c r="E427" s="635"/>
      <c r="F427" s="636"/>
      <c r="G427" s="634" t="str">
        <f>IFERROR(IF(INDEX('Coverage Indicators - Section D'!D$1:D$124,MATCH($A426,'Coverage Indicators - Section D'!$A$1:$A$124,0))&lt;&gt;0,INDEX('Coverage Indicators - Section D'!D$1:D$124,MATCH($A426,'Coverage Indicators - Section D'!$A$1:$A$124,0)),""),"")</f>
        <v/>
      </c>
      <c r="H427" s="635"/>
      <c r="I427" s="635"/>
      <c r="J427" s="635"/>
      <c r="K427" s="636"/>
      <c r="L427" s="82"/>
    </row>
    <row r="428" spans="1:12" ht="18.75" customHeight="1">
      <c r="A428" s="641"/>
      <c r="B428" s="643"/>
      <c r="C428" s="644"/>
      <c r="D428" s="644"/>
      <c r="E428" s="644"/>
      <c r="F428" s="645"/>
      <c r="G428" s="643"/>
      <c r="H428" s="644"/>
      <c r="I428" s="644"/>
      <c r="J428" s="644"/>
      <c r="K428" s="645"/>
      <c r="L428" s="82"/>
    </row>
    <row r="429" spans="1:12" ht="18.75" customHeight="1">
      <c r="A429" s="641"/>
      <c r="B429" s="637"/>
      <c r="C429" s="638"/>
      <c r="D429" s="638"/>
      <c r="E429" s="638"/>
      <c r="F429" s="639"/>
      <c r="G429" s="637"/>
      <c r="H429" s="638"/>
      <c r="I429" s="638"/>
      <c r="J429" s="638"/>
      <c r="K429" s="639"/>
      <c r="L429" s="82"/>
    </row>
    <row r="430" spans="1:12" ht="18.75" customHeight="1">
      <c r="A430" s="641"/>
      <c r="B430" s="625" t="s">
        <v>769</v>
      </c>
      <c r="C430" s="626"/>
      <c r="D430" s="630"/>
      <c r="E430" s="625" t="s">
        <v>216</v>
      </c>
      <c r="F430" s="626"/>
      <c r="G430" s="630"/>
      <c r="H430" s="625" t="s">
        <v>127</v>
      </c>
      <c r="I430" s="626"/>
      <c r="J430" s="630"/>
      <c r="K430" s="89" t="s">
        <v>2204</v>
      </c>
      <c r="L430" s="82"/>
    </row>
    <row r="431" spans="1:12" ht="18.75" customHeight="1">
      <c r="A431" s="641"/>
      <c r="B431" s="631" t="str">
        <f>IFERROR(IF(INDEX('Coverage Indicators - Section D'!I$9:I$92,MATCH($A426,'Coverage Indicators - Section D'!$A$9:$A$92,0))&lt;&gt;0,INDEX('Coverage Indicators - Section D'!I$9:I$92,MATCH($A426,'Coverage Indicators - Section D'!$A$9:$A$92,0)),""),"")</f>
        <v>Gender,PrEP product,Age</v>
      </c>
      <c r="C431" s="632"/>
      <c r="D431" s="633"/>
      <c r="E431" s="631" t="str">
        <f>IFERROR(IF(INDEX('Coverage Indicators - Section D'!M$1:M$124,MATCH($A426,'Coverage Indicators - Section D'!$A$1:$A$124,0))&lt;&gt;0,INDEX('Coverage Indicators - Section D'!M$1:M$124,MATCH($A426,'Coverage Indicators - Section D'!$A$1:$A$124,0)),""),"")</f>
        <v>Non cumulative</v>
      </c>
      <c r="F431" s="632"/>
      <c r="G431" s="633"/>
      <c r="H431" s="631" t="str">
        <f>IFERROR(IF(INDEX('Coverage Indicators - Section D'!L$1:L$124,MATCH($A426,'Coverage Indicators - Section D'!$A$1:$A$124,0))&lt;&gt;0,INDEX('Coverage Indicators - Section D'!L$1:L$124,MATCH($A426,'Coverage Indicators - Section D'!$A$1:$A$124,0)),""),"")</f>
        <v>Congo (Democratic Republic)</v>
      </c>
      <c r="I431" s="632"/>
      <c r="J431" s="633"/>
      <c r="K431" s="90" t="str">
        <f>IFERROR(IF(INDEX('Coverage Indicators - Section D'!J$1:J$124,MATCH($A426,'Coverage Indicators - Section D'!$A$1:$A$124,0))&lt;&gt;0,INDEX('Coverage Indicators - Section D'!J$1:J$124,MATCH($A426,'Coverage Indicators - Section D'!$A$1:$A$124,0)),""),"")</f>
        <v>Yes</v>
      </c>
      <c r="L431" s="82"/>
    </row>
    <row r="432" spans="1:12" ht="18.75" customHeight="1">
      <c r="A432" s="641"/>
      <c r="B432" s="625" t="s">
        <v>199</v>
      </c>
      <c r="C432" s="626"/>
      <c r="D432" s="630"/>
      <c r="E432" s="625" t="s">
        <v>5060</v>
      </c>
      <c r="F432" s="626"/>
      <c r="G432" s="630"/>
      <c r="H432" s="625" t="s">
        <v>120</v>
      </c>
      <c r="I432" s="626"/>
      <c r="J432" s="626"/>
      <c r="K432" s="630"/>
      <c r="L432" s="82"/>
    </row>
    <row r="433" spans="1:12" ht="18.75" customHeight="1">
      <c r="A433" s="641"/>
      <c r="B433" s="634" t="str">
        <f>IFERROR(IF(INDEX('Coverage Indicators - Section D'!H$1:H$124,MATCH($A426,'Coverage Indicators - Section D'!$A$1:$A$124,0))&lt;&gt;0,INDEX('Coverage Indicators - Section D'!H$1:H$124,MATCH($A426,'Coverage Indicators - Section D'!$A$1:$A$124,0)),""),"")</f>
        <v>Data Not Available</v>
      </c>
      <c r="C433" s="635"/>
      <c r="D433" s="636"/>
      <c r="E433" s="634" t="str">
        <f>IFERROR(IF(INDEX('Coverage Indicators - Section D'!L$1:L$124,MATCH($A426,'Coverage Indicators - Section D'!$A$1:$A$124,0)+1)&lt;&gt;0,INDEX('Coverage Indicators - Section D'!L$1:L$124,MATCH($A426,'Coverage Indicators - Section D'!$A$1:$A$124,0)+1),""),"")</f>
        <v>Geographic National, 100% of national program target</v>
      </c>
      <c r="F433" s="635"/>
      <c r="G433" s="636"/>
      <c r="H433" s="634" t="str">
        <f ca="1">IFERROR(IF(AND('Overview - Section A'!AS$1="Grant Making",OR(B427&lt;&gt;"",G427&lt;&gt;"")),Setup!I15,IF(INDEX('Coverage Indicators - Section D'!K$1:K$124,MATCH($A426,'Coverage Indicators - Section D'!$A$1:$A$124,0))&lt;&gt;0,INDEX('Coverage Indicators - Section D'!K$1:K$124,MATCH($A426,'Coverage Indicators - Section D'!$A$1:$A$124,0)),"")),"")</f>
        <v>PR 2</v>
      </c>
      <c r="I433" s="635"/>
      <c r="J433" s="635"/>
      <c r="K433" s="636"/>
      <c r="L433" s="82"/>
    </row>
    <row r="434" spans="1:12" ht="18.75" customHeight="1">
      <c r="A434" s="641"/>
      <c r="B434" s="637"/>
      <c r="C434" s="638"/>
      <c r="D434" s="639"/>
      <c r="E434" s="637"/>
      <c r="F434" s="638"/>
      <c r="G434" s="639"/>
      <c r="H434" s="637"/>
      <c r="I434" s="638"/>
      <c r="J434" s="638"/>
      <c r="K434" s="639"/>
      <c r="L434" s="82"/>
    </row>
    <row r="435" spans="1:12" ht="18.75" customHeight="1">
      <c r="A435" s="641"/>
      <c r="B435" s="89"/>
      <c r="C435" s="89" t="s">
        <v>5052</v>
      </c>
      <c r="D435" s="625" t="s">
        <v>5053</v>
      </c>
      <c r="E435" s="626"/>
      <c r="F435" s="626"/>
      <c r="G435" s="626"/>
      <c r="H435" s="626"/>
      <c r="I435" s="626"/>
      <c r="J435" s="626"/>
      <c r="K435" s="630"/>
      <c r="L435" s="82"/>
    </row>
    <row r="436" spans="1:12" ht="18.75" customHeight="1">
      <c r="A436" s="641"/>
      <c r="B436" s="89" t="s">
        <v>2589</v>
      </c>
      <c r="C436" s="90" t="str">
        <f>IFERROR(IF(INDEX('Coverage Indicators - Section D'!G$1:G$124,MATCH($A426,'Coverage Indicators - Section D'!$A$1:$A$124,0))&lt;&gt;0,INDEX('Coverage Indicators - Section D'!G$1:G$124,MATCH($A426,'Coverage Indicators - Section D'!$A$1:$A$124,0)),""),"")</f>
        <v/>
      </c>
      <c r="D436"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436"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436"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436"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436"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436"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436"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436"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436" s="82"/>
    </row>
    <row r="437" spans="1:12" s="93" customFormat="1" ht="18.75" customHeight="1">
      <c r="A437" s="641"/>
      <c r="B437" s="89" t="s">
        <v>5054</v>
      </c>
      <c r="C437" s="91" t="str">
        <f>IFERROR(IF(INDEX('Coverage Indicators - Section D'!E$1:E$124,MATCH($A426,'Coverage Indicators - Section D'!$A$1:$A$124,0))&lt;&gt;"",INDEX('Coverage Indicators - Section D'!E$1:E$124,MATCH($A426,'Coverage Indicators - Section D'!$A$1:$A$124,0)),""),"")</f>
        <v/>
      </c>
      <c r="D437" s="91">
        <f ca="1">IFERROR(IF(INDEX('Coverage Indicators - Section D'!N$1:N$124,MATCH($A426,'Coverage Indicators - Section D'!$A$1:$A$124,0))&lt;&gt;"",INDEX('Coverage Indicators - Section D'!N$1:N$124,MATCH($A426,'Coverage Indicators - Section D'!$A$1:$A$124,0)),""),"")</f>
        <v>12600</v>
      </c>
      <c r="E437" s="91">
        <f ca="1">IFERROR(IF(INDEX('Coverage Indicators - Section D'!Q$1:Q$124,MATCH($A426,'Coverage Indicators - Section D'!$A$1:$A$124,0))&lt;&gt;"",INDEX('Coverage Indicators - Section D'!Q$1:Q$124,MATCH($A426,'Coverage Indicators - Section D'!$A$1:$A$124,0)),""),"")</f>
        <v>13118</v>
      </c>
      <c r="F437" s="91">
        <f ca="1">IFERROR(IF(INDEX('Coverage Indicators - Section D'!T$1:T$124,MATCH($A426,'Coverage Indicators - Section D'!$A$1:$A$124,0))&lt;&gt;"",INDEX('Coverage Indicators - Section D'!T$1:T$124,MATCH($A426,'Coverage Indicators - Section D'!$A$1:$A$124,0)),""),"")</f>
        <v>15546</v>
      </c>
      <c r="G437" s="91">
        <f ca="1">IFERROR(IF(INDEX('Coverage Indicators - Section D'!W$1:W$124,MATCH($A426,'Coverage Indicators - Section D'!$A$1:$A$124,0))&lt;&gt;"",INDEX('Coverage Indicators - Section D'!W$1:W$124,MATCH($A426,'Coverage Indicators - Section D'!$A$1:$A$124,0)),""),"")</f>
        <v>16324</v>
      </c>
      <c r="H437" s="91">
        <f ca="1">IFERROR(IF(INDEX('Coverage Indicators - Section D'!Z$1:Z$124,MATCH($A426,'Coverage Indicators - Section D'!$A$1:$A$124,0))&lt;&gt;"",INDEX('Coverage Indicators - Section D'!Z$1:Z$124,MATCH($A426,'Coverage Indicators - Section D'!$A$1:$A$124,0)),""),"")</f>
        <v>19513</v>
      </c>
      <c r="I437" s="91">
        <f ca="1">IFERROR(IF(INDEX('Coverage Indicators - Section D'!AC$1:AC$124,MATCH($A426,'Coverage Indicators - Section D'!$A$1:$A$124,0))&lt;&gt;"",INDEX('Coverage Indicators - Section D'!AC$1:AC$124,MATCH($A426,'Coverage Indicators - Section D'!$A$1:$A$124,0)),""),"")</f>
        <v>20915</v>
      </c>
      <c r="J437" s="91" t="str">
        <f ca="1">IFERROR(IF(INDEX('Coverage Indicators - Section D'!AF$1:AF$124,MATCH($A426,'Coverage Indicators - Section D'!$A$1:$A$124,0))&lt;&gt;"",INDEX('Coverage Indicators - Section D'!AF$1:AF$124,MATCH($A426,'Coverage Indicators - Section D'!$A$1:$A$124,0)),""),"")</f>
        <v/>
      </c>
      <c r="K437" s="91" t="str">
        <f ca="1">IFERROR(IF(INDEX('Coverage Indicators - Section D'!AI$1:AI$124,MATCH($A426,'Coverage Indicators - Section D'!$A$1:$A$124,0))&lt;&gt;"",INDEX('Coverage Indicators - Section D'!AI$1:AI$124,MATCH($A426,'Coverage Indicators - Section D'!$A$1:$A$124,0)),""),"")</f>
        <v/>
      </c>
      <c r="L437" s="92"/>
    </row>
    <row r="438" spans="1:12" s="96" customFormat="1" ht="18.75" customHeight="1">
      <c r="A438" s="641"/>
      <c r="B438" s="89" t="s">
        <v>5055</v>
      </c>
      <c r="C438" s="94" t="str">
        <f>IFERROR(IF(INDEX('Coverage Indicators - Section D'!E$1:E$124,MATCH($A426,'Coverage Indicators - Section D'!$A$1:$A$124,0)+1)&lt;&gt;"",INDEX('Coverage Indicators - Section D'!E$1:E$124,MATCH($A426,'Coverage Indicators - Section D'!$A$1:$A$124,0)+1),""),"")</f>
        <v/>
      </c>
      <c r="D438" s="94">
        <f ca="1">IFERROR(IF(INDEX('Coverage Indicators - Section D'!N$1:N$124,MATCH($A426,'Coverage Indicators - Section D'!$A$1:$A$124,0)+1)&lt;&gt;"",INDEX('Coverage Indicators - Section D'!N$1:N$124,MATCH($A426,'Coverage Indicators - Section D'!$A$1:$A$124,0)+1),""),"")</f>
        <v>17261</v>
      </c>
      <c r="E438" s="94">
        <f ca="1">IFERROR(IF(INDEX('Coverage Indicators - Section D'!Q$1:Q$124,MATCH($A426,'Coverage Indicators - Section D'!$A$1:$A$124,0)+1)&lt;&gt;"",INDEX('Coverage Indicators - Section D'!Q$1:Q$124,MATCH($A426,'Coverage Indicators - Section D'!$A$1:$A$124,0)+1),""),"")</f>
        <v>17261</v>
      </c>
      <c r="F438" s="94">
        <f ca="1">IFERROR(IF(INDEX('Coverage Indicators - Section D'!T$1:T$124,MATCH($A426,'Coverage Indicators - Section D'!$A$1:$A$124,0)+1)&lt;&gt;"",INDEX('Coverage Indicators - Section D'!T$1:T$124,MATCH($A426,'Coverage Indicators - Section D'!$A$1:$A$124,0)+1),""),"")</f>
        <v>19433</v>
      </c>
      <c r="G438" s="94">
        <f ca="1">IFERROR(IF(INDEX('Coverage Indicators - Section D'!W$1:W$124,MATCH($A426,'Coverage Indicators - Section D'!$A$1:$A$124,0)+1)&lt;&gt;"",INDEX('Coverage Indicators - Section D'!W$1:W$124,MATCH($A426,'Coverage Indicators - Section D'!$A$1:$A$124,0)+1),""),"")</f>
        <v>19433</v>
      </c>
      <c r="H438" s="94">
        <f ca="1">IFERROR(IF(INDEX('Coverage Indicators - Section D'!Z$1:Z$124,MATCH($A426,'Coverage Indicators - Section D'!$A$1:$A$124,0)+1)&lt;&gt;"",INDEX('Coverage Indicators - Section D'!Z$1:Z$124,MATCH($A426,'Coverage Indicators - Section D'!$A$1:$A$124,0)+1),""),"")</f>
        <v>21562</v>
      </c>
      <c r="I438" s="94">
        <f ca="1">IFERROR(IF(INDEX('Coverage Indicators - Section D'!AC$1:AC$124,MATCH($A426,'Coverage Indicators - Section D'!$A$1:$A$124,0)+1)&lt;&gt;"",INDEX('Coverage Indicators - Section D'!AC$1:AC$124,MATCH($A426,'Coverage Indicators - Section D'!$A$1:$A$124,0)+1),""),"")</f>
        <v>21562</v>
      </c>
      <c r="J438" s="94" t="str">
        <f ca="1">IFERROR(IF(INDEX('Coverage Indicators - Section D'!AF$1:AF$124,MATCH($A426,'Coverage Indicators - Section D'!$A$1:$A$124,0)+1)&lt;&gt;"",INDEX('Coverage Indicators - Section D'!AF$1:AF$124,MATCH($A426,'Coverage Indicators - Section D'!$A$1:$A$124,0)+1),""),"")</f>
        <v/>
      </c>
      <c r="K438" s="94" t="str">
        <f ca="1">IFERROR(IF(INDEX('Coverage Indicators - Section D'!AI$1:AI$124,MATCH($A426,'Coverage Indicators - Section D'!$A$1:$A$124,0)+1)&lt;&gt;"",INDEX('Coverage Indicators - Section D'!AI$1:AI$124,MATCH($A426,'Coverage Indicators - Section D'!$A$1:$A$124,0)+1),""),"")</f>
        <v/>
      </c>
      <c r="L438" s="95"/>
    </row>
    <row r="439" spans="1:12" ht="18.75" customHeight="1">
      <c r="A439" s="641"/>
      <c r="B439" s="89" t="s">
        <v>5056</v>
      </c>
      <c r="C439" s="90" t="str">
        <f ca="1">IFERROR(IF(INDEX('Coverage Indicators - Section D'!F$1:F$124,MATCH($A426,'Coverage Indicators - Section D'!$A$1:$A$124,0))&lt;&gt;"",FIXED(INDEX('Coverage Indicators - Section D'!F$1:F$124,MATCH($A426,'Coverage Indicators - Section D'!$A$1:$A$124,0))*100,2)&amp;"%",""),"")</f>
        <v/>
      </c>
      <c r="D439" s="90" t="str">
        <f>IFERROR(IF(INDEX('Coverage Indicators - Section D'!O$1:O$124,MATCH($A426,'Coverage Indicators - Section D'!$A$1:$A$124,0))&lt;&gt;"",FIXED(INDEX('Coverage Indicators - Section D'!O$1:O$124,MATCH($A426,'Coverage Indicators - Section D'!$A$1:$A$124,0))*100,2)&amp;"%",""),"")&amp;CHAR(10)&amp;IFERROR(IF(INDEX('Coverage Indicators - Section D'!P$1:P$124,MATCH($A426,'Coverage Indicators - Section D'!$A$1:$A$124,0))&lt;&gt;"",INDEX('Coverage Indicators - Section D'!P$1:P$124,MATCH($A426,'Coverage Indicators - Section D'!$A$1:$A$124,0)),""),"")</f>
        <v xml:space="preserve">73.00%
</v>
      </c>
      <c r="E439" s="90" t="str">
        <f>IFERROR(IF(INDEX('Coverage Indicators - Section D'!R$1:R$124,MATCH($A426,'Coverage Indicators - Section D'!$A$1:$A$124,0))&lt;&gt;"",FIXED(INDEX('Coverage Indicators - Section D'!R$1:R$124,MATCH($A426,'Coverage Indicators - Section D'!$A$1:$A$124,0))*100,2)&amp;"%",""),"")&amp;CHAR(10)&amp;IFERROR(IF(INDEX('Coverage Indicators - Section D'!S$1:S$124,MATCH($A426,'Coverage Indicators - Section D'!$A$1:$A$124,0))&lt;&gt;"",INDEX('Coverage Indicators - Section D'!S$1:S$124,MATCH($A426,'Coverage Indicators - Section D'!$A$1:$A$124,0)),""),"")</f>
        <v xml:space="preserve">76.00%
</v>
      </c>
      <c r="F439" s="90" t="str">
        <f>IFERROR(IF(INDEX('Coverage Indicators - Section D'!U$1:U$124,MATCH($A426,'Coverage Indicators - Section D'!$A$1:$A$124,0))&lt;&gt;"",FIXED(INDEX('Coverage Indicators - Section D'!U$1:U$124,MATCH($A426,'Coverage Indicators - Section D'!$A$1:$A$124,0))*100,2)&amp;"%",""),"")&amp;CHAR(10)&amp;IFERROR(IF(INDEX('Coverage Indicators - Section D'!V$1:V$124,MATCH($A426,'Coverage Indicators - Section D'!$A$1:$A$124,0))&lt;&gt;"",INDEX('Coverage Indicators - Section D'!V$1:V$124,MATCH($A426,'Coverage Indicators - Section D'!$A$1:$A$124,0)),""),"")</f>
        <v xml:space="preserve">80.00%
</v>
      </c>
      <c r="G439" s="90" t="str">
        <f>IFERROR(IF(INDEX('Coverage Indicators - Section D'!X$1:X$124,MATCH($A426,'Coverage Indicators - Section D'!$A$1:$A$124,0))&lt;&gt;"",FIXED(INDEX('Coverage Indicators - Section D'!X$1:X$124,MATCH($A426,'Coverage Indicators - Section D'!$A$1:$A$124,0))*100,2)&amp;"%",""),"")&amp;CHAR(10)&amp;IFERROR(IF(INDEX('Coverage Indicators - Section D'!Y$1:Y$124,MATCH($A426,'Coverage Indicators - Section D'!$A$1:$A$124,0))&lt;&gt;"",INDEX('Coverage Indicators - Section D'!Y$1:Y$124,MATCH($A426,'Coverage Indicators - Section D'!$A$1:$A$124,0)),""),"")</f>
        <v xml:space="preserve">84.00%
</v>
      </c>
      <c r="H439" s="90" t="str">
        <f>IFERROR(IF(INDEX('Coverage Indicators - Section D'!AA$1:AA$124,MATCH(A426,'Coverage Indicators - Section D'!$A$1:$A$124,0))&lt;&gt;"",FIXED(INDEX('Coverage Indicators - Section D'!AA$1:AA$124,MATCH($A426,'Coverage Indicators - Section D'!$A$1:$A$124,0))*100,2)&amp;"%",""),"")&amp;CHAR(10)&amp;IFERROR(IF(INDEX('Coverage Indicators - Section D'!AB$1:AB$124,MATCH($A426,'Coverage Indicators - Section D'!$A$1:$A$124,0))&lt;&gt;"",INDEX('Coverage Indicators - Section D'!AB$1:AB$124,MATCH($A426,'Coverage Indicators - Section D'!$A$1:$A$124,0)),""),"")</f>
        <v xml:space="preserve">90.50%
</v>
      </c>
      <c r="I439" s="90" t="str">
        <f>IFERROR(IF(INDEX('Coverage Indicators - Section D'!AD$1:AD$124,MATCH($A426,'Coverage Indicators - Section D'!$A$1:$A$124,0))&lt;&gt;"",FIXED(INDEX('Coverage Indicators - Section D'!AD$1:AD$124,MATCH($A426,'Coverage Indicators - Section D'!$A$1:$A$124,0))*100,2)&amp;"%",""),"")&amp;CHAR(10)&amp;IFERROR(IF(INDEX('Coverage Indicators - Section D'!AE$1:AE$124,MATCH($A426,'Coverage Indicators - Section D'!$A$1:$A$124,0))&lt;&gt;"",INDEX('Coverage Indicators - Section D'!AE$1:AE$124,MATCH($A426,'Coverage Indicators - Section D'!$A$1:$A$124,0)),""),"")</f>
        <v xml:space="preserve">97.00%
</v>
      </c>
      <c r="J439" s="90" t="str">
        <f>IFERROR(IF(INDEX('Coverage Indicators - Section D'!AG$1:AG$124,MATCH($A426,'Coverage Indicators - Section D'!$A$1:$A$124,0))&lt;&gt;"",FIXED(INDEX('Coverage Indicators - Section D'!AG$1:AG$124,MATCH($A426,'Coverage Indicators - Section D'!$A$1:$A$124,0))*100,2)&amp;"%",""),"")&amp;CHAR(10)&amp;IFERROR(IF(INDEX('Coverage Indicators - Section D'!AH$1:AH$124,MATCH($A426,'Coverage Indicators - Section D'!$A$1:$A$124,0))&lt;&gt;"",INDEX('Coverage Indicators - Section D'!AH$1:AH$124,MATCH($A426,'Coverage Indicators - Section D'!$A$1:$A$124,0)),""),"")</f>
        <v xml:space="preserve">
</v>
      </c>
      <c r="K439" s="90" t="str">
        <f>IFERROR(IF(INDEX('Coverage Indicators - Section D'!AJ$1:AJ$124,MATCH($A426,'Coverage Indicators - Section D'!$A$1:$A$124,0))&lt;&gt;"",FIXED(INDEX('Coverage Indicators - Section D'!AJ$1:AJ$124,MATCH($A426,'Coverage Indicators - Section D'!$A$1:$A$124,0))*100,2)&amp;"%",""),"")&amp;CHAR(10)&amp;IFERROR(IF(INDEX('Coverage Indicators - Section D'!AK$1:AK$124,MATCH($A426,'Coverage Indicators - Section D'!$A$1:$A$124,0))&lt;&gt;"",INDEX('Coverage Indicators - Section D'!AK$1:AK$124,MATCH($A426,'Coverage Indicators - Section D'!$A$1:$A$124,0)),""),"")</f>
        <v xml:space="preserve">
</v>
      </c>
      <c r="L439" s="82"/>
    </row>
    <row r="440" spans="1:12" ht="18.75" customHeight="1">
      <c r="A440" s="641"/>
      <c r="B440" s="625" t="s">
        <v>176</v>
      </c>
      <c r="C440" s="626"/>
      <c r="D440" s="626"/>
      <c r="E440" s="626"/>
      <c r="F440" s="626"/>
      <c r="G440" s="626"/>
      <c r="H440" s="626"/>
      <c r="I440" s="626"/>
      <c r="J440" s="626"/>
      <c r="K440" s="630"/>
      <c r="L440" s="82"/>
    </row>
    <row r="441" spans="1:12" ht="18.75" customHeight="1">
      <c r="A441" s="641"/>
      <c r="B441" s="634" t="str">
        <f>IFERROR(IF(INDEX('Coverage Indicators - Section D'!AL$1:AL$134,MATCH($A426,'Coverage Indicators - Section D'!$A$1:$A$134,0))&lt;&gt;0,INDEX('Coverage Indicators - Section D'!AL$1:AL$134,MATCH($A426,'Coverage Indicators - Section D'!$A$1:$A$134,0)),""),"")</f>
        <v>N: Number of TS who received at least one PrEP product during the reporting period
D: Number of STs eligible for PrEP during the reporting period
The GF contribution is 6,904 in 2024; 8,356 in 2025 and 9,918 in 2026.
The pilot project conducted by PEPFAR (FHI 360) in 2022 covered a target of 4,460.</v>
      </c>
      <c r="C441" s="635"/>
      <c r="D441" s="635"/>
      <c r="E441" s="635"/>
      <c r="F441" s="635"/>
      <c r="G441" s="635"/>
      <c r="H441" s="635"/>
      <c r="I441" s="635"/>
      <c r="J441" s="635"/>
      <c r="K441" s="636"/>
      <c r="L441" s="82"/>
    </row>
    <row r="442" spans="1:12" ht="18.75" customHeight="1">
      <c r="A442" s="641"/>
      <c r="B442" s="643"/>
      <c r="C442" s="644"/>
      <c r="D442" s="644"/>
      <c r="E442" s="644"/>
      <c r="F442" s="644"/>
      <c r="G442" s="644"/>
      <c r="H442" s="644"/>
      <c r="I442" s="644"/>
      <c r="J442" s="644"/>
      <c r="K442" s="645"/>
      <c r="L442" s="82"/>
    </row>
    <row r="443" spans="1:12" ht="18.75" customHeight="1">
      <c r="A443" s="641"/>
      <c r="B443" s="643"/>
      <c r="C443" s="644"/>
      <c r="D443" s="644"/>
      <c r="E443" s="644"/>
      <c r="F443" s="644"/>
      <c r="G443" s="644"/>
      <c r="H443" s="644"/>
      <c r="I443" s="644"/>
      <c r="J443" s="644"/>
      <c r="K443" s="645"/>
      <c r="L443" s="82"/>
    </row>
    <row r="444" spans="1:12" ht="18.75" customHeight="1">
      <c r="A444" s="641"/>
      <c r="B444" s="643"/>
      <c r="C444" s="644"/>
      <c r="D444" s="644"/>
      <c r="E444" s="644"/>
      <c r="F444" s="644"/>
      <c r="G444" s="644"/>
      <c r="H444" s="644"/>
      <c r="I444" s="644"/>
      <c r="J444" s="644"/>
      <c r="K444" s="645"/>
      <c r="L444" s="82"/>
    </row>
    <row r="445" spans="1:12" ht="18.75" customHeight="1">
      <c r="A445" s="641"/>
      <c r="B445" s="643"/>
      <c r="C445" s="644"/>
      <c r="D445" s="644"/>
      <c r="E445" s="644"/>
      <c r="F445" s="644"/>
      <c r="G445" s="644"/>
      <c r="H445" s="644"/>
      <c r="I445" s="644"/>
      <c r="J445" s="644"/>
      <c r="K445" s="645"/>
      <c r="L445" s="82"/>
    </row>
    <row r="446" spans="1:12" ht="18.75" customHeight="1">
      <c r="A446" s="641"/>
      <c r="B446" s="643"/>
      <c r="C446" s="644"/>
      <c r="D446" s="644"/>
      <c r="E446" s="644"/>
      <c r="F446" s="644"/>
      <c r="G446" s="644"/>
      <c r="H446" s="644"/>
      <c r="I446" s="644"/>
      <c r="J446" s="644"/>
      <c r="K446" s="645"/>
      <c r="L446" s="82"/>
    </row>
    <row r="447" spans="1:12" ht="18.75" customHeight="1">
      <c r="A447" s="641"/>
      <c r="B447" s="643"/>
      <c r="C447" s="644"/>
      <c r="D447" s="644"/>
      <c r="E447" s="644"/>
      <c r="F447" s="644"/>
      <c r="G447" s="644"/>
      <c r="H447" s="644"/>
      <c r="I447" s="644"/>
      <c r="J447" s="644"/>
      <c r="K447" s="645"/>
      <c r="L447" s="82"/>
    </row>
    <row r="448" spans="1:12" ht="18.75" customHeight="1">
      <c r="A448" s="641"/>
      <c r="B448" s="643"/>
      <c r="C448" s="644"/>
      <c r="D448" s="644"/>
      <c r="E448" s="644"/>
      <c r="F448" s="644"/>
      <c r="G448" s="644"/>
      <c r="H448" s="644"/>
      <c r="I448" s="644"/>
      <c r="J448" s="644"/>
      <c r="K448" s="645"/>
      <c r="L448" s="82"/>
    </row>
    <row r="449" spans="1:12" ht="18.75" customHeight="1">
      <c r="A449" s="641"/>
      <c r="B449" s="643"/>
      <c r="C449" s="644"/>
      <c r="D449" s="644"/>
      <c r="E449" s="644"/>
      <c r="F449" s="644"/>
      <c r="G449" s="644"/>
      <c r="H449" s="644"/>
      <c r="I449" s="644"/>
      <c r="J449" s="644"/>
      <c r="K449" s="645"/>
      <c r="L449" s="82"/>
    </row>
    <row r="450" spans="1:12" ht="18.75" customHeight="1">
      <c r="A450" s="642"/>
      <c r="B450" s="637"/>
      <c r="C450" s="638"/>
      <c r="D450" s="638"/>
      <c r="E450" s="638"/>
      <c r="F450" s="638"/>
      <c r="G450" s="638"/>
      <c r="H450" s="638"/>
      <c r="I450" s="638"/>
      <c r="J450" s="638"/>
      <c r="K450" s="639"/>
      <c r="L450" s="82"/>
    </row>
    <row r="451" spans="1:12" ht="18.75" customHeight="1">
      <c r="A451" s="625"/>
      <c r="B451" s="626"/>
      <c r="C451" s="626"/>
      <c r="D451" s="626"/>
      <c r="E451" s="626"/>
      <c r="F451" s="626"/>
      <c r="G451" s="626"/>
      <c r="H451" s="626"/>
      <c r="I451" s="626"/>
      <c r="J451" s="626"/>
      <c r="K451" s="630"/>
      <c r="L451" s="82"/>
    </row>
    <row r="453" spans="1:12" ht="18.75" customHeight="1">
      <c r="A453" s="89" t="s">
        <v>5051</v>
      </c>
      <c r="B453" s="625" t="s">
        <v>1077</v>
      </c>
      <c r="C453" s="630"/>
      <c r="D453" s="631" t="str">
        <f ca="1">IFERROR(IF(INDEX('Coverage Indicators - Section D'!B$1:B$124,MATCH($A454,'Coverage Indicators - Section D'!$A$1:$A$124,0))&lt;&gt;0,INDEX('Coverage Indicators - Section D'!B$1:B$124,MATCH($A454,'Coverage Indicators - Section D'!$A$1:$A$124,0)),""),"")</f>
        <v>Prevention package for transgender people and their sexual partners</v>
      </c>
      <c r="E453" s="632"/>
      <c r="F453" s="632"/>
      <c r="G453" s="632"/>
      <c r="H453" s="632"/>
      <c r="I453" s="632"/>
      <c r="J453" s="632"/>
      <c r="K453" s="633"/>
      <c r="L453" s="82"/>
    </row>
    <row r="454" spans="1:12" ht="18.75" customHeight="1">
      <c r="A454" s="640">
        <v>17</v>
      </c>
      <c r="B454" s="625" t="s">
        <v>765</v>
      </c>
      <c r="C454" s="626"/>
      <c r="D454" s="626"/>
      <c r="E454" s="626"/>
      <c r="F454" s="630"/>
      <c r="G454" s="625" t="s">
        <v>766</v>
      </c>
      <c r="H454" s="626"/>
      <c r="I454" s="626"/>
      <c r="J454" s="626"/>
      <c r="K454" s="630"/>
      <c r="L454" s="82"/>
    </row>
    <row r="455" spans="1:12" ht="18.75" customHeight="1">
      <c r="A455" s="641"/>
      <c r="B455" s="634" t="str">
        <f>IFERROR(IF(INDEX('Coverage Indicators - Section D'!C$1:C$124,MATCH($A454,'Coverage Indicators - Section D'!$A$1:$A$124,0))&lt;&gt;0,INDEX('Coverage Indicators - Section D'!C$1:C$124,MATCH($A454,'Coverage Indicators - Section D'!$A$1:$A$124,0)),""),"")</f>
        <v>KP-1b Percentage of transgender people reached with HIV prevention programs - defined package of services</v>
      </c>
      <c r="C455" s="635"/>
      <c r="D455" s="635"/>
      <c r="E455" s="635"/>
      <c r="F455" s="636"/>
      <c r="G455" s="634" t="str">
        <f>IFERROR(IF(INDEX('Coverage Indicators - Section D'!D$1:D$124,MATCH($A454,'Coverage Indicators - Section D'!$A$1:$A$124,0))&lt;&gt;0,INDEX('Coverage Indicators - Section D'!D$1:D$124,MATCH($A454,'Coverage Indicators - Section D'!$A$1:$A$124,0)),""),"")</f>
        <v/>
      </c>
      <c r="H455" s="635"/>
      <c r="I455" s="635"/>
      <c r="J455" s="635"/>
      <c r="K455" s="636"/>
      <c r="L455" s="82"/>
    </row>
    <row r="456" spans="1:12" ht="18.75" customHeight="1">
      <c r="A456" s="641"/>
      <c r="B456" s="643"/>
      <c r="C456" s="644"/>
      <c r="D456" s="644"/>
      <c r="E456" s="644"/>
      <c r="F456" s="645"/>
      <c r="G456" s="643"/>
      <c r="H456" s="644"/>
      <c r="I456" s="644"/>
      <c r="J456" s="644"/>
      <c r="K456" s="645"/>
      <c r="L456" s="82"/>
    </row>
    <row r="457" spans="1:12" ht="18.75" customHeight="1">
      <c r="A457" s="641"/>
      <c r="B457" s="637"/>
      <c r="C457" s="638"/>
      <c r="D457" s="638"/>
      <c r="E457" s="638"/>
      <c r="F457" s="639"/>
      <c r="G457" s="637"/>
      <c r="H457" s="638"/>
      <c r="I457" s="638"/>
      <c r="J457" s="638"/>
      <c r="K457" s="639"/>
      <c r="L457" s="82"/>
    </row>
    <row r="458" spans="1:12" ht="18.75" customHeight="1">
      <c r="A458" s="641"/>
      <c r="B458" s="625" t="s">
        <v>769</v>
      </c>
      <c r="C458" s="626"/>
      <c r="D458" s="630"/>
      <c r="E458" s="625" t="s">
        <v>216</v>
      </c>
      <c r="F458" s="626"/>
      <c r="G458" s="630"/>
      <c r="H458" s="625" t="s">
        <v>127</v>
      </c>
      <c r="I458" s="626"/>
      <c r="J458" s="630"/>
      <c r="K458" s="89" t="s">
        <v>2204</v>
      </c>
      <c r="L458" s="82"/>
    </row>
    <row r="459" spans="1:12" ht="18.75" customHeight="1">
      <c r="A459" s="641"/>
      <c r="B459" s="631" t="str">
        <f>IFERROR(IF(INDEX('Coverage Indicators - Section D'!I$9:I$92,MATCH($A454,'Coverage Indicators - Section D'!$A$9:$A$92,0))&lt;&gt;0,INDEX('Coverage Indicators - Section D'!I$9:I$92,MATCH($A454,'Coverage Indicators - Section D'!$A$9:$A$92,0)),""),"")</f>
        <v>Age,Gender</v>
      </c>
      <c r="C459" s="632"/>
      <c r="D459" s="633"/>
      <c r="E459" s="631" t="str">
        <f>IFERROR(IF(INDEX('Coverage Indicators - Section D'!M$1:M$124,MATCH($A454,'Coverage Indicators - Section D'!$A$1:$A$124,0))&lt;&gt;0,INDEX('Coverage Indicators - Section D'!M$1:M$124,MATCH($A454,'Coverage Indicators - Section D'!$A$1:$A$124,0)),""),"")</f>
        <v>Non cumulative</v>
      </c>
      <c r="F459" s="632"/>
      <c r="G459" s="633"/>
      <c r="H459" s="631" t="str">
        <f>IFERROR(IF(INDEX('Coverage Indicators - Section D'!L$1:L$124,MATCH($A454,'Coverage Indicators - Section D'!$A$1:$A$124,0))&lt;&gt;0,INDEX('Coverage Indicators - Section D'!L$1:L$124,MATCH($A454,'Coverage Indicators - Section D'!$A$1:$A$124,0)),""),"")</f>
        <v>Congo (Democratic Republic)</v>
      </c>
      <c r="I459" s="632"/>
      <c r="J459" s="633"/>
      <c r="K459" s="90" t="str">
        <f>IFERROR(IF(INDEX('Coverage Indicators - Section D'!J$1:J$124,MATCH($A454,'Coverage Indicators - Section D'!$A$1:$A$124,0))&lt;&gt;0,INDEX('Coverage Indicators - Section D'!J$1:J$124,MATCH($A454,'Coverage Indicators - Section D'!$A$1:$A$124,0)),""),"")</f>
        <v>Yes</v>
      </c>
      <c r="L459" s="82"/>
    </row>
    <row r="460" spans="1:12" ht="18.75" customHeight="1">
      <c r="A460" s="641"/>
      <c r="B460" s="625" t="s">
        <v>199</v>
      </c>
      <c r="C460" s="626"/>
      <c r="D460" s="630"/>
      <c r="E460" s="625" t="s">
        <v>5060</v>
      </c>
      <c r="F460" s="626"/>
      <c r="G460" s="630"/>
      <c r="H460" s="625" t="s">
        <v>120</v>
      </c>
      <c r="I460" s="626"/>
      <c r="J460" s="626"/>
      <c r="K460" s="630"/>
      <c r="L460" s="82"/>
    </row>
    <row r="461" spans="1:12" ht="18.75" customHeight="1">
      <c r="A461" s="641"/>
      <c r="B461" s="634" t="str">
        <f>IFERROR(IF(INDEX('Coverage Indicators - Section D'!H$1:H$124,MATCH($A454,'Coverage Indicators - Section D'!$A$1:$A$124,0))&lt;&gt;0,INDEX('Coverage Indicators - Section D'!H$1:H$124,MATCH($A454,'Coverage Indicators - Section D'!$A$1:$A$124,0)),""),"")</f>
        <v>HIV program annual report</v>
      </c>
      <c r="C461" s="635"/>
      <c r="D461" s="636"/>
      <c r="E461" s="634" t="str">
        <f>IFERROR(IF(INDEX('Coverage Indicators - Section D'!L$1:L$124,MATCH($A454,'Coverage Indicators - Section D'!$A$1:$A$124,0)+1)&lt;&gt;0,INDEX('Coverage Indicators - Section D'!L$1:L$124,MATCH($A454,'Coverage Indicators - Section D'!$A$1:$A$124,0)+1),""),"")</f>
        <v>Geographic National, 100% of national program target</v>
      </c>
      <c r="F461" s="635"/>
      <c r="G461" s="636"/>
      <c r="H461" s="634" t="str">
        <f ca="1">IFERROR(IF(AND('Overview - Section A'!AS$1="Grant Making",OR(B455&lt;&gt;"",G455&lt;&gt;"")),Setup!I15,IF(INDEX('Coverage Indicators - Section D'!K$1:K$124,MATCH($A454,'Coverage Indicators - Section D'!$A$1:$A$124,0))&lt;&gt;0,INDEX('Coverage Indicators - Section D'!K$1:K$124,MATCH($A454,'Coverage Indicators - Section D'!$A$1:$A$124,0)),"")),"")</f>
        <v>PR 2</v>
      </c>
      <c r="I461" s="635"/>
      <c r="J461" s="635"/>
      <c r="K461" s="636"/>
      <c r="L461" s="82"/>
    </row>
    <row r="462" spans="1:12" ht="18.75" customHeight="1">
      <c r="A462" s="641"/>
      <c r="B462" s="637"/>
      <c r="C462" s="638"/>
      <c r="D462" s="639"/>
      <c r="E462" s="637"/>
      <c r="F462" s="638"/>
      <c r="G462" s="639"/>
      <c r="H462" s="637"/>
      <c r="I462" s="638"/>
      <c r="J462" s="638"/>
      <c r="K462" s="639"/>
      <c r="L462" s="82"/>
    </row>
    <row r="463" spans="1:12" ht="18.75" customHeight="1">
      <c r="A463" s="641"/>
      <c r="B463" s="89"/>
      <c r="C463" s="89" t="s">
        <v>5052</v>
      </c>
      <c r="D463" s="625" t="s">
        <v>5053</v>
      </c>
      <c r="E463" s="626"/>
      <c r="F463" s="626"/>
      <c r="G463" s="626"/>
      <c r="H463" s="626"/>
      <c r="I463" s="626"/>
      <c r="J463" s="626"/>
      <c r="K463" s="630"/>
      <c r="L463" s="82"/>
    </row>
    <row r="464" spans="1:12" ht="18.75" customHeight="1">
      <c r="A464" s="641"/>
      <c r="B464" s="89" t="s">
        <v>2589</v>
      </c>
      <c r="C464" s="90">
        <f>IFERROR(IF(INDEX('Coverage Indicators - Section D'!G$1:G$124,MATCH($A454,'Coverage Indicators - Section D'!$A$1:$A$124,0))&lt;&gt;0,INDEX('Coverage Indicators - Section D'!G$1:G$124,MATCH($A454,'Coverage Indicators - Section D'!$A$1:$A$124,0)),""),"")</f>
        <v>2021</v>
      </c>
      <c r="D464"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464"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464"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464"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464"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464"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464"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464"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464" s="82"/>
    </row>
    <row r="465" spans="1:12" s="93" customFormat="1" ht="18.75" customHeight="1">
      <c r="A465" s="641"/>
      <c r="B465" s="89" t="s">
        <v>5054</v>
      </c>
      <c r="C465" s="91">
        <f>IFERROR(IF(INDEX('Coverage Indicators - Section D'!E$1:E$124,MATCH($A454,'Coverage Indicators - Section D'!$A$1:$A$124,0))&lt;&gt;"",INDEX('Coverage Indicators - Section D'!E$1:E$124,MATCH($A454,'Coverage Indicators - Section D'!$A$1:$A$124,0)),""),"")</f>
        <v>23226</v>
      </c>
      <c r="D465" s="91">
        <f ca="1">IFERROR(IF(INDEX('Coverage Indicators - Section D'!N$1:N$124,MATCH($A454,'Coverage Indicators - Section D'!$A$1:$A$124,0))&lt;&gt;"",INDEX('Coverage Indicators - Section D'!N$1:N$124,MATCH($A454,'Coverage Indicators - Section D'!$A$1:$A$124,0)),""),"")</f>
        <v>8080.5980335499999</v>
      </c>
      <c r="E465" s="91">
        <f ca="1">IFERROR(IF(INDEX('Coverage Indicators - Section D'!Q$1:Q$124,MATCH($A454,'Coverage Indicators - Section D'!$A$1:$A$124,0))&lt;&gt;"",INDEX('Coverage Indicators - Section D'!Q$1:Q$124,MATCH($A454,'Coverage Indicators - Section D'!$A$1:$A$124,0)),""),"")</f>
        <v>8080.5980335499999</v>
      </c>
      <c r="F465" s="91">
        <f ca="1">IFERROR(IF(INDEX('Coverage Indicators - Section D'!T$1:T$124,MATCH($A454,'Coverage Indicators - Section D'!$A$1:$A$124,0))&lt;&gt;"",INDEX('Coverage Indicators - Section D'!T$1:T$124,MATCH($A454,'Coverage Indicators - Section D'!$A$1:$A$124,0)),""),"")</f>
        <v>11456.133185431599</v>
      </c>
      <c r="G465" s="91">
        <f ca="1">IFERROR(IF(INDEX('Coverage Indicators - Section D'!W$1:W$124,MATCH($A454,'Coverage Indicators - Section D'!$A$1:$A$124,0))&lt;&gt;"",INDEX('Coverage Indicators - Section D'!W$1:W$124,MATCH($A454,'Coverage Indicators - Section D'!$A$1:$A$124,0)),""),"")</f>
        <v>11456.133185431599</v>
      </c>
      <c r="H465" s="91">
        <f ca="1">IFERROR(IF(INDEX('Coverage Indicators - Section D'!Z$1:Z$124,MATCH($A454,'Coverage Indicators - Section D'!$A$1:$A$124,0))&lt;&gt;"",INDEX('Coverage Indicators - Section D'!Z$1:Z$124,MATCH($A454,'Coverage Indicators - Section D'!$A$1:$A$124,0)),""),"")</f>
        <v>15052.3427357778</v>
      </c>
      <c r="I465" s="91">
        <f ca="1">IFERROR(IF(INDEX('Coverage Indicators - Section D'!AC$1:AC$124,MATCH($A454,'Coverage Indicators - Section D'!$A$1:$A$124,0))&lt;&gt;"",INDEX('Coverage Indicators - Section D'!AC$1:AC$124,MATCH($A454,'Coverage Indicators - Section D'!$A$1:$A$124,0)),""),"")</f>
        <v>15052.3427357778</v>
      </c>
      <c r="J465" s="91" t="str">
        <f ca="1">IFERROR(IF(INDEX('Coverage Indicators - Section D'!AF$1:AF$124,MATCH($A454,'Coverage Indicators - Section D'!$A$1:$A$124,0))&lt;&gt;"",INDEX('Coverage Indicators - Section D'!AF$1:AF$124,MATCH($A454,'Coverage Indicators - Section D'!$A$1:$A$124,0)),""),"")</f>
        <v/>
      </c>
      <c r="K465" s="91" t="str">
        <f ca="1">IFERROR(IF(INDEX('Coverage Indicators - Section D'!AI$1:AI$124,MATCH($A454,'Coverage Indicators - Section D'!$A$1:$A$124,0))&lt;&gt;"",INDEX('Coverage Indicators - Section D'!AI$1:AI$124,MATCH($A454,'Coverage Indicators - Section D'!$A$1:$A$124,0)),""),"")</f>
        <v/>
      </c>
      <c r="L465" s="92"/>
    </row>
    <row r="466" spans="1:12" s="96" customFormat="1" ht="18.75" customHeight="1">
      <c r="A466" s="641"/>
      <c r="B466" s="89" t="s">
        <v>5055</v>
      </c>
      <c r="C466" s="94">
        <f>IFERROR(IF(INDEX('Coverage Indicators - Section D'!E$1:E$124,MATCH($A454,'Coverage Indicators - Section D'!$A$1:$A$124,0)+1)&lt;&gt;"",INDEX('Coverage Indicators - Section D'!E$1:E$124,MATCH($A454,'Coverage Indicators - Section D'!$A$1:$A$124,0)+1),""),"")</f>
        <v>54936.8318756074</v>
      </c>
      <c r="D466" s="94">
        <f ca="1">IFERROR(IF(INDEX('Coverage Indicators - Section D'!N$1:N$124,MATCH($A454,'Coverage Indicators - Section D'!$A$1:$A$124,0)+1)&lt;&gt;"",INDEX('Coverage Indicators - Section D'!N$1:N$124,MATCH($A454,'Coverage Indicators - Section D'!$A$1:$A$124,0)+1),""),"")</f>
        <v>56863.199999999997</v>
      </c>
      <c r="E466" s="94">
        <f ca="1">IFERROR(IF(INDEX('Coverage Indicators - Section D'!Q$1:Q$124,MATCH($A454,'Coverage Indicators - Section D'!$A$1:$A$124,0)+1)&lt;&gt;"",INDEX('Coverage Indicators - Section D'!Q$1:Q$124,MATCH($A454,'Coverage Indicators - Section D'!$A$1:$A$124,0)+1),""),"")</f>
        <v>56863.199999999997</v>
      </c>
      <c r="F466" s="94">
        <f ca="1">IFERROR(IF(INDEX('Coverage Indicators - Section D'!T$1:T$124,MATCH($A454,'Coverage Indicators - Section D'!$A$1:$A$124,0)+1)&lt;&gt;"",INDEX('Coverage Indicators - Section D'!T$1:T$124,MATCH($A454,'Coverage Indicators - Section D'!$A$1:$A$124,0)+1),""),"")</f>
        <v>58512.399999999994</v>
      </c>
      <c r="G466" s="94">
        <f ca="1">IFERROR(IF(INDEX('Coverage Indicators - Section D'!W$1:W$124,MATCH($A454,'Coverage Indicators - Section D'!$A$1:$A$124,0)+1)&lt;&gt;"",INDEX('Coverage Indicators - Section D'!W$1:W$124,MATCH($A454,'Coverage Indicators - Section D'!$A$1:$A$124,0)+1),""),"")</f>
        <v>58512.399999999994</v>
      </c>
      <c r="H466" s="94">
        <f ca="1">IFERROR(IF(INDEX('Coverage Indicators - Section D'!Z$1:Z$124,MATCH($A454,'Coverage Indicators - Section D'!$A$1:$A$124,0)+1)&lt;&gt;"",INDEX('Coverage Indicators - Section D'!Z$1:Z$124,MATCH($A454,'Coverage Indicators - Section D'!$A$1:$A$124,0)+1),""),"")</f>
        <v>60209.1</v>
      </c>
      <c r="I466" s="94">
        <f ca="1">IFERROR(IF(INDEX('Coverage Indicators - Section D'!AC$1:AC$124,MATCH($A454,'Coverage Indicators - Section D'!$A$1:$A$124,0)+1)&lt;&gt;"",INDEX('Coverage Indicators - Section D'!AC$1:AC$124,MATCH($A454,'Coverage Indicators - Section D'!$A$1:$A$124,0)+1),""),"")</f>
        <v>60209.1</v>
      </c>
      <c r="J466" s="94" t="str">
        <f ca="1">IFERROR(IF(INDEX('Coverage Indicators - Section D'!AF$1:AF$124,MATCH($A454,'Coverage Indicators - Section D'!$A$1:$A$124,0)+1)&lt;&gt;"",INDEX('Coverage Indicators - Section D'!AF$1:AF$124,MATCH($A454,'Coverage Indicators - Section D'!$A$1:$A$124,0)+1),""),"")</f>
        <v/>
      </c>
      <c r="K466" s="94" t="str">
        <f ca="1">IFERROR(IF(INDEX('Coverage Indicators - Section D'!AI$1:AI$124,MATCH($A454,'Coverage Indicators - Section D'!$A$1:$A$124,0)+1)&lt;&gt;"",INDEX('Coverage Indicators - Section D'!AI$1:AI$124,MATCH($A454,'Coverage Indicators - Section D'!$A$1:$A$124,0)+1),""),"")</f>
        <v/>
      </c>
      <c r="L466" s="95"/>
    </row>
    <row r="467" spans="1:12" ht="18.75" customHeight="1">
      <c r="A467" s="641"/>
      <c r="B467" s="89" t="s">
        <v>5056</v>
      </c>
      <c r="C467" s="90" t="str">
        <f ca="1">IFERROR(IF(INDEX('Coverage Indicators - Section D'!F$1:F$124,MATCH($A454,'Coverage Indicators - Section D'!$A$1:$A$124,0))&lt;&gt;"",FIXED(INDEX('Coverage Indicators - Section D'!F$1:F$124,MATCH($A454,'Coverage Indicators - Section D'!$A$1:$A$124,0))*100,2)&amp;"%",""),"")</f>
        <v>42.28%</v>
      </c>
      <c r="D467" s="90" t="str">
        <f>IFERROR(IF(INDEX('Coverage Indicators - Section D'!O$1:O$124,MATCH($A454,'Coverage Indicators - Section D'!$A$1:$A$124,0))&lt;&gt;"",FIXED(INDEX('Coverage Indicators - Section D'!O$1:O$124,MATCH($A454,'Coverage Indicators - Section D'!$A$1:$A$124,0))*100,2)&amp;"%",""),"")&amp;CHAR(10)&amp;IFERROR(IF(INDEX('Coverage Indicators - Section D'!P$1:P$124,MATCH($A454,'Coverage Indicators - Section D'!$A$1:$A$124,0))&lt;&gt;"",INDEX('Coverage Indicators - Section D'!P$1:P$124,MATCH($A454,'Coverage Indicators - Section D'!$A$1:$A$124,0)),""),"")</f>
        <v xml:space="preserve">14.21%
</v>
      </c>
      <c r="E467" s="90" t="str">
        <f>IFERROR(IF(INDEX('Coverage Indicators - Section D'!R$1:R$124,MATCH($A454,'Coverage Indicators - Section D'!$A$1:$A$124,0))&lt;&gt;"",FIXED(INDEX('Coverage Indicators - Section D'!R$1:R$124,MATCH($A454,'Coverage Indicators - Section D'!$A$1:$A$124,0))*100,2)&amp;"%",""),"")&amp;CHAR(10)&amp;IFERROR(IF(INDEX('Coverage Indicators - Section D'!S$1:S$124,MATCH($A454,'Coverage Indicators - Section D'!$A$1:$A$124,0))&lt;&gt;"",INDEX('Coverage Indicators - Section D'!S$1:S$124,MATCH($A454,'Coverage Indicators - Section D'!$A$1:$A$124,0)),""),"")</f>
        <v xml:space="preserve">14.21%
</v>
      </c>
      <c r="F467" s="90" t="str">
        <f>IFERROR(IF(INDEX('Coverage Indicators - Section D'!U$1:U$124,MATCH($A454,'Coverage Indicators - Section D'!$A$1:$A$124,0))&lt;&gt;"",FIXED(INDEX('Coverage Indicators - Section D'!U$1:U$124,MATCH($A454,'Coverage Indicators - Section D'!$A$1:$A$124,0))*100,2)&amp;"%",""),"")&amp;CHAR(10)&amp;IFERROR(IF(INDEX('Coverage Indicators - Section D'!V$1:V$124,MATCH($A454,'Coverage Indicators - Section D'!$A$1:$A$124,0))&lt;&gt;"",INDEX('Coverage Indicators - Section D'!V$1:V$124,MATCH($A454,'Coverage Indicators - Section D'!$A$1:$A$124,0)),""),"")</f>
        <v xml:space="preserve">19.58%
</v>
      </c>
      <c r="G467" s="90" t="str">
        <f>IFERROR(IF(INDEX('Coverage Indicators - Section D'!X$1:X$124,MATCH($A454,'Coverage Indicators - Section D'!$A$1:$A$124,0))&lt;&gt;"",FIXED(INDEX('Coverage Indicators - Section D'!X$1:X$124,MATCH($A454,'Coverage Indicators - Section D'!$A$1:$A$124,0))*100,2)&amp;"%",""),"")&amp;CHAR(10)&amp;IFERROR(IF(INDEX('Coverage Indicators - Section D'!Y$1:Y$124,MATCH($A454,'Coverage Indicators - Section D'!$A$1:$A$124,0))&lt;&gt;"",INDEX('Coverage Indicators - Section D'!Y$1:Y$124,MATCH($A454,'Coverage Indicators - Section D'!$A$1:$A$124,0)),""),"")</f>
        <v xml:space="preserve">19.58%
</v>
      </c>
      <c r="H467" s="90" t="str">
        <f>IFERROR(IF(INDEX('Coverage Indicators - Section D'!AA$1:AA$124,MATCH(A454,'Coverage Indicators - Section D'!$A$1:$A$124,0))&lt;&gt;"",FIXED(INDEX('Coverage Indicators - Section D'!AA$1:AA$124,MATCH($A454,'Coverage Indicators - Section D'!$A$1:$A$124,0))*100,2)&amp;"%",""),"")&amp;CHAR(10)&amp;IFERROR(IF(INDEX('Coverage Indicators - Section D'!AB$1:AB$124,MATCH($A454,'Coverage Indicators - Section D'!$A$1:$A$124,0))&lt;&gt;"",INDEX('Coverage Indicators - Section D'!AB$1:AB$124,MATCH($A454,'Coverage Indicators - Section D'!$A$1:$A$124,0)),""),"")</f>
        <v xml:space="preserve">25.00%
</v>
      </c>
      <c r="I467" s="90" t="str">
        <f>IFERROR(IF(INDEX('Coverage Indicators - Section D'!AD$1:AD$124,MATCH($A454,'Coverage Indicators - Section D'!$A$1:$A$124,0))&lt;&gt;"",FIXED(INDEX('Coverage Indicators - Section D'!AD$1:AD$124,MATCH($A454,'Coverage Indicators - Section D'!$A$1:$A$124,0))*100,2)&amp;"%",""),"")&amp;CHAR(10)&amp;IFERROR(IF(INDEX('Coverage Indicators - Section D'!AE$1:AE$124,MATCH($A454,'Coverage Indicators - Section D'!$A$1:$A$124,0))&lt;&gt;"",INDEX('Coverage Indicators - Section D'!AE$1:AE$124,MATCH($A454,'Coverage Indicators - Section D'!$A$1:$A$124,0)),""),"")</f>
        <v xml:space="preserve">25.00%
</v>
      </c>
      <c r="J467" s="90" t="str">
        <f>IFERROR(IF(INDEX('Coverage Indicators - Section D'!AG$1:AG$124,MATCH($A454,'Coverage Indicators - Section D'!$A$1:$A$124,0))&lt;&gt;"",FIXED(INDEX('Coverage Indicators - Section D'!AG$1:AG$124,MATCH($A454,'Coverage Indicators - Section D'!$A$1:$A$124,0))*100,2)&amp;"%",""),"")&amp;CHAR(10)&amp;IFERROR(IF(INDEX('Coverage Indicators - Section D'!AH$1:AH$124,MATCH($A454,'Coverage Indicators - Section D'!$A$1:$A$124,0))&lt;&gt;"",INDEX('Coverage Indicators - Section D'!AH$1:AH$124,MATCH($A454,'Coverage Indicators - Section D'!$A$1:$A$124,0)),""),"")</f>
        <v xml:space="preserve">
</v>
      </c>
      <c r="K467" s="90" t="str">
        <f>IFERROR(IF(INDEX('Coverage Indicators - Section D'!AJ$1:AJ$124,MATCH($A454,'Coverage Indicators - Section D'!$A$1:$A$124,0))&lt;&gt;"",FIXED(INDEX('Coverage Indicators - Section D'!AJ$1:AJ$124,MATCH($A454,'Coverage Indicators - Section D'!$A$1:$A$124,0))*100,2)&amp;"%",""),"")&amp;CHAR(10)&amp;IFERROR(IF(INDEX('Coverage Indicators - Section D'!AK$1:AK$124,MATCH($A454,'Coverage Indicators - Section D'!$A$1:$A$124,0))&lt;&gt;"",INDEX('Coverage Indicators - Section D'!AK$1:AK$124,MATCH($A454,'Coverage Indicators - Section D'!$A$1:$A$124,0)),""),"")</f>
        <v xml:space="preserve">
</v>
      </c>
      <c r="L467" s="82"/>
    </row>
    <row r="468" spans="1:12" ht="18.75" customHeight="1">
      <c r="A468" s="641"/>
      <c r="B468" s="625" t="s">
        <v>176</v>
      </c>
      <c r="C468" s="626"/>
      <c r="D468" s="626"/>
      <c r="E468" s="626"/>
      <c r="F468" s="626"/>
      <c r="G468" s="626"/>
      <c r="H468" s="626"/>
      <c r="I468" s="626"/>
      <c r="J468" s="626"/>
      <c r="K468" s="630"/>
      <c r="L468" s="82"/>
    </row>
    <row r="469" spans="1:12" ht="18.75" customHeight="1">
      <c r="A469" s="641"/>
      <c r="B469" s="634" t="str">
        <f>IFERROR(IF(INDEX('Coverage Indicators - Section D'!AL$1:AL$134,MATCH($A454,'Coverage Indicators - Section D'!$A$1:$A$134,0))&lt;&gt;0,INDEX('Coverage Indicators - Section D'!AL$1:AL$134,MATCH($A454,'Coverage Indicators - Section D'!$A$1:$A$134,0)),""),"")</f>
        <v>N: Number of TGs who received a defined package of HIV prevention services
D: Estimated number of TGs in the target area
The GF contrbution is 10,774 in 2024; 14,320 in 2025 and 18,063 in 2026.
PrEP for the TG population is a new activity.</v>
      </c>
      <c r="C469" s="635"/>
      <c r="D469" s="635"/>
      <c r="E469" s="635"/>
      <c r="F469" s="635"/>
      <c r="G469" s="635"/>
      <c r="H469" s="635"/>
      <c r="I469" s="635"/>
      <c r="J469" s="635"/>
      <c r="K469" s="636"/>
      <c r="L469" s="82"/>
    </row>
    <row r="470" spans="1:12" ht="18.75" customHeight="1">
      <c r="A470" s="641"/>
      <c r="B470" s="643"/>
      <c r="C470" s="644"/>
      <c r="D470" s="644"/>
      <c r="E470" s="644"/>
      <c r="F470" s="644"/>
      <c r="G470" s="644"/>
      <c r="H470" s="644"/>
      <c r="I470" s="644"/>
      <c r="J470" s="644"/>
      <c r="K470" s="645"/>
      <c r="L470" s="82"/>
    </row>
    <row r="471" spans="1:12" ht="18.75" customHeight="1">
      <c r="A471" s="641"/>
      <c r="B471" s="643"/>
      <c r="C471" s="644"/>
      <c r="D471" s="644"/>
      <c r="E471" s="644"/>
      <c r="F471" s="644"/>
      <c r="G471" s="644"/>
      <c r="H471" s="644"/>
      <c r="I471" s="644"/>
      <c r="J471" s="644"/>
      <c r="K471" s="645"/>
      <c r="L471" s="82"/>
    </row>
    <row r="472" spans="1:12" ht="18.75" customHeight="1">
      <c r="A472" s="641"/>
      <c r="B472" s="643"/>
      <c r="C472" s="644"/>
      <c r="D472" s="644"/>
      <c r="E472" s="644"/>
      <c r="F472" s="644"/>
      <c r="G472" s="644"/>
      <c r="H472" s="644"/>
      <c r="I472" s="644"/>
      <c r="J472" s="644"/>
      <c r="K472" s="645"/>
      <c r="L472" s="82"/>
    </row>
    <row r="473" spans="1:12" ht="18.75" customHeight="1">
      <c r="A473" s="641"/>
      <c r="B473" s="643"/>
      <c r="C473" s="644"/>
      <c r="D473" s="644"/>
      <c r="E473" s="644"/>
      <c r="F473" s="644"/>
      <c r="G473" s="644"/>
      <c r="H473" s="644"/>
      <c r="I473" s="644"/>
      <c r="J473" s="644"/>
      <c r="K473" s="645"/>
      <c r="L473" s="82"/>
    </row>
    <row r="474" spans="1:12" ht="18.75" customHeight="1">
      <c r="A474" s="641"/>
      <c r="B474" s="643"/>
      <c r="C474" s="644"/>
      <c r="D474" s="644"/>
      <c r="E474" s="644"/>
      <c r="F474" s="644"/>
      <c r="G474" s="644"/>
      <c r="H474" s="644"/>
      <c r="I474" s="644"/>
      <c r="J474" s="644"/>
      <c r="K474" s="645"/>
      <c r="L474" s="82"/>
    </row>
    <row r="475" spans="1:12" ht="18.75" customHeight="1">
      <c r="A475" s="641"/>
      <c r="B475" s="643"/>
      <c r="C475" s="644"/>
      <c r="D475" s="644"/>
      <c r="E475" s="644"/>
      <c r="F475" s="644"/>
      <c r="G475" s="644"/>
      <c r="H475" s="644"/>
      <c r="I475" s="644"/>
      <c r="J475" s="644"/>
      <c r="K475" s="645"/>
      <c r="L475" s="82"/>
    </row>
    <row r="476" spans="1:12" ht="18.75" customHeight="1">
      <c r="A476" s="641"/>
      <c r="B476" s="643"/>
      <c r="C476" s="644"/>
      <c r="D476" s="644"/>
      <c r="E476" s="644"/>
      <c r="F476" s="644"/>
      <c r="G476" s="644"/>
      <c r="H476" s="644"/>
      <c r="I476" s="644"/>
      <c r="J476" s="644"/>
      <c r="K476" s="645"/>
      <c r="L476" s="82"/>
    </row>
    <row r="477" spans="1:12" ht="18.75" customHeight="1">
      <c r="A477" s="641"/>
      <c r="B477" s="643"/>
      <c r="C477" s="644"/>
      <c r="D477" s="644"/>
      <c r="E477" s="644"/>
      <c r="F477" s="644"/>
      <c r="G477" s="644"/>
      <c r="H477" s="644"/>
      <c r="I477" s="644"/>
      <c r="J477" s="644"/>
      <c r="K477" s="645"/>
      <c r="L477" s="82"/>
    </row>
    <row r="478" spans="1:12" ht="18.75" customHeight="1">
      <c r="A478" s="642"/>
      <c r="B478" s="637"/>
      <c r="C478" s="638"/>
      <c r="D478" s="638"/>
      <c r="E478" s="638"/>
      <c r="F478" s="638"/>
      <c r="G478" s="638"/>
      <c r="H478" s="638"/>
      <c r="I478" s="638"/>
      <c r="J478" s="638"/>
      <c r="K478" s="639"/>
      <c r="L478" s="82"/>
    </row>
    <row r="479" spans="1:12" ht="18.75" customHeight="1">
      <c r="A479" s="625"/>
      <c r="B479" s="626"/>
      <c r="C479" s="626"/>
      <c r="D479" s="626"/>
      <c r="E479" s="626"/>
      <c r="F479" s="626"/>
      <c r="G479" s="626"/>
      <c r="H479" s="626"/>
      <c r="I479" s="626"/>
      <c r="J479" s="626"/>
      <c r="K479" s="630"/>
      <c r="L479" s="82"/>
    </row>
    <row r="481" spans="1:12" ht="18.75" customHeight="1">
      <c r="A481" s="89" t="s">
        <v>5051</v>
      </c>
      <c r="B481" s="625" t="s">
        <v>1077</v>
      </c>
      <c r="C481" s="630"/>
      <c r="D481" s="631" t="str">
        <f ca="1">IFERROR(IF(INDEX('Coverage Indicators - Section D'!B$1:B$124,MATCH($A482,'Coverage Indicators - Section D'!$A$1:$A$124,0))&lt;&gt;0,INDEX('Coverage Indicators - Section D'!B$1:B$124,MATCH($A482,'Coverage Indicators - Section D'!$A$1:$A$124,0)),""),"")</f>
        <v>Prevention package for transgender people and their sexual partners</v>
      </c>
      <c r="E481" s="632"/>
      <c r="F481" s="632"/>
      <c r="G481" s="632"/>
      <c r="H481" s="632"/>
      <c r="I481" s="632"/>
      <c r="J481" s="632"/>
      <c r="K481" s="633"/>
      <c r="L481" s="82"/>
    </row>
    <row r="482" spans="1:12" ht="18.75" customHeight="1">
      <c r="A482" s="640">
        <v>18</v>
      </c>
      <c r="B482" s="625" t="s">
        <v>765</v>
      </c>
      <c r="C482" s="626"/>
      <c r="D482" s="626"/>
      <c r="E482" s="626"/>
      <c r="F482" s="630"/>
      <c r="G482" s="625" t="s">
        <v>766</v>
      </c>
      <c r="H482" s="626"/>
      <c r="I482" s="626"/>
      <c r="J482" s="626"/>
      <c r="K482" s="630"/>
      <c r="L482" s="82"/>
    </row>
    <row r="483" spans="1:12" ht="18.75" customHeight="1">
      <c r="A483" s="641"/>
      <c r="B483" s="634" t="str">
        <f>IFERROR(IF(INDEX('Coverage Indicators - Section D'!C$1:C$124,MATCH($A482,'Coverage Indicators - Section D'!$A$1:$A$124,0))&lt;&gt;0,INDEX('Coverage Indicators - Section D'!C$1:C$124,MATCH($A482,'Coverage Indicators - Section D'!$A$1:$A$124,0)),""),"")</f>
        <v>KP-6b Number of transgender people who received any PrEP product at least once during the reporting period</v>
      </c>
      <c r="C483" s="635"/>
      <c r="D483" s="635"/>
      <c r="E483" s="635"/>
      <c r="F483" s="636"/>
      <c r="G483" s="634" t="str">
        <f>IFERROR(IF(INDEX('Coverage Indicators - Section D'!D$1:D$124,MATCH($A482,'Coverage Indicators - Section D'!$A$1:$A$124,0))&lt;&gt;0,INDEX('Coverage Indicators - Section D'!D$1:D$124,MATCH($A482,'Coverage Indicators - Section D'!$A$1:$A$124,0)),""),"")</f>
        <v/>
      </c>
      <c r="H483" s="635"/>
      <c r="I483" s="635"/>
      <c r="J483" s="635"/>
      <c r="K483" s="636"/>
      <c r="L483" s="82"/>
    </row>
    <row r="484" spans="1:12" ht="18.75" customHeight="1">
      <c r="A484" s="641"/>
      <c r="B484" s="643"/>
      <c r="C484" s="644"/>
      <c r="D484" s="644"/>
      <c r="E484" s="644"/>
      <c r="F484" s="645"/>
      <c r="G484" s="643"/>
      <c r="H484" s="644"/>
      <c r="I484" s="644"/>
      <c r="J484" s="644"/>
      <c r="K484" s="645"/>
      <c r="L484" s="82"/>
    </row>
    <row r="485" spans="1:12" ht="18.75" customHeight="1">
      <c r="A485" s="641"/>
      <c r="B485" s="637"/>
      <c r="C485" s="638"/>
      <c r="D485" s="638"/>
      <c r="E485" s="638"/>
      <c r="F485" s="639"/>
      <c r="G485" s="637"/>
      <c r="H485" s="638"/>
      <c r="I485" s="638"/>
      <c r="J485" s="638"/>
      <c r="K485" s="639"/>
      <c r="L485" s="82"/>
    </row>
    <row r="486" spans="1:12" ht="18.75" customHeight="1">
      <c r="A486" s="641"/>
      <c r="B486" s="625" t="s">
        <v>769</v>
      </c>
      <c r="C486" s="626"/>
      <c r="D486" s="630"/>
      <c r="E486" s="625" t="s">
        <v>216</v>
      </c>
      <c r="F486" s="626"/>
      <c r="G486" s="630"/>
      <c r="H486" s="625" t="s">
        <v>127</v>
      </c>
      <c r="I486" s="626"/>
      <c r="J486" s="630"/>
      <c r="K486" s="89" t="s">
        <v>2204</v>
      </c>
      <c r="L486" s="82"/>
    </row>
    <row r="487" spans="1:12" ht="18.75" customHeight="1">
      <c r="A487" s="641"/>
      <c r="B487" s="631" t="str">
        <f>IFERROR(IF(INDEX('Coverage Indicators - Section D'!I$9:I$92,MATCH($A482,'Coverage Indicators - Section D'!$A$9:$A$92,0))&lt;&gt;0,INDEX('Coverage Indicators - Section D'!I$9:I$92,MATCH($A482,'Coverage Indicators - Section D'!$A$9:$A$92,0)),""),"")</f>
        <v>Gender,Age,PrEP product</v>
      </c>
      <c r="C487" s="632"/>
      <c r="D487" s="633"/>
      <c r="E487" s="631" t="str">
        <f>IFERROR(IF(INDEX('Coverage Indicators - Section D'!M$1:M$124,MATCH($A482,'Coverage Indicators - Section D'!$A$1:$A$124,0))&lt;&gt;0,INDEX('Coverage Indicators - Section D'!M$1:M$124,MATCH($A482,'Coverage Indicators - Section D'!$A$1:$A$124,0)),""),"")</f>
        <v>Non cumulative</v>
      </c>
      <c r="F487" s="632"/>
      <c r="G487" s="633"/>
      <c r="H487" s="631" t="str">
        <f>IFERROR(IF(INDEX('Coverage Indicators - Section D'!L$1:L$124,MATCH($A482,'Coverage Indicators - Section D'!$A$1:$A$124,0))&lt;&gt;0,INDEX('Coverage Indicators - Section D'!L$1:L$124,MATCH($A482,'Coverage Indicators - Section D'!$A$1:$A$124,0)),""),"")</f>
        <v>Congo (Democratic Republic)</v>
      </c>
      <c r="I487" s="632"/>
      <c r="J487" s="633"/>
      <c r="K487" s="90" t="str">
        <f>IFERROR(IF(INDEX('Coverage Indicators - Section D'!J$1:J$124,MATCH($A482,'Coverage Indicators - Section D'!$A$1:$A$124,0))&lt;&gt;0,INDEX('Coverage Indicators - Section D'!J$1:J$124,MATCH($A482,'Coverage Indicators - Section D'!$A$1:$A$124,0)),""),"")</f>
        <v>Yes</v>
      </c>
      <c r="L487" s="82"/>
    </row>
    <row r="488" spans="1:12" ht="18.75" customHeight="1">
      <c r="A488" s="641"/>
      <c r="B488" s="625" t="s">
        <v>199</v>
      </c>
      <c r="C488" s="626"/>
      <c r="D488" s="630"/>
      <c r="E488" s="625" t="s">
        <v>5060</v>
      </c>
      <c r="F488" s="626"/>
      <c r="G488" s="630"/>
      <c r="H488" s="625" t="s">
        <v>120</v>
      </c>
      <c r="I488" s="626"/>
      <c r="J488" s="626"/>
      <c r="K488" s="630"/>
      <c r="L488" s="82"/>
    </row>
    <row r="489" spans="1:12" ht="18.75" customHeight="1">
      <c r="A489" s="641"/>
      <c r="B489" s="634" t="str">
        <f>IFERROR(IF(INDEX('Coverage Indicators - Section D'!H$1:H$124,MATCH($A482,'Coverage Indicators - Section D'!$A$1:$A$124,0))&lt;&gt;0,INDEX('Coverage Indicators - Section D'!H$1:H$124,MATCH($A482,'Coverage Indicators - Section D'!$A$1:$A$124,0)),""),"")</f>
        <v>Data Not Available</v>
      </c>
      <c r="C489" s="635"/>
      <c r="D489" s="636"/>
      <c r="E489" s="634" t="str">
        <f>IFERROR(IF(INDEX('Coverage Indicators - Section D'!L$1:L$124,MATCH($A482,'Coverage Indicators - Section D'!$A$1:$A$124,0)+1)&lt;&gt;0,INDEX('Coverage Indicators - Section D'!L$1:L$124,MATCH($A482,'Coverage Indicators - Section D'!$A$1:$A$124,0)+1),""),"")</f>
        <v>Geographic Subnational, less than 100% national program target</v>
      </c>
      <c r="F489" s="635"/>
      <c r="G489" s="636"/>
      <c r="H489" s="634" t="str">
        <f ca="1">IFERROR(IF(AND('Overview - Section A'!AS$1="Grant Making",OR(B483&lt;&gt;"",G483&lt;&gt;"")),Setup!I15,IF(INDEX('Coverage Indicators - Section D'!K$1:K$124,MATCH($A482,'Coverage Indicators - Section D'!$A$1:$A$124,0))&lt;&gt;0,INDEX('Coverage Indicators - Section D'!K$1:K$124,MATCH($A482,'Coverage Indicators - Section D'!$A$1:$A$124,0)),"")),"")</f>
        <v>PR 2</v>
      </c>
      <c r="I489" s="635"/>
      <c r="J489" s="635"/>
      <c r="K489" s="636"/>
      <c r="L489" s="82"/>
    </row>
    <row r="490" spans="1:12" ht="18.75" customHeight="1">
      <c r="A490" s="641"/>
      <c r="B490" s="637"/>
      <c r="C490" s="638"/>
      <c r="D490" s="639"/>
      <c r="E490" s="637"/>
      <c r="F490" s="638"/>
      <c r="G490" s="639"/>
      <c r="H490" s="637"/>
      <c r="I490" s="638"/>
      <c r="J490" s="638"/>
      <c r="K490" s="639"/>
      <c r="L490" s="82"/>
    </row>
    <row r="491" spans="1:12" ht="18.75" customHeight="1">
      <c r="A491" s="641"/>
      <c r="B491" s="89"/>
      <c r="C491" s="89" t="s">
        <v>5052</v>
      </c>
      <c r="D491" s="625" t="s">
        <v>5053</v>
      </c>
      <c r="E491" s="626"/>
      <c r="F491" s="626"/>
      <c r="G491" s="626"/>
      <c r="H491" s="626"/>
      <c r="I491" s="626"/>
      <c r="J491" s="626"/>
      <c r="K491" s="630"/>
      <c r="L491" s="82"/>
    </row>
    <row r="492" spans="1:12" ht="18.75" customHeight="1">
      <c r="A492" s="641"/>
      <c r="B492" s="89" t="s">
        <v>2589</v>
      </c>
      <c r="C492" s="90" t="str">
        <f>IFERROR(IF(INDEX('Coverage Indicators - Section D'!G$1:G$124,MATCH($A482,'Coverage Indicators - Section D'!$A$1:$A$124,0))&lt;&gt;0,INDEX('Coverage Indicators - Section D'!G$1:G$124,MATCH($A482,'Coverage Indicators - Section D'!$A$1:$A$124,0)),""),"")</f>
        <v/>
      </c>
      <c r="D492"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492"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492"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492"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492"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492"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492"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492"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492" s="82"/>
    </row>
    <row r="493" spans="1:12" s="93" customFormat="1" ht="18.75" customHeight="1">
      <c r="A493" s="641"/>
      <c r="B493" s="89" t="s">
        <v>5054</v>
      </c>
      <c r="C493" s="91" t="str">
        <f>IFERROR(IF(INDEX('Coverage Indicators - Section D'!E$1:E$124,MATCH($A482,'Coverage Indicators - Section D'!$A$1:$A$124,0))&lt;&gt;"",INDEX('Coverage Indicators - Section D'!E$1:E$124,MATCH($A482,'Coverage Indicators - Section D'!$A$1:$A$124,0)),""),"")</f>
        <v/>
      </c>
      <c r="D493" s="91">
        <f ca="1">IFERROR(IF(INDEX('Coverage Indicators - Section D'!N$1:N$124,MATCH($A482,'Coverage Indicators - Section D'!$A$1:$A$124,0))&lt;&gt;"",INDEX('Coverage Indicators - Section D'!N$1:N$124,MATCH($A482,'Coverage Indicators - Section D'!$A$1:$A$124,0)),""),"")</f>
        <v>2146</v>
      </c>
      <c r="E493" s="91">
        <f ca="1">IFERROR(IF(INDEX('Coverage Indicators - Section D'!Q$1:Q$124,MATCH($A482,'Coverage Indicators - Section D'!$A$1:$A$124,0))&lt;&gt;"",INDEX('Coverage Indicators - Section D'!Q$1:Q$124,MATCH($A482,'Coverage Indicators - Section D'!$A$1:$A$124,0)),""),"")</f>
        <v>2316</v>
      </c>
      <c r="F493" s="91">
        <f ca="1">IFERROR(IF(INDEX('Coverage Indicators - Section D'!T$1:T$124,MATCH($A482,'Coverage Indicators - Section D'!$A$1:$A$124,0))&lt;&gt;"",INDEX('Coverage Indicators - Section D'!T$1:T$124,MATCH($A482,'Coverage Indicators - Section D'!$A$1:$A$124,0)),""),"")</f>
        <v>2837</v>
      </c>
      <c r="G493" s="91">
        <f ca="1">IFERROR(IF(INDEX('Coverage Indicators - Section D'!W$1:W$124,MATCH($A482,'Coverage Indicators - Section D'!$A$1:$A$124,0))&lt;&gt;"",INDEX('Coverage Indicators - Section D'!W$1:W$124,MATCH($A482,'Coverage Indicators - Section D'!$A$1:$A$124,0)),""),"")</f>
        <v>3066</v>
      </c>
      <c r="H493" s="91">
        <f ca="1">IFERROR(IF(INDEX('Coverage Indicators - Section D'!Z$1:Z$124,MATCH($A482,'Coverage Indicators - Section D'!$A$1:$A$124,0))&lt;&gt;"",INDEX('Coverage Indicators - Section D'!Z$1:Z$124,MATCH($A482,'Coverage Indicators - Section D'!$A$1:$A$124,0)),""),"")</f>
        <v>3638</v>
      </c>
      <c r="I493" s="91">
        <f ca="1">IFERROR(IF(INDEX('Coverage Indicators - Section D'!AC$1:AC$124,MATCH($A482,'Coverage Indicators - Section D'!$A$1:$A$124,0))&lt;&gt;"",INDEX('Coverage Indicators - Section D'!AC$1:AC$124,MATCH($A482,'Coverage Indicators - Section D'!$A$1:$A$124,0)),""),"")</f>
        <v>3875</v>
      </c>
      <c r="J493" s="91" t="str">
        <f ca="1">IFERROR(IF(INDEX('Coverage Indicators - Section D'!AF$1:AF$124,MATCH($A482,'Coverage Indicators - Section D'!$A$1:$A$124,0))&lt;&gt;"",INDEX('Coverage Indicators - Section D'!AF$1:AF$124,MATCH($A482,'Coverage Indicators - Section D'!$A$1:$A$124,0)),""),"")</f>
        <v/>
      </c>
      <c r="K493" s="91" t="str">
        <f ca="1">IFERROR(IF(INDEX('Coverage Indicators - Section D'!AI$1:AI$124,MATCH($A482,'Coverage Indicators - Section D'!$A$1:$A$124,0))&lt;&gt;"",INDEX('Coverage Indicators - Section D'!AI$1:AI$124,MATCH($A482,'Coverage Indicators - Section D'!$A$1:$A$124,0)),""),"")</f>
        <v/>
      </c>
      <c r="L493" s="92"/>
    </row>
    <row r="494" spans="1:12" s="96" customFormat="1" ht="18.75" customHeight="1">
      <c r="A494" s="641"/>
      <c r="B494" s="89" t="s">
        <v>5055</v>
      </c>
      <c r="C494" s="94" t="str">
        <f>IFERROR(IF(INDEX('Coverage Indicators - Section D'!E$1:E$124,MATCH($A482,'Coverage Indicators - Section D'!$A$1:$A$124,0)+1)&lt;&gt;"",INDEX('Coverage Indicators - Section D'!E$1:E$124,MATCH($A482,'Coverage Indicators - Section D'!$A$1:$A$124,0)+1),""),"")</f>
        <v/>
      </c>
      <c r="D494" s="94">
        <f ca="1">IFERROR(IF(INDEX('Coverage Indicators - Section D'!N$1:N$124,MATCH($A482,'Coverage Indicators - Section D'!$A$1:$A$124,0)+1)&lt;&gt;"",INDEX('Coverage Indicators - Section D'!N$1:N$124,MATCH($A482,'Coverage Indicators - Section D'!$A$1:$A$124,0)+1),""),"")</f>
        <v>5674</v>
      </c>
      <c r="E494" s="94">
        <f ca="1">IFERROR(IF(INDEX('Coverage Indicators - Section D'!Q$1:Q$124,MATCH($A482,'Coverage Indicators - Section D'!$A$1:$A$124,0)+1)&lt;&gt;"",INDEX('Coverage Indicators - Section D'!Q$1:Q$124,MATCH($A482,'Coverage Indicators - Section D'!$A$1:$A$124,0)+1),""),"")</f>
        <v>5674</v>
      </c>
      <c r="F494" s="94">
        <f ca="1">IFERROR(IF(INDEX('Coverage Indicators - Section D'!T$1:T$124,MATCH($A482,'Coverage Indicators - Section D'!$A$1:$A$124,0)+1)&lt;&gt;"",INDEX('Coverage Indicators - Section D'!T$1:T$124,MATCH($A482,'Coverage Indicators - Section D'!$A$1:$A$124,0)+1),""),"")</f>
        <v>6388</v>
      </c>
      <c r="G494" s="94">
        <f ca="1">IFERROR(IF(INDEX('Coverage Indicators - Section D'!W$1:W$124,MATCH($A482,'Coverage Indicators - Section D'!$A$1:$A$124,0)+1)&lt;&gt;"",INDEX('Coverage Indicators - Section D'!W$1:W$124,MATCH($A482,'Coverage Indicators - Section D'!$A$1:$A$124,0)+1),""),"")</f>
        <v>6388</v>
      </c>
      <c r="H494" s="94">
        <f ca="1">IFERROR(IF(INDEX('Coverage Indicators - Section D'!Z$1:Z$124,MATCH($A482,'Coverage Indicators - Section D'!$A$1:$A$124,0)+1)&lt;&gt;"",INDEX('Coverage Indicators - Section D'!Z$1:Z$124,MATCH($A482,'Coverage Indicators - Section D'!$A$1:$A$124,0)+1),""),"")</f>
        <v>7088</v>
      </c>
      <c r="I494" s="94">
        <f ca="1">IFERROR(IF(INDEX('Coverage Indicators - Section D'!AC$1:AC$124,MATCH($A482,'Coverage Indicators - Section D'!$A$1:$A$124,0)+1)&lt;&gt;"",INDEX('Coverage Indicators - Section D'!AC$1:AC$124,MATCH($A482,'Coverage Indicators - Section D'!$A$1:$A$124,0)+1),""),"")</f>
        <v>7088</v>
      </c>
      <c r="J494" s="94" t="str">
        <f ca="1">IFERROR(IF(INDEX('Coverage Indicators - Section D'!AF$1:AF$124,MATCH($A482,'Coverage Indicators - Section D'!$A$1:$A$124,0)+1)&lt;&gt;"",INDEX('Coverage Indicators - Section D'!AF$1:AF$124,MATCH($A482,'Coverage Indicators - Section D'!$A$1:$A$124,0)+1),""),"")</f>
        <v/>
      </c>
      <c r="K494" s="94" t="str">
        <f ca="1">IFERROR(IF(INDEX('Coverage Indicators - Section D'!AI$1:AI$124,MATCH($A482,'Coverage Indicators - Section D'!$A$1:$A$124,0)+1)&lt;&gt;"",INDEX('Coverage Indicators - Section D'!AI$1:AI$124,MATCH($A482,'Coverage Indicators - Section D'!$A$1:$A$124,0)+1),""),"")</f>
        <v/>
      </c>
      <c r="L494" s="95"/>
    </row>
    <row r="495" spans="1:12" ht="18.75" customHeight="1">
      <c r="A495" s="641"/>
      <c r="B495" s="89" t="s">
        <v>5056</v>
      </c>
      <c r="C495" s="90" t="str">
        <f ca="1">IFERROR(IF(INDEX('Coverage Indicators - Section D'!F$1:F$124,MATCH($A482,'Coverage Indicators - Section D'!$A$1:$A$124,0))&lt;&gt;"",FIXED(INDEX('Coverage Indicators - Section D'!F$1:F$124,MATCH($A482,'Coverage Indicators - Section D'!$A$1:$A$124,0))*100,2)&amp;"%",""),"")</f>
        <v/>
      </c>
      <c r="D495" s="90" t="str">
        <f>IFERROR(IF(INDEX('Coverage Indicators - Section D'!O$1:O$124,MATCH($A482,'Coverage Indicators - Section D'!$A$1:$A$124,0))&lt;&gt;"",FIXED(INDEX('Coverage Indicators - Section D'!O$1:O$124,MATCH($A482,'Coverage Indicators - Section D'!$A$1:$A$124,0))*100,2)&amp;"%",""),"")&amp;CHAR(10)&amp;IFERROR(IF(INDEX('Coverage Indicators - Section D'!P$1:P$124,MATCH($A482,'Coverage Indicators - Section D'!$A$1:$A$124,0))&lt;&gt;"",INDEX('Coverage Indicators - Section D'!P$1:P$124,MATCH($A482,'Coverage Indicators - Section D'!$A$1:$A$124,0)),""),"")</f>
        <v xml:space="preserve">37.82%
</v>
      </c>
      <c r="E495" s="90" t="str">
        <f>IFERROR(IF(INDEX('Coverage Indicators - Section D'!R$1:R$124,MATCH($A482,'Coverage Indicators - Section D'!$A$1:$A$124,0))&lt;&gt;"",FIXED(INDEX('Coverage Indicators - Section D'!R$1:R$124,MATCH($A482,'Coverage Indicators - Section D'!$A$1:$A$124,0))*100,2)&amp;"%",""),"")&amp;CHAR(10)&amp;IFERROR(IF(INDEX('Coverage Indicators - Section D'!S$1:S$124,MATCH($A482,'Coverage Indicators - Section D'!$A$1:$A$124,0))&lt;&gt;"",INDEX('Coverage Indicators - Section D'!S$1:S$124,MATCH($A482,'Coverage Indicators - Section D'!$A$1:$A$124,0)),""),"")</f>
        <v xml:space="preserve">40.82%
</v>
      </c>
      <c r="F495" s="90" t="str">
        <f>IFERROR(IF(INDEX('Coverage Indicators - Section D'!U$1:U$124,MATCH($A482,'Coverage Indicators - Section D'!$A$1:$A$124,0))&lt;&gt;"",FIXED(INDEX('Coverage Indicators - Section D'!U$1:U$124,MATCH($A482,'Coverage Indicators - Section D'!$A$1:$A$124,0))*100,2)&amp;"%",""),"")&amp;CHAR(10)&amp;IFERROR(IF(INDEX('Coverage Indicators - Section D'!V$1:V$124,MATCH($A482,'Coverage Indicators - Section D'!$A$1:$A$124,0))&lt;&gt;"",INDEX('Coverage Indicators - Section D'!V$1:V$124,MATCH($A482,'Coverage Indicators - Section D'!$A$1:$A$124,0)),""),"")</f>
        <v xml:space="preserve">44.41%
</v>
      </c>
      <c r="G495" s="90" t="str">
        <f>IFERROR(IF(INDEX('Coverage Indicators - Section D'!X$1:X$124,MATCH($A482,'Coverage Indicators - Section D'!$A$1:$A$124,0))&lt;&gt;"",FIXED(INDEX('Coverage Indicators - Section D'!X$1:X$124,MATCH($A482,'Coverage Indicators - Section D'!$A$1:$A$124,0))*100,2)&amp;"%",""),"")&amp;CHAR(10)&amp;IFERROR(IF(INDEX('Coverage Indicators - Section D'!Y$1:Y$124,MATCH($A482,'Coverage Indicators - Section D'!$A$1:$A$124,0))&lt;&gt;"",INDEX('Coverage Indicators - Section D'!Y$1:Y$124,MATCH($A482,'Coverage Indicators - Section D'!$A$1:$A$124,0)),""),"")</f>
        <v xml:space="preserve">48.00%
</v>
      </c>
      <c r="H495" s="90" t="str">
        <f>IFERROR(IF(INDEX('Coverage Indicators - Section D'!AA$1:AA$124,MATCH(A482,'Coverage Indicators - Section D'!$A$1:$A$124,0))&lt;&gt;"",FIXED(INDEX('Coverage Indicators - Section D'!AA$1:AA$124,MATCH($A482,'Coverage Indicators - Section D'!$A$1:$A$124,0))*100,2)&amp;"%",""),"")&amp;CHAR(10)&amp;IFERROR(IF(INDEX('Coverage Indicators - Section D'!AB$1:AB$124,MATCH($A482,'Coverage Indicators - Section D'!$A$1:$A$124,0))&lt;&gt;"",INDEX('Coverage Indicators - Section D'!AB$1:AB$124,MATCH($A482,'Coverage Indicators - Section D'!$A$1:$A$124,0)),""),"")</f>
        <v xml:space="preserve">51.33%
</v>
      </c>
      <c r="I495" s="90" t="str">
        <f>IFERROR(IF(INDEX('Coverage Indicators - Section D'!AD$1:AD$124,MATCH($A482,'Coverage Indicators - Section D'!$A$1:$A$124,0))&lt;&gt;"",FIXED(INDEX('Coverage Indicators - Section D'!AD$1:AD$124,MATCH($A482,'Coverage Indicators - Section D'!$A$1:$A$124,0))*100,2)&amp;"%",""),"")&amp;CHAR(10)&amp;IFERROR(IF(INDEX('Coverage Indicators - Section D'!AE$1:AE$124,MATCH($A482,'Coverage Indicators - Section D'!$A$1:$A$124,0))&lt;&gt;"",INDEX('Coverage Indicators - Section D'!AE$1:AE$124,MATCH($A482,'Coverage Indicators - Section D'!$A$1:$A$124,0)),""),"")</f>
        <v xml:space="preserve">54.67%
</v>
      </c>
      <c r="J495" s="90" t="str">
        <f>IFERROR(IF(INDEX('Coverage Indicators - Section D'!AG$1:AG$124,MATCH($A482,'Coverage Indicators - Section D'!$A$1:$A$124,0))&lt;&gt;"",FIXED(INDEX('Coverage Indicators - Section D'!AG$1:AG$124,MATCH($A482,'Coverage Indicators - Section D'!$A$1:$A$124,0))*100,2)&amp;"%",""),"")&amp;CHAR(10)&amp;IFERROR(IF(INDEX('Coverage Indicators - Section D'!AH$1:AH$124,MATCH($A482,'Coverage Indicators - Section D'!$A$1:$A$124,0))&lt;&gt;"",INDEX('Coverage Indicators - Section D'!AH$1:AH$124,MATCH($A482,'Coverage Indicators - Section D'!$A$1:$A$124,0)),""),"")</f>
        <v xml:space="preserve">
</v>
      </c>
      <c r="K495" s="90" t="str">
        <f>IFERROR(IF(INDEX('Coverage Indicators - Section D'!AJ$1:AJ$124,MATCH($A482,'Coverage Indicators - Section D'!$A$1:$A$124,0))&lt;&gt;"",FIXED(INDEX('Coverage Indicators - Section D'!AJ$1:AJ$124,MATCH($A482,'Coverage Indicators - Section D'!$A$1:$A$124,0))*100,2)&amp;"%",""),"")&amp;CHAR(10)&amp;IFERROR(IF(INDEX('Coverage Indicators - Section D'!AK$1:AK$124,MATCH($A482,'Coverage Indicators - Section D'!$A$1:$A$124,0))&lt;&gt;"",INDEX('Coverage Indicators - Section D'!AK$1:AK$124,MATCH($A482,'Coverage Indicators - Section D'!$A$1:$A$124,0)),""),"")</f>
        <v xml:space="preserve">
</v>
      </c>
      <c r="L495" s="82"/>
    </row>
    <row r="496" spans="1:12" ht="18.75" customHeight="1">
      <c r="A496" s="641"/>
      <c r="B496" s="625" t="s">
        <v>176</v>
      </c>
      <c r="C496" s="626"/>
      <c r="D496" s="626"/>
      <c r="E496" s="626"/>
      <c r="F496" s="626"/>
      <c r="G496" s="626"/>
      <c r="H496" s="626"/>
      <c r="I496" s="626"/>
      <c r="J496" s="626"/>
      <c r="K496" s="630"/>
      <c r="L496" s="82"/>
    </row>
    <row r="497" spans="1:12" ht="18.75" customHeight="1">
      <c r="A497" s="641"/>
      <c r="B497" s="634" t="str">
        <f>IFERROR(IF(INDEX('Coverage Indicators - Section D'!AL$1:AL$134,MATCH($A482,'Coverage Indicators - Section D'!$A$1:$A$134,0))&lt;&gt;0,INDEX('Coverage Indicators - Section D'!AL$1:AL$134,MATCH($A482,'Coverage Indicators - Section D'!$A$1:$A$134,0)),""),"")</f>
        <v>N: Number of TGs who returned for PrEP for 3 consecutive months during the period
D: Number of TGs who were put on PrEP during the period
The GF contribution is 1.692 in 2024; 2.044 in 2025 and 2.386 in 2026.</v>
      </c>
      <c r="C497" s="635"/>
      <c r="D497" s="635"/>
      <c r="E497" s="635"/>
      <c r="F497" s="635"/>
      <c r="G497" s="635"/>
      <c r="H497" s="635"/>
      <c r="I497" s="635"/>
      <c r="J497" s="635"/>
      <c r="K497" s="636"/>
      <c r="L497" s="82"/>
    </row>
    <row r="498" spans="1:12" ht="18.75" customHeight="1">
      <c r="A498" s="641"/>
      <c r="B498" s="643"/>
      <c r="C498" s="644"/>
      <c r="D498" s="644"/>
      <c r="E498" s="644"/>
      <c r="F498" s="644"/>
      <c r="G498" s="644"/>
      <c r="H498" s="644"/>
      <c r="I498" s="644"/>
      <c r="J498" s="644"/>
      <c r="K498" s="645"/>
      <c r="L498" s="82"/>
    </row>
    <row r="499" spans="1:12" ht="18.75" customHeight="1">
      <c r="A499" s="641"/>
      <c r="B499" s="643"/>
      <c r="C499" s="644"/>
      <c r="D499" s="644"/>
      <c r="E499" s="644"/>
      <c r="F499" s="644"/>
      <c r="G499" s="644"/>
      <c r="H499" s="644"/>
      <c r="I499" s="644"/>
      <c r="J499" s="644"/>
      <c r="K499" s="645"/>
      <c r="L499" s="82"/>
    </row>
    <row r="500" spans="1:12" ht="18.75" customHeight="1">
      <c r="A500" s="641"/>
      <c r="B500" s="643"/>
      <c r="C500" s="644"/>
      <c r="D500" s="644"/>
      <c r="E500" s="644"/>
      <c r="F500" s="644"/>
      <c r="G500" s="644"/>
      <c r="H500" s="644"/>
      <c r="I500" s="644"/>
      <c r="J500" s="644"/>
      <c r="K500" s="645"/>
      <c r="L500" s="82"/>
    </row>
    <row r="501" spans="1:12" ht="18.75" customHeight="1">
      <c r="A501" s="641"/>
      <c r="B501" s="643"/>
      <c r="C501" s="644"/>
      <c r="D501" s="644"/>
      <c r="E501" s="644"/>
      <c r="F501" s="644"/>
      <c r="G501" s="644"/>
      <c r="H501" s="644"/>
      <c r="I501" s="644"/>
      <c r="J501" s="644"/>
      <c r="K501" s="645"/>
      <c r="L501" s="82"/>
    </row>
    <row r="502" spans="1:12" ht="18.75" customHeight="1">
      <c r="A502" s="641"/>
      <c r="B502" s="643"/>
      <c r="C502" s="644"/>
      <c r="D502" s="644"/>
      <c r="E502" s="644"/>
      <c r="F502" s="644"/>
      <c r="G502" s="644"/>
      <c r="H502" s="644"/>
      <c r="I502" s="644"/>
      <c r="J502" s="644"/>
      <c r="K502" s="645"/>
      <c r="L502" s="82"/>
    </row>
    <row r="503" spans="1:12" ht="18.75" customHeight="1">
      <c r="A503" s="641"/>
      <c r="B503" s="643"/>
      <c r="C503" s="644"/>
      <c r="D503" s="644"/>
      <c r="E503" s="644"/>
      <c r="F503" s="644"/>
      <c r="G503" s="644"/>
      <c r="H503" s="644"/>
      <c r="I503" s="644"/>
      <c r="J503" s="644"/>
      <c r="K503" s="645"/>
      <c r="L503" s="82"/>
    </row>
    <row r="504" spans="1:12" ht="18.75" customHeight="1">
      <c r="A504" s="641"/>
      <c r="B504" s="643"/>
      <c r="C504" s="644"/>
      <c r="D504" s="644"/>
      <c r="E504" s="644"/>
      <c r="F504" s="644"/>
      <c r="G504" s="644"/>
      <c r="H504" s="644"/>
      <c r="I504" s="644"/>
      <c r="J504" s="644"/>
      <c r="K504" s="645"/>
      <c r="L504" s="82"/>
    </row>
    <row r="505" spans="1:12" ht="18.75" customHeight="1">
      <c r="A505" s="641"/>
      <c r="B505" s="643"/>
      <c r="C505" s="644"/>
      <c r="D505" s="644"/>
      <c r="E505" s="644"/>
      <c r="F505" s="644"/>
      <c r="G505" s="644"/>
      <c r="H505" s="644"/>
      <c r="I505" s="644"/>
      <c r="J505" s="644"/>
      <c r="K505" s="645"/>
      <c r="L505" s="82"/>
    </row>
    <row r="506" spans="1:12" ht="18.75" customHeight="1">
      <c r="A506" s="642"/>
      <c r="B506" s="637"/>
      <c r="C506" s="638"/>
      <c r="D506" s="638"/>
      <c r="E506" s="638"/>
      <c r="F506" s="638"/>
      <c r="G506" s="638"/>
      <c r="H506" s="638"/>
      <c r="I506" s="638"/>
      <c r="J506" s="638"/>
      <c r="K506" s="639"/>
      <c r="L506" s="82"/>
    </row>
    <row r="507" spans="1:12" ht="18.75" customHeight="1">
      <c r="A507" s="625"/>
      <c r="B507" s="626"/>
      <c r="C507" s="626"/>
      <c r="D507" s="626"/>
      <c r="E507" s="626"/>
      <c r="F507" s="626"/>
      <c r="G507" s="626"/>
      <c r="H507" s="626"/>
      <c r="I507" s="626"/>
      <c r="J507" s="626"/>
      <c r="K507" s="630"/>
      <c r="L507" s="82"/>
    </row>
    <row r="509" spans="1:12" ht="18.75" customHeight="1">
      <c r="A509" s="89" t="s">
        <v>5051</v>
      </c>
      <c r="B509" s="625" t="s">
        <v>1077</v>
      </c>
      <c r="C509" s="630"/>
      <c r="D509" s="631" t="str">
        <f ca="1">IFERROR(IF(INDEX('Coverage Indicators - Section D'!B$1:B$124,MATCH($A510,'Coverage Indicators - Section D'!$A$1:$A$124,0))&lt;&gt;0,INDEX('Coverage Indicators - Section D'!B$1:B$124,MATCH($A510,'Coverage Indicators - Section D'!$A$1:$A$124,0)),""),"")</f>
        <v>Prevention package for people who use drugs (PUD) and their sexual partners</v>
      </c>
      <c r="E509" s="632"/>
      <c r="F509" s="632"/>
      <c r="G509" s="632"/>
      <c r="H509" s="632"/>
      <c r="I509" s="632"/>
      <c r="J509" s="632"/>
      <c r="K509" s="633"/>
      <c r="L509" s="82"/>
    </row>
    <row r="510" spans="1:12" ht="18.75" customHeight="1">
      <c r="A510" s="640">
        <v>19</v>
      </c>
      <c r="B510" s="625" t="s">
        <v>765</v>
      </c>
      <c r="C510" s="626"/>
      <c r="D510" s="626"/>
      <c r="E510" s="626"/>
      <c r="F510" s="630"/>
      <c r="G510" s="625" t="s">
        <v>766</v>
      </c>
      <c r="H510" s="626"/>
      <c r="I510" s="626"/>
      <c r="J510" s="626"/>
      <c r="K510" s="630"/>
      <c r="L510" s="82"/>
    </row>
    <row r="511" spans="1:12" ht="18.75" customHeight="1">
      <c r="A511" s="641"/>
      <c r="B511" s="634" t="str">
        <f>IFERROR(IF(INDEX('Coverage Indicators - Section D'!C$1:C$124,MATCH($A510,'Coverage Indicators - Section D'!$A$1:$A$124,0))&lt;&gt;0,INDEX('Coverage Indicators - Section D'!C$1:C$124,MATCH($A510,'Coverage Indicators - Section D'!$A$1:$A$124,0)),""),"")</f>
        <v>KP-1d Percentage of people who inject drugs reached with HIV prevention programs - defined package of services</v>
      </c>
      <c r="C511" s="635"/>
      <c r="D511" s="635"/>
      <c r="E511" s="635"/>
      <c r="F511" s="636"/>
      <c r="G511" s="634" t="str">
        <f>IFERROR(IF(INDEX('Coverage Indicators - Section D'!D$1:D$124,MATCH($A510,'Coverage Indicators - Section D'!$A$1:$A$124,0))&lt;&gt;0,INDEX('Coverage Indicators - Section D'!D$1:D$124,MATCH($A510,'Coverage Indicators - Section D'!$A$1:$A$124,0)),""),"")</f>
        <v/>
      </c>
      <c r="H511" s="635"/>
      <c r="I511" s="635"/>
      <c r="J511" s="635"/>
      <c r="K511" s="636"/>
      <c r="L511" s="82"/>
    </row>
    <row r="512" spans="1:12" ht="18.75" customHeight="1">
      <c r="A512" s="641"/>
      <c r="B512" s="643"/>
      <c r="C512" s="644"/>
      <c r="D512" s="644"/>
      <c r="E512" s="644"/>
      <c r="F512" s="645"/>
      <c r="G512" s="643"/>
      <c r="H512" s="644"/>
      <c r="I512" s="644"/>
      <c r="J512" s="644"/>
      <c r="K512" s="645"/>
      <c r="L512" s="82"/>
    </row>
    <row r="513" spans="1:12" ht="18.75" customHeight="1">
      <c r="A513" s="641"/>
      <c r="B513" s="637"/>
      <c r="C513" s="638"/>
      <c r="D513" s="638"/>
      <c r="E513" s="638"/>
      <c r="F513" s="639"/>
      <c r="G513" s="637"/>
      <c r="H513" s="638"/>
      <c r="I513" s="638"/>
      <c r="J513" s="638"/>
      <c r="K513" s="639"/>
      <c r="L513" s="82"/>
    </row>
    <row r="514" spans="1:12" ht="18.75" customHeight="1">
      <c r="A514" s="641"/>
      <c r="B514" s="625" t="s">
        <v>769</v>
      </c>
      <c r="C514" s="626"/>
      <c r="D514" s="630"/>
      <c r="E514" s="625" t="s">
        <v>216</v>
      </c>
      <c r="F514" s="626"/>
      <c r="G514" s="630"/>
      <c r="H514" s="625" t="s">
        <v>127</v>
      </c>
      <c r="I514" s="626"/>
      <c r="J514" s="630"/>
      <c r="K514" s="89" t="s">
        <v>2204</v>
      </c>
      <c r="L514" s="82"/>
    </row>
    <row r="515" spans="1:12" ht="18.75" customHeight="1">
      <c r="A515" s="641"/>
      <c r="B515" s="631" t="str">
        <f>IFERROR(IF(INDEX('Coverage Indicators - Section D'!I$9:I$92,MATCH($A510,'Coverage Indicators - Section D'!$A$9:$A$92,0))&lt;&gt;0,INDEX('Coverage Indicators - Section D'!I$9:I$92,MATCH($A510,'Coverage Indicators - Section D'!$A$9:$A$92,0)),""),"")</f>
        <v>Gender,Age</v>
      </c>
      <c r="C515" s="632"/>
      <c r="D515" s="633"/>
      <c r="E515" s="631" t="str">
        <f>IFERROR(IF(INDEX('Coverage Indicators - Section D'!M$1:M$124,MATCH($A510,'Coverage Indicators - Section D'!$A$1:$A$124,0))&lt;&gt;0,INDEX('Coverage Indicators - Section D'!M$1:M$124,MATCH($A510,'Coverage Indicators - Section D'!$A$1:$A$124,0)),""),"")</f>
        <v>Non cumulative</v>
      </c>
      <c r="F515" s="632"/>
      <c r="G515" s="633"/>
      <c r="H515" s="631" t="str">
        <f>IFERROR(IF(INDEX('Coverage Indicators - Section D'!L$1:L$124,MATCH($A510,'Coverage Indicators - Section D'!$A$1:$A$124,0))&lt;&gt;0,INDEX('Coverage Indicators - Section D'!L$1:L$124,MATCH($A510,'Coverage Indicators - Section D'!$A$1:$A$124,0)),""),"")</f>
        <v>Congo (Democratic Republic)</v>
      </c>
      <c r="I515" s="632"/>
      <c r="J515" s="633"/>
      <c r="K515" s="90" t="str">
        <f>IFERROR(IF(INDEX('Coverage Indicators - Section D'!J$1:J$124,MATCH($A510,'Coverage Indicators - Section D'!$A$1:$A$124,0))&lt;&gt;0,INDEX('Coverage Indicators - Section D'!J$1:J$124,MATCH($A510,'Coverage Indicators - Section D'!$A$1:$A$124,0)),""),"")</f>
        <v>Yes</v>
      </c>
      <c r="L515" s="82"/>
    </row>
    <row r="516" spans="1:12" ht="18.75" customHeight="1">
      <c r="A516" s="641"/>
      <c r="B516" s="625" t="s">
        <v>199</v>
      </c>
      <c r="C516" s="626"/>
      <c r="D516" s="630"/>
      <c r="E516" s="625" t="s">
        <v>5060</v>
      </c>
      <c r="F516" s="626"/>
      <c r="G516" s="630"/>
      <c r="H516" s="625" t="s">
        <v>120</v>
      </c>
      <c r="I516" s="626"/>
      <c r="J516" s="626"/>
      <c r="K516" s="630"/>
      <c r="L516" s="82"/>
    </row>
    <row r="517" spans="1:12" ht="18.75" customHeight="1">
      <c r="A517" s="641"/>
      <c r="B517" s="634" t="str">
        <f>IFERROR(IF(INDEX('Coverage Indicators - Section D'!H$1:H$124,MATCH($A510,'Coverage Indicators - Section D'!$A$1:$A$124,0))&lt;&gt;0,INDEX('Coverage Indicators - Section D'!H$1:H$124,MATCH($A510,'Coverage Indicators - Section D'!$A$1:$A$124,0)),""),"")</f>
        <v>HIV program annual report</v>
      </c>
      <c r="C517" s="635"/>
      <c r="D517" s="636"/>
      <c r="E517" s="634" t="str">
        <f>IFERROR(IF(INDEX('Coverage Indicators - Section D'!L$1:L$124,MATCH($A510,'Coverage Indicators - Section D'!$A$1:$A$124,0)+1)&lt;&gt;0,INDEX('Coverage Indicators - Section D'!L$1:L$124,MATCH($A510,'Coverage Indicators - Section D'!$A$1:$A$124,0)+1),""),"")</f>
        <v>Geographic National, 100% of national program target</v>
      </c>
      <c r="F517" s="635"/>
      <c r="G517" s="636"/>
      <c r="H517" s="634" t="str">
        <f ca="1">IFERROR(IF(AND('Overview - Section A'!AS$1="Grant Making",OR(B511&lt;&gt;"",G511&lt;&gt;"")),Setup!I15,IF(INDEX('Coverage Indicators - Section D'!K$1:K$124,MATCH($A510,'Coverage Indicators - Section D'!$A$1:$A$124,0))&lt;&gt;0,INDEX('Coverage Indicators - Section D'!K$1:K$124,MATCH($A510,'Coverage Indicators - Section D'!$A$1:$A$124,0)),"")),"")</f>
        <v>PR 2</v>
      </c>
      <c r="I517" s="635"/>
      <c r="J517" s="635"/>
      <c r="K517" s="636"/>
      <c r="L517" s="82"/>
    </row>
    <row r="518" spans="1:12" ht="18.75" customHeight="1">
      <c r="A518" s="641"/>
      <c r="B518" s="637"/>
      <c r="C518" s="638"/>
      <c r="D518" s="639"/>
      <c r="E518" s="637"/>
      <c r="F518" s="638"/>
      <c r="G518" s="639"/>
      <c r="H518" s="637"/>
      <c r="I518" s="638"/>
      <c r="J518" s="638"/>
      <c r="K518" s="639"/>
      <c r="L518" s="82"/>
    </row>
    <row r="519" spans="1:12" ht="18.75" customHeight="1">
      <c r="A519" s="641"/>
      <c r="B519" s="89"/>
      <c r="C519" s="89" t="s">
        <v>5052</v>
      </c>
      <c r="D519" s="625" t="s">
        <v>5053</v>
      </c>
      <c r="E519" s="626"/>
      <c r="F519" s="626"/>
      <c r="G519" s="626"/>
      <c r="H519" s="626"/>
      <c r="I519" s="626"/>
      <c r="J519" s="626"/>
      <c r="K519" s="630"/>
      <c r="L519" s="82"/>
    </row>
    <row r="520" spans="1:12" ht="18.75" customHeight="1">
      <c r="A520" s="641"/>
      <c r="B520" s="89" t="s">
        <v>2589</v>
      </c>
      <c r="C520" s="90">
        <f>IFERROR(IF(INDEX('Coverage Indicators - Section D'!G$1:G$124,MATCH($A510,'Coverage Indicators - Section D'!$A$1:$A$124,0))&lt;&gt;0,INDEX('Coverage Indicators - Section D'!G$1:G$124,MATCH($A510,'Coverage Indicators - Section D'!$A$1:$A$124,0)),""),"")</f>
        <v>2021</v>
      </c>
      <c r="D520"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520"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520"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520"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520"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520"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520"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520"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520" s="82"/>
    </row>
    <row r="521" spans="1:12" s="93" customFormat="1" ht="18.75" customHeight="1">
      <c r="A521" s="641"/>
      <c r="B521" s="89" t="s">
        <v>5054</v>
      </c>
      <c r="C521" s="91">
        <f>IFERROR(IF(INDEX('Coverage Indicators - Section D'!E$1:E$124,MATCH($A510,'Coverage Indicators - Section D'!$A$1:$A$124,0))&lt;&gt;"",INDEX('Coverage Indicators - Section D'!E$1:E$124,MATCH($A510,'Coverage Indicators - Section D'!$A$1:$A$124,0)),""),"")</f>
        <v>7550</v>
      </c>
      <c r="D521" s="91">
        <f ca="1">IFERROR(IF(INDEX('Coverage Indicators - Section D'!N$1:N$124,MATCH($A510,'Coverage Indicators - Section D'!$A$1:$A$124,0))&lt;&gt;"",INDEX('Coverage Indicators - Section D'!N$1:N$124,MATCH($A510,'Coverage Indicators - Section D'!$A$1:$A$124,0)),""),"")</f>
        <v>13120</v>
      </c>
      <c r="E521" s="91">
        <f ca="1">IFERROR(IF(INDEX('Coverage Indicators - Section D'!Q$1:Q$124,MATCH($A510,'Coverage Indicators - Section D'!$A$1:$A$124,0))&lt;&gt;"",INDEX('Coverage Indicators - Section D'!Q$1:Q$124,MATCH($A510,'Coverage Indicators - Section D'!$A$1:$A$124,0)),""),"")</f>
        <v>13120</v>
      </c>
      <c r="F521" s="91">
        <f ca="1">IFERROR(IF(INDEX('Coverage Indicators - Section D'!T$1:T$124,MATCH($A510,'Coverage Indicators - Section D'!$A$1:$A$124,0))&lt;&gt;"",INDEX('Coverage Indicators - Section D'!T$1:T$124,MATCH($A510,'Coverage Indicators - Section D'!$A$1:$A$124,0)),""),"")</f>
        <v>19530</v>
      </c>
      <c r="G521" s="91">
        <f ca="1">IFERROR(IF(INDEX('Coverage Indicators - Section D'!W$1:W$124,MATCH($A510,'Coverage Indicators - Section D'!$A$1:$A$124,0))&lt;&gt;"",INDEX('Coverage Indicators - Section D'!W$1:W$124,MATCH($A510,'Coverage Indicators - Section D'!$A$1:$A$124,0)),""),"")</f>
        <v>19530</v>
      </c>
      <c r="H521" s="91">
        <f ca="1">IFERROR(IF(INDEX('Coverage Indicators - Section D'!Z$1:Z$124,MATCH($A510,'Coverage Indicators - Section D'!$A$1:$A$124,0))&lt;&gt;"",INDEX('Coverage Indicators - Section D'!Z$1:Z$124,MATCH($A510,'Coverage Indicators - Section D'!$A$1:$A$124,0)),""),"")</f>
        <v>26394.5</v>
      </c>
      <c r="I521" s="91">
        <f ca="1">IFERROR(IF(INDEX('Coverage Indicators - Section D'!AC$1:AC$124,MATCH($A510,'Coverage Indicators - Section D'!$A$1:$A$124,0))&lt;&gt;"",INDEX('Coverage Indicators - Section D'!AC$1:AC$124,MATCH($A510,'Coverage Indicators - Section D'!$A$1:$A$124,0)),""),"")</f>
        <v>26394.5</v>
      </c>
      <c r="J521" s="91" t="str">
        <f ca="1">IFERROR(IF(INDEX('Coverage Indicators - Section D'!AF$1:AF$124,MATCH($A510,'Coverage Indicators - Section D'!$A$1:$A$124,0))&lt;&gt;"",INDEX('Coverage Indicators - Section D'!AF$1:AF$124,MATCH($A510,'Coverage Indicators - Section D'!$A$1:$A$124,0)),""),"")</f>
        <v/>
      </c>
      <c r="K521" s="91" t="str">
        <f ca="1">IFERROR(IF(INDEX('Coverage Indicators - Section D'!AI$1:AI$124,MATCH($A510,'Coverage Indicators - Section D'!$A$1:$A$124,0))&lt;&gt;"",INDEX('Coverage Indicators - Section D'!AI$1:AI$124,MATCH($A510,'Coverage Indicators - Section D'!$A$1:$A$124,0)),""),"")</f>
        <v/>
      </c>
      <c r="L521" s="92"/>
    </row>
    <row r="522" spans="1:12" s="96" customFormat="1" ht="18.75" customHeight="1">
      <c r="A522" s="641"/>
      <c r="B522" s="89" t="s">
        <v>5055</v>
      </c>
      <c r="C522" s="94">
        <f>IFERROR(IF(INDEX('Coverage Indicators - Section D'!E$1:E$124,MATCH($A510,'Coverage Indicators - Section D'!$A$1:$A$124,0)+1)&lt;&gt;"",INDEX('Coverage Indicators - Section D'!E$1:E$124,MATCH($A510,'Coverage Indicators - Section D'!$A$1:$A$124,0)+1),""),"")</f>
        <v>107034.985422741</v>
      </c>
      <c r="D522" s="94">
        <f ca="1">IFERROR(IF(INDEX('Coverage Indicators - Section D'!N$1:N$124,MATCH($A510,'Coverage Indicators - Section D'!$A$1:$A$124,0)+1)&lt;&gt;"",INDEX('Coverage Indicators - Section D'!N$1:N$124,MATCH($A510,'Coverage Indicators - Section D'!$A$1:$A$124,0)+1),""),"")</f>
        <v>110789</v>
      </c>
      <c r="E522" s="94">
        <f ca="1">IFERROR(IF(INDEX('Coverage Indicators - Section D'!Q$1:Q$124,MATCH($A510,'Coverage Indicators - Section D'!$A$1:$A$124,0)+1)&lt;&gt;"",INDEX('Coverage Indicators - Section D'!Q$1:Q$124,MATCH($A510,'Coverage Indicators - Section D'!$A$1:$A$124,0)+1),""),"")</f>
        <v>110789</v>
      </c>
      <c r="F522" s="94">
        <f ca="1">IFERROR(IF(INDEX('Coverage Indicators - Section D'!T$1:T$124,MATCH($A510,'Coverage Indicators - Section D'!$A$1:$A$124,0)+1)&lt;&gt;"",INDEX('Coverage Indicators - Section D'!T$1:T$124,MATCH($A510,'Coverage Indicators - Section D'!$A$1:$A$124,0)+1),""),"")</f>
        <v>114001.9</v>
      </c>
      <c r="G522" s="94">
        <f ca="1">IFERROR(IF(INDEX('Coverage Indicators - Section D'!W$1:W$124,MATCH($A510,'Coverage Indicators - Section D'!$A$1:$A$124,0)+1)&lt;&gt;"",INDEX('Coverage Indicators - Section D'!W$1:W$124,MATCH($A510,'Coverage Indicators - Section D'!$A$1:$A$124,0)+1),""),"")</f>
        <v>114001.9</v>
      </c>
      <c r="H522" s="94">
        <f ca="1">IFERROR(IF(INDEX('Coverage Indicators - Section D'!Z$1:Z$124,MATCH($A510,'Coverage Indicators - Section D'!$A$1:$A$124,0)+1)&lt;&gt;"",INDEX('Coverage Indicators - Section D'!Z$1:Z$124,MATCH($A510,'Coverage Indicators - Section D'!$A$1:$A$124,0)+1),""),"")</f>
        <v>117307.9</v>
      </c>
      <c r="I522" s="94">
        <f ca="1">IFERROR(IF(INDEX('Coverage Indicators - Section D'!AC$1:AC$124,MATCH($A510,'Coverage Indicators - Section D'!$A$1:$A$124,0)+1)&lt;&gt;"",INDEX('Coverage Indicators - Section D'!AC$1:AC$124,MATCH($A510,'Coverage Indicators - Section D'!$A$1:$A$124,0)+1),""),"")</f>
        <v>117307.9</v>
      </c>
      <c r="J522" s="94" t="str">
        <f ca="1">IFERROR(IF(INDEX('Coverage Indicators - Section D'!AF$1:AF$124,MATCH($A510,'Coverage Indicators - Section D'!$A$1:$A$124,0)+1)&lt;&gt;"",INDEX('Coverage Indicators - Section D'!AF$1:AF$124,MATCH($A510,'Coverage Indicators - Section D'!$A$1:$A$124,0)+1),""),"")</f>
        <v/>
      </c>
      <c r="K522" s="94" t="str">
        <f ca="1">IFERROR(IF(INDEX('Coverage Indicators - Section D'!AI$1:AI$124,MATCH($A510,'Coverage Indicators - Section D'!$A$1:$A$124,0)+1)&lt;&gt;"",INDEX('Coverage Indicators - Section D'!AI$1:AI$124,MATCH($A510,'Coverage Indicators - Section D'!$A$1:$A$124,0)+1),""),"")</f>
        <v/>
      </c>
      <c r="L522" s="95"/>
    </row>
    <row r="523" spans="1:12" ht="18.75" customHeight="1">
      <c r="A523" s="641"/>
      <c r="B523" s="89" t="s">
        <v>5056</v>
      </c>
      <c r="C523" s="90" t="str">
        <f ca="1">IFERROR(IF(INDEX('Coverage Indicators - Section D'!F$1:F$124,MATCH($A510,'Coverage Indicators - Section D'!$A$1:$A$124,0))&lt;&gt;"",FIXED(INDEX('Coverage Indicators - Section D'!F$1:F$124,MATCH($A510,'Coverage Indicators - Section D'!$A$1:$A$124,0))*100,2)&amp;"%",""),"")</f>
        <v>7.05%</v>
      </c>
      <c r="D523" s="90" t="str">
        <f>IFERROR(IF(INDEX('Coverage Indicators - Section D'!O$1:O$124,MATCH($A510,'Coverage Indicators - Section D'!$A$1:$A$124,0))&lt;&gt;"",FIXED(INDEX('Coverage Indicators - Section D'!O$1:O$124,MATCH($A510,'Coverage Indicators - Section D'!$A$1:$A$124,0))*100,2)&amp;"%",""),"")&amp;CHAR(10)&amp;IFERROR(IF(INDEX('Coverage Indicators - Section D'!P$1:P$124,MATCH($A510,'Coverage Indicators - Section D'!$A$1:$A$124,0))&lt;&gt;"",INDEX('Coverage Indicators - Section D'!P$1:P$124,MATCH($A510,'Coverage Indicators - Section D'!$A$1:$A$124,0)),""),"")</f>
        <v xml:space="preserve">11.84%
</v>
      </c>
      <c r="E523" s="90" t="str">
        <f>IFERROR(IF(INDEX('Coverage Indicators - Section D'!R$1:R$124,MATCH($A510,'Coverage Indicators - Section D'!$A$1:$A$124,0))&lt;&gt;"",FIXED(INDEX('Coverage Indicators - Section D'!R$1:R$124,MATCH($A510,'Coverage Indicators - Section D'!$A$1:$A$124,0))*100,2)&amp;"%",""),"")&amp;CHAR(10)&amp;IFERROR(IF(INDEX('Coverage Indicators - Section D'!S$1:S$124,MATCH($A510,'Coverage Indicators - Section D'!$A$1:$A$124,0))&lt;&gt;"",INDEX('Coverage Indicators - Section D'!S$1:S$124,MATCH($A510,'Coverage Indicators - Section D'!$A$1:$A$124,0)),""),"")</f>
        <v xml:space="preserve">11.84%
</v>
      </c>
      <c r="F523" s="90" t="str">
        <f>IFERROR(IF(INDEX('Coverage Indicators - Section D'!U$1:U$124,MATCH($A510,'Coverage Indicators - Section D'!$A$1:$A$124,0))&lt;&gt;"",FIXED(INDEX('Coverage Indicators - Section D'!U$1:U$124,MATCH($A510,'Coverage Indicators - Section D'!$A$1:$A$124,0))*100,2)&amp;"%",""),"")&amp;CHAR(10)&amp;IFERROR(IF(INDEX('Coverage Indicators - Section D'!V$1:V$124,MATCH($A510,'Coverage Indicators - Section D'!$A$1:$A$124,0))&lt;&gt;"",INDEX('Coverage Indicators - Section D'!V$1:V$124,MATCH($A510,'Coverage Indicators - Section D'!$A$1:$A$124,0)),""),"")</f>
        <v xml:space="preserve">17.13%
</v>
      </c>
      <c r="G523" s="90" t="str">
        <f>IFERROR(IF(INDEX('Coverage Indicators - Section D'!X$1:X$124,MATCH($A510,'Coverage Indicators - Section D'!$A$1:$A$124,0))&lt;&gt;"",FIXED(INDEX('Coverage Indicators - Section D'!X$1:X$124,MATCH($A510,'Coverage Indicators - Section D'!$A$1:$A$124,0))*100,2)&amp;"%",""),"")&amp;CHAR(10)&amp;IFERROR(IF(INDEX('Coverage Indicators - Section D'!Y$1:Y$124,MATCH($A510,'Coverage Indicators - Section D'!$A$1:$A$124,0))&lt;&gt;"",INDEX('Coverage Indicators - Section D'!Y$1:Y$124,MATCH($A510,'Coverage Indicators - Section D'!$A$1:$A$124,0)),""),"")</f>
        <v xml:space="preserve">17.13%
</v>
      </c>
      <c r="H523" s="90" t="str">
        <f>IFERROR(IF(INDEX('Coverage Indicators - Section D'!AA$1:AA$124,MATCH(A510,'Coverage Indicators - Section D'!$A$1:$A$124,0))&lt;&gt;"",FIXED(INDEX('Coverage Indicators - Section D'!AA$1:AA$124,MATCH($A510,'Coverage Indicators - Section D'!$A$1:$A$124,0))*100,2)&amp;"%",""),"")&amp;CHAR(10)&amp;IFERROR(IF(INDEX('Coverage Indicators - Section D'!AB$1:AB$124,MATCH($A510,'Coverage Indicators - Section D'!$A$1:$A$124,0))&lt;&gt;"",INDEX('Coverage Indicators - Section D'!AB$1:AB$124,MATCH($A510,'Coverage Indicators - Section D'!$A$1:$A$124,0)),""),"")</f>
        <v xml:space="preserve">22.50%
</v>
      </c>
      <c r="I523" s="90" t="str">
        <f>IFERROR(IF(INDEX('Coverage Indicators - Section D'!AD$1:AD$124,MATCH($A510,'Coverage Indicators - Section D'!$A$1:$A$124,0))&lt;&gt;"",FIXED(INDEX('Coverage Indicators - Section D'!AD$1:AD$124,MATCH($A510,'Coverage Indicators - Section D'!$A$1:$A$124,0))*100,2)&amp;"%",""),"")&amp;CHAR(10)&amp;IFERROR(IF(INDEX('Coverage Indicators - Section D'!AE$1:AE$124,MATCH($A510,'Coverage Indicators - Section D'!$A$1:$A$124,0))&lt;&gt;"",INDEX('Coverage Indicators - Section D'!AE$1:AE$124,MATCH($A510,'Coverage Indicators - Section D'!$A$1:$A$124,0)),""),"")</f>
        <v xml:space="preserve">22.50%
</v>
      </c>
      <c r="J523" s="90" t="str">
        <f>IFERROR(IF(INDEX('Coverage Indicators - Section D'!AG$1:AG$124,MATCH($A510,'Coverage Indicators - Section D'!$A$1:$A$124,0))&lt;&gt;"",FIXED(INDEX('Coverage Indicators - Section D'!AG$1:AG$124,MATCH($A510,'Coverage Indicators - Section D'!$A$1:$A$124,0))*100,2)&amp;"%",""),"")&amp;CHAR(10)&amp;IFERROR(IF(INDEX('Coverage Indicators - Section D'!AH$1:AH$124,MATCH($A510,'Coverage Indicators - Section D'!$A$1:$A$124,0))&lt;&gt;"",INDEX('Coverage Indicators - Section D'!AH$1:AH$124,MATCH($A510,'Coverage Indicators - Section D'!$A$1:$A$124,0)),""),"")</f>
        <v xml:space="preserve">
</v>
      </c>
      <c r="K523" s="90" t="str">
        <f>IFERROR(IF(INDEX('Coverage Indicators - Section D'!AJ$1:AJ$124,MATCH($A510,'Coverage Indicators - Section D'!$A$1:$A$124,0))&lt;&gt;"",FIXED(INDEX('Coverage Indicators - Section D'!AJ$1:AJ$124,MATCH($A510,'Coverage Indicators - Section D'!$A$1:$A$124,0))*100,2)&amp;"%",""),"")&amp;CHAR(10)&amp;IFERROR(IF(INDEX('Coverage Indicators - Section D'!AK$1:AK$124,MATCH($A510,'Coverage Indicators - Section D'!$A$1:$A$124,0))&lt;&gt;"",INDEX('Coverage Indicators - Section D'!AK$1:AK$124,MATCH($A510,'Coverage Indicators - Section D'!$A$1:$A$124,0)),""),"")</f>
        <v xml:space="preserve">
</v>
      </c>
      <c r="L523" s="82"/>
    </row>
    <row r="524" spans="1:12" ht="18.75" customHeight="1">
      <c r="A524" s="641"/>
      <c r="B524" s="625" t="s">
        <v>176</v>
      </c>
      <c r="C524" s="626"/>
      <c r="D524" s="626"/>
      <c r="E524" s="626"/>
      <c r="F524" s="626"/>
      <c r="G524" s="626"/>
      <c r="H524" s="626"/>
      <c r="I524" s="626"/>
      <c r="J524" s="626"/>
      <c r="K524" s="630"/>
      <c r="L524" s="82"/>
    </row>
    <row r="525" spans="1:12" ht="18.75" customHeight="1">
      <c r="A525" s="641"/>
      <c r="B525" s="634" t="str">
        <f>IFERROR(IF(INDEX('Coverage Indicators - Section D'!AL$1:AL$134,MATCH($A510,'Coverage Indicators - Section D'!$A$1:$A$134,0))&lt;&gt;0,INDEX('Coverage Indicators - Section D'!AL$1:AL$134,MATCH($A510,'Coverage Indicators - Section D'!$A$1:$A$134,0)),""),"")</f>
        <v>N: Number of IDUs who received a defined package of HIV prevention services
D: Estimated number of IDUs in the target area
The contribution of the GF to the prevention package will be: 15,744 in 2024; 22,320 in 2025 and 29,327 in 2026</v>
      </c>
      <c r="C525" s="635"/>
      <c r="D525" s="635"/>
      <c r="E525" s="635"/>
      <c r="F525" s="635"/>
      <c r="G525" s="635"/>
      <c r="H525" s="635"/>
      <c r="I525" s="635"/>
      <c r="J525" s="635"/>
      <c r="K525" s="636"/>
      <c r="L525" s="82"/>
    </row>
    <row r="526" spans="1:12" ht="18.75" customHeight="1">
      <c r="A526" s="641"/>
      <c r="B526" s="643"/>
      <c r="C526" s="644"/>
      <c r="D526" s="644"/>
      <c r="E526" s="644"/>
      <c r="F526" s="644"/>
      <c r="G526" s="644"/>
      <c r="H526" s="644"/>
      <c r="I526" s="644"/>
      <c r="J526" s="644"/>
      <c r="K526" s="645"/>
      <c r="L526" s="82"/>
    </row>
    <row r="527" spans="1:12" ht="18.75" customHeight="1">
      <c r="A527" s="641"/>
      <c r="B527" s="643"/>
      <c r="C527" s="644"/>
      <c r="D527" s="644"/>
      <c r="E527" s="644"/>
      <c r="F527" s="644"/>
      <c r="G527" s="644"/>
      <c r="H527" s="644"/>
      <c r="I527" s="644"/>
      <c r="J527" s="644"/>
      <c r="K527" s="645"/>
      <c r="L527" s="82"/>
    </row>
    <row r="528" spans="1:12" ht="18.75" customHeight="1">
      <c r="A528" s="641"/>
      <c r="B528" s="643"/>
      <c r="C528" s="644"/>
      <c r="D528" s="644"/>
      <c r="E528" s="644"/>
      <c r="F528" s="644"/>
      <c r="G528" s="644"/>
      <c r="H528" s="644"/>
      <c r="I528" s="644"/>
      <c r="J528" s="644"/>
      <c r="K528" s="645"/>
      <c r="L528" s="82"/>
    </row>
    <row r="529" spans="1:12" ht="18.75" customHeight="1">
      <c r="A529" s="641"/>
      <c r="B529" s="643"/>
      <c r="C529" s="644"/>
      <c r="D529" s="644"/>
      <c r="E529" s="644"/>
      <c r="F529" s="644"/>
      <c r="G529" s="644"/>
      <c r="H529" s="644"/>
      <c r="I529" s="644"/>
      <c r="J529" s="644"/>
      <c r="K529" s="645"/>
      <c r="L529" s="82"/>
    </row>
    <row r="530" spans="1:12" ht="18.75" customHeight="1">
      <c r="A530" s="641"/>
      <c r="B530" s="643"/>
      <c r="C530" s="644"/>
      <c r="D530" s="644"/>
      <c r="E530" s="644"/>
      <c r="F530" s="644"/>
      <c r="G530" s="644"/>
      <c r="H530" s="644"/>
      <c r="I530" s="644"/>
      <c r="J530" s="644"/>
      <c r="K530" s="645"/>
      <c r="L530" s="82"/>
    </row>
    <row r="531" spans="1:12" ht="18.75" customHeight="1">
      <c r="A531" s="641"/>
      <c r="B531" s="643"/>
      <c r="C531" s="644"/>
      <c r="D531" s="644"/>
      <c r="E531" s="644"/>
      <c r="F531" s="644"/>
      <c r="G531" s="644"/>
      <c r="H531" s="644"/>
      <c r="I531" s="644"/>
      <c r="J531" s="644"/>
      <c r="K531" s="645"/>
      <c r="L531" s="82"/>
    </row>
    <row r="532" spans="1:12" ht="18.75" customHeight="1">
      <c r="A532" s="641"/>
      <c r="B532" s="643"/>
      <c r="C532" s="644"/>
      <c r="D532" s="644"/>
      <c r="E532" s="644"/>
      <c r="F532" s="644"/>
      <c r="G532" s="644"/>
      <c r="H532" s="644"/>
      <c r="I532" s="644"/>
      <c r="J532" s="644"/>
      <c r="K532" s="645"/>
      <c r="L532" s="82"/>
    </row>
    <row r="533" spans="1:12" ht="18.75" customHeight="1">
      <c r="A533" s="641"/>
      <c r="B533" s="643"/>
      <c r="C533" s="644"/>
      <c r="D533" s="644"/>
      <c r="E533" s="644"/>
      <c r="F533" s="644"/>
      <c r="G533" s="644"/>
      <c r="H533" s="644"/>
      <c r="I533" s="644"/>
      <c r="J533" s="644"/>
      <c r="K533" s="645"/>
      <c r="L533" s="82"/>
    </row>
    <row r="534" spans="1:12" ht="18.75" customHeight="1">
      <c r="A534" s="642"/>
      <c r="B534" s="637"/>
      <c r="C534" s="638"/>
      <c r="D534" s="638"/>
      <c r="E534" s="638"/>
      <c r="F534" s="638"/>
      <c r="G534" s="638"/>
      <c r="H534" s="638"/>
      <c r="I534" s="638"/>
      <c r="J534" s="638"/>
      <c r="K534" s="639"/>
      <c r="L534" s="82"/>
    </row>
    <row r="535" spans="1:12" ht="18.75" customHeight="1">
      <c r="A535" s="625"/>
      <c r="B535" s="626"/>
      <c r="C535" s="626"/>
      <c r="D535" s="626"/>
      <c r="E535" s="626"/>
      <c r="F535" s="626"/>
      <c r="G535" s="626"/>
      <c r="H535" s="626"/>
      <c r="I535" s="626"/>
      <c r="J535" s="626"/>
      <c r="K535" s="630"/>
      <c r="L535" s="82"/>
    </row>
    <row r="537" spans="1:12" ht="18.75" customHeight="1">
      <c r="A537" s="89" t="s">
        <v>5051</v>
      </c>
      <c r="B537" s="625" t="s">
        <v>1077</v>
      </c>
      <c r="C537" s="630"/>
      <c r="D537" s="631" t="str">
        <f ca="1">IFERROR(IF(INDEX('Coverage Indicators - Section D'!B$1:B$124,MATCH($A538,'Coverage Indicators - Section D'!$A$1:$A$124,0))&lt;&gt;0,INDEX('Coverage Indicators - Section D'!B$1:B$124,MATCH($A538,'Coverage Indicators - Section D'!$A$1:$A$124,0)),""),"")</f>
        <v>Prevention package for people who use drugs (PUD) and their sexual partners</v>
      </c>
      <c r="E537" s="632"/>
      <c r="F537" s="632"/>
      <c r="G537" s="632"/>
      <c r="H537" s="632"/>
      <c r="I537" s="632"/>
      <c r="J537" s="632"/>
      <c r="K537" s="633"/>
      <c r="L537" s="82"/>
    </row>
    <row r="538" spans="1:12" ht="18.75" customHeight="1">
      <c r="A538" s="640">
        <v>20</v>
      </c>
      <c r="B538" s="625" t="s">
        <v>765</v>
      </c>
      <c r="C538" s="626"/>
      <c r="D538" s="626"/>
      <c r="E538" s="626"/>
      <c r="F538" s="630"/>
      <c r="G538" s="625" t="s">
        <v>766</v>
      </c>
      <c r="H538" s="626"/>
      <c r="I538" s="626"/>
      <c r="J538" s="626"/>
      <c r="K538" s="630"/>
      <c r="L538" s="82"/>
    </row>
    <row r="539" spans="1:12" ht="18.75" customHeight="1">
      <c r="A539" s="641"/>
      <c r="B539" s="634" t="str">
        <f>IFERROR(IF(INDEX('Coverage Indicators - Section D'!C$1:C$124,MATCH($A538,'Coverage Indicators - Section D'!$A$1:$A$124,0))&lt;&gt;0,INDEX('Coverage Indicators - Section D'!C$1:C$124,MATCH($A538,'Coverage Indicators - Section D'!$A$1:$A$124,0)),""),"")</f>
        <v>KP-6d Number of PWID who received any PrEP product at least once during the reporting period</v>
      </c>
      <c r="C539" s="635"/>
      <c r="D539" s="635"/>
      <c r="E539" s="635"/>
      <c r="F539" s="636"/>
      <c r="G539" s="634" t="str">
        <f>IFERROR(IF(INDEX('Coverage Indicators - Section D'!D$1:D$124,MATCH($A538,'Coverage Indicators - Section D'!$A$1:$A$124,0))&lt;&gt;0,INDEX('Coverage Indicators - Section D'!D$1:D$124,MATCH($A538,'Coverage Indicators - Section D'!$A$1:$A$124,0)),""),"")</f>
        <v/>
      </c>
      <c r="H539" s="635"/>
      <c r="I539" s="635"/>
      <c r="J539" s="635"/>
      <c r="K539" s="636"/>
      <c r="L539" s="82"/>
    </row>
    <row r="540" spans="1:12" ht="18.75" customHeight="1">
      <c r="A540" s="641"/>
      <c r="B540" s="643"/>
      <c r="C540" s="644"/>
      <c r="D540" s="644"/>
      <c r="E540" s="644"/>
      <c r="F540" s="645"/>
      <c r="G540" s="643"/>
      <c r="H540" s="644"/>
      <c r="I540" s="644"/>
      <c r="J540" s="644"/>
      <c r="K540" s="645"/>
      <c r="L540" s="82"/>
    </row>
    <row r="541" spans="1:12" ht="18.75" customHeight="1">
      <c r="A541" s="641"/>
      <c r="B541" s="637"/>
      <c r="C541" s="638"/>
      <c r="D541" s="638"/>
      <c r="E541" s="638"/>
      <c r="F541" s="639"/>
      <c r="G541" s="637"/>
      <c r="H541" s="638"/>
      <c r="I541" s="638"/>
      <c r="J541" s="638"/>
      <c r="K541" s="639"/>
      <c r="L541" s="82"/>
    </row>
    <row r="542" spans="1:12" ht="18.75" customHeight="1">
      <c r="A542" s="641"/>
      <c r="B542" s="625" t="s">
        <v>769</v>
      </c>
      <c r="C542" s="626"/>
      <c r="D542" s="630"/>
      <c r="E542" s="625" t="s">
        <v>216</v>
      </c>
      <c r="F542" s="626"/>
      <c r="G542" s="630"/>
      <c r="H542" s="625" t="s">
        <v>127</v>
      </c>
      <c r="I542" s="626"/>
      <c r="J542" s="630"/>
      <c r="K542" s="89" t="s">
        <v>2204</v>
      </c>
      <c r="L542" s="82"/>
    </row>
    <row r="543" spans="1:12" ht="18.75" customHeight="1">
      <c r="A543" s="641"/>
      <c r="B543" s="631" t="str">
        <f>IFERROR(IF(INDEX('Coverage Indicators - Section D'!I$9:I$92,MATCH($A538,'Coverage Indicators - Section D'!$A$9:$A$92,0))&lt;&gt;0,INDEX('Coverage Indicators - Section D'!I$9:I$92,MATCH($A538,'Coverage Indicators - Section D'!$A$9:$A$92,0)),""),"")</f>
        <v>PrEP product,Gender,Age</v>
      </c>
      <c r="C543" s="632"/>
      <c r="D543" s="633"/>
      <c r="E543" s="631" t="str">
        <f>IFERROR(IF(INDEX('Coverage Indicators - Section D'!M$1:M$124,MATCH($A538,'Coverage Indicators - Section D'!$A$1:$A$124,0))&lt;&gt;0,INDEX('Coverage Indicators - Section D'!M$1:M$124,MATCH($A538,'Coverage Indicators - Section D'!$A$1:$A$124,0)),""),"")</f>
        <v>Non cumulative</v>
      </c>
      <c r="F543" s="632"/>
      <c r="G543" s="633"/>
      <c r="H543" s="631" t="str">
        <f>IFERROR(IF(INDEX('Coverage Indicators - Section D'!L$1:L$124,MATCH($A538,'Coverage Indicators - Section D'!$A$1:$A$124,0))&lt;&gt;0,INDEX('Coverage Indicators - Section D'!L$1:L$124,MATCH($A538,'Coverage Indicators - Section D'!$A$1:$A$124,0)),""),"")</f>
        <v>Congo (Democratic Republic)</v>
      </c>
      <c r="I543" s="632"/>
      <c r="J543" s="633"/>
      <c r="K543" s="90" t="str">
        <f>IFERROR(IF(INDEX('Coverage Indicators - Section D'!J$1:J$124,MATCH($A538,'Coverage Indicators - Section D'!$A$1:$A$124,0))&lt;&gt;0,INDEX('Coverage Indicators - Section D'!J$1:J$124,MATCH($A538,'Coverage Indicators - Section D'!$A$1:$A$124,0)),""),"")</f>
        <v>Yes</v>
      </c>
      <c r="L543" s="82"/>
    </row>
    <row r="544" spans="1:12" ht="18.75" customHeight="1">
      <c r="A544" s="641"/>
      <c r="B544" s="625" t="s">
        <v>199</v>
      </c>
      <c r="C544" s="626"/>
      <c r="D544" s="630"/>
      <c r="E544" s="625" t="s">
        <v>5060</v>
      </c>
      <c r="F544" s="626"/>
      <c r="G544" s="630"/>
      <c r="H544" s="625" t="s">
        <v>120</v>
      </c>
      <c r="I544" s="626"/>
      <c r="J544" s="626"/>
      <c r="K544" s="630"/>
      <c r="L544" s="82"/>
    </row>
    <row r="545" spans="1:12" ht="18.75" customHeight="1">
      <c r="A545" s="641"/>
      <c r="B545" s="634" t="str">
        <f>IFERROR(IF(INDEX('Coverage Indicators - Section D'!H$1:H$124,MATCH($A538,'Coverage Indicators - Section D'!$A$1:$A$124,0))&lt;&gt;0,INDEX('Coverage Indicators - Section D'!H$1:H$124,MATCH($A538,'Coverage Indicators - Section D'!$A$1:$A$124,0)),""),"")</f>
        <v>Data Not Available</v>
      </c>
      <c r="C545" s="635"/>
      <c r="D545" s="636"/>
      <c r="E545" s="634" t="str">
        <f>IFERROR(IF(INDEX('Coverage Indicators - Section D'!L$1:L$124,MATCH($A538,'Coverage Indicators - Section D'!$A$1:$A$124,0)+1)&lt;&gt;0,INDEX('Coverage Indicators - Section D'!L$1:L$124,MATCH($A538,'Coverage Indicators - Section D'!$A$1:$A$124,0)+1),""),"")</f>
        <v>Geographic National, 100% of national program target</v>
      </c>
      <c r="F545" s="635"/>
      <c r="G545" s="636"/>
      <c r="H545" s="634" t="str">
        <f ca="1">IFERROR(IF(AND('Overview - Section A'!AS$1="Grant Making",OR(B539&lt;&gt;"",G539&lt;&gt;"")),Setup!I15,IF(INDEX('Coverage Indicators - Section D'!K$1:K$124,MATCH($A538,'Coverage Indicators - Section D'!$A$1:$A$124,0))&lt;&gt;0,INDEX('Coverage Indicators - Section D'!K$1:K$124,MATCH($A538,'Coverage Indicators - Section D'!$A$1:$A$124,0)),"")),"")</f>
        <v>PR 2</v>
      </c>
      <c r="I545" s="635"/>
      <c r="J545" s="635"/>
      <c r="K545" s="636"/>
      <c r="L545" s="82"/>
    </row>
    <row r="546" spans="1:12" ht="18.75" customHeight="1">
      <c r="A546" s="641"/>
      <c r="B546" s="637"/>
      <c r="C546" s="638"/>
      <c r="D546" s="639"/>
      <c r="E546" s="637"/>
      <c r="F546" s="638"/>
      <c r="G546" s="639"/>
      <c r="H546" s="637"/>
      <c r="I546" s="638"/>
      <c r="J546" s="638"/>
      <c r="K546" s="639"/>
      <c r="L546" s="82"/>
    </row>
    <row r="547" spans="1:12" ht="18.75" customHeight="1">
      <c r="A547" s="641"/>
      <c r="B547" s="89"/>
      <c r="C547" s="89" t="s">
        <v>5052</v>
      </c>
      <c r="D547" s="625" t="s">
        <v>5053</v>
      </c>
      <c r="E547" s="626"/>
      <c r="F547" s="626"/>
      <c r="G547" s="626"/>
      <c r="H547" s="626"/>
      <c r="I547" s="626"/>
      <c r="J547" s="626"/>
      <c r="K547" s="630"/>
      <c r="L547" s="82"/>
    </row>
    <row r="548" spans="1:12" ht="18.75" customHeight="1">
      <c r="A548" s="641"/>
      <c r="B548" s="89" t="s">
        <v>2589</v>
      </c>
      <c r="C548" s="90" t="str">
        <f>IFERROR(IF(INDEX('Coverage Indicators - Section D'!G$1:G$124,MATCH($A538,'Coverage Indicators - Section D'!$A$1:$A$124,0))&lt;&gt;0,INDEX('Coverage Indicators - Section D'!G$1:G$124,MATCH($A538,'Coverage Indicators - Section D'!$A$1:$A$124,0)),""),"")</f>
        <v/>
      </c>
      <c r="D548"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548"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548"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548"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548"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548"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548"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548"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548" s="82"/>
    </row>
    <row r="549" spans="1:12" s="93" customFormat="1" ht="18.75" customHeight="1">
      <c r="A549" s="641"/>
      <c r="B549" s="89" t="s">
        <v>5054</v>
      </c>
      <c r="C549" s="91" t="str">
        <f>IFERROR(IF(INDEX('Coverage Indicators - Section D'!E$1:E$124,MATCH($A538,'Coverage Indicators - Section D'!$A$1:$A$124,0))&lt;&gt;"",INDEX('Coverage Indicators - Section D'!E$1:E$124,MATCH($A538,'Coverage Indicators - Section D'!$A$1:$A$124,0)),""),"")</f>
        <v/>
      </c>
      <c r="D549" s="91">
        <f ca="1">IFERROR(IF(INDEX('Coverage Indicators - Section D'!N$1:N$124,MATCH($A538,'Coverage Indicators - Section D'!$A$1:$A$124,0))&lt;&gt;"",INDEX('Coverage Indicators - Section D'!N$1:N$124,MATCH($A538,'Coverage Indicators - Section D'!$A$1:$A$124,0)),""),"")</f>
        <v>2912</v>
      </c>
      <c r="E549" s="91">
        <f ca="1">IFERROR(IF(INDEX('Coverage Indicators - Section D'!Q$1:Q$124,MATCH($A538,'Coverage Indicators - Section D'!$A$1:$A$124,0))&lt;&gt;"",INDEX('Coverage Indicators - Section D'!Q$1:Q$124,MATCH($A538,'Coverage Indicators - Section D'!$A$1:$A$124,0)),""),"")</f>
        <v>3156.5</v>
      </c>
      <c r="F549" s="91">
        <f ca="1">IFERROR(IF(INDEX('Coverage Indicators - Section D'!T$1:T$124,MATCH($A538,'Coverage Indicators - Section D'!$A$1:$A$124,0))&lt;&gt;"",INDEX('Coverage Indicators - Section D'!T$1:T$124,MATCH($A538,'Coverage Indicators - Section D'!$A$1:$A$124,0)),""),"")</f>
        <v>3805</v>
      </c>
      <c r="G549" s="91">
        <f ca="1">IFERROR(IF(INDEX('Coverage Indicators - Section D'!W$1:W$124,MATCH($A538,'Coverage Indicators - Section D'!$A$1:$A$124,0))&lt;&gt;"",INDEX('Coverage Indicators - Section D'!W$1:W$124,MATCH($A538,'Coverage Indicators - Section D'!$A$1:$A$124,0)),""),"")</f>
        <v>4055</v>
      </c>
      <c r="H549" s="91">
        <f ca="1">IFERROR(IF(INDEX('Coverage Indicators - Section D'!Z$1:Z$124,MATCH($A538,'Coverage Indicators - Section D'!$A$1:$A$124,0))&lt;&gt;"",INDEX('Coverage Indicators - Section D'!Z$1:Z$124,MATCH($A538,'Coverage Indicators - Section D'!$A$1:$A$124,0)),""),"")</f>
        <v>4777</v>
      </c>
      <c r="I549" s="91">
        <f ca="1">IFERROR(IF(INDEX('Coverage Indicators - Section D'!AC$1:AC$124,MATCH($A538,'Coverage Indicators - Section D'!$A$1:$A$124,0))&lt;&gt;"",INDEX('Coverage Indicators - Section D'!AC$1:AC$124,MATCH($A538,'Coverage Indicators - Section D'!$A$1:$A$124,0)),""),"")</f>
        <v>5054.5</v>
      </c>
      <c r="J549" s="91" t="str">
        <f ca="1">IFERROR(IF(INDEX('Coverage Indicators - Section D'!AF$1:AF$124,MATCH($A538,'Coverage Indicators - Section D'!$A$1:$A$124,0))&lt;&gt;"",INDEX('Coverage Indicators - Section D'!AF$1:AF$124,MATCH($A538,'Coverage Indicators - Section D'!$A$1:$A$124,0)),""),"")</f>
        <v/>
      </c>
      <c r="K549" s="91" t="str">
        <f ca="1">IFERROR(IF(INDEX('Coverage Indicators - Section D'!AI$1:AI$124,MATCH($A538,'Coverage Indicators - Section D'!$A$1:$A$124,0))&lt;&gt;"",INDEX('Coverage Indicators - Section D'!AI$1:AI$124,MATCH($A538,'Coverage Indicators - Section D'!$A$1:$A$124,0)),""),"")</f>
        <v/>
      </c>
      <c r="L549" s="92"/>
    </row>
    <row r="550" spans="1:12" s="96" customFormat="1" ht="18.75" customHeight="1">
      <c r="A550" s="641"/>
      <c r="B550" s="89" t="s">
        <v>5055</v>
      </c>
      <c r="C550" s="94" t="str">
        <f>IFERROR(IF(INDEX('Coverage Indicators - Section D'!E$1:E$124,MATCH($A538,'Coverage Indicators - Section D'!$A$1:$A$124,0)+1)&lt;&gt;"",INDEX('Coverage Indicators - Section D'!E$1:E$124,MATCH($A538,'Coverage Indicators - Section D'!$A$1:$A$124,0)+1),""),"")</f>
        <v/>
      </c>
      <c r="D550" s="94">
        <f ca="1">IFERROR(IF(INDEX('Coverage Indicators - Section D'!N$1:N$124,MATCH($A538,'Coverage Indicators - Section D'!$A$1:$A$124,0)+1)&lt;&gt;"",INDEX('Coverage Indicators - Section D'!N$1:N$124,MATCH($A538,'Coverage Indicators - Section D'!$A$1:$A$124,0)+1),""),"")</f>
        <v>8893</v>
      </c>
      <c r="E550" s="94">
        <f ca="1">IFERROR(IF(INDEX('Coverage Indicators - Section D'!Q$1:Q$124,MATCH($A538,'Coverage Indicators - Section D'!$A$1:$A$124,0)+1)&lt;&gt;"",INDEX('Coverage Indicators - Section D'!Q$1:Q$124,MATCH($A538,'Coverage Indicators - Section D'!$A$1:$A$124,0)+1),""),"")</f>
        <v>8893</v>
      </c>
      <c r="F550" s="94">
        <f ca="1">IFERROR(IF(INDEX('Coverage Indicators - Section D'!T$1:T$124,MATCH($A538,'Coverage Indicators - Section D'!$A$1:$A$124,0)+1)&lt;&gt;"",INDEX('Coverage Indicators - Section D'!T$1:T$124,MATCH($A538,'Coverage Indicators - Section D'!$A$1:$A$124,0)+1),""),"")</f>
        <v>10013</v>
      </c>
      <c r="G550" s="94">
        <f ca="1">IFERROR(IF(INDEX('Coverage Indicators - Section D'!W$1:W$124,MATCH($A538,'Coverage Indicators - Section D'!$A$1:$A$124,0)+1)&lt;&gt;"",INDEX('Coverage Indicators - Section D'!W$1:W$124,MATCH($A538,'Coverage Indicators - Section D'!$A$1:$A$124,0)+1),""),"")</f>
        <v>10013</v>
      </c>
      <c r="H550" s="94">
        <f ca="1">IFERROR(IF(INDEX('Coverage Indicators - Section D'!Z$1:Z$124,MATCH($A538,'Coverage Indicators - Section D'!$A$1:$A$124,0)+1)&lt;&gt;"",INDEX('Coverage Indicators - Section D'!Z$1:Z$124,MATCH($A538,'Coverage Indicators - Section D'!$A$1:$A$124,0)+1),""),"")</f>
        <v>11109</v>
      </c>
      <c r="I550" s="94">
        <f ca="1">IFERROR(IF(INDEX('Coverage Indicators - Section D'!AC$1:AC$124,MATCH($A538,'Coverage Indicators - Section D'!$A$1:$A$124,0)+1)&lt;&gt;"",INDEX('Coverage Indicators - Section D'!AC$1:AC$124,MATCH($A538,'Coverage Indicators - Section D'!$A$1:$A$124,0)+1),""),"")</f>
        <v>11109</v>
      </c>
      <c r="J550" s="94" t="str">
        <f ca="1">IFERROR(IF(INDEX('Coverage Indicators - Section D'!AF$1:AF$124,MATCH($A538,'Coverage Indicators - Section D'!$A$1:$A$124,0)+1)&lt;&gt;"",INDEX('Coverage Indicators - Section D'!AF$1:AF$124,MATCH($A538,'Coverage Indicators - Section D'!$A$1:$A$124,0)+1),""),"")</f>
        <v/>
      </c>
      <c r="K550" s="94" t="str">
        <f ca="1">IFERROR(IF(INDEX('Coverage Indicators - Section D'!AI$1:AI$124,MATCH($A538,'Coverage Indicators - Section D'!$A$1:$A$124,0)+1)&lt;&gt;"",INDEX('Coverage Indicators - Section D'!AI$1:AI$124,MATCH($A538,'Coverage Indicators - Section D'!$A$1:$A$124,0)+1),""),"")</f>
        <v/>
      </c>
      <c r="L550" s="95"/>
    </row>
    <row r="551" spans="1:12" ht="18.75" customHeight="1">
      <c r="A551" s="641"/>
      <c r="B551" s="89" t="s">
        <v>5056</v>
      </c>
      <c r="C551" s="90" t="str">
        <f ca="1">IFERROR(IF(INDEX('Coverage Indicators - Section D'!F$1:F$124,MATCH($A538,'Coverage Indicators - Section D'!$A$1:$A$124,0))&lt;&gt;"",FIXED(INDEX('Coverage Indicators - Section D'!F$1:F$124,MATCH($A538,'Coverage Indicators - Section D'!$A$1:$A$124,0))*100,2)&amp;"%",""),"")</f>
        <v/>
      </c>
      <c r="D551" s="90" t="str">
        <f>IFERROR(IF(INDEX('Coverage Indicators - Section D'!O$1:O$124,MATCH($A538,'Coverage Indicators - Section D'!$A$1:$A$124,0))&lt;&gt;"",FIXED(INDEX('Coverage Indicators - Section D'!O$1:O$124,MATCH($A538,'Coverage Indicators - Section D'!$A$1:$A$124,0))*100,2)&amp;"%",""),"")&amp;CHAR(10)&amp;IFERROR(IF(INDEX('Coverage Indicators - Section D'!P$1:P$124,MATCH($A538,'Coverage Indicators - Section D'!$A$1:$A$124,0))&lt;&gt;"",INDEX('Coverage Indicators - Section D'!P$1:P$124,MATCH($A538,'Coverage Indicators - Section D'!$A$1:$A$124,0)),""),"")</f>
        <v xml:space="preserve">32.74%
</v>
      </c>
      <c r="E551" s="90" t="str">
        <f>IFERROR(IF(INDEX('Coverage Indicators - Section D'!R$1:R$124,MATCH($A538,'Coverage Indicators - Section D'!$A$1:$A$124,0))&lt;&gt;"",FIXED(INDEX('Coverage Indicators - Section D'!R$1:R$124,MATCH($A538,'Coverage Indicators - Section D'!$A$1:$A$124,0))*100,2)&amp;"%",""),"")&amp;CHAR(10)&amp;IFERROR(IF(INDEX('Coverage Indicators - Section D'!S$1:S$124,MATCH($A538,'Coverage Indicators - Section D'!$A$1:$A$124,0))&lt;&gt;"",INDEX('Coverage Indicators - Section D'!S$1:S$124,MATCH($A538,'Coverage Indicators - Section D'!$A$1:$A$124,0)),""),"")</f>
        <v xml:space="preserve">35.49%
</v>
      </c>
      <c r="F551" s="90" t="str">
        <f>IFERROR(IF(INDEX('Coverage Indicators - Section D'!U$1:U$124,MATCH($A538,'Coverage Indicators - Section D'!$A$1:$A$124,0))&lt;&gt;"",FIXED(INDEX('Coverage Indicators - Section D'!U$1:U$124,MATCH($A538,'Coverage Indicators - Section D'!$A$1:$A$124,0))*100,2)&amp;"%",""),"")&amp;CHAR(10)&amp;IFERROR(IF(INDEX('Coverage Indicators - Section D'!V$1:V$124,MATCH($A538,'Coverage Indicators - Section D'!$A$1:$A$124,0))&lt;&gt;"",INDEX('Coverage Indicators - Section D'!V$1:V$124,MATCH($A538,'Coverage Indicators - Section D'!$A$1:$A$124,0)),""),"")</f>
        <v xml:space="preserve">38.00%
</v>
      </c>
      <c r="G551" s="90" t="str">
        <f>IFERROR(IF(INDEX('Coverage Indicators - Section D'!X$1:X$124,MATCH($A538,'Coverage Indicators - Section D'!$A$1:$A$124,0))&lt;&gt;"",FIXED(INDEX('Coverage Indicators - Section D'!X$1:X$124,MATCH($A538,'Coverage Indicators - Section D'!$A$1:$A$124,0))*100,2)&amp;"%",""),"")&amp;CHAR(10)&amp;IFERROR(IF(INDEX('Coverage Indicators - Section D'!Y$1:Y$124,MATCH($A538,'Coverage Indicators - Section D'!$A$1:$A$124,0))&lt;&gt;"",INDEX('Coverage Indicators - Section D'!Y$1:Y$124,MATCH($A538,'Coverage Indicators - Section D'!$A$1:$A$124,0)),""),"")</f>
        <v xml:space="preserve">40.50%
</v>
      </c>
      <c r="H551" s="90" t="str">
        <f>IFERROR(IF(INDEX('Coverage Indicators - Section D'!AA$1:AA$124,MATCH(A538,'Coverage Indicators - Section D'!$A$1:$A$124,0))&lt;&gt;"",FIXED(INDEX('Coverage Indicators - Section D'!AA$1:AA$124,MATCH($A538,'Coverage Indicators - Section D'!$A$1:$A$124,0))*100,2)&amp;"%",""),"")&amp;CHAR(10)&amp;IFERROR(IF(INDEX('Coverage Indicators - Section D'!AB$1:AB$124,MATCH($A538,'Coverage Indicators - Section D'!$A$1:$A$124,0))&lt;&gt;"",INDEX('Coverage Indicators - Section D'!AB$1:AB$124,MATCH($A538,'Coverage Indicators - Section D'!$A$1:$A$124,0)),""),"")</f>
        <v xml:space="preserve">43.00%
</v>
      </c>
      <c r="I551" s="90" t="str">
        <f>IFERROR(IF(INDEX('Coverage Indicators - Section D'!AD$1:AD$124,MATCH($A538,'Coverage Indicators - Section D'!$A$1:$A$124,0))&lt;&gt;"",FIXED(INDEX('Coverage Indicators - Section D'!AD$1:AD$124,MATCH($A538,'Coverage Indicators - Section D'!$A$1:$A$124,0))*100,2)&amp;"%",""),"")&amp;CHAR(10)&amp;IFERROR(IF(INDEX('Coverage Indicators - Section D'!AE$1:AE$124,MATCH($A538,'Coverage Indicators - Section D'!$A$1:$A$124,0))&lt;&gt;"",INDEX('Coverage Indicators - Section D'!AE$1:AE$124,MATCH($A538,'Coverage Indicators - Section D'!$A$1:$A$124,0)),""),"")</f>
        <v xml:space="preserve">45.50%
</v>
      </c>
      <c r="J551" s="90" t="str">
        <f>IFERROR(IF(INDEX('Coverage Indicators - Section D'!AG$1:AG$124,MATCH($A538,'Coverage Indicators - Section D'!$A$1:$A$124,0))&lt;&gt;"",FIXED(INDEX('Coverage Indicators - Section D'!AG$1:AG$124,MATCH($A538,'Coverage Indicators - Section D'!$A$1:$A$124,0))*100,2)&amp;"%",""),"")&amp;CHAR(10)&amp;IFERROR(IF(INDEX('Coverage Indicators - Section D'!AH$1:AH$124,MATCH($A538,'Coverage Indicators - Section D'!$A$1:$A$124,0))&lt;&gt;"",INDEX('Coverage Indicators - Section D'!AH$1:AH$124,MATCH($A538,'Coverage Indicators - Section D'!$A$1:$A$124,0)),""),"")</f>
        <v xml:space="preserve">
</v>
      </c>
      <c r="K551" s="90" t="str">
        <f>IFERROR(IF(INDEX('Coverage Indicators - Section D'!AJ$1:AJ$124,MATCH($A538,'Coverage Indicators - Section D'!$A$1:$A$124,0))&lt;&gt;"",FIXED(INDEX('Coverage Indicators - Section D'!AJ$1:AJ$124,MATCH($A538,'Coverage Indicators - Section D'!$A$1:$A$124,0))*100,2)&amp;"%",""),"")&amp;CHAR(10)&amp;IFERROR(IF(INDEX('Coverage Indicators - Section D'!AK$1:AK$124,MATCH($A538,'Coverage Indicators - Section D'!$A$1:$A$124,0))&lt;&gt;"",INDEX('Coverage Indicators - Section D'!AK$1:AK$124,MATCH($A538,'Coverage Indicators - Section D'!$A$1:$A$124,0)),""),"")</f>
        <v xml:space="preserve">
</v>
      </c>
      <c r="L551" s="82"/>
    </row>
    <row r="552" spans="1:12" ht="18.75" customHeight="1">
      <c r="A552" s="641"/>
      <c r="B552" s="625" t="s">
        <v>176</v>
      </c>
      <c r="C552" s="626"/>
      <c r="D552" s="626"/>
      <c r="E552" s="626"/>
      <c r="F552" s="626"/>
      <c r="G552" s="626"/>
      <c r="H552" s="626"/>
      <c r="I552" s="626"/>
      <c r="J552" s="626"/>
      <c r="K552" s="630"/>
      <c r="L552" s="82"/>
    </row>
    <row r="553" spans="1:12" ht="18.75" customHeight="1">
      <c r="A553" s="641"/>
      <c r="B553" s="634" t="str">
        <f>IFERROR(IF(INDEX('Coverage Indicators - Section D'!AL$1:AL$134,MATCH($A538,'Coverage Indicators - Section D'!$A$1:$A$134,0))&lt;&gt;0,INDEX('Coverage Indicators - Section D'!AL$1:AL$134,MATCH($A538,'Coverage Indicators - Section D'!$A$1:$A$134,0)),""),"")</f>
        <v>PrEP for IDUs is a new activity in the country.
The GF contribution to PrEP will be: 2.223 in 2024, 3.004 in 2025 and 3.888 in 2026. An annual increase of 5%.</v>
      </c>
      <c r="C553" s="635"/>
      <c r="D553" s="635"/>
      <c r="E553" s="635"/>
      <c r="F553" s="635"/>
      <c r="G553" s="635"/>
      <c r="H553" s="635"/>
      <c r="I553" s="635"/>
      <c r="J553" s="635"/>
      <c r="K553" s="636"/>
      <c r="L553" s="82"/>
    </row>
    <row r="554" spans="1:12" ht="18.75" customHeight="1">
      <c r="A554" s="641"/>
      <c r="B554" s="643"/>
      <c r="C554" s="644"/>
      <c r="D554" s="644"/>
      <c r="E554" s="644"/>
      <c r="F554" s="644"/>
      <c r="G554" s="644"/>
      <c r="H554" s="644"/>
      <c r="I554" s="644"/>
      <c r="J554" s="644"/>
      <c r="K554" s="645"/>
      <c r="L554" s="82"/>
    </row>
    <row r="555" spans="1:12" ht="18.75" customHeight="1">
      <c r="A555" s="641"/>
      <c r="B555" s="643"/>
      <c r="C555" s="644"/>
      <c r="D555" s="644"/>
      <c r="E555" s="644"/>
      <c r="F555" s="644"/>
      <c r="G555" s="644"/>
      <c r="H555" s="644"/>
      <c r="I555" s="644"/>
      <c r="J555" s="644"/>
      <c r="K555" s="645"/>
      <c r="L555" s="82"/>
    </row>
    <row r="556" spans="1:12" ht="18.75" customHeight="1">
      <c r="A556" s="641"/>
      <c r="B556" s="643"/>
      <c r="C556" s="644"/>
      <c r="D556" s="644"/>
      <c r="E556" s="644"/>
      <c r="F556" s="644"/>
      <c r="G556" s="644"/>
      <c r="H556" s="644"/>
      <c r="I556" s="644"/>
      <c r="J556" s="644"/>
      <c r="K556" s="645"/>
      <c r="L556" s="82"/>
    </row>
    <row r="557" spans="1:12" ht="18.75" customHeight="1">
      <c r="A557" s="641"/>
      <c r="B557" s="643"/>
      <c r="C557" s="644"/>
      <c r="D557" s="644"/>
      <c r="E557" s="644"/>
      <c r="F557" s="644"/>
      <c r="G557" s="644"/>
      <c r="H557" s="644"/>
      <c r="I557" s="644"/>
      <c r="J557" s="644"/>
      <c r="K557" s="645"/>
      <c r="L557" s="82"/>
    </row>
    <row r="558" spans="1:12" ht="18.75" customHeight="1">
      <c r="A558" s="641"/>
      <c r="B558" s="643"/>
      <c r="C558" s="644"/>
      <c r="D558" s="644"/>
      <c r="E558" s="644"/>
      <c r="F558" s="644"/>
      <c r="G558" s="644"/>
      <c r="H558" s="644"/>
      <c r="I558" s="644"/>
      <c r="J558" s="644"/>
      <c r="K558" s="645"/>
      <c r="L558" s="82"/>
    </row>
    <row r="559" spans="1:12" ht="18.75" customHeight="1">
      <c r="A559" s="641"/>
      <c r="B559" s="643"/>
      <c r="C559" s="644"/>
      <c r="D559" s="644"/>
      <c r="E559" s="644"/>
      <c r="F559" s="644"/>
      <c r="G559" s="644"/>
      <c r="H559" s="644"/>
      <c r="I559" s="644"/>
      <c r="J559" s="644"/>
      <c r="K559" s="645"/>
      <c r="L559" s="82"/>
    </row>
    <row r="560" spans="1:12" ht="18.75" customHeight="1">
      <c r="A560" s="641"/>
      <c r="B560" s="643"/>
      <c r="C560" s="644"/>
      <c r="D560" s="644"/>
      <c r="E560" s="644"/>
      <c r="F560" s="644"/>
      <c r="G560" s="644"/>
      <c r="H560" s="644"/>
      <c r="I560" s="644"/>
      <c r="J560" s="644"/>
      <c r="K560" s="645"/>
      <c r="L560" s="82"/>
    </row>
    <row r="561" spans="1:12" ht="18.75" customHeight="1">
      <c r="A561" s="641"/>
      <c r="B561" s="643"/>
      <c r="C561" s="644"/>
      <c r="D561" s="644"/>
      <c r="E561" s="644"/>
      <c r="F561" s="644"/>
      <c r="G561" s="644"/>
      <c r="H561" s="644"/>
      <c r="I561" s="644"/>
      <c r="J561" s="644"/>
      <c r="K561" s="645"/>
      <c r="L561" s="82"/>
    </row>
    <row r="562" spans="1:12" ht="18.75" customHeight="1">
      <c r="A562" s="642"/>
      <c r="B562" s="637"/>
      <c r="C562" s="638"/>
      <c r="D562" s="638"/>
      <c r="E562" s="638"/>
      <c r="F562" s="638"/>
      <c r="G562" s="638"/>
      <c r="H562" s="638"/>
      <c r="I562" s="638"/>
      <c r="J562" s="638"/>
      <c r="K562" s="639"/>
      <c r="L562" s="82"/>
    </row>
    <row r="563" spans="1:12" ht="18.75" customHeight="1">
      <c r="A563" s="625"/>
      <c r="B563" s="626"/>
      <c r="C563" s="626"/>
      <c r="D563" s="626"/>
      <c r="E563" s="626"/>
      <c r="F563" s="626"/>
      <c r="G563" s="626"/>
      <c r="H563" s="626"/>
      <c r="I563" s="626"/>
      <c r="J563" s="626"/>
      <c r="K563" s="630"/>
      <c r="L563" s="82"/>
    </row>
    <row r="565" spans="1:12" ht="18.75" customHeight="1">
      <c r="A565" s="89" t="s">
        <v>5051</v>
      </c>
      <c r="B565" s="625" t="s">
        <v>1077</v>
      </c>
      <c r="C565" s="630"/>
      <c r="D565" s="631" t="str">
        <f ca="1">IFERROR(IF(INDEX('Coverage Indicators - Section D'!B$1:B$124,MATCH($A566,'Coverage Indicators - Section D'!$A$1:$A$124,0))&lt;&gt;0,INDEX('Coverage Indicators - Section D'!B$1:B$124,MATCH($A566,'Coverage Indicators - Section D'!$A$1:$A$124,0)),""),"")</f>
        <v>Prevention package for people in prisons and other closed settings</v>
      </c>
      <c r="E565" s="632"/>
      <c r="F565" s="632"/>
      <c r="G565" s="632"/>
      <c r="H565" s="632"/>
      <c r="I565" s="632"/>
      <c r="J565" s="632"/>
      <c r="K565" s="633"/>
      <c r="L565" s="82"/>
    </row>
    <row r="566" spans="1:12" ht="18.75" customHeight="1">
      <c r="A566" s="640">
        <v>21</v>
      </c>
      <c r="B566" s="625" t="s">
        <v>765</v>
      </c>
      <c r="C566" s="626"/>
      <c r="D566" s="626"/>
      <c r="E566" s="626"/>
      <c r="F566" s="630"/>
      <c r="G566" s="625" t="s">
        <v>766</v>
      </c>
      <c r="H566" s="626"/>
      <c r="I566" s="626"/>
      <c r="J566" s="626"/>
      <c r="K566" s="630"/>
      <c r="L566" s="82"/>
    </row>
    <row r="567" spans="1:12" ht="18.75" customHeight="1">
      <c r="A567" s="641"/>
      <c r="B567" s="634" t="str">
        <f>IFERROR(IF(INDEX('Coverage Indicators - Section D'!C$1:C$124,MATCH($A566,'Coverage Indicators - Section D'!$A$1:$A$124,0))&lt;&gt;0,INDEX('Coverage Indicators - Section D'!C$1:C$124,MATCH($A566,'Coverage Indicators - Section D'!$A$1:$A$124,0)),""),"")</f>
        <v>KP-1f Number of people in prisons and other closed settings reached with HIV prevention programs - defined package of services</v>
      </c>
      <c r="C567" s="635"/>
      <c r="D567" s="635"/>
      <c r="E567" s="635"/>
      <c r="F567" s="636"/>
      <c r="G567" s="634" t="str">
        <f>IFERROR(IF(INDEX('Coverage Indicators - Section D'!D$1:D$124,MATCH($A566,'Coverage Indicators - Section D'!$A$1:$A$124,0))&lt;&gt;0,INDEX('Coverage Indicators - Section D'!D$1:D$124,MATCH($A566,'Coverage Indicators - Section D'!$A$1:$A$124,0)),""),"")</f>
        <v/>
      </c>
      <c r="H567" s="635"/>
      <c r="I567" s="635"/>
      <c r="J567" s="635"/>
      <c r="K567" s="636"/>
      <c r="L567" s="82"/>
    </row>
    <row r="568" spans="1:12" ht="18.75" customHeight="1">
      <c r="A568" s="641"/>
      <c r="B568" s="643"/>
      <c r="C568" s="644"/>
      <c r="D568" s="644"/>
      <c r="E568" s="644"/>
      <c r="F568" s="645"/>
      <c r="G568" s="643"/>
      <c r="H568" s="644"/>
      <c r="I568" s="644"/>
      <c r="J568" s="644"/>
      <c r="K568" s="645"/>
      <c r="L568" s="82"/>
    </row>
    <row r="569" spans="1:12" ht="18.75" customHeight="1">
      <c r="A569" s="641"/>
      <c r="B569" s="637"/>
      <c r="C569" s="638"/>
      <c r="D569" s="638"/>
      <c r="E569" s="638"/>
      <c r="F569" s="639"/>
      <c r="G569" s="637"/>
      <c r="H569" s="638"/>
      <c r="I569" s="638"/>
      <c r="J569" s="638"/>
      <c r="K569" s="639"/>
      <c r="L569" s="82"/>
    </row>
    <row r="570" spans="1:12" ht="18.75" customHeight="1">
      <c r="A570" s="641"/>
      <c r="B570" s="625" t="s">
        <v>769</v>
      </c>
      <c r="C570" s="626"/>
      <c r="D570" s="630"/>
      <c r="E570" s="625" t="s">
        <v>216</v>
      </c>
      <c r="F570" s="626"/>
      <c r="G570" s="630"/>
      <c r="H570" s="625" t="s">
        <v>127</v>
      </c>
      <c r="I570" s="626"/>
      <c r="J570" s="630"/>
      <c r="K570" s="89" t="s">
        <v>2204</v>
      </c>
      <c r="L570" s="82"/>
    </row>
    <row r="571" spans="1:12" ht="18.75" customHeight="1">
      <c r="A571" s="641"/>
      <c r="B571" s="631" t="str">
        <f>IFERROR(IF(INDEX('Coverage Indicators - Section D'!I$9:I$92,MATCH($A566,'Coverage Indicators - Section D'!$A$9:$A$92,0))&lt;&gt;0,INDEX('Coverage Indicators - Section D'!I$9:I$92,MATCH($A566,'Coverage Indicators - Section D'!$A$9:$A$92,0)),""),"")</f>
        <v/>
      </c>
      <c r="C571" s="632"/>
      <c r="D571" s="633"/>
      <c r="E571" s="631" t="str">
        <f>IFERROR(IF(INDEX('Coverage Indicators - Section D'!M$1:M$124,MATCH($A566,'Coverage Indicators - Section D'!$A$1:$A$124,0))&lt;&gt;0,INDEX('Coverage Indicators - Section D'!M$1:M$124,MATCH($A566,'Coverage Indicators - Section D'!$A$1:$A$124,0)),""),"")</f>
        <v>Non cumulative</v>
      </c>
      <c r="F571" s="632"/>
      <c r="G571" s="633"/>
      <c r="H571" s="631" t="str">
        <f>IFERROR(IF(INDEX('Coverage Indicators - Section D'!L$1:L$124,MATCH($A566,'Coverage Indicators - Section D'!$A$1:$A$124,0))&lt;&gt;0,INDEX('Coverage Indicators - Section D'!L$1:L$124,MATCH($A566,'Coverage Indicators - Section D'!$A$1:$A$124,0)),""),"")</f>
        <v>Congo (Democratic Republic)</v>
      </c>
      <c r="I571" s="632"/>
      <c r="J571" s="633"/>
      <c r="K571" s="90" t="str">
        <f>IFERROR(IF(INDEX('Coverage Indicators - Section D'!J$1:J$124,MATCH($A566,'Coverage Indicators - Section D'!$A$1:$A$124,0))&lt;&gt;0,INDEX('Coverage Indicators - Section D'!J$1:J$124,MATCH($A566,'Coverage Indicators - Section D'!$A$1:$A$124,0)),""),"")</f>
        <v>Yes</v>
      </c>
      <c r="L571" s="82"/>
    </row>
    <row r="572" spans="1:12" ht="18.75" customHeight="1">
      <c r="A572" s="641"/>
      <c r="B572" s="625" t="s">
        <v>199</v>
      </c>
      <c r="C572" s="626"/>
      <c r="D572" s="630"/>
      <c r="E572" s="625" t="s">
        <v>5060</v>
      </c>
      <c r="F572" s="626"/>
      <c r="G572" s="630"/>
      <c r="H572" s="625" t="s">
        <v>120</v>
      </c>
      <c r="I572" s="626"/>
      <c r="J572" s="626"/>
      <c r="K572" s="630"/>
      <c r="L572" s="82"/>
    </row>
    <row r="573" spans="1:12" ht="18.75" customHeight="1">
      <c r="A573" s="641"/>
      <c r="B573" s="634" t="str">
        <f>IFERROR(IF(INDEX('Coverage Indicators - Section D'!H$1:H$124,MATCH($A566,'Coverage Indicators - Section D'!$A$1:$A$124,0))&lt;&gt;0,INDEX('Coverage Indicators - Section D'!H$1:H$124,MATCH($A566,'Coverage Indicators - Section D'!$A$1:$A$124,0)),""),"")</f>
        <v>Performance Rating Tool</v>
      </c>
      <c r="C573" s="635"/>
      <c r="D573" s="636"/>
      <c r="E573" s="634" t="str">
        <f>IFERROR(IF(INDEX('Coverage Indicators - Section D'!L$1:L$124,MATCH($A566,'Coverage Indicators - Section D'!$A$1:$A$124,0)+1)&lt;&gt;0,INDEX('Coverage Indicators - Section D'!L$1:L$124,MATCH($A566,'Coverage Indicators - Section D'!$A$1:$A$124,0)+1),""),"")</f>
        <v>Geographic National, 100% of national program target</v>
      </c>
      <c r="F573" s="635"/>
      <c r="G573" s="636"/>
      <c r="H573" s="634" t="str">
        <f ca="1">IFERROR(IF(AND('Overview - Section A'!AS$1="Grant Making",OR(B567&lt;&gt;"",G567&lt;&gt;"")),Setup!I15,IF(INDEX('Coverage Indicators - Section D'!K$1:K$124,MATCH($A566,'Coverage Indicators - Section D'!$A$1:$A$124,0))&lt;&gt;0,INDEX('Coverage Indicators - Section D'!K$1:K$124,MATCH($A566,'Coverage Indicators - Section D'!$A$1:$A$124,0)),"")),"")</f>
        <v>PR 2</v>
      </c>
      <c r="I573" s="635"/>
      <c r="J573" s="635"/>
      <c r="K573" s="636"/>
      <c r="L573" s="82"/>
    </row>
    <row r="574" spans="1:12" ht="18.75" customHeight="1">
      <c r="A574" s="641"/>
      <c r="B574" s="637"/>
      <c r="C574" s="638"/>
      <c r="D574" s="639"/>
      <c r="E574" s="637"/>
      <c r="F574" s="638"/>
      <c r="G574" s="639"/>
      <c r="H574" s="637"/>
      <c r="I574" s="638"/>
      <c r="J574" s="638"/>
      <c r="K574" s="639"/>
      <c r="L574" s="82"/>
    </row>
    <row r="575" spans="1:12" ht="18.75" customHeight="1">
      <c r="A575" s="641"/>
      <c r="B575" s="89"/>
      <c r="C575" s="89" t="s">
        <v>5052</v>
      </c>
      <c r="D575" s="625" t="s">
        <v>5053</v>
      </c>
      <c r="E575" s="626"/>
      <c r="F575" s="626"/>
      <c r="G575" s="626"/>
      <c r="H575" s="626"/>
      <c r="I575" s="626"/>
      <c r="J575" s="626"/>
      <c r="K575" s="630"/>
      <c r="L575" s="82"/>
    </row>
    <row r="576" spans="1:12" ht="18.75" customHeight="1">
      <c r="A576" s="641"/>
      <c r="B576" s="89" t="s">
        <v>2589</v>
      </c>
      <c r="C576" s="90">
        <f>IFERROR(IF(INDEX('Coverage Indicators - Section D'!G$1:G$124,MATCH($A566,'Coverage Indicators - Section D'!$A$1:$A$124,0))&lt;&gt;0,INDEX('Coverage Indicators - Section D'!G$1:G$124,MATCH($A566,'Coverage Indicators - Section D'!$A$1:$A$124,0)),""),"")</f>
        <v>2021</v>
      </c>
      <c r="D576"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576"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576"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576"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576"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576"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576"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576"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576" s="82"/>
    </row>
    <row r="577" spans="1:12" s="93" customFormat="1" ht="18.75" customHeight="1">
      <c r="A577" s="641"/>
      <c r="B577" s="89" t="s">
        <v>5054</v>
      </c>
      <c r="C577" s="91">
        <f>IFERROR(IF(INDEX('Coverage Indicators - Section D'!E$1:E$124,MATCH($A566,'Coverage Indicators - Section D'!$A$1:$A$124,0))&lt;&gt;"",INDEX('Coverage Indicators - Section D'!E$1:E$124,MATCH($A566,'Coverage Indicators - Section D'!$A$1:$A$124,0)),""),"")</f>
        <v>5031</v>
      </c>
      <c r="D577" s="91">
        <f ca="1">IFERROR(IF(INDEX('Coverage Indicators - Section D'!N$1:N$124,MATCH($A566,'Coverage Indicators - Section D'!$A$1:$A$124,0))&lt;&gt;"",INDEX('Coverage Indicators - Section D'!N$1:N$124,MATCH($A566,'Coverage Indicators - Section D'!$A$1:$A$124,0)),""),"")</f>
        <v>9762.9999818699507</v>
      </c>
      <c r="E577" s="91">
        <f ca="1">IFERROR(IF(INDEX('Coverage Indicators - Section D'!Q$1:Q$124,MATCH($A566,'Coverage Indicators - Section D'!$A$1:$A$124,0))&lt;&gt;"",INDEX('Coverage Indicators - Section D'!Q$1:Q$124,MATCH($A566,'Coverage Indicators - Section D'!$A$1:$A$124,0)),""),"")</f>
        <v>9762.9999818699507</v>
      </c>
      <c r="F577" s="91">
        <f ca="1">IFERROR(IF(INDEX('Coverage Indicators - Section D'!T$1:T$124,MATCH($A566,'Coverage Indicators - Section D'!$A$1:$A$124,0))&lt;&gt;"",INDEX('Coverage Indicators - Section D'!T$1:T$124,MATCH($A566,'Coverage Indicators - Section D'!$A$1:$A$124,0)),""),"")</f>
        <v>11863.99757796835</v>
      </c>
      <c r="G577" s="91">
        <f ca="1">IFERROR(IF(INDEX('Coverage Indicators - Section D'!W$1:W$124,MATCH($A566,'Coverage Indicators - Section D'!$A$1:$A$124,0))&lt;&gt;"",INDEX('Coverage Indicators - Section D'!W$1:W$124,MATCH($A566,'Coverage Indicators - Section D'!$A$1:$A$124,0)),""),"")</f>
        <v>11863.99757796835</v>
      </c>
      <c r="H577" s="91">
        <f ca="1">IFERROR(IF(INDEX('Coverage Indicators - Section D'!Z$1:Z$124,MATCH($A566,'Coverage Indicators - Section D'!$A$1:$A$124,0))&lt;&gt;"",INDEX('Coverage Indicators - Section D'!Z$1:Z$124,MATCH($A566,'Coverage Indicators - Section D'!$A$1:$A$124,0)),""),"")</f>
        <v>14029.4163294471</v>
      </c>
      <c r="I577" s="91">
        <f ca="1">IFERROR(IF(INDEX('Coverage Indicators - Section D'!AC$1:AC$124,MATCH($A566,'Coverage Indicators - Section D'!$A$1:$A$124,0))&lt;&gt;"",INDEX('Coverage Indicators - Section D'!AC$1:AC$124,MATCH($A566,'Coverage Indicators - Section D'!$A$1:$A$124,0)),""),"")</f>
        <v>14029.4163294471</v>
      </c>
      <c r="J577" s="91" t="str">
        <f ca="1">IFERROR(IF(INDEX('Coverage Indicators - Section D'!AF$1:AF$124,MATCH($A566,'Coverage Indicators - Section D'!$A$1:$A$124,0))&lt;&gt;"",INDEX('Coverage Indicators - Section D'!AF$1:AF$124,MATCH($A566,'Coverage Indicators - Section D'!$A$1:$A$124,0)),""),"")</f>
        <v/>
      </c>
      <c r="K577" s="91" t="str">
        <f ca="1">IFERROR(IF(INDEX('Coverage Indicators - Section D'!AI$1:AI$124,MATCH($A566,'Coverage Indicators - Section D'!$A$1:$A$124,0))&lt;&gt;"",INDEX('Coverage Indicators - Section D'!AI$1:AI$124,MATCH($A566,'Coverage Indicators - Section D'!$A$1:$A$124,0)),""),"")</f>
        <v/>
      </c>
      <c r="L577" s="92"/>
    </row>
    <row r="578" spans="1:12" s="96" customFormat="1" ht="18.75" customHeight="1">
      <c r="A578" s="641"/>
      <c r="B578" s="89" t="s">
        <v>5055</v>
      </c>
      <c r="C578" s="94">
        <f>IFERROR(IF(INDEX('Coverage Indicators - Section D'!E$1:E$124,MATCH($A566,'Coverage Indicators - Section D'!$A$1:$A$124,0)+1)&lt;&gt;"",INDEX('Coverage Indicators - Section D'!E$1:E$124,MATCH($A566,'Coverage Indicators - Section D'!$A$1:$A$124,0)+1),""),"")</f>
        <v>28446.354008099999</v>
      </c>
      <c r="D578" s="94">
        <f ca="1">IFERROR(IF(INDEX('Coverage Indicators - Section D'!N$1:N$124,MATCH($A566,'Coverage Indicators - Section D'!$A$1:$A$124,0)+1)&lt;&gt;"",INDEX('Coverage Indicators - Section D'!N$1:N$124,MATCH($A566,'Coverage Indicators - Section D'!$A$1:$A$124,0)+1),""),"")</f>
        <v>29444.3</v>
      </c>
      <c r="E578" s="94">
        <f ca="1">IFERROR(IF(INDEX('Coverage Indicators - Section D'!Q$1:Q$124,MATCH($A566,'Coverage Indicators - Section D'!$A$1:$A$124,0)+1)&lt;&gt;"",INDEX('Coverage Indicators - Section D'!Q$1:Q$124,MATCH($A566,'Coverage Indicators - Section D'!$A$1:$A$124,0)+1),""),"")</f>
        <v>29444.3</v>
      </c>
      <c r="F578" s="94">
        <f ca="1">IFERROR(IF(INDEX('Coverage Indicators - Section D'!T$1:T$124,MATCH($A566,'Coverage Indicators - Section D'!$A$1:$A$124,0)+1)&lt;&gt;"",INDEX('Coverage Indicators - Section D'!T$1:T$124,MATCH($A566,'Coverage Indicators - Section D'!$A$1:$A$124,0)+1),""),"")</f>
        <v>30297.399999999998</v>
      </c>
      <c r="G578" s="94">
        <f ca="1">IFERROR(IF(INDEX('Coverage Indicators - Section D'!W$1:W$124,MATCH($A566,'Coverage Indicators - Section D'!$A$1:$A$124,0)+1)&lt;&gt;"",INDEX('Coverage Indicators - Section D'!W$1:W$124,MATCH($A566,'Coverage Indicators - Section D'!$A$1:$A$124,0)+1),""),"")</f>
        <v>30297.399999999998</v>
      </c>
      <c r="H578" s="94">
        <f ca="1">IFERROR(IF(INDEX('Coverage Indicators - Section D'!Z$1:Z$124,MATCH($A566,'Coverage Indicators - Section D'!$A$1:$A$124,0)+1)&lt;&gt;"",INDEX('Coverage Indicators - Section D'!Z$1:Z$124,MATCH($A566,'Coverage Indicators - Section D'!$A$1:$A$124,0)+1),""),"")</f>
        <v>31176.149999999998</v>
      </c>
      <c r="I578" s="94">
        <f ca="1">IFERROR(IF(INDEX('Coverage Indicators - Section D'!AC$1:AC$124,MATCH($A566,'Coverage Indicators - Section D'!$A$1:$A$124,0)+1)&lt;&gt;"",INDEX('Coverage Indicators - Section D'!AC$1:AC$124,MATCH($A566,'Coverage Indicators - Section D'!$A$1:$A$124,0)+1),""),"")</f>
        <v>31176.149999999998</v>
      </c>
      <c r="J578" s="94" t="str">
        <f ca="1">IFERROR(IF(INDEX('Coverage Indicators - Section D'!AF$1:AF$124,MATCH($A566,'Coverage Indicators - Section D'!$A$1:$A$124,0)+1)&lt;&gt;"",INDEX('Coverage Indicators - Section D'!AF$1:AF$124,MATCH($A566,'Coverage Indicators - Section D'!$A$1:$A$124,0)+1),""),"")</f>
        <v/>
      </c>
      <c r="K578" s="94" t="str">
        <f ca="1">IFERROR(IF(INDEX('Coverage Indicators - Section D'!AI$1:AI$124,MATCH($A566,'Coverage Indicators - Section D'!$A$1:$A$124,0)+1)&lt;&gt;"",INDEX('Coverage Indicators - Section D'!AI$1:AI$124,MATCH($A566,'Coverage Indicators - Section D'!$A$1:$A$124,0)+1),""),"")</f>
        <v/>
      </c>
      <c r="L578" s="95"/>
    </row>
    <row r="579" spans="1:12" ht="18.75" customHeight="1">
      <c r="A579" s="641"/>
      <c r="B579" s="89" t="s">
        <v>5056</v>
      </c>
      <c r="C579" s="90" t="str">
        <f ca="1">IFERROR(IF(INDEX('Coverage Indicators - Section D'!F$1:F$124,MATCH($A566,'Coverage Indicators - Section D'!$A$1:$A$124,0))&lt;&gt;"",FIXED(INDEX('Coverage Indicators - Section D'!F$1:F$124,MATCH($A566,'Coverage Indicators - Section D'!$A$1:$A$124,0))*100,2)&amp;"%",""),"")</f>
        <v>17.69%</v>
      </c>
      <c r="D579" s="90" t="str">
        <f>IFERROR(IF(INDEX('Coverage Indicators - Section D'!O$1:O$124,MATCH($A566,'Coverage Indicators - Section D'!$A$1:$A$124,0))&lt;&gt;"",FIXED(INDEX('Coverage Indicators - Section D'!O$1:O$124,MATCH($A566,'Coverage Indicators - Section D'!$A$1:$A$124,0))*100,2)&amp;"%",""),"")&amp;CHAR(10)&amp;IFERROR(IF(INDEX('Coverage Indicators - Section D'!P$1:P$124,MATCH($A566,'Coverage Indicators - Section D'!$A$1:$A$124,0))&lt;&gt;"",INDEX('Coverage Indicators - Section D'!P$1:P$124,MATCH($A566,'Coverage Indicators - Section D'!$A$1:$A$124,0)),""),"")</f>
        <v xml:space="preserve">33.16%
</v>
      </c>
      <c r="E579" s="90" t="str">
        <f>IFERROR(IF(INDEX('Coverage Indicators - Section D'!R$1:R$124,MATCH($A566,'Coverage Indicators - Section D'!$A$1:$A$124,0))&lt;&gt;"",FIXED(INDEX('Coverage Indicators - Section D'!R$1:R$124,MATCH($A566,'Coverage Indicators - Section D'!$A$1:$A$124,0))*100,2)&amp;"%",""),"")&amp;CHAR(10)&amp;IFERROR(IF(INDEX('Coverage Indicators - Section D'!S$1:S$124,MATCH($A566,'Coverage Indicators - Section D'!$A$1:$A$124,0))&lt;&gt;"",INDEX('Coverage Indicators - Section D'!S$1:S$124,MATCH($A566,'Coverage Indicators - Section D'!$A$1:$A$124,0)),""),"")</f>
        <v xml:space="preserve">33.16%
</v>
      </c>
      <c r="F579" s="90" t="str">
        <f>IFERROR(IF(INDEX('Coverage Indicators - Section D'!U$1:U$124,MATCH($A566,'Coverage Indicators - Section D'!$A$1:$A$124,0))&lt;&gt;"",FIXED(INDEX('Coverage Indicators - Section D'!U$1:U$124,MATCH($A566,'Coverage Indicators - Section D'!$A$1:$A$124,0))*100,2)&amp;"%",""),"")&amp;CHAR(10)&amp;IFERROR(IF(INDEX('Coverage Indicators - Section D'!V$1:V$124,MATCH($A566,'Coverage Indicators - Section D'!$A$1:$A$124,0))&lt;&gt;"",INDEX('Coverage Indicators - Section D'!V$1:V$124,MATCH($A566,'Coverage Indicators - Section D'!$A$1:$A$124,0)),""),"")</f>
        <v xml:space="preserve">39.16%
</v>
      </c>
      <c r="G579" s="90" t="str">
        <f>IFERROR(IF(INDEX('Coverage Indicators - Section D'!X$1:X$124,MATCH($A566,'Coverage Indicators - Section D'!$A$1:$A$124,0))&lt;&gt;"",FIXED(INDEX('Coverage Indicators - Section D'!X$1:X$124,MATCH($A566,'Coverage Indicators - Section D'!$A$1:$A$124,0))*100,2)&amp;"%",""),"")&amp;CHAR(10)&amp;IFERROR(IF(INDEX('Coverage Indicators - Section D'!Y$1:Y$124,MATCH($A566,'Coverage Indicators - Section D'!$A$1:$A$124,0))&lt;&gt;"",INDEX('Coverage Indicators - Section D'!Y$1:Y$124,MATCH($A566,'Coverage Indicators - Section D'!$A$1:$A$124,0)),""),"")</f>
        <v xml:space="preserve">39.16%
</v>
      </c>
      <c r="H579" s="90" t="str">
        <f>IFERROR(IF(INDEX('Coverage Indicators - Section D'!AA$1:AA$124,MATCH(A566,'Coverage Indicators - Section D'!$A$1:$A$124,0))&lt;&gt;"",FIXED(INDEX('Coverage Indicators - Section D'!AA$1:AA$124,MATCH($A566,'Coverage Indicators - Section D'!$A$1:$A$124,0))*100,2)&amp;"%",""),"")&amp;CHAR(10)&amp;IFERROR(IF(INDEX('Coverage Indicators - Section D'!AB$1:AB$124,MATCH($A566,'Coverage Indicators - Section D'!$A$1:$A$124,0))&lt;&gt;"",INDEX('Coverage Indicators - Section D'!AB$1:AB$124,MATCH($A566,'Coverage Indicators - Section D'!$A$1:$A$124,0)),""),"")</f>
        <v xml:space="preserve">45.00%
</v>
      </c>
      <c r="I579" s="90" t="str">
        <f>IFERROR(IF(INDEX('Coverage Indicators - Section D'!AD$1:AD$124,MATCH($A566,'Coverage Indicators - Section D'!$A$1:$A$124,0))&lt;&gt;"",FIXED(INDEX('Coverage Indicators - Section D'!AD$1:AD$124,MATCH($A566,'Coverage Indicators - Section D'!$A$1:$A$124,0))*100,2)&amp;"%",""),"")&amp;CHAR(10)&amp;IFERROR(IF(INDEX('Coverage Indicators - Section D'!AE$1:AE$124,MATCH($A566,'Coverage Indicators - Section D'!$A$1:$A$124,0))&lt;&gt;"",INDEX('Coverage Indicators - Section D'!AE$1:AE$124,MATCH($A566,'Coverage Indicators - Section D'!$A$1:$A$124,0)),""),"")</f>
        <v xml:space="preserve">45.00%
</v>
      </c>
      <c r="J579" s="90" t="str">
        <f>IFERROR(IF(INDEX('Coverage Indicators - Section D'!AG$1:AG$124,MATCH($A566,'Coverage Indicators - Section D'!$A$1:$A$124,0))&lt;&gt;"",FIXED(INDEX('Coverage Indicators - Section D'!AG$1:AG$124,MATCH($A566,'Coverage Indicators - Section D'!$A$1:$A$124,0))*100,2)&amp;"%",""),"")&amp;CHAR(10)&amp;IFERROR(IF(INDEX('Coverage Indicators - Section D'!AH$1:AH$124,MATCH($A566,'Coverage Indicators - Section D'!$A$1:$A$124,0))&lt;&gt;"",INDEX('Coverage Indicators - Section D'!AH$1:AH$124,MATCH($A566,'Coverage Indicators - Section D'!$A$1:$A$124,0)),""),"")</f>
        <v xml:space="preserve">
</v>
      </c>
      <c r="K579" s="90" t="str">
        <f>IFERROR(IF(INDEX('Coverage Indicators - Section D'!AJ$1:AJ$124,MATCH($A566,'Coverage Indicators - Section D'!$A$1:$A$124,0))&lt;&gt;"",FIXED(INDEX('Coverage Indicators - Section D'!AJ$1:AJ$124,MATCH($A566,'Coverage Indicators - Section D'!$A$1:$A$124,0))*100,2)&amp;"%",""),"")&amp;CHAR(10)&amp;IFERROR(IF(INDEX('Coverage Indicators - Section D'!AK$1:AK$124,MATCH($A566,'Coverage Indicators - Section D'!$A$1:$A$124,0))&lt;&gt;"",INDEX('Coverage Indicators - Section D'!AK$1:AK$124,MATCH($A566,'Coverage Indicators - Section D'!$A$1:$A$124,0)),""),"")</f>
        <v xml:space="preserve">
</v>
      </c>
      <c r="L579" s="82"/>
    </row>
    <row r="580" spans="1:12" ht="18.75" customHeight="1">
      <c r="A580" s="641"/>
      <c r="B580" s="625" t="s">
        <v>176</v>
      </c>
      <c r="C580" s="626"/>
      <c r="D580" s="626"/>
      <c r="E580" s="626"/>
      <c r="F580" s="626"/>
      <c r="G580" s="626"/>
      <c r="H580" s="626"/>
      <c r="I580" s="626"/>
      <c r="J580" s="626"/>
      <c r="K580" s="630"/>
      <c r="L580" s="82"/>
    </row>
    <row r="581" spans="1:12" ht="18.75" customHeight="1">
      <c r="A581" s="641"/>
      <c r="B581" s="634" t="str">
        <f>IFERROR(IF(INDEX('Coverage Indicators - Section D'!AL$1:AL$134,MATCH($A566,'Coverage Indicators - Section D'!$A$1:$A$134,0))&lt;&gt;0,INDEX('Coverage Indicators - Section D'!AL$1:AL$134,MATCH($A566,'Coverage Indicators - Section D'!$A$1:$A$134,0)),""),"")</f>
        <v>N: Number of people in detention or other closed settings who received a defined package of HIV prevention services.
D: Number of people in detention or other closed settings in the target area
Baseline data: the baseline data available is 5,031 in 2021 (Performance Rating Tool - Jan a Dec 2021). This data does not take into account PEPFAR achievements. 
The GF Contribution is 11,158 in 2024; 13,347 in 2025 and 15,588 in 2026.</v>
      </c>
      <c r="C581" s="635"/>
      <c r="D581" s="635"/>
      <c r="E581" s="635"/>
      <c r="F581" s="635"/>
      <c r="G581" s="635"/>
      <c r="H581" s="635"/>
      <c r="I581" s="635"/>
      <c r="J581" s="635"/>
      <c r="K581" s="636"/>
      <c r="L581" s="82"/>
    </row>
    <row r="582" spans="1:12" ht="18.75" customHeight="1">
      <c r="A582" s="641"/>
      <c r="B582" s="643"/>
      <c r="C582" s="644"/>
      <c r="D582" s="644"/>
      <c r="E582" s="644"/>
      <c r="F582" s="644"/>
      <c r="G582" s="644"/>
      <c r="H582" s="644"/>
      <c r="I582" s="644"/>
      <c r="J582" s="644"/>
      <c r="K582" s="645"/>
      <c r="L582" s="82"/>
    </row>
    <row r="583" spans="1:12" ht="18.75" customHeight="1">
      <c r="A583" s="641"/>
      <c r="B583" s="643"/>
      <c r="C583" s="644"/>
      <c r="D583" s="644"/>
      <c r="E583" s="644"/>
      <c r="F583" s="644"/>
      <c r="G583" s="644"/>
      <c r="H583" s="644"/>
      <c r="I583" s="644"/>
      <c r="J583" s="644"/>
      <c r="K583" s="645"/>
      <c r="L583" s="82"/>
    </row>
    <row r="584" spans="1:12" ht="18.75" customHeight="1">
      <c r="A584" s="641"/>
      <c r="B584" s="643"/>
      <c r="C584" s="644"/>
      <c r="D584" s="644"/>
      <c r="E584" s="644"/>
      <c r="F584" s="644"/>
      <c r="G584" s="644"/>
      <c r="H584" s="644"/>
      <c r="I584" s="644"/>
      <c r="J584" s="644"/>
      <c r="K584" s="645"/>
      <c r="L584" s="82"/>
    </row>
    <row r="585" spans="1:12" ht="18.75" customHeight="1">
      <c r="A585" s="641"/>
      <c r="B585" s="643"/>
      <c r="C585" s="644"/>
      <c r="D585" s="644"/>
      <c r="E585" s="644"/>
      <c r="F585" s="644"/>
      <c r="G585" s="644"/>
      <c r="H585" s="644"/>
      <c r="I585" s="644"/>
      <c r="J585" s="644"/>
      <c r="K585" s="645"/>
      <c r="L585" s="82"/>
    </row>
    <row r="586" spans="1:12" ht="18.75" customHeight="1">
      <c r="A586" s="641"/>
      <c r="B586" s="643"/>
      <c r="C586" s="644"/>
      <c r="D586" s="644"/>
      <c r="E586" s="644"/>
      <c r="F586" s="644"/>
      <c r="G586" s="644"/>
      <c r="H586" s="644"/>
      <c r="I586" s="644"/>
      <c r="J586" s="644"/>
      <c r="K586" s="645"/>
      <c r="L586" s="82"/>
    </row>
    <row r="587" spans="1:12" ht="18.75" customHeight="1">
      <c r="A587" s="641"/>
      <c r="B587" s="643"/>
      <c r="C587" s="644"/>
      <c r="D587" s="644"/>
      <c r="E587" s="644"/>
      <c r="F587" s="644"/>
      <c r="G587" s="644"/>
      <c r="H587" s="644"/>
      <c r="I587" s="644"/>
      <c r="J587" s="644"/>
      <c r="K587" s="645"/>
      <c r="L587" s="82"/>
    </row>
    <row r="588" spans="1:12" ht="18.75" customHeight="1">
      <c r="A588" s="641"/>
      <c r="B588" s="643"/>
      <c r="C588" s="644"/>
      <c r="D588" s="644"/>
      <c r="E588" s="644"/>
      <c r="F588" s="644"/>
      <c r="G588" s="644"/>
      <c r="H588" s="644"/>
      <c r="I588" s="644"/>
      <c r="J588" s="644"/>
      <c r="K588" s="645"/>
      <c r="L588" s="82"/>
    </row>
    <row r="589" spans="1:12" ht="18.75" customHeight="1">
      <c r="A589" s="641"/>
      <c r="B589" s="643"/>
      <c r="C589" s="644"/>
      <c r="D589" s="644"/>
      <c r="E589" s="644"/>
      <c r="F589" s="644"/>
      <c r="G589" s="644"/>
      <c r="H589" s="644"/>
      <c r="I589" s="644"/>
      <c r="J589" s="644"/>
      <c r="K589" s="645"/>
      <c r="L589" s="82"/>
    </row>
    <row r="590" spans="1:12" ht="18.75" customHeight="1">
      <c r="A590" s="642"/>
      <c r="B590" s="637"/>
      <c r="C590" s="638"/>
      <c r="D590" s="638"/>
      <c r="E590" s="638"/>
      <c r="F590" s="638"/>
      <c r="G590" s="638"/>
      <c r="H590" s="638"/>
      <c r="I590" s="638"/>
      <c r="J590" s="638"/>
      <c r="K590" s="639"/>
      <c r="L590" s="82"/>
    </row>
    <row r="591" spans="1:12" ht="18.75" customHeight="1">
      <c r="A591" s="625"/>
      <c r="B591" s="626"/>
      <c r="C591" s="626"/>
      <c r="D591" s="626"/>
      <c r="E591" s="626"/>
      <c r="F591" s="626"/>
      <c r="G591" s="626"/>
      <c r="H591" s="626"/>
      <c r="I591" s="626"/>
      <c r="J591" s="626"/>
      <c r="K591" s="630"/>
      <c r="L591" s="82"/>
    </row>
    <row r="593" spans="1:12" ht="18.75" customHeight="1">
      <c r="A593" s="89" t="s">
        <v>5051</v>
      </c>
      <c r="B593" s="625" t="s">
        <v>1077</v>
      </c>
      <c r="C593" s="630"/>
      <c r="D593" s="631" t="str">
        <f ca="1">IFERROR(IF(INDEX('Coverage Indicators - Section D'!B$1:B$124,MATCH($A594,'Coverage Indicators - Section D'!$A$1:$A$124,0))&lt;&gt;0,INDEX('Coverage Indicators - Section D'!B$1:B$124,MATCH($A594,'Coverage Indicators - Section D'!$A$1:$A$124,0)),""),"")</f>
        <v>Differentiated HIV Testing Services</v>
      </c>
      <c r="E593" s="632"/>
      <c r="F593" s="632"/>
      <c r="G593" s="632"/>
      <c r="H593" s="632"/>
      <c r="I593" s="632"/>
      <c r="J593" s="632"/>
      <c r="K593" s="633"/>
      <c r="L593" s="82"/>
    </row>
    <row r="594" spans="1:12" ht="18.75" customHeight="1">
      <c r="A594" s="640">
        <v>22</v>
      </c>
      <c r="B594" s="625" t="s">
        <v>765</v>
      </c>
      <c r="C594" s="626"/>
      <c r="D594" s="626"/>
      <c r="E594" s="626"/>
      <c r="F594" s="630"/>
      <c r="G594" s="625" t="s">
        <v>766</v>
      </c>
      <c r="H594" s="626"/>
      <c r="I594" s="626"/>
      <c r="J594" s="626"/>
      <c r="K594" s="630"/>
      <c r="L594" s="82"/>
    </row>
    <row r="595" spans="1:12" ht="18.75" customHeight="1">
      <c r="A595" s="641"/>
      <c r="B595" s="634" t="str">
        <f>IFERROR(IF(INDEX('Coverage Indicators - Section D'!C$1:C$124,MATCH($A594,'Coverage Indicators - Section D'!$A$1:$A$124,0))&lt;&gt;0,INDEX('Coverage Indicators - Section D'!C$1:C$124,MATCH($A594,'Coverage Indicators - Section D'!$A$1:$A$124,0)),""),"")</f>
        <v>HTS-3a Percentage of MSM that have received an HIV test during the reporting period in KP-specific programs and know their results</v>
      </c>
      <c r="C595" s="635"/>
      <c r="D595" s="635"/>
      <c r="E595" s="635"/>
      <c r="F595" s="636"/>
      <c r="G595" s="634" t="str">
        <f>IFERROR(IF(INDEX('Coverage Indicators - Section D'!D$1:D$124,MATCH($A594,'Coverage Indicators - Section D'!$A$1:$A$124,0))&lt;&gt;0,INDEX('Coverage Indicators - Section D'!D$1:D$124,MATCH($A594,'Coverage Indicators - Section D'!$A$1:$A$124,0)),""),"")</f>
        <v/>
      </c>
      <c r="H595" s="635"/>
      <c r="I595" s="635"/>
      <c r="J595" s="635"/>
      <c r="K595" s="636"/>
      <c r="L595" s="82"/>
    </row>
    <row r="596" spans="1:12" ht="18.75" customHeight="1">
      <c r="A596" s="641"/>
      <c r="B596" s="643"/>
      <c r="C596" s="644"/>
      <c r="D596" s="644"/>
      <c r="E596" s="644"/>
      <c r="F596" s="645"/>
      <c r="G596" s="643"/>
      <c r="H596" s="644"/>
      <c r="I596" s="644"/>
      <c r="J596" s="644"/>
      <c r="K596" s="645"/>
      <c r="L596" s="82"/>
    </row>
    <row r="597" spans="1:12" ht="18.75" customHeight="1">
      <c r="A597" s="641"/>
      <c r="B597" s="637"/>
      <c r="C597" s="638"/>
      <c r="D597" s="638"/>
      <c r="E597" s="638"/>
      <c r="F597" s="639"/>
      <c r="G597" s="637"/>
      <c r="H597" s="638"/>
      <c r="I597" s="638"/>
      <c r="J597" s="638"/>
      <c r="K597" s="639"/>
      <c r="L597" s="82"/>
    </row>
    <row r="598" spans="1:12" ht="18.75" customHeight="1">
      <c r="A598" s="641"/>
      <c r="B598" s="625" t="s">
        <v>769</v>
      </c>
      <c r="C598" s="626"/>
      <c r="D598" s="630"/>
      <c r="E598" s="625" t="s">
        <v>216</v>
      </c>
      <c r="F598" s="626"/>
      <c r="G598" s="630"/>
      <c r="H598" s="625" t="s">
        <v>127</v>
      </c>
      <c r="I598" s="626"/>
      <c r="J598" s="630"/>
      <c r="K598" s="89" t="s">
        <v>2204</v>
      </c>
      <c r="L598" s="82"/>
    </row>
    <row r="599" spans="1:12" ht="18.75" customHeight="1">
      <c r="A599" s="641"/>
      <c r="B599" s="631" t="str">
        <f>IFERROR(IF(INDEX('Coverage Indicators - Section D'!I$9:I$92,MATCH($A594,'Coverage Indicators - Section D'!$A$9:$A$92,0))&lt;&gt;0,INDEX('Coverage Indicators - Section D'!I$9:I$92,MATCH($A594,'Coverage Indicators - Section D'!$A$9:$A$92,0)),""),"")</f>
        <v>Age</v>
      </c>
      <c r="C599" s="632"/>
      <c r="D599" s="633"/>
      <c r="E599" s="631" t="str">
        <f>IFERROR(IF(INDEX('Coverage Indicators - Section D'!M$1:M$124,MATCH($A594,'Coverage Indicators - Section D'!$A$1:$A$124,0))&lt;&gt;0,INDEX('Coverage Indicators - Section D'!M$1:M$124,MATCH($A594,'Coverage Indicators - Section D'!$A$1:$A$124,0)),""),"")</f>
        <v>Non cumulative</v>
      </c>
      <c r="F599" s="632"/>
      <c r="G599" s="633"/>
      <c r="H599" s="631" t="str">
        <f>IFERROR(IF(INDEX('Coverage Indicators - Section D'!L$1:L$124,MATCH($A594,'Coverage Indicators - Section D'!$A$1:$A$124,0))&lt;&gt;0,INDEX('Coverage Indicators - Section D'!L$1:L$124,MATCH($A594,'Coverage Indicators - Section D'!$A$1:$A$124,0)),""),"")</f>
        <v>Congo (Democratic Republic)</v>
      </c>
      <c r="I599" s="632"/>
      <c r="J599" s="633"/>
      <c r="K599" s="90" t="str">
        <f>IFERROR(IF(INDEX('Coverage Indicators - Section D'!J$1:J$124,MATCH($A594,'Coverage Indicators - Section D'!$A$1:$A$124,0))&lt;&gt;0,INDEX('Coverage Indicators - Section D'!J$1:J$124,MATCH($A594,'Coverage Indicators - Section D'!$A$1:$A$124,0)),""),"")</f>
        <v>Yes</v>
      </c>
      <c r="L599" s="82"/>
    </row>
    <row r="600" spans="1:12" ht="18.75" customHeight="1">
      <c r="A600" s="641"/>
      <c r="B600" s="625" t="s">
        <v>199</v>
      </c>
      <c r="C600" s="626"/>
      <c r="D600" s="630"/>
      <c r="E600" s="625" t="s">
        <v>5060</v>
      </c>
      <c r="F600" s="626"/>
      <c r="G600" s="630"/>
      <c r="H600" s="625" t="s">
        <v>120</v>
      </c>
      <c r="I600" s="626"/>
      <c r="J600" s="626"/>
      <c r="K600" s="630"/>
      <c r="L600" s="82"/>
    </row>
    <row r="601" spans="1:12" ht="18.75" customHeight="1">
      <c r="A601" s="641"/>
      <c r="B601" s="634" t="str">
        <f>IFERROR(IF(INDEX('Coverage Indicators - Section D'!H$1:H$124,MATCH($A594,'Coverage Indicators - Section D'!$A$1:$A$124,0))&lt;&gt;0,INDEX('Coverage Indicators - Section D'!H$1:H$124,MATCH($A594,'Coverage Indicators - Section D'!$A$1:$A$124,0)),""),"")</f>
        <v>HIV program annual report</v>
      </c>
      <c r="C601" s="635"/>
      <c r="D601" s="636"/>
      <c r="E601" s="634" t="str">
        <f>IFERROR(IF(INDEX('Coverage Indicators - Section D'!L$1:L$124,MATCH($A594,'Coverage Indicators - Section D'!$A$1:$A$124,0)+1)&lt;&gt;0,INDEX('Coverage Indicators - Section D'!L$1:L$124,MATCH($A594,'Coverage Indicators - Section D'!$A$1:$A$124,0)+1),""),"")</f>
        <v>Geographic National, 100% of national program target</v>
      </c>
      <c r="F601" s="635"/>
      <c r="G601" s="636"/>
      <c r="H601" s="634" t="str">
        <f ca="1">IFERROR(IF(AND('Overview - Section A'!AS$1="Grant Making",OR(B595&lt;&gt;"",G595&lt;&gt;"")),Setup!I15,IF(INDEX('Coverage Indicators - Section D'!K$1:K$124,MATCH($A594,'Coverage Indicators - Section D'!$A$1:$A$124,0))&lt;&gt;0,INDEX('Coverage Indicators - Section D'!K$1:K$124,MATCH($A594,'Coverage Indicators - Section D'!$A$1:$A$124,0)),"")),"")</f>
        <v>Ministry of Public Health, Hygiene and Prevention</v>
      </c>
      <c r="I601" s="635"/>
      <c r="J601" s="635"/>
      <c r="K601" s="636"/>
      <c r="L601" s="82"/>
    </row>
    <row r="602" spans="1:12" ht="18.75" customHeight="1">
      <c r="A602" s="641"/>
      <c r="B602" s="637"/>
      <c r="C602" s="638"/>
      <c r="D602" s="639"/>
      <c r="E602" s="637"/>
      <c r="F602" s="638"/>
      <c r="G602" s="639"/>
      <c r="H602" s="637"/>
      <c r="I602" s="638"/>
      <c r="J602" s="638"/>
      <c r="K602" s="639"/>
      <c r="L602" s="82"/>
    </row>
    <row r="603" spans="1:12" ht="18.75" customHeight="1">
      <c r="A603" s="641"/>
      <c r="B603" s="89"/>
      <c r="C603" s="89" t="s">
        <v>5052</v>
      </c>
      <c r="D603" s="625" t="s">
        <v>5053</v>
      </c>
      <c r="E603" s="626"/>
      <c r="F603" s="626"/>
      <c r="G603" s="626"/>
      <c r="H603" s="626"/>
      <c r="I603" s="626"/>
      <c r="J603" s="626"/>
      <c r="K603" s="630"/>
      <c r="L603" s="82"/>
    </row>
    <row r="604" spans="1:12" ht="18.75" customHeight="1">
      <c r="A604" s="641"/>
      <c r="B604" s="89" t="s">
        <v>2589</v>
      </c>
      <c r="C604" s="90">
        <f>IFERROR(IF(INDEX('Coverage Indicators - Section D'!G$1:G$124,MATCH($A594,'Coverage Indicators - Section D'!$A$1:$A$124,0))&lt;&gt;0,INDEX('Coverage Indicators - Section D'!G$1:G$124,MATCH($A594,'Coverage Indicators - Section D'!$A$1:$A$124,0)),""),"")</f>
        <v>2021</v>
      </c>
      <c r="D604"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604"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604"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604"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604"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604"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604"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604"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604" s="82"/>
    </row>
    <row r="605" spans="1:12" s="93" customFormat="1" ht="18.75" customHeight="1">
      <c r="A605" s="641"/>
      <c r="B605" s="89" t="s">
        <v>5054</v>
      </c>
      <c r="C605" s="91">
        <f>IFERROR(IF(INDEX('Coverage Indicators - Section D'!E$1:E$124,MATCH($A594,'Coverage Indicators - Section D'!$A$1:$A$124,0))&lt;&gt;"",INDEX('Coverage Indicators - Section D'!E$1:E$124,MATCH($A594,'Coverage Indicators - Section D'!$A$1:$A$124,0)),""),"")</f>
        <v>32538</v>
      </c>
      <c r="D605" s="91">
        <f ca="1">IFERROR(IF(INDEX('Coverage Indicators - Section D'!N$1:N$124,MATCH($A594,'Coverage Indicators - Section D'!$A$1:$A$124,0))&lt;&gt;"",INDEX('Coverage Indicators - Section D'!N$1:N$124,MATCH($A594,'Coverage Indicators - Section D'!$A$1:$A$124,0)),""),"")</f>
        <v>46302</v>
      </c>
      <c r="E605" s="91">
        <f ca="1">IFERROR(IF(INDEX('Coverage Indicators - Section D'!Q$1:Q$124,MATCH($A594,'Coverage Indicators - Section D'!$A$1:$A$124,0))&lt;&gt;"",INDEX('Coverage Indicators - Section D'!Q$1:Q$124,MATCH($A594,'Coverage Indicators - Section D'!$A$1:$A$124,0)),""),"")</f>
        <v>46302</v>
      </c>
      <c r="F605" s="91">
        <f ca="1">IFERROR(IF(INDEX('Coverage Indicators - Section D'!T$1:T$124,MATCH($A594,'Coverage Indicators - Section D'!$A$1:$A$124,0))&lt;&gt;"",INDEX('Coverage Indicators - Section D'!T$1:T$124,MATCH($A594,'Coverage Indicators - Section D'!$A$1:$A$124,0)),""),"")</f>
        <v>56125.5</v>
      </c>
      <c r="G605" s="91">
        <f ca="1">IFERROR(IF(INDEX('Coverage Indicators - Section D'!W$1:W$124,MATCH($A594,'Coverage Indicators - Section D'!$A$1:$A$124,0))&lt;&gt;"",INDEX('Coverage Indicators - Section D'!W$1:W$124,MATCH($A594,'Coverage Indicators - Section D'!$A$1:$A$124,0)),""),"")</f>
        <v>56125.5</v>
      </c>
      <c r="H605" s="91">
        <f ca="1">IFERROR(IF(INDEX('Coverage Indicators - Section D'!Z$1:Z$124,MATCH($A594,'Coverage Indicators - Section D'!$A$1:$A$124,0))&lt;&gt;"",INDEX('Coverage Indicators - Section D'!Z$1:Z$124,MATCH($A594,'Coverage Indicators - Section D'!$A$1:$A$124,0)),""),"")</f>
        <v>66062.467267679996</v>
      </c>
      <c r="I605" s="91">
        <f ca="1">IFERROR(IF(INDEX('Coverage Indicators - Section D'!AC$1:AC$124,MATCH($A594,'Coverage Indicators - Section D'!$A$1:$A$124,0))&lt;&gt;"",INDEX('Coverage Indicators - Section D'!AC$1:AC$124,MATCH($A594,'Coverage Indicators - Section D'!$A$1:$A$124,0)),""),"")</f>
        <v>66062.467267679996</v>
      </c>
      <c r="J605" s="91" t="str">
        <f ca="1">IFERROR(IF(INDEX('Coverage Indicators - Section D'!AF$1:AF$124,MATCH($A594,'Coverage Indicators - Section D'!$A$1:$A$124,0))&lt;&gt;"",INDEX('Coverage Indicators - Section D'!AF$1:AF$124,MATCH($A594,'Coverage Indicators - Section D'!$A$1:$A$124,0)),""),"")</f>
        <v/>
      </c>
      <c r="K605" s="91" t="str">
        <f ca="1">IFERROR(IF(INDEX('Coverage Indicators - Section D'!AI$1:AI$124,MATCH($A594,'Coverage Indicators - Section D'!$A$1:$A$124,0))&lt;&gt;"",INDEX('Coverage Indicators - Section D'!AI$1:AI$124,MATCH($A594,'Coverage Indicators - Section D'!$A$1:$A$124,0)),""),"")</f>
        <v/>
      </c>
      <c r="L605" s="92"/>
    </row>
    <row r="606" spans="1:12" s="96" customFormat="1" ht="18.75" customHeight="1">
      <c r="A606" s="641"/>
      <c r="B606" s="89" t="s">
        <v>5055</v>
      </c>
      <c r="C606" s="94">
        <f>IFERROR(IF(INDEX('Coverage Indicators - Section D'!E$1:E$124,MATCH($A594,'Coverage Indicators - Section D'!$A$1:$A$124,0)+1)&lt;&gt;"",INDEX('Coverage Indicators - Section D'!E$1:E$124,MATCH($A594,'Coverage Indicators - Section D'!$A$1:$A$124,0)+1),""),"")</f>
        <v>120556.851311953</v>
      </c>
      <c r="D606" s="94">
        <f ca="1">IFERROR(IF(INDEX('Coverage Indicators - Section D'!N$1:N$124,MATCH($A594,'Coverage Indicators - Section D'!$A$1:$A$124,0)+1)&lt;&gt;"",INDEX('Coverage Indicators - Section D'!N$1:N$124,MATCH($A594,'Coverage Indicators - Section D'!$A$1:$A$124,0)+1),""),"")</f>
        <v>131352</v>
      </c>
      <c r="E606" s="94">
        <f ca="1">IFERROR(IF(INDEX('Coverage Indicators - Section D'!Q$1:Q$124,MATCH($A594,'Coverage Indicators - Section D'!$A$1:$A$124,0)+1)&lt;&gt;"",INDEX('Coverage Indicators - Section D'!Q$1:Q$124,MATCH($A594,'Coverage Indicators - Section D'!$A$1:$A$124,0)+1),""),"")</f>
        <v>131352</v>
      </c>
      <c r="F606" s="94">
        <f ca="1">IFERROR(IF(INDEX('Coverage Indicators - Section D'!T$1:T$124,MATCH($A594,'Coverage Indicators - Section D'!$A$1:$A$124,0)+1)&lt;&gt;"",INDEX('Coverage Indicators - Section D'!T$1:T$124,MATCH($A594,'Coverage Indicators - Section D'!$A$1:$A$124,0)+1),""),"")</f>
        <v>135161</v>
      </c>
      <c r="G606" s="94">
        <f ca="1">IFERROR(IF(INDEX('Coverage Indicators - Section D'!W$1:W$124,MATCH($A594,'Coverage Indicators - Section D'!$A$1:$A$124,0)+1)&lt;&gt;"",INDEX('Coverage Indicators - Section D'!W$1:W$124,MATCH($A594,'Coverage Indicators - Section D'!$A$1:$A$124,0)+1),""),"")</f>
        <v>135161</v>
      </c>
      <c r="H606" s="94">
        <f ca="1">IFERROR(IF(INDEX('Coverage Indicators - Section D'!Z$1:Z$124,MATCH($A594,'Coverage Indicators - Section D'!$A$1:$A$124,0)+1)&lt;&gt;"",INDEX('Coverage Indicators - Section D'!Z$1:Z$124,MATCH($A594,'Coverage Indicators - Section D'!$A$1:$A$124,0)+1),""),"")</f>
        <v>139081</v>
      </c>
      <c r="I606" s="94">
        <f ca="1">IFERROR(IF(INDEX('Coverage Indicators - Section D'!AC$1:AC$124,MATCH($A594,'Coverage Indicators - Section D'!$A$1:$A$124,0)+1)&lt;&gt;"",INDEX('Coverage Indicators - Section D'!AC$1:AC$124,MATCH($A594,'Coverage Indicators - Section D'!$A$1:$A$124,0)+1),""),"")</f>
        <v>139081</v>
      </c>
      <c r="J606" s="94" t="str">
        <f ca="1">IFERROR(IF(INDEX('Coverage Indicators - Section D'!AF$1:AF$124,MATCH($A594,'Coverage Indicators - Section D'!$A$1:$A$124,0)+1)&lt;&gt;"",INDEX('Coverage Indicators - Section D'!AF$1:AF$124,MATCH($A594,'Coverage Indicators - Section D'!$A$1:$A$124,0)+1),""),"")</f>
        <v/>
      </c>
      <c r="K606" s="94" t="str">
        <f ca="1">IFERROR(IF(INDEX('Coverage Indicators - Section D'!AI$1:AI$124,MATCH($A594,'Coverage Indicators - Section D'!$A$1:$A$124,0)+1)&lt;&gt;"",INDEX('Coverage Indicators - Section D'!AI$1:AI$124,MATCH($A594,'Coverage Indicators - Section D'!$A$1:$A$124,0)+1),""),"")</f>
        <v/>
      </c>
      <c r="L606" s="95"/>
    </row>
    <row r="607" spans="1:12" ht="18.75" customHeight="1">
      <c r="A607" s="641"/>
      <c r="B607" s="89" t="s">
        <v>5056</v>
      </c>
      <c r="C607" s="90" t="str">
        <f ca="1">IFERROR(IF(INDEX('Coverage Indicators - Section D'!F$1:F$124,MATCH($A594,'Coverage Indicators - Section D'!$A$1:$A$124,0))&lt;&gt;"",FIXED(INDEX('Coverage Indicators - Section D'!F$1:F$124,MATCH($A594,'Coverage Indicators - Section D'!$A$1:$A$124,0))*100,2)&amp;"%",""),"")</f>
        <v>26.99%</v>
      </c>
      <c r="D607" s="90" t="str">
        <f>IFERROR(IF(INDEX('Coverage Indicators - Section D'!O$1:O$124,MATCH($A594,'Coverage Indicators - Section D'!$A$1:$A$124,0))&lt;&gt;"",FIXED(INDEX('Coverage Indicators - Section D'!O$1:O$124,MATCH($A594,'Coverage Indicators - Section D'!$A$1:$A$124,0))*100,2)&amp;"%",""),"")&amp;CHAR(10)&amp;IFERROR(IF(INDEX('Coverage Indicators - Section D'!P$1:P$124,MATCH($A594,'Coverage Indicators - Section D'!$A$1:$A$124,0))&lt;&gt;"",INDEX('Coverage Indicators - Section D'!P$1:P$124,MATCH($A594,'Coverage Indicators - Section D'!$A$1:$A$124,0)),""),"")</f>
        <v xml:space="preserve">35.25%
</v>
      </c>
      <c r="E607" s="90" t="str">
        <f>IFERROR(IF(INDEX('Coverage Indicators - Section D'!R$1:R$124,MATCH($A594,'Coverage Indicators - Section D'!$A$1:$A$124,0))&lt;&gt;"",FIXED(INDEX('Coverage Indicators - Section D'!R$1:R$124,MATCH($A594,'Coverage Indicators - Section D'!$A$1:$A$124,0))*100,2)&amp;"%",""),"")&amp;CHAR(10)&amp;IFERROR(IF(INDEX('Coverage Indicators - Section D'!S$1:S$124,MATCH($A594,'Coverage Indicators - Section D'!$A$1:$A$124,0))&lt;&gt;"",INDEX('Coverage Indicators - Section D'!S$1:S$124,MATCH($A594,'Coverage Indicators - Section D'!$A$1:$A$124,0)),""),"")</f>
        <v xml:space="preserve">35.25%
</v>
      </c>
      <c r="F607" s="90" t="str">
        <f>IFERROR(IF(INDEX('Coverage Indicators - Section D'!U$1:U$124,MATCH($A594,'Coverage Indicators - Section D'!$A$1:$A$124,0))&lt;&gt;"",FIXED(INDEX('Coverage Indicators - Section D'!U$1:U$124,MATCH($A594,'Coverage Indicators - Section D'!$A$1:$A$124,0))*100,2)&amp;"%",""),"")&amp;CHAR(10)&amp;IFERROR(IF(INDEX('Coverage Indicators - Section D'!V$1:V$124,MATCH($A594,'Coverage Indicators - Section D'!$A$1:$A$124,0))&lt;&gt;"",INDEX('Coverage Indicators - Section D'!V$1:V$124,MATCH($A594,'Coverage Indicators - Section D'!$A$1:$A$124,0)),""),"")</f>
        <v xml:space="preserve">41.52%
</v>
      </c>
      <c r="G607" s="90" t="str">
        <f>IFERROR(IF(INDEX('Coverage Indicators - Section D'!X$1:X$124,MATCH($A594,'Coverage Indicators - Section D'!$A$1:$A$124,0))&lt;&gt;"",FIXED(INDEX('Coverage Indicators - Section D'!X$1:X$124,MATCH($A594,'Coverage Indicators - Section D'!$A$1:$A$124,0))*100,2)&amp;"%",""),"")&amp;CHAR(10)&amp;IFERROR(IF(INDEX('Coverage Indicators - Section D'!Y$1:Y$124,MATCH($A594,'Coverage Indicators - Section D'!$A$1:$A$124,0))&lt;&gt;"",INDEX('Coverage Indicators - Section D'!Y$1:Y$124,MATCH($A594,'Coverage Indicators - Section D'!$A$1:$A$124,0)),""),"")</f>
        <v xml:space="preserve">41.52%
</v>
      </c>
      <c r="H607" s="90" t="str">
        <f>IFERROR(IF(INDEX('Coverage Indicators - Section D'!AA$1:AA$124,MATCH(A594,'Coverage Indicators - Section D'!$A$1:$A$124,0))&lt;&gt;"",FIXED(INDEX('Coverage Indicators - Section D'!AA$1:AA$124,MATCH($A594,'Coverage Indicators - Section D'!$A$1:$A$124,0))*100,2)&amp;"%",""),"")&amp;CHAR(10)&amp;IFERROR(IF(INDEX('Coverage Indicators - Section D'!AB$1:AB$124,MATCH($A594,'Coverage Indicators - Section D'!$A$1:$A$124,0))&lt;&gt;"",INDEX('Coverage Indicators - Section D'!AB$1:AB$124,MATCH($A594,'Coverage Indicators - Section D'!$A$1:$A$124,0)),""),"")</f>
        <v xml:space="preserve">47.50%
</v>
      </c>
      <c r="I607" s="90" t="str">
        <f>IFERROR(IF(INDEX('Coverage Indicators - Section D'!AD$1:AD$124,MATCH($A594,'Coverage Indicators - Section D'!$A$1:$A$124,0))&lt;&gt;"",FIXED(INDEX('Coverage Indicators - Section D'!AD$1:AD$124,MATCH($A594,'Coverage Indicators - Section D'!$A$1:$A$124,0))*100,2)&amp;"%",""),"")&amp;CHAR(10)&amp;IFERROR(IF(INDEX('Coverage Indicators - Section D'!AE$1:AE$124,MATCH($A594,'Coverage Indicators - Section D'!$A$1:$A$124,0))&lt;&gt;"",INDEX('Coverage Indicators - Section D'!AE$1:AE$124,MATCH($A594,'Coverage Indicators - Section D'!$A$1:$A$124,0)),""),"")</f>
        <v xml:space="preserve">47.50%
</v>
      </c>
      <c r="J607" s="90" t="str">
        <f>IFERROR(IF(INDEX('Coverage Indicators - Section D'!AG$1:AG$124,MATCH($A594,'Coverage Indicators - Section D'!$A$1:$A$124,0))&lt;&gt;"",FIXED(INDEX('Coverage Indicators - Section D'!AG$1:AG$124,MATCH($A594,'Coverage Indicators - Section D'!$A$1:$A$124,0))*100,2)&amp;"%",""),"")&amp;CHAR(10)&amp;IFERROR(IF(INDEX('Coverage Indicators - Section D'!AH$1:AH$124,MATCH($A594,'Coverage Indicators - Section D'!$A$1:$A$124,0))&lt;&gt;"",INDEX('Coverage Indicators - Section D'!AH$1:AH$124,MATCH($A594,'Coverage Indicators - Section D'!$A$1:$A$124,0)),""),"")</f>
        <v xml:space="preserve">
</v>
      </c>
      <c r="K607" s="90" t="str">
        <f>IFERROR(IF(INDEX('Coverage Indicators - Section D'!AJ$1:AJ$124,MATCH($A594,'Coverage Indicators - Section D'!$A$1:$A$124,0))&lt;&gt;"",FIXED(INDEX('Coverage Indicators - Section D'!AJ$1:AJ$124,MATCH($A594,'Coverage Indicators - Section D'!$A$1:$A$124,0))*100,2)&amp;"%",""),"")&amp;CHAR(10)&amp;IFERROR(IF(INDEX('Coverage Indicators - Section D'!AK$1:AK$124,MATCH($A594,'Coverage Indicators - Section D'!$A$1:$A$124,0))&lt;&gt;"",INDEX('Coverage Indicators - Section D'!AK$1:AK$124,MATCH($A594,'Coverage Indicators - Section D'!$A$1:$A$124,0)),""),"")</f>
        <v xml:space="preserve">
</v>
      </c>
      <c r="L607" s="82"/>
    </row>
    <row r="608" spans="1:12" ht="18.75" customHeight="1">
      <c r="A608" s="641"/>
      <c r="B608" s="625" t="s">
        <v>176</v>
      </c>
      <c r="C608" s="626"/>
      <c r="D608" s="626"/>
      <c r="E608" s="626"/>
      <c r="F608" s="626"/>
      <c r="G608" s="626"/>
      <c r="H608" s="626"/>
      <c r="I608" s="626"/>
      <c r="J608" s="626"/>
      <c r="K608" s="630"/>
      <c r="L608" s="82"/>
    </row>
    <row r="609" spans="1:12" ht="18.75" customHeight="1">
      <c r="A609" s="641"/>
      <c r="B609" s="634" t="str">
        <f>IFERROR(IF(INDEX('Coverage Indicators - Section D'!AL$1:AL$134,MATCH($A594,'Coverage Indicators - Section D'!$A$1:$A$134,0))&lt;&gt;0,INDEX('Coverage Indicators - Section D'!AL$1:AL$134,MATCH($A594,'Coverage Indicators - Section D'!$A$1:$A$134,0)),""),"")</f>
        <v>N:Number of men who have sex with men who were tested for HIV during the reporting period in KP-specific programs and who know their results
D:Estimated number of men who have sex with men in KP-specific program areas
Activities for key populations are implemented but data are not captured by the national system.
The contribution of the GF is 40,300 in 2024; 49,274 in 2025 and 58,565 in 2026.</v>
      </c>
      <c r="C609" s="635"/>
      <c r="D609" s="635"/>
      <c r="E609" s="635"/>
      <c r="F609" s="635"/>
      <c r="G609" s="635"/>
      <c r="H609" s="635"/>
      <c r="I609" s="635"/>
      <c r="J609" s="635"/>
      <c r="K609" s="636"/>
      <c r="L609" s="82"/>
    </row>
    <row r="610" spans="1:12" ht="18.75" customHeight="1">
      <c r="A610" s="641"/>
      <c r="B610" s="643"/>
      <c r="C610" s="644"/>
      <c r="D610" s="644"/>
      <c r="E610" s="644"/>
      <c r="F610" s="644"/>
      <c r="G610" s="644"/>
      <c r="H610" s="644"/>
      <c r="I610" s="644"/>
      <c r="J610" s="644"/>
      <c r="K610" s="645"/>
      <c r="L610" s="82"/>
    </row>
    <row r="611" spans="1:12" ht="18.75" customHeight="1">
      <c r="A611" s="641"/>
      <c r="B611" s="643"/>
      <c r="C611" s="644"/>
      <c r="D611" s="644"/>
      <c r="E611" s="644"/>
      <c r="F611" s="644"/>
      <c r="G611" s="644"/>
      <c r="H611" s="644"/>
      <c r="I611" s="644"/>
      <c r="J611" s="644"/>
      <c r="K611" s="645"/>
      <c r="L611" s="82"/>
    </row>
    <row r="612" spans="1:12" ht="18.75" customHeight="1">
      <c r="A612" s="641"/>
      <c r="B612" s="643"/>
      <c r="C612" s="644"/>
      <c r="D612" s="644"/>
      <c r="E612" s="644"/>
      <c r="F612" s="644"/>
      <c r="G612" s="644"/>
      <c r="H612" s="644"/>
      <c r="I612" s="644"/>
      <c r="J612" s="644"/>
      <c r="K612" s="645"/>
      <c r="L612" s="82"/>
    </row>
    <row r="613" spans="1:12" ht="18.75" customHeight="1">
      <c r="A613" s="641"/>
      <c r="B613" s="643"/>
      <c r="C613" s="644"/>
      <c r="D613" s="644"/>
      <c r="E613" s="644"/>
      <c r="F613" s="644"/>
      <c r="G613" s="644"/>
      <c r="H613" s="644"/>
      <c r="I613" s="644"/>
      <c r="J613" s="644"/>
      <c r="K613" s="645"/>
      <c r="L613" s="82"/>
    </row>
    <row r="614" spans="1:12" ht="18.75" customHeight="1">
      <c r="A614" s="641"/>
      <c r="B614" s="643"/>
      <c r="C614" s="644"/>
      <c r="D614" s="644"/>
      <c r="E614" s="644"/>
      <c r="F614" s="644"/>
      <c r="G614" s="644"/>
      <c r="H614" s="644"/>
      <c r="I614" s="644"/>
      <c r="J614" s="644"/>
      <c r="K614" s="645"/>
      <c r="L614" s="82"/>
    </row>
    <row r="615" spans="1:12" ht="18.75" customHeight="1">
      <c r="A615" s="641"/>
      <c r="B615" s="643"/>
      <c r="C615" s="644"/>
      <c r="D615" s="644"/>
      <c r="E615" s="644"/>
      <c r="F615" s="644"/>
      <c r="G615" s="644"/>
      <c r="H615" s="644"/>
      <c r="I615" s="644"/>
      <c r="J615" s="644"/>
      <c r="K615" s="645"/>
      <c r="L615" s="82"/>
    </row>
    <row r="616" spans="1:12" ht="18.75" customHeight="1">
      <c r="A616" s="641"/>
      <c r="B616" s="643"/>
      <c r="C616" s="644"/>
      <c r="D616" s="644"/>
      <c r="E616" s="644"/>
      <c r="F616" s="644"/>
      <c r="G616" s="644"/>
      <c r="H616" s="644"/>
      <c r="I616" s="644"/>
      <c r="J616" s="644"/>
      <c r="K616" s="645"/>
      <c r="L616" s="82"/>
    </row>
    <row r="617" spans="1:12" ht="18.75" customHeight="1">
      <c r="A617" s="641"/>
      <c r="B617" s="643"/>
      <c r="C617" s="644"/>
      <c r="D617" s="644"/>
      <c r="E617" s="644"/>
      <c r="F617" s="644"/>
      <c r="G617" s="644"/>
      <c r="H617" s="644"/>
      <c r="I617" s="644"/>
      <c r="J617" s="644"/>
      <c r="K617" s="645"/>
      <c r="L617" s="82"/>
    </row>
    <row r="618" spans="1:12" ht="18.75" customHeight="1">
      <c r="A618" s="642"/>
      <c r="B618" s="637"/>
      <c r="C618" s="638"/>
      <c r="D618" s="638"/>
      <c r="E618" s="638"/>
      <c r="F618" s="638"/>
      <c r="G618" s="638"/>
      <c r="H618" s="638"/>
      <c r="I618" s="638"/>
      <c r="J618" s="638"/>
      <c r="K618" s="639"/>
      <c r="L618" s="82"/>
    </row>
    <row r="619" spans="1:12" ht="18.75" customHeight="1">
      <c r="A619" s="625"/>
      <c r="B619" s="626"/>
      <c r="C619" s="626"/>
      <c r="D619" s="626"/>
      <c r="E619" s="626"/>
      <c r="F619" s="626"/>
      <c r="G619" s="626"/>
      <c r="H619" s="626"/>
      <c r="I619" s="626"/>
      <c r="J619" s="626"/>
      <c r="K619" s="630"/>
      <c r="L619" s="82"/>
    </row>
    <row r="621" spans="1:12" ht="18.75" customHeight="1">
      <c r="A621" s="89" t="s">
        <v>5051</v>
      </c>
      <c r="B621" s="625" t="s">
        <v>1077</v>
      </c>
      <c r="C621" s="630"/>
      <c r="D621" s="631" t="str">
        <f ca="1">IFERROR(IF(INDEX('Coverage Indicators - Section D'!B$1:B$124,MATCH($A622,'Coverage Indicators - Section D'!$A$1:$A$124,0))&lt;&gt;0,INDEX('Coverage Indicators - Section D'!B$1:B$124,MATCH($A622,'Coverage Indicators - Section D'!$A$1:$A$124,0)),""),"")</f>
        <v>Differentiated HIV Testing Services</v>
      </c>
      <c r="E621" s="632"/>
      <c r="F621" s="632"/>
      <c r="G621" s="632"/>
      <c r="H621" s="632"/>
      <c r="I621" s="632"/>
      <c r="J621" s="632"/>
      <c r="K621" s="633"/>
      <c r="L621" s="82"/>
    </row>
    <row r="622" spans="1:12" ht="18.75" customHeight="1">
      <c r="A622" s="640">
        <v>23</v>
      </c>
      <c r="B622" s="625" t="s">
        <v>765</v>
      </c>
      <c r="C622" s="626"/>
      <c r="D622" s="626"/>
      <c r="E622" s="626"/>
      <c r="F622" s="630"/>
      <c r="G622" s="625" t="s">
        <v>766</v>
      </c>
      <c r="H622" s="626"/>
      <c r="I622" s="626"/>
      <c r="J622" s="626"/>
      <c r="K622" s="630"/>
      <c r="L622" s="82"/>
    </row>
    <row r="623" spans="1:12" ht="18.75" customHeight="1">
      <c r="A623" s="641"/>
      <c r="B623" s="634" t="str">
        <f>IFERROR(IF(INDEX('Coverage Indicators - Section D'!C$1:C$124,MATCH($A622,'Coverage Indicators - Section D'!$A$1:$A$124,0))&lt;&gt;0,INDEX('Coverage Indicators - Section D'!C$1:C$124,MATCH($A622,'Coverage Indicators - Section D'!$A$1:$A$124,0)),""),"")</f>
        <v>HTS-3b Percentage of TG that have received an HIV test during the reporting period in KP-specific programs and know their results</v>
      </c>
      <c r="C623" s="635"/>
      <c r="D623" s="635"/>
      <c r="E623" s="635"/>
      <c r="F623" s="636"/>
      <c r="G623" s="634" t="str">
        <f>IFERROR(IF(INDEX('Coverage Indicators - Section D'!D$1:D$124,MATCH($A622,'Coverage Indicators - Section D'!$A$1:$A$124,0))&lt;&gt;0,INDEX('Coverage Indicators - Section D'!D$1:D$124,MATCH($A622,'Coverage Indicators - Section D'!$A$1:$A$124,0)),""),"")</f>
        <v/>
      </c>
      <c r="H623" s="635"/>
      <c r="I623" s="635"/>
      <c r="J623" s="635"/>
      <c r="K623" s="636"/>
      <c r="L623" s="82"/>
    </row>
    <row r="624" spans="1:12" ht="18.75" customHeight="1">
      <c r="A624" s="641"/>
      <c r="B624" s="643"/>
      <c r="C624" s="644"/>
      <c r="D624" s="644"/>
      <c r="E624" s="644"/>
      <c r="F624" s="645"/>
      <c r="G624" s="643"/>
      <c r="H624" s="644"/>
      <c r="I624" s="644"/>
      <c r="J624" s="644"/>
      <c r="K624" s="645"/>
      <c r="L624" s="82"/>
    </row>
    <row r="625" spans="1:12" ht="18.75" customHeight="1">
      <c r="A625" s="641"/>
      <c r="B625" s="637"/>
      <c r="C625" s="638"/>
      <c r="D625" s="638"/>
      <c r="E625" s="638"/>
      <c r="F625" s="639"/>
      <c r="G625" s="637"/>
      <c r="H625" s="638"/>
      <c r="I625" s="638"/>
      <c r="J625" s="638"/>
      <c r="K625" s="639"/>
      <c r="L625" s="82"/>
    </row>
    <row r="626" spans="1:12" ht="18.75" customHeight="1">
      <c r="A626" s="641"/>
      <c r="B626" s="625" t="s">
        <v>769</v>
      </c>
      <c r="C626" s="626"/>
      <c r="D626" s="630"/>
      <c r="E626" s="625" t="s">
        <v>216</v>
      </c>
      <c r="F626" s="626"/>
      <c r="G626" s="630"/>
      <c r="H626" s="625" t="s">
        <v>127</v>
      </c>
      <c r="I626" s="626"/>
      <c r="J626" s="630"/>
      <c r="K626" s="89" t="s">
        <v>2204</v>
      </c>
      <c r="L626" s="82"/>
    </row>
    <row r="627" spans="1:12" ht="18.75" customHeight="1">
      <c r="A627" s="641"/>
      <c r="B627" s="631" t="str">
        <f>IFERROR(IF(INDEX('Coverage Indicators - Section D'!I$9:I$92,MATCH($A622,'Coverage Indicators - Section D'!$A$9:$A$92,0))&lt;&gt;0,INDEX('Coverage Indicators - Section D'!I$9:I$92,MATCH($A622,'Coverage Indicators - Section D'!$A$9:$A$92,0)),""),"")</f>
        <v>Age,Gender</v>
      </c>
      <c r="C627" s="632"/>
      <c r="D627" s="633"/>
      <c r="E627" s="631" t="str">
        <f>IFERROR(IF(INDEX('Coverage Indicators - Section D'!M$1:M$124,MATCH($A622,'Coverage Indicators - Section D'!$A$1:$A$124,0))&lt;&gt;0,INDEX('Coverage Indicators - Section D'!M$1:M$124,MATCH($A622,'Coverage Indicators - Section D'!$A$1:$A$124,0)),""),"")</f>
        <v>Non cumulative</v>
      </c>
      <c r="F627" s="632"/>
      <c r="G627" s="633"/>
      <c r="H627" s="631" t="str">
        <f>IFERROR(IF(INDEX('Coverage Indicators - Section D'!L$1:L$124,MATCH($A622,'Coverage Indicators - Section D'!$A$1:$A$124,0))&lt;&gt;0,INDEX('Coverage Indicators - Section D'!L$1:L$124,MATCH($A622,'Coverage Indicators - Section D'!$A$1:$A$124,0)),""),"")</f>
        <v>Congo (Democratic Republic)</v>
      </c>
      <c r="I627" s="632"/>
      <c r="J627" s="633"/>
      <c r="K627" s="90" t="str">
        <f>IFERROR(IF(INDEX('Coverage Indicators - Section D'!J$1:J$124,MATCH($A622,'Coverage Indicators - Section D'!$A$1:$A$124,0))&lt;&gt;0,INDEX('Coverage Indicators - Section D'!J$1:J$124,MATCH($A622,'Coverage Indicators - Section D'!$A$1:$A$124,0)),""),"")</f>
        <v>Yes</v>
      </c>
      <c r="L627" s="82"/>
    </row>
    <row r="628" spans="1:12" ht="18.75" customHeight="1">
      <c r="A628" s="641"/>
      <c r="B628" s="625" t="s">
        <v>199</v>
      </c>
      <c r="C628" s="626"/>
      <c r="D628" s="630"/>
      <c r="E628" s="625" t="s">
        <v>5060</v>
      </c>
      <c r="F628" s="626"/>
      <c r="G628" s="630"/>
      <c r="H628" s="625" t="s">
        <v>120</v>
      </c>
      <c r="I628" s="626"/>
      <c r="J628" s="626"/>
      <c r="K628" s="630"/>
      <c r="L628" s="82"/>
    </row>
    <row r="629" spans="1:12" ht="18.75" customHeight="1">
      <c r="A629" s="641"/>
      <c r="B629" s="634" t="str">
        <f>IFERROR(IF(INDEX('Coverage Indicators - Section D'!H$1:H$124,MATCH($A622,'Coverage Indicators - Section D'!$A$1:$A$124,0))&lt;&gt;0,INDEX('Coverage Indicators - Section D'!H$1:H$124,MATCH($A622,'Coverage Indicators - Section D'!$A$1:$A$124,0)),""),"")</f>
        <v>HIV program annual report</v>
      </c>
      <c r="C629" s="635"/>
      <c r="D629" s="636"/>
      <c r="E629" s="634" t="str">
        <f>IFERROR(IF(INDEX('Coverage Indicators - Section D'!L$1:L$124,MATCH($A622,'Coverage Indicators - Section D'!$A$1:$A$124,0)+1)&lt;&gt;0,INDEX('Coverage Indicators - Section D'!L$1:L$124,MATCH($A622,'Coverage Indicators - Section D'!$A$1:$A$124,0)+1),""),"")</f>
        <v>Geographic National, 100% of national program target</v>
      </c>
      <c r="F629" s="635"/>
      <c r="G629" s="636"/>
      <c r="H629" s="634" t="str">
        <f ca="1">IFERROR(IF(AND('Overview - Section A'!AS$1="Grant Making",OR(B623&lt;&gt;"",G623&lt;&gt;"")),Setup!I15,IF(INDEX('Coverage Indicators - Section D'!K$1:K$124,MATCH($A622,'Coverage Indicators - Section D'!$A$1:$A$124,0))&lt;&gt;0,INDEX('Coverage Indicators - Section D'!K$1:K$124,MATCH($A622,'Coverage Indicators - Section D'!$A$1:$A$124,0)),"")),"")</f>
        <v>Ministry of Public Health, Hygiene and Prevention</v>
      </c>
      <c r="I629" s="635"/>
      <c r="J629" s="635"/>
      <c r="K629" s="636"/>
      <c r="L629" s="82"/>
    </row>
    <row r="630" spans="1:12" ht="18.75" customHeight="1">
      <c r="A630" s="641"/>
      <c r="B630" s="637"/>
      <c r="C630" s="638"/>
      <c r="D630" s="639"/>
      <c r="E630" s="637"/>
      <c r="F630" s="638"/>
      <c r="G630" s="639"/>
      <c r="H630" s="637"/>
      <c r="I630" s="638"/>
      <c r="J630" s="638"/>
      <c r="K630" s="639"/>
      <c r="L630" s="82"/>
    </row>
    <row r="631" spans="1:12" ht="18.75" customHeight="1">
      <c r="A631" s="641"/>
      <c r="B631" s="89"/>
      <c r="C631" s="89" t="s">
        <v>5052</v>
      </c>
      <c r="D631" s="625" t="s">
        <v>5053</v>
      </c>
      <c r="E631" s="626"/>
      <c r="F631" s="626"/>
      <c r="G631" s="626"/>
      <c r="H631" s="626"/>
      <c r="I631" s="626"/>
      <c r="J631" s="626"/>
      <c r="K631" s="630"/>
      <c r="L631" s="82"/>
    </row>
    <row r="632" spans="1:12" ht="18.75" customHeight="1">
      <c r="A632" s="641"/>
      <c r="B632" s="89" t="s">
        <v>2589</v>
      </c>
      <c r="C632" s="90">
        <f>IFERROR(IF(INDEX('Coverage Indicators - Section D'!G$1:G$124,MATCH($A622,'Coverage Indicators - Section D'!$A$1:$A$124,0))&lt;&gt;0,INDEX('Coverage Indicators - Section D'!G$1:G$124,MATCH($A622,'Coverage Indicators - Section D'!$A$1:$A$124,0)),""),"")</f>
        <v>2021</v>
      </c>
      <c r="D632"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632"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632"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632"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632"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632"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632"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632"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632" s="82"/>
    </row>
    <row r="633" spans="1:12" s="93" customFormat="1" ht="18.75" customHeight="1">
      <c r="A633" s="641"/>
      <c r="B633" s="89" t="s">
        <v>5054</v>
      </c>
      <c r="C633" s="91">
        <f>IFERROR(IF(INDEX('Coverage Indicators - Section D'!E$1:E$124,MATCH($A622,'Coverage Indicators - Section D'!$A$1:$A$124,0))&lt;&gt;"",INDEX('Coverage Indicators - Section D'!E$1:E$124,MATCH($A622,'Coverage Indicators - Section D'!$A$1:$A$124,0)),""),"")</f>
        <v>4082</v>
      </c>
      <c r="D633" s="91">
        <f ca="1">IFERROR(IF(INDEX('Coverage Indicators - Section D'!N$1:N$124,MATCH($A622,'Coverage Indicators - Section D'!$A$1:$A$124,0))&lt;&gt;"",INDEX('Coverage Indicators - Section D'!N$1:N$124,MATCH($A622,'Coverage Indicators - Section D'!$A$1:$A$124,0)),""),"")</f>
        <v>8978.4422594999996</v>
      </c>
      <c r="E633" s="91">
        <f ca="1">IFERROR(IF(INDEX('Coverage Indicators - Section D'!Q$1:Q$124,MATCH($A622,'Coverage Indicators - Section D'!$A$1:$A$124,0))&lt;&gt;"",INDEX('Coverage Indicators - Section D'!Q$1:Q$124,MATCH($A622,'Coverage Indicators - Section D'!$A$1:$A$124,0)),""),"")</f>
        <v>8978.4422594999996</v>
      </c>
      <c r="F633" s="91">
        <f ca="1">IFERROR(IF(INDEX('Coverage Indicators - Section D'!T$1:T$124,MATCH($A622,'Coverage Indicators - Section D'!$A$1:$A$124,0))&lt;&gt;"",INDEX('Coverage Indicators - Section D'!T$1:T$124,MATCH($A622,'Coverage Indicators - Section D'!$A$1:$A$124,0)),""),"")</f>
        <v>12687.975463434999</v>
      </c>
      <c r="G633" s="91">
        <f ca="1">IFERROR(IF(INDEX('Coverage Indicators - Section D'!W$1:W$124,MATCH($A622,'Coverage Indicators - Section D'!$A$1:$A$124,0))&lt;&gt;"",INDEX('Coverage Indicators - Section D'!W$1:W$124,MATCH($A622,'Coverage Indicators - Section D'!$A$1:$A$124,0)),""),"")</f>
        <v>12687.975463434999</v>
      </c>
      <c r="H633" s="91">
        <f ca="1">IFERROR(IF(INDEX('Coverage Indicators - Section D'!Z$1:Z$124,MATCH($A622,'Coverage Indicators - Section D'!$A$1:$A$124,0))&lt;&gt;"",INDEX('Coverage Indicators - Section D'!Z$1:Z$124,MATCH($A622,'Coverage Indicators - Section D'!$A$1:$A$124,0)),""),"")</f>
        <v>16636.799865859652</v>
      </c>
      <c r="I633" s="91">
        <f ca="1">IFERROR(IF(INDEX('Coverage Indicators - Section D'!AC$1:AC$124,MATCH($A622,'Coverage Indicators - Section D'!$A$1:$A$124,0))&lt;&gt;"",INDEX('Coverage Indicators - Section D'!AC$1:AC$124,MATCH($A622,'Coverage Indicators - Section D'!$A$1:$A$124,0)),""),"")</f>
        <v>16636.799865859652</v>
      </c>
      <c r="J633" s="91" t="str">
        <f ca="1">IFERROR(IF(INDEX('Coverage Indicators - Section D'!AF$1:AF$124,MATCH($A622,'Coverage Indicators - Section D'!$A$1:$A$124,0))&lt;&gt;"",INDEX('Coverage Indicators - Section D'!AF$1:AF$124,MATCH($A622,'Coverage Indicators - Section D'!$A$1:$A$124,0)),""),"")</f>
        <v/>
      </c>
      <c r="K633" s="91" t="str">
        <f ca="1">IFERROR(IF(INDEX('Coverage Indicators - Section D'!AI$1:AI$124,MATCH($A622,'Coverage Indicators - Section D'!$A$1:$A$124,0))&lt;&gt;"",INDEX('Coverage Indicators - Section D'!AI$1:AI$124,MATCH($A622,'Coverage Indicators - Section D'!$A$1:$A$124,0)),""),"")</f>
        <v/>
      </c>
      <c r="L633" s="92"/>
    </row>
    <row r="634" spans="1:12" s="96" customFormat="1" ht="18.75" customHeight="1">
      <c r="A634" s="641"/>
      <c r="B634" s="89" t="s">
        <v>5055</v>
      </c>
      <c r="C634" s="94">
        <f>IFERROR(IF(INDEX('Coverage Indicators - Section D'!E$1:E$124,MATCH($A622,'Coverage Indicators - Section D'!$A$1:$A$124,0)+1)&lt;&gt;"",INDEX('Coverage Indicators - Section D'!E$1:E$124,MATCH($A622,'Coverage Indicators - Section D'!$A$1:$A$124,0)+1),""),"")</f>
        <v>54936.8318756074</v>
      </c>
      <c r="D634" s="94">
        <f ca="1">IFERROR(IF(INDEX('Coverage Indicators - Section D'!N$1:N$124,MATCH($A622,'Coverage Indicators - Section D'!$A$1:$A$124,0)+1)&lt;&gt;"",INDEX('Coverage Indicators - Section D'!N$1:N$124,MATCH($A622,'Coverage Indicators - Section D'!$A$1:$A$124,0)+1),""),"")</f>
        <v>59856.281729999988</v>
      </c>
      <c r="E634" s="94">
        <f ca="1">IFERROR(IF(INDEX('Coverage Indicators - Section D'!Q$1:Q$124,MATCH($A622,'Coverage Indicators - Section D'!$A$1:$A$124,0)+1)&lt;&gt;"",INDEX('Coverage Indicators - Section D'!Q$1:Q$124,MATCH($A622,'Coverage Indicators - Section D'!$A$1:$A$124,0)+1),""),"")</f>
        <v>59856.281729999988</v>
      </c>
      <c r="F634" s="94">
        <f ca="1">IFERROR(IF(INDEX('Coverage Indicators - Section D'!T$1:T$124,MATCH($A622,'Coverage Indicators - Section D'!$A$1:$A$124,0)+1)&lt;&gt;"",INDEX('Coverage Indicators - Section D'!T$1:T$124,MATCH($A622,'Coverage Indicators - Section D'!$A$1:$A$124,0)+1),""),"")</f>
        <v>61592.113900169985</v>
      </c>
      <c r="G634" s="94">
        <f ca="1">IFERROR(IF(INDEX('Coverage Indicators - Section D'!W$1:W$124,MATCH($A622,'Coverage Indicators - Section D'!$A$1:$A$124,0)+1)&lt;&gt;"",INDEX('Coverage Indicators - Section D'!W$1:W$124,MATCH($A622,'Coverage Indicators - Section D'!$A$1:$A$124,0)+1),""),"")</f>
        <v>61592.113900169985</v>
      </c>
      <c r="H634" s="94">
        <f ca="1">IFERROR(IF(INDEX('Coverage Indicators - Section D'!Z$1:Z$124,MATCH($A622,'Coverage Indicators - Section D'!$A$1:$A$124,0)+1)&lt;&gt;"",INDEX('Coverage Indicators - Section D'!Z$1:Z$124,MATCH($A622,'Coverage Indicators - Section D'!$A$1:$A$124,0)+1),""),"")</f>
        <v>63378.285203274907</v>
      </c>
      <c r="I634" s="94">
        <f ca="1">IFERROR(IF(INDEX('Coverage Indicators - Section D'!AC$1:AC$124,MATCH($A622,'Coverage Indicators - Section D'!$A$1:$A$124,0)+1)&lt;&gt;"",INDEX('Coverage Indicators - Section D'!AC$1:AC$124,MATCH($A622,'Coverage Indicators - Section D'!$A$1:$A$124,0)+1),""),"")</f>
        <v>63378.285203274907</v>
      </c>
      <c r="J634" s="94" t="str">
        <f ca="1">IFERROR(IF(INDEX('Coverage Indicators - Section D'!AF$1:AF$124,MATCH($A622,'Coverage Indicators - Section D'!$A$1:$A$124,0)+1)&lt;&gt;"",INDEX('Coverage Indicators - Section D'!AF$1:AF$124,MATCH($A622,'Coverage Indicators - Section D'!$A$1:$A$124,0)+1),""),"")</f>
        <v/>
      </c>
      <c r="K634" s="94" t="str">
        <f ca="1">IFERROR(IF(INDEX('Coverage Indicators - Section D'!AI$1:AI$124,MATCH($A622,'Coverage Indicators - Section D'!$A$1:$A$124,0)+1)&lt;&gt;"",INDEX('Coverage Indicators - Section D'!AI$1:AI$124,MATCH($A622,'Coverage Indicators - Section D'!$A$1:$A$124,0)+1),""),"")</f>
        <v/>
      </c>
      <c r="L634" s="95"/>
    </row>
    <row r="635" spans="1:12" ht="18.75" customHeight="1">
      <c r="A635" s="641"/>
      <c r="B635" s="89" t="s">
        <v>5056</v>
      </c>
      <c r="C635" s="90" t="str">
        <f ca="1">IFERROR(IF(INDEX('Coverage Indicators - Section D'!F$1:F$124,MATCH($A622,'Coverage Indicators - Section D'!$A$1:$A$124,0))&lt;&gt;"",FIXED(INDEX('Coverage Indicators - Section D'!F$1:F$124,MATCH($A622,'Coverage Indicators - Section D'!$A$1:$A$124,0))*100,2)&amp;"%",""),"")</f>
        <v>7.43%</v>
      </c>
      <c r="D635" s="90" t="str">
        <f>IFERROR(IF(INDEX('Coverage Indicators - Section D'!O$1:O$124,MATCH($A622,'Coverage Indicators - Section D'!$A$1:$A$124,0))&lt;&gt;"",FIXED(INDEX('Coverage Indicators - Section D'!O$1:O$124,MATCH($A622,'Coverage Indicators - Section D'!$A$1:$A$124,0))*100,2)&amp;"%",""),"")&amp;CHAR(10)&amp;IFERROR(IF(INDEX('Coverage Indicators - Section D'!P$1:P$124,MATCH($A622,'Coverage Indicators - Section D'!$A$1:$A$124,0))&lt;&gt;"",INDEX('Coverage Indicators - Section D'!P$1:P$124,MATCH($A622,'Coverage Indicators - Section D'!$A$1:$A$124,0)),""),"")</f>
        <v xml:space="preserve">15.00%
</v>
      </c>
      <c r="E635" s="90" t="str">
        <f>IFERROR(IF(INDEX('Coverage Indicators - Section D'!R$1:R$124,MATCH($A622,'Coverage Indicators - Section D'!$A$1:$A$124,0))&lt;&gt;"",FIXED(INDEX('Coverage Indicators - Section D'!R$1:R$124,MATCH($A622,'Coverage Indicators - Section D'!$A$1:$A$124,0))*100,2)&amp;"%",""),"")&amp;CHAR(10)&amp;IFERROR(IF(INDEX('Coverage Indicators - Section D'!S$1:S$124,MATCH($A622,'Coverage Indicators - Section D'!$A$1:$A$124,0))&lt;&gt;"",INDEX('Coverage Indicators - Section D'!S$1:S$124,MATCH($A622,'Coverage Indicators - Section D'!$A$1:$A$124,0)),""),"")</f>
        <v xml:space="preserve">15.00%
</v>
      </c>
      <c r="F635" s="90" t="str">
        <f>IFERROR(IF(INDEX('Coverage Indicators - Section D'!U$1:U$124,MATCH($A622,'Coverage Indicators - Section D'!$A$1:$A$124,0))&lt;&gt;"",FIXED(INDEX('Coverage Indicators - Section D'!U$1:U$124,MATCH($A622,'Coverage Indicators - Section D'!$A$1:$A$124,0))*100,2)&amp;"%",""),"")&amp;CHAR(10)&amp;IFERROR(IF(INDEX('Coverage Indicators - Section D'!V$1:V$124,MATCH($A622,'Coverage Indicators - Section D'!$A$1:$A$124,0))&lt;&gt;"",INDEX('Coverage Indicators - Section D'!V$1:V$124,MATCH($A622,'Coverage Indicators - Section D'!$A$1:$A$124,0)),""),"")</f>
        <v xml:space="preserve">20.60%
</v>
      </c>
      <c r="G635" s="90" t="str">
        <f>IFERROR(IF(INDEX('Coverage Indicators - Section D'!X$1:X$124,MATCH($A622,'Coverage Indicators - Section D'!$A$1:$A$124,0))&lt;&gt;"",FIXED(INDEX('Coverage Indicators - Section D'!X$1:X$124,MATCH($A622,'Coverage Indicators - Section D'!$A$1:$A$124,0))*100,2)&amp;"%",""),"")&amp;CHAR(10)&amp;IFERROR(IF(INDEX('Coverage Indicators - Section D'!Y$1:Y$124,MATCH($A622,'Coverage Indicators - Section D'!$A$1:$A$124,0))&lt;&gt;"",INDEX('Coverage Indicators - Section D'!Y$1:Y$124,MATCH($A622,'Coverage Indicators - Section D'!$A$1:$A$124,0)),""),"")</f>
        <v xml:space="preserve">20.60%
</v>
      </c>
      <c r="H635" s="90" t="str">
        <f>IFERROR(IF(INDEX('Coverage Indicators - Section D'!AA$1:AA$124,MATCH(A622,'Coverage Indicators - Section D'!$A$1:$A$124,0))&lt;&gt;"",FIXED(INDEX('Coverage Indicators - Section D'!AA$1:AA$124,MATCH($A622,'Coverage Indicators - Section D'!$A$1:$A$124,0))*100,2)&amp;"%",""),"")&amp;CHAR(10)&amp;IFERROR(IF(INDEX('Coverage Indicators - Section D'!AB$1:AB$124,MATCH($A622,'Coverage Indicators - Section D'!$A$1:$A$124,0))&lt;&gt;"",INDEX('Coverage Indicators - Section D'!AB$1:AB$124,MATCH($A622,'Coverage Indicators - Section D'!$A$1:$A$124,0)),""),"")</f>
        <v xml:space="preserve">26.25%
</v>
      </c>
      <c r="I635" s="90" t="str">
        <f>IFERROR(IF(INDEX('Coverage Indicators - Section D'!AD$1:AD$124,MATCH($A622,'Coverage Indicators - Section D'!$A$1:$A$124,0))&lt;&gt;"",FIXED(INDEX('Coverage Indicators - Section D'!AD$1:AD$124,MATCH($A622,'Coverage Indicators - Section D'!$A$1:$A$124,0))*100,2)&amp;"%",""),"")&amp;CHAR(10)&amp;IFERROR(IF(INDEX('Coverage Indicators - Section D'!AE$1:AE$124,MATCH($A622,'Coverage Indicators - Section D'!$A$1:$A$124,0))&lt;&gt;"",INDEX('Coverage Indicators - Section D'!AE$1:AE$124,MATCH($A622,'Coverage Indicators - Section D'!$A$1:$A$124,0)),""),"")</f>
        <v xml:space="preserve">26.25%
</v>
      </c>
      <c r="J635" s="90" t="str">
        <f>IFERROR(IF(INDEX('Coverage Indicators - Section D'!AG$1:AG$124,MATCH($A622,'Coverage Indicators - Section D'!$A$1:$A$124,0))&lt;&gt;"",FIXED(INDEX('Coverage Indicators - Section D'!AG$1:AG$124,MATCH($A622,'Coverage Indicators - Section D'!$A$1:$A$124,0))*100,2)&amp;"%",""),"")&amp;CHAR(10)&amp;IFERROR(IF(INDEX('Coverage Indicators - Section D'!AH$1:AH$124,MATCH($A622,'Coverage Indicators - Section D'!$A$1:$A$124,0))&lt;&gt;"",INDEX('Coverage Indicators - Section D'!AH$1:AH$124,MATCH($A622,'Coverage Indicators - Section D'!$A$1:$A$124,0)),""),"")</f>
        <v xml:space="preserve">
</v>
      </c>
      <c r="K635" s="90" t="str">
        <f>IFERROR(IF(INDEX('Coverage Indicators - Section D'!AJ$1:AJ$124,MATCH($A622,'Coverage Indicators - Section D'!$A$1:$A$124,0))&lt;&gt;"",FIXED(INDEX('Coverage Indicators - Section D'!AJ$1:AJ$124,MATCH($A622,'Coverage Indicators - Section D'!$A$1:$A$124,0))*100,2)&amp;"%",""),"")&amp;CHAR(10)&amp;IFERROR(IF(INDEX('Coverage Indicators - Section D'!AK$1:AK$124,MATCH($A622,'Coverage Indicators - Section D'!$A$1:$A$124,0))&lt;&gt;"",INDEX('Coverage Indicators - Section D'!AK$1:AK$124,MATCH($A622,'Coverage Indicators - Section D'!$A$1:$A$124,0)),""),"")</f>
        <v xml:space="preserve">
</v>
      </c>
      <c r="L635" s="82"/>
    </row>
    <row r="636" spans="1:12" ht="18.75" customHeight="1">
      <c r="A636" s="641"/>
      <c r="B636" s="625" t="s">
        <v>176</v>
      </c>
      <c r="C636" s="626"/>
      <c r="D636" s="626"/>
      <c r="E636" s="626"/>
      <c r="F636" s="626"/>
      <c r="G636" s="626"/>
      <c r="H636" s="626"/>
      <c r="I636" s="626"/>
      <c r="J636" s="626"/>
      <c r="K636" s="630"/>
      <c r="L636" s="82"/>
    </row>
    <row r="637" spans="1:12" ht="18.75" customHeight="1">
      <c r="A637" s="641"/>
      <c r="B637" s="634" t="str">
        <f>IFERROR(IF(INDEX('Coverage Indicators - Section D'!AL$1:AL$134,MATCH($A622,'Coverage Indicators - Section D'!$A$1:$A$134,0))&lt;&gt;0,INDEX('Coverage Indicators - Section D'!AL$1:AL$134,MATCH($A622,'Coverage Indicators - Section D'!$A$1:$A$134,0)),""),"")</f>
        <v>N:Number of transgender people who were tested for HIV during the reporting period in KP-specific programs and who know their results
D:Estimated number of transgender people in KP-specific program areas
Activities for key populations are implemented but data are not captured by the national system.
GF Contribution is 10,774 in 2024; 14,320 in 2025 and 18,063 in 2026.</v>
      </c>
      <c r="C637" s="635"/>
      <c r="D637" s="635"/>
      <c r="E637" s="635"/>
      <c r="F637" s="635"/>
      <c r="G637" s="635"/>
      <c r="H637" s="635"/>
      <c r="I637" s="635"/>
      <c r="J637" s="635"/>
      <c r="K637" s="636"/>
      <c r="L637" s="82"/>
    </row>
    <row r="638" spans="1:12" ht="18.75" customHeight="1">
      <c r="A638" s="641"/>
      <c r="B638" s="643"/>
      <c r="C638" s="644"/>
      <c r="D638" s="644"/>
      <c r="E638" s="644"/>
      <c r="F638" s="644"/>
      <c r="G638" s="644"/>
      <c r="H638" s="644"/>
      <c r="I638" s="644"/>
      <c r="J638" s="644"/>
      <c r="K638" s="645"/>
      <c r="L638" s="82"/>
    </row>
    <row r="639" spans="1:12" ht="18.75" customHeight="1">
      <c r="A639" s="641"/>
      <c r="B639" s="643"/>
      <c r="C639" s="644"/>
      <c r="D639" s="644"/>
      <c r="E639" s="644"/>
      <c r="F639" s="644"/>
      <c r="G639" s="644"/>
      <c r="H639" s="644"/>
      <c r="I639" s="644"/>
      <c r="J639" s="644"/>
      <c r="K639" s="645"/>
      <c r="L639" s="82"/>
    </row>
    <row r="640" spans="1:12" ht="18.75" customHeight="1">
      <c r="A640" s="641"/>
      <c r="B640" s="643"/>
      <c r="C640" s="644"/>
      <c r="D640" s="644"/>
      <c r="E640" s="644"/>
      <c r="F640" s="644"/>
      <c r="G640" s="644"/>
      <c r="H640" s="644"/>
      <c r="I640" s="644"/>
      <c r="J640" s="644"/>
      <c r="K640" s="645"/>
      <c r="L640" s="82"/>
    </row>
    <row r="641" spans="1:12" ht="18.75" customHeight="1">
      <c r="A641" s="641"/>
      <c r="B641" s="643"/>
      <c r="C641" s="644"/>
      <c r="D641" s="644"/>
      <c r="E641" s="644"/>
      <c r="F641" s="644"/>
      <c r="G641" s="644"/>
      <c r="H641" s="644"/>
      <c r="I641" s="644"/>
      <c r="J641" s="644"/>
      <c r="K641" s="645"/>
      <c r="L641" s="82"/>
    </row>
    <row r="642" spans="1:12" ht="18.75" customHeight="1">
      <c r="A642" s="641"/>
      <c r="B642" s="643"/>
      <c r="C642" s="644"/>
      <c r="D642" s="644"/>
      <c r="E642" s="644"/>
      <c r="F642" s="644"/>
      <c r="G642" s="644"/>
      <c r="H642" s="644"/>
      <c r="I642" s="644"/>
      <c r="J642" s="644"/>
      <c r="K642" s="645"/>
      <c r="L642" s="82"/>
    </row>
    <row r="643" spans="1:12" ht="18.75" customHeight="1">
      <c r="A643" s="641"/>
      <c r="B643" s="643"/>
      <c r="C643" s="644"/>
      <c r="D643" s="644"/>
      <c r="E643" s="644"/>
      <c r="F643" s="644"/>
      <c r="G643" s="644"/>
      <c r="H643" s="644"/>
      <c r="I643" s="644"/>
      <c r="J643" s="644"/>
      <c r="K643" s="645"/>
      <c r="L643" s="82"/>
    </row>
    <row r="644" spans="1:12" ht="18.75" customHeight="1">
      <c r="A644" s="641"/>
      <c r="B644" s="643"/>
      <c r="C644" s="644"/>
      <c r="D644" s="644"/>
      <c r="E644" s="644"/>
      <c r="F644" s="644"/>
      <c r="G644" s="644"/>
      <c r="H644" s="644"/>
      <c r="I644" s="644"/>
      <c r="J644" s="644"/>
      <c r="K644" s="645"/>
      <c r="L644" s="82"/>
    </row>
    <row r="645" spans="1:12" ht="18.75" customHeight="1">
      <c r="A645" s="641"/>
      <c r="B645" s="643"/>
      <c r="C645" s="644"/>
      <c r="D645" s="644"/>
      <c r="E645" s="644"/>
      <c r="F645" s="644"/>
      <c r="G645" s="644"/>
      <c r="H645" s="644"/>
      <c r="I645" s="644"/>
      <c r="J645" s="644"/>
      <c r="K645" s="645"/>
      <c r="L645" s="82"/>
    </row>
    <row r="646" spans="1:12" ht="18.75" customHeight="1">
      <c r="A646" s="642"/>
      <c r="B646" s="637"/>
      <c r="C646" s="638"/>
      <c r="D646" s="638"/>
      <c r="E646" s="638"/>
      <c r="F646" s="638"/>
      <c r="G646" s="638"/>
      <c r="H646" s="638"/>
      <c r="I646" s="638"/>
      <c r="J646" s="638"/>
      <c r="K646" s="639"/>
      <c r="L646" s="82"/>
    </row>
    <row r="647" spans="1:12" ht="18.75" customHeight="1">
      <c r="A647" s="625"/>
      <c r="B647" s="626"/>
      <c r="C647" s="626"/>
      <c r="D647" s="626"/>
      <c r="E647" s="626"/>
      <c r="F647" s="626"/>
      <c r="G647" s="626"/>
      <c r="H647" s="626"/>
      <c r="I647" s="626"/>
      <c r="J647" s="626"/>
      <c r="K647" s="630"/>
      <c r="L647" s="82"/>
    </row>
    <row r="649" spans="1:12" ht="18.75" customHeight="1">
      <c r="A649" s="89" t="s">
        <v>5051</v>
      </c>
      <c r="B649" s="625" t="s">
        <v>1077</v>
      </c>
      <c r="C649" s="630"/>
      <c r="D649" s="631" t="str">
        <f ca="1">IFERROR(IF(INDEX('Coverage Indicators - Section D'!B$1:B$124,MATCH($A650,'Coverage Indicators - Section D'!$A$1:$A$124,0))&lt;&gt;0,INDEX('Coverage Indicators - Section D'!B$1:B$124,MATCH($A650,'Coverage Indicators - Section D'!$A$1:$A$124,0)),""),"")</f>
        <v>Differentiated HIV Testing Services</v>
      </c>
      <c r="E649" s="632"/>
      <c r="F649" s="632"/>
      <c r="G649" s="632"/>
      <c r="H649" s="632"/>
      <c r="I649" s="632"/>
      <c r="J649" s="632"/>
      <c r="K649" s="633"/>
      <c r="L649" s="82"/>
    </row>
    <row r="650" spans="1:12" ht="18.75" customHeight="1">
      <c r="A650" s="640">
        <v>24</v>
      </c>
      <c r="B650" s="625" t="s">
        <v>765</v>
      </c>
      <c r="C650" s="626"/>
      <c r="D650" s="626"/>
      <c r="E650" s="626"/>
      <c r="F650" s="630"/>
      <c r="G650" s="625" t="s">
        <v>766</v>
      </c>
      <c r="H650" s="626"/>
      <c r="I650" s="626"/>
      <c r="J650" s="626"/>
      <c r="K650" s="630"/>
      <c r="L650" s="82"/>
    </row>
    <row r="651" spans="1:12" ht="18.75" customHeight="1">
      <c r="A651" s="641"/>
      <c r="B651" s="634" t="str">
        <f>IFERROR(IF(INDEX('Coverage Indicators - Section D'!C$1:C$124,MATCH($A650,'Coverage Indicators - Section D'!$A$1:$A$124,0))&lt;&gt;0,INDEX('Coverage Indicators - Section D'!C$1:C$124,MATCH($A650,'Coverage Indicators - Section D'!$A$1:$A$124,0)),""),"")</f>
        <v>HTS-3c Percentage of sex workers that have received an HIV test during the reporting period in KP-specific programs and know their results</v>
      </c>
      <c r="C651" s="635"/>
      <c r="D651" s="635"/>
      <c r="E651" s="635"/>
      <c r="F651" s="636"/>
      <c r="G651" s="634" t="str">
        <f>IFERROR(IF(INDEX('Coverage Indicators - Section D'!D$1:D$124,MATCH($A650,'Coverage Indicators - Section D'!$A$1:$A$124,0))&lt;&gt;0,INDEX('Coverage Indicators - Section D'!D$1:D$124,MATCH($A650,'Coverage Indicators - Section D'!$A$1:$A$124,0)),""),"")</f>
        <v/>
      </c>
      <c r="H651" s="635"/>
      <c r="I651" s="635"/>
      <c r="J651" s="635"/>
      <c r="K651" s="636"/>
      <c r="L651" s="82"/>
    </row>
    <row r="652" spans="1:12" ht="18.75" customHeight="1">
      <c r="A652" s="641"/>
      <c r="B652" s="643"/>
      <c r="C652" s="644"/>
      <c r="D652" s="644"/>
      <c r="E652" s="644"/>
      <c r="F652" s="645"/>
      <c r="G652" s="643"/>
      <c r="H652" s="644"/>
      <c r="I652" s="644"/>
      <c r="J652" s="644"/>
      <c r="K652" s="645"/>
      <c r="L652" s="82"/>
    </row>
    <row r="653" spans="1:12" ht="18.75" customHeight="1">
      <c r="A653" s="641"/>
      <c r="B653" s="637"/>
      <c r="C653" s="638"/>
      <c r="D653" s="638"/>
      <c r="E653" s="638"/>
      <c r="F653" s="639"/>
      <c r="G653" s="637"/>
      <c r="H653" s="638"/>
      <c r="I653" s="638"/>
      <c r="J653" s="638"/>
      <c r="K653" s="639"/>
      <c r="L653" s="82"/>
    </row>
    <row r="654" spans="1:12" ht="18.75" customHeight="1">
      <c r="A654" s="641"/>
      <c r="B654" s="625" t="s">
        <v>769</v>
      </c>
      <c r="C654" s="626"/>
      <c r="D654" s="630"/>
      <c r="E654" s="625" t="s">
        <v>216</v>
      </c>
      <c r="F654" s="626"/>
      <c r="G654" s="630"/>
      <c r="H654" s="625" t="s">
        <v>127</v>
      </c>
      <c r="I654" s="626"/>
      <c r="J654" s="630"/>
      <c r="K654" s="89" t="s">
        <v>2204</v>
      </c>
      <c r="L654" s="82"/>
    </row>
    <row r="655" spans="1:12" ht="18.75" customHeight="1">
      <c r="A655" s="641"/>
      <c r="B655" s="631" t="str">
        <f>IFERROR(IF(INDEX('Coverage Indicators - Section D'!I$9:I$92,MATCH($A650,'Coverage Indicators - Section D'!$A$9:$A$92,0))&lt;&gt;0,INDEX('Coverage Indicators - Section D'!I$9:I$92,MATCH($A650,'Coverage Indicators - Section D'!$A$9:$A$92,0)),""),"")</f>
        <v>Gender,Age</v>
      </c>
      <c r="C655" s="632"/>
      <c r="D655" s="633"/>
      <c r="E655" s="631" t="str">
        <f>IFERROR(IF(INDEX('Coverage Indicators - Section D'!M$1:M$124,MATCH($A650,'Coverage Indicators - Section D'!$A$1:$A$124,0))&lt;&gt;0,INDEX('Coverage Indicators - Section D'!M$1:M$124,MATCH($A650,'Coverage Indicators - Section D'!$A$1:$A$124,0)),""),"")</f>
        <v>Non cumulative</v>
      </c>
      <c r="F655" s="632"/>
      <c r="G655" s="633"/>
      <c r="H655" s="631" t="str">
        <f>IFERROR(IF(INDEX('Coverage Indicators - Section D'!L$1:L$124,MATCH($A650,'Coverage Indicators - Section D'!$A$1:$A$124,0))&lt;&gt;0,INDEX('Coverage Indicators - Section D'!L$1:L$124,MATCH($A650,'Coverage Indicators - Section D'!$A$1:$A$124,0)),""),"")</f>
        <v>Congo (Democratic Republic)</v>
      </c>
      <c r="I655" s="632"/>
      <c r="J655" s="633"/>
      <c r="K655" s="90" t="str">
        <f>IFERROR(IF(INDEX('Coverage Indicators - Section D'!J$1:J$124,MATCH($A650,'Coverage Indicators - Section D'!$A$1:$A$124,0))&lt;&gt;0,INDEX('Coverage Indicators - Section D'!J$1:J$124,MATCH($A650,'Coverage Indicators - Section D'!$A$1:$A$124,0)),""),"")</f>
        <v>Yes</v>
      </c>
      <c r="L655" s="82"/>
    </row>
    <row r="656" spans="1:12" ht="18.75" customHeight="1">
      <c r="A656" s="641"/>
      <c r="B656" s="625" t="s">
        <v>199</v>
      </c>
      <c r="C656" s="626"/>
      <c r="D656" s="630"/>
      <c r="E656" s="625" t="s">
        <v>5060</v>
      </c>
      <c r="F656" s="626"/>
      <c r="G656" s="630"/>
      <c r="H656" s="625" t="s">
        <v>120</v>
      </c>
      <c r="I656" s="626"/>
      <c r="J656" s="626"/>
      <c r="K656" s="630"/>
      <c r="L656" s="82"/>
    </row>
    <row r="657" spans="1:12" ht="18.75" customHeight="1">
      <c r="A657" s="641"/>
      <c r="B657" s="634" t="str">
        <f>IFERROR(IF(INDEX('Coverage Indicators - Section D'!H$1:H$124,MATCH($A650,'Coverage Indicators - Section D'!$A$1:$A$124,0))&lt;&gt;0,INDEX('Coverage Indicators - Section D'!H$1:H$124,MATCH($A650,'Coverage Indicators - Section D'!$A$1:$A$124,0)),""),"")</f>
        <v>HIV program annual report</v>
      </c>
      <c r="C657" s="635"/>
      <c r="D657" s="636"/>
      <c r="E657" s="634" t="str">
        <f>IFERROR(IF(INDEX('Coverage Indicators - Section D'!L$1:L$124,MATCH($A650,'Coverage Indicators - Section D'!$A$1:$A$124,0)+1)&lt;&gt;0,INDEX('Coverage Indicators - Section D'!L$1:L$124,MATCH($A650,'Coverage Indicators - Section D'!$A$1:$A$124,0)+1),""),"")</f>
        <v>Geographic National, 100% of national program target</v>
      </c>
      <c r="F657" s="635"/>
      <c r="G657" s="636"/>
      <c r="H657" s="634" t="str">
        <f ca="1">IFERROR(IF(AND('Overview - Section A'!AS$1="Grant Making",OR(B651&lt;&gt;"",G651&lt;&gt;"")),Setup!I15,IF(INDEX('Coverage Indicators - Section D'!K$1:K$124,MATCH($A650,'Coverage Indicators - Section D'!$A$1:$A$124,0))&lt;&gt;0,INDEX('Coverage Indicators - Section D'!K$1:K$124,MATCH($A650,'Coverage Indicators - Section D'!$A$1:$A$124,0)),"")),"")</f>
        <v>Ministry of Public Health, Hygiene and Prevention</v>
      </c>
      <c r="I657" s="635"/>
      <c r="J657" s="635"/>
      <c r="K657" s="636"/>
      <c r="L657" s="82"/>
    </row>
    <row r="658" spans="1:12" ht="18.75" customHeight="1">
      <c r="A658" s="641"/>
      <c r="B658" s="637"/>
      <c r="C658" s="638"/>
      <c r="D658" s="639"/>
      <c r="E658" s="637"/>
      <c r="F658" s="638"/>
      <c r="G658" s="639"/>
      <c r="H658" s="637"/>
      <c r="I658" s="638"/>
      <c r="J658" s="638"/>
      <c r="K658" s="639"/>
      <c r="L658" s="82"/>
    </row>
    <row r="659" spans="1:12" ht="18.75" customHeight="1">
      <c r="A659" s="641"/>
      <c r="B659" s="89"/>
      <c r="C659" s="89" t="s">
        <v>5052</v>
      </c>
      <c r="D659" s="625" t="s">
        <v>5053</v>
      </c>
      <c r="E659" s="626"/>
      <c r="F659" s="626"/>
      <c r="G659" s="626"/>
      <c r="H659" s="626"/>
      <c r="I659" s="626"/>
      <c r="J659" s="626"/>
      <c r="K659" s="630"/>
      <c r="L659" s="82"/>
    </row>
    <row r="660" spans="1:12" ht="18.75" customHeight="1">
      <c r="A660" s="641"/>
      <c r="B660" s="89" t="s">
        <v>2589</v>
      </c>
      <c r="C660" s="90">
        <f>IFERROR(IF(INDEX('Coverage Indicators - Section D'!G$1:G$124,MATCH($A650,'Coverage Indicators - Section D'!$A$1:$A$124,0))&lt;&gt;0,INDEX('Coverage Indicators - Section D'!G$1:G$124,MATCH($A650,'Coverage Indicators - Section D'!$A$1:$A$124,0)),""),"")</f>
        <v>2021</v>
      </c>
      <c r="D660"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660"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660"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660"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660"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660"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660"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660"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660" s="82"/>
    </row>
    <row r="661" spans="1:12" s="93" customFormat="1" ht="18.75" customHeight="1">
      <c r="A661" s="641"/>
      <c r="B661" s="89" t="s">
        <v>5054</v>
      </c>
      <c r="C661" s="91">
        <f>IFERROR(IF(INDEX('Coverage Indicators - Section D'!E$1:E$124,MATCH($A650,'Coverage Indicators - Section D'!$A$1:$A$124,0))&lt;&gt;"",INDEX('Coverage Indicators - Section D'!E$1:E$124,MATCH($A650,'Coverage Indicators - Section D'!$A$1:$A$124,0)),""),"")</f>
        <v>65961</v>
      </c>
      <c r="D661" s="91">
        <f ca="1">IFERROR(IF(INDEX('Coverage Indicators - Section D'!N$1:N$124,MATCH($A650,'Coverage Indicators - Section D'!$A$1:$A$124,0))&lt;&gt;"",INDEX('Coverage Indicators - Section D'!N$1:N$124,MATCH($A650,'Coverage Indicators - Section D'!$A$1:$A$124,0)),""),"")</f>
        <v>93429.5</v>
      </c>
      <c r="E661" s="91">
        <f ca="1">IFERROR(IF(INDEX('Coverage Indicators - Section D'!Q$1:Q$124,MATCH($A650,'Coverage Indicators - Section D'!$A$1:$A$124,0))&lt;&gt;"",INDEX('Coverage Indicators - Section D'!Q$1:Q$124,MATCH($A650,'Coverage Indicators - Section D'!$A$1:$A$124,0)),""),"")</f>
        <v>93429.5</v>
      </c>
      <c r="F661" s="91">
        <f ca="1">IFERROR(IF(INDEX('Coverage Indicators - Section D'!T$1:T$124,MATCH($A650,'Coverage Indicators - Section D'!$A$1:$A$124,0))&lt;&gt;"",INDEX('Coverage Indicators - Section D'!T$1:T$124,MATCH($A650,'Coverage Indicators - Section D'!$A$1:$A$124,0)),""),"")</f>
        <v>116911.5</v>
      </c>
      <c r="G661" s="91">
        <f ca="1">IFERROR(IF(INDEX('Coverage Indicators - Section D'!W$1:W$124,MATCH($A650,'Coverage Indicators - Section D'!$A$1:$A$124,0))&lt;&gt;"",INDEX('Coverage Indicators - Section D'!W$1:W$124,MATCH($A650,'Coverage Indicators - Section D'!$A$1:$A$124,0)),""),"")</f>
        <v>116911.5</v>
      </c>
      <c r="H661" s="91">
        <f ca="1">IFERROR(IF(INDEX('Coverage Indicators - Section D'!Z$1:Z$124,MATCH($A650,'Coverage Indicators - Section D'!$A$1:$A$124,0))&lt;&gt;"",INDEX('Coverage Indicators - Section D'!Z$1:Z$124,MATCH($A650,'Coverage Indicators - Section D'!$A$1:$A$124,0)),""),"")</f>
        <v>143090</v>
      </c>
      <c r="I661" s="91">
        <f ca="1">IFERROR(IF(INDEX('Coverage Indicators - Section D'!AC$1:AC$124,MATCH($A650,'Coverage Indicators - Section D'!$A$1:$A$124,0))&lt;&gt;"",INDEX('Coverage Indicators - Section D'!AC$1:AC$124,MATCH($A650,'Coverage Indicators - Section D'!$A$1:$A$124,0)),""),"")</f>
        <v>143090</v>
      </c>
      <c r="J661" s="91" t="str">
        <f ca="1">IFERROR(IF(INDEX('Coverage Indicators - Section D'!AF$1:AF$124,MATCH($A650,'Coverage Indicators - Section D'!$A$1:$A$124,0))&lt;&gt;"",INDEX('Coverage Indicators - Section D'!AF$1:AF$124,MATCH($A650,'Coverage Indicators - Section D'!$A$1:$A$124,0)),""),"")</f>
        <v/>
      </c>
      <c r="K661" s="91" t="str">
        <f ca="1">IFERROR(IF(INDEX('Coverage Indicators - Section D'!AI$1:AI$124,MATCH($A650,'Coverage Indicators - Section D'!$A$1:$A$124,0))&lt;&gt;"",INDEX('Coverage Indicators - Section D'!AI$1:AI$124,MATCH($A650,'Coverage Indicators - Section D'!$A$1:$A$124,0)),""),"")</f>
        <v/>
      </c>
      <c r="L661" s="92"/>
    </row>
    <row r="662" spans="1:12" s="96" customFormat="1" ht="18.75" customHeight="1">
      <c r="A662" s="641"/>
      <c r="B662" s="89" t="s">
        <v>5055</v>
      </c>
      <c r="C662" s="94">
        <f>IFERROR(IF(INDEX('Coverage Indicators - Section D'!E$1:E$124,MATCH($A650,'Coverage Indicators - Section D'!$A$1:$A$124,0)+1)&lt;&gt;"",INDEX('Coverage Indicators - Section D'!E$1:E$124,MATCH($A650,'Coverage Indicators - Section D'!$A$1:$A$124,0)+1),""),"")</f>
        <v>306251.70068027201</v>
      </c>
      <c r="D662" s="94">
        <f ca="1">IFERROR(IF(INDEX('Coverage Indicators - Section D'!N$1:N$124,MATCH($A650,'Coverage Indicators - Section D'!$A$1:$A$124,0)+1)&lt;&gt;"",INDEX('Coverage Indicators - Section D'!N$1:N$124,MATCH($A650,'Coverage Indicators - Section D'!$A$1:$A$124,0)+1),""),"")</f>
        <v>333676</v>
      </c>
      <c r="E662" s="94">
        <f ca="1">IFERROR(IF(INDEX('Coverage Indicators - Section D'!Q$1:Q$124,MATCH($A650,'Coverage Indicators - Section D'!$A$1:$A$124,0)+1)&lt;&gt;"",INDEX('Coverage Indicators - Section D'!Q$1:Q$124,MATCH($A650,'Coverage Indicators - Section D'!$A$1:$A$124,0)+1),""),"")</f>
        <v>333676</v>
      </c>
      <c r="F662" s="94">
        <f ca="1">IFERROR(IF(INDEX('Coverage Indicators - Section D'!T$1:T$124,MATCH($A650,'Coverage Indicators - Section D'!$A$1:$A$124,0)+1)&lt;&gt;"",INDEX('Coverage Indicators - Section D'!T$1:T$124,MATCH($A650,'Coverage Indicators - Section D'!$A$1:$A$124,0)+1),""),"")</f>
        <v>343352</v>
      </c>
      <c r="G662" s="94">
        <f ca="1">IFERROR(IF(INDEX('Coverage Indicators - Section D'!W$1:W$124,MATCH($A650,'Coverage Indicators - Section D'!$A$1:$A$124,0)+1)&lt;&gt;"",INDEX('Coverage Indicators - Section D'!W$1:W$124,MATCH($A650,'Coverage Indicators - Section D'!$A$1:$A$124,0)+1),""),"")</f>
        <v>343352</v>
      </c>
      <c r="H662" s="94">
        <f ca="1">IFERROR(IF(INDEX('Coverage Indicators - Section D'!Z$1:Z$124,MATCH($A650,'Coverage Indicators - Section D'!$A$1:$A$124,0)+1)&lt;&gt;"",INDEX('Coverage Indicators - Section D'!Z$1:Z$124,MATCH($A650,'Coverage Indicators - Section D'!$A$1:$A$124,0)+1),""),"")</f>
        <v>353310</v>
      </c>
      <c r="I662" s="94">
        <f ca="1">IFERROR(IF(INDEX('Coverage Indicators - Section D'!AC$1:AC$124,MATCH($A650,'Coverage Indicators - Section D'!$A$1:$A$124,0)+1)&lt;&gt;"",INDEX('Coverage Indicators - Section D'!AC$1:AC$124,MATCH($A650,'Coverage Indicators - Section D'!$A$1:$A$124,0)+1),""),"")</f>
        <v>353310</v>
      </c>
      <c r="J662" s="94" t="str">
        <f ca="1">IFERROR(IF(INDEX('Coverage Indicators - Section D'!AF$1:AF$124,MATCH($A650,'Coverage Indicators - Section D'!$A$1:$A$124,0)+1)&lt;&gt;"",INDEX('Coverage Indicators - Section D'!AF$1:AF$124,MATCH($A650,'Coverage Indicators - Section D'!$A$1:$A$124,0)+1),""),"")</f>
        <v/>
      </c>
      <c r="K662" s="94" t="str">
        <f ca="1">IFERROR(IF(INDEX('Coverage Indicators - Section D'!AI$1:AI$124,MATCH($A650,'Coverage Indicators - Section D'!$A$1:$A$124,0)+1)&lt;&gt;"",INDEX('Coverage Indicators - Section D'!AI$1:AI$124,MATCH($A650,'Coverage Indicators - Section D'!$A$1:$A$124,0)+1),""),"")</f>
        <v/>
      </c>
      <c r="L662" s="95"/>
    </row>
    <row r="663" spans="1:12" ht="18.75" customHeight="1">
      <c r="A663" s="641"/>
      <c r="B663" s="89" t="s">
        <v>5056</v>
      </c>
      <c r="C663" s="90" t="str">
        <f ca="1">IFERROR(IF(INDEX('Coverage Indicators - Section D'!F$1:F$124,MATCH($A650,'Coverage Indicators - Section D'!$A$1:$A$124,0))&lt;&gt;"",FIXED(INDEX('Coverage Indicators - Section D'!F$1:F$124,MATCH($A650,'Coverage Indicators - Section D'!$A$1:$A$124,0))*100,2)&amp;"%",""),"")</f>
        <v>21.54%</v>
      </c>
      <c r="D663" s="90" t="str">
        <f>IFERROR(IF(INDEX('Coverage Indicators - Section D'!O$1:O$124,MATCH($A650,'Coverage Indicators - Section D'!$A$1:$A$124,0))&lt;&gt;"",FIXED(INDEX('Coverage Indicators - Section D'!O$1:O$124,MATCH($A650,'Coverage Indicators - Section D'!$A$1:$A$124,0))*100,2)&amp;"%",""),"")&amp;CHAR(10)&amp;IFERROR(IF(INDEX('Coverage Indicators - Section D'!P$1:P$124,MATCH($A650,'Coverage Indicators - Section D'!$A$1:$A$124,0))&lt;&gt;"",INDEX('Coverage Indicators - Section D'!P$1:P$124,MATCH($A650,'Coverage Indicators - Section D'!$A$1:$A$124,0)),""),"")</f>
        <v xml:space="preserve">28.00%
</v>
      </c>
      <c r="E663" s="90" t="str">
        <f>IFERROR(IF(INDEX('Coverage Indicators - Section D'!R$1:R$124,MATCH($A650,'Coverage Indicators - Section D'!$A$1:$A$124,0))&lt;&gt;"",FIXED(INDEX('Coverage Indicators - Section D'!R$1:R$124,MATCH($A650,'Coverage Indicators - Section D'!$A$1:$A$124,0))*100,2)&amp;"%",""),"")&amp;CHAR(10)&amp;IFERROR(IF(INDEX('Coverage Indicators - Section D'!S$1:S$124,MATCH($A650,'Coverage Indicators - Section D'!$A$1:$A$124,0))&lt;&gt;"",INDEX('Coverage Indicators - Section D'!S$1:S$124,MATCH($A650,'Coverage Indicators - Section D'!$A$1:$A$124,0)),""),"")</f>
        <v xml:space="preserve">28.00%
</v>
      </c>
      <c r="F663" s="90" t="str">
        <f>IFERROR(IF(INDEX('Coverage Indicators - Section D'!U$1:U$124,MATCH($A650,'Coverage Indicators - Section D'!$A$1:$A$124,0))&lt;&gt;"",FIXED(INDEX('Coverage Indicators - Section D'!U$1:U$124,MATCH($A650,'Coverage Indicators - Section D'!$A$1:$A$124,0))*100,2)&amp;"%",""),"")&amp;CHAR(10)&amp;IFERROR(IF(INDEX('Coverage Indicators - Section D'!V$1:V$124,MATCH($A650,'Coverage Indicators - Section D'!$A$1:$A$124,0))&lt;&gt;"",INDEX('Coverage Indicators - Section D'!V$1:V$124,MATCH($A650,'Coverage Indicators - Section D'!$A$1:$A$124,0)),""),"")</f>
        <v xml:space="preserve">34.05%
</v>
      </c>
      <c r="G663" s="90" t="str">
        <f>IFERROR(IF(INDEX('Coverage Indicators - Section D'!X$1:X$124,MATCH($A650,'Coverage Indicators - Section D'!$A$1:$A$124,0))&lt;&gt;"",FIXED(INDEX('Coverage Indicators - Section D'!X$1:X$124,MATCH($A650,'Coverage Indicators - Section D'!$A$1:$A$124,0))*100,2)&amp;"%",""),"")&amp;CHAR(10)&amp;IFERROR(IF(INDEX('Coverage Indicators - Section D'!Y$1:Y$124,MATCH($A650,'Coverage Indicators - Section D'!$A$1:$A$124,0))&lt;&gt;"",INDEX('Coverage Indicators - Section D'!Y$1:Y$124,MATCH($A650,'Coverage Indicators - Section D'!$A$1:$A$124,0)),""),"")</f>
        <v xml:space="preserve">34.05%
</v>
      </c>
      <c r="H663" s="90" t="str">
        <f>IFERROR(IF(INDEX('Coverage Indicators - Section D'!AA$1:AA$124,MATCH(A650,'Coverage Indicators - Section D'!$A$1:$A$124,0))&lt;&gt;"",FIXED(INDEX('Coverage Indicators - Section D'!AA$1:AA$124,MATCH($A650,'Coverage Indicators - Section D'!$A$1:$A$124,0))*100,2)&amp;"%",""),"")&amp;CHAR(10)&amp;IFERROR(IF(INDEX('Coverage Indicators - Section D'!AB$1:AB$124,MATCH($A650,'Coverage Indicators - Section D'!$A$1:$A$124,0))&lt;&gt;"",INDEX('Coverage Indicators - Section D'!AB$1:AB$124,MATCH($A650,'Coverage Indicators - Section D'!$A$1:$A$124,0)),""),"")</f>
        <v xml:space="preserve">40.50%
</v>
      </c>
      <c r="I663" s="90" t="str">
        <f>IFERROR(IF(INDEX('Coverage Indicators - Section D'!AD$1:AD$124,MATCH($A650,'Coverage Indicators - Section D'!$A$1:$A$124,0))&lt;&gt;"",FIXED(INDEX('Coverage Indicators - Section D'!AD$1:AD$124,MATCH($A650,'Coverage Indicators - Section D'!$A$1:$A$124,0))*100,2)&amp;"%",""),"")&amp;CHAR(10)&amp;IFERROR(IF(INDEX('Coverage Indicators - Section D'!AE$1:AE$124,MATCH($A650,'Coverage Indicators - Section D'!$A$1:$A$124,0))&lt;&gt;"",INDEX('Coverage Indicators - Section D'!AE$1:AE$124,MATCH($A650,'Coverage Indicators - Section D'!$A$1:$A$124,0)),""),"")</f>
        <v xml:space="preserve">40.50%
</v>
      </c>
      <c r="J663" s="90" t="str">
        <f>IFERROR(IF(INDEX('Coverage Indicators - Section D'!AG$1:AG$124,MATCH($A650,'Coverage Indicators - Section D'!$A$1:$A$124,0))&lt;&gt;"",FIXED(INDEX('Coverage Indicators - Section D'!AG$1:AG$124,MATCH($A650,'Coverage Indicators - Section D'!$A$1:$A$124,0))*100,2)&amp;"%",""),"")&amp;CHAR(10)&amp;IFERROR(IF(INDEX('Coverage Indicators - Section D'!AH$1:AH$124,MATCH($A650,'Coverage Indicators - Section D'!$A$1:$A$124,0))&lt;&gt;"",INDEX('Coverage Indicators - Section D'!AH$1:AH$124,MATCH($A650,'Coverage Indicators - Section D'!$A$1:$A$124,0)),""),"")</f>
        <v xml:space="preserve">
</v>
      </c>
      <c r="K663" s="90" t="str">
        <f>IFERROR(IF(INDEX('Coverage Indicators - Section D'!AJ$1:AJ$124,MATCH($A650,'Coverage Indicators - Section D'!$A$1:$A$124,0))&lt;&gt;"",FIXED(INDEX('Coverage Indicators - Section D'!AJ$1:AJ$124,MATCH($A650,'Coverage Indicators - Section D'!$A$1:$A$124,0))*100,2)&amp;"%",""),"")&amp;CHAR(10)&amp;IFERROR(IF(INDEX('Coverage Indicators - Section D'!AK$1:AK$124,MATCH($A650,'Coverage Indicators - Section D'!$A$1:$A$124,0))&lt;&gt;"",INDEX('Coverage Indicators - Section D'!AK$1:AK$124,MATCH($A650,'Coverage Indicators - Section D'!$A$1:$A$124,0)),""),"")</f>
        <v xml:space="preserve">
</v>
      </c>
      <c r="L663" s="82"/>
    </row>
    <row r="664" spans="1:12" ht="18.75" customHeight="1">
      <c r="A664" s="641"/>
      <c r="B664" s="625" t="s">
        <v>176</v>
      </c>
      <c r="C664" s="626"/>
      <c r="D664" s="626"/>
      <c r="E664" s="626"/>
      <c r="F664" s="626"/>
      <c r="G664" s="626"/>
      <c r="H664" s="626"/>
      <c r="I664" s="626"/>
      <c r="J664" s="626"/>
      <c r="K664" s="630"/>
      <c r="L664" s="82"/>
    </row>
    <row r="665" spans="1:12" ht="18.75" customHeight="1">
      <c r="A665" s="641"/>
      <c r="B665" s="634" t="str">
        <f>IFERROR(IF(INDEX('Coverage Indicators - Section D'!AL$1:AL$134,MATCH($A650,'Coverage Indicators - Section D'!$A$1:$A$134,0))&lt;&gt;0,INDEX('Coverage Indicators - Section D'!AL$1:AL$134,MATCH($A650,'Coverage Indicators - Section D'!$A$1:$A$134,0)),""),"")</f>
        <v>N:Number of SWs who were tested for HIV during the reporting period in KP-specific programs and who know their results
D:Estimated number of SWs in KP-specific program areas
GF Contribution is 103,742 in 2024; 126,450 in 2025 and and 149983 in 2026.
Activities for key populations are being implemented but the data is not captured by the national system.</v>
      </c>
      <c r="C665" s="635"/>
      <c r="D665" s="635"/>
      <c r="E665" s="635"/>
      <c r="F665" s="635"/>
      <c r="G665" s="635"/>
      <c r="H665" s="635"/>
      <c r="I665" s="635"/>
      <c r="J665" s="635"/>
      <c r="K665" s="636"/>
      <c r="L665" s="82"/>
    </row>
    <row r="666" spans="1:12" ht="18.75" customHeight="1">
      <c r="A666" s="641"/>
      <c r="B666" s="643"/>
      <c r="C666" s="644"/>
      <c r="D666" s="644"/>
      <c r="E666" s="644"/>
      <c r="F666" s="644"/>
      <c r="G666" s="644"/>
      <c r="H666" s="644"/>
      <c r="I666" s="644"/>
      <c r="J666" s="644"/>
      <c r="K666" s="645"/>
      <c r="L666" s="82"/>
    </row>
    <row r="667" spans="1:12" ht="18.75" customHeight="1">
      <c r="A667" s="641"/>
      <c r="B667" s="643"/>
      <c r="C667" s="644"/>
      <c r="D667" s="644"/>
      <c r="E667" s="644"/>
      <c r="F667" s="644"/>
      <c r="G667" s="644"/>
      <c r="H667" s="644"/>
      <c r="I667" s="644"/>
      <c r="J667" s="644"/>
      <c r="K667" s="645"/>
      <c r="L667" s="82"/>
    </row>
    <row r="668" spans="1:12" ht="18.75" customHeight="1">
      <c r="A668" s="641"/>
      <c r="B668" s="643"/>
      <c r="C668" s="644"/>
      <c r="D668" s="644"/>
      <c r="E668" s="644"/>
      <c r="F668" s="644"/>
      <c r="G668" s="644"/>
      <c r="H668" s="644"/>
      <c r="I668" s="644"/>
      <c r="J668" s="644"/>
      <c r="K668" s="645"/>
      <c r="L668" s="82"/>
    </row>
    <row r="669" spans="1:12" ht="18.75" customHeight="1">
      <c r="A669" s="641"/>
      <c r="B669" s="643"/>
      <c r="C669" s="644"/>
      <c r="D669" s="644"/>
      <c r="E669" s="644"/>
      <c r="F669" s="644"/>
      <c r="G669" s="644"/>
      <c r="H669" s="644"/>
      <c r="I669" s="644"/>
      <c r="J669" s="644"/>
      <c r="K669" s="645"/>
      <c r="L669" s="82"/>
    </row>
    <row r="670" spans="1:12" ht="18.75" customHeight="1">
      <c r="A670" s="641"/>
      <c r="B670" s="643"/>
      <c r="C670" s="644"/>
      <c r="D670" s="644"/>
      <c r="E670" s="644"/>
      <c r="F670" s="644"/>
      <c r="G670" s="644"/>
      <c r="H670" s="644"/>
      <c r="I670" s="644"/>
      <c r="J670" s="644"/>
      <c r="K670" s="645"/>
      <c r="L670" s="82"/>
    </row>
    <row r="671" spans="1:12" ht="18.75" customHeight="1">
      <c r="A671" s="641"/>
      <c r="B671" s="643"/>
      <c r="C671" s="644"/>
      <c r="D671" s="644"/>
      <c r="E671" s="644"/>
      <c r="F671" s="644"/>
      <c r="G671" s="644"/>
      <c r="H671" s="644"/>
      <c r="I671" s="644"/>
      <c r="J671" s="644"/>
      <c r="K671" s="645"/>
      <c r="L671" s="82"/>
    </row>
    <row r="672" spans="1:12" ht="18.75" customHeight="1">
      <c r="A672" s="641"/>
      <c r="B672" s="643"/>
      <c r="C672" s="644"/>
      <c r="D672" s="644"/>
      <c r="E672" s="644"/>
      <c r="F672" s="644"/>
      <c r="G672" s="644"/>
      <c r="H672" s="644"/>
      <c r="I672" s="644"/>
      <c r="J672" s="644"/>
      <c r="K672" s="645"/>
      <c r="L672" s="82"/>
    </row>
    <row r="673" spans="1:12" ht="18.75" customHeight="1">
      <c r="A673" s="641"/>
      <c r="B673" s="643"/>
      <c r="C673" s="644"/>
      <c r="D673" s="644"/>
      <c r="E673" s="644"/>
      <c r="F673" s="644"/>
      <c r="G673" s="644"/>
      <c r="H673" s="644"/>
      <c r="I673" s="644"/>
      <c r="J673" s="644"/>
      <c r="K673" s="645"/>
      <c r="L673" s="82"/>
    </row>
    <row r="674" spans="1:12" ht="18.75" customHeight="1">
      <c r="A674" s="642"/>
      <c r="B674" s="637"/>
      <c r="C674" s="638"/>
      <c r="D674" s="638"/>
      <c r="E674" s="638"/>
      <c r="F674" s="638"/>
      <c r="G674" s="638"/>
      <c r="H674" s="638"/>
      <c r="I674" s="638"/>
      <c r="J674" s="638"/>
      <c r="K674" s="639"/>
      <c r="L674" s="82"/>
    </row>
    <row r="675" spans="1:12" ht="18.75" customHeight="1">
      <c r="A675" s="625"/>
      <c r="B675" s="626"/>
      <c r="C675" s="626"/>
      <c r="D675" s="626"/>
      <c r="E675" s="626"/>
      <c r="F675" s="626"/>
      <c r="G675" s="626"/>
      <c r="H675" s="626"/>
      <c r="I675" s="626"/>
      <c r="J675" s="626"/>
      <c r="K675" s="630"/>
      <c r="L675" s="82"/>
    </row>
    <row r="677" spans="1:12" ht="18.75" customHeight="1">
      <c r="A677" s="89" t="s">
        <v>5051</v>
      </c>
      <c r="B677" s="625" t="s">
        <v>1077</v>
      </c>
      <c r="C677" s="630"/>
      <c r="D677" s="631" t="str">
        <f ca="1">IFERROR(IF(INDEX('Coverage Indicators - Section D'!B$1:B$124,MATCH($A678,'Coverage Indicators - Section D'!$A$1:$A$124,0))&lt;&gt;0,INDEX('Coverage Indicators - Section D'!B$1:B$124,MATCH($A678,'Coverage Indicators - Section D'!$A$1:$A$124,0)),""),"")</f>
        <v>Differentiated HIV Testing Services</v>
      </c>
      <c r="E677" s="632"/>
      <c r="F677" s="632"/>
      <c r="G677" s="632"/>
      <c r="H677" s="632"/>
      <c r="I677" s="632"/>
      <c r="J677" s="632"/>
      <c r="K677" s="633"/>
      <c r="L677" s="82"/>
    </row>
    <row r="678" spans="1:12" ht="18.75" customHeight="1">
      <c r="A678" s="640">
        <v>25</v>
      </c>
      <c r="B678" s="625" t="s">
        <v>765</v>
      </c>
      <c r="C678" s="626"/>
      <c r="D678" s="626"/>
      <c r="E678" s="626"/>
      <c r="F678" s="630"/>
      <c r="G678" s="625" t="s">
        <v>766</v>
      </c>
      <c r="H678" s="626"/>
      <c r="I678" s="626"/>
      <c r="J678" s="626"/>
      <c r="K678" s="630"/>
      <c r="L678" s="82"/>
    </row>
    <row r="679" spans="1:12" ht="18.75" customHeight="1">
      <c r="A679" s="641"/>
      <c r="B679" s="634" t="str">
        <f>IFERROR(IF(INDEX('Coverage Indicators - Section D'!C$1:C$124,MATCH($A678,'Coverage Indicators - Section D'!$A$1:$A$124,0))&lt;&gt;0,INDEX('Coverage Indicators - Section D'!C$1:C$124,MATCH($A678,'Coverage Indicators - Section D'!$A$1:$A$124,0)),""),"")</f>
        <v>HTS-3d Percentage of people who inject drugs that have received an HIV test during the reporting period in KP-specific programs and know their results</v>
      </c>
      <c r="C679" s="635"/>
      <c r="D679" s="635"/>
      <c r="E679" s="635"/>
      <c r="F679" s="636"/>
      <c r="G679" s="634" t="str">
        <f>IFERROR(IF(INDEX('Coverage Indicators - Section D'!D$1:D$124,MATCH($A678,'Coverage Indicators - Section D'!$A$1:$A$124,0))&lt;&gt;0,INDEX('Coverage Indicators - Section D'!D$1:D$124,MATCH($A678,'Coverage Indicators - Section D'!$A$1:$A$124,0)),""),"")</f>
        <v/>
      </c>
      <c r="H679" s="635"/>
      <c r="I679" s="635"/>
      <c r="J679" s="635"/>
      <c r="K679" s="636"/>
      <c r="L679" s="82"/>
    </row>
    <row r="680" spans="1:12" ht="18.75" customHeight="1">
      <c r="A680" s="641"/>
      <c r="B680" s="643"/>
      <c r="C680" s="644"/>
      <c r="D680" s="644"/>
      <c r="E680" s="644"/>
      <c r="F680" s="645"/>
      <c r="G680" s="643"/>
      <c r="H680" s="644"/>
      <c r="I680" s="644"/>
      <c r="J680" s="644"/>
      <c r="K680" s="645"/>
      <c r="L680" s="82"/>
    </row>
    <row r="681" spans="1:12" ht="18.75" customHeight="1">
      <c r="A681" s="641"/>
      <c r="B681" s="637"/>
      <c r="C681" s="638"/>
      <c r="D681" s="638"/>
      <c r="E681" s="638"/>
      <c r="F681" s="639"/>
      <c r="G681" s="637"/>
      <c r="H681" s="638"/>
      <c r="I681" s="638"/>
      <c r="J681" s="638"/>
      <c r="K681" s="639"/>
      <c r="L681" s="82"/>
    </row>
    <row r="682" spans="1:12" ht="18.75" customHeight="1">
      <c r="A682" s="641"/>
      <c r="B682" s="625" t="s">
        <v>769</v>
      </c>
      <c r="C682" s="626"/>
      <c r="D682" s="630"/>
      <c r="E682" s="625" t="s">
        <v>216</v>
      </c>
      <c r="F682" s="626"/>
      <c r="G682" s="630"/>
      <c r="H682" s="625" t="s">
        <v>127</v>
      </c>
      <c r="I682" s="626"/>
      <c r="J682" s="630"/>
      <c r="K682" s="89" t="s">
        <v>2204</v>
      </c>
      <c r="L682" s="82"/>
    </row>
    <row r="683" spans="1:12" ht="18.75" customHeight="1">
      <c r="A683" s="641"/>
      <c r="B683" s="631" t="str">
        <f>IFERROR(IF(INDEX('Coverage Indicators - Section D'!I$9:I$92,MATCH($A678,'Coverage Indicators - Section D'!$A$9:$A$92,0))&lt;&gt;0,INDEX('Coverage Indicators - Section D'!I$9:I$92,MATCH($A678,'Coverage Indicators - Section D'!$A$9:$A$92,0)),""),"")</f>
        <v>Gender,Age</v>
      </c>
      <c r="C683" s="632"/>
      <c r="D683" s="633"/>
      <c r="E683" s="631" t="str">
        <f>IFERROR(IF(INDEX('Coverage Indicators - Section D'!M$1:M$124,MATCH($A678,'Coverage Indicators - Section D'!$A$1:$A$124,0))&lt;&gt;0,INDEX('Coverage Indicators - Section D'!M$1:M$124,MATCH($A678,'Coverage Indicators - Section D'!$A$1:$A$124,0)),""),"")</f>
        <v>Non cumulative</v>
      </c>
      <c r="F683" s="632"/>
      <c r="G683" s="633"/>
      <c r="H683" s="631" t="str">
        <f>IFERROR(IF(INDEX('Coverage Indicators - Section D'!L$1:L$124,MATCH($A678,'Coverage Indicators - Section D'!$A$1:$A$124,0))&lt;&gt;0,INDEX('Coverage Indicators - Section D'!L$1:L$124,MATCH($A678,'Coverage Indicators - Section D'!$A$1:$A$124,0)),""),"")</f>
        <v>Congo (Democratic Republic)</v>
      </c>
      <c r="I683" s="632"/>
      <c r="J683" s="633"/>
      <c r="K683" s="90" t="str">
        <f>IFERROR(IF(INDEX('Coverage Indicators - Section D'!J$1:J$124,MATCH($A678,'Coverage Indicators - Section D'!$A$1:$A$124,0))&lt;&gt;0,INDEX('Coverage Indicators - Section D'!J$1:J$124,MATCH($A678,'Coverage Indicators - Section D'!$A$1:$A$124,0)),""),"")</f>
        <v>Yes</v>
      </c>
      <c r="L683" s="82"/>
    </row>
    <row r="684" spans="1:12" ht="18.75" customHeight="1">
      <c r="A684" s="641"/>
      <c r="B684" s="625" t="s">
        <v>199</v>
      </c>
      <c r="C684" s="626"/>
      <c r="D684" s="630"/>
      <c r="E684" s="625" t="s">
        <v>5060</v>
      </c>
      <c r="F684" s="626"/>
      <c r="G684" s="630"/>
      <c r="H684" s="625" t="s">
        <v>120</v>
      </c>
      <c r="I684" s="626"/>
      <c r="J684" s="626"/>
      <c r="K684" s="630"/>
      <c r="L684" s="82"/>
    </row>
    <row r="685" spans="1:12" ht="18.75" customHeight="1">
      <c r="A685" s="641"/>
      <c r="B685" s="634" t="str">
        <f>IFERROR(IF(INDEX('Coverage Indicators - Section D'!H$1:H$124,MATCH($A678,'Coverage Indicators - Section D'!$A$1:$A$124,0))&lt;&gt;0,INDEX('Coverage Indicators - Section D'!H$1:H$124,MATCH($A678,'Coverage Indicators - Section D'!$A$1:$A$124,0)),""),"")</f>
        <v>HIV program annual report</v>
      </c>
      <c r="C685" s="635"/>
      <c r="D685" s="636"/>
      <c r="E685" s="634" t="str">
        <f>IFERROR(IF(INDEX('Coverage Indicators - Section D'!L$1:L$124,MATCH($A678,'Coverage Indicators - Section D'!$A$1:$A$124,0)+1)&lt;&gt;0,INDEX('Coverage Indicators - Section D'!L$1:L$124,MATCH($A678,'Coverage Indicators - Section D'!$A$1:$A$124,0)+1),""),"")</f>
        <v>Geographic National, 100% of national program target</v>
      </c>
      <c r="F685" s="635"/>
      <c r="G685" s="636"/>
      <c r="H685" s="634" t="str">
        <f ca="1">IFERROR(IF(AND('Overview - Section A'!AS$1="Grant Making",OR(B679&lt;&gt;"",G679&lt;&gt;"")),Setup!I15,IF(INDEX('Coverage Indicators - Section D'!K$1:K$124,MATCH($A678,'Coverage Indicators - Section D'!$A$1:$A$124,0))&lt;&gt;0,INDEX('Coverage Indicators - Section D'!K$1:K$124,MATCH($A678,'Coverage Indicators - Section D'!$A$1:$A$124,0)),"")),"")</f>
        <v>Ministry of Public Health, Hygiene and Prevention</v>
      </c>
      <c r="I685" s="635"/>
      <c r="J685" s="635"/>
      <c r="K685" s="636"/>
      <c r="L685" s="82"/>
    </row>
    <row r="686" spans="1:12" ht="18.75" customHeight="1">
      <c r="A686" s="641"/>
      <c r="B686" s="637"/>
      <c r="C686" s="638"/>
      <c r="D686" s="639"/>
      <c r="E686" s="637"/>
      <c r="F686" s="638"/>
      <c r="G686" s="639"/>
      <c r="H686" s="637"/>
      <c r="I686" s="638"/>
      <c r="J686" s="638"/>
      <c r="K686" s="639"/>
      <c r="L686" s="82"/>
    </row>
    <row r="687" spans="1:12" ht="18.75" customHeight="1">
      <c r="A687" s="641"/>
      <c r="B687" s="89"/>
      <c r="C687" s="89" t="s">
        <v>5052</v>
      </c>
      <c r="D687" s="625" t="s">
        <v>5053</v>
      </c>
      <c r="E687" s="626"/>
      <c r="F687" s="626"/>
      <c r="G687" s="626"/>
      <c r="H687" s="626"/>
      <c r="I687" s="626"/>
      <c r="J687" s="626"/>
      <c r="K687" s="630"/>
      <c r="L687" s="82"/>
    </row>
    <row r="688" spans="1:12" ht="18.75" customHeight="1">
      <c r="A688" s="641"/>
      <c r="B688" s="89" t="s">
        <v>2589</v>
      </c>
      <c r="C688" s="90">
        <f>IFERROR(IF(INDEX('Coverage Indicators - Section D'!G$1:G$124,MATCH($A678,'Coverage Indicators - Section D'!$A$1:$A$124,0))&lt;&gt;0,INDEX('Coverage Indicators - Section D'!G$1:G$124,MATCH($A678,'Coverage Indicators - Section D'!$A$1:$A$124,0)),""),"")</f>
        <v>2021</v>
      </c>
      <c r="D688"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688"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688"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688"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688"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688"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688"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688"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688" s="82"/>
    </row>
    <row r="689" spans="1:12" s="93" customFormat="1" ht="18.75" customHeight="1">
      <c r="A689" s="641"/>
      <c r="B689" s="89" t="s">
        <v>5054</v>
      </c>
      <c r="C689" s="91">
        <f>IFERROR(IF(INDEX('Coverage Indicators - Section D'!E$1:E$124,MATCH($A678,'Coverage Indicators - Section D'!$A$1:$A$124,0))&lt;&gt;"",INDEX('Coverage Indicators - Section D'!E$1:E$124,MATCH($A678,'Coverage Indicators - Section D'!$A$1:$A$124,0)),""),"")</f>
        <v>9536</v>
      </c>
      <c r="D689" s="91">
        <f ca="1">IFERROR(IF(INDEX('Coverage Indicators - Section D'!N$1:N$124,MATCH($A678,'Coverage Indicators - Section D'!$A$1:$A$124,0))&lt;&gt;"",INDEX('Coverage Indicators - Section D'!N$1:N$124,MATCH($A678,'Coverage Indicators - Section D'!$A$1:$A$124,0)),""),"")</f>
        <v>14869.010334622501</v>
      </c>
      <c r="E689" s="91">
        <f ca="1">IFERROR(IF(INDEX('Coverage Indicators - Section D'!Q$1:Q$124,MATCH($A678,'Coverage Indicators - Section D'!$A$1:$A$124,0))&lt;&gt;"",INDEX('Coverage Indicators - Section D'!Q$1:Q$124,MATCH($A678,'Coverage Indicators - Section D'!$A$1:$A$124,0)),""),"")</f>
        <v>14869.010334622501</v>
      </c>
      <c r="F689" s="91">
        <f ca="1">IFERROR(IF(INDEX('Coverage Indicators - Section D'!T$1:T$124,MATCH($A678,'Coverage Indicators - Section D'!$A$1:$A$124,0))&lt;&gt;"",INDEX('Coverage Indicators - Section D'!T$1:T$124,MATCH($A678,'Coverage Indicators - Section D'!$A$1:$A$124,0)),""),"")</f>
        <v>21930.303342534698</v>
      </c>
      <c r="G689" s="91">
        <f ca="1">IFERROR(IF(INDEX('Coverage Indicators - Section D'!W$1:W$124,MATCH($A678,'Coverage Indicators - Section D'!$A$1:$A$124,0))&lt;&gt;"",INDEX('Coverage Indicators - Section D'!W$1:W$124,MATCH($A678,'Coverage Indicators - Section D'!$A$1:$A$124,0)),""),"")</f>
        <v>21930.303342534698</v>
      </c>
      <c r="H689" s="91">
        <f ca="1">IFERROR(IF(INDEX('Coverage Indicators - Section D'!Z$1:Z$124,MATCH($A678,'Coverage Indicators - Section D'!$A$1:$A$124,0))&lt;&gt;"",INDEX('Coverage Indicators - Section D'!Z$1:Z$124,MATCH($A678,'Coverage Indicators - Section D'!$A$1:$A$124,0)),""),"")</f>
        <v>29481.25778822455</v>
      </c>
      <c r="I689" s="91">
        <f ca="1">IFERROR(IF(INDEX('Coverage Indicators - Section D'!AC$1:AC$124,MATCH($A678,'Coverage Indicators - Section D'!$A$1:$A$124,0))&lt;&gt;"",INDEX('Coverage Indicators - Section D'!AC$1:AC$124,MATCH($A678,'Coverage Indicators - Section D'!$A$1:$A$124,0)),""),"")</f>
        <v>29481.25778822455</v>
      </c>
      <c r="J689" s="91" t="str">
        <f ca="1">IFERROR(IF(INDEX('Coverage Indicators - Section D'!AF$1:AF$124,MATCH($A678,'Coverage Indicators - Section D'!$A$1:$A$124,0))&lt;&gt;"",INDEX('Coverage Indicators - Section D'!AF$1:AF$124,MATCH($A678,'Coverage Indicators - Section D'!$A$1:$A$124,0)),""),"")</f>
        <v/>
      </c>
      <c r="K689" s="91" t="str">
        <f ca="1">IFERROR(IF(INDEX('Coverage Indicators - Section D'!AI$1:AI$124,MATCH($A678,'Coverage Indicators - Section D'!$A$1:$A$124,0))&lt;&gt;"",INDEX('Coverage Indicators - Section D'!AI$1:AI$124,MATCH($A678,'Coverage Indicators - Section D'!$A$1:$A$124,0)),""),"")</f>
        <v/>
      </c>
      <c r="L689" s="92"/>
    </row>
    <row r="690" spans="1:12" s="96" customFormat="1" ht="18.75" customHeight="1">
      <c r="A690" s="641"/>
      <c r="B690" s="89" t="s">
        <v>5055</v>
      </c>
      <c r="C690" s="94">
        <f>IFERROR(IF(INDEX('Coverage Indicators - Section D'!E$1:E$124,MATCH($A678,'Coverage Indicators - Section D'!$A$1:$A$124,0)+1)&lt;&gt;"",INDEX('Coverage Indicators - Section D'!E$1:E$124,MATCH($A678,'Coverage Indicators - Section D'!$A$1:$A$124,0)+1),""),"")</f>
        <v>107034.985422741</v>
      </c>
      <c r="D690" s="94">
        <f ca="1">IFERROR(IF(INDEX('Coverage Indicators - Section D'!N$1:N$124,MATCH($A678,'Coverage Indicators - Section D'!$A$1:$A$124,0)+1)&lt;&gt;"",INDEX('Coverage Indicators - Section D'!N$1:N$124,MATCH($A678,'Coverage Indicators - Section D'!$A$1:$A$124,0)+1),""),"")</f>
        <v>116620</v>
      </c>
      <c r="E690" s="94">
        <f ca="1">IFERROR(IF(INDEX('Coverage Indicators - Section D'!Q$1:Q$124,MATCH($A678,'Coverage Indicators - Section D'!$A$1:$A$124,0)+1)&lt;&gt;"",INDEX('Coverage Indicators - Section D'!Q$1:Q$124,MATCH($A678,'Coverage Indicators - Section D'!$A$1:$A$124,0)+1),""),"")</f>
        <v>116620</v>
      </c>
      <c r="F690" s="94">
        <f ca="1">IFERROR(IF(INDEX('Coverage Indicators - Section D'!T$1:T$124,MATCH($A678,'Coverage Indicators - Section D'!$A$1:$A$124,0)+1)&lt;&gt;"",INDEX('Coverage Indicators - Section D'!T$1:T$124,MATCH($A678,'Coverage Indicators - Section D'!$A$1:$A$124,0)+1),""),"")</f>
        <v>120002</v>
      </c>
      <c r="G690" s="94">
        <f ca="1">IFERROR(IF(INDEX('Coverage Indicators - Section D'!W$1:W$124,MATCH($A678,'Coverage Indicators - Section D'!$A$1:$A$124,0)+1)&lt;&gt;"",INDEX('Coverage Indicators - Section D'!W$1:W$124,MATCH($A678,'Coverage Indicators - Section D'!$A$1:$A$124,0)+1),""),"")</f>
        <v>120002</v>
      </c>
      <c r="H690" s="94">
        <f ca="1">IFERROR(IF(INDEX('Coverage Indicators - Section D'!Z$1:Z$124,MATCH($A678,'Coverage Indicators - Section D'!$A$1:$A$124,0)+1)&lt;&gt;"",INDEX('Coverage Indicators - Section D'!Z$1:Z$124,MATCH($A678,'Coverage Indicators - Section D'!$A$1:$A$124,0)+1),""),"")</f>
        <v>123482</v>
      </c>
      <c r="I690" s="94">
        <f ca="1">IFERROR(IF(INDEX('Coverage Indicators - Section D'!AC$1:AC$124,MATCH($A678,'Coverage Indicators - Section D'!$A$1:$A$124,0)+1)&lt;&gt;"",INDEX('Coverage Indicators - Section D'!AC$1:AC$124,MATCH($A678,'Coverage Indicators - Section D'!$A$1:$A$124,0)+1),""),"")</f>
        <v>123482</v>
      </c>
      <c r="J690" s="94" t="str">
        <f ca="1">IFERROR(IF(INDEX('Coverage Indicators - Section D'!AF$1:AF$124,MATCH($A678,'Coverage Indicators - Section D'!$A$1:$A$124,0)+1)&lt;&gt;"",INDEX('Coverage Indicators - Section D'!AF$1:AF$124,MATCH($A678,'Coverage Indicators - Section D'!$A$1:$A$124,0)+1),""),"")</f>
        <v/>
      </c>
      <c r="K690" s="94" t="str">
        <f ca="1">IFERROR(IF(INDEX('Coverage Indicators - Section D'!AI$1:AI$124,MATCH($A678,'Coverage Indicators - Section D'!$A$1:$A$124,0)+1)&lt;&gt;"",INDEX('Coverage Indicators - Section D'!AI$1:AI$124,MATCH($A678,'Coverage Indicators - Section D'!$A$1:$A$124,0)+1),""),"")</f>
        <v/>
      </c>
      <c r="L690" s="95"/>
    </row>
    <row r="691" spans="1:12" ht="18.75" customHeight="1">
      <c r="A691" s="641"/>
      <c r="B691" s="89" t="s">
        <v>5056</v>
      </c>
      <c r="C691" s="90" t="str">
        <f ca="1">IFERROR(IF(INDEX('Coverage Indicators - Section D'!F$1:F$124,MATCH($A678,'Coverage Indicators - Section D'!$A$1:$A$124,0))&lt;&gt;"",FIXED(INDEX('Coverage Indicators - Section D'!F$1:F$124,MATCH($A678,'Coverage Indicators - Section D'!$A$1:$A$124,0))*100,2)&amp;"%",""),"")</f>
        <v>8.91%</v>
      </c>
      <c r="D691" s="90" t="str">
        <f>IFERROR(IF(INDEX('Coverage Indicators - Section D'!O$1:O$124,MATCH($A678,'Coverage Indicators - Section D'!$A$1:$A$124,0))&lt;&gt;"",FIXED(INDEX('Coverage Indicators - Section D'!O$1:O$124,MATCH($A678,'Coverage Indicators - Section D'!$A$1:$A$124,0))*100,2)&amp;"%",""),"")&amp;CHAR(10)&amp;IFERROR(IF(INDEX('Coverage Indicators - Section D'!P$1:P$124,MATCH($A678,'Coverage Indicators - Section D'!$A$1:$A$124,0))&lt;&gt;"",INDEX('Coverage Indicators - Section D'!P$1:P$124,MATCH($A678,'Coverage Indicators - Section D'!$A$1:$A$124,0)),""),"")</f>
        <v xml:space="preserve">12.75%
</v>
      </c>
      <c r="E691" s="90" t="str">
        <f>IFERROR(IF(INDEX('Coverage Indicators - Section D'!R$1:R$124,MATCH($A678,'Coverage Indicators - Section D'!$A$1:$A$124,0))&lt;&gt;"",FIXED(INDEX('Coverage Indicators - Section D'!R$1:R$124,MATCH($A678,'Coverage Indicators - Section D'!$A$1:$A$124,0))*100,2)&amp;"%",""),"")&amp;CHAR(10)&amp;IFERROR(IF(INDEX('Coverage Indicators - Section D'!S$1:S$124,MATCH($A678,'Coverage Indicators - Section D'!$A$1:$A$124,0))&lt;&gt;"",INDEX('Coverage Indicators - Section D'!S$1:S$124,MATCH($A678,'Coverage Indicators - Section D'!$A$1:$A$124,0)),""),"")</f>
        <v xml:space="preserve">12.75%
</v>
      </c>
      <c r="F691" s="90" t="str">
        <f>IFERROR(IF(INDEX('Coverage Indicators - Section D'!U$1:U$124,MATCH($A678,'Coverage Indicators - Section D'!$A$1:$A$124,0))&lt;&gt;"",FIXED(INDEX('Coverage Indicators - Section D'!U$1:U$124,MATCH($A678,'Coverage Indicators - Section D'!$A$1:$A$124,0))*100,2)&amp;"%",""),"")&amp;CHAR(10)&amp;IFERROR(IF(INDEX('Coverage Indicators - Section D'!V$1:V$124,MATCH($A678,'Coverage Indicators - Section D'!$A$1:$A$124,0))&lt;&gt;"",INDEX('Coverage Indicators - Section D'!V$1:V$124,MATCH($A678,'Coverage Indicators - Section D'!$A$1:$A$124,0)),""),"")</f>
        <v xml:space="preserve">18.27%
</v>
      </c>
      <c r="G691" s="90" t="str">
        <f>IFERROR(IF(INDEX('Coverage Indicators - Section D'!X$1:X$124,MATCH($A678,'Coverage Indicators - Section D'!$A$1:$A$124,0))&lt;&gt;"",FIXED(INDEX('Coverage Indicators - Section D'!X$1:X$124,MATCH($A678,'Coverage Indicators - Section D'!$A$1:$A$124,0))*100,2)&amp;"%",""),"")&amp;CHAR(10)&amp;IFERROR(IF(INDEX('Coverage Indicators - Section D'!Y$1:Y$124,MATCH($A678,'Coverage Indicators - Section D'!$A$1:$A$124,0))&lt;&gt;"",INDEX('Coverage Indicators - Section D'!Y$1:Y$124,MATCH($A678,'Coverage Indicators - Section D'!$A$1:$A$124,0)),""),"")</f>
        <v xml:space="preserve">18.27%
</v>
      </c>
      <c r="H691" s="90" t="str">
        <f>IFERROR(IF(INDEX('Coverage Indicators - Section D'!AA$1:AA$124,MATCH(A678,'Coverage Indicators - Section D'!$A$1:$A$124,0))&lt;&gt;"",FIXED(INDEX('Coverage Indicators - Section D'!AA$1:AA$124,MATCH($A678,'Coverage Indicators - Section D'!$A$1:$A$124,0))*100,2)&amp;"%",""),"")&amp;CHAR(10)&amp;IFERROR(IF(INDEX('Coverage Indicators - Section D'!AB$1:AB$124,MATCH($A678,'Coverage Indicators - Section D'!$A$1:$A$124,0))&lt;&gt;"",INDEX('Coverage Indicators - Section D'!AB$1:AB$124,MATCH($A678,'Coverage Indicators - Section D'!$A$1:$A$124,0)),""),"")</f>
        <v xml:space="preserve">23.87%
</v>
      </c>
      <c r="I691" s="90" t="str">
        <f>IFERROR(IF(INDEX('Coverage Indicators - Section D'!AD$1:AD$124,MATCH($A678,'Coverage Indicators - Section D'!$A$1:$A$124,0))&lt;&gt;"",FIXED(INDEX('Coverage Indicators - Section D'!AD$1:AD$124,MATCH($A678,'Coverage Indicators - Section D'!$A$1:$A$124,0))*100,2)&amp;"%",""),"")&amp;CHAR(10)&amp;IFERROR(IF(INDEX('Coverage Indicators - Section D'!AE$1:AE$124,MATCH($A678,'Coverage Indicators - Section D'!$A$1:$A$124,0))&lt;&gt;"",INDEX('Coverage Indicators - Section D'!AE$1:AE$124,MATCH($A678,'Coverage Indicators - Section D'!$A$1:$A$124,0)),""),"")</f>
        <v xml:space="preserve">23.87%
</v>
      </c>
      <c r="J691" s="90" t="str">
        <f>IFERROR(IF(INDEX('Coverage Indicators - Section D'!AG$1:AG$124,MATCH($A678,'Coverage Indicators - Section D'!$A$1:$A$124,0))&lt;&gt;"",FIXED(INDEX('Coverage Indicators - Section D'!AG$1:AG$124,MATCH($A678,'Coverage Indicators - Section D'!$A$1:$A$124,0))*100,2)&amp;"%",""),"")&amp;CHAR(10)&amp;IFERROR(IF(INDEX('Coverage Indicators - Section D'!AH$1:AH$124,MATCH($A678,'Coverage Indicators - Section D'!$A$1:$A$124,0))&lt;&gt;"",INDEX('Coverage Indicators - Section D'!AH$1:AH$124,MATCH($A678,'Coverage Indicators - Section D'!$A$1:$A$124,0)),""),"")</f>
        <v xml:space="preserve">
</v>
      </c>
      <c r="K691" s="90" t="str">
        <f>IFERROR(IF(INDEX('Coverage Indicators - Section D'!AJ$1:AJ$124,MATCH($A678,'Coverage Indicators - Section D'!$A$1:$A$124,0))&lt;&gt;"",FIXED(INDEX('Coverage Indicators - Section D'!AJ$1:AJ$124,MATCH($A678,'Coverage Indicators - Section D'!$A$1:$A$124,0))*100,2)&amp;"%",""),"")&amp;CHAR(10)&amp;IFERROR(IF(INDEX('Coverage Indicators - Section D'!AK$1:AK$124,MATCH($A678,'Coverage Indicators - Section D'!$A$1:$A$124,0))&lt;&gt;"",INDEX('Coverage Indicators - Section D'!AK$1:AK$124,MATCH($A678,'Coverage Indicators - Section D'!$A$1:$A$124,0)),""),"")</f>
        <v xml:space="preserve">
</v>
      </c>
      <c r="L691" s="82"/>
    </row>
    <row r="692" spans="1:12" ht="18.75" customHeight="1">
      <c r="A692" s="641"/>
      <c r="B692" s="625" t="s">
        <v>176</v>
      </c>
      <c r="C692" s="626"/>
      <c r="D692" s="626"/>
      <c r="E692" s="626"/>
      <c r="F692" s="626"/>
      <c r="G692" s="626"/>
      <c r="H692" s="626"/>
      <c r="I692" s="626"/>
      <c r="J692" s="626"/>
      <c r="K692" s="630"/>
      <c r="L692" s="82"/>
    </row>
    <row r="693" spans="1:12" ht="18.75" customHeight="1">
      <c r="A693" s="641"/>
      <c r="B693" s="634" t="str">
        <f>IFERROR(IF(INDEX('Coverage Indicators - Section D'!AL$1:AL$134,MATCH($A678,'Coverage Indicators - Section D'!$A$1:$A$134,0))&lt;&gt;0,INDEX('Coverage Indicators - Section D'!AL$1:AL$134,MATCH($A678,'Coverage Indicators - Section D'!$A$1:$A$134,0)),""),"")</f>
        <v>N: Number of people who inject drugs who were tested for HIV during the reporting period and who know their results.
D: Estimated number of people who inject drugs in the target areas
Activities for key populations are being implemented but data are not being captured by the national system.
The GF contribution is 15,744 in 2024; 22,320 in 2025 and 29,327 in 2026.</v>
      </c>
      <c r="C693" s="635"/>
      <c r="D693" s="635"/>
      <c r="E693" s="635"/>
      <c r="F693" s="635"/>
      <c r="G693" s="635"/>
      <c r="H693" s="635"/>
      <c r="I693" s="635"/>
      <c r="J693" s="635"/>
      <c r="K693" s="636"/>
      <c r="L693" s="82"/>
    </row>
    <row r="694" spans="1:12" ht="18.75" customHeight="1">
      <c r="A694" s="641"/>
      <c r="B694" s="643"/>
      <c r="C694" s="644"/>
      <c r="D694" s="644"/>
      <c r="E694" s="644"/>
      <c r="F694" s="644"/>
      <c r="G694" s="644"/>
      <c r="H694" s="644"/>
      <c r="I694" s="644"/>
      <c r="J694" s="644"/>
      <c r="K694" s="645"/>
      <c r="L694" s="82"/>
    </row>
    <row r="695" spans="1:12" ht="18.75" customHeight="1">
      <c r="A695" s="641"/>
      <c r="B695" s="643"/>
      <c r="C695" s="644"/>
      <c r="D695" s="644"/>
      <c r="E695" s="644"/>
      <c r="F695" s="644"/>
      <c r="G695" s="644"/>
      <c r="H695" s="644"/>
      <c r="I695" s="644"/>
      <c r="J695" s="644"/>
      <c r="K695" s="645"/>
      <c r="L695" s="82"/>
    </row>
    <row r="696" spans="1:12" ht="18.75" customHeight="1">
      <c r="A696" s="641"/>
      <c r="B696" s="643"/>
      <c r="C696" s="644"/>
      <c r="D696" s="644"/>
      <c r="E696" s="644"/>
      <c r="F696" s="644"/>
      <c r="G696" s="644"/>
      <c r="H696" s="644"/>
      <c r="I696" s="644"/>
      <c r="J696" s="644"/>
      <c r="K696" s="645"/>
      <c r="L696" s="82"/>
    </row>
    <row r="697" spans="1:12" ht="18.75" customHeight="1">
      <c r="A697" s="641"/>
      <c r="B697" s="643"/>
      <c r="C697" s="644"/>
      <c r="D697" s="644"/>
      <c r="E697" s="644"/>
      <c r="F697" s="644"/>
      <c r="G697" s="644"/>
      <c r="H697" s="644"/>
      <c r="I697" s="644"/>
      <c r="J697" s="644"/>
      <c r="K697" s="645"/>
      <c r="L697" s="82"/>
    </row>
    <row r="698" spans="1:12" ht="18.75" customHeight="1">
      <c r="A698" s="641"/>
      <c r="B698" s="643"/>
      <c r="C698" s="644"/>
      <c r="D698" s="644"/>
      <c r="E698" s="644"/>
      <c r="F698" s="644"/>
      <c r="G698" s="644"/>
      <c r="H698" s="644"/>
      <c r="I698" s="644"/>
      <c r="J698" s="644"/>
      <c r="K698" s="645"/>
      <c r="L698" s="82"/>
    </row>
    <row r="699" spans="1:12" ht="18.75" customHeight="1">
      <c r="A699" s="641"/>
      <c r="B699" s="643"/>
      <c r="C699" s="644"/>
      <c r="D699" s="644"/>
      <c r="E699" s="644"/>
      <c r="F699" s="644"/>
      <c r="G699" s="644"/>
      <c r="H699" s="644"/>
      <c r="I699" s="644"/>
      <c r="J699" s="644"/>
      <c r="K699" s="645"/>
      <c r="L699" s="82"/>
    </row>
    <row r="700" spans="1:12" ht="18.75" customHeight="1">
      <c r="A700" s="641"/>
      <c r="B700" s="643"/>
      <c r="C700" s="644"/>
      <c r="D700" s="644"/>
      <c r="E700" s="644"/>
      <c r="F700" s="644"/>
      <c r="G700" s="644"/>
      <c r="H700" s="644"/>
      <c r="I700" s="644"/>
      <c r="J700" s="644"/>
      <c r="K700" s="645"/>
      <c r="L700" s="82"/>
    </row>
    <row r="701" spans="1:12" ht="18.75" customHeight="1">
      <c r="A701" s="641"/>
      <c r="B701" s="643"/>
      <c r="C701" s="644"/>
      <c r="D701" s="644"/>
      <c r="E701" s="644"/>
      <c r="F701" s="644"/>
      <c r="G701" s="644"/>
      <c r="H701" s="644"/>
      <c r="I701" s="644"/>
      <c r="J701" s="644"/>
      <c r="K701" s="645"/>
      <c r="L701" s="82"/>
    </row>
    <row r="702" spans="1:12" ht="18.75" customHeight="1">
      <c r="A702" s="642"/>
      <c r="B702" s="637"/>
      <c r="C702" s="638"/>
      <c r="D702" s="638"/>
      <c r="E702" s="638"/>
      <c r="F702" s="638"/>
      <c r="G702" s="638"/>
      <c r="H702" s="638"/>
      <c r="I702" s="638"/>
      <c r="J702" s="638"/>
      <c r="K702" s="639"/>
      <c r="L702" s="82"/>
    </row>
    <row r="703" spans="1:12" ht="18.75" customHeight="1">
      <c r="A703" s="625"/>
      <c r="B703" s="626"/>
      <c r="C703" s="626"/>
      <c r="D703" s="626"/>
      <c r="E703" s="626"/>
      <c r="F703" s="626"/>
      <c r="G703" s="626"/>
      <c r="H703" s="626"/>
      <c r="I703" s="626"/>
      <c r="J703" s="626"/>
      <c r="K703" s="630"/>
      <c r="L703" s="82"/>
    </row>
    <row r="705" spans="1:12" ht="18.75" customHeight="1">
      <c r="A705" s="89" t="s">
        <v>5051</v>
      </c>
      <c r="B705" s="625" t="s">
        <v>1077</v>
      </c>
      <c r="C705" s="630"/>
      <c r="D705" s="631" t="str">
        <f ca="1">IFERROR(IF(INDEX('Coverage Indicators - Section D'!B$1:B$124,MATCH($A706,'Coverage Indicators - Section D'!$A$1:$A$124,0))&lt;&gt;0,INDEX('Coverage Indicators - Section D'!B$1:B$124,MATCH($A706,'Coverage Indicators - Section D'!$A$1:$A$124,0)),""),"")</f>
        <v>Differentiated HIV Testing Services</v>
      </c>
      <c r="E705" s="632"/>
      <c r="F705" s="632"/>
      <c r="G705" s="632"/>
      <c r="H705" s="632"/>
      <c r="I705" s="632"/>
      <c r="J705" s="632"/>
      <c r="K705" s="633"/>
      <c r="L705" s="82"/>
    </row>
    <row r="706" spans="1:12" ht="18.75" customHeight="1">
      <c r="A706" s="640">
        <v>26</v>
      </c>
      <c r="B706" s="625" t="s">
        <v>765</v>
      </c>
      <c r="C706" s="626"/>
      <c r="D706" s="626"/>
      <c r="E706" s="626"/>
      <c r="F706" s="630"/>
      <c r="G706" s="625" t="s">
        <v>766</v>
      </c>
      <c r="H706" s="626"/>
      <c r="I706" s="626"/>
      <c r="J706" s="626"/>
      <c r="K706" s="630"/>
      <c r="L706" s="82"/>
    </row>
    <row r="707" spans="1:12" ht="18.75" customHeight="1">
      <c r="A707" s="641"/>
      <c r="B707" s="634" t="str">
        <f>IFERROR(IF(INDEX('Coverage Indicators - Section D'!C$1:C$124,MATCH($A706,'Coverage Indicators - Section D'!$A$1:$A$124,0))&lt;&gt;0,INDEX('Coverage Indicators - Section D'!C$1:C$124,MATCH($A706,'Coverage Indicators - Section D'!$A$1:$A$124,0)),""),"")</f>
        <v>HTS-3f Number of people in prisons and other closed settings that have received an HIV test during the reporting period and know their results</v>
      </c>
      <c r="C707" s="635"/>
      <c r="D707" s="635"/>
      <c r="E707" s="635"/>
      <c r="F707" s="636"/>
      <c r="G707" s="634" t="str">
        <f>IFERROR(IF(INDEX('Coverage Indicators - Section D'!D$1:D$124,MATCH($A706,'Coverage Indicators - Section D'!$A$1:$A$124,0))&lt;&gt;0,INDEX('Coverage Indicators - Section D'!D$1:D$124,MATCH($A706,'Coverage Indicators - Section D'!$A$1:$A$124,0)),""),"")</f>
        <v/>
      </c>
      <c r="H707" s="635"/>
      <c r="I707" s="635"/>
      <c r="J707" s="635"/>
      <c r="K707" s="636"/>
      <c r="L707" s="82"/>
    </row>
    <row r="708" spans="1:12" ht="18.75" customHeight="1">
      <c r="A708" s="641"/>
      <c r="B708" s="643"/>
      <c r="C708" s="644"/>
      <c r="D708" s="644"/>
      <c r="E708" s="644"/>
      <c r="F708" s="645"/>
      <c r="G708" s="643"/>
      <c r="H708" s="644"/>
      <c r="I708" s="644"/>
      <c r="J708" s="644"/>
      <c r="K708" s="645"/>
      <c r="L708" s="82"/>
    </row>
    <row r="709" spans="1:12" ht="18.75" customHeight="1">
      <c r="A709" s="641"/>
      <c r="B709" s="637"/>
      <c r="C709" s="638"/>
      <c r="D709" s="638"/>
      <c r="E709" s="638"/>
      <c r="F709" s="639"/>
      <c r="G709" s="637"/>
      <c r="H709" s="638"/>
      <c r="I709" s="638"/>
      <c r="J709" s="638"/>
      <c r="K709" s="639"/>
      <c r="L709" s="82"/>
    </row>
    <row r="710" spans="1:12" ht="18.75" customHeight="1">
      <c r="A710" s="641"/>
      <c r="B710" s="625" t="s">
        <v>769</v>
      </c>
      <c r="C710" s="626"/>
      <c r="D710" s="630"/>
      <c r="E710" s="625" t="s">
        <v>216</v>
      </c>
      <c r="F710" s="626"/>
      <c r="G710" s="630"/>
      <c r="H710" s="625" t="s">
        <v>127</v>
      </c>
      <c r="I710" s="626"/>
      <c r="J710" s="630"/>
      <c r="K710" s="89" t="s">
        <v>2204</v>
      </c>
      <c r="L710" s="82"/>
    </row>
    <row r="711" spans="1:12" ht="18.75" customHeight="1">
      <c r="A711" s="641"/>
      <c r="B711" s="631" t="str">
        <f>IFERROR(IF(INDEX('Coverage Indicators - Section D'!I$9:I$92,MATCH($A706,'Coverage Indicators - Section D'!$A$9:$A$92,0))&lt;&gt;0,INDEX('Coverage Indicators - Section D'!I$9:I$92,MATCH($A706,'Coverage Indicators - Section D'!$A$9:$A$92,0)),""),"")</f>
        <v>Gender</v>
      </c>
      <c r="C711" s="632"/>
      <c r="D711" s="633"/>
      <c r="E711" s="631" t="str">
        <f>IFERROR(IF(INDEX('Coverage Indicators - Section D'!M$1:M$124,MATCH($A706,'Coverage Indicators - Section D'!$A$1:$A$124,0))&lt;&gt;0,INDEX('Coverage Indicators - Section D'!M$1:M$124,MATCH($A706,'Coverage Indicators - Section D'!$A$1:$A$124,0)),""),"")</f>
        <v>Non cumulative</v>
      </c>
      <c r="F711" s="632"/>
      <c r="G711" s="633"/>
      <c r="H711" s="631" t="str">
        <f>IFERROR(IF(INDEX('Coverage Indicators - Section D'!L$1:L$124,MATCH($A706,'Coverage Indicators - Section D'!$A$1:$A$124,0))&lt;&gt;0,INDEX('Coverage Indicators - Section D'!L$1:L$124,MATCH($A706,'Coverage Indicators - Section D'!$A$1:$A$124,0)),""),"")</f>
        <v>Congo (Democratic Republic)</v>
      </c>
      <c r="I711" s="632"/>
      <c r="J711" s="633"/>
      <c r="K711" s="90" t="str">
        <f>IFERROR(IF(INDEX('Coverage Indicators - Section D'!J$1:J$124,MATCH($A706,'Coverage Indicators - Section D'!$A$1:$A$124,0))&lt;&gt;0,INDEX('Coverage Indicators - Section D'!J$1:J$124,MATCH($A706,'Coverage Indicators - Section D'!$A$1:$A$124,0)),""),"")</f>
        <v>Yes</v>
      </c>
      <c r="L711" s="82"/>
    </row>
    <row r="712" spans="1:12" ht="18.75" customHeight="1">
      <c r="A712" s="641"/>
      <c r="B712" s="625" t="s">
        <v>199</v>
      </c>
      <c r="C712" s="626"/>
      <c r="D712" s="630"/>
      <c r="E712" s="625" t="s">
        <v>5060</v>
      </c>
      <c r="F712" s="626"/>
      <c r="G712" s="630"/>
      <c r="H712" s="625" t="s">
        <v>120</v>
      </c>
      <c r="I712" s="626"/>
      <c r="J712" s="626"/>
      <c r="K712" s="630"/>
      <c r="L712" s="82"/>
    </row>
    <row r="713" spans="1:12" ht="18.75" customHeight="1">
      <c r="A713" s="641"/>
      <c r="B713" s="634" t="str">
        <f>IFERROR(IF(INDEX('Coverage Indicators - Section D'!H$1:H$124,MATCH($A706,'Coverage Indicators - Section D'!$A$1:$A$124,0))&lt;&gt;0,INDEX('Coverage Indicators - Section D'!H$1:H$124,MATCH($A706,'Coverage Indicators - Section D'!$A$1:$A$124,0)),""),"")</f>
        <v>Performance Rating Tool</v>
      </c>
      <c r="C713" s="635"/>
      <c r="D713" s="636"/>
      <c r="E713" s="634" t="str">
        <f>IFERROR(IF(INDEX('Coverage Indicators - Section D'!L$1:L$124,MATCH($A706,'Coverage Indicators - Section D'!$A$1:$A$124,0)+1)&lt;&gt;0,INDEX('Coverage Indicators - Section D'!L$1:L$124,MATCH($A706,'Coverage Indicators - Section D'!$A$1:$A$124,0)+1),""),"")</f>
        <v>Geographic National, 100% of national program target</v>
      </c>
      <c r="F713" s="635"/>
      <c r="G713" s="636"/>
      <c r="H713" s="634" t="str">
        <f ca="1">IFERROR(IF(AND('Overview - Section A'!AS$1="Grant Making",OR(B707&lt;&gt;"",G707&lt;&gt;"")),Setup!I15,IF(INDEX('Coverage Indicators - Section D'!K$1:K$124,MATCH($A706,'Coverage Indicators - Section D'!$A$1:$A$124,0))&lt;&gt;0,INDEX('Coverage Indicators - Section D'!K$1:K$124,MATCH($A706,'Coverage Indicators - Section D'!$A$1:$A$124,0)),"")),"")</f>
        <v>Ministry of Public Health, Hygiene and Prevention</v>
      </c>
      <c r="I713" s="635"/>
      <c r="J713" s="635"/>
      <c r="K713" s="636"/>
      <c r="L713" s="82"/>
    </row>
    <row r="714" spans="1:12" ht="18.75" customHeight="1">
      <c r="A714" s="641"/>
      <c r="B714" s="637"/>
      <c r="C714" s="638"/>
      <c r="D714" s="639"/>
      <c r="E714" s="637"/>
      <c r="F714" s="638"/>
      <c r="G714" s="639"/>
      <c r="H714" s="637"/>
      <c r="I714" s="638"/>
      <c r="J714" s="638"/>
      <c r="K714" s="639"/>
      <c r="L714" s="82"/>
    </row>
    <row r="715" spans="1:12" ht="18.75" customHeight="1">
      <c r="A715" s="641"/>
      <c r="B715" s="89"/>
      <c r="C715" s="89" t="s">
        <v>5052</v>
      </c>
      <c r="D715" s="625" t="s">
        <v>5053</v>
      </c>
      <c r="E715" s="626"/>
      <c r="F715" s="626"/>
      <c r="G715" s="626"/>
      <c r="H715" s="626"/>
      <c r="I715" s="626"/>
      <c r="J715" s="626"/>
      <c r="K715" s="630"/>
      <c r="L715" s="82"/>
    </row>
    <row r="716" spans="1:12" ht="18.75" customHeight="1">
      <c r="A716" s="641"/>
      <c r="B716" s="89" t="s">
        <v>2589</v>
      </c>
      <c r="C716" s="90">
        <f>IFERROR(IF(INDEX('Coverage Indicators - Section D'!G$1:G$124,MATCH($A706,'Coverage Indicators - Section D'!$A$1:$A$124,0))&lt;&gt;0,INDEX('Coverage Indicators - Section D'!G$1:G$124,MATCH($A706,'Coverage Indicators - Section D'!$A$1:$A$124,0)),""),"")</f>
        <v>2021</v>
      </c>
      <c r="D716"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716"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716"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716"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716"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716"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716"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716"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716" s="82"/>
    </row>
    <row r="717" spans="1:12" s="93" customFormat="1" ht="18.75" customHeight="1">
      <c r="A717" s="641"/>
      <c r="B717" s="89" t="s">
        <v>5054</v>
      </c>
      <c r="C717" s="91">
        <f>IFERROR(IF(INDEX('Coverage Indicators - Section D'!E$1:E$124,MATCH($A706,'Coverage Indicators - Section D'!$A$1:$A$124,0))&lt;&gt;"",INDEX('Coverage Indicators - Section D'!E$1:E$124,MATCH($A706,'Coverage Indicators - Section D'!$A$1:$A$124,0)),""),"")</f>
        <v>4676</v>
      </c>
      <c r="D717" s="91">
        <f ca="1">IFERROR(IF(INDEX('Coverage Indicators - Section D'!N$1:N$124,MATCH($A706,'Coverage Indicators - Section D'!$A$1:$A$124,0))&lt;&gt;"",INDEX('Coverage Indicators - Section D'!N$1:N$124,MATCH($A706,'Coverage Indicators - Section D'!$A$1:$A$124,0)),""),"")</f>
        <v>10538</v>
      </c>
      <c r="E717" s="91">
        <f ca="1">IFERROR(IF(INDEX('Coverage Indicators - Section D'!Q$1:Q$124,MATCH($A706,'Coverage Indicators - Section D'!$A$1:$A$124,0))&lt;&gt;"",INDEX('Coverage Indicators - Section D'!Q$1:Q$124,MATCH($A706,'Coverage Indicators - Section D'!$A$1:$A$124,0)),""),"")</f>
        <v>10538</v>
      </c>
      <c r="F717" s="91">
        <f ca="1">IFERROR(IF(INDEX('Coverage Indicators - Section D'!T$1:T$124,MATCH($A706,'Coverage Indicators - Section D'!$A$1:$A$124,0))&lt;&gt;"",INDEX('Coverage Indicators - Section D'!T$1:T$124,MATCH($A706,'Coverage Indicators - Section D'!$A$1:$A$124,0)),""),"")</f>
        <v>12661.5</v>
      </c>
      <c r="G717" s="91">
        <f ca="1">IFERROR(IF(INDEX('Coverage Indicators - Section D'!W$1:W$124,MATCH($A706,'Coverage Indicators - Section D'!$A$1:$A$124,0))&lt;&gt;"",INDEX('Coverage Indicators - Section D'!W$1:W$124,MATCH($A706,'Coverage Indicators - Section D'!$A$1:$A$124,0)),""),"")</f>
        <v>12661.5</v>
      </c>
      <c r="H717" s="91">
        <f ca="1">IFERROR(IF(INDEX('Coverage Indicators - Section D'!Z$1:Z$124,MATCH($A706,'Coverage Indicators - Section D'!$A$1:$A$124,0))&lt;&gt;"",INDEX('Coverage Indicators - Section D'!Z$1:Z$124,MATCH($A706,'Coverage Indicators - Section D'!$A$1:$A$124,0)),""),"")</f>
        <v>14850</v>
      </c>
      <c r="I717" s="91">
        <f ca="1">IFERROR(IF(INDEX('Coverage Indicators - Section D'!AC$1:AC$124,MATCH($A706,'Coverage Indicators - Section D'!$A$1:$A$124,0))&lt;&gt;"",INDEX('Coverage Indicators - Section D'!AC$1:AC$124,MATCH($A706,'Coverage Indicators - Section D'!$A$1:$A$124,0)),""),"")</f>
        <v>14850</v>
      </c>
      <c r="J717" s="91" t="str">
        <f ca="1">IFERROR(IF(INDEX('Coverage Indicators - Section D'!AF$1:AF$124,MATCH($A706,'Coverage Indicators - Section D'!$A$1:$A$124,0))&lt;&gt;"",INDEX('Coverage Indicators - Section D'!AF$1:AF$124,MATCH($A706,'Coverage Indicators - Section D'!$A$1:$A$124,0)),""),"")</f>
        <v/>
      </c>
      <c r="K717" s="91" t="str">
        <f ca="1">IFERROR(IF(INDEX('Coverage Indicators - Section D'!AI$1:AI$124,MATCH($A706,'Coverage Indicators - Section D'!$A$1:$A$124,0))&lt;&gt;"",INDEX('Coverage Indicators - Section D'!AI$1:AI$124,MATCH($A706,'Coverage Indicators - Section D'!$A$1:$A$124,0)),""),"")</f>
        <v/>
      </c>
      <c r="L717" s="92"/>
    </row>
    <row r="718" spans="1:12" s="96" customFormat="1" ht="18.75" customHeight="1">
      <c r="A718" s="641"/>
      <c r="B718" s="89" t="s">
        <v>5055</v>
      </c>
      <c r="C718" s="94">
        <f>IFERROR(IF(INDEX('Coverage Indicators - Section D'!E$1:E$124,MATCH($A706,'Coverage Indicators - Section D'!$A$1:$A$124,0)+1)&lt;&gt;"",INDEX('Coverage Indicators - Section D'!E$1:E$124,MATCH($A706,'Coverage Indicators - Section D'!$A$1:$A$124,0)+1),""),"")</f>
        <v>28446.354008099999</v>
      </c>
      <c r="D718" s="94">
        <f ca="1">IFERROR(IF(INDEX('Coverage Indicators - Section D'!N$1:N$124,MATCH($A706,'Coverage Indicators - Section D'!$A$1:$A$124,0)+1)&lt;&gt;"",INDEX('Coverage Indicators - Section D'!N$1:N$124,MATCH($A706,'Coverage Indicators - Section D'!$A$1:$A$124,0)+1),""),"")</f>
        <v>30993.650736095024</v>
      </c>
      <c r="E718" s="94">
        <f ca="1">IFERROR(IF(INDEX('Coverage Indicators - Section D'!Q$1:Q$124,MATCH($A706,'Coverage Indicators - Section D'!$A$1:$A$124,0)+1)&lt;&gt;"",INDEX('Coverage Indicators - Section D'!Q$1:Q$124,MATCH($A706,'Coverage Indicators - Section D'!$A$1:$A$124,0)+1),""),"")</f>
        <v>30993.650736095024</v>
      </c>
      <c r="F718" s="94">
        <f ca="1">IFERROR(IF(INDEX('Coverage Indicators - Section D'!T$1:T$124,MATCH($A706,'Coverage Indicators - Section D'!$A$1:$A$124,0)+1)&lt;&gt;"",INDEX('Coverage Indicators - Section D'!T$1:T$124,MATCH($A706,'Coverage Indicators - Section D'!$A$1:$A$124,0)+1),""),"")</f>
        <v>31892.466607441787</v>
      </c>
      <c r="G718" s="94">
        <f ca="1">IFERROR(IF(INDEX('Coverage Indicators - Section D'!W$1:W$124,MATCH($A706,'Coverage Indicators - Section D'!$A$1:$A$124,0)+1)&lt;&gt;"",INDEX('Coverage Indicators - Section D'!W$1:W$124,MATCH($A706,'Coverage Indicators - Section D'!$A$1:$A$124,0)+1),""),"")</f>
        <v>31892.466607441787</v>
      </c>
      <c r="H718" s="94">
        <f ca="1">IFERROR(IF(INDEX('Coverage Indicators - Section D'!Z$1:Z$124,MATCH($A706,'Coverage Indicators - Section D'!$A$1:$A$124,0)+1)&lt;&gt;"",INDEX('Coverage Indicators - Section D'!Z$1:Z$124,MATCH($A706,'Coverage Indicators - Section D'!$A$1:$A$124,0)+1),""),"")</f>
        <v>32817.348139057591</v>
      </c>
      <c r="I718" s="94">
        <f ca="1">IFERROR(IF(INDEX('Coverage Indicators - Section D'!AC$1:AC$124,MATCH($A706,'Coverage Indicators - Section D'!$A$1:$A$124,0)+1)&lt;&gt;"",INDEX('Coverage Indicators - Section D'!AC$1:AC$124,MATCH($A706,'Coverage Indicators - Section D'!$A$1:$A$124,0)+1),""),"")</f>
        <v>32817.348139057591</v>
      </c>
      <c r="J718" s="94" t="str">
        <f ca="1">IFERROR(IF(INDEX('Coverage Indicators - Section D'!AF$1:AF$124,MATCH($A706,'Coverage Indicators - Section D'!$A$1:$A$124,0)+1)&lt;&gt;"",INDEX('Coverage Indicators - Section D'!AF$1:AF$124,MATCH($A706,'Coverage Indicators - Section D'!$A$1:$A$124,0)+1),""),"")</f>
        <v/>
      </c>
      <c r="K718" s="94" t="str">
        <f ca="1">IFERROR(IF(INDEX('Coverage Indicators - Section D'!AI$1:AI$124,MATCH($A706,'Coverage Indicators - Section D'!$A$1:$A$124,0)+1)&lt;&gt;"",INDEX('Coverage Indicators - Section D'!AI$1:AI$124,MATCH($A706,'Coverage Indicators - Section D'!$A$1:$A$124,0)+1),""),"")</f>
        <v/>
      </c>
      <c r="L718" s="95"/>
    </row>
    <row r="719" spans="1:12" ht="18.75" customHeight="1">
      <c r="A719" s="641"/>
      <c r="B719" s="89" t="s">
        <v>5056</v>
      </c>
      <c r="C719" s="90" t="str">
        <f ca="1">IFERROR(IF(INDEX('Coverage Indicators - Section D'!F$1:F$124,MATCH($A706,'Coverage Indicators - Section D'!$A$1:$A$124,0))&lt;&gt;"",FIXED(INDEX('Coverage Indicators - Section D'!F$1:F$124,MATCH($A706,'Coverage Indicators - Section D'!$A$1:$A$124,0))*100,2)&amp;"%",""),"")</f>
        <v>16.44%</v>
      </c>
      <c r="D719" s="90" t="str">
        <f>IFERROR(IF(INDEX('Coverage Indicators - Section D'!O$1:O$124,MATCH($A706,'Coverage Indicators - Section D'!$A$1:$A$124,0))&lt;&gt;"",FIXED(INDEX('Coverage Indicators - Section D'!O$1:O$124,MATCH($A706,'Coverage Indicators - Section D'!$A$1:$A$124,0))*100,2)&amp;"%",""),"")&amp;CHAR(10)&amp;IFERROR(IF(INDEX('Coverage Indicators - Section D'!P$1:P$124,MATCH($A706,'Coverage Indicators - Section D'!$A$1:$A$124,0))&lt;&gt;"",INDEX('Coverage Indicators - Section D'!P$1:P$124,MATCH($A706,'Coverage Indicators - Section D'!$A$1:$A$124,0)),""),"")</f>
        <v xml:space="preserve">34.00%
</v>
      </c>
      <c r="E719" s="90" t="str">
        <f>IFERROR(IF(INDEX('Coverage Indicators - Section D'!R$1:R$124,MATCH($A706,'Coverage Indicators - Section D'!$A$1:$A$124,0))&lt;&gt;"",FIXED(INDEX('Coverage Indicators - Section D'!R$1:R$124,MATCH($A706,'Coverage Indicators - Section D'!$A$1:$A$124,0))*100,2)&amp;"%",""),"")&amp;CHAR(10)&amp;IFERROR(IF(INDEX('Coverage Indicators - Section D'!S$1:S$124,MATCH($A706,'Coverage Indicators - Section D'!$A$1:$A$124,0))&lt;&gt;"",INDEX('Coverage Indicators - Section D'!S$1:S$124,MATCH($A706,'Coverage Indicators - Section D'!$A$1:$A$124,0)),""),"")</f>
        <v xml:space="preserve">34.00%
</v>
      </c>
      <c r="F719" s="90" t="str">
        <f>IFERROR(IF(INDEX('Coverage Indicators - Section D'!U$1:U$124,MATCH($A706,'Coverage Indicators - Section D'!$A$1:$A$124,0))&lt;&gt;"",FIXED(INDEX('Coverage Indicators - Section D'!U$1:U$124,MATCH($A706,'Coverage Indicators - Section D'!$A$1:$A$124,0))*100,2)&amp;"%",""),"")&amp;CHAR(10)&amp;IFERROR(IF(INDEX('Coverage Indicators - Section D'!V$1:V$124,MATCH($A706,'Coverage Indicators - Section D'!$A$1:$A$124,0))&lt;&gt;"",INDEX('Coverage Indicators - Section D'!V$1:V$124,MATCH($A706,'Coverage Indicators - Section D'!$A$1:$A$124,0)),""),"")</f>
        <v xml:space="preserve">39.70%
</v>
      </c>
      <c r="G719" s="90" t="str">
        <f>IFERROR(IF(INDEX('Coverage Indicators - Section D'!X$1:X$124,MATCH($A706,'Coverage Indicators - Section D'!$A$1:$A$124,0))&lt;&gt;"",FIXED(INDEX('Coverage Indicators - Section D'!X$1:X$124,MATCH($A706,'Coverage Indicators - Section D'!$A$1:$A$124,0))*100,2)&amp;"%",""),"")&amp;CHAR(10)&amp;IFERROR(IF(INDEX('Coverage Indicators - Section D'!Y$1:Y$124,MATCH($A706,'Coverage Indicators - Section D'!$A$1:$A$124,0))&lt;&gt;"",INDEX('Coverage Indicators - Section D'!Y$1:Y$124,MATCH($A706,'Coverage Indicators - Section D'!$A$1:$A$124,0)),""),"")</f>
        <v xml:space="preserve">39.70%
</v>
      </c>
      <c r="H719" s="90" t="str">
        <f>IFERROR(IF(INDEX('Coverage Indicators - Section D'!AA$1:AA$124,MATCH(A706,'Coverage Indicators - Section D'!$A$1:$A$124,0))&lt;&gt;"",FIXED(INDEX('Coverage Indicators - Section D'!AA$1:AA$124,MATCH($A706,'Coverage Indicators - Section D'!$A$1:$A$124,0))*100,2)&amp;"%",""),"")&amp;CHAR(10)&amp;IFERROR(IF(INDEX('Coverage Indicators - Section D'!AB$1:AB$124,MATCH($A706,'Coverage Indicators - Section D'!$A$1:$A$124,0))&lt;&gt;"",INDEX('Coverage Indicators - Section D'!AB$1:AB$124,MATCH($A706,'Coverage Indicators - Section D'!$A$1:$A$124,0)),""),"")</f>
        <v xml:space="preserve">45.25%
</v>
      </c>
      <c r="I719" s="90" t="str">
        <f>IFERROR(IF(INDEX('Coverage Indicators - Section D'!AD$1:AD$124,MATCH($A706,'Coverage Indicators - Section D'!$A$1:$A$124,0))&lt;&gt;"",FIXED(INDEX('Coverage Indicators - Section D'!AD$1:AD$124,MATCH($A706,'Coverage Indicators - Section D'!$A$1:$A$124,0))*100,2)&amp;"%",""),"")&amp;CHAR(10)&amp;IFERROR(IF(INDEX('Coverage Indicators - Section D'!AE$1:AE$124,MATCH($A706,'Coverage Indicators - Section D'!$A$1:$A$124,0))&lt;&gt;"",INDEX('Coverage Indicators - Section D'!AE$1:AE$124,MATCH($A706,'Coverage Indicators - Section D'!$A$1:$A$124,0)),""),"")</f>
        <v xml:space="preserve">45.25%
</v>
      </c>
      <c r="J719" s="90" t="str">
        <f>IFERROR(IF(INDEX('Coverage Indicators - Section D'!AG$1:AG$124,MATCH($A706,'Coverage Indicators - Section D'!$A$1:$A$124,0))&lt;&gt;"",FIXED(INDEX('Coverage Indicators - Section D'!AG$1:AG$124,MATCH($A706,'Coverage Indicators - Section D'!$A$1:$A$124,0))*100,2)&amp;"%",""),"")&amp;CHAR(10)&amp;IFERROR(IF(INDEX('Coverage Indicators - Section D'!AH$1:AH$124,MATCH($A706,'Coverage Indicators - Section D'!$A$1:$A$124,0))&lt;&gt;"",INDEX('Coverage Indicators - Section D'!AH$1:AH$124,MATCH($A706,'Coverage Indicators - Section D'!$A$1:$A$124,0)),""),"")</f>
        <v xml:space="preserve">
</v>
      </c>
      <c r="K719" s="90" t="str">
        <f>IFERROR(IF(INDEX('Coverage Indicators - Section D'!AJ$1:AJ$124,MATCH($A706,'Coverage Indicators - Section D'!$A$1:$A$124,0))&lt;&gt;"",FIXED(INDEX('Coverage Indicators - Section D'!AJ$1:AJ$124,MATCH($A706,'Coverage Indicators - Section D'!$A$1:$A$124,0))*100,2)&amp;"%",""),"")&amp;CHAR(10)&amp;IFERROR(IF(INDEX('Coverage Indicators - Section D'!AK$1:AK$124,MATCH($A706,'Coverage Indicators - Section D'!$A$1:$A$124,0))&lt;&gt;"",INDEX('Coverage Indicators - Section D'!AK$1:AK$124,MATCH($A706,'Coverage Indicators - Section D'!$A$1:$A$124,0)),""),"")</f>
        <v xml:space="preserve">
</v>
      </c>
      <c r="L719" s="82"/>
    </row>
    <row r="720" spans="1:12" ht="18.75" customHeight="1">
      <c r="A720" s="641"/>
      <c r="B720" s="625" t="s">
        <v>176</v>
      </c>
      <c r="C720" s="626"/>
      <c r="D720" s="626"/>
      <c r="E720" s="626"/>
      <c r="F720" s="626"/>
      <c r="G720" s="626"/>
      <c r="H720" s="626"/>
      <c r="I720" s="626"/>
      <c r="J720" s="626"/>
      <c r="K720" s="630"/>
      <c r="L720" s="82"/>
    </row>
    <row r="721" spans="1:12" ht="18.75" customHeight="1">
      <c r="A721" s="641"/>
      <c r="B721" s="634" t="str">
        <f>IFERROR(IF(INDEX('Coverage Indicators - Section D'!AL$1:AL$134,MATCH($A706,'Coverage Indicators - Section D'!$A$1:$A$134,0))&lt;&gt;0,INDEX('Coverage Indicators - Section D'!AL$1:AL$134,MATCH($A706,'Coverage Indicators - Section D'!$A$1:$A$134,0)),""),"")</f>
        <v>N: Number of people in detention or other closed settings who received a defined package of HIV prevention services.
D: Estimated number of people in detention or other closed settings in the target areas
Baseline data: the baseline data available is 4,676 in 2021 (Performance Rating Tool - Jan a Dec 2021). This data does not take into account PEPFAR achievements. For 2022, the suspension of RHs did not allow for consolidated data.
Activities for key populations are implemented but the reporting process is not captured by the national system.
The contribution of the GF is 11158 in 2024; 13347 in 2025 and 15588 in 2026.</v>
      </c>
      <c r="C721" s="635"/>
      <c r="D721" s="635"/>
      <c r="E721" s="635"/>
      <c r="F721" s="635"/>
      <c r="G721" s="635"/>
      <c r="H721" s="635"/>
      <c r="I721" s="635"/>
      <c r="J721" s="635"/>
      <c r="K721" s="636"/>
      <c r="L721" s="82"/>
    </row>
    <row r="722" spans="1:12" ht="18.75" customHeight="1">
      <c r="A722" s="641"/>
      <c r="B722" s="643"/>
      <c r="C722" s="644"/>
      <c r="D722" s="644"/>
      <c r="E722" s="644"/>
      <c r="F722" s="644"/>
      <c r="G722" s="644"/>
      <c r="H722" s="644"/>
      <c r="I722" s="644"/>
      <c r="J722" s="644"/>
      <c r="K722" s="645"/>
      <c r="L722" s="82"/>
    </row>
    <row r="723" spans="1:12" ht="18.75" customHeight="1">
      <c r="A723" s="641"/>
      <c r="B723" s="643"/>
      <c r="C723" s="644"/>
      <c r="D723" s="644"/>
      <c r="E723" s="644"/>
      <c r="F723" s="644"/>
      <c r="G723" s="644"/>
      <c r="H723" s="644"/>
      <c r="I723" s="644"/>
      <c r="J723" s="644"/>
      <c r="K723" s="645"/>
      <c r="L723" s="82"/>
    </row>
    <row r="724" spans="1:12" ht="18.75" customHeight="1">
      <c r="A724" s="641"/>
      <c r="B724" s="643"/>
      <c r="C724" s="644"/>
      <c r="D724" s="644"/>
      <c r="E724" s="644"/>
      <c r="F724" s="644"/>
      <c r="G724" s="644"/>
      <c r="H724" s="644"/>
      <c r="I724" s="644"/>
      <c r="J724" s="644"/>
      <c r="K724" s="645"/>
      <c r="L724" s="82"/>
    </row>
    <row r="725" spans="1:12" ht="18.75" customHeight="1">
      <c r="A725" s="641"/>
      <c r="B725" s="643"/>
      <c r="C725" s="644"/>
      <c r="D725" s="644"/>
      <c r="E725" s="644"/>
      <c r="F725" s="644"/>
      <c r="G725" s="644"/>
      <c r="H725" s="644"/>
      <c r="I725" s="644"/>
      <c r="J725" s="644"/>
      <c r="K725" s="645"/>
      <c r="L725" s="82"/>
    </row>
    <row r="726" spans="1:12" ht="18.75" customHeight="1">
      <c r="A726" s="641"/>
      <c r="B726" s="643"/>
      <c r="C726" s="644"/>
      <c r="D726" s="644"/>
      <c r="E726" s="644"/>
      <c r="F726" s="644"/>
      <c r="G726" s="644"/>
      <c r="H726" s="644"/>
      <c r="I726" s="644"/>
      <c r="J726" s="644"/>
      <c r="K726" s="645"/>
      <c r="L726" s="82"/>
    </row>
    <row r="727" spans="1:12" ht="18.75" customHeight="1">
      <c r="A727" s="641"/>
      <c r="B727" s="643"/>
      <c r="C727" s="644"/>
      <c r="D727" s="644"/>
      <c r="E727" s="644"/>
      <c r="F727" s="644"/>
      <c r="G727" s="644"/>
      <c r="H727" s="644"/>
      <c r="I727" s="644"/>
      <c r="J727" s="644"/>
      <c r="K727" s="645"/>
      <c r="L727" s="82"/>
    </row>
    <row r="728" spans="1:12" ht="18.75" customHeight="1">
      <c r="A728" s="641"/>
      <c r="B728" s="643"/>
      <c r="C728" s="644"/>
      <c r="D728" s="644"/>
      <c r="E728" s="644"/>
      <c r="F728" s="644"/>
      <c r="G728" s="644"/>
      <c r="H728" s="644"/>
      <c r="I728" s="644"/>
      <c r="J728" s="644"/>
      <c r="K728" s="645"/>
      <c r="L728" s="82"/>
    </row>
    <row r="729" spans="1:12" ht="18.75" customHeight="1">
      <c r="A729" s="641"/>
      <c r="B729" s="643"/>
      <c r="C729" s="644"/>
      <c r="D729" s="644"/>
      <c r="E729" s="644"/>
      <c r="F729" s="644"/>
      <c r="G729" s="644"/>
      <c r="H729" s="644"/>
      <c r="I729" s="644"/>
      <c r="J729" s="644"/>
      <c r="K729" s="645"/>
      <c r="L729" s="82"/>
    </row>
    <row r="730" spans="1:12" ht="18.75" customHeight="1">
      <c r="A730" s="642"/>
      <c r="B730" s="637"/>
      <c r="C730" s="638"/>
      <c r="D730" s="638"/>
      <c r="E730" s="638"/>
      <c r="F730" s="638"/>
      <c r="G730" s="638"/>
      <c r="H730" s="638"/>
      <c r="I730" s="638"/>
      <c r="J730" s="638"/>
      <c r="K730" s="639"/>
      <c r="L730" s="82"/>
    </row>
    <row r="731" spans="1:12" ht="18.75" customHeight="1">
      <c r="A731" s="625"/>
      <c r="B731" s="626"/>
      <c r="C731" s="626"/>
      <c r="D731" s="626"/>
      <c r="E731" s="626"/>
      <c r="F731" s="626"/>
      <c r="G731" s="626"/>
      <c r="H731" s="626"/>
      <c r="I731" s="626"/>
      <c r="J731" s="626"/>
      <c r="K731" s="630"/>
      <c r="L731" s="82"/>
    </row>
    <row r="733" spans="1:12" ht="18.75" customHeight="1">
      <c r="A733" s="89" t="s">
        <v>5051</v>
      </c>
      <c r="B733" s="625" t="s">
        <v>1077</v>
      </c>
      <c r="C733" s="630"/>
      <c r="D733" s="631" t="str">
        <f ca="1">IFERROR(IF(INDEX('Coverage Indicators - Section D'!B$1:B$124,MATCH($A734,'Coverage Indicators - Section D'!$A$1:$A$124,0))&lt;&gt;0,INDEX('Coverage Indicators - Section D'!B$1:B$124,MATCH($A734,'Coverage Indicators - Section D'!$A$1:$A$124,0)),""),"")</f>
        <v>Differentiated HIV Testing Services</v>
      </c>
      <c r="E733" s="632"/>
      <c r="F733" s="632"/>
      <c r="G733" s="632"/>
      <c r="H733" s="632"/>
      <c r="I733" s="632"/>
      <c r="J733" s="632"/>
      <c r="K733" s="633"/>
      <c r="L733" s="82"/>
    </row>
    <row r="734" spans="1:12" ht="18.75" customHeight="1">
      <c r="A734" s="640">
        <v>27</v>
      </c>
      <c r="B734" s="625" t="s">
        <v>765</v>
      </c>
      <c r="C734" s="626"/>
      <c r="D734" s="626"/>
      <c r="E734" s="626"/>
      <c r="F734" s="630"/>
      <c r="G734" s="625" t="s">
        <v>766</v>
      </c>
      <c r="H734" s="626"/>
      <c r="I734" s="626"/>
      <c r="J734" s="626"/>
      <c r="K734" s="630"/>
      <c r="L734" s="82"/>
    </row>
    <row r="735" spans="1:12" ht="18.75" customHeight="1">
      <c r="A735" s="641"/>
      <c r="B735" s="634" t="str">
        <f>IFERROR(IF(INDEX('Coverage Indicators - Section D'!C$1:C$124,MATCH($A734,'Coverage Indicators - Section D'!$A$1:$A$124,0))&lt;&gt;0,INDEX('Coverage Indicators - Section D'!C$1:C$124,MATCH($A734,'Coverage Indicators - Section D'!$A$1:$A$124,0)),""),"")</f>
        <v>HTS-6 Number of individual HIV self-test kits distributed</v>
      </c>
      <c r="C735" s="635"/>
      <c r="D735" s="635"/>
      <c r="E735" s="635"/>
      <c r="F735" s="636"/>
      <c r="G735" s="634" t="str">
        <f>IFERROR(IF(INDEX('Coverage Indicators - Section D'!D$1:D$124,MATCH($A734,'Coverage Indicators - Section D'!$A$1:$A$124,0))&lt;&gt;0,INDEX('Coverage Indicators - Section D'!D$1:D$124,MATCH($A734,'Coverage Indicators - Section D'!$A$1:$A$124,0)),""),"")</f>
        <v/>
      </c>
      <c r="H735" s="635"/>
      <c r="I735" s="635"/>
      <c r="J735" s="635"/>
      <c r="K735" s="636"/>
      <c r="L735" s="82"/>
    </row>
    <row r="736" spans="1:12" ht="18.75" customHeight="1">
      <c r="A736" s="641"/>
      <c r="B736" s="643"/>
      <c r="C736" s="644"/>
      <c r="D736" s="644"/>
      <c r="E736" s="644"/>
      <c r="F736" s="645"/>
      <c r="G736" s="643"/>
      <c r="H736" s="644"/>
      <c r="I736" s="644"/>
      <c r="J736" s="644"/>
      <c r="K736" s="645"/>
      <c r="L736" s="82"/>
    </row>
    <row r="737" spans="1:12" ht="18.75" customHeight="1">
      <c r="A737" s="641"/>
      <c r="B737" s="637"/>
      <c r="C737" s="638"/>
      <c r="D737" s="638"/>
      <c r="E737" s="638"/>
      <c r="F737" s="639"/>
      <c r="G737" s="637"/>
      <c r="H737" s="638"/>
      <c r="I737" s="638"/>
      <c r="J737" s="638"/>
      <c r="K737" s="639"/>
      <c r="L737" s="82"/>
    </row>
    <row r="738" spans="1:12" ht="18.75" customHeight="1">
      <c r="A738" s="641"/>
      <c r="B738" s="625" t="s">
        <v>769</v>
      </c>
      <c r="C738" s="626"/>
      <c r="D738" s="630"/>
      <c r="E738" s="625" t="s">
        <v>216</v>
      </c>
      <c r="F738" s="626"/>
      <c r="G738" s="630"/>
      <c r="H738" s="625" t="s">
        <v>127</v>
      </c>
      <c r="I738" s="626"/>
      <c r="J738" s="630"/>
      <c r="K738" s="89" t="s">
        <v>2204</v>
      </c>
      <c r="L738" s="82"/>
    </row>
    <row r="739" spans="1:12" ht="18.75" customHeight="1">
      <c r="A739" s="641"/>
      <c r="B739" s="631" t="str">
        <f>IFERROR(IF(INDEX('Coverage Indicators - Section D'!I$9:I$92,MATCH($A734,'Coverage Indicators - Section D'!$A$9:$A$92,0))&lt;&gt;0,INDEX('Coverage Indicators - Section D'!I$9:I$92,MATCH($A734,'Coverage Indicators - Section D'!$A$9:$A$92,0)),""),"")</f>
        <v/>
      </c>
      <c r="C739" s="632"/>
      <c r="D739" s="633"/>
      <c r="E739" s="631" t="str">
        <f>IFERROR(IF(INDEX('Coverage Indicators - Section D'!M$1:M$124,MATCH($A734,'Coverage Indicators - Section D'!$A$1:$A$124,0))&lt;&gt;0,INDEX('Coverage Indicators - Section D'!M$1:M$124,MATCH($A734,'Coverage Indicators - Section D'!$A$1:$A$124,0)),""),"")</f>
        <v>Non cumulative</v>
      </c>
      <c r="F739" s="632"/>
      <c r="G739" s="633"/>
      <c r="H739" s="631" t="str">
        <f>IFERROR(IF(INDEX('Coverage Indicators - Section D'!L$1:L$124,MATCH($A734,'Coverage Indicators - Section D'!$A$1:$A$124,0))&lt;&gt;0,INDEX('Coverage Indicators - Section D'!L$1:L$124,MATCH($A734,'Coverage Indicators - Section D'!$A$1:$A$124,0)),""),"")</f>
        <v>Congo (Democratic Republic)</v>
      </c>
      <c r="I739" s="632"/>
      <c r="J739" s="633"/>
      <c r="K739" s="90" t="str">
        <f>IFERROR(IF(INDEX('Coverage Indicators - Section D'!J$1:J$124,MATCH($A734,'Coverage Indicators - Section D'!$A$1:$A$124,0))&lt;&gt;0,INDEX('Coverage Indicators - Section D'!J$1:J$124,MATCH($A734,'Coverage Indicators - Section D'!$A$1:$A$124,0)),""),"")</f>
        <v>Yes</v>
      </c>
      <c r="L739" s="82"/>
    </row>
    <row r="740" spans="1:12" ht="18.75" customHeight="1">
      <c r="A740" s="641"/>
      <c r="B740" s="625" t="s">
        <v>199</v>
      </c>
      <c r="C740" s="626"/>
      <c r="D740" s="630"/>
      <c r="E740" s="625" t="s">
        <v>5060</v>
      </c>
      <c r="F740" s="626"/>
      <c r="G740" s="630"/>
      <c r="H740" s="625" t="s">
        <v>120</v>
      </c>
      <c r="I740" s="626"/>
      <c r="J740" s="626"/>
      <c r="K740" s="630"/>
      <c r="L740" s="82"/>
    </row>
    <row r="741" spans="1:12" ht="18.75" customHeight="1">
      <c r="A741" s="641"/>
      <c r="B741" s="634" t="str">
        <f>IFERROR(IF(INDEX('Coverage Indicators - Section D'!H$1:H$124,MATCH($A734,'Coverage Indicators - Section D'!$A$1:$A$124,0))&lt;&gt;0,INDEX('Coverage Indicators - Section D'!H$1:H$124,MATCH($A734,'Coverage Indicators - Section D'!$A$1:$A$124,0)),""),"")</f>
        <v>Data Not Available</v>
      </c>
      <c r="C741" s="635"/>
      <c r="D741" s="636"/>
      <c r="E741" s="634" t="str">
        <f>IFERROR(IF(INDEX('Coverage Indicators - Section D'!L$1:L$124,MATCH($A734,'Coverage Indicators - Section D'!$A$1:$A$124,0)+1)&lt;&gt;0,INDEX('Coverage Indicators - Section D'!L$1:L$124,MATCH($A734,'Coverage Indicators - Section D'!$A$1:$A$124,0)+1),""),"")</f>
        <v>Geographic National, 100% of national program target</v>
      </c>
      <c r="F741" s="635"/>
      <c r="G741" s="636"/>
      <c r="H741" s="634" t="str">
        <f ca="1">IFERROR(IF(AND('Overview - Section A'!AS$1="Grant Making",OR(B735&lt;&gt;"",G735&lt;&gt;"")),Setup!I15,IF(INDEX('Coverage Indicators - Section D'!K$1:K$124,MATCH($A734,'Coverage Indicators - Section D'!$A$1:$A$124,0))&lt;&gt;0,INDEX('Coverage Indicators - Section D'!K$1:K$124,MATCH($A734,'Coverage Indicators - Section D'!$A$1:$A$124,0)),"")),"")</f>
        <v>Ministry of Public Health, Hygiene and Prevention</v>
      </c>
      <c r="I741" s="635"/>
      <c r="J741" s="635"/>
      <c r="K741" s="636"/>
      <c r="L741" s="82"/>
    </row>
    <row r="742" spans="1:12" ht="18.75" customHeight="1">
      <c r="A742" s="641"/>
      <c r="B742" s="637"/>
      <c r="C742" s="638"/>
      <c r="D742" s="639"/>
      <c r="E742" s="637"/>
      <c r="F742" s="638"/>
      <c r="G742" s="639"/>
      <c r="H742" s="637"/>
      <c r="I742" s="638"/>
      <c r="J742" s="638"/>
      <c r="K742" s="639"/>
      <c r="L742" s="82"/>
    </row>
    <row r="743" spans="1:12" ht="18.75" customHeight="1">
      <c r="A743" s="641"/>
      <c r="B743" s="89"/>
      <c r="C743" s="89" t="s">
        <v>5052</v>
      </c>
      <c r="D743" s="625" t="s">
        <v>5053</v>
      </c>
      <c r="E743" s="626"/>
      <c r="F743" s="626"/>
      <c r="G743" s="626"/>
      <c r="H743" s="626"/>
      <c r="I743" s="626"/>
      <c r="J743" s="626"/>
      <c r="K743" s="630"/>
      <c r="L743" s="82"/>
    </row>
    <row r="744" spans="1:12" ht="18.75" customHeight="1">
      <c r="A744" s="641"/>
      <c r="B744" s="89" t="s">
        <v>2589</v>
      </c>
      <c r="C744" s="90" t="str">
        <f>IFERROR(IF(INDEX('Coverage Indicators - Section D'!G$1:G$124,MATCH($A734,'Coverage Indicators - Section D'!$A$1:$A$124,0))&lt;&gt;0,INDEX('Coverage Indicators - Section D'!G$1:G$124,MATCH($A734,'Coverage Indicators - Section D'!$A$1:$A$124,0)),""),"")</f>
        <v/>
      </c>
      <c r="D744"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744"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744"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744"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744"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744"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744"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744"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744" s="82"/>
    </row>
    <row r="745" spans="1:12" s="93" customFormat="1" ht="18.75" customHeight="1">
      <c r="A745" s="641"/>
      <c r="B745" s="89" t="s">
        <v>5054</v>
      </c>
      <c r="C745" s="91" t="str">
        <f>IFERROR(IF(INDEX('Coverage Indicators - Section D'!E$1:E$124,MATCH($A734,'Coverage Indicators - Section D'!$A$1:$A$124,0))&lt;&gt;"",INDEX('Coverage Indicators - Section D'!E$1:E$124,MATCH($A734,'Coverage Indicators - Section D'!$A$1:$A$124,0)),""),"")</f>
        <v/>
      </c>
      <c r="D745" s="91">
        <f ca="1">IFERROR(IF(INDEX('Coverage Indicators - Section D'!N$1:N$124,MATCH($A734,'Coverage Indicators - Section D'!$A$1:$A$124,0))&lt;&gt;"",INDEX('Coverage Indicators - Section D'!N$1:N$124,MATCH($A734,'Coverage Indicators - Section D'!$A$1:$A$124,0)),""),"")</f>
        <v>24537</v>
      </c>
      <c r="E745" s="91">
        <f ca="1">IFERROR(IF(INDEX('Coverage Indicators - Section D'!Q$1:Q$124,MATCH($A734,'Coverage Indicators - Section D'!$A$1:$A$124,0))&lt;&gt;"",INDEX('Coverage Indicators - Section D'!Q$1:Q$124,MATCH($A734,'Coverage Indicators - Section D'!$A$1:$A$124,0)),""),"")</f>
        <v>24537</v>
      </c>
      <c r="F745" s="91">
        <f ca="1">IFERROR(IF(INDEX('Coverage Indicators - Section D'!T$1:T$124,MATCH($A734,'Coverage Indicators - Section D'!$A$1:$A$124,0))&lt;&gt;"",INDEX('Coverage Indicators - Section D'!T$1:T$124,MATCH($A734,'Coverage Indicators - Section D'!$A$1:$A$124,0)),""),"")</f>
        <v>30677</v>
      </c>
      <c r="G745" s="91">
        <f ca="1">IFERROR(IF(INDEX('Coverage Indicators - Section D'!W$1:W$124,MATCH($A734,'Coverage Indicators - Section D'!$A$1:$A$124,0))&lt;&gt;"",INDEX('Coverage Indicators - Section D'!W$1:W$124,MATCH($A734,'Coverage Indicators - Section D'!$A$1:$A$124,0)),""),"")</f>
        <v>30677</v>
      </c>
      <c r="H745" s="91">
        <f ca="1">IFERROR(IF(INDEX('Coverage Indicators - Section D'!Z$1:Z$124,MATCH($A734,'Coverage Indicators - Section D'!$A$1:$A$124,0))&lt;&gt;"",INDEX('Coverage Indicators - Section D'!Z$1:Z$124,MATCH($A734,'Coverage Indicators - Section D'!$A$1:$A$124,0)),""),"")</f>
        <v>37326</v>
      </c>
      <c r="I745" s="91">
        <f ca="1">IFERROR(IF(INDEX('Coverage Indicators - Section D'!AC$1:AC$124,MATCH($A734,'Coverage Indicators - Section D'!$A$1:$A$124,0))&lt;&gt;"",INDEX('Coverage Indicators - Section D'!AC$1:AC$124,MATCH($A734,'Coverage Indicators - Section D'!$A$1:$A$124,0)),""),"")</f>
        <v>37326</v>
      </c>
      <c r="J745" s="91" t="str">
        <f ca="1">IFERROR(IF(INDEX('Coverage Indicators - Section D'!AF$1:AF$124,MATCH($A734,'Coverage Indicators - Section D'!$A$1:$A$124,0))&lt;&gt;"",INDEX('Coverage Indicators - Section D'!AF$1:AF$124,MATCH($A734,'Coverage Indicators - Section D'!$A$1:$A$124,0)),""),"")</f>
        <v/>
      </c>
      <c r="K745" s="91" t="str">
        <f ca="1">IFERROR(IF(INDEX('Coverage Indicators - Section D'!AI$1:AI$124,MATCH($A734,'Coverage Indicators - Section D'!$A$1:$A$124,0))&lt;&gt;"",INDEX('Coverage Indicators - Section D'!AI$1:AI$124,MATCH($A734,'Coverage Indicators - Section D'!$A$1:$A$124,0)),""),"")</f>
        <v/>
      </c>
      <c r="L745" s="92"/>
    </row>
    <row r="746" spans="1:12" s="96" customFormat="1" ht="18.75" customHeight="1">
      <c r="A746" s="641"/>
      <c r="B746" s="89" t="s">
        <v>5055</v>
      </c>
      <c r="C746" s="94" t="str">
        <f>IFERROR(IF(INDEX('Coverage Indicators - Section D'!E$1:E$124,MATCH($A734,'Coverage Indicators - Section D'!$A$1:$A$124,0)+1)&lt;&gt;"",INDEX('Coverage Indicators - Section D'!E$1:E$124,MATCH($A734,'Coverage Indicators - Section D'!$A$1:$A$124,0)+1),""),"")</f>
        <v/>
      </c>
      <c r="D746" s="94" t="str">
        <f ca="1">IFERROR(IF(INDEX('Coverage Indicators - Section D'!N$1:N$124,MATCH($A734,'Coverage Indicators - Section D'!$A$1:$A$124,0)+1)&lt;&gt;"",INDEX('Coverage Indicators - Section D'!N$1:N$124,MATCH($A734,'Coverage Indicators - Section D'!$A$1:$A$124,0)+1),""),"")</f>
        <v/>
      </c>
      <c r="E746" s="94" t="str">
        <f ca="1">IFERROR(IF(INDEX('Coverage Indicators - Section D'!Q$1:Q$124,MATCH($A734,'Coverage Indicators - Section D'!$A$1:$A$124,0)+1)&lt;&gt;"",INDEX('Coverage Indicators - Section D'!Q$1:Q$124,MATCH($A734,'Coverage Indicators - Section D'!$A$1:$A$124,0)+1),""),"")</f>
        <v/>
      </c>
      <c r="F746" s="94" t="str">
        <f ca="1">IFERROR(IF(INDEX('Coverage Indicators - Section D'!T$1:T$124,MATCH($A734,'Coverage Indicators - Section D'!$A$1:$A$124,0)+1)&lt;&gt;"",INDEX('Coverage Indicators - Section D'!T$1:T$124,MATCH($A734,'Coverage Indicators - Section D'!$A$1:$A$124,0)+1),""),"")</f>
        <v/>
      </c>
      <c r="G746" s="94" t="str">
        <f ca="1">IFERROR(IF(INDEX('Coverage Indicators - Section D'!W$1:W$124,MATCH($A734,'Coverage Indicators - Section D'!$A$1:$A$124,0)+1)&lt;&gt;"",INDEX('Coverage Indicators - Section D'!W$1:W$124,MATCH($A734,'Coverage Indicators - Section D'!$A$1:$A$124,0)+1),""),"")</f>
        <v/>
      </c>
      <c r="H746" s="94" t="str">
        <f ca="1">IFERROR(IF(INDEX('Coverage Indicators - Section D'!Z$1:Z$124,MATCH($A734,'Coverage Indicators - Section D'!$A$1:$A$124,0)+1)&lt;&gt;"",INDEX('Coverage Indicators - Section D'!Z$1:Z$124,MATCH($A734,'Coverage Indicators - Section D'!$A$1:$A$124,0)+1),""),"")</f>
        <v/>
      </c>
      <c r="I746" s="94" t="str">
        <f ca="1">IFERROR(IF(INDEX('Coverage Indicators - Section D'!AC$1:AC$124,MATCH($A734,'Coverage Indicators - Section D'!$A$1:$A$124,0)+1)&lt;&gt;"",INDEX('Coverage Indicators - Section D'!AC$1:AC$124,MATCH($A734,'Coverage Indicators - Section D'!$A$1:$A$124,0)+1),""),"")</f>
        <v/>
      </c>
      <c r="J746" s="94" t="str">
        <f ca="1">IFERROR(IF(INDEX('Coverage Indicators - Section D'!AF$1:AF$124,MATCH($A734,'Coverage Indicators - Section D'!$A$1:$A$124,0)+1)&lt;&gt;"",INDEX('Coverage Indicators - Section D'!AF$1:AF$124,MATCH($A734,'Coverage Indicators - Section D'!$A$1:$A$124,0)+1),""),"")</f>
        <v/>
      </c>
      <c r="K746" s="94" t="str">
        <f ca="1">IFERROR(IF(INDEX('Coverage Indicators - Section D'!AI$1:AI$124,MATCH($A734,'Coverage Indicators - Section D'!$A$1:$A$124,0)+1)&lt;&gt;"",INDEX('Coverage Indicators - Section D'!AI$1:AI$124,MATCH($A734,'Coverage Indicators - Section D'!$A$1:$A$124,0)+1),""),"")</f>
        <v/>
      </c>
      <c r="L746" s="95"/>
    </row>
    <row r="747" spans="1:12" ht="18.75" customHeight="1">
      <c r="A747" s="641"/>
      <c r="B747" s="89" t="s">
        <v>5056</v>
      </c>
      <c r="C747" s="90" t="str">
        <f ca="1">IFERROR(IF(INDEX('Coverage Indicators - Section D'!F$1:F$124,MATCH($A734,'Coverage Indicators - Section D'!$A$1:$A$124,0))&lt;&gt;"",FIXED(INDEX('Coverage Indicators - Section D'!F$1:F$124,MATCH($A734,'Coverage Indicators - Section D'!$A$1:$A$124,0))*100,2)&amp;"%",""),"")</f>
        <v/>
      </c>
      <c r="D747" s="90" t="str">
        <f>IFERROR(IF(INDEX('Coverage Indicators - Section D'!O$1:O$124,MATCH($A734,'Coverage Indicators - Section D'!$A$1:$A$124,0))&lt;&gt;"",FIXED(INDEX('Coverage Indicators - Section D'!O$1:O$124,MATCH($A734,'Coverage Indicators - Section D'!$A$1:$A$124,0))*100,2)&amp;"%",""),"")&amp;CHAR(10)&amp;IFERROR(IF(INDEX('Coverage Indicators - Section D'!P$1:P$124,MATCH($A734,'Coverage Indicators - Section D'!$A$1:$A$124,0))&lt;&gt;"",INDEX('Coverage Indicators - Section D'!P$1:P$124,MATCH($A734,'Coverage Indicators - Section D'!$A$1:$A$124,0)),""),"")</f>
        <v xml:space="preserve">
</v>
      </c>
      <c r="E747" s="90" t="str">
        <f>IFERROR(IF(INDEX('Coverage Indicators - Section D'!R$1:R$124,MATCH($A734,'Coverage Indicators - Section D'!$A$1:$A$124,0))&lt;&gt;"",FIXED(INDEX('Coverage Indicators - Section D'!R$1:R$124,MATCH($A734,'Coverage Indicators - Section D'!$A$1:$A$124,0))*100,2)&amp;"%",""),"")&amp;CHAR(10)&amp;IFERROR(IF(INDEX('Coverage Indicators - Section D'!S$1:S$124,MATCH($A734,'Coverage Indicators - Section D'!$A$1:$A$124,0))&lt;&gt;"",INDEX('Coverage Indicators - Section D'!S$1:S$124,MATCH($A734,'Coverage Indicators - Section D'!$A$1:$A$124,0)),""),"")</f>
        <v xml:space="preserve">
</v>
      </c>
      <c r="F747" s="90" t="str">
        <f>IFERROR(IF(INDEX('Coverage Indicators - Section D'!U$1:U$124,MATCH($A734,'Coverage Indicators - Section D'!$A$1:$A$124,0))&lt;&gt;"",FIXED(INDEX('Coverage Indicators - Section D'!U$1:U$124,MATCH($A734,'Coverage Indicators - Section D'!$A$1:$A$124,0))*100,2)&amp;"%",""),"")&amp;CHAR(10)&amp;IFERROR(IF(INDEX('Coverage Indicators - Section D'!V$1:V$124,MATCH($A734,'Coverage Indicators - Section D'!$A$1:$A$124,0))&lt;&gt;"",INDEX('Coverage Indicators - Section D'!V$1:V$124,MATCH($A734,'Coverage Indicators - Section D'!$A$1:$A$124,0)),""),"")</f>
        <v xml:space="preserve">
</v>
      </c>
      <c r="G747" s="90" t="str">
        <f>IFERROR(IF(INDEX('Coverage Indicators - Section D'!X$1:X$124,MATCH($A734,'Coverage Indicators - Section D'!$A$1:$A$124,0))&lt;&gt;"",FIXED(INDEX('Coverage Indicators - Section D'!X$1:X$124,MATCH($A734,'Coverage Indicators - Section D'!$A$1:$A$124,0))*100,2)&amp;"%",""),"")&amp;CHAR(10)&amp;IFERROR(IF(INDEX('Coverage Indicators - Section D'!Y$1:Y$124,MATCH($A734,'Coverage Indicators - Section D'!$A$1:$A$124,0))&lt;&gt;"",INDEX('Coverage Indicators - Section D'!Y$1:Y$124,MATCH($A734,'Coverage Indicators - Section D'!$A$1:$A$124,0)),""),"")</f>
        <v xml:space="preserve">
</v>
      </c>
      <c r="H747" s="90" t="str">
        <f>IFERROR(IF(INDEX('Coverage Indicators - Section D'!AA$1:AA$124,MATCH(A734,'Coverage Indicators - Section D'!$A$1:$A$124,0))&lt;&gt;"",FIXED(INDEX('Coverage Indicators - Section D'!AA$1:AA$124,MATCH($A734,'Coverage Indicators - Section D'!$A$1:$A$124,0))*100,2)&amp;"%",""),"")&amp;CHAR(10)&amp;IFERROR(IF(INDEX('Coverage Indicators - Section D'!AB$1:AB$124,MATCH($A734,'Coverage Indicators - Section D'!$A$1:$A$124,0))&lt;&gt;"",INDEX('Coverage Indicators - Section D'!AB$1:AB$124,MATCH($A734,'Coverage Indicators - Section D'!$A$1:$A$124,0)),""),"")</f>
        <v xml:space="preserve">
</v>
      </c>
      <c r="I747" s="90" t="str">
        <f>IFERROR(IF(INDEX('Coverage Indicators - Section D'!AD$1:AD$124,MATCH($A734,'Coverage Indicators - Section D'!$A$1:$A$124,0))&lt;&gt;"",FIXED(INDEX('Coverage Indicators - Section D'!AD$1:AD$124,MATCH($A734,'Coverage Indicators - Section D'!$A$1:$A$124,0))*100,2)&amp;"%",""),"")&amp;CHAR(10)&amp;IFERROR(IF(INDEX('Coverage Indicators - Section D'!AE$1:AE$124,MATCH($A734,'Coverage Indicators - Section D'!$A$1:$A$124,0))&lt;&gt;"",INDEX('Coverage Indicators - Section D'!AE$1:AE$124,MATCH($A734,'Coverage Indicators - Section D'!$A$1:$A$124,0)),""),"")</f>
        <v xml:space="preserve">
</v>
      </c>
      <c r="J747" s="90" t="str">
        <f>IFERROR(IF(INDEX('Coverage Indicators - Section D'!AG$1:AG$124,MATCH($A734,'Coverage Indicators - Section D'!$A$1:$A$124,0))&lt;&gt;"",FIXED(INDEX('Coverage Indicators - Section D'!AG$1:AG$124,MATCH($A734,'Coverage Indicators - Section D'!$A$1:$A$124,0))*100,2)&amp;"%",""),"")&amp;CHAR(10)&amp;IFERROR(IF(INDEX('Coverage Indicators - Section D'!AH$1:AH$124,MATCH($A734,'Coverage Indicators - Section D'!$A$1:$A$124,0))&lt;&gt;"",INDEX('Coverage Indicators - Section D'!AH$1:AH$124,MATCH($A734,'Coverage Indicators - Section D'!$A$1:$A$124,0)),""),"")</f>
        <v xml:space="preserve">
</v>
      </c>
      <c r="K747" s="90" t="str">
        <f>IFERROR(IF(INDEX('Coverage Indicators - Section D'!AJ$1:AJ$124,MATCH($A734,'Coverage Indicators - Section D'!$A$1:$A$124,0))&lt;&gt;"",FIXED(INDEX('Coverage Indicators - Section D'!AJ$1:AJ$124,MATCH($A734,'Coverage Indicators - Section D'!$A$1:$A$124,0))*100,2)&amp;"%",""),"")&amp;CHAR(10)&amp;IFERROR(IF(INDEX('Coverage Indicators - Section D'!AK$1:AK$124,MATCH($A734,'Coverage Indicators - Section D'!$A$1:$A$124,0))&lt;&gt;"",INDEX('Coverage Indicators - Section D'!AK$1:AK$124,MATCH($A734,'Coverage Indicators - Section D'!$A$1:$A$124,0)),""),"")</f>
        <v xml:space="preserve">
</v>
      </c>
      <c r="L747" s="82"/>
    </row>
    <row r="748" spans="1:12" ht="18.75" customHeight="1">
      <c r="A748" s="641"/>
      <c r="B748" s="625" t="s">
        <v>176</v>
      </c>
      <c r="C748" s="626"/>
      <c r="D748" s="626"/>
      <c r="E748" s="626"/>
      <c r="F748" s="626"/>
      <c r="G748" s="626"/>
      <c r="H748" s="626"/>
      <c r="I748" s="626"/>
      <c r="J748" s="626"/>
      <c r="K748" s="630"/>
      <c r="L748" s="82"/>
    </row>
    <row r="749" spans="1:12" ht="18.75" customHeight="1">
      <c r="A749" s="641"/>
      <c r="B749" s="634" t="str">
        <f>IFERROR(IF(INDEX('Coverage Indicators - Section D'!AL$1:AL$134,MATCH($A734,'Coverage Indicators - Section D'!$A$1:$A$134,0))&lt;&gt;0,INDEX('Coverage Indicators - Section D'!AL$1:AL$134,MATCH($A734,'Coverage Indicators - Section D'!$A$1:$A$134,0)),""),"")</f>
        <v>N: Number of self-testing kits distributed to all KP
The GF contribution is 25,950 in 2024; 31,254 in 2025 and 36,701 in 2026.</v>
      </c>
      <c r="C749" s="635"/>
      <c r="D749" s="635"/>
      <c r="E749" s="635"/>
      <c r="F749" s="635"/>
      <c r="G749" s="635"/>
      <c r="H749" s="635"/>
      <c r="I749" s="635"/>
      <c r="J749" s="635"/>
      <c r="K749" s="636"/>
      <c r="L749" s="82"/>
    </row>
    <row r="750" spans="1:12" ht="18.75" customHeight="1">
      <c r="A750" s="641"/>
      <c r="B750" s="643"/>
      <c r="C750" s="644"/>
      <c r="D750" s="644"/>
      <c r="E750" s="644"/>
      <c r="F750" s="644"/>
      <c r="G750" s="644"/>
      <c r="H750" s="644"/>
      <c r="I750" s="644"/>
      <c r="J750" s="644"/>
      <c r="K750" s="645"/>
      <c r="L750" s="82"/>
    </row>
    <row r="751" spans="1:12" ht="18.75" customHeight="1">
      <c r="A751" s="641"/>
      <c r="B751" s="643"/>
      <c r="C751" s="644"/>
      <c r="D751" s="644"/>
      <c r="E751" s="644"/>
      <c r="F751" s="644"/>
      <c r="G751" s="644"/>
      <c r="H751" s="644"/>
      <c r="I751" s="644"/>
      <c r="J751" s="644"/>
      <c r="K751" s="645"/>
      <c r="L751" s="82"/>
    </row>
    <row r="752" spans="1:12" ht="18.75" customHeight="1">
      <c r="A752" s="641"/>
      <c r="B752" s="643"/>
      <c r="C752" s="644"/>
      <c r="D752" s="644"/>
      <c r="E752" s="644"/>
      <c r="F752" s="644"/>
      <c r="G752" s="644"/>
      <c r="H752" s="644"/>
      <c r="I752" s="644"/>
      <c r="J752" s="644"/>
      <c r="K752" s="645"/>
      <c r="L752" s="82"/>
    </row>
    <row r="753" spans="1:12" ht="18.75" customHeight="1">
      <c r="A753" s="641"/>
      <c r="B753" s="643"/>
      <c r="C753" s="644"/>
      <c r="D753" s="644"/>
      <c r="E753" s="644"/>
      <c r="F753" s="644"/>
      <c r="G753" s="644"/>
      <c r="H753" s="644"/>
      <c r="I753" s="644"/>
      <c r="J753" s="644"/>
      <c r="K753" s="645"/>
      <c r="L753" s="82"/>
    </row>
    <row r="754" spans="1:12" ht="18.75" customHeight="1">
      <c r="A754" s="641"/>
      <c r="B754" s="643"/>
      <c r="C754" s="644"/>
      <c r="D754" s="644"/>
      <c r="E754" s="644"/>
      <c r="F754" s="644"/>
      <c r="G754" s="644"/>
      <c r="H754" s="644"/>
      <c r="I754" s="644"/>
      <c r="J754" s="644"/>
      <c r="K754" s="645"/>
      <c r="L754" s="82"/>
    </row>
    <row r="755" spans="1:12" ht="18.75" customHeight="1">
      <c r="A755" s="641"/>
      <c r="B755" s="643"/>
      <c r="C755" s="644"/>
      <c r="D755" s="644"/>
      <c r="E755" s="644"/>
      <c r="F755" s="644"/>
      <c r="G755" s="644"/>
      <c r="H755" s="644"/>
      <c r="I755" s="644"/>
      <c r="J755" s="644"/>
      <c r="K755" s="645"/>
      <c r="L755" s="82"/>
    </row>
    <row r="756" spans="1:12" ht="18.75" customHeight="1">
      <c r="A756" s="641"/>
      <c r="B756" s="643"/>
      <c r="C756" s="644"/>
      <c r="D756" s="644"/>
      <c r="E756" s="644"/>
      <c r="F756" s="644"/>
      <c r="G756" s="644"/>
      <c r="H756" s="644"/>
      <c r="I756" s="644"/>
      <c r="J756" s="644"/>
      <c r="K756" s="645"/>
      <c r="L756" s="82"/>
    </row>
    <row r="757" spans="1:12" ht="18.75" customHeight="1">
      <c r="A757" s="641"/>
      <c r="B757" s="643"/>
      <c r="C757" s="644"/>
      <c r="D757" s="644"/>
      <c r="E757" s="644"/>
      <c r="F757" s="644"/>
      <c r="G757" s="644"/>
      <c r="H757" s="644"/>
      <c r="I757" s="644"/>
      <c r="J757" s="644"/>
      <c r="K757" s="645"/>
      <c r="L757" s="82"/>
    </row>
    <row r="758" spans="1:12" ht="18.75" customHeight="1">
      <c r="A758" s="642"/>
      <c r="B758" s="637"/>
      <c r="C758" s="638"/>
      <c r="D758" s="638"/>
      <c r="E758" s="638"/>
      <c r="F758" s="638"/>
      <c r="G758" s="638"/>
      <c r="H758" s="638"/>
      <c r="I758" s="638"/>
      <c r="J758" s="638"/>
      <c r="K758" s="639"/>
      <c r="L758" s="82"/>
    </row>
    <row r="759" spans="1:12" ht="18.75" customHeight="1">
      <c r="A759" s="625"/>
      <c r="B759" s="626"/>
      <c r="C759" s="626"/>
      <c r="D759" s="626"/>
      <c r="E759" s="626"/>
      <c r="F759" s="626"/>
      <c r="G759" s="626"/>
      <c r="H759" s="626"/>
      <c r="I759" s="626"/>
      <c r="J759" s="626"/>
      <c r="K759" s="630"/>
      <c r="L759" s="82"/>
    </row>
    <row r="761" spans="1:12" ht="18.75" customHeight="1">
      <c r="A761" s="89" t="s">
        <v>5051</v>
      </c>
      <c r="B761" s="625" t="s">
        <v>1077</v>
      </c>
      <c r="C761" s="630"/>
      <c r="D761" s="631" t="str">
        <f ca="1">IFERROR(IF(INDEX('Coverage Indicators - Section D'!B$1:B$124,MATCH($A762,'Coverage Indicators - Section D'!$A$1:$A$124,0))&lt;&gt;0,INDEX('Coverage Indicators - Section D'!B$1:B$124,MATCH($A762,'Coverage Indicators - Section D'!$A$1:$A$124,0)),""),"")</f>
        <v>Elimination of vertical transmission of HIV, syphilis and hepatitis B</v>
      </c>
      <c r="E761" s="632"/>
      <c r="F761" s="632"/>
      <c r="G761" s="632"/>
      <c r="H761" s="632"/>
      <c r="I761" s="632"/>
      <c r="J761" s="632"/>
      <c r="K761" s="633"/>
      <c r="L761" s="82"/>
    </row>
    <row r="762" spans="1:12" ht="18.75" customHeight="1">
      <c r="A762" s="640">
        <v>28</v>
      </c>
      <c r="B762" s="625" t="s">
        <v>765</v>
      </c>
      <c r="C762" s="626"/>
      <c r="D762" s="626"/>
      <c r="E762" s="626"/>
      <c r="F762" s="630"/>
      <c r="G762" s="625" t="s">
        <v>766</v>
      </c>
      <c r="H762" s="626"/>
      <c r="I762" s="626"/>
      <c r="J762" s="626"/>
      <c r="K762" s="630"/>
      <c r="L762" s="82"/>
    </row>
    <row r="763" spans="1:12" ht="18.75" customHeight="1">
      <c r="A763" s="641"/>
      <c r="B763" s="634" t="str">
        <f>IFERROR(IF(INDEX('Coverage Indicators - Section D'!C$1:C$124,MATCH($A762,'Coverage Indicators - Section D'!$A$1:$A$124,0))&lt;&gt;0,INDEX('Coverage Indicators - Section D'!C$1:C$124,MATCH($A762,'Coverage Indicators - Section D'!$A$1:$A$124,0)),""),"")</f>
        <v>VT-1 Percentage of pregnant women who know their HIV status</v>
      </c>
      <c r="C763" s="635"/>
      <c r="D763" s="635"/>
      <c r="E763" s="635"/>
      <c r="F763" s="636"/>
      <c r="G763" s="634" t="str">
        <f>IFERROR(IF(INDEX('Coverage Indicators - Section D'!D$1:D$124,MATCH($A762,'Coverage Indicators - Section D'!$A$1:$A$124,0))&lt;&gt;0,INDEX('Coverage Indicators - Section D'!D$1:D$124,MATCH($A762,'Coverage Indicators - Section D'!$A$1:$A$124,0)),""),"")</f>
        <v/>
      </c>
      <c r="H763" s="635"/>
      <c r="I763" s="635"/>
      <c r="J763" s="635"/>
      <c r="K763" s="636"/>
      <c r="L763" s="82"/>
    </row>
    <row r="764" spans="1:12" ht="18.75" customHeight="1">
      <c r="A764" s="641"/>
      <c r="B764" s="643"/>
      <c r="C764" s="644"/>
      <c r="D764" s="644"/>
      <c r="E764" s="644"/>
      <c r="F764" s="645"/>
      <c r="G764" s="643"/>
      <c r="H764" s="644"/>
      <c r="I764" s="644"/>
      <c r="J764" s="644"/>
      <c r="K764" s="645"/>
      <c r="L764" s="82"/>
    </row>
    <row r="765" spans="1:12" ht="18.75" customHeight="1">
      <c r="A765" s="641"/>
      <c r="B765" s="637"/>
      <c r="C765" s="638"/>
      <c r="D765" s="638"/>
      <c r="E765" s="638"/>
      <c r="F765" s="639"/>
      <c r="G765" s="637"/>
      <c r="H765" s="638"/>
      <c r="I765" s="638"/>
      <c r="J765" s="638"/>
      <c r="K765" s="639"/>
      <c r="L765" s="82"/>
    </row>
    <row r="766" spans="1:12" ht="18.75" customHeight="1">
      <c r="A766" s="641"/>
      <c r="B766" s="625" t="s">
        <v>769</v>
      </c>
      <c r="C766" s="626"/>
      <c r="D766" s="630"/>
      <c r="E766" s="625" t="s">
        <v>216</v>
      </c>
      <c r="F766" s="626"/>
      <c r="G766" s="630"/>
      <c r="H766" s="625" t="s">
        <v>127</v>
      </c>
      <c r="I766" s="626"/>
      <c r="J766" s="630"/>
      <c r="K766" s="89" t="s">
        <v>2204</v>
      </c>
      <c r="L766" s="82"/>
    </row>
    <row r="767" spans="1:12" ht="18.75" customHeight="1">
      <c r="A767" s="641"/>
      <c r="B767" s="631" t="str">
        <f>IFERROR(IF(INDEX('Coverage Indicators - Section D'!I$9:I$92,MATCH($A762,'Coverage Indicators - Section D'!$A$9:$A$92,0))&lt;&gt;0,INDEX('Coverage Indicators - Section D'!I$9:I$92,MATCH($A762,'Coverage Indicators - Section D'!$A$9:$A$92,0)),""),"")</f>
        <v>HIV status</v>
      </c>
      <c r="C767" s="632"/>
      <c r="D767" s="633"/>
      <c r="E767" s="631" t="str">
        <f>IFERROR(IF(INDEX('Coverage Indicators - Section D'!M$1:M$124,MATCH($A762,'Coverage Indicators - Section D'!$A$1:$A$124,0))&lt;&gt;0,INDEX('Coverage Indicators - Section D'!M$1:M$124,MATCH($A762,'Coverage Indicators - Section D'!$A$1:$A$124,0)),""),"")</f>
        <v>Non cumulative - special</v>
      </c>
      <c r="F767" s="632"/>
      <c r="G767" s="633"/>
      <c r="H767" s="631" t="str">
        <f>IFERROR(IF(INDEX('Coverage Indicators - Section D'!L$1:L$124,MATCH($A762,'Coverage Indicators - Section D'!$A$1:$A$124,0))&lt;&gt;0,INDEX('Coverage Indicators - Section D'!L$1:L$124,MATCH($A762,'Coverage Indicators - Section D'!$A$1:$A$124,0)),""),"")</f>
        <v>Congo (Democratic Republic)</v>
      </c>
      <c r="I767" s="632"/>
      <c r="J767" s="633"/>
      <c r="K767" s="90" t="str">
        <f>IFERROR(IF(INDEX('Coverage Indicators - Section D'!J$1:J$124,MATCH($A762,'Coverage Indicators - Section D'!$A$1:$A$124,0))&lt;&gt;0,INDEX('Coverage Indicators - Section D'!J$1:J$124,MATCH($A762,'Coverage Indicators - Section D'!$A$1:$A$124,0)),""),"")</f>
        <v>Yes</v>
      </c>
      <c r="L767" s="82"/>
    </row>
    <row r="768" spans="1:12" ht="18.75" customHeight="1">
      <c r="A768" s="641"/>
      <c r="B768" s="625" t="s">
        <v>199</v>
      </c>
      <c r="C768" s="626"/>
      <c r="D768" s="630"/>
      <c r="E768" s="625" t="s">
        <v>5060</v>
      </c>
      <c r="F768" s="626"/>
      <c r="G768" s="630"/>
      <c r="H768" s="625" t="s">
        <v>120</v>
      </c>
      <c r="I768" s="626"/>
      <c r="J768" s="626"/>
      <c r="K768" s="630"/>
      <c r="L768" s="82"/>
    </row>
    <row r="769" spans="1:12" ht="18.75" customHeight="1">
      <c r="A769" s="641"/>
      <c r="B769" s="634" t="str">
        <f>IFERROR(IF(INDEX('Coverage Indicators - Section D'!H$1:H$124,MATCH($A762,'Coverage Indicators - Section D'!$A$1:$A$124,0))&lt;&gt;0,INDEX('Coverage Indicators - Section D'!H$1:H$124,MATCH($A762,'Coverage Indicators - Section D'!$A$1:$A$124,0)),""),"")</f>
        <v>HIV program annual report</v>
      </c>
      <c r="C769" s="635"/>
      <c r="D769" s="636"/>
      <c r="E769" s="634" t="str">
        <f>IFERROR(IF(INDEX('Coverage Indicators - Section D'!L$1:L$124,MATCH($A762,'Coverage Indicators - Section D'!$A$1:$A$124,0)+1)&lt;&gt;0,INDEX('Coverage Indicators - Section D'!L$1:L$124,MATCH($A762,'Coverage Indicators - Section D'!$A$1:$A$124,0)+1),""),"")</f>
        <v>Geographic National, 100% of national program target</v>
      </c>
      <c r="F769" s="635"/>
      <c r="G769" s="636"/>
      <c r="H769" s="634" t="str">
        <f ca="1">IFERROR(IF(AND('Overview - Section A'!AS$1="Grant Making",OR(B763&lt;&gt;"",G763&lt;&gt;"")),Setup!I15,IF(INDEX('Coverage Indicators - Section D'!K$1:K$124,MATCH($A762,'Coverage Indicators - Section D'!$A$1:$A$124,0))&lt;&gt;0,INDEX('Coverage Indicators - Section D'!K$1:K$124,MATCH($A762,'Coverage Indicators - Section D'!$A$1:$A$124,0)),"")),"")</f>
        <v>Ministry of Public Health, Hygiene and Prevention</v>
      </c>
      <c r="I769" s="635"/>
      <c r="J769" s="635"/>
      <c r="K769" s="636"/>
      <c r="L769" s="82"/>
    </row>
    <row r="770" spans="1:12" ht="18.75" customHeight="1">
      <c r="A770" s="641"/>
      <c r="B770" s="637"/>
      <c r="C770" s="638"/>
      <c r="D770" s="639"/>
      <c r="E770" s="637"/>
      <c r="F770" s="638"/>
      <c r="G770" s="639"/>
      <c r="H770" s="637"/>
      <c r="I770" s="638"/>
      <c r="J770" s="638"/>
      <c r="K770" s="639"/>
      <c r="L770" s="82"/>
    </row>
    <row r="771" spans="1:12" ht="18.75" customHeight="1">
      <c r="A771" s="641"/>
      <c r="B771" s="89"/>
      <c r="C771" s="89" t="s">
        <v>5052</v>
      </c>
      <c r="D771" s="625" t="s">
        <v>5053</v>
      </c>
      <c r="E771" s="626"/>
      <c r="F771" s="626"/>
      <c r="G771" s="626"/>
      <c r="H771" s="626"/>
      <c r="I771" s="626"/>
      <c r="J771" s="626"/>
      <c r="K771" s="630"/>
      <c r="L771" s="82"/>
    </row>
    <row r="772" spans="1:12" ht="18.75" customHeight="1">
      <c r="A772" s="641"/>
      <c r="B772" s="89" t="s">
        <v>2589</v>
      </c>
      <c r="C772" s="90">
        <f>IFERROR(IF(INDEX('Coverage Indicators - Section D'!G$1:G$124,MATCH($A762,'Coverage Indicators - Section D'!$A$1:$A$124,0))&lt;&gt;0,INDEX('Coverage Indicators - Section D'!G$1:G$124,MATCH($A762,'Coverage Indicators - Section D'!$A$1:$A$124,0)),""),"")</f>
        <v>2021</v>
      </c>
      <c r="D772"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772"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772"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772"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772"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772"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772"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772"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772" s="82"/>
    </row>
    <row r="773" spans="1:12" s="93" customFormat="1" ht="18.75" customHeight="1">
      <c r="A773" s="641"/>
      <c r="B773" s="89" t="s">
        <v>5054</v>
      </c>
      <c r="C773" s="91">
        <f>IFERROR(IF(INDEX('Coverage Indicators - Section D'!E$1:E$124,MATCH($A762,'Coverage Indicators - Section D'!$A$1:$A$124,0))&lt;&gt;"",INDEX('Coverage Indicators - Section D'!E$1:E$124,MATCH($A762,'Coverage Indicators - Section D'!$A$1:$A$124,0)),""),"")</f>
        <v>1189334</v>
      </c>
      <c r="D773" s="91">
        <f ca="1">IFERROR(IF(INDEX('Coverage Indicators - Section D'!N$1:N$124,MATCH($A762,'Coverage Indicators - Section D'!$A$1:$A$124,0))&lt;&gt;"",INDEX('Coverage Indicators - Section D'!N$1:N$124,MATCH($A762,'Coverage Indicators - Section D'!$A$1:$A$124,0)),""),"")</f>
        <v>1221620</v>
      </c>
      <c r="E773" s="91">
        <f ca="1">IFERROR(IF(INDEX('Coverage Indicators - Section D'!Q$1:Q$124,MATCH($A762,'Coverage Indicators - Section D'!$A$1:$A$124,0))&lt;&gt;"",INDEX('Coverage Indicators - Section D'!Q$1:Q$124,MATCH($A762,'Coverage Indicators - Section D'!$A$1:$A$124,0)),""),"")</f>
        <v>1221620</v>
      </c>
      <c r="F773" s="91">
        <f ca="1">IFERROR(IF(INDEX('Coverage Indicators - Section D'!T$1:T$124,MATCH($A762,'Coverage Indicators - Section D'!$A$1:$A$124,0))&lt;&gt;"",INDEX('Coverage Indicators - Section D'!T$1:T$124,MATCH($A762,'Coverage Indicators - Section D'!$A$1:$A$124,0)),""),"")</f>
        <v>1378388</v>
      </c>
      <c r="G773" s="91">
        <f ca="1">IFERROR(IF(INDEX('Coverage Indicators - Section D'!W$1:W$124,MATCH($A762,'Coverage Indicators - Section D'!$A$1:$A$124,0))&lt;&gt;"",INDEX('Coverage Indicators - Section D'!W$1:W$124,MATCH($A762,'Coverage Indicators - Section D'!$A$1:$A$124,0)),""),"")</f>
        <v>1378388</v>
      </c>
      <c r="H773" s="91">
        <f ca="1">IFERROR(IF(INDEX('Coverage Indicators - Section D'!Z$1:Z$124,MATCH($A762,'Coverage Indicators - Section D'!$A$1:$A$124,0))&lt;&gt;"",INDEX('Coverage Indicators - Section D'!Z$1:Z$124,MATCH($A762,'Coverage Indicators - Section D'!$A$1:$A$124,0)),""),"")</f>
        <v>1549051.5</v>
      </c>
      <c r="I773" s="91">
        <f ca="1">IFERROR(IF(INDEX('Coverage Indicators - Section D'!AC$1:AC$124,MATCH($A762,'Coverage Indicators - Section D'!$A$1:$A$124,0))&lt;&gt;"",INDEX('Coverage Indicators - Section D'!AC$1:AC$124,MATCH($A762,'Coverage Indicators - Section D'!$A$1:$A$124,0)),""),"")</f>
        <v>1549051.5</v>
      </c>
      <c r="J773" s="91" t="str">
        <f ca="1">IFERROR(IF(INDEX('Coverage Indicators - Section D'!AF$1:AF$124,MATCH($A762,'Coverage Indicators - Section D'!$A$1:$A$124,0))&lt;&gt;"",INDEX('Coverage Indicators - Section D'!AF$1:AF$124,MATCH($A762,'Coverage Indicators - Section D'!$A$1:$A$124,0)),""),"")</f>
        <v/>
      </c>
      <c r="K773" s="91" t="str">
        <f ca="1">IFERROR(IF(INDEX('Coverage Indicators - Section D'!AI$1:AI$124,MATCH($A762,'Coverage Indicators - Section D'!$A$1:$A$124,0))&lt;&gt;"",INDEX('Coverage Indicators - Section D'!AI$1:AI$124,MATCH($A762,'Coverage Indicators - Section D'!$A$1:$A$124,0)),""),"")</f>
        <v/>
      </c>
      <c r="L773" s="92"/>
    </row>
    <row r="774" spans="1:12" s="96" customFormat="1" ht="18.75" customHeight="1">
      <c r="A774" s="641"/>
      <c r="B774" s="89" t="s">
        <v>5055</v>
      </c>
      <c r="C774" s="94">
        <f>IFERROR(IF(INDEX('Coverage Indicators - Section D'!E$1:E$124,MATCH($A762,'Coverage Indicators - Section D'!$A$1:$A$124,0)+1)&lt;&gt;"",INDEX('Coverage Indicators - Section D'!E$1:E$124,MATCH($A762,'Coverage Indicators - Section D'!$A$1:$A$124,0)+1),""),"")</f>
        <v>3757786</v>
      </c>
      <c r="D774" s="94">
        <f ca="1">IFERROR(IF(INDEX('Coverage Indicators - Section D'!N$1:N$124,MATCH($A762,'Coverage Indicators - Section D'!$A$1:$A$124,0)+1)&lt;&gt;"",INDEX('Coverage Indicators - Section D'!N$1:N$124,MATCH($A762,'Coverage Indicators - Section D'!$A$1:$A$124,0)+1),""),"")</f>
        <v>3633738</v>
      </c>
      <c r="E774" s="94">
        <f ca="1">IFERROR(IF(INDEX('Coverage Indicators - Section D'!Q$1:Q$124,MATCH($A762,'Coverage Indicators - Section D'!$A$1:$A$124,0)+1)&lt;&gt;"",INDEX('Coverage Indicators - Section D'!Q$1:Q$124,MATCH($A762,'Coverage Indicators - Section D'!$A$1:$A$124,0)+1),""),"")</f>
        <v>3633738</v>
      </c>
      <c r="F774" s="94">
        <f ca="1">IFERROR(IF(INDEX('Coverage Indicators - Section D'!T$1:T$124,MATCH($A762,'Coverage Indicators - Section D'!$A$1:$A$124,0)+1)&lt;&gt;"",INDEX('Coverage Indicators - Section D'!T$1:T$124,MATCH($A762,'Coverage Indicators - Section D'!$A$1:$A$124,0)+1),""),"")</f>
        <v>3739117</v>
      </c>
      <c r="G774" s="94">
        <f ca="1">IFERROR(IF(INDEX('Coverage Indicators - Section D'!W$1:W$124,MATCH($A762,'Coverage Indicators - Section D'!$A$1:$A$124,0)+1)&lt;&gt;"",INDEX('Coverage Indicators - Section D'!W$1:W$124,MATCH($A762,'Coverage Indicators - Section D'!$A$1:$A$124,0)+1),""),"")</f>
        <v>3739117</v>
      </c>
      <c r="H774" s="94">
        <f ca="1">IFERROR(IF(INDEX('Coverage Indicators - Section D'!Z$1:Z$124,MATCH($A762,'Coverage Indicators - Section D'!$A$1:$A$124,0)+1)&lt;&gt;"",INDEX('Coverage Indicators - Section D'!Z$1:Z$124,MATCH($A762,'Coverage Indicators - Section D'!$A$1:$A$124,0)+1),""),"")</f>
        <v>3847551</v>
      </c>
      <c r="I774" s="94">
        <f ca="1">IFERROR(IF(INDEX('Coverage Indicators - Section D'!AC$1:AC$124,MATCH($A762,'Coverage Indicators - Section D'!$A$1:$A$124,0)+1)&lt;&gt;"",INDEX('Coverage Indicators - Section D'!AC$1:AC$124,MATCH($A762,'Coverage Indicators - Section D'!$A$1:$A$124,0)+1),""),"")</f>
        <v>3847551</v>
      </c>
      <c r="J774" s="94" t="str">
        <f ca="1">IFERROR(IF(INDEX('Coverage Indicators - Section D'!AF$1:AF$124,MATCH($A762,'Coverage Indicators - Section D'!$A$1:$A$124,0)+1)&lt;&gt;"",INDEX('Coverage Indicators - Section D'!AF$1:AF$124,MATCH($A762,'Coverage Indicators - Section D'!$A$1:$A$124,0)+1),""),"")</f>
        <v/>
      </c>
      <c r="K774" s="94" t="str">
        <f ca="1">IFERROR(IF(INDEX('Coverage Indicators - Section D'!AI$1:AI$124,MATCH($A762,'Coverage Indicators - Section D'!$A$1:$A$124,0)+1)&lt;&gt;"",INDEX('Coverage Indicators - Section D'!AI$1:AI$124,MATCH($A762,'Coverage Indicators - Section D'!$A$1:$A$124,0)+1),""),"")</f>
        <v/>
      </c>
      <c r="L774" s="95"/>
    </row>
    <row r="775" spans="1:12" ht="18.75" customHeight="1">
      <c r="A775" s="641"/>
      <c r="B775" s="89" t="s">
        <v>5056</v>
      </c>
      <c r="C775" s="90" t="str">
        <f ca="1">IFERROR(IF(INDEX('Coverage Indicators - Section D'!F$1:F$124,MATCH($A762,'Coverage Indicators - Section D'!$A$1:$A$124,0))&lt;&gt;"",FIXED(INDEX('Coverage Indicators - Section D'!F$1:F$124,MATCH($A762,'Coverage Indicators - Section D'!$A$1:$A$124,0))*100,2)&amp;"%",""),"")</f>
        <v>31.65%</v>
      </c>
      <c r="D775" s="90" t="str">
        <f>IFERROR(IF(INDEX('Coverage Indicators - Section D'!O$1:O$124,MATCH($A762,'Coverage Indicators - Section D'!$A$1:$A$124,0))&lt;&gt;"",FIXED(INDEX('Coverage Indicators - Section D'!O$1:O$124,MATCH($A762,'Coverage Indicators - Section D'!$A$1:$A$124,0))*100,2)&amp;"%",""),"")&amp;CHAR(10)&amp;IFERROR(IF(INDEX('Coverage Indicators - Section D'!P$1:P$124,MATCH($A762,'Coverage Indicators - Section D'!$A$1:$A$124,0))&lt;&gt;"",INDEX('Coverage Indicators - Section D'!P$1:P$124,MATCH($A762,'Coverage Indicators - Section D'!$A$1:$A$124,0)),""),"")</f>
        <v xml:space="preserve">33.62%
</v>
      </c>
      <c r="E775" s="90" t="str">
        <f>IFERROR(IF(INDEX('Coverage Indicators - Section D'!R$1:R$124,MATCH($A762,'Coverage Indicators - Section D'!$A$1:$A$124,0))&lt;&gt;"",FIXED(INDEX('Coverage Indicators - Section D'!R$1:R$124,MATCH($A762,'Coverage Indicators - Section D'!$A$1:$A$124,0))*100,2)&amp;"%",""),"")&amp;CHAR(10)&amp;IFERROR(IF(INDEX('Coverage Indicators - Section D'!S$1:S$124,MATCH($A762,'Coverage Indicators - Section D'!$A$1:$A$124,0))&lt;&gt;"",INDEX('Coverage Indicators - Section D'!S$1:S$124,MATCH($A762,'Coverage Indicators - Section D'!$A$1:$A$124,0)),""),"")</f>
        <v xml:space="preserve">33.62%
</v>
      </c>
      <c r="F775" s="90" t="str">
        <f>IFERROR(IF(INDEX('Coverage Indicators - Section D'!U$1:U$124,MATCH($A762,'Coverage Indicators - Section D'!$A$1:$A$124,0))&lt;&gt;"",FIXED(INDEX('Coverage Indicators - Section D'!U$1:U$124,MATCH($A762,'Coverage Indicators - Section D'!$A$1:$A$124,0))*100,2)&amp;"%",""),"")&amp;CHAR(10)&amp;IFERROR(IF(INDEX('Coverage Indicators - Section D'!V$1:V$124,MATCH($A762,'Coverage Indicators - Section D'!$A$1:$A$124,0))&lt;&gt;"",INDEX('Coverage Indicators - Section D'!V$1:V$124,MATCH($A762,'Coverage Indicators - Section D'!$A$1:$A$124,0)),""),"")</f>
        <v xml:space="preserve">36.86%
</v>
      </c>
      <c r="G775" s="90" t="str">
        <f>IFERROR(IF(INDEX('Coverage Indicators - Section D'!X$1:X$124,MATCH($A762,'Coverage Indicators - Section D'!$A$1:$A$124,0))&lt;&gt;"",FIXED(INDEX('Coverage Indicators - Section D'!X$1:X$124,MATCH($A762,'Coverage Indicators - Section D'!$A$1:$A$124,0))*100,2)&amp;"%",""),"")&amp;CHAR(10)&amp;IFERROR(IF(INDEX('Coverage Indicators - Section D'!Y$1:Y$124,MATCH($A762,'Coverage Indicators - Section D'!$A$1:$A$124,0))&lt;&gt;"",INDEX('Coverage Indicators - Section D'!Y$1:Y$124,MATCH($A762,'Coverage Indicators - Section D'!$A$1:$A$124,0)),""),"")</f>
        <v xml:space="preserve">36.86%
</v>
      </c>
      <c r="H775" s="90" t="str">
        <f>IFERROR(IF(INDEX('Coverage Indicators - Section D'!AA$1:AA$124,MATCH(A762,'Coverage Indicators - Section D'!$A$1:$A$124,0))&lt;&gt;"",FIXED(INDEX('Coverage Indicators - Section D'!AA$1:AA$124,MATCH($A762,'Coverage Indicators - Section D'!$A$1:$A$124,0))*100,2)&amp;"%",""),"")&amp;CHAR(10)&amp;IFERROR(IF(INDEX('Coverage Indicators - Section D'!AB$1:AB$124,MATCH($A762,'Coverage Indicators - Section D'!$A$1:$A$124,0))&lt;&gt;"",INDEX('Coverage Indicators - Section D'!AB$1:AB$124,MATCH($A762,'Coverage Indicators - Section D'!$A$1:$A$124,0)),""),"")</f>
        <v xml:space="preserve">40.26%
</v>
      </c>
      <c r="I775" s="90" t="str">
        <f>IFERROR(IF(INDEX('Coverage Indicators - Section D'!AD$1:AD$124,MATCH($A762,'Coverage Indicators - Section D'!$A$1:$A$124,0))&lt;&gt;"",FIXED(INDEX('Coverage Indicators - Section D'!AD$1:AD$124,MATCH($A762,'Coverage Indicators - Section D'!$A$1:$A$124,0))*100,2)&amp;"%",""),"")&amp;CHAR(10)&amp;IFERROR(IF(INDEX('Coverage Indicators - Section D'!AE$1:AE$124,MATCH($A762,'Coverage Indicators - Section D'!$A$1:$A$124,0))&lt;&gt;"",INDEX('Coverage Indicators - Section D'!AE$1:AE$124,MATCH($A762,'Coverage Indicators - Section D'!$A$1:$A$124,0)),""),"")</f>
        <v xml:space="preserve">40.26%
</v>
      </c>
      <c r="J775" s="90" t="str">
        <f>IFERROR(IF(INDEX('Coverage Indicators - Section D'!AG$1:AG$124,MATCH($A762,'Coverage Indicators - Section D'!$A$1:$A$124,0))&lt;&gt;"",FIXED(INDEX('Coverage Indicators - Section D'!AG$1:AG$124,MATCH($A762,'Coverage Indicators - Section D'!$A$1:$A$124,0))*100,2)&amp;"%",""),"")&amp;CHAR(10)&amp;IFERROR(IF(INDEX('Coverage Indicators - Section D'!AH$1:AH$124,MATCH($A762,'Coverage Indicators - Section D'!$A$1:$A$124,0))&lt;&gt;"",INDEX('Coverage Indicators - Section D'!AH$1:AH$124,MATCH($A762,'Coverage Indicators - Section D'!$A$1:$A$124,0)),""),"")</f>
        <v xml:space="preserve">
</v>
      </c>
      <c r="K775" s="90" t="str">
        <f>IFERROR(IF(INDEX('Coverage Indicators - Section D'!AJ$1:AJ$124,MATCH($A762,'Coverage Indicators - Section D'!$A$1:$A$124,0))&lt;&gt;"",FIXED(INDEX('Coverage Indicators - Section D'!AJ$1:AJ$124,MATCH($A762,'Coverage Indicators - Section D'!$A$1:$A$124,0))*100,2)&amp;"%",""),"")&amp;CHAR(10)&amp;IFERROR(IF(INDEX('Coverage Indicators - Section D'!AK$1:AK$124,MATCH($A762,'Coverage Indicators - Section D'!$A$1:$A$124,0))&lt;&gt;"",INDEX('Coverage Indicators - Section D'!AK$1:AK$124,MATCH($A762,'Coverage Indicators - Section D'!$A$1:$A$124,0)),""),"")</f>
        <v xml:space="preserve">
</v>
      </c>
      <c r="L775" s="82"/>
    </row>
    <row r="776" spans="1:12" ht="18.75" customHeight="1">
      <c r="A776" s="641"/>
      <c r="B776" s="625" t="s">
        <v>176</v>
      </c>
      <c r="C776" s="626"/>
      <c r="D776" s="626"/>
      <c r="E776" s="626"/>
      <c r="F776" s="626"/>
      <c r="G776" s="626"/>
      <c r="H776" s="626"/>
      <c r="I776" s="626"/>
      <c r="J776" s="626"/>
      <c r="K776" s="630"/>
      <c r="L776" s="82"/>
    </row>
    <row r="777" spans="1:12" ht="18.75" customHeight="1">
      <c r="A777" s="641"/>
      <c r="B777" s="634" t="str">
        <f>IFERROR(IF(INDEX('Coverage Indicators - Section D'!AL$1:AL$134,MATCH($A762,'Coverage Indicators - Section D'!$A$1:$A$134,0))&lt;&gt;0,INDEX('Coverage Indicators - Section D'!AL$1:AL$134,MATCH($A762,'Coverage Indicators - Section D'!$A$1:$A$134,0)),""),"")</f>
        <v>N: Number of pregnant women who received antenatal care and/or delivered in a health facility, who were tested for HIV during pregnancy or who already knew they were infected with HIV
D: Number of pregnant women who received antenatal care and/or delivered in a health facility in the past 12 months
The GF contribution is 1,221,620 in 2024; 1,138,388 in 2025; and 1,549,051 in 2026.</v>
      </c>
      <c r="C777" s="635"/>
      <c r="D777" s="635"/>
      <c r="E777" s="635"/>
      <c r="F777" s="635"/>
      <c r="G777" s="635"/>
      <c r="H777" s="635"/>
      <c r="I777" s="635"/>
      <c r="J777" s="635"/>
      <c r="K777" s="636"/>
      <c r="L777" s="82"/>
    </row>
    <row r="778" spans="1:12" ht="18.75" customHeight="1">
      <c r="A778" s="641"/>
      <c r="B778" s="643"/>
      <c r="C778" s="644"/>
      <c r="D778" s="644"/>
      <c r="E778" s="644"/>
      <c r="F778" s="644"/>
      <c r="G778" s="644"/>
      <c r="H778" s="644"/>
      <c r="I778" s="644"/>
      <c r="J778" s="644"/>
      <c r="K778" s="645"/>
      <c r="L778" s="82"/>
    </row>
    <row r="779" spans="1:12" ht="18.75" customHeight="1">
      <c r="A779" s="641"/>
      <c r="B779" s="643"/>
      <c r="C779" s="644"/>
      <c r="D779" s="644"/>
      <c r="E779" s="644"/>
      <c r="F779" s="644"/>
      <c r="G779" s="644"/>
      <c r="H779" s="644"/>
      <c r="I779" s="644"/>
      <c r="J779" s="644"/>
      <c r="K779" s="645"/>
      <c r="L779" s="82"/>
    </row>
    <row r="780" spans="1:12" ht="18.75" customHeight="1">
      <c r="A780" s="641"/>
      <c r="B780" s="643"/>
      <c r="C780" s="644"/>
      <c r="D780" s="644"/>
      <c r="E780" s="644"/>
      <c r="F780" s="644"/>
      <c r="G780" s="644"/>
      <c r="H780" s="644"/>
      <c r="I780" s="644"/>
      <c r="J780" s="644"/>
      <c r="K780" s="645"/>
      <c r="L780" s="82"/>
    </row>
    <row r="781" spans="1:12" ht="18.75" customHeight="1">
      <c r="A781" s="641"/>
      <c r="B781" s="643"/>
      <c r="C781" s="644"/>
      <c r="D781" s="644"/>
      <c r="E781" s="644"/>
      <c r="F781" s="644"/>
      <c r="G781" s="644"/>
      <c r="H781" s="644"/>
      <c r="I781" s="644"/>
      <c r="J781" s="644"/>
      <c r="K781" s="645"/>
      <c r="L781" s="82"/>
    </row>
    <row r="782" spans="1:12" ht="18.75" customHeight="1">
      <c r="A782" s="641"/>
      <c r="B782" s="643"/>
      <c r="C782" s="644"/>
      <c r="D782" s="644"/>
      <c r="E782" s="644"/>
      <c r="F782" s="644"/>
      <c r="G782" s="644"/>
      <c r="H782" s="644"/>
      <c r="I782" s="644"/>
      <c r="J782" s="644"/>
      <c r="K782" s="645"/>
      <c r="L782" s="82"/>
    </row>
    <row r="783" spans="1:12" ht="18.75" customHeight="1">
      <c r="A783" s="641"/>
      <c r="B783" s="643"/>
      <c r="C783" s="644"/>
      <c r="D783" s="644"/>
      <c r="E783" s="644"/>
      <c r="F783" s="644"/>
      <c r="G783" s="644"/>
      <c r="H783" s="644"/>
      <c r="I783" s="644"/>
      <c r="J783" s="644"/>
      <c r="K783" s="645"/>
      <c r="L783" s="82"/>
    </row>
    <row r="784" spans="1:12" ht="18.75" customHeight="1">
      <c r="A784" s="641"/>
      <c r="B784" s="643"/>
      <c r="C784" s="644"/>
      <c r="D784" s="644"/>
      <c r="E784" s="644"/>
      <c r="F784" s="644"/>
      <c r="G784" s="644"/>
      <c r="H784" s="644"/>
      <c r="I784" s="644"/>
      <c r="J784" s="644"/>
      <c r="K784" s="645"/>
      <c r="L784" s="82"/>
    </row>
    <row r="785" spans="1:12" ht="18.75" customHeight="1">
      <c r="A785" s="641"/>
      <c r="B785" s="643"/>
      <c r="C785" s="644"/>
      <c r="D785" s="644"/>
      <c r="E785" s="644"/>
      <c r="F785" s="644"/>
      <c r="G785" s="644"/>
      <c r="H785" s="644"/>
      <c r="I785" s="644"/>
      <c r="J785" s="644"/>
      <c r="K785" s="645"/>
      <c r="L785" s="82"/>
    </row>
    <row r="786" spans="1:12" ht="18.75" customHeight="1">
      <c r="A786" s="642"/>
      <c r="B786" s="637"/>
      <c r="C786" s="638"/>
      <c r="D786" s="638"/>
      <c r="E786" s="638"/>
      <c r="F786" s="638"/>
      <c r="G786" s="638"/>
      <c r="H786" s="638"/>
      <c r="I786" s="638"/>
      <c r="J786" s="638"/>
      <c r="K786" s="639"/>
      <c r="L786" s="82"/>
    </row>
    <row r="787" spans="1:12" ht="18.75" customHeight="1">
      <c r="A787" s="625"/>
      <c r="B787" s="626"/>
      <c r="C787" s="626"/>
      <c r="D787" s="626"/>
      <c r="E787" s="626"/>
      <c r="F787" s="626"/>
      <c r="G787" s="626"/>
      <c r="H787" s="626"/>
      <c r="I787" s="626"/>
      <c r="J787" s="626"/>
      <c r="K787" s="630"/>
      <c r="L787" s="82"/>
    </row>
    <row r="789" spans="1:12" ht="18.75" customHeight="1">
      <c r="A789" s="89" t="s">
        <v>5051</v>
      </c>
      <c r="B789" s="625" t="s">
        <v>1077</v>
      </c>
      <c r="C789" s="630"/>
      <c r="D789" s="631" t="str">
        <f ca="1">IFERROR(IF(INDEX('Coverage Indicators - Section D'!B$1:B$124,MATCH($A790,'Coverage Indicators - Section D'!$A$1:$A$124,0))&lt;&gt;0,INDEX('Coverage Indicators - Section D'!B$1:B$124,MATCH($A790,'Coverage Indicators - Section D'!$A$1:$A$124,0)),""),"")</f>
        <v>Elimination of vertical transmission of HIV, syphilis and hepatitis B</v>
      </c>
      <c r="E789" s="632"/>
      <c r="F789" s="632"/>
      <c r="G789" s="632"/>
      <c r="H789" s="632"/>
      <c r="I789" s="632"/>
      <c r="J789" s="632"/>
      <c r="K789" s="633"/>
      <c r="L789" s="82"/>
    </row>
    <row r="790" spans="1:12" ht="18.75" customHeight="1">
      <c r="A790" s="640">
        <v>29</v>
      </c>
      <c r="B790" s="625" t="s">
        <v>765</v>
      </c>
      <c r="C790" s="626"/>
      <c r="D790" s="626"/>
      <c r="E790" s="626"/>
      <c r="F790" s="630"/>
      <c r="G790" s="625" t="s">
        <v>766</v>
      </c>
      <c r="H790" s="626"/>
      <c r="I790" s="626"/>
      <c r="J790" s="626"/>
      <c r="K790" s="630"/>
      <c r="L790" s="82"/>
    </row>
    <row r="791" spans="1:12" ht="18.75" customHeight="1">
      <c r="A791" s="641"/>
      <c r="B791" s="634" t="str">
        <f>IFERROR(IF(INDEX('Coverage Indicators - Section D'!C$1:C$124,MATCH($A790,'Coverage Indicators - Section D'!$A$1:$A$124,0))&lt;&gt;0,INDEX('Coverage Indicators - Section D'!C$1:C$124,MATCH($A790,'Coverage Indicators - Section D'!$A$1:$A$124,0)),""),"")</f>
        <v>VT-2 Percentage of HIV-exposed infants receiving a virological test for HIV within 2 months of birth</v>
      </c>
      <c r="C791" s="635"/>
      <c r="D791" s="635"/>
      <c r="E791" s="635"/>
      <c r="F791" s="636"/>
      <c r="G791" s="634" t="str">
        <f>IFERROR(IF(INDEX('Coverage Indicators - Section D'!D$1:D$124,MATCH($A790,'Coverage Indicators - Section D'!$A$1:$A$124,0))&lt;&gt;0,INDEX('Coverage Indicators - Section D'!D$1:D$124,MATCH($A790,'Coverage Indicators - Section D'!$A$1:$A$124,0)),""),"")</f>
        <v/>
      </c>
      <c r="H791" s="635"/>
      <c r="I791" s="635"/>
      <c r="J791" s="635"/>
      <c r="K791" s="636"/>
      <c r="L791" s="82"/>
    </row>
    <row r="792" spans="1:12" ht="18.75" customHeight="1">
      <c r="A792" s="641"/>
      <c r="B792" s="643"/>
      <c r="C792" s="644"/>
      <c r="D792" s="644"/>
      <c r="E792" s="644"/>
      <c r="F792" s="645"/>
      <c r="G792" s="643"/>
      <c r="H792" s="644"/>
      <c r="I792" s="644"/>
      <c r="J792" s="644"/>
      <c r="K792" s="645"/>
      <c r="L792" s="82"/>
    </row>
    <row r="793" spans="1:12" ht="18.75" customHeight="1">
      <c r="A793" s="641"/>
      <c r="B793" s="637"/>
      <c r="C793" s="638"/>
      <c r="D793" s="638"/>
      <c r="E793" s="638"/>
      <c r="F793" s="639"/>
      <c r="G793" s="637"/>
      <c r="H793" s="638"/>
      <c r="I793" s="638"/>
      <c r="J793" s="638"/>
      <c r="K793" s="639"/>
      <c r="L793" s="82"/>
    </row>
    <row r="794" spans="1:12" ht="18.75" customHeight="1">
      <c r="A794" s="641"/>
      <c r="B794" s="625" t="s">
        <v>769</v>
      </c>
      <c r="C794" s="626"/>
      <c r="D794" s="630"/>
      <c r="E794" s="625" t="s">
        <v>216</v>
      </c>
      <c r="F794" s="626"/>
      <c r="G794" s="630"/>
      <c r="H794" s="625" t="s">
        <v>127</v>
      </c>
      <c r="I794" s="626"/>
      <c r="J794" s="630"/>
      <c r="K794" s="89" t="s">
        <v>2204</v>
      </c>
      <c r="L794" s="82"/>
    </row>
    <row r="795" spans="1:12" ht="18.75" customHeight="1">
      <c r="A795" s="641"/>
      <c r="B795" s="631" t="str">
        <f>IFERROR(IF(INDEX('Coverage Indicators - Section D'!I$9:I$92,MATCH($A790,'Coverage Indicators - Section D'!$A$9:$A$92,0))&lt;&gt;0,INDEX('Coverage Indicators - Section D'!I$9:I$92,MATCH($A790,'Coverage Indicators - Section D'!$A$9:$A$92,0)),""),"")</f>
        <v>HIV status</v>
      </c>
      <c r="C795" s="632"/>
      <c r="D795" s="633"/>
      <c r="E795" s="631" t="str">
        <f>IFERROR(IF(INDEX('Coverage Indicators - Section D'!M$1:M$124,MATCH($A790,'Coverage Indicators - Section D'!$A$1:$A$124,0))&lt;&gt;0,INDEX('Coverage Indicators - Section D'!M$1:M$124,MATCH($A790,'Coverage Indicators - Section D'!$A$1:$A$124,0)),""),"")</f>
        <v>Non cumulative - special</v>
      </c>
      <c r="F795" s="632"/>
      <c r="G795" s="633"/>
      <c r="H795" s="631" t="str">
        <f>IFERROR(IF(INDEX('Coverage Indicators - Section D'!L$1:L$124,MATCH($A790,'Coverage Indicators - Section D'!$A$1:$A$124,0))&lt;&gt;0,INDEX('Coverage Indicators - Section D'!L$1:L$124,MATCH($A790,'Coverage Indicators - Section D'!$A$1:$A$124,0)),""),"")</f>
        <v>Congo (Democratic Republic)</v>
      </c>
      <c r="I795" s="632"/>
      <c r="J795" s="633"/>
      <c r="K795" s="90" t="str">
        <f>IFERROR(IF(INDEX('Coverage Indicators - Section D'!J$1:J$124,MATCH($A790,'Coverage Indicators - Section D'!$A$1:$A$124,0))&lt;&gt;0,INDEX('Coverage Indicators - Section D'!J$1:J$124,MATCH($A790,'Coverage Indicators - Section D'!$A$1:$A$124,0)),""),"")</f>
        <v>Yes</v>
      </c>
      <c r="L795" s="82"/>
    </row>
    <row r="796" spans="1:12" ht="18.75" customHeight="1">
      <c r="A796" s="641"/>
      <c r="B796" s="625" t="s">
        <v>199</v>
      </c>
      <c r="C796" s="626"/>
      <c r="D796" s="630"/>
      <c r="E796" s="625" t="s">
        <v>5060</v>
      </c>
      <c r="F796" s="626"/>
      <c r="G796" s="630"/>
      <c r="H796" s="625" t="s">
        <v>120</v>
      </c>
      <c r="I796" s="626"/>
      <c r="J796" s="626"/>
      <c r="K796" s="630"/>
      <c r="L796" s="82"/>
    </row>
    <row r="797" spans="1:12" ht="18.75" customHeight="1">
      <c r="A797" s="641"/>
      <c r="B797" s="634" t="str">
        <f>IFERROR(IF(INDEX('Coverage Indicators - Section D'!H$1:H$124,MATCH($A790,'Coverage Indicators - Section D'!$A$1:$A$124,0))&lt;&gt;0,INDEX('Coverage Indicators - Section D'!H$1:H$124,MATCH($A790,'Coverage Indicators - Section D'!$A$1:$A$124,0)),""),"")</f>
        <v>HIV program annual report</v>
      </c>
      <c r="C797" s="635"/>
      <c r="D797" s="636"/>
      <c r="E797" s="634" t="str">
        <f>IFERROR(IF(INDEX('Coverage Indicators - Section D'!L$1:L$124,MATCH($A790,'Coverage Indicators - Section D'!$A$1:$A$124,0)+1)&lt;&gt;0,INDEX('Coverage Indicators - Section D'!L$1:L$124,MATCH($A790,'Coverage Indicators - Section D'!$A$1:$A$124,0)+1),""),"")</f>
        <v>Geographic National, 100% of national program target</v>
      </c>
      <c r="F797" s="635"/>
      <c r="G797" s="636"/>
      <c r="H797" s="634" t="str">
        <f ca="1">IFERROR(IF(AND('Overview - Section A'!AS$1="Grant Making",OR(B791&lt;&gt;"",G791&lt;&gt;"")),Setup!I15,IF(INDEX('Coverage Indicators - Section D'!K$1:K$124,MATCH($A790,'Coverage Indicators - Section D'!$A$1:$A$124,0))&lt;&gt;0,INDEX('Coverage Indicators - Section D'!K$1:K$124,MATCH($A790,'Coverage Indicators - Section D'!$A$1:$A$124,0)),"")),"")</f>
        <v>Ministry of Public Health, Hygiene and Prevention</v>
      </c>
      <c r="I797" s="635"/>
      <c r="J797" s="635"/>
      <c r="K797" s="636"/>
      <c r="L797" s="82"/>
    </row>
    <row r="798" spans="1:12" ht="18.75" customHeight="1">
      <c r="A798" s="641"/>
      <c r="B798" s="637"/>
      <c r="C798" s="638"/>
      <c r="D798" s="639"/>
      <c r="E798" s="637"/>
      <c r="F798" s="638"/>
      <c r="G798" s="639"/>
      <c r="H798" s="637"/>
      <c r="I798" s="638"/>
      <c r="J798" s="638"/>
      <c r="K798" s="639"/>
      <c r="L798" s="82"/>
    </row>
    <row r="799" spans="1:12" ht="18.75" customHeight="1">
      <c r="A799" s="641"/>
      <c r="B799" s="89"/>
      <c r="C799" s="89" t="s">
        <v>5052</v>
      </c>
      <c r="D799" s="625" t="s">
        <v>5053</v>
      </c>
      <c r="E799" s="626"/>
      <c r="F799" s="626"/>
      <c r="G799" s="626"/>
      <c r="H799" s="626"/>
      <c r="I799" s="626"/>
      <c r="J799" s="626"/>
      <c r="K799" s="630"/>
      <c r="L799" s="82"/>
    </row>
    <row r="800" spans="1:12" ht="18.75" customHeight="1">
      <c r="A800" s="641"/>
      <c r="B800" s="89" t="s">
        <v>2589</v>
      </c>
      <c r="C800" s="90">
        <f>IFERROR(IF(INDEX('Coverage Indicators - Section D'!G$1:G$124,MATCH($A790,'Coverage Indicators - Section D'!$A$1:$A$124,0))&lt;&gt;0,INDEX('Coverage Indicators - Section D'!G$1:G$124,MATCH($A790,'Coverage Indicators - Section D'!$A$1:$A$124,0)),""),"")</f>
        <v>2021</v>
      </c>
      <c r="D800"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800"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800"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800"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800"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800"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800"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800"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800" s="82"/>
    </row>
    <row r="801" spans="1:12" s="93" customFormat="1" ht="18.75" customHeight="1">
      <c r="A801" s="641"/>
      <c r="B801" s="89" t="s">
        <v>5054</v>
      </c>
      <c r="C801" s="91">
        <f>IFERROR(IF(INDEX('Coverage Indicators - Section D'!E$1:E$124,MATCH($A790,'Coverage Indicators - Section D'!$A$1:$A$124,0))&lt;&gt;"",INDEX('Coverage Indicators - Section D'!E$1:E$124,MATCH($A790,'Coverage Indicators - Section D'!$A$1:$A$124,0)),""),"")</f>
        <v>2692</v>
      </c>
      <c r="D801" s="91">
        <f ca="1">IFERROR(IF(INDEX('Coverage Indicators - Section D'!N$1:N$124,MATCH($A790,'Coverage Indicators - Section D'!$A$1:$A$124,0))&lt;&gt;"",INDEX('Coverage Indicators - Section D'!N$1:N$124,MATCH($A790,'Coverage Indicators - Section D'!$A$1:$A$124,0)),""),"")</f>
        <v>5400.5</v>
      </c>
      <c r="E801" s="91">
        <f ca="1">IFERROR(IF(INDEX('Coverage Indicators - Section D'!Q$1:Q$124,MATCH($A790,'Coverage Indicators - Section D'!$A$1:$A$124,0))&lt;&gt;"",INDEX('Coverage Indicators - Section D'!Q$1:Q$124,MATCH($A790,'Coverage Indicators - Section D'!$A$1:$A$124,0)),""),"")</f>
        <v>5400.5</v>
      </c>
      <c r="F801" s="91">
        <f ca="1">IFERROR(IF(INDEX('Coverage Indicators - Section D'!T$1:T$124,MATCH($A790,'Coverage Indicators - Section D'!$A$1:$A$124,0))&lt;&gt;"",INDEX('Coverage Indicators - Section D'!T$1:T$124,MATCH($A790,'Coverage Indicators - Section D'!$A$1:$A$124,0)),""),"")</f>
        <v>7166.5</v>
      </c>
      <c r="G801" s="91">
        <f ca="1">IFERROR(IF(INDEX('Coverage Indicators - Section D'!W$1:W$124,MATCH($A790,'Coverage Indicators - Section D'!$A$1:$A$124,0))&lt;&gt;"",INDEX('Coverage Indicators - Section D'!W$1:W$124,MATCH($A790,'Coverage Indicators - Section D'!$A$1:$A$124,0)),""),"")</f>
        <v>7166.5</v>
      </c>
      <c r="H801" s="91">
        <f ca="1">IFERROR(IF(INDEX('Coverage Indicators - Section D'!Z$1:Z$124,MATCH($A790,'Coverage Indicators - Section D'!$A$1:$A$124,0))&lt;&gt;"",INDEX('Coverage Indicators - Section D'!Z$1:Z$124,MATCH($A790,'Coverage Indicators - Section D'!$A$1:$A$124,0)),""),"")</f>
        <v>9164.5</v>
      </c>
      <c r="I801" s="91">
        <f ca="1">IFERROR(IF(INDEX('Coverage Indicators - Section D'!AC$1:AC$124,MATCH($A790,'Coverage Indicators - Section D'!$A$1:$A$124,0))&lt;&gt;"",INDEX('Coverage Indicators - Section D'!AC$1:AC$124,MATCH($A790,'Coverage Indicators - Section D'!$A$1:$A$124,0)),""),"")</f>
        <v>9164.5</v>
      </c>
      <c r="J801" s="91" t="str">
        <f ca="1">IFERROR(IF(INDEX('Coverage Indicators - Section D'!AF$1:AF$124,MATCH($A790,'Coverage Indicators - Section D'!$A$1:$A$124,0))&lt;&gt;"",INDEX('Coverage Indicators - Section D'!AF$1:AF$124,MATCH($A790,'Coverage Indicators - Section D'!$A$1:$A$124,0)),""),"")</f>
        <v/>
      </c>
      <c r="K801" s="91" t="str">
        <f ca="1">IFERROR(IF(INDEX('Coverage Indicators - Section D'!AI$1:AI$124,MATCH($A790,'Coverage Indicators - Section D'!$A$1:$A$124,0))&lt;&gt;"",INDEX('Coverage Indicators - Section D'!AI$1:AI$124,MATCH($A790,'Coverage Indicators - Section D'!$A$1:$A$124,0)),""),"")</f>
        <v/>
      </c>
      <c r="L801" s="92"/>
    </row>
    <row r="802" spans="1:12" s="96" customFormat="1" ht="18.75" customHeight="1">
      <c r="A802" s="641"/>
      <c r="B802" s="89" t="s">
        <v>5055</v>
      </c>
      <c r="C802" s="94">
        <f>IFERROR(IF(INDEX('Coverage Indicators - Section D'!E$1:E$124,MATCH($A790,'Coverage Indicators - Section D'!$A$1:$A$124,0)+1)&lt;&gt;"",INDEX('Coverage Indicators - Section D'!E$1:E$124,MATCH($A790,'Coverage Indicators - Section D'!$A$1:$A$124,0)+1),""),"")</f>
        <v>28995</v>
      </c>
      <c r="D802" s="94">
        <f ca="1">IFERROR(IF(INDEX('Coverage Indicators - Section D'!N$1:N$124,MATCH($A790,'Coverage Indicators - Section D'!$A$1:$A$124,0)+1)&lt;&gt;"",INDEX('Coverage Indicators - Section D'!N$1:N$124,MATCH($A790,'Coverage Indicators - Section D'!$A$1:$A$124,0)+1),""),"")</f>
        <v>38506</v>
      </c>
      <c r="E802" s="94">
        <f ca="1">IFERROR(IF(INDEX('Coverage Indicators - Section D'!Q$1:Q$124,MATCH($A790,'Coverage Indicators - Section D'!$A$1:$A$124,0)+1)&lt;&gt;"",INDEX('Coverage Indicators - Section D'!Q$1:Q$124,MATCH($A790,'Coverage Indicators - Section D'!$A$1:$A$124,0)+1),""),"")</f>
        <v>38506</v>
      </c>
      <c r="F802" s="94">
        <f ca="1">IFERROR(IF(INDEX('Coverage Indicators - Section D'!T$1:T$124,MATCH($A790,'Coverage Indicators - Section D'!$A$1:$A$124,0)+1)&lt;&gt;"",INDEX('Coverage Indicators - Section D'!T$1:T$124,MATCH($A790,'Coverage Indicators - Section D'!$A$1:$A$124,0)+1),""),"")</f>
        <v>37061</v>
      </c>
      <c r="G802" s="94">
        <f ca="1">IFERROR(IF(INDEX('Coverage Indicators - Section D'!W$1:W$124,MATCH($A790,'Coverage Indicators - Section D'!$A$1:$A$124,0)+1)&lt;&gt;"",INDEX('Coverage Indicators - Section D'!W$1:W$124,MATCH($A790,'Coverage Indicators - Section D'!$A$1:$A$124,0)+1),""),"")</f>
        <v>37061</v>
      </c>
      <c r="H802" s="94">
        <f ca="1">IFERROR(IF(INDEX('Coverage Indicators - Section D'!Z$1:Z$124,MATCH($A790,'Coverage Indicators - Section D'!$A$1:$A$124,0)+1)&lt;&gt;"",INDEX('Coverage Indicators - Section D'!Z$1:Z$124,MATCH($A790,'Coverage Indicators - Section D'!$A$1:$A$124,0)+1),""),"")</f>
        <v>35939</v>
      </c>
      <c r="I802" s="94">
        <f ca="1">IFERROR(IF(INDEX('Coverage Indicators - Section D'!AC$1:AC$124,MATCH($A790,'Coverage Indicators - Section D'!$A$1:$A$124,0)+1)&lt;&gt;"",INDEX('Coverage Indicators - Section D'!AC$1:AC$124,MATCH($A790,'Coverage Indicators - Section D'!$A$1:$A$124,0)+1),""),"")</f>
        <v>35939</v>
      </c>
      <c r="J802" s="94" t="str">
        <f ca="1">IFERROR(IF(INDEX('Coverage Indicators - Section D'!AF$1:AF$124,MATCH($A790,'Coverage Indicators - Section D'!$A$1:$A$124,0)+1)&lt;&gt;"",INDEX('Coverage Indicators - Section D'!AF$1:AF$124,MATCH($A790,'Coverage Indicators - Section D'!$A$1:$A$124,0)+1),""),"")</f>
        <v/>
      </c>
      <c r="K802" s="94" t="str">
        <f ca="1">IFERROR(IF(INDEX('Coverage Indicators - Section D'!AI$1:AI$124,MATCH($A790,'Coverage Indicators - Section D'!$A$1:$A$124,0)+1)&lt;&gt;"",INDEX('Coverage Indicators - Section D'!AI$1:AI$124,MATCH($A790,'Coverage Indicators - Section D'!$A$1:$A$124,0)+1),""),"")</f>
        <v/>
      </c>
      <c r="L802" s="95"/>
    </row>
    <row r="803" spans="1:12" ht="18.75" customHeight="1">
      <c r="A803" s="641"/>
      <c r="B803" s="89" t="s">
        <v>5056</v>
      </c>
      <c r="C803" s="90" t="str">
        <f ca="1">IFERROR(IF(INDEX('Coverage Indicators - Section D'!F$1:F$124,MATCH($A790,'Coverage Indicators - Section D'!$A$1:$A$124,0))&lt;&gt;"",FIXED(INDEX('Coverage Indicators - Section D'!F$1:F$124,MATCH($A790,'Coverage Indicators - Section D'!$A$1:$A$124,0))*100,2)&amp;"%",""),"")</f>
        <v>9.28%</v>
      </c>
      <c r="D803" s="90" t="str">
        <f>IFERROR(IF(INDEX('Coverage Indicators - Section D'!O$1:O$124,MATCH($A790,'Coverage Indicators - Section D'!$A$1:$A$124,0))&lt;&gt;"",FIXED(INDEX('Coverage Indicators - Section D'!O$1:O$124,MATCH($A790,'Coverage Indicators - Section D'!$A$1:$A$124,0))*100,2)&amp;"%",""),"")&amp;CHAR(10)&amp;IFERROR(IF(INDEX('Coverage Indicators - Section D'!P$1:P$124,MATCH($A790,'Coverage Indicators - Section D'!$A$1:$A$124,0))&lt;&gt;"",INDEX('Coverage Indicators - Section D'!P$1:P$124,MATCH($A790,'Coverage Indicators - Section D'!$A$1:$A$124,0)),""),"")</f>
        <v xml:space="preserve">14.03%
</v>
      </c>
      <c r="E803" s="90" t="str">
        <f>IFERROR(IF(INDEX('Coverage Indicators - Section D'!R$1:R$124,MATCH($A790,'Coverage Indicators - Section D'!$A$1:$A$124,0))&lt;&gt;"",FIXED(INDEX('Coverage Indicators - Section D'!R$1:R$124,MATCH($A790,'Coverage Indicators - Section D'!$A$1:$A$124,0))*100,2)&amp;"%",""),"")&amp;CHAR(10)&amp;IFERROR(IF(INDEX('Coverage Indicators - Section D'!S$1:S$124,MATCH($A790,'Coverage Indicators - Section D'!$A$1:$A$124,0))&lt;&gt;"",INDEX('Coverage Indicators - Section D'!S$1:S$124,MATCH($A790,'Coverage Indicators - Section D'!$A$1:$A$124,0)),""),"")</f>
        <v xml:space="preserve">14.03%
</v>
      </c>
      <c r="F803" s="90" t="str">
        <f>IFERROR(IF(INDEX('Coverage Indicators - Section D'!U$1:U$124,MATCH($A790,'Coverage Indicators - Section D'!$A$1:$A$124,0))&lt;&gt;"",FIXED(INDEX('Coverage Indicators - Section D'!U$1:U$124,MATCH($A790,'Coverage Indicators - Section D'!$A$1:$A$124,0))*100,2)&amp;"%",""),"")&amp;CHAR(10)&amp;IFERROR(IF(INDEX('Coverage Indicators - Section D'!V$1:V$124,MATCH($A790,'Coverage Indicators - Section D'!$A$1:$A$124,0))&lt;&gt;"",INDEX('Coverage Indicators - Section D'!V$1:V$124,MATCH($A790,'Coverage Indicators - Section D'!$A$1:$A$124,0)),""),"")</f>
        <v xml:space="preserve">19.34%
</v>
      </c>
      <c r="G803" s="90" t="str">
        <f>IFERROR(IF(INDEX('Coverage Indicators - Section D'!X$1:X$124,MATCH($A790,'Coverage Indicators - Section D'!$A$1:$A$124,0))&lt;&gt;"",FIXED(INDEX('Coverage Indicators - Section D'!X$1:X$124,MATCH($A790,'Coverage Indicators - Section D'!$A$1:$A$124,0))*100,2)&amp;"%",""),"")&amp;CHAR(10)&amp;IFERROR(IF(INDEX('Coverage Indicators - Section D'!Y$1:Y$124,MATCH($A790,'Coverage Indicators - Section D'!$A$1:$A$124,0))&lt;&gt;"",INDEX('Coverage Indicators - Section D'!Y$1:Y$124,MATCH($A790,'Coverage Indicators - Section D'!$A$1:$A$124,0)),""),"")</f>
        <v xml:space="preserve">19.34%
</v>
      </c>
      <c r="H803" s="90" t="str">
        <f>IFERROR(IF(INDEX('Coverage Indicators - Section D'!AA$1:AA$124,MATCH(A790,'Coverage Indicators - Section D'!$A$1:$A$124,0))&lt;&gt;"",FIXED(INDEX('Coverage Indicators - Section D'!AA$1:AA$124,MATCH($A790,'Coverage Indicators - Section D'!$A$1:$A$124,0))*100,2)&amp;"%",""),"")&amp;CHAR(10)&amp;IFERROR(IF(INDEX('Coverage Indicators - Section D'!AB$1:AB$124,MATCH($A790,'Coverage Indicators - Section D'!$A$1:$A$124,0))&lt;&gt;"",INDEX('Coverage Indicators - Section D'!AB$1:AB$124,MATCH($A790,'Coverage Indicators - Section D'!$A$1:$A$124,0)),""),"")</f>
        <v xml:space="preserve">25.50%
</v>
      </c>
      <c r="I803" s="90" t="str">
        <f>IFERROR(IF(INDEX('Coverage Indicators - Section D'!AD$1:AD$124,MATCH($A790,'Coverage Indicators - Section D'!$A$1:$A$124,0))&lt;&gt;"",FIXED(INDEX('Coverage Indicators - Section D'!AD$1:AD$124,MATCH($A790,'Coverage Indicators - Section D'!$A$1:$A$124,0))*100,2)&amp;"%",""),"")&amp;CHAR(10)&amp;IFERROR(IF(INDEX('Coverage Indicators - Section D'!AE$1:AE$124,MATCH($A790,'Coverage Indicators - Section D'!$A$1:$A$124,0))&lt;&gt;"",INDEX('Coverage Indicators - Section D'!AE$1:AE$124,MATCH($A790,'Coverage Indicators - Section D'!$A$1:$A$124,0)),""),"")</f>
        <v xml:space="preserve">25.50%
</v>
      </c>
      <c r="J803" s="90" t="str">
        <f>IFERROR(IF(INDEX('Coverage Indicators - Section D'!AG$1:AG$124,MATCH($A790,'Coverage Indicators - Section D'!$A$1:$A$124,0))&lt;&gt;"",FIXED(INDEX('Coverage Indicators - Section D'!AG$1:AG$124,MATCH($A790,'Coverage Indicators - Section D'!$A$1:$A$124,0))*100,2)&amp;"%",""),"")&amp;CHAR(10)&amp;IFERROR(IF(INDEX('Coverage Indicators - Section D'!AH$1:AH$124,MATCH($A790,'Coverage Indicators - Section D'!$A$1:$A$124,0))&lt;&gt;"",INDEX('Coverage Indicators - Section D'!AH$1:AH$124,MATCH($A790,'Coverage Indicators - Section D'!$A$1:$A$124,0)),""),"")</f>
        <v xml:space="preserve">
</v>
      </c>
      <c r="K803" s="90" t="str">
        <f>IFERROR(IF(INDEX('Coverage Indicators - Section D'!AJ$1:AJ$124,MATCH($A790,'Coverage Indicators - Section D'!$A$1:$A$124,0))&lt;&gt;"",FIXED(INDEX('Coverage Indicators - Section D'!AJ$1:AJ$124,MATCH($A790,'Coverage Indicators - Section D'!$A$1:$A$124,0))*100,2)&amp;"%",""),"")&amp;CHAR(10)&amp;IFERROR(IF(INDEX('Coverage Indicators - Section D'!AK$1:AK$124,MATCH($A790,'Coverage Indicators - Section D'!$A$1:$A$124,0))&lt;&gt;"",INDEX('Coverage Indicators - Section D'!AK$1:AK$124,MATCH($A790,'Coverage Indicators - Section D'!$A$1:$A$124,0)),""),"")</f>
        <v xml:space="preserve">
</v>
      </c>
      <c r="L803" s="82"/>
    </row>
    <row r="804" spans="1:12" ht="18.75" customHeight="1">
      <c r="A804" s="641"/>
      <c r="B804" s="625" t="s">
        <v>176</v>
      </c>
      <c r="C804" s="626"/>
      <c r="D804" s="626"/>
      <c r="E804" s="626"/>
      <c r="F804" s="626"/>
      <c r="G804" s="626"/>
      <c r="H804" s="626"/>
      <c r="I804" s="626"/>
      <c r="J804" s="626"/>
      <c r="K804" s="630"/>
      <c r="L804" s="82"/>
    </row>
    <row r="805" spans="1:12" ht="18.75" customHeight="1">
      <c r="A805" s="641"/>
      <c r="B805" s="634" t="str">
        <f>IFERROR(IF(INDEX('Coverage Indicators - Section D'!AL$1:AL$134,MATCH($A790,'Coverage Indicators - Section D'!$A$1:$A$134,0))&lt;&gt;0,INDEX('Coverage Indicators - Section D'!AL$1:AL$134,MATCH($A790,'Coverage Indicators - Section D'!$A$1:$A$134,0)),""),"")</f>
        <v>N: Number of HIV-exposed infants born in the last 12 months who had a virological test for HIV infection within 2 months of birth.
D: Number of HIV-infected pregnant women who gave birth in the last 12 months (indirect measure of the number of infants born to HIV-infected women).
The contribution of the GF is 6,759 in 2024; 8,695 in 2025 and 11,410 in 2026.</v>
      </c>
      <c r="C805" s="635"/>
      <c r="D805" s="635"/>
      <c r="E805" s="635"/>
      <c r="F805" s="635"/>
      <c r="G805" s="635"/>
      <c r="H805" s="635"/>
      <c r="I805" s="635"/>
      <c r="J805" s="635"/>
      <c r="K805" s="636"/>
      <c r="L805" s="82"/>
    </row>
    <row r="806" spans="1:12" ht="18.75" customHeight="1">
      <c r="A806" s="641"/>
      <c r="B806" s="643"/>
      <c r="C806" s="644"/>
      <c r="D806" s="644"/>
      <c r="E806" s="644"/>
      <c r="F806" s="644"/>
      <c r="G806" s="644"/>
      <c r="H806" s="644"/>
      <c r="I806" s="644"/>
      <c r="J806" s="644"/>
      <c r="K806" s="645"/>
      <c r="L806" s="82"/>
    </row>
    <row r="807" spans="1:12" ht="18.75" customHeight="1">
      <c r="A807" s="641"/>
      <c r="B807" s="643"/>
      <c r="C807" s="644"/>
      <c r="D807" s="644"/>
      <c r="E807" s="644"/>
      <c r="F807" s="644"/>
      <c r="G807" s="644"/>
      <c r="H807" s="644"/>
      <c r="I807" s="644"/>
      <c r="J807" s="644"/>
      <c r="K807" s="645"/>
      <c r="L807" s="82"/>
    </row>
    <row r="808" spans="1:12" ht="18.75" customHeight="1">
      <c r="A808" s="641"/>
      <c r="B808" s="643"/>
      <c r="C808" s="644"/>
      <c r="D808" s="644"/>
      <c r="E808" s="644"/>
      <c r="F808" s="644"/>
      <c r="G808" s="644"/>
      <c r="H808" s="644"/>
      <c r="I808" s="644"/>
      <c r="J808" s="644"/>
      <c r="K808" s="645"/>
      <c r="L808" s="82"/>
    </row>
    <row r="809" spans="1:12" ht="18.75" customHeight="1">
      <c r="A809" s="641"/>
      <c r="B809" s="643"/>
      <c r="C809" s="644"/>
      <c r="D809" s="644"/>
      <c r="E809" s="644"/>
      <c r="F809" s="644"/>
      <c r="G809" s="644"/>
      <c r="H809" s="644"/>
      <c r="I809" s="644"/>
      <c r="J809" s="644"/>
      <c r="K809" s="645"/>
      <c r="L809" s="82"/>
    </row>
    <row r="810" spans="1:12" ht="18.75" customHeight="1">
      <c r="A810" s="641"/>
      <c r="B810" s="643"/>
      <c r="C810" s="644"/>
      <c r="D810" s="644"/>
      <c r="E810" s="644"/>
      <c r="F810" s="644"/>
      <c r="G810" s="644"/>
      <c r="H810" s="644"/>
      <c r="I810" s="644"/>
      <c r="J810" s="644"/>
      <c r="K810" s="645"/>
      <c r="L810" s="82"/>
    </row>
    <row r="811" spans="1:12" ht="18.75" customHeight="1">
      <c r="A811" s="641"/>
      <c r="B811" s="643"/>
      <c r="C811" s="644"/>
      <c r="D811" s="644"/>
      <c r="E811" s="644"/>
      <c r="F811" s="644"/>
      <c r="G811" s="644"/>
      <c r="H811" s="644"/>
      <c r="I811" s="644"/>
      <c r="J811" s="644"/>
      <c r="K811" s="645"/>
      <c r="L811" s="82"/>
    </row>
    <row r="812" spans="1:12" ht="18.75" customHeight="1">
      <c r="A812" s="641"/>
      <c r="B812" s="643"/>
      <c r="C812" s="644"/>
      <c r="D812" s="644"/>
      <c r="E812" s="644"/>
      <c r="F812" s="644"/>
      <c r="G812" s="644"/>
      <c r="H812" s="644"/>
      <c r="I812" s="644"/>
      <c r="J812" s="644"/>
      <c r="K812" s="645"/>
      <c r="L812" s="82"/>
    </row>
    <row r="813" spans="1:12" ht="18.75" customHeight="1">
      <c r="A813" s="641"/>
      <c r="B813" s="643"/>
      <c r="C813" s="644"/>
      <c r="D813" s="644"/>
      <c r="E813" s="644"/>
      <c r="F813" s="644"/>
      <c r="G813" s="644"/>
      <c r="H813" s="644"/>
      <c r="I813" s="644"/>
      <c r="J813" s="644"/>
      <c r="K813" s="645"/>
      <c r="L813" s="82"/>
    </row>
    <row r="814" spans="1:12" ht="18.75" customHeight="1">
      <c r="A814" s="642"/>
      <c r="B814" s="637"/>
      <c r="C814" s="638"/>
      <c r="D814" s="638"/>
      <c r="E814" s="638"/>
      <c r="F814" s="638"/>
      <c r="G814" s="638"/>
      <c r="H814" s="638"/>
      <c r="I814" s="638"/>
      <c r="J814" s="638"/>
      <c r="K814" s="639"/>
      <c r="L814" s="82"/>
    </row>
    <row r="815" spans="1:12" ht="18.75" customHeight="1">
      <c r="A815" s="625"/>
      <c r="B815" s="626"/>
      <c r="C815" s="626"/>
      <c r="D815" s="626"/>
      <c r="E815" s="626"/>
      <c r="F815" s="626"/>
      <c r="G815" s="626"/>
      <c r="H815" s="626"/>
      <c r="I815" s="626"/>
      <c r="J815" s="626"/>
      <c r="K815" s="630"/>
      <c r="L815" s="82"/>
    </row>
    <row r="817" spans="1:12" ht="18.75" customHeight="1">
      <c r="A817" s="89" t="s">
        <v>5051</v>
      </c>
      <c r="B817" s="625" t="s">
        <v>1077</v>
      </c>
      <c r="C817" s="630"/>
      <c r="D817" s="631" t="str">
        <f ca="1">IFERROR(IF(INDEX('Coverage Indicators - Section D'!B$1:B$124,MATCH($A818,'Coverage Indicators - Section D'!$A$1:$A$124,0))&lt;&gt;0,INDEX('Coverage Indicators - Section D'!B$1:B$124,MATCH($A818,'Coverage Indicators - Section D'!$A$1:$A$124,0)),""),"")</f>
        <v>Elimination of vertical transmission of HIV, syphilis and hepatitis B</v>
      </c>
      <c r="E817" s="632"/>
      <c r="F817" s="632"/>
      <c r="G817" s="632"/>
      <c r="H817" s="632"/>
      <c r="I817" s="632"/>
      <c r="J817" s="632"/>
      <c r="K817" s="633"/>
      <c r="L817" s="82"/>
    </row>
    <row r="818" spans="1:12" ht="18.75" customHeight="1">
      <c r="A818" s="640">
        <v>30</v>
      </c>
      <c r="B818" s="625" t="s">
        <v>765</v>
      </c>
      <c r="C818" s="626"/>
      <c r="D818" s="626"/>
      <c r="E818" s="626"/>
      <c r="F818" s="630"/>
      <c r="G818" s="625" t="s">
        <v>766</v>
      </c>
      <c r="H818" s="626"/>
      <c r="I818" s="626"/>
      <c r="J818" s="626"/>
      <c r="K818" s="630"/>
      <c r="L818" s="82"/>
    </row>
    <row r="819" spans="1:12" ht="18.75" customHeight="1">
      <c r="A819" s="641"/>
      <c r="B819" s="634" t="str">
        <f>IFERROR(IF(INDEX('Coverage Indicators - Section D'!C$1:C$124,MATCH($A818,'Coverage Indicators - Section D'!$A$1:$A$124,0))&lt;&gt;0,INDEX('Coverage Indicators - Section D'!C$1:C$124,MATCH($A818,'Coverage Indicators - Section D'!$A$1:$A$124,0)),""),"")</f>
        <v>VT-3 Percentage of women accessing antenatal care services who were tested for syphilis</v>
      </c>
      <c r="C819" s="635"/>
      <c r="D819" s="635"/>
      <c r="E819" s="635"/>
      <c r="F819" s="636"/>
      <c r="G819" s="634" t="str">
        <f>IFERROR(IF(INDEX('Coverage Indicators - Section D'!D$1:D$124,MATCH($A818,'Coverage Indicators - Section D'!$A$1:$A$124,0))&lt;&gt;0,INDEX('Coverage Indicators - Section D'!D$1:D$124,MATCH($A818,'Coverage Indicators - Section D'!$A$1:$A$124,0)),""),"")</f>
        <v/>
      </c>
      <c r="H819" s="635"/>
      <c r="I819" s="635"/>
      <c r="J819" s="635"/>
      <c r="K819" s="636"/>
      <c r="L819" s="82"/>
    </row>
    <row r="820" spans="1:12" ht="18.75" customHeight="1">
      <c r="A820" s="641"/>
      <c r="B820" s="643"/>
      <c r="C820" s="644"/>
      <c r="D820" s="644"/>
      <c r="E820" s="644"/>
      <c r="F820" s="645"/>
      <c r="G820" s="643"/>
      <c r="H820" s="644"/>
      <c r="I820" s="644"/>
      <c r="J820" s="644"/>
      <c r="K820" s="645"/>
      <c r="L820" s="82"/>
    </row>
    <row r="821" spans="1:12" ht="18.75" customHeight="1">
      <c r="A821" s="641"/>
      <c r="B821" s="637"/>
      <c r="C821" s="638"/>
      <c r="D821" s="638"/>
      <c r="E821" s="638"/>
      <c r="F821" s="639"/>
      <c r="G821" s="637"/>
      <c r="H821" s="638"/>
      <c r="I821" s="638"/>
      <c r="J821" s="638"/>
      <c r="K821" s="639"/>
      <c r="L821" s="82"/>
    </row>
    <row r="822" spans="1:12" ht="18.75" customHeight="1">
      <c r="A822" s="641"/>
      <c r="B822" s="625" t="s">
        <v>769</v>
      </c>
      <c r="C822" s="626"/>
      <c r="D822" s="630"/>
      <c r="E822" s="625" t="s">
        <v>216</v>
      </c>
      <c r="F822" s="626"/>
      <c r="G822" s="630"/>
      <c r="H822" s="625" t="s">
        <v>127</v>
      </c>
      <c r="I822" s="626"/>
      <c r="J822" s="630"/>
      <c r="K822" s="89" t="s">
        <v>2204</v>
      </c>
      <c r="L822" s="82"/>
    </row>
    <row r="823" spans="1:12" ht="18.75" customHeight="1">
      <c r="A823" s="641"/>
      <c r="B823" s="631" t="str">
        <f>IFERROR(IF(INDEX('Coverage Indicators - Section D'!I$9:I$92,MATCH($A818,'Coverage Indicators - Section D'!$A$9:$A$92,0))&lt;&gt;0,INDEX('Coverage Indicators - Section D'!I$9:I$92,MATCH($A818,'Coverage Indicators - Section D'!$A$9:$A$92,0)),""),"")</f>
        <v/>
      </c>
      <c r="C823" s="632"/>
      <c r="D823" s="633"/>
      <c r="E823" s="631" t="str">
        <f>IFERROR(IF(INDEX('Coverage Indicators - Section D'!M$1:M$124,MATCH($A818,'Coverage Indicators - Section D'!$A$1:$A$124,0))&lt;&gt;0,INDEX('Coverage Indicators - Section D'!M$1:M$124,MATCH($A818,'Coverage Indicators - Section D'!$A$1:$A$124,0)),""),"")</f>
        <v>Non cumulative</v>
      </c>
      <c r="F823" s="632"/>
      <c r="G823" s="633"/>
      <c r="H823" s="631" t="str">
        <f>IFERROR(IF(INDEX('Coverage Indicators - Section D'!L$1:L$124,MATCH($A818,'Coverage Indicators - Section D'!$A$1:$A$124,0))&lt;&gt;0,INDEX('Coverage Indicators - Section D'!L$1:L$124,MATCH($A818,'Coverage Indicators - Section D'!$A$1:$A$124,0)),""),"")</f>
        <v>Congo (Democratic Republic)</v>
      </c>
      <c r="I823" s="632"/>
      <c r="J823" s="633"/>
      <c r="K823" s="90" t="str">
        <f>IFERROR(IF(INDEX('Coverage Indicators - Section D'!J$1:J$124,MATCH($A818,'Coverage Indicators - Section D'!$A$1:$A$124,0))&lt;&gt;0,INDEX('Coverage Indicators - Section D'!J$1:J$124,MATCH($A818,'Coverage Indicators - Section D'!$A$1:$A$124,0)),""),"")</f>
        <v>Yes</v>
      </c>
      <c r="L823" s="82"/>
    </row>
    <row r="824" spans="1:12" ht="18.75" customHeight="1">
      <c r="A824" s="641"/>
      <c r="B824" s="625" t="s">
        <v>199</v>
      </c>
      <c r="C824" s="626"/>
      <c r="D824" s="630"/>
      <c r="E824" s="625" t="s">
        <v>5060</v>
      </c>
      <c r="F824" s="626"/>
      <c r="G824" s="630"/>
      <c r="H824" s="625" t="s">
        <v>120</v>
      </c>
      <c r="I824" s="626"/>
      <c r="J824" s="626"/>
      <c r="K824" s="630"/>
      <c r="L824" s="82"/>
    </row>
    <row r="825" spans="1:12" ht="18.75" customHeight="1">
      <c r="A825" s="641"/>
      <c r="B825" s="634" t="str">
        <f>IFERROR(IF(INDEX('Coverage Indicators - Section D'!H$1:H$124,MATCH($A818,'Coverage Indicators - Section D'!$A$1:$A$124,0))&lt;&gt;0,INDEX('Coverage Indicators - Section D'!H$1:H$124,MATCH($A818,'Coverage Indicators - Section D'!$A$1:$A$124,0)),""),"")</f>
        <v>HIV program annual report</v>
      </c>
      <c r="C825" s="635"/>
      <c r="D825" s="636"/>
      <c r="E825" s="634" t="str">
        <f>IFERROR(IF(INDEX('Coverage Indicators - Section D'!L$1:L$124,MATCH($A818,'Coverage Indicators - Section D'!$A$1:$A$124,0)+1)&lt;&gt;0,INDEX('Coverage Indicators - Section D'!L$1:L$124,MATCH($A818,'Coverage Indicators - Section D'!$A$1:$A$124,0)+1),""),"")</f>
        <v>Geographic National, 100% of national program target</v>
      </c>
      <c r="F825" s="635"/>
      <c r="G825" s="636"/>
      <c r="H825" s="634" t="str">
        <f ca="1">IFERROR(IF(AND('Overview - Section A'!AS$1="Grant Making",OR(B819&lt;&gt;"",G819&lt;&gt;"")),Setup!I15,IF(INDEX('Coverage Indicators - Section D'!K$1:K$124,MATCH($A818,'Coverage Indicators - Section D'!$A$1:$A$124,0))&lt;&gt;0,INDEX('Coverage Indicators - Section D'!K$1:K$124,MATCH($A818,'Coverage Indicators - Section D'!$A$1:$A$124,0)),"")),"")</f>
        <v>Ministry of Public Health, Hygiene and Prevention</v>
      </c>
      <c r="I825" s="635"/>
      <c r="J825" s="635"/>
      <c r="K825" s="636"/>
      <c r="L825" s="82"/>
    </row>
    <row r="826" spans="1:12" ht="18.75" customHeight="1">
      <c r="A826" s="641"/>
      <c r="B826" s="637"/>
      <c r="C826" s="638"/>
      <c r="D826" s="639"/>
      <c r="E826" s="637"/>
      <c r="F826" s="638"/>
      <c r="G826" s="639"/>
      <c r="H826" s="637"/>
      <c r="I826" s="638"/>
      <c r="J826" s="638"/>
      <c r="K826" s="639"/>
      <c r="L826" s="82"/>
    </row>
    <row r="827" spans="1:12" ht="18.75" customHeight="1">
      <c r="A827" s="641"/>
      <c r="B827" s="89"/>
      <c r="C827" s="89" t="s">
        <v>5052</v>
      </c>
      <c r="D827" s="625" t="s">
        <v>5053</v>
      </c>
      <c r="E827" s="626"/>
      <c r="F827" s="626"/>
      <c r="G827" s="626"/>
      <c r="H827" s="626"/>
      <c r="I827" s="626"/>
      <c r="J827" s="626"/>
      <c r="K827" s="630"/>
      <c r="L827" s="82"/>
    </row>
    <row r="828" spans="1:12" ht="18.75" customHeight="1">
      <c r="A828" s="641"/>
      <c r="B828" s="89" t="s">
        <v>2589</v>
      </c>
      <c r="C828" s="90">
        <f>IFERROR(IF(INDEX('Coverage Indicators - Section D'!G$1:G$124,MATCH($A818,'Coverage Indicators - Section D'!$A$1:$A$124,0))&lt;&gt;0,INDEX('Coverage Indicators - Section D'!G$1:G$124,MATCH($A818,'Coverage Indicators - Section D'!$A$1:$A$124,0)),""),"")</f>
        <v>2021</v>
      </c>
      <c r="D828" s="89"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E828" s="89"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F828" s="89"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G828" s="89"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H828" s="89"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I828" s="89"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J828" s="89"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K828" s="89"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L828" s="82"/>
    </row>
    <row r="829" spans="1:12" s="93" customFormat="1" ht="18.75" customHeight="1">
      <c r="A829" s="641"/>
      <c r="B829" s="89" t="s">
        <v>5054</v>
      </c>
      <c r="C829" s="91">
        <f>IFERROR(IF(INDEX('Coverage Indicators - Section D'!E$1:E$124,MATCH($A818,'Coverage Indicators - Section D'!$A$1:$A$124,0))&lt;&gt;"",INDEX('Coverage Indicators - Section D'!E$1:E$124,MATCH($A818,'Coverage Indicators - Section D'!$A$1:$A$124,0)),""),"")</f>
        <v>440439</v>
      </c>
      <c r="D829" s="91">
        <f ca="1">IFERROR(IF(INDEX('Coverage Indicators - Section D'!N$1:N$124,MATCH($A818,'Coverage Indicators - Section D'!$A$1:$A$124,0))&lt;&gt;"",INDEX('Coverage Indicators - Section D'!N$1:N$124,MATCH($A818,'Coverage Indicators - Section D'!$A$1:$A$124,0)),""),"")</f>
        <v>1624495</v>
      </c>
      <c r="E829" s="91">
        <f ca="1">IFERROR(IF(INDEX('Coverage Indicators - Section D'!Q$1:Q$124,MATCH($A818,'Coverage Indicators - Section D'!$A$1:$A$124,0))&lt;&gt;"",INDEX('Coverage Indicators - Section D'!Q$1:Q$124,MATCH($A818,'Coverage Indicators - Section D'!$A$1:$A$124,0)),""),"")</f>
        <v>1624495</v>
      </c>
      <c r="F829" s="91">
        <f ca="1">IFERROR(IF(INDEX('Coverage Indicators - Section D'!T$1:T$124,MATCH($A818,'Coverage Indicators - Section D'!$A$1:$A$124,0))&lt;&gt;"",INDEX('Coverage Indicators - Section D'!T$1:T$124,MATCH($A818,'Coverage Indicators - Section D'!$A$1:$A$124,0)),""),"")</f>
        <v>1794776</v>
      </c>
      <c r="G829" s="91">
        <f ca="1">IFERROR(IF(INDEX('Coverage Indicators - Section D'!W$1:W$124,MATCH($A818,'Coverage Indicators - Section D'!$A$1:$A$124,0))&lt;&gt;"",INDEX('Coverage Indicators - Section D'!W$1:W$124,MATCH($A818,'Coverage Indicators - Section D'!$A$1:$A$124,0)),""),"")</f>
        <v>1794776</v>
      </c>
      <c r="H829" s="91">
        <f ca="1">IFERROR(IF(INDEX('Coverage Indicators - Section D'!Z$1:Z$124,MATCH($A818,'Coverage Indicators - Section D'!$A$1:$A$124,0))&lt;&gt;"",INDEX('Coverage Indicators - Section D'!Z$1:Z$124,MATCH($A818,'Coverage Indicators - Section D'!$A$1:$A$124,0)),""),"")</f>
        <v>1975830.5</v>
      </c>
      <c r="I829" s="91">
        <f ca="1">IFERROR(IF(INDEX('Coverage Indicators - Section D'!AC$1:AC$124,MATCH($A818,'Coverage Indicators - Section D'!$A$1:$A$124,0))&lt;&gt;"",INDEX('Coverage Indicators - Section D'!AC$1:AC$124,MATCH($A818,'Coverage Indicators - Section D'!$A$1:$A$124,0)),""),"")</f>
        <v>1975830.5</v>
      </c>
      <c r="J829" s="91" t="str">
        <f ca="1">IFERROR(IF(INDEX('Coverage Indicators - Section D'!AF$1:AF$124,MATCH($A818,'Coverage Indicators - Section D'!$A$1:$A$124,0))&lt;&gt;"",INDEX('Coverage Indicators - Section D'!AF$1:AF$124,MATCH($A818,'Coverage Indicators - Section D'!$A$1:$A$124,0)),""),"")</f>
        <v/>
      </c>
      <c r="K829" s="91" t="str">
        <f ca="1">IFERROR(IF(INDEX('Coverage Indicators - Section D'!AI$1:AI$124,MATCH($A818,'Coverage Indicators - Section D'!$A$1:$A$124,0))&lt;&gt;"",INDEX('Coverage Indicators - Section D'!AI$1:AI$124,MATCH($A818,'Coverage Indicators - Section D'!$A$1:$A$124,0)),""),"")</f>
        <v/>
      </c>
      <c r="L829" s="92"/>
    </row>
    <row r="830" spans="1:12" s="96" customFormat="1" ht="18.75" customHeight="1">
      <c r="A830" s="641"/>
      <c r="B830" s="89" t="s">
        <v>5055</v>
      </c>
      <c r="C830" s="94">
        <f>IFERROR(IF(INDEX('Coverage Indicators - Section D'!E$1:E$124,MATCH($A818,'Coverage Indicators - Section D'!$A$1:$A$124,0)+1)&lt;&gt;"",INDEX('Coverage Indicators - Section D'!E$1:E$124,MATCH($A818,'Coverage Indicators - Section D'!$A$1:$A$124,0)+1),""),"")</f>
        <v>4273264</v>
      </c>
      <c r="D830" s="94">
        <f ca="1">IFERROR(IF(INDEX('Coverage Indicators - Section D'!N$1:N$124,MATCH($A818,'Coverage Indicators - Section D'!$A$1:$A$124,0)+1)&lt;&gt;"",INDEX('Coverage Indicators - Section D'!N$1:N$124,MATCH($A818,'Coverage Indicators - Section D'!$A$1:$A$124,0)+1),""),"")</f>
        <v>4061237</v>
      </c>
      <c r="E830" s="94">
        <f ca="1">IFERROR(IF(INDEX('Coverage Indicators - Section D'!Q$1:Q$124,MATCH($A818,'Coverage Indicators - Section D'!$A$1:$A$124,0)+1)&lt;&gt;"",INDEX('Coverage Indicators - Section D'!Q$1:Q$124,MATCH($A818,'Coverage Indicators - Section D'!$A$1:$A$124,0)+1),""),"")</f>
        <v>4061237</v>
      </c>
      <c r="F830" s="94">
        <f ca="1">IFERROR(IF(INDEX('Coverage Indicators - Section D'!T$1:T$124,MATCH($A818,'Coverage Indicators - Section D'!$A$1:$A$124,0)+1)&lt;&gt;"",INDEX('Coverage Indicators - Section D'!T$1:T$124,MATCH($A818,'Coverage Indicators - Section D'!$A$1:$A$124,0)+1),""),"")</f>
        <v>4223002</v>
      </c>
      <c r="G830" s="94">
        <f ca="1">IFERROR(IF(INDEX('Coverage Indicators - Section D'!W$1:W$124,MATCH($A818,'Coverage Indicators - Section D'!$A$1:$A$124,0)+1)&lt;&gt;"",INDEX('Coverage Indicators - Section D'!W$1:W$124,MATCH($A818,'Coverage Indicators - Section D'!$A$1:$A$124,0)+1),""),"")</f>
        <v>4223002</v>
      </c>
      <c r="H830" s="94">
        <f ca="1">IFERROR(IF(INDEX('Coverage Indicators - Section D'!Z$1:Z$124,MATCH($A818,'Coverage Indicators - Section D'!$A$1:$A$124,0)+1)&lt;&gt;"",INDEX('Coverage Indicators - Section D'!Z$1:Z$124,MATCH($A818,'Coverage Indicators - Section D'!$A$1:$A$124,0)+1),""),"")</f>
        <v>4390735</v>
      </c>
      <c r="I830" s="94">
        <f ca="1">IFERROR(IF(INDEX('Coverage Indicators - Section D'!AC$1:AC$124,MATCH($A818,'Coverage Indicators - Section D'!$A$1:$A$124,0)+1)&lt;&gt;"",INDEX('Coverage Indicators - Section D'!AC$1:AC$124,MATCH($A818,'Coverage Indicators - Section D'!$A$1:$A$124,0)+1),""),"")</f>
        <v>4390735</v>
      </c>
      <c r="J830" s="94" t="str">
        <f ca="1">IFERROR(IF(INDEX('Coverage Indicators - Section D'!AF$1:AF$124,MATCH($A818,'Coverage Indicators - Section D'!$A$1:$A$124,0)+1)&lt;&gt;"",INDEX('Coverage Indicators - Section D'!AF$1:AF$124,MATCH($A818,'Coverage Indicators - Section D'!$A$1:$A$124,0)+1),""),"")</f>
        <v/>
      </c>
      <c r="K830" s="94" t="str">
        <f ca="1">IFERROR(IF(INDEX('Coverage Indicators - Section D'!AI$1:AI$124,MATCH($A818,'Coverage Indicators - Section D'!$A$1:$A$124,0)+1)&lt;&gt;"",INDEX('Coverage Indicators - Section D'!AI$1:AI$124,MATCH($A818,'Coverage Indicators - Section D'!$A$1:$A$124,0)+1),""),"")</f>
        <v/>
      </c>
      <c r="L830" s="95"/>
    </row>
    <row r="831" spans="1:12" ht="18.75" customHeight="1">
      <c r="A831" s="641"/>
      <c r="B831" s="89" t="s">
        <v>5056</v>
      </c>
      <c r="C831" s="90" t="str">
        <f ca="1">IFERROR(IF(INDEX('Coverage Indicators - Section D'!F$1:F$124,MATCH($A818,'Coverage Indicators - Section D'!$A$1:$A$124,0))&lt;&gt;"",FIXED(INDEX('Coverage Indicators - Section D'!F$1:F$124,MATCH($A818,'Coverage Indicators - Section D'!$A$1:$A$124,0))*100,2)&amp;"%",""),"")</f>
        <v>10.31%</v>
      </c>
      <c r="D831" s="90" t="str">
        <f>IFERROR(IF(INDEX('Coverage Indicators - Section D'!O$1:O$124,MATCH($A818,'Coverage Indicators - Section D'!$A$1:$A$124,0))&lt;&gt;"",FIXED(INDEX('Coverage Indicators - Section D'!O$1:O$124,MATCH($A818,'Coverage Indicators - Section D'!$A$1:$A$124,0))*100,2)&amp;"%",""),"")&amp;CHAR(10)&amp;IFERROR(IF(INDEX('Coverage Indicators - Section D'!P$1:P$124,MATCH($A818,'Coverage Indicators - Section D'!$A$1:$A$124,0))&lt;&gt;"",INDEX('Coverage Indicators - Section D'!P$1:P$124,MATCH($A818,'Coverage Indicators - Section D'!$A$1:$A$124,0)),""),"")</f>
        <v xml:space="preserve">40.00%
</v>
      </c>
      <c r="E831" s="90" t="str">
        <f>IFERROR(IF(INDEX('Coverage Indicators - Section D'!R$1:R$124,MATCH($A818,'Coverage Indicators - Section D'!$A$1:$A$124,0))&lt;&gt;"",FIXED(INDEX('Coverage Indicators - Section D'!R$1:R$124,MATCH($A818,'Coverage Indicators - Section D'!$A$1:$A$124,0))*100,2)&amp;"%",""),"")&amp;CHAR(10)&amp;IFERROR(IF(INDEX('Coverage Indicators - Section D'!S$1:S$124,MATCH($A818,'Coverage Indicators - Section D'!$A$1:$A$124,0))&lt;&gt;"",INDEX('Coverage Indicators - Section D'!S$1:S$124,MATCH($A818,'Coverage Indicators - Section D'!$A$1:$A$124,0)),""),"")</f>
        <v xml:space="preserve">40.00%
</v>
      </c>
      <c r="F831" s="90" t="str">
        <f>IFERROR(IF(INDEX('Coverage Indicators - Section D'!U$1:U$124,MATCH($A818,'Coverage Indicators - Section D'!$A$1:$A$124,0))&lt;&gt;"",FIXED(INDEX('Coverage Indicators - Section D'!U$1:U$124,MATCH($A818,'Coverage Indicators - Section D'!$A$1:$A$124,0))*100,2)&amp;"%",""),"")&amp;CHAR(10)&amp;IFERROR(IF(INDEX('Coverage Indicators - Section D'!V$1:V$124,MATCH($A818,'Coverage Indicators - Section D'!$A$1:$A$124,0))&lt;&gt;"",INDEX('Coverage Indicators - Section D'!V$1:V$124,MATCH($A818,'Coverage Indicators - Section D'!$A$1:$A$124,0)),""),"")</f>
        <v xml:space="preserve">42.50%
</v>
      </c>
      <c r="G831" s="90" t="str">
        <f>IFERROR(IF(INDEX('Coverage Indicators - Section D'!X$1:X$124,MATCH($A818,'Coverage Indicators - Section D'!$A$1:$A$124,0))&lt;&gt;"",FIXED(INDEX('Coverage Indicators - Section D'!X$1:X$124,MATCH($A818,'Coverage Indicators - Section D'!$A$1:$A$124,0))*100,2)&amp;"%",""),"")&amp;CHAR(10)&amp;IFERROR(IF(INDEX('Coverage Indicators - Section D'!Y$1:Y$124,MATCH($A818,'Coverage Indicators - Section D'!$A$1:$A$124,0))&lt;&gt;"",INDEX('Coverage Indicators - Section D'!Y$1:Y$124,MATCH($A818,'Coverage Indicators - Section D'!$A$1:$A$124,0)),""),"")</f>
        <v xml:space="preserve">42.50%
</v>
      </c>
      <c r="H831" s="90" t="str">
        <f>IFERROR(IF(INDEX('Coverage Indicators - Section D'!AA$1:AA$124,MATCH(A818,'Coverage Indicators - Section D'!$A$1:$A$124,0))&lt;&gt;"",FIXED(INDEX('Coverage Indicators - Section D'!AA$1:AA$124,MATCH($A818,'Coverage Indicators - Section D'!$A$1:$A$124,0))*100,2)&amp;"%",""),"")&amp;CHAR(10)&amp;IFERROR(IF(INDEX('Coverage Indicators - Section D'!AB$1:AB$124,MATCH($A818,'Coverage Indicators - Section D'!$A$1:$A$124,0))&lt;&gt;"",INDEX('Coverage Indicators - Section D'!AB$1:AB$124,MATCH($A818,'Coverage Indicators - Section D'!$A$1:$A$124,0)),""),"")</f>
        <v xml:space="preserve">45.00%
</v>
      </c>
      <c r="I831" s="90" t="str">
        <f>IFERROR(IF(INDEX('Coverage Indicators - Section D'!AD$1:AD$124,MATCH($A818,'Coverage Indicators - Section D'!$A$1:$A$124,0))&lt;&gt;"",FIXED(INDEX('Coverage Indicators - Section D'!AD$1:AD$124,MATCH($A818,'Coverage Indicators - Section D'!$A$1:$A$124,0))*100,2)&amp;"%",""),"")&amp;CHAR(10)&amp;IFERROR(IF(INDEX('Coverage Indicators - Section D'!AE$1:AE$124,MATCH($A818,'Coverage Indicators - Section D'!$A$1:$A$124,0))&lt;&gt;"",INDEX('Coverage Indicators - Section D'!AE$1:AE$124,MATCH($A818,'Coverage Indicators - Section D'!$A$1:$A$124,0)),""),"")</f>
        <v xml:space="preserve">45.00%
</v>
      </c>
      <c r="J831" s="90" t="str">
        <f>IFERROR(IF(INDEX('Coverage Indicators - Section D'!AG$1:AG$124,MATCH($A818,'Coverage Indicators - Section D'!$A$1:$A$124,0))&lt;&gt;"",FIXED(INDEX('Coverage Indicators - Section D'!AG$1:AG$124,MATCH($A818,'Coverage Indicators - Section D'!$A$1:$A$124,0))*100,2)&amp;"%",""),"")&amp;CHAR(10)&amp;IFERROR(IF(INDEX('Coverage Indicators - Section D'!AH$1:AH$124,MATCH($A818,'Coverage Indicators - Section D'!$A$1:$A$124,0))&lt;&gt;"",INDEX('Coverage Indicators - Section D'!AH$1:AH$124,MATCH($A818,'Coverage Indicators - Section D'!$A$1:$A$124,0)),""),"")</f>
        <v xml:space="preserve">
</v>
      </c>
      <c r="K831" s="90" t="str">
        <f>IFERROR(IF(INDEX('Coverage Indicators - Section D'!AJ$1:AJ$124,MATCH($A818,'Coverage Indicators - Section D'!$A$1:$A$124,0))&lt;&gt;"",FIXED(INDEX('Coverage Indicators - Section D'!AJ$1:AJ$124,MATCH($A818,'Coverage Indicators - Section D'!$A$1:$A$124,0))*100,2)&amp;"%",""),"")&amp;CHAR(10)&amp;IFERROR(IF(INDEX('Coverage Indicators - Section D'!AK$1:AK$124,MATCH($A818,'Coverage Indicators - Section D'!$A$1:$A$124,0))&lt;&gt;"",INDEX('Coverage Indicators - Section D'!AK$1:AK$124,MATCH($A818,'Coverage Indicators - Section D'!$A$1:$A$124,0)),""),"")</f>
        <v xml:space="preserve">
</v>
      </c>
      <c r="L831" s="82"/>
    </row>
    <row r="832" spans="1:12" ht="18.75" customHeight="1">
      <c r="A832" s="641"/>
      <c r="B832" s="625" t="s">
        <v>176</v>
      </c>
      <c r="C832" s="626"/>
      <c r="D832" s="626"/>
      <c r="E832" s="626"/>
      <c r="F832" s="626"/>
      <c r="G832" s="626"/>
      <c r="H832" s="626"/>
      <c r="I832" s="626"/>
      <c r="J832" s="626"/>
      <c r="K832" s="630"/>
      <c r="L832" s="82"/>
    </row>
    <row r="833" spans="1:12" ht="18.75" customHeight="1">
      <c r="A833" s="641"/>
      <c r="B833" s="634" t="str">
        <f>IFERROR(IF(INDEX('Coverage Indicators - Section D'!AL$1:AL$134,MATCH($A818,'Coverage Indicators - Section D'!$A$1:$A$134,0))&lt;&gt;0,INDEX('Coverage Indicators - Section D'!AL$1:AL$134,MATCH($A818,'Coverage Indicators - Section D'!$A$1:$A$134,0)),""),"")</f>
        <v>The increase in TB coverage (or detection rate) has evolved on average by 4% between 2015 and 2021. The 2022 data being validated The country has implemented in the NSP an increase in coverage of 4% in 2023 and 2024, and 6% in 2025 and 2026 which will be achieved through the following strategies: 1) decentralization and provision of integrated and person-centered TB services; 2) optimization of the use of molecular diagnostic tools, expanding specimen transport with accurate mapping at the SLA level; 3) an efficient diagnostic network 4) expansion of the quality approach 5) implementation of active screening in key and vulnerable populations using digital radiography with CAD or not. The coverage rate planned in the NSP is 80% in 2024, 86% in 2025 and 92% in 2026. The country expects to reach 90% of the NSP target with the grant. Thus, the expected number of TB cases is 258,638 in 2024, 284,558 in 2025 and 311,540 in 2026.
This is an equity indicator.</v>
      </c>
      <c r="C833" s="635"/>
      <c r="D833" s="635"/>
      <c r="E833" s="635"/>
      <c r="F833" s="635"/>
      <c r="G833" s="635"/>
      <c r="H833" s="635"/>
      <c r="I833" s="635"/>
      <c r="J833" s="635"/>
      <c r="K833" s="636"/>
      <c r="L833" s="82"/>
    </row>
    <row r="834" spans="1:12" ht="18.75" customHeight="1">
      <c r="A834" s="641"/>
      <c r="B834" s="643"/>
      <c r="C834" s="644"/>
      <c r="D834" s="644"/>
      <c r="E834" s="644"/>
      <c r="F834" s="644"/>
      <c r="G834" s="644"/>
      <c r="H834" s="644"/>
      <c r="I834" s="644"/>
      <c r="J834" s="644"/>
      <c r="K834" s="645"/>
      <c r="L834" s="82"/>
    </row>
    <row r="835" spans="1:12" ht="18.75" customHeight="1">
      <c r="A835" s="641"/>
      <c r="B835" s="643"/>
      <c r="C835" s="644"/>
      <c r="D835" s="644"/>
      <c r="E835" s="644"/>
      <c r="F835" s="644"/>
      <c r="G835" s="644"/>
      <c r="H835" s="644"/>
      <c r="I835" s="644"/>
      <c r="J835" s="644"/>
      <c r="K835" s="645"/>
      <c r="L835" s="82"/>
    </row>
    <row r="836" spans="1:12" ht="18.75" customHeight="1">
      <c r="A836" s="641"/>
      <c r="B836" s="643"/>
      <c r="C836" s="644"/>
      <c r="D836" s="644"/>
      <c r="E836" s="644"/>
      <c r="F836" s="644"/>
      <c r="G836" s="644"/>
      <c r="H836" s="644"/>
      <c r="I836" s="644"/>
      <c r="J836" s="644"/>
      <c r="K836" s="645"/>
      <c r="L836" s="82"/>
    </row>
    <row r="837" spans="1:12" ht="18.75" customHeight="1">
      <c r="A837" s="641"/>
      <c r="B837" s="643"/>
      <c r="C837" s="644"/>
      <c r="D837" s="644"/>
      <c r="E837" s="644"/>
      <c r="F837" s="644"/>
      <c r="G837" s="644"/>
      <c r="H837" s="644"/>
      <c r="I837" s="644"/>
      <c r="J837" s="644"/>
      <c r="K837" s="645"/>
      <c r="L837" s="82"/>
    </row>
    <row r="838" spans="1:12" ht="18.75" customHeight="1">
      <c r="A838" s="641"/>
      <c r="B838" s="643"/>
      <c r="C838" s="644"/>
      <c r="D838" s="644"/>
      <c r="E838" s="644"/>
      <c r="F838" s="644"/>
      <c r="G838" s="644"/>
      <c r="H838" s="644"/>
      <c r="I838" s="644"/>
      <c r="J838" s="644"/>
      <c r="K838" s="645"/>
      <c r="L838" s="82"/>
    </row>
    <row r="839" spans="1:12" ht="18.75" customHeight="1">
      <c r="A839" s="641"/>
      <c r="B839" s="643"/>
      <c r="C839" s="644"/>
      <c r="D839" s="644"/>
      <c r="E839" s="644"/>
      <c r="F839" s="644"/>
      <c r="G839" s="644"/>
      <c r="H839" s="644"/>
      <c r="I839" s="644"/>
      <c r="J839" s="644"/>
      <c r="K839" s="645"/>
      <c r="L839" s="82"/>
    </row>
    <row r="840" spans="1:12" ht="18.75" customHeight="1">
      <c r="A840" s="641"/>
      <c r="B840" s="643"/>
      <c r="C840" s="644"/>
      <c r="D840" s="644"/>
      <c r="E840" s="644"/>
      <c r="F840" s="644"/>
      <c r="G840" s="644"/>
      <c r="H840" s="644"/>
      <c r="I840" s="644"/>
      <c r="J840" s="644"/>
      <c r="K840" s="645"/>
      <c r="L840" s="82"/>
    </row>
    <row r="841" spans="1:12" ht="18.75" customHeight="1">
      <c r="A841" s="641"/>
      <c r="B841" s="643"/>
      <c r="C841" s="644"/>
      <c r="D841" s="644"/>
      <c r="E841" s="644"/>
      <c r="F841" s="644"/>
      <c r="G841" s="644"/>
      <c r="H841" s="644"/>
      <c r="I841" s="644"/>
      <c r="J841" s="644"/>
      <c r="K841" s="645"/>
      <c r="L841" s="82"/>
    </row>
    <row r="842" spans="1:12" ht="18.75" customHeight="1">
      <c r="A842" s="642"/>
      <c r="B842" s="637"/>
      <c r="C842" s="638"/>
      <c r="D842" s="638"/>
      <c r="E842" s="638"/>
      <c r="F842" s="638"/>
      <c r="G842" s="638"/>
      <c r="H842" s="638"/>
      <c r="I842" s="638"/>
      <c r="J842" s="638"/>
      <c r="K842" s="639"/>
      <c r="L842" s="82"/>
    </row>
    <row r="843" spans="1:12" ht="18.75" customHeight="1">
      <c r="A843" s="625"/>
      <c r="B843" s="626"/>
      <c r="C843" s="626"/>
      <c r="D843" s="626"/>
      <c r="E843" s="626"/>
      <c r="F843" s="626"/>
      <c r="G843" s="626"/>
      <c r="H843" s="626"/>
      <c r="I843" s="626"/>
      <c r="J843" s="626"/>
      <c r="K843" s="630"/>
      <c r="L843" s="82"/>
    </row>
  </sheetData>
  <sheetProtection algorithmName="SHA-512" hashValue="b7WtlSHH4+H+GjcElOjXdVIvX9sgmOpRJwZEgfG/uyujy2U5WBH0gcFZ2yuJ8TwcOZr8r6wicY4/1TN0z6p9hA==" saltValue="XIoBeslRgTFgjLjhO00ROQ==" spinCount="100000" sheet="1" objects="1" scenarios="1" formatRows="0"/>
  <mergeCells count="693">
    <mergeCell ref="A843:K843"/>
    <mergeCell ref="B817:C817"/>
    <mergeCell ref="D817:K817"/>
    <mergeCell ref="A818:A842"/>
    <mergeCell ref="B818:F818"/>
    <mergeCell ref="G818:K818"/>
    <mergeCell ref="B819:F821"/>
    <mergeCell ref="G819:K821"/>
    <mergeCell ref="B822:D822"/>
    <mergeCell ref="E822:G822"/>
    <mergeCell ref="H822:J822"/>
    <mergeCell ref="H824:K824"/>
    <mergeCell ref="B825:D826"/>
    <mergeCell ref="E825:G826"/>
    <mergeCell ref="H825:K826"/>
    <mergeCell ref="D827:K827"/>
    <mergeCell ref="B832:K832"/>
    <mergeCell ref="B833:K842"/>
    <mergeCell ref="B823:D823"/>
    <mergeCell ref="E823:G823"/>
    <mergeCell ref="H823:J823"/>
    <mergeCell ref="B824:D824"/>
    <mergeCell ref="E824:G824"/>
    <mergeCell ref="B789:C789"/>
    <mergeCell ref="D789:K789"/>
    <mergeCell ref="A790:A814"/>
    <mergeCell ref="B790:F790"/>
    <mergeCell ref="G790:K790"/>
    <mergeCell ref="B791:F793"/>
    <mergeCell ref="G791:K793"/>
    <mergeCell ref="B794:D794"/>
    <mergeCell ref="E794:G794"/>
    <mergeCell ref="H794:J794"/>
    <mergeCell ref="H796:K796"/>
    <mergeCell ref="B797:D798"/>
    <mergeCell ref="E797:G798"/>
    <mergeCell ref="H797:K798"/>
    <mergeCell ref="D799:K799"/>
    <mergeCell ref="B804:K804"/>
    <mergeCell ref="B805:K814"/>
    <mergeCell ref="B795:D795"/>
    <mergeCell ref="E795:G795"/>
    <mergeCell ref="H795:J795"/>
    <mergeCell ref="B796:D796"/>
    <mergeCell ref="E796:G796"/>
    <mergeCell ref="B761:C761"/>
    <mergeCell ref="D761:K761"/>
    <mergeCell ref="A762:A786"/>
    <mergeCell ref="B762:F762"/>
    <mergeCell ref="G762:K762"/>
    <mergeCell ref="B763:F765"/>
    <mergeCell ref="G763:K765"/>
    <mergeCell ref="B766:D766"/>
    <mergeCell ref="E766:G766"/>
    <mergeCell ref="H766:J766"/>
    <mergeCell ref="H768:K768"/>
    <mergeCell ref="B769:D770"/>
    <mergeCell ref="E769:G770"/>
    <mergeCell ref="H769:K770"/>
    <mergeCell ref="D771:K771"/>
    <mergeCell ref="B776:K776"/>
    <mergeCell ref="B777:K786"/>
    <mergeCell ref="B705:C705"/>
    <mergeCell ref="D705:K705"/>
    <mergeCell ref="A706:A730"/>
    <mergeCell ref="B706:F706"/>
    <mergeCell ref="G706:K706"/>
    <mergeCell ref="B707:F709"/>
    <mergeCell ref="G707:K709"/>
    <mergeCell ref="B710:D710"/>
    <mergeCell ref="E710:G710"/>
    <mergeCell ref="H710:J710"/>
    <mergeCell ref="H712:K712"/>
    <mergeCell ref="B713:D714"/>
    <mergeCell ref="E713:G714"/>
    <mergeCell ref="H713:K714"/>
    <mergeCell ref="D715:K715"/>
    <mergeCell ref="B720:K720"/>
    <mergeCell ref="B721:K730"/>
    <mergeCell ref="E682:G682"/>
    <mergeCell ref="H682:J682"/>
    <mergeCell ref="H684:K684"/>
    <mergeCell ref="B685:D686"/>
    <mergeCell ref="E685:G686"/>
    <mergeCell ref="H685:K686"/>
    <mergeCell ref="D687:K687"/>
    <mergeCell ref="B692:K692"/>
    <mergeCell ref="B693:K702"/>
    <mergeCell ref="B683:D683"/>
    <mergeCell ref="E683:G683"/>
    <mergeCell ref="H683:J683"/>
    <mergeCell ref="B684:D684"/>
    <mergeCell ref="E684:G684"/>
    <mergeCell ref="B40:D40"/>
    <mergeCell ref="E40:G40"/>
    <mergeCell ref="H40:K40"/>
    <mergeCell ref="B41:D42"/>
    <mergeCell ref="E41:G42"/>
    <mergeCell ref="H41:K42"/>
    <mergeCell ref="D43:K43"/>
    <mergeCell ref="B48:K48"/>
    <mergeCell ref="B49:K58"/>
    <mergeCell ref="G34:K34"/>
    <mergeCell ref="B35:F37"/>
    <mergeCell ref="G35:K37"/>
    <mergeCell ref="B38:D38"/>
    <mergeCell ref="E38:G38"/>
    <mergeCell ref="H38:J38"/>
    <mergeCell ref="B39:D39"/>
    <mergeCell ref="E39:G39"/>
    <mergeCell ref="H39:J39"/>
    <mergeCell ref="A815:K815"/>
    <mergeCell ref="B767:D767"/>
    <mergeCell ref="E767:G767"/>
    <mergeCell ref="H767:J767"/>
    <mergeCell ref="B768:D768"/>
    <mergeCell ref="E768:G768"/>
    <mergeCell ref="A787:K787"/>
    <mergeCell ref="A734:A758"/>
    <mergeCell ref="B734:F734"/>
    <mergeCell ref="G734:K734"/>
    <mergeCell ref="B735:F737"/>
    <mergeCell ref="G735:K737"/>
    <mergeCell ref="B738:D738"/>
    <mergeCell ref="E738:G738"/>
    <mergeCell ref="H738:J738"/>
    <mergeCell ref="H740:K740"/>
    <mergeCell ref="B741:D742"/>
    <mergeCell ref="E741:G742"/>
    <mergeCell ref="H741:K742"/>
    <mergeCell ref="D743:K743"/>
    <mergeCell ref="B748:K748"/>
    <mergeCell ref="B749:K758"/>
    <mergeCell ref="B739:D739"/>
    <mergeCell ref="E739:G739"/>
    <mergeCell ref="H739:J739"/>
    <mergeCell ref="B740:D740"/>
    <mergeCell ref="E740:G740"/>
    <mergeCell ref="B733:C733"/>
    <mergeCell ref="D733:K733"/>
    <mergeCell ref="A759:K759"/>
    <mergeCell ref="B711:D711"/>
    <mergeCell ref="E711:G711"/>
    <mergeCell ref="H711:J711"/>
    <mergeCell ref="B712:D712"/>
    <mergeCell ref="E712:G712"/>
    <mergeCell ref="A731:K731"/>
    <mergeCell ref="A703:K703"/>
    <mergeCell ref="A650:A674"/>
    <mergeCell ref="B650:F650"/>
    <mergeCell ref="G650:K650"/>
    <mergeCell ref="B651:F653"/>
    <mergeCell ref="G651:K653"/>
    <mergeCell ref="B654:D654"/>
    <mergeCell ref="E654:G654"/>
    <mergeCell ref="H654:J654"/>
    <mergeCell ref="H656:K656"/>
    <mergeCell ref="B657:D658"/>
    <mergeCell ref="E657:G658"/>
    <mergeCell ref="H657:K658"/>
    <mergeCell ref="D659:K659"/>
    <mergeCell ref="B664:K664"/>
    <mergeCell ref="B665:K674"/>
    <mergeCell ref="B677:C677"/>
    <mergeCell ref="D677:K677"/>
    <mergeCell ref="A678:A702"/>
    <mergeCell ref="B678:F678"/>
    <mergeCell ref="G678:K678"/>
    <mergeCell ref="B679:F681"/>
    <mergeCell ref="G679:K681"/>
    <mergeCell ref="B682:D682"/>
    <mergeCell ref="A647:K647"/>
    <mergeCell ref="B655:D655"/>
    <mergeCell ref="E655:G655"/>
    <mergeCell ref="H655:J655"/>
    <mergeCell ref="B656:D656"/>
    <mergeCell ref="E656:G656"/>
    <mergeCell ref="B649:C649"/>
    <mergeCell ref="D649:K649"/>
    <mergeCell ref="A675:K675"/>
    <mergeCell ref="B629:D630"/>
    <mergeCell ref="E629:G630"/>
    <mergeCell ref="H629:K630"/>
    <mergeCell ref="D631:K631"/>
    <mergeCell ref="B636:K636"/>
    <mergeCell ref="B621:C621"/>
    <mergeCell ref="D621:K621"/>
    <mergeCell ref="A622:A646"/>
    <mergeCell ref="B622:F622"/>
    <mergeCell ref="G622:K622"/>
    <mergeCell ref="B623:F625"/>
    <mergeCell ref="G623:K625"/>
    <mergeCell ref="B626:D626"/>
    <mergeCell ref="E626:G626"/>
    <mergeCell ref="H626:J626"/>
    <mergeCell ref="B627:D627"/>
    <mergeCell ref="E627:G627"/>
    <mergeCell ref="H627:J627"/>
    <mergeCell ref="B628:D628"/>
    <mergeCell ref="E628:G628"/>
    <mergeCell ref="H628:K628"/>
    <mergeCell ref="B637:K646"/>
    <mergeCell ref="D603:K603"/>
    <mergeCell ref="B608:K608"/>
    <mergeCell ref="B609:K618"/>
    <mergeCell ref="A619:K619"/>
    <mergeCell ref="A594:A618"/>
    <mergeCell ref="B594:F594"/>
    <mergeCell ref="G594:K594"/>
    <mergeCell ref="B595:F597"/>
    <mergeCell ref="G595:K597"/>
    <mergeCell ref="B598:D598"/>
    <mergeCell ref="E598:G598"/>
    <mergeCell ref="H598:J598"/>
    <mergeCell ref="B599:D599"/>
    <mergeCell ref="E599:G599"/>
    <mergeCell ref="H599:J599"/>
    <mergeCell ref="B600:D600"/>
    <mergeCell ref="E600:G600"/>
    <mergeCell ref="H600:K600"/>
    <mergeCell ref="B601:D602"/>
    <mergeCell ref="E601:G602"/>
    <mergeCell ref="A591:K591"/>
    <mergeCell ref="B593:C593"/>
    <mergeCell ref="D593:K593"/>
    <mergeCell ref="E572:G572"/>
    <mergeCell ref="H572:K572"/>
    <mergeCell ref="B573:D574"/>
    <mergeCell ref="E573:G574"/>
    <mergeCell ref="H573:K574"/>
    <mergeCell ref="H601:K602"/>
    <mergeCell ref="A563:K563"/>
    <mergeCell ref="B565:C565"/>
    <mergeCell ref="D565:K565"/>
    <mergeCell ref="A566:A590"/>
    <mergeCell ref="B566:F566"/>
    <mergeCell ref="G566:K566"/>
    <mergeCell ref="B567:F569"/>
    <mergeCell ref="G567:K569"/>
    <mergeCell ref="B570:D570"/>
    <mergeCell ref="E570:G570"/>
    <mergeCell ref="H570:J570"/>
    <mergeCell ref="B571:D571"/>
    <mergeCell ref="E571:G571"/>
    <mergeCell ref="H571:J571"/>
    <mergeCell ref="B572:D572"/>
    <mergeCell ref="D575:K575"/>
    <mergeCell ref="B580:K580"/>
    <mergeCell ref="B581:K590"/>
    <mergeCell ref="B545:D546"/>
    <mergeCell ref="E545:G546"/>
    <mergeCell ref="H545:K546"/>
    <mergeCell ref="D547:K547"/>
    <mergeCell ref="B552:K552"/>
    <mergeCell ref="B537:C537"/>
    <mergeCell ref="D537:K537"/>
    <mergeCell ref="A538:A562"/>
    <mergeCell ref="B538:F538"/>
    <mergeCell ref="G538:K538"/>
    <mergeCell ref="B539:F541"/>
    <mergeCell ref="G539:K541"/>
    <mergeCell ref="B542:D542"/>
    <mergeCell ref="E542:G542"/>
    <mergeCell ref="H542:J542"/>
    <mergeCell ref="B543:D543"/>
    <mergeCell ref="E543:G543"/>
    <mergeCell ref="H543:J543"/>
    <mergeCell ref="B544:D544"/>
    <mergeCell ref="E544:G544"/>
    <mergeCell ref="H544:K544"/>
    <mergeCell ref="B553:K562"/>
    <mergeCell ref="D519:K519"/>
    <mergeCell ref="B524:K524"/>
    <mergeCell ref="B525:K534"/>
    <mergeCell ref="A535:K535"/>
    <mergeCell ref="A510:A534"/>
    <mergeCell ref="B510:F510"/>
    <mergeCell ref="G510:K510"/>
    <mergeCell ref="B511:F513"/>
    <mergeCell ref="G511:K513"/>
    <mergeCell ref="B514:D514"/>
    <mergeCell ref="E514:G514"/>
    <mergeCell ref="H514:J514"/>
    <mergeCell ref="B515:D515"/>
    <mergeCell ref="E515:G515"/>
    <mergeCell ref="H515:J515"/>
    <mergeCell ref="B516:D516"/>
    <mergeCell ref="E516:G516"/>
    <mergeCell ref="H516:K516"/>
    <mergeCell ref="B517:D518"/>
    <mergeCell ref="E517:G518"/>
    <mergeCell ref="A507:K507"/>
    <mergeCell ref="B509:C509"/>
    <mergeCell ref="D509:K509"/>
    <mergeCell ref="E488:G488"/>
    <mergeCell ref="H488:K488"/>
    <mergeCell ref="B489:D490"/>
    <mergeCell ref="E489:G490"/>
    <mergeCell ref="H489:K490"/>
    <mergeCell ref="H517:K518"/>
    <mergeCell ref="A479:K479"/>
    <mergeCell ref="B481:C481"/>
    <mergeCell ref="D481:K481"/>
    <mergeCell ref="A482:A506"/>
    <mergeCell ref="B482:F482"/>
    <mergeCell ref="G482:K482"/>
    <mergeCell ref="B483:F485"/>
    <mergeCell ref="G483:K485"/>
    <mergeCell ref="B486:D486"/>
    <mergeCell ref="E486:G486"/>
    <mergeCell ref="H486:J486"/>
    <mergeCell ref="B487:D487"/>
    <mergeCell ref="E487:G487"/>
    <mergeCell ref="H487:J487"/>
    <mergeCell ref="B488:D488"/>
    <mergeCell ref="D491:K491"/>
    <mergeCell ref="B496:K496"/>
    <mergeCell ref="B497:K506"/>
    <mergeCell ref="B461:D462"/>
    <mergeCell ref="E461:G462"/>
    <mergeCell ref="H461:K462"/>
    <mergeCell ref="D463:K463"/>
    <mergeCell ref="B468:K468"/>
    <mergeCell ref="B453:C453"/>
    <mergeCell ref="D453:K453"/>
    <mergeCell ref="A454:A478"/>
    <mergeCell ref="B454:F454"/>
    <mergeCell ref="G454:K454"/>
    <mergeCell ref="B455:F457"/>
    <mergeCell ref="G455:K457"/>
    <mergeCell ref="B458:D458"/>
    <mergeCell ref="E458:G458"/>
    <mergeCell ref="H458:J458"/>
    <mergeCell ref="B459:D459"/>
    <mergeCell ref="E459:G459"/>
    <mergeCell ref="H459:J459"/>
    <mergeCell ref="B460:D460"/>
    <mergeCell ref="E460:G460"/>
    <mergeCell ref="H460:K460"/>
    <mergeCell ref="B469:K478"/>
    <mergeCell ref="D435:K435"/>
    <mergeCell ref="B440:K440"/>
    <mergeCell ref="B441:K450"/>
    <mergeCell ref="A451:K451"/>
    <mergeCell ref="A426:A450"/>
    <mergeCell ref="B426:F426"/>
    <mergeCell ref="G426:K426"/>
    <mergeCell ref="B427:F429"/>
    <mergeCell ref="G427:K429"/>
    <mergeCell ref="B430:D430"/>
    <mergeCell ref="E430:G430"/>
    <mergeCell ref="H430:J430"/>
    <mergeCell ref="B431:D431"/>
    <mergeCell ref="E431:G431"/>
    <mergeCell ref="H431:J431"/>
    <mergeCell ref="B432:D432"/>
    <mergeCell ref="E432:G432"/>
    <mergeCell ref="H432:K432"/>
    <mergeCell ref="B433:D434"/>
    <mergeCell ref="E433:G434"/>
    <mergeCell ref="A423:K423"/>
    <mergeCell ref="B425:C425"/>
    <mergeCell ref="D425:K425"/>
    <mergeCell ref="E404:G404"/>
    <mergeCell ref="H404:K404"/>
    <mergeCell ref="B405:D406"/>
    <mergeCell ref="E405:G406"/>
    <mergeCell ref="H405:K406"/>
    <mergeCell ref="H433:K434"/>
    <mergeCell ref="A395:K395"/>
    <mergeCell ref="B397:C397"/>
    <mergeCell ref="D397:K397"/>
    <mergeCell ref="A398:A422"/>
    <mergeCell ref="B398:F398"/>
    <mergeCell ref="G398:K398"/>
    <mergeCell ref="B399:F401"/>
    <mergeCell ref="G399:K401"/>
    <mergeCell ref="B402:D402"/>
    <mergeCell ref="E402:G402"/>
    <mergeCell ref="H402:J402"/>
    <mergeCell ref="B403:D403"/>
    <mergeCell ref="E403:G403"/>
    <mergeCell ref="H403:J403"/>
    <mergeCell ref="B404:D404"/>
    <mergeCell ref="D407:K407"/>
    <mergeCell ref="B412:K412"/>
    <mergeCell ref="B413:K422"/>
    <mergeCell ref="B377:D378"/>
    <mergeCell ref="E377:G378"/>
    <mergeCell ref="H377:K378"/>
    <mergeCell ref="D379:K379"/>
    <mergeCell ref="B384:K384"/>
    <mergeCell ref="B369:C369"/>
    <mergeCell ref="D369:K369"/>
    <mergeCell ref="A370:A394"/>
    <mergeCell ref="B370:F370"/>
    <mergeCell ref="G370:K370"/>
    <mergeCell ref="B371:F373"/>
    <mergeCell ref="G371:K373"/>
    <mergeCell ref="B374:D374"/>
    <mergeCell ref="E374:G374"/>
    <mergeCell ref="H374:J374"/>
    <mergeCell ref="B375:D375"/>
    <mergeCell ref="E375:G375"/>
    <mergeCell ref="H375:J375"/>
    <mergeCell ref="B376:D376"/>
    <mergeCell ref="E376:G376"/>
    <mergeCell ref="H376:K376"/>
    <mergeCell ref="B385:K394"/>
    <mergeCell ref="D351:K351"/>
    <mergeCell ref="B356:K356"/>
    <mergeCell ref="B357:K366"/>
    <mergeCell ref="A367:K367"/>
    <mergeCell ref="A342:A366"/>
    <mergeCell ref="B342:F342"/>
    <mergeCell ref="G342:K342"/>
    <mergeCell ref="B343:F345"/>
    <mergeCell ref="G343:K345"/>
    <mergeCell ref="B346:D346"/>
    <mergeCell ref="E346:G346"/>
    <mergeCell ref="H346:J346"/>
    <mergeCell ref="B347:D347"/>
    <mergeCell ref="E347:G347"/>
    <mergeCell ref="H347:J347"/>
    <mergeCell ref="B348:D348"/>
    <mergeCell ref="E348:G348"/>
    <mergeCell ref="H348:K348"/>
    <mergeCell ref="B349:D350"/>
    <mergeCell ref="E349:G350"/>
    <mergeCell ref="A339:K339"/>
    <mergeCell ref="B341:C341"/>
    <mergeCell ref="D341:K341"/>
    <mergeCell ref="E320:G320"/>
    <mergeCell ref="H320:K320"/>
    <mergeCell ref="B321:D322"/>
    <mergeCell ref="E321:G322"/>
    <mergeCell ref="H321:K322"/>
    <mergeCell ref="H349:K350"/>
    <mergeCell ref="A311:K311"/>
    <mergeCell ref="B313:C313"/>
    <mergeCell ref="D313:K313"/>
    <mergeCell ref="A314:A338"/>
    <mergeCell ref="B314:F314"/>
    <mergeCell ref="G314:K314"/>
    <mergeCell ref="B315:F317"/>
    <mergeCell ref="G315:K317"/>
    <mergeCell ref="B318:D318"/>
    <mergeCell ref="E318:G318"/>
    <mergeCell ref="H318:J318"/>
    <mergeCell ref="B319:D319"/>
    <mergeCell ref="E319:G319"/>
    <mergeCell ref="H319:J319"/>
    <mergeCell ref="B320:D320"/>
    <mergeCell ref="D323:K323"/>
    <mergeCell ref="B328:K328"/>
    <mergeCell ref="B329:K338"/>
    <mergeCell ref="B293:D294"/>
    <mergeCell ref="E293:G294"/>
    <mergeCell ref="H293:K294"/>
    <mergeCell ref="D295:K295"/>
    <mergeCell ref="B300:K300"/>
    <mergeCell ref="B285:C285"/>
    <mergeCell ref="D285:K285"/>
    <mergeCell ref="A286:A310"/>
    <mergeCell ref="B286:F286"/>
    <mergeCell ref="G286:K286"/>
    <mergeCell ref="B287:F289"/>
    <mergeCell ref="G287:K289"/>
    <mergeCell ref="B290:D290"/>
    <mergeCell ref="E290:G290"/>
    <mergeCell ref="H290:J290"/>
    <mergeCell ref="B291:D291"/>
    <mergeCell ref="E291:G291"/>
    <mergeCell ref="H291:J291"/>
    <mergeCell ref="B292:D292"/>
    <mergeCell ref="E292:G292"/>
    <mergeCell ref="H292:K292"/>
    <mergeCell ref="B301:K310"/>
    <mergeCell ref="D267:K267"/>
    <mergeCell ref="B272:K272"/>
    <mergeCell ref="B273:K282"/>
    <mergeCell ref="A283:K283"/>
    <mergeCell ref="A258:A282"/>
    <mergeCell ref="B258:F258"/>
    <mergeCell ref="G258:K258"/>
    <mergeCell ref="B259:F261"/>
    <mergeCell ref="G259:K261"/>
    <mergeCell ref="B262:D262"/>
    <mergeCell ref="E262:G262"/>
    <mergeCell ref="H262:J262"/>
    <mergeCell ref="B263:D263"/>
    <mergeCell ref="E263:G263"/>
    <mergeCell ref="H263:J263"/>
    <mergeCell ref="B264:D264"/>
    <mergeCell ref="E264:G264"/>
    <mergeCell ref="H264:K264"/>
    <mergeCell ref="B265:D266"/>
    <mergeCell ref="E265:G266"/>
    <mergeCell ref="A255:K255"/>
    <mergeCell ref="B257:C257"/>
    <mergeCell ref="D257:K257"/>
    <mergeCell ref="E236:G236"/>
    <mergeCell ref="H236:K236"/>
    <mergeCell ref="B237:D238"/>
    <mergeCell ref="E237:G238"/>
    <mergeCell ref="H237:K238"/>
    <mergeCell ref="H265:K266"/>
    <mergeCell ref="A227:K227"/>
    <mergeCell ref="B229:C229"/>
    <mergeCell ref="D229:K229"/>
    <mergeCell ref="A230:A254"/>
    <mergeCell ref="B230:F230"/>
    <mergeCell ref="G230:K230"/>
    <mergeCell ref="B231:F233"/>
    <mergeCell ref="G231:K233"/>
    <mergeCell ref="B234:D234"/>
    <mergeCell ref="E234:G234"/>
    <mergeCell ref="H234:J234"/>
    <mergeCell ref="B235:D235"/>
    <mergeCell ref="E235:G235"/>
    <mergeCell ref="H235:J235"/>
    <mergeCell ref="B236:D236"/>
    <mergeCell ref="D239:K239"/>
    <mergeCell ref="B244:K244"/>
    <mergeCell ref="B245:K254"/>
    <mergeCell ref="B209:D210"/>
    <mergeCell ref="E209:G210"/>
    <mergeCell ref="H209:K210"/>
    <mergeCell ref="D211:K211"/>
    <mergeCell ref="B216:K216"/>
    <mergeCell ref="B201:C201"/>
    <mergeCell ref="D201:K201"/>
    <mergeCell ref="A202:A226"/>
    <mergeCell ref="B202:F202"/>
    <mergeCell ref="G202:K202"/>
    <mergeCell ref="B203:F205"/>
    <mergeCell ref="G203:K205"/>
    <mergeCell ref="B206:D206"/>
    <mergeCell ref="E206:G206"/>
    <mergeCell ref="H206:J206"/>
    <mergeCell ref="B207:D207"/>
    <mergeCell ref="E207:G207"/>
    <mergeCell ref="H207:J207"/>
    <mergeCell ref="B208:D208"/>
    <mergeCell ref="E208:G208"/>
    <mergeCell ref="H208:K208"/>
    <mergeCell ref="B217:K226"/>
    <mergeCell ref="D183:K183"/>
    <mergeCell ref="B188:K188"/>
    <mergeCell ref="B189:K198"/>
    <mergeCell ref="A199:K199"/>
    <mergeCell ref="A174:A198"/>
    <mergeCell ref="B174:F174"/>
    <mergeCell ref="G174:K174"/>
    <mergeCell ref="B175:F177"/>
    <mergeCell ref="G175:K177"/>
    <mergeCell ref="B178:D178"/>
    <mergeCell ref="E178:G178"/>
    <mergeCell ref="H178:J178"/>
    <mergeCell ref="B179:D179"/>
    <mergeCell ref="E179:G179"/>
    <mergeCell ref="H179:J179"/>
    <mergeCell ref="B180:D180"/>
    <mergeCell ref="E180:G180"/>
    <mergeCell ref="H180:K180"/>
    <mergeCell ref="B181:D182"/>
    <mergeCell ref="E181:G182"/>
    <mergeCell ref="A171:K171"/>
    <mergeCell ref="B173:C173"/>
    <mergeCell ref="D173:K173"/>
    <mergeCell ref="E152:G152"/>
    <mergeCell ref="H152:K152"/>
    <mergeCell ref="B153:D154"/>
    <mergeCell ref="E153:G154"/>
    <mergeCell ref="H153:K154"/>
    <mergeCell ref="H181:K182"/>
    <mergeCell ref="A143:K143"/>
    <mergeCell ref="B145:C145"/>
    <mergeCell ref="D145:K145"/>
    <mergeCell ref="A146:A170"/>
    <mergeCell ref="B146:F146"/>
    <mergeCell ref="G146:K146"/>
    <mergeCell ref="B147:F149"/>
    <mergeCell ref="G147:K149"/>
    <mergeCell ref="B150:D150"/>
    <mergeCell ref="E150:G150"/>
    <mergeCell ref="H150:J150"/>
    <mergeCell ref="B151:D151"/>
    <mergeCell ref="E151:G151"/>
    <mergeCell ref="H151:J151"/>
    <mergeCell ref="B152:D152"/>
    <mergeCell ref="D155:K155"/>
    <mergeCell ref="B160:K160"/>
    <mergeCell ref="B161:K170"/>
    <mergeCell ref="B125:D126"/>
    <mergeCell ref="E125:G126"/>
    <mergeCell ref="H125:K126"/>
    <mergeCell ref="D127:K127"/>
    <mergeCell ref="B132:K132"/>
    <mergeCell ref="B117:C117"/>
    <mergeCell ref="D117:K117"/>
    <mergeCell ref="A118:A142"/>
    <mergeCell ref="B118:F118"/>
    <mergeCell ref="G118:K118"/>
    <mergeCell ref="B119:F121"/>
    <mergeCell ref="G119:K121"/>
    <mergeCell ref="B122:D122"/>
    <mergeCell ref="E122:G122"/>
    <mergeCell ref="H122:J122"/>
    <mergeCell ref="B123:D123"/>
    <mergeCell ref="E123:G123"/>
    <mergeCell ref="H123:J123"/>
    <mergeCell ref="B124:D124"/>
    <mergeCell ref="E124:G124"/>
    <mergeCell ref="H124:K124"/>
    <mergeCell ref="B133:K142"/>
    <mergeCell ref="D99:K99"/>
    <mergeCell ref="B104:K104"/>
    <mergeCell ref="B105:K114"/>
    <mergeCell ref="A115:K115"/>
    <mergeCell ref="A90:A114"/>
    <mergeCell ref="B90:F90"/>
    <mergeCell ref="G90:K90"/>
    <mergeCell ref="B91:F93"/>
    <mergeCell ref="G91:K93"/>
    <mergeCell ref="B94:D94"/>
    <mergeCell ref="E94:G94"/>
    <mergeCell ref="H94:J94"/>
    <mergeCell ref="B95:D95"/>
    <mergeCell ref="E95:G95"/>
    <mergeCell ref="H95:J95"/>
    <mergeCell ref="B96:D96"/>
    <mergeCell ref="E96:G96"/>
    <mergeCell ref="H96:K96"/>
    <mergeCell ref="B97:D98"/>
    <mergeCell ref="E97:G98"/>
    <mergeCell ref="A87:K87"/>
    <mergeCell ref="B89:C89"/>
    <mergeCell ref="D89:K89"/>
    <mergeCell ref="E68:G68"/>
    <mergeCell ref="H68:K68"/>
    <mergeCell ref="B69:D70"/>
    <mergeCell ref="E69:G70"/>
    <mergeCell ref="H69:K70"/>
    <mergeCell ref="H97:K98"/>
    <mergeCell ref="E11:G11"/>
    <mergeCell ref="H11:J11"/>
    <mergeCell ref="A59:K59"/>
    <mergeCell ref="B61:C61"/>
    <mergeCell ref="D61:K61"/>
    <mergeCell ref="A62:A86"/>
    <mergeCell ref="B62:F62"/>
    <mergeCell ref="G62:K62"/>
    <mergeCell ref="B63:F65"/>
    <mergeCell ref="G63:K65"/>
    <mergeCell ref="B66:D66"/>
    <mergeCell ref="E66:G66"/>
    <mergeCell ref="H66:J66"/>
    <mergeCell ref="B67:D67"/>
    <mergeCell ref="E67:G67"/>
    <mergeCell ref="H67:J67"/>
    <mergeCell ref="B68:D68"/>
    <mergeCell ref="D71:K71"/>
    <mergeCell ref="B76:K76"/>
    <mergeCell ref="B77:K86"/>
    <mergeCell ref="B33:C33"/>
    <mergeCell ref="D33:K33"/>
    <mergeCell ref="A34:A58"/>
    <mergeCell ref="B34:F34"/>
    <mergeCell ref="A1:K1"/>
    <mergeCell ref="A3:B3"/>
    <mergeCell ref="C3:D3"/>
    <mergeCell ref="B5:C5"/>
    <mergeCell ref="D5:K5"/>
    <mergeCell ref="A31:K31"/>
    <mergeCell ref="B12:D12"/>
    <mergeCell ref="E12:G12"/>
    <mergeCell ref="H12:K12"/>
    <mergeCell ref="B13:D14"/>
    <mergeCell ref="E13:G14"/>
    <mergeCell ref="H13:K14"/>
    <mergeCell ref="A6:A30"/>
    <mergeCell ref="B6:F6"/>
    <mergeCell ref="G6:K6"/>
    <mergeCell ref="B7:F9"/>
    <mergeCell ref="G7:K9"/>
    <mergeCell ref="D15:K15"/>
    <mergeCell ref="B20:K20"/>
    <mergeCell ref="B21:K30"/>
    <mergeCell ref="B10:D10"/>
    <mergeCell ref="E10:G10"/>
    <mergeCell ref="H10:J10"/>
    <mergeCell ref="B11:D11"/>
  </mergeCells>
  <hyperlinks>
    <hyperlink ref="C3" r:id="rId1" display="http://example.com/" xr:uid="{FB38F92A-930F-4542-9E36-E4B5A07A9531}"/>
    <hyperlink ref="C3:D3" location="'Coverage Indicators - Section D'!A1" display="Coverage Indicators" xr:uid="{318EB954-22F9-43DD-856A-625EEAF6FFC0}"/>
  </hyperlinks>
  <pageMargins left="0.7" right="0.7" top="0.75" bottom="0.75" header="0.3" footer="0.3"/>
  <pageSetup paperSize="9" scale="54" fitToHeight="0" orientation="landscape"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5C82E-DB21-4135-BD24-EEFD100A1DC7}">
  <sheetPr codeName="Sheet24">
    <pageSetUpPr fitToPage="1"/>
  </sheetPr>
  <dimension ref="A1:J493"/>
  <sheetViews>
    <sheetView view="pageBreakPreview" zoomScale="70" zoomScaleNormal="80" zoomScaleSheetLayoutView="70" workbookViewId="0">
      <selection activeCell="E452" sqref="E452:I452"/>
    </sheetView>
  </sheetViews>
  <sheetFormatPr defaultColWidth="9" defaultRowHeight="18.75" customHeight="1"/>
  <cols>
    <col min="1" max="1" width="3.125" style="83" customWidth="1"/>
    <col min="2" max="9" width="21.875" style="83" customWidth="1"/>
    <col min="10" max="16384" width="9" style="83"/>
  </cols>
  <sheetData>
    <row r="1" spans="1:10" ht="18.75" customHeight="1">
      <c r="A1" s="625" t="s">
        <v>5061</v>
      </c>
      <c r="B1" s="626"/>
      <c r="C1" s="626"/>
      <c r="D1" s="626"/>
      <c r="E1" s="626"/>
      <c r="F1" s="626"/>
      <c r="G1" s="626"/>
      <c r="H1" s="626"/>
      <c r="I1" s="646"/>
      <c r="J1" s="82"/>
    </row>
    <row r="2" spans="1:10" ht="18.75" customHeight="1">
      <c r="A2" s="97"/>
      <c r="B2" s="98"/>
      <c r="C2" s="98"/>
      <c r="D2" s="98"/>
      <c r="E2" s="99"/>
      <c r="F2" s="99"/>
      <c r="G2" s="99"/>
      <c r="H2" s="99"/>
      <c r="I2" s="100"/>
      <c r="J2" s="82"/>
    </row>
    <row r="3" spans="1:10" ht="18.75" customHeight="1">
      <c r="A3" s="625" t="s">
        <v>89</v>
      </c>
      <c r="B3" s="626"/>
      <c r="C3" s="647" t="s">
        <v>5061</v>
      </c>
      <c r="D3" s="648"/>
      <c r="E3" s="101"/>
      <c r="F3" s="99"/>
      <c r="G3" s="99"/>
      <c r="H3" s="99"/>
      <c r="I3" s="100"/>
      <c r="J3" s="82"/>
    </row>
    <row r="4" spans="1:10" ht="18.75" customHeight="1">
      <c r="A4" s="97"/>
      <c r="B4" s="98"/>
      <c r="C4" s="98"/>
      <c r="D4" s="98"/>
      <c r="E4" s="98"/>
      <c r="F4" s="98"/>
      <c r="G4" s="98"/>
      <c r="H4" s="98"/>
      <c r="I4" s="102"/>
      <c r="J4" s="82"/>
    </row>
    <row r="5" spans="1:10" ht="18.75" customHeight="1">
      <c r="A5" s="103" t="s">
        <v>5051</v>
      </c>
      <c r="B5" s="104" t="s">
        <v>1077</v>
      </c>
      <c r="C5" s="631" t="str">
        <f>IFERROR(IF(INDEX('WPTM - Section F'!B$1:B$100,MATCH($A6,'WPTM - Section F'!$A$1:$A$100,0))&lt;&gt;0,INDEX('WPTM - Section F'!B$1:B$100,MATCH($A6,'WPTM - Section F'!$A$1:$A$100,0)),""),"")</f>
        <v/>
      </c>
      <c r="D5" s="632"/>
      <c r="E5" s="632"/>
      <c r="F5" s="632"/>
      <c r="G5" s="632"/>
      <c r="H5" s="632"/>
      <c r="I5" s="649"/>
      <c r="J5" s="82"/>
    </row>
    <row r="6" spans="1:10" ht="18.75" customHeight="1">
      <c r="A6" s="640">
        <v>1</v>
      </c>
      <c r="B6" s="105" t="s">
        <v>258</v>
      </c>
      <c r="C6" s="631" t="str">
        <f>IFERROR(IF(INDEX('WPTM - Section F'!C$1:C$100,MATCH($A6,'WPTM - Section F'!$A$1:$A$100,0))&lt;&gt;0,INDEX('WPTM - Section F'!C$1:C$100,MATCH($A6,'WPTM - Section F'!$A$1:$A$100,0)),""),"")</f>
        <v/>
      </c>
      <c r="D6" s="632"/>
      <c r="E6" s="632"/>
      <c r="F6" s="632"/>
      <c r="G6" s="632"/>
      <c r="H6" s="632"/>
      <c r="I6" s="649"/>
      <c r="J6" s="82"/>
    </row>
    <row r="7" spans="1:10" ht="18.75" customHeight="1">
      <c r="A7" s="641"/>
      <c r="B7" s="625" t="s">
        <v>4383</v>
      </c>
      <c r="C7" s="626"/>
      <c r="D7" s="626"/>
      <c r="E7" s="626"/>
      <c r="F7" s="650" t="s">
        <v>127</v>
      </c>
      <c r="G7" s="626"/>
      <c r="H7" s="626"/>
      <c r="I7" s="646"/>
      <c r="J7" s="82"/>
    </row>
    <row r="8" spans="1:10" ht="18.75" customHeight="1">
      <c r="A8" s="641"/>
      <c r="B8" s="634" t="str">
        <f>IFERROR(IF(INDEX('WPTM - Section F'!D$1:D$100,MATCH($A6,'WPTM - Section F'!$A$1:$A$100,0))&lt;&gt;0,INDEX('WPTM - Section F'!D$1:D$100,MATCH($A6,'WPTM - Section F'!$A$1:$A$100,0)),""),"")</f>
        <v/>
      </c>
      <c r="C8" s="635"/>
      <c r="D8" s="635"/>
      <c r="E8" s="635"/>
      <c r="F8" s="651" t="str">
        <f>IFERROR(IF(INDEX('WPTM - Section F'!F$1:F$100,MATCH($A6,'WPTM - Section F'!$A$1:$A$100,0))&lt;&gt;0,INDEX('WPTM - Section F'!F$1:F$100,MATCH($A6,'WPTM - Section F'!$A$1:$A$100,0)),""),"")</f>
        <v/>
      </c>
      <c r="G8" s="632"/>
      <c r="H8" s="632"/>
      <c r="I8" s="649"/>
      <c r="J8" s="82"/>
    </row>
    <row r="9" spans="1:10" ht="18.75" customHeight="1">
      <c r="A9" s="641"/>
      <c r="B9" s="643"/>
      <c r="C9" s="644"/>
      <c r="D9" s="644"/>
      <c r="E9" s="644"/>
      <c r="F9" s="650" t="s">
        <v>120</v>
      </c>
      <c r="G9" s="626"/>
      <c r="H9" s="626"/>
      <c r="I9" s="646"/>
      <c r="J9" s="82"/>
    </row>
    <row r="10" spans="1:10" ht="18.75" customHeight="1">
      <c r="A10" s="641"/>
      <c r="B10" s="643"/>
      <c r="C10" s="644"/>
      <c r="D10" s="644"/>
      <c r="E10" s="644"/>
      <c r="F10" s="652" t="str">
        <f ca="1">IFERROR(IF(AND('Overview - Section A'!AS$1="Grant Making",B8&lt;&gt;""),Setup!I15,IF(INDEX('WPTM - Section F'!E$1:E$100,MATCH($A6,'WPTM - Section F'!$A$1:$A$100,0))&lt;&gt;0,INDEX('WPTM - Section F'!E$1:E$100,MATCH($A6,'WPTM - Section F'!$A$1:$A$100,0)),"")),"")</f>
        <v/>
      </c>
      <c r="G10" s="635"/>
      <c r="H10" s="635"/>
      <c r="I10" s="653"/>
      <c r="J10" s="82"/>
    </row>
    <row r="11" spans="1:10" ht="18.75" customHeight="1">
      <c r="A11" s="641"/>
      <c r="B11" s="106"/>
      <c r="C11" s="654" t="s">
        <v>4552</v>
      </c>
      <c r="D11" s="655"/>
      <c r="E11" s="656" t="s">
        <v>5035</v>
      </c>
      <c r="F11" s="656"/>
      <c r="G11" s="656"/>
      <c r="H11" s="656"/>
      <c r="I11" s="655"/>
      <c r="J11" s="82"/>
    </row>
    <row r="12" spans="1:10" ht="18.75" customHeight="1">
      <c r="A12" s="641"/>
      <c r="B12"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12" s="634" t="str">
        <f ca="1">IFERROR(IF(INDEX('WPTM - Section F'!G$1:G$100,MATCH($A6,'WPTM - Section F'!$A$1:$A$100,0))&lt;&gt;0,INDEX('WPTM - Section F'!G$1:G$100,MATCH($A6,'WPTM - Section F'!$A$1:$A$100,0)),""),"")</f>
        <v/>
      </c>
      <c r="D12" s="653"/>
      <c r="E12" s="635" t="str">
        <f>IFERROR(IF(INDEX('WPTM - Section F'!H$1:H$100,MATCH($A6,'WPTM - Section F'!$A$1:$A$100,0))&lt;&gt;0,INDEX('WPTM - Section F'!H$1:H$100,MATCH($A6,'WPTM - Section F'!$A$1:$A$100,0)),""),"")</f>
        <v/>
      </c>
      <c r="F12" s="635"/>
      <c r="G12" s="635"/>
      <c r="H12" s="635"/>
      <c r="I12" s="653"/>
      <c r="J12" s="82"/>
    </row>
    <row r="13" spans="1:10" ht="18.75" customHeight="1">
      <c r="A13" s="641"/>
      <c r="B13" s="658"/>
      <c r="C13" s="643"/>
      <c r="D13" s="660"/>
      <c r="E13" s="644"/>
      <c r="F13" s="644"/>
      <c r="G13" s="644"/>
      <c r="H13" s="644"/>
      <c r="I13" s="660"/>
      <c r="J13" s="82"/>
    </row>
    <row r="14" spans="1:10" ht="18.75" customHeight="1">
      <c r="A14" s="641"/>
      <c r="B14" s="658"/>
      <c r="C14" s="643"/>
      <c r="D14" s="660"/>
      <c r="E14" s="644"/>
      <c r="F14" s="644"/>
      <c r="G14" s="644"/>
      <c r="H14" s="644"/>
      <c r="I14" s="660"/>
      <c r="J14" s="82"/>
    </row>
    <row r="15" spans="1:10" ht="18.75" customHeight="1">
      <c r="A15" s="641"/>
      <c r="B15" s="658"/>
      <c r="C15" s="643"/>
      <c r="D15" s="660"/>
      <c r="E15" s="644"/>
      <c r="F15" s="644"/>
      <c r="G15" s="644"/>
      <c r="H15" s="644"/>
      <c r="I15" s="660"/>
      <c r="J15" s="82"/>
    </row>
    <row r="16" spans="1:10" ht="18.75" customHeight="1">
      <c r="A16" s="641"/>
      <c r="B16" s="659"/>
      <c r="C16" s="661"/>
      <c r="D16" s="662"/>
      <c r="E16" s="667"/>
      <c r="F16" s="667"/>
      <c r="G16" s="667"/>
      <c r="H16" s="667"/>
      <c r="I16" s="662"/>
      <c r="J16" s="82"/>
    </row>
    <row r="17" spans="1:10" ht="18.75" customHeight="1">
      <c r="A17" s="641"/>
      <c r="B17"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17" s="664" t="str">
        <f ca="1">IFERROR(IF(INDEX('WPTM - Section F'!I$1:I$100,MATCH($A6,'WPTM - Section F'!$A$1:$A$100,0))&lt;&gt;0,INDEX('WPTM - Section F'!I$1:I$100,MATCH($A6,'WPTM - Section F'!$A$1:$A$100,0)),""),"")</f>
        <v/>
      </c>
      <c r="D17" s="665"/>
      <c r="E17" s="666" t="str">
        <f>IFERROR(IF(INDEX('WPTM - Section F'!J$1:J$100,MATCH($A6,'WPTM - Section F'!$A$1:$A$100,0))&lt;&gt;0,INDEX('WPTM - Section F'!J$1:J$100,MATCH($A6,'WPTM - Section F'!$A$1:$A$100,0)),""),"")</f>
        <v/>
      </c>
      <c r="F17" s="666"/>
      <c r="G17" s="666"/>
      <c r="H17" s="666"/>
      <c r="I17" s="665"/>
      <c r="J17" s="82"/>
    </row>
    <row r="18" spans="1:10" ht="18.75" customHeight="1">
      <c r="A18" s="641"/>
      <c r="B18" s="658"/>
      <c r="C18" s="643"/>
      <c r="D18" s="660"/>
      <c r="E18" s="644"/>
      <c r="F18" s="644"/>
      <c r="G18" s="644"/>
      <c r="H18" s="644"/>
      <c r="I18" s="660"/>
      <c r="J18" s="82"/>
    </row>
    <row r="19" spans="1:10" ht="18.75" customHeight="1">
      <c r="A19" s="641"/>
      <c r="B19" s="658"/>
      <c r="C19" s="643"/>
      <c r="D19" s="660"/>
      <c r="E19" s="644"/>
      <c r="F19" s="644"/>
      <c r="G19" s="644"/>
      <c r="H19" s="644"/>
      <c r="I19" s="660"/>
      <c r="J19" s="82"/>
    </row>
    <row r="20" spans="1:10" ht="18.75" customHeight="1">
      <c r="A20" s="641"/>
      <c r="B20" s="658"/>
      <c r="C20" s="643"/>
      <c r="D20" s="660"/>
      <c r="E20" s="644"/>
      <c r="F20" s="644"/>
      <c r="G20" s="644"/>
      <c r="H20" s="644"/>
      <c r="I20" s="660"/>
      <c r="J20" s="82"/>
    </row>
    <row r="21" spans="1:10" ht="18.75" customHeight="1">
      <c r="A21" s="641"/>
      <c r="B21" s="659"/>
      <c r="C21" s="661"/>
      <c r="D21" s="662"/>
      <c r="E21" s="667"/>
      <c r="F21" s="667"/>
      <c r="G21" s="667"/>
      <c r="H21" s="667"/>
      <c r="I21" s="662"/>
      <c r="J21" s="82"/>
    </row>
    <row r="22" spans="1:10" ht="18.75" customHeight="1">
      <c r="A22" s="641"/>
      <c r="B22"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22" s="664" t="str">
        <f ca="1">IFERROR(IF(INDEX('WPTM - Section F'!K$1:K$100,MATCH($A6,'WPTM - Section F'!$A$1:$A$100,0))&lt;&gt;0,INDEX('WPTM - Section F'!K$1:K$100,MATCH($A6,'WPTM - Section F'!$A$1:$A$100,0)),""),"")</f>
        <v/>
      </c>
      <c r="D22" s="665"/>
      <c r="E22" s="666" t="str">
        <f>IFERROR(IF(INDEX('WPTM - Section F'!L$1:L$100,MATCH($A6,'WPTM - Section F'!$A$1:$A$100,0))&lt;&gt;0,INDEX('WPTM - Section F'!L$1:L$100,MATCH($A6,'WPTM - Section F'!$A$1:$A$100,0)),""),"")</f>
        <v/>
      </c>
      <c r="F22" s="666"/>
      <c r="G22" s="666"/>
      <c r="H22" s="666"/>
      <c r="I22" s="665"/>
      <c r="J22" s="82"/>
    </row>
    <row r="23" spans="1:10" ht="18.75" customHeight="1">
      <c r="A23" s="641"/>
      <c r="B23" s="658"/>
      <c r="C23" s="643"/>
      <c r="D23" s="660"/>
      <c r="E23" s="644"/>
      <c r="F23" s="644"/>
      <c r="G23" s="644"/>
      <c r="H23" s="644"/>
      <c r="I23" s="660"/>
      <c r="J23" s="82"/>
    </row>
    <row r="24" spans="1:10" ht="18.75" customHeight="1">
      <c r="A24" s="641"/>
      <c r="B24" s="658"/>
      <c r="C24" s="643"/>
      <c r="D24" s="660"/>
      <c r="E24" s="644"/>
      <c r="F24" s="644"/>
      <c r="G24" s="644"/>
      <c r="H24" s="644"/>
      <c r="I24" s="660"/>
      <c r="J24" s="82"/>
    </row>
    <row r="25" spans="1:10" ht="18.75" customHeight="1">
      <c r="A25" s="641"/>
      <c r="B25" s="658"/>
      <c r="C25" s="643"/>
      <c r="D25" s="660"/>
      <c r="E25" s="644"/>
      <c r="F25" s="644"/>
      <c r="G25" s="644"/>
      <c r="H25" s="644"/>
      <c r="I25" s="660"/>
      <c r="J25" s="82"/>
    </row>
    <row r="26" spans="1:10" ht="18.75" customHeight="1">
      <c r="A26" s="641"/>
      <c r="B26" s="659"/>
      <c r="C26" s="661"/>
      <c r="D26" s="662"/>
      <c r="E26" s="667"/>
      <c r="F26" s="667"/>
      <c r="G26" s="667"/>
      <c r="H26" s="667"/>
      <c r="I26" s="662"/>
      <c r="J26" s="82"/>
    </row>
    <row r="27" spans="1:10" ht="18.75" customHeight="1">
      <c r="A27" s="641"/>
      <c r="B27"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27" s="664" t="str">
        <f ca="1">IFERROR(IF(INDEX('WPTM - Section F'!M$1:M$100,MATCH($A6,'WPTM - Section F'!$A$1:$A$100,0))&lt;&gt;0,INDEX('WPTM - Section F'!M$1:M$100,MATCH($A6,'WPTM - Section F'!$A$1:$A$100,0)),""),"")</f>
        <v/>
      </c>
      <c r="D27" s="665"/>
      <c r="E27" s="666" t="str">
        <f>IFERROR(IF(INDEX('WPTM - Section F'!N$1:N$100,MATCH($A6,'WPTM - Section F'!$A$1:$A$100,0))&lt;&gt;0,INDEX('WPTM - Section F'!N$1:N$100,MATCH($A6,'WPTM - Section F'!$A$1:$A$100,0)),""),"")</f>
        <v/>
      </c>
      <c r="F27" s="666"/>
      <c r="G27" s="666"/>
      <c r="H27" s="666"/>
      <c r="I27" s="665"/>
      <c r="J27" s="82"/>
    </row>
    <row r="28" spans="1:10" ht="18.75" customHeight="1">
      <c r="A28" s="641"/>
      <c r="B28" s="658"/>
      <c r="C28" s="643"/>
      <c r="D28" s="660"/>
      <c r="E28" s="644"/>
      <c r="F28" s="644"/>
      <c r="G28" s="644"/>
      <c r="H28" s="644"/>
      <c r="I28" s="660"/>
      <c r="J28" s="82"/>
    </row>
    <row r="29" spans="1:10" ht="18.75" customHeight="1">
      <c r="A29" s="641"/>
      <c r="B29" s="658"/>
      <c r="C29" s="643"/>
      <c r="D29" s="660"/>
      <c r="E29" s="644"/>
      <c r="F29" s="644"/>
      <c r="G29" s="644"/>
      <c r="H29" s="644"/>
      <c r="I29" s="660"/>
      <c r="J29" s="82"/>
    </row>
    <row r="30" spans="1:10" ht="18.75" customHeight="1">
      <c r="A30" s="641"/>
      <c r="B30" s="658"/>
      <c r="C30" s="643"/>
      <c r="D30" s="660"/>
      <c r="E30" s="644"/>
      <c r="F30" s="644"/>
      <c r="G30" s="644"/>
      <c r="H30" s="644"/>
      <c r="I30" s="660"/>
      <c r="J30" s="82"/>
    </row>
    <row r="31" spans="1:10" ht="18.75" customHeight="1">
      <c r="A31" s="641"/>
      <c r="B31" s="659"/>
      <c r="C31" s="661"/>
      <c r="D31" s="662"/>
      <c r="E31" s="667"/>
      <c r="F31" s="667"/>
      <c r="G31" s="667"/>
      <c r="H31" s="667"/>
      <c r="I31" s="662"/>
      <c r="J31" s="82"/>
    </row>
    <row r="32" spans="1:10" ht="18.75" customHeight="1">
      <c r="A32" s="641"/>
      <c r="B32"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32" s="664" t="str">
        <f ca="1">IFERROR(IF(INDEX('WPTM - Section F'!O$1:O$100,MATCH($A6,'WPTM - Section F'!$A$1:$A$100,0))&lt;&gt;0,INDEX('WPTM - Section F'!O$1:O$100,MATCH($A6,'WPTM - Section F'!$A$1:$A$100,0)),""),"")</f>
        <v/>
      </c>
      <c r="D32" s="665"/>
      <c r="E32" s="666" t="str">
        <f>IFERROR(IF(INDEX('WPTM - Section F'!P$1:P$100,MATCH($A6,'WPTM - Section F'!$A$1:$A$100,0))&lt;&gt;0,INDEX('WPTM - Section F'!P$1:P$100,MATCH($A6,'WPTM - Section F'!$A$1:$A$100,0)),""),"")</f>
        <v/>
      </c>
      <c r="F32" s="666"/>
      <c r="G32" s="666"/>
      <c r="H32" s="666"/>
      <c r="I32" s="665"/>
      <c r="J32" s="82"/>
    </row>
    <row r="33" spans="1:10" ht="18.75" customHeight="1">
      <c r="A33" s="641"/>
      <c r="B33" s="658"/>
      <c r="C33" s="643"/>
      <c r="D33" s="660"/>
      <c r="E33" s="644"/>
      <c r="F33" s="644"/>
      <c r="G33" s="644"/>
      <c r="H33" s="644"/>
      <c r="I33" s="660"/>
      <c r="J33" s="82"/>
    </row>
    <row r="34" spans="1:10" ht="18.75" customHeight="1">
      <c r="A34" s="641"/>
      <c r="B34" s="658"/>
      <c r="C34" s="643"/>
      <c r="D34" s="660"/>
      <c r="E34" s="644"/>
      <c r="F34" s="644"/>
      <c r="G34" s="644"/>
      <c r="H34" s="644"/>
      <c r="I34" s="660"/>
      <c r="J34" s="82"/>
    </row>
    <row r="35" spans="1:10" ht="18.75" customHeight="1">
      <c r="A35" s="641"/>
      <c r="B35" s="658"/>
      <c r="C35" s="643"/>
      <c r="D35" s="660"/>
      <c r="E35" s="644"/>
      <c r="F35" s="644"/>
      <c r="G35" s="644"/>
      <c r="H35" s="644"/>
      <c r="I35" s="660"/>
      <c r="J35" s="82"/>
    </row>
    <row r="36" spans="1:10" ht="18.75" customHeight="1">
      <c r="A36" s="641"/>
      <c r="B36" s="659"/>
      <c r="C36" s="661"/>
      <c r="D36" s="662"/>
      <c r="E36" s="667"/>
      <c r="F36" s="667"/>
      <c r="G36" s="667"/>
      <c r="H36" s="667"/>
      <c r="I36" s="662"/>
      <c r="J36" s="82"/>
    </row>
    <row r="37" spans="1:10" ht="18.75" customHeight="1">
      <c r="A37" s="641"/>
      <c r="B37"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37" s="664" t="str">
        <f ca="1">IFERROR(IF(INDEX('WPTM - Section F'!Q$1:Q$100,MATCH($A6,'WPTM - Section F'!$A$1:$A$100,0))&lt;&gt;0,INDEX('WPTM - Section F'!Q$1:Q$100,MATCH($A6,'WPTM - Section F'!$A$1:$A$100,0)),""),"")</f>
        <v/>
      </c>
      <c r="D37" s="665"/>
      <c r="E37" s="666" t="str">
        <f>IFERROR(IF(INDEX('WPTM - Section F'!R$1:R$100,MATCH($A6,'WPTM - Section F'!$A$1:$A$100,0))&lt;&gt;0,INDEX('WPTM - Section F'!R$1:R$100,MATCH($A6,'WPTM - Section F'!$A$1:$A$100,0)),""),"")</f>
        <v/>
      </c>
      <c r="F37" s="666"/>
      <c r="G37" s="666"/>
      <c r="H37" s="666"/>
      <c r="I37" s="665"/>
      <c r="J37" s="82"/>
    </row>
    <row r="38" spans="1:10" ht="18.75" customHeight="1">
      <c r="A38" s="641"/>
      <c r="B38" s="658"/>
      <c r="C38" s="643"/>
      <c r="D38" s="660"/>
      <c r="E38" s="644"/>
      <c r="F38" s="644"/>
      <c r="G38" s="644"/>
      <c r="H38" s="644"/>
      <c r="I38" s="660"/>
      <c r="J38" s="82"/>
    </row>
    <row r="39" spans="1:10" ht="18.75" customHeight="1">
      <c r="A39" s="641"/>
      <c r="B39" s="658"/>
      <c r="C39" s="643"/>
      <c r="D39" s="660"/>
      <c r="E39" s="644"/>
      <c r="F39" s="644"/>
      <c r="G39" s="644"/>
      <c r="H39" s="644"/>
      <c r="I39" s="660"/>
      <c r="J39" s="82"/>
    </row>
    <row r="40" spans="1:10" ht="18.75" customHeight="1">
      <c r="A40" s="641"/>
      <c r="B40" s="658"/>
      <c r="C40" s="643"/>
      <c r="D40" s="660"/>
      <c r="E40" s="644"/>
      <c r="F40" s="644"/>
      <c r="G40" s="644"/>
      <c r="H40" s="644"/>
      <c r="I40" s="660"/>
      <c r="J40" s="82"/>
    </row>
    <row r="41" spans="1:10" ht="18.75" customHeight="1">
      <c r="A41" s="641"/>
      <c r="B41" s="659"/>
      <c r="C41" s="661"/>
      <c r="D41" s="662"/>
      <c r="E41" s="667"/>
      <c r="F41" s="667"/>
      <c r="G41" s="667"/>
      <c r="H41" s="667"/>
      <c r="I41" s="662"/>
      <c r="J41" s="82"/>
    </row>
    <row r="42" spans="1:10" ht="18.75" customHeight="1">
      <c r="A42" s="641"/>
      <c r="B42"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42" s="664" t="str">
        <f ca="1">IFERROR(IF(INDEX('WPTM - Section F'!S$1:S$100,MATCH($A6,'WPTM - Section F'!$A$1:$A$100,0))&lt;&gt;0,INDEX('WPTM - Section F'!S$1:S$100,MATCH($A6,'WPTM - Section F'!$A$1:$A$100,0)),""),"")</f>
        <v/>
      </c>
      <c r="D42" s="665"/>
      <c r="E42" s="666" t="str">
        <f>IFERROR(IF(INDEX('WPTM - Section F'!T$1:T$100,MATCH($A6,'WPTM - Section F'!$A$1:$A$100,0))&lt;&gt;0,INDEX('WPTM - Section F'!T$1:T$100,MATCH($A6,'WPTM - Section F'!$A$1:$A$100,0)),""),"")</f>
        <v/>
      </c>
      <c r="F42" s="666"/>
      <c r="G42" s="666"/>
      <c r="H42" s="666"/>
      <c r="I42" s="665"/>
      <c r="J42" s="82"/>
    </row>
    <row r="43" spans="1:10" ht="18.75" customHeight="1">
      <c r="A43" s="641"/>
      <c r="B43" s="658"/>
      <c r="C43" s="643"/>
      <c r="D43" s="660"/>
      <c r="E43" s="644"/>
      <c r="F43" s="644"/>
      <c r="G43" s="644"/>
      <c r="H43" s="644"/>
      <c r="I43" s="660"/>
      <c r="J43" s="82"/>
    </row>
    <row r="44" spans="1:10" ht="18.75" customHeight="1">
      <c r="A44" s="641"/>
      <c r="B44" s="658"/>
      <c r="C44" s="643"/>
      <c r="D44" s="660"/>
      <c r="E44" s="644"/>
      <c r="F44" s="644"/>
      <c r="G44" s="644"/>
      <c r="H44" s="644"/>
      <c r="I44" s="660"/>
      <c r="J44" s="82"/>
    </row>
    <row r="45" spans="1:10" ht="18.75" customHeight="1">
      <c r="A45" s="641"/>
      <c r="B45" s="658"/>
      <c r="C45" s="643"/>
      <c r="D45" s="660"/>
      <c r="E45" s="644"/>
      <c r="F45" s="644"/>
      <c r="G45" s="644"/>
      <c r="H45" s="644"/>
      <c r="I45" s="660"/>
      <c r="J45" s="82"/>
    </row>
    <row r="46" spans="1:10" ht="18.75" customHeight="1">
      <c r="A46" s="641"/>
      <c r="B46" s="659"/>
      <c r="C46" s="661"/>
      <c r="D46" s="662"/>
      <c r="E46" s="667"/>
      <c r="F46" s="667"/>
      <c r="G46" s="667"/>
      <c r="H46" s="667"/>
      <c r="I46" s="662"/>
      <c r="J46" s="82"/>
    </row>
    <row r="47" spans="1:10" ht="18.75" customHeight="1">
      <c r="A47" s="641"/>
      <c r="B47"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47" s="664" t="str">
        <f>IFERROR(IF(INDEX('WPTM - Section F'!U$1:U$100,MATCH($A6,'WPTM - Section F'!$A$1:$A$100,0))&lt;&gt;0,INDEX('WPTM - Section F'!U$1:U$100,MATCH($A6,'WPTM - Section F'!$A$1:$A$100,0)),""),"")</f>
        <v/>
      </c>
      <c r="D47" s="665"/>
      <c r="E47" s="666" t="str">
        <f>IFERROR(IF(INDEX('WPTM - Section F'!V$1:V$100,MATCH($A6,'WPTM - Section F'!$A$1:$A$100,0))&lt;&gt;0,INDEX('WPTM - Section F'!V$1:V$100,MATCH($A6,'WPTM - Section F'!$A$1:$A$100,0)),""),"")</f>
        <v/>
      </c>
      <c r="F47" s="666"/>
      <c r="G47" s="666"/>
      <c r="H47" s="666"/>
      <c r="I47" s="665"/>
      <c r="J47" s="82"/>
    </row>
    <row r="48" spans="1:10" ht="18.75" customHeight="1">
      <c r="A48" s="641"/>
      <c r="B48" s="658"/>
      <c r="C48" s="643"/>
      <c r="D48" s="660"/>
      <c r="E48" s="644"/>
      <c r="F48" s="644"/>
      <c r="G48" s="644"/>
      <c r="H48" s="644"/>
      <c r="I48" s="660"/>
      <c r="J48" s="82"/>
    </row>
    <row r="49" spans="1:10" ht="18.75" customHeight="1">
      <c r="A49" s="641"/>
      <c r="B49" s="658"/>
      <c r="C49" s="643"/>
      <c r="D49" s="660"/>
      <c r="E49" s="644"/>
      <c r="F49" s="644"/>
      <c r="G49" s="644"/>
      <c r="H49" s="644"/>
      <c r="I49" s="660"/>
      <c r="J49" s="82"/>
    </row>
    <row r="50" spans="1:10" ht="18.75" customHeight="1">
      <c r="A50" s="641"/>
      <c r="B50" s="658"/>
      <c r="C50" s="643"/>
      <c r="D50" s="660"/>
      <c r="E50" s="644"/>
      <c r="F50" s="644"/>
      <c r="G50" s="644"/>
      <c r="H50" s="644"/>
      <c r="I50" s="660"/>
      <c r="J50" s="82"/>
    </row>
    <row r="51" spans="1:10" ht="18.75" customHeight="1">
      <c r="A51" s="641"/>
      <c r="B51" s="658"/>
      <c r="C51" s="643"/>
      <c r="D51" s="660"/>
      <c r="E51" s="644"/>
      <c r="F51" s="644"/>
      <c r="G51" s="644"/>
      <c r="H51" s="644"/>
      <c r="I51" s="660"/>
      <c r="J51" s="82"/>
    </row>
    <row r="52" spans="1:10" ht="18.75" customHeight="1">
      <c r="A52" s="654"/>
      <c r="B52" s="656"/>
      <c r="C52" s="656"/>
      <c r="D52" s="656"/>
      <c r="E52" s="656"/>
      <c r="F52" s="656"/>
      <c r="G52" s="656"/>
      <c r="H52" s="656"/>
      <c r="I52" s="655"/>
      <c r="J52" s="82"/>
    </row>
    <row r="54" spans="1:10" ht="18.75" customHeight="1">
      <c r="A54" s="107" t="s">
        <v>5051</v>
      </c>
      <c r="B54" s="107" t="s">
        <v>1077</v>
      </c>
      <c r="C54" s="631" t="str">
        <f>IFERROR(IF(INDEX('WPTM - Section F'!B$1:B$100,MATCH($A55,'WPTM - Section F'!$A$1:$A$100,0))&lt;&gt;0,INDEX('WPTM - Section F'!B$1:B$100,MATCH($A55,'WPTM - Section F'!$A$1:$A$100,0)),""),"")</f>
        <v/>
      </c>
      <c r="D54" s="632"/>
      <c r="E54" s="632"/>
      <c r="F54" s="632"/>
      <c r="G54" s="632"/>
      <c r="H54" s="632"/>
      <c r="I54" s="649"/>
      <c r="J54" s="82"/>
    </row>
    <row r="55" spans="1:10" ht="18.75" customHeight="1">
      <c r="A55" s="640">
        <v>2</v>
      </c>
      <c r="B55" s="105" t="s">
        <v>258</v>
      </c>
      <c r="C55" s="631" t="str">
        <f>IFERROR(IF(INDEX('WPTM - Section F'!C$1:C$100,MATCH($A55,'WPTM - Section F'!$A$1:$A$100,0))&lt;&gt;0,INDEX('WPTM - Section F'!C$1:C$100,MATCH($A55,'WPTM - Section F'!$A$1:$A$100,0)),""),"")</f>
        <v/>
      </c>
      <c r="D55" s="632"/>
      <c r="E55" s="632"/>
      <c r="F55" s="632"/>
      <c r="G55" s="632"/>
      <c r="H55" s="632"/>
      <c r="I55" s="649"/>
      <c r="J55" s="82"/>
    </row>
    <row r="56" spans="1:10" ht="18.75" customHeight="1">
      <c r="A56" s="641"/>
      <c r="B56" s="625" t="s">
        <v>4383</v>
      </c>
      <c r="C56" s="626"/>
      <c r="D56" s="626"/>
      <c r="E56" s="626"/>
      <c r="F56" s="650" t="s">
        <v>127</v>
      </c>
      <c r="G56" s="626"/>
      <c r="H56" s="626"/>
      <c r="I56" s="646"/>
      <c r="J56" s="82"/>
    </row>
    <row r="57" spans="1:10" ht="18.75" customHeight="1">
      <c r="A57" s="641"/>
      <c r="B57" s="634" t="str">
        <f>IFERROR(IF(INDEX('WPTM - Section F'!D$1:D$100,MATCH($A55,'WPTM - Section F'!$A$1:$A$100,0))&lt;&gt;0,INDEX('WPTM - Section F'!D$1:D$100,MATCH($A55,'WPTM - Section F'!$A$1:$A$100,0)),""),"")</f>
        <v/>
      </c>
      <c r="C57" s="635"/>
      <c r="D57" s="635"/>
      <c r="E57" s="635"/>
      <c r="F57" s="651" t="str">
        <f>IFERROR(IF(INDEX('WPTM - Section F'!F$1:F$100,MATCH($A55,'WPTM - Section F'!$A$1:$A$100,0))&lt;&gt;0,INDEX('WPTM - Section F'!F$1:F$100,MATCH($A55,'WPTM - Section F'!$A$1:$A$100,0)),""),"")</f>
        <v/>
      </c>
      <c r="G57" s="632"/>
      <c r="H57" s="632"/>
      <c r="I57" s="649"/>
      <c r="J57" s="82"/>
    </row>
    <row r="58" spans="1:10" ht="18.75" customHeight="1">
      <c r="A58" s="641"/>
      <c r="B58" s="643"/>
      <c r="C58" s="644"/>
      <c r="D58" s="644"/>
      <c r="E58" s="644"/>
      <c r="F58" s="650" t="s">
        <v>120</v>
      </c>
      <c r="G58" s="626"/>
      <c r="H58" s="626"/>
      <c r="I58" s="646"/>
      <c r="J58" s="82"/>
    </row>
    <row r="59" spans="1:10" ht="18.75" customHeight="1">
      <c r="A59" s="641"/>
      <c r="B59" s="643"/>
      <c r="C59" s="644"/>
      <c r="D59" s="644"/>
      <c r="E59" s="644"/>
      <c r="F59" s="652" t="str">
        <f ca="1">IFERROR(IF(AND('Overview - Section A'!AS$1="Grant Making",B57&lt;&gt;""),Setup!I15,IF(INDEX('WPTM - Section F'!E$1:E$100,MATCH($A55,'WPTM - Section F'!$A$1:$A$100,0))&lt;&gt;0,INDEX('WPTM - Section F'!E$1:E$100,MATCH($A55,'WPTM - Section F'!$A$1:$A$100,0)),"")),"")</f>
        <v/>
      </c>
      <c r="G59" s="635"/>
      <c r="H59" s="635"/>
      <c r="I59" s="653"/>
      <c r="J59" s="82"/>
    </row>
    <row r="60" spans="1:10" ht="18.75" customHeight="1">
      <c r="A60" s="641"/>
      <c r="B60" s="106"/>
      <c r="C60" s="654" t="s">
        <v>4552</v>
      </c>
      <c r="D60" s="655"/>
      <c r="E60" s="656" t="s">
        <v>5035</v>
      </c>
      <c r="F60" s="656"/>
      <c r="G60" s="656"/>
      <c r="H60" s="656"/>
      <c r="I60" s="655"/>
      <c r="J60" s="82"/>
    </row>
    <row r="61" spans="1:10" ht="18.75" customHeight="1">
      <c r="A61" s="641"/>
      <c r="B61"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61" s="634" t="str">
        <f ca="1">IFERROR(IF(INDEX('WPTM - Section F'!G$1:G$100,MATCH($A55,'WPTM - Section F'!$A$1:$A$100,0))&lt;&gt;0,INDEX('WPTM - Section F'!G$1:G$100,MATCH($A55,'WPTM - Section F'!$A$1:$A$100,0)),""),"")</f>
        <v/>
      </c>
      <c r="D61" s="653"/>
      <c r="E61" s="635" t="str">
        <f>IFERROR(IF(INDEX('WPTM - Section F'!H$1:H$100,MATCH($A55,'WPTM - Section F'!$A$1:$A$100,0))&lt;&gt;0,INDEX('WPTM - Section F'!H$1:H$100,MATCH($A55,'WPTM - Section F'!$A$1:$A$100,0)),""),"")</f>
        <v/>
      </c>
      <c r="F61" s="635"/>
      <c r="G61" s="635"/>
      <c r="H61" s="635"/>
      <c r="I61" s="653"/>
      <c r="J61" s="82"/>
    </row>
    <row r="62" spans="1:10" ht="18.75" customHeight="1">
      <c r="A62" s="641"/>
      <c r="B62" s="658"/>
      <c r="C62" s="643"/>
      <c r="D62" s="660"/>
      <c r="E62" s="644"/>
      <c r="F62" s="644"/>
      <c r="G62" s="644"/>
      <c r="H62" s="644"/>
      <c r="I62" s="660"/>
      <c r="J62" s="82"/>
    </row>
    <row r="63" spans="1:10" ht="18.75" customHeight="1">
      <c r="A63" s="641"/>
      <c r="B63" s="658"/>
      <c r="C63" s="643"/>
      <c r="D63" s="660"/>
      <c r="E63" s="644"/>
      <c r="F63" s="644"/>
      <c r="G63" s="644"/>
      <c r="H63" s="644"/>
      <c r="I63" s="660"/>
      <c r="J63" s="82"/>
    </row>
    <row r="64" spans="1:10" ht="18.75" customHeight="1">
      <c r="A64" s="641"/>
      <c r="B64" s="658"/>
      <c r="C64" s="643"/>
      <c r="D64" s="660"/>
      <c r="E64" s="644"/>
      <c r="F64" s="644"/>
      <c r="G64" s="644"/>
      <c r="H64" s="644"/>
      <c r="I64" s="660"/>
      <c r="J64" s="82"/>
    </row>
    <row r="65" spans="1:10" ht="18.75" customHeight="1">
      <c r="A65" s="641"/>
      <c r="B65" s="659"/>
      <c r="C65" s="661"/>
      <c r="D65" s="662"/>
      <c r="E65" s="667"/>
      <c r="F65" s="667"/>
      <c r="G65" s="667"/>
      <c r="H65" s="667"/>
      <c r="I65" s="662"/>
      <c r="J65" s="82"/>
    </row>
    <row r="66" spans="1:10" ht="18.75" customHeight="1">
      <c r="A66" s="641"/>
      <c r="B66"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66" s="664" t="str">
        <f ca="1">IFERROR(IF(INDEX('WPTM - Section F'!I$1:I$100,MATCH($A55,'WPTM - Section F'!$A$1:$A$100,0))&lt;&gt;0,INDEX('WPTM - Section F'!I$1:I$100,MATCH($A55,'WPTM - Section F'!$A$1:$A$100,0)),""),"")</f>
        <v/>
      </c>
      <c r="D66" s="665"/>
      <c r="E66" s="666" t="str">
        <f>IFERROR(IF(INDEX('WPTM - Section F'!J$1:J$100,MATCH($A55,'WPTM - Section F'!$A$1:$A$100,0))&lt;&gt;0,INDEX('WPTM - Section F'!J$1:J$100,MATCH($A55,'WPTM - Section F'!$A$1:$A$100,0)),""),"")</f>
        <v/>
      </c>
      <c r="F66" s="666"/>
      <c r="G66" s="666"/>
      <c r="H66" s="666"/>
      <c r="I66" s="665"/>
      <c r="J66" s="82"/>
    </row>
    <row r="67" spans="1:10" ht="18.75" customHeight="1">
      <c r="A67" s="641"/>
      <c r="B67" s="658"/>
      <c r="C67" s="643"/>
      <c r="D67" s="660"/>
      <c r="E67" s="644"/>
      <c r="F67" s="644"/>
      <c r="G67" s="644"/>
      <c r="H67" s="644"/>
      <c r="I67" s="660"/>
      <c r="J67" s="82"/>
    </row>
    <row r="68" spans="1:10" ht="18.75" customHeight="1">
      <c r="A68" s="641"/>
      <c r="B68" s="658"/>
      <c r="C68" s="643"/>
      <c r="D68" s="660"/>
      <c r="E68" s="644"/>
      <c r="F68" s="644"/>
      <c r="G68" s="644"/>
      <c r="H68" s="644"/>
      <c r="I68" s="660"/>
      <c r="J68" s="82"/>
    </row>
    <row r="69" spans="1:10" ht="18.75" customHeight="1">
      <c r="A69" s="641"/>
      <c r="B69" s="658"/>
      <c r="C69" s="643"/>
      <c r="D69" s="660"/>
      <c r="E69" s="644"/>
      <c r="F69" s="644"/>
      <c r="G69" s="644"/>
      <c r="H69" s="644"/>
      <c r="I69" s="660"/>
      <c r="J69" s="82"/>
    </row>
    <row r="70" spans="1:10" ht="18.75" customHeight="1">
      <c r="A70" s="641"/>
      <c r="B70" s="659"/>
      <c r="C70" s="661"/>
      <c r="D70" s="662"/>
      <c r="E70" s="667"/>
      <c r="F70" s="667"/>
      <c r="G70" s="667"/>
      <c r="H70" s="667"/>
      <c r="I70" s="662"/>
      <c r="J70" s="82"/>
    </row>
    <row r="71" spans="1:10" ht="18.75" customHeight="1">
      <c r="A71" s="641"/>
      <c r="B71"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71" s="664" t="str">
        <f ca="1">IFERROR(IF(INDEX('WPTM - Section F'!K$1:K$100,MATCH($A55,'WPTM - Section F'!$A$1:$A$100,0))&lt;&gt;0,INDEX('WPTM - Section F'!K$1:K$100,MATCH($A55,'WPTM - Section F'!$A$1:$A$100,0)),""),"")</f>
        <v/>
      </c>
      <c r="D71" s="665"/>
      <c r="E71" s="666" t="str">
        <f>IFERROR(IF(INDEX('WPTM - Section F'!L$1:L$100,MATCH($A55,'WPTM - Section F'!$A$1:$A$100,0))&lt;&gt;0,INDEX('WPTM - Section F'!L$1:L$100,MATCH($A55,'WPTM - Section F'!$A$1:$A$100,0)),""),"")</f>
        <v/>
      </c>
      <c r="F71" s="666"/>
      <c r="G71" s="666"/>
      <c r="H71" s="666"/>
      <c r="I71" s="665"/>
      <c r="J71" s="82"/>
    </row>
    <row r="72" spans="1:10" ht="18.75" customHeight="1">
      <c r="A72" s="641"/>
      <c r="B72" s="658"/>
      <c r="C72" s="643"/>
      <c r="D72" s="660"/>
      <c r="E72" s="644"/>
      <c r="F72" s="644"/>
      <c r="G72" s="644"/>
      <c r="H72" s="644"/>
      <c r="I72" s="660"/>
      <c r="J72" s="82"/>
    </row>
    <row r="73" spans="1:10" ht="18.75" customHeight="1">
      <c r="A73" s="641"/>
      <c r="B73" s="658"/>
      <c r="C73" s="643"/>
      <c r="D73" s="660"/>
      <c r="E73" s="644"/>
      <c r="F73" s="644"/>
      <c r="G73" s="644"/>
      <c r="H73" s="644"/>
      <c r="I73" s="660"/>
      <c r="J73" s="82"/>
    </row>
    <row r="74" spans="1:10" ht="18.75" customHeight="1">
      <c r="A74" s="641"/>
      <c r="B74" s="658"/>
      <c r="C74" s="643"/>
      <c r="D74" s="660"/>
      <c r="E74" s="644"/>
      <c r="F74" s="644"/>
      <c r="G74" s="644"/>
      <c r="H74" s="644"/>
      <c r="I74" s="660"/>
      <c r="J74" s="82"/>
    </row>
    <row r="75" spans="1:10" ht="18.75" customHeight="1">
      <c r="A75" s="641"/>
      <c r="B75" s="659"/>
      <c r="C75" s="661"/>
      <c r="D75" s="662"/>
      <c r="E75" s="667"/>
      <c r="F75" s="667"/>
      <c r="G75" s="667"/>
      <c r="H75" s="667"/>
      <c r="I75" s="662"/>
      <c r="J75" s="82"/>
    </row>
    <row r="76" spans="1:10" ht="18.75" customHeight="1">
      <c r="A76" s="641"/>
      <c r="B76"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76" s="664" t="str">
        <f ca="1">IFERROR(IF(INDEX('WPTM - Section F'!M$1:M$100,MATCH($A55,'WPTM - Section F'!$A$1:$A$100,0))&lt;&gt;0,INDEX('WPTM - Section F'!M$1:M$100,MATCH($A55,'WPTM - Section F'!$A$1:$A$100,0)),""),"")</f>
        <v/>
      </c>
      <c r="D76" s="665"/>
      <c r="E76" s="666" t="str">
        <f>IFERROR(IF(INDEX('WPTM - Section F'!N$1:N$100,MATCH($A55,'WPTM - Section F'!$A$1:$A$100,0))&lt;&gt;0,INDEX('WPTM - Section F'!N$1:N$100,MATCH($A55,'WPTM - Section F'!$A$1:$A$100,0)),""),"")</f>
        <v/>
      </c>
      <c r="F76" s="666"/>
      <c r="G76" s="666"/>
      <c r="H76" s="666"/>
      <c r="I76" s="665"/>
      <c r="J76" s="82"/>
    </row>
    <row r="77" spans="1:10" ht="18.75" customHeight="1">
      <c r="A77" s="641"/>
      <c r="B77" s="658"/>
      <c r="C77" s="643"/>
      <c r="D77" s="660"/>
      <c r="E77" s="644"/>
      <c r="F77" s="644"/>
      <c r="G77" s="644"/>
      <c r="H77" s="644"/>
      <c r="I77" s="660"/>
      <c r="J77" s="82"/>
    </row>
    <row r="78" spans="1:10" ht="18.75" customHeight="1">
      <c r="A78" s="641"/>
      <c r="B78" s="658"/>
      <c r="C78" s="643"/>
      <c r="D78" s="660"/>
      <c r="E78" s="644"/>
      <c r="F78" s="644"/>
      <c r="G78" s="644"/>
      <c r="H78" s="644"/>
      <c r="I78" s="660"/>
      <c r="J78" s="82"/>
    </row>
    <row r="79" spans="1:10" ht="18.75" customHeight="1">
      <c r="A79" s="641"/>
      <c r="B79" s="658"/>
      <c r="C79" s="643"/>
      <c r="D79" s="660"/>
      <c r="E79" s="644"/>
      <c r="F79" s="644"/>
      <c r="G79" s="644"/>
      <c r="H79" s="644"/>
      <c r="I79" s="660"/>
      <c r="J79" s="82"/>
    </row>
    <row r="80" spans="1:10" ht="18.75" customHeight="1">
      <c r="A80" s="641"/>
      <c r="B80" s="659"/>
      <c r="C80" s="661"/>
      <c r="D80" s="662"/>
      <c r="E80" s="667"/>
      <c r="F80" s="667"/>
      <c r="G80" s="667"/>
      <c r="H80" s="667"/>
      <c r="I80" s="662"/>
      <c r="J80" s="82"/>
    </row>
    <row r="81" spans="1:10" ht="18.75" customHeight="1">
      <c r="A81" s="641"/>
      <c r="B81"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81" s="664" t="str">
        <f ca="1">IFERROR(IF(INDEX('WPTM - Section F'!O$1:O$100,MATCH($A55,'WPTM - Section F'!$A$1:$A$100,0))&lt;&gt;0,INDEX('WPTM - Section F'!O$1:O$100,MATCH($A55,'WPTM - Section F'!$A$1:$A$100,0)),""),"")</f>
        <v/>
      </c>
      <c r="D81" s="665"/>
      <c r="E81" s="666" t="str">
        <f>IFERROR(IF(INDEX('WPTM - Section F'!P$1:P$100,MATCH($A55,'WPTM - Section F'!$A$1:$A$100,0))&lt;&gt;0,INDEX('WPTM - Section F'!P$1:P$100,MATCH($A55,'WPTM - Section F'!$A$1:$A$100,0)),""),"")</f>
        <v/>
      </c>
      <c r="F81" s="666"/>
      <c r="G81" s="666"/>
      <c r="H81" s="666"/>
      <c r="I81" s="665"/>
      <c r="J81" s="82"/>
    </row>
    <row r="82" spans="1:10" ht="18.75" customHeight="1">
      <c r="A82" s="641"/>
      <c r="B82" s="658"/>
      <c r="C82" s="643"/>
      <c r="D82" s="660"/>
      <c r="E82" s="644"/>
      <c r="F82" s="644"/>
      <c r="G82" s="644"/>
      <c r="H82" s="644"/>
      <c r="I82" s="660"/>
      <c r="J82" s="82"/>
    </row>
    <row r="83" spans="1:10" ht="18.75" customHeight="1">
      <c r="A83" s="641"/>
      <c r="B83" s="658"/>
      <c r="C83" s="643"/>
      <c r="D83" s="660"/>
      <c r="E83" s="644"/>
      <c r="F83" s="644"/>
      <c r="G83" s="644"/>
      <c r="H83" s="644"/>
      <c r="I83" s="660"/>
      <c r="J83" s="82"/>
    </row>
    <row r="84" spans="1:10" ht="18.75" customHeight="1">
      <c r="A84" s="641"/>
      <c r="B84" s="658"/>
      <c r="C84" s="643"/>
      <c r="D84" s="660"/>
      <c r="E84" s="644"/>
      <c r="F84" s="644"/>
      <c r="G84" s="644"/>
      <c r="H84" s="644"/>
      <c r="I84" s="660"/>
      <c r="J84" s="82"/>
    </row>
    <row r="85" spans="1:10" ht="18.75" customHeight="1">
      <c r="A85" s="641"/>
      <c r="B85" s="659"/>
      <c r="C85" s="661"/>
      <c r="D85" s="662"/>
      <c r="E85" s="667"/>
      <c r="F85" s="667"/>
      <c r="G85" s="667"/>
      <c r="H85" s="667"/>
      <c r="I85" s="662"/>
      <c r="J85" s="82"/>
    </row>
    <row r="86" spans="1:10" ht="18.75" customHeight="1">
      <c r="A86" s="641"/>
      <c r="B86"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86" s="664" t="str">
        <f ca="1">IFERROR(IF(INDEX('WPTM - Section F'!Q$1:Q$100,MATCH($A55,'WPTM - Section F'!$A$1:$A$100,0))&lt;&gt;0,INDEX('WPTM - Section F'!Q$1:Q$100,MATCH($A55,'WPTM - Section F'!$A$1:$A$100,0)),""),"")</f>
        <v/>
      </c>
      <c r="D86" s="665"/>
      <c r="E86" s="666" t="str">
        <f>IFERROR(IF(INDEX('WPTM - Section F'!R$1:R$100,MATCH($A55,'WPTM - Section F'!$A$1:$A$100,0))&lt;&gt;0,INDEX('WPTM - Section F'!R$1:R$100,MATCH($A55,'WPTM - Section F'!$A$1:$A$100,0)),""),"")</f>
        <v/>
      </c>
      <c r="F86" s="666"/>
      <c r="G86" s="666"/>
      <c r="H86" s="666"/>
      <c r="I86" s="665"/>
      <c r="J86" s="82"/>
    </row>
    <row r="87" spans="1:10" ht="18.75" customHeight="1">
      <c r="A87" s="641"/>
      <c r="B87" s="658"/>
      <c r="C87" s="643"/>
      <c r="D87" s="660"/>
      <c r="E87" s="644"/>
      <c r="F87" s="644"/>
      <c r="G87" s="644"/>
      <c r="H87" s="644"/>
      <c r="I87" s="660"/>
      <c r="J87" s="82"/>
    </row>
    <row r="88" spans="1:10" ht="18.75" customHeight="1">
      <c r="A88" s="641"/>
      <c r="B88" s="658"/>
      <c r="C88" s="643"/>
      <c r="D88" s="660"/>
      <c r="E88" s="644"/>
      <c r="F88" s="644"/>
      <c r="G88" s="644"/>
      <c r="H88" s="644"/>
      <c r="I88" s="660"/>
      <c r="J88" s="82"/>
    </row>
    <row r="89" spans="1:10" ht="18.75" customHeight="1">
      <c r="A89" s="641"/>
      <c r="B89" s="658"/>
      <c r="C89" s="643"/>
      <c r="D89" s="660"/>
      <c r="E89" s="644"/>
      <c r="F89" s="644"/>
      <c r="G89" s="644"/>
      <c r="H89" s="644"/>
      <c r="I89" s="660"/>
      <c r="J89" s="82"/>
    </row>
    <row r="90" spans="1:10" ht="18.75" customHeight="1">
      <c r="A90" s="641"/>
      <c r="B90" s="659"/>
      <c r="C90" s="661"/>
      <c r="D90" s="662"/>
      <c r="E90" s="667"/>
      <c r="F90" s="667"/>
      <c r="G90" s="667"/>
      <c r="H90" s="667"/>
      <c r="I90" s="662"/>
      <c r="J90" s="82"/>
    </row>
    <row r="91" spans="1:10" ht="18.75" customHeight="1">
      <c r="A91" s="641"/>
      <c r="B91"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91" s="664" t="str">
        <f ca="1">IFERROR(IF(INDEX('WPTM - Section F'!S$1:S$100,MATCH($A55,'WPTM - Section F'!$A$1:$A$100,0))&lt;&gt;0,INDEX('WPTM - Section F'!S$1:S$100,MATCH($A55,'WPTM - Section F'!$A$1:$A$100,0)),""),"")</f>
        <v/>
      </c>
      <c r="D91" s="665"/>
      <c r="E91" s="666" t="str">
        <f>IFERROR(IF(INDEX('WPTM - Section F'!T$1:T$100,MATCH($A55,'WPTM - Section F'!$A$1:$A$100,0))&lt;&gt;0,INDEX('WPTM - Section F'!T$1:T$100,MATCH($A55,'WPTM - Section F'!$A$1:$A$100,0)),""),"")</f>
        <v/>
      </c>
      <c r="F91" s="666"/>
      <c r="G91" s="666"/>
      <c r="H91" s="666"/>
      <c r="I91" s="665"/>
      <c r="J91" s="82"/>
    </row>
    <row r="92" spans="1:10" ht="18.75" customHeight="1">
      <c r="A92" s="641"/>
      <c r="B92" s="658"/>
      <c r="C92" s="643"/>
      <c r="D92" s="660"/>
      <c r="E92" s="644"/>
      <c r="F92" s="644"/>
      <c r="G92" s="644"/>
      <c r="H92" s="644"/>
      <c r="I92" s="660"/>
      <c r="J92" s="82"/>
    </row>
    <row r="93" spans="1:10" ht="18.75" customHeight="1">
      <c r="A93" s="641"/>
      <c r="B93" s="658"/>
      <c r="C93" s="643"/>
      <c r="D93" s="660"/>
      <c r="E93" s="644"/>
      <c r="F93" s="644"/>
      <c r="G93" s="644"/>
      <c r="H93" s="644"/>
      <c r="I93" s="660"/>
      <c r="J93" s="82"/>
    </row>
    <row r="94" spans="1:10" ht="18.75" customHeight="1">
      <c r="A94" s="641"/>
      <c r="B94" s="658"/>
      <c r="C94" s="643"/>
      <c r="D94" s="660"/>
      <c r="E94" s="644"/>
      <c r="F94" s="644"/>
      <c r="G94" s="644"/>
      <c r="H94" s="644"/>
      <c r="I94" s="660"/>
      <c r="J94" s="82"/>
    </row>
    <row r="95" spans="1:10" ht="18.75" customHeight="1">
      <c r="A95" s="641"/>
      <c r="B95" s="659"/>
      <c r="C95" s="661"/>
      <c r="D95" s="662"/>
      <c r="E95" s="667"/>
      <c r="F95" s="667"/>
      <c r="G95" s="667"/>
      <c r="H95" s="667"/>
      <c r="I95" s="662"/>
      <c r="J95" s="82"/>
    </row>
    <row r="96" spans="1:10" ht="18.75" customHeight="1">
      <c r="A96" s="641"/>
      <c r="B96"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96" s="664" t="str">
        <f>IFERROR(IF(INDEX('WPTM - Section F'!U$1:U$100,MATCH($A55,'WPTM - Section F'!$A$1:$A$100,0))&lt;&gt;0,INDEX('WPTM - Section F'!U$1:U$100,MATCH($A55,'WPTM - Section F'!$A$1:$A$100,0)),""),"")</f>
        <v/>
      </c>
      <c r="D96" s="665"/>
      <c r="E96" s="666" t="str">
        <f>IFERROR(IF(INDEX('WPTM - Section F'!V$1:V$100,MATCH($A55,'WPTM - Section F'!$A$1:$A$100,0))&lt;&gt;0,INDEX('WPTM - Section F'!V$1:V$100,MATCH($A55,'WPTM - Section F'!$A$1:$A$100,0)),""),"")</f>
        <v/>
      </c>
      <c r="F96" s="666"/>
      <c r="G96" s="666"/>
      <c r="H96" s="666"/>
      <c r="I96" s="665"/>
      <c r="J96" s="82"/>
    </row>
    <row r="97" spans="1:10" ht="18.75" customHeight="1">
      <c r="A97" s="641"/>
      <c r="B97" s="658"/>
      <c r="C97" s="643"/>
      <c r="D97" s="660"/>
      <c r="E97" s="644"/>
      <c r="F97" s="644"/>
      <c r="G97" s="644"/>
      <c r="H97" s="644"/>
      <c r="I97" s="660"/>
      <c r="J97" s="82"/>
    </row>
    <row r="98" spans="1:10" ht="18.75" customHeight="1">
      <c r="A98" s="641"/>
      <c r="B98" s="658"/>
      <c r="C98" s="643"/>
      <c r="D98" s="660"/>
      <c r="E98" s="644"/>
      <c r="F98" s="644"/>
      <c r="G98" s="644"/>
      <c r="H98" s="644"/>
      <c r="I98" s="660"/>
      <c r="J98" s="82"/>
    </row>
    <row r="99" spans="1:10" ht="18.75" customHeight="1">
      <c r="A99" s="641"/>
      <c r="B99" s="658"/>
      <c r="C99" s="643"/>
      <c r="D99" s="660"/>
      <c r="E99" s="644"/>
      <c r="F99" s="644"/>
      <c r="G99" s="644"/>
      <c r="H99" s="644"/>
      <c r="I99" s="660"/>
      <c r="J99" s="82"/>
    </row>
    <row r="100" spans="1:10" ht="18.75" customHeight="1">
      <c r="A100" s="641"/>
      <c r="B100" s="658"/>
      <c r="C100" s="643"/>
      <c r="D100" s="660"/>
      <c r="E100" s="644"/>
      <c r="F100" s="644"/>
      <c r="G100" s="644"/>
      <c r="H100" s="644"/>
      <c r="I100" s="660"/>
      <c r="J100" s="82"/>
    </row>
    <row r="101" spans="1:10" ht="18.75" customHeight="1">
      <c r="A101" s="654"/>
      <c r="B101" s="656"/>
      <c r="C101" s="656"/>
      <c r="D101" s="656"/>
      <c r="E101" s="656"/>
      <c r="F101" s="656"/>
      <c r="G101" s="656"/>
      <c r="H101" s="656"/>
      <c r="I101" s="655"/>
      <c r="J101" s="82"/>
    </row>
    <row r="103" spans="1:10" ht="18.75" customHeight="1">
      <c r="A103" s="107" t="s">
        <v>5051</v>
      </c>
      <c r="B103" s="107" t="s">
        <v>1077</v>
      </c>
      <c r="C103" s="631" t="str">
        <f>IFERROR(IF(INDEX('WPTM - Section F'!B$1:B$100,MATCH($A104,'WPTM - Section F'!$A$1:$A$100,0))&lt;&gt;0,INDEX('WPTM - Section F'!B$1:B$100,MATCH($A104,'WPTM - Section F'!$A$1:$A$100,0)),""),"")</f>
        <v/>
      </c>
      <c r="D103" s="632"/>
      <c r="E103" s="632"/>
      <c r="F103" s="632"/>
      <c r="G103" s="632"/>
      <c r="H103" s="632"/>
      <c r="I103" s="649"/>
      <c r="J103" s="82"/>
    </row>
    <row r="104" spans="1:10" ht="18.75" customHeight="1">
      <c r="A104" s="640">
        <v>3</v>
      </c>
      <c r="B104" s="105" t="s">
        <v>258</v>
      </c>
      <c r="C104" s="631" t="str">
        <f>IFERROR(IF(INDEX('WPTM - Section F'!C$1:C$100,MATCH($A104,'WPTM - Section F'!$A$1:$A$100,0))&lt;&gt;0,INDEX('WPTM - Section F'!C$1:C$100,MATCH($A104,'WPTM - Section F'!$A$1:$A$100,0)),""),"")</f>
        <v/>
      </c>
      <c r="D104" s="632"/>
      <c r="E104" s="632"/>
      <c r="F104" s="632"/>
      <c r="G104" s="632"/>
      <c r="H104" s="632"/>
      <c r="I104" s="649"/>
      <c r="J104" s="82"/>
    </row>
    <row r="105" spans="1:10" ht="18.75" customHeight="1">
      <c r="A105" s="641"/>
      <c r="B105" s="625" t="s">
        <v>4383</v>
      </c>
      <c r="C105" s="626"/>
      <c r="D105" s="626"/>
      <c r="E105" s="626"/>
      <c r="F105" s="650" t="s">
        <v>127</v>
      </c>
      <c r="G105" s="626"/>
      <c r="H105" s="626"/>
      <c r="I105" s="646"/>
      <c r="J105" s="82"/>
    </row>
    <row r="106" spans="1:10" ht="18.75" customHeight="1">
      <c r="A106" s="641"/>
      <c r="B106" s="634" t="str">
        <f>IFERROR(IF(INDEX('WPTM - Section F'!D$1:D$100,MATCH($A104,'WPTM - Section F'!$A$1:$A$100,0))&lt;&gt;0,INDEX('WPTM - Section F'!D$1:D$100,MATCH($A104,'WPTM - Section F'!$A$1:$A$100,0)),""),"")</f>
        <v/>
      </c>
      <c r="C106" s="635"/>
      <c r="D106" s="635"/>
      <c r="E106" s="635"/>
      <c r="F106" s="651" t="str">
        <f>IFERROR(IF(INDEX('WPTM - Section F'!F$1:F$100,MATCH($A104,'WPTM - Section F'!$A$1:$A$100,0))&lt;&gt;0,INDEX('WPTM - Section F'!F$1:F$100,MATCH($A104,'WPTM - Section F'!$A$1:$A$100,0)),""),"")</f>
        <v/>
      </c>
      <c r="G106" s="632"/>
      <c r="H106" s="632"/>
      <c r="I106" s="649"/>
      <c r="J106" s="82"/>
    </row>
    <row r="107" spans="1:10" ht="18.75" customHeight="1">
      <c r="A107" s="641"/>
      <c r="B107" s="643"/>
      <c r="C107" s="644"/>
      <c r="D107" s="644"/>
      <c r="E107" s="644"/>
      <c r="F107" s="650" t="s">
        <v>120</v>
      </c>
      <c r="G107" s="626"/>
      <c r="H107" s="626"/>
      <c r="I107" s="646"/>
      <c r="J107" s="82"/>
    </row>
    <row r="108" spans="1:10" ht="18.75" customHeight="1">
      <c r="A108" s="641"/>
      <c r="B108" s="643"/>
      <c r="C108" s="644"/>
      <c r="D108" s="644"/>
      <c r="E108" s="644"/>
      <c r="F108" s="652" t="str">
        <f ca="1">IFERROR(IF(AND('Overview - Section A'!AS$1="Grant Making",B106&lt;&gt;""),Setup!I15,IF(INDEX('WPTM - Section F'!E$1:E$100,MATCH($A104,'WPTM - Section F'!$A$1:$A$100,0))&lt;&gt;0,INDEX('WPTM - Section F'!E$1:E$100,MATCH($A104,'WPTM - Section F'!$A$1:$A$100,0)),"")),"")</f>
        <v/>
      </c>
      <c r="G108" s="635"/>
      <c r="H108" s="635"/>
      <c r="I108" s="653"/>
      <c r="J108" s="82"/>
    </row>
    <row r="109" spans="1:10" ht="18.75" customHeight="1">
      <c r="A109" s="641"/>
      <c r="B109" s="106"/>
      <c r="C109" s="654" t="s">
        <v>4552</v>
      </c>
      <c r="D109" s="655"/>
      <c r="E109" s="656" t="s">
        <v>5035</v>
      </c>
      <c r="F109" s="656"/>
      <c r="G109" s="656"/>
      <c r="H109" s="656"/>
      <c r="I109" s="655"/>
      <c r="J109" s="82"/>
    </row>
    <row r="110" spans="1:10" ht="18.75" customHeight="1">
      <c r="A110" s="641"/>
      <c r="B110"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110" s="634" t="str">
        <f ca="1">IFERROR(IF(INDEX('WPTM - Section F'!G$1:G$100,MATCH($A104,'WPTM - Section F'!$A$1:$A$100,0))&lt;&gt;0,INDEX('WPTM - Section F'!G$1:G$100,MATCH($A104,'WPTM - Section F'!$A$1:$A$100,0)),""),"")</f>
        <v/>
      </c>
      <c r="D110" s="653"/>
      <c r="E110" s="635" t="str">
        <f>IFERROR(IF(INDEX('WPTM - Section F'!H$1:H$100,MATCH($A104,'WPTM - Section F'!$A$1:$A$100,0))&lt;&gt;0,INDEX('WPTM - Section F'!H$1:H$100,MATCH($A104,'WPTM - Section F'!$A$1:$A$100,0)),""),"")</f>
        <v/>
      </c>
      <c r="F110" s="635"/>
      <c r="G110" s="635"/>
      <c r="H110" s="635"/>
      <c r="I110" s="653"/>
      <c r="J110" s="82"/>
    </row>
    <row r="111" spans="1:10" ht="18.75" customHeight="1">
      <c r="A111" s="641"/>
      <c r="B111" s="658"/>
      <c r="C111" s="643"/>
      <c r="D111" s="660"/>
      <c r="E111" s="644"/>
      <c r="F111" s="644"/>
      <c r="G111" s="644"/>
      <c r="H111" s="644"/>
      <c r="I111" s="660"/>
      <c r="J111" s="82"/>
    </row>
    <row r="112" spans="1:10" ht="18.75" customHeight="1">
      <c r="A112" s="641"/>
      <c r="B112" s="658"/>
      <c r="C112" s="643"/>
      <c r="D112" s="660"/>
      <c r="E112" s="644"/>
      <c r="F112" s="644"/>
      <c r="G112" s="644"/>
      <c r="H112" s="644"/>
      <c r="I112" s="660"/>
      <c r="J112" s="82"/>
    </row>
    <row r="113" spans="1:10" ht="18.75" customHeight="1">
      <c r="A113" s="641"/>
      <c r="B113" s="658"/>
      <c r="C113" s="643"/>
      <c r="D113" s="660"/>
      <c r="E113" s="644"/>
      <c r="F113" s="644"/>
      <c r="G113" s="644"/>
      <c r="H113" s="644"/>
      <c r="I113" s="660"/>
      <c r="J113" s="82"/>
    </row>
    <row r="114" spans="1:10" ht="18.75" customHeight="1">
      <c r="A114" s="641"/>
      <c r="B114" s="659"/>
      <c r="C114" s="661"/>
      <c r="D114" s="662"/>
      <c r="E114" s="667"/>
      <c r="F114" s="667"/>
      <c r="G114" s="667"/>
      <c r="H114" s="667"/>
      <c r="I114" s="662"/>
      <c r="J114" s="82"/>
    </row>
    <row r="115" spans="1:10" ht="18.75" customHeight="1">
      <c r="A115" s="641"/>
      <c r="B115"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115" s="664" t="str">
        <f ca="1">IFERROR(IF(INDEX('WPTM - Section F'!I$1:I$100,MATCH($A104,'WPTM - Section F'!$A$1:$A$100,0))&lt;&gt;0,INDEX('WPTM - Section F'!I$1:I$100,MATCH($A104,'WPTM - Section F'!$A$1:$A$100,0)),""),"")</f>
        <v/>
      </c>
      <c r="D115" s="665"/>
      <c r="E115" s="666" t="str">
        <f>IFERROR(IF(INDEX('WPTM - Section F'!J$1:J$100,MATCH($A104,'WPTM - Section F'!$A$1:$A$100,0))&lt;&gt;0,INDEX('WPTM - Section F'!J$1:J$100,MATCH($A104,'WPTM - Section F'!$A$1:$A$100,0)),""),"")</f>
        <v/>
      </c>
      <c r="F115" s="666"/>
      <c r="G115" s="666"/>
      <c r="H115" s="666"/>
      <c r="I115" s="665"/>
      <c r="J115" s="82"/>
    </row>
    <row r="116" spans="1:10" ht="18.75" customHeight="1">
      <c r="A116" s="641"/>
      <c r="B116" s="658"/>
      <c r="C116" s="643"/>
      <c r="D116" s="660"/>
      <c r="E116" s="644"/>
      <c r="F116" s="644"/>
      <c r="G116" s="644"/>
      <c r="H116" s="644"/>
      <c r="I116" s="660"/>
      <c r="J116" s="82"/>
    </row>
    <row r="117" spans="1:10" ht="18.75" customHeight="1">
      <c r="A117" s="641"/>
      <c r="B117" s="658"/>
      <c r="C117" s="643"/>
      <c r="D117" s="660"/>
      <c r="E117" s="644"/>
      <c r="F117" s="644"/>
      <c r="G117" s="644"/>
      <c r="H117" s="644"/>
      <c r="I117" s="660"/>
      <c r="J117" s="82"/>
    </row>
    <row r="118" spans="1:10" ht="18.75" customHeight="1">
      <c r="A118" s="641"/>
      <c r="B118" s="658"/>
      <c r="C118" s="643"/>
      <c r="D118" s="660"/>
      <c r="E118" s="644"/>
      <c r="F118" s="644"/>
      <c r="G118" s="644"/>
      <c r="H118" s="644"/>
      <c r="I118" s="660"/>
      <c r="J118" s="82"/>
    </row>
    <row r="119" spans="1:10" ht="18.75" customHeight="1">
      <c r="A119" s="641"/>
      <c r="B119" s="659"/>
      <c r="C119" s="661"/>
      <c r="D119" s="662"/>
      <c r="E119" s="667"/>
      <c r="F119" s="667"/>
      <c r="G119" s="667"/>
      <c r="H119" s="667"/>
      <c r="I119" s="662"/>
      <c r="J119" s="82"/>
    </row>
    <row r="120" spans="1:10" ht="18.75" customHeight="1">
      <c r="A120" s="641"/>
      <c r="B120"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120" s="664" t="str">
        <f ca="1">IFERROR(IF(INDEX('WPTM - Section F'!K$1:K$100,MATCH($A104,'WPTM - Section F'!$A$1:$A$100,0))&lt;&gt;0,INDEX('WPTM - Section F'!K$1:K$100,MATCH($A104,'WPTM - Section F'!$A$1:$A$100,0)),""),"")</f>
        <v/>
      </c>
      <c r="D120" s="665"/>
      <c r="E120" s="666" t="str">
        <f>IFERROR(IF(INDEX('WPTM - Section F'!L$1:L$100,MATCH($A104,'WPTM - Section F'!$A$1:$A$100,0))&lt;&gt;0,INDEX('WPTM - Section F'!L$1:L$100,MATCH($A104,'WPTM - Section F'!$A$1:$A$100,0)),""),"")</f>
        <v/>
      </c>
      <c r="F120" s="666"/>
      <c r="G120" s="666"/>
      <c r="H120" s="666"/>
      <c r="I120" s="665"/>
      <c r="J120" s="82"/>
    </row>
    <row r="121" spans="1:10" ht="18.75" customHeight="1">
      <c r="A121" s="641"/>
      <c r="B121" s="658"/>
      <c r="C121" s="643"/>
      <c r="D121" s="660"/>
      <c r="E121" s="644"/>
      <c r="F121" s="644"/>
      <c r="G121" s="644"/>
      <c r="H121" s="644"/>
      <c r="I121" s="660"/>
      <c r="J121" s="82"/>
    </row>
    <row r="122" spans="1:10" ht="18.75" customHeight="1">
      <c r="A122" s="641"/>
      <c r="B122" s="658"/>
      <c r="C122" s="643"/>
      <c r="D122" s="660"/>
      <c r="E122" s="644"/>
      <c r="F122" s="644"/>
      <c r="G122" s="644"/>
      <c r="H122" s="644"/>
      <c r="I122" s="660"/>
      <c r="J122" s="82"/>
    </row>
    <row r="123" spans="1:10" ht="18.75" customHeight="1">
      <c r="A123" s="641"/>
      <c r="B123" s="658"/>
      <c r="C123" s="643"/>
      <c r="D123" s="660"/>
      <c r="E123" s="644"/>
      <c r="F123" s="644"/>
      <c r="G123" s="644"/>
      <c r="H123" s="644"/>
      <c r="I123" s="660"/>
      <c r="J123" s="82"/>
    </row>
    <row r="124" spans="1:10" ht="18.75" customHeight="1">
      <c r="A124" s="641"/>
      <c r="B124" s="659"/>
      <c r="C124" s="661"/>
      <c r="D124" s="662"/>
      <c r="E124" s="667"/>
      <c r="F124" s="667"/>
      <c r="G124" s="667"/>
      <c r="H124" s="667"/>
      <c r="I124" s="662"/>
      <c r="J124" s="82"/>
    </row>
    <row r="125" spans="1:10" ht="18.75" customHeight="1">
      <c r="A125" s="641"/>
      <c r="B125"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125" s="664" t="str">
        <f ca="1">IFERROR(IF(INDEX('WPTM - Section F'!M$1:M$100,MATCH($A104,'WPTM - Section F'!$A$1:$A$100,0))&lt;&gt;0,INDEX('WPTM - Section F'!M$1:M$100,MATCH($A104,'WPTM - Section F'!$A$1:$A$100,0)),""),"")</f>
        <v/>
      </c>
      <c r="D125" s="665"/>
      <c r="E125" s="666" t="str">
        <f>IFERROR(IF(INDEX('WPTM - Section F'!N$1:N$100,MATCH($A104,'WPTM - Section F'!$A$1:$A$100,0))&lt;&gt;0,INDEX('WPTM - Section F'!N$1:N$100,MATCH($A104,'WPTM - Section F'!$A$1:$A$100,0)),""),"")</f>
        <v/>
      </c>
      <c r="F125" s="666"/>
      <c r="G125" s="666"/>
      <c r="H125" s="666"/>
      <c r="I125" s="665"/>
      <c r="J125" s="82"/>
    </row>
    <row r="126" spans="1:10" ht="18.75" customHeight="1">
      <c r="A126" s="641"/>
      <c r="B126" s="658"/>
      <c r="C126" s="643"/>
      <c r="D126" s="660"/>
      <c r="E126" s="644"/>
      <c r="F126" s="644"/>
      <c r="G126" s="644"/>
      <c r="H126" s="644"/>
      <c r="I126" s="660"/>
      <c r="J126" s="82"/>
    </row>
    <row r="127" spans="1:10" ht="18.75" customHeight="1">
      <c r="A127" s="641"/>
      <c r="B127" s="658"/>
      <c r="C127" s="643"/>
      <c r="D127" s="660"/>
      <c r="E127" s="644"/>
      <c r="F127" s="644"/>
      <c r="G127" s="644"/>
      <c r="H127" s="644"/>
      <c r="I127" s="660"/>
      <c r="J127" s="82"/>
    </row>
    <row r="128" spans="1:10" ht="18.75" customHeight="1">
      <c r="A128" s="641"/>
      <c r="B128" s="658"/>
      <c r="C128" s="643"/>
      <c r="D128" s="660"/>
      <c r="E128" s="644"/>
      <c r="F128" s="644"/>
      <c r="G128" s="644"/>
      <c r="H128" s="644"/>
      <c r="I128" s="660"/>
      <c r="J128" s="82"/>
    </row>
    <row r="129" spans="1:10" ht="18.75" customHeight="1">
      <c r="A129" s="641"/>
      <c r="B129" s="659"/>
      <c r="C129" s="661"/>
      <c r="D129" s="662"/>
      <c r="E129" s="667"/>
      <c r="F129" s="667"/>
      <c r="G129" s="667"/>
      <c r="H129" s="667"/>
      <c r="I129" s="662"/>
      <c r="J129" s="82"/>
    </row>
    <row r="130" spans="1:10" ht="18.75" customHeight="1">
      <c r="A130" s="641"/>
      <c r="B130"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130" s="664" t="str">
        <f ca="1">IFERROR(IF(INDEX('WPTM - Section F'!O$1:O$100,MATCH($A104,'WPTM - Section F'!$A$1:$A$100,0))&lt;&gt;0,INDEX('WPTM - Section F'!O$1:O$100,MATCH($A104,'WPTM - Section F'!$A$1:$A$100,0)),""),"")</f>
        <v/>
      </c>
      <c r="D130" s="665"/>
      <c r="E130" s="666" t="str">
        <f>IFERROR(IF(INDEX('WPTM - Section F'!P$1:P$100,MATCH($A104,'WPTM - Section F'!$A$1:$A$100,0))&lt;&gt;0,INDEX('WPTM - Section F'!P$1:P$100,MATCH($A104,'WPTM - Section F'!$A$1:$A$100,0)),""),"")</f>
        <v/>
      </c>
      <c r="F130" s="666"/>
      <c r="G130" s="666"/>
      <c r="H130" s="666"/>
      <c r="I130" s="665"/>
      <c r="J130" s="82"/>
    </row>
    <row r="131" spans="1:10" ht="18.75" customHeight="1">
      <c r="A131" s="641"/>
      <c r="B131" s="658"/>
      <c r="C131" s="643"/>
      <c r="D131" s="660"/>
      <c r="E131" s="644"/>
      <c r="F131" s="644"/>
      <c r="G131" s="644"/>
      <c r="H131" s="644"/>
      <c r="I131" s="660"/>
      <c r="J131" s="82"/>
    </row>
    <row r="132" spans="1:10" ht="18.75" customHeight="1">
      <c r="A132" s="641"/>
      <c r="B132" s="658"/>
      <c r="C132" s="643"/>
      <c r="D132" s="660"/>
      <c r="E132" s="644"/>
      <c r="F132" s="644"/>
      <c r="G132" s="644"/>
      <c r="H132" s="644"/>
      <c r="I132" s="660"/>
      <c r="J132" s="82"/>
    </row>
    <row r="133" spans="1:10" ht="18.75" customHeight="1">
      <c r="A133" s="641"/>
      <c r="B133" s="658"/>
      <c r="C133" s="643"/>
      <c r="D133" s="660"/>
      <c r="E133" s="644"/>
      <c r="F133" s="644"/>
      <c r="G133" s="644"/>
      <c r="H133" s="644"/>
      <c r="I133" s="660"/>
      <c r="J133" s="82"/>
    </row>
    <row r="134" spans="1:10" ht="18.75" customHeight="1">
      <c r="A134" s="641"/>
      <c r="B134" s="659"/>
      <c r="C134" s="661"/>
      <c r="D134" s="662"/>
      <c r="E134" s="667"/>
      <c r="F134" s="667"/>
      <c r="G134" s="667"/>
      <c r="H134" s="667"/>
      <c r="I134" s="662"/>
      <c r="J134" s="82"/>
    </row>
    <row r="135" spans="1:10" ht="18.75" customHeight="1">
      <c r="A135" s="641"/>
      <c r="B135"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135" s="664" t="str">
        <f ca="1">IFERROR(IF(INDEX('WPTM - Section F'!Q$1:Q$100,MATCH($A104,'WPTM - Section F'!$A$1:$A$100,0))&lt;&gt;0,INDEX('WPTM - Section F'!Q$1:Q$100,MATCH($A104,'WPTM - Section F'!$A$1:$A$100,0)),""),"")</f>
        <v/>
      </c>
      <c r="D135" s="665"/>
      <c r="E135" s="666" t="str">
        <f>IFERROR(IF(INDEX('WPTM - Section F'!R$1:R$100,MATCH($A104,'WPTM - Section F'!$A$1:$A$100,0))&lt;&gt;0,INDEX('WPTM - Section F'!R$1:R$100,MATCH($A104,'WPTM - Section F'!$A$1:$A$100,0)),""),"")</f>
        <v/>
      </c>
      <c r="F135" s="666"/>
      <c r="G135" s="666"/>
      <c r="H135" s="666"/>
      <c r="I135" s="665"/>
      <c r="J135" s="82"/>
    </row>
    <row r="136" spans="1:10" ht="18.75" customHeight="1">
      <c r="A136" s="641"/>
      <c r="B136" s="658"/>
      <c r="C136" s="643"/>
      <c r="D136" s="660"/>
      <c r="E136" s="644"/>
      <c r="F136" s="644"/>
      <c r="G136" s="644"/>
      <c r="H136" s="644"/>
      <c r="I136" s="660"/>
      <c r="J136" s="82"/>
    </row>
    <row r="137" spans="1:10" ht="18.75" customHeight="1">
      <c r="A137" s="641"/>
      <c r="B137" s="658"/>
      <c r="C137" s="643"/>
      <c r="D137" s="660"/>
      <c r="E137" s="644"/>
      <c r="F137" s="644"/>
      <c r="G137" s="644"/>
      <c r="H137" s="644"/>
      <c r="I137" s="660"/>
      <c r="J137" s="82"/>
    </row>
    <row r="138" spans="1:10" ht="18.75" customHeight="1">
      <c r="A138" s="641"/>
      <c r="B138" s="658"/>
      <c r="C138" s="643"/>
      <c r="D138" s="660"/>
      <c r="E138" s="644"/>
      <c r="F138" s="644"/>
      <c r="G138" s="644"/>
      <c r="H138" s="644"/>
      <c r="I138" s="660"/>
      <c r="J138" s="82"/>
    </row>
    <row r="139" spans="1:10" ht="18.75" customHeight="1">
      <c r="A139" s="641"/>
      <c r="B139" s="659"/>
      <c r="C139" s="661"/>
      <c r="D139" s="662"/>
      <c r="E139" s="667"/>
      <c r="F139" s="667"/>
      <c r="G139" s="667"/>
      <c r="H139" s="667"/>
      <c r="I139" s="662"/>
      <c r="J139" s="82"/>
    </row>
    <row r="140" spans="1:10" ht="18.75" customHeight="1">
      <c r="A140" s="641"/>
      <c r="B140"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140" s="664" t="str">
        <f ca="1">IFERROR(IF(INDEX('WPTM - Section F'!S$1:S$100,MATCH($A104,'WPTM - Section F'!$A$1:$A$100,0))&lt;&gt;0,INDEX('WPTM - Section F'!S$1:S$100,MATCH($A104,'WPTM - Section F'!$A$1:$A$100,0)),""),"")</f>
        <v/>
      </c>
      <c r="D140" s="665"/>
      <c r="E140" s="666" t="str">
        <f>IFERROR(IF(INDEX('WPTM - Section F'!T$1:T$100,MATCH($A104,'WPTM - Section F'!$A$1:$A$100,0))&lt;&gt;0,INDEX('WPTM - Section F'!T$1:T$100,MATCH($A104,'WPTM - Section F'!$A$1:$A$100,0)),""),"")</f>
        <v/>
      </c>
      <c r="F140" s="666"/>
      <c r="G140" s="666"/>
      <c r="H140" s="666"/>
      <c r="I140" s="665"/>
      <c r="J140" s="82"/>
    </row>
    <row r="141" spans="1:10" ht="18.75" customHeight="1">
      <c r="A141" s="641"/>
      <c r="B141" s="658"/>
      <c r="C141" s="643"/>
      <c r="D141" s="660"/>
      <c r="E141" s="644"/>
      <c r="F141" s="644"/>
      <c r="G141" s="644"/>
      <c r="H141" s="644"/>
      <c r="I141" s="660"/>
      <c r="J141" s="82"/>
    </row>
    <row r="142" spans="1:10" ht="18.75" customHeight="1">
      <c r="A142" s="641"/>
      <c r="B142" s="658"/>
      <c r="C142" s="643"/>
      <c r="D142" s="660"/>
      <c r="E142" s="644"/>
      <c r="F142" s="644"/>
      <c r="G142" s="644"/>
      <c r="H142" s="644"/>
      <c r="I142" s="660"/>
      <c r="J142" s="82"/>
    </row>
    <row r="143" spans="1:10" ht="18.75" customHeight="1">
      <c r="A143" s="641"/>
      <c r="B143" s="658"/>
      <c r="C143" s="643"/>
      <c r="D143" s="660"/>
      <c r="E143" s="644"/>
      <c r="F143" s="644"/>
      <c r="G143" s="644"/>
      <c r="H143" s="644"/>
      <c r="I143" s="660"/>
      <c r="J143" s="82"/>
    </row>
    <row r="144" spans="1:10" ht="18.75" customHeight="1">
      <c r="A144" s="641"/>
      <c r="B144" s="659"/>
      <c r="C144" s="661"/>
      <c r="D144" s="662"/>
      <c r="E144" s="667"/>
      <c r="F144" s="667"/>
      <c r="G144" s="667"/>
      <c r="H144" s="667"/>
      <c r="I144" s="662"/>
      <c r="J144" s="82"/>
    </row>
    <row r="145" spans="1:10" ht="18.75" customHeight="1">
      <c r="A145" s="641"/>
      <c r="B145"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145" s="664" t="str">
        <f>IFERROR(IF(INDEX('WPTM - Section F'!U$1:U$100,MATCH($A104,'WPTM - Section F'!$A$1:$A$100,0))&lt;&gt;0,INDEX('WPTM - Section F'!U$1:U$100,MATCH($A104,'WPTM - Section F'!$A$1:$A$100,0)),""),"")</f>
        <v/>
      </c>
      <c r="D145" s="665"/>
      <c r="E145" s="666" t="str">
        <f>IFERROR(IF(INDEX('WPTM - Section F'!V$1:V$100,MATCH($A104,'WPTM - Section F'!$A$1:$A$100,0))&lt;&gt;0,INDEX('WPTM - Section F'!V$1:V$100,MATCH($A104,'WPTM - Section F'!$A$1:$A$100,0)),""),"")</f>
        <v/>
      </c>
      <c r="F145" s="666"/>
      <c r="G145" s="666"/>
      <c r="H145" s="666"/>
      <c r="I145" s="665"/>
      <c r="J145" s="82"/>
    </row>
    <row r="146" spans="1:10" ht="18.75" customHeight="1">
      <c r="A146" s="641"/>
      <c r="B146" s="658"/>
      <c r="C146" s="643"/>
      <c r="D146" s="660"/>
      <c r="E146" s="644"/>
      <c r="F146" s="644"/>
      <c r="G146" s="644"/>
      <c r="H146" s="644"/>
      <c r="I146" s="660"/>
      <c r="J146" s="82"/>
    </row>
    <row r="147" spans="1:10" ht="18.75" customHeight="1">
      <c r="A147" s="641"/>
      <c r="B147" s="658"/>
      <c r="C147" s="643"/>
      <c r="D147" s="660"/>
      <c r="E147" s="644"/>
      <c r="F147" s="644"/>
      <c r="G147" s="644"/>
      <c r="H147" s="644"/>
      <c r="I147" s="660"/>
      <c r="J147" s="82"/>
    </row>
    <row r="148" spans="1:10" ht="18.75" customHeight="1">
      <c r="A148" s="641"/>
      <c r="B148" s="658"/>
      <c r="C148" s="643"/>
      <c r="D148" s="660"/>
      <c r="E148" s="644"/>
      <c r="F148" s="644"/>
      <c r="G148" s="644"/>
      <c r="H148" s="644"/>
      <c r="I148" s="660"/>
      <c r="J148" s="82"/>
    </row>
    <row r="149" spans="1:10" ht="18.75" customHeight="1">
      <c r="A149" s="641"/>
      <c r="B149" s="658"/>
      <c r="C149" s="643"/>
      <c r="D149" s="660"/>
      <c r="E149" s="644"/>
      <c r="F149" s="644"/>
      <c r="G149" s="644"/>
      <c r="H149" s="644"/>
      <c r="I149" s="660"/>
      <c r="J149" s="82"/>
    </row>
    <row r="150" spans="1:10" ht="18.75" customHeight="1">
      <c r="A150" s="654"/>
      <c r="B150" s="656"/>
      <c r="C150" s="656"/>
      <c r="D150" s="656"/>
      <c r="E150" s="656"/>
      <c r="F150" s="656"/>
      <c r="G150" s="656"/>
      <c r="H150" s="656"/>
      <c r="I150" s="655"/>
      <c r="J150" s="82"/>
    </row>
    <row r="152" spans="1:10" ht="18.75" customHeight="1">
      <c r="A152" s="107" t="s">
        <v>5051</v>
      </c>
      <c r="B152" s="107" t="s">
        <v>1077</v>
      </c>
      <c r="C152" s="631" t="str">
        <f>IFERROR(IF(INDEX('WPTM - Section F'!B$1:B$100,MATCH($A153,'WPTM - Section F'!$A$1:$A$100,0))&lt;&gt;0,INDEX('WPTM - Section F'!B$1:B$100,MATCH($A153,'WPTM - Section F'!$A$1:$A$100,0)),""),"")</f>
        <v/>
      </c>
      <c r="D152" s="632"/>
      <c r="E152" s="632"/>
      <c r="F152" s="632"/>
      <c r="G152" s="632"/>
      <c r="H152" s="632"/>
      <c r="I152" s="649"/>
      <c r="J152" s="82"/>
    </row>
    <row r="153" spans="1:10" ht="18.75" customHeight="1">
      <c r="A153" s="640">
        <v>4</v>
      </c>
      <c r="B153" s="105" t="s">
        <v>258</v>
      </c>
      <c r="C153" s="631" t="str">
        <f>IFERROR(IF(INDEX('WPTM - Section F'!C$1:C$100,MATCH($A153,'WPTM - Section F'!$A$1:$A$100,0))&lt;&gt;0,INDEX('WPTM - Section F'!C$1:C$100,MATCH($A153,'WPTM - Section F'!$A$1:$A$100,0)),""),"")</f>
        <v/>
      </c>
      <c r="D153" s="632"/>
      <c r="E153" s="632"/>
      <c r="F153" s="632"/>
      <c r="G153" s="632"/>
      <c r="H153" s="632"/>
      <c r="I153" s="649"/>
      <c r="J153" s="82"/>
    </row>
    <row r="154" spans="1:10" ht="18.75" customHeight="1">
      <c r="A154" s="641"/>
      <c r="B154" s="625" t="s">
        <v>4383</v>
      </c>
      <c r="C154" s="626"/>
      <c r="D154" s="626"/>
      <c r="E154" s="626"/>
      <c r="F154" s="650" t="s">
        <v>127</v>
      </c>
      <c r="G154" s="626"/>
      <c r="H154" s="626"/>
      <c r="I154" s="646"/>
      <c r="J154" s="82"/>
    </row>
    <row r="155" spans="1:10" ht="18.75" customHeight="1">
      <c r="A155" s="641"/>
      <c r="B155" s="634" t="str">
        <f>IFERROR(IF(INDEX('WPTM - Section F'!D$1:D$100,MATCH($A153,'WPTM - Section F'!$A$1:$A$100,0))&lt;&gt;0,INDEX('WPTM - Section F'!D$1:D$100,MATCH($A153,'WPTM - Section F'!$A$1:$A$100,0)),""),"")</f>
        <v/>
      </c>
      <c r="C155" s="635"/>
      <c r="D155" s="635"/>
      <c r="E155" s="635"/>
      <c r="F155" s="651" t="str">
        <f>IFERROR(IF(INDEX('WPTM - Section F'!F$1:F$100,MATCH($A153,'WPTM - Section F'!$A$1:$A$100,0))&lt;&gt;0,INDEX('WPTM - Section F'!F$1:F$100,MATCH($A153,'WPTM - Section F'!$A$1:$A$100,0)),""),"")</f>
        <v/>
      </c>
      <c r="G155" s="632"/>
      <c r="H155" s="632"/>
      <c r="I155" s="649"/>
      <c r="J155" s="82"/>
    </row>
    <row r="156" spans="1:10" ht="18.75" customHeight="1">
      <c r="A156" s="641"/>
      <c r="B156" s="643"/>
      <c r="C156" s="644"/>
      <c r="D156" s="644"/>
      <c r="E156" s="644"/>
      <c r="F156" s="650" t="s">
        <v>120</v>
      </c>
      <c r="G156" s="626"/>
      <c r="H156" s="626"/>
      <c r="I156" s="646"/>
      <c r="J156" s="82"/>
    </row>
    <row r="157" spans="1:10" ht="18.75" customHeight="1">
      <c r="A157" s="641"/>
      <c r="B157" s="643"/>
      <c r="C157" s="644"/>
      <c r="D157" s="644"/>
      <c r="E157" s="644"/>
      <c r="F157" s="652" t="str">
        <f ca="1">IFERROR(IF(AND('Overview - Section A'!AS$1="Grant Making",B155&lt;&gt;""),Setup!I15,IF(INDEX('WPTM - Section F'!E$1:E$100,MATCH($A153,'WPTM - Section F'!$A$1:$A$100,0))&lt;&gt;0,INDEX('WPTM - Section F'!E$1:E$100,MATCH($A153,'WPTM - Section F'!$A$1:$A$100,0)),"")),"")</f>
        <v/>
      </c>
      <c r="G157" s="635"/>
      <c r="H157" s="635"/>
      <c r="I157" s="653"/>
      <c r="J157" s="82"/>
    </row>
    <row r="158" spans="1:10" ht="18.75" customHeight="1">
      <c r="A158" s="641"/>
      <c r="B158" s="106"/>
      <c r="C158" s="654" t="s">
        <v>4552</v>
      </c>
      <c r="D158" s="655"/>
      <c r="E158" s="656" t="s">
        <v>5035</v>
      </c>
      <c r="F158" s="656"/>
      <c r="G158" s="656"/>
      <c r="H158" s="656"/>
      <c r="I158" s="655"/>
      <c r="J158" s="82"/>
    </row>
    <row r="159" spans="1:10" ht="18.75" customHeight="1">
      <c r="A159" s="641"/>
      <c r="B159"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159" s="634" t="str">
        <f ca="1">IFERROR(IF(INDEX('WPTM - Section F'!G$1:G$100,MATCH($A153,'WPTM - Section F'!$A$1:$A$100,0))&lt;&gt;0,INDEX('WPTM - Section F'!G$1:G$100,MATCH($A153,'WPTM - Section F'!$A$1:$A$100,0)),""),"")</f>
        <v/>
      </c>
      <c r="D159" s="653"/>
      <c r="E159" s="635" t="str">
        <f>IFERROR(IF(INDEX('WPTM - Section F'!H$1:H$100,MATCH($A153,'WPTM - Section F'!$A$1:$A$100,0))&lt;&gt;0,INDEX('WPTM - Section F'!H$1:H$100,MATCH($A153,'WPTM - Section F'!$A$1:$A$100,0)),""),"")</f>
        <v/>
      </c>
      <c r="F159" s="635"/>
      <c r="G159" s="635"/>
      <c r="H159" s="635"/>
      <c r="I159" s="653"/>
      <c r="J159" s="82"/>
    </row>
    <row r="160" spans="1:10" ht="18.75" customHeight="1">
      <c r="A160" s="641"/>
      <c r="B160" s="658"/>
      <c r="C160" s="643"/>
      <c r="D160" s="660"/>
      <c r="E160" s="644"/>
      <c r="F160" s="644"/>
      <c r="G160" s="644"/>
      <c r="H160" s="644"/>
      <c r="I160" s="660"/>
      <c r="J160" s="82"/>
    </row>
    <row r="161" spans="1:10" ht="18.75" customHeight="1">
      <c r="A161" s="641"/>
      <c r="B161" s="658"/>
      <c r="C161" s="643"/>
      <c r="D161" s="660"/>
      <c r="E161" s="644"/>
      <c r="F161" s="644"/>
      <c r="G161" s="644"/>
      <c r="H161" s="644"/>
      <c r="I161" s="660"/>
      <c r="J161" s="82"/>
    </row>
    <row r="162" spans="1:10" ht="18.75" customHeight="1">
      <c r="A162" s="641"/>
      <c r="B162" s="658"/>
      <c r="C162" s="643"/>
      <c r="D162" s="660"/>
      <c r="E162" s="644"/>
      <c r="F162" s="644"/>
      <c r="G162" s="644"/>
      <c r="H162" s="644"/>
      <c r="I162" s="660"/>
      <c r="J162" s="82"/>
    </row>
    <row r="163" spans="1:10" ht="18.75" customHeight="1">
      <c r="A163" s="641"/>
      <c r="B163" s="659"/>
      <c r="C163" s="661"/>
      <c r="D163" s="662"/>
      <c r="E163" s="667"/>
      <c r="F163" s="667"/>
      <c r="G163" s="667"/>
      <c r="H163" s="667"/>
      <c r="I163" s="662"/>
      <c r="J163" s="82"/>
    </row>
    <row r="164" spans="1:10" ht="18.75" customHeight="1">
      <c r="A164" s="641"/>
      <c r="B164"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164" s="664" t="str">
        <f ca="1">IFERROR(IF(INDEX('WPTM - Section F'!I$1:I$100,MATCH($A153,'WPTM - Section F'!$A$1:$A$100,0))&lt;&gt;0,INDEX('WPTM - Section F'!I$1:I$100,MATCH($A153,'WPTM - Section F'!$A$1:$A$100,0)),""),"")</f>
        <v/>
      </c>
      <c r="D164" s="665"/>
      <c r="E164" s="666" t="str">
        <f>IFERROR(IF(INDEX('WPTM - Section F'!J$1:J$100,MATCH($A153,'WPTM - Section F'!$A$1:$A$100,0))&lt;&gt;0,INDEX('WPTM - Section F'!J$1:J$100,MATCH($A153,'WPTM - Section F'!$A$1:$A$100,0)),""),"")</f>
        <v/>
      </c>
      <c r="F164" s="666"/>
      <c r="G164" s="666"/>
      <c r="H164" s="666"/>
      <c r="I164" s="665"/>
      <c r="J164" s="82"/>
    </row>
    <row r="165" spans="1:10" ht="18.75" customHeight="1">
      <c r="A165" s="641"/>
      <c r="B165" s="658"/>
      <c r="C165" s="643"/>
      <c r="D165" s="660"/>
      <c r="E165" s="644"/>
      <c r="F165" s="644"/>
      <c r="G165" s="644"/>
      <c r="H165" s="644"/>
      <c r="I165" s="660"/>
      <c r="J165" s="82"/>
    </row>
    <row r="166" spans="1:10" ht="18.75" customHeight="1">
      <c r="A166" s="641"/>
      <c r="B166" s="658"/>
      <c r="C166" s="643"/>
      <c r="D166" s="660"/>
      <c r="E166" s="644"/>
      <c r="F166" s="644"/>
      <c r="G166" s="644"/>
      <c r="H166" s="644"/>
      <c r="I166" s="660"/>
      <c r="J166" s="82"/>
    </row>
    <row r="167" spans="1:10" ht="18.75" customHeight="1">
      <c r="A167" s="641"/>
      <c r="B167" s="658"/>
      <c r="C167" s="643"/>
      <c r="D167" s="660"/>
      <c r="E167" s="644"/>
      <c r="F167" s="644"/>
      <c r="G167" s="644"/>
      <c r="H167" s="644"/>
      <c r="I167" s="660"/>
      <c r="J167" s="82"/>
    </row>
    <row r="168" spans="1:10" ht="18.75" customHeight="1">
      <c r="A168" s="641"/>
      <c r="B168" s="659"/>
      <c r="C168" s="661"/>
      <c r="D168" s="662"/>
      <c r="E168" s="667"/>
      <c r="F168" s="667"/>
      <c r="G168" s="667"/>
      <c r="H168" s="667"/>
      <c r="I168" s="662"/>
      <c r="J168" s="82"/>
    </row>
    <row r="169" spans="1:10" ht="18.75" customHeight="1">
      <c r="A169" s="641"/>
      <c r="B169"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169" s="664" t="str">
        <f ca="1">IFERROR(IF(INDEX('WPTM - Section F'!K$1:K$100,MATCH($A153,'WPTM - Section F'!$A$1:$A$100,0))&lt;&gt;0,INDEX('WPTM - Section F'!K$1:K$100,MATCH($A153,'WPTM - Section F'!$A$1:$A$100,0)),""),"")</f>
        <v/>
      </c>
      <c r="D169" s="665"/>
      <c r="E169" s="666" t="str">
        <f>IFERROR(IF(INDEX('WPTM - Section F'!L$1:L$100,MATCH($A153,'WPTM - Section F'!$A$1:$A$100,0))&lt;&gt;0,INDEX('WPTM - Section F'!L$1:L$100,MATCH($A153,'WPTM - Section F'!$A$1:$A$100,0)),""),"")</f>
        <v/>
      </c>
      <c r="F169" s="666"/>
      <c r="G169" s="666"/>
      <c r="H169" s="666"/>
      <c r="I169" s="665"/>
      <c r="J169" s="82"/>
    </row>
    <row r="170" spans="1:10" ht="18.75" customHeight="1">
      <c r="A170" s="641"/>
      <c r="B170" s="658"/>
      <c r="C170" s="643"/>
      <c r="D170" s="660"/>
      <c r="E170" s="644"/>
      <c r="F170" s="644"/>
      <c r="G170" s="644"/>
      <c r="H170" s="644"/>
      <c r="I170" s="660"/>
      <c r="J170" s="82"/>
    </row>
    <row r="171" spans="1:10" ht="18.75" customHeight="1">
      <c r="A171" s="641"/>
      <c r="B171" s="658"/>
      <c r="C171" s="643"/>
      <c r="D171" s="660"/>
      <c r="E171" s="644"/>
      <c r="F171" s="644"/>
      <c r="G171" s="644"/>
      <c r="H171" s="644"/>
      <c r="I171" s="660"/>
      <c r="J171" s="82"/>
    </row>
    <row r="172" spans="1:10" ht="18.75" customHeight="1">
      <c r="A172" s="641"/>
      <c r="B172" s="658"/>
      <c r="C172" s="643"/>
      <c r="D172" s="660"/>
      <c r="E172" s="644"/>
      <c r="F172" s="644"/>
      <c r="G172" s="644"/>
      <c r="H172" s="644"/>
      <c r="I172" s="660"/>
      <c r="J172" s="82"/>
    </row>
    <row r="173" spans="1:10" ht="18.75" customHeight="1">
      <c r="A173" s="641"/>
      <c r="B173" s="659"/>
      <c r="C173" s="661"/>
      <c r="D173" s="662"/>
      <c r="E173" s="667"/>
      <c r="F173" s="667"/>
      <c r="G173" s="667"/>
      <c r="H173" s="667"/>
      <c r="I173" s="662"/>
      <c r="J173" s="82"/>
    </row>
    <row r="174" spans="1:10" ht="18.75" customHeight="1">
      <c r="A174" s="641"/>
      <c r="B174"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174" s="664" t="str">
        <f ca="1">IFERROR(IF(INDEX('WPTM - Section F'!M$1:M$100,MATCH($A153,'WPTM - Section F'!$A$1:$A$100,0))&lt;&gt;0,INDEX('WPTM - Section F'!M$1:M$100,MATCH($A153,'WPTM - Section F'!$A$1:$A$100,0)),""),"")</f>
        <v/>
      </c>
      <c r="D174" s="665"/>
      <c r="E174" s="666" t="str">
        <f>IFERROR(IF(INDEX('WPTM - Section F'!N$1:N$100,MATCH($A153,'WPTM - Section F'!$A$1:$A$100,0))&lt;&gt;0,INDEX('WPTM - Section F'!N$1:N$100,MATCH($A153,'WPTM - Section F'!$A$1:$A$100,0)),""),"")</f>
        <v/>
      </c>
      <c r="F174" s="666"/>
      <c r="G174" s="666"/>
      <c r="H174" s="666"/>
      <c r="I174" s="665"/>
      <c r="J174" s="82"/>
    </row>
    <row r="175" spans="1:10" ht="18.75" customHeight="1">
      <c r="A175" s="641"/>
      <c r="B175" s="658"/>
      <c r="C175" s="643"/>
      <c r="D175" s="660"/>
      <c r="E175" s="644"/>
      <c r="F175" s="644"/>
      <c r="G175" s="644"/>
      <c r="H175" s="644"/>
      <c r="I175" s="660"/>
      <c r="J175" s="82"/>
    </row>
    <row r="176" spans="1:10" ht="18.75" customHeight="1">
      <c r="A176" s="641"/>
      <c r="B176" s="658"/>
      <c r="C176" s="643"/>
      <c r="D176" s="660"/>
      <c r="E176" s="644"/>
      <c r="F176" s="644"/>
      <c r="G176" s="644"/>
      <c r="H176" s="644"/>
      <c r="I176" s="660"/>
      <c r="J176" s="82"/>
    </row>
    <row r="177" spans="1:10" ht="18.75" customHeight="1">
      <c r="A177" s="641"/>
      <c r="B177" s="658"/>
      <c r="C177" s="643"/>
      <c r="D177" s="660"/>
      <c r="E177" s="644"/>
      <c r="F177" s="644"/>
      <c r="G177" s="644"/>
      <c r="H177" s="644"/>
      <c r="I177" s="660"/>
      <c r="J177" s="82"/>
    </row>
    <row r="178" spans="1:10" ht="18.75" customHeight="1">
      <c r="A178" s="641"/>
      <c r="B178" s="659"/>
      <c r="C178" s="661"/>
      <c r="D178" s="662"/>
      <c r="E178" s="667"/>
      <c r="F178" s="667"/>
      <c r="G178" s="667"/>
      <c r="H178" s="667"/>
      <c r="I178" s="662"/>
      <c r="J178" s="82"/>
    </row>
    <row r="179" spans="1:10" ht="18.75" customHeight="1">
      <c r="A179" s="641"/>
      <c r="B179"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179" s="664" t="str">
        <f ca="1">IFERROR(IF(INDEX('WPTM - Section F'!O$1:O$100,MATCH($A153,'WPTM - Section F'!$A$1:$A$100,0))&lt;&gt;0,INDEX('WPTM - Section F'!O$1:O$100,MATCH($A153,'WPTM - Section F'!$A$1:$A$100,0)),""),"")</f>
        <v/>
      </c>
      <c r="D179" s="665"/>
      <c r="E179" s="666" t="str">
        <f>IFERROR(IF(INDEX('WPTM - Section F'!P$1:P$100,MATCH($A153,'WPTM - Section F'!$A$1:$A$100,0))&lt;&gt;0,INDEX('WPTM - Section F'!P$1:P$100,MATCH($A153,'WPTM - Section F'!$A$1:$A$100,0)),""),"")</f>
        <v/>
      </c>
      <c r="F179" s="666"/>
      <c r="G179" s="666"/>
      <c r="H179" s="666"/>
      <c r="I179" s="665"/>
      <c r="J179" s="82"/>
    </row>
    <row r="180" spans="1:10" ht="18.75" customHeight="1">
      <c r="A180" s="641"/>
      <c r="B180" s="658"/>
      <c r="C180" s="643"/>
      <c r="D180" s="660"/>
      <c r="E180" s="644"/>
      <c r="F180" s="644"/>
      <c r="G180" s="644"/>
      <c r="H180" s="644"/>
      <c r="I180" s="660"/>
      <c r="J180" s="82"/>
    </row>
    <row r="181" spans="1:10" ht="18.75" customHeight="1">
      <c r="A181" s="641"/>
      <c r="B181" s="658"/>
      <c r="C181" s="643"/>
      <c r="D181" s="660"/>
      <c r="E181" s="644"/>
      <c r="F181" s="644"/>
      <c r="G181" s="644"/>
      <c r="H181" s="644"/>
      <c r="I181" s="660"/>
      <c r="J181" s="82"/>
    </row>
    <row r="182" spans="1:10" ht="18.75" customHeight="1">
      <c r="A182" s="641"/>
      <c r="B182" s="658"/>
      <c r="C182" s="643"/>
      <c r="D182" s="660"/>
      <c r="E182" s="644"/>
      <c r="F182" s="644"/>
      <c r="G182" s="644"/>
      <c r="H182" s="644"/>
      <c r="I182" s="660"/>
      <c r="J182" s="82"/>
    </row>
    <row r="183" spans="1:10" ht="18.75" customHeight="1">
      <c r="A183" s="641"/>
      <c r="B183" s="659"/>
      <c r="C183" s="661"/>
      <c r="D183" s="662"/>
      <c r="E183" s="667"/>
      <c r="F183" s="667"/>
      <c r="G183" s="667"/>
      <c r="H183" s="667"/>
      <c r="I183" s="662"/>
      <c r="J183" s="82"/>
    </row>
    <row r="184" spans="1:10" ht="18.75" customHeight="1">
      <c r="A184" s="641"/>
      <c r="B184"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184" s="664" t="str">
        <f ca="1">IFERROR(IF(INDEX('WPTM - Section F'!Q$1:Q$100,MATCH($A153,'WPTM - Section F'!$A$1:$A$100,0))&lt;&gt;0,INDEX('WPTM - Section F'!Q$1:Q$100,MATCH($A153,'WPTM - Section F'!$A$1:$A$100,0)),""),"")</f>
        <v/>
      </c>
      <c r="D184" s="665"/>
      <c r="E184" s="666" t="str">
        <f>IFERROR(IF(INDEX('WPTM - Section F'!R$1:R$100,MATCH($A153,'WPTM - Section F'!$A$1:$A$100,0))&lt;&gt;0,INDEX('WPTM - Section F'!R$1:R$100,MATCH($A153,'WPTM - Section F'!$A$1:$A$100,0)),""),"")</f>
        <v/>
      </c>
      <c r="F184" s="666"/>
      <c r="G184" s="666"/>
      <c r="H184" s="666"/>
      <c r="I184" s="665"/>
      <c r="J184" s="82"/>
    </row>
    <row r="185" spans="1:10" ht="18.75" customHeight="1">
      <c r="A185" s="641"/>
      <c r="B185" s="658"/>
      <c r="C185" s="643"/>
      <c r="D185" s="660"/>
      <c r="E185" s="644"/>
      <c r="F185" s="644"/>
      <c r="G185" s="644"/>
      <c r="H185" s="644"/>
      <c r="I185" s="660"/>
      <c r="J185" s="82"/>
    </row>
    <row r="186" spans="1:10" ht="18.75" customHeight="1">
      <c r="A186" s="641"/>
      <c r="B186" s="658"/>
      <c r="C186" s="643"/>
      <c r="D186" s="660"/>
      <c r="E186" s="644"/>
      <c r="F186" s="644"/>
      <c r="G186" s="644"/>
      <c r="H186" s="644"/>
      <c r="I186" s="660"/>
      <c r="J186" s="82"/>
    </row>
    <row r="187" spans="1:10" ht="18.75" customHeight="1">
      <c r="A187" s="641"/>
      <c r="B187" s="658"/>
      <c r="C187" s="643"/>
      <c r="D187" s="660"/>
      <c r="E187" s="644"/>
      <c r="F187" s="644"/>
      <c r="G187" s="644"/>
      <c r="H187" s="644"/>
      <c r="I187" s="660"/>
      <c r="J187" s="82"/>
    </row>
    <row r="188" spans="1:10" ht="18.75" customHeight="1">
      <c r="A188" s="641"/>
      <c r="B188" s="659"/>
      <c r="C188" s="661"/>
      <c r="D188" s="662"/>
      <c r="E188" s="667"/>
      <c r="F188" s="667"/>
      <c r="G188" s="667"/>
      <c r="H188" s="667"/>
      <c r="I188" s="662"/>
      <c r="J188" s="82"/>
    </row>
    <row r="189" spans="1:10" ht="18.75" customHeight="1">
      <c r="A189" s="641"/>
      <c r="B189"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189" s="664" t="str">
        <f ca="1">IFERROR(IF(INDEX('WPTM - Section F'!S$1:S$100,MATCH($A153,'WPTM - Section F'!$A$1:$A$100,0))&lt;&gt;0,INDEX('WPTM - Section F'!S$1:S$100,MATCH($A153,'WPTM - Section F'!$A$1:$A$100,0)),""),"")</f>
        <v/>
      </c>
      <c r="D189" s="665"/>
      <c r="E189" s="666" t="str">
        <f>IFERROR(IF(INDEX('WPTM - Section F'!T$1:T$100,MATCH($A153,'WPTM - Section F'!$A$1:$A$100,0))&lt;&gt;0,INDEX('WPTM - Section F'!T$1:T$100,MATCH($A153,'WPTM - Section F'!$A$1:$A$100,0)),""),"")</f>
        <v/>
      </c>
      <c r="F189" s="666"/>
      <c r="G189" s="666"/>
      <c r="H189" s="666"/>
      <c r="I189" s="665"/>
      <c r="J189" s="82"/>
    </row>
    <row r="190" spans="1:10" ht="18.75" customHeight="1">
      <c r="A190" s="641"/>
      <c r="B190" s="658"/>
      <c r="C190" s="643"/>
      <c r="D190" s="660"/>
      <c r="E190" s="644"/>
      <c r="F190" s="644"/>
      <c r="G190" s="644"/>
      <c r="H190" s="644"/>
      <c r="I190" s="660"/>
      <c r="J190" s="82"/>
    </row>
    <row r="191" spans="1:10" ht="18.75" customHeight="1">
      <c r="A191" s="641"/>
      <c r="B191" s="658"/>
      <c r="C191" s="643"/>
      <c r="D191" s="660"/>
      <c r="E191" s="644"/>
      <c r="F191" s="644"/>
      <c r="G191" s="644"/>
      <c r="H191" s="644"/>
      <c r="I191" s="660"/>
      <c r="J191" s="82"/>
    </row>
    <row r="192" spans="1:10" ht="18.75" customHeight="1">
      <c r="A192" s="641"/>
      <c r="B192" s="658"/>
      <c r="C192" s="643"/>
      <c r="D192" s="660"/>
      <c r="E192" s="644"/>
      <c r="F192" s="644"/>
      <c r="G192" s="644"/>
      <c r="H192" s="644"/>
      <c r="I192" s="660"/>
      <c r="J192" s="82"/>
    </row>
    <row r="193" spans="1:10" ht="18.75" customHeight="1">
      <c r="A193" s="641"/>
      <c r="B193" s="659"/>
      <c r="C193" s="661"/>
      <c r="D193" s="662"/>
      <c r="E193" s="667"/>
      <c r="F193" s="667"/>
      <c r="G193" s="667"/>
      <c r="H193" s="667"/>
      <c r="I193" s="662"/>
      <c r="J193" s="82"/>
    </row>
    <row r="194" spans="1:10" ht="18.75" customHeight="1">
      <c r="A194" s="641"/>
      <c r="B194"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194" s="664" t="str">
        <f>IFERROR(IF(INDEX('WPTM - Section F'!U$1:U$100,MATCH($A153,'WPTM - Section F'!$A$1:$A$100,0))&lt;&gt;0,INDEX('WPTM - Section F'!U$1:U$100,MATCH($A153,'WPTM - Section F'!$A$1:$A$100,0)),""),"")</f>
        <v/>
      </c>
      <c r="D194" s="665"/>
      <c r="E194" s="666" t="str">
        <f>IFERROR(IF(INDEX('WPTM - Section F'!V$1:V$100,MATCH($A153,'WPTM - Section F'!$A$1:$A$100,0))&lt;&gt;0,INDEX('WPTM - Section F'!V$1:V$100,MATCH($A153,'WPTM - Section F'!$A$1:$A$100,0)),""),"")</f>
        <v/>
      </c>
      <c r="F194" s="666"/>
      <c r="G194" s="666"/>
      <c r="H194" s="666"/>
      <c r="I194" s="665"/>
      <c r="J194" s="82"/>
    </row>
    <row r="195" spans="1:10" ht="18.75" customHeight="1">
      <c r="A195" s="641"/>
      <c r="B195" s="658"/>
      <c r="C195" s="643"/>
      <c r="D195" s="660"/>
      <c r="E195" s="644"/>
      <c r="F195" s="644"/>
      <c r="G195" s="644"/>
      <c r="H195" s="644"/>
      <c r="I195" s="660"/>
      <c r="J195" s="82"/>
    </row>
    <row r="196" spans="1:10" ht="18.75" customHeight="1">
      <c r="A196" s="641"/>
      <c r="B196" s="658"/>
      <c r="C196" s="643"/>
      <c r="D196" s="660"/>
      <c r="E196" s="644"/>
      <c r="F196" s="644"/>
      <c r="G196" s="644"/>
      <c r="H196" s="644"/>
      <c r="I196" s="660"/>
      <c r="J196" s="82"/>
    </row>
    <row r="197" spans="1:10" ht="18.75" customHeight="1">
      <c r="A197" s="641"/>
      <c r="B197" s="658"/>
      <c r="C197" s="643"/>
      <c r="D197" s="660"/>
      <c r="E197" s="644"/>
      <c r="F197" s="644"/>
      <c r="G197" s="644"/>
      <c r="H197" s="644"/>
      <c r="I197" s="660"/>
      <c r="J197" s="82"/>
    </row>
    <row r="198" spans="1:10" ht="18.75" customHeight="1">
      <c r="A198" s="641"/>
      <c r="B198" s="658"/>
      <c r="C198" s="643"/>
      <c r="D198" s="660"/>
      <c r="E198" s="644"/>
      <c r="F198" s="644"/>
      <c r="G198" s="644"/>
      <c r="H198" s="644"/>
      <c r="I198" s="660"/>
      <c r="J198" s="82"/>
    </row>
    <row r="199" spans="1:10" ht="18.75" customHeight="1">
      <c r="A199" s="654"/>
      <c r="B199" s="656"/>
      <c r="C199" s="656"/>
      <c r="D199" s="656"/>
      <c r="E199" s="656"/>
      <c r="F199" s="656"/>
      <c r="G199" s="656"/>
      <c r="H199" s="656"/>
      <c r="I199" s="655"/>
      <c r="J199" s="82"/>
    </row>
    <row r="201" spans="1:10" ht="18.75" customHeight="1">
      <c r="A201" s="107" t="s">
        <v>5051</v>
      </c>
      <c r="B201" s="107" t="s">
        <v>1077</v>
      </c>
      <c r="C201" s="631" t="str">
        <f>IFERROR(IF(INDEX('WPTM - Section F'!B$1:B$100,MATCH($A202,'WPTM - Section F'!$A$1:$A$100,0))&lt;&gt;0,INDEX('WPTM - Section F'!B$1:B$100,MATCH($A202,'WPTM - Section F'!$A$1:$A$100,0)),""),"")</f>
        <v/>
      </c>
      <c r="D201" s="632"/>
      <c r="E201" s="632"/>
      <c r="F201" s="632"/>
      <c r="G201" s="632"/>
      <c r="H201" s="632"/>
      <c r="I201" s="649"/>
      <c r="J201" s="82"/>
    </row>
    <row r="202" spans="1:10" ht="18.75" customHeight="1">
      <c r="A202" s="640">
        <v>5</v>
      </c>
      <c r="B202" s="105" t="s">
        <v>258</v>
      </c>
      <c r="C202" s="631" t="str">
        <f>IFERROR(IF(INDEX('WPTM - Section F'!C$1:C$100,MATCH($A202,'WPTM - Section F'!$A$1:$A$100,0))&lt;&gt;0,INDEX('WPTM - Section F'!C$1:C$100,MATCH($A202,'WPTM - Section F'!$A$1:$A$100,0)),""),"")</f>
        <v/>
      </c>
      <c r="D202" s="632"/>
      <c r="E202" s="632"/>
      <c r="F202" s="632"/>
      <c r="G202" s="632"/>
      <c r="H202" s="632"/>
      <c r="I202" s="649"/>
      <c r="J202" s="82"/>
    </row>
    <row r="203" spans="1:10" ht="18.75" customHeight="1">
      <c r="A203" s="641"/>
      <c r="B203" s="625" t="s">
        <v>4383</v>
      </c>
      <c r="C203" s="626"/>
      <c r="D203" s="626"/>
      <c r="E203" s="626"/>
      <c r="F203" s="650" t="s">
        <v>127</v>
      </c>
      <c r="G203" s="626"/>
      <c r="H203" s="626"/>
      <c r="I203" s="646"/>
      <c r="J203" s="82"/>
    </row>
    <row r="204" spans="1:10" ht="18.75" customHeight="1">
      <c r="A204" s="641"/>
      <c r="B204" s="634" t="str">
        <f>IFERROR(IF(INDEX('WPTM - Section F'!D$1:D$100,MATCH($A202,'WPTM - Section F'!$A$1:$A$100,0))&lt;&gt;0,INDEX('WPTM - Section F'!D$1:D$100,MATCH($A202,'WPTM - Section F'!$A$1:$A$100,0)),""),"")</f>
        <v/>
      </c>
      <c r="C204" s="635"/>
      <c r="D204" s="635"/>
      <c r="E204" s="635"/>
      <c r="F204" s="651" t="str">
        <f>IFERROR(IF(INDEX('WPTM - Section F'!F$1:F$100,MATCH($A202,'WPTM - Section F'!$A$1:$A$100,0))&lt;&gt;0,INDEX('WPTM - Section F'!F$1:F$100,MATCH($A202,'WPTM - Section F'!$A$1:$A$100,0)),""),"")</f>
        <v/>
      </c>
      <c r="G204" s="632"/>
      <c r="H204" s="632"/>
      <c r="I204" s="649"/>
      <c r="J204" s="82"/>
    </row>
    <row r="205" spans="1:10" ht="18.75" customHeight="1">
      <c r="A205" s="641"/>
      <c r="B205" s="643"/>
      <c r="C205" s="644"/>
      <c r="D205" s="644"/>
      <c r="E205" s="644"/>
      <c r="F205" s="650" t="s">
        <v>120</v>
      </c>
      <c r="G205" s="626"/>
      <c r="H205" s="626"/>
      <c r="I205" s="646"/>
      <c r="J205" s="82"/>
    </row>
    <row r="206" spans="1:10" ht="18.75" customHeight="1">
      <c r="A206" s="641"/>
      <c r="B206" s="643"/>
      <c r="C206" s="644"/>
      <c r="D206" s="644"/>
      <c r="E206" s="644"/>
      <c r="F206" s="652" t="str">
        <f ca="1">IFERROR(IF(AND('Overview - Section A'!AS$1="Grant Making",B204&lt;&gt;""),Setup!I15,IF(INDEX('WPTM - Section F'!E$1:E$100,MATCH($A202,'WPTM - Section F'!$A$1:$A$100,0))&lt;&gt;0,INDEX('WPTM - Section F'!E$1:E$100,MATCH($A202,'WPTM - Section F'!$A$1:$A$100,0)),"")),"")</f>
        <v/>
      </c>
      <c r="G206" s="635"/>
      <c r="H206" s="635"/>
      <c r="I206" s="653"/>
      <c r="J206" s="82"/>
    </row>
    <row r="207" spans="1:10" ht="18.75" customHeight="1">
      <c r="A207" s="641"/>
      <c r="B207" s="106"/>
      <c r="C207" s="654" t="s">
        <v>4552</v>
      </c>
      <c r="D207" s="655"/>
      <c r="E207" s="656" t="s">
        <v>5035</v>
      </c>
      <c r="F207" s="656"/>
      <c r="G207" s="656"/>
      <c r="H207" s="656"/>
      <c r="I207" s="655"/>
      <c r="J207" s="82"/>
    </row>
    <row r="208" spans="1:10" ht="18.75" customHeight="1">
      <c r="A208" s="641"/>
      <c r="B208"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208" s="634" t="str">
        <f ca="1">IFERROR(IF(INDEX('WPTM - Section F'!G$1:G$100,MATCH($A202,'WPTM - Section F'!$A$1:$A$100,0))&lt;&gt;0,INDEX('WPTM - Section F'!G$1:G$100,MATCH($A202,'WPTM - Section F'!$A$1:$A$100,0)),""),"")</f>
        <v/>
      </c>
      <c r="D208" s="653"/>
      <c r="E208" s="635" t="str">
        <f>IFERROR(IF(INDEX('WPTM - Section F'!H$1:H$100,MATCH($A202,'WPTM - Section F'!$A$1:$A$100,0))&lt;&gt;0,INDEX('WPTM - Section F'!H$1:H$100,MATCH($A202,'WPTM - Section F'!$A$1:$A$100,0)),""),"")</f>
        <v/>
      </c>
      <c r="F208" s="635"/>
      <c r="G208" s="635"/>
      <c r="H208" s="635"/>
      <c r="I208" s="653"/>
      <c r="J208" s="82"/>
    </row>
    <row r="209" spans="1:10" ht="18.75" customHeight="1">
      <c r="A209" s="641"/>
      <c r="B209" s="658"/>
      <c r="C209" s="643"/>
      <c r="D209" s="660"/>
      <c r="E209" s="644"/>
      <c r="F209" s="644"/>
      <c r="G209" s="644"/>
      <c r="H209" s="644"/>
      <c r="I209" s="660"/>
      <c r="J209" s="82"/>
    </row>
    <row r="210" spans="1:10" ht="18.75" customHeight="1">
      <c r="A210" s="641"/>
      <c r="B210" s="658"/>
      <c r="C210" s="643"/>
      <c r="D210" s="660"/>
      <c r="E210" s="644"/>
      <c r="F210" s="644"/>
      <c r="G210" s="644"/>
      <c r="H210" s="644"/>
      <c r="I210" s="660"/>
      <c r="J210" s="82"/>
    </row>
    <row r="211" spans="1:10" ht="18.75" customHeight="1">
      <c r="A211" s="641"/>
      <c r="B211" s="658"/>
      <c r="C211" s="643"/>
      <c r="D211" s="660"/>
      <c r="E211" s="644"/>
      <c r="F211" s="644"/>
      <c r="G211" s="644"/>
      <c r="H211" s="644"/>
      <c r="I211" s="660"/>
      <c r="J211" s="82"/>
    </row>
    <row r="212" spans="1:10" ht="18.75" customHeight="1">
      <c r="A212" s="641"/>
      <c r="B212" s="659"/>
      <c r="C212" s="661"/>
      <c r="D212" s="662"/>
      <c r="E212" s="667"/>
      <c r="F212" s="667"/>
      <c r="G212" s="667"/>
      <c r="H212" s="667"/>
      <c r="I212" s="662"/>
      <c r="J212" s="82"/>
    </row>
    <row r="213" spans="1:10" ht="18.75" customHeight="1">
      <c r="A213" s="641"/>
      <c r="B213"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213" s="664" t="str">
        <f ca="1">IFERROR(IF(INDEX('WPTM - Section F'!I$1:I$100,MATCH($A202,'WPTM - Section F'!$A$1:$A$100,0))&lt;&gt;0,INDEX('WPTM - Section F'!I$1:I$100,MATCH($A202,'WPTM - Section F'!$A$1:$A$100,0)),""),"")</f>
        <v/>
      </c>
      <c r="D213" s="665"/>
      <c r="E213" s="666" t="str">
        <f>IFERROR(IF(INDEX('WPTM - Section F'!J$1:J$100,MATCH($A202,'WPTM - Section F'!$A$1:$A$100,0))&lt;&gt;0,INDEX('WPTM - Section F'!J$1:J$100,MATCH($A202,'WPTM - Section F'!$A$1:$A$100,0)),""),"")</f>
        <v/>
      </c>
      <c r="F213" s="666"/>
      <c r="G213" s="666"/>
      <c r="H213" s="666"/>
      <c r="I213" s="665"/>
      <c r="J213" s="82"/>
    </row>
    <row r="214" spans="1:10" ht="18.75" customHeight="1">
      <c r="A214" s="641"/>
      <c r="B214" s="658"/>
      <c r="C214" s="643"/>
      <c r="D214" s="660"/>
      <c r="E214" s="644"/>
      <c r="F214" s="644"/>
      <c r="G214" s="644"/>
      <c r="H214" s="644"/>
      <c r="I214" s="660"/>
      <c r="J214" s="82"/>
    </row>
    <row r="215" spans="1:10" ht="18.75" customHeight="1">
      <c r="A215" s="641"/>
      <c r="B215" s="658"/>
      <c r="C215" s="643"/>
      <c r="D215" s="660"/>
      <c r="E215" s="644"/>
      <c r="F215" s="644"/>
      <c r="G215" s="644"/>
      <c r="H215" s="644"/>
      <c r="I215" s="660"/>
      <c r="J215" s="82"/>
    </row>
    <row r="216" spans="1:10" ht="18.75" customHeight="1">
      <c r="A216" s="641"/>
      <c r="B216" s="658"/>
      <c r="C216" s="643"/>
      <c r="D216" s="660"/>
      <c r="E216" s="644"/>
      <c r="F216" s="644"/>
      <c r="G216" s="644"/>
      <c r="H216" s="644"/>
      <c r="I216" s="660"/>
      <c r="J216" s="82"/>
    </row>
    <row r="217" spans="1:10" ht="18.75" customHeight="1">
      <c r="A217" s="641"/>
      <c r="B217" s="659"/>
      <c r="C217" s="661"/>
      <c r="D217" s="662"/>
      <c r="E217" s="667"/>
      <c r="F217" s="667"/>
      <c r="G217" s="667"/>
      <c r="H217" s="667"/>
      <c r="I217" s="662"/>
      <c r="J217" s="82"/>
    </row>
    <row r="218" spans="1:10" ht="18.75" customHeight="1">
      <c r="A218" s="641"/>
      <c r="B218"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218" s="664" t="str">
        <f ca="1">IFERROR(IF(INDEX('WPTM - Section F'!K$1:K$100,MATCH($A202,'WPTM - Section F'!$A$1:$A$100,0))&lt;&gt;0,INDEX('WPTM - Section F'!K$1:K$100,MATCH($A202,'WPTM - Section F'!$A$1:$A$100,0)),""),"")</f>
        <v/>
      </c>
      <c r="D218" s="665"/>
      <c r="E218" s="666" t="str">
        <f>IFERROR(IF(INDEX('WPTM - Section F'!L$1:L$100,MATCH($A202,'WPTM - Section F'!$A$1:$A$100,0))&lt;&gt;0,INDEX('WPTM - Section F'!L$1:L$100,MATCH($A202,'WPTM - Section F'!$A$1:$A$100,0)),""),"")</f>
        <v/>
      </c>
      <c r="F218" s="666"/>
      <c r="G218" s="666"/>
      <c r="H218" s="666"/>
      <c r="I218" s="665"/>
      <c r="J218" s="82"/>
    </row>
    <row r="219" spans="1:10" ht="18.75" customHeight="1">
      <c r="A219" s="641"/>
      <c r="B219" s="658"/>
      <c r="C219" s="643"/>
      <c r="D219" s="660"/>
      <c r="E219" s="644"/>
      <c r="F219" s="644"/>
      <c r="G219" s="644"/>
      <c r="H219" s="644"/>
      <c r="I219" s="660"/>
      <c r="J219" s="82"/>
    </row>
    <row r="220" spans="1:10" ht="18.75" customHeight="1">
      <c r="A220" s="641"/>
      <c r="B220" s="658"/>
      <c r="C220" s="643"/>
      <c r="D220" s="660"/>
      <c r="E220" s="644"/>
      <c r="F220" s="644"/>
      <c r="G220" s="644"/>
      <c r="H220" s="644"/>
      <c r="I220" s="660"/>
      <c r="J220" s="82"/>
    </row>
    <row r="221" spans="1:10" ht="18.75" customHeight="1">
      <c r="A221" s="641"/>
      <c r="B221" s="658"/>
      <c r="C221" s="643"/>
      <c r="D221" s="660"/>
      <c r="E221" s="644"/>
      <c r="F221" s="644"/>
      <c r="G221" s="644"/>
      <c r="H221" s="644"/>
      <c r="I221" s="660"/>
      <c r="J221" s="82"/>
    </row>
    <row r="222" spans="1:10" ht="18.75" customHeight="1">
      <c r="A222" s="641"/>
      <c r="B222" s="659"/>
      <c r="C222" s="661"/>
      <c r="D222" s="662"/>
      <c r="E222" s="667"/>
      <c r="F222" s="667"/>
      <c r="G222" s="667"/>
      <c r="H222" s="667"/>
      <c r="I222" s="662"/>
      <c r="J222" s="82"/>
    </row>
    <row r="223" spans="1:10" ht="18.75" customHeight="1">
      <c r="A223" s="641"/>
      <c r="B223"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223" s="664" t="str">
        <f ca="1">IFERROR(IF(INDEX('WPTM - Section F'!M$1:M$100,MATCH($A202,'WPTM - Section F'!$A$1:$A$100,0))&lt;&gt;0,INDEX('WPTM - Section F'!M$1:M$100,MATCH($A202,'WPTM - Section F'!$A$1:$A$100,0)),""),"")</f>
        <v/>
      </c>
      <c r="D223" s="665"/>
      <c r="E223" s="666" t="str">
        <f>IFERROR(IF(INDEX('WPTM - Section F'!N$1:N$100,MATCH($A202,'WPTM - Section F'!$A$1:$A$100,0))&lt;&gt;0,INDEX('WPTM - Section F'!N$1:N$100,MATCH($A202,'WPTM - Section F'!$A$1:$A$100,0)),""),"")</f>
        <v/>
      </c>
      <c r="F223" s="666"/>
      <c r="G223" s="666"/>
      <c r="H223" s="666"/>
      <c r="I223" s="665"/>
      <c r="J223" s="82"/>
    </row>
    <row r="224" spans="1:10" ht="18.75" customHeight="1">
      <c r="A224" s="641"/>
      <c r="B224" s="658"/>
      <c r="C224" s="643"/>
      <c r="D224" s="660"/>
      <c r="E224" s="644"/>
      <c r="F224" s="644"/>
      <c r="G224" s="644"/>
      <c r="H224" s="644"/>
      <c r="I224" s="660"/>
      <c r="J224" s="82"/>
    </row>
    <row r="225" spans="1:10" ht="18.75" customHeight="1">
      <c r="A225" s="641"/>
      <c r="B225" s="658"/>
      <c r="C225" s="643"/>
      <c r="D225" s="660"/>
      <c r="E225" s="644"/>
      <c r="F225" s="644"/>
      <c r="G225" s="644"/>
      <c r="H225" s="644"/>
      <c r="I225" s="660"/>
      <c r="J225" s="82"/>
    </row>
    <row r="226" spans="1:10" ht="18.75" customHeight="1">
      <c r="A226" s="641"/>
      <c r="B226" s="658"/>
      <c r="C226" s="643"/>
      <c r="D226" s="660"/>
      <c r="E226" s="644"/>
      <c r="F226" s="644"/>
      <c r="G226" s="644"/>
      <c r="H226" s="644"/>
      <c r="I226" s="660"/>
      <c r="J226" s="82"/>
    </row>
    <row r="227" spans="1:10" ht="18.75" customHeight="1">
      <c r="A227" s="641"/>
      <c r="B227" s="659"/>
      <c r="C227" s="661"/>
      <c r="D227" s="662"/>
      <c r="E227" s="667"/>
      <c r="F227" s="667"/>
      <c r="G227" s="667"/>
      <c r="H227" s="667"/>
      <c r="I227" s="662"/>
      <c r="J227" s="82"/>
    </row>
    <row r="228" spans="1:10" ht="18.75" customHeight="1">
      <c r="A228" s="641"/>
      <c r="B228"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228" s="664" t="str">
        <f ca="1">IFERROR(IF(INDEX('WPTM - Section F'!O$1:O$100,MATCH($A202,'WPTM - Section F'!$A$1:$A$100,0))&lt;&gt;0,INDEX('WPTM - Section F'!O$1:O$100,MATCH($A202,'WPTM - Section F'!$A$1:$A$100,0)),""),"")</f>
        <v/>
      </c>
      <c r="D228" s="665"/>
      <c r="E228" s="666" t="str">
        <f>IFERROR(IF(INDEX('WPTM - Section F'!P$1:P$100,MATCH($A202,'WPTM - Section F'!$A$1:$A$100,0))&lt;&gt;0,INDEX('WPTM - Section F'!P$1:P$100,MATCH($A202,'WPTM - Section F'!$A$1:$A$100,0)),""),"")</f>
        <v/>
      </c>
      <c r="F228" s="666"/>
      <c r="G228" s="666"/>
      <c r="H228" s="666"/>
      <c r="I228" s="665"/>
      <c r="J228" s="82"/>
    </row>
    <row r="229" spans="1:10" ht="18.75" customHeight="1">
      <c r="A229" s="641"/>
      <c r="B229" s="658"/>
      <c r="C229" s="643"/>
      <c r="D229" s="660"/>
      <c r="E229" s="644"/>
      <c r="F229" s="644"/>
      <c r="G229" s="644"/>
      <c r="H229" s="644"/>
      <c r="I229" s="660"/>
      <c r="J229" s="82"/>
    </row>
    <row r="230" spans="1:10" ht="18.75" customHeight="1">
      <c r="A230" s="641"/>
      <c r="B230" s="658"/>
      <c r="C230" s="643"/>
      <c r="D230" s="660"/>
      <c r="E230" s="644"/>
      <c r="F230" s="644"/>
      <c r="G230" s="644"/>
      <c r="H230" s="644"/>
      <c r="I230" s="660"/>
      <c r="J230" s="82"/>
    </row>
    <row r="231" spans="1:10" ht="18.75" customHeight="1">
      <c r="A231" s="641"/>
      <c r="B231" s="658"/>
      <c r="C231" s="643"/>
      <c r="D231" s="660"/>
      <c r="E231" s="644"/>
      <c r="F231" s="644"/>
      <c r="G231" s="644"/>
      <c r="H231" s="644"/>
      <c r="I231" s="660"/>
      <c r="J231" s="82"/>
    </row>
    <row r="232" spans="1:10" ht="18.75" customHeight="1">
      <c r="A232" s="641"/>
      <c r="B232" s="659"/>
      <c r="C232" s="661"/>
      <c r="D232" s="662"/>
      <c r="E232" s="667"/>
      <c r="F232" s="667"/>
      <c r="G232" s="667"/>
      <c r="H232" s="667"/>
      <c r="I232" s="662"/>
      <c r="J232" s="82"/>
    </row>
    <row r="233" spans="1:10" ht="18.75" customHeight="1">
      <c r="A233" s="641"/>
      <c r="B233"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233" s="664" t="str">
        <f ca="1">IFERROR(IF(INDEX('WPTM - Section F'!Q$1:Q$100,MATCH($A202,'WPTM - Section F'!$A$1:$A$100,0))&lt;&gt;0,INDEX('WPTM - Section F'!Q$1:Q$100,MATCH($A202,'WPTM - Section F'!$A$1:$A$100,0)),""),"")</f>
        <v/>
      </c>
      <c r="D233" s="665"/>
      <c r="E233" s="666" t="str">
        <f>IFERROR(IF(INDEX('WPTM - Section F'!R$1:R$100,MATCH($A202,'WPTM - Section F'!$A$1:$A$100,0))&lt;&gt;0,INDEX('WPTM - Section F'!R$1:R$100,MATCH($A202,'WPTM - Section F'!$A$1:$A$100,0)),""),"")</f>
        <v/>
      </c>
      <c r="F233" s="666"/>
      <c r="G233" s="666"/>
      <c r="H233" s="666"/>
      <c r="I233" s="665"/>
      <c r="J233" s="82"/>
    </row>
    <row r="234" spans="1:10" ht="18.75" customHeight="1">
      <c r="A234" s="641"/>
      <c r="B234" s="658"/>
      <c r="C234" s="643"/>
      <c r="D234" s="660"/>
      <c r="E234" s="644"/>
      <c r="F234" s="644"/>
      <c r="G234" s="644"/>
      <c r="H234" s="644"/>
      <c r="I234" s="660"/>
      <c r="J234" s="82"/>
    </row>
    <row r="235" spans="1:10" ht="18.75" customHeight="1">
      <c r="A235" s="641"/>
      <c r="B235" s="658"/>
      <c r="C235" s="643"/>
      <c r="D235" s="660"/>
      <c r="E235" s="644"/>
      <c r="F235" s="644"/>
      <c r="G235" s="644"/>
      <c r="H235" s="644"/>
      <c r="I235" s="660"/>
      <c r="J235" s="82"/>
    </row>
    <row r="236" spans="1:10" ht="18.75" customHeight="1">
      <c r="A236" s="641"/>
      <c r="B236" s="658"/>
      <c r="C236" s="643"/>
      <c r="D236" s="660"/>
      <c r="E236" s="644"/>
      <c r="F236" s="644"/>
      <c r="G236" s="644"/>
      <c r="H236" s="644"/>
      <c r="I236" s="660"/>
      <c r="J236" s="82"/>
    </row>
    <row r="237" spans="1:10" ht="18.75" customHeight="1">
      <c r="A237" s="641"/>
      <c r="B237" s="659"/>
      <c r="C237" s="661"/>
      <c r="D237" s="662"/>
      <c r="E237" s="667"/>
      <c r="F237" s="667"/>
      <c r="G237" s="667"/>
      <c r="H237" s="667"/>
      <c r="I237" s="662"/>
      <c r="J237" s="82"/>
    </row>
    <row r="238" spans="1:10" ht="18.75" customHeight="1">
      <c r="A238" s="641"/>
      <c r="B238"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238" s="664" t="str">
        <f ca="1">IFERROR(IF(INDEX('WPTM - Section F'!S$1:S$100,MATCH($A202,'WPTM - Section F'!$A$1:$A$100,0))&lt;&gt;0,INDEX('WPTM - Section F'!S$1:S$100,MATCH($A202,'WPTM - Section F'!$A$1:$A$100,0)),""),"")</f>
        <v/>
      </c>
      <c r="D238" s="665"/>
      <c r="E238" s="666" t="str">
        <f>IFERROR(IF(INDEX('WPTM - Section F'!T$1:T$100,MATCH($A202,'WPTM - Section F'!$A$1:$A$100,0))&lt;&gt;0,INDEX('WPTM - Section F'!T$1:T$100,MATCH($A202,'WPTM - Section F'!$A$1:$A$100,0)),""),"")</f>
        <v/>
      </c>
      <c r="F238" s="666"/>
      <c r="G238" s="666"/>
      <c r="H238" s="666"/>
      <c r="I238" s="665"/>
      <c r="J238" s="82"/>
    </row>
    <row r="239" spans="1:10" ht="18.75" customHeight="1">
      <c r="A239" s="641"/>
      <c r="B239" s="658"/>
      <c r="C239" s="643"/>
      <c r="D239" s="660"/>
      <c r="E239" s="644"/>
      <c r="F239" s="644"/>
      <c r="G239" s="644"/>
      <c r="H239" s="644"/>
      <c r="I239" s="660"/>
      <c r="J239" s="82"/>
    </row>
    <row r="240" spans="1:10" ht="18.75" customHeight="1">
      <c r="A240" s="641"/>
      <c r="B240" s="658"/>
      <c r="C240" s="643"/>
      <c r="D240" s="660"/>
      <c r="E240" s="644"/>
      <c r="F240" s="644"/>
      <c r="G240" s="644"/>
      <c r="H240" s="644"/>
      <c r="I240" s="660"/>
      <c r="J240" s="82"/>
    </row>
    <row r="241" spans="1:10" ht="18.75" customHeight="1">
      <c r="A241" s="641"/>
      <c r="B241" s="658"/>
      <c r="C241" s="643"/>
      <c r="D241" s="660"/>
      <c r="E241" s="644"/>
      <c r="F241" s="644"/>
      <c r="G241" s="644"/>
      <c r="H241" s="644"/>
      <c r="I241" s="660"/>
      <c r="J241" s="82"/>
    </row>
    <row r="242" spans="1:10" ht="18.75" customHeight="1">
      <c r="A242" s="641"/>
      <c r="B242" s="659"/>
      <c r="C242" s="661"/>
      <c r="D242" s="662"/>
      <c r="E242" s="667"/>
      <c r="F242" s="667"/>
      <c r="G242" s="667"/>
      <c r="H242" s="667"/>
      <c r="I242" s="662"/>
      <c r="J242" s="82"/>
    </row>
    <row r="243" spans="1:10" ht="18.75" customHeight="1">
      <c r="A243" s="641"/>
      <c r="B243"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243" s="664" t="str">
        <f>IFERROR(IF(INDEX('WPTM - Section F'!U$1:U$100,MATCH($A202,'WPTM - Section F'!$A$1:$A$100,0))&lt;&gt;0,INDEX('WPTM - Section F'!U$1:U$100,MATCH($A202,'WPTM - Section F'!$A$1:$A$100,0)),""),"")</f>
        <v/>
      </c>
      <c r="D243" s="665"/>
      <c r="E243" s="666" t="str">
        <f>IFERROR(IF(INDEX('WPTM - Section F'!V$1:V$100,MATCH($A202,'WPTM - Section F'!$A$1:$A$100,0))&lt;&gt;0,INDEX('WPTM - Section F'!V$1:V$100,MATCH($A202,'WPTM - Section F'!$A$1:$A$100,0)),""),"")</f>
        <v/>
      </c>
      <c r="F243" s="666"/>
      <c r="G243" s="666"/>
      <c r="H243" s="666"/>
      <c r="I243" s="665"/>
      <c r="J243" s="82"/>
    </row>
    <row r="244" spans="1:10" ht="18.75" customHeight="1">
      <c r="A244" s="641"/>
      <c r="B244" s="658"/>
      <c r="C244" s="643"/>
      <c r="D244" s="660"/>
      <c r="E244" s="644"/>
      <c r="F244" s="644"/>
      <c r="G244" s="644"/>
      <c r="H244" s="644"/>
      <c r="I244" s="660"/>
      <c r="J244" s="82"/>
    </row>
    <row r="245" spans="1:10" ht="18.75" customHeight="1">
      <c r="A245" s="641"/>
      <c r="B245" s="658"/>
      <c r="C245" s="643"/>
      <c r="D245" s="660"/>
      <c r="E245" s="644"/>
      <c r="F245" s="644"/>
      <c r="G245" s="644"/>
      <c r="H245" s="644"/>
      <c r="I245" s="660"/>
      <c r="J245" s="82"/>
    </row>
    <row r="246" spans="1:10" ht="18.75" customHeight="1">
      <c r="A246" s="641"/>
      <c r="B246" s="658"/>
      <c r="C246" s="643"/>
      <c r="D246" s="660"/>
      <c r="E246" s="644"/>
      <c r="F246" s="644"/>
      <c r="G246" s="644"/>
      <c r="H246" s="644"/>
      <c r="I246" s="660"/>
      <c r="J246" s="82"/>
    </row>
    <row r="247" spans="1:10" ht="18.75" customHeight="1">
      <c r="A247" s="641"/>
      <c r="B247" s="658"/>
      <c r="C247" s="643"/>
      <c r="D247" s="660"/>
      <c r="E247" s="644"/>
      <c r="F247" s="644"/>
      <c r="G247" s="644"/>
      <c r="H247" s="644"/>
      <c r="I247" s="660"/>
      <c r="J247" s="82"/>
    </row>
    <row r="248" spans="1:10" ht="18.75" customHeight="1">
      <c r="A248" s="654"/>
      <c r="B248" s="656"/>
      <c r="C248" s="656"/>
      <c r="D248" s="656"/>
      <c r="E248" s="656"/>
      <c r="F248" s="656"/>
      <c r="G248" s="656"/>
      <c r="H248" s="656"/>
      <c r="I248" s="655"/>
      <c r="J248" s="82"/>
    </row>
    <row r="250" spans="1:10" ht="18.75" customHeight="1">
      <c r="A250" s="107" t="s">
        <v>5051</v>
      </c>
      <c r="B250" s="107" t="s">
        <v>1077</v>
      </c>
      <c r="C250" s="631" t="str">
        <f>IFERROR(IF(INDEX('WPTM - Section F'!B$1:B$100,MATCH($A251,'WPTM - Section F'!$A$1:$A$100,0))&lt;&gt;0,INDEX('WPTM - Section F'!B$1:B$100,MATCH($A251,'WPTM - Section F'!$A$1:$A$100,0)),""),"")</f>
        <v/>
      </c>
      <c r="D250" s="632"/>
      <c r="E250" s="632"/>
      <c r="F250" s="632"/>
      <c r="G250" s="632"/>
      <c r="H250" s="632"/>
      <c r="I250" s="649"/>
      <c r="J250" s="82"/>
    </row>
    <row r="251" spans="1:10" ht="18.75" customHeight="1">
      <c r="A251" s="640">
        <v>6</v>
      </c>
      <c r="B251" s="105" t="s">
        <v>258</v>
      </c>
      <c r="C251" s="631" t="str">
        <f>IFERROR(IF(INDEX('WPTM - Section F'!C$1:C$100,MATCH($A251,'WPTM - Section F'!$A$1:$A$100,0))&lt;&gt;0,INDEX('WPTM - Section F'!C$1:C$100,MATCH($A251,'WPTM - Section F'!$A$1:$A$100,0)),""),"")</f>
        <v/>
      </c>
      <c r="D251" s="632"/>
      <c r="E251" s="632"/>
      <c r="F251" s="632"/>
      <c r="G251" s="632"/>
      <c r="H251" s="632"/>
      <c r="I251" s="649"/>
      <c r="J251" s="82"/>
    </row>
    <row r="252" spans="1:10" ht="18.75" customHeight="1">
      <c r="A252" s="641"/>
      <c r="B252" s="625" t="s">
        <v>4383</v>
      </c>
      <c r="C252" s="626"/>
      <c r="D252" s="626"/>
      <c r="E252" s="626"/>
      <c r="F252" s="650" t="s">
        <v>127</v>
      </c>
      <c r="G252" s="626"/>
      <c r="H252" s="626"/>
      <c r="I252" s="646"/>
      <c r="J252" s="82"/>
    </row>
    <row r="253" spans="1:10" ht="18.75" customHeight="1">
      <c r="A253" s="641"/>
      <c r="B253" s="634" t="str">
        <f>IFERROR(IF(INDEX('WPTM - Section F'!D$1:D$100,MATCH($A251,'WPTM - Section F'!$A$1:$A$100,0))&lt;&gt;0,INDEX('WPTM - Section F'!D$1:D$100,MATCH($A251,'WPTM - Section F'!$A$1:$A$100,0)),""),"")</f>
        <v/>
      </c>
      <c r="C253" s="635"/>
      <c r="D253" s="635"/>
      <c r="E253" s="635"/>
      <c r="F253" s="651" t="str">
        <f>IFERROR(IF(INDEX('WPTM - Section F'!F$1:F$100,MATCH($A251,'WPTM - Section F'!$A$1:$A$100,0))&lt;&gt;0,INDEX('WPTM - Section F'!F$1:F$100,MATCH($A251,'WPTM - Section F'!$A$1:$A$100,0)),""),"")</f>
        <v/>
      </c>
      <c r="G253" s="632"/>
      <c r="H253" s="632"/>
      <c r="I253" s="649"/>
      <c r="J253" s="82"/>
    </row>
    <row r="254" spans="1:10" ht="18.75" customHeight="1">
      <c r="A254" s="641"/>
      <c r="B254" s="643"/>
      <c r="C254" s="644"/>
      <c r="D254" s="644"/>
      <c r="E254" s="644"/>
      <c r="F254" s="650" t="s">
        <v>120</v>
      </c>
      <c r="G254" s="626"/>
      <c r="H254" s="626"/>
      <c r="I254" s="646"/>
      <c r="J254" s="82"/>
    </row>
    <row r="255" spans="1:10" ht="18.75" customHeight="1">
      <c r="A255" s="641"/>
      <c r="B255" s="643"/>
      <c r="C255" s="644"/>
      <c r="D255" s="644"/>
      <c r="E255" s="644"/>
      <c r="F255" s="652" t="str">
        <f ca="1">IFERROR(IF(AND('Overview - Section A'!AS$1="Grant Making",B253&lt;&gt;""),Setup!I15,IF(INDEX('WPTM - Section F'!E$1:E$100,MATCH($A251,'WPTM - Section F'!$A$1:$A$100,0))&lt;&gt;0,INDEX('WPTM - Section F'!E$1:E$100,MATCH($A251,'WPTM - Section F'!$A$1:$A$100,0)),"")),"")</f>
        <v/>
      </c>
      <c r="G255" s="635"/>
      <c r="H255" s="635"/>
      <c r="I255" s="653"/>
      <c r="J255" s="82"/>
    </row>
    <row r="256" spans="1:10" ht="18.75" customHeight="1">
      <c r="A256" s="641"/>
      <c r="B256" s="106"/>
      <c r="C256" s="654" t="s">
        <v>4552</v>
      </c>
      <c r="D256" s="655"/>
      <c r="E256" s="656" t="s">
        <v>5035</v>
      </c>
      <c r="F256" s="656"/>
      <c r="G256" s="656"/>
      <c r="H256" s="656"/>
      <c r="I256" s="655"/>
      <c r="J256" s="82"/>
    </row>
    <row r="257" spans="1:10" ht="18.75" customHeight="1">
      <c r="A257" s="641"/>
      <c r="B257"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257" s="634" t="str">
        <f ca="1">IFERROR(IF(INDEX('WPTM - Section F'!G$1:G$100,MATCH($A251,'WPTM - Section F'!$A$1:$A$100,0))&lt;&gt;0,INDEX('WPTM - Section F'!G$1:G$100,MATCH($A251,'WPTM - Section F'!$A$1:$A$100,0)),""),"")</f>
        <v/>
      </c>
      <c r="D257" s="653"/>
      <c r="E257" s="635" t="str">
        <f>IFERROR(IF(INDEX('WPTM - Section F'!H$1:H$100,MATCH($A251,'WPTM - Section F'!$A$1:$A$100,0))&lt;&gt;0,INDEX('WPTM - Section F'!H$1:H$100,MATCH($A251,'WPTM - Section F'!$A$1:$A$100,0)),""),"")</f>
        <v/>
      </c>
      <c r="F257" s="635"/>
      <c r="G257" s="635"/>
      <c r="H257" s="635"/>
      <c r="I257" s="653"/>
      <c r="J257" s="82"/>
    </row>
    <row r="258" spans="1:10" ht="18.75" customHeight="1">
      <c r="A258" s="641"/>
      <c r="B258" s="658"/>
      <c r="C258" s="643"/>
      <c r="D258" s="660"/>
      <c r="E258" s="644"/>
      <c r="F258" s="644"/>
      <c r="G258" s="644"/>
      <c r="H258" s="644"/>
      <c r="I258" s="660"/>
      <c r="J258" s="82"/>
    </row>
    <row r="259" spans="1:10" ht="18.75" customHeight="1">
      <c r="A259" s="641"/>
      <c r="B259" s="658"/>
      <c r="C259" s="643"/>
      <c r="D259" s="660"/>
      <c r="E259" s="644"/>
      <c r="F259" s="644"/>
      <c r="G259" s="644"/>
      <c r="H259" s="644"/>
      <c r="I259" s="660"/>
      <c r="J259" s="82"/>
    </row>
    <row r="260" spans="1:10" ht="18.75" customHeight="1">
      <c r="A260" s="641"/>
      <c r="B260" s="658"/>
      <c r="C260" s="643"/>
      <c r="D260" s="660"/>
      <c r="E260" s="644"/>
      <c r="F260" s="644"/>
      <c r="G260" s="644"/>
      <c r="H260" s="644"/>
      <c r="I260" s="660"/>
      <c r="J260" s="82"/>
    </row>
    <row r="261" spans="1:10" ht="18.75" customHeight="1">
      <c r="A261" s="641"/>
      <c r="B261" s="659"/>
      <c r="C261" s="661"/>
      <c r="D261" s="662"/>
      <c r="E261" s="667"/>
      <c r="F261" s="667"/>
      <c r="G261" s="667"/>
      <c r="H261" s="667"/>
      <c r="I261" s="662"/>
      <c r="J261" s="82"/>
    </row>
    <row r="262" spans="1:10" ht="18.75" customHeight="1">
      <c r="A262" s="641"/>
      <c r="B262"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262" s="664" t="str">
        <f ca="1">IFERROR(IF(INDEX('WPTM - Section F'!I$1:I$100,MATCH($A251,'WPTM - Section F'!$A$1:$A$100,0))&lt;&gt;0,INDEX('WPTM - Section F'!I$1:I$100,MATCH($A251,'WPTM - Section F'!$A$1:$A$100,0)),""),"")</f>
        <v/>
      </c>
      <c r="D262" s="665"/>
      <c r="E262" s="666" t="str">
        <f>IFERROR(IF(INDEX('WPTM - Section F'!J$1:J$100,MATCH($A251,'WPTM - Section F'!$A$1:$A$100,0))&lt;&gt;0,INDEX('WPTM - Section F'!J$1:J$100,MATCH($A251,'WPTM - Section F'!$A$1:$A$100,0)),""),"")</f>
        <v/>
      </c>
      <c r="F262" s="666"/>
      <c r="G262" s="666"/>
      <c r="H262" s="666"/>
      <c r="I262" s="665"/>
      <c r="J262" s="82"/>
    </row>
    <row r="263" spans="1:10" ht="18.75" customHeight="1">
      <c r="A263" s="641"/>
      <c r="B263" s="658"/>
      <c r="C263" s="643"/>
      <c r="D263" s="660"/>
      <c r="E263" s="644"/>
      <c r="F263" s="644"/>
      <c r="G263" s="644"/>
      <c r="H263" s="644"/>
      <c r="I263" s="660"/>
      <c r="J263" s="82"/>
    </row>
    <row r="264" spans="1:10" ht="18.75" customHeight="1">
      <c r="A264" s="641"/>
      <c r="B264" s="658"/>
      <c r="C264" s="643"/>
      <c r="D264" s="660"/>
      <c r="E264" s="644"/>
      <c r="F264" s="644"/>
      <c r="G264" s="644"/>
      <c r="H264" s="644"/>
      <c r="I264" s="660"/>
      <c r="J264" s="82"/>
    </row>
    <row r="265" spans="1:10" ht="18.75" customHeight="1">
      <c r="A265" s="641"/>
      <c r="B265" s="658"/>
      <c r="C265" s="643"/>
      <c r="D265" s="660"/>
      <c r="E265" s="644"/>
      <c r="F265" s="644"/>
      <c r="G265" s="644"/>
      <c r="H265" s="644"/>
      <c r="I265" s="660"/>
      <c r="J265" s="82"/>
    </row>
    <row r="266" spans="1:10" ht="18.75" customHeight="1">
      <c r="A266" s="641"/>
      <c r="B266" s="659"/>
      <c r="C266" s="661"/>
      <c r="D266" s="662"/>
      <c r="E266" s="667"/>
      <c r="F266" s="667"/>
      <c r="G266" s="667"/>
      <c r="H266" s="667"/>
      <c r="I266" s="662"/>
      <c r="J266" s="82"/>
    </row>
    <row r="267" spans="1:10" ht="18.75" customHeight="1">
      <c r="A267" s="641"/>
      <c r="B267"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267" s="664" t="str">
        <f ca="1">IFERROR(IF(INDEX('WPTM - Section F'!K$1:K$100,MATCH($A251,'WPTM - Section F'!$A$1:$A$100,0))&lt;&gt;0,INDEX('WPTM - Section F'!K$1:K$100,MATCH($A251,'WPTM - Section F'!$A$1:$A$100,0)),""),"")</f>
        <v/>
      </c>
      <c r="D267" s="665"/>
      <c r="E267" s="666" t="str">
        <f>IFERROR(IF(INDEX('WPTM - Section F'!L$1:L$100,MATCH($A251,'WPTM - Section F'!$A$1:$A$100,0))&lt;&gt;0,INDEX('WPTM - Section F'!L$1:L$100,MATCH($A251,'WPTM - Section F'!$A$1:$A$100,0)),""),"")</f>
        <v/>
      </c>
      <c r="F267" s="666"/>
      <c r="G267" s="666"/>
      <c r="H267" s="666"/>
      <c r="I267" s="665"/>
      <c r="J267" s="82"/>
    </row>
    <row r="268" spans="1:10" ht="18.75" customHeight="1">
      <c r="A268" s="641"/>
      <c r="B268" s="658"/>
      <c r="C268" s="643"/>
      <c r="D268" s="660"/>
      <c r="E268" s="644"/>
      <c r="F268" s="644"/>
      <c r="G268" s="644"/>
      <c r="H268" s="644"/>
      <c r="I268" s="660"/>
      <c r="J268" s="82"/>
    </row>
    <row r="269" spans="1:10" ht="18.75" customHeight="1">
      <c r="A269" s="641"/>
      <c r="B269" s="658"/>
      <c r="C269" s="643"/>
      <c r="D269" s="660"/>
      <c r="E269" s="644"/>
      <c r="F269" s="644"/>
      <c r="G269" s="644"/>
      <c r="H269" s="644"/>
      <c r="I269" s="660"/>
      <c r="J269" s="82"/>
    </row>
    <row r="270" spans="1:10" ht="18.75" customHeight="1">
      <c r="A270" s="641"/>
      <c r="B270" s="658"/>
      <c r="C270" s="643"/>
      <c r="D270" s="660"/>
      <c r="E270" s="644"/>
      <c r="F270" s="644"/>
      <c r="G270" s="644"/>
      <c r="H270" s="644"/>
      <c r="I270" s="660"/>
      <c r="J270" s="82"/>
    </row>
    <row r="271" spans="1:10" ht="18.75" customHeight="1">
      <c r="A271" s="641"/>
      <c r="B271" s="659"/>
      <c r="C271" s="661"/>
      <c r="D271" s="662"/>
      <c r="E271" s="667"/>
      <c r="F271" s="667"/>
      <c r="G271" s="667"/>
      <c r="H271" s="667"/>
      <c r="I271" s="662"/>
      <c r="J271" s="82"/>
    </row>
    <row r="272" spans="1:10" ht="18.75" customHeight="1">
      <c r="A272" s="641"/>
      <c r="B272"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272" s="664" t="str">
        <f ca="1">IFERROR(IF(INDEX('WPTM - Section F'!M$1:M$100,MATCH($A251,'WPTM - Section F'!$A$1:$A$100,0))&lt;&gt;0,INDEX('WPTM - Section F'!M$1:M$100,MATCH($A251,'WPTM - Section F'!$A$1:$A$100,0)),""),"")</f>
        <v/>
      </c>
      <c r="D272" s="665"/>
      <c r="E272" s="666" t="str">
        <f>IFERROR(IF(INDEX('WPTM - Section F'!N$1:N$100,MATCH($A251,'WPTM - Section F'!$A$1:$A$100,0))&lt;&gt;0,INDEX('WPTM - Section F'!N$1:N$100,MATCH($A251,'WPTM - Section F'!$A$1:$A$100,0)),""),"")</f>
        <v/>
      </c>
      <c r="F272" s="666"/>
      <c r="G272" s="666"/>
      <c r="H272" s="666"/>
      <c r="I272" s="665"/>
      <c r="J272" s="82"/>
    </row>
    <row r="273" spans="1:10" ht="18.75" customHeight="1">
      <c r="A273" s="641"/>
      <c r="B273" s="658"/>
      <c r="C273" s="643"/>
      <c r="D273" s="660"/>
      <c r="E273" s="644"/>
      <c r="F273" s="644"/>
      <c r="G273" s="644"/>
      <c r="H273" s="644"/>
      <c r="I273" s="660"/>
      <c r="J273" s="82"/>
    </row>
    <row r="274" spans="1:10" ht="18.75" customHeight="1">
      <c r="A274" s="641"/>
      <c r="B274" s="658"/>
      <c r="C274" s="643"/>
      <c r="D274" s="660"/>
      <c r="E274" s="644"/>
      <c r="F274" s="644"/>
      <c r="G274" s="644"/>
      <c r="H274" s="644"/>
      <c r="I274" s="660"/>
      <c r="J274" s="82"/>
    </row>
    <row r="275" spans="1:10" ht="18.75" customHeight="1">
      <c r="A275" s="641"/>
      <c r="B275" s="658"/>
      <c r="C275" s="643"/>
      <c r="D275" s="660"/>
      <c r="E275" s="644"/>
      <c r="F275" s="644"/>
      <c r="G275" s="644"/>
      <c r="H275" s="644"/>
      <c r="I275" s="660"/>
      <c r="J275" s="82"/>
    </row>
    <row r="276" spans="1:10" ht="18.75" customHeight="1">
      <c r="A276" s="641"/>
      <c r="B276" s="659"/>
      <c r="C276" s="661"/>
      <c r="D276" s="662"/>
      <c r="E276" s="667"/>
      <c r="F276" s="667"/>
      <c r="G276" s="667"/>
      <c r="H276" s="667"/>
      <c r="I276" s="662"/>
      <c r="J276" s="82"/>
    </row>
    <row r="277" spans="1:10" ht="18.75" customHeight="1">
      <c r="A277" s="641"/>
      <c r="B277"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277" s="664" t="str">
        <f ca="1">IFERROR(IF(INDEX('WPTM - Section F'!O$1:O$100,MATCH($A251,'WPTM - Section F'!$A$1:$A$100,0))&lt;&gt;0,INDEX('WPTM - Section F'!O$1:O$100,MATCH($A251,'WPTM - Section F'!$A$1:$A$100,0)),""),"")</f>
        <v/>
      </c>
      <c r="D277" s="665"/>
      <c r="E277" s="666" t="str">
        <f>IFERROR(IF(INDEX('WPTM - Section F'!P$1:P$100,MATCH($A251,'WPTM - Section F'!$A$1:$A$100,0))&lt;&gt;0,INDEX('WPTM - Section F'!P$1:P$100,MATCH($A251,'WPTM - Section F'!$A$1:$A$100,0)),""),"")</f>
        <v/>
      </c>
      <c r="F277" s="666"/>
      <c r="G277" s="666"/>
      <c r="H277" s="666"/>
      <c r="I277" s="665"/>
      <c r="J277" s="82"/>
    </row>
    <row r="278" spans="1:10" ht="18.75" customHeight="1">
      <c r="A278" s="641"/>
      <c r="B278" s="658"/>
      <c r="C278" s="643"/>
      <c r="D278" s="660"/>
      <c r="E278" s="644"/>
      <c r="F278" s="644"/>
      <c r="G278" s="644"/>
      <c r="H278" s="644"/>
      <c r="I278" s="660"/>
      <c r="J278" s="82"/>
    </row>
    <row r="279" spans="1:10" ht="18.75" customHeight="1">
      <c r="A279" s="641"/>
      <c r="B279" s="658"/>
      <c r="C279" s="643"/>
      <c r="D279" s="660"/>
      <c r="E279" s="644"/>
      <c r="F279" s="644"/>
      <c r="G279" s="644"/>
      <c r="H279" s="644"/>
      <c r="I279" s="660"/>
      <c r="J279" s="82"/>
    </row>
    <row r="280" spans="1:10" ht="18.75" customHeight="1">
      <c r="A280" s="641"/>
      <c r="B280" s="658"/>
      <c r="C280" s="643"/>
      <c r="D280" s="660"/>
      <c r="E280" s="644"/>
      <c r="F280" s="644"/>
      <c r="G280" s="644"/>
      <c r="H280" s="644"/>
      <c r="I280" s="660"/>
      <c r="J280" s="82"/>
    </row>
    <row r="281" spans="1:10" ht="18.75" customHeight="1">
      <c r="A281" s="641"/>
      <c r="B281" s="659"/>
      <c r="C281" s="661"/>
      <c r="D281" s="662"/>
      <c r="E281" s="667"/>
      <c r="F281" s="667"/>
      <c r="G281" s="667"/>
      <c r="H281" s="667"/>
      <c r="I281" s="662"/>
      <c r="J281" s="82"/>
    </row>
    <row r="282" spans="1:10" ht="18.75" customHeight="1">
      <c r="A282" s="641"/>
      <c r="B282"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282" s="664" t="str">
        <f ca="1">IFERROR(IF(INDEX('WPTM - Section F'!Q$1:Q$100,MATCH($A251,'WPTM - Section F'!$A$1:$A$100,0))&lt;&gt;0,INDEX('WPTM - Section F'!Q$1:Q$100,MATCH($A251,'WPTM - Section F'!$A$1:$A$100,0)),""),"")</f>
        <v/>
      </c>
      <c r="D282" s="665"/>
      <c r="E282" s="666" t="str">
        <f>IFERROR(IF(INDEX('WPTM - Section F'!R$1:R$100,MATCH($A251,'WPTM - Section F'!$A$1:$A$100,0))&lt;&gt;0,INDEX('WPTM - Section F'!R$1:R$100,MATCH($A251,'WPTM - Section F'!$A$1:$A$100,0)),""),"")</f>
        <v/>
      </c>
      <c r="F282" s="666"/>
      <c r="G282" s="666"/>
      <c r="H282" s="666"/>
      <c r="I282" s="665"/>
      <c r="J282" s="82"/>
    </row>
    <row r="283" spans="1:10" ht="18.75" customHeight="1">
      <c r="A283" s="641"/>
      <c r="B283" s="658"/>
      <c r="C283" s="643"/>
      <c r="D283" s="660"/>
      <c r="E283" s="644"/>
      <c r="F283" s="644"/>
      <c r="G283" s="644"/>
      <c r="H283" s="644"/>
      <c r="I283" s="660"/>
      <c r="J283" s="82"/>
    </row>
    <row r="284" spans="1:10" ht="18.75" customHeight="1">
      <c r="A284" s="641"/>
      <c r="B284" s="658"/>
      <c r="C284" s="643"/>
      <c r="D284" s="660"/>
      <c r="E284" s="644"/>
      <c r="F284" s="644"/>
      <c r="G284" s="644"/>
      <c r="H284" s="644"/>
      <c r="I284" s="660"/>
      <c r="J284" s="82"/>
    </row>
    <row r="285" spans="1:10" ht="18.75" customHeight="1">
      <c r="A285" s="641"/>
      <c r="B285" s="658"/>
      <c r="C285" s="643"/>
      <c r="D285" s="660"/>
      <c r="E285" s="644"/>
      <c r="F285" s="644"/>
      <c r="G285" s="644"/>
      <c r="H285" s="644"/>
      <c r="I285" s="660"/>
      <c r="J285" s="82"/>
    </row>
    <row r="286" spans="1:10" ht="18.75" customHeight="1">
      <c r="A286" s="641"/>
      <c r="B286" s="659"/>
      <c r="C286" s="661"/>
      <c r="D286" s="662"/>
      <c r="E286" s="667"/>
      <c r="F286" s="667"/>
      <c r="G286" s="667"/>
      <c r="H286" s="667"/>
      <c r="I286" s="662"/>
      <c r="J286" s="82"/>
    </row>
    <row r="287" spans="1:10" ht="18.75" customHeight="1">
      <c r="A287" s="641"/>
      <c r="B287"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287" s="664" t="str">
        <f ca="1">IFERROR(IF(INDEX('WPTM - Section F'!S$1:S$100,MATCH($A251,'WPTM - Section F'!$A$1:$A$100,0))&lt;&gt;0,INDEX('WPTM - Section F'!S$1:S$100,MATCH($A251,'WPTM - Section F'!$A$1:$A$100,0)),""),"")</f>
        <v/>
      </c>
      <c r="D287" s="665"/>
      <c r="E287" s="666" t="str">
        <f>IFERROR(IF(INDEX('WPTM - Section F'!T$1:T$100,MATCH($A251,'WPTM - Section F'!$A$1:$A$100,0))&lt;&gt;0,INDEX('WPTM - Section F'!T$1:T$100,MATCH($A251,'WPTM - Section F'!$A$1:$A$100,0)),""),"")</f>
        <v/>
      </c>
      <c r="F287" s="666"/>
      <c r="G287" s="666"/>
      <c r="H287" s="666"/>
      <c r="I287" s="665"/>
      <c r="J287" s="82"/>
    </row>
    <row r="288" spans="1:10" ht="18.75" customHeight="1">
      <c r="A288" s="641"/>
      <c r="B288" s="658"/>
      <c r="C288" s="643"/>
      <c r="D288" s="660"/>
      <c r="E288" s="644"/>
      <c r="F288" s="644"/>
      <c r="G288" s="644"/>
      <c r="H288" s="644"/>
      <c r="I288" s="660"/>
      <c r="J288" s="82"/>
    </row>
    <row r="289" spans="1:10" ht="18.75" customHeight="1">
      <c r="A289" s="641"/>
      <c r="B289" s="658"/>
      <c r="C289" s="643"/>
      <c r="D289" s="660"/>
      <c r="E289" s="644"/>
      <c r="F289" s="644"/>
      <c r="G289" s="644"/>
      <c r="H289" s="644"/>
      <c r="I289" s="660"/>
      <c r="J289" s="82"/>
    </row>
    <row r="290" spans="1:10" ht="18.75" customHeight="1">
      <c r="A290" s="641"/>
      <c r="B290" s="658"/>
      <c r="C290" s="643"/>
      <c r="D290" s="660"/>
      <c r="E290" s="644"/>
      <c r="F290" s="644"/>
      <c r="G290" s="644"/>
      <c r="H290" s="644"/>
      <c r="I290" s="660"/>
      <c r="J290" s="82"/>
    </row>
    <row r="291" spans="1:10" ht="18.75" customHeight="1">
      <c r="A291" s="641"/>
      <c r="B291" s="659"/>
      <c r="C291" s="661"/>
      <c r="D291" s="662"/>
      <c r="E291" s="667"/>
      <c r="F291" s="667"/>
      <c r="G291" s="667"/>
      <c r="H291" s="667"/>
      <c r="I291" s="662"/>
      <c r="J291" s="82"/>
    </row>
    <row r="292" spans="1:10" ht="18.75" customHeight="1">
      <c r="A292" s="641"/>
      <c r="B292"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292" s="664" t="str">
        <f>IFERROR(IF(INDEX('WPTM - Section F'!U$1:U$100,MATCH($A251,'WPTM - Section F'!$A$1:$A$100,0))&lt;&gt;0,INDEX('WPTM - Section F'!U$1:U$100,MATCH($A251,'WPTM - Section F'!$A$1:$A$100,0)),""),"")</f>
        <v/>
      </c>
      <c r="D292" s="665"/>
      <c r="E292" s="666" t="str">
        <f>IFERROR(IF(INDEX('WPTM - Section F'!V$1:V$100,MATCH($A251,'WPTM - Section F'!$A$1:$A$100,0))&lt;&gt;0,INDEX('WPTM - Section F'!V$1:V$100,MATCH($A251,'WPTM - Section F'!$A$1:$A$100,0)),""),"")</f>
        <v/>
      </c>
      <c r="F292" s="666"/>
      <c r="G292" s="666"/>
      <c r="H292" s="666"/>
      <c r="I292" s="665"/>
      <c r="J292" s="82"/>
    </row>
    <row r="293" spans="1:10" ht="18.75" customHeight="1">
      <c r="A293" s="641"/>
      <c r="B293" s="658"/>
      <c r="C293" s="643"/>
      <c r="D293" s="660"/>
      <c r="E293" s="644"/>
      <c r="F293" s="644"/>
      <c r="G293" s="644"/>
      <c r="H293" s="644"/>
      <c r="I293" s="660"/>
      <c r="J293" s="82"/>
    </row>
    <row r="294" spans="1:10" ht="18.75" customHeight="1">
      <c r="A294" s="641"/>
      <c r="B294" s="658"/>
      <c r="C294" s="643"/>
      <c r="D294" s="660"/>
      <c r="E294" s="644"/>
      <c r="F294" s="644"/>
      <c r="G294" s="644"/>
      <c r="H294" s="644"/>
      <c r="I294" s="660"/>
      <c r="J294" s="82"/>
    </row>
    <row r="295" spans="1:10" ht="18.75" customHeight="1">
      <c r="A295" s="641"/>
      <c r="B295" s="658"/>
      <c r="C295" s="643"/>
      <c r="D295" s="660"/>
      <c r="E295" s="644"/>
      <c r="F295" s="644"/>
      <c r="G295" s="644"/>
      <c r="H295" s="644"/>
      <c r="I295" s="660"/>
      <c r="J295" s="82"/>
    </row>
    <row r="296" spans="1:10" ht="18.75" customHeight="1">
      <c r="A296" s="641"/>
      <c r="B296" s="658"/>
      <c r="C296" s="643"/>
      <c r="D296" s="660"/>
      <c r="E296" s="644"/>
      <c r="F296" s="644"/>
      <c r="G296" s="644"/>
      <c r="H296" s="644"/>
      <c r="I296" s="660"/>
      <c r="J296" s="82"/>
    </row>
    <row r="297" spans="1:10" ht="18.75" customHeight="1">
      <c r="A297" s="654"/>
      <c r="B297" s="656"/>
      <c r="C297" s="656"/>
      <c r="D297" s="656"/>
      <c r="E297" s="656"/>
      <c r="F297" s="656"/>
      <c r="G297" s="656"/>
      <c r="H297" s="656"/>
      <c r="I297" s="655"/>
      <c r="J297" s="82"/>
    </row>
    <row r="299" spans="1:10" ht="18.75" customHeight="1">
      <c r="A299" s="103" t="s">
        <v>5051</v>
      </c>
      <c r="B299" s="107" t="s">
        <v>1077</v>
      </c>
      <c r="C299" s="631" t="str">
        <f>IFERROR(IF(INDEX('WPTM - Section F'!B$1:B$100,MATCH($A300,'WPTM - Section F'!$A$1:$A$100,0))&lt;&gt;0,INDEX('WPTM - Section F'!B$1:B$100,MATCH($A300,'WPTM - Section F'!$A$1:$A$100,0)),""),"")</f>
        <v/>
      </c>
      <c r="D299" s="632"/>
      <c r="E299" s="632"/>
      <c r="F299" s="632"/>
      <c r="G299" s="632"/>
      <c r="H299" s="632"/>
      <c r="I299" s="649"/>
      <c r="J299" s="82"/>
    </row>
    <row r="300" spans="1:10" ht="18.75" customHeight="1">
      <c r="A300" s="640">
        <v>7</v>
      </c>
      <c r="B300" s="105" t="s">
        <v>258</v>
      </c>
      <c r="C300" s="631" t="str">
        <f>IFERROR(IF(INDEX('WPTM - Section F'!C$1:C$100,MATCH($A300,'WPTM - Section F'!$A$1:$A$100,0))&lt;&gt;0,INDEX('WPTM - Section F'!C$1:C$100,MATCH($A300,'WPTM - Section F'!$A$1:$A$100,0)),""),"")</f>
        <v/>
      </c>
      <c r="D300" s="632"/>
      <c r="E300" s="632"/>
      <c r="F300" s="632"/>
      <c r="G300" s="632"/>
      <c r="H300" s="632"/>
      <c r="I300" s="649"/>
      <c r="J300" s="82"/>
    </row>
    <row r="301" spans="1:10" ht="18.75" customHeight="1">
      <c r="A301" s="641"/>
      <c r="B301" s="625" t="s">
        <v>4383</v>
      </c>
      <c r="C301" s="626"/>
      <c r="D301" s="626"/>
      <c r="E301" s="626"/>
      <c r="F301" s="650" t="s">
        <v>127</v>
      </c>
      <c r="G301" s="626"/>
      <c r="H301" s="626"/>
      <c r="I301" s="646"/>
      <c r="J301" s="82"/>
    </row>
    <row r="302" spans="1:10" ht="18.75" customHeight="1">
      <c r="A302" s="641"/>
      <c r="B302" s="634" t="str">
        <f>IFERROR(IF(INDEX('WPTM - Section F'!D$1:D$100,MATCH($A300,'WPTM - Section F'!$A$1:$A$100,0))&lt;&gt;0,INDEX('WPTM - Section F'!D$1:D$100,MATCH($A300,'WPTM - Section F'!$A$1:$A$100,0)),""),"")</f>
        <v/>
      </c>
      <c r="C302" s="635"/>
      <c r="D302" s="635"/>
      <c r="E302" s="635"/>
      <c r="F302" s="651" t="str">
        <f>IFERROR(IF(INDEX('WPTM - Section F'!F$1:F$100,MATCH($A300,'WPTM - Section F'!$A$1:$A$100,0))&lt;&gt;0,INDEX('WPTM - Section F'!F$1:F$100,MATCH($A300,'WPTM - Section F'!$A$1:$A$100,0)),""),"")</f>
        <v/>
      </c>
      <c r="G302" s="632"/>
      <c r="H302" s="632"/>
      <c r="I302" s="649"/>
      <c r="J302" s="82"/>
    </row>
    <row r="303" spans="1:10" ht="18.75" customHeight="1">
      <c r="A303" s="641"/>
      <c r="B303" s="643"/>
      <c r="C303" s="644"/>
      <c r="D303" s="644"/>
      <c r="E303" s="644"/>
      <c r="F303" s="650" t="s">
        <v>120</v>
      </c>
      <c r="G303" s="626"/>
      <c r="H303" s="626"/>
      <c r="I303" s="646"/>
      <c r="J303" s="82"/>
    </row>
    <row r="304" spans="1:10" ht="18.75" customHeight="1">
      <c r="A304" s="641"/>
      <c r="B304" s="643"/>
      <c r="C304" s="644"/>
      <c r="D304" s="644"/>
      <c r="E304" s="644"/>
      <c r="F304" s="652" t="str">
        <f ca="1">IFERROR(IF(AND('Overview - Section A'!AS$1="Grant Making",B302&lt;&gt;""),Setup!I15,IF(INDEX('WPTM - Section F'!E$1:E$100,MATCH($A300,'WPTM - Section F'!$A$1:$A$100,0))&lt;&gt;0,INDEX('WPTM - Section F'!E$1:E$100,MATCH($A300,'WPTM - Section F'!$A$1:$A$100,0)),"")),"")</f>
        <v/>
      </c>
      <c r="G304" s="635"/>
      <c r="H304" s="635"/>
      <c r="I304" s="653"/>
      <c r="J304" s="82"/>
    </row>
    <row r="305" spans="1:10" ht="18.75" customHeight="1">
      <c r="A305" s="641"/>
      <c r="B305" s="106"/>
      <c r="C305" s="654" t="s">
        <v>4552</v>
      </c>
      <c r="D305" s="655"/>
      <c r="E305" s="656" t="s">
        <v>5035</v>
      </c>
      <c r="F305" s="656"/>
      <c r="G305" s="656"/>
      <c r="H305" s="656"/>
      <c r="I305" s="655"/>
      <c r="J305" s="82"/>
    </row>
    <row r="306" spans="1:10" ht="18.75" customHeight="1">
      <c r="A306" s="641"/>
      <c r="B306"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306" s="634" t="str">
        <f ca="1">IFERROR(IF(INDEX('WPTM - Section F'!G$1:G$100,MATCH($A300,'WPTM - Section F'!$A$1:$A$100,0))&lt;&gt;0,INDEX('WPTM - Section F'!G$1:G$100,MATCH($A300,'WPTM - Section F'!$A$1:$A$100,0)),""),"")</f>
        <v/>
      </c>
      <c r="D306" s="653"/>
      <c r="E306" s="635" t="str">
        <f>IFERROR(IF(INDEX('WPTM - Section F'!H$1:H$100,MATCH($A300,'WPTM - Section F'!$A$1:$A$100,0))&lt;&gt;0,INDEX('WPTM - Section F'!H$1:H$100,MATCH($A300,'WPTM - Section F'!$A$1:$A$100,0)),""),"")</f>
        <v/>
      </c>
      <c r="F306" s="635"/>
      <c r="G306" s="635"/>
      <c r="H306" s="635"/>
      <c r="I306" s="653"/>
      <c r="J306" s="82"/>
    </row>
    <row r="307" spans="1:10" ht="18.75" customHeight="1">
      <c r="A307" s="641"/>
      <c r="B307" s="658"/>
      <c r="C307" s="643"/>
      <c r="D307" s="660"/>
      <c r="E307" s="644"/>
      <c r="F307" s="644"/>
      <c r="G307" s="644"/>
      <c r="H307" s="644"/>
      <c r="I307" s="660"/>
      <c r="J307" s="82"/>
    </row>
    <row r="308" spans="1:10" ht="18.75" customHeight="1">
      <c r="A308" s="641"/>
      <c r="B308" s="658"/>
      <c r="C308" s="643"/>
      <c r="D308" s="660"/>
      <c r="E308" s="644"/>
      <c r="F308" s="644"/>
      <c r="G308" s="644"/>
      <c r="H308" s="644"/>
      <c r="I308" s="660"/>
      <c r="J308" s="82"/>
    </row>
    <row r="309" spans="1:10" ht="18.75" customHeight="1">
      <c r="A309" s="641"/>
      <c r="B309" s="658"/>
      <c r="C309" s="643"/>
      <c r="D309" s="660"/>
      <c r="E309" s="644"/>
      <c r="F309" s="644"/>
      <c r="G309" s="644"/>
      <c r="H309" s="644"/>
      <c r="I309" s="660"/>
      <c r="J309" s="82"/>
    </row>
    <row r="310" spans="1:10" ht="18.75" customHeight="1">
      <c r="A310" s="641"/>
      <c r="B310" s="659"/>
      <c r="C310" s="661"/>
      <c r="D310" s="662"/>
      <c r="E310" s="667"/>
      <c r="F310" s="667"/>
      <c r="G310" s="667"/>
      <c r="H310" s="667"/>
      <c r="I310" s="662"/>
      <c r="J310" s="82"/>
    </row>
    <row r="311" spans="1:10" ht="18.75" customHeight="1">
      <c r="A311" s="641"/>
      <c r="B311"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311" s="664" t="str">
        <f ca="1">IFERROR(IF(INDEX('WPTM - Section F'!I$1:I$100,MATCH($A300,'WPTM - Section F'!$A$1:$A$100,0))&lt;&gt;0,INDEX('WPTM - Section F'!I$1:I$100,MATCH($A300,'WPTM - Section F'!$A$1:$A$100,0)),""),"")</f>
        <v/>
      </c>
      <c r="D311" s="665"/>
      <c r="E311" s="666" t="str">
        <f>IFERROR(IF(INDEX('WPTM - Section F'!J$1:J$100,MATCH($A300,'WPTM - Section F'!$A$1:$A$100,0))&lt;&gt;0,INDEX('WPTM - Section F'!J$1:J$100,MATCH($A300,'WPTM - Section F'!$A$1:$A$100,0)),""),"")</f>
        <v/>
      </c>
      <c r="F311" s="666"/>
      <c r="G311" s="666"/>
      <c r="H311" s="666"/>
      <c r="I311" s="665"/>
      <c r="J311" s="82"/>
    </row>
    <row r="312" spans="1:10" ht="18.75" customHeight="1">
      <c r="A312" s="641"/>
      <c r="B312" s="658"/>
      <c r="C312" s="643"/>
      <c r="D312" s="660"/>
      <c r="E312" s="644"/>
      <c r="F312" s="644"/>
      <c r="G312" s="644"/>
      <c r="H312" s="644"/>
      <c r="I312" s="660"/>
      <c r="J312" s="82"/>
    </row>
    <row r="313" spans="1:10" ht="18.75" customHeight="1">
      <c r="A313" s="641"/>
      <c r="B313" s="658"/>
      <c r="C313" s="643"/>
      <c r="D313" s="660"/>
      <c r="E313" s="644"/>
      <c r="F313" s="644"/>
      <c r="G313" s="644"/>
      <c r="H313" s="644"/>
      <c r="I313" s="660"/>
      <c r="J313" s="82"/>
    </row>
    <row r="314" spans="1:10" ht="18.75" customHeight="1">
      <c r="A314" s="641"/>
      <c r="B314" s="658"/>
      <c r="C314" s="643"/>
      <c r="D314" s="660"/>
      <c r="E314" s="644"/>
      <c r="F314" s="644"/>
      <c r="G314" s="644"/>
      <c r="H314" s="644"/>
      <c r="I314" s="660"/>
      <c r="J314" s="82"/>
    </row>
    <row r="315" spans="1:10" ht="18.75" customHeight="1">
      <c r="A315" s="641"/>
      <c r="B315" s="659"/>
      <c r="C315" s="661"/>
      <c r="D315" s="662"/>
      <c r="E315" s="667"/>
      <c r="F315" s="667"/>
      <c r="G315" s="667"/>
      <c r="H315" s="667"/>
      <c r="I315" s="662"/>
      <c r="J315" s="82"/>
    </row>
    <row r="316" spans="1:10" ht="18.75" customHeight="1">
      <c r="A316" s="641"/>
      <c r="B316"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316" s="664" t="str">
        <f ca="1">IFERROR(IF(INDEX('WPTM - Section F'!K$1:K$100,MATCH($A300,'WPTM - Section F'!$A$1:$A$100,0))&lt;&gt;0,INDEX('WPTM - Section F'!K$1:K$100,MATCH($A300,'WPTM - Section F'!$A$1:$A$100,0)),""),"")</f>
        <v/>
      </c>
      <c r="D316" s="665"/>
      <c r="E316" s="666" t="str">
        <f>IFERROR(IF(INDEX('WPTM - Section F'!L$1:L$100,MATCH($A300,'WPTM - Section F'!$A$1:$A$100,0))&lt;&gt;0,INDEX('WPTM - Section F'!L$1:L$100,MATCH($A300,'WPTM - Section F'!$A$1:$A$100,0)),""),"")</f>
        <v/>
      </c>
      <c r="F316" s="666"/>
      <c r="G316" s="666"/>
      <c r="H316" s="666"/>
      <c r="I316" s="665"/>
      <c r="J316" s="82"/>
    </row>
    <row r="317" spans="1:10" ht="18.75" customHeight="1">
      <c r="A317" s="641"/>
      <c r="B317" s="658"/>
      <c r="C317" s="643"/>
      <c r="D317" s="660"/>
      <c r="E317" s="644"/>
      <c r="F317" s="644"/>
      <c r="G317" s="644"/>
      <c r="H317" s="644"/>
      <c r="I317" s="660"/>
      <c r="J317" s="82"/>
    </row>
    <row r="318" spans="1:10" ht="18.75" customHeight="1">
      <c r="A318" s="641"/>
      <c r="B318" s="658"/>
      <c r="C318" s="643"/>
      <c r="D318" s="660"/>
      <c r="E318" s="644"/>
      <c r="F318" s="644"/>
      <c r="G318" s="644"/>
      <c r="H318" s="644"/>
      <c r="I318" s="660"/>
      <c r="J318" s="82"/>
    </row>
    <row r="319" spans="1:10" ht="18.75" customHeight="1">
      <c r="A319" s="641"/>
      <c r="B319" s="658"/>
      <c r="C319" s="643"/>
      <c r="D319" s="660"/>
      <c r="E319" s="644"/>
      <c r="F319" s="644"/>
      <c r="G319" s="644"/>
      <c r="H319" s="644"/>
      <c r="I319" s="660"/>
      <c r="J319" s="82"/>
    </row>
    <row r="320" spans="1:10" ht="18.75" customHeight="1">
      <c r="A320" s="641"/>
      <c r="B320" s="659"/>
      <c r="C320" s="661"/>
      <c r="D320" s="662"/>
      <c r="E320" s="667"/>
      <c r="F320" s="667"/>
      <c r="G320" s="667"/>
      <c r="H320" s="667"/>
      <c r="I320" s="662"/>
      <c r="J320" s="82"/>
    </row>
    <row r="321" spans="1:10" ht="18.75" customHeight="1">
      <c r="A321" s="641"/>
      <c r="B321"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321" s="664" t="str">
        <f ca="1">IFERROR(IF(INDEX('WPTM - Section F'!M$1:M$100,MATCH($A300,'WPTM - Section F'!$A$1:$A$100,0))&lt;&gt;0,INDEX('WPTM - Section F'!M$1:M$100,MATCH($A300,'WPTM - Section F'!$A$1:$A$100,0)),""),"")</f>
        <v/>
      </c>
      <c r="D321" s="665"/>
      <c r="E321" s="666" t="str">
        <f>IFERROR(IF(INDEX('WPTM - Section F'!N$1:N$100,MATCH($A300,'WPTM - Section F'!$A$1:$A$100,0))&lt;&gt;0,INDEX('WPTM - Section F'!N$1:N$100,MATCH($A300,'WPTM - Section F'!$A$1:$A$100,0)),""),"")</f>
        <v/>
      </c>
      <c r="F321" s="666"/>
      <c r="G321" s="666"/>
      <c r="H321" s="666"/>
      <c r="I321" s="665"/>
      <c r="J321" s="82"/>
    </row>
    <row r="322" spans="1:10" ht="18.75" customHeight="1">
      <c r="A322" s="641"/>
      <c r="B322" s="658"/>
      <c r="C322" s="643"/>
      <c r="D322" s="660"/>
      <c r="E322" s="644"/>
      <c r="F322" s="644"/>
      <c r="G322" s="644"/>
      <c r="H322" s="644"/>
      <c r="I322" s="660"/>
      <c r="J322" s="82"/>
    </row>
    <row r="323" spans="1:10" ht="18.75" customHeight="1">
      <c r="A323" s="641"/>
      <c r="B323" s="658"/>
      <c r="C323" s="643"/>
      <c r="D323" s="660"/>
      <c r="E323" s="644"/>
      <c r="F323" s="644"/>
      <c r="G323" s="644"/>
      <c r="H323" s="644"/>
      <c r="I323" s="660"/>
      <c r="J323" s="82"/>
    </row>
    <row r="324" spans="1:10" ht="18.75" customHeight="1">
      <c r="A324" s="641"/>
      <c r="B324" s="658"/>
      <c r="C324" s="643"/>
      <c r="D324" s="660"/>
      <c r="E324" s="644"/>
      <c r="F324" s="644"/>
      <c r="G324" s="644"/>
      <c r="H324" s="644"/>
      <c r="I324" s="660"/>
      <c r="J324" s="82"/>
    </row>
    <row r="325" spans="1:10" ht="18.75" customHeight="1">
      <c r="A325" s="641"/>
      <c r="B325" s="659"/>
      <c r="C325" s="661"/>
      <c r="D325" s="662"/>
      <c r="E325" s="667"/>
      <c r="F325" s="667"/>
      <c r="G325" s="667"/>
      <c r="H325" s="667"/>
      <c r="I325" s="662"/>
      <c r="J325" s="82"/>
    </row>
    <row r="326" spans="1:10" ht="18.75" customHeight="1">
      <c r="A326" s="641"/>
      <c r="B326"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326" s="664" t="str">
        <f ca="1">IFERROR(IF(INDEX('WPTM - Section F'!O$1:O$100,MATCH($A300,'WPTM - Section F'!$A$1:$A$100,0))&lt;&gt;0,INDEX('WPTM - Section F'!O$1:O$100,MATCH($A300,'WPTM - Section F'!$A$1:$A$100,0)),""),"")</f>
        <v/>
      </c>
      <c r="D326" s="665"/>
      <c r="E326" s="666" t="str">
        <f>IFERROR(IF(INDEX('WPTM - Section F'!P$1:P$100,MATCH($A300,'WPTM - Section F'!$A$1:$A$100,0))&lt;&gt;0,INDEX('WPTM - Section F'!P$1:P$100,MATCH($A300,'WPTM - Section F'!$A$1:$A$100,0)),""),"")</f>
        <v/>
      </c>
      <c r="F326" s="666"/>
      <c r="G326" s="666"/>
      <c r="H326" s="666"/>
      <c r="I326" s="665"/>
      <c r="J326" s="82"/>
    </row>
    <row r="327" spans="1:10" ht="18.75" customHeight="1">
      <c r="A327" s="641"/>
      <c r="B327" s="658"/>
      <c r="C327" s="643"/>
      <c r="D327" s="660"/>
      <c r="E327" s="644"/>
      <c r="F327" s="644"/>
      <c r="G327" s="644"/>
      <c r="H327" s="644"/>
      <c r="I327" s="660"/>
      <c r="J327" s="82"/>
    </row>
    <row r="328" spans="1:10" ht="18.75" customHeight="1">
      <c r="A328" s="641"/>
      <c r="B328" s="658"/>
      <c r="C328" s="643"/>
      <c r="D328" s="660"/>
      <c r="E328" s="644"/>
      <c r="F328" s="644"/>
      <c r="G328" s="644"/>
      <c r="H328" s="644"/>
      <c r="I328" s="660"/>
      <c r="J328" s="82"/>
    </row>
    <row r="329" spans="1:10" ht="18.75" customHeight="1">
      <c r="A329" s="641"/>
      <c r="B329" s="658"/>
      <c r="C329" s="643"/>
      <c r="D329" s="660"/>
      <c r="E329" s="644"/>
      <c r="F329" s="644"/>
      <c r="G329" s="644"/>
      <c r="H329" s="644"/>
      <c r="I329" s="660"/>
      <c r="J329" s="82"/>
    </row>
    <row r="330" spans="1:10" ht="18.75" customHeight="1">
      <c r="A330" s="641"/>
      <c r="B330" s="659"/>
      <c r="C330" s="661"/>
      <c r="D330" s="662"/>
      <c r="E330" s="667"/>
      <c r="F330" s="667"/>
      <c r="G330" s="667"/>
      <c r="H330" s="667"/>
      <c r="I330" s="662"/>
      <c r="J330" s="82"/>
    </row>
    <row r="331" spans="1:10" ht="18.75" customHeight="1">
      <c r="A331" s="641"/>
      <c r="B331"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331" s="664" t="str">
        <f ca="1">IFERROR(IF(INDEX('WPTM - Section F'!Q$1:Q$100,MATCH($A300,'WPTM - Section F'!$A$1:$A$100,0))&lt;&gt;0,INDEX('WPTM - Section F'!Q$1:Q$100,MATCH($A300,'WPTM - Section F'!$A$1:$A$100,0)),""),"")</f>
        <v/>
      </c>
      <c r="D331" s="665"/>
      <c r="E331" s="666" t="str">
        <f>IFERROR(IF(INDEX('WPTM - Section F'!R$1:R$100,MATCH($A300,'WPTM - Section F'!$A$1:$A$100,0))&lt;&gt;0,INDEX('WPTM - Section F'!R$1:R$100,MATCH($A300,'WPTM - Section F'!$A$1:$A$100,0)),""),"")</f>
        <v/>
      </c>
      <c r="F331" s="666"/>
      <c r="G331" s="666"/>
      <c r="H331" s="666"/>
      <c r="I331" s="665"/>
      <c r="J331" s="82"/>
    </row>
    <row r="332" spans="1:10" ht="18.75" customHeight="1">
      <c r="A332" s="641"/>
      <c r="B332" s="658"/>
      <c r="C332" s="643"/>
      <c r="D332" s="660"/>
      <c r="E332" s="644"/>
      <c r="F332" s="644"/>
      <c r="G332" s="644"/>
      <c r="H332" s="644"/>
      <c r="I332" s="660"/>
      <c r="J332" s="82"/>
    </row>
    <row r="333" spans="1:10" ht="18.75" customHeight="1">
      <c r="A333" s="641"/>
      <c r="B333" s="658"/>
      <c r="C333" s="643"/>
      <c r="D333" s="660"/>
      <c r="E333" s="644"/>
      <c r="F333" s="644"/>
      <c r="G333" s="644"/>
      <c r="H333" s="644"/>
      <c r="I333" s="660"/>
      <c r="J333" s="82"/>
    </row>
    <row r="334" spans="1:10" ht="18.75" customHeight="1">
      <c r="A334" s="641"/>
      <c r="B334" s="658"/>
      <c r="C334" s="643"/>
      <c r="D334" s="660"/>
      <c r="E334" s="644"/>
      <c r="F334" s="644"/>
      <c r="G334" s="644"/>
      <c r="H334" s="644"/>
      <c r="I334" s="660"/>
      <c r="J334" s="82"/>
    </row>
    <row r="335" spans="1:10" ht="18.75" customHeight="1">
      <c r="A335" s="641"/>
      <c r="B335" s="659"/>
      <c r="C335" s="661"/>
      <c r="D335" s="662"/>
      <c r="E335" s="667"/>
      <c r="F335" s="667"/>
      <c r="G335" s="667"/>
      <c r="H335" s="667"/>
      <c r="I335" s="662"/>
      <c r="J335" s="82"/>
    </row>
    <row r="336" spans="1:10" ht="18.75" customHeight="1">
      <c r="A336" s="641"/>
      <c r="B336"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336" s="664" t="str">
        <f ca="1">IFERROR(IF(INDEX('WPTM - Section F'!S$1:S$100,MATCH($A300,'WPTM - Section F'!$A$1:$A$100,0))&lt;&gt;0,INDEX('WPTM - Section F'!S$1:S$100,MATCH($A300,'WPTM - Section F'!$A$1:$A$100,0)),""),"")</f>
        <v/>
      </c>
      <c r="D336" s="665"/>
      <c r="E336" s="666" t="str">
        <f>IFERROR(IF(INDEX('WPTM - Section F'!T$1:T$100,MATCH($A300,'WPTM - Section F'!$A$1:$A$100,0))&lt;&gt;0,INDEX('WPTM - Section F'!T$1:T$100,MATCH($A300,'WPTM - Section F'!$A$1:$A$100,0)),""),"")</f>
        <v/>
      </c>
      <c r="F336" s="666"/>
      <c r="G336" s="666"/>
      <c r="H336" s="666"/>
      <c r="I336" s="665"/>
      <c r="J336" s="82"/>
    </row>
    <row r="337" spans="1:10" ht="18.75" customHeight="1">
      <c r="A337" s="641"/>
      <c r="B337" s="658"/>
      <c r="C337" s="643"/>
      <c r="D337" s="660"/>
      <c r="E337" s="644"/>
      <c r="F337" s="644"/>
      <c r="G337" s="644"/>
      <c r="H337" s="644"/>
      <c r="I337" s="660"/>
      <c r="J337" s="82"/>
    </row>
    <row r="338" spans="1:10" ht="18.75" customHeight="1">
      <c r="A338" s="641"/>
      <c r="B338" s="658"/>
      <c r="C338" s="643"/>
      <c r="D338" s="660"/>
      <c r="E338" s="644"/>
      <c r="F338" s="644"/>
      <c r="G338" s="644"/>
      <c r="H338" s="644"/>
      <c r="I338" s="660"/>
      <c r="J338" s="82"/>
    </row>
    <row r="339" spans="1:10" ht="18.75" customHeight="1">
      <c r="A339" s="641"/>
      <c r="B339" s="658"/>
      <c r="C339" s="643"/>
      <c r="D339" s="660"/>
      <c r="E339" s="644"/>
      <c r="F339" s="644"/>
      <c r="G339" s="644"/>
      <c r="H339" s="644"/>
      <c r="I339" s="660"/>
      <c r="J339" s="82"/>
    </row>
    <row r="340" spans="1:10" ht="18.75" customHeight="1">
      <c r="A340" s="641"/>
      <c r="B340" s="659"/>
      <c r="C340" s="661"/>
      <c r="D340" s="662"/>
      <c r="E340" s="667"/>
      <c r="F340" s="667"/>
      <c r="G340" s="667"/>
      <c r="H340" s="667"/>
      <c r="I340" s="662"/>
      <c r="J340" s="82"/>
    </row>
    <row r="341" spans="1:10" ht="18.75" customHeight="1">
      <c r="A341" s="641"/>
      <c r="B341"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341" s="664" t="str">
        <f>IFERROR(IF(INDEX('WPTM - Section F'!U$1:U$100,MATCH($A300,'WPTM - Section F'!$A$1:$A$100,0))&lt;&gt;0,INDEX('WPTM - Section F'!U$1:U$100,MATCH($A300,'WPTM - Section F'!$A$1:$A$100,0)),""),"")</f>
        <v/>
      </c>
      <c r="D341" s="665"/>
      <c r="E341" s="666" t="str">
        <f>IFERROR(IF(INDEX('WPTM - Section F'!V$1:V$100,MATCH($A300,'WPTM - Section F'!$A$1:$A$100,0))&lt;&gt;0,INDEX('WPTM - Section F'!V$1:V$100,MATCH($A300,'WPTM - Section F'!$A$1:$A$100,0)),""),"")</f>
        <v/>
      </c>
      <c r="F341" s="666"/>
      <c r="G341" s="666"/>
      <c r="H341" s="666"/>
      <c r="I341" s="665"/>
      <c r="J341" s="82"/>
    </row>
    <row r="342" spans="1:10" ht="18.75" customHeight="1">
      <c r="A342" s="641"/>
      <c r="B342" s="658"/>
      <c r="C342" s="643"/>
      <c r="D342" s="660"/>
      <c r="E342" s="644"/>
      <c r="F342" s="644"/>
      <c r="G342" s="644"/>
      <c r="H342" s="644"/>
      <c r="I342" s="660"/>
      <c r="J342" s="82"/>
    </row>
    <row r="343" spans="1:10" ht="18.75" customHeight="1">
      <c r="A343" s="641"/>
      <c r="B343" s="658"/>
      <c r="C343" s="643"/>
      <c r="D343" s="660"/>
      <c r="E343" s="644"/>
      <c r="F343" s="644"/>
      <c r="G343" s="644"/>
      <c r="H343" s="644"/>
      <c r="I343" s="660"/>
      <c r="J343" s="82"/>
    </row>
    <row r="344" spans="1:10" ht="18.75" customHeight="1">
      <c r="A344" s="641"/>
      <c r="B344" s="658"/>
      <c r="C344" s="643"/>
      <c r="D344" s="660"/>
      <c r="E344" s="644"/>
      <c r="F344" s="644"/>
      <c r="G344" s="644"/>
      <c r="H344" s="644"/>
      <c r="I344" s="660"/>
      <c r="J344" s="82"/>
    </row>
    <row r="345" spans="1:10" ht="18.75" customHeight="1">
      <c r="A345" s="641"/>
      <c r="B345" s="658"/>
      <c r="C345" s="643"/>
      <c r="D345" s="660"/>
      <c r="E345" s="644"/>
      <c r="F345" s="644"/>
      <c r="G345" s="644"/>
      <c r="H345" s="644"/>
      <c r="I345" s="660"/>
      <c r="J345" s="82"/>
    </row>
    <row r="346" spans="1:10" ht="18.75" customHeight="1">
      <c r="A346" s="654"/>
      <c r="B346" s="656"/>
      <c r="C346" s="656"/>
      <c r="D346" s="656"/>
      <c r="E346" s="656"/>
      <c r="F346" s="656"/>
      <c r="G346" s="656"/>
      <c r="H346" s="656"/>
      <c r="I346" s="655"/>
      <c r="J346" s="82"/>
    </row>
    <row r="348" spans="1:10" ht="18.75" customHeight="1">
      <c r="A348" s="107" t="s">
        <v>5051</v>
      </c>
      <c r="B348" s="107" t="s">
        <v>1077</v>
      </c>
      <c r="C348" s="631" t="str">
        <f>IFERROR(IF(INDEX('WPTM - Section F'!B$1:B$100,MATCH($A349,'WPTM - Section F'!$A$1:$A$100,0))&lt;&gt;0,INDEX('WPTM - Section F'!B$1:B$100,MATCH($A349,'WPTM - Section F'!$A$1:$A$100,0)),""),"")</f>
        <v/>
      </c>
      <c r="D348" s="632"/>
      <c r="E348" s="632"/>
      <c r="F348" s="632"/>
      <c r="G348" s="632"/>
      <c r="H348" s="632"/>
      <c r="I348" s="649"/>
      <c r="J348" s="82"/>
    </row>
    <row r="349" spans="1:10" ht="18.75" customHeight="1">
      <c r="A349" s="640">
        <v>8</v>
      </c>
      <c r="B349" s="105" t="s">
        <v>258</v>
      </c>
      <c r="C349" s="631" t="str">
        <f>IFERROR(IF(INDEX('WPTM - Section F'!C$1:C$100,MATCH($A349,'WPTM - Section F'!$A$1:$A$100,0))&lt;&gt;0,INDEX('WPTM - Section F'!C$1:C$100,MATCH($A349,'WPTM - Section F'!$A$1:$A$100,0)),""),"")</f>
        <v/>
      </c>
      <c r="D349" s="632"/>
      <c r="E349" s="632"/>
      <c r="F349" s="632"/>
      <c r="G349" s="632"/>
      <c r="H349" s="632"/>
      <c r="I349" s="649"/>
      <c r="J349" s="82"/>
    </row>
    <row r="350" spans="1:10" ht="18.75" customHeight="1">
      <c r="A350" s="641"/>
      <c r="B350" s="625" t="s">
        <v>4383</v>
      </c>
      <c r="C350" s="626"/>
      <c r="D350" s="626"/>
      <c r="E350" s="626"/>
      <c r="F350" s="650" t="s">
        <v>127</v>
      </c>
      <c r="G350" s="626"/>
      <c r="H350" s="626"/>
      <c r="I350" s="646"/>
      <c r="J350" s="82"/>
    </row>
    <row r="351" spans="1:10" ht="18.75" customHeight="1">
      <c r="A351" s="641"/>
      <c r="B351" s="634" t="str">
        <f>IFERROR(IF(INDEX('WPTM - Section F'!D$1:D$100,MATCH($A349,'WPTM - Section F'!$A$1:$A$100,0))&lt;&gt;0,INDEX('WPTM - Section F'!D$1:D$100,MATCH($A349,'WPTM - Section F'!$A$1:$A$100,0)),""),"")</f>
        <v/>
      </c>
      <c r="C351" s="635"/>
      <c r="D351" s="635"/>
      <c r="E351" s="635"/>
      <c r="F351" s="651" t="str">
        <f>IFERROR(IF(INDEX('WPTM - Section F'!F$1:F$100,MATCH($A349,'WPTM - Section F'!$A$1:$A$100,0))&lt;&gt;0,INDEX('WPTM - Section F'!F$1:F$100,MATCH($A349,'WPTM - Section F'!$A$1:$A$100,0)),""),"")</f>
        <v/>
      </c>
      <c r="G351" s="632"/>
      <c r="H351" s="632"/>
      <c r="I351" s="649"/>
      <c r="J351" s="82"/>
    </row>
    <row r="352" spans="1:10" ht="18.75" customHeight="1">
      <c r="A352" s="641"/>
      <c r="B352" s="643"/>
      <c r="C352" s="644"/>
      <c r="D352" s="644"/>
      <c r="E352" s="644"/>
      <c r="F352" s="650" t="s">
        <v>120</v>
      </c>
      <c r="G352" s="626"/>
      <c r="H352" s="626"/>
      <c r="I352" s="646"/>
      <c r="J352" s="82"/>
    </row>
    <row r="353" spans="1:10" ht="18.75" customHeight="1">
      <c r="A353" s="641"/>
      <c r="B353" s="643"/>
      <c r="C353" s="644"/>
      <c r="D353" s="644"/>
      <c r="E353" s="644"/>
      <c r="F353" s="652" t="str">
        <f ca="1">IFERROR(IF(AND('Overview - Section A'!AS$1="Grant Making",B351&lt;&gt;""),Setup!I15,IF(INDEX('WPTM - Section F'!E$1:E$100,MATCH($A349,'WPTM - Section F'!$A$1:$A$100,0))&lt;&gt;0,INDEX('WPTM - Section F'!E$1:E$100,MATCH($A349,'WPTM - Section F'!$A$1:$A$100,0)),"")),"")</f>
        <v/>
      </c>
      <c r="G353" s="635"/>
      <c r="H353" s="635"/>
      <c r="I353" s="653"/>
      <c r="J353" s="82"/>
    </row>
    <row r="354" spans="1:10" ht="18.75" customHeight="1">
      <c r="A354" s="641"/>
      <c r="B354" s="106"/>
      <c r="C354" s="654" t="s">
        <v>4552</v>
      </c>
      <c r="D354" s="655"/>
      <c r="E354" s="656" t="s">
        <v>5035</v>
      </c>
      <c r="F354" s="656"/>
      <c r="G354" s="656"/>
      <c r="H354" s="656"/>
      <c r="I354" s="655"/>
      <c r="J354" s="82"/>
    </row>
    <row r="355" spans="1:10" ht="18.75" customHeight="1">
      <c r="A355" s="641"/>
      <c r="B355"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355" s="634" t="str">
        <f ca="1">IFERROR(IF(INDEX('WPTM - Section F'!G$1:G$100,MATCH($A349,'WPTM - Section F'!$A$1:$A$100,0))&lt;&gt;0,INDEX('WPTM - Section F'!G$1:G$100,MATCH($A349,'WPTM - Section F'!$A$1:$A$100,0)),""),"")</f>
        <v/>
      </c>
      <c r="D355" s="653"/>
      <c r="E355" s="635" t="str">
        <f>IFERROR(IF(INDEX('WPTM - Section F'!H$1:H$100,MATCH($A349,'WPTM - Section F'!$A$1:$A$100,0))&lt;&gt;0,INDEX('WPTM - Section F'!H$1:H$100,MATCH($A349,'WPTM - Section F'!$A$1:$A$100,0)),""),"")</f>
        <v/>
      </c>
      <c r="F355" s="635"/>
      <c r="G355" s="635"/>
      <c r="H355" s="635"/>
      <c r="I355" s="653"/>
      <c r="J355" s="82"/>
    </row>
    <row r="356" spans="1:10" ht="18.75" customHeight="1">
      <c r="A356" s="641"/>
      <c r="B356" s="658"/>
      <c r="C356" s="643"/>
      <c r="D356" s="660"/>
      <c r="E356" s="644"/>
      <c r="F356" s="644"/>
      <c r="G356" s="644"/>
      <c r="H356" s="644"/>
      <c r="I356" s="660"/>
      <c r="J356" s="82"/>
    </row>
    <row r="357" spans="1:10" ht="18.75" customHeight="1">
      <c r="A357" s="641"/>
      <c r="B357" s="658"/>
      <c r="C357" s="643"/>
      <c r="D357" s="660"/>
      <c r="E357" s="644"/>
      <c r="F357" s="644"/>
      <c r="G357" s="644"/>
      <c r="H357" s="644"/>
      <c r="I357" s="660"/>
      <c r="J357" s="82"/>
    </row>
    <row r="358" spans="1:10" ht="18.75" customHeight="1">
      <c r="A358" s="641"/>
      <c r="B358" s="658"/>
      <c r="C358" s="643"/>
      <c r="D358" s="660"/>
      <c r="E358" s="644"/>
      <c r="F358" s="644"/>
      <c r="G358" s="644"/>
      <c r="H358" s="644"/>
      <c r="I358" s="660"/>
      <c r="J358" s="82"/>
    </row>
    <row r="359" spans="1:10" ht="18.75" customHeight="1">
      <c r="A359" s="641"/>
      <c r="B359" s="659"/>
      <c r="C359" s="661"/>
      <c r="D359" s="662"/>
      <c r="E359" s="667"/>
      <c r="F359" s="667"/>
      <c r="G359" s="667"/>
      <c r="H359" s="667"/>
      <c r="I359" s="662"/>
      <c r="J359" s="82"/>
    </row>
    <row r="360" spans="1:10" ht="18.75" customHeight="1">
      <c r="A360" s="641"/>
      <c r="B360"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360" s="664" t="str">
        <f ca="1">IFERROR(IF(INDEX('WPTM - Section F'!I$1:I$100,MATCH($A349,'WPTM - Section F'!$A$1:$A$100,0))&lt;&gt;0,INDEX('WPTM - Section F'!I$1:I$100,MATCH($A349,'WPTM - Section F'!$A$1:$A$100,0)),""),"")</f>
        <v/>
      </c>
      <c r="D360" s="665"/>
      <c r="E360" s="666" t="str">
        <f>IFERROR(IF(INDEX('WPTM - Section F'!J$1:J$100,MATCH($A349,'WPTM - Section F'!$A$1:$A$100,0))&lt;&gt;0,INDEX('WPTM - Section F'!J$1:J$100,MATCH($A349,'WPTM - Section F'!$A$1:$A$100,0)),""),"")</f>
        <v/>
      </c>
      <c r="F360" s="666"/>
      <c r="G360" s="666"/>
      <c r="H360" s="666"/>
      <c r="I360" s="665"/>
      <c r="J360" s="82"/>
    </row>
    <row r="361" spans="1:10" ht="18.75" customHeight="1">
      <c r="A361" s="641"/>
      <c r="B361" s="658"/>
      <c r="C361" s="643"/>
      <c r="D361" s="660"/>
      <c r="E361" s="644"/>
      <c r="F361" s="644"/>
      <c r="G361" s="644"/>
      <c r="H361" s="644"/>
      <c r="I361" s="660"/>
      <c r="J361" s="82"/>
    </row>
    <row r="362" spans="1:10" ht="18.75" customHeight="1">
      <c r="A362" s="641"/>
      <c r="B362" s="658"/>
      <c r="C362" s="643"/>
      <c r="D362" s="660"/>
      <c r="E362" s="644"/>
      <c r="F362" s="644"/>
      <c r="G362" s="644"/>
      <c r="H362" s="644"/>
      <c r="I362" s="660"/>
      <c r="J362" s="82"/>
    </row>
    <row r="363" spans="1:10" ht="18.75" customHeight="1">
      <c r="A363" s="641"/>
      <c r="B363" s="658"/>
      <c r="C363" s="643"/>
      <c r="D363" s="660"/>
      <c r="E363" s="644"/>
      <c r="F363" s="644"/>
      <c r="G363" s="644"/>
      <c r="H363" s="644"/>
      <c r="I363" s="660"/>
      <c r="J363" s="82"/>
    </row>
    <row r="364" spans="1:10" ht="18.75" customHeight="1">
      <c r="A364" s="641"/>
      <c r="B364" s="659"/>
      <c r="C364" s="661"/>
      <c r="D364" s="662"/>
      <c r="E364" s="667"/>
      <c r="F364" s="667"/>
      <c r="G364" s="667"/>
      <c r="H364" s="667"/>
      <c r="I364" s="662"/>
      <c r="J364" s="82"/>
    </row>
    <row r="365" spans="1:10" ht="18.75" customHeight="1">
      <c r="A365" s="641"/>
      <c r="B365"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365" s="664" t="str">
        <f ca="1">IFERROR(IF(INDEX('WPTM - Section F'!K$1:K$100,MATCH($A349,'WPTM - Section F'!$A$1:$A$100,0))&lt;&gt;0,INDEX('WPTM - Section F'!K$1:K$100,MATCH($A349,'WPTM - Section F'!$A$1:$A$100,0)),""),"")</f>
        <v/>
      </c>
      <c r="D365" s="665"/>
      <c r="E365" s="666" t="str">
        <f>IFERROR(IF(INDEX('WPTM - Section F'!L$1:L$100,MATCH($A349,'WPTM - Section F'!$A$1:$A$100,0))&lt;&gt;0,INDEX('WPTM - Section F'!L$1:L$100,MATCH($A349,'WPTM - Section F'!$A$1:$A$100,0)),""),"")</f>
        <v/>
      </c>
      <c r="F365" s="666"/>
      <c r="G365" s="666"/>
      <c r="H365" s="666"/>
      <c r="I365" s="665"/>
      <c r="J365" s="82"/>
    </row>
    <row r="366" spans="1:10" ht="18.75" customHeight="1">
      <c r="A366" s="641"/>
      <c r="B366" s="658"/>
      <c r="C366" s="643"/>
      <c r="D366" s="660"/>
      <c r="E366" s="644"/>
      <c r="F366" s="644"/>
      <c r="G366" s="644"/>
      <c r="H366" s="644"/>
      <c r="I366" s="660"/>
      <c r="J366" s="82"/>
    </row>
    <row r="367" spans="1:10" ht="18.75" customHeight="1">
      <c r="A367" s="641"/>
      <c r="B367" s="658"/>
      <c r="C367" s="643"/>
      <c r="D367" s="660"/>
      <c r="E367" s="644"/>
      <c r="F367" s="644"/>
      <c r="G367" s="644"/>
      <c r="H367" s="644"/>
      <c r="I367" s="660"/>
      <c r="J367" s="82"/>
    </row>
    <row r="368" spans="1:10" ht="18.75" customHeight="1">
      <c r="A368" s="641"/>
      <c r="B368" s="658"/>
      <c r="C368" s="643"/>
      <c r="D368" s="660"/>
      <c r="E368" s="644"/>
      <c r="F368" s="644"/>
      <c r="G368" s="644"/>
      <c r="H368" s="644"/>
      <c r="I368" s="660"/>
      <c r="J368" s="82"/>
    </row>
    <row r="369" spans="1:10" ht="18.75" customHeight="1">
      <c r="A369" s="641"/>
      <c r="B369" s="659"/>
      <c r="C369" s="661"/>
      <c r="D369" s="662"/>
      <c r="E369" s="667"/>
      <c r="F369" s="667"/>
      <c r="G369" s="667"/>
      <c r="H369" s="667"/>
      <c r="I369" s="662"/>
      <c r="J369" s="82"/>
    </row>
    <row r="370" spans="1:10" ht="18.75" customHeight="1">
      <c r="A370" s="641"/>
      <c r="B370"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370" s="664" t="str">
        <f ca="1">IFERROR(IF(INDEX('WPTM - Section F'!M$1:M$100,MATCH($A349,'WPTM - Section F'!$A$1:$A$100,0))&lt;&gt;0,INDEX('WPTM - Section F'!M$1:M$100,MATCH($A349,'WPTM - Section F'!$A$1:$A$100,0)),""),"")</f>
        <v/>
      </c>
      <c r="D370" s="665"/>
      <c r="E370" s="666" t="str">
        <f>IFERROR(IF(INDEX('WPTM - Section F'!N$1:N$100,MATCH($A349,'WPTM - Section F'!$A$1:$A$100,0))&lt;&gt;0,INDEX('WPTM - Section F'!N$1:N$100,MATCH($A349,'WPTM - Section F'!$A$1:$A$100,0)),""),"")</f>
        <v/>
      </c>
      <c r="F370" s="666"/>
      <c r="G370" s="666"/>
      <c r="H370" s="666"/>
      <c r="I370" s="665"/>
      <c r="J370" s="82"/>
    </row>
    <row r="371" spans="1:10" ht="18.75" customHeight="1">
      <c r="A371" s="641"/>
      <c r="B371" s="658"/>
      <c r="C371" s="643"/>
      <c r="D371" s="660"/>
      <c r="E371" s="644"/>
      <c r="F371" s="644"/>
      <c r="G371" s="644"/>
      <c r="H371" s="644"/>
      <c r="I371" s="660"/>
      <c r="J371" s="82"/>
    </row>
    <row r="372" spans="1:10" ht="18.75" customHeight="1">
      <c r="A372" s="641"/>
      <c r="B372" s="658"/>
      <c r="C372" s="643"/>
      <c r="D372" s="660"/>
      <c r="E372" s="644"/>
      <c r="F372" s="644"/>
      <c r="G372" s="644"/>
      <c r="H372" s="644"/>
      <c r="I372" s="660"/>
      <c r="J372" s="82"/>
    </row>
    <row r="373" spans="1:10" ht="18.75" customHeight="1">
      <c r="A373" s="641"/>
      <c r="B373" s="658"/>
      <c r="C373" s="643"/>
      <c r="D373" s="660"/>
      <c r="E373" s="644"/>
      <c r="F373" s="644"/>
      <c r="G373" s="644"/>
      <c r="H373" s="644"/>
      <c r="I373" s="660"/>
      <c r="J373" s="82"/>
    </row>
    <row r="374" spans="1:10" ht="18.75" customHeight="1">
      <c r="A374" s="641"/>
      <c r="B374" s="659"/>
      <c r="C374" s="661"/>
      <c r="D374" s="662"/>
      <c r="E374" s="667"/>
      <c r="F374" s="667"/>
      <c r="G374" s="667"/>
      <c r="H374" s="667"/>
      <c r="I374" s="662"/>
      <c r="J374" s="82"/>
    </row>
    <row r="375" spans="1:10" ht="18.75" customHeight="1">
      <c r="A375" s="641"/>
      <c r="B375"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375" s="664" t="str">
        <f ca="1">IFERROR(IF(INDEX('WPTM - Section F'!O$1:O$100,MATCH($A349,'WPTM - Section F'!$A$1:$A$100,0))&lt;&gt;0,INDEX('WPTM - Section F'!O$1:O$100,MATCH($A349,'WPTM - Section F'!$A$1:$A$100,0)),""),"")</f>
        <v/>
      </c>
      <c r="D375" s="665"/>
      <c r="E375" s="666" t="str">
        <f>IFERROR(IF(INDEX('WPTM - Section F'!P$1:P$100,MATCH($A349,'WPTM - Section F'!$A$1:$A$100,0))&lt;&gt;0,INDEX('WPTM - Section F'!P$1:P$100,MATCH($A349,'WPTM - Section F'!$A$1:$A$100,0)),""),"")</f>
        <v/>
      </c>
      <c r="F375" s="666"/>
      <c r="G375" s="666"/>
      <c r="H375" s="666"/>
      <c r="I375" s="665"/>
      <c r="J375" s="82"/>
    </row>
    <row r="376" spans="1:10" ht="18.75" customHeight="1">
      <c r="A376" s="641"/>
      <c r="B376" s="658"/>
      <c r="C376" s="643"/>
      <c r="D376" s="660"/>
      <c r="E376" s="644"/>
      <c r="F376" s="644"/>
      <c r="G376" s="644"/>
      <c r="H376" s="644"/>
      <c r="I376" s="660"/>
      <c r="J376" s="82"/>
    </row>
    <row r="377" spans="1:10" ht="18.75" customHeight="1">
      <c r="A377" s="641"/>
      <c r="B377" s="658"/>
      <c r="C377" s="643"/>
      <c r="D377" s="660"/>
      <c r="E377" s="644"/>
      <c r="F377" s="644"/>
      <c r="G377" s="644"/>
      <c r="H377" s="644"/>
      <c r="I377" s="660"/>
      <c r="J377" s="82"/>
    </row>
    <row r="378" spans="1:10" ht="18.75" customHeight="1">
      <c r="A378" s="641"/>
      <c r="B378" s="658"/>
      <c r="C378" s="643"/>
      <c r="D378" s="660"/>
      <c r="E378" s="644"/>
      <c r="F378" s="644"/>
      <c r="G378" s="644"/>
      <c r="H378" s="644"/>
      <c r="I378" s="660"/>
      <c r="J378" s="82"/>
    </row>
    <row r="379" spans="1:10" ht="18.75" customHeight="1">
      <c r="A379" s="641"/>
      <c r="B379" s="659"/>
      <c r="C379" s="661"/>
      <c r="D379" s="662"/>
      <c r="E379" s="667"/>
      <c r="F379" s="667"/>
      <c r="G379" s="667"/>
      <c r="H379" s="667"/>
      <c r="I379" s="662"/>
      <c r="J379" s="82"/>
    </row>
    <row r="380" spans="1:10" ht="18.75" customHeight="1">
      <c r="A380" s="641"/>
      <c r="B380"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380" s="664" t="str">
        <f ca="1">IFERROR(IF(INDEX('WPTM - Section F'!Q$1:Q$100,MATCH($A349,'WPTM - Section F'!$A$1:$A$100,0))&lt;&gt;0,INDEX('WPTM - Section F'!Q$1:Q$100,MATCH($A349,'WPTM - Section F'!$A$1:$A$100,0)),""),"")</f>
        <v/>
      </c>
      <c r="D380" s="665"/>
      <c r="E380" s="666" t="str">
        <f>IFERROR(IF(INDEX('WPTM - Section F'!R$1:R$100,MATCH($A349,'WPTM - Section F'!$A$1:$A$100,0))&lt;&gt;0,INDEX('WPTM - Section F'!R$1:R$100,MATCH($A349,'WPTM - Section F'!$A$1:$A$100,0)),""),"")</f>
        <v/>
      </c>
      <c r="F380" s="666"/>
      <c r="G380" s="666"/>
      <c r="H380" s="666"/>
      <c r="I380" s="665"/>
      <c r="J380" s="82"/>
    </row>
    <row r="381" spans="1:10" ht="18.75" customHeight="1">
      <c r="A381" s="641"/>
      <c r="B381" s="658"/>
      <c r="C381" s="643"/>
      <c r="D381" s="660"/>
      <c r="E381" s="644"/>
      <c r="F381" s="644"/>
      <c r="G381" s="644"/>
      <c r="H381" s="644"/>
      <c r="I381" s="660"/>
      <c r="J381" s="82"/>
    </row>
    <row r="382" spans="1:10" ht="18.75" customHeight="1">
      <c r="A382" s="641"/>
      <c r="B382" s="658"/>
      <c r="C382" s="643"/>
      <c r="D382" s="660"/>
      <c r="E382" s="644"/>
      <c r="F382" s="644"/>
      <c r="G382" s="644"/>
      <c r="H382" s="644"/>
      <c r="I382" s="660"/>
      <c r="J382" s="82"/>
    </row>
    <row r="383" spans="1:10" ht="18.75" customHeight="1">
      <c r="A383" s="641"/>
      <c r="B383" s="658"/>
      <c r="C383" s="643"/>
      <c r="D383" s="660"/>
      <c r="E383" s="644"/>
      <c r="F383" s="644"/>
      <c r="G383" s="644"/>
      <c r="H383" s="644"/>
      <c r="I383" s="660"/>
      <c r="J383" s="82"/>
    </row>
    <row r="384" spans="1:10" ht="18.75" customHeight="1">
      <c r="A384" s="641"/>
      <c r="B384" s="659"/>
      <c r="C384" s="661"/>
      <c r="D384" s="662"/>
      <c r="E384" s="667"/>
      <c r="F384" s="667"/>
      <c r="G384" s="667"/>
      <c r="H384" s="667"/>
      <c r="I384" s="662"/>
      <c r="J384" s="82"/>
    </row>
    <row r="385" spans="1:10" ht="18.75" customHeight="1">
      <c r="A385" s="641"/>
      <c r="B385"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385" s="664" t="str">
        <f ca="1">IFERROR(IF(INDEX('WPTM - Section F'!S$1:S$100,MATCH($A349,'WPTM - Section F'!$A$1:$A$100,0))&lt;&gt;0,INDEX('WPTM - Section F'!S$1:S$100,MATCH($A349,'WPTM - Section F'!$A$1:$A$100,0)),""),"")</f>
        <v/>
      </c>
      <c r="D385" s="665"/>
      <c r="E385" s="666" t="str">
        <f>IFERROR(IF(INDEX('WPTM - Section F'!T$1:T$100,MATCH($A349,'WPTM - Section F'!$A$1:$A$100,0))&lt;&gt;0,INDEX('WPTM - Section F'!T$1:T$100,MATCH($A349,'WPTM - Section F'!$A$1:$A$100,0)),""),"")</f>
        <v/>
      </c>
      <c r="F385" s="666"/>
      <c r="G385" s="666"/>
      <c r="H385" s="666"/>
      <c r="I385" s="665"/>
      <c r="J385" s="82"/>
    </row>
    <row r="386" spans="1:10" ht="18.75" customHeight="1">
      <c r="A386" s="641"/>
      <c r="B386" s="658"/>
      <c r="C386" s="643"/>
      <c r="D386" s="660"/>
      <c r="E386" s="644"/>
      <c r="F386" s="644"/>
      <c r="G386" s="644"/>
      <c r="H386" s="644"/>
      <c r="I386" s="660"/>
      <c r="J386" s="82"/>
    </row>
    <row r="387" spans="1:10" ht="18.75" customHeight="1">
      <c r="A387" s="641"/>
      <c r="B387" s="658"/>
      <c r="C387" s="643"/>
      <c r="D387" s="660"/>
      <c r="E387" s="644"/>
      <c r="F387" s="644"/>
      <c r="G387" s="644"/>
      <c r="H387" s="644"/>
      <c r="I387" s="660"/>
      <c r="J387" s="82"/>
    </row>
    <row r="388" spans="1:10" ht="18.75" customHeight="1">
      <c r="A388" s="641"/>
      <c r="B388" s="658"/>
      <c r="C388" s="643"/>
      <c r="D388" s="660"/>
      <c r="E388" s="644"/>
      <c r="F388" s="644"/>
      <c r="G388" s="644"/>
      <c r="H388" s="644"/>
      <c r="I388" s="660"/>
      <c r="J388" s="82"/>
    </row>
    <row r="389" spans="1:10" ht="18.75" customHeight="1">
      <c r="A389" s="641"/>
      <c r="B389" s="659"/>
      <c r="C389" s="661"/>
      <c r="D389" s="662"/>
      <c r="E389" s="667"/>
      <c r="F389" s="667"/>
      <c r="G389" s="667"/>
      <c r="H389" s="667"/>
      <c r="I389" s="662"/>
      <c r="J389" s="82"/>
    </row>
    <row r="390" spans="1:10" ht="18.75" customHeight="1">
      <c r="A390" s="641"/>
      <c r="B390"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390" s="664" t="str">
        <f>IFERROR(IF(INDEX('WPTM - Section F'!U$1:U$100,MATCH($A349,'WPTM - Section F'!$A$1:$A$100,0))&lt;&gt;0,INDEX('WPTM - Section F'!U$1:U$100,MATCH($A349,'WPTM - Section F'!$A$1:$A$100,0)),""),"")</f>
        <v/>
      </c>
      <c r="D390" s="665"/>
      <c r="E390" s="666" t="str">
        <f>IFERROR(IF(INDEX('WPTM - Section F'!V$1:V$100,MATCH($A349,'WPTM - Section F'!$A$1:$A$100,0))&lt;&gt;0,INDEX('WPTM - Section F'!V$1:V$100,MATCH($A349,'WPTM - Section F'!$A$1:$A$100,0)),""),"")</f>
        <v/>
      </c>
      <c r="F390" s="666"/>
      <c r="G390" s="666"/>
      <c r="H390" s="666"/>
      <c r="I390" s="665"/>
      <c r="J390" s="82"/>
    </row>
    <row r="391" spans="1:10" ht="18.75" customHeight="1">
      <c r="A391" s="641"/>
      <c r="B391" s="658"/>
      <c r="C391" s="643"/>
      <c r="D391" s="660"/>
      <c r="E391" s="644"/>
      <c r="F391" s="644"/>
      <c r="G391" s="644"/>
      <c r="H391" s="644"/>
      <c r="I391" s="660"/>
      <c r="J391" s="82"/>
    </row>
    <row r="392" spans="1:10" ht="18.75" customHeight="1">
      <c r="A392" s="641"/>
      <c r="B392" s="658"/>
      <c r="C392" s="643"/>
      <c r="D392" s="660"/>
      <c r="E392" s="644"/>
      <c r="F392" s="644"/>
      <c r="G392" s="644"/>
      <c r="H392" s="644"/>
      <c r="I392" s="660"/>
      <c r="J392" s="82"/>
    </row>
    <row r="393" spans="1:10" ht="18.75" customHeight="1">
      <c r="A393" s="641"/>
      <c r="B393" s="658"/>
      <c r="C393" s="643"/>
      <c r="D393" s="660"/>
      <c r="E393" s="644"/>
      <c r="F393" s="644"/>
      <c r="G393" s="644"/>
      <c r="H393" s="644"/>
      <c r="I393" s="660"/>
      <c r="J393" s="82"/>
    </row>
    <row r="394" spans="1:10" ht="18.75" customHeight="1">
      <c r="A394" s="641"/>
      <c r="B394" s="658"/>
      <c r="C394" s="643"/>
      <c r="D394" s="660"/>
      <c r="E394" s="644"/>
      <c r="F394" s="644"/>
      <c r="G394" s="644"/>
      <c r="H394" s="644"/>
      <c r="I394" s="660"/>
      <c r="J394" s="82"/>
    </row>
    <row r="395" spans="1:10" ht="18.75" customHeight="1">
      <c r="A395" s="654"/>
      <c r="B395" s="656"/>
      <c r="C395" s="656"/>
      <c r="D395" s="656"/>
      <c r="E395" s="656"/>
      <c r="F395" s="656"/>
      <c r="G395" s="656"/>
      <c r="H395" s="656"/>
      <c r="I395" s="655"/>
      <c r="J395" s="82"/>
    </row>
    <row r="397" spans="1:10" ht="18.75" customHeight="1">
      <c r="A397" s="107" t="s">
        <v>5051</v>
      </c>
      <c r="B397" s="107" t="s">
        <v>1077</v>
      </c>
      <c r="C397" s="631" t="str">
        <f>IFERROR(IF(INDEX('WPTM - Section F'!B$1:B$100,MATCH($A398,'WPTM - Section F'!$A$1:$A$100,0))&lt;&gt;0,INDEX('WPTM - Section F'!B$1:B$100,MATCH($A398,'WPTM - Section F'!$A$1:$A$100,0)),""),"")</f>
        <v/>
      </c>
      <c r="D397" s="632"/>
      <c r="E397" s="632"/>
      <c r="F397" s="632"/>
      <c r="G397" s="632"/>
      <c r="H397" s="632"/>
      <c r="I397" s="649"/>
      <c r="J397" s="82"/>
    </row>
    <row r="398" spans="1:10" ht="18.75" customHeight="1">
      <c r="A398" s="640">
        <v>9</v>
      </c>
      <c r="B398" s="105" t="s">
        <v>258</v>
      </c>
      <c r="C398" s="631" t="str">
        <f>IFERROR(IF(INDEX('WPTM - Section F'!C$1:C$100,MATCH($A398,'WPTM - Section F'!$A$1:$A$100,0))&lt;&gt;0,INDEX('WPTM - Section F'!C$1:C$100,MATCH($A398,'WPTM - Section F'!$A$1:$A$100,0)),""),"")</f>
        <v/>
      </c>
      <c r="D398" s="632"/>
      <c r="E398" s="632"/>
      <c r="F398" s="632"/>
      <c r="G398" s="632"/>
      <c r="H398" s="632"/>
      <c r="I398" s="649"/>
      <c r="J398" s="82"/>
    </row>
    <row r="399" spans="1:10" ht="18.75" customHeight="1">
      <c r="A399" s="641"/>
      <c r="B399" s="625" t="s">
        <v>4383</v>
      </c>
      <c r="C399" s="626"/>
      <c r="D399" s="626"/>
      <c r="E399" s="626"/>
      <c r="F399" s="650" t="s">
        <v>127</v>
      </c>
      <c r="G399" s="626"/>
      <c r="H399" s="626"/>
      <c r="I399" s="646"/>
      <c r="J399" s="82"/>
    </row>
    <row r="400" spans="1:10" ht="18.75" customHeight="1">
      <c r="A400" s="641"/>
      <c r="B400" s="634" t="str">
        <f>IFERROR(IF(INDEX('WPTM - Section F'!D$1:D$100,MATCH($A398,'WPTM - Section F'!$A$1:$A$100,0))&lt;&gt;0,INDEX('WPTM - Section F'!D$1:D$100,MATCH($A398,'WPTM - Section F'!$A$1:$A$100,0)),""),"")</f>
        <v/>
      </c>
      <c r="C400" s="635"/>
      <c r="D400" s="635"/>
      <c r="E400" s="635"/>
      <c r="F400" s="651" t="str">
        <f>IFERROR(IF(INDEX('WPTM - Section F'!F$1:F$100,MATCH($A398,'WPTM - Section F'!$A$1:$A$100,0))&lt;&gt;0,INDEX('WPTM - Section F'!F$1:F$100,MATCH($A398,'WPTM - Section F'!$A$1:$A$100,0)),""),"")</f>
        <v/>
      </c>
      <c r="G400" s="632"/>
      <c r="H400" s="632"/>
      <c r="I400" s="649"/>
      <c r="J400" s="82"/>
    </row>
    <row r="401" spans="1:10" ht="18.75" customHeight="1">
      <c r="A401" s="641"/>
      <c r="B401" s="643"/>
      <c r="C401" s="644"/>
      <c r="D401" s="644"/>
      <c r="E401" s="644"/>
      <c r="F401" s="650" t="s">
        <v>120</v>
      </c>
      <c r="G401" s="626"/>
      <c r="H401" s="626"/>
      <c r="I401" s="646"/>
      <c r="J401" s="82"/>
    </row>
    <row r="402" spans="1:10" ht="18.75" customHeight="1">
      <c r="A402" s="641"/>
      <c r="B402" s="643"/>
      <c r="C402" s="644"/>
      <c r="D402" s="644"/>
      <c r="E402" s="644"/>
      <c r="F402" s="652" t="str">
        <f ca="1">IFERROR(IF(AND('Overview - Section A'!AS$1="Grant Making",B400&lt;&gt;""),Setup!I15,IF(INDEX('WPTM - Section F'!E$1:E$100,MATCH($A398,'WPTM - Section F'!$A$1:$A$100,0))&lt;&gt;0,INDEX('WPTM - Section F'!E$1:E$100,MATCH($A398,'WPTM - Section F'!$A$1:$A$100,0)),"")),"")</f>
        <v/>
      </c>
      <c r="G402" s="635"/>
      <c r="H402" s="635"/>
      <c r="I402" s="653"/>
      <c r="J402" s="82"/>
    </row>
    <row r="403" spans="1:10" ht="18.75" customHeight="1">
      <c r="A403" s="641"/>
      <c r="B403" s="106"/>
      <c r="C403" s="654" t="s">
        <v>4552</v>
      </c>
      <c r="D403" s="655"/>
      <c r="E403" s="656" t="s">
        <v>5035</v>
      </c>
      <c r="F403" s="656"/>
      <c r="G403" s="656"/>
      <c r="H403" s="656"/>
      <c r="I403" s="655"/>
      <c r="J403" s="82"/>
    </row>
    <row r="404" spans="1:10" ht="18.75" customHeight="1">
      <c r="A404" s="641"/>
      <c r="B404"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404" s="634" t="str">
        <f ca="1">IFERROR(IF(INDEX('WPTM - Section F'!G$1:G$100,MATCH($A398,'WPTM - Section F'!$A$1:$A$100,0))&lt;&gt;0,INDEX('WPTM - Section F'!G$1:G$100,MATCH($A398,'WPTM - Section F'!$A$1:$A$100,0)),""),"")</f>
        <v/>
      </c>
      <c r="D404" s="653"/>
      <c r="E404" s="635" t="str">
        <f>IFERROR(IF(INDEX('WPTM - Section F'!H$1:H$100,MATCH($A398,'WPTM - Section F'!$A$1:$A$100,0))&lt;&gt;0,INDEX('WPTM - Section F'!H$1:H$100,MATCH($A398,'WPTM - Section F'!$A$1:$A$100,0)),""),"")</f>
        <v/>
      </c>
      <c r="F404" s="635"/>
      <c r="G404" s="635"/>
      <c r="H404" s="635"/>
      <c r="I404" s="653"/>
      <c r="J404" s="82"/>
    </row>
    <row r="405" spans="1:10" ht="18.75" customHeight="1">
      <c r="A405" s="641"/>
      <c r="B405" s="658"/>
      <c r="C405" s="643"/>
      <c r="D405" s="660"/>
      <c r="E405" s="644"/>
      <c r="F405" s="644"/>
      <c r="G405" s="644"/>
      <c r="H405" s="644"/>
      <c r="I405" s="660"/>
      <c r="J405" s="82"/>
    </row>
    <row r="406" spans="1:10" ht="18.75" customHeight="1">
      <c r="A406" s="641"/>
      <c r="B406" s="658"/>
      <c r="C406" s="643"/>
      <c r="D406" s="660"/>
      <c r="E406" s="644"/>
      <c r="F406" s="644"/>
      <c r="G406" s="644"/>
      <c r="H406" s="644"/>
      <c r="I406" s="660"/>
      <c r="J406" s="82"/>
    </row>
    <row r="407" spans="1:10" ht="18.75" customHeight="1">
      <c r="A407" s="641"/>
      <c r="B407" s="658"/>
      <c r="C407" s="643"/>
      <c r="D407" s="660"/>
      <c r="E407" s="644"/>
      <c r="F407" s="644"/>
      <c r="G407" s="644"/>
      <c r="H407" s="644"/>
      <c r="I407" s="660"/>
      <c r="J407" s="82"/>
    </row>
    <row r="408" spans="1:10" ht="18.75" customHeight="1">
      <c r="A408" s="641"/>
      <c r="B408" s="659"/>
      <c r="C408" s="661"/>
      <c r="D408" s="662"/>
      <c r="E408" s="667"/>
      <c r="F408" s="667"/>
      <c r="G408" s="667"/>
      <c r="H408" s="667"/>
      <c r="I408" s="662"/>
      <c r="J408" s="82"/>
    </row>
    <row r="409" spans="1:10" ht="18.75" customHeight="1">
      <c r="A409" s="641"/>
      <c r="B409"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409" s="664" t="str">
        <f ca="1">IFERROR(IF(INDEX('WPTM - Section F'!I$1:I$100,MATCH($A398,'WPTM - Section F'!$A$1:$A$100,0))&lt;&gt;0,INDEX('WPTM - Section F'!I$1:I$100,MATCH($A398,'WPTM - Section F'!$A$1:$A$100,0)),""),"")</f>
        <v/>
      </c>
      <c r="D409" s="665"/>
      <c r="E409" s="666" t="str">
        <f>IFERROR(IF(INDEX('WPTM - Section F'!J$1:J$100,MATCH($A398,'WPTM - Section F'!$A$1:$A$100,0))&lt;&gt;0,INDEX('WPTM - Section F'!J$1:J$100,MATCH($A398,'WPTM - Section F'!$A$1:$A$100,0)),""),"")</f>
        <v/>
      </c>
      <c r="F409" s="666"/>
      <c r="G409" s="666"/>
      <c r="H409" s="666"/>
      <c r="I409" s="665"/>
      <c r="J409" s="82"/>
    </row>
    <row r="410" spans="1:10" ht="18.75" customHeight="1">
      <c r="A410" s="641"/>
      <c r="B410" s="658"/>
      <c r="C410" s="643"/>
      <c r="D410" s="660"/>
      <c r="E410" s="644"/>
      <c r="F410" s="644"/>
      <c r="G410" s="644"/>
      <c r="H410" s="644"/>
      <c r="I410" s="660"/>
      <c r="J410" s="82"/>
    </row>
    <row r="411" spans="1:10" ht="18.75" customHeight="1">
      <c r="A411" s="641"/>
      <c r="B411" s="658"/>
      <c r="C411" s="643"/>
      <c r="D411" s="660"/>
      <c r="E411" s="644"/>
      <c r="F411" s="644"/>
      <c r="G411" s="644"/>
      <c r="H411" s="644"/>
      <c r="I411" s="660"/>
      <c r="J411" s="82"/>
    </row>
    <row r="412" spans="1:10" ht="18.75" customHeight="1">
      <c r="A412" s="641"/>
      <c r="B412" s="658"/>
      <c r="C412" s="643"/>
      <c r="D412" s="660"/>
      <c r="E412" s="644"/>
      <c r="F412" s="644"/>
      <c r="G412" s="644"/>
      <c r="H412" s="644"/>
      <c r="I412" s="660"/>
      <c r="J412" s="82"/>
    </row>
    <row r="413" spans="1:10" ht="18.75" customHeight="1">
      <c r="A413" s="641"/>
      <c r="B413" s="659"/>
      <c r="C413" s="661"/>
      <c r="D413" s="662"/>
      <c r="E413" s="667"/>
      <c r="F413" s="667"/>
      <c r="G413" s="667"/>
      <c r="H413" s="667"/>
      <c r="I413" s="662"/>
      <c r="J413" s="82"/>
    </row>
    <row r="414" spans="1:10" ht="18.75" customHeight="1">
      <c r="A414" s="641"/>
      <c r="B414"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414" s="664" t="str">
        <f ca="1">IFERROR(IF(INDEX('WPTM - Section F'!K$1:K$100,MATCH($A398,'WPTM - Section F'!$A$1:$A$100,0))&lt;&gt;0,INDEX('WPTM - Section F'!K$1:K$100,MATCH($A398,'WPTM - Section F'!$A$1:$A$100,0)),""),"")</f>
        <v/>
      </c>
      <c r="D414" s="665"/>
      <c r="E414" s="666" t="str">
        <f>IFERROR(IF(INDEX('WPTM - Section F'!L$1:L$100,MATCH($A398,'WPTM - Section F'!$A$1:$A$100,0))&lt;&gt;0,INDEX('WPTM - Section F'!L$1:L$100,MATCH($A398,'WPTM - Section F'!$A$1:$A$100,0)),""),"")</f>
        <v/>
      </c>
      <c r="F414" s="666"/>
      <c r="G414" s="666"/>
      <c r="H414" s="666"/>
      <c r="I414" s="665"/>
      <c r="J414" s="82"/>
    </row>
    <row r="415" spans="1:10" ht="18.75" customHeight="1">
      <c r="A415" s="641"/>
      <c r="B415" s="658"/>
      <c r="C415" s="643"/>
      <c r="D415" s="660"/>
      <c r="E415" s="644"/>
      <c r="F415" s="644"/>
      <c r="G415" s="644"/>
      <c r="H415" s="644"/>
      <c r="I415" s="660"/>
      <c r="J415" s="82"/>
    </row>
    <row r="416" spans="1:10" ht="18.75" customHeight="1">
      <c r="A416" s="641"/>
      <c r="B416" s="658"/>
      <c r="C416" s="643"/>
      <c r="D416" s="660"/>
      <c r="E416" s="644"/>
      <c r="F416" s="644"/>
      <c r="G416" s="644"/>
      <c r="H416" s="644"/>
      <c r="I416" s="660"/>
      <c r="J416" s="82"/>
    </row>
    <row r="417" spans="1:10" ht="18.75" customHeight="1">
      <c r="A417" s="641"/>
      <c r="B417" s="658"/>
      <c r="C417" s="643"/>
      <c r="D417" s="660"/>
      <c r="E417" s="644"/>
      <c r="F417" s="644"/>
      <c r="G417" s="644"/>
      <c r="H417" s="644"/>
      <c r="I417" s="660"/>
      <c r="J417" s="82"/>
    </row>
    <row r="418" spans="1:10" ht="18.75" customHeight="1">
      <c r="A418" s="641"/>
      <c r="B418" s="659"/>
      <c r="C418" s="661"/>
      <c r="D418" s="662"/>
      <c r="E418" s="667"/>
      <c r="F418" s="667"/>
      <c r="G418" s="667"/>
      <c r="H418" s="667"/>
      <c r="I418" s="662"/>
      <c r="J418" s="82"/>
    </row>
    <row r="419" spans="1:10" ht="18.75" customHeight="1">
      <c r="A419" s="641"/>
      <c r="B419"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419" s="664" t="str">
        <f ca="1">IFERROR(IF(INDEX('WPTM - Section F'!M$1:M$100,MATCH($A398,'WPTM - Section F'!$A$1:$A$100,0))&lt;&gt;0,INDEX('WPTM - Section F'!M$1:M$100,MATCH($A398,'WPTM - Section F'!$A$1:$A$100,0)),""),"")</f>
        <v/>
      </c>
      <c r="D419" s="665"/>
      <c r="E419" s="666" t="str">
        <f>IFERROR(IF(INDEX('WPTM - Section F'!N$1:N$100,MATCH($A398,'WPTM - Section F'!$A$1:$A$100,0))&lt;&gt;0,INDEX('WPTM - Section F'!N$1:N$100,MATCH($A398,'WPTM - Section F'!$A$1:$A$100,0)),""),"")</f>
        <v/>
      </c>
      <c r="F419" s="666"/>
      <c r="G419" s="666"/>
      <c r="H419" s="666"/>
      <c r="I419" s="665"/>
      <c r="J419" s="82"/>
    </row>
    <row r="420" spans="1:10" ht="18.75" customHeight="1">
      <c r="A420" s="641"/>
      <c r="B420" s="658"/>
      <c r="C420" s="643"/>
      <c r="D420" s="660"/>
      <c r="E420" s="644"/>
      <c r="F420" s="644"/>
      <c r="G420" s="644"/>
      <c r="H420" s="644"/>
      <c r="I420" s="660"/>
      <c r="J420" s="82"/>
    </row>
    <row r="421" spans="1:10" ht="18.75" customHeight="1">
      <c r="A421" s="641"/>
      <c r="B421" s="658"/>
      <c r="C421" s="643"/>
      <c r="D421" s="660"/>
      <c r="E421" s="644"/>
      <c r="F421" s="644"/>
      <c r="G421" s="644"/>
      <c r="H421" s="644"/>
      <c r="I421" s="660"/>
      <c r="J421" s="82"/>
    </row>
    <row r="422" spans="1:10" ht="18.75" customHeight="1">
      <c r="A422" s="641"/>
      <c r="B422" s="658"/>
      <c r="C422" s="643"/>
      <c r="D422" s="660"/>
      <c r="E422" s="644"/>
      <c r="F422" s="644"/>
      <c r="G422" s="644"/>
      <c r="H422" s="644"/>
      <c r="I422" s="660"/>
      <c r="J422" s="82"/>
    </row>
    <row r="423" spans="1:10" ht="18.75" customHeight="1">
      <c r="A423" s="641"/>
      <c r="B423" s="659"/>
      <c r="C423" s="661"/>
      <c r="D423" s="662"/>
      <c r="E423" s="667"/>
      <c r="F423" s="667"/>
      <c r="G423" s="667"/>
      <c r="H423" s="667"/>
      <c r="I423" s="662"/>
      <c r="J423" s="82"/>
    </row>
    <row r="424" spans="1:10" ht="18.75" customHeight="1">
      <c r="A424" s="641"/>
      <c r="B424"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424" s="664" t="str">
        <f ca="1">IFERROR(IF(INDEX('WPTM - Section F'!O$1:O$100,MATCH($A398,'WPTM - Section F'!$A$1:$A$100,0))&lt;&gt;0,INDEX('WPTM - Section F'!O$1:O$100,MATCH($A398,'WPTM - Section F'!$A$1:$A$100,0)),""),"")</f>
        <v/>
      </c>
      <c r="D424" s="665"/>
      <c r="E424" s="666" t="str">
        <f>IFERROR(IF(INDEX('WPTM - Section F'!P$1:P$100,MATCH($A398,'WPTM - Section F'!$A$1:$A$100,0))&lt;&gt;0,INDEX('WPTM - Section F'!P$1:P$100,MATCH($A398,'WPTM - Section F'!$A$1:$A$100,0)),""),"")</f>
        <v/>
      </c>
      <c r="F424" s="666"/>
      <c r="G424" s="666"/>
      <c r="H424" s="666"/>
      <c r="I424" s="665"/>
      <c r="J424" s="82"/>
    </row>
    <row r="425" spans="1:10" ht="18.75" customHeight="1">
      <c r="A425" s="641"/>
      <c r="B425" s="658"/>
      <c r="C425" s="643"/>
      <c r="D425" s="660"/>
      <c r="E425" s="644"/>
      <c r="F425" s="644"/>
      <c r="G425" s="644"/>
      <c r="H425" s="644"/>
      <c r="I425" s="660"/>
      <c r="J425" s="82"/>
    </row>
    <row r="426" spans="1:10" ht="18.75" customHeight="1">
      <c r="A426" s="641"/>
      <c r="B426" s="658"/>
      <c r="C426" s="643"/>
      <c r="D426" s="660"/>
      <c r="E426" s="644"/>
      <c r="F426" s="644"/>
      <c r="G426" s="644"/>
      <c r="H426" s="644"/>
      <c r="I426" s="660"/>
      <c r="J426" s="82"/>
    </row>
    <row r="427" spans="1:10" ht="18.75" customHeight="1">
      <c r="A427" s="641"/>
      <c r="B427" s="658"/>
      <c r="C427" s="643"/>
      <c r="D427" s="660"/>
      <c r="E427" s="644"/>
      <c r="F427" s="644"/>
      <c r="G427" s="644"/>
      <c r="H427" s="644"/>
      <c r="I427" s="660"/>
      <c r="J427" s="82"/>
    </row>
    <row r="428" spans="1:10" ht="18.75" customHeight="1">
      <c r="A428" s="641"/>
      <c r="B428" s="659"/>
      <c r="C428" s="661"/>
      <c r="D428" s="662"/>
      <c r="E428" s="667"/>
      <c r="F428" s="667"/>
      <c r="G428" s="667"/>
      <c r="H428" s="667"/>
      <c r="I428" s="662"/>
      <c r="J428" s="82"/>
    </row>
    <row r="429" spans="1:10" ht="18.75" customHeight="1">
      <c r="A429" s="641"/>
      <c r="B429"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429" s="664" t="str">
        <f ca="1">IFERROR(IF(INDEX('WPTM - Section F'!Q$1:Q$100,MATCH($A398,'WPTM - Section F'!$A$1:$A$100,0))&lt;&gt;0,INDEX('WPTM - Section F'!Q$1:Q$100,MATCH($A398,'WPTM - Section F'!$A$1:$A$100,0)),""),"")</f>
        <v/>
      </c>
      <c r="D429" s="665"/>
      <c r="E429" s="666" t="str">
        <f>IFERROR(IF(INDEX('WPTM - Section F'!R$1:R$100,MATCH($A398,'WPTM - Section F'!$A$1:$A$100,0))&lt;&gt;0,INDEX('WPTM - Section F'!R$1:R$100,MATCH($A398,'WPTM - Section F'!$A$1:$A$100,0)),""),"")</f>
        <v/>
      </c>
      <c r="F429" s="666"/>
      <c r="G429" s="666"/>
      <c r="H429" s="666"/>
      <c r="I429" s="665"/>
      <c r="J429" s="82"/>
    </row>
    <row r="430" spans="1:10" ht="18.75" customHeight="1">
      <c r="A430" s="641"/>
      <c r="B430" s="658"/>
      <c r="C430" s="643"/>
      <c r="D430" s="660"/>
      <c r="E430" s="644"/>
      <c r="F430" s="644"/>
      <c r="G430" s="644"/>
      <c r="H430" s="644"/>
      <c r="I430" s="660"/>
      <c r="J430" s="82"/>
    </row>
    <row r="431" spans="1:10" ht="18.75" customHeight="1">
      <c r="A431" s="641"/>
      <c r="B431" s="658"/>
      <c r="C431" s="643"/>
      <c r="D431" s="660"/>
      <c r="E431" s="644"/>
      <c r="F431" s="644"/>
      <c r="G431" s="644"/>
      <c r="H431" s="644"/>
      <c r="I431" s="660"/>
      <c r="J431" s="82"/>
    </row>
    <row r="432" spans="1:10" ht="18.75" customHeight="1">
      <c r="A432" s="641"/>
      <c r="B432" s="658"/>
      <c r="C432" s="643"/>
      <c r="D432" s="660"/>
      <c r="E432" s="644"/>
      <c r="F432" s="644"/>
      <c r="G432" s="644"/>
      <c r="H432" s="644"/>
      <c r="I432" s="660"/>
      <c r="J432" s="82"/>
    </row>
    <row r="433" spans="1:10" ht="18.75" customHeight="1">
      <c r="A433" s="641"/>
      <c r="B433" s="659"/>
      <c r="C433" s="661"/>
      <c r="D433" s="662"/>
      <c r="E433" s="667"/>
      <c r="F433" s="667"/>
      <c r="G433" s="667"/>
      <c r="H433" s="667"/>
      <c r="I433" s="662"/>
      <c r="J433" s="82"/>
    </row>
    <row r="434" spans="1:10" ht="18.75" customHeight="1">
      <c r="A434" s="641"/>
      <c r="B434"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434" s="664" t="str">
        <f ca="1">IFERROR(IF(INDEX('WPTM - Section F'!S$1:S$100,MATCH($A398,'WPTM - Section F'!$A$1:$A$100,0))&lt;&gt;0,INDEX('WPTM - Section F'!S$1:S$100,MATCH($A398,'WPTM - Section F'!$A$1:$A$100,0)),""),"")</f>
        <v/>
      </c>
      <c r="D434" s="665"/>
      <c r="E434" s="666" t="str">
        <f>IFERROR(IF(INDEX('WPTM - Section F'!T$1:T$100,MATCH($A398,'WPTM - Section F'!$A$1:$A$100,0))&lt;&gt;0,INDEX('WPTM - Section F'!T$1:T$100,MATCH($A398,'WPTM - Section F'!$A$1:$A$100,0)),""),"")</f>
        <v/>
      </c>
      <c r="F434" s="666"/>
      <c r="G434" s="666"/>
      <c r="H434" s="666"/>
      <c r="I434" s="665"/>
      <c r="J434" s="82"/>
    </row>
    <row r="435" spans="1:10" ht="18.75" customHeight="1">
      <c r="A435" s="641"/>
      <c r="B435" s="658"/>
      <c r="C435" s="643"/>
      <c r="D435" s="660"/>
      <c r="E435" s="644"/>
      <c r="F435" s="644"/>
      <c r="G435" s="644"/>
      <c r="H435" s="644"/>
      <c r="I435" s="660"/>
      <c r="J435" s="82"/>
    </row>
    <row r="436" spans="1:10" ht="18.75" customHeight="1">
      <c r="A436" s="641"/>
      <c r="B436" s="658"/>
      <c r="C436" s="643"/>
      <c r="D436" s="660"/>
      <c r="E436" s="644"/>
      <c r="F436" s="644"/>
      <c r="G436" s="644"/>
      <c r="H436" s="644"/>
      <c r="I436" s="660"/>
      <c r="J436" s="82"/>
    </row>
    <row r="437" spans="1:10" ht="18.75" customHeight="1">
      <c r="A437" s="641"/>
      <c r="B437" s="658"/>
      <c r="C437" s="643"/>
      <c r="D437" s="660"/>
      <c r="E437" s="644"/>
      <c r="F437" s="644"/>
      <c r="G437" s="644"/>
      <c r="H437" s="644"/>
      <c r="I437" s="660"/>
      <c r="J437" s="82"/>
    </row>
    <row r="438" spans="1:10" ht="18.75" customHeight="1">
      <c r="A438" s="641"/>
      <c r="B438" s="659"/>
      <c r="C438" s="661"/>
      <c r="D438" s="662"/>
      <c r="E438" s="667"/>
      <c r="F438" s="667"/>
      <c r="G438" s="667"/>
      <c r="H438" s="667"/>
      <c r="I438" s="662"/>
      <c r="J438" s="82"/>
    </row>
    <row r="439" spans="1:10" ht="18.75" customHeight="1">
      <c r="A439" s="641"/>
      <c r="B439"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439" s="664" t="str">
        <f>IFERROR(IF(INDEX('WPTM - Section F'!U$1:U$100,MATCH($A398,'WPTM - Section F'!$A$1:$A$100,0))&lt;&gt;0,INDEX('WPTM - Section F'!U$1:U$100,MATCH($A398,'WPTM - Section F'!$A$1:$A$100,0)),""),"")</f>
        <v/>
      </c>
      <c r="D439" s="665"/>
      <c r="E439" s="666" t="str">
        <f>IFERROR(IF(INDEX('WPTM - Section F'!V$1:V$100,MATCH($A398,'WPTM - Section F'!$A$1:$A$100,0))&lt;&gt;0,INDEX('WPTM - Section F'!V$1:V$100,MATCH($A398,'WPTM - Section F'!$A$1:$A$100,0)),""),"")</f>
        <v/>
      </c>
      <c r="F439" s="666"/>
      <c r="G439" s="666"/>
      <c r="H439" s="666"/>
      <c r="I439" s="665"/>
      <c r="J439" s="82"/>
    </row>
    <row r="440" spans="1:10" ht="18.75" customHeight="1">
      <c r="A440" s="641"/>
      <c r="B440" s="658"/>
      <c r="C440" s="643"/>
      <c r="D440" s="660"/>
      <c r="E440" s="644"/>
      <c r="F440" s="644"/>
      <c r="G440" s="644"/>
      <c r="H440" s="644"/>
      <c r="I440" s="660"/>
      <c r="J440" s="82"/>
    </row>
    <row r="441" spans="1:10" ht="18.75" customHeight="1">
      <c r="A441" s="641"/>
      <c r="B441" s="658"/>
      <c r="C441" s="643"/>
      <c r="D441" s="660"/>
      <c r="E441" s="644"/>
      <c r="F441" s="644"/>
      <c r="G441" s="644"/>
      <c r="H441" s="644"/>
      <c r="I441" s="660"/>
      <c r="J441" s="82"/>
    </row>
    <row r="442" spans="1:10" ht="18.75" customHeight="1">
      <c r="A442" s="641"/>
      <c r="B442" s="658"/>
      <c r="C442" s="643"/>
      <c r="D442" s="660"/>
      <c r="E442" s="644"/>
      <c r="F442" s="644"/>
      <c r="G442" s="644"/>
      <c r="H442" s="644"/>
      <c r="I442" s="660"/>
      <c r="J442" s="82"/>
    </row>
    <row r="443" spans="1:10" ht="18.75" customHeight="1">
      <c r="A443" s="641"/>
      <c r="B443" s="658"/>
      <c r="C443" s="643"/>
      <c r="D443" s="660"/>
      <c r="E443" s="644"/>
      <c r="F443" s="644"/>
      <c r="G443" s="644"/>
      <c r="H443" s="644"/>
      <c r="I443" s="660"/>
      <c r="J443" s="82"/>
    </row>
    <row r="444" spans="1:10" ht="18.75" customHeight="1">
      <c r="A444" s="654"/>
      <c r="B444" s="656"/>
      <c r="C444" s="656"/>
      <c r="D444" s="656"/>
      <c r="E444" s="656"/>
      <c r="F444" s="656"/>
      <c r="G444" s="656"/>
      <c r="H444" s="656"/>
      <c r="I444" s="655"/>
      <c r="J444" s="82"/>
    </row>
    <row r="446" spans="1:10" ht="18.75" customHeight="1">
      <c r="A446" s="107" t="s">
        <v>5051</v>
      </c>
      <c r="B446" s="107" t="s">
        <v>1077</v>
      </c>
      <c r="C446" s="631" t="str">
        <f>IFERROR(IF(INDEX('WPTM - Section F'!B$1:B$100,MATCH($A447,'WPTM - Section F'!$A$1:$A$100,0))&lt;&gt;0,INDEX('WPTM - Section F'!B$1:B$100,MATCH($A447,'WPTM - Section F'!$A$1:$A$100,0)),""),"")</f>
        <v/>
      </c>
      <c r="D446" s="632"/>
      <c r="E446" s="632"/>
      <c r="F446" s="632"/>
      <c r="G446" s="632"/>
      <c r="H446" s="632"/>
      <c r="I446" s="649"/>
      <c r="J446" s="82"/>
    </row>
    <row r="447" spans="1:10" ht="18.75" customHeight="1">
      <c r="A447" s="640">
        <v>10</v>
      </c>
      <c r="B447" s="105" t="s">
        <v>258</v>
      </c>
      <c r="C447" s="631" t="str">
        <f>IFERROR(IF(INDEX('WPTM - Section F'!C$1:C$100,MATCH($A447,'WPTM - Section F'!$A$1:$A$100,0))&lt;&gt;0,INDEX('WPTM - Section F'!C$1:C$100,MATCH($A447,'WPTM - Section F'!$A$1:$A$100,0)),""),"")</f>
        <v/>
      </c>
      <c r="D447" s="632"/>
      <c r="E447" s="632"/>
      <c r="F447" s="632"/>
      <c r="G447" s="632"/>
      <c r="H447" s="632"/>
      <c r="I447" s="649"/>
      <c r="J447" s="82"/>
    </row>
    <row r="448" spans="1:10" ht="18.75" customHeight="1">
      <c r="A448" s="641"/>
      <c r="B448" s="625" t="s">
        <v>4383</v>
      </c>
      <c r="C448" s="626"/>
      <c r="D448" s="626"/>
      <c r="E448" s="626"/>
      <c r="F448" s="650" t="s">
        <v>127</v>
      </c>
      <c r="G448" s="626"/>
      <c r="H448" s="626"/>
      <c r="I448" s="646"/>
      <c r="J448" s="82"/>
    </row>
    <row r="449" spans="1:10" ht="18.75" customHeight="1">
      <c r="A449" s="641"/>
      <c r="B449" s="634" t="str">
        <f>IFERROR(IF(INDEX('WPTM - Section F'!D$1:D$100,MATCH($A447,'WPTM - Section F'!$A$1:$A$100,0))&lt;&gt;0,INDEX('WPTM - Section F'!D$1:D$100,MATCH($A447,'WPTM - Section F'!$A$1:$A$100,0)),""),"")</f>
        <v/>
      </c>
      <c r="C449" s="635"/>
      <c r="D449" s="635"/>
      <c r="E449" s="635"/>
      <c r="F449" s="651" t="str">
        <f>IFERROR(IF(INDEX('WPTM - Section F'!F$1:F$100,MATCH($A447,'WPTM - Section F'!$A$1:$A$100,0))&lt;&gt;0,INDEX('WPTM - Section F'!F$1:F$100,MATCH($A447,'WPTM - Section F'!$A$1:$A$100,0)),""),"")</f>
        <v/>
      </c>
      <c r="G449" s="632"/>
      <c r="H449" s="632"/>
      <c r="I449" s="649"/>
      <c r="J449" s="82"/>
    </row>
    <row r="450" spans="1:10" ht="18.75" customHeight="1">
      <c r="A450" s="641"/>
      <c r="B450" s="643"/>
      <c r="C450" s="644"/>
      <c r="D450" s="644"/>
      <c r="E450" s="644"/>
      <c r="F450" s="650" t="s">
        <v>120</v>
      </c>
      <c r="G450" s="626"/>
      <c r="H450" s="626"/>
      <c r="I450" s="646"/>
      <c r="J450" s="82"/>
    </row>
    <row r="451" spans="1:10" ht="18.75" customHeight="1">
      <c r="A451" s="641"/>
      <c r="B451" s="643"/>
      <c r="C451" s="644"/>
      <c r="D451" s="644"/>
      <c r="E451" s="644"/>
      <c r="F451" s="652" t="str">
        <f ca="1">IFERROR(IF(AND('Overview - Section A'!AS$1="Grant Making",B449&lt;&gt;""),Setup!I15,IF(INDEX('WPTM - Section F'!E$1:E$100,MATCH($A447,'WPTM - Section F'!$A$1:$A$100,0))&lt;&gt;0,INDEX('WPTM - Section F'!E$1:E$100,MATCH($A447,'WPTM - Section F'!$A$1:$A$100,0)),"")),"")</f>
        <v/>
      </c>
      <c r="G451" s="635"/>
      <c r="H451" s="635"/>
      <c r="I451" s="653"/>
      <c r="J451" s="82"/>
    </row>
    <row r="452" spans="1:10" ht="18.75" customHeight="1">
      <c r="A452" s="641"/>
      <c r="B452" s="106"/>
      <c r="C452" s="654" t="s">
        <v>4552</v>
      </c>
      <c r="D452" s="655"/>
      <c r="E452" s="656" t="s">
        <v>5035</v>
      </c>
      <c r="F452" s="656"/>
      <c r="G452" s="656"/>
      <c r="H452" s="656"/>
      <c r="I452" s="655"/>
      <c r="J452" s="82"/>
    </row>
    <row r="453" spans="1:10" ht="18.75" customHeight="1">
      <c r="A453" s="641"/>
      <c r="B453" s="657" t="str">
        <f ca="1">IFERROR(IF(YEAR(INDEX('Overview - Section A'!$A$47:$A$54,MATCH('Print - Summary'!$H$10,'Overview - Section A'!$B$47:$B$54,0)))&lt;=YEAR('Overview - Section A'!$E$8),TEXT(IFERROR(INDEX('Overview - Section A'!$A$47:$A$54,MATCH('Print - Summary'!$H$10,'Overview - Section A'!$B$47:$B$54,0)),""),Setup!$A$33) &amp;" to " &amp; TEXT(IFERROR(INDEX('Overview - Section A'!$E$47:$E$54,MATCH('Print - Summary'!$H$10,'Overview - Section A'!$B$47:$B$54,0)),""),Setup!$A$33),""),"")</f>
        <v>1-Jan-24 to 30-Jun-24</v>
      </c>
      <c r="C453" s="634" t="str">
        <f ca="1">IFERROR(IF(INDEX('WPTM - Section F'!G$1:G$100,MATCH($A447,'WPTM - Section F'!$A$1:$A$100,0))&lt;&gt;0,INDEX('WPTM - Section F'!G$1:G$100,MATCH($A447,'WPTM - Section F'!$A$1:$A$100,0)),""),"")</f>
        <v/>
      </c>
      <c r="D453" s="653"/>
      <c r="E453" s="635" t="str">
        <f>IFERROR(IF(INDEX('WPTM - Section F'!H$1:H$100,MATCH($A447,'WPTM - Section F'!$A$1:$A$100,0))&lt;&gt;0,INDEX('WPTM - Section F'!H$1:H$100,MATCH($A447,'WPTM - Section F'!$A$1:$A$100,0)),""),"")</f>
        <v/>
      </c>
      <c r="F453" s="635"/>
      <c r="G453" s="635"/>
      <c r="H453" s="635"/>
      <c r="I453" s="653"/>
      <c r="J453" s="82"/>
    </row>
    <row r="454" spans="1:10" ht="18.75" customHeight="1">
      <c r="A454" s="641"/>
      <c r="B454" s="658"/>
      <c r="C454" s="643"/>
      <c r="D454" s="660"/>
      <c r="E454" s="644"/>
      <c r="F454" s="644"/>
      <c r="G454" s="644"/>
      <c r="H454" s="644"/>
      <c r="I454" s="660"/>
      <c r="J454" s="82"/>
    </row>
    <row r="455" spans="1:10" ht="18.75" customHeight="1">
      <c r="A455" s="641"/>
      <c r="B455" s="658"/>
      <c r="C455" s="643"/>
      <c r="D455" s="660"/>
      <c r="E455" s="644"/>
      <c r="F455" s="644"/>
      <c r="G455" s="644"/>
      <c r="H455" s="644"/>
      <c r="I455" s="660"/>
      <c r="J455" s="82"/>
    </row>
    <row r="456" spans="1:10" ht="18.75" customHeight="1">
      <c r="A456" s="641"/>
      <c r="B456" s="658"/>
      <c r="C456" s="643"/>
      <c r="D456" s="660"/>
      <c r="E456" s="644"/>
      <c r="F456" s="644"/>
      <c r="G456" s="644"/>
      <c r="H456" s="644"/>
      <c r="I456" s="660"/>
      <c r="J456" s="82"/>
    </row>
    <row r="457" spans="1:10" ht="18.75" customHeight="1">
      <c r="A457" s="641"/>
      <c r="B457" s="659"/>
      <c r="C457" s="661"/>
      <c r="D457" s="662"/>
      <c r="E457" s="667"/>
      <c r="F457" s="667"/>
      <c r="G457" s="667"/>
      <c r="H457" s="667"/>
      <c r="I457" s="662"/>
      <c r="J457" s="82"/>
    </row>
    <row r="458" spans="1:10" ht="18.75" customHeight="1">
      <c r="A458" s="641"/>
      <c r="B458" s="663" t="str">
        <f ca="1">IFERROR(IF(YEAR(INDEX('Overview - Section A'!$A$47:$A$54,MATCH('Print - Summary'!$H$11,'Overview - Section A'!$B$47:$B$54,0)))&lt;=YEAR('Overview - Section A'!$E$8),TEXT(IFERROR(INDEX('Overview - Section A'!$A$47:$A$54,MATCH('Print - Summary'!$H$11,'Overview - Section A'!$B$47:$B$54,0)),""),Setup!$A$33) &amp;" to " &amp; TEXT(IFERROR(INDEX('Overview - Section A'!$E$47:$E$54,MATCH('Print - Summary'!$H$11,'Overview - Section A'!$B$47:$B$54,0)),""),Setup!$A$33),""),"")</f>
        <v>1-Jul-24 to 31-Dec-24</v>
      </c>
      <c r="C458" s="664" t="str">
        <f ca="1">IFERROR(IF(INDEX('WPTM - Section F'!I$1:I$100,MATCH($A447,'WPTM - Section F'!$A$1:$A$100,0))&lt;&gt;0,INDEX('WPTM - Section F'!I$1:I$100,MATCH($A447,'WPTM - Section F'!$A$1:$A$100,0)),""),"")</f>
        <v/>
      </c>
      <c r="D458" s="665"/>
      <c r="E458" s="666" t="str">
        <f>IFERROR(IF(INDEX('WPTM - Section F'!J$1:J$100,MATCH($A447,'WPTM - Section F'!$A$1:$A$100,0))&lt;&gt;0,INDEX('WPTM - Section F'!J$1:J$100,MATCH($A447,'WPTM - Section F'!$A$1:$A$100,0)),""),"")</f>
        <v/>
      </c>
      <c r="F458" s="666"/>
      <c r="G458" s="666"/>
      <c r="H458" s="666"/>
      <c r="I458" s="665"/>
      <c r="J458" s="82"/>
    </row>
    <row r="459" spans="1:10" ht="18.75" customHeight="1">
      <c r="A459" s="641"/>
      <c r="B459" s="658"/>
      <c r="C459" s="643"/>
      <c r="D459" s="660"/>
      <c r="E459" s="644"/>
      <c r="F459" s="644"/>
      <c r="G459" s="644"/>
      <c r="H459" s="644"/>
      <c r="I459" s="660"/>
      <c r="J459" s="82"/>
    </row>
    <row r="460" spans="1:10" ht="18.75" customHeight="1">
      <c r="A460" s="641"/>
      <c r="B460" s="658"/>
      <c r="C460" s="643"/>
      <c r="D460" s="660"/>
      <c r="E460" s="644"/>
      <c r="F460" s="644"/>
      <c r="G460" s="644"/>
      <c r="H460" s="644"/>
      <c r="I460" s="660"/>
      <c r="J460" s="82"/>
    </row>
    <row r="461" spans="1:10" ht="18.75" customHeight="1">
      <c r="A461" s="641"/>
      <c r="B461" s="658"/>
      <c r="C461" s="643"/>
      <c r="D461" s="660"/>
      <c r="E461" s="644"/>
      <c r="F461" s="644"/>
      <c r="G461" s="644"/>
      <c r="H461" s="644"/>
      <c r="I461" s="660"/>
      <c r="J461" s="82"/>
    </row>
    <row r="462" spans="1:10" ht="18.75" customHeight="1">
      <c r="A462" s="641"/>
      <c r="B462" s="659"/>
      <c r="C462" s="661"/>
      <c r="D462" s="662"/>
      <c r="E462" s="667"/>
      <c r="F462" s="667"/>
      <c r="G462" s="667"/>
      <c r="H462" s="667"/>
      <c r="I462" s="662"/>
      <c r="J462" s="82"/>
    </row>
    <row r="463" spans="1:10" ht="18.75" customHeight="1">
      <c r="A463" s="641"/>
      <c r="B463" s="663" t="str">
        <f ca="1">IFERROR(IF(YEAR(INDEX('Overview - Section A'!$A$47:$A$54,MATCH('Print - Summary'!$H$12,'Overview - Section A'!$B$47:$B$54,0)))&lt;=YEAR('Overview - Section A'!$E$8),TEXT(IFERROR(INDEX('Overview - Section A'!$A$47:$A$54,MATCH('Print - Summary'!$H$12,'Overview - Section A'!$B$47:$B$54,0)),""),Setup!$A$33) &amp;" to " &amp; TEXT(IFERROR(INDEX('Overview - Section A'!$E$47:$E$54,MATCH('Print - Summary'!$H$12,'Overview - Section A'!$B$47:$B$54,0)),""),Setup!$A$33),""),"")</f>
        <v>1-Jan-25 to 30-Jun-25</v>
      </c>
      <c r="C463" s="664" t="str">
        <f ca="1">IFERROR(IF(INDEX('WPTM - Section F'!K$1:K$100,MATCH($A447,'WPTM - Section F'!$A$1:$A$100,0))&lt;&gt;0,INDEX('WPTM - Section F'!K$1:K$100,MATCH($A447,'WPTM - Section F'!$A$1:$A$100,0)),""),"")</f>
        <v/>
      </c>
      <c r="D463" s="665"/>
      <c r="E463" s="666" t="str">
        <f>IFERROR(IF(INDEX('WPTM - Section F'!L$1:L$100,MATCH($A447,'WPTM - Section F'!$A$1:$A$100,0))&lt;&gt;0,INDEX('WPTM - Section F'!L$1:L$100,MATCH($A447,'WPTM - Section F'!$A$1:$A$100,0)),""),"")</f>
        <v/>
      </c>
      <c r="F463" s="666"/>
      <c r="G463" s="666"/>
      <c r="H463" s="666"/>
      <c r="I463" s="665"/>
      <c r="J463" s="82"/>
    </row>
    <row r="464" spans="1:10" ht="18.75" customHeight="1">
      <c r="A464" s="641"/>
      <c r="B464" s="658"/>
      <c r="C464" s="643"/>
      <c r="D464" s="660"/>
      <c r="E464" s="644"/>
      <c r="F464" s="644"/>
      <c r="G464" s="644"/>
      <c r="H464" s="644"/>
      <c r="I464" s="660"/>
      <c r="J464" s="82"/>
    </row>
    <row r="465" spans="1:10" ht="18.75" customHeight="1">
      <c r="A465" s="641"/>
      <c r="B465" s="658"/>
      <c r="C465" s="643"/>
      <c r="D465" s="660"/>
      <c r="E465" s="644"/>
      <c r="F465" s="644"/>
      <c r="G465" s="644"/>
      <c r="H465" s="644"/>
      <c r="I465" s="660"/>
      <c r="J465" s="82"/>
    </row>
    <row r="466" spans="1:10" ht="18.75" customHeight="1">
      <c r="A466" s="641"/>
      <c r="B466" s="658"/>
      <c r="C466" s="643"/>
      <c r="D466" s="660"/>
      <c r="E466" s="644"/>
      <c r="F466" s="644"/>
      <c r="G466" s="644"/>
      <c r="H466" s="644"/>
      <c r="I466" s="660"/>
      <c r="J466" s="82"/>
    </row>
    <row r="467" spans="1:10" ht="18.75" customHeight="1">
      <c r="A467" s="641"/>
      <c r="B467" s="659"/>
      <c r="C467" s="661"/>
      <c r="D467" s="662"/>
      <c r="E467" s="667"/>
      <c r="F467" s="667"/>
      <c r="G467" s="667"/>
      <c r="H467" s="667"/>
      <c r="I467" s="662"/>
      <c r="J467" s="82"/>
    </row>
    <row r="468" spans="1:10" ht="18.75" customHeight="1">
      <c r="A468" s="641"/>
      <c r="B468" s="663" t="str">
        <f ca="1">IFERROR(IF(YEAR(INDEX('Overview - Section A'!$A$47:$A$54,MATCH('Print - Summary'!$H$13,'Overview - Section A'!$B$47:$B$54,0)))&lt;=YEAR('Overview - Section A'!$E$8),TEXT(IFERROR(INDEX('Overview - Section A'!$A$47:$A$54,MATCH('Print - Summary'!$H$13,'Overview - Section A'!$B$47:$B$54,0)),""),Setup!$A$33) &amp;" to " &amp; TEXT(IFERROR(INDEX('Overview - Section A'!$E$47:$E$54,MATCH('Print - Summary'!$H$13,'Overview - Section A'!$B$47:$B$54,0)),""),Setup!$A$33),""),"")</f>
        <v>1-Jul-25 to 31-Dec-25</v>
      </c>
      <c r="C468" s="664" t="str">
        <f ca="1">IFERROR(IF(INDEX('WPTM - Section F'!M$1:M$100,MATCH($A447,'WPTM - Section F'!$A$1:$A$100,0))&lt;&gt;0,INDEX('WPTM - Section F'!M$1:M$100,MATCH($A447,'WPTM - Section F'!$A$1:$A$100,0)),""),"")</f>
        <v/>
      </c>
      <c r="D468" s="665"/>
      <c r="E468" s="666" t="str">
        <f>IFERROR(IF(INDEX('WPTM - Section F'!N$1:N$100,MATCH($A447,'WPTM - Section F'!$A$1:$A$100,0))&lt;&gt;0,INDEX('WPTM - Section F'!N$1:N$100,MATCH($A447,'WPTM - Section F'!$A$1:$A$100,0)),""),"")</f>
        <v/>
      </c>
      <c r="F468" s="666"/>
      <c r="G468" s="666"/>
      <c r="H468" s="666"/>
      <c r="I468" s="665"/>
      <c r="J468" s="82"/>
    </row>
    <row r="469" spans="1:10" ht="18.75" customHeight="1">
      <c r="A469" s="641"/>
      <c r="B469" s="658"/>
      <c r="C469" s="643"/>
      <c r="D469" s="660"/>
      <c r="E469" s="644"/>
      <c r="F469" s="644"/>
      <c r="G469" s="644"/>
      <c r="H469" s="644"/>
      <c r="I469" s="660"/>
      <c r="J469" s="82"/>
    </row>
    <row r="470" spans="1:10" ht="18.75" customHeight="1">
      <c r="A470" s="641"/>
      <c r="B470" s="658"/>
      <c r="C470" s="643"/>
      <c r="D470" s="660"/>
      <c r="E470" s="644"/>
      <c r="F470" s="644"/>
      <c r="G470" s="644"/>
      <c r="H470" s="644"/>
      <c r="I470" s="660"/>
      <c r="J470" s="82"/>
    </row>
    <row r="471" spans="1:10" ht="18.75" customHeight="1">
      <c r="A471" s="641"/>
      <c r="B471" s="658"/>
      <c r="C471" s="643"/>
      <c r="D471" s="660"/>
      <c r="E471" s="644"/>
      <c r="F471" s="644"/>
      <c r="G471" s="644"/>
      <c r="H471" s="644"/>
      <c r="I471" s="660"/>
      <c r="J471" s="82"/>
    </row>
    <row r="472" spans="1:10" ht="18.75" customHeight="1">
      <c r="A472" s="641"/>
      <c r="B472" s="659"/>
      <c r="C472" s="661"/>
      <c r="D472" s="662"/>
      <c r="E472" s="667"/>
      <c r="F472" s="667"/>
      <c r="G472" s="667"/>
      <c r="H472" s="667"/>
      <c r="I472" s="662"/>
      <c r="J472" s="82"/>
    </row>
    <row r="473" spans="1:10" ht="18.75" customHeight="1">
      <c r="A473" s="641"/>
      <c r="B473" s="663" t="str">
        <f ca="1">IFERROR(IF(YEAR(INDEX('Overview - Section A'!$A$47:$A$54,MATCH('Print - Summary'!$H$14,'Overview - Section A'!$B$47:$B$54,0)))&lt;=YEAR('Overview - Section A'!$E$8),TEXT(IFERROR(INDEX('Overview - Section A'!$A$47:$A$54,MATCH('Print - Summary'!$H$14,'Overview - Section A'!$B$47:$B$54,0)),""),Setup!$A$33) &amp;" to " &amp; TEXT(IFERROR(INDEX('Overview - Section A'!$E$47:$E$54,MATCH('Print - Summary'!$H$14,'Overview - Section A'!$B$47:$B$54,0)),""),Setup!$A$33),""),"")</f>
        <v>1-Jan-26 to 30-Jun-26</v>
      </c>
      <c r="C473" s="664" t="str">
        <f ca="1">IFERROR(IF(INDEX('WPTM - Section F'!O$1:O$100,MATCH($A447,'WPTM - Section F'!$A$1:$A$100,0))&lt;&gt;0,INDEX('WPTM - Section F'!O$1:O$100,MATCH($A447,'WPTM - Section F'!$A$1:$A$100,0)),""),"")</f>
        <v/>
      </c>
      <c r="D473" s="665"/>
      <c r="E473" s="666" t="str">
        <f>IFERROR(IF(INDEX('WPTM - Section F'!P$1:P$100,MATCH($A447,'WPTM - Section F'!$A$1:$A$100,0))&lt;&gt;0,INDEX('WPTM - Section F'!P$1:P$100,MATCH($A447,'WPTM - Section F'!$A$1:$A$100,0)),""),"")</f>
        <v/>
      </c>
      <c r="F473" s="666"/>
      <c r="G473" s="666"/>
      <c r="H473" s="666"/>
      <c r="I473" s="665"/>
      <c r="J473" s="82"/>
    </row>
    <row r="474" spans="1:10" ht="18.75" customHeight="1">
      <c r="A474" s="641"/>
      <c r="B474" s="658"/>
      <c r="C474" s="643"/>
      <c r="D474" s="660"/>
      <c r="E474" s="644"/>
      <c r="F474" s="644"/>
      <c r="G474" s="644"/>
      <c r="H474" s="644"/>
      <c r="I474" s="660"/>
      <c r="J474" s="82"/>
    </row>
    <row r="475" spans="1:10" ht="18.75" customHeight="1">
      <c r="A475" s="641"/>
      <c r="B475" s="658"/>
      <c r="C475" s="643"/>
      <c r="D475" s="660"/>
      <c r="E475" s="644"/>
      <c r="F475" s="644"/>
      <c r="G475" s="644"/>
      <c r="H475" s="644"/>
      <c r="I475" s="660"/>
      <c r="J475" s="82"/>
    </row>
    <row r="476" spans="1:10" ht="18.75" customHeight="1">
      <c r="A476" s="641"/>
      <c r="B476" s="658"/>
      <c r="C476" s="643"/>
      <c r="D476" s="660"/>
      <c r="E476" s="644"/>
      <c r="F476" s="644"/>
      <c r="G476" s="644"/>
      <c r="H476" s="644"/>
      <c r="I476" s="660"/>
      <c r="J476" s="82"/>
    </row>
    <row r="477" spans="1:10" ht="18.75" customHeight="1">
      <c r="A477" s="641"/>
      <c r="B477" s="659"/>
      <c r="C477" s="661"/>
      <c r="D477" s="662"/>
      <c r="E477" s="667"/>
      <c r="F477" s="667"/>
      <c r="G477" s="667"/>
      <c r="H477" s="667"/>
      <c r="I477" s="662"/>
      <c r="J477" s="82"/>
    </row>
    <row r="478" spans="1:10" ht="18.75" customHeight="1">
      <c r="A478" s="641"/>
      <c r="B478" s="663" t="str">
        <f ca="1">IFERROR(IF(YEAR(INDEX('Overview - Section A'!$A$47:$A$54,MATCH('Print - Summary'!$H$15,'Overview - Section A'!$B$47:$B$54,0)))&lt;=YEAR('Overview - Section A'!$E$8),TEXT(IFERROR(INDEX('Overview - Section A'!$A$47:$A$54,MATCH('Print - Summary'!$H$15,'Overview - Section A'!$B$47:$B$54,0)),""),Setup!$A$33) &amp;" to " &amp; TEXT(IFERROR(INDEX('Overview - Section A'!$E$47:$E$54,MATCH('Print - Summary'!$H$15,'Overview - Section A'!$B$47:$B$54,0)),""),Setup!$A$33),""),"")</f>
        <v>1-Jul-26 to 31-Dec-26</v>
      </c>
      <c r="C478" s="664" t="str">
        <f ca="1">IFERROR(IF(INDEX('WPTM - Section F'!Q$1:Q$100,MATCH($A447,'WPTM - Section F'!$A$1:$A$100,0))&lt;&gt;0,INDEX('WPTM - Section F'!Q$1:Q$100,MATCH($A447,'WPTM - Section F'!$A$1:$A$100,0)),""),"")</f>
        <v/>
      </c>
      <c r="D478" s="665"/>
      <c r="E478" s="666" t="str">
        <f>IFERROR(IF(INDEX('WPTM - Section F'!R$1:R$100,MATCH($A447,'WPTM - Section F'!$A$1:$A$100,0))&lt;&gt;0,INDEX('WPTM - Section F'!R$1:R$100,MATCH($A447,'WPTM - Section F'!$A$1:$A$100,0)),""),"")</f>
        <v/>
      </c>
      <c r="F478" s="666"/>
      <c r="G478" s="666"/>
      <c r="H478" s="666"/>
      <c r="I478" s="665"/>
      <c r="J478" s="82"/>
    </row>
    <row r="479" spans="1:10" ht="18.75" customHeight="1">
      <c r="A479" s="641"/>
      <c r="B479" s="658"/>
      <c r="C479" s="643"/>
      <c r="D479" s="660"/>
      <c r="E479" s="644"/>
      <c r="F479" s="644"/>
      <c r="G479" s="644"/>
      <c r="H479" s="644"/>
      <c r="I479" s="660"/>
      <c r="J479" s="82"/>
    </row>
    <row r="480" spans="1:10" ht="18.75" customHeight="1">
      <c r="A480" s="641"/>
      <c r="B480" s="658"/>
      <c r="C480" s="643"/>
      <c r="D480" s="660"/>
      <c r="E480" s="644"/>
      <c r="F480" s="644"/>
      <c r="G480" s="644"/>
      <c r="H480" s="644"/>
      <c r="I480" s="660"/>
      <c r="J480" s="82"/>
    </row>
    <row r="481" spans="1:10" ht="18.75" customHeight="1">
      <c r="A481" s="641"/>
      <c r="B481" s="658"/>
      <c r="C481" s="643"/>
      <c r="D481" s="660"/>
      <c r="E481" s="644"/>
      <c r="F481" s="644"/>
      <c r="G481" s="644"/>
      <c r="H481" s="644"/>
      <c r="I481" s="660"/>
      <c r="J481" s="82"/>
    </row>
    <row r="482" spans="1:10" ht="18.75" customHeight="1">
      <c r="A482" s="641"/>
      <c r="B482" s="659"/>
      <c r="C482" s="661"/>
      <c r="D482" s="662"/>
      <c r="E482" s="667"/>
      <c r="F482" s="667"/>
      <c r="G482" s="667"/>
      <c r="H482" s="667"/>
      <c r="I482" s="662"/>
      <c r="J482" s="82"/>
    </row>
    <row r="483" spans="1:10" ht="18.75" customHeight="1">
      <c r="A483" s="641"/>
      <c r="B483" s="663" t="str">
        <f ca="1">IFERROR(IF(YEAR(INDEX('Overview - Section A'!$A$47:$A$54,MATCH('Print - Summary'!$H$16,'Overview - Section A'!$B$47:$B$54,0)))&lt;=YEAR('Overview - Section A'!$E$8),TEXT(IFERROR(INDEX('Overview - Section A'!$A$47:$A$54,MATCH('Print - Summary'!$H$16,'Overview - Section A'!$B$47:$B$54,0)),""),Setup!$A$33) &amp;" to " &amp; TEXT(IFERROR(INDEX('Overview - Section A'!$E$47:$E$54,MATCH('Print - Summary'!$H$16,'Overview - Section A'!$B$47:$B$54,0)),""),Setup!$A$33),""),"")</f>
        <v/>
      </c>
      <c r="C483" s="664" t="str">
        <f ca="1">IFERROR(IF(INDEX('WPTM - Section F'!S$1:S$100,MATCH($A447,'WPTM - Section F'!$A$1:$A$100,0))&lt;&gt;0,INDEX('WPTM - Section F'!S$1:S$100,MATCH($A447,'WPTM - Section F'!$A$1:$A$100,0)),""),"")</f>
        <v/>
      </c>
      <c r="D483" s="665"/>
      <c r="E483" s="666" t="str">
        <f>IFERROR(IF(INDEX('WPTM - Section F'!T$1:T$100,MATCH($A447,'WPTM - Section F'!$A$1:$A$100,0))&lt;&gt;0,INDEX('WPTM - Section F'!T$1:T$100,MATCH($A447,'WPTM - Section F'!$A$1:$A$100,0)),""),"")</f>
        <v/>
      </c>
      <c r="F483" s="666"/>
      <c r="G483" s="666"/>
      <c r="H483" s="666"/>
      <c r="I483" s="665"/>
      <c r="J483" s="82"/>
    </row>
    <row r="484" spans="1:10" ht="18.75" customHeight="1">
      <c r="A484" s="641"/>
      <c r="B484" s="658"/>
      <c r="C484" s="643"/>
      <c r="D484" s="660"/>
      <c r="E484" s="644"/>
      <c r="F484" s="644"/>
      <c r="G484" s="644"/>
      <c r="H484" s="644"/>
      <c r="I484" s="660"/>
      <c r="J484" s="82"/>
    </row>
    <row r="485" spans="1:10" ht="18.75" customHeight="1">
      <c r="A485" s="641"/>
      <c r="B485" s="658"/>
      <c r="C485" s="643"/>
      <c r="D485" s="660"/>
      <c r="E485" s="644"/>
      <c r="F485" s="644"/>
      <c r="G485" s="644"/>
      <c r="H485" s="644"/>
      <c r="I485" s="660"/>
      <c r="J485" s="82"/>
    </row>
    <row r="486" spans="1:10" ht="18.75" customHeight="1">
      <c r="A486" s="641"/>
      <c r="B486" s="658"/>
      <c r="C486" s="643"/>
      <c r="D486" s="660"/>
      <c r="E486" s="644"/>
      <c r="F486" s="644"/>
      <c r="G486" s="644"/>
      <c r="H486" s="644"/>
      <c r="I486" s="660"/>
      <c r="J486" s="82"/>
    </row>
    <row r="487" spans="1:10" ht="18.75" customHeight="1">
      <c r="A487" s="641"/>
      <c r="B487" s="659"/>
      <c r="C487" s="661"/>
      <c r="D487" s="662"/>
      <c r="E487" s="667"/>
      <c r="F487" s="667"/>
      <c r="G487" s="667"/>
      <c r="H487" s="667"/>
      <c r="I487" s="662"/>
      <c r="J487" s="82"/>
    </row>
    <row r="488" spans="1:10" ht="18.75" customHeight="1">
      <c r="A488" s="641"/>
      <c r="B488" s="663" t="str">
        <f ca="1">IFERROR(IF(YEAR(INDEX('Overview - Section A'!$A$47:$A$54,MATCH('Print - Summary'!$H$17,'Overview - Section A'!$B$47:$B$54,0)))&lt;=YEAR('Overview - Section A'!$E$8),TEXT(IFERROR(INDEX('Overview - Section A'!$A$47:$A$54,MATCH('Print - Summary'!$H$17,'Overview - Section A'!$B$47:$B$54,0)),""),Setup!$A$33) &amp;" to " &amp; TEXT(IFERROR(INDEX('Overview - Section A'!$E$47:$E$54,MATCH('Print - Summary'!$H$17,'Overview - Section A'!$B$47:$B$54,0)),""),Setup!$A$33),""),"")</f>
        <v/>
      </c>
      <c r="C488" s="664" t="str">
        <f>IFERROR(IF(INDEX('WPTM - Section F'!U$1:U$100,MATCH($A447,'WPTM - Section F'!$A$1:$A$100,0))&lt;&gt;0,INDEX('WPTM - Section F'!U$1:U$100,MATCH($A447,'WPTM - Section F'!$A$1:$A$100,0)),""),"")</f>
        <v/>
      </c>
      <c r="D488" s="665"/>
      <c r="E488" s="666" t="str">
        <f>IFERROR(IF(INDEX('WPTM - Section F'!V$1:V$100,MATCH($A447,'WPTM - Section F'!$A$1:$A$100,0))&lt;&gt;0,INDEX('WPTM - Section F'!V$1:V$100,MATCH($A447,'WPTM - Section F'!$A$1:$A$100,0)),""),"")</f>
        <v/>
      </c>
      <c r="F488" s="666"/>
      <c r="G488" s="666"/>
      <c r="H488" s="666"/>
      <c r="I488" s="665"/>
      <c r="J488" s="82"/>
    </row>
    <row r="489" spans="1:10" ht="18.75" customHeight="1">
      <c r="A489" s="641"/>
      <c r="B489" s="658"/>
      <c r="C489" s="643"/>
      <c r="D489" s="660"/>
      <c r="E489" s="644"/>
      <c r="F489" s="644"/>
      <c r="G489" s="644"/>
      <c r="H489" s="644"/>
      <c r="I489" s="660"/>
      <c r="J489" s="82"/>
    </row>
    <row r="490" spans="1:10" ht="18.75" customHeight="1">
      <c r="A490" s="641"/>
      <c r="B490" s="658"/>
      <c r="C490" s="643"/>
      <c r="D490" s="660"/>
      <c r="E490" s="644"/>
      <c r="F490" s="644"/>
      <c r="G490" s="644"/>
      <c r="H490" s="644"/>
      <c r="I490" s="660"/>
      <c r="J490" s="82"/>
    </row>
    <row r="491" spans="1:10" ht="18.75" customHeight="1">
      <c r="A491" s="641"/>
      <c r="B491" s="658"/>
      <c r="C491" s="643"/>
      <c r="D491" s="660"/>
      <c r="E491" s="644"/>
      <c r="F491" s="644"/>
      <c r="G491" s="644"/>
      <c r="H491" s="644"/>
      <c r="I491" s="660"/>
      <c r="J491" s="82"/>
    </row>
    <row r="492" spans="1:10" ht="18.75" customHeight="1">
      <c r="A492" s="641"/>
      <c r="B492" s="658"/>
      <c r="C492" s="643"/>
      <c r="D492" s="660"/>
      <c r="E492" s="644"/>
      <c r="F492" s="644"/>
      <c r="G492" s="644"/>
      <c r="H492" s="644"/>
      <c r="I492" s="660"/>
      <c r="J492" s="82"/>
    </row>
    <row r="493" spans="1:10" ht="18.75" customHeight="1">
      <c r="A493" s="654"/>
      <c r="B493" s="656"/>
      <c r="C493" s="656"/>
      <c r="D493" s="656"/>
      <c r="E493" s="656"/>
      <c r="F493" s="656"/>
      <c r="G493" s="656"/>
      <c r="H493" s="656"/>
      <c r="I493" s="655"/>
      <c r="J493" s="82"/>
    </row>
  </sheetData>
  <sheetProtection algorithmName="SHA-512" hashValue="/RvCI2iMAzwsw8ZrSbrZkCd2N+tqGINwkEFit9UGeWWExkxIlwTjfj2GF4hVkHrhzbMowuBDy+KzEhi4nhkAIQ==" saltValue="IGLfPD2D8dtD0ojMlrsgFg==" spinCount="100000" sheet="1" objects="1" scenarios="1" formatRows="0"/>
  <mergeCells count="363">
    <mergeCell ref="A493:I493"/>
    <mergeCell ref="B483:B487"/>
    <mergeCell ref="C483:D487"/>
    <mergeCell ref="E483:I487"/>
    <mergeCell ref="B488:B492"/>
    <mergeCell ref="C488:D492"/>
    <mergeCell ref="E488:I492"/>
    <mergeCell ref="B473:B477"/>
    <mergeCell ref="C473:D477"/>
    <mergeCell ref="E473:I477"/>
    <mergeCell ref="B478:B482"/>
    <mergeCell ref="C478:D482"/>
    <mergeCell ref="E478:I482"/>
    <mergeCell ref="B463:B467"/>
    <mergeCell ref="C463:D467"/>
    <mergeCell ref="E463:I467"/>
    <mergeCell ref="B468:B472"/>
    <mergeCell ref="C468:D472"/>
    <mergeCell ref="E468:I472"/>
    <mergeCell ref="A447:A492"/>
    <mergeCell ref="C447:I447"/>
    <mergeCell ref="B448:E448"/>
    <mergeCell ref="F448:I448"/>
    <mergeCell ref="B449:E451"/>
    <mergeCell ref="F449:I449"/>
    <mergeCell ref="F450:I450"/>
    <mergeCell ref="F451:I451"/>
    <mergeCell ref="C452:D452"/>
    <mergeCell ref="E452:I452"/>
    <mergeCell ref="B453:B457"/>
    <mergeCell ref="C453:D457"/>
    <mergeCell ref="E453:I457"/>
    <mergeCell ref="B458:B462"/>
    <mergeCell ref="C458:D462"/>
    <mergeCell ref="E458:I462"/>
    <mergeCell ref="B414:B418"/>
    <mergeCell ref="C414:D418"/>
    <mergeCell ref="E414:I418"/>
    <mergeCell ref="B439:B443"/>
    <mergeCell ref="C439:D443"/>
    <mergeCell ref="E439:I443"/>
    <mergeCell ref="A444:I444"/>
    <mergeCell ref="C446:I446"/>
    <mergeCell ref="B429:B433"/>
    <mergeCell ref="C429:D433"/>
    <mergeCell ref="E429:I433"/>
    <mergeCell ref="B434:B438"/>
    <mergeCell ref="C434:D438"/>
    <mergeCell ref="E434:I438"/>
    <mergeCell ref="A395:I395"/>
    <mergeCell ref="C397:I397"/>
    <mergeCell ref="A398:A443"/>
    <mergeCell ref="C398:I398"/>
    <mergeCell ref="B399:E399"/>
    <mergeCell ref="F399:I399"/>
    <mergeCell ref="B400:E402"/>
    <mergeCell ref="F400:I400"/>
    <mergeCell ref="F401:I401"/>
    <mergeCell ref="F402:I402"/>
    <mergeCell ref="C403:D403"/>
    <mergeCell ref="E403:I403"/>
    <mergeCell ref="B404:B408"/>
    <mergeCell ref="C404:D408"/>
    <mergeCell ref="E404:I408"/>
    <mergeCell ref="B409:B413"/>
    <mergeCell ref="B419:B423"/>
    <mergeCell ref="C419:D423"/>
    <mergeCell ref="E419:I423"/>
    <mergeCell ref="B424:B428"/>
    <mergeCell ref="C424:D428"/>
    <mergeCell ref="E424:I428"/>
    <mergeCell ref="C409:D413"/>
    <mergeCell ref="E409:I413"/>
    <mergeCell ref="E385:I389"/>
    <mergeCell ref="B390:B394"/>
    <mergeCell ref="C390:D394"/>
    <mergeCell ref="E390:I394"/>
    <mergeCell ref="B375:B379"/>
    <mergeCell ref="C375:D379"/>
    <mergeCell ref="E375:I379"/>
    <mergeCell ref="B380:B384"/>
    <mergeCell ref="C380:D384"/>
    <mergeCell ref="E380:I384"/>
    <mergeCell ref="B365:B369"/>
    <mergeCell ref="C365:D369"/>
    <mergeCell ref="E365:I369"/>
    <mergeCell ref="B370:B374"/>
    <mergeCell ref="C370:D374"/>
    <mergeCell ref="E370:I374"/>
    <mergeCell ref="A349:A394"/>
    <mergeCell ref="C349:I349"/>
    <mergeCell ref="B350:E350"/>
    <mergeCell ref="F350:I350"/>
    <mergeCell ref="B351:E353"/>
    <mergeCell ref="F351:I351"/>
    <mergeCell ref="F352:I352"/>
    <mergeCell ref="F353:I353"/>
    <mergeCell ref="C354:D354"/>
    <mergeCell ref="E354:I354"/>
    <mergeCell ref="B355:B359"/>
    <mergeCell ref="C355:D359"/>
    <mergeCell ref="E355:I359"/>
    <mergeCell ref="B360:B364"/>
    <mergeCell ref="C360:D364"/>
    <mergeCell ref="E360:I364"/>
    <mergeCell ref="B385:B389"/>
    <mergeCell ref="C385:D389"/>
    <mergeCell ref="B316:B320"/>
    <mergeCell ref="C316:D320"/>
    <mergeCell ref="E316:I320"/>
    <mergeCell ref="B341:B345"/>
    <mergeCell ref="C341:D345"/>
    <mergeCell ref="E341:I345"/>
    <mergeCell ref="A346:I346"/>
    <mergeCell ref="C348:I348"/>
    <mergeCell ref="B331:B335"/>
    <mergeCell ref="C331:D335"/>
    <mergeCell ref="E331:I335"/>
    <mergeCell ref="B336:B340"/>
    <mergeCell ref="C336:D340"/>
    <mergeCell ref="E336:I340"/>
    <mergeCell ref="A297:I297"/>
    <mergeCell ref="C299:I299"/>
    <mergeCell ref="A300:A345"/>
    <mergeCell ref="C300:I300"/>
    <mergeCell ref="B301:E301"/>
    <mergeCell ref="F301:I301"/>
    <mergeCell ref="B302:E304"/>
    <mergeCell ref="F302:I302"/>
    <mergeCell ref="F303:I303"/>
    <mergeCell ref="F304:I304"/>
    <mergeCell ref="C305:D305"/>
    <mergeCell ref="E305:I305"/>
    <mergeCell ref="B306:B310"/>
    <mergeCell ref="C306:D310"/>
    <mergeCell ref="E306:I310"/>
    <mergeCell ref="B311:B315"/>
    <mergeCell ref="B321:B325"/>
    <mergeCell ref="C321:D325"/>
    <mergeCell ref="E321:I325"/>
    <mergeCell ref="B326:B330"/>
    <mergeCell ref="C326:D330"/>
    <mergeCell ref="E326:I330"/>
    <mergeCell ref="C311:D315"/>
    <mergeCell ref="E311:I315"/>
    <mergeCell ref="E287:I291"/>
    <mergeCell ref="B292:B296"/>
    <mergeCell ref="C292:D296"/>
    <mergeCell ref="E292:I296"/>
    <mergeCell ref="B277:B281"/>
    <mergeCell ref="C277:D281"/>
    <mergeCell ref="E277:I281"/>
    <mergeCell ref="B282:B286"/>
    <mergeCell ref="C282:D286"/>
    <mergeCell ref="E282:I286"/>
    <mergeCell ref="B267:B271"/>
    <mergeCell ref="C267:D271"/>
    <mergeCell ref="E267:I271"/>
    <mergeCell ref="B272:B276"/>
    <mergeCell ref="C272:D276"/>
    <mergeCell ref="E272:I276"/>
    <mergeCell ref="A251:A296"/>
    <mergeCell ref="C251:I251"/>
    <mergeCell ref="B252:E252"/>
    <mergeCell ref="F252:I252"/>
    <mergeCell ref="B253:E255"/>
    <mergeCell ref="F253:I253"/>
    <mergeCell ref="F254:I254"/>
    <mergeCell ref="F255:I255"/>
    <mergeCell ref="C256:D256"/>
    <mergeCell ref="E256:I256"/>
    <mergeCell ref="B257:B261"/>
    <mergeCell ref="C257:D261"/>
    <mergeCell ref="E257:I261"/>
    <mergeCell ref="B262:B266"/>
    <mergeCell ref="C262:D266"/>
    <mergeCell ref="E262:I266"/>
    <mergeCell ref="B287:B291"/>
    <mergeCell ref="C287:D291"/>
    <mergeCell ref="B218:B222"/>
    <mergeCell ref="C218:D222"/>
    <mergeCell ref="E218:I222"/>
    <mergeCell ref="B243:B247"/>
    <mergeCell ref="C243:D247"/>
    <mergeCell ref="E243:I247"/>
    <mergeCell ref="A248:I248"/>
    <mergeCell ref="C250:I250"/>
    <mergeCell ref="B233:B237"/>
    <mergeCell ref="C233:D237"/>
    <mergeCell ref="E233:I237"/>
    <mergeCell ref="B238:B242"/>
    <mergeCell ref="C238:D242"/>
    <mergeCell ref="E238:I242"/>
    <mergeCell ref="A199:I199"/>
    <mergeCell ref="C201:I201"/>
    <mergeCell ref="A202:A247"/>
    <mergeCell ref="C202:I202"/>
    <mergeCell ref="B203:E203"/>
    <mergeCell ref="F203:I203"/>
    <mergeCell ref="B204:E206"/>
    <mergeCell ref="F204:I204"/>
    <mergeCell ref="F205:I205"/>
    <mergeCell ref="F206:I206"/>
    <mergeCell ref="C207:D207"/>
    <mergeCell ref="E207:I207"/>
    <mergeCell ref="B208:B212"/>
    <mergeCell ref="C208:D212"/>
    <mergeCell ref="E208:I212"/>
    <mergeCell ref="B213:B217"/>
    <mergeCell ref="B223:B227"/>
    <mergeCell ref="C223:D227"/>
    <mergeCell ref="E223:I227"/>
    <mergeCell ref="B228:B232"/>
    <mergeCell ref="C228:D232"/>
    <mergeCell ref="E228:I232"/>
    <mergeCell ref="C213:D217"/>
    <mergeCell ref="E213:I217"/>
    <mergeCell ref="E189:I193"/>
    <mergeCell ref="B194:B198"/>
    <mergeCell ref="C194:D198"/>
    <mergeCell ref="E194:I198"/>
    <mergeCell ref="B179:B183"/>
    <mergeCell ref="C179:D183"/>
    <mergeCell ref="E179:I183"/>
    <mergeCell ref="B184:B188"/>
    <mergeCell ref="C184:D188"/>
    <mergeCell ref="E184:I188"/>
    <mergeCell ref="B169:B173"/>
    <mergeCell ref="C169:D173"/>
    <mergeCell ref="E169:I173"/>
    <mergeCell ref="B174:B178"/>
    <mergeCell ref="C174:D178"/>
    <mergeCell ref="E174:I178"/>
    <mergeCell ref="A153:A198"/>
    <mergeCell ref="C153:I153"/>
    <mergeCell ref="B154:E154"/>
    <mergeCell ref="F154:I154"/>
    <mergeCell ref="B155:E157"/>
    <mergeCell ref="F155:I155"/>
    <mergeCell ref="F156:I156"/>
    <mergeCell ref="F157:I157"/>
    <mergeCell ref="C158:D158"/>
    <mergeCell ref="E158:I158"/>
    <mergeCell ref="B159:B163"/>
    <mergeCell ref="C159:D163"/>
    <mergeCell ref="E159:I163"/>
    <mergeCell ref="B164:B168"/>
    <mergeCell ref="C164:D168"/>
    <mergeCell ref="E164:I168"/>
    <mergeCell ref="B189:B193"/>
    <mergeCell ref="C189:D193"/>
    <mergeCell ref="B120:B124"/>
    <mergeCell ref="C120:D124"/>
    <mergeCell ref="E120:I124"/>
    <mergeCell ref="B145:B149"/>
    <mergeCell ref="C145:D149"/>
    <mergeCell ref="E145:I149"/>
    <mergeCell ref="A150:I150"/>
    <mergeCell ref="C152:I152"/>
    <mergeCell ref="B135:B139"/>
    <mergeCell ref="C135:D139"/>
    <mergeCell ref="E135:I139"/>
    <mergeCell ref="B140:B144"/>
    <mergeCell ref="C140:D144"/>
    <mergeCell ref="E140:I144"/>
    <mergeCell ref="A101:I101"/>
    <mergeCell ref="C103:I103"/>
    <mergeCell ref="A104:A149"/>
    <mergeCell ref="C104:I104"/>
    <mergeCell ref="B105:E105"/>
    <mergeCell ref="F105:I105"/>
    <mergeCell ref="B106:E108"/>
    <mergeCell ref="F106:I106"/>
    <mergeCell ref="F107:I107"/>
    <mergeCell ref="F108:I108"/>
    <mergeCell ref="C109:D109"/>
    <mergeCell ref="E109:I109"/>
    <mergeCell ref="B110:B114"/>
    <mergeCell ref="C110:D114"/>
    <mergeCell ref="E110:I114"/>
    <mergeCell ref="B115:B119"/>
    <mergeCell ref="B125:B129"/>
    <mergeCell ref="C125:D129"/>
    <mergeCell ref="E125:I129"/>
    <mergeCell ref="B130:B134"/>
    <mergeCell ref="C130:D134"/>
    <mergeCell ref="E130:I134"/>
    <mergeCell ref="C115:D119"/>
    <mergeCell ref="E115:I119"/>
    <mergeCell ref="C91:D95"/>
    <mergeCell ref="E91:I95"/>
    <mergeCell ref="B96:B100"/>
    <mergeCell ref="C96:D100"/>
    <mergeCell ref="E96:I100"/>
    <mergeCell ref="B81:B85"/>
    <mergeCell ref="C81:D85"/>
    <mergeCell ref="E81:I85"/>
    <mergeCell ref="B86:B90"/>
    <mergeCell ref="C86:D90"/>
    <mergeCell ref="E86:I90"/>
    <mergeCell ref="E66:I70"/>
    <mergeCell ref="B71:B75"/>
    <mergeCell ref="C71:D75"/>
    <mergeCell ref="E71:I75"/>
    <mergeCell ref="B76:B80"/>
    <mergeCell ref="C76:D80"/>
    <mergeCell ref="E76:I80"/>
    <mergeCell ref="C54:I54"/>
    <mergeCell ref="A55:A100"/>
    <mergeCell ref="C55:I55"/>
    <mergeCell ref="B56:E56"/>
    <mergeCell ref="F56:I56"/>
    <mergeCell ref="B57:E59"/>
    <mergeCell ref="F57:I57"/>
    <mergeCell ref="F58:I58"/>
    <mergeCell ref="F59:I59"/>
    <mergeCell ref="C60:D60"/>
    <mergeCell ref="E60:I60"/>
    <mergeCell ref="B61:B65"/>
    <mergeCell ref="C61:D65"/>
    <mergeCell ref="E61:I65"/>
    <mergeCell ref="B66:B70"/>
    <mergeCell ref="C66:D70"/>
    <mergeCell ref="B91:B95"/>
    <mergeCell ref="C17:D21"/>
    <mergeCell ref="E17:I21"/>
    <mergeCell ref="B22:B26"/>
    <mergeCell ref="C22:D26"/>
    <mergeCell ref="E22:I26"/>
    <mergeCell ref="B47:B51"/>
    <mergeCell ref="C47:D51"/>
    <mergeCell ref="E47:I51"/>
    <mergeCell ref="A52:I52"/>
    <mergeCell ref="B37:B41"/>
    <mergeCell ref="C37:D41"/>
    <mergeCell ref="E37:I41"/>
    <mergeCell ref="B42:B46"/>
    <mergeCell ref="C42:D46"/>
    <mergeCell ref="E42:I46"/>
    <mergeCell ref="A1:I1"/>
    <mergeCell ref="A3:B3"/>
    <mergeCell ref="C3:D3"/>
    <mergeCell ref="C5:I5"/>
    <mergeCell ref="A6:A51"/>
    <mergeCell ref="C6:I6"/>
    <mergeCell ref="B7:E7"/>
    <mergeCell ref="F7:I7"/>
    <mergeCell ref="B8:E10"/>
    <mergeCell ref="F8:I8"/>
    <mergeCell ref="F9:I9"/>
    <mergeCell ref="F10:I10"/>
    <mergeCell ref="C11:D11"/>
    <mergeCell ref="E11:I11"/>
    <mergeCell ref="B12:B16"/>
    <mergeCell ref="C12:D16"/>
    <mergeCell ref="B27:B31"/>
    <mergeCell ref="C27:D31"/>
    <mergeCell ref="E27:I31"/>
    <mergeCell ref="B32:B36"/>
    <mergeCell ref="C32:D36"/>
    <mergeCell ref="E32:I36"/>
    <mergeCell ref="E12:I16"/>
    <mergeCell ref="B17:B21"/>
  </mergeCells>
  <hyperlinks>
    <hyperlink ref="C3" r:id="rId1" display="http://example.com/" xr:uid="{D1C0473B-F235-421B-8BDB-5A99961F922C}"/>
    <hyperlink ref="C3:D3" location="'WPTM - Section F'!A1" display="Workplan Tracking Measures" xr:uid="{0CD72F72-0839-4496-B5D8-F75882EF7C31}"/>
  </hyperlinks>
  <pageMargins left="0.7" right="0.7" top="0.75" bottom="0.75" header="0.3" footer="0.3"/>
  <pageSetup paperSize="9" scale="67" fitToHeight="0" orientation="landscape"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H415"/>
  <sheetViews>
    <sheetView workbookViewId="0">
      <selection activeCell="B38" sqref="B38"/>
    </sheetView>
  </sheetViews>
  <sheetFormatPr defaultColWidth="8.625" defaultRowHeight="12.75"/>
  <cols>
    <col min="1" max="1" width="19.125" style="1" customWidth="1"/>
    <col min="2" max="2" width="28.125" style="1" bestFit="1" customWidth="1"/>
    <col min="3" max="3" width="8.625" style="1"/>
    <col min="4" max="4" width="7.125" style="1" customWidth="1"/>
    <col min="5" max="6" width="8.625" style="1"/>
    <col min="7" max="7" width="25.5" style="1" customWidth="1"/>
    <col min="8" max="8" width="17.125" style="1" customWidth="1"/>
    <col min="9" max="16384" width="8.625" style="1"/>
  </cols>
  <sheetData>
    <row r="1" spans="1:8">
      <c r="A1" s="1" t="s">
        <v>5062</v>
      </c>
    </row>
    <row r="4" spans="1:8">
      <c r="A4" s="2" t="s">
        <v>813</v>
      </c>
    </row>
    <row r="5" spans="1:8">
      <c r="B5" s="14" t="s">
        <v>814</v>
      </c>
      <c r="C5" s="14"/>
      <c r="D5" s="14" t="s">
        <v>815</v>
      </c>
      <c r="E5" s="14"/>
      <c r="F5" s="14"/>
      <c r="G5" s="14" t="s">
        <v>318</v>
      </c>
      <c r="H5" s="14" t="s">
        <v>5063</v>
      </c>
    </row>
    <row r="6" spans="1:8" hidden="1">
      <c r="B6" s="14" t="s">
        <v>825</v>
      </c>
      <c r="C6" s="14"/>
      <c r="D6" s="15" t="s">
        <v>2176</v>
      </c>
      <c r="E6" s="14"/>
      <c r="F6" s="14"/>
      <c r="G6" s="14" t="s">
        <v>321</v>
      </c>
      <c r="H6" s="15" t="s">
        <v>5064</v>
      </c>
    </row>
    <row r="7" spans="1:8">
      <c r="B7" s="14" t="s">
        <v>878</v>
      </c>
      <c r="C7" s="14"/>
      <c r="D7" s="15" t="s">
        <v>783</v>
      </c>
      <c r="E7" s="14"/>
      <c r="F7" s="14"/>
      <c r="G7" s="14" t="s">
        <v>5065</v>
      </c>
      <c r="H7" s="15"/>
    </row>
    <row r="8" spans="1:8">
      <c r="B8" s="14" t="s">
        <v>881</v>
      </c>
      <c r="C8" s="14"/>
      <c r="D8" s="15" t="s">
        <v>779</v>
      </c>
      <c r="E8" s="14"/>
      <c r="F8" s="14"/>
      <c r="G8" s="14" t="s">
        <v>5066</v>
      </c>
      <c r="H8" s="15"/>
    </row>
    <row r="9" spans="1:8">
      <c r="B9" s="14" t="s">
        <v>884</v>
      </c>
      <c r="C9" s="14"/>
      <c r="D9" s="15" t="s">
        <v>785</v>
      </c>
      <c r="E9" s="14"/>
      <c r="F9" s="14"/>
      <c r="G9" s="14" t="s">
        <v>5067</v>
      </c>
      <c r="H9" s="15"/>
    </row>
    <row r="10" spans="1:8">
      <c r="B10" s="14" t="s">
        <v>874</v>
      </c>
      <c r="C10" s="14"/>
      <c r="D10" s="15" t="s">
        <v>875</v>
      </c>
      <c r="E10" s="14"/>
      <c r="F10" s="14"/>
      <c r="G10" s="14" t="s">
        <v>5068</v>
      </c>
      <c r="H10" s="15"/>
    </row>
    <row r="11" spans="1:8">
      <c r="B11" s="14" t="s">
        <v>833</v>
      </c>
      <c r="C11" s="14"/>
      <c r="D11" s="15" t="s">
        <v>794</v>
      </c>
      <c r="E11" s="14"/>
      <c r="F11" s="14"/>
      <c r="G11" s="14" t="s">
        <v>5069</v>
      </c>
      <c r="H11" s="15"/>
    </row>
    <row r="12" spans="1:8">
      <c r="B12" s="14" t="s">
        <v>838</v>
      </c>
      <c r="C12" s="14"/>
      <c r="D12" s="15" t="s">
        <v>797</v>
      </c>
      <c r="E12" s="14"/>
      <c r="F12" s="14"/>
      <c r="G12" s="14" t="s">
        <v>5070</v>
      </c>
      <c r="H12" s="15"/>
    </row>
    <row r="13" spans="1:8">
      <c r="B13" s="14" t="s">
        <v>841</v>
      </c>
      <c r="C13" s="14"/>
      <c r="D13" s="15" t="s">
        <v>799</v>
      </c>
      <c r="E13" s="14"/>
      <c r="F13" s="14"/>
      <c r="G13" s="14" t="s">
        <v>5071</v>
      </c>
      <c r="H13" s="15"/>
    </row>
    <row r="14" spans="1:8">
      <c r="B14" s="14" t="s">
        <v>845</v>
      </c>
      <c r="C14" s="14"/>
      <c r="D14" s="15" t="s">
        <v>800</v>
      </c>
      <c r="E14" s="14"/>
      <c r="F14" s="14"/>
      <c r="G14" s="14" t="s">
        <v>5072</v>
      </c>
      <c r="H14" s="15"/>
    </row>
    <row r="15" spans="1:8">
      <c r="B15" s="14" t="s">
        <v>848</v>
      </c>
      <c r="C15" s="14"/>
      <c r="D15" s="15" t="s">
        <v>787</v>
      </c>
      <c r="E15" s="14"/>
      <c r="F15" s="14"/>
      <c r="G15" s="14" t="s">
        <v>5073</v>
      </c>
      <c r="H15" s="15"/>
    </row>
    <row r="16" spans="1:8">
      <c r="B16" s="14" t="s">
        <v>852</v>
      </c>
      <c r="C16" s="14"/>
      <c r="D16" s="15" t="s">
        <v>791</v>
      </c>
      <c r="E16" s="14"/>
      <c r="F16" s="14"/>
      <c r="G16" s="14" t="s">
        <v>5074</v>
      </c>
      <c r="H16" s="15"/>
    </row>
    <row r="17" spans="1:8">
      <c r="B17" s="14" t="s">
        <v>855</v>
      </c>
      <c r="C17" s="14"/>
      <c r="D17" s="15" t="s">
        <v>790</v>
      </c>
      <c r="E17" s="14"/>
      <c r="F17" s="14"/>
      <c r="G17" s="14" t="s">
        <v>5075</v>
      </c>
      <c r="H17" s="15"/>
    </row>
    <row r="18" spans="1:8">
      <c r="B18" s="14" t="s">
        <v>859</v>
      </c>
      <c r="C18" s="14"/>
      <c r="D18" s="15" t="s">
        <v>793</v>
      </c>
      <c r="E18" s="14"/>
      <c r="F18" s="14"/>
      <c r="G18" s="14" t="s">
        <v>5076</v>
      </c>
      <c r="H18" s="15"/>
    </row>
    <row r="19" spans="1:8">
      <c r="B19" s="14" t="s">
        <v>862</v>
      </c>
      <c r="C19" s="14"/>
      <c r="D19" s="15" t="s">
        <v>863</v>
      </c>
      <c r="E19" s="14"/>
      <c r="F19" s="14"/>
      <c r="G19" s="14" t="s">
        <v>5077</v>
      </c>
      <c r="H19" s="15"/>
    </row>
    <row r="20" spans="1:8">
      <c r="B20" s="14" t="s">
        <v>866</v>
      </c>
      <c r="C20" s="14"/>
      <c r="D20" s="15" t="s">
        <v>867</v>
      </c>
      <c r="E20" s="14"/>
      <c r="F20" s="14"/>
      <c r="G20" s="14" t="s">
        <v>5078</v>
      </c>
      <c r="H20" s="15"/>
    </row>
    <row r="21" spans="1:8">
      <c r="B21" s="14" t="s">
        <v>870</v>
      </c>
      <c r="C21" s="14"/>
      <c r="D21" s="15" t="s">
        <v>871</v>
      </c>
      <c r="E21" s="14"/>
      <c r="F21" s="14"/>
      <c r="G21" s="14" t="s">
        <v>5079</v>
      </c>
      <c r="H21" s="15"/>
    </row>
    <row r="22" spans="1:8">
      <c r="B22" s="14" t="s">
        <v>874</v>
      </c>
      <c r="C22" s="14"/>
      <c r="D22" s="15" t="s">
        <v>875</v>
      </c>
      <c r="E22" s="14"/>
      <c r="F22" s="14"/>
      <c r="G22" s="14" t="s">
        <v>5080</v>
      </c>
      <c r="H22" s="15"/>
    </row>
    <row r="26" spans="1:8">
      <c r="A26" s="2" t="s">
        <v>888</v>
      </c>
    </row>
    <row r="27" spans="1:8">
      <c r="B27" s="14" t="s">
        <v>814</v>
      </c>
      <c r="C27" s="14"/>
      <c r="D27" s="14" t="s">
        <v>815</v>
      </c>
      <c r="E27" s="14"/>
      <c r="F27" s="14"/>
      <c r="G27" s="14" t="s">
        <v>318</v>
      </c>
      <c r="H27" s="14" t="s">
        <v>5063</v>
      </c>
    </row>
    <row r="28" spans="1:8" hidden="1">
      <c r="B28" s="14" t="s">
        <v>825</v>
      </c>
      <c r="C28" s="14"/>
      <c r="D28" s="15" t="s">
        <v>2176</v>
      </c>
      <c r="E28" s="14"/>
      <c r="F28" s="14"/>
      <c r="G28" s="14" t="s">
        <v>321</v>
      </c>
      <c r="H28" s="15" t="s">
        <v>5064</v>
      </c>
    </row>
    <row r="29" spans="1:8">
      <c r="B29" s="14" t="s">
        <v>1004</v>
      </c>
      <c r="C29" s="14"/>
      <c r="D29" s="15" t="s">
        <v>1005</v>
      </c>
      <c r="E29" s="14"/>
      <c r="F29" s="14"/>
      <c r="G29" s="14" t="s">
        <v>5081</v>
      </c>
      <c r="H29" s="15"/>
    </row>
    <row r="30" spans="1:8">
      <c r="B30" s="14" t="s">
        <v>1008</v>
      </c>
      <c r="C30" s="14"/>
      <c r="D30" s="15" t="s">
        <v>1009</v>
      </c>
      <c r="E30" s="14"/>
      <c r="F30" s="14"/>
      <c r="G30" s="14" t="s">
        <v>5082</v>
      </c>
      <c r="H30" s="15"/>
    </row>
    <row r="31" spans="1:8">
      <c r="B31" s="14" t="s">
        <v>1012</v>
      </c>
      <c r="C31" s="14"/>
      <c r="D31" s="15" t="s">
        <v>1013</v>
      </c>
      <c r="E31" s="14"/>
      <c r="F31" s="14"/>
      <c r="G31" s="14" t="s">
        <v>5083</v>
      </c>
      <c r="H31" s="15"/>
    </row>
    <row r="32" spans="1:8">
      <c r="B32" s="14" t="s">
        <v>1016</v>
      </c>
      <c r="C32" s="14"/>
      <c r="D32" s="15" t="s">
        <v>1017</v>
      </c>
      <c r="E32" s="14"/>
      <c r="F32" s="14"/>
      <c r="G32" s="14" t="s">
        <v>5084</v>
      </c>
      <c r="H32" s="15"/>
    </row>
    <row r="33" spans="2:8">
      <c r="B33" s="14" t="s">
        <v>1021</v>
      </c>
      <c r="C33" s="14"/>
      <c r="D33" s="15" t="s">
        <v>1022</v>
      </c>
      <c r="E33" s="14"/>
      <c r="F33" s="14"/>
      <c r="G33" s="14" t="s">
        <v>5085</v>
      </c>
      <c r="H33" s="15"/>
    </row>
    <row r="34" spans="2:8">
      <c r="B34" s="14" t="s">
        <v>1026</v>
      </c>
      <c r="C34" s="14"/>
      <c r="D34" s="15" t="s">
        <v>1027</v>
      </c>
      <c r="E34" s="14"/>
      <c r="F34" s="14"/>
      <c r="G34" s="14" t="s">
        <v>5086</v>
      </c>
      <c r="H34" s="15"/>
    </row>
    <row r="35" spans="2:8">
      <c r="B35" s="14" t="s">
        <v>1031</v>
      </c>
      <c r="C35" s="14"/>
      <c r="D35" s="15" t="s">
        <v>1032</v>
      </c>
      <c r="E35" s="14"/>
      <c r="F35" s="14"/>
      <c r="G35" s="14" t="s">
        <v>5087</v>
      </c>
      <c r="H35" s="15"/>
    </row>
    <row r="36" spans="2:8">
      <c r="B36" s="14" t="s">
        <v>1042</v>
      </c>
      <c r="C36" s="14"/>
      <c r="D36" s="15" t="s">
        <v>1043</v>
      </c>
      <c r="E36" s="14"/>
      <c r="F36" s="14"/>
      <c r="G36" s="14" t="s">
        <v>5088</v>
      </c>
      <c r="H36" s="15"/>
    </row>
    <row r="37" spans="2:8">
      <c r="B37" s="14" t="s">
        <v>1046</v>
      </c>
      <c r="C37" s="14"/>
      <c r="D37" s="15" t="s">
        <v>1047</v>
      </c>
      <c r="E37" s="14"/>
      <c r="F37" s="14"/>
      <c r="G37" s="14" t="s">
        <v>5089</v>
      </c>
      <c r="H37" s="15"/>
    </row>
    <row r="38" spans="2:8">
      <c r="B38" s="14" t="s">
        <v>1050</v>
      </c>
      <c r="C38" s="14"/>
      <c r="D38" s="15" t="s">
        <v>1051</v>
      </c>
      <c r="E38" s="14"/>
      <c r="F38" s="14"/>
      <c r="G38" s="14" t="s">
        <v>5090</v>
      </c>
      <c r="H38" s="15"/>
    </row>
    <row r="39" spans="2:8">
      <c r="B39" s="14" t="s">
        <v>1054</v>
      </c>
      <c r="C39" s="14"/>
      <c r="D39" s="15" t="s">
        <v>1055</v>
      </c>
      <c r="E39" s="14"/>
      <c r="F39" s="14"/>
      <c r="G39" s="14" t="s">
        <v>5091</v>
      </c>
      <c r="H39" s="15"/>
    </row>
    <row r="40" spans="2:8">
      <c r="B40" s="14" t="s">
        <v>1058</v>
      </c>
      <c r="C40" s="14"/>
      <c r="D40" s="15" t="s">
        <v>1059</v>
      </c>
      <c r="E40" s="14"/>
      <c r="F40" s="14"/>
      <c r="G40" s="14" t="s">
        <v>5092</v>
      </c>
      <c r="H40" s="15"/>
    </row>
    <row r="41" spans="2:8">
      <c r="B41" s="14" t="s">
        <v>1062</v>
      </c>
      <c r="C41" s="14"/>
      <c r="D41" s="15" t="s">
        <v>1063</v>
      </c>
      <c r="E41" s="14"/>
      <c r="F41" s="14"/>
      <c r="G41" s="14" t="s">
        <v>5093</v>
      </c>
      <c r="H41" s="15"/>
    </row>
    <row r="42" spans="2:8">
      <c r="B42" s="14" t="s">
        <v>1066</v>
      </c>
      <c r="C42" s="14"/>
      <c r="D42" s="15" t="s">
        <v>1067</v>
      </c>
      <c r="E42" s="14"/>
      <c r="F42" s="14"/>
      <c r="G42" s="14" t="s">
        <v>5094</v>
      </c>
      <c r="H42" s="15"/>
    </row>
    <row r="43" spans="2:8">
      <c r="B43" s="14" t="s">
        <v>1008</v>
      </c>
      <c r="C43" s="14"/>
      <c r="D43" s="15" t="s">
        <v>1009</v>
      </c>
      <c r="E43" s="14"/>
      <c r="F43" s="14"/>
      <c r="G43" s="14" t="s">
        <v>5095</v>
      </c>
      <c r="H43" s="15"/>
    </row>
    <row r="44" spans="2:8">
      <c r="B44" s="14" t="s">
        <v>1012</v>
      </c>
      <c r="C44" s="14"/>
      <c r="D44" s="15" t="s">
        <v>1013</v>
      </c>
      <c r="E44" s="14"/>
      <c r="F44" s="14"/>
      <c r="G44" s="14" t="s">
        <v>5096</v>
      </c>
      <c r="H44" s="15"/>
    </row>
    <row r="45" spans="2:8">
      <c r="B45" s="14" t="s">
        <v>1016</v>
      </c>
      <c r="C45" s="14"/>
      <c r="D45" s="15" t="s">
        <v>1017</v>
      </c>
      <c r="E45" s="14"/>
      <c r="F45" s="14"/>
      <c r="G45" s="14" t="s">
        <v>5097</v>
      </c>
      <c r="H45" s="15"/>
    </row>
    <row r="46" spans="2:8">
      <c r="B46" s="14" t="s">
        <v>1021</v>
      </c>
      <c r="C46" s="14"/>
      <c r="D46" s="15" t="s">
        <v>1022</v>
      </c>
      <c r="E46" s="14"/>
      <c r="F46" s="14"/>
      <c r="G46" s="14" t="s">
        <v>5098</v>
      </c>
      <c r="H46" s="15"/>
    </row>
    <row r="47" spans="2:8">
      <c r="B47" s="14" t="s">
        <v>1026</v>
      </c>
      <c r="C47" s="14"/>
      <c r="D47" s="15" t="s">
        <v>1027</v>
      </c>
      <c r="E47" s="14"/>
      <c r="F47" s="14"/>
      <c r="G47" s="14" t="s">
        <v>5099</v>
      </c>
      <c r="H47" s="15"/>
    </row>
    <row r="48" spans="2:8">
      <c r="B48" s="14" t="s">
        <v>1031</v>
      </c>
      <c r="C48" s="14"/>
      <c r="D48" s="15" t="s">
        <v>1032</v>
      </c>
      <c r="E48" s="14"/>
      <c r="F48" s="14"/>
      <c r="G48" s="14" t="s">
        <v>5100</v>
      </c>
      <c r="H48" s="15"/>
    </row>
    <row r="49" spans="2:8">
      <c r="B49" s="14" t="s">
        <v>1008</v>
      </c>
      <c r="C49" s="14"/>
      <c r="D49" s="15" t="s">
        <v>1009</v>
      </c>
      <c r="E49" s="14"/>
      <c r="F49" s="14"/>
      <c r="G49" s="14" t="s">
        <v>5101</v>
      </c>
      <c r="H49" s="15"/>
    </row>
    <row r="50" spans="2:8">
      <c r="B50" s="14" t="s">
        <v>1012</v>
      </c>
      <c r="C50" s="14"/>
      <c r="D50" s="15" t="s">
        <v>1013</v>
      </c>
      <c r="E50" s="14"/>
      <c r="F50" s="14"/>
      <c r="G50" s="14" t="s">
        <v>5102</v>
      </c>
      <c r="H50" s="15"/>
    </row>
    <row r="51" spans="2:8">
      <c r="B51" s="14" t="s">
        <v>1016</v>
      </c>
      <c r="C51" s="14"/>
      <c r="D51" s="15" t="s">
        <v>1017</v>
      </c>
      <c r="E51" s="14"/>
      <c r="F51" s="14"/>
      <c r="G51" s="14" t="s">
        <v>5103</v>
      </c>
      <c r="H51" s="15"/>
    </row>
    <row r="52" spans="2:8">
      <c r="B52" s="14" t="s">
        <v>1021</v>
      </c>
      <c r="C52" s="14"/>
      <c r="D52" s="15" t="s">
        <v>1022</v>
      </c>
      <c r="E52" s="14"/>
      <c r="F52" s="14"/>
      <c r="G52" s="14" t="s">
        <v>5104</v>
      </c>
      <c r="H52" s="15"/>
    </row>
    <row r="53" spans="2:8">
      <c r="B53" s="14" t="s">
        <v>1026</v>
      </c>
      <c r="C53" s="14"/>
      <c r="D53" s="15" t="s">
        <v>1027</v>
      </c>
      <c r="E53" s="14"/>
      <c r="F53" s="14"/>
      <c r="G53" s="14" t="s">
        <v>5105</v>
      </c>
      <c r="H53" s="15"/>
    </row>
    <row r="54" spans="2:8">
      <c r="B54" s="14" t="s">
        <v>1031</v>
      </c>
      <c r="C54" s="14"/>
      <c r="D54" s="15" t="s">
        <v>1032</v>
      </c>
      <c r="E54" s="14"/>
      <c r="F54" s="14"/>
      <c r="G54" s="14" t="s">
        <v>5106</v>
      </c>
      <c r="H54" s="15"/>
    </row>
    <row r="55" spans="2:8">
      <c r="B55" s="14" t="s">
        <v>889</v>
      </c>
      <c r="C55" s="14"/>
      <c r="D55" s="15" t="s">
        <v>890</v>
      </c>
      <c r="E55" s="14"/>
      <c r="F55" s="14"/>
      <c r="G55" s="14" t="s">
        <v>5107</v>
      </c>
      <c r="H55" s="15"/>
    </row>
    <row r="56" spans="2:8">
      <c r="B56" s="14" t="s">
        <v>894</v>
      </c>
      <c r="C56" s="14"/>
      <c r="D56" s="15" t="s">
        <v>895</v>
      </c>
      <c r="E56" s="14"/>
      <c r="F56" s="14"/>
      <c r="G56" s="14" t="s">
        <v>5108</v>
      </c>
      <c r="H56" s="15"/>
    </row>
    <row r="57" spans="2:8">
      <c r="B57" s="14" t="s">
        <v>898</v>
      </c>
      <c r="C57" s="14"/>
      <c r="D57" s="15" t="s">
        <v>899</v>
      </c>
      <c r="E57" s="14"/>
      <c r="F57" s="14"/>
      <c r="G57" s="14" t="s">
        <v>5109</v>
      </c>
      <c r="H57" s="15"/>
    </row>
    <row r="58" spans="2:8">
      <c r="B58" s="14" t="s">
        <v>902</v>
      </c>
      <c r="C58" s="14"/>
      <c r="D58" s="15" t="s">
        <v>903</v>
      </c>
      <c r="E58" s="14"/>
      <c r="F58" s="14"/>
      <c r="G58" s="14" t="s">
        <v>5110</v>
      </c>
      <c r="H58" s="15"/>
    </row>
    <row r="59" spans="2:8">
      <c r="B59" s="14" t="s">
        <v>906</v>
      </c>
      <c r="C59" s="14"/>
      <c r="D59" s="15" t="s">
        <v>907</v>
      </c>
      <c r="E59" s="14"/>
      <c r="F59" s="14"/>
      <c r="G59" s="14" t="s">
        <v>5111</v>
      </c>
      <c r="H59" s="15"/>
    </row>
    <row r="60" spans="2:8">
      <c r="B60" s="14" t="s">
        <v>910</v>
      </c>
      <c r="C60" s="14"/>
      <c r="D60" s="15" t="s">
        <v>911</v>
      </c>
      <c r="E60" s="14"/>
      <c r="F60" s="14"/>
      <c r="G60" s="14" t="s">
        <v>5112</v>
      </c>
      <c r="H60" s="15"/>
    </row>
    <row r="61" spans="2:8">
      <c r="B61" s="14" t="s">
        <v>914</v>
      </c>
      <c r="C61" s="14"/>
      <c r="D61" s="15" t="s">
        <v>915</v>
      </c>
      <c r="E61" s="14"/>
      <c r="F61" s="14"/>
      <c r="G61" s="14" t="s">
        <v>5113</v>
      </c>
      <c r="H61" s="15"/>
    </row>
    <row r="62" spans="2:8">
      <c r="B62" s="14" t="s">
        <v>918</v>
      </c>
      <c r="C62" s="14"/>
      <c r="D62" s="15" t="s">
        <v>919</v>
      </c>
      <c r="E62" s="14"/>
      <c r="F62" s="14"/>
      <c r="G62" s="14" t="s">
        <v>5114</v>
      </c>
      <c r="H62" s="15"/>
    </row>
    <row r="63" spans="2:8">
      <c r="B63" s="14" t="s">
        <v>923</v>
      </c>
      <c r="C63" s="14"/>
      <c r="D63" s="15" t="s">
        <v>924</v>
      </c>
      <c r="E63" s="14"/>
      <c r="F63" s="14"/>
      <c r="G63" s="14" t="s">
        <v>5115</v>
      </c>
      <c r="H63" s="15"/>
    </row>
    <row r="64" spans="2:8">
      <c r="B64" s="14" t="s">
        <v>927</v>
      </c>
      <c r="C64" s="14"/>
      <c r="D64" s="15" t="s">
        <v>928</v>
      </c>
      <c r="E64" s="14"/>
      <c r="F64" s="14"/>
      <c r="G64" s="14" t="s">
        <v>5116</v>
      </c>
      <c r="H64" s="15"/>
    </row>
    <row r="65" spans="2:8">
      <c r="B65" s="14" t="s">
        <v>931</v>
      </c>
      <c r="C65" s="14"/>
      <c r="D65" s="15" t="s">
        <v>932</v>
      </c>
      <c r="E65" s="14"/>
      <c r="F65" s="14"/>
      <c r="G65" s="14" t="s">
        <v>5117</v>
      </c>
      <c r="H65" s="15"/>
    </row>
    <row r="66" spans="2:8">
      <c r="B66" s="14" t="s">
        <v>935</v>
      </c>
      <c r="C66" s="14"/>
      <c r="D66" s="15" t="s">
        <v>936</v>
      </c>
      <c r="E66" s="14"/>
      <c r="F66" s="14"/>
      <c r="G66" s="14" t="s">
        <v>5118</v>
      </c>
      <c r="H66" s="15"/>
    </row>
    <row r="67" spans="2:8">
      <c r="B67" s="14" t="s">
        <v>940</v>
      </c>
      <c r="C67" s="14"/>
      <c r="D67" s="15" t="s">
        <v>941</v>
      </c>
      <c r="E67" s="14"/>
      <c r="F67" s="14"/>
      <c r="G67" s="14" t="s">
        <v>5119</v>
      </c>
      <c r="H67" s="15"/>
    </row>
    <row r="68" spans="2:8">
      <c r="B68" s="14" t="s">
        <v>944</v>
      </c>
      <c r="C68" s="14"/>
      <c r="D68" s="15" t="s">
        <v>945</v>
      </c>
      <c r="E68" s="14"/>
      <c r="F68" s="14"/>
      <c r="G68" s="14" t="s">
        <v>5120</v>
      </c>
      <c r="H68" s="15"/>
    </row>
    <row r="69" spans="2:8">
      <c r="B69" s="14" t="s">
        <v>948</v>
      </c>
      <c r="C69" s="14"/>
      <c r="D69" s="15" t="s">
        <v>949</v>
      </c>
      <c r="E69" s="14"/>
      <c r="F69" s="14"/>
      <c r="G69" s="14" t="s">
        <v>5121</v>
      </c>
      <c r="H69" s="15"/>
    </row>
    <row r="70" spans="2:8">
      <c r="B70" s="14" t="s">
        <v>952</v>
      </c>
      <c r="C70" s="14"/>
      <c r="D70" s="15" t="s">
        <v>953</v>
      </c>
      <c r="E70" s="14"/>
      <c r="F70" s="14"/>
      <c r="G70" s="14" t="s">
        <v>5122</v>
      </c>
      <c r="H70" s="15"/>
    </row>
    <row r="71" spans="2:8">
      <c r="B71" s="14" t="s">
        <v>956</v>
      </c>
      <c r="C71" s="14"/>
      <c r="D71" s="15" t="s">
        <v>957</v>
      </c>
      <c r="E71" s="14"/>
      <c r="F71" s="14"/>
      <c r="G71" s="14" t="s">
        <v>5123</v>
      </c>
      <c r="H71" s="15"/>
    </row>
    <row r="72" spans="2:8">
      <c r="B72" s="14" t="s">
        <v>960</v>
      </c>
      <c r="C72" s="14"/>
      <c r="D72" s="15" t="s">
        <v>961</v>
      </c>
      <c r="E72" s="14"/>
      <c r="F72" s="14"/>
      <c r="G72" s="14" t="s">
        <v>5124</v>
      </c>
      <c r="H72" s="15"/>
    </row>
    <row r="73" spans="2:8">
      <c r="B73" s="14" t="s">
        <v>964</v>
      </c>
      <c r="C73" s="14"/>
      <c r="D73" s="15" t="s">
        <v>965</v>
      </c>
      <c r="E73" s="14"/>
      <c r="F73" s="14"/>
      <c r="G73" s="14" t="s">
        <v>5125</v>
      </c>
      <c r="H73" s="15"/>
    </row>
    <row r="74" spans="2:8">
      <c r="B74" s="14" t="s">
        <v>968</v>
      </c>
      <c r="C74" s="14"/>
      <c r="D74" s="15" t="s">
        <v>969</v>
      </c>
      <c r="E74" s="14"/>
      <c r="F74" s="14"/>
      <c r="G74" s="14" t="s">
        <v>5126</v>
      </c>
      <c r="H74" s="15"/>
    </row>
    <row r="75" spans="2:8">
      <c r="B75" s="14" t="s">
        <v>972</v>
      </c>
      <c r="C75" s="14"/>
      <c r="D75" s="15" t="s">
        <v>973</v>
      </c>
      <c r="E75" s="14"/>
      <c r="F75" s="14"/>
      <c r="G75" s="14" t="s">
        <v>5127</v>
      </c>
      <c r="H75" s="15"/>
    </row>
    <row r="76" spans="2:8">
      <c r="B76" s="14" t="s">
        <v>976</v>
      </c>
      <c r="C76" s="14"/>
      <c r="D76" s="15" t="s">
        <v>977</v>
      </c>
      <c r="E76" s="14"/>
      <c r="F76" s="14"/>
      <c r="G76" s="14" t="s">
        <v>5128</v>
      </c>
      <c r="H76" s="15"/>
    </row>
    <row r="77" spans="2:8">
      <c r="B77" s="14" t="s">
        <v>980</v>
      </c>
      <c r="C77" s="14"/>
      <c r="D77" s="15" t="s">
        <v>981</v>
      </c>
      <c r="E77" s="14"/>
      <c r="F77" s="14"/>
      <c r="G77" s="14" t="s">
        <v>5129</v>
      </c>
      <c r="H77" s="15"/>
    </row>
    <row r="78" spans="2:8">
      <c r="B78" s="14" t="s">
        <v>984</v>
      </c>
      <c r="C78" s="14"/>
      <c r="D78" s="15" t="s">
        <v>985</v>
      </c>
      <c r="E78" s="14"/>
      <c r="F78" s="14"/>
      <c r="G78" s="14" t="s">
        <v>5130</v>
      </c>
      <c r="H78" s="15"/>
    </row>
    <row r="79" spans="2:8">
      <c r="B79" s="14" t="s">
        <v>988</v>
      </c>
      <c r="C79" s="14"/>
      <c r="D79" s="15" t="s">
        <v>989</v>
      </c>
      <c r="E79" s="14"/>
      <c r="F79" s="14"/>
      <c r="G79" s="14" t="s">
        <v>5131</v>
      </c>
      <c r="H79" s="15"/>
    </row>
    <row r="80" spans="2:8">
      <c r="B80" s="14" t="s">
        <v>992</v>
      </c>
      <c r="C80" s="14"/>
      <c r="D80" s="15" t="s">
        <v>993</v>
      </c>
      <c r="E80" s="14"/>
      <c r="F80" s="14"/>
      <c r="G80" s="14" t="s">
        <v>5132</v>
      </c>
      <c r="H80" s="15"/>
    </row>
    <row r="81" spans="1:8">
      <c r="B81" s="14" t="s">
        <v>1000</v>
      </c>
      <c r="C81" s="14"/>
      <c r="D81" s="15" t="s">
        <v>1001</v>
      </c>
      <c r="E81" s="14"/>
      <c r="F81" s="14"/>
      <c r="G81" s="14" t="s">
        <v>5133</v>
      </c>
      <c r="H81" s="15"/>
    </row>
    <row r="82" spans="1:8">
      <c r="B82" s="14" t="s">
        <v>996</v>
      </c>
      <c r="C82" s="14"/>
      <c r="D82" s="15" t="s">
        <v>997</v>
      </c>
      <c r="E82" s="14"/>
      <c r="F82" s="14"/>
      <c r="G82" s="14" t="s">
        <v>5134</v>
      </c>
      <c r="H82" s="15"/>
    </row>
    <row r="85" spans="1:8">
      <c r="A85" s="2" t="s">
        <v>5135</v>
      </c>
    </row>
    <row r="86" spans="1:8">
      <c r="B86" s="14" t="s">
        <v>1436</v>
      </c>
      <c r="C86" s="14"/>
      <c r="D86" s="14" t="s">
        <v>815</v>
      </c>
      <c r="E86" s="14"/>
      <c r="F86" s="14" t="s">
        <v>5136</v>
      </c>
      <c r="G86" s="14" t="s">
        <v>318</v>
      </c>
      <c r="H86" s="14" t="s">
        <v>822</v>
      </c>
    </row>
    <row r="87" spans="1:8" hidden="1">
      <c r="B87" s="14" t="s">
        <v>1441</v>
      </c>
      <c r="C87" s="14"/>
      <c r="D87" s="15" t="s">
        <v>2176</v>
      </c>
      <c r="E87" s="14"/>
      <c r="F87" s="14" t="s">
        <v>321</v>
      </c>
      <c r="G87" s="14" t="s">
        <v>321</v>
      </c>
      <c r="H87" s="15" t="s">
        <v>830</v>
      </c>
    </row>
    <row r="88" spans="1:8">
      <c r="B88" s="14" t="s">
        <v>440</v>
      </c>
      <c r="C88" s="14"/>
      <c r="D88" s="15" t="s">
        <v>1443</v>
      </c>
      <c r="E88" s="14"/>
      <c r="F88" s="14" t="s">
        <v>1445</v>
      </c>
      <c r="G88" s="14" t="s">
        <v>1444</v>
      </c>
      <c r="H88" s="15" t="s">
        <v>669</v>
      </c>
    </row>
    <row r="89" spans="1:8">
      <c r="B89" s="14" t="s">
        <v>443</v>
      </c>
      <c r="C89" s="14"/>
      <c r="D89" s="15" t="s">
        <v>1447</v>
      </c>
      <c r="E89" s="14"/>
      <c r="F89" s="14" t="s">
        <v>1449</v>
      </c>
      <c r="G89" s="14" t="s">
        <v>1448</v>
      </c>
      <c r="H89" s="15" t="s">
        <v>669</v>
      </c>
    </row>
    <row r="90" spans="1:8">
      <c r="B90" s="14" t="s">
        <v>446</v>
      </c>
      <c r="C90" s="14"/>
      <c r="D90" s="15" t="s">
        <v>1451</v>
      </c>
      <c r="E90" s="14"/>
      <c r="F90" s="14" t="s">
        <v>1453</v>
      </c>
      <c r="G90" s="14" t="s">
        <v>1452</v>
      </c>
      <c r="H90" s="15" t="s">
        <v>669</v>
      </c>
    </row>
    <row r="91" spans="1:8">
      <c r="B91" s="14" t="s">
        <v>449</v>
      </c>
      <c r="C91" s="14"/>
      <c r="D91" s="15" t="s">
        <v>1455</v>
      </c>
      <c r="E91" s="14"/>
      <c r="F91" s="14" t="s">
        <v>1457</v>
      </c>
      <c r="G91" s="14" t="s">
        <v>1456</v>
      </c>
      <c r="H91" s="15" t="s">
        <v>669</v>
      </c>
    </row>
    <row r="92" spans="1:8">
      <c r="B92" s="14" t="s">
        <v>452</v>
      </c>
      <c r="C92" s="14"/>
      <c r="D92" s="15" t="s">
        <v>1459</v>
      </c>
      <c r="E92" s="14"/>
      <c r="F92" s="14" t="s">
        <v>1461</v>
      </c>
      <c r="G92" s="14" t="s">
        <v>1460</v>
      </c>
      <c r="H92" s="15" t="s">
        <v>669</v>
      </c>
    </row>
    <row r="93" spans="1:8">
      <c r="B93" s="14" t="s">
        <v>1145</v>
      </c>
      <c r="C93" s="14"/>
      <c r="D93" s="15" t="s">
        <v>1463</v>
      </c>
      <c r="E93" s="14"/>
      <c r="F93" s="14" t="s">
        <v>1465</v>
      </c>
      <c r="G93" s="14" t="s">
        <v>1464</v>
      </c>
      <c r="H93" s="15" t="s">
        <v>669</v>
      </c>
    </row>
    <row r="94" spans="1:8">
      <c r="B94" s="14" t="s">
        <v>1149</v>
      </c>
      <c r="C94" s="14"/>
      <c r="D94" s="15" t="s">
        <v>1467</v>
      </c>
      <c r="E94" s="14"/>
      <c r="F94" s="14" t="s">
        <v>1469</v>
      </c>
      <c r="G94" s="14" t="s">
        <v>1468</v>
      </c>
      <c r="H94" s="15" t="s">
        <v>669</v>
      </c>
    </row>
    <row r="95" spans="1:8">
      <c r="B95" s="14" t="s">
        <v>1472</v>
      </c>
      <c r="C95" s="14"/>
      <c r="D95" s="15" t="s">
        <v>1471</v>
      </c>
      <c r="E95" s="14"/>
      <c r="F95" s="14" t="s">
        <v>1474</v>
      </c>
      <c r="G95" s="14" t="s">
        <v>1473</v>
      </c>
      <c r="H95" s="15" t="s">
        <v>669</v>
      </c>
    </row>
    <row r="96" spans="1:8">
      <c r="B96" s="14" t="s">
        <v>455</v>
      </c>
      <c r="C96" s="14"/>
      <c r="D96" s="15" t="s">
        <v>1476</v>
      </c>
      <c r="E96" s="14"/>
      <c r="F96" s="14" t="s">
        <v>1478</v>
      </c>
      <c r="G96" s="14" t="s">
        <v>1477</v>
      </c>
      <c r="H96" s="15" t="s">
        <v>669</v>
      </c>
    </row>
    <row r="97" spans="2:8">
      <c r="B97" s="14" t="s">
        <v>458</v>
      </c>
      <c r="C97" s="14"/>
      <c r="D97" s="15" t="s">
        <v>1480</v>
      </c>
      <c r="E97" s="14"/>
      <c r="F97" s="14" t="s">
        <v>1482</v>
      </c>
      <c r="G97" s="14" t="s">
        <v>1481</v>
      </c>
      <c r="H97" s="15" t="s">
        <v>669</v>
      </c>
    </row>
    <row r="98" spans="2:8">
      <c r="B98" s="14" t="s">
        <v>461</v>
      </c>
      <c r="C98" s="14"/>
      <c r="D98" s="15" t="s">
        <v>1484</v>
      </c>
      <c r="E98" s="14"/>
      <c r="F98" s="14" t="s">
        <v>1486</v>
      </c>
      <c r="G98" s="14" t="s">
        <v>1485</v>
      </c>
      <c r="H98" s="15" t="s">
        <v>669</v>
      </c>
    </row>
    <row r="99" spans="2:8">
      <c r="B99" s="14" t="s">
        <v>1489</v>
      </c>
      <c r="C99" s="14"/>
      <c r="D99" s="15" t="s">
        <v>1488</v>
      </c>
      <c r="E99" s="14"/>
      <c r="F99" s="14" t="s">
        <v>1491</v>
      </c>
      <c r="G99" s="14" t="s">
        <v>1490</v>
      </c>
      <c r="H99" s="15" t="s">
        <v>669</v>
      </c>
    </row>
    <row r="100" spans="2:8">
      <c r="B100" s="14" t="s">
        <v>437</v>
      </c>
      <c r="C100" s="14"/>
      <c r="D100" s="15" t="s">
        <v>1493</v>
      </c>
      <c r="E100" s="14"/>
      <c r="F100" s="14" t="s">
        <v>1495</v>
      </c>
      <c r="G100" s="14" t="s">
        <v>1494</v>
      </c>
      <c r="H100" s="15" t="s">
        <v>669</v>
      </c>
    </row>
    <row r="101" spans="2:8">
      <c r="B101" s="14" t="s">
        <v>1312</v>
      </c>
      <c r="C101" s="14"/>
      <c r="D101" s="15" t="s">
        <v>1497</v>
      </c>
      <c r="E101" s="14"/>
      <c r="F101" s="14" t="s">
        <v>1499</v>
      </c>
      <c r="G101" s="14" t="s">
        <v>1498</v>
      </c>
      <c r="H101" s="15" t="s">
        <v>669</v>
      </c>
    </row>
    <row r="102" spans="2:8">
      <c r="B102" s="14" t="s">
        <v>1316</v>
      </c>
      <c r="C102" s="14"/>
      <c r="D102" s="15" t="s">
        <v>1501</v>
      </c>
      <c r="E102" s="14"/>
      <c r="F102" s="14" t="s">
        <v>1503</v>
      </c>
      <c r="G102" s="14" t="s">
        <v>1502</v>
      </c>
      <c r="H102" s="15" t="s">
        <v>669</v>
      </c>
    </row>
    <row r="103" spans="2:8">
      <c r="B103" s="14" t="s">
        <v>1325</v>
      </c>
      <c r="C103" s="14"/>
      <c r="D103" s="15" t="s">
        <v>1505</v>
      </c>
      <c r="E103" s="14"/>
      <c r="F103" s="14" t="s">
        <v>1507</v>
      </c>
      <c r="G103" s="14" t="s">
        <v>1506</v>
      </c>
      <c r="H103" s="15" t="s">
        <v>669</v>
      </c>
    </row>
    <row r="104" spans="2:8">
      <c r="B104" s="14" t="s">
        <v>464</v>
      </c>
      <c r="C104" s="14"/>
      <c r="D104" s="15" t="s">
        <v>1509</v>
      </c>
      <c r="E104" s="14"/>
      <c r="F104" s="14" t="s">
        <v>1511</v>
      </c>
      <c r="G104" s="14" t="s">
        <v>1510</v>
      </c>
      <c r="H104" s="15" t="s">
        <v>669</v>
      </c>
    </row>
    <row r="105" spans="2:8">
      <c r="B105" s="14" t="s">
        <v>1357</v>
      </c>
      <c r="C105" s="14"/>
      <c r="D105" s="15" t="s">
        <v>1513</v>
      </c>
      <c r="E105" s="14"/>
      <c r="F105" s="14" t="s">
        <v>1515</v>
      </c>
      <c r="G105" s="14" t="s">
        <v>1514</v>
      </c>
      <c r="H105" s="15" t="s">
        <v>669</v>
      </c>
    </row>
    <row r="106" spans="2:8">
      <c r="B106" s="14" t="s">
        <v>1381</v>
      </c>
      <c r="C106" s="14"/>
      <c r="D106" s="15" t="s">
        <v>1517</v>
      </c>
      <c r="E106" s="14"/>
      <c r="F106" s="14" t="s">
        <v>1519</v>
      </c>
      <c r="G106" s="14" t="s">
        <v>1518</v>
      </c>
      <c r="H106" s="15" t="s">
        <v>669</v>
      </c>
    </row>
    <row r="107" spans="2:8">
      <c r="B107" s="14" t="s">
        <v>1399</v>
      </c>
      <c r="C107" s="14"/>
      <c r="D107" s="15" t="s">
        <v>1521</v>
      </c>
      <c r="E107" s="14"/>
      <c r="F107" s="14" t="s">
        <v>1523</v>
      </c>
      <c r="G107" s="14" t="s">
        <v>1522</v>
      </c>
      <c r="H107" s="15" t="s">
        <v>669</v>
      </c>
    </row>
    <row r="108" spans="2:8">
      <c r="B108" s="14" t="s">
        <v>467</v>
      </c>
      <c r="C108" s="14"/>
      <c r="D108" s="15" t="s">
        <v>1525</v>
      </c>
      <c r="E108" s="14"/>
      <c r="F108" s="14" t="s">
        <v>1527</v>
      </c>
      <c r="G108" s="14" t="s">
        <v>1526</v>
      </c>
      <c r="H108" s="15" t="s">
        <v>669</v>
      </c>
    </row>
    <row r="109" spans="2:8">
      <c r="B109" s="14" t="s">
        <v>1530</v>
      </c>
      <c r="C109" s="14"/>
      <c r="D109" s="15" t="s">
        <v>1529</v>
      </c>
      <c r="E109" s="14"/>
      <c r="F109" s="14" t="s">
        <v>1532</v>
      </c>
      <c r="G109" s="14" t="s">
        <v>1531</v>
      </c>
      <c r="H109" s="15" t="s">
        <v>669</v>
      </c>
    </row>
    <row r="110" spans="2:8">
      <c r="B110" s="14" t="s">
        <v>1535</v>
      </c>
      <c r="C110" s="14"/>
      <c r="D110" s="15" t="s">
        <v>1534</v>
      </c>
      <c r="E110" s="14"/>
      <c r="F110" s="14" t="s">
        <v>1537</v>
      </c>
      <c r="G110" s="14" t="s">
        <v>1536</v>
      </c>
      <c r="H110" s="15" t="s">
        <v>669</v>
      </c>
    </row>
    <row r="111" spans="2:8">
      <c r="B111" s="14" t="s">
        <v>425</v>
      </c>
      <c r="C111" s="14"/>
      <c r="D111" s="15" t="s">
        <v>1559</v>
      </c>
      <c r="E111" s="14"/>
      <c r="F111" s="14" t="s">
        <v>1561</v>
      </c>
      <c r="G111" s="14" t="s">
        <v>1560</v>
      </c>
      <c r="H111" s="15" t="s">
        <v>669</v>
      </c>
    </row>
    <row r="112" spans="2:8">
      <c r="B112" s="14" t="s">
        <v>428</v>
      </c>
      <c r="C112" s="14"/>
      <c r="D112" s="15" t="s">
        <v>1563</v>
      </c>
      <c r="E112" s="14"/>
      <c r="F112" s="14" t="s">
        <v>1565</v>
      </c>
      <c r="G112" s="14" t="s">
        <v>1564</v>
      </c>
      <c r="H112" s="15" t="s">
        <v>669</v>
      </c>
    </row>
    <row r="113" spans="2:8">
      <c r="B113" s="14" t="s">
        <v>431</v>
      </c>
      <c r="C113" s="14"/>
      <c r="D113" s="15" t="s">
        <v>1567</v>
      </c>
      <c r="E113" s="14"/>
      <c r="F113" s="14" t="s">
        <v>1569</v>
      </c>
      <c r="G113" s="14" t="s">
        <v>1568</v>
      </c>
      <c r="H113" s="15" t="s">
        <v>669</v>
      </c>
    </row>
    <row r="114" spans="2:8">
      <c r="B114" s="14" t="s">
        <v>1285</v>
      </c>
      <c r="C114" s="14"/>
      <c r="D114" s="15" t="s">
        <v>1571</v>
      </c>
      <c r="E114" s="14"/>
      <c r="F114" s="14" t="s">
        <v>1573</v>
      </c>
      <c r="G114" s="14" t="s">
        <v>1572</v>
      </c>
      <c r="H114" s="15" t="s">
        <v>669</v>
      </c>
    </row>
    <row r="115" spans="2:8">
      <c r="B115" s="14" t="s">
        <v>434</v>
      </c>
      <c r="C115" s="14"/>
      <c r="D115" s="15" t="s">
        <v>1575</v>
      </c>
      <c r="E115" s="14"/>
      <c r="F115" s="14" t="s">
        <v>1577</v>
      </c>
      <c r="G115" s="14" t="s">
        <v>1576</v>
      </c>
      <c r="H115" s="15" t="s">
        <v>669</v>
      </c>
    </row>
    <row r="116" spans="2:8">
      <c r="B116" s="14" t="s">
        <v>437</v>
      </c>
      <c r="C116" s="14"/>
      <c r="D116" s="15" t="s">
        <v>1493</v>
      </c>
      <c r="E116" s="14"/>
      <c r="F116" s="14" t="s">
        <v>1495</v>
      </c>
      <c r="G116" s="14" t="s">
        <v>1579</v>
      </c>
      <c r="H116" s="15" t="s">
        <v>669</v>
      </c>
    </row>
    <row r="117" spans="2:8">
      <c r="B117" s="14" t="s">
        <v>1582</v>
      </c>
      <c r="C117" s="14"/>
      <c r="D117" s="15" t="s">
        <v>1581</v>
      </c>
      <c r="E117" s="14"/>
      <c r="F117" s="14" t="s">
        <v>1584</v>
      </c>
      <c r="G117" s="14" t="s">
        <v>1583</v>
      </c>
      <c r="H117" s="15" t="s">
        <v>669</v>
      </c>
    </row>
    <row r="118" spans="2:8">
      <c r="B118" s="14" t="s">
        <v>1312</v>
      </c>
      <c r="C118" s="14"/>
      <c r="D118" s="15" t="s">
        <v>1497</v>
      </c>
      <c r="E118" s="14"/>
      <c r="F118" s="14" t="s">
        <v>1499</v>
      </c>
      <c r="G118" s="14" t="s">
        <v>1586</v>
      </c>
      <c r="H118" s="15" t="s">
        <v>669</v>
      </c>
    </row>
    <row r="119" spans="2:8">
      <c r="B119" s="14" t="s">
        <v>1316</v>
      </c>
      <c r="C119" s="14"/>
      <c r="D119" s="15" t="s">
        <v>1501</v>
      </c>
      <c r="E119" s="14"/>
      <c r="F119" s="14" t="s">
        <v>1503</v>
      </c>
      <c r="G119" s="14" t="s">
        <v>1588</v>
      </c>
      <c r="H119" s="15" t="s">
        <v>669</v>
      </c>
    </row>
    <row r="120" spans="2:8">
      <c r="B120" s="14" t="s">
        <v>1325</v>
      </c>
      <c r="C120" s="14"/>
      <c r="D120" s="15" t="s">
        <v>1505</v>
      </c>
      <c r="E120" s="14"/>
      <c r="F120" s="14" t="s">
        <v>1507</v>
      </c>
      <c r="G120" s="14" t="s">
        <v>1590</v>
      </c>
      <c r="H120" s="15" t="s">
        <v>669</v>
      </c>
    </row>
    <row r="121" spans="2:8">
      <c r="B121" s="14" t="s">
        <v>464</v>
      </c>
      <c r="C121" s="14"/>
      <c r="D121" s="15" t="s">
        <v>1509</v>
      </c>
      <c r="E121" s="14"/>
      <c r="F121" s="14" t="s">
        <v>1511</v>
      </c>
      <c r="G121" s="14" t="s">
        <v>1592</v>
      </c>
      <c r="H121" s="15" t="s">
        <v>669</v>
      </c>
    </row>
    <row r="122" spans="2:8">
      <c r="B122" s="14" t="s">
        <v>1357</v>
      </c>
      <c r="C122" s="14"/>
      <c r="D122" s="15" t="s">
        <v>1513</v>
      </c>
      <c r="E122" s="14"/>
      <c r="F122" s="14" t="s">
        <v>1515</v>
      </c>
      <c r="G122" s="14" t="s">
        <v>1594</v>
      </c>
      <c r="H122" s="15" t="s">
        <v>669</v>
      </c>
    </row>
    <row r="123" spans="2:8">
      <c r="B123" s="14" t="s">
        <v>1381</v>
      </c>
      <c r="C123" s="14"/>
      <c r="D123" s="15" t="s">
        <v>1517</v>
      </c>
      <c r="E123" s="14"/>
      <c r="F123" s="14" t="s">
        <v>1519</v>
      </c>
      <c r="G123" s="14" t="s">
        <v>1596</v>
      </c>
      <c r="H123" s="15" t="s">
        <v>669</v>
      </c>
    </row>
    <row r="124" spans="2:8">
      <c r="B124" s="14" t="s">
        <v>1399</v>
      </c>
      <c r="C124" s="14"/>
      <c r="D124" s="15" t="s">
        <v>1521</v>
      </c>
      <c r="E124" s="14"/>
      <c r="F124" s="14" t="s">
        <v>1523</v>
      </c>
      <c r="G124" s="14" t="s">
        <v>1598</v>
      </c>
      <c r="H124" s="15" t="s">
        <v>669</v>
      </c>
    </row>
    <row r="125" spans="2:8">
      <c r="B125" s="14" t="s">
        <v>467</v>
      </c>
      <c r="C125" s="14"/>
      <c r="D125" s="15" t="s">
        <v>1525</v>
      </c>
      <c r="E125" s="14"/>
      <c r="F125" s="14" t="s">
        <v>1527</v>
      </c>
      <c r="G125" s="14" t="s">
        <v>1600</v>
      </c>
      <c r="H125" s="15" t="s">
        <v>669</v>
      </c>
    </row>
    <row r="126" spans="2:8">
      <c r="B126" s="14" t="s">
        <v>1530</v>
      </c>
      <c r="C126" s="14"/>
      <c r="D126" s="15" t="s">
        <v>1529</v>
      </c>
      <c r="E126" s="14"/>
      <c r="F126" s="14" t="s">
        <v>1532</v>
      </c>
      <c r="G126" s="14" t="s">
        <v>1602</v>
      </c>
      <c r="H126" s="15" t="s">
        <v>669</v>
      </c>
    </row>
    <row r="127" spans="2:8">
      <c r="B127" s="14" t="s">
        <v>1535</v>
      </c>
      <c r="C127" s="14"/>
      <c r="D127" s="15" t="s">
        <v>1534</v>
      </c>
      <c r="E127" s="14"/>
      <c r="F127" s="14" t="s">
        <v>1537</v>
      </c>
      <c r="G127" s="14" t="s">
        <v>1604</v>
      </c>
      <c r="H127" s="15" t="s">
        <v>669</v>
      </c>
    </row>
    <row r="128" spans="2:8">
      <c r="B128" s="14" t="s">
        <v>1312</v>
      </c>
      <c r="C128" s="14"/>
      <c r="D128" s="15" t="s">
        <v>1497</v>
      </c>
      <c r="E128" s="14"/>
      <c r="F128" s="14" t="s">
        <v>1499</v>
      </c>
      <c r="G128" s="14" t="s">
        <v>1539</v>
      </c>
      <c r="H128" s="15" t="s">
        <v>669</v>
      </c>
    </row>
    <row r="129" spans="1:8">
      <c r="B129" s="14" t="s">
        <v>1316</v>
      </c>
      <c r="C129" s="14"/>
      <c r="D129" s="15" t="s">
        <v>1501</v>
      </c>
      <c r="E129" s="14"/>
      <c r="F129" s="14" t="s">
        <v>1503</v>
      </c>
      <c r="G129" s="14" t="s">
        <v>1541</v>
      </c>
      <c r="H129" s="15" t="s">
        <v>669</v>
      </c>
    </row>
    <row r="130" spans="1:8">
      <c r="B130" s="14" t="s">
        <v>1325</v>
      </c>
      <c r="C130" s="14"/>
      <c r="D130" s="15" t="s">
        <v>1505</v>
      </c>
      <c r="E130" s="14"/>
      <c r="F130" s="14" t="s">
        <v>1507</v>
      </c>
      <c r="G130" s="14" t="s">
        <v>1543</v>
      </c>
      <c r="H130" s="15" t="s">
        <v>669</v>
      </c>
    </row>
    <row r="131" spans="1:8">
      <c r="B131" s="14" t="s">
        <v>464</v>
      </c>
      <c r="C131" s="14"/>
      <c r="D131" s="15" t="s">
        <v>1509</v>
      </c>
      <c r="E131" s="14"/>
      <c r="F131" s="14" t="s">
        <v>1511</v>
      </c>
      <c r="G131" s="14" t="s">
        <v>1545</v>
      </c>
      <c r="H131" s="15" t="s">
        <v>669</v>
      </c>
    </row>
    <row r="132" spans="1:8">
      <c r="B132" s="14" t="s">
        <v>1357</v>
      </c>
      <c r="C132" s="14"/>
      <c r="D132" s="15" t="s">
        <v>1513</v>
      </c>
      <c r="E132" s="14"/>
      <c r="F132" s="14" t="s">
        <v>1515</v>
      </c>
      <c r="G132" s="14" t="s">
        <v>1547</v>
      </c>
      <c r="H132" s="15" t="s">
        <v>669</v>
      </c>
    </row>
    <row r="133" spans="1:8">
      <c r="B133" s="14" t="s">
        <v>1381</v>
      </c>
      <c r="C133" s="14"/>
      <c r="D133" s="15" t="s">
        <v>1517</v>
      </c>
      <c r="E133" s="14"/>
      <c r="F133" s="14" t="s">
        <v>1519</v>
      </c>
      <c r="G133" s="14" t="s">
        <v>1549</v>
      </c>
      <c r="H133" s="15" t="s">
        <v>669</v>
      </c>
    </row>
    <row r="134" spans="1:8">
      <c r="B134" s="14" t="s">
        <v>1399</v>
      </c>
      <c r="C134" s="14"/>
      <c r="D134" s="15" t="s">
        <v>1521</v>
      </c>
      <c r="E134" s="14"/>
      <c r="F134" s="14" t="s">
        <v>1523</v>
      </c>
      <c r="G134" s="14" t="s">
        <v>1551</v>
      </c>
      <c r="H134" s="15" t="s">
        <v>669</v>
      </c>
    </row>
    <row r="135" spans="1:8">
      <c r="B135" s="14" t="s">
        <v>467</v>
      </c>
      <c r="C135" s="14"/>
      <c r="D135" s="15" t="s">
        <v>1525</v>
      </c>
      <c r="E135" s="14"/>
      <c r="F135" s="14" t="s">
        <v>1527</v>
      </c>
      <c r="G135" s="14" t="s">
        <v>1553</v>
      </c>
      <c r="H135" s="15" t="s">
        <v>669</v>
      </c>
    </row>
    <row r="136" spans="1:8">
      <c r="B136" s="14" t="s">
        <v>1530</v>
      </c>
      <c r="C136" s="14"/>
      <c r="D136" s="15" t="s">
        <v>1529</v>
      </c>
      <c r="E136" s="14"/>
      <c r="F136" s="14" t="s">
        <v>1532</v>
      </c>
      <c r="G136" s="14" t="s">
        <v>1555</v>
      </c>
      <c r="H136" s="15" t="s">
        <v>669</v>
      </c>
    </row>
    <row r="137" spans="1:8">
      <c r="B137" s="14" t="s">
        <v>1535</v>
      </c>
      <c r="C137" s="14"/>
      <c r="D137" s="15" t="s">
        <v>1534</v>
      </c>
      <c r="E137" s="14"/>
      <c r="F137" s="14" t="s">
        <v>1537</v>
      </c>
      <c r="G137" s="14" t="s">
        <v>1557</v>
      </c>
      <c r="H137" s="15" t="s">
        <v>669</v>
      </c>
    </row>
    <row r="141" spans="1:8">
      <c r="A141" s="2" t="s">
        <v>1076</v>
      </c>
    </row>
    <row r="142" spans="1:8">
      <c r="B142" s="14" t="s">
        <v>1078</v>
      </c>
      <c r="C142" s="14"/>
      <c r="D142" s="14" t="s">
        <v>815</v>
      </c>
      <c r="E142" s="14"/>
      <c r="F142" s="14"/>
      <c r="G142" s="14" t="s">
        <v>318</v>
      </c>
      <c r="H142" s="14" t="s">
        <v>5137</v>
      </c>
    </row>
    <row r="143" spans="1:8" hidden="1">
      <c r="B143" s="15" t="s">
        <v>1086</v>
      </c>
      <c r="C143" s="14"/>
      <c r="D143" s="15" t="s">
        <v>2176</v>
      </c>
      <c r="E143" s="14"/>
      <c r="F143" s="14"/>
      <c r="G143" s="14" t="s">
        <v>321</v>
      </c>
      <c r="H143" s="15" t="s">
        <v>5138</v>
      </c>
    </row>
    <row r="144" spans="1:8">
      <c r="B144" s="15" t="s">
        <v>1358</v>
      </c>
      <c r="C144" s="14"/>
      <c r="D144" s="15" t="s">
        <v>1359</v>
      </c>
      <c r="E144" s="14"/>
      <c r="F144" s="14"/>
      <c r="G144" s="14" t="s">
        <v>1361</v>
      </c>
      <c r="H144" s="15"/>
    </row>
    <row r="145" spans="2:8">
      <c r="B145" s="15" t="s">
        <v>1362</v>
      </c>
      <c r="C145" s="14"/>
      <c r="D145" s="15" t="s">
        <v>1363</v>
      </c>
      <c r="E145" s="14"/>
      <c r="F145" s="14"/>
      <c r="G145" s="14" t="s">
        <v>1364</v>
      </c>
      <c r="H145" s="15"/>
    </row>
    <row r="146" spans="2:8">
      <c r="B146" s="15" t="s">
        <v>1365</v>
      </c>
      <c r="C146" s="14"/>
      <c r="D146" s="15" t="s">
        <v>1366</v>
      </c>
      <c r="E146" s="14"/>
      <c r="F146" s="14"/>
      <c r="G146" s="14" t="s">
        <v>1368</v>
      </c>
      <c r="H146" s="15"/>
    </row>
    <row r="147" spans="2:8">
      <c r="B147" s="15" t="s">
        <v>1369</v>
      </c>
      <c r="C147" s="14"/>
      <c r="D147" s="15" t="s">
        <v>1370</v>
      </c>
      <c r="E147" s="14"/>
      <c r="F147" s="14"/>
      <c r="G147" s="14" t="s">
        <v>1371</v>
      </c>
      <c r="H147" s="15"/>
    </row>
    <row r="148" spans="2:8">
      <c r="B148" s="15" t="s">
        <v>1103</v>
      </c>
      <c r="C148" s="14"/>
      <c r="D148" s="15" t="s">
        <v>1104</v>
      </c>
      <c r="E148" s="14"/>
      <c r="F148" s="14"/>
      <c r="G148" s="14" t="s">
        <v>1106</v>
      </c>
      <c r="H148" s="15"/>
    </row>
    <row r="149" spans="2:8">
      <c r="B149" s="15" t="s">
        <v>1107</v>
      </c>
      <c r="C149" s="14"/>
      <c r="D149" s="15" t="s">
        <v>1108</v>
      </c>
      <c r="E149" s="14"/>
      <c r="F149" s="14"/>
      <c r="G149" s="14" t="s">
        <v>1110</v>
      </c>
      <c r="H149" s="15"/>
    </row>
    <row r="150" spans="2:8">
      <c r="B150" s="15" t="s">
        <v>1111</v>
      </c>
      <c r="C150" s="14"/>
      <c r="D150" s="15" t="s">
        <v>1112</v>
      </c>
      <c r="E150" s="14"/>
      <c r="F150" s="14"/>
      <c r="G150" s="14" t="s">
        <v>1114</v>
      </c>
      <c r="H150" s="15"/>
    </row>
    <row r="151" spans="2:8">
      <c r="B151" s="15" t="s">
        <v>1372</v>
      </c>
      <c r="C151" s="14"/>
      <c r="D151" s="15" t="s">
        <v>1373</v>
      </c>
      <c r="E151" s="14"/>
      <c r="F151" s="14"/>
      <c r="G151" s="14" t="s">
        <v>1374</v>
      </c>
      <c r="H151" s="15"/>
    </row>
    <row r="152" spans="2:8">
      <c r="B152" s="15" t="s">
        <v>1375</v>
      </c>
      <c r="C152" s="14"/>
      <c r="D152" s="15" t="s">
        <v>1376</v>
      </c>
      <c r="E152" s="14"/>
      <c r="F152" s="14"/>
      <c r="G152" s="14" t="s">
        <v>1377</v>
      </c>
      <c r="H152" s="15"/>
    </row>
    <row r="153" spans="2:8">
      <c r="B153" s="15" t="s">
        <v>1378</v>
      </c>
      <c r="C153" s="14"/>
      <c r="D153" s="15" t="s">
        <v>1379</v>
      </c>
      <c r="E153" s="14"/>
      <c r="F153" s="14"/>
      <c r="G153" s="14" t="s">
        <v>1380</v>
      </c>
      <c r="H153" s="15"/>
    </row>
    <row r="154" spans="2:8">
      <c r="B154" s="15" t="s">
        <v>1348</v>
      </c>
      <c r="C154" s="14"/>
      <c r="D154" s="15" t="s">
        <v>1349</v>
      </c>
      <c r="E154" s="14"/>
      <c r="F154" s="14"/>
      <c r="G154" s="14" t="s">
        <v>1350</v>
      </c>
      <c r="H154" s="15"/>
    </row>
    <row r="155" spans="2:8">
      <c r="B155" s="15" t="s">
        <v>1126</v>
      </c>
      <c r="C155" s="14"/>
      <c r="D155" s="15" t="s">
        <v>1127</v>
      </c>
      <c r="E155" s="14"/>
      <c r="F155" s="14"/>
      <c r="G155" s="14" t="s">
        <v>1128</v>
      </c>
      <c r="H155" s="15"/>
    </row>
    <row r="156" spans="2:8">
      <c r="B156" s="15" t="s">
        <v>1129</v>
      </c>
      <c r="C156" s="14"/>
      <c r="D156" s="15" t="s">
        <v>1130</v>
      </c>
      <c r="E156" s="14"/>
      <c r="F156" s="14"/>
      <c r="G156" s="14" t="s">
        <v>1131</v>
      </c>
      <c r="H156" s="15"/>
    </row>
    <row r="157" spans="2:8">
      <c r="B157" s="15" t="s">
        <v>1132</v>
      </c>
      <c r="C157" s="14"/>
      <c r="D157" s="15" t="s">
        <v>1133</v>
      </c>
      <c r="E157" s="14"/>
      <c r="F157" s="14"/>
      <c r="G157" s="14" t="s">
        <v>1134</v>
      </c>
      <c r="H157" s="15"/>
    </row>
    <row r="158" spans="2:8">
      <c r="B158" s="15" t="s">
        <v>1135</v>
      </c>
      <c r="C158" s="14"/>
      <c r="D158" s="15" t="s">
        <v>1136</v>
      </c>
      <c r="E158" s="14"/>
      <c r="F158" s="14"/>
      <c r="G158" s="14" t="s">
        <v>1138</v>
      </c>
      <c r="H158" s="15"/>
    </row>
    <row r="159" spans="2:8">
      <c r="B159" s="15" t="s">
        <v>1139</v>
      </c>
      <c r="C159" s="14"/>
      <c r="D159" s="15" t="s">
        <v>1140</v>
      </c>
      <c r="E159" s="14"/>
      <c r="F159" s="14"/>
      <c r="G159" s="14" t="s">
        <v>1141</v>
      </c>
      <c r="H159" s="15"/>
    </row>
    <row r="160" spans="2:8">
      <c r="B160" s="15" t="s">
        <v>1351</v>
      </c>
      <c r="C160" s="14"/>
      <c r="D160" s="15" t="s">
        <v>1352</v>
      </c>
      <c r="E160" s="14"/>
      <c r="F160" s="14"/>
      <c r="G160" s="14" t="s">
        <v>1353</v>
      </c>
      <c r="H160" s="15"/>
    </row>
    <row r="161" spans="2:8">
      <c r="B161" s="15" t="s">
        <v>1354</v>
      </c>
      <c r="C161" s="14"/>
      <c r="D161" s="15" t="s">
        <v>1355</v>
      </c>
      <c r="E161" s="14"/>
      <c r="F161" s="14"/>
      <c r="G161" s="14" t="s">
        <v>1356</v>
      </c>
      <c r="H161" s="15"/>
    </row>
    <row r="162" spans="2:8">
      <c r="B162" s="15" t="s">
        <v>1326</v>
      </c>
      <c r="C162" s="14"/>
      <c r="D162" s="15" t="s">
        <v>1327</v>
      </c>
      <c r="E162" s="14"/>
      <c r="F162" s="14"/>
      <c r="G162" s="14" t="s">
        <v>1328</v>
      </c>
      <c r="H162" s="15"/>
    </row>
    <row r="163" spans="2:8">
      <c r="B163" s="15" t="s">
        <v>1329</v>
      </c>
      <c r="C163" s="14"/>
      <c r="D163" s="15" t="s">
        <v>1330</v>
      </c>
      <c r="E163" s="14"/>
      <c r="F163" s="14"/>
      <c r="G163" s="14" t="s">
        <v>1332</v>
      </c>
      <c r="H163" s="15"/>
    </row>
    <row r="164" spans="2:8">
      <c r="B164" s="15" t="s">
        <v>1333</v>
      </c>
      <c r="C164" s="14"/>
      <c r="D164" s="15" t="s">
        <v>1334</v>
      </c>
      <c r="E164" s="14"/>
      <c r="F164" s="14"/>
      <c r="G164" s="14" t="s">
        <v>1335</v>
      </c>
      <c r="H164" s="15"/>
    </row>
    <row r="165" spans="2:8">
      <c r="B165" s="15" t="s">
        <v>1146</v>
      </c>
      <c r="C165" s="14"/>
      <c r="D165" s="15" t="s">
        <v>1147</v>
      </c>
      <c r="E165" s="14"/>
      <c r="F165" s="14"/>
      <c r="G165" s="14" t="s">
        <v>1148</v>
      </c>
      <c r="H165" s="15"/>
    </row>
    <row r="166" spans="2:8">
      <c r="B166" s="15" t="s">
        <v>1162</v>
      </c>
      <c r="C166" s="14"/>
      <c r="D166" s="15" t="s">
        <v>1163</v>
      </c>
      <c r="E166" s="14"/>
      <c r="F166" s="14"/>
      <c r="G166" s="14" t="s">
        <v>1165</v>
      </c>
      <c r="H166" s="15"/>
    </row>
    <row r="167" spans="2:8">
      <c r="B167" s="15" t="s">
        <v>1166</v>
      </c>
      <c r="C167" s="14"/>
      <c r="D167" s="15" t="s">
        <v>1167</v>
      </c>
      <c r="E167" s="14"/>
      <c r="F167" s="14"/>
      <c r="G167" s="14" t="s">
        <v>1168</v>
      </c>
      <c r="H167" s="15"/>
    </row>
    <row r="168" spans="2:8">
      <c r="B168" s="15" t="s">
        <v>1169</v>
      </c>
      <c r="C168" s="14"/>
      <c r="D168" s="15" t="s">
        <v>1170</v>
      </c>
      <c r="E168" s="14"/>
      <c r="F168" s="14"/>
      <c r="G168" s="14" t="s">
        <v>1171</v>
      </c>
      <c r="H168" s="15"/>
    </row>
    <row r="169" spans="2:8">
      <c r="B169" s="15" t="s">
        <v>1336</v>
      </c>
      <c r="C169" s="14"/>
      <c r="D169" s="15" t="s">
        <v>1337</v>
      </c>
      <c r="E169" s="14"/>
      <c r="F169" s="14"/>
      <c r="G169" s="14" t="s">
        <v>1339</v>
      </c>
      <c r="H169" s="15"/>
    </row>
    <row r="170" spans="2:8">
      <c r="B170" s="15" t="s">
        <v>1340</v>
      </c>
      <c r="C170" s="14"/>
      <c r="D170" s="15" t="s">
        <v>1341</v>
      </c>
      <c r="E170" s="14"/>
      <c r="F170" s="14"/>
      <c r="G170" s="14" t="s">
        <v>1343</v>
      </c>
      <c r="H170" s="15"/>
    </row>
    <row r="171" spans="2:8">
      <c r="B171" s="15" t="s">
        <v>1344</v>
      </c>
      <c r="C171" s="14"/>
      <c r="D171" s="15" t="s">
        <v>1345</v>
      </c>
      <c r="E171" s="14"/>
      <c r="F171" s="14"/>
      <c r="G171" s="14" t="s">
        <v>1347</v>
      </c>
      <c r="H171" s="15"/>
    </row>
    <row r="172" spans="2:8">
      <c r="B172" s="15" t="s">
        <v>1317</v>
      </c>
      <c r="C172" s="14"/>
      <c r="D172" s="15" t="s">
        <v>1318</v>
      </c>
      <c r="E172" s="14"/>
      <c r="F172" s="14"/>
      <c r="G172" s="14" t="s">
        <v>1320</v>
      </c>
      <c r="H172" s="15"/>
    </row>
    <row r="173" spans="2:8">
      <c r="B173" s="15" t="s">
        <v>1321</v>
      </c>
      <c r="C173" s="14"/>
      <c r="D173" s="15" t="s">
        <v>1322</v>
      </c>
      <c r="E173" s="14"/>
      <c r="F173" s="14"/>
      <c r="G173" s="14" t="s">
        <v>1324</v>
      </c>
      <c r="H173" s="15"/>
    </row>
    <row r="174" spans="2:8">
      <c r="B174" s="15" t="s">
        <v>1200</v>
      </c>
      <c r="C174" s="14"/>
      <c r="D174" s="15" t="s">
        <v>1201</v>
      </c>
      <c r="E174" s="14"/>
      <c r="F174" s="14"/>
      <c r="G174" s="14" t="s">
        <v>1202</v>
      </c>
      <c r="H174" s="15"/>
    </row>
    <row r="175" spans="2:8">
      <c r="B175" s="15" t="s">
        <v>1203</v>
      </c>
      <c r="C175" s="14"/>
      <c r="D175" s="15" t="s">
        <v>1204</v>
      </c>
      <c r="E175" s="14"/>
      <c r="F175" s="14"/>
      <c r="G175" s="14" t="s">
        <v>1205</v>
      </c>
      <c r="H175" s="15"/>
    </row>
    <row r="176" spans="2:8">
      <c r="B176" s="15" t="s">
        <v>1206</v>
      </c>
      <c r="C176" s="14"/>
      <c r="D176" s="15" t="s">
        <v>1207</v>
      </c>
      <c r="E176" s="14"/>
      <c r="F176" s="14"/>
      <c r="G176" s="14" t="s">
        <v>1208</v>
      </c>
      <c r="H176" s="15"/>
    </row>
    <row r="177" spans="2:8">
      <c r="B177" s="15" t="s">
        <v>1209</v>
      </c>
      <c r="C177" s="14"/>
      <c r="D177" s="15" t="s">
        <v>1210</v>
      </c>
      <c r="E177" s="14"/>
      <c r="F177" s="14"/>
      <c r="G177" s="14" t="s">
        <v>1211</v>
      </c>
      <c r="H177" s="15"/>
    </row>
    <row r="178" spans="2:8">
      <c r="B178" s="15" t="s">
        <v>1212</v>
      </c>
      <c r="C178" s="14"/>
      <c r="D178" s="15" t="s">
        <v>1213</v>
      </c>
      <c r="E178" s="14"/>
      <c r="F178" s="14"/>
      <c r="G178" s="14" t="s">
        <v>1214</v>
      </c>
      <c r="H178" s="15"/>
    </row>
    <row r="179" spans="2:8">
      <c r="B179" s="15" t="s">
        <v>1404</v>
      </c>
      <c r="C179" s="14"/>
      <c r="D179" s="15" t="s">
        <v>1405</v>
      </c>
      <c r="E179" s="14"/>
      <c r="F179" s="14"/>
      <c r="G179" s="14" t="s">
        <v>1407</v>
      </c>
      <c r="H179" s="15"/>
    </row>
    <row r="180" spans="2:8">
      <c r="B180" s="15" t="s">
        <v>1408</v>
      </c>
      <c r="C180" s="14"/>
      <c r="D180" s="15" t="s">
        <v>1409</v>
      </c>
      <c r="E180" s="14"/>
      <c r="F180" s="14"/>
      <c r="G180" s="14" t="s">
        <v>1410</v>
      </c>
      <c r="H180" s="15"/>
    </row>
    <row r="181" spans="2:8">
      <c r="B181" s="15" t="s">
        <v>1411</v>
      </c>
      <c r="C181" s="14"/>
      <c r="D181" s="15" t="s">
        <v>1412</v>
      </c>
      <c r="E181" s="14"/>
      <c r="F181" s="14"/>
      <c r="G181" s="14" t="s">
        <v>1414</v>
      </c>
      <c r="H181" s="15"/>
    </row>
    <row r="182" spans="2:8">
      <c r="B182" s="15" t="s">
        <v>1415</v>
      </c>
      <c r="C182" s="14"/>
      <c r="D182" s="15" t="s">
        <v>1416</v>
      </c>
      <c r="E182" s="14"/>
      <c r="F182" s="14"/>
      <c r="G182" s="14" t="s">
        <v>1417</v>
      </c>
      <c r="H182" s="15"/>
    </row>
    <row r="183" spans="2:8">
      <c r="B183" s="15" t="s">
        <v>1215</v>
      </c>
      <c r="C183" s="14"/>
      <c r="D183" s="15" t="s">
        <v>1216</v>
      </c>
      <c r="E183" s="14"/>
      <c r="F183" s="14"/>
      <c r="G183" s="14" t="s">
        <v>1217</v>
      </c>
      <c r="H183" s="15"/>
    </row>
    <row r="184" spans="2:8">
      <c r="B184" s="15" t="s">
        <v>1218</v>
      </c>
      <c r="C184" s="14"/>
      <c r="D184" s="15" t="s">
        <v>1219</v>
      </c>
      <c r="E184" s="14"/>
      <c r="F184" s="14"/>
      <c r="G184" s="14" t="s">
        <v>1221</v>
      </c>
      <c r="H184" s="15"/>
    </row>
    <row r="185" spans="2:8">
      <c r="B185" s="15" t="s">
        <v>1222</v>
      </c>
      <c r="C185" s="14"/>
      <c r="D185" s="15" t="s">
        <v>1223</v>
      </c>
      <c r="E185" s="14"/>
      <c r="F185" s="14"/>
      <c r="G185" s="14" t="s">
        <v>1225</v>
      </c>
      <c r="H185" s="15"/>
    </row>
    <row r="186" spans="2:8">
      <c r="B186" s="15" t="s">
        <v>1418</v>
      </c>
      <c r="C186" s="14"/>
      <c r="D186" s="15" t="s">
        <v>1419</v>
      </c>
      <c r="E186" s="14"/>
      <c r="F186" s="14"/>
      <c r="G186" s="14" t="s">
        <v>1420</v>
      </c>
      <c r="H186" s="15"/>
    </row>
    <row r="187" spans="2:8">
      <c r="B187" s="15" t="s">
        <v>1421</v>
      </c>
      <c r="C187" s="14"/>
      <c r="D187" s="15" t="s">
        <v>1422</v>
      </c>
      <c r="E187" s="14"/>
      <c r="F187" s="14"/>
      <c r="G187" s="14" t="s">
        <v>1424</v>
      </c>
      <c r="H187" s="15"/>
    </row>
    <row r="188" spans="2:8">
      <c r="B188" s="15" t="s">
        <v>1425</v>
      </c>
      <c r="C188" s="14"/>
      <c r="D188" s="15" t="s">
        <v>1426</v>
      </c>
      <c r="E188" s="14"/>
      <c r="F188" s="14"/>
      <c r="G188" s="14" t="s">
        <v>1427</v>
      </c>
      <c r="H188" s="15"/>
    </row>
    <row r="189" spans="2:8">
      <c r="B189" s="15" t="s">
        <v>1428</v>
      </c>
      <c r="C189" s="14"/>
      <c r="D189" s="15" t="s">
        <v>1429</v>
      </c>
      <c r="E189" s="14"/>
      <c r="F189" s="14"/>
      <c r="G189" s="14" t="s">
        <v>1430</v>
      </c>
      <c r="H189" s="15"/>
    </row>
    <row r="190" spans="2:8">
      <c r="B190" s="15" t="s">
        <v>1431</v>
      </c>
      <c r="C190" s="14"/>
      <c r="D190" s="15" t="s">
        <v>1432</v>
      </c>
      <c r="E190" s="14"/>
      <c r="F190" s="14"/>
      <c r="G190" s="14" t="s">
        <v>1433</v>
      </c>
      <c r="H190" s="15"/>
    </row>
    <row r="191" spans="2:8">
      <c r="B191" s="15" t="s">
        <v>1226</v>
      </c>
      <c r="C191" s="14"/>
      <c r="D191" s="15" t="s">
        <v>1227</v>
      </c>
      <c r="E191" s="14"/>
      <c r="F191" s="14"/>
      <c r="G191" s="14" t="s">
        <v>1228</v>
      </c>
      <c r="H191" s="15"/>
    </row>
    <row r="192" spans="2:8">
      <c r="B192" s="15" t="s">
        <v>1229</v>
      </c>
      <c r="C192" s="14"/>
      <c r="D192" s="15" t="s">
        <v>1230</v>
      </c>
      <c r="E192" s="14"/>
      <c r="F192" s="14"/>
      <c r="G192" s="14" t="s">
        <v>1231</v>
      </c>
      <c r="H192" s="15"/>
    </row>
    <row r="193" spans="2:8">
      <c r="B193" s="15" t="s">
        <v>1232</v>
      </c>
      <c r="C193" s="14"/>
      <c r="D193" s="15" t="s">
        <v>1233</v>
      </c>
      <c r="E193" s="14"/>
      <c r="F193" s="14"/>
      <c r="G193" s="14" t="s">
        <v>1234</v>
      </c>
      <c r="H193" s="15"/>
    </row>
    <row r="194" spans="2:8">
      <c r="B194" s="15" t="s">
        <v>1115</v>
      </c>
      <c r="C194" s="14"/>
      <c r="D194" s="15" t="s">
        <v>1116</v>
      </c>
      <c r="E194" s="14"/>
      <c r="F194" s="14"/>
      <c r="G194" s="14" t="s">
        <v>1117</v>
      </c>
      <c r="H194" s="15"/>
    </row>
    <row r="195" spans="2:8">
      <c r="B195" s="15" t="s">
        <v>1118</v>
      </c>
      <c r="C195" s="14"/>
      <c r="D195" s="15" t="s">
        <v>1119</v>
      </c>
      <c r="E195" s="14"/>
      <c r="F195" s="14"/>
      <c r="G195" s="14" t="s">
        <v>1121</v>
      </c>
      <c r="H195" s="15"/>
    </row>
    <row r="196" spans="2:8">
      <c r="B196" s="15" t="s">
        <v>1122</v>
      </c>
      <c r="C196" s="14"/>
      <c r="D196" s="15" t="s">
        <v>1123</v>
      </c>
      <c r="E196" s="14"/>
      <c r="F196" s="14"/>
      <c r="G196" s="14" t="s">
        <v>1125</v>
      </c>
      <c r="H196" s="15"/>
    </row>
    <row r="197" spans="2:8">
      <c r="B197" s="15" t="s">
        <v>1142</v>
      </c>
      <c r="C197" s="14"/>
      <c r="D197" s="15" t="s">
        <v>1143</v>
      </c>
      <c r="E197" s="14"/>
      <c r="F197" s="14"/>
      <c r="G197" s="14" t="s">
        <v>1144</v>
      </c>
      <c r="H197" s="15"/>
    </row>
    <row r="198" spans="2:8">
      <c r="B198" s="15" t="s">
        <v>1172</v>
      </c>
      <c r="C198" s="14"/>
      <c r="D198" s="15" t="s">
        <v>1173</v>
      </c>
      <c r="E198" s="14"/>
      <c r="F198" s="14"/>
      <c r="G198" s="14" t="s">
        <v>1174</v>
      </c>
      <c r="H198" s="15"/>
    </row>
    <row r="199" spans="2:8">
      <c r="B199" s="15" t="s">
        <v>1235</v>
      </c>
      <c r="C199" s="14"/>
      <c r="D199" s="15" t="s">
        <v>1236</v>
      </c>
      <c r="E199" s="14"/>
      <c r="F199" s="14"/>
      <c r="G199" s="14" t="s">
        <v>1238</v>
      </c>
      <c r="H199" s="15"/>
    </row>
    <row r="200" spans="2:8">
      <c r="B200" s="15" t="s">
        <v>1295</v>
      </c>
      <c r="C200" s="14"/>
      <c r="D200" s="15" t="s">
        <v>1296</v>
      </c>
      <c r="E200" s="14"/>
      <c r="F200" s="14"/>
      <c r="G200" s="14" t="s">
        <v>1297</v>
      </c>
      <c r="H200" s="15"/>
    </row>
    <row r="201" spans="2:8">
      <c r="B201" s="15" t="s">
        <v>1298</v>
      </c>
      <c r="C201" s="14"/>
      <c r="D201" s="15" t="s">
        <v>1299</v>
      </c>
      <c r="E201" s="14"/>
      <c r="F201" s="14"/>
      <c r="G201" s="14" t="s">
        <v>1301</v>
      </c>
      <c r="H201" s="15"/>
    </row>
    <row r="202" spans="2:8">
      <c r="B202" s="15" t="s">
        <v>1302</v>
      </c>
      <c r="C202" s="14"/>
      <c r="D202" s="15" t="s">
        <v>1303</v>
      </c>
      <c r="E202" s="14"/>
      <c r="F202" s="14"/>
      <c r="G202" s="14" t="s">
        <v>1304</v>
      </c>
      <c r="H202" s="15"/>
    </row>
    <row r="203" spans="2:8">
      <c r="B203" s="15" t="s">
        <v>1175</v>
      </c>
      <c r="C203" s="14"/>
      <c r="D203" s="15" t="s">
        <v>1176</v>
      </c>
      <c r="E203" s="14"/>
      <c r="F203" s="14"/>
      <c r="G203" s="14" t="s">
        <v>1177</v>
      </c>
      <c r="H203" s="15"/>
    </row>
    <row r="204" spans="2:8">
      <c r="B204" s="15" t="s">
        <v>1178</v>
      </c>
      <c r="C204" s="14"/>
      <c r="D204" s="15" t="s">
        <v>1179</v>
      </c>
      <c r="E204" s="14"/>
      <c r="F204" s="14"/>
      <c r="G204" s="14" t="s">
        <v>1180</v>
      </c>
      <c r="H204" s="15"/>
    </row>
    <row r="205" spans="2:8">
      <c r="B205" s="15" t="s">
        <v>1181</v>
      </c>
      <c r="C205" s="14"/>
      <c r="D205" s="15" t="s">
        <v>1182</v>
      </c>
      <c r="E205" s="14"/>
      <c r="F205" s="14"/>
      <c r="G205" s="14" t="s">
        <v>1183</v>
      </c>
      <c r="H205" s="15"/>
    </row>
    <row r="206" spans="2:8">
      <c r="B206" s="15" t="s">
        <v>1305</v>
      </c>
      <c r="C206" s="14"/>
      <c r="D206" s="15" t="s">
        <v>1306</v>
      </c>
      <c r="E206" s="14"/>
      <c r="F206" s="14"/>
      <c r="G206" s="14" t="s">
        <v>1308</v>
      </c>
      <c r="H206" s="15"/>
    </row>
    <row r="207" spans="2:8">
      <c r="B207" s="15" t="s">
        <v>1309</v>
      </c>
      <c r="C207" s="14"/>
      <c r="D207" s="15" t="s">
        <v>1310</v>
      </c>
      <c r="E207" s="14"/>
      <c r="F207" s="14"/>
      <c r="G207" s="14" t="s">
        <v>1311</v>
      </c>
      <c r="H207" s="15"/>
    </row>
    <row r="208" spans="2:8">
      <c r="B208" s="15" t="s">
        <v>1239</v>
      </c>
      <c r="C208" s="14"/>
      <c r="D208" s="15" t="s">
        <v>1240</v>
      </c>
      <c r="E208" s="14"/>
      <c r="F208" s="14"/>
      <c r="G208" s="14" t="s">
        <v>1241</v>
      </c>
      <c r="H208" s="15"/>
    </row>
    <row r="209" spans="2:8">
      <c r="B209" s="15" t="s">
        <v>1242</v>
      </c>
      <c r="C209" s="14"/>
      <c r="D209" s="15" t="s">
        <v>1243</v>
      </c>
      <c r="E209" s="14"/>
      <c r="F209" s="14"/>
      <c r="G209" s="14" t="s">
        <v>1245</v>
      </c>
      <c r="H209" s="15"/>
    </row>
    <row r="210" spans="2:8">
      <c r="B210" s="15" t="s">
        <v>1184</v>
      </c>
      <c r="C210" s="14"/>
      <c r="D210" s="15" t="s">
        <v>1185</v>
      </c>
      <c r="E210" s="14"/>
      <c r="F210" s="14"/>
      <c r="G210" s="14" t="s">
        <v>1186</v>
      </c>
      <c r="H210" s="15"/>
    </row>
    <row r="211" spans="2:8">
      <c r="B211" s="15" t="s">
        <v>1187</v>
      </c>
      <c r="C211" s="14"/>
      <c r="D211" s="15" t="s">
        <v>1188</v>
      </c>
      <c r="E211" s="14"/>
      <c r="F211" s="14"/>
      <c r="G211" s="14" t="s">
        <v>1189</v>
      </c>
      <c r="H211" s="15"/>
    </row>
    <row r="212" spans="2:8">
      <c r="B212" s="15" t="s">
        <v>1190</v>
      </c>
      <c r="C212" s="14"/>
      <c r="D212" s="15" t="s">
        <v>1191</v>
      </c>
      <c r="E212" s="14"/>
      <c r="F212" s="14"/>
      <c r="G212" s="14" t="s">
        <v>1193</v>
      </c>
      <c r="H212" s="15"/>
    </row>
    <row r="213" spans="2:8">
      <c r="B213" s="15" t="s">
        <v>1246</v>
      </c>
      <c r="C213" s="14"/>
      <c r="D213" s="15" t="s">
        <v>1247</v>
      </c>
      <c r="E213" s="14"/>
      <c r="F213" s="14"/>
      <c r="G213" s="14" t="s">
        <v>1248</v>
      </c>
      <c r="H213" s="15"/>
    </row>
    <row r="214" spans="2:8">
      <c r="B214" s="15" t="s">
        <v>1249</v>
      </c>
      <c r="C214" s="14"/>
      <c r="D214" s="15" t="s">
        <v>1250</v>
      </c>
      <c r="E214" s="14"/>
      <c r="F214" s="14"/>
      <c r="G214" s="14" t="s">
        <v>1251</v>
      </c>
      <c r="H214" s="15"/>
    </row>
    <row r="215" spans="2:8">
      <c r="B215" s="15" t="s">
        <v>1252</v>
      </c>
      <c r="C215" s="14"/>
      <c r="D215" s="15" t="s">
        <v>1253</v>
      </c>
      <c r="E215" s="14"/>
      <c r="F215" s="14"/>
      <c r="G215" s="14" t="s">
        <v>1254</v>
      </c>
      <c r="H215" s="15"/>
    </row>
    <row r="216" spans="2:8">
      <c r="B216" s="15" t="s">
        <v>1255</v>
      </c>
      <c r="C216" s="14"/>
      <c r="D216" s="15" t="s">
        <v>1256</v>
      </c>
      <c r="E216" s="14"/>
      <c r="F216" s="14"/>
      <c r="G216" s="14" t="s">
        <v>1257</v>
      </c>
      <c r="H216" s="15"/>
    </row>
    <row r="217" spans="2:8">
      <c r="B217" s="15" t="s">
        <v>1194</v>
      </c>
      <c r="C217" s="14"/>
      <c r="D217" s="15" t="s">
        <v>1195</v>
      </c>
      <c r="E217" s="14"/>
      <c r="F217" s="14"/>
      <c r="G217" s="14" t="s">
        <v>1196</v>
      </c>
      <c r="H217" s="15"/>
    </row>
    <row r="218" spans="2:8">
      <c r="B218" s="15" t="s">
        <v>1197</v>
      </c>
      <c r="C218" s="14"/>
      <c r="D218" s="15" t="s">
        <v>1198</v>
      </c>
      <c r="E218" s="14"/>
      <c r="F218" s="14"/>
      <c r="G218" s="14" t="s">
        <v>1199</v>
      </c>
      <c r="H218" s="15"/>
    </row>
    <row r="219" spans="2:8">
      <c r="B219" s="15" t="s">
        <v>1090</v>
      </c>
      <c r="C219" s="14"/>
      <c r="D219" s="15" t="s">
        <v>1091</v>
      </c>
      <c r="E219" s="14"/>
      <c r="F219" s="14"/>
      <c r="G219" s="14" t="s">
        <v>1092</v>
      </c>
      <c r="H219" s="15"/>
    </row>
    <row r="220" spans="2:8">
      <c r="B220" s="15" t="s">
        <v>1095</v>
      </c>
      <c r="C220" s="14"/>
      <c r="D220" s="15" t="s">
        <v>1096</v>
      </c>
      <c r="E220" s="14"/>
      <c r="F220" s="14"/>
      <c r="G220" s="14" t="s">
        <v>1098</v>
      </c>
      <c r="H220" s="15"/>
    </row>
    <row r="221" spans="2:8">
      <c r="B221" s="15" t="s">
        <v>1099</v>
      </c>
      <c r="C221" s="14"/>
      <c r="D221" s="15" t="s">
        <v>1100</v>
      </c>
      <c r="E221" s="14"/>
      <c r="F221" s="14"/>
      <c r="G221" s="14" t="s">
        <v>1102</v>
      </c>
      <c r="H221" s="15"/>
    </row>
    <row r="222" spans="2:8">
      <c r="B222" s="15" t="s">
        <v>1258</v>
      </c>
      <c r="C222" s="14"/>
      <c r="D222" s="15" t="s">
        <v>1259</v>
      </c>
      <c r="E222" s="14"/>
      <c r="F222" s="14"/>
      <c r="G222" s="14" t="s">
        <v>1260</v>
      </c>
      <c r="H222" s="15"/>
    </row>
    <row r="223" spans="2:8">
      <c r="B223" s="15" t="s">
        <v>1261</v>
      </c>
      <c r="C223" s="14"/>
      <c r="D223" s="15" t="s">
        <v>1262</v>
      </c>
      <c r="E223" s="14"/>
      <c r="F223" s="14"/>
      <c r="G223" s="14" t="s">
        <v>1263</v>
      </c>
      <c r="H223" s="15"/>
    </row>
    <row r="224" spans="2:8">
      <c r="B224" s="15" t="s">
        <v>1264</v>
      </c>
      <c r="C224" s="14"/>
      <c r="D224" s="15" t="s">
        <v>1265</v>
      </c>
      <c r="E224" s="14"/>
      <c r="F224" s="14"/>
      <c r="G224" s="14" t="s">
        <v>1266</v>
      </c>
      <c r="H224" s="15"/>
    </row>
    <row r="225" spans="2:8">
      <c r="B225" s="15" t="s">
        <v>1268</v>
      </c>
      <c r="C225" s="14"/>
      <c r="D225" s="15" t="s">
        <v>1269</v>
      </c>
      <c r="E225" s="14"/>
      <c r="F225" s="14"/>
      <c r="G225" s="14" t="s">
        <v>1271</v>
      </c>
      <c r="H225" s="15"/>
    </row>
    <row r="226" spans="2:8">
      <c r="B226" s="15" t="s">
        <v>1313</v>
      </c>
      <c r="C226" s="14"/>
      <c r="D226" s="15" t="s">
        <v>1314</v>
      </c>
      <c r="E226" s="14"/>
      <c r="F226" s="14"/>
      <c r="G226" s="14" t="s">
        <v>1315</v>
      </c>
      <c r="H226" s="15"/>
    </row>
    <row r="227" spans="2:8">
      <c r="B227" s="15" t="s">
        <v>1382</v>
      </c>
      <c r="C227" s="14"/>
      <c r="D227" s="15" t="s">
        <v>1383</v>
      </c>
      <c r="E227" s="14"/>
      <c r="F227" s="14"/>
      <c r="G227" s="14" t="s">
        <v>1385</v>
      </c>
      <c r="H227" s="15"/>
    </row>
    <row r="228" spans="2:8">
      <c r="B228" s="15" t="s">
        <v>1386</v>
      </c>
      <c r="C228" s="14"/>
      <c r="D228" s="15" t="s">
        <v>1387</v>
      </c>
      <c r="E228" s="14"/>
      <c r="F228" s="14"/>
      <c r="G228" s="14" t="s">
        <v>1388</v>
      </c>
      <c r="H228" s="15"/>
    </row>
    <row r="229" spans="2:8">
      <c r="B229" s="15" t="s">
        <v>1389</v>
      </c>
      <c r="C229" s="14"/>
      <c r="D229" s="15" t="s">
        <v>1390</v>
      </c>
      <c r="E229" s="14"/>
      <c r="F229" s="14"/>
      <c r="G229" s="14" t="s">
        <v>1392</v>
      </c>
      <c r="H229" s="15"/>
    </row>
    <row r="230" spans="2:8">
      <c r="B230" s="15" t="s">
        <v>1272</v>
      </c>
      <c r="C230" s="14"/>
      <c r="D230" s="15" t="s">
        <v>1273</v>
      </c>
      <c r="E230" s="14"/>
      <c r="F230" s="14"/>
      <c r="G230" s="14" t="s">
        <v>1274</v>
      </c>
      <c r="H230" s="15"/>
    </row>
    <row r="231" spans="2:8">
      <c r="B231" s="15" t="s">
        <v>1393</v>
      </c>
      <c r="C231" s="14"/>
      <c r="D231" s="15" t="s">
        <v>1394</v>
      </c>
      <c r="E231" s="14"/>
      <c r="F231" s="14"/>
      <c r="G231" s="14" t="s">
        <v>1395</v>
      </c>
      <c r="H231" s="15"/>
    </row>
    <row r="232" spans="2:8">
      <c r="B232" s="15" t="s">
        <v>1396</v>
      </c>
      <c r="C232" s="14"/>
      <c r="D232" s="15" t="s">
        <v>1397</v>
      </c>
      <c r="E232" s="14"/>
      <c r="F232" s="14"/>
      <c r="G232" s="14" t="s">
        <v>1398</v>
      </c>
      <c r="H232" s="15"/>
    </row>
    <row r="233" spans="2:8">
      <c r="B233" s="15" t="s">
        <v>1400</v>
      </c>
      <c r="C233" s="14"/>
      <c r="D233" s="15" t="s">
        <v>1401</v>
      </c>
      <c r="E233" s="14"/>
      <c r="F233" s="14"/>
      <c r="G233" s="14" t="s">
        <v>1403</v>
      </c>
      <c r="H233" s="15"/>
    </row>
    <row r="234" spans="2:8">
      <c r="B234" s="15" t="s">
        <v>1286</v>
      </c>
      <c r="C234" s="14"/>
      <c r="D234" s="15" t="s">
        <v>1287</v>
      </c>
      <c r="E234" s="14"/>
      <c r="F234" s="14"/>
      <c r="G234" s="14" t="s">
        <v>1288</v>
      </c>
      <c r="H234" s="15"/>
    </row>
    <row r="235" spans="2:8">
      <c r="B235" s="15" t="s">
        <v>1289</v>
      </c>
      <c r="C235" s="14"/>
      <c r="D235" s="15" t="s">
        <v>1290</v>
      </c>
      <c r="E235" s="14"/>
      <c r="F235" s="14"/>
      <c r="G235" s="14" t="s">
        <v>1291</v>
      </c>
      <c r="H235" s="15"/>
    </row>
    <row r="236" spans="2:8">
      <c r="B236" s="15" t="s">
        <v>1292</v>
      </c>
      <c r="C236" s="14"/>
      <c r="D236" s="15" t="s">
        <v>1293</v>
      </c>
      <c r="E236" s="14"/>
      <c r="F236" s="14"/>
      <c r="G236" s="14" t="s">
        <v>1294</v>
      </c>
      <c r="H236" s="15"/>
    </row>
    <row r="237" spans="2:8">
      <c r="B237" s="15" t="s">
        <v>1275</v>
      </c>
      <c r="C237" s="14"/>
      <c r="D237" s="15" t="s">
        <v>1276</v>
      </c>
      <c r="E237" s="14"/>
      <c r="F237" s="14"/>
      <c r="G237" s="14" t="s">
        <v>1278</v>
      </c>
      <c r="H237" s="15"/>
    </row>
    <row r="238" spans="2:8">
      <c r="B238" s="15" t="s">
        <v>1279</v>
      </c>
      <c r="C238" s="14"/>
      <c r="D238" s="15" t="s">
        <v>1280</v>
      </c>
      <c r="E238" s="14"/>
      <c r="F238" s="14"/>
      <c r="G238" s="14" t="s">
        <v>1281</v>
      </c>
      <c r="H238" s="15"/>
    </row>
    <row r="239" spans="2:8">
      <c r="B239" s="15" t="s">
        <v>1282</v>
      </c>
      <c r="C239" s="14"/>
      <c r="D239" s="15" t="s">
        <v>1283</v>
      </c>
      <c r="E239" s="14"/>
      <c r="F239" s="14"/>
      <c r="G239" s="14" t="s">
        <v>1284</v>
      </c>
      <c r="H239" s="15"/>
    </row>
    <row r="240" spans="2:8">
      <c r="B240" s="15" t="s">
        <v>1150</v>
      </c>
      <c r="C240" s="14"/>
      <c r="D240" s="15" t="s">
        <v>1151</v>
      </c>
      <c r="E240" s="14"/>
      <c r="F240" s="14"/>
      <c r="G240" s="14" t="s">
        <v>1152</v>
      </c>
      <c r="H240" s="15"/>
    </row>
    <row r="241" spans="1:8">
      <c r="B241" s="15" t="s">
        <v>1153</v>
      </c>
      <c r="C241" s="14"/>
      <c r="D241" s="15" t="s">
        <v>1154</v>
      </c>
      <c r="E241" s="14"/>
      <c r="F241" s="14"/>
      <c r="G241" s="14" t="s">
        <v>1155</v>
      </c>
      <c r="H241" s="15"/>
    </row>
    <row r="242" spans="1:8">
      <c r="B242" s="15" t="s">
        <v>1156</v>
      </c>
      <c r="C242" s="14"/>
      <c r="D242" s="15" t="s">
        <v>1157</v>
      </c>
      <c r="E242" s="14"/>
      <c r="F242" s="14"/>
      <c r="G242" s="14" t="s">
        <v>1158</v>
      </c>
      <c r="H242" s="15"/>
    </row>
    <row r="243" spans="1:8">
      <c r="B243" s="15" t="s">
        <v>1159</v>
      </c>
      <c r="C243" s="14"/>
      <c r="D243" s="15" t="s">
        <v>1160</v>
      </c>
      <c r="E243" s="14"/>
      <c r="F243" s="14"/>
      <c r="G243" s="14" t="s">
        <v>1161</v>
      </c>
      <c r="H243" s="15"/>
    </row>
    <row r="245" spans="1:8" hidden="1"/>
    <row r="246" spans="1:8" hidden="1"/>
    <row r="248" spans="1:8">
      <c r="A248" s="2" t="s">
        <v>5139</v>
      </c>
    </row>
    <row r="249" spans="1:8" ht="32.1" customHeight="1">
      <c r="B249" s="14" t="s">
        <v>1078</v>
      </c>
      <c r="C249" s="14"/>
      <c r="D249" s="14" t="s">
        <v>815</v>
      </c>
      <c r="E249" s="14"/>
      <c r="F249" s="14"/>
      <c r="G249" s="14" t="s">
        <v>318</v>
      </c>
    </row>
    <row r="250" spans="1:8" ht="12" hidden="1" customHeight="1">
      <c r="B250" s="15" t="s">
        <v>1086</v>
      </c>
      <c r="C250" s="14"/>
      <c r="D250" s="15" t="s">
        <v>2176</v>
      </c>
      <c r="E250" s="14"/>
      <c r="F250" s="14"/>
      <c r="G250" s="14" t="s">
        <v>321</v>
      </c>
    </row>
    <row r="251" spans="1:8" ht="12" customHeight="1">
      <c r="B251" s="15" t="s">
        <v>1714</v>
      </c>
      <c r="C251" s="14"/>
      <c r="D251" s="15" t="s">
        <v>1715</v>
      </c>
      <c r="E251" s="14"/>
      <c r="F251" s="14"/>
      <c r="G251" s="14" t="s">
        <v>1716</v>
      </c>
    </row>
    <row r="252" spans="1:8" ht="12" customHeight="1">
      <c r="B252" s="15" t="s">
        <v>1717</v>
      </c>
      <c r="C252" s="14"/>
      <c r="D252" s="15" t="s">
        <v>1718</v>
      </c>
      <c r="E252" s="14"/>
      <c r="F252" s="14"/>
      <c r="G252" s="14" t="s">
        <v>1719</v>
      </c>
    </row>
    <row r="253" spans="1:8" ht="12" customHeight="1">
      <c r="B253" s="15" t="s">
        <v>1720</v>
      </c>
      <c r="C253" s="14"/>
      <c r="D253" s="15" t="s">
        <v>1721</v>
      </c>
      <c r="E253" s="14"/>
      <c r="F253" s="14"/>
      <c r="G253" s="14" t="s">
        <v>1722</v>
      </c>
    </row>
    <row r="254" spans="1:8" ht="12" customHeight="1">
      <c r="B254" s="15" t="s">
        <v>1723</v>
      </c>
      <c r="C254" s="14"/>
      <c r="D254" s="15" t="s">
        <v>1724</v>
      </c>
      <c r="E254" s="14"/>
      <c r="F254" s="14"/>
      <c r="G254" s="14" t="s">
        <v>1725</v>
      </c>
    </row>
    <row r="255" spans="1:8" ht="12" customHeight="1">
      <c r="B255" s="15" t="s">
        <v>1967</v>
      </c>
      <c r="C255" s="14"/>
      <c r="D255" s="15" t="s">
        <v>1968</v>
      </c>
      <c r="E255" s="14"/>
      <c r="F255" s="14"/>
      <c r="G255" s="14" t="s">
        <v>1969</v>
      </c>
    </row>
    <row r="256" spans="1:8" ht="12" customHeight="1">
      <c r="B256" s="15" t="s">
        <v>1970</v>
      </c>
      <c r="C256" s="14"/>
      <c r="D256" s="15" t="s">
        <v>1971</v>
      </c>
      <c r="E256" s="14"/>
      <c r="F256" s="14"/>
      <c r="G256" s="14" t="s">
        <v>1972</v>
      </c>
    </row>
    <row r="257" spans="2:7" ht="12" customHeight="1">
      <c r="B257" s="15" t="s">
        <v>1973</v>
      </c>
      <c r="C257" s="14"/>
      <c r="D257" s="15" t="s">
        <v>1974</v>
      </c>
      <c r="E257" s="14"/>
      <c r="F257" s="14"/>
      <c r="G257" s="14" t="s">
        <v>1975</v>
      </c>
    </row>
    <row r="258" spans="2:7" ht="12" customHeight="1">
      <c r="B258" s="15" t="s">
        <v>1976</v>
      </c>
      <c r="C258" s="14"/>
      <c r="D258" s="15" t="s">
        <v>1977</v>
      </c>
      <c r="E258" s="14"/>
      <c r="F258" s="14"/>
      <c r="G258" s="14" t="s">
        <v>1978</v>
      </c>
    </row>
    <row r="259" spans="2:7" ht="12" customHeight="1">
      <c r="B259" s="15" t="s">
        <v>1979</v>
      </c>
      <c r="C259" s="14"/>
      <c r="D259" s="15" t="s">
        <v>1980</v>
      </c>
      <c r="E259" s="14"/>
      <c r="F259" s="14"/>
      <c r="G259" s="14" t="s">
        <v>1981</v>
      </c>
    </row>
    <row r="260" spans="2:7" ht="12" customHeight="1">
      <c r="B260" s="15" t="s">
        <v>1759</v>
      </c>
      <c r="C260" s="14"/>
      <c r="D260" s="15" t="s">
        <v>1471</v>
      </c>
      <c r="E260" s="14"/>
      <c r="F260" s="14"/>
      <c r="G260" s="14" t="s">
        <v>1760</v>
      </c>
    </row>
    <row r="261" spans="2:7" ht="12" customHeight="1">
      <c r="B261" s="15" t="s">
        <v>2063</v>
      </c>
      <c r="C261" s="14"/>
      <c r="D261" s="15" t="s">
        <v>2064</v>
      </c>
      <c r="E261" s="14"/>
      <c r="F261" s="14"/>
      <c r="G261" s="14" t="s">
        <v>2065</v>
      </c>
    </row>
    <row r="262" spans="2:7" ht="12" customHeight="1">
      <c r="B262" s="15" t="s">
        <v>2066</v>
      </c>
      <c r="C262" s="14"/>
      <c r="D262" s="15" t="s">
        <v>2067</v>
      </c>
      <c r="E262" s="14"/>
      <c r="F262" s="14"/>
      <c r="G262" s="14" t="s">
        <v>2068</v>
      </c>
    </row>
    <row r="263" spans="2:7" ht="12" customHeight="1">
      <c r="B263" s="15" t="s">
        <v>2069</v>
      </c>
      <c r="C263" s="14"/>
      <c r="D263" s="15" t="s">
        <v>2070</v>
      </c>
      <c r="E263" s="14"/>
      <c r="F263" s="14"/>
      <c r="G263" s="14" t="s">
        <v>2071</v>
      </c>
    </row>
    <row r="264" spans="2:7" ht="12" customHeight="1">
      <c r="B264" s="15" t="s">
        <v>2072</v>
      </c>
      <c r="C264" s="14"/>
      <c r="D264" s="15" t="s">
        <v>2073</v>
      </c>
      <c r="E264" s="14"/>
      <c r="F264" s="14"/>
      <c r="G264" s="14" t="s">
        <v>2074</v>
      </c>
    </row>
    <row r="265" spans="2:7" ht="12" customHeight="1">
      <c r="B265" s="15" t="s">
        <v>1866</v>
      </c>
      <c r="C265" s="14"/>
      <c r="D265" s="15" t="s">
        <v>1867</v>
      </c>
      <c r="E265" s="14"/>
      <c r="F265" s="14"/>
      <c r="G265" s="14" t="s">
        <v>1868</v>
      </c>
    </row>
    <row r="266" spans="2:7" ht="12" customHeight="1">
      <c r="B266" s="15" t="s">
        <v>1761</v>
      </c>
      <c r="C266" s="14"/>
      <c r="D266" s="15" t="s">
        <v>1762</v>
      </c>
      <c r="E266" s="14"/>
      <c r="F266" s="14"/>
      <c r="G266" s="14" t="s">
        <v>1763</v>
      </c>
    </row>
    <row r="267" spans="2:7" ht="12" customHeight="1">
      <c r="B267" s="15" t="s">
        <v>1764</v>
      </c>
      <c r="C267" s="14"/>
      <c r="D267" s="15" t="s">
        <v>1765</v>
      </c>
      <c r="E267" s="14"/>
      <c r="F267" s="14"/>
      <c r="G267" s="14" t="s">
        <v>1766</v>
      </c>
    </row>
    <row r="268" spans="2:7" ht="12" customHeight="1">
      <c r="B268" s="15" t="s">
        <v>1767</v>
      </c>
      <c r="C268" s="14"/>
      <c r="D268" s="15" t="s">
        <v>1768</v>
      </c>
      <c r="E268" s="14"/>
      <c r="F268" s="14"/>
      <c r="G268" s="14" t="s">
        <v>1769</v>
      </c>
    </row>
    <row r="269" spans="2:7" ht="12" customHeight="1">
      <c r="B269" s="15" t="s">
        <v>1770</v>
      </c>
      <c r="C269" s="14"/>
      <c r="D269" s="15" t="s">
        <v>1771</v>
      </c>
      <c r="E269" s="14"/>
      <c r="F269" s="14"/>
      <c r="G269" s="14" t="s">
        <v>1772</v>
      </c>
    </row>
    <row r="270" spans="2:7" ht="12" customHeight="1">
      <c r="B270" s="15" t="s">
        <v>1982</v>
      </c>
      <c r="C270" s="14"/>
      <c r="D270" s="15" t="s">
        <v>1983</v>
      </c>
      <c r="E270" s="14"/>
      <c r="F270" s="14"/>
      <c r="G270" s="14" t="s">
        <v>1984</v>
      </c>
    </row>
    <row r="271" spans="2:7" ht="12" customHeight="1">
      <c r="B271" s="15" t="s">
        <v>1985</v>
      </c>
      <c r="C271" s="14"/>
      <c r="D271" s="15" t="s">
        <v>1986</v>
      </c>
      <c r="E271" s="14"/>
      <c r="F271" s="14"/>
      <c r="G271" s="14" t="s">
        <v>1987</v>
      </c>
    </row>
    <row r="272" spans="2:7" ht="12" customHeight="1">
      <c r="B272" s="15" t="s">
        <v>1955</v>
      </c>
      <c r="C272" s="14"/>
      <c r="D272" s="15" t="s">
        <v>1956</v>
      </c>
      <c r="E272" s="14"/>
      <c r="F272" s="14"/>
      <c r="G272" s="14" t="s">
        <v>1957</v>
      </c>
    </row>
    <row r="273" spans="2:7" ht="12" customHeight="1">
      <c r="B273" s="15" t="s">
        <v>1958</v>
      </c>
      <c r="C273" s="14"/>
      <c r="D273" s="15" t="s">
        <v>1959</v>
      </c>
      <c r="E273" s="14"/>
      <c r="F273" s="14"/>
      <c r="G273" s="14" t="s">
        <v>1960</v>
      </c>
    </row>
    <row r="274" spans="2:7" ht="12" customHeight="1">
      <c r="B274" s="15" t="s">
        <v>1961</v>
      </c>
      <c r="C274" s="14"/>
      <c r="D274" s="15" t="s">
        <v>1962</v>
      </c>
      <c r="E274" s="14"/>
      <c r="F274" s="14"/>
      <c r="G274" s="14" t="s">
        <v>1963</v>
      </c>
    </row>
    <row r="275" spans="2:7" ht="12" customHeight="1">
      <c r="B275" s="15" t="s">
        <v>1964</v>
      </c>
      <c r="C275" s="14"/>
      <c r="D275" s="15" t="s">
        <v>1965</v>
      </c>
      <c r="E275" s="14"/>
      <c r="F275" s="14"/>
      <c r="G275" s="14" t="s">
        <v>1966</v>
      </c>
    </row>
    <row r="276" spans="2:7" ht="12" customHeight="1">
      <c r="B276" s="15" t="s">
        <v>1869</v>
      </c>
      <c r="C276" s="14"/>
      <c r="D276" s="15" t="s">
        <v>1870</v>
      </c>
      <c r="E276" s="14"/>
      <c r="F276" s="14"/>
      <c r="G276" s="14" t="s">
        <v>1871</v>
      </c>
    </row>
    <row r="277" spans="2:7" ht="12" customHeight="1">
      <c r="B277" s="15" t="s">
        <v>1872</v>
      </c>
      <c r="C277" s="14"/>
      <c r="D277" s="15" t="s">
        <v>1873</v>
      </c>
      <c r="E277" s="14"/>
      <c r="F277" s="14"/>
      <c r="G277" s="14" t="s">
        <v>1874</v>
      </c>
    </row>
    <row r="278" spans="2:7" ht="12" customHeight="1">
      <c r="B278" s="15" t="s">
        <v>1875</v>
      </c>
      <c r="C278" s="14"/>
      <c r="D278" s="15" t="s">
        <v>1876</v>
      </c>
      <c r="E278" s="14"/>
      <c r="F278" s="14"/>
      <c r="G278" s="14" t="s">
        <v>1877</v>
      </c>
    </row>
    <row r="279" spans="2:7" ht="12" customHeight="1">
      <c r="B279" s="15" t="s">
        <v>1878</v>
      </c>
      <c r="C279" s="14"/>
      <c r="D279" s="15" t="s">
        <v>1879</v>
      </c>
      <c r="E279" s="14"/>
      <c r="F279" s="14"/>
      <c r="G279" s="14" t="s">
        <v>1880</v>
      </c>
    </row>
    <row r="280" spans="2:7" ht="12" customHeight="1">
      <c r="B280" s="15" t="s">
        <v>1881</v>
      </c>
      <c r="C280" s="14"/>
      <c r="D280" s="15" t="s">
        <v>1882</v>
      </c>
      <c r="E280" s="14"/>
      <c r="F280" s="14"/>
      <c r="G280" s="14" t="s">
        <v>1883</v>
      </c>
    </row>
    <row r="281" spans="2:7" ht="12" customHeight="1">
      <c r="B281" s="15" t="s">
        <v>1884</v>
      </c>
      <c r="C281" s="14"/>
      <c r="D281" s="15" t="s">
        <v>1885</v>
      </c>
      <c r="E281" s="14"/>
      <c r="F281" s="14"/>
      <c r="G281" s="14" t="s">
        <v>1886</v>
      </c>
    </row>
    <row r="282" spans="2:7" ht="12" customHeight="1">
      <c r="B282" s="15" t="s">
        <v>1773</v>
      </c>
      <c r="C282" s="14"/>
      <c r="D282" s="15" t="s">
        <v>1774</v>
      </c>
      <c r="E282" s="14"/>
      <c r="F282" s="14"/>
      <c r="G282" s="14" t="s">
        <v>1775</v>
      </c>
    </row>
    <row r="283" spans="2:7" ht="12" customHeight="1">
      <c r="B283" s="15" t="s">
        <v>1803</v>
      </c>
      <c r="C283" s="14"/>
      <c r="D283" s="15" t="s">
        <v>1804</v>
      </c>
      <c r="E283" s="14"/>
      <c r="F283" s="14"/>
      <c r="G283" s="14" t="s">
        <v>1805</v>
      </c>
    </row>
    <row r="284" spans="2:7" ht="12" customHeight="1">
      <c r="B284" s="15" t="s">
        <v>1806</v>
      </c>
      <c r="C284" s="14"/>
      <c r="D284" s="15" t="s">
        <v>1807</v>
      </c>
      <c r="E284" s="14"/>
      <c r="F284" s="14"/>
      <c r="G284" s="14" t="s">
        <v>1808</v>
      </c>
    </row>
    <row r="285" spans="2:7" ht="12" customHeight="1">
      <c r="B285" s="15" t="s">
        <v>1809</v>
      </c>
      <c r="C285" s="14"/>
      <c r="D285" s="15" t="s">
        <v>1810</v>
      </c>
      <c r="E285" s="14"/>
      <c r="F285" s="14"/>
      <c r="G285" s="14" t="s">
        <v>1811</v>
      </c>
    </row>
    <row r="286" spans="2:7" ht="12" customHeight="1">
      <c r="B286" s="15" t="s">
        <v>1812</v>
      </c>
      <c r="C286" s="14"/>
      <c r="D286" s="15" t="s">
        <v>1813</v>
      </c>
      <c r="E286" s="14"/>
      <c r="F286" s="14"/>
      <c r="G286" s="14" t="s">
        <v>1814</v>
      </c>
    </row>
    <row r="287" spans="2:7" ht="12" customHeight="1">
      <c r="B287" s="15" t="s">
        <v>2075</v>
      </c>
      <c r="C287" s="14"/>
      <c r="D287" s="15" t="s">
        <v>2076</v>
      </c>
      <c r="E287" s="14"/>
      <c r="F287" s="14"/>
      <c r="G287" s="14" t="s">
        <v>2077</v>
      </c>
    </row>
    <row r="288" spans="2:7" ht="12" customHeight="1">
      <c r="B288" s="15" t="s">
        <v>2078</v>
      </c>
      <c r="C288" s="14"/>
      <c r="D288" s="15" t="s">
        <v>2079</v>
      </c>
      <c r="E288" s="14"/>
      <c r="F288" s="14"/>
      <c r="G288" s="14" t="s">
        <v>2080</v>
      </c>
    </row>
    <row r="289" spans="2:7" ht="12" customHeight="1">
      <c r="B289" s="15" t="s">
        <v>2081</v>
      </c>
      <c r="C289" s="14"/>
      <c r="D289" s="15" t="s">
        <v>2082</v>
      </c>
      <c r="E289" s="14"/>
      <c r="F289" s="14"/>
      <c r="G289" s="14" t="s">
        <v>2083</v>
      </c>
    </row>
    <row r="290" spans="2:7" ht="12" customHeight="1">
      <c r="B290" s="15" t="s">
        <v>2084</v>
      </c>
      <c r="C290" s="14"/>
      <c r="D290" s="15" t="s">
        <v>2085</v>
      </c>
      <c r="E290" s="14"/>
      <c r="F290" s="14"/>
      <c r="G290" s="14" t="s">
        <v>2086</v>
      </c>
    </row>
    <row r="291" spans="2:7" ht="12" customHeight="1">
      <c r="B291" s="15" t="s">
        <v>2087</v>
      </c>
      <c r="C291" s="14"/>
      <c r="D291" s="15" t="s">
        <v>2088</v>
      </c>
      <c r="E291" s="14"/>
      <c r="F291" s="14"/>
      <c r="G291" s="14" t="s">
        <v>2089</v>
      </c>
    </row>
    <row r="292" spans="2:7" ht="12" customHeight="1">
      <c r="B292" s="15" t="s">
        <v>1887</v>
      </c>
      <c r="C292" s="14"/>
      <c r="D292" s="15" t="s">
        <v>1888</v>
      </c>
      <c r="E292" s="14"/>
      <c r="F292" s="14"/>
      <c r="G292" s="14" t="s">
        <v>1889</v>
      </c>
    </row>
    <row r="293" spans="2:7" ht="12" customHeight="1">
      <c r="B293" s="15" t="s">
        <v>1890</v>
      </c>
      <c r="C293" s="14"/>
      <c r="D293" s="15" t="s">
        <v>1891</v>
      </c>
      <c r="E293" s="14"/>
      <c r="F293" s="14"/>
      <c r="G293" s="14" t="s">
        <v>1892</v>
      </c>
    </row>
    <row r="294" spans="2:7" ht="12" customHeight="1">
      <c r="B294" s="15" t="s">
        <v>1857</v>
      </c>
      <c r="C294" s="14"/>
      <c r="D294" s="15" t="s">
        <v>1858</v>
      </c>
      <c r="E294" s="14"/>
      <c r="F294" s="14"/>
      <c r="G294" s="14" t="s">
        <v>1859</v>
      </c>
    </row>
    <row r="295" spans="2:7" ht="12" customHeight="1">
      <c r="B295" s="15" t="s">
        <v>1860</v>
      </c>
      <c r="C295" s="14"/>
      <c r="D295" s="15" t="s">
        <v>1861</v>
      </c>
      <c r="E295" s="14"/>
      <c r="F295" s="14"/>
      <c r="G295" s="14" t="s">
        <v>1862</v>
      </c>
    </row>
    <row r="296" spans="2:7" ht="12" customHeight="1">
      <c r="B296" s="15" t="s">
        <v>1863</v>
      </c>
      <c r="C296" s="14"/>
      <c r="D296" s="15" t="s">
        <v>1864</v>
      </c>
      <c r="E296" s="14"/>
      <c r="F296" s="14"/>
      <c r="G296" s="14" t="s">
        <v>1865</v>
      </c>
    </row>
    <row r="297" spans="2:7" ht="12" customHeight="1">
      <c r="B297" s="15" t="s">
        <v>1815</v>
      </c>
      <c r="C297" s="14"/>
      <c r="D297" s="15" t="s">
        <v>1816</v>
      </c>
      <c r="E297" s="14"/>
      <c r="F297" s="14"/>
      <c r="G297" s="14" t="s">
        <v>1817</v>
      </c>
    </row>
    <row r="298" spans="2:7" ht="12" customHeight="1">
      <c r="B298" s="15" t="s">
        <v>1818</v>
      </c>
      <c r="C298" s="14"/>
      <c r="D298" s="15" t="s">
        <v>1819</v>
      </c>
      <c r="E298" s="14"/>
      <c r="F298" s="14"/>
      <c r="G298" s="14" t="s">
        <v>1820</v>
      </c>
    </row>
    <row r="299" spans="2:7" ht="12" customHeight="1">
      <c r="B299" s="15" t="s">
        <v>1845</v>
      </c>
      <c r="C299" s="14"/>
      <c r="D299" s="15" t="s">
        <v>1846</v>
      </c>
      <c r="E299" s="14"/>
      <c r="F299" s="14"/>
      <c r="G299" s="14" t="s">
        <v>1847</v>
      </c>
    </row>
    <row r="300" spans="2:7" ht="12" customHeight="1">
      <c r="B300" s="15" t="s">
        <v>1848</v>
      </c>
      <c r="C300" s="14"/>
      <c r="D300" s="15" t="s">
        <v>1849</v>
      </c>
      <c r="E300" s="14"/>
      <c r="F300" s="14"/>
      <c r="G300" s="14" t="s">
        <v>1850</v>
      </c>
    </row>
    <row r="301" spans="2:7" ht="12" customHeight="1">
      <c r="B301" s="15" t="s">
        <v>1893</v>
      </c>
      <c r="C301" s="14"/>
      <c r="D301" s="15" t="s">
        <v>1894</v>
      </c>
      <c r="E301" s="14"/>
      <c r="F301" s="14"/>
      <c r="G301" s="14" t="s">
        <v>1895</v>
      </c>
    </row>
    <row r="302" spans="2:7" ht="12" customHeight="1">
      <c r="B302" s="15" t="s">
        <v>1896</v>
      </c>
      <c r="C302" s="14"/>
      <c r="D302" s="15" t="s">
        <v>1897</v>
      </c>
      <c r="E302" s="14"/>
      <c r="F302" s="14"/>
      <c r="G302" s="14" t="s">
        <v>1898</v>
      </c>
    </row>
    <row r="303" spans="2:7" ht="12" customHeight="1">
      <c r="B303" s="15" t="s">
        <v>2090</v>
      </c>
      <c r="C303" s="14"/>
      <c r="D303" s="15" t="s">
        <v>2091</v>
      </c>
      <c r="E303" s="14"/>
      <c r="F303" s="14"/>
      <c r="G303" s="14" t="s">
        <v>2092</v>
      </c>
    </row>
    <row r="304" spans="2:7" ht="12" customHeight="1">
      <c r="B304" s="15" t="s">
        <v>2093</v>
      </c>
      <c r="C304" s="14"/>
      <c r="D304" s="15" t="s">
        <v>2094</v>
      </c>
      <c r="E304" s="14"/>
      <c r="F304" s="14"/>
      <c r="G304" s="14" t="s">
        <v>2095</v>
      </c>
    </row>
    <row r="305" spans="2:7" ht="12" customHeight="1">
      <c r="B305" s="15" t="s">
        <v>2096</v>
      </c>
      <c r="C305" s="14"/>
      <c r="D305" s="15" t="s">
        <v>2097</v>
      </c>
      <c r="E305" s="14"/>
      <c r="F305" s="14"/>
      <c r="G305" s="14" t="s">
        <v>2098</v>
      </c>
    </row>
    <row r="306" spans="2:7" ht="12" customHeight="1">
      <c r="B306" s="15" t="s">
        <v>2099</v>
      </c>
      <c r="C306" s="14"/>
      <c r="D306" s="15" t="s">
        <v>2100</v>
      </c>
      <c r="E306" s="14"/>
      <c r="F306" s="14"/>
      <c r="G306" s="14" t="s">
        <v>2101</v>
      </c>
    </row>
    <row r="307" spans="2:7" ht="12" customHeight="1">
      <c r="B307" s="15" t="s">
        <v>1938</v>
      </c>
      <c r="C307" s="14"/>
      <c r="D307" s="15" t="s">
        <v>1939</v>
      </c>
      <c r="E307" s="14"/>
      <c r="F307" s="14"/>
      <c r="G307" s="14" t="s">
        <v>1940</v>
      </c>
    </row>
    <row r="308" spans="2:7" ht="12" customHeight="1">
      <c r="B308" s="15" t="s">
        <v>1941</v>
      </c>
      <c r="C308" s="14"/>
      <c r="D308" s="15" t="s">
        <v>1942</v>
      </c>
      <c r="E308" s="14"/>
      <c r="F308" s="14"/>
      <c r="G308" s="14" t="s">
        <v>1943</v>
      </c>
    </row>
    <row r="309" spans="2:7" ht="12" customHeight="1">
      <c r="B309" s="15" t="s">
        <v>1726</v>
      </c>
      <c r="C309" s="14"/>
      <c r="D309" s="15" t="s">
        <v>1727</v>
      </c>
      <c r="E309" s="14"/>
      <c r="F309" s="14"/>
      <c r="G309" s="14" t="s">
        <v>1728</v>
      </c>
    </row>
    <row r="310" spans="2:7" ht="12" customHeight="1">
      <c r="B310" s="15" t="s">
        <v>1729</v>
      </c>
      <c r="C310" s="14"/>
      <c r="D310" s="15" t="s">
        <v>1730</v>
      </c>
      <c r="E310" s="14"/>
      <c r="F310" s="14"/>
      <c r="G310" s="14" t="s">
        <v>1731</v>
      </c>
    </row>
    <row r="311" spans="2:7" ht="12" customHeight="1">
      <c r="B311" s="15" t="s">
        <v>1732</v>
      </c>
      <c r="C311" s="14"/>
      <c r="D311" s="15" t="s">
        <v>1733</v>
      </c>
      <c r="E311" s="14"/>
      <c r="F311" s="14"/>
      <c r="G311" s="14" t="s">
        <v>1734</v>
      </c>
    </row>
    <row r="312" spans="2:7" ht="12" customHeight="1">
      <c r="B312" s="15" t="s">
        <v>1735</v>
      </c>
      <c r="C312" s="14"/>
      <c r="D312" s="15" t="s">
        <v>1736</v>
      </c>
      <c r="E312" s="14"/>
      <c r="F312" s="14"/>
      <c r="G312" s="14" t="s">
        <v>1737</v>
      </c>
    </row>
    <row r="313" spans="2:7" ht="12" customHeight="1">
      <c r="B313" s="15" t="s">
        <v>1738</v>
      </c>
      <c r="C313" s="14"/>
      <c r="D313" s="15" t="s">
        <v>1739</v>
      </c>
      <c r="E313" s="14"/>
      <c r="F313" s="14"/>
      <c r="G313" s="14" t="s">
        <v>1740</v>
      </c>
    </row>
    <row r="314" spans="2:7" ht="12" customHeight="1">
      <c r="B314" s="15" t="s">
        <v>1899</v>
      </c>
      <c r="C314" s="14"/>
      <c r="D314" s="15" t="s">
        <v>1900</v>
      </c>
      <c r="E314" s="14"/>
      <c r="F314" s="14"/>
      <c r="G314" s="14" t="s">
        <v>1901</v>
      </c>
    </row>
    <row r="315" spans="2:7" ht="12" customHeight="1">
      <c r="B315" s="15" t="s">
        <v>1902</v>
      </c>
      <c r="C315" s="14"/>
      <c r="D315" s="15" t="s">
        <v>1903</v>
      </c>
      <c r="E315" s="14"/>
      <c r="F315" s="14"/>
      <c r="G315" s="14" t="s">
        <v>1904</v>
      </c>
    </row>
    <row r="316" spans="2:7" ht="12" customHeight="1">
      <c r="B316" s="15" t="s">
        <v>1905</v>
      </c>
      <c r="C316" s="14"/>
      <c r="D316" s="15" t="s">
        <v>1906</v>
      </c>
      <c r="E316" s="14"/>
      <c r="F316" s="14"/>
      <c r="G316" s="14" t="s">
        <v>1907</v>
      </c>
    </row>
    <row r="317" spans="2:7" ht="12" customHeight="1">
      <c r="B317" s="15" t="s">
        <v>1908</v>
      </c>
      <c r="C317" s="14"/>
      <c r="D317" s="15" t="s">
        <v>1909</v>
      </c>
      <c r="E317" s="14"/>
      <c r="F317" s="14"/>
      <c r="G317" s="14" t="s">
        <v>1910</v>
      </c>
    </row>
    <row r="318" spans="2:7" ht="12" customHeight="1">
      <c r="B318" s="15" t="s">
        <v>1851</v>
      </c>
      <c r="C318" s="14"/>
      <c r="D318" s="15" t="s">
        <v>1852</v>
      </c>
      <c r="E318" s="14"/>
      <c r="F318" s="14"/>
      <c r="G318" s="14" t="s">
        <v>1853</v>
      </c>
    </row>
    <row r="319" spans="2:7" ht="12" customHeight="1">
      <c r="B319" s="15" t="s">
        <v>1944</v>
      </c>
      <c r="C319" s="14"/>
      <c r="D319" s="15" t="s">
        <v>1534</v>
      </c>
      <c r="E319" s="14"/>
      <c r="F319" s="14"/>
      <c r="G319" s="14" t="s">
        <v>1945</v>
      </c>
    </row>
    <row r="320" spans="2:7" ht="12" customHeight="1">
      <c r="B320" s="15" t="s">
        <v>1645</v>
      </c>
      <c r="C320" s="14"/>
      <c r="D320" s="15" t="s">
        <v>1646</v>
      </c>
      <c r="E320" s="14"/>
      <c r="F320" s="14"/>
      <c r="G320" s="14" t="s">
        <v>1647</v>
      </c>
    </row>
    <row r="321" spans="2:7" ht="12" customHeight="1">
      <c r="B321" s="15" t="s">
        <v>1648</v>
      </c>
      <c r="C321" s="14"/>
      <c r="D321" s="15" t="s">
        <v>1649</v>
      </c>
      <c r="E321" s="14"/>
      <c r="F321" s="14"/>
      <c r="G321" s="14" t="s">
        <v>1650</v>
      </c>
    </row>
    <row r="322" spans="2:7" ht="12" customHeight="1">
      <c r="B322" s="15" t="s">
        <v>1651</v>
      </c>
      <c r="C322" s="14"/>
      <c r="D322" s="15" t="s">
        <v>1652</v>
      </c>
      <c r="E322" s="14"/>
      <c r="F322" s="14"/>
      <c r="G322" s="14" t="s">
        <v>1653</v>
      </c>
    </row>
    <row r="323" spans="2:7" ht="12" customHeight="1">
      <c r="B323" s="15" t="s">
        <v>1654</v>
      </c>
      <c r="C323" s="14"/>
      <c r="D323" s="15" t="s">
        <v>1655</v>
      </c>
      <c r="E323" s="14"/>
      <c r="F323" s="14"/>
      <c r="G323" s="14" t="s">
        <v>1656</v>
      </c>
    </row>
    <row r="324" spans="2:7" ht="12" customHeight="1">
      <c r="B324" s="15" t="s">
        <v>1741</v>
      </c>
      <c r="C324" s="14"/>
      <c r="D324" s="15" t="s">
        <v>1742</v>
      </c>
      <c r="E324" s="14"/>
      <c r="F324" s="14"/>
      <c r="G324" s="14" t="s">
        <v>1743</v>
      </c>
    </row>
    <row r="325" spans="2:7" ht="12" customHeight="1">
      <c r="B325" s="15" t="s">
        <v>1744</v>
      </c>
      <c r="C325" s="14"/>
      <c r="D325" s="15" t="s">
        <v>1745</v>
      </c>
      <c r="E325" s="14"/>
      <c r="F325" s="14"/>
      <c r="G325" s="14" t="s">
        <v>1746</v>
      </c>
    </row>
    <row r="326" spans="2:7" ht="12" customHeight="1">
      <c r="B326" s="15" t="s">
        <v>1747</v>
      </c>
      <c r="C326" s="14"/>
      <c r="D326" s="15" t="s">
        <v>1748</v>
      </c>
      <c r="E326" s="14"/>
      <c r="F326" s="14"/>
      <c r="G326" s="14" t="s">
        <v>1749</v>
      </c>
    </row>
    <row r="327" spans="2:7" ht="12" customHeight="1">
      <c r="B327" s="15" t="s">
        <v>1750</v>
      </c>
      <c r="C327" s="14"/>
      <c r="D327" s="15" t="s">
        <v>1751</v>
      </c>
      <c r="E327" s="14"/>
      <c r="F327" s="14"/>
      <c r="G327" s="14" t="s">
        <v>1752</v>
      </c>
    </row>
    <row r="328" spans="2:7" ht="12" customHeight="1">
      <c r="B328" s="15" t="s">
        <v>1854</v>
      </c>
      <c r="C328" s="14"/>
      <c r="D328" s="15" t="s">
        <v>1855</v>
      </c>
      <c r="E328" s="14"/>
      <c r="F328" s="14"/>
      <c r="G328" s="14" t="s">
        <v>1856</v>
      </c>
    </row>
    <row r="329" spans="2:7" ht="12" customHeight="1">
      <c r="B329" s="15" t="s">
        <v>1657</v>
      </c>
      <c r="C329" s="14"/>
      <c r="D329" s="15" t="s">
        <v>1658</v>
      </c>
      <c r="E329" s="14"/>
      <c r="F329" s="14"/>
      <c r="G329" s="14" t="s">
        <v>1659</v>
      </c>
    </row>
    <row r="330" spans="2:7" ht="12" customHeight="1">
      <c r="B330" s="15" t="s">
        <v>1660</v>
      </c>
      <c r="C330" s="14"/>
      <c r="D330" s="15" t="s">
        <v>1661</v>
      </c>
      <c r="E330" s="14"/>
      <c r="F330" s="14"/>
      <c r="G330" s="14" t="s">
        <v>1662</v>
      </c>
    </row>
    <row r="331" spans="2:7" ht="12" customHeight="1">
      <c r="B331" s="15" t="s">
        <v>1690</v>
      </c>
      <c r="C331" s="14"/>
      <c r="D331" s="15" t="s">
        <v>1691</v>
      </c>
      <c r="E331" s="14"/>
      <c r="F331" s="14"/>
      <c r="G331" s="14" t="s">
        <v>1692</v>
      </c>
    </row>
    <row r="332" spans="2:7" ht="12" customHeight="1">
      <c r="B332" s="15" t="s">
        <v>1753</v>
      </c>
      <c r="C332" s="14"/>
      <c r="D332" s="15" t="s">
        <v>1754</v>
      </c>
      <c r="E332" s="14"/>
      <c r="F332" s="14"/>
      <c r="G332" s="14" t="s">
        <v>1755</v>
      </c>
    </row>
    <row r="333" spans="2:7" ht="12" customHeight="1">
      <c r="B333" s="15" t="s">
        <v>1756</v>
      </c>
      <c r="C333" s="14"/>
      <c r="D333" s="15" t="s">
        <v>1757</v>
      </c>
      <c r="E333" s="14"/>
      <c r="F333" s="14"/>
      <c r="G333" s="14" t="s">
        <v>1758</v>
      </c>
    </row>
    <row r="334" spans="2:7" ht="12" customHeight="1">
      <c r="B334" s="15" t="s">
        <v>1693</v>
      </c>
      <c r="C334" s="14"/>
      <c r="D334" s="15" t="s">
        <v>1694</v>
      </c>
      <c r="E334" s="14"/>
      <c r="F334" s="14"/>
      <c r="G334" s="14" t="s">
        <v>1695</v>
      </c>
    </row>
    <row r="335" spans="2:7" ht="12" customHeight="1">
      <c r="B335" s="15" t="s">
        <v>1696</v>
      </c>
      <c r="C335" s="14"/>
      <c r="D335" s="15" t="s">
        <v>1697</v>
      </c>
      <c r="E335" s="14"/>
      <c r="F335" s="14"/>
      <c r="G335" s="14" t="s">
        <v>1698</v>
      </c>
    </row>
    <row r="336" spans="2:7" ht="12" customHeight="1">
      <c r="B336" s="15" t="s">
        <v>1699</v>
      </c>
      <c r="C336" s="14"/>
      <c r="D336" s="15" t="s">
        <v>1700</v>
      </c>
      <c r="E336" s="14"/>
      <c r="F336" s="14"/>
      <c r="G336" s="14" t="s">
        <v>1701</v>
      </c>
    </row>
    <row r="337" spans="2:7" ht="12" customHeight="1">
      <c r="B337" s="15" t="s">
        <v>1702</v>
      </c>
      <c r="C337" s="14"/>
      <c r="D337" s="15" t="s">
        <v>1703</v>
      </c>
      <c r="E337" s="14"/>
      <c r="F337" s="14"/>
      <c r="G337" s="14" t="s">
        <v>1704</v>
      </c>
    </row>
    <row r="338" spans="2:7" ht="12" customHeight="1">
      <c r="B338" s="15" t="s">
        <v>1705</v>
      </c>
      <c r="C338" s="14"/>
      <c r="D338" s="15" t="s">
        <v>1706</v>
      </c>
      <c r="E338" s="14"/>
      <c r="F338" s="14"/>
      <c r="G338" s="14" t="s">
        <v>1707</v>
      </c>
    </row>
    <row r="339" spans="2:7" ht="12" customHeight="1">
      <c r="B339" s="15" t="s">
        <v>1776</v>
      </c>
      <c r="C339" s="14"/>
      <c r="D339" s="15" t="s">
        <v>1777</v>
      </c>
      <c r="E339" s="14"/>
      <c r="F339" s="14"/>
      <c r="G339" s="14" t="s">
        <v>1778</v>
      </c>
    </row>
    <row r="340" spans="2:7" ht="12" customHeight="1">
      <c r="B340" s="15" t="s">
        <v>1779</v>
      </c>
      <c r="C340" s="14"/>
      <c r="D340" s="15" t="s">
        <v>1780</v>
      </c>
      <c r="E340" s="14"/>
      <c r="F340" s="14"/>
      <c r="G340" s="14" t="s">
        <v>1781</v>
      </c>
    </row>
    <row r="341" spans="2:7" ht="12" customHeight="1">
      <c r="B341" s="15" t="s">
        <v>1782</v>
      </c>
      <c r="C341" s="14"/>
      <c r="D341" s="15" t="s">
        <v>1783</v>
      </c>
      <c r="E341" s="14"/>
      <c r="F341" s="14"/>
      <c r="G341" s="14" t="s">
        <v>1784</v>
      </c>
    </row>
    <row r="342" spans="2:7" ht="12" customHeight="1">
      <c r="B342" s="15" t="s">
        <v>1627</v>
      </c>
      <c r="C342" s="14"/>
      <c r="D342" s="15" t="s">
        <v>1628</v>
      </c>
      <c r="E342" s="14"/>
      <c r="F342" s="14"/>
      <c r="G342" s="14" t="s">
        <v>1629</v>
      </c>
    </row>
    <row r="343" spans="2:7" ht="12" customHeight="1">
      <c r="B343" s="15" t="s">
        <v>1630</v>
      </c>
      <c r="C343" s="14"/>
      <c r="D343" s="15" t="s">
        <v>1631</v>
      </c>
      <c r="E343" s="14"/>
      <c r="F343" s="14"/>
      <c r="G343" s="14" t="s">
        <v>1632</v>
      </c>
    </row>
    <row r="344" spans="2:7" ht="12" customHeight="1">
      <c r="B344" s="15" t="s">
        <v>1785</v>
      </c>
      <c r="C344" s="14"/>
      <c r="D344" s="15" t="s">
        <v>1786</v>
      </c>
      <c r="E344" s="14"/>
      <c r="F344" s="14"/>
      <c r="G344" s="14" t="s">
        <v>1787</v>
      </c>
    </row>
    <row r="345" spans="2:7" ht="12" customHeight="1">
      <c r="B345" s="15" t="s">
        <v>1788</v>
      </c>
      <c r="C345" s="14"/>
      <c r="D345" s="15" t="s">
        <v>1789</v>
      </c>
      <c r="E345" s="14"/>
      <c r="F345" s="14"/>
      <c r="G345" s="14" t="s">
        <v>1790</v>
      </c>
    </row>
    <row r="346" spans="2:7" ht="12" customHeight="1">
      <c r="B346" s="15" t="s">
        <v>1791</v>
      </c>
      <c r="C346" s="14"/>
      <c r="D346" s="15" t="s">
        <v>1792</v>
      </c>
      <c r="E346" s="14"/>
      <c r="F346" s="14"/>
      <c r="G346" s="14" t="s">
        <v>1793</v>
      </c>
    </row>
    <row r="347" spans="2:7" ht="12" customHeight="1">
      <c r="B347" s="15" t="s">
        <v>1794</v>
      </c>
      <c r="C347" s="14"/>
      <c r="D347" s="15" t="s">
        <v>1795</v>
      </c>
      <c r="E347" s="14"/>
      <c r="F347" s="14"/>
      <c r="G347" s="14" t="s">
        <v>1796</v>
      </c>
    </row>
    <row r="348" spans="2:7" ht="12" customHeight="1">
      <c r="B348" s="15" t="s">
        <v>1797</v>
      </c>
      <c r="C348" s="14"/>
      <c r="D348" s="15" t="s">
        <v>1798</v>
      </c>
      <c r="E348" s="14"/>
      <c r="F348" s="14"/>
      <c r="G348" s="14" t="s">
        <v>1799</v>
      </c>
    </row>
    <row r="349" spans="2:7" ht="12" customHeight="1">
      <c r="B349" s="15" t="s">
        <v>1633</v>
      </c>
      <c r="C349" s="14"/>
      <c r="D349" s="15" t="s">
        <v>1634</v>
      </c>
      <c r="E349" s="14"/>
      <c r="F349" s="14"/>
      <c r="G349" s="14" t="s">
        <v>1635</v>
      </c>
    </row>
    <row r="350" spans="2:7" ht="12" customHeight="1">
      <c r="B350" s="15" t="s">
        <v>1636</v>
      </c>
      <c r="C350" s="14"/>
      <c r="D350" s="15" t="s">
        <v>1637</v>
      </c>
      <c r="E350" s="14"/>
      <c r="F350" s="14"/>
      <c r="G350" s="14" t="s">
        <v>1638</v>
      </c>
    </row>
    <row r="351" spans="2:7" ht="12" customHeight="1">
      <c r="B351" s="15" t="s">
        <v>1639</v>
      </c>
      <c r="C351" s="14"/>
      <c r="D351" s="15" t="s">
        <v>1640</v>
      </c>
      <c r="E351" s="14"/>
      <c r="F351" s="14"/>
      <c r="G351" s="14" t="s">
        <v>1641</v>
      </c>
    </row>
    <row r="352" spans="2:7" ht="12" customHeight="1">
      <c r="B352" s="15" t="s">
        <v>1642</v>
      </c>
      <c r="C352" s="14"/>
      <c r="D352" s="15" t="s">
        <v>1643</v>
      </c>
      <c r="E352" s="14"/>
      <c r="F352" s="14"/>
      <c r="G352" s="14" t="s">
        <v>1644</v>
      </c>
    </row>
    <row r="353" spans="2:7" ht="12" customHeight="1">
      <c r="B353" s="15" t="s">
        <v>1663</v>
      </c>
      <c r="C353" s="14"/>
      <c r="D353" s="15" t="s">
        <v>1664</v>
      </c>
      <c r="E353" s="14"/>
      <c r="F353" s="14"/>
      <c r="G353" s="14" t="s">
        <v>1665</v>
      </c>
    </row>
    <row r="354" spans="2:7" ht="12" customHeight="1">
      <c r="B354" s="15" t="s">
        <v>1800</v>
      </c>
      <c r="C354" s="14"/>
      <c r="D354" s="15" t="s">
        <v>1801</v>
      </c>
      <c r="E354" s="14"/>
      <c r="F354" s="14"/>
      <c r="G354" s="14" t="s">
        <v>1802</v>
      </c>
    </row>
    <row r="355" spans="2:7" ht="12" customHeight="1">
      <c r="B355" s="15" t="s">
        <v>1609</v>
      </c>
      <c r="C355" s="14"/>
      <c r="D355" s="15" t="s">
        <v>1610</v>
      </c>
      <c r="E355" s="14"/>
      <c r="F355" s="14"/>
      <c r="G355" s="14" t="s">
        <v>1611</v>
      </c>
    </row>
    <row r="356" spans="2:7" ht="12" customHeight="1">
      <c r="B356" s="15" t="s">
        <v>1612</v>
      </c>
      <c r="C356" s="14"/>
      <c r="D356" s="15" t="s">
        <v>1613</v>
      </c>
      <c r="E356" s="14"/>
      <c r="F356" s="14"/>
      <c r="G356" s="14" t="s">
        <v>1614</v>
      </c>
    </row>
    <row r="357" spans="2:7" ht="12" customHeight="1">
      <c r="B357" s="15" t="s">
        <v>1615</v>
      </c>
      <c r="C357" s="14"/>
      <c r="D357" s="15" t="s">
        <v>1616</v>
      </c>
      <c r="E357" s="14"/>
      <c r="F357" s="14"/>
      <c r="G357" s="14" t="s">
        <v>1617</v>
      </c>
    </row>
    <row r="358" spans="2:7" ht="12" customHeight="1">
      <c r="B358" s="15" t="s">
        <v>1618</v>
      </c>
      <c r="C358" s="14"/>
      <c r="D358" s="15" t="s">
        <v>1619</v>
      </c>
      <c r="E358" s="14"/>
      <c r="F358" s="14"/>
      <c r="G358" s="14" t="s">
        <v>1620</v>
      </c>
    </row>
    <row r="359" spans="2:7" ht="12" customHeight="1">
      <c r="B359" s="15" t="s">
        <v>1621</v>
      </c>
      <c r="C359" s="14"/>
      <c r="D359" s="15" t="s">
        <v>1622</v>
      </c>
      <c r="E359" s="14"/>
      <c r="F359" s="14"/>
      <c r="G359" s="14" t="s">
        <v>1623</v>
      </c>
    </row>
    <row r="360" spans="2:7" ht="12" customHeight="1">
      <c r="B360" s="15" t="s">
        <v>1624</v>
      </c>
      <c r="C360" s="14"/>
      <c r="D360" s="15" t="s">
        <v>1625</v>
      </c>
      <c r="E360" s="14"/>
      <c r="F360" s="14"/>
      <c r="G360" s="14" t="s">
        <v>1626</v>
      </c>
    </row>
    <row r="361" spans="2:7" ht="12" customHeight="1">
      <c r="B361" s="15" t="s">
        <v>1821</v>
      </c>
      <c r="C361" s="14"/>
      <c r="D361" s="15" t="s">
        <v>1822</v>
      </c>
      <c r="E361" s="14"/>
      <c r="F361" s="14"/>
      <c r="G361" s="14" t="s">
        <v>1823</v>
      </c>
    </row>
    <row r="362" spans="2:7" ht="12" customHeight="1">
      <c r="B362" s="15" t="s">
        <v>1824</v>
      </c>
      <c r="C362" s="14"/>
      <c r="D362" s="15" t="s">
        <v>1825</v>
      </c>
      <c r="E362" s="14"/>
      <c r="F362" s="14"/>
      <c r="G362" s="14" t="s">
        <v>1826</v>
      </c>
    </row>
    <row r="363" spans="2:7" ht="12" customHeight="1">
      <c r="B363" s="15" t="s">
        <v>1827</v>
      </c>
      <c r="C363" s="14"/>
      <c r="D363" s="15" t="s">
        <v>1828</v>
      </c>
      <c r="E363" s="14"/>
      <c r="F363" s="14"/>
      <c r="G363" s="14" t="s">
        <v>1829</v>
      </c>
    </row>
    <row r="364" spans="2:7" ht="12" customHeight="1">
      <c r="B364" s="15" t="s">
        <v>1830</v>
      </c>
      <c r="C364" s="14"/>
      <c r="D364" s="15" t="s">
        <v>1831</v>
      </c>
      <c r="E364" s="14"/>
      <c r="F364" s="14"/>
      <c r="G364" s="14" t="s">
        <v>1832</v>
      </c>
    </row>
    <row r="365" spans="2:7" ht="12" customHeight="1">
      <c r="B365" s="15" t="s">
        <v>1833</v>
      </c>
      <c r="C365" s="14"/>
      <c r="D365" s="15" t="s">
        <v>1834</v>
      </c>
      <c r="E365" s="14"/>
      <c r="F365" s="14"/>
      <c r="G365" s="14" t="s">
        <v>1835</v>
      </c>
    </row>
    <row r="366" spans="2:7" ht="12" customHeight="1">
      <c r="B366" s="15" t="s">
        <v>1836</v>
      </c>
      <c r="C366" s="14"/>
      <c r="D366" s="15" t="s">
        <v>1837</v>
      </c>
      <c r="E366" s="14"/>
      <c r="F366" s="14"/>
      <c r="G366" s="14" t="s">
        <v>1838</v>
      </c>
    </row>
    <row r="367" spans="2:7" ht="12" customHeight="1">
      <c r="B367" s="15" t="s">
        <v>1839</v>
      </c>
      <c r="C367" s="14"/>
      <c r="D367" s="15" t="s">
        <v>1840</v>
      </c>
      <c r="E367" s="14"/>
      <c r="F367" s="14"/>
      <c r="G367" s="14" t="s">
        <v>1841</v>
      </c>
    </row>
    <row r="368" spans="2:7" ht="12" customHeight="1">
      <c r="B368" s="15" t="s">
        <v>1666</v>
      </c>
      <c r="C368" s="14"/>
      <c r="D368" s="15" t="s">
        <v>1667</v>
      </c>
      <c r="E368" s="14"/>
      <c r="F368" s="14"/>
      <c r="G368" s="14" t="s">
        <v>1668</v>
      </c>
    </row>
    <row r="369" spans="2:7" ht="12" customHeight="1">
      <c r="B369" s="15" t="s">
        <v>1669</v>
      </c>
      <c r="C369" s="14"/>
      <c r="D369" s="15" t="s">
        <v>1670</v>
      </c>
      <c r="E369" s="14"/>
      <c r="F369" s="14"/>
      <c r="G369" s="14" t="s">
        <v>1671</v>
      </c>
    </row>
    <row r="370" spans="2:7" ht="12" customHeight="1">
      <c r="B370" s="15" t="s">
        <v>1672</v>
      </c>
      <c r="C370" s="14"/>
      <c r="D370" s="15" t="s">
        <v>1673</v>
      </c>
      <c r="E370" s="14"/>
      <c r="F370" s="14"/>
      <c r="G370" s="14" t="s">
        <v>1674</v>
      </c>
    </row>
    <row r="371" spans="2:7" ht="12" customHeight="1">
      <c r="B371" s="15" t="s">
        <v>1675</v>
      </c>
      <c r="C371" s="14"/>
      <c r="D371" s="15" t="s">
        <v>1676</v>
      </c>
      <c r="E371" s="14"/>
      <c r="F371" s="14"/>
      <c r="G371" s="14" t="s">
        <v>1677</v>
      </c>
    </row>
    <row r="372" spans="2:7" ht="12" customHeight="1">
      <c r="B372" s="15" t="s">
        <v>1678</v>
      </c>
      <c r="C372" s="14"/>
      <c r="D372" s="15" t="s">
        <v>1679</v>
      </c>
      <c r="E372" s="14"/>
      <c r="F372" s="14"/>
      <c r="G372" s="14" t="s">
        <v>1680</v>
      </c>
    </row>
    <row r="373" spans="2:7" ht="12" customHeight="1">
      <c r="B373" s="15" t="s">
        <v>2009</v>
      </c>
      <c r="C373" s="14"/>
      <c r="D373" s="15" t="s">
        <v>2010</v>
      </c>
      <c r="E373" s="14"/>
      <c r="F373" s="14"/>
      <c r="G373" s="14" t="s">
        <v>2011</v>
      </c>
    </row>
    <row r="374" spans="2:7" ht="12" customHeight="1">
      <c r="B374" s="15" t="s">
        <v>2012</v>
      </c>
      <c r="C374" s="14"/>
      <c r="D374" s="15" t="s">
        <v>2013</v>
      </c>
      <c r="E374" s="14"/>
      <c r="F374" s="14"/>
      <c r="G374" s="14" t="s">
        <v>2014</v>
      </c>
    </row>
    <row r="375" spans="2:7" ht="12" customHeight="1">
      <c r="B375" s="15" t="s">
        <v>2015</v>
      </c>
      <c r="C375" s="14"/>
      <c r="D375" s="15" t="s">
        <v>2016</v>
      </c>
      <c r="E375" s="14"/>
      <c r="F375" s="14"/>
      <c r="G375" s="14" t="s">
        <v>2017</v>
      </c>
    </row>
    <row r="376" spans="2:7" ht="12" customHeight="1">
      <c r="B376" s="15" t="s">
        <v>2018</v>
      </c>
      <c r="C376" s="14"/>
      <c r="D376" s="15" t="s">
        <v>2019</v>
      </c>
      <c r="E376" s="14"/>
      <c r="F376" s="14"/>
      <c r="G376" s="14" t="s">
        <v>2020</v>
      </c>
    </row>
    <row r="377" spans="2:7" ht="12" customHeight="1">
      <c r="B377" s="15" t="s">
        <v>2021</v>
      </c>
      <c r="C377" s="14"/>
      <c r="D377" s="15" t="s">
        <v>2022</v>
      </c>
      <c r="E377" s="14"/>
      <c r="F377" s="14"/>
      <c r="G377" s="14" t="s">
        <v>2023</v>
      </c>
    </row>
    <row r="378" spans="2:7" ht="12" customHeight="1">
      <c r="B378" s="15" t="s">
        <v>1842</v>
      </c>
      <c r="C378" s="14"/>
      <c r="D378" s="15" t="s">
        <v>1843</v>
      </c>
      <c r="E378" s="14"/>
      <c r="F378" s="14"/>
      <c r="G378" s="14" t="s">
        <v>1844</v>
      </c>
    </row>
    <row r="379" spans="2:7" ht="12" customHeight="1">
      <c r="B379" s="15" t="s">
        <v>1946</v>
      </c>
      <c r="C379" s="14"/>
      <c r="D379" s="15" t="s">
        <v>1947</v>
      </c>
      <c r="E379" s="14"/>
      <c r="F379" s="14"/>
      <c r="G379" s="14" t="s">
        <v>1948</v>
      </c>
    </row>
    <row r="380" spans="2:7" ht="12" customHeight="1">
      <c r="B380" s="15" t="s">
        <v>1949</v>
      </c>
      <c r="C380" s="14"/>
      <c r="D380" s="15" t="s">
        <v>1950</v>
      </c>
      <c r="E380" s="14"/>
      <c r="F380" s="14"/>
      <c r="G380" s="14" t="s">
        <v>1951</v>
      </c>
    </row>
    <row r="381" spans="2:7" ht="12" customHeight="1">
      <c r="B381" s="15" t="s">
        <v>1952</v>
      </c>
      <c r="C381" s="14"/>
      <c r="D381" s="15" t="s">
        <v>1953</v>
      </c>
      <c r="E381" s="14"/>
      <c r="F381" s="14"/>
      <c r="G381" s="14" t="s">
        <v>1954</v>
      </c>
    </row>
    <row r="382" spans="2:7" ht="12" customHeight="1">
      <c r="B382" s="15" t="s">
        <v>1911</v>
      </c>
      <c r="C382" s="14"/>
      <c r="D382" s="15" t="s">
        <v>1912</v>
      </c>
      <c r="E382" s="14"/>
      <c r="F382" s="14"/>
      <c r="G382" s="14" t="s">
        <v>1913</v>
      </c>
    </row>
    <row r="383" spans="2:7" ht="12" customHeight="1">
      <c r="B383" s="15" t="s">
        <v>1681</v>
      </c>
      <c r="C383" s="14"/>
      <c r="D383" s="15" t="s">
        <v>1682</v>
      </c>
      <c r="E383" s="14"/>
      <c r="F383" s="14"/>
      <c r="G383" s="14" t="s">
        <v>1683</v>
      </c>
    </row>
    <row r="384" spans="2:7" ht="12" customHeight="1">
      <c r="B384" s="15" t="s">
        <v>1684</v>
      </c>
      <c r="C384" s="14"/>
      <c r="D384" s="15" t="s">
        <v>1685</v>
      </c>
      <c r="E384" s="14"/>
      <c r="F384" s="14"/>
      <c r="G384" s="14" t="s">
        <v>1686</v>
      </c>
    </row>
    <row r="385" spans="2:7" ht="12" customHeight="1">
      <c r="B385" s="15" t="s">
        <v>1687</v>
      </c>
      <c r="C385" s="14"/>
      <c r="D385" s="15" t="s">
        <v>1688</v>
      </c>
      <c r="E385" s="14"/>
      <c r="F385" s="14"/>
      <c r="G385" s="14" t="s">
        <v>1689</v>
      </c>
    </row>
    <row r="386" spans="2:7" ht="12" customHeight="1">
      <c r="B386" s="15" t="s">
        <v>1708</v>
      </c>
      <c r="C386" s="14"/>
      <c r="D386" s="15" t="s">
        <v>1709</v>
      </c>
      <c r="E386" s="14"/>
      <c r="F386" s="14"/>
      <c r="G386" s="14" t="s">
        <v>1710</v>
      </c>
    </row>
    <row r="387" spans="2:7" ht="12" customHeight="1">
      <c r="B387" s="15" t="s">
        <v>1711</v>
      </c>
      <c r="C387" s="14"/>
      <c r="D387" s="15" t="s">
        <v>1712</v>
      </c>
      <c r="E387" s="14"/>
      <c r="F387" s="14"/>
      <c r="G387" s="14" t="s">
        <v>1713</v>
      </c>
    </row>
    <row r="388" spans="2:7" ht="12" customHeight="1">
      <c r="B388" s="15" t="s">
        <v>2024</v>
      </c>
      <c r="C388" s="14"/>
      <c r="D388" s="15" t="s">
        <v>2025</v>
      </c>
      <c r="E388" s="14"/>
      <c r="F388" s="14"/>
      <c r="G388" s="14" t="s">
        <v>2026</v>
      </c>
    </row>
    <row r="389" spans="2:7" ht="12" customHeight="1">
      <c r="B389" s="15" t="s">
        <v>2027</v>
      </c>
      <c r="C389" s="14"/>
      <c r="D389" s="15" t="s">
        <v>2028</v>
      </c>
      <c r="E389" s="14"/>
      <c r="F389" s="14"/>
      <c r="G389" s="14" t="s">
        <v>2029</v>
      </c>
    </row>
    <row r="390" spans="2:7" ht="12" customHeight="1">
      <c r="B390" s="15" t="s">
        <v>2030</v>
      </c>
      <c r="C390" s="14"/>
      <c r="D390" s="15" t="s">
        <v>2031</v>
      </c>
      <c r="E390" s="14"/>
      <c r="F390" s="14"/>
      <c r="G390" s="14" t="s">
        <v>2032</v>
      </c>
    </row>
    <row r="391" spans="2:7" ht="12" customHeight="1">
      <c r="B391" s="15" t="s">
        <v>2033</v>
      </c>
      <c r="C391" s="14"/>
      <c r="D391" s="15" t="s">
        <v>2034</v>
      </c>
      <c r="E391" s="14"/>
      <c r="F391" s="14"/>
      <c r="G391" s="14" t="s">
        <v>2035</v>
      </c>
    </row>
    <row r="392" spans="2:7" ht="12" customHeight="1">
      <c r="B392" s="15" t="s">
        <v>1914</v>
      </c>
      <c r="C392" s="14"/>
      <c r="D392" s="15" t="s">
        <v>1915</v>
      </c>
      <c r="E392" s="14"/>
      <c r="F392" s="14"/>
      <c r="G392" s="14" t="s">
        <v>1916</v>
      </c>
    </row>
    <row r="393" spans="2:7" ht="12" customHeight="1">
      <c r="B393" s="15" t="s">
        <v>1917</v>
      </c>
      <c r="C393" s="14"/>
      <c r="D393" s="15" t="s">
        <v>1918</v>
      </c>
      <c r="E393" s="14"/>
      <c r="F393" s="14"/>
      <c r="G393" s="14" t="s">
        <v>1919</v>
      </c>
    </row>
    <row r="394" spans="2:7" ht="12" customHeight="1">
      <c r="B394" s="15" t="s">
        <v>1920</v>
      </c>
      <c r="C394" s="14"/>
      <c r="D394" s="15" t="s">
        <v>1921</v>
      </c>
      <c r="E394" s="14"/>
      <c r="F394" s="14"/>
      <c r="G394" s="14" t="s">
        <v>1922</v>
      </c>
    </row>
    <row r="395" spans="2:7" ht="12" customHeight="1">
      <c r="B395" s="15" t="s">
        <v>1923</v>
      </c>
      <c r="C395" s="14"/>
      <c r="D395" s="15" t="s">
        <v>1924</v>
      </c>
      <c r="E395" s="14"/>
      <c r="F395" s="14"/>
      <c r="G395" s="14" t="s">
        <v>1925</v>
      </c>
    </row>
    <row r="396" spans="2:7" ht="12" customHeight="1">
      <c r="B396" s="15" t="s">
        <v>1926</v>
      </c>
      <c r="C396" s="14"/>
      <c r="D396" s="15" t="s">
        <v>1927</v>
      </c>
      <c r="E396" s="14"/>
      <c r="F396" s="14"/>
      <c r="G396" s="14" t="s">
        <v>1928</v>
      </c>
    </row>
    <row r="397" spans="2:7" ht="12" customHeight="1">
      <c r="B397" s="15" t="s">
        <v>2036</v>
      </c>
      <c r="C397" s="14"/>
      <c r="D397" s="15" t="s">
        <v>2037</v>
      </c>
      <c r="E397" s="14"/>
      <c r="F397" s="14"/>
      <c r="G397" s="14" t="s">
        <v>2038</v>
      </c>
    </row>
    <row r="398" spans="2:7" ht="12" customHeight="1">
      <c r="B398" s="15" t="s">
        <v>1988</v>
      </c>
      <c r="C398" s="14"/>
      <c r="D398" s="15" t="s">
        <v>1989</v>
      </c>
      <c r="E398" s="14"/>
      <c r="F398" s="14"/>
      <c r="G398" s="14" t="s">
        <v>1990</v>
      </c>
    </row>
    <row r="399" spans="2:7" ht="12" customHeight="1">
      <c r="B399" s="15" t="s">
        <v>1929</v>
      </c>
      <c r="C399" s="14"/>
      <c r="D399" s="15" t="s">
        <v>1930</v>
      </c>
      <c r="E399" s="14"/>
      <c r="F399" s="14"/>
      <c r="G399" s="14" t="s">
        <v>1931</v>
      </c>
    </row>
    <row r="400" spans="2:7" ht="12" customHeight="1">
      <c r="B400" s="15" t="s">
        <v>1932</v>
      </c>
      <c r="C400" s="14"/>
      <c r="D400" s="15" t="s">
        <v>1933</v>
      </c>
      <c r="E400" s="14"/>
      <c r="F400" s="14"/>
      <c r="G400" s="14" t="s">
        <v>1934</v>
      </c>
    </row>
    <row r="401" spans="2:7" ht="12" customHeight="1">
      <c r="B401" s="15" t="s">
        <v>1935</v>
      </c>
      <c r="C401" s="14"/>
      <c r="D401" s="15" t="s">
        <v>1936</v>
      </c>
      <c r="E401" s="14"/>
      <c r="F401" s="14"/>
      <c r="G401" s="14" t="s">
        <v>1937</v>
      </c>
    </row>
    <row r="402" spans="2:7" ht="12" customHeight="1">
      <c r="B402" s="15" t="s">
        <v>2039</v>
      </c>
      <c r="C402" s="14"/>
      <c r="D402" s="15" t="s">
        <v>2040</v>
      </c>
      <c r="E402" s="14"/>
      <c r="F402" s="14"/>
      <c r="G402" s="14" t="s">
        <v>2041</v>
      </c>
    </row>
    <row r="403" spans="2:7" ht="12" customHeight="1">
      <c r="B403" s="15" t="s">
        <v>2042</v>
      </c>
      <c r="C403" s="14"/>
      <c r="D403" s="15" t="s">
        <v>2043</v>
      </c>
      <c r="E403" s="14"/>
      <c r="F403" s="14"/>
      <c r="G403" s="14" t="s">
        <v>2044</v>
      </c>
    </row>
    <row r="404" spans="2:7" ht="12" customHeight="1">
      <c r="B404" s="15" t="s">
        <v>2045</v>
      </c>
      <c r="C404" s="14"/>
      <c r="D404" s="15" t="s">
        <v>2046</v>
      </c>
      <c r="E404" s="14"/>
      <c r="F404" s="14"/>
      <c r="G404" s="14" t="s">
        <v>2047</v>
      </c>
    </row>
    <row r="405" spans="2:7" ht="12" customHeight="1">
      <c r="B405" s="15" t="s">
        <v>1991</v>
      </c>
      <c r="C405" s="14"/>
      <c r="D405" s="15" t="s">
        <v>1992</v>
      </c>
      <c r="E405" s="14"/>
      <c r="F405" s="14"/>
      <c r="G405" s="14" t="s">
        <v>1993</v>
      </c>
    </row>
    <row r="406" spans="2:7" ht="12" customHeight="1">
      <c r="B406" s="15" t="s">
        <v>1994</v>
      </c>
      <c r="C406" s="14"/>
      <c r="D406" s="15" t="s">
        <v>1995</v>
      </c>
      <c r="E406" s="14"/>
      <c r="F406" s="14"/>
      <c r="G406" s="14" t="s">
        <v>1996</v>
      </c>
    </row>
    <row r="407" spans="2:7" ht="12" customHeight="1">
      <c r="B407" s="15" t="s">
        <v>1997</v>
      </c>
      <c r="C407" s="14"/>
      <c r="D407" s="15" t="s">
        <v>1998</v>
      </c>
      <c r="E407" s="14"/>
      <c r="F407" s="14"/>
      <c r="G407" s="14" t="s">
        <v>1999</v>
      </c>
    </row>
    <row r="408" spans="2:7" ht="12" customHeight="1">
      <c r="B408" s="15" t="s">
        <v>2000</v>
      </c>
      <c r="C408" s="14"/>
      <c r="D408" s="15" t="s">
        <v>2001</v>
      </c>
      <c r="E408" s="14"/>
      <c r="F408" s="14"/>
      <c r="G408" s="14" t="s">
        <v>2002</v>
      </c>
    </row>
    <row r="409" spans="2:7" ht="12" customHeight="1">
      <c r="B409" s="15" t="s">
        <v>2003</v>
      </c>
      <c r="C409" s="14"/>
      <c r="D409" s="15" t="s">
        <v>2004</v>
      </c>
      <c r="E409" s="14"/>
      <c r="F409" s="14"/>
      <c r="G409" s="14" t="s">
        <v>2005</v>
      </c>
    </row>
    <row r="410" spans="2:7" ht="12" customHeight="1">
      <c r="B410" s="15" t="s">
        <v>2006</v>
      </c>
      <c r="C410" s="14"/>
      <c r="D410" s="15" t="s">
        <v>2007</v>
      </c>
      <c r="E410" s="14"/>
      <c r="F410" s="14"/>
      <c r="G410" s="14" t="s">
        <v>2008</v>
      </c>
    </row>
    <row r="411" spans="2:7" ht="12" customHeight="1">
      <c r="B411" s="15" t="s">
        <v>2048</v>
      </c>
      <c r="C411" s="14"/>
      <c r="D411" s="15" t="s">
        <v>2049</v>
      </c>
      <c r="E411" s="14"/>
      <c r="F411" s="14"/>
      <c r="G411" s="14" t="s">
        <v>2050</v>
      </c>
    </row>
    <row r="412" spans="2:7" ht="12" customHeight="1">
      <c r="B412" s="15" t="s">
        <v>2051</v>
      </c>
      <c r="C412" s="14"/>
      <c r="D412" s="15" t="s">
        <v>2052</v>
      </c>
      <c r="E412" s="14"/>
      <c r="F412" s="14"/>
      <c r="G412" s="14" t="s">
        <v>2053</v>
      </c>
    </row>
    <row r="413" spans="2:7" ht="12" customHeight="1">
      <c r="B413" s="15" t="s">
        <v>2054</v>
      </c>
      <c r="C413" s="14"/>
      <c r="D413" s="15" t="s">
        <v>2055</v>
      </c>
      <c r="E413" s="14"/>
      <c r="F413" s="14"/>
      <c r="G413" s="14" t="s">
        <v>2056</v>
      </c>
    </row>
    <row r="414" spans="2:7" ht="12" customHeight="1">
      <c r="B414" s="15" t="s">
        <v>2057</v>
      </c>
      <c r="C414" s="14"/>
      <c r="D414" s="15" t="s">
        <v>2058</v>
      </c>
      <c r="E414" s="14"/>
      <c r="F414" s="14"/>
      <c r="G414" s="14" t="s">
        <v>2059</v>
      </c>
    </row>
    <row r="415" spans="2:7" ht="12" customHeight="1">
      <c r="B415" s="15" t="s">
        <v>2060</v>
      </c>
      <c r="C415" s="14"/>
      <c r="D415" s="15" t="s">
        <v>2061</v>
      </c>
      <c r="E415" s="14"/>
      <c r="F415" s="14"/>
      <c r="G415" s="14" t="s">
        <v>2062</v>
      </c>
    </row>
  </sheetData>
  <dataValidations disablePrompts="1" count="3">
    <dataValidation type="custom" allowBlank="1" showInputMessage="1" showErrorMessage="1" errorTitle="X-Author for Excel" error="Id and Lookup fields are not editable." promptTitle="X-Author for Excel" sqref="G143:G243 G6:G22 G28:G82 F87:G137 G250:G415" xr:uid="{00000000-0002-0000-0D00-000000000000}">
      <formula1>""</formula1>
    </dataValidation>
    <dataValidation type="list" allowBlank="1" showInputMessage="1" showErrorMessage="1" errorTitle="X-Author for Excel" error="Please select a value from the drop-down." promptTitle="X-Author for Excel" sqref="H6:H22 H28:H82" xr:uid="{8BF2180B-3543-4091-9FD8-0C788D9E6D9B}">
      <formula1>IF(IFERROR(ROWS(INDIRECT(SUBSTITUTE("AIM_Impact_Outcome_References__c.AIM_Data_Type_Target__c"," ","_"))),-1) &lt; 0, XAE_Invalid_PLData,INDIRECT(SUBSTITUTE("AIM_Impact_Outcome_References__c.AIM_Data_Type_Target__c"," ","_")))</formula1>
    </dataValidation>
    <dataValidation type="list" allowBlank="1" showInputMessage="1" showErrorMessage="1" errorTitle="X-Author for Excel" error="Please select a value from the drop-down." promptTitle="X-Author for Excel" sqref="H143:H243" xr:uid="{1CE1FD5B-304F-42B2-A253-83E52DCB8FE2}">
      <formula1>IF(IFERROR(ROWS(INDIRECT(SUBSTITUTE("AIM_Module_Coverage_Interventio_Comp_Ref__c.AIM_Data_Type__c"," ","_"))),-1) &lt; 0, XAE_Invalid_PLData,INDIRECT(SUBSTITUTE("AIM_Module_Coverage_Interventio_Comp_Ref__c.AIM_Data_Type__c"," ","_")))</formula1>
    </dataValidation>
  </dataValidations>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
  <dimension ref="A1:H516"/>
  <sheetViews>
    <sheetView zoomScale="70" zoomScaleNormal="70" workbookViewId="0">
      <selection activeCell="A3" sqref="A3"/>
    </sheetView>
  </sheetViews>
  <sheetFormatPr defaultColWidth="8.625" defaultRowHeight="12.75"/>
  <cols>
    <col min="1" max="1" width="18.625" style="1" customWidth="1"/>
    <col min="2" max="2" width="43.125" style="1" customWidth="1"/>
    <col min="3" max="3" width="8.625" style="1"/>
    <col min="4" max="4" width="40.125" style="1" customWidth="1"/>
    <col min="5" max="6" width="14.125" style="1" customWidth="1"/>
    <col min="7" max="7" width="8.625" style="1"/>
    <col min="8" max="8" width="37.625" style="1" customWidth="1"/>
    <col min="9" max="9" width="22" style="1" customWidth="1"/>
    <col min="10" max="16384" width="8.625" style="1"/>
  </cols>
  <sheetData>
    <row r="1" spans="1:8">
      <c r="A1" s="2" t="s">
        <v>5140</v>
      </c>
    </row>
    <row r="2" spans="1:8">
      <c r="A2" s="14" t="s">
        <v>5141</v>
      </c>
      <c r="B2" s="14" t="s">
        <v>815</v>
      </c>
      <c r="C2" s="14">
        <v>0</v>
      </c>
      <c r="D2" s="14" t="s">
        <v>5142</v>
      </c>
      <c r="E2" s="14" t="s">
        <v>2256</v>
      </c>
      <c r="F2" s="14" t="s">
        <v>2257</v>
      </c>
      <c r="G2" s="14" t="s">
        <v>318</v>
      </c>
      <c r="H2" s="14" t="s">
        <v>5143</v>
      </c>
    </row>
    <row r="3" spans="1:8" hidden="1">
      <c r="A3" s="14" t="s">
        <v>5144</v>
      </c>
      <c r="B3" s="15" t="s">
        <v>2176</v>
      </c>
      <c r="C3" s="14">
        <f>IF(B3=B2,C2+1,0)</f>
        <v>0</v>
      </c>
      <c r="D3" s="14" t="str">
        <f>B3&amp;"-"&amp;C3</f>
        <v>[Name]-0</v>
      </c>
      <c r="E3" s="15" t="s">
        <v>5145</v>
      </c>
      <c r="F3" s="15" t="s">
        <v>5146</v>
      </c>
      <c r="G3" s="14" t="s">
        <v>321</v>
      </c>
      <c r="H3" s="15" t="s">
        <v>5147</v>
      </c>
    </row>
    <row r="4" spans="1:8">
      <c r="A4" s="14" t="s">
        <v>833</v>
      </c>
      <c r="B4" s="15" t="s">
        <v>794</v>
      </c>
      <c r="C4" s="14">
        <f t="shared" ref="C4:C67" si="0">IF(B4=B3,C3+1,0)</f>
        <v>0</v>
      </c>
      <c r="D4" s="14" t="str">
        <f t="shared" ref="D4:D67" si="1">B4&amp;"-"&amp;C4</f>
        <v>HIV I-13 Percentage of people living with HIV-0</v>
      </c>
      <c r="E4" s="15" t="s">
        <v>849</v>
      </c>
      <c r="F4" s="15" t="s">
        <v>3240</v>
      </c>
      <c r="G4" s="14" t="s">
        <v>3242</v>
      </c>
      <c r="H4" s="15" t="s">
        <v>3241</v>
      </c>
    </row>
    <row r="5" spans="1:8">
      <c r="A5" s="14" t="s">
        <v>833</v>
      </c>
      <c r="B5" s="15" t="s">
        <v>794</v>
      </c>
      <c r="C5" s="14">
        <f t="shared" si="0"/>
        <v>1</v>
      </c>
      <c r="D5" s="14" t="str">
        <f t="shared" si="1"/>
        <v>HIV I-13 Percentage of people living with HIV-1</v>
      </c>
      <c r="E5" s="15" t="s">
        <v>849</v>
      </c>
      <c r="F5" s="15" t="s">
        <v>3244</v>
      </c>
      <c r="G5" s="14" t="s">
        <v>3246</v>
      </c>
      <c r="H5" s="15" t="s">
        <v>3245</v>
      </c>
    </row>
    <row r="6" spans="1:8">
      <c r="A6" s="14" t="s">
        <v>833</v>
      </c>
      <c r="B6" s="15" t="s">
        <v>794</v>
      </c>
      <c r="C6" s="14">
        <f t="shared" si="0"/>
        <v>2</v>
      </c>
      <c r="D6" s="14" t="str">
        <f t="shared" si="1"/>
        <v>HIV I-13 Percentage of people living with HIV-2</v>
      </c>
      <c r="E6" s="15" t="s">
        <v>5148</v>
      </c>
      <c r="F6" s="15" t="s">
        <v>3248</v>
      </c>
      <c r="G6" s="14" t="s">
        <v>3250</v>
      </c>
      <c r="H6" s="15" t="s">
        <v>3249</v>
      </c>
    </row>
    <row r="7" spans="1:8">
      <c r="A7" s="14" t="s">
        <v>833</v>
      </c>
      <c r="B7" s="15" t="s">
        <v>794</v>
      </c>
      <c r="C7" s="14">
        <f t="shared" si="0"/>
        <v>3</v>
      </c>
      <c r="D7" s="14" t="str">
        <f t="shared" si="1"/>
        <v>HIV I-13 Percentage of people living with HIV-3</v>
      </c>
      <c r="E7" s="15" t="s">
        <v>5148</v>
      </c>
      <c r="F7" s="15" t="s">
        <v>3252</v>
      </c>
      <c r="G7" s="14" t="s">
        <v>3254</v>
      </c>
      <c r="H7" s="15" t="s">
        <v>3253</v>
      </c>
    </row>
    <row r="8" spans="1:8">
      <c r="A8" s="14" t="s">
        <v>833</v>
      </c>
      <c r="B8" s="15" t="s">
        <v>794</v>
      </c>
      <c r="C8" s="14">
        <f t="shared" si="0"/>
        <v>4</v>
      </c>
      <c r="D8" s="14" t="str">
        <f t="shared" si="1"/>
        <v>HIV I-13 Percentage of people living with HIV-4</v>
      </c>
      <c r="E8" s="15" t="s">
        <v>1192</v>
      </c>
      <c r="F8" s="15" t="s">
        <v>3193</v>
      </c>
      <c r="G8" s="14" t="s">
        <v>3257</v>
      </c>
      <c r="H8" s="15" t="s">
        <v>3256</v>
      </c>
    </row>
    <row r="9" spans="1:8">
      <c r="A9" s="14" t="s">
        <v>833</v>
      </c>
      <c r="B9" s="15" t="s">
        <v>794</v>
      </c>
      <c r="C9" s="14">
        <f t="shared" si="0"/>
        <v>5</v>
      </c>
      <c r="D9" s="14" t="str">
        <f t="shared" si="1"/>
        <v>HIV I-13 Percentage of people living with HIV-5</v>
      </c>
      <c r="E9" s="15" t="s">
        <v>5148</v>
      </c>
      <c r="F9" s="15" t="s">
        <v>3259</v>
      </c>
      <c r="G9" s="14" t="s">
        <v>3261</v>
      </c>
      <c r="H9" s="15" t="s">
        <v>3260</v>
      </c>
    </row>
    <row r="10" spans="1:8">
      <c r="A10" s="14" t="s">
        <v>833</v>
      </c>
      <c r="B10" s="15" t="s">
        <v>794</v>
      </c>
      <c r="C10" s="14">
        <f t="shared" si="0"/>
        <v>6</v>
      </c>
      <c r="D10" s="14" t="str">
        <f t="shared" si="1"/>
        <v>HIV I-13 Percentage of people living with HIV-6</v>
      </c>
      <c r="E10" s="15" t="s">
        <v>5148</v>
      </c>
      <c r="F10" s="15" t="s">
        <v>3263</v>
      </c>
      <c r="G10" s="14" t="s">
        <v>3265</v>
      </c>
      <c r="H10" s="15" t="s">
        <v>3264</v>
      </c>
    </row>
    <row r="11" spans="1:8">
      <c r="A11" s="14" t="s">
        <v>833</v>
      </c>
      <c r="B11" s="15" t="s">
        <v>794</v>
      </c>
      <c r="C11" s="14">
        <f t="shared" si="0"/>
        <v>7</v>
      </c>
      <c r="D11" s="14" t="str">
        <f t="shared" si="1"/>
        <v>HIV I-13 Percentage of people living with HIV-7</v>
      </c>
      <c r="E11" s="15" t="s">
        <v>1192</v>
      </c>
      <c r="F11" s="15" t="s">
        <v>3197</v>
      </c>
      <c r="G11" s="14" t="s">
        <v>3268</v>
      </c>
      <c r="H11" s="15" t="s">
        <v>3267</v>
      </c>
    </row>
    <row r="12" spans="1:8">
      <c r="A12" s="14" t="s">
        <v>838</v>
      </c>
      <c r="B12" s="15" t="s">
        <v>797</v>
      </c>
      <c r="C12" s="14">
        <f t="shared" si="0"/>
        <v>0</v>
      </c>
      <c r="D12" s="14" t="str">
        <f t="shared" si="1"/>
        <v>HIV I-14 Number of new HIV infections per 1000 uninfected population-0</v>
      </c>
      <c r="E12" s="15" t="s">
        <v>849</v>
      </c>
      <c r="F12" s="15" t="s">
        <v>3240</v>
      </c>
      <c r="G12" s="14" t="s">
        <v>5149</v>
      </c>
      <c r="H12" s="15" t="s">
        <v>5150</v>
      </c>
    </row>
    <row r="13" spans="1:8">
      <c r="A13" s="14" t="s">
        <v>838</v>
      </c>
      <c r="B13" s="15" t="s">
        <v>797</v>
      </c>
      <c r="C13" s="14">
        <f t="shared" si="0"/>
        <v>1</v>
      </c>
      <c r="D13" s="14" t="str">
        <f t="shared" si="1"/>
        <v>HIV I-14 Number of new HIV infections per 1000 uninfected population-1</v>
      </c>
      <c r="E13" s="15" t="s">
        <v>849</v>
      </c>
      <c r="F13" s="15" t="s">
        <v>3244</v>
      </c>
      <c r="G13" s="14" t="s">
        <v>5151</v>
      </c>
      <c r="H13" s="15" t="s">
        <v>5152</v>
      </c>
    </row>
    <row r="14" spans="1:8">
      <c r="A14" s="14" t="s">
        <v>838</v>
      </c>
      <c r="B14" s="15" t="s">
        <v>797</v>
      </c>
      <c r="C14" s="14">
        <f t="shared" si="0"/>
        <v>2</v>
      </c>
      <c r="D14" s="14" t="str">
        <f t="shared" si="1"/>
        <v>HIV I-14 Number of new HIV infections per 1000 uninfected population-2</v>
      </c>
      <c r="E14" s="15" t="s">
        <v>5148</v>
      </c>
      <c r="F14" s="15" t="s">
        <v>3248</v>
      </c>
      <c r="G14" s="14" t="s">
        <v>5153</v>
      </c>
      <c r="H14" s="15" t="s">
        <v>5154</v>
      </c>
    </row>
    <row r="15" spans="1:8">
      <c r="A15" s="14" t="s">
        <v>838</v>
      </c>
      <c r="B15" s="15" t="s">
        <v>797</v>
      </c>
      <c r="C15" s="14">
        <f t="shared" si="0"/>
        <v>3</v>
      </c>
      <c r="D15" s="14" t="str">
        <f t="shared" si="1"/>
        <v>HIV I-14 Number of new HIV infections per 1000 uninfected population-3</v>
      </c>
      <c r="E15" s="15" t="s">
        <v>5148</v>
      </c>
      <c r="F15" s="15" t="s">
        <v>3252</v>
      </c>
      <c r="G15" s="14" t="s">
        <v>5155</v>
      </c>
      <c r="H15" s="15" t="s">
        <v>5156</v>
      </c>
    </row>
    <row r="16" spans="1:8">
      <c r="A16" s="14" t="s">
        <v>838</v>
      </c>
      <c r="B16" s="15" t="s">
        <v>797</v>
      </c>
      <c r="C16" s="14">
        <f t="shared" si="0"/>
        <v>4</v>
      </c>
      <c r="D16" s="14" t="str">
        <f t="shared" si="1"/>
        <v>HIV I-14 Number of new HIV infections per 1000 uninfected population-4</v>
      </c>
      <c r="E16" s="15" t="s">
        <v>1192</v>
      </c>
      <c r="F16" s="15" t="s">
        <v>3193</v>
      </c>
      <c r="G16" s="14" t="s">
        <v>5157</v>
      </c>
      <c r="H16" s="15" t="s">
        <v>5158</v>
      </c>
    </row>
    <row r="17" spans="1:8">
      <c r="A17" s="14" t="s">
        <v>838</v>
      </c>
      <c r="B17" s="15" t="s">
        <v>797</v>
      </c>
      <c r="C17" s="14">
        <f t="shared" si="0"/>
        <v>5</v>
      </c>
      <c r="D17" s="14" t="str">
        <f t="shared" si="1"/>
        <v>HIV I-14 Number of new HIV infections per 1000 uninfected population-5</v>
      </c>
      <c r="E17" s="15" t="s">
        <v>5148</v>
      </c>
      <c r="F17" s="15" t="s">
        <v>3259</v>
      </c>
      <c r="G17" s="14" t="s">
        <v>5159</v>
      </c>
      <c r="H17" s="15" t="s">
        <v>5160</v>
      </c>
    </row>
    <row r="18" spans="1:8">
      <c r="A18" s="14" t="s">
        <v>838</v>
      </c>
      <c r="B18" s="15" t="s">
        <v>797</v>
      </c>
      <c r="C18" s="14">
        <f t="shared" si="0"/>
        <v>6</v>
      </c>
      <c r="D18" s="14" t="str">
        <f t="shared" si="1"/>
        <v>HIV I-14 Number of new HIV infections per 1000 uninfected population-6</v>
      </c>
      <c r="E18" s="15" t="s">
        <v>5148</v>
      </c>
      <c r="F18" s="15" t="s">
        <v>3263</v>
      </c>
      <c r="G18" s="14" t="s">
        <v>5161</v>
      </c>
      <c r="H18" s="15" t="s">
        <v>5162</v>
      </c>
    </row>
    <row r="19" spans="1:8">
      <c r="A19" s="14" t="s">
        <v>838</v>
      </c>
      <c r="B19" s="15" t="s">
        <v>797</v>
      </c>
      <c r="C19" s="14">
        <f t="shared" si="0"/>
        <v>7</v>
      </c>
      <c r="D19" s="14" t="str">
        <f t="shared" si="1"/>
        <v>HIV I-14 Number of new HIV infections per 1000 uninfected population-7</v>
      </c>
      <c r="E19" s="15" t="s">
        <v>1192</v>
      </c>
      <c r="F19" s="15" t="s">
        <v>3197</v>
      </c>
      <c r="G19" s="14" t="s">
        <v>5163</v>
      </c>
      <c r="H19" s="15" t="s">
        <v>5164</v>
      </c>
    </row>
    <row r="20" spans="1:8">
      <c r="A20" s="14" t="s">
        <v>841</v>
      </c>
      <c r="B20" s="15" t="s">
        <v>799</v>
      </c>
      <c r="C20" s="14">
        <f t="shared" si="0"/>
        <v>0</v>
      </c>
      <c r="D20" s="14" t="str">
        <f t="shared" si="1"/>
        <v>HIV I-4 Number of AIDS-related deaths per 100,000 population-0</v>
      </c>
      <c r="E20" s="15" t="s">
        <v>849</v>
      </c>
      <c r="F20" s="15" t="s">
        <v>3240</v>
      </c>
      <c r="G20" s="14" t="s">
        <v>5165</v>
      </c>
      <c r="H20" s="15" t="s">
        <v>5166</v>
      </c>
    </row>
    <row r="21" spans="1:8">
      <c r="A21" s="14" t="s">
        <v>841</v>
      </c>
      <c r="B21" s="15" t="s">
        <v>799</v>
      </c>
      <c r="C21" s="14">
        <f t="shared" si="0"/>
        <v>1</v>
      </c>
      <c r="D21" s="14" t="str">
        <f t="shared" si="1"/>
        <v>HIV I-4 Number of AIDS-related deaths per 100,000 population-1</v>
      </c>
      <c r="E21" s="15" t="s">
        <v>5148</v>
      </c>
      <c r="F21" s="15" t="s">
        <v>3248</v>
      </c>
      <c r="G21" s="14" t="s">
        <v>5167</v>
      </c>
      <c r="H21" s="15" t="s">
        <v>5168</v>
      </c>
    </row>
    <row r="22" spans="1:8">
      <c r="A22" s="14" t="s">
        <v>841</v>
      </c>
      <c r="B22" s="15" t="s">
        <v>799</v>
      </c>
      <c r="C22" s="14">
        <f t="shared" si="0"/>
        <v>2</v>
      </c>
      <c r="D22" s="14" t="str">
        <f t="shared" si="1"/>
        <v>HIV I-4 Number of AIDS-related deaths per 100,000 population-2</v>
      </c>
      <c r="E22" s="15" t="s">
        <v>5148</v>
      </c>
      <c r="F22" s="15" t="s">
        <v>3252</v>
      </c>
      <c r="G22" s="14" t="s">
        <v>5169</v>
      </c>
      <c r="H22" s="15" t="s">
        <v>5170</v>
      </c>
    </row>
    <row r="23" spans="1:8">
      <c r="A23" s="14" t="s">
        <v>841</v>
      </c>
      <c r="B23" s="15" t="s">
        <v>799</v>
      </c>
      <c r="C23" s="14">
        <f t="shared" si="0"/>
        <v>3</v>
      </c>
      <c r="D23" s="14" t="str">
        <f t="shared" si="1"/>
        <v>HIV I-4 Number of AIDS-related deaths per 100,000 population-3</v>
      </c>
      <c r="E23" s="15" t="s">
        <v>1192</v>
      </c>
      <c r="F23" s="15" t="s">
        <v>3193</v>
      </c>
      <c r="G23" s="14" t="s">
        <v>5171</v>
      </c>
      <c r="H23" s="15" t="s">
        <v>5172</v>
      </c>
    </row>
    <row r="24" spans="1:8">
      <c r="A24" s="14" t="s">
        <v>841</v>
      </c>
      <c r="B24" s="15" t="s">
        <v>799</v>
      </c>
      <c r="C24" s="14">
        <f t="shared" si="0"/>
        <v>4</v>
      </c>
      <c r="D24" s="14" t="str">
        <f t="shared" si="1"/>
        <v>HIV I-4 Number of AIDS-related deaths per 100,000 population-4</v>
      </c>
      <c r="E24" s="15" t="s">
        <v>849</v>
      </c>
      <c r="F24" s="15" t="s">
        <v>3535</v>
      </c>
      <c r="G24" s="14" t="s">
        <v>5173</v>
      </c>
      <c r="H24" s="15" t="s">
        <v>5174</v>
      </c>
    </row>
    <row r="25" spans="1:8">
      <c r="A25" s="14" t="s">
        <v>841</v>
      </c>
      <c r="B25" s="15" t="s">
        <v>799</v>
      </c>
      <c r="C25" s="14">
        <f t="shared" si="0"/>
        <v>5</v>
      </c>
      <c r="D25" s="14" t="str">
        <f t="shared" si="1"/>
        <v>HIV I-4 Number of AIDS-related deaths per 100,000 population-5</v>
      </c>
      <c r="E25" s="15" t="s">
        <v>5148</v>
      </c>
      <c r="F25" s="15" t="s">
        <v>3259</v>
      </c>
      <c r="G25" s="14" t="s">
        <v>5175</v>
      </c>
      <c r="H25" s="15" t="s">
        <v>5176</v>
      </c>
    </row>
    <row r="26" spans="1:8">
      <c r="A26" s="14" t="s">
        <v>841</v>
      </c>
      <c r="B26" s="15" t="s">
        <v>799</v>
      </c>
      <c r="C26" s="14">
        <f t="shared" si="0"/>
        <v>6</v>
      </c>
      <c r="D26" s="14" t="str">
        <f t="shared" si="1"/>
        <v>HIV I-4 Number of AIDS-related deaths per 100,000 population-6</v>
      </c>
      <c r="E26" s="15" t="s">
        <v>5148</v>
      </c>
      <c r="F26" s="15" t="s">
        <v>3263</v>
      </c>
      <c r="G26" s="14" t="s">
        <v>5177</v>
      </c>
      <c r="H26" s="15" t="s">
        <v>5178</v>
      </c>
    </row>
    <row r="27" spans="1:8">
      <c r="A27" s="14" t="s">
        <v>841</v>
      </c>
      <c r="B27" s="15" t="s">
        <v>799</v>
      </c>
      <c r="C27" s="14">
        <f t="shared" si="0"/>
        <v>7</v>
      </c>
      <c r="D27" s="14" t="str">
        <f t="shared" si="1"/>
        <v>HIV I-4 Number of AIDS-related deaths per 100,000 population-7</v>
      </c>
      <c r="E27" s="15" t="s">
        <v>849</v>
      </c>
      <c r="F27" s="15" t="s">
        <v>3547</v>
      </c>
      <c r="G27" s="14" t="s">
        <v>5179</v>
      </c>
      <c r="H27" s="15" t="s">
        <v>5180</v>
      </c>
    </row>
    <row r="28" spans="1:8">
      <c r="A28" s="14" t="s">
        <v>841</v>
      </c>
      <c r="B28" s="15" t="s">
        <v>799</v>
      </c>
      <c r="C28" s="14">
        <f t="shared" si="0"/>
        <v>8</v>
      </c>
      <c r="D28" s="14" t="str">
        <f t="shared" si="1"/>
        <v>HIV I-4 Number of AIDS-related deaths per 100,000 population-8</v>
      </c>
      <c r="E28" s="15" t="s">
        <v>1192</v>
      </c>
      <c r="F28" s="15" t="s">
        <v>3197</v>
      </c>
      <c r="G28" s="14" t="s">
        <v>5181</v>
      </c>
      <c r="H28" s="15" t="s">
        <v>5182</v>
      </c>
    </row>
    <row r="29" spans="1:8">
      <c r="A29" s="14" t="s">
        <v>848</v>
      </c>
      <c r="B29" s="15" t="s">
        <v>787</v>
      </c>
      <c r="C29" s="14">
        <f t="shared" si="0"/>
        <v>0</v>
      </c>
      <c r="D29" s="14" t="str">
        <f t="shared" si="1"/>
        <v>HIV I-9a Percentage of men who have sex with men who are living with HIV-0</v>
      </c>
      <c r="E29" s="15" t="s">
        <v>849</v>
      </c>
      <c r="F29" s="15" t="s">
        <v>3167</v>
      </c>
      <c r="G29" s="14" t="s">
        <v>3169</v>
      </c>
      <c r="H29" s="15" t="s">
        <v>3168</v>
      </c>
    </row>
    <row r="30" spans="1:8">
      <c r="A30" s="14" t="s">
        <v>848</v>
      </c>
      <c r="B30" s="15" t="s">
        <v>787</v>
      </c>
      <c r="C30" s="14">
        <f t="shared" si="0"/>
        <v>1</v>
      </c>
      <c r="D30" s="14" t="str">
        <f t="shared" si="1"/>
        <v>HIV I-9a Percentage of men who have sex with men who are living with HIV-1</v>
      </c>
      <c r="E30" s="15" t="s">
        <v>849</v>
      </c>
      <c r="F30" s="15" t="s">
        <v>3171</v>
      </c>
      <c r="G30" s="14" t="s">
        <v>3173</v>
      </c>
      <c r="H30" s="15" t="s">
        <v>3172</v>
      </c>
    </row>
    <row r="31" spans="1:8">
      <c r="A31" s="14" t="s">
        <v>852</v>
      </c>
      <c r="B31" s="15" t="s">
        <v>791</v>
      </c>
      <c r="C31" s="14">
        <f t="shared" si="0"/>
        <v>0</v>
      </c>
      <c r="D31" s="14" t="str">
        <f t="shared" si="1"/>
        <v>HIV I-9b Percentage of transgender people who are living with HIV-0</v>
      </c>
      <c r="E31" s="15" t="s">
        <v>849</v>
      </c>
      <c r="F31" s="15" t="s">
        <v>3167</v>
      </c>
      <c r="G31" s="14" t="s">
        <v>3207</v>
      </c>
      <c r="H31" s="15" t="s">
        <v>3206</v>
      </c>
    </row>
    <row r="32" spans="1:8">
      <c r="A32" s="14" t="s">
        <v>852</v>
      </c>
      <c r="B32" s="15" t="s">
        <v>791</v>
      </c>
      <c r="C32" s="14">
        <f t="shared" si="0"/>
        <v>1</v>
      </c>
      <c r="D32" s="14" t="str">
        <f t="shared" si="1"/>
        <v>HIV I-9b Percentage of transgender people who are living with HIV-1</v>
      </c>
      <c r="E32" s="15" t="s">
        <v>849</v>
      </c>
      <c r="F32" s="15" t="s">
        <v>3171</v>
      </c>
      <c r="G32" s="14" t="s">
        <v>3210</v>
      </c>
      <c r="H32" s="15" t="s">
        <v>3209</v>
      </c>
    </row>
    <row r="33" spans="1:8">
      <c r="A33" s="14" t="s">
        <v>855</v>
      </c>
      <c r="B33" s="15" t="s">
        <v>790</v>
      </c>
      <c r="C33" s="14">
        <f t="shared" si="0"/>
        <v>0</v>
      </c>
      <c r="D33" s="14" t="str">
        <f t="shared" si="1"/>
        <v>HIV I-10 Percentage of sex workers who are living with HIV-0</v>
      </c>
      <c r="E33" s="15" t="s">
        <v>849</v>
      </c>
      <c r="F33" s="15" t="s">
        <v>3167</v>
      </c>
      <c r="G33" s="14" t="s">
        <v>3184</v>
      </c>
      <c r="H33" s="15" t="s">
        <v>3183</v>
      </c>
    </row>
    <row r="34" spans="1:8">
      <c r="A34" s="14" t="s">
        <v>855</v>
      </c>
      <c r="B34" s="15" t="s">
        <v>790</v>
      </c>
      <c r="C34" s="14">
        <f t="shared" si="0"/>
        <v>1</v>
      </c>
      <c r="D34" s="14" t="str">
        <f t="shared" si="1"/>
        <v>HIV I-10 Percentage of sex workers who are living with HIV-1</v>
      </c>
      <c r="E34" s="15" t="s">
        <v>849</v>
      </c>
      <c r="F34" s="15" t="s">
        <v>3171</v>
      </c>
      <c r="G34" s="14" t="s">
        <v>3187</v>
      </c>
      <c r="H34" s="15" t="s">
        <v>3186</v>
      </c>
    </row>
    <row r="35" spans="1:8">
      <c r="A35" s="14" t="s">
        <v>855</v>
      </c>
      <c r="B35" s="15" t="s">
        <v>790</v>
      </c>
      <c r="C35" s="14">
        <f t="shared" si="0"/>
        <v>2</v>
      </c>
      <c r="D35" s="14" t="str">
        <f t="shared" si="1"/>
        <v>HIV I-10 Percentage of sex workers who are living with HIV-2</v>
      </c>
      <c r="E35" s="15" t="s">
        <v>1192</v>
      </c>
      <c r="F35" s="15" t="s">
        <v>3189</v>
      </c>
      <c r="G35" s="14" t="s">
        <v>3191</v>
      </c>
      <c r="H35" s="15" t="s">
        <v>3190</v>
      </c>
    </row>
    <row r="36" spans="1:8">
      <c r="A36" s="14" t="s">
        <v>855</v>
      </c>
      <c r="B36" s="15" t="s">
        <v>790</v>
      </c>
      <c r="C36" s="14">
        <f t="shared" si="0"/>
        <v>3</v>
      </c>
      <c r="D36" s="14" t="str">
        <f t="shared" si="1"/>
        <v>HIV I-10 Percentage of sex workers who are living with HIV-3</v>
      </c>
      <c r="E36" s="15" t="s">
        <v>1192</v>
      </c>
      <c r="F36" s="15" t="s">
        <v>3193</v>
      </c>
      <c r="G36" s="14" t="s">
        <v>3195</v>
      </c>
      <c r="H36" s="15" t="s">
        <v>3194</v>
      </c>
    </row>
    <row r="37" spans="1:8">
      <c r="A37" s="14" t="s">
        <v>855</v>
      </c>
      <c r="B37" s="15" t="s">
        <v>790</v>
      </c>
      <c r="C37" s="14">
        <f t="shared" si="0"/>
        <v>4</v>
      </c>
      <c r="D37" s="14" t="str">
        <f t="shared" si="1"/>
        <v>HIV I-10 Percentage of sex workers who are living with HIV-4</v>
      </c>
      <c r="E37" s="15" t="s">
        <v>1192</v>
      </c>
      <c r="F37" s="15" t="s">
        <v>3197</v>
      </c>
      <c r="G37" s="14" t="s">
        <v>3199</v>
      </c>
      <c r="H37" s="15" t="s">
        <v>3198</v>
      </c>
    </row>
    <row r="38" spans="1:8">
      <c r="A38" s="14" t="s">
        <v>859</v>
      </c>
      <c r="B38" s="15" t="s">
        <v>793</v>
      </c>
      <c r="C38" s="14">
        <f t="shared" si="0"/>
        <v>0</v>
      </c>
      <c r="D38" s="14" t="str">
        <f t="shared" si="1"/>
        <v>HIV I-11 Percentage of people who inject drugs who are living with HIV-0</v>
      </c>
      <c r="E38" s="15" t="s">
        <v>849</v>
      </c>
      <c r="F38" s="15" t="s">
        <v>3167</v>
      </c>
      <c r="G38" s="14" t="s">
        <v>3221</v>
      </c>
      <c r="H38" s="15" t="s">
        <v>3220</v>
      </c>
    </row>
    <row r="39" spans="1:8">
      <c r="A39" s="14" t="s">
        <v>859</v>
      </c>
      <c r="B39" s="15" t="s">
        <v>793</v>
      </c>
      <c r="C39" s="14">
        <f t="shared" si="0"/>
        <v>1</v>
      </c>
      <c r="D39" s="14" t="str">
        <f t="shared" si="1"/>
        <v>HIV I-11 Percentage of people who inject drugs who are living with HIV-1</v>
      </c>
      <c r="E39" s="15" t="s">
        <v>849</v>
      </c>
      <c r="F39" s="15" t="s">
        <v>3171</v>
      </c>
      <c r="G39" s="14" t="s">
        <v>3224</v>
      </c>
      <c r="H39" s="15" t="s">
        <v>3223</v>
      </c>
    </row>
    <row r="40" spans="1:8">
      <c r="A40" s="14" t="s">
        <v>859</v>
      </c>
      <c r="B40" s="15" t="s">
        <v>793</v>
      </c>
      <c r="C40" s="14">
        <f t="shared" si="0"/>
        <v>2</v>
      </c>
      <c r="D40" s="14" t="str">
        <f t="shared" si="1"/>
        <v>HIV I-11 Percentage of people who inject drugs who are living with HIV-2</v>
      </c>
      <c r="E40" s="15" t="s">
        <v>1192</v>
      </c>
      <c r="F40" s="15" t="s">
        <v>3189</v>
      </c>
      <c r="G40" s="14" t="s">
        <v>3227</v>
      </c>
      <c r="H40" s="15" t="s">
        <v>3226</v>
      </c>
    </row>
    <row r="41" spans="1:8">
      <c r="A41" s="14" t="s">
        <v>859</v>
      </c>
      <c r="B41" s="15" t="s">
        <v>793</v>
      </c>
      <c r="C41" s="14">
        <f t="shared" si="0"/>
        <v>3</v>
      </c>
      <c r="D41" s="14" t="str">
        <f t="shared" si="1"/>
        <v>HIV I-11 Percentage of people who inject drugs who are living with HIV-3</v>
      </c>
      <c r="E41" s="15" t="s">
        <v>1192</v>
      </c>
      <c r="F41" s="15" t="s">
        <v>3193</v>
      </c>
      <c r="G41" s="14" t="s">
        <v>3230</v>
      </c>
      <c r="H41" s="15" t="s">
        <v>3229</v>
      </c>
    </row>
    <row r="42" spans="1:8">
      <c r="A42" s="14" t="s">
        <v>859</v>
      </c>
      <c r="B42" s="15" t="s">
        <v>793</v>
      </c>
      <c r="C42" s="14">
        <f t="shared" si="0"/>
        <v>4</v>
      </c>
      <c r="D42" s="14" t="str">
        <f t="shared" si="1"/>
        <v>HIV I-11 Percentage of people who inject drugs who are living with HIV-4</v>
      </c>
      <c r="E42" s="15" t="s">
        <v>1192</v>
      </c>
      <c r="F42" s="15" t="s">
        <v>3197</v>
      </c>
      <c r="G42" s="14" t="s">
        <v>3233</v>
      </c>
      <c r="H42" s="15" t="s">
        <v>3232</v>
      </c>
    </row>
    <row r="43" spans="1:8">
      <c r="A43" s="14" t="s">
        <v>5183</v>
      </c>
      <c r="B43" s="15" t="s">
        <v>5184</v>
      </c>
      <c r="C43" s="14">
        <f t="shared" si="0"/>
        <v>0</v>
      </c>
      <c r="D43" s="14" t="str">
        <f t="shared" si="1"/>
        <v>Malaria I-1 Reported malaria cases (presumed and confirmed)-0</v>
      </c>
      <c r="E43" s="15" t="s">
        <v>849</v>
      </c>
      <c r="F43" s="15" t="s">
        <v>3240</v>
      </c>
      <c r="G43" s="14" t="s">
        <v>5185</v>
      </c>
      <c r="H43" s="15" t="s">
        <v>5186</v>
      </c>
    </row>
    <row r="44" spans="1:8">
      <c r="A44" s="14" t="s">
        <v>5183</v>
      </c>
      <c r="B44" s="15" t="s">
        <v>5184</v>
      </c>
      <c r="C44" s="14">
        <f t="shared" si="0"/>
        <v>1</v>
      </c>
      <c r="D44" s="14" t="str">
        <f t="shared" si="1"/>
        <v>Malaria I-1 Reported malaria cases (presumed and confirmed)-1</v>
      </c>
      <c r="E44" s="15" t="s">
        <v>849</v>
      </c>
      <c r="F44" s="15" t="s">
        <v>3535</v>
      </c>
      <c r="G44" s="14" t="s">
        <v>5187</v>
      </c>
      <c r="H44" s="15" t="s">
        <v>5188</v>
      </c>
    </row>
    <row r="45" spans="1:8">
      <c r="A45" s="14" t="s">
        <v>5183</v>
      </c>
      <c r="B45" s="15" t="s">
        <v>5184</v>
      </c>
      <c r="C45" s="14">
        <f t="shared" si="0"/>
        <v>2</v>
      </c>
      <c r="D45" s="14" t="str">
        <f t="shared" si="1"/>
        <v>Malaria I-1 Reported malaria cases (presumed and confirmed)-2</v>
      </c>
      <c r="E45" s="15" t="s">
        <v>5189</v>
      </c>
      <c r="F45" s="15" t="s">
        <v>5190</v>
      </c>
      <c r="G45" s="14" t="s">
        <v>5191</v>
      </c>
      <c r="H45" s="15" t="s">
        <v>5192</v>
      </c>
    </row>
    <row r="46" spans="1:8">
      <c r="A46" s="14" t="s">
        <v>5183</v>
      </c>
      <c r="B46" s="15" t="s">
        <v>5184</v>
      </c>
      <c r="C46" s="14">
        <f t="shared" si="0"/>
        <v>3</v>
      </c>
      <c r="D46" s="14" t="str">
        <f t="shared" si="1"/>
        <v>Malaria I-1 Reported malaria cases (presumed and confirmed)-3</v>
      </c>
      <c r="E46" s="15" t="s">
        <v>5189</v>
      </c>
      <c r="F46" s="15" t="s">
        <v>5193</v>
      </c>
      <c r="G46" s="14" t="s">
        <v>5194</v>
      </c>
      <c r="H46" s="15" t="s">
        <v>5195</v>
      </c>
    </row>
    <row r="47" spans="1:8">
      <c r="A47" s="14" t="s">
        <v>5183</v>
      </c>
      <c r="B47" s="15" t="s">
        <v>5184</v>
      </c>
      <c r="C47" s="14">
        <f t="shared" si="0"/>
        <v>4</v>
      </c>
      <c r="D47" s="14" t="str">
        <f t="shared" si="1"/>
        <v>Malaria I-1 Reported malaria cases (presumed and confirmed)-4</v>
      </c>
      <c r="E47" s="15" t="s">
        <v>849</v>
      </c>
      <c r="F47" s="15" t="s">
        <v>3547</v>
      </c>
      <c r="G47" s="14" t="s">
        <v>5196</v>
      </c>
      <c r="H47" s="15" t="s">
        <v>5197</v>
      </c>
    </row>
    <row r="48" spans="1:8">
      <c r="A48" s="14" t="s">
        <v>5198</v>
      </c>
      <c r="B48" s="15" t="s">
        <v>5199</v>
      </c>
      <c r="C48" s="14">
        <f t="shared" si="0"/>
        <v>0</v>
      </c>
      <c r="D48" s="14" t="str">
        <f t="shared" si="1"/>
        <v>Malaria I-2.1 Confirmed malaria cases (microscopy or RDT): rate per 1000 persons per year-0</v>
      </c>
      <c r="E48" s="15" t="s">
        <v>849</v>
      </c>
      <c r="F48" s="15" t="s">
        <v>3240</v>
      </c>
      <c r="G48" s="14" t="s">
        <v>5200</v>
      </c>
      <c r="H48" s="15" t="s">
        <v>5201</v>
      </c>
    </row>
    <row r="49" spans="1:8">
      <c r="A49" s="14" t="s">
        <v>5198</v>
      </c>
      <c r="B49" s="15" t="s">
        <v>5199</v>
      </c>
      <c r="C49" s="14">
        <f t="shared" si="0"/>
        <v>1</v>
      </c>
      <c r="D49" s="14" t="str">
        <f t="shared" si="1"/>
        <v>Malaria I-2.1 Confirmed malaria cases (microscopy or RDT): rate per 1000 persons per year-1</v>
      </c>
      <c r="E49" s="15" t="s">
        <v>5202</v>
      </c>
      <c r="F49" s="15" t="s">
        <v>5203</v>
      </c>
      <c r="G49" s="14" t="s">
        <v>5204</v>
      </c>
      <c r="H49" s="15" t="s">
        <v>5205</v>
      </c>
    </row>
    <row r="50" spans="1:8">
      <c r="A50" s="14" t="s">
        <v>5198</v>
      </c>
      <c r="B50" s="15" t="s">
        <v>5199</v>
      </c>
      <c r="C50" s="14">
        <f t="shared" si="0"/>
        <v>2</v>
      </c>
      <c r="D50" s="14" t="str">
        <f t="shared" si="1"/>
        <v>Malaria I-2.1 Confirmed malaria cases (microscopy or RDT): rate per 1000 persons per year-2</v>
      </c>
      <c r="E50" s="15" t="s">
        <v>5202</v>
      </c>
      <c r="F50" s="15" t="s">
        <v>5206</v>
      </c>
      <c r="G50" s="14" t="s">
        <v>5207</v>
      </c>
      <c r="H50" s="15" t="s">
        <v>5208</v>
      </c>
    </row>
    <row r="51" spans="1:8">
      <c r="A51" s="14" t="s">
        <v>5198</v>
      </c>
      <c r="B51" s="15" t="s">
        <v>5199</v>
      </c>
      <c r="C51" s="14">
        <f t="shared" si="0"/>
        <v>3</v>
      </c>
      <c r="D51" s="14" t="str">
        <f t="shared" si="1"/>
        <v>Malaria I-2.1 Confirmed malaria cases (microscopy or RDT): rate per 1000 persons per year-3</v>
      </c>
      <c r="E51" s="15" t="s">
        <v>849</v>
      </c>
      <c r="F51" s="15" t="s">
        <v>3535</v>
      </c>
      <c r="G51" s="14" t="s">
        <v>5209</v>
      </c>
      <c r="H51" s="15" t="s">
        <v>5210</v>
      </c>
    </row>
    <row r="52" spans="1:8">
      <c r="A52" s="14" t="s">
        <v>5198</v>
      </c>
      <c r="B52" s="15" t="s">
        <v>5199</v>
      </c>
      <c r="C52" s="14">
        <f t="shared" si="0"/>
        <v>4</v>
      </c>
      <c r="D52" s="14" t="str">
        <f t="shared" si="1"/>
        <v>Malaria I-2.1 Confirmed malaria cases (microscopy or RDT): rate per 1000 persons per year-4</v>
      </c>
      <c r="E52" s="15" t="s">
        <v>5202</v>
      </c>
      <c r="F52" s="15" t="s">
        <v>5211</v>
      </c>
      <c r="G52" s="14" t="s">
        <v>5212</v>
      </c>
      <c r="H52" s="15" t="s">
        <v>5213</v>
      </c>
    </row>
    <row r="53" spans="1:8">
      <c r="A53" s="14" t="s">
        <v>5198</v>
      </c>
      <c r="B53" s="15" t="s">
        <v>5199</v>
      </c>
      <c r="C53" s="14">
        <f t="shared" si="0"/>
        <v>5</v>
      </c>
      <c r="D53" s="14" t="str">
        <f t="shared" si="1"/>
        <v>Malaria I-2.1 Confirmed malaria cases (microscopy or RDT): rate per 1000 persons per year-5</v>
      </c>
      <c r="E53" s="15" t="s">
        <v>5202</v>
      </c>
      <c r="F53" s="15" t="s">
        <v>5214</v>
      </c>
      <c r="G53" s="14" t="s">
        <v>5215</v>
      </c>
      <c r="H53" s="15" t="s">
        <v>5216</v>
      </c>
    </row>
    <row r="54" spans="1:8">
      <c r="A54" s="14" t="s">
        <v>5198</v>
      </c>
      <c r="B54" s="15" t="s">
        <v>5199</v>
      </c>
      <c r="C54" s="14">
        <f t="shared" si="0"/>
        <v>6</v>
      </c>
      <c r="D54" s="14" t="str">
        <f t="shared" si="1"/>
        <v>Malaria I-2.1 Confirmed malaria cases (microscopy or RDT): rate per 1000 persons per year-6</v>
      </c>
      <c r="E54" s="15" t="s">
        <v>849</v>
      </c>
      <c r="F54" s="15" t="s">
        <v>3547</v>
      </c>
      <c r="G54" s="14" t="s">
        <v>5217</v>
      </c>
      <c r="H54" s="15" t="s">
        <v>5218</v>
      </c>
    </row>
    <row r="55" spans="1:8">
      <c r="A55" s="14" t="s">
        <v>5219</v>
      </c>
      <c r="B55" s="15" t="s">
        <v>5220</v>
      </c>
      <c r="C55" s="14">
        <f t="shared" si="0"/>
        <v>0</v>
      </c>
      <c r="D55" s="14" t="str">
        <f t="shared" si="1"/>
        <v>Malaria I-3.1 In-patient malaria deaths: rate per 100,000 persons per year-0</v>
      </c>
      <c r="E55" s="15" t="s">
        <v>849</v>
      </c>
      <c r="F55" s="15" t="s">
        <v>3240</v>
      </c>
      <c r="G55" s="14" t="s">
        <v>5221</v>
      </c>
      <c r="H55" s="15" t="s">
        <v>5222</v>
      </c>
    </row>
    <row r="56" spans="1:8">
      <c r="A56" s="14" t="s">
        <v>5219</v>
      </c>
      <c r="B56" s="15" t="s">
        <v>5220</v>
      </c>
      <c r="C56" s="14">
        <f t="shared" si="0"/>
        <v>1</v>
      </c>
      <c r="D56" s="14" t="str">
        <f t="shared" si="1"/>
        <v>Malaria I-3.1 In-patient malaria deaths: rate per 100,000 persons per year-1</v>
      </c>
      <c r="E56" s="15" t="s">
        <v>849</v>
      </c>
      <c r="F56" s="15" t="s">
        <v>3535</v>
      </c>
      <c r="G56" s="14" t="s">
        <v>5223</v>
      </c>
      <c r="H56" s="15" t="s">
        <v>5224</v>
      </c>
    </row>
    <row r="57" spans="1:8">
      <c r="A57" s="14" t="s">
        <v>5219</v>
      </c>
      <c r="B57" s="15" t="s">
        <v>5220</v>
      </c>
      <c r="C57" s="14">
        <f t="shared" si="0"/>
        <v>2</v>
      </c>
      <c r="D57" s="14" t="str">
        <f t="shared" si="1"/>
        <v>Malaria I-3.1 In-patient malaria deaths: rate per 100,000 persons per year-2</v>
      </c>
      <c r="E57" s="15" t="s">
        <v>849</v>
      </c>
      <c r="F57" s="15" t="s">
        <v>3547</v>
      </c>
      <c r="G57" s="14" t="s">
        <v>5225</v>
      </c>
      <c r="H57" s="15" t="s">
        <v>5226</v>
      </c>
    </row>
    <row r="58" spans="1:8">
      <c r="A58" s="14" t="s">
        <v>5227</v>
      </c>
      <c r="B58" s="15" t="s">
        <v>5228</v>
      </c>
      <c r="C58" s="14">
        <f t="shared" si="0"/>
        <v>0</v>
      </c>
      <c r="D58" s="14" t="str">
        <f t="shared" si="1"/>
        <v>Malaria I-4 Malaria test positivity rate-0</v>
      </c>
      <c r="E58" s="15" t="s">
        <v>5229</v>
      </c>
      <c r="F58" s="15" t="s">
        <v>5230</v>
      </c>
      <c r="G58" s="14" t="s">
        <v>5231</v>
      </c>
      <c r="H58" s="15" t="s">
        <v>5232</v>
      </c>
    </row>
    <row r="59" spans="1:8">
      <c r="A59" s="14" t="s">
        <v>5227</v>
      </c>
      <c r="B59" s="15" t="s">
        <v>5228</v>
      </c>
      <c r="C59" s="14">
        <f t="shared" si="0"/>
        <v>1</v>
      </c>
      <c r="D59" s="14" t="str">
        <f t="shared" si="1"/>
        <v>Malaria I-4 Malaria test positivity rate-1</v>
      </c>
      <c r="E59" s="15" t="s">
        <v>5229</v>
      </c>
      <c r="F59" s="15" t="s">
        <v>5233</v>
      </c>
      <c r="G59" s="14" t="s">
        <v>5234</v>
      </c>
      <c r="H59" s="15" t="s">
        <v>5235</v>
      </c>
    </row>
    <row r="60" spans="1:8">
      <c r="A60" s="14" t="s">
        <v>5236</v>
      </c>
      <c r="B60" s="15" t="s">
        <v>5237</v>
      </c>
      <c r="C60" s="14">
        <f t="shared" si="0"/>
        <v>0</v>
      </c>
      <c r="D60" s="14" t="str">
        <f t="shared" si="1"/>
        <v>Malaria I-5.1 Malaria Parasite prevalence: Proportion of population with malaria infection-0</v>
      </c>
      <c r="E60" s="15" t="s">
        <v>849</v>
      </c>
      <c r="F60" s="15" t="s">
        <v>3240</v>
      </c>
      <c r="G60" s="14" t="s">
        <v>5238</v>
      </c>
      <c r="H60" s="15" t="s">
        <v>5239</v>
      </c>
    </row>
    <row r="61" spans="1:8">
      <c r="A61" s="14" t="s">
        <v>5236</v>
      </c>
      <c r="B61" s="15" t="s">
        <v>5237</v>
      </c>
      <c r="C61" s="14">
        <f t="shared" si="0"/>
        <v>1</v>
      </c>
      <c r="D61" s="14" t="str">
        <f t="shared" si="1"/>
        <v>Malaria I-5.1 Malaria Parasite prevalence: Proportion of population with malaria infection-1</v>
      </c>
      <c r="E61" s="15" t="s">
        <v>849</v>
      </c>
      <c r="F61" s="15" t="s">
        <v>3535</v>
      </c>
      <c r="G61" s="14" t="s">
        <v>5240</v>
      </c>
      <c r="H61" s="15" t="s">
        <v>5241</v>
      </c>
    </row>
    <row r="62" spans="1:8">
      <c r="A62" s="14" t="s">
        <v>5236</v>
      </c>
      <c r="B62" s="15" t="s">
        <v>5237</v>
      </c>
      <c r="C62" s="14">
        <f t="shared" si="0"/>
        <v>2</v>
      </c>
      <c r="D62" s="14" t="str">
        <f t="shared" si="1"/>
        <v>Malaria I-5.1 Malaria Parasite prevalence: Proportion of population with malaria infection-2</v>
      </c>
      <c r="E62" s="15" t="s">
        <v>1192</v>
      </c>
      <c r="F62" s="15" t="s">
        <v>3193</v>
      </c>
      <c r="G62" s="14" t="s">
        <v>5242</v>
      </c>
      <c r="H62" s="15" t="s">
        <v>5243</v>
      </c>
    </row>
    <row r="63" spans="1:8">
      <c r="A63" s="14" t="s">
        <v>5236</v>
      </c>
      <c r="B63" s="15" t="s">
        <v>5237</v>
      </c>
      <c r="C63" s="14">
        <f t="shared" si="0"/>
        <v>3</v>
      </c>
      <c r="D63" s="14" t="str">
        <f t="shared" si="1"/>
        <v>Malaria I-5.1 Malaria Parasite prevalence: Proportion of population with malaria infection-3</v>
      </c>
      <c r="E63" s="15" t="s">
        <v>1192</v>
      </c>
      <c r="F63" s="15" t="s">
        <v>3197</v>
      </c>
      <c r="G63" s="14" t="s">
        <v>5244</v>
      </c>
      <c r="H63" s="15" t="s">
        <v>5245</v>
      </c>
    </row>
    <row r="64" spans="1:8">
      <c r="A64" s="14" t="s">
        <v>5236</v>
      </c>
      <c r="B64" s="15" t="s">
        <v>5237</v>
      </c>
      <c r="C64" s="14">
        <f t="shared" si="0"/>
        <v>4</v>
      </c>
      <c r="D64" s="14" t="str">
        <f t="shared" si="1"/>
        <v>Malaria I-5.1 Malaria Parasite prevalence: Proportion of population with malaria infection-4</v>
      </c>
      <c r="E64" s="15" t="s">
        <v>849</v>
      </c>
      <c r="F64" s="15" t="s">
        <v>3547</v>
      </c>
      <c r="G64" s="14" t="s">
        <v>5246</v>
      </c>
      <c r="H64" s="15" t="s">
        <v>5247</v>
      </c>
    </row>
    <row r="65" spans="1:8">
      <c r="A65" s="14" t="s">
        <v>5248</v>
      </c>
      <c r="B65" s="15" t="s">
        <v>5249</v>
      </c>
      <c r="C65" s="14">
        <f t="shared" si="0"/>
        <v>0</v>
      </c>
      <c r="D65" s="14" t="str">
        <f t="shared" si="1"/>
        <v>Malaria I-10 Annual parasite incidence: Confirmed malaria cases (microscopy or RDT): rate per 1000 persons per year (Elimination settings)-0</v>
      </c>
      <c r="E65" s="15" t="s">
        <v>5250</v>
      </c>
      <c r="F65" s="15" t="s">
        <v>5251</v>
      </c>
      <c r="G65" s="14" t="s">
        <v>5252</v>
      </c>
      <c r="H65" s="15" t="s">
        <v>5253</v>
      </c>
    </row>
    <row r="66" spans="1:8">
      <c r="A66" s="14" t="s">
        <v>5248</v>
      </c>
      <c r="B66" s="15" t="s">
        <v>5249</v>
      </c>
      <c r="C66" s="14">
        <f t="shared" si="0"/>
        <v>1</v>
      </c>
      <c r="D66" s="14" t="str">
        <f t="shared" si="1"/>
        <v>Malaria I-10 Annual parasite incidence: Confirmed malaria cases (microscopy or RDT): rate per 1000 persons per year (Elimination settings)-1</v>
      </c>
      <c r="E66" s="15" t="s">
        <v>5250</v>
      </c>
      <c r="F66" s="15" t="s">
        <v>5254</v>
      </c>
      <c r="G66" s="14" t="s">
        <v>5255</v>
      </c>
      <c r="H66" s="15" t="s">
        <v>5256</v>
      </c>
    </row>
    <row r="67" spans="1:8">
      <c r="A67" s="14" t="s">
        <v>5257</v>
      </c>
      <c r="B67" s="15" t="s">
        <v>5258</v>
      </c>
      <c r="C67" s="14">
        <f t="shared" si="0"/>
        <v>0</v>
      </c>
      <c r="D67" s="14" t="str">
        <f t="shared" si="1"/>
        <v>Malaria I-12 Malaria mortality: rate per 100 000 people per year-0</v>
      </c>
      <c r="E67" s="15" t="s">
        <v>849</v>
      </c>
      <c r="F67" s="15" t="s">
        <v>3240</v>
      </c>
      <c r="G67" s="14" t="s">
        <v>5259</v>
      </c>
      <c r="H67" s="15" t="s">
        <v>5260</v>
      </c>
    </row>
    <row r="68" spans="1:8">
      <c r="A68" s="14" t="s">
        <v>5257</v>
      </c>
      <c r="B68" s="15" t="s">
        <v>5258</v>
      </c>
      <c r="C68" s="14">
        <f t="shared" ref="C68:C79" si="2">IF(B68=B67,C67+1,0)</f>
        <v>1</v>
      </c>
      <c r="D68" s="14" t="str">
        <f t="shared" ref="D68:D79" si="3">B68&amp;"-"&amp;C68</f>
        <v>Malaria I-12 Malaria mortality: rate per 100 000 people per year-1</v>
      </c>
      <c r="E68" s="15" t="s">
        <v>849</v>
      </c>
      <c r="F68" s="15" t="s">
        <v>3535</v>
      </c>
      <c r="G68" s="14" t="s">
        <v>5261</v>
      </c>
      <c r="H68" s="15" t="s">
        <v>5262</v>
      </c>
    </row>
    <row r="69" spans="1:8">
      <c r="A69" s="14" t="s">
        <v>5257</v>
      </c>
      <c r="B69" s="15" t="s">
        <v>5258</v>
      </c>
      <c r="C69" s="14">
        <f t="shared" si="2"/>
        <v>2</v>
      </c>
      <c r="D69" s="14" t="str">
        <f t="shared" si="3"/>
        <v>Malaria I-12 Malaria mortality: rate per 100 000 people per year-2</v>
      </c>
      <c r="E69" s="15" t="s">
        <v>849</v>
      </c>
      <c r="F69" s="15" t="s">
        <v>3547</v>
      </c>
      <c r="G69" s="14" t="s">
        <v>5263</v>
      </c>
      <c r="H69" s="15" t="s">
        <v>5264</v>
      </c>
    </row>
    <row r="70" spans="1:8">
      <c r="A70" s="14" t="s">
        <v>5265</v>
      </c>
      <c r="B70" s="15" t="s">
        <v>5266</v>
      </c>
      <c r="C70" s="14">
        <f t="shared" si="2"/>
        <v>0</v>
      </c>
      <c r="D70" s="14" t="str">
        <f t="shared" si="3"/>
        <v>Malaria I-13 Malaria case fatality rate: Percentage of deaths among confirmed malaria cases (for elimination settings)-0</v>
      </c>
      <c r="E70" s="15" t="s">
        <v>849</v>
      </c>
      <c r="F70" s="15" t="s">
        <v>3240</v>
      </c>
      <c r="G70" s="14" t="s">
        <v>5267</v>
      </c>
      <c r="H70" s="15" t="s">
        <v>5268</v>
      </c>
    </row>
    <row r="71" spans="1:8">
      <c r="A71" s="14" t="s">
        <v>5265</v>
      </c>
      <c r="B71" s="15" t="s">
        <v>5266</v>
      </c>
      <c r="C71" s="14">
        <f t="shared" si="2"/>
        <v>1</v>
      </c>
      <c r="D71" s="14" t="str">
        <f t="shared" si="3"/>
        <v>Malaria I-13 Malaria case fatality rate: Percentage of deaths among confirmed malaria cases (for elimination settings)-1</v>
      </c>
      <c r="E71" s="15" t="s">
        <v>849</v>
      </c>
      <c r="F71" s="15" t="s">
        <v>3535</v>
      </c>
      <c r="G71" s="14" t="s">
        <v>5269</v>
      </c>
      <c r="H71" s="15" t="s">
        <v>5270</v>
      </c>
    </row>
    <row r="72" spans="1:8">
      <c r="A72" s="14" t="s">
        <v>5265</v>
      </c>
      <c r="B72" s="15" t="s">
        <v>5266</v>
      </c>
      <c r="C72" s="14">
        <f t="shared" si="2"/>
        <v>2</v>
      </c>
      <c r="D72" s="14" t="str">
        <f t="shared" si="3"/>
        <v>Malaria I-13 Malaria case fatality rate: Percentage of deaths among confirmed malaria cases (for elimination settings)-2</v>
      </c>
      <c r="E72" s="15" t="s">
        <v>849</v>
      </c>
      <c r="F72" s="15" t="s">
        <v>3547</v>
      </c>
      <c r="G72" s="14" t="s">
        <v>5271</v>
      </c>
      <c r="H72" s="15" t="s">
        <v>5272</v>
      </c>
    </row>
    <row r="73" spans="1:8">
      <c r="A73" s="14" t="s">
        <v>5273</v>
      </c>
      <c r="B73" s="15" t="s">
        <v>5274</v>
      </c>
      <c r="C73" s="14">
        <f t="shared" si="2"/>
        <v>0</v>
      </c>
      <c r="D73" s="14" t="str">
        <f t="shared" si="3"/>
        <v>Malaria I-14 Malaria admissions: rate per 100,000 pop per year-0</v>
      </c>
      <c r="E73" s="15" t="s">
        <v>849</v>
      </c>
      <c r="F73" s="15" t="s">
        <v>3240</v>
      </c>
      <c r="G73" s="14" t="s">
        <v>5275</v>
      </c>
      <c r="H73" s="15" t="s">
        <v>5276</v>
      </c>
    </row>
    <row r="74" spans="1:8">
      <c r="A74" s="14" t="s">
        <v>5273</v>
      </c>
      <c r="B74" s="15" t="s">
        <v>5274</v>
      </c>
      <c r="C74" s="14">
        <f t="shared" si="2"/>
        <v>1</v>
      </c>
      <c r="D74" s="14" t="str">
        <f t="shared" si="3"/>
        <v>Malaria I-14 Malaria admissions: rate per 100,000 pop per year-1</v>
      </c>
      <c r="E74" s="15" t="s">
        <v>849</v>
      </c>
      <c r="F74" s="15" t="s">
        <v>3535</v>
      </c>
      <c r="G74" s="14" t="s">
        <v>5277</v>
      </c>
      <c r="H74" s="15" t="s">
        <v>5278</v>
      </c>
    </row>
    <row r="75" spans="1:8">
      <c r="A75" s="14" t="s">
        <v>5273</v>
      </c>
      <c r="B75" s="15" t="s">
        <v>5274</v>
      </c>
      <c r="C75" s="14">
        <f t="shared" si="2"/>
        <v>2</v>
      </c>
      <c r="D75" s="14" t="str">
        <f t="shared" si="3"/>
        <v>Malaria I-14 Malaria admissions: rate per 100,000 pop per year-2</v>
      </c>
      <c r="E75" s="15" t="s">
        <v>849</v>
      </c>
      <c r="F75" s="15" t="s">
        <v>3547</v>
      </c>
      <c r="G75" s="14" t="s">
        <v>5279</v>
      </c>
      <c r="H75" s="15" t="s">
        <v>5280</v>
      </c>
    </row>
    <row r="76" spans="1:8">
      <c r="A76" s="14" t="s">
        <v>5281</v>
      </c>
      <c r="B76" s="15" t="s">
        <v>5282</v>
      </c>
      <c r="C76" s="14">
        <f t="shared" si="2"/>
        <v>0</v>
      </c>
      <c r="D76" s="14" t="str">
        <f t="shared" si="3"/>
        <v>Malaria I-15 Number of locally acquired malaria cases-0</v>
      </c>
      <c r="E76" s="15" t="s">
        <v>5202</v>
      </c>
      <c r="F76" s="15" t="s">
        <v>5203</v>
      </c>
      <c r="G76" s="14" t="s">
        <v>5283</v>
      </c>
      <c r="H76" s="15" t="s">
        <v>5284</v>
      </c>
    </row>
    <row r="77" spans="1:8">
      <c r="A77" s="14" t="s">
        <v>5281</v>
      </c>
      <c r="B77" s="15" t="s">
        <v>5282</v>
      </c>
      <c r="C77" s="14">
        <f t="shared" si="2"/>
        <v>1</v>
      </c>
      <c r="D77" s="14" t="str">
        <f t="shared" si="3"/>
        <v>Malaria I-15 Number of locally acquired malaria cases-1</v>
      </c>
      <c r="E77" s="15" t="s">
        <v>5202</v>
      </c>
      <c r="F77" s="15" t="s">
        <v>5206</v>
      </c>
      <c r="G77" s="14" t="s">
        <v>5285</v>
      </c>
      <c r="H77" s="15" t="s">
        <v>5286</v>
      </c>
    </row>
    <row r="78" spans="1:8">
      <c r="A78" s="14" t="s">
        <v>5281</v>
      </c>
      <c r="B78" s="15" t="s">
        <v>5282</v>
      </c>
      <c r="C78" s="14">
        <f t="shared" si="2"/>
        <v>2</v>
      </c>
      <c r="D78" s="14" t="str">
        <f t="shared" si="3"/>
        <v>Malaria I-15 Number of locally acquired malaria cases-2</v>
      </c>
      <c r="E78" s="15" t="s">
        <v>5202</v>
      </c>
      <c r="F78" s="15" t="s">
        <v>5211</v>
      </c>
      <c r="G78" s="14" t="s">
        <v>5287</v>
      </c>
      <c r="H78" s="15" t="s">
        <v>5288</v>
      </c>
    </row>
    <row r="79" spans="1:8">
      <c r="A79" s="14" t="s">
        <v>5281</v>
      </c>
      <c r="B79" s="15" t="s">
        <v>5282</v>
      </c>
      <c r="C79" s="14">
        <f t="shared" si="2"/>
        <v>3</v>
      </c>
      <c r="D79" s="14" t="str">
        <f t="shared" si="3"/>
        <v>Malaria I-15 Number of locally acquired malaria cases-3</v>
      </c>
      <c r="E79" s="15" t="s">
        <v>5202</v>
      </c>
      <c r="F79" s="15" t="s">
        <v>5214</v>
      </c>
      <c r="G79" s="14" t="s">
        <v>5289</v>
      </c>
      <c r="H79" s="15" t="s">
        <v>5290</v>
      </c>
    </row>
    <row r="81" spans="1:8">
      <c r="A81" s="2" t="s">
        <v>5291</v>
      </c>
    </row>
    <row r="82" spans="1:8">
      <c r="A82" s="14" t="s">
        <v>5141</v>
      </c>
      <c r="B82" s="14" t="s">
        <v>815</v>
      </c>
      <c r="C82" s="14">
        <v>0</v>
      </c>
      <c r="D82" s="14" t="s">
        <v>5142</v>
      </c>
      <c r="E82" s="14" t="s">
        <v>2256</v>
      </c>
      <c r="F82" s="14" t="s">
        <v>2257</v>
      </c>
      <c r="G82" s="14" t="s">
        <v>318</v>
      </c>
      <c r="H82" s="14" t="s">
        <v>5143</v>
      </c>
    </row>
    <row r="83" spans="1:8" hidden="1">
      <c r="A83" s="14" t="s">
        <v>5144</v>
      </c>
      <c r="B83" s="15" t="s">
        <v>2176</v>
      </c>
      <c r="C83" s="14">
        <f>IF(B83=B82,C82+1,0)</f>
        <v>0</v>
      </c>
      <c r="D83" s="14" t="str">
        <f>B83&amp;"-"&amp;C83</f>
        <v>[Name]-0</v>
      </c>
      <c r="E83" s="15" t="s">
        <v>5145</v>
      </c>
      <c r="F83" s="15" t="s">
        <v>5146</v>
      </c>
      <c r="G83" s="14" t="s">
        <v>321</v>
      </c>
      <c r="H83" s="15" t="s">
        <v>5147</v>
      </c>
    </row>
    <row r="84" spans="1:8">
      <c r="A84" s="14" t="s">
        <v>889</v>
      </c>
      <c r="B84" s="15" t="s">
        <v>890</v>
      </c>
      <c r="C84" s="14">
        <f t="shared" ref="C84:C147" si="4">IF(B84=B83,C83+1,0)</f>
        <v>0</v>
      </c>
      <c r="D84" s="14" t="str">
        <f t="shared" ref="D84:D147" si="5">B84&amp;"-"&amp;C84</f>
        <v>HIV O-10 Percentage of high risk AGYW (15-24) who say they used a condom the last time they had sex with a non-regular partner, of those who have had sex with such a partner in the last 12 months-0</v>
      </c>
      <c r="E84" s="15" t="s">
        <v>849</v>
      </c>
      <c r="F84" s="15" t="s">
        <v>3735</v>
      </c>
      <c r="G84" s="14" t="s">
        <v>5292</v>
      </c>
      <c r="H84" s="15" t="s">
        <v>5293</v>
      </c>
    </row>
    <row r="85" spans="1:8">
      <c r="A85" s="14" t="s">
        <v>889</v>
      </c>
      <c r="B85" s="15" t="s">
        <v>890</v>
      </c>
      <c r="C85" s="14">
        <f t="shared" si="4"/>
        <v>1</v>
      </c>
      <c r="D85" s="14" t="str">
        <f t="shared" si="5"/>
        <v>HIV O-10 Percentage of high risk AGYW (15-24) who say they used a condom the last time they had sex with a non-regular partner, of those who have had sex with such a partner in the last 12 months-1</v>
      </c>
      <c r="E85" s="15" t="s">
        <v>849</v>
      </c>
      <c r="F85" s="15" t="s">
        <v>3739</v>
      </c>
      <c r="G85" s="14" t="s">
        <v>5294</v>
      </c>
      <c r="H85" s="15" t="s">
        <v>5295</v>
      </c>
    </row>
    <row r="86" spans="1:8">
      <c r="A86" s="14" t="s">
        <v>918</v>
      </c>
      <c r="B86" s="15" t="s">
        <v>919</v>
      </c>
      <c r="C86" s="14">
        <f t="shared" si="4"/>
        <v>0</v>
      </c>
      <c r="D86" s="14" t="str">
        <f t="shared" si="5"/>
        <v>HIV O-11 Percentage of people living with HIV who know their HIV status at the end of the reporting period-0</v>
      </c>
      <c r="E86" s="15" t="s">
        <v>849</v>
      </c>
      <c r="F86" s="15" t="s">
        <v>3240</v>
      </c>
      <c r="G86" s="14" t="s">
        <v>3023</v>
      </c>
      <c r="H86" s="15" t="s">
        <v>3022</v>
      </c>
    </row>
    <row r="87" spans="1:8">
      <c r="A87" s="14" t="s">
        <v>918</v>
      </c>
      <c r="B87" s="15" t="s">
        <v>919</v>
      </c>
      <c r="C87" s="14">
        <f t="shared" si="4"/>
        <v>1</v>
      </c>
      <c r="D87" s="14" t="str">
        <f t="shared" si="5"/>
        <v>HIV O-11 Percentage of people living with HIV who know their HIV status at the end of the reporting period-1</v>
      </c>
      <c r="E87" s="15" t="s">
        <v>849</v>
      </c>
      <c r="F87" s="15" t="s">
        <v>3244</v>
      </c>
      <c r="G87" s="14" t="s">
        <v>3026</v>
      </c>
      <c r="H87" s="15" t="s">
        <v>3025</v>
      </c>
    </row>
    <row r="88" spans="1:8">
      <c r="A88" s="14" t="s">
        <v>918</v>
      </c>
      <c r="B88" s="15" t="s">
        <v>919</v>
      </c>
      <c r="C88" s="14">
        <f t="shared" si="4"/>
        <v>2</v>
      </c>
      <c r="D88" s="14" t="str">
        <f t="shared" si="5"/>
        <v>HIV O-11 Percentage of people living with HIV who know their HIV status at the end of the reporting period-2</v>
      </c>
      <c r="E88" s="15" t="s">
        <v>5148</v>
      </c>
      <c r="F88" s="15" t="s">
        <v>4277</v>
      </c>
      <c r="G88" s="14" t="s">
        <v>3029</v>
      </c>
      <c r="H88" s="15" t="s">
        <v>3028</v>
      </c>
    </row>
    <row r="89" spans="1:8">
      <c r="A89" s="14" t="s">
        <v>918</v>
      </c>
      <c r="B89" s="15" t="s">
        <v>919</v>
      </c>
      <c r="C89" s="14">
        <f t="shared" si="4"/>
        <v>3</v>
      </c>
      <c r="D89" s="14" t="str">
        <f t="shared" si="5"/>
        <v>HIV O-11 Percentage of people living with HIV who know their HIV status at the end of the reporting period-3</v>
      </c>
      <c r="E89" s="15" t="s">
        <v>5148</v>
      </c>
      <c r="F89" s="15" t="s">
        <v>4281</v>
      </c>
      <c r="G89" s="14" t="s">
        <v>3032</v>
      </c>
      <c r="H89" s="15" t="s">
        <v>3031</v>
      </c>
    </row>
    <row r="90" spans="1:8">
      <c r="A90" s="14" t="s">
        <v>923</v>
      </c>
      <c r="B90" s="15" t="s">
        <v>924</v>
      </c>
      <c r="C90" s="14">
        <f t="shared" si="4"/>
        <v>0</v>
      </c>
      <c r="D90" s="14" t="str">
        <f t="shared" si="5"/>
        <v>HIV O-21 Percentage of people living with HIV reported on ART at the end of the last reporting period and newly initiating ART during the current reporting period who were not on ART at the end of current reporting period-0</v>
      </c>
      <c r="E90" s="15" t="s">
        <v>849</v>
      </c>
      <c r="F90" s="15" t="s">
        <v>3240</v>
      </c>
      <c r="G90" s="14" t="s">
        <v>5296</v>
      </c>
      <c r="H90" s="15" t="s">
        <v>5297</v>
      </c>
    </row>
    <row r="91" spans="1:8">
      <c r="A91" s="14" t="s">
        <v>923</v>
      </c>
      <c r="B91" s="15" t="s">
        <v>924</v>
      </c>
      <c r="C91" s="14">
        <f t="shared" si="4"/>
        <v>1</v>
      </c>
      <c r="D91" s="14" t="str">
        <f t="shared" si="5"/>
        <v>HIV O-21 Percentage of people living with HIV reported on ART at the end of the last reporting period and newly initiating ART during the current reporting period who were not on ART at the end of current reporting period-1</v>
      </c>
      <c r="E91" s="15" t="s">
        <v>849</v>
      </c>
      <c r="F91" s="15" t="s">
        <v>3244</v>
      </c>
      <c r="G91" s="14" t="s">
        <v>5298</v>
      </c>
      <c r="H91" s="15" t="s">
        <v>5299</v>
      </c>
    </row>
    <row r="92" spans="1:8">
      <c r="A92" s="14" t="s">
        <v>923</v>
      </c>
      <c r="B92" s="15" t="s">
        <v>924</v>
      </c>
      <c r="C92" s="14">
        <f t="shared" si="4"/>
        <v>2</v>
      </c>
      <c r="D92" s="14" t="str">
        <f t="shared" si="5"/>
        <v>HIV O-21 Percentage of people living with HIV reported on ART at the end of the last reporting period and newly initiating ART during the current reporting period who were not on ART at the end of current reporting period-2</v>
      </c>
      <c r="E92" s="15" t="s">
        <v>5148</v>
      </c>
      <c r="F92" s="15" t="s">
        <v>4277</v>
      </c>
      <c r="G92" s="14" t="s">
        <v>5300</v>
      </c>
      <c r="H92" s="15" t="s">
        <v>5301</v>
      </c>
    </row>
    <row r="93" spans="1:8">
      <c r="A93" s="14" t="s">
        <v>923</v>
      </c>
      <c r="B93" s="15" t="s">
        <v>924</v>
      </c>
      <c r="C93" s="14">
        <f t="shared" si="4"/>
        <v>3</v>
      </c>
      <c r="D93" s="14" t="str">
        <f t="shared" si="5"/>
        <v>HIV O-21 Percentage of people living with HIV reported on ART at the end of the last reporting period and newly initiating ART during the current reporting period who were not on ART at the end of current reporting period-3</v>
      </c>
      <c r="E93" s="15" t="s">
        <v>5148</v>
      </c>
      <c r="F93" s="15" t="s">
        <v>4281</v>
      </c>
      <c r="G93" s="14" t="s">
        <v>5302</v>
      </c>
      <c r="H93" s="15" t="s">
        <v>5303</v>
      </c>
    </row>
    <row r="94" spans="1:8">
      <c r="A94" s="14" t="s">
        <v>927</v>
      </c>
      <c r="B94" s="15" t="s">
        <v>928</v>
      </c>
      <c r="C94" s="14">
        <f t="shared" si="4"/>
        <v>0</v>
      </c>
      <c r="D94" s="14" t="str">
        <f t="shared" si="5"/>
        <v>HIV O-12 Percentage of people living with HIV and on ART who are virologically suppressed-0</v>
      </c>
      <c r="E94" s="15" t="s">
        <v>849</v>
      </c>
      <c r="F94" s="15" t="s">
        <v>3240</v>
      </c>
      <c r="G94" s="14" t="s">
        <v>3041</v>
      </c>
      <c r="H94" s="15" t="s">
        <v>3040</v>
      </c>
    </row>
    <row r="95" spans="1:8">
      <c r="A95" s="14" t="s">
        <v>927</v>
      </c>
      <c r="B95" s="15" t="s">
        <v>928</v>
      </c>
      <c r="C95" s="14">
        <f t="shared" si="4"/>
        <v>1</v>
      </c>
      <c r="D95" s="14" t="str">
        <f t="shared" si="5"/>
        <v>HIV O-12 Percentage of people living with HIV and on ART who are virologically suppressed-1</v>
      </c>
      <c r="E95" s="15" t="s">
        <v>849</v>
      </c>
      <c r="F95" s="15" t="s">
        <v>3244</v>
      </c>
      <c r="G95" s="14" t="s">
        <v>3044</v>
      </c>
      <c r="H95" s="15" t="s">
        <v>3043</v>
      </c>
    </row>
    <row r="96" spans="1:8">
      <c r="A96" s="14" t="s">
        <v>927</v>
      </c>
      <c r="B96" s="15" t="s">
        <v>928</v>
      </c>
      <c r="C96" s="14">
        <f t="shared" si="4"/>
        <v>2</v>
      </c>
      <c r="D96" s="14" t="str">
        <f t="shared" si="5"/>
        <v>HIV O-12 Percentage of people living with HIV and on ART who are virologically suppressed-2</v>
      </c>
      <c r="E96" s="15" t="s">
        <v>5148</v>
      </c>
      <c r="F96" s="15" t="s">
        <v>4277</v>
      </c>
      <c r="G96" s="14" t="s">
        <v>3047</v>
      </c>
      <c r="H96" s="15" t="s">
        <v>3046</v>
      </c>
    </row>
    <row r="97" spans="1:8">
      <c r="A97" s="14" t="s">
        <v>927</v>
      </c>
      <c r="B97" s="15" t="s">
        <v>928</v>
      </c>
      <c r="C97" s="14">
        <f t="shared" si="4"/>
        <v>3</v>
      </c>
      <c r="D97" s="14" t="str">
        <f t="shared" si="5"/>
        <v>HIV O-12 Percentage of people living with HIV and on ART who are virologically suppressed-3</v>
      </c>
      <c r="E97" s="15" t="s">
        <v>5148</v>
      </c>
      <c r="F97" s="15" t="s">
        <v>4281</v>
      </c>
      <c r="G97" s="14" t="s">
        <v>3050</v>
      </c>
      <c r="H97" s="15" t="s">
        <v>3049</v>
      </c>
    </row>
    <row r="98" spans="1:8">
      <c r="A98" s="14" t="s">
        <v>931</v>
      </c>
      <c r="B98" s="15" t="s">
        <v>932</v>
      </c>
      <c r="C98" s="14">
        <f t="shared" si="4"/>
        <v>0</v>
      </c>
      <c r="D98" s="14" t="str">
        <f t="shared" si="5"/>
        <v>HIV O-13 Percentage of ever-married or partnered women aged 15-49 who experienced physical or sexual violence from a male intimate partner in the past 12 months-0</v>
      </c>
      <c r="E98" s="15" t="s">
        <v>849</v>
      </c>
      <c r="F98" s="15" t="s">
        <v>5304</v>
      </c>
      <c r="G98" s="14" t="s">
        <v>5305</v>
      </c>
      <c r="H98" s="15" t="s">
        <v>5306</v>
      </c>
    </row>
    <row r="99" spans="1:8">
      <c r="A99" s="14" t="s">
        <v>931</v>
      </c>
      <c r="B99" s="15" t="s">
        <v>932</v>
      </c>
      <c r="C99" s="14">
        <f t="shared" si="4"/>
        <v>1</v>
      </c>
      <c r="D99" s="14" t="str">
        <f t="shared" si="5"/>
        <v>HIV O-13 Percentage of ever-married or partnered women aged 15-49 who experienced physical or sexual violence from a male intimate partner in the past 12 months-1</v>
      </c>
      <c r="E99" s="15" t="s">
        <v>849</v>
      </c>
      <c r="F99" s="15" t="s">
        <v>3735</v>
      </c>
      <c r="G99" s="14" t="s">
        <v>5307</v>
      </c>
      <c r="H99" s="15" t="s">
        <v>5308</v>
      </c>
    </row>
    <row r="100" spans="1:8">
      <c r="A100" s="14" t="s">
        <v>931</v>
      </c>
      <c r="B100" s="15" t="s">
        <v>932</v>
      </c>
      <c r="C100" s="14">
        <f t="shared" si="4"/>
        <v>2</v>
      </c>
      <c r="D100" s="14" t="str">
        <f t="shared" si="5"/>
        <v>HIV O-13 Percentage of ever-married or partnered women aged 15-49 who experienced physical or sexual violence from a male intimate partner in the past 12 months-2</v>
      </c>
      <c r="E100" s="15" t="s">
        <v>849</v>
      </c>
      <c r="F100" s="15" t="s">
        <v>3739</v>
      </c>
      <c r="G100" s="14" t="s">
        <v>5309</v>
      </c>
      <c r="H100" s="15" t="s">
        <v>5310</v>
      </c>
    </row>
    <row r="101" spans="1:8">
      <c r="A101" s="14" t="s">
        <v>935</v>
      </c>
      <c r="B101" s="15" t="s">
        <v>936</v>
      </c>
      <c r="C101" s="14">
        <f t="shared" si="4"/>
        <v>0</v>
      </c>
      <c r="D101" s="14" t="str">
        <f t="shared" si="5"/>
        <v>HIV O-17 Percentage of people living with HIV who have experienced rights abuses in the last 12 months and have sought redress-0</v>
      </c>
      <c r="E101" s="15" t="s">
        <v>5311</v>
      </c>
      <c r="F101" s="15" t="s">
        <v>3189</v>
      </c>
      <c r="G101" s="14" t="s">
        <v>5312</v>
      </c>
      <c r="H101" s="15" t="s">
        <v>5313</v>
      </c>
    </row>
    <row r="102" spans="1:8">
      <c r="A102" s="14" t="s">
        <v>935</v>
      </c>
      <c r="B102" s="15" t="s">
        <v>936</v>
      </c>
      <c r="C102" s="14">
        <f t="shared" si="4"/>
        <v>1</v>
      </c>
      <c r="D102" s="14" t="str">
        <f t="shared" si="5"/>
        <v>HIV O-17 Percentage of people living with HIV who have experienced rights abuses in the last 12 months and have sought redress-1</v>
      </c>
      <c r="E102" s="15" t="s">
        <v>5311</v>
      </c>
      <c r="F102" s="15" t="s">
        <v>5314</v>
      </c>
      <c r="G102" s="14" t="s">
        <v>5315</v>
      </c>
      <c r="H102" s="15" t="s">
        <v>5316</v>
      </c>
    </row>
    <row r="103" spans="1:8">
      <c r="A103" s="14" t="s">
        <v>935</v>
      </c>
      <c r="B103" s="15" t="s">
        <v>936</v>
      </c>
      <c r="C103" s="14">
        <f t="shared" si="4"/>
        <v>2</v>
      </c>
      <c r="D103" s="14" t="str">
        <f t="shared" si="5"/>
        <v>HIV O-17 Percentage of people living with HIV who have experienced rights abuses in the last 12 months and have sought redress-2</v>
      </c>
      <c r="E103" s="15" t="s">
        <v>5311</v>
      </c>
      <c r="F103" s="15" t="s">
        <v>5317</v>
      </c>
      <c r="G103" s="14" t="s">
        <v>5318</v>
      </c>
      <c r="H103" s="15" t="s">
        <v>5319</v>
      </c>
    </row>
    <row r="104" spans="1:8">
      <c r="A104" s="14" t="s">
        <v>935</v>
      </c>
      <c r="B104" s="15" t="s">
        <v>936</v>
      </c>
      <c r="C104" s="14">
        <f t="shared" si="4"/>
        <v>3</v>
      </c>
      <c r="D104" s="14" t="str">
        <f t="shared" si="5"/>
        <v>HIV O-17 Percentage of people living with HIV who have experienced rights abuses in the last 12 months and have sought redress-3</v>
      </c>
      <c r="E104" s="15" t="s">
        <v>5311</v>
      </c>
      <c r="F104" s="15" t="s">
        <v>5320</v>
      </c>
      <c r="G104" s="14" t="s">
        <v>5321</v>
      </c>
      <c r="H104" s="15" t="s">
        <v>5322</v>
      </c>
    </row>
    <row r="105" spans="1:8">
      <c r="A105" s="14" t="s">
        <v>935</v>
      </c>
      <c r="B105" s="15" t="s">
        <v>936</v>
      </c>
      <c r="C105" s="14">
        <f t="shared" si="4"/>
        <v>4</v>
      </c>
      <c r="D105" s="14" t="str">
        <f t="shared" si="5"/>
        <v>HIV O-17 Percentage of people living with HIV who have experienced rights abuses in the last 12 months and have sought redress-4</v>
      </c>
      <c r="E105" s="15" t="s">
        <v>5311</v>
      </c>
      <c r="F105" s="15" t="s">
        <v>5323</v>
      </c>
      <c r="G105" s="14" t="s">
        <v>5324</v>
      </c>
      <c r="H105" s="15" t="s">
        <v>5325</v>
      </c>
    </row>
    <row r="106" spans="1:8">
      <c r="A106" s="14" t="s">
        <v>935</v>
      </c>
      <c r="B106" s="15" t="s">
        <v>936</v>
      </c>
      <c r="C106" s="14">
        <f t="shared" si="4"/>
        <v>5</v>
      </c>
      <c r="D106" s="14" t="str">
        <f t="shared" si="5"/>
        <v>HIV O-17 Percentage of people living with HIV who have experienced rights abuses in the last 12 months and have sought redress-5</v>
      </c>
      <c r="E106" s="15" t="s">
        <v>1192</v>
      </c>
      <c r="F106" s="15" t="s">
        <v>3189</v>
      </c>
      <c r="G106" s="14" t="s">
        <v>5326</v>
      </c>
      <c r="H106" s="15" t="s">
        <v>5327</v>
      </c>
    </row>
    <row r="107" spans="1:8">
      <c r="A107" s="14" t="s">
        <v>935</v>
      </c>
      <c r="B107" s="15" t="s">
        <v>936</v>
      </c>
      <c r="C107" s="14">
        <f t="shared" si="4"/>
        <v>6</v>
      </c>
      <c r="D107" s="14" t="str">
        <f t="shared" si="5"/>
        <v>HIV O-17 Percentage of people living with HIV who have experienced rights abuses in the last 12 months and have sought redress-6</v>
      </c>
      <c r="E107" s="15" t="s">
        <v>1192</v>
      </c>
      <c r="F107" s="15" t="s">
        <v>3193</v>
      </c>
      <c r="G107" s="14" t="s">
        <v>5328</v>
      </c>
      <c r="H107" s="15" t="s">
        <v>5329</v>
      </c>
    </row>
    <row r="108" spans="1:8">
      <c r="A108" s="14" t="s">
        <v>935</v>
      </c>
      <c r="B108" s="15" t="s">
        <v>936</v>
      </c>
      <c r="C108" s="14">
        <f t="shared" si="4"/>
        <v>7</v>
      </c>
      <c r="D108" s="14" t="str">
        <f t="shared" si="5"/>
        <v>HIV O-17 Percentage of people living with HIV who have experienced rights abuses in the last 12 months and have sought redress-7</v>
      </c>
      <c r="E108" s="15" t="s">
        <v>1192</v>
      </c>
      <c r="F108" s="15" t="s">
        <v>3197</v>
      </c>
      <c r="G108" s="14" t="s">
        <v>5330</v>
      </c>
      <c r="H108" s="15" t="s">
        <v>5331</v>
      </c>
    </row>
    <row r="109" spans="1:8">
      <c r="A109" s="14" t="s">
        <v>948</v>
      </c>
      <c r="B109" s="15" t="s">
        <v>949</v>
      </c>
      <c r="C109" s="14">
        <f t="shared" si="4"/>
        <v>0</v>
      </c>
      <c r="D109" s="14" t="str">
        <f t="shared" si="5"/>
        <v>HIV O-16a Percentage of men who have sex with men who avoid health care because of stigma and discrimination-0</v>
      </c>
      <c r="E109" s="15" t="s">
        <v>849</v>
      </c>
      <c r="F109" s="15" t="s">
        <v>3167</v>
      </c>
      <c r="G109" s="14" t="s">
        <v>3059</v>
      </c>
      <c r="H109" s="15" t="s">
        <v>3058</v>
      </c>
    </row>
    <row r="110" spans="1:8">
      <c r="A110" s="14" t="s">
        <v>948</v>
      </c>
      <c r="B110" s="15" t="s">
        <v>949</v>
      </c>
      <c r="C110" s="14">
        <f t="shared" si="4"/>
        <v>1</v>
      </c>
      <c r="D110" s="14" t="str">
        <f t="shared" si="5"/>
        <v>HIV O-16a Percentage of men who have sex with men who avoid health care because of stigma and discrimination-1</v>
      </c>
      <c r="E110" s="15" t="s">
        <v>849</v>
      </c>
      <c r="F110" s="15" t="s">
        <v>3171</v>
      </c>
      <c r="G110" s="14" t="s">
        <v>3062</v>
      </c>
      <c r="H110" s="15" t="s">
        <v>3061</v>
      </c>
    </row>
    <row r="111" spans="1:8">
      <c r="A111" s="14" t="s">
        <v>952</v>
      </c>
      <c r="B111" s="15" t="s">
        <v>953</v>
      </c>
      <c r="C111" s="14">
        <f t="shared" si="4"/>
        <v>0</v>
      </c>
      <c r="D111" s="14" t="str">
        <f t="shared" si="5"/>
        <v>HIV O-16b Percentage of transgender people who avoid health care because of stigma and discrimination-0</v>
      </c>
      <c r="E111" s="15" t="s">
        <v>849</v>
      </c>
      <c r="F111" s="15" t="s">
        <v>3167</v>
      </c>
      <c r="G111" s="14" t="s">
        <v>3073</v>
      </c>
      <c r="H111" s="15" t="s">
        <v>3072</v>
      </c>
    </row>
    <row r="112" spans="1:8">
      <c r="A112" s="14" t="s">
        <v>952</v>
      </c>
      <c r="B112" s="15" t="s">
        <v>953</v>
      </c>
      <c r="C112" s="14">
        <f t="shared" si="4"/>
        <v>1</v>
      </c>
      <c r="D112" s="14" t="str">
        <f t="shared" si="5"/>
        <v>HIV O-16b Percentage of transgender people who avoid health care because of stigma and discrimination-1</v>
      </c>
      <c r="E112" s="15" t="s">
        <v>849</v>
      </c>
      <c r="F112" s="15" t="s">
        <v>3171</v>
      </c>
      <c r="G112" s="14" t="s">
        <v>3076</v>
      </c>
      <c r="H112" s="15" t="s">
        <v>3075</v>
      </c>
    </row>
    <row r="113" spans="1:8">
      <c r="A113" s="14" t="s">
        <v>956</v>
      </c>
      <c r="B113" s="15" t="s">
        <v>957</v>
      </c>
      <c r="C113" s="14">
        <f t="shared" si="4"/>
        <v>0</v>
      </c>
      <c r="D113" s="14" t="str">
        <f t="shared" si="5"/>
        <v>HIV O-16c Percentage of sex workers who avoid health care because of stigma and discrimination-0</v>
      </c>
      <c r="E113" s="15" t="s">
        <v>849</v>
      </c>
      <c r="F113" s="15" t="s">
        <v>3167</v>
      </c>
      <c r="G113" s="14" t="s">
        <v>3087</v>
      </c>
      <c r="H113" s="15" t="s">
        <v>3086</v>
      </c>
    </row>
    <row r="114" spans="1:8">
      <c r="A114" s="14" t="s">
        <v>956</v>
      </c>
      <c r="B114" s="15" t="s">
        <v>957</v>
      </c>
      <c r="C114" s="14">
        <f t="shared" si="4"/>
        <v>1</v>
      </c>
      <c r="D114" s="14" t="str">
        <f t="shared" si="5"/>
        <v>HIV O-16c Percentage of sex workers who avoid health care because of stigma and discrimination-1</v>
      </c>
      <c r="E114" s="15" t="s">
        <v>849</v>
      </c>
      <c r="F114" s="15" t="s">
        <v>3171</v>
      </c>
      <c r="G114" s="14" t="s">
        <v>3090</v>
      </c>
      <c r="H114" s="15" t="s">
        <v>3089</v>
      </c>
    </row>
    <row r="115" spans="1:8">
      <c r="A115" s="14" t="s">
        <v>956</v>
      </c>
      <c r="B115" s="15" t="s">
        <v>957</v>
      </c>
      <c r="C115" s="14">
        <f t="shared" si="4"/>
        <v>2</v>
      </c>
      <c r="D115" s="14" t="str">
        <f t="shared" si="5"/>
        <v>HIV O-16c Percentage of sex workers who avoid health care because of stigma and discrimination-2</v>
      </c>
      <c r="E115" s="15" t="s">
        <v>1192</v>
      </c>
      <c r="F115" s="15" t="s">
        <v>3189</v>
      </c>
      <c r="G115" s="14" t="s">
        <v>3093</v>
      </c>
      <c r="H115" s="15" t="s">
        <v>3092</v>
      </c>
    </row>
    <row r="116" spans="1:8">
      <c r="A116" s="14" t="s">
        <v>956</v>
      </c>
      <c r="B116" s="15" t="s">
        <v>957</v>
      </c>
      <c r="C116" s="14">
        <f t="shared" si="4"/>
        <v>3</v>
      </c>
      <c r="D116" s="14" t="str">
        <f t="shared" si="5"/>
        <v>HIV O-16c Percentage of sex workers who avoid health care because of stigma and discrimination-3</v>
      </c>
      <c r="E116" s="15" t="s">
        <v>1192</v>
      </c>
      <c r="F116" s="15" t="s">
        <v>3193</v>
      </c>
      <c r="G116" s="14" t="s">
        <v>3096</v>
      </c>
      <c r="H116" s="15" t="s">
        <v>3095</v>
      </c>
    </row>
    <row r="117" spans="1:8">
      <c r="A117" s="14" t="s">
        <v>956</v>
      </c>
      <c r="B117" s="15" t="s">
        <v>957</v>
      </c>
      <c r="C117" s="14">
        <f t="shared" si="4"/>
        <v>4</v>
      </c>
      <c r="D117" s="14" t="str">
        <f t="shared" si="5"/>
        <v>HIV O-16c Percentage of sex workers who avoid health care because of stigma and discrimination-4</v>
      </c>
      <c r="E117" s="15" t="s">
        <v>1192</v>
      </c>
      <c r="F117" s="15" t="s">
        <v>3197</v>
      </c>
      <c r="G117" s="14" t="s">
        <v>3099</v>
      </c>
      <c r="H117" s="15" t="s">
        <v>3098</v>
      </c>
    </row>
    <row r="118" spans="1:8">
      <c r="A118" s="14" t="s">
        <v>960</v>
      </c>
      <c r="B118" s="15" t="s">
        <v>961</v>
      </c>
      <c r="C118" s="14">
        <f t="shared" si="4"/>
        <v>0</v>
      </c>
      <c r="D118" s="14" t="str">
        <f t="shared" si="5"/>
        <v>HIV O-16d Percentage of people who inject drugs who avoid health care because of stigma and discrimination-0</v>
      </c>
      <c r="E118" s="15" t="s">
        <v>849</v>
      </c>
      <c r="F118" s="15" t="s">
        <v>3167</v>
      </c>
      <c r="G118" s="14" t="s">
        <v>3107</v>
      </c>
      <c r="H118" s="15" t="s">
        <v>3106</v>
      </c>
    </row>
    <row r="119" spans="1:8">
      <c r="A119" s="14" t="s">
        <v>960</v>
      </c>
      <c r="B119" s="15" t="s">
        <v>961</v>
      </c>
      <c r="C119" s="14">
        <f t="shared" si="4"/>
        <v>1</v>
      </c>
      <c r="D119" s="14" t="str">
        <f t="shared" si="5"/>
        <v>HIV O-16d Percentage of people who inject drugs who avoid health care because of stigma and discrimination-1</v>
      </c>
      <c r="E119" s="15" t="s">
        <v>849</v>
      </c>
      <c r="F119" s="15" t="s">
        <v>3171</v>
      </c>
      <c r="G119" s="14" t="s">
        <v>3110</v>
      </c>
      <c r="H119" s="15" t="s">
        <v>3109</v>
      </c>
    </row>
    <row r="120" spans="1:8">
      <c r="A120" s="14" t="s">
        <v>960</v>
      </c>
      <c r="B120" s="15" t="s">
        <v>961</v>
      </c>
      <c r="C120" s="14">
        <f t="shared" si="4"/>
        <v>2</v>
      </c>
      <c r="D120" s="14" t="str">
        <f t="shared" si="5"/>
        <v>HIV O-16d Percentage of people who inject drugs who avoid health care because of stigma and discrimination-2</v>
      </c>
      <c r="E120" s="15" t="s">
        <v>1192</v>
      </c>
      <c r="F120" s="15" t="s">
        <v>3189</v>
      </c>
      <c r="G120" s="14" t="s">
        <v>3113</v>
      </c>
      <c r="H120" s="15" t="s">
        <v>3112</v>
      </c>
    </row>
    <row r="121" spans="1:8">
      <c r="A121" s="14" t="s">
        <v>960</v>
      </c>
      <c r="B121" s="15" t="s">
        <v>961</v>
      </c>
      <c r="C121" s="14">
        <f t="shared" si="4"/>
        <v>3</v>
      </c>
      <c r="D121" s="14" t="str">
        <f t="shared" si="5"/>
        <v>HIV O-16d Percentage of people who inject drugs who avoid health care because of stigma and discrimination-3</v>
      </c>
      <c r="E121" s="15" t="s">
        <v>1192</v>
      </c>
      <c r="F121" s="15" t="s">
        <v>3193</v>
      </c>
      <c r="G121" s="14" t="s">
        <v>3116</v>
      </c>
      <c r="H121" s="15" t="s">
        <v>3115</v>
      </c>
    </row>
    <row r="122" spans="1:8">
      <c r="A122" s="14" t="s">
        <v>960</v>
      </c>
      <c r="B122" s="15" t="s">
        <v>961</v>
      </c>
      <c r="C122" s="14">
        <f t="shared" si="4"/>
        <v>4</v>
      </c>
      <c r="D122" s="14" t="str">
        <f t="shared" si="5"/>
        <v>HIV O-16d Percentage of people who inject drugs who avoid health care because of stigma and discrimination-4</v>
      </c>
      <c r="E122" s="15" t="s">
        <v>1192</v>
      </c>
      <c r="F122" s="15" t="s">
        <v>3197</v>
      </c>
      <c r="G122" s="14" t="s">
        <v>3119</v>
      </c>
      <c r="H122" s="15" t="s">
        <v>3118</v>
      </c>
    </row>
    <row r="123" spans="1:8">
      <c r="A123" s="14" t="s">
        <v>1042</v>
      </c>
      <c r="B123" s="15" t="s">
        <v>1043</v>
      </c>
      <c r="C123" s="14">
        <f t="shared" si="4"/>
        <v>0</v>
      </c>
      <c r="D123" s="14" t="str">
        <f t="shared" si="5"/>
        <v>TB O-5 TB treatment coverage: Percentage of patients with new and relapse TB that were notified and treated among the estimated number of incident TB in the same year (all forms of TB - bacteriologically confirmed plus clinically diagnosed-0</v>
      </c>
      <c r="E123" s="15" t="s">
        <v>849</v>
      </c>
      <c r="F123" s="15" t="s">
        <v>3240</v>
      </c>
      <c r="G123" s="14" t="s">
        <v>2935</v>
      </c>
      <c r="H123" s="15" t="s">
        <v>2934</v>
      </c>
    </row>
    <row r="124" spans="1:8">
      <c r="A124" s="14" t="s">
        <v>1042</v>
      </c>
      <c r="B124" s="15" t="s">
        <v>1043</v>
      </c>
      <c r="C124" s="14">
        <f t="shared" si="4"/>
        <v>1</v>
      </c>
      <c r="D124" s="14" t="str">
        <f t="shared" si="5"/>
        <v>TB O-5 TB treatment coverage: Percentage of patients with new and relapse TB that were notified and treated among the estimated number of incident TB in the same year (all forms of TB - bacteriologically confirmed plus clinically diagnosed-1</v>
      </c>
      <c r="E124" s="15" t="s">
        <v>849</v>
      </c>
      <c r="F124" s="15" t="s">
        <v>3244</v>
      </c>
      <c r="G124" s="14" t="s">
        <v>2938</v>
      </c>
      <c r="H124" s="15" t="s">
        <v>2937</v>
      </c>
    </row>
    <row r="125" spans="1:8">
      <c r="A125" s="14" t="s">
        <v>1042</v>
      </c>
      <c r="B125" s="15" t="s">
        <v>1043</v>
      </c>
      <c r="C125" s="14">
        <f t="shared" si="4"/>
        <v>2</v>
      </c>
      <c r="D125" s="14" t="str">
        <f t="shared" si="5"/>
        <v>TB O-5 TB treatment coverage: Percentage of patients with new and relapse TB that were notified and treated among the estimated number of incident TB in the same year (all forms of TB - bacteriologically confirmed plus clinically diagnosed-2</v>
      </c>
      <c r="E125" s="15" t="s">
        <v>1192</v>
      </c>
      <c r="F125" s="15" t="s">
        <v>3193</v>
      </c>
      <c r="G125" s="14" t="s">
        <v>2941</v>
      </c>
      <c r="H125" s="15" t="s">
        <v>2940</v>
      </c>
    </row>
    <row r="126" spans="1:8">
      <c r="A126" s="14" t="s">
        <v>1042</v>
      </c>
      <c r="B126" s="15" t="s">
        <v>1043</v>
      </c>
      <c r="C126" s="14">
        <f t="shared" si="4"/>
        <v>3</v>
      </c>
      <c r="D126" s="14" t="str">
        <f t="shared" si="5"/>
        <v>TB O-5 TB treatment coverage: Percentage of patients with new and relapse TB that were notified and treated among the estimated number of incident TB in the same year (all forms of TB - bacteriologically confirmed plus clinically diagnosed-3</v>
      </c>
      <c r="E126" s="15" t="s">
        <v>1192</v>
      </c>
      <c r="F126" s="15" t="s">
        <v>3197</v>
      </c>
      <c r="G126" s="14" t="s">
        <v>2944</v>
      </c>
      <c r="H126" s="15" t="s">
        <v>2943</v>
      </c>
    </row>
    <row r="127" spans="1:8">
      <c r="A127" s="14" t="s">
        <v>5332</v>
      </c>
      <c r="B127" s="15" t="s">
        <v>5333</v>
      </c>
      <c r="C127" s="14">
        <f t="shared" si="4"/>
        <v>0</v>
      </c>
      <c r="D127" s="14" t="str">
        <f t="shared" si="5"/>
        <v>Malaria O-1a Proportion of population that slept under an insecticide-treated net the previous night-0</v>
      </c>
      <c r="E127" s="15" t="s">
        <v>1192</v>
      </c>
      <c r="F127" s="15" t="s">
        <v>3193</v>
      </c>
      <c r="G127" s="14" t="s">
        <v>5334</v>
      </c>
      <c r="H127" s="15" t="s">
        <v>5335</v>
      </c>
    </row>
    <row r="128" spans="1:8">
      <c r="A128" s="14" t="s">
        <v>5332</v>
      </c>
      <c r="B128" s="15" t="s">
        <v>5333</v>
      </c>
      <c r="C128" s="14">
        <f t="shared" si="4"/>
        <v>1</v>
      </c>
      <c r="D128" s="14" t="str">
        <f t="shared" si="5"/>
        <v>Malaria O-1a Proportion of population that slept under an insecticide-treated net the previous night-1</v>
      </c>
      <c r="E128" s="15" t="s">
        <v>1192</v>
      </c>
      <c r="F128" s="15" t="s">
        <v>3197</v>
      </c>
      <c r="G128" s="14" t="s">
        <v>5336</v>
      </c>
      <c r="H128" s="15" t="s">
        <v>5337</v>
      </c>
    </row>
    <row r="129" spans="1:8">
      <c r="A129" s="14" t="s">
        <v>5338</v>
      </c>
      <c r="B129" s="15" t="s">
        <v>5339</v>
      </c>
      <c r="C129" s="14">
        <f t="shared" si="4"/>
        <v>0</v>
      </c>
      <c r="D129" s="14" t="str">
        <f t="shared" si="5"/>
        <v>Malaria O-12 Proportion of targeted risk groups covered by distributed ITNs-0</v>
      </c>
      <c r="E129" s="15" t="s">
        <v>5311</v>
      </c>
      <c r="F129" s="15" t="s">
        <v>5340</v>
      </c>
      <c r="G129" s="14" t="s">
        <v>5341</v>
      </c>
      <c r="H129" s="15" t="s">
        <v>5342</v>
      </c>
    </row>
    <row r="130" spans="1:8">
      <c r="A130" s="14" t="s">
        <v>5338</v>
      </c>
      <c r="B130" s="15" t="s">
        <v>5339</v>
      </c>
      <c r="C130" s="14">
        <f t="shared" si="4"/>
        <v>1</v>
      </c>
      <c r="D130" s="14" t="str">
        <f t="shared" si="5"/>
        <v>Malaria O-12 Proportion of targeted risk groups covered by distributed ITNs-1</v>
      </c>
      <c r="E130" s="15" t="s">
        <v>5311</v>
      </c>
      <c r="F130" s="15" t="s">
        <v>5314</v>
      </c>
      <c r="G130" s="14" t="s">
        <v>5343</v>
      </c>
      <c r="H130" s="15" t="s">
        <v>5344</v>
      </c>
    </row>
    <row r="131" spans="1:8">
      <c r="A131" s="14" t="s">
        <v>5338</v>
      </c>
      <c r="B131" s="15" t="s">
        <v>5339</v>
      </c>
      <c r="C131" s="14">
        <f t="shared" si="4"/>
        <v>2</v>
      </c>
      <c r="D131" s="14" t="str">
        <f t="shared" si="5"/>
        <v>Malaria O-12 Proportion of targeted risk groups covered by distributed ITNs-2</v>
      </c>
      <c r="E131" s="15" t="s">
        <v>5311</v>
      </c>
      <c r="F131" s="15" t="s">
        <v>5345</v>
      </c>
      <c r="G131" s="14" t="s">
        <v>5346</v>
      </c>
      <c r="H131" s="15" t="s">
        <v>5347</v>
      </c>
    </row>
    <row r="132" spans="1:8">
      <c r="A132" s="14" t="s">
        <v>5348</v>
      </c>
      <c r="B132" s="15" t="s">
        <v>5349</v>
      </c>
      <c r="C132" s="14">
        <f t="shared" si="4"/>
        <v>0</v>
      </c>
      <c r="D132" s="14" t="str">
        <f t="shared" si="5"/>
        <v>Malaria O-9 Annual blood examination rate: per 100 population per year (Elimination settings)-0</v>
      </c>
      <c r="E132" s="15" t="s">
        <v>5350</v>
      </c>
      <c r="F132" s="15" t="s">
        <v>5351</v>
      </c>
      <c r="G132" s="14" t="s">
        <v>5352</v>
      </c>
      <c r="H132" s="15" t="s">
        <v>5353</v>
      </c>
    </row>
    <row r="133" spans="1:8">
      <c r="A133" s="14" t="s">
        <v>5348</v>
      </c>
      <c r="B133" s="15" t="s">
        <v>5349</v>
      </c>
      <c r="C133" s="14">
        <f t="shared" si="4"/>
        <v>1</v>
      </c>
      <c r="D133" s="14" t="str">
        <f t="shared" si="5"/>
        <v>Malaria O-9 Annual blood examination rate: per 100 population per year (Elimination settings)-1</v>
      </c>
      <c r="E133" s="15" t="s">
        <v>5350</v>
      </c>
      <c r="F133" s="15" t="s">
        <v>5354</v>
      </c>
      <c r="G133" s="14" t="s">
        <v>5355</v>
      </c>
      <c r="H133" s="15" t="s">
        <v>5356</v>
      </c>
    </row>
    <row r="134" spans="1:8">
      <c r="A134" s="14" t="s">
        <v>1016</v>
      </c>
      <c r="B134" s="15" t="s">
        <v>1017</v>
      </c>
      <c r="C134" s="14">
        <f t="shared" si="4"/>
        <v>0</v>
      </c>
      <c r="D134" s="14" t="str">
        <f t="shared" si="5"/>
        <v>RSSH O-1 Percentage of facilities providing HIV, TB and malaria integrated services to pregnant women-0</v>
      </c>
      <c r="E134" s="15" t="s">
        <v>1018</v>
      </c>
      <c r="F134" s="15" t="s">
        <v>5357</v>
      </c>
      <c r="G134" s="14" t="s">
        <v>5358</v>
      </c>
      <c r="H134" s="15" t="s">
        <v>5359</v>
      </c>
    </row>
    <row r="135" spans="1:8">
      <c r="A135" s="14" t="s">
        <v>1016</v>
      </c>
      <c r="B135" s="15" t="s">
        <v>1017</v>
      </c>
      <c r="C135" s="14">
        <f t="shared" si="4"/>
        <v>1</v>
      </c>
      <c r="D135" s="14" t="str">
        <f t="shared" si="5"/>
        <v>RSSH O-1 Percentage of facilities providing HIV, TB and malaria integrated services to pregnant women-1</v>
      </c>
      <c r="E135" s="15" t="s">
        <v>1018</v>
      </c>
      <c r="F135" s="15" t="s">
        <v>5360</v>
      </c>
      <c r="G135" s="14" t="s">
        <v>5361</v>
      </c>
      <c r="H135" s="15" t="s">
        <v>5362</v>
      </c>
    </row>
    <row r="136" spans="1:8">
      <c r="A136" s="14" t="s">
        <v>1016</v>
      </c>
      <c r="B136" s="15" t="s">
        <v>1017</v>
      </c>
      <c r="C136" s="14">
        <f t="shared" si="4"/>
        <v>2</v>
      </c>
      <c r="D136" s="14" t="str">
        <f t="shared" si="5"/>
        <v>RSSH O-1 Percentage of facilities providing HIV, TB and malaria integrated services to pregnant women-2</v>
      </c>
      <c r="E136" s="15" t="s">
        <v>1018</v>
      </c>
      <c r="F136" s="15" t="s">
        <v>5363</v>
      </c>
      <c r="G136" s="14" t="s">
        <v>5364</v>
      </c>
      <c r="H136" s="15" t="s">
        <v>5365</v>
      </c>
    </row>
    <row r="137" spans="1:8">
      <c r="A137" s="14" t="s">
        <v>1021</v>
      </c>
      <c r="B137" s="15" t="s">
        <v>1022</v>
      </c>
      <c r="C137" s="14">
        <f t="shared" si="4"/>
        <v>0</v>
      </c>
      <c r="D137" s="14" t="str">
        <f t="shared" si="5"/>
        <v>RSSH O-2 Percentage of population with large household expenditure on health as a share of total household expenditure or income (catastrophic spending on health)-0</v>
      </c>
      <c r="E137" s="15" t="s">
        <v>1023</v>
      </c>
      <c r="F137" s="15" t="s">
        <v>5366</v>
      </c>
      <c r="G137" s="14" t="s">
        <v>5367</v>
      </c>
      <c r="H137" s="15" t="s">
        <v>5368</v>
      </c>
    </row>
    <row r="138" spans="1:8">
      <c r="A138" s="14" t="s">
        <v>1021</v>
      </c>
      <c r="B138" s="15" t="s">
        <v>1022</v>
      </c>
      <c r="C138" s="14">
        <f t="shared" si="4"/>
        <v>1</v>
      </c>
      <c r="D138" s="14" t="str">
        <f t="shared" si="5"/>
        <v>RSSH O-2 Percentage of population with large household expenditure on health as a share of total household expenditure or income (catastrophic spending on health)-1</v>
      </c>
      <c r="E138" s="15" t="s">
        <v>1023</v>
      </c>
      <c r="F138" s="15" t="s">
        <v>5369</v>
      </c>
      <c r="G138" s="14" t="s">
        <v>5370</v>
      </c>
      <c r="H138" s="15" t="s">
        <v>5371</v>
      </c>
    </row>
    <row r="139" spans="1:8">
      <c r="A139" s="14" t="s">
        <v>1026</v>
      </c>
      <c r="B139" s="15" t="s">
        <v>1027</v>
      </c>
      <c r="C139" s="14">
        <f t="shared" si="4"/>
        <v>0</v>
      </c>
      <c r="D139" s="14" t="str">
        <f t="shared" si="5"/>
        <v>RSSH O-3 On-shelf availability: Percentage of facilities with tracer health products for the three diseases - HIV, TB, malaria (as applicable) available on the day of the visit or day of reporting-0</v>
      </c>
      <c r="E139" s="15" t="s">
        <v>1028</v>
      </c>
      <c r="F139" s="15" t="s">
        <v>3417</v>
      </c>
      <c r="G139" s="14" t="s">
        <v>5372</v>
      </c>
      <c r="H139" s="15" t="s">
        <v>5373</v>
      </c>
    </row>
    <row r="140" spans="1:8">
      <c r="A140" s="14" t="s">
        <v>1026</v>
      </c>
      <c r="B140" s="15" t="s">
        <v>1027</v>
      </c>
      <c r="C140" s="14">
        <f t="shared" si="4"/>
        <v>1</v>
      </c>
      <c r="D140" s="14" t="str">
        <f t="shared" si="5"/>
        <v>RSSH O-3 On-shelf availability: Percentage of facilities with tracer health products for the three diseases - HIV, TB, malaria (as applicable) available on the day of the visit or day of reporting-1</v>
      </c>
      <c r="E140" s="15" t="s">
        <v>1028</v>
      </c>
      <c r="F140" s="15" t="s">
        <v>3421</v>
      </c>
      <c r="G140" s="14" t="s">
        <v>5374</v>
      </c>
      <c r="H140" s="15" t="s">
        <v>5375</v>
      </c>
    </row>
    <row r="141" spans="1:8">
      <c r="A141" s="14" t="s">
        <v>1031</v>
      </c>
      <c r="B141" s="15" t="s">
        <v>1032</v>
      </c>
      <c r="C141" s="14">
        <f t="shared" si="4"/>
        <v>0</v>
      </c>
      <c r="D141" s="14" t="str">
        <f t="shared" si="5"/>
        <v>RSSH O-4 Maturity level of the national medical products regulatory system-0</v>
      </c>
      <c r="E141" s="15" t="s">
        <v>1033</v>
      </c>
      <c r="F141" s="15" t="s">
        <v>5376</v>
      </c>
      <c r="G141" s="14" t="s">
        <v>5377</v>
      </c>
      <c r="H141" s="15" t="s">
        <v>5378</v>
      </c>
    </row>
    <row r="142" spans="1:8">
      <c r="A142" s="14" t="s">
        <v>1031</v>
      </c>
      <c r="B142" s="15" t="s">
        <v>1032</v>
      </c>
      <c r="C142" s="14">
        <f t="shared" si="4"/>
        <v>1</v>
      </c>
      <c r="D142" s="14" t="str">
        <f t="shared" si="5"/>
        <v>RSSH O-4 Maturity level of the national medical products regulatory system-1</v>
      </c>
      <c r="E142" s="15" t="s">
        <v>1033</v>
      </c>
      <c r="F142" s="15" t="s">
        <v>5379</v>
      </c>
      <c r="G142" s="14" t="s">
        <v>5380</v>
      </c>
      <c r="H142" s="15" t="s">
        <v>5381</v>
      </c>
    </row>
    <row r="143" spans="1:8">
      <c r="A143" s="14" t="s">
        <v>1031</v>
      </c>
      <c r="B143" s="15" t="s">
        <v>1032</v>
      </c>
      <c r="C143" s="14">
        <f t="shared" si="4"/>
        <v>2</v>
      </c>
      <c r="D143" s="14" t="str">
        <f t="shared" si="5"/>
        <v>RSSH O-4 Maturity level of the national medical products regulatory system-2</v>
      </c>
      <c r="E143" s="15" t="s">
        <v>1033</v>
      </c>
      <c r="F143" s="15" t="s">
        <v>5382</v>
      </c>
      <c r="G143" s="14" t="s">
        <v>5383</v>
      </c>
      <c r="H143" s="15" t="s">
        <v>5384</v>
      </c>
    </row>
    <row r="144" spans="1:8">
      <c r="A144" s="14" t="s">
        <v>1031</v>
      </c>
      <c r="B144" s="15" t="s">
        <v>1032</v>
      </c>
      <c r="C144" s="14">
        <f t="shared" si="4"/>
        <v>3</v>
      </c>
      <c r="D144" s="14" t="str">
        <f t="shared" si="5"/>
        <v>RSSH O-4 Maturity level of the national medical products regulatory system-3</v>
      </c>
      <c r="E144" s="15" t="s">
        <v>1033</v>
      </c>
      <c r="F144" s="15" t="s">
        <v>5385</v>
      </c>
      <c r="G144" s="14" t="s">
        <v>5386</v>
      </c>
      <c r="H144" s="15" t="s">
        <v>5387</v>
      </c>
    </row>
    <row r="145" spans="1:8">
      <c r="A145" s="14" t="s">
        <v>1031</v>
      </c>
      <c r="B145" s="15" t="s">
        <v>1032</v>
      </c>
      <c r="C145" s="14">
        <f t="shared" si="4"/>
        <v>4</v>
      </c>
      <c r="D145" s="14" t="str">
        <f t="shared" si="5"/>
        <v>RSSH O-4 Maturity level of the national medical products regulatory system-4</v>
      </c>
      <c r="E145" s="15" t="s">
        <v>1033</v>
      </c>
      <c r="F145" s="15" t="s">
        <v>5388</v>
      </c>
      <c r="G145" s="14" t="s">
        <v>5389</v>
      </c>
      <c r="H145" s="15" t="s">
        <v>5390</v>
      </c>
    </row>
    <row r="146" spans="1:8">
      <c r="A146" s="14" t="s">
        <v>1031</v>
      </c>
      <c r="B146" s="15" t="s">
        <v>1032</v>
      </c>
      <c r="C146" s="14">
        <f t="shared" si="4"/>
        <v>5</v>
      </c>
      <c r="D146" s="14" t="str">
        <f t="shared" si="5"/>
        <v>RSSH O-4 Maturity level of the national medical products regulatory system-5</v>
      </c>
      <c r="E146" s="15" t="s">
        <v>1033</v>
      </c>
      <c r="F146" s="15" t="s">
        <v>5391</v>
      </c>
      <c r="G146" s="14" t="s">
        <v>5392</v>
      </c>
      <c r="H146" s="15" t="s">
        <v>5393</v>
      </c>
    </row>
    <row r="147" spans="1:8">
      <c r="A147" s="14" t="s">
        <v>1031</v>
      </c>
      <c r="B147" s="15" t="s">
        <v>1032</v>
      </c>
      <c r="C147" s="14">
        <f t="shared" si="4"/>
        <v>6</v>
      </c>
      <c r="D147" s="14" t="str">
        <f t="shared" si="5"/>
        <v>RSSH O-4 Maturity level of the national medical products regulatory system-6</v>
      </c>
      <c r="E147" s="15" t="s">
        <v>1033</v>
      </c>
      <c r="F147" s="15" t="s">
        <v>5394</v>
      </c>
      <c r="G147" s="14" t="s">
        <v>5395</v>
      </c>
      <c r="H147" s="15" t="s">
        <v>5396</v>
      </c>
    </row>
    <row r="148" spans="1:8">
      <c r="A148" s="14" t="s">
        <v>1031</v>
      </c>
      <c r="B148" s="15" t="s">
        <v>1032</v>
      </c>
      <c r="C148" s="14">
        <f t="shared" ref="C148:C152" si="6">IF(B148=B147,C147+1,0)</f>
        <v>7</v>
      </c>
      <c r="D148" s="14" t="str">
        <f t="shared" ref="D148:D152" si="7">B148&amp;"-"&amp;C148</f>
        <v>RSSH O-4 Maturity level of the national medical products regulatory system-7</v>
      </c>
      <c r="E148" s="15" t="s">
        <v>1033</v>
      </c>
      <c r="F148" s="15" t="s">
        <v>5397</v>
      </c>
      <c r="G148" s="14" t="s">
        <v>5398</v>
      </c>
      <c r="H148" s="15" t="s">
        <v>5399</v>
      </c>
    </row>
    <row r="149" spans="1:8">
      <c r="A149" s="14" t="s">
        <v>996</v>
      </c>
      <c r="B149" s="15" t="s">
        <v>997</v>
      </c>
      <c r="C149" s="14">
        <f t="shared" si="6"/>
        <v>0</v>
      </c>
      <c r="D149" s="14" t="str">
        <f t="shared" si="7"/>
        <v>HIV O-29 Percentage of HIV-positive results among the total HIV tests-0</v>
      </c>
      <c r="E149" s="15" t="s">
        <v>849</v>
      </c>
      <c r="F149" s="15" t="s">
        <v>3240</v>
      </c>
      <c r="G149" s="14" t="s">
        <v>5400</v>
      </c>
      <c r="H149" s="15" t="s">
        <v>5401</v>
      </c>
    </row>
    <row r="150" spans="1:8">
      <c r="A150" s="14" t="s">
        <v>996</v>
      </c>
      <c r="B150" s="15" t="s">
        <v>997</v>
      </c>
      <c r="C150" s="14">
        <f t="shared" si="6"/>
        <v>1</v>
      </c>
      <c r="D150" s="14" t="str">
        <f t="shared" si="7"/>
        <v>HIV O-29 Percentage of HIV-positive results among the total HIV tests-1</v>
      </c>
      <c r="E150" s="15" t="s">
        <v>849</v>
      </c>
      <c r="F150" s="15" t="s">
        <v>3244</v>
      </c>
      <c r="G150" s="14" t="s">
        <v>5402</v>
      </c>
      <c r="H150" s="15" t="s">
        <v>5403</v>
      </c>
    </row>
    <row r="151" spans="1:8">
      <c r="A151" s="14" t="s">
        <v>996</v>
      </c>
      <c r="B151" s="15" t="s">
        <v>997</v>
      </c>
      <c r="C151" s="14">
        <f t="shared" si="6"/>
        <v>2</v>
      </c>
      <c r="D151" s="14" t="str">
        <f t="shared" si="7"/>
        <v>HIV O-29 Percentage of HIV-positive results among the total HIV tests-2</v>
      </c>
      <c r="E151" s="15" t="s">
        <v>1192</v>
      </c>
      <c r="F151" s="15" t="s">
        <v>3193</v>
      </c>
      <c r="G151" s="14" t="s">
        <v>5404</v>
      </c>
      <c r="H151" s="15" t="s">
        <v>5405</v>
      </c>
    </row>
    <row r="152" spans="1:8">
      <c r="A152" s="14" t="s">
        <v>996</v>
      </c>
      <c r="B152" s="15" t="s">
        <v>997</v>
      </c>
      <c r="C152" s="14">
        <f t="shared" si="6"/>
        <v>3</v>
      </c>
      <c r="D152" s="14" t="str">
        <f t="shared" si="7"/>
        <v>HIV O-29 Percentage of HIV-positive results among the total HIV tests-3</v>
      </c>
      <c r="E152" s="15" t="s">
        <v>1192</v>
      </c>
      <c r="F152" s="15" t="s">
        <v>3197</v>
      </c>
      <c r="G152" s="14" t="s">
        <v>5406</v>
      </c>
      <c r="H152" s="15" t="s">
        <v>5407</v>
      </c>
    </row>
    <row r="154" spans="1:8">
      <c r="A154" s="2" t="s">
        <v>5408</v>
      </c>
    </row>
    <row r="155" spans="1:8">
      <c r="A155" s="14" t="s">
        <v>5409</v>
      </c>
      <c r="B155" s="14" t="s">
        <v>815</v>
      </c>
      <c r="C155" s="14">
        <v>0</v>
      </c>
      <c r="D155" s="14" t="s">
        <v>5142</v>
      </c>
      <c r="E155" s="14" t="s">
        <v>2256</v>
      </c>
      <c r="F155" s="14" t="s">
        <v>2257</v>
      </c>
      <c r="G155" s="14" t="s">
        <v>318</v>
      </c>
      <c r="H155" s="14" t="s">
        <v>5143</v>
      </c>
    </row>
    <row r="156" spans="1:8" hidden="1">
      <c r="A156" s="14" t="s">
        <v>5410</v>
      </c>
      <c r="B156" s="15" t="s">
        <v>2176</v>
      </c>
      <c r="C156" s="14">
        <f>IF(B156=B155,C155+1,0)</f>
        <v>0</v>
      </c>
      <c r="D156" s="14" t="str">
        <f>B156&amp;"-"&amp;C156</f>
        <v>[Name]-0</v>
      </c>
      <c r="E156" s="15" t="s">
        <v>5145</v>
      </c>
      <c r="F156" s="15" t="s">
        <v>5146</v>
      </c>
      <c r="G156" s="14" t="s">
        <v>321</v>
      </c>
      <c r="H156" s="15" t="s">
        <v>5147</v>
      </c>
    </row>
    <row r="157" spans="1:8">
      <c r="A157" s="14" t="s">
        <v>1103</v>
      </c>
      <c r="B157" s="15" t="s">
        <v>1104</v>
      </c>
      <c r="C157" s="14">
        <f t="shared" ref="C157:C220" si="8">IF(B157=B156,C156+1,0)</f>
        <v>0</v>
      </c>
      <c r="D157" s="14" t="str">
        <f t="shared" ref="D157:D220" si="9">B157&amp;"-"&amp;C157</f>
        <v>KP-1c Percentage of sex workers reached with HIV prevention programs - defined package of services-0</v>
      </c>
      <c r="E157" s="15" t="s">
        <v>849</v>
      </c>
      <c r="F157" s="15" t="s">
        <v>3167</v>
      </c>
      <c r="G157" s="14" t="s">
        <v>3796</v>
      </c>
      <c r="H157" s="15" t="s">
        <v>3795</v>
      </c>
    </row>
    <row r="158" spans="1:8">
      <c r="A158" s="14" t="s">
        <v>1103</v>
      </c>
      <c r="B158" s="15" t="s">
        <v>1104</v>
      </c>
      <c r="C158" s="14">
        <f t="shared" si="8"/>
        <v>1</v>
      </c>
      <c r="D158" s="14" t="str">
        <f t="shared" si="9"/>
        <v>KP-1c Percentage of sex workers reached with HIV prevention programs - defined package of services-1</v>
      </c>
      <c r="E158" s="15" t="s">
        <v>849</v>
      </c>
      <c r="F158" s="15" t="s">
        <v>3735</v>
      </c>
      <c r="G158" s="14" t="s">
        <v>3799</v>
      </c>
      <c r="H158" s="15" t="s">
        <v>3798</v>
      </c>
    </row>
    <row r="159" spans="1:8">
      <c r="A159" s="14" t="s">
        <v>1103</v>
      </c>
      <c r="B159" s="15" t="s">
        <v>1104</v>
      </c>
      <c r="C159" s="14">
        <f t="shared" si="8"/>
        <v>2</v>
      </c>
      <c r="D159" s="14" t="str">
        <f t="shared" si="9"/>
        <v>KP-1c Percentage of sex workers reached with HIV prevention programs - defined package of services-2</v>
      </c>
      <c r="E159" s="15" t="s">
        <v>849</v>
      </c>
      <c r="F159" s="15" t="s">
        <v>3739</v>
      </c>
      <c r="G159" s="14" t="s">
        <v>3802</v>
      </c>
      <c r="H159" s="15" t="s">
        <v>3801</v>
      </c>
    </row>
    <row r="160" spans="1:8">
      <c r="A160" s="14" t="s">
        <v>1103</v>
      </c>
      <c r="B160" s="15" t="s">
        <v>1104</v>
      </c>
      <c r="C160" s="14">
        <f t="shared" si="8"/>
        <v>3</v>
      </c>
      <c r="D160" s="14" t="str">
        <f t="shared" si="9"/>
        <v>KP-1c Percentage of sex workers reached with HIV prevention programs - defined package of services-3</v>
      </c>
      <c r="E160" s="15" t="s">
        <v>1192</v>
      </c>
      <c r="F160" s="15" t="s">
        <v>3189</v>
      </c>
      <c r="G160" s="14" t="s">
        <v>3805</v>
      </c>
      <c r="H160" s="15" t="s">
        <v>3804</v>
      </c>
    </row>
    <row r="161" spans="1:8">
      <c r="A161" s="14" t="s">
        <v>1103</v>
      </c>
      <c r="B161" s="15" t="s">
        <v>1104</v>
      </c>
      <c r="C161" s="14">
        <f t="shared" si="8"/>
        <v>4</v>
      </c>
      <c r="D161" s="14" t="str">
        <f t="shared" si="9"/>
        <v>KP-1c Percentage of sex workers reached with HIV prevention programs - defined package of services-4</v>
      </c>
      <c r="E161" s="15" t="s">
        <v>1192</v>
      </c>
      <c r="F161" s="15" t="s">
        <v>3193</v>
      </c>
      <c r="G161" s="14" t="s">
        <v>3808</v>
      </c>
      <c r="H161" s="15" t="s">
        <v>3807</v>
      </c>
    </row>
    <row r="162" spans="1:8">
      <c r="A162" s="14" t="s">
        <v>1103</v>
      </c>
      <c r="B162" s="15" t="s">
        <v>1104</v>
      </c>
      <c r="C162" s="14">
        <f t="shared" si="8"/>
        <v>5</v>
      </c>
      <c r="D162" s="14" t="str">
        <f t="shared" si="9"/>
        <v>KP-1c Percentage of sex workers reached with HIV prevention programs - defined package of services-5</v>
      </c>
      <c r="E162" s="15" t="s">
        <v>1192</v>
      </c>
      <c r="F162" s="15" t="s">
        <v>3197</v>
      </c>
      <c r="G162" s="14" t="s">
        <v>3811</v>
      </c>
      <c r="H162" s="15" t="s">
        <v>3810</v>
      </c>
    </row>
    <row r="163" spans="1:8">
      <c r="A163" s="14" t="s">
        <v>1107</v>
      </c>
      <c r="B163" s="15" t="s">
        <v>1108</v>
      </c>
      <c r="C163" s="14">
        <f t="shared" si="8"/>
        <v>0</v>
      </c>
      <c r="D163" s="14" t="str">
        <f t="shared" si="9"/>
        <v>KP-6c Number of sex workers who received any PrEP product at least once during the reporting period-0</v>
      </c>
      <c r="E163" s="15" t="s">
        <v>849</v>
      </c>
      <c r="F163" s="15" t="s">
        <v>3167</v>
      </c>
      <c r="G163" s="14" t="s">
        <v>3828</v>
      </c>
      <c r="H163" s="15" t="s">
        <v>3827</v>
      </c>
    </row>
    <row r="164" spans="1:8">
      <c r="A164" s="14" t="s">
        <v>1107</v>
      </c>
      <c r="B164" s="15" t="s">
        <v>1108</v>
      </c>
      <c r="C164" s="14">
        <f t="shared" si="8"/>
        <v>1</v>
      </c>
      <c r="D164" s="14" t="str">
        <f t="shared" si="9"/>
        <v>KP-6c Number of sex workers who received any PrEP product at least once during the reporting period-1</v>
      </c>
      <c r="E164" s="15" t="s">
        <v>849</v>
      </c>
      <c r="F164" s="15" t="s">
        <v>3735</v>
      </c>
      <c r="G164" s="14" t="s">
        <v>3831</v>
      </c>
      <c r="H164" s="15" t="s">
        <v>3830</v>
      </c>
    </row>
    <row r="165" spans="1:8">
      <c r="A165" s="14" t="s">
        <v>1107</v>
      </c>
      <c r="B165" s="15" t="s">
        <v>1108</v>
      </c>
      <c r="C165" s="14">
        <f t="shared" si="8"/>
        <v>2</v>
      </c>
      <c r="D165" s="14" t="str">
        <f t="shared" si="9"/>
        <v>KP-6c Number of sex workers who received any PrEP product at least once during the reporting period-2</v>
      </c>
      <c r="E165" s="15" t="s">
        <v>849</v>
      </c>
      <c r="F165" s="15" t="s">
        <v>3739</v>
      </c>
      <c r="G165" s="14" t="s">
        <v>3834</v>
      </c>
      <c r="H165" s="15" t="s">
        <v>3833</v>
      </c>
    </row>
    <row r="166" spans="1:8">
      <c r="A166" s="14" t="s">
        <v>1107</v>
      </c>
      <c r="B166" s="15" t="s">
        <v>1108</v>
      </c>
      <c r="C166" s="14">
        <f t="shared" si="8"/>
        <v>3</v>
      </c>
      <c r="D166" s="14" t="str">
        <f t="shared" si="9"/>
        <v>KP-6c Number of sex workers who received any PrEP product at least once during the reporting period-3</v>
      </c>
      <c r="E166" s="15" t="s">
        <v>1192</v>
      </c>
      <c r="F166" s="15" t="s">
        <v>3189</v>
      </c>
      <c r="G166" s="14" t="s">
        <v>3837</v>
      </c>
      <c r="H166" s="15" t="s">
        <v>3836</v>
      </c>
    </row>
    <row r="167" spans="1:8">
      <c r="A167" s="14" t="s">
        <v>1107</v>
      </c>
      <c r="B167" s="15" t="s">
        <v>1108</v>
      </c>
      <c r="C167" s="14">
        <f t="shared" si="8"/>
        <v>4</v>
      </c>
      <c r="D167" s="14" t="str">
        <f t="shared" si="9"/>
        <v>KP-6c Number of sex workers who received any PrEP product at least once during the reporting period-4</v>
      </c>
      <c r="E167" s="15" t="s">
        <v>5411</v>
      </c>
      <c r="F167" s="15" t="s">
        <v>3769</v>
      </c>
      <c r="G167" s="14" t="s">
        <v>3840</v>
      </c>
      <c r="H167" s="15" t="s">
        <v>3839</v>
      </c>
    </row>
    <row r="168" spans="1:8">
      <c r="A168" s="14" t="s">
        <v>1107</v>
      </c>
      <c r="B168" s="15" t="s">
        <v>1108</v>
      </c>
      <c r="C168" s="14">
        <f t="shared" si="8"/>
        <v>5</v>
      </c>
      <c r="D168" s="14" t="str">
        <f t="shared" si="9"/>
        <v>KP-6c Number of sex workers who received any PrEP product at least once during the reporting period-5</v>
      </c>
      <c r="E168" s="15" t="s">
        <v>5411</v>
      </c>
      <c r="F168" s="15" t="s">
        <v>3773</v>
      </c>
      <c r="G168" s="14" t="s">
        <v>3843</v>
      </c>
      <c r="H168" s="15" t="s">
        <v>3842</v>
      </c>
    </row>
    <row r="169" spans="1:8">
      <c r="A169" s="14" t="s">
        <v>1107</v>
      </c>
      <c r="B169" s="15" t="s">
        <v>1108</v>
      </c>
      <c r="C169" s="14">
        <f t="shared" si="8"/>
        <v>6</v>
      </c>
      <c r="D169" s="14" t="str">
        <f t="shared" si="9"/>
        <v>KP-6c Number of sex workers who received any PrEP product at least once during the reporting period-6</v>
      </c>
      <c r="E169" s="15" t="s">
        <v>1192</v>
      </c>
      <c r="F169" s="15" t="s">
        <v>3193</v>
      </c>
      <c r="G169" s="14" t="s">
        <v>3846</v>
      </c>
      <c r="H169" s="15" t="s">
        <v>3845</v>
      </c>
    </row>
    <row r="170" spans="1:8">
      <c r="A170" s="14" t="s">
        <v>1107</v>
      </c>
      <c r="B170" s="15" t="s">
        <v>1108</v>
      </c>
      <c r="C170" s="14">
        <f t="shared" si="8"/>
        <v>7</v>
      </c>
      <c r="D170" s="14" t="str">
        <f t="shared" si="9"/>
        <v>KP-6c Number of sex workers who received any PrEP product at least once during the reporting period-7</v>
      </c>
      <c r="E170" s="15" t="s">
        <v>1192</v>
      </c>
      <c r="F170" s="15" t="s">
        <v>3197</v>
      </c>
      <c r="G170" s="14" t="s">
        <v>3849</v>
      </c>
      <c r="H170" s="15" t="s">
        <v>3848</v>
      </c>
    </row>
    <row r="171" spans="1:8">
      <c r="A171" s="14" t="s">
        <v>1107</v>
      </c>
      <c r="B171" s="15" t="s">
        <v>1108</v>
      </c>
      <c r="C171" s="14">
        <f t="shared" si="8"/>
        <v>8</v>
      </c>
      <c r="D171" s="14" t="str">
        <f t="shared" si="9"/>
        <v>KP-6c Number of sex workers who received any PrEP product at least once during the reporting period-8</v>
      </c>
      <c r="E171" s="15" t="s">
        <v>5411</v>
      </c>
      <c r="F171" s="15" t="s">
        <v>3777</v>
      </c>
      <c r="G171" s="14" t="s">
        <v>3852</v>
      </c>
      <c r="H171" s="15" t="s">
        <v>3851</v>
      </c>
    </row>
    <row r="172" spans="1:8">
      <c r="A172" s="14" t="s">
        <v>1111</v>
      </c>
      <c r="B172" s="15" t="s">
        <v>1112</v>
      </c>
      <c r="C172" s="14">
        <f t="shared" si="8"/>
        <v>0</v>
      </c>
      <c r="D172" s="14" t="str">
        <f t="shared" si="9"/>
        <v>KP-7c Percentage of sex workers tested for STIs during the reporting period-0</v>
      </c>
      <c r="E172" s="15" t="s">
        <v>849</v>
      </c>
      <c r="F172" s="15" t="s">
        <v>3167</v>
      </c>
      <c r="G172" s="14" t="s">
        <v>5412</v>
      </c>
      <c r="H172" s="15" t="s">
        <v>5413</v>
      </c>
    </row>
    <row r="173" spans="1:8">
      <c r="A173" s="14" t="s">
        <v>1111</v>
      </c>
      <c r="B173" s="15" t="s">
        <v>1112</v>
      </c>
      <c r="C173" s="14">
        <f t="shared" si="8"/>
        <v>1</v>
      </c>
      <c r="D173" s="14" t="str">
        <f t="shared" si="9"/>
        <v>KP-7c Percentage of sex workers tested for STIs during the reporting period-1</v>
      </c>
      <c r="E173" s="15" t="s">
        <v>849</v>
      </c>
      <c r="F173" s="15" t="s">
        <v>3735</v>
      </c>
      <c r="G173" s="14" t="s">
        <v>5414</v>
      </c>
      <c r="H173" s="15" t="s">
        <v>5415</v>
      </c>
    </row>
    <row r="174" spans="1:8">
      <c r="A174" s="14" t="s">
        <v>1111</v>
      </c>
      <c r="B174" s="15" t="s">
        <v>1112</v>
      </c>
      <c r="C174" s="14">
        <f t="shared" si="8"/>
        <v>2</v>
      </c>
      <c r="D174" s="14" t="str">
        <f t="shared" si="9"/>
        <v>KP-7c Percentage of sex workers tested for STIs during the reporting period-2</v>
      </c>
      <c r="E174" s="15" t="s">
        <v>849</v>
      </c>
      <c r="F174" s="15" t="s">
        <v>3739</v>
      </c>
      <c r="G174" s="14" t="s">
        <v>5416</v>
      </c>
      <c r="H174" s="15" t="s">
        <v>5417</v>
      </c>
    </row>
    <row r="175" spans="1:8">
      <c r="A175" s="14" t="s">
        <v>1111</v>
      </c>
      <c r="B175" s="15" t="s">
        <v>1112</v>
      </c>
      <c r="C175" s="14">
        <f t="shared" si="8"/>
        <v>3</v>
      </c>
      <c r="D175" s="14" t="str">
        <f t="shared" si="9"/>
        <v>KP-7c Percentage of sex workers tested for STIs during the reporting period-3</v>
      </c>
      <c r="E175" s="15" t="s">
        <v>1192</v>
      </c>
      <c r="F175" s="15" t="s">
        <v>3189</v>
      </c>
      <c r="G175" s="14" t="s">
        <v>5418</v>
      </c>
      <c r="H175" s="15" t="s">
        <v>5419</v>
      </c>
    </row>
    <row r="176" spans="1:8">
      <c r="A176" s="14" t="s">
        <v>1111</v>
      </c>
      <c r="B176" s="15" t="s">
        <v>1112</v>
      </c>
      <c r="C176" s="14">
        <f t="shared" si="8"/>
        <v>4</v>
      </c>
      <c r="D176" s="14" t="str">
        <f t="shared" si="9"/>
        <v>KP-7c Percentage of sex workers tested for STIs during the reporting period-4</v>
      </c>
      <c r="E176" s="15" t="s">
        <v>1192</v>
      </c>
      <c r="F176" s="15" t="s">
        <v>3193</v>
      </c>
      <c r="G176" s="14" t="s">
        <v>5420</v>
      </c>
      <c r="H176" s="15" t="s">
        <v>5421</v>
      </c>
    </row>
    <row r="177" spans="1:8">
      <c r="A177" s="14" t="s">
        <v>1111</v>
      </c>
      <c r="B177" s="15" t="s">
        <v>1112</v>
      </c>
      <c r="C177" s="14">
        <f t="shared" si="8"/>
        <v>5</v>
      </c>
      <c r="D177" s="14" t="str">
        <f t="shared" si="9"/>
        <v>KP-7c Percentage of sex workers tested for STIs during the reporting period-5</v>
      </c>
      <c r="E177" s="15" t="s">
        <v>5422</v>
      </c>
      <c r="F177" s="15" t="s">
        <v>5423</v>
      </c>
      <c r="G177" s="14" t="s">
        <v>5424</v>
      </c>
      <c r="H177" s="15" t="s">
        <v>5425</v>
      </c>
    </row>
    <row r="178" spans="1:8">
      <c r="A178" s="14" t="s">
        <v>1111</v>
      </c>
      <c r="B178" s="15" t="s">
        <v>1112</v>
      </c>
      <c r="C178" s="14">
        <f t="shared" si="8"/>
        <v>6</v>
      </c>
      <c r="D178" s="14" t="str">
        <f t="shared" si="9"/>
        <v>KP-7c Percentage of sex workers tested for STIs during the reporting period-6</v>
      </c>
      <c r="E178" s="15" t="s">
        <v>1192</v>
      </c>
      <c r="F178" s="15" t="s">
        <v>3197</v>
      </c>
      <c r="G178" s="14" t="s">
        <v>5426</v>
      </c>
      <c r="H178" s="15" t="s">
        <v>5427</v>
      </c>
    </row>
    <row r="179" spans="1:8">
      <c r="A179" s="14" t="s">
        <v>1111</v>
      </c>
      <c r="B179" s="15" t="s">
        <v>1112</v>
      </c>
      <c r="C179" s="14">
        <f t="shared" si="8"/>
        <v>7</v>
      </c>
      <c r="D179" s="14" t="str">
        <f t="shared" si="9"/>
        <v>KP-7c Percentage of sex workers tested for STIs during the reporting period-7</v>
      </c>
      <c r="E179" s="15" t="s">
        <v>5422</v>
      </c>
      <c r="F179" s="15" t="s">
        <v>5428</v>
      </c>
      <c r="G179" s="14" t="s">
        <v>5429</v>
      </c>
      <c r="H179" s="15" t="s">
        <v>5430</v>
      </c>
    </row>
    <row r="180" spans="1:8">
      <c r="A180" s="14" t="s">
        <v>1126</v>
      </c>
      <c r="B180" s="15" t="s">
        <v>1127</v>
      </c>
      <c r="C180" s="14">
        <f t="shared" si="8"/>
        <v>0</v>
      </c>
      <c r="D180" s="14" t="str">
        <f t="shared" si="9"/>
        <v>KP-1d Percentage of people who inject drugs reached with HIV prevention programs - defined package of services-0</v>
      </c>
      <c r="E180" s="15" t="s">
        <v>849</v>
      </c>
      <c r="F180" s="15" t="s">
        <v>3167</v>
      </c>
      <c r="G180" s="14" t="s">
        <v>3934</v>
      </c>
      <c r="H180" s="15" t="s">
        <v>3933</v>
      </c>
    </row>
    <row r="181" spans="1:8">
      <c r="A181" s="14" t="s">
        <v>1126</v>
      </c>
      <c r="B181" s="15" t="s">
        <v>1127</v>
      </c>
      <c r="C181" s="14">
        <f t="shared" si="8"/>
        <v>1</v>
      </c>
      <c r="D181" s="14" t="str">
        <f t="shared" si="9"/>
        <v>KP-1d Percentage of people who inject drugs reached with HIV prevention programs - defined package of services-1</v>
      </c>
      <c r="E181" s="15" t="s">
        <v>849</v>
      </c>
      <c r="F181" s="15" t="s">
        <v>3735</v>
      </c>
      <c r="G181" s="14" t="s">
        <v>3937</v>
      </c>
      <c r="H181" s="15" t="s">
        <v>3936</v>
      </c>
    </row>
    <row r="182" spans="1:8">
      <c r="A182" s="14" t="s">
        <v>1126</v>
      </c>
      <c r="B182" s="15" t="s">
        <v>1127</v>
      </c>
      <c r="C182" s="14">
        <f t="shared" si="8"/>
        <v>2</v>
      </c>
      <c r="D182" s="14" t="str">
        <f t="shared" si="9"/>
        <v>KP-1d Percentage of people who inject drugs reached with HIV prevention programs - defined package of services-2</v>
      </c>
      <c r="E182" s="15" t="s">
        <v>849</v>
      </c>
      <c r="F182" s="15" t="s">
        <v>3739</v>
      </c>
      <c r="G182" s="14" t="s">
        <v>3940</v>
      </c>
      <c r="H182" s="15" t="s">
        <v>3939</v>
      </c>
    </row>
    <row r="183" spans="1:8">
      <c r="A183" s="14" t="s">
        <v>1126</v>
      </c>
      <c r="B183" s="15" t="s">
        <v>1127</v>
      </c>
      <c r="C183" s="14">
        <f t="shared" si="8"/>
        <v>3</v>
      </c>
      <c r="D183" s="14" t="str">
        <f t="shared" si="9"/>
        <v>KP-1d Percentage of people who inject drugs reached with HIV prevention programs - defined package of services-3</v>
      </c>
      <c r="E183" s="15" t="s">
        <v>1192</v>
      </c>
      <c r="F183" s="15" t="s">
        <v>3193</v>
      </c>
      <c r="G183" s="14" t="s">
        <v>3943</v>
      </c>
      <c r="H183" s="15" t="s">
        <v>3942</v>
      </c>
    </row>
    <row r="184" spans="1:8">
      <c r="A184" s="14" t="s">
        <v>1126</v>
      </c>
      <c r="B184" s="15" t="s">
        <v>1127</v>
      </c>
      <c r="C184" s="14">
        <f t="shared" si="8"/>
        <v>4</v>
      </c>
      <c r="D184" s="14" t="str">
        <f t="shared" si="9"/>
        <v>KP-1d Percentage of people who inject drugs reached with HIV prevention programs - defined package of services-4</v>
      </c>
      <c r="E184" s="15" t="s">
        <v>1192</v>
      </c>
      <c r="F184" s="15" t="s">
        <v>3197</v>
      </c>
      <c r="G184" s="14" t="s">
        <v>3946</v>
      </c>
      <c r="H184" s="15" t="s">
        <v>3945</v>
      </c>
    </row>
    <row r="185" spans="1:8">
      <c r="A185" s="14" t="s">
        <v>1132</v>
      </c>
      <c r="B185" s="15" t="s">
        <v>1133</v>
      </c>
      <c r="C185" s="14">
        <f t="shared" si="8"/>
        <v>0</v>
      </c>
      <c r="D185" s="14" t="str">
        <f t="shared" si="9"/>
        <v>KP-5 Percentage of individuals receiving opioid substitution therapy who received treatment for at least 6 months-0</v>
      </c>
      <c r="E185" s="15" t="s">
        <v>849</v>
      </c>
      <c r="F185" s="15" t="s">
        <v>3167</v>
      </c>
      <c r="G185" s="14" t="s">
        <v>5431</v>
      </c>
      <c r="H185" s="15" t="s">
        <v>5432</v>
      </c>
    </row>
    <row r="186" spans="1:8">
      <c r="A186" s="14" t="s">
        <v>1132</v>
      </c>
      <c r="B186" s="15" t="s">
        <v>1133</v>
      </c>
      <c r="C186" s="14">
        <f t="shared" si="8"/>
        <v>1</v>
      </c>
      <c r="D186" s="14" t="str">
        <f t="shared" si="9"/>
        <v>KP-5 Percentage of individuals receiving opioid substitution therapy who received treatment for at least 6 months-1</v>
      </c>
      <c r="E186" s="15" t="s">
        <v>849</v>
      </c>
      <c r="F186" s="15" t="s">
        <v>3735</v>
      </c>
      <c r="G186" s="14" t="s">
        <v>5433</v>
      </c>
      <c r="H186" s="15" t="s">
        <v>5434</v>
      </c>
    </row>
    <row r="187" spans="1:8">
      <c r="A187" s="14" t="s">
        <v>1132</v>
      </c>
      <c r="B187" s="15" t="s">
        <v>1133</v>
      </c>
      <c r="C187" s="14">
        <f t="shared" si="8"/>
        <v>2</v>
      </c>
      <c r="D187" s="14" t="str">
        <f t="shared" si="9"/>
        <v>KP-5 Percentage of individuals receiving opioid substitution therapy who received treatment for at least 6 months-2</v>
      </c>
      <c r="E187" s="15" t="s">
        <v>849</v>
      </c>
      <c r="F187" s="15" t="s">
        <v>3739</v>
      </c>
      <c r="G187" s="14" t="s">
        <v>5435</v>
      </c>
      <c r="H187" s="15" t="s">
        <v>5436</v>
      </c>
    </row>
    <row r="188" spans="1:8">
      <c r="A188" s="14" t="s">
        <v>1132</v>
      </c>
      <c r="B188" s="15" t="s">
        <v>1133</v>
      </c>
      <c r="C188" s="14">
        <f t="shared" si="8"/>
        <v>3</v>
      </c>
      <c r="D188" s="14" t="str">
        <f t="shared" si="9"/>
        <v>KP-5 Percentage of individuals receiving opioid substitution therapy who received treatment for at least 6 months-3</v>
      </c>
      <c r="E188" s="15" t="s">
        <v>1192</v>
      </c>
      <c r="F188" s="15" t="s">
        <v>3193</v>
      </c>
      <c r="G188" s="14" t="s">
        <v>5437</v>
      </c>
      <c r="H188" s="15" t="s">
        <v>5438</v>
      </c>
    </row>
    <row r="189" spans="1:8">
      <c r="A189" s="14" t="s">
        <v>1132</v>
      </c>
      <c r="B189" s="15" t="s">
        <v>1133</v>
      </c>
      <c r="C189" s="14">
        <f t="shared" si="8"/>
        <v>4</v>
      </c>
      <c r="D189" s="14" t="str">
        <f t="shared" si="9"/>
        <v>KP-5 Percentage of individuals receiving opioid substitution therapy who received treatment for at least 6 months-4</v>
      </c>
      <c r="E189" s="15" t="s">
        <v>1192</v>
      </c>
      <c r="F189" s="15" t="s">
        <v>3197</v>
      </c>
      <c r="G189" s="14" t="s">
        <v>5439</v>
      </c>
      <c r="H189" s="15" t="s">
        <v>5440</v>
      </c>
    </row>
    <row r="190" spans="1:8">
      <c r="A190" s="14" t="s">
        <v>1135</v>
      </c>
      <c r="B190" s="15" t="s">
        <v>1136</v>
      </c>
      <c r="C190" s="14">
        <f t="shared" si="8"/>
        <v>0</v>
      </c>
      <c r="D190" s="14" t="str">
        <f t="shared" si="9"/>
        <v>KP-6d Number of PWID who received any PrEP product at least once during the reporting period-0</v>
      </c>
      <c r="E190" s="15" t="s">
        <v>849</v>
      </c>
      <c r="F190" s="15" t="s">
        <v>3167</v>
      </c>
      <c r="G190" s="14" t="s">
        <v>3964</v>
      </c>
      <c r="H190" s="15" t="s">
        <v>3963</v>
      </c>
    </row>
    <row r="191" spans="1:8">
      <c r="A191" s="14" t="s">
        <v>1135</v>
      </c>
      <c r="B191" s="15" t="s">
        <v>1136</v>
      </c>
      <c r="C191" s="14">
        <f t="shared" si="8"/>
        <v>1</v>
      </c>
      <c r="D191" s="14" t="str">
        <f t="shared" si="9"/>
        <v>KP-6d Number of PWID who received any PrEP product at least once during the reporting period-1</v>
      </c>
      <c r="E191" s="15" t="s">
        <v>849</v>
      </c>
      <c r="F191" s="15" t="s">
        <v>3735</v>
      </c>
      <c r="G191" s="14" t="s">
        <v>3967</v>
      </c>
      <c r="H191" s="15" t="s">
        <v>3966</v>
      </c>
    </row>
    <row r="192" spans="1:8">
      <c r="A192" s="14" t="s">
        <v>1135</v>
      </c>
      <c r="B192" s="15" t="s">
        <v>1136</v>
      </c>
      <c r="C192" s="14">
        <f t="shared" si="8"/>
        <v>2</v>
      </c>
      <c r="D192" s="14" t="str">
        <f t="shared" si="9"/>
        <v>KP-6d Number of PWID who received any PrEP product at least once during the reporting period-2</v>
      </c>
      <c r="E192" s="15" t="s">
        <v>849</v>
      </c>
      <c r="F192" s="15" t="s">
        <v>3739</v>
      </c>
      <c r="G192" s="14" t="s">
        <v>3970</v>
      </c>
      <c r="H192" s="15" t="s">
        <v>3969</v>
      </c>
    </row>
    <row r="193" spans="1:8">
      <c r="A193" s="14" t="s">
        <v>1135</v>
      </c>
      <c r="B193" s="15" t="s">
        <v>1136</v>
      </c>
      <c r="C193" s="14">
        <f t="shared" si="8"/>
        <v>3</v>
      </c>
      <c r="D193" s="14" t="str">
        <f t="shared" si="9"/>
        <v>KP-6d Number of PWID who received any PrEP product at least once during the reporting period-3</v>
      </c>
      <c r="E193" s="15" t="s">
        <v>5411</v>
      </c>
      <c r="F193" s="15" t="s">
        <v>3769</v>
      </c>
      <c r="G193" s="14" t="s">
        <v>3973</v>
      </c>
      <c r="H193" s="15" t="s">
        <v>3972</v>
      </c>
    </row>
    <row r="194" spans="1:8">
      <c r="A194" s="14" t="s">
        <v>1135</v>
      </c>
      <c r="B194" s="15" t="s">
        <v>1136</v>
      </c>
      <c r="C194" s="14">
        <f t="shared" si="8"/>
        <v>4</v>
      </c>
      <c r="D194" s="14" t="str">
        <f t="shared" si="9"/>
        <v>KP-6d Number of PWID who received any PrEP product at least once during the reporting period-4</v>
      </c>
      <c r="E194" s="15" t="s">
        <v>1192</v>
      </c>
      <c r="F194" s="15" t="s">
        <v>3193</v>
      </c>
      <c r="G194" s="14" t="s">
        <v>3976</v>
      </c>
      <c r="H194" s="15" t="s">
        <v>3975</v>
      </c>
    </row>
    <row r="195" spans="1:8">
      <c r="A195" s="14" t="s">
        <v>1135</v>
      </c>
      <c r="B195" s="15" t="s">
        <v>1136</v>
      </c>
      <c r="C195" s="14">
        <f t="shared" si="8"/>
        <v>5</v>
      </c>
      <c r="D195" s="14" t="str">
        <f t="shared" si="9"/>
        <v>KP-6d Number of PWID who received any PrEP product at least once during the reporting period-5</v>
      </c>
      <c r="E195" s="15" t="s">
        <v>5411</v>
      </c>
      <c r="F195" s="15" t="s">
        <v>3773</v>
      </c>
      <c r="G195" s="14" t="s">
        <v>3979</v>
      </c>
      <c r="H195" s="15" t="s">
        <v>3978</v>
      </c>
    </row>
    <row r="196" spans="1:8">
      <c r="A196" s="14" t="s">
        <v>1135</v>
      </c>
      <c r="B196" s="15" t="s">
        <v>1136</v>
      </c>
      <c r="C196" s="14">
        <f t="shared" si="8"/>
        <v>6</v>
      </c>
      <c r="D196" s="14" t="str">
        <f t="shared" si="9"/>
        <v>KP-6d Number of PWID who received any PrEP product at least once during the reporting period-6</v>
      </c>
      <c r="E196" s="15" t="s">
        <v>1192</v>
      </c>
      <c r="F196" s="15" t="s">
        <v>3197</v>
      </c>
      <c r="G196" s="14" t="s">
        <v>3982</v>
      </c>
      <c r="H196" s="15" t="s">
        <v>3981</v>
      </c>
    </row>
    <row r="197" spans="1:8">
      <c r="A197" s="14" t="s">
        <v>1135</v>
      </c>
      <c r="B197" s="15" t="s">
        <v>1136</v>
      </c>
      <c r="C197" s="14">
        <f t="shared" si="8"/>
        <v>7</v>
      </c>
      <c r="D197" s="14" t="str">
        <f t="shared" si="9"/>
        <v>KP-6d Number of PWID who received any PrEP product at least once during the reporting period-7</v>
      </c>
      <c r="E197" s="15" t="s">
        <v>5411</v>
      </c>
      <c r="F197" s="15" t="s">
        <v>3777</v>
      </c>
      <c r="G197" s="14" t="s">
        <v>3985</v>
      </c>
      <c r="H197" s="15" t="s">
        <v>3984</v>
      </c>
    </row>
    <row r="198" spans="1:8">
      <c r="A198" s="14" t="s">
        <v>1139</v>
      </c>
      <c r="B198" s="15" t="s">
        <v>1140</v>
      </c>
      <c r="C198" s="14">
        <f t="shared" si="8"/>
        <v>0</v>
      </c>
      <c r="D198" s="14" t="str">
        <f t="shared" si="9"/>
        <v>KP-8 Percentage of people who inject drugs receiving opioid substitution therapy-0</v>
      </c>
      <c r="E198" s="15" t="s">
        <v>849</v>
      </c>
      <c r="F198" s="15" t="s">
        <v>3167</v>
      </c>
      <c r="G198" s="14" t="s">
        <v>5441</v>
      </c>
      <c r="H198" s="15" t="s">
        <v>5442</v>
      </c>
    </row>
    <row r="199" spans="1:8">
      <c r="A199" s="14" t="s">
        <v>1139</v>
      </c>
      <c r="B199" s="15" t="s">
        <v>1140</v>
      </c>
      <c r="C199" s="14">
        <f t="shared" si="8"/>
        <v>1</v>
      </c>
      <c r="D199" s="14" t="str">
        <f t="shared" si="9"/>
        <v>KP-8 Percentage of people who inject drugs receiving opioid substitution therapy-1</v>
      </c>
      <c r="E199" s="15" t="s">
        <v>849</v>
      </c>
      <c r="F199" s="15" t="s">
        <v>3735</v>
      </c>
      <c r="G199" s="14" t="s">
        <v>5443</v>
      </c>
      <c r="H199" s="15" t="s">
        <v>5444</v>
      </c>
    </row>
    <row r="200" spans="1:8">
      <c r="A200" s="14" t="s">
        <v>1139</v>
      </c>
      <c r="B200" s="15" t="s">
        <v>1140</v>
      </c>
      <c r="C200" s="14">
        <f t="shared" si="8"/>
        <v>2</v>
      </c>
      <c r="D200" s="14" t="str">
        <f t="shared" si="9"/>
        <v>KP-8 Percentage of people who inject drugs receiving opioid substitution therapy-2</v>
      </c>
      <c r="E200" s="15" t="s">
        <v>849</v>
      </c>
      <c r="F200" s="15" t="s">
        <v>3739</v>
      </c>
      <c r="G200" s="14" t="s">
        <v>5445</v>
      </c>
      <c r="H200" s="15" t="s">
        <v>5446</v>
      </c>
    </row>
    <row r="201" spans="1:8">
      <c r="A201" s="14" t="s">
        <v>1139</v>
      </c>
      <c r="B201" s="15" t="s">
        <v>1140</v>
      </c>
      <c r="C201" s="14">
        <f t="shared" si="8"/>
        <v>3</v>
      </c>
      <c r="D201" s="14" t="str">
        <f t="shared" si="9"/>
        <v>KP-8 Percentage of people who inject drugs receiving opioid substitution therapy-3</v>
      </c>
      <c r="E201" s="15" t="s">
        <v>1192</v>
      </c>
      <c r="F201" s="15" t="s">
        <v>3193</v>
      </c>
      <c r="G201" s="14" t="s">
        <v>5447</v>
      </c>
      <c r="H201" s="15" t="s">
        <v>5448</v>
      </c>
    </row>
    <row r="202" spans="1:8">
      <c r="A202" s="14" t="s">
        <v>1139</v>
      </c>
      <c r="B202" s="15" t="s">
        <v>1140</v>
      </c>
      <c r="C202" s="14">
        <f t="shared" si="8"/>
        <v>4</v>
      </c>
      <c r="D202" s="14" t="str">
        <f t="shared" si="9"/>
        <v>KP-8 Percentage of people who inject drugs receiving opioid substitution therapy-4</v>
      </c>
      <c r="E202" s="15" t="s">
        <v>1192</v>
      </c>
      <c r="F202" s="15" t="s">
        <v>3197</v>
      </c>
      <c r="G202" s="14" t="s">
        <v>5449</v>
      </c>
      <c r="H202" s="15" t="s">
        <v>5450</v>
      </c>
    </row>
    <row r="203" spans="1:8">
      <c r="A203" s="14" t="s">
        <v>1146</v>
      </c>
      <c r="B203" s="15" t="s">
        <v>1147</v>
      </c>
      <c r="C203" s="14">
        <f t="shared" si="8"/>
        <v>0</v>
      </c>
      <c r="D203" s="14" t="str">
        <f t="shared" si="9"/>
        <v>KP-1e Percentage of other vulnerable populations reached with HIV prevention programs - defined package of services-0</v>
      </c>
      <c r="E203" s="15" t="s">
        <v>849</v>
      </c>
      <c r="F203" s="15" t="s">
        <v>3167</v>
      </c>
      <c r="G203" s="14" t="s">
        <v>5451</v>
      </c>
      <c r="H203" s="15" t="s">
        <v>5452</v>
      </c>
    </row>
    <row r="204" spans="1:8">
      <c r="A204" s="14" t="s">
        <v>1146</v>
      </c>
      <c r="B204" s="15" t="s">
        <v>1147</v>
      </c>
      <c r="C204" s="14">
        <f t="shared" si="8"/>
        <v>1</v>
      </c>
      <c r="D204" s="14" t="str">
        <f t="shared" si="9"/>
        <v>KP-1e Percentage of other vulnerable populations reached with HIV prevention programs - defined package of services-1</v>
      </c>
      <c r="E204" s="15" t="s">
        <v>849</v>
      </c>
      <c r="F204" s="15" t="s">
        <v>3735</v>
      </c>
      <c r="G204" s="14" t="s">
        <v>5453</v>
      </c>
      <c r="H204" s="15" t="s">
        <v>5454</v>
      </c>
    </row>
    <row r="205" spans="1:8">
      <c r="A205" s="14" t="s">
        <v>1146</v>
      </c>
      <c r="B205" s="15" t="s">
        <v>1147</v>
      </c>
      <c r="C205" s="14">
        <f t="shared" si="8"/>
        <v>2</v>
      </c>
      <c r="D205" s="14" t="str">
        <f t="shared" si="9"/>
        <v>KP-1e Percentage of other vulnerable populations reached with HIV prevention programs - defined package of services-2</v>
      </c>
      <c r="E205" s="15" t="s">
        <v>849</v>
      </c>
      <c r="F205" s="15" t="s">
        <v>3739</v>
      </c>
      <c r="G205" s="14" t="s">
        <v>5455</v>
      </c>
      <c r="H205" s="15" t="s">
        <v>5456</v>
      </c>
    </row>
    <row r="206" spans="1:8">
      <c r="A206" s="14" t="s">
        <v>1162</v>
      </c>
      <c r="B206" s="15" t="s">
        <v>1163</v>
      </c>
      <c r="C206" s="14">
        <f t="shared" si="8"/>
        <v>0</v>
      </c>
      <c r="D206" s="14" t="str">
        <f t="shared" si="9"/>
        <v>VT-1 Percentage of pregnant women who know their HIV status-0</v>
      </c>
      <c r="E206" s="15" t="s">
        <v>1164</v>
      </c>
      <c r="F206" s="15" t="s">
        <v>3346</v>
      </c>
      <c r="G206" s="14" t="s">
        <v>4182</v>
      </c>
      <c r="H206" s="15" t="s">
        <v>4181</v>
      </c>
    </row>
    <row r="207" spans="1:8">
      <c r="A207" s="14" t="s">
        <v>1162</v>
      </c>
      <c r="B207" s="15" t="s">
        <v>1163</v>
      </c>
      <c r="C207" s="14">
        <f t="shared" si="8"/>
        <v>1</v>
      </c>
      <c r="D207" s="14" t="str">
        <f t="shared" si="9"/>
        <v>VT-1 Percentage of pregnant women who know their HIV status-1</v>
      </c>
      <c r="E207" s="15" t="s">
        <v>1164</v>
      </c>
      <c r="F207" s="15" t="s">
        <v>3356</v>
      </c>
      <c r="G207" s="14" t="s">
        <v>4185</v>
      </c>
      <c r="H207" s="15" t="s">
        <v>4184</v>
      </c>
    </row>
    <row r="208" spans="1:8">
      <c r="A208" s="14" t="s">
        <v>1162</v>
      </c>
      <c r="B208" s="15" t="s">
        <v>1163</v>
      </c>
      <c r="C208" s="14">
        <f t="shared" si="8"/>
        <v>2</v>
      </c>
      <c r="D208" s="14" t="str">
        <f t="shared" si="9"/>
        <v>VT-1 Percentage of pregnant women who know their HIV status-2</v>
      </c>
      <c r="E208" s="15" t="s">
        <v>1164</v>
      </c>
      <c r="F208" s="15" t="s">
        <v>3367</v>
      </c>
      <c r="G208" s="14" t="s">
        <v>4188</v>
      </c>
      <c r="H208" s="15" t="s">
        <v>4187</v>
      </c>
    </row>
    <row r="209" spans="1:8">
      <c r="A209" s="14" t="s">
        <v>1166</v>
      </c>
      <c r="B209" s="15" t="s">
        <v>1167</v>
      </c>
      <c r="C209" s="14">
        <f t="shared" si="8"/>
        <v>0</v>
      </c>
      <c r="D209" s="14" t="str">
        <f t="shared" si="9"/>
        <v>VT-2 Percentage of HIV-exposed infants receiving a virological test for HIV within 2 months of birth-0</v>
      </c>
      <c r="E209" s="15" t="s">
        <v>1164</v>
      </c>
      <c r="F209" s="15" t="s">
        <v>3346</v>
      </c>
      <c r="G209" s="14" t="s">
        <v>4208</v>
      </c>
      <c r="H209" s="15" t="s">
        <v>4207</v>
      </c>
    </row>
    <row r="210" spans="1:8">
      <c r="A210" s="14" t="s">
        <v>1166</v>
      </c>
      <c r="B210" s="15" t="s">
        <v>1167</v>
      </c>
      <c r="C210" s="14">
        <f t="shared" si="8"/>
        <v>1</v>
      </c>
      <c r="D210" s="14" t="str">
        <f t="shared" si="9"/>
        <v>VT-2 Percentage of HIV-exposed infants receiving a virological test for HIV within 2 months of birth-1</v>
      </c>
      <c r="E210" s="15" t="s">
        <v>1164</v>
      </c>
      <c r="F210" s="15" t="s">
        <v>3356</v>
      </c>
      <c r="G210" s="14" t="s">
        <v>4211</v>
      </c>
      <c r="H210" s="15" t="s">
        <v>4210</v>
      </c>
    </row>
    <row r="211" spans="1:8">
      <c r="A211" s="14" t="s">
        <v>1166</v>
      </c>
      <c r="B211" s="15" t="s">
        <v>1167</v>
      </c>
      <c r="C211" s="14">
        <f t="shared" si="8"/>
        <v>2</v>
      </c>
      <c r="D211" s="14" t="str">
        <f t="shared" si="9"/>
        <v>VT-2 Percentage of HIV-exposed infants receiving a virological test for HIV within 2 months of birth-2</v>
      </c>
      <c r="E211" s="15" t="s">
        <v>1164</v>
      </c>
      <c r="F211" s="15" t="s">
        <v>3367</v>
      </c>
      <c r="G211" s="14" t="s">
        <v>4214</v>
      </c>
      <c r="H211" s="15" t="s">
        <v>4213</v>
      </c>
    </row>
    <row r="212" spans="1:8">
      <c r="A212" s="14" t="s">
        <v>1200</v>
      </c>
      <c r="B212" s="15" t="s">
        <v>1201</v>
      </c>
      <c r="C212" s="14">
        <f t="shared" si="8"/>
        <v>0</v>
      </c>
      <c r="D212" s="14" t="str">
        <f t="shared" si="9"/>
        <v>TCS-1.1 Percentage of people on ART among all people living with HIV at the end of the reporting period-0</v>
      </c>
      <c r="E212" s="15" t="s">
        <v>1192</v>
      </c>
      <c r="F212" s="15" t="s">
        <v>3193</v>
      </c>
      <c r="G212" s="14" t="s">
        <v>4254</v>
      </c>
      <c r="H212" s="15" t="s">
        <v>4253</v>
      </c>
    </row>
    <row r="213" spans="1:8">
      <c r="A213" s="14" t="s">
        <v>1200</v>
      </c>
      <c r="B213" s="15" t="s">
        <v>1201</v>
      </c>
      <c r="C213" s="14">
        <f t="shared" si="8"/>
        <v>1</v>
      </c>
      <c r="D213" s="14" t="str">
        <f t="shared" si="9"/>
        <v>TCS-1.1 Percentage of people on ART among all people living with HIV at the end of the reporting period-1</v>
      </c>
      <c r="E213" s="15" t="s">
        <v>1192</v>
      </c>
      <c r="F213" s="15" t="s">
        <v>3197</v>
      </c>
      <c r="G213" s="14" t="s">
        <v>4257</v>
      </c>
      <c r="H213" s="15" t="s">
        <v>4256</v>
      </c>
    </row>
    <row r="214" spans="1:8">
      <c r="A214" s="14" t="s">
        <v>1203</v>
      </c>
      <c r="B214" s="15" t="s">
        <v>1204</v>
      </c>
      <c r="C214" s="14">
        <f t="shared" si="8"/>
        <v>0</v>
      </c>
      <c r="D214" s="14" t="str">
        <f t="shared" si="9"/>
        <v>TCS-1b Percentage of adults (15 and above) on ART among all adults living with HIV at the end of the reporting period-0</v>
      </c>
      <c r="E214" s="15" t="s">
        <v>1192</v>
      </c>
      <c r="F214" s="15" t="s">
        <v>3193</v>
      </c>
      <c r="G214" s="14" t="s">
        <v>4260</v>
      </c>
      <c r="H214" s="15" t="s">
        <v>4259</v>
      </c>
    </row>
    <row r="215" spans="1:8">
      <c r="A215" s="14" t="s">
        <v>1203</v>
      </c>
      <c r="B215" s="15" t="s">
        <v>1204</v>
      </c>
      <c r="C215" s="14">
        <f t="shared" si="8"/>
        <v>1</v>
      </c>
      <c r="D215" s="14" t="str">
        <f t="shared" si="9"/>
        <v>TCS-1b Percentage of adults (15 and above) on ART among all adults living with HIV at the end of the reporting period-1</v>
      </c>
      <c r="E215" s="15" t="s">
        <v>1192</v>
      </c>
      <c r="F215" s="15" t="s">
        <v>3197</v>
      </c>
      <c r="G215" s="14" t="s">
        <v>4263</v>
      </c>
      <c r="H215" s="15" t="s">
        <v>4262</v>
      </c>
    </row>
    <row r="216" spans="1:8">
      <c r="A216" s="14" t="s">
        <v>1206</v>
      </c>
      <c r="B216" s="15" t="s">
        <v>1207</v>
      </c>
      <c r="C216" s="14">
        <f t="shared" si="8"/>
        <v>0</v>
      </c>
      <c r="D216" s="14" t="str">
        <f t="shared" si="9"/>
        <v>TCS-1c Percentage of children (under 15) on ART among all children living with HIV at the end of the reporting period-0</v>
      </c>
      <c r="E216" s="15" t="s">
        <v>1192</v>
      </c>
      <c r="F216" s="15" t="s">
        <v>3193</v>
      </c>
      <c r="G216" s="14" t="s">
        <v>4266</v>
      </c>
      <c r="H216" s="15" t="s">
        <v>4265</v>
      </c>
    </row>
    <row r="217" spans="1:8">
      <c r="A217" s="14" t="s">
        <v>1206</v>
      </c>
      <c r="B217" s="15" t="s">
        <v>1207</v>
      </c>
      <c r="C217" s="14">
        <f t="shared" si="8"/>
        <v>1</v>
      </c>
      <c r="D217" s="14" t="str">
        <f t="shared" si="9"/>
        <v>TCS-1c Percentage of children (under 15) on ART among all children living with HIV at the end of the reporting period-1</v>
      </c>
      <c r="E217" s="15" t="s">
        <v>1192</v>
      </c>
      <c r="F217" s="15" t="s">
        <v>3197</v>
      </c>
      <c r="G217" s="14" t="s">
        <v>4269</v>
      </c>
      <c r="H217" s="15" t="s">
        <v>4268</v>
      </c>
    </row>
    <row r="218" spans="1:8">
      <c r="A218" s="14" t="s">
        <v>1209</v>
      </c>
      <c r="B218" s="15" t="s">
        <v>1210</v>
      </c>
      <c r="C218" s="14">
        <f t="shared" si="8"/>
        <v>0</v>
      </c>
      <c r="D218" s="14" t="str">
        <f t="shared" si="9"/>
        <v>TCS-8 Percentage of people living with HIV and on ART with viral load test result-0</v>
      </c>
      <c r="E218" s="15" t="s">
        <v>849</v>
      </c>
      <c r="F218" s="15" t="s">
        <v>3240</v>
      </c>
      <c r="G218" s="14" t="s">
        <v>4272</v>
      </c>
      <c r="H218" s="15" t="s">
        <v>4271</v>
      </c>
    </row>
    <row r="219" spans="1:8">
      <c r="A219" s="14" t="s">
        <v>1209</v>
      </c>
      <c r="B219" s="15" t="s">
        <v>1210</v>
      </c>
      <c r="C219" s="14">
        <f t="shared" si="8"/>
        <v>1</v>
      </c>
      <c r="D219" s="14" t="str">
        <f t="shared" si="9"/>
        <v>TCS-8 Percentage of people living with HIV and on ART with viral load test result-1</v>
      </c>
      <c r="E219" s="15" t="s">
        <v>849</v>
      </c>
      <c r="F219" s="15" t="s">
        <v>3244</v>
      </c>
      <c r="G219" s="14" t="s">
        <v>4275</v>
      </c>
      <c r="H219" s="15" t="s">
        <v>4274</v>
      </c>
    </row>
    <row r="220" spans="1:8">
      <c r="A220" s="14" t="s">
        <v>1209</v>
      </c>
      <c r="B220" s="15" t="s">
        <v>1210</v>
      </c>
      <c r="C220" s="14">
        <f t="shared" si="8"/>
        <v>2</v>
      </c>
      <c r="D220" s="14" t="str">
        <f t="shared" si="9"/>
        <v>TCS-8 Percentage of people living with HIV and on ART with viral load test result-2</v>
      </c>
      <c r="E220" s="15" t="s">
        <v>5148</v>
      </c>
      <c r="F220" s="15" t="s">
        <v>4277</v>
      </c>
      <c r="G220" s="14" t="s">
        <v>4279</v>
      </c>
      <c r="H220" s="15" t="s">
        <v>4278</v>
      </c>
    </row>
    <row r="221" spans="1:8">
      <c r="A221" s="14" t="s">
        <v>1209</v>
      </c>
      <c r="B221" s="15" t="s">
        <v>1210</v>
      </c>
      <c r="C221" s="14">
        <f t="shared" ref="C221:C284" si="10">IF(B221=B220,C220+1,0)</f>
        <v>3</v>
      </c>
      <c r="D221" s="14" t="str">
        <f t="shared" ref="D221:D284" si="11">B221&amp;"-"&amp;C221</f>
        <v>TCS-8 Percentage of people living with HIV and on ART with viral load test result-3</v>
      </c>
      <c r="E221" s="15" t="s">
        <v>5148</v>
      </c>
      <c r="F221" s="15" t="s">
        <v>4281</v>
      </c>
      <c r="G221" s="14" t="s">
        <v>4283</v>
      </c>
      <c r="H221" s="15" t="s">
        <v>4282</v>
      </c>
    </row>
    <row r="222" spans="1:8">
      <c r="A222" s="14" t="s">
        <v>1212</v>
      </c>
      <c r="B222" s="15" t="s">
        <v>1213</v>
      </c>
      <c r="C222" s="14">
        <f t="shared" si="10"/>
        <v>0</v>
      </c>
      <c r="D222" s="14" t="str">
        <f t="shared" si="11"/>
        <v>TCS-9 Percentage of people living with HIV and currently on antiretroviral therapy who are receiving multi month dispensing of antiretroviral medicine-0</v>
      </c>
      <c r="E222" s="15" t="s">
        <v>849</v>
      </c>
      <c r="F222" s="15" t="s">
        <v>3240</v>
      </c>
      <c r="G222" s="14" t="s">
        <v>5457</v>
      </c>
      <c r="H222" s="15" t="s">
        <v>5458</v>
      </c>
    </row>
    <row r="223" spans="1:8">
      <c r="A223" s="14" t="s">
        <v>1212</v>
      </c>
      <c r="B223" s="15" t="s">
        <v>1213</v>
      </c>
      <c r="C223" s="14">
        <f t="shared" si="10"/>
        <v>1</v>
      </c>
      <c r="D223" s="14" t="str">
        <f t="shared" si="11"/>
        <v>TCS-9 Percentage of people living with HIV and currently on antiretroviral therapy who are receiving multi month dispensing of antiretroviral medicine-1</v>
      </c>
      <c r="E223" s="15" t="s">
        <v>849</v>
      </c>
      <c r="F223" s="15" t="s">
        <v>3244</v>
      </c>
      <c r="G223" s="14" t="s">
        <v>5459</v>
      </c>
      <c r="H223" s="15" t="s">
        <v>5460</v>
      </c>
    </row>
    <row r="224" spans="1:8">
      <c r="A224" s="14" t="s">
        <v>1212</v>
      </c>
      <c r="B224" s="15" t="s">
        <v>1213</v>
      </c>
      <c r="C224" s="14">
        <f t="shared" si="10"/>
        <v>2</v>
      </c>
      <c r="D224" s="14" t="str">
        <f t="shared" si="11"/>
        <v>TCS-9 Percentage of people living with HIV and currently on antiretroviral therapy who are receiving multi month dispensing of antiretroviral medicine-2</v>
      </c>
      <c r="E224" s="15" t="s">
        <v>5148</v>
      </c>
      <c r="F224" s="15" t="s">
        <v>4277</v>
      </c>
      <c r="G224" s="14" t="s">
        <v>5461</v>
      </c>
      <c r="H224" s="15" t="s">
        <v>5462</v>
      </c>
    </row>
    <row r="225" spans="1:8">
      <c r="A225" s="14" t="s">
        <v>1212</v>
      </c>
      <c r="B225" s="15" t="s">
        <v>1213</v>
      </c>
      <c r="C225" s="14">
        <f t="shared" si="10"/>
        <v>3</v>
      </c>
      <c r="D225" s="14" t="str">
        <f t="shared" si="11"/>
        <v>TCS-9 Percentage of people living with HIV and currently on antiretroviral therapy who are receiving multi month dispensing of antiretroviral medicine-3</v>
      </c>
      <c r="E225" s="15" t="s">
        <v>5148</v>
      </c>
      <c r="F225" s="15" t="s">
        <v>4281</v>
      </c>
      <c r="G225" s="14" t="s">
        <v>5463</v>
      </c>
      <c r="H225" s="15" t="s">
        <v>5464</v>
      </c>
    </row>
    <row r="226" spans="1:8">
      <c r="A226" s="14" t="s">
        <v>1218</v>
      </c>
      <c r="B226" s="15" t="s">
        <v>1219</v>
      </c>
      <c r="C226" s="14">
        <f t="shared" si="10"/>
        <v>0</v>
      </c>
      <c r="D226" s="14" t="str">
        <f t="shared" si="11"/>
        <v>TBDT-1 Number of patients with of all forms of TB notified (i.e., bacteriologically confirmed + clinically diagnosed); *includes only those with new and relapse TB-0</v>
      </c>
      <c r="E226" s="15" t="s">
        <v>849</v>
      </c>
      <c r="F226" s="15" t="s">
        <v>3240</v>
      </c>
      <c r="G226" s="14" t="s">
        <v>3344</v>
      </c>
      <c r="H226" s="15" t="s">
        <v>3343</v>
      </c>
    </row>
    <row r="227" spans="1:8">
      <c r="A227" s="14" t="s">
        <v>1218</v>
      </c>
      <c r="B227" s="15" t="s">
        <v>1219</v>
      </c>
      <c r="C227" s="14">
        <f t="shared" si="10"/>
        <v>1</v>
      </c>
      <c r="D227" s="14" t="str">
        <f t="shared" si="11"/>
        <v>TBDT-1 Number of patients with of all forms of TB notified (i.e., bacteriologically confirmed + clinically diagnosed); *includes only those with new and relapse TB-1</v>
      </c>
      <c r="E227" s="15" t="s">
        <v>1164</v>
      </c>
      <c r="F227" s="15" t="s">
        <v>3346</v>
      </c>
      <c r="G227" s="14" t="s">
        <v>3348</v>
      </c>
      <c r="H227" s="15" t="s">
        <v>3347</v>
      </c>
    </row>
    <row r="228" spans="1:8">
      <c r="A228" s="14" t="s">
        <v>1218</v>
      </c>
      <c r="B228" s="15" t="s">
        <v>1219</v>
      </c>
      <c r="C228" s="14">
        <f t="shared" si="10"/>
        <v>2</v>
      </c>
      <c r="D228" s="14" t="str">
        <f t="shared" si="11"/>
        <v>TBDT-1 Number of patients with of all forms of TB notified (i.e., bacteriologically confirmed + clinically diagnosed); *includes only those with new and relapse TB-2</v>
      </c>
      <c r="E228" s="15" t="s">
        <v>849</v>
      </c>
      <c r="F228" s="15" t="s">
        <v>3244</v>
      </c>
      <c r="G228" s="14" t="s">
        <v>3351</v>
      </c>
      <c r="H228" s="15" t="s">
        <v>3350</v>
      </c>
    </row>
    <row r="229" spans="1:8">
      <c r="A229" s="14" t="s">
        <v>1218</v>
      </c>
      <c r="B229" s="15" t="s">
        <v>1219</v>
      </c>
      <c r="C229" s="14">
        <f t="shared" si="10"/>
        <v>3</v>
      </c>
      <c r="D229" s="14" t="str">
        <f t="shared" si="11"/>
        <v>TBDT-1 Number of patients with of all forms of TB notified (i.e., bacteriologically confirmed + clinically diagnosed); *includes only those with new and relapse TB-3</v>
      </c>
      <c r="E229" s="15" t="s">
        <v>1192</v>
      </c>
      <c r="F229" s="15" t="s">
        <v>3193</v>
      </c>
      <c r="G229" s="14" t="s">
        <v>3354</v>
      </c>
      <c r="H229" s="15" t="s">
        <v>3353</v>
      </c>
    </row>
    <row r="230" spans="1:8">
      <c r="A230" s="14" t="s">
        <v>1218</v>
      </c>
      <c r="B230" s="15" t="s">
        <v>1219</v>
      </c>
      <c r="C230" s="14">
        <f t="shared" si="10"/>
        <v>4</v>
      </c>
      <c r="D230" s="14" t="str">
        <f t="shared" si="11"/>
        <v>TBDT-1 Number of patients with of all forms of TB notified (i.e., bacteriologically confirmed + clinically diagnosed); *includes only those with new and relapse TB-4</v>
      </c>
      <c r="E230" s="15" t="s">
        <v>1164</v>
      </c>
      <c r="F230" s="15" t="s">
        <v>3356</v>
      </c>
      <c r="G230" s="14" t="s">
        <v>3358</v>
      </c>
      <c r="H230" s="15" t="s">
        <v>3357</v>
      </c>
    </row>
    <row r="231" spans="1:8">
      <c r="A231" s="14" t="s">
        <v>1218</v>
      </c>
      <c r="B231" s="15" t="s">
        <v>1219</v>
      </c>
      <c r="C231" s="14">
        <f t="shared" si="10"/>
        <v>5</v>
      </c>
      <c r="D231" s="14" t="str">
        <f t="shared" si="11"/>
        <v>TBDT-1 Number of patients with of all forms of TB notified (i.e., bacteriologically confirmed + clinically diagnosed); *includes only those with new and relapse TB-5</v>
      </c>
      <c r="E231" s="15" t="s">
        <v>5465</v>
      </c>
      <c r="F231" s="15" t="s">
        <v>3360</v>
      </c>
      <c r="G231" s="14" t="s">
        <v>3362</v>
      </c>
      <c r="H231" s="15" t="s">
        <v>3361</v>
      </c>
    </row>
    <row r="232" spans="1:8">
      <c r="A232" s="14" t="s">
        <v>1218</v>
      </c>
      <c r="B232" s="15" t="s">
        <v>1219</v>
      </c>
      <c r="C232" s="14">
        <f t="shared" si="10"/>
        <v>6</v>
      </c>
      <c r="D232" s="14" t="str">
        <f t="shared" si="11"/>
        <v>TBDT-1 Number of patients with of all forms of TB notified (i.e., bacteriologically confirmed + clinically diagnosed); *includes only those with new and relapse TB-6</v>
      </c>
      <c r="E232" s="15" t="s">
        <v>1192</v>
      </c>
      <c r="F232" s="15" t="s">
        <v>3197</v>
      </c>
      <c r="G232" s="14" t="s">
        <v>3365</v>
      </c>
      <c r="H232" s="15" t="s">
        <v>3364</v>
      </c>
    </row>
    <row r="233" spans="1:8">
      <c r="A233" s="14" t="s">
        <v>1218</v>
      </c>
      <c r="B233" s="15" t="s">
        <v>1219</v>
      </c>
      <c r="C233" s="14">
        <f t="shared" si="10"/>
        <v>7</v>
      </c>
      <c r="D233" s="14" t="str">
        <f t="shared" si="11"/>
        <v>TBDT-1 Number of patients with of all forms of TB notified (i.e., bacteriologically confirmed + clinically diagnosed); *includes only those with new and relapse TB-7</v>
      </c>
      <c r="E233" s="15" t="s">
        <v>1164</v>
      </c>
      <c r="F233" s="15" t="s">
        <v>3367</v>
      </c>
      <c r="G233" s="14" t="s">
        <v>3369</v>
      </c>
      <c r="H233" s="15" t="s">
        <v>3368</v>
      </c>
    </row>
    <row r="234" spans="1:8">
      <c r="A234" s="14" t="s">
        <v>1222</v>
      </c>
      <c r="B234" s="15" t="s">
        <v>1223</v>
      </c>
      <c r="C234" s="14">
        <f t="shared" si="10"/>
        <v>0</v>
      </c>
      <c r="D234" s="14" t="str">
        <f t="shared" si="11"/>
        <v>TBDT-3a Percentage of notified patients with all forms of TB (i.e., bacteriologically confirmed + clinically diagnosed) contributed by non-national TB program providers- private/non-governmental facilities; *includes only those with new and relapse TB-0</v>
      </c>
      <c r="E234" s="15" t="s">
        <v>5466</v>
      </c>
      <c r="F234" s="15" t="s">
        <v>5467</v>
      </c>
      <c r="G234" s="14" t="s">
        <v>5468</v>
      </c>
      <c r="H234" s="15" t="s">
        <v>5469</v>
      </c>
    </row>
    <row r="235" spans="1:8">
      <c r="A235" s="14" t="s">
        <v>1222</v>
      </c>
      <c r="B235" s="15" t="s">
        <v>1223</v>
      </c>
      <c r="C235" s="14">
        <f t="shared" si="10"/>
        <v>1</v>
      </c>
      <c r="D235" s="14" t="str">
        <f t="shared" si="11"/>
        <v>TBDT-3a Percentage of notified patients with all forms of TB (i.e., bacteriologically confirmed + clinically diagnosed) contributed by non-national TB program providers- private/non-governmental facilities; *includes only those with new and relapse TB-1</v>
      </c>
      <c r="E235" s="15" t="s">
        <v>5465</v>
      </c>
      <c r="F235" s="15" t="s">
        <v>3360</v>
      </c>
      <c r="G235" s="14" t="s">
        <v>5470</v>
      </c>
      <c r="H235" s="15" t="s">
        <v>5471</v>
      </c>
    </row>
    <row r="236" spans="1:8">
      <c r="A236" s="14" t="s">
        <v>1222</v>
      </c>
      <c r="B236" s="15" t="s">
        <v>1223</v>
      </c>
      <c r="C236" s="14">
        <f t="shared" si="10"/>
        <v>2</v>
      </c>
      <c r="D236" s="14" t="str">
        <f t="shared" si="11"/>
        <v>TBDT-3a Percentage of notified patients with all forms of TB (i.e., bacteriologically confirmed + clinically diagnosed) contributed by non-national TB program providers- private/non-governmental facilities; *includes only those with new and relapse TB-2</v>
      </c>
      <c r="E236" s="15" t="s">
        <v>5466</v>
      </c>
      <c r="F236" s="15" t="s">
        <v>5472</v>
      </c>
      <c r="G236" s="14" t="s">
        <v>5473</v>
      </c>
      <c r="H236" s="15" t="s">
        <v>5474</v>
      </c>
    </row>
    <row r="237" spans="1:8">
      <c r="A237" s="14" t="s">
        <v>1232</v>
      </c>
      <c r="B237" s="15" t="s">
        <v>1233</v>
      </c>
      <c r="C237" s="14">
        <f t="shared" si="10"/>
        <v>0</v>
      </c>
      <c r="D237" s="14" t="str">
        <f t="shared" si="11"/>
        <v>TBDT-4 Percentage of new and relapse TB patients tested using WHO recommended rapid diagnostic tests at the time of diagnosis-0</v>
      </c>
      <c r="E237" s="15" t="s">
        <v>1028</v>
      </c>
      <c r="F237" s="15" t="s">
        <v>3417</v>
      </c>
      <c r="G237" s="14" t="s">
        <v>3419</v>
      </c>
      <c r="H237" s="15" t="s">
        <v>3418</v>
      </c>
    </row>
    <row r="238" spans="1:8">
      <c r="A238" s="14" t="s">
        <v>1232</v>
      </c>
      <c r="B238" s="15" t="s">
        <v>1233</v>
      </c>
      <c r="C238" s="14">
        <f t="shared" si="10"/>
        <v>1</v>
      </c>
      <c r="D238" s="14" t="str">
        <f t="shared" si="11"/>
        <v>TBDT-4 Percentage of new and relapse TB patients tested using WHO recommended rapid diagnostic tests at the time of diagnosis-1</v>
      </c>
      <c r="E238" s="15" t="s">
        <v>1028</v>
      </c>
      <c r="F238" s="15" t="s">
        <v>3421</v>
      </c>
      <c r="G238" s="14" t="s">
        <v>3423</v>
      </c>
      <c r="H238" s="15" t="s">
        <v>3422</v>
      </c>
    </row>
    <row r="239" spans="1:8">
      <c r="A239" s="14" t="s">
        <v>1235</v>
      </c>
      <c r="B239" s="15" t="s">
        <v>1236</v>
      </c>
      <c r="C239" s="14">
        <f t="shared" si="10"/>
        <v>0</v>
      </c>
      <c r="D239" s="14" t="str">
        <f t="shared" si="11"/>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TB-0</v>
      </c>
      <c r="E239" s="15" t="s">
        <v>849</v>
      </c>
      <c r="F239" s="15" t="s">
        <v>3240</v>
      </c>
      <c r="G239" s="14" t="s">
        <v>3384</v>
      </c>
      <c r="H239" s="15" t="s">
        <v>3383</v>
      </c>
    </row>
    <row r="240" spans="1:8">
      <c r="A240" s="14" t="s">
        <v>1235</v>
      </c>
      <c r="B240" s="15" t="s">
        <v>1236</v>
      </c>
      <c r="C240" s="14">
        <f t="shared" si="10"/>
        <v>1</v>
      </c>
      <c r="D240" s="14" t="str">
        <f t="shared" si="11"/>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v>
      </c>
      <c r="E240" s="15" t="s">
        <v>1164</v>
      </c>
      <c r="F240" s="15" t="s">
        <v>3346</v>
      </c>
      <c r="G240" s="14" t="s">
        <v>3387</v>
      </c>
      <c r="H240" s="15" t="s">
        <v>3386</v>
      </c>
    </row>
    <row r="241" spans="1:8">
      <c r="A241" s="14" t="s">
        <v>1235</v>
      </c>
      <c r="B241" s="15" t="s">
        <v>1236</v>
      </c>
      <c r="C241" s="14">
        <f t="shared" si="10"/>
        <v>2</v>
      </c>
      <c r="D241" s="14" t="str">
        <f t="shared" si="11"/>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TB-2</v>
      </c>
      <c r="E241" s="15" t="s">
        <v>849</v>
      </c>
      <c r="F241" s="15" t="s">
        <v>3244</v>
      </c>
      <c r="G241" s="14" t="s">
        <v>3390</v>
      </c>
      <c r="H241" s="15" t="s">
        <v>3389</v>
      </c>
    </row>
    <row r="242" spans="1:8">
      <c r="A242" s="14" t="s">
        <v>1235</v>
      </c>
      <c r="B242" s="15" t="s">
        <v>1236</v>
      </c>
      <c r="C242" s="14">
        <f t="shared" si="10"/>
        <v>3</v>
      </c>
      <c r="D242" s="14" t="str">
        <f t="shared" si="11"/>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TB-3</v>
      </c>
      <c r="E242" s="15" t="s">
        <v>1192</v>
      </c>
      <c r="F242" s="15" t="s">
        <v>3193</v>
      </c>
      <c r="G242" s="14" t="s">
        <v>3393</v>
      </c>
      <c r="H242" s="15" t="s">
        <v>3392</v>
      </c>
    </row>
    <row r="243" spans="1:8">
      <c r="A243" s="14" t="s">
        <v>1235</v>
      </c>
      <c r="B243" s="15" t="s">
        <v>1236</v>
      </c>
      <c r="C243" s="14">
        <f t="shared" si="10"/>
        <v>4</v>
      </c>
      <c r="D243" s="14" t="str">
        <f t="shared" si="11"/>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TB-4</v>
      </c>
      <c r="E243" s="15" t="s">
        <v>1164</v>
      </c>
      <c r="F243" s="15" t="s">
        <v>3356</v>
      </c>
      <c r="G243" s="14" t="s">
        <v>3396</v>
      </c>
      <c r="H243" s="15" t="s">
        <v>3395</v>
      </c>
    </row>
    <row r="244" spans="1:8">
      <c r="A244" s="14" t="s">
        <v>1235</v>
      </c>
      <c r="B244" s="15" t="s">
        <v>1236</v>
      </c>
      <c r="C244" s="14">
        <f t="shared" si="10"/>
        <v>5</v>
      </c>
      <c r="D244" s="14" t="str">
        <f t="shared" si="11"/>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TB-5</v>
      </c>
      <c r="E244" s="15" t="s">
        <v>1192</v>
      </c>
      <c r="F244" s="15" t="s">
        <v>3197</v>
      </c>
      <c r="G244" s="14" t="s">
        <v>3399</v>
      </c>
      <c r="H244" s="15" t="s">
        <v>3398</v>
      </c>
    </row>
    <row r="245" spans="1:8">
      <c r="A245" s="14" t="s">
        <v>1235</v>
      </c>
      <c r="B245" s="15" t="s">
        <v>1236</v>
      </c>
      <c r="C245" s="14">
        <f t="shared" si="10"/>
        <v>6</v>
      </c>
      <c r="D245" s="14" t="str">
        <f t="shared" si="11"/>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TB-6</v>
      </c>
      <c r="E245" s="15" t="s">
        <v>1164</v>
      </c>
      <c r="F245" s="15" t="s">
        <v>3367</v>
      </c>
      <c r="G245" s="14" t="s">
        <v>3402</v>
      </c>
      <c r="H245" s="15" t="s">
        <v>3401</v>
      </c>
    </row>
    <row r="246" spans="1:8">
      <c r="A246" s="14" t="s">
        <v>1295</v>
      </c>
      <c r="B246" s="15" t="s">
        <v>1296</v>
      </c>
      <c r="C246" s="14">
        <f t="shared" si="10"/>
        <v>0</v>
      </c>
      <c r="D246" s="14" t="str">
        <f t="shared" si="11"/>
        <v>TB/HIV-3.1a Percentage of people living with HIV newly initiated on ART who were screened for TB-0</v>
      </c>
      <c r="E246" s="15" t="s">
        <v>849</v>
      </c>
      <c r="F246" s="15" t="s">
        <v>3240</v>
      </c>
      <c r="G246" s="14" t="s">
        <v>4286</v>
      </c>
      <c r="H246" s="15" t="s">
        <v>4285</v>
      </c>
    </row>
    <row r="247" spans="1:8">
      <c r="A247" s="14" t="s">
        <v>1295</v>
      </c>
      <c r="B247" s="15" t="s">
        <v>1296</v>
      </c>
      <c r="C247" s="14">
        <f t="shared" si="10"/>
        <v>1</v>
      </c>
      <c r="D247" s="14" t="str">
        <f t="shared" si="11"/>
        <v>TB/HIV-3.1a Percentage of people living with HIV newly initiated on ART who were screened for TB-1</v>
      </c>
      <c r="E247" s="15" t="s">
        <v>1192</v>
      </c>
      <c r="F247" s="15" t="s">
        <v>3193</v>
      </c>
      <c r="G247" s="14" t="s">
        <v>4289</v>
      </c>
      <c r="H247" s="15" t="s">
        <v>4288</v>
      </c>
    </row>
    <row r="248" spans="1:8">
      <c r="A248" s="14" t="s">
        <v>1295</v>
      </c>
      <c r="B248" s="15" t="s">
        <v>1296</v>
      </c>
      <c r="C248" s="14">
        <f t="shared" si="10"/>
        <v>2</v>
      </c>
      <c r="D248" s="14" t="str">
        <f t="shared" si="11"/>
        <v>TB/HIV-3.1a Percentage of people living with HIV newly initiated on ART who were screened for TB-2</v>
      </c>
      <c r="E248" s="15" t="s">
        <v>849</v>
      </c>
      <c r="F248" s="15" t="s">
        <v>3535</v>
      </c>
      <c r="G248" s="14" t="s">
        <v>4292</v>
      </c>
      <c r="H248" s="15" t="s">
        <v>4291</v>
      </c>
    </row>
    <row r="249" spans="1:8">
      <c r="A249" s="14" t="s">
        <v>1295</v>
      </c>
      <c r="B249" s="15" t="s">
        <v>1296</v>
      </c>
      <c r="C249" s="14">
        <f t="shared" si="10"/>
        <v>3</v>
      </c>
      <c r="D249" s="14" t="str">
        <f t="shared" si="11"/>
        <v>TB/HIV-3.1a Percentage of people living with HIV newly initiated on ART who were screened for TB-3</v>
      </c>
      <c r="E249" s="15" t="s">
        <v>849</v>
      </c>
      <c r="F249" s="15" t="s">
        <v>3547</v>
      </c>
      <c r="G249" s="14" t="s">
        <v>4295</v>
      </c>
      <c r="H249" s="15" t="s">
        <v>4294</v>
      </c>
    </row>
    <row r="250" spans="1:8">
      <c r="A250" s="14" t="s">
        <v>1295</v>
      </c>
      <c r="B250" s="15" t="s">
        <v>1296</v>
      </c>
      <c r="C250" s="14">
        <f t="shared" si="10"/>
        <v>4</v>
      </c>
      <c r="D250" s="14" t="str">
        <f t="shared" si="11"/>
        <v>TB/HIV-3.1a Percentage of people living with HIV newly initiated on ART who were screened for TB-4</v>
      </c>
      <c r="E250" s="15" t="s">
        <v>1192</v>
      </c>
      <c r="F250" s="15" t="s">
        <v>3197</v>
      </c>
      <c r="G250" s="14" t="s">
        <v>4298</v>
      </c>
      <c r="H250" s="15" t="s">
        <v>4297</v>
      </c>
    </row>
    <row r="251" spans="1:8">
      <c r="A251" s="14" t="s">
        <v>1298</v>
      </c>
      <c r="B251" s="15" t="s">
        <v>1299</v>
      </c>
      <c r="C251" s="14">
        <f t="shared" si="10"/>
        <v>0</v>
      </c>
      <c r="D251" s="14" t="str">
        <f t="shared" si="11"/>
        <v>TB/HIV-5 Percentage of registered new and relapse TB patients with documented HIV status-0</v>
      </c>
      <c r="E251" s="15" t="s">
        <v>849</v>
      </c>
      <c r="F251" s="15" t="s">
        <v>3240</v>
      </c>
      <c r="G251" s="14" t="s">
        <v>3605</v>
      </c>
      <c r="H251" s="15" t="s">
        <v>3604</v>
      </c>
    </row>
    <row r="252" spans="1:8">
      <c r="A252" s="14" t="s">
        <v>1298</v>
      </c>
      <c r="B252" s="15" t="s">
        <v>1299</v>
      </c>
      <c r="C252" s="14">
        <f t="shared" si="10"/>
        <v>1</v>
      </c>
      <c r="D252" s="14" t="str">
        <f t="shared" si="11"/>
        <v>TB/HIV-5 Percentage of registered new and relapse TB patients with documented HIV status-1</v>
      </c>
      <c r="E252" s="15" t="s">
        <v>1164</v>
      </c>
      <c r="F252" s="15" t="s">
        <v>3346</v>
      </c>
      <c r="G252" s="14" t="s">
        <v>3608</v>
      </c>
      <c r="H252" s="15" t="s">
        <v>3607</v>
      </c>
    </row>
    <row r="253" spans="1:8">
      <c r="A253" s="14" t="s">
        <v>1298</v>
      </c>
      <c r="B253" s="15" t="s">
        <v>1299</v>
      </c>
      <c r="C253" s="14">
        <f t="shared" si="10"/>
        <v>2</v>
      </c>
      <c r="D253" s="14" t="str">
        <f t="shared" si="11"/>
        <v>TB/HIV-5 Percentage of registered new and relapse TB patients with documented HIV status-2</v>
      </c>
      <c r="E253" s="15" t="s">
        <v>1192</v>
      </c>
      <c r="F253" s="15" t="s">
        <v>3193</v>
      </c>
      <c r="G253" s="14" t="s">
        <v>3611</v>
      </c>
      <c r="H253" s="15" t="s">
        <v>3610</v>
      </c>
    </row>
    <row r="254" spans="1:8">
      <c r="A254" s="14" t="s">
        <v>1298</v>
      </c>
      <c r="B254" s="15" t="s">
        <v>1299</v>
      </c>
      <c r="C254" s="14">
        <f t="shared" si="10"/>
        <v>3</v>
      </c>
      <c r="D254" s="14" t="str">
        <f t="shared" si="11"/>
        <v>TB/HIV-5 Percentage of registered new and relapse TB patients with documented HIV status-3</v>
      </c>
      <c r="E254" s="15" t="s">
        <v>1164</v>
      </c>
      <c r="F254" s="15" t="s">
        <v>3356</v>
      </c>
      <c r="G254" s="14" t="s">
        <v>3614</v>
      </c>
      <c r="H254" s="15" t="s">
        <v>3613</v>
      </c>
    </row>
    <row r="255" spans="1:8">
      <c r="A255" s="14" t="s">
        <v>1298</v>
      </c>
      <c r="B255" s="15" t="s">
        <v>1299</v>
      </c>
      <c r="C255" s="14">
        <f t="shared" si="10"/>
        <v>4</v>
      </c>
      <c r="D255" s="14" t="str">
        <f t="shared" si="11"/>
        <v>TB/HIV-5 Percentage of registered new and relapse TB patients with documented HIV status-4</v>
      </c>
      <c r="E255" s="15" t="s">
        <v>849</v>
      </c>
      <c r="F255" s="15" t="s">
        <v>3535</v>
      </c>
      <c r="G255" s="14" t="s">
        <v>3617</v>
      </c>
      <c r="H255" s="15" t="s">
        <v>3616</v>
      </c>
    </row>
    <row r="256" spans="1:8">
      <c r="A256" s="14" t="s">
        <v>1298</v>
      </c>
      <c r="B256" s="15" t="s">
        <v>1299</v>
      </c>
      <c r="C256" s="14">
        <f t="shared" si="10"/>
        <v>5</v>
      </c>
      <c r="D256" s="14" t="str">
        <f t="shared" si="11"/>
        <v>TB/HIV-5 Percentage of registered new and relapse TB patients with documented HIV status-5</v>
      </c>
      <c r="E256" s="15" t="s">
        <v>849</v>
      </c>
      <c r="F256" s="15" t="s">
        <v>3547</v>
      </c>
      <c r="G256" s="14" t="s">
        <v>3620</v>
      </c>
      <c r="H256" s="15" t="s">
        <v>3619</v>
      </c>
    </row>
    <row r="257" spans="1:8">
      <c r="A257" s="14" t="s">
        <v>1298</v>
      </c>
      <c r="B257" s="15" t="s">
        <v>1299</v>
      </c>
      <c r="C257" s="14">
        <f t="shared" si="10"/>
        <v>6</v>
      </c>
      <c r="D257" s="14" t="str">
        <f t="shared" si="11"/>
        <v>TB/HIV-5 Percentage of registered new and relapse TB patients with documented HIV status-6</v>
      </c>
      <c r="E257" s="15" t="s">
        <v>1164</v>
      </c>
      <c r="F257" s="15" t="s">
        <v>3367</v>
      </c>
      <c r="G257" s="14" t="s">
        <v>3623</v>
      </c>
      <c r="H257" s="15" t="s">
        <v>3622</v>
      </c>
    </row>
    <row r="258" spans="1:8">
      <c r="A258" s="14" t="s">
        <v>1298</v>
      </c>
      <c r="B258" s="15" t="s">
        <v>1299</v>
      </c>
      <c r="C258" s="14">
        <f t="shared" si="10"/>
        <v>7</v>
      </c>
      <c r="D258" s="14" t="str">
        <f t="shared" si="11"/>
        <v>TB/HIV-5 Percentage of registered new and relapse TB patients with documented HIV status-7</v>
      </c>
      <c r="E258" s="15" t="s">
        <v>1192</v>
      </c>
      <c r="F258" s="15" t="s">
        <v>3197</v>
      </c>
      <c r="G258" s="14" t="s">
        <v>3626</v>
      </c>
      <c r="H258" s="15" t="s">
        <v>3625</v>
      </c>
    </row>
    <row r="259" spans="1:8">
      <c r="A259" s="14" t="s">
        <v>1302</v>
      </c>
      <c r="B259" s="15" t="s">
        <v>1303</v>
      </c>
      <c r="C259" s="14">
        <f t="shared" si="10"/>
        <v>0</v>
      </c>
      <c r="D259" s="14" t="str">
        <f t="shared" si="11"/>
        <v>TB/HIV-6 Percentage of HIV-positive new and relapse TB patients on ART during TB treatment-0</v>
      </c>
      <c r="E259" s="15" t="s">
        <v>849</v>
      </c>
      <c r="F259" s="15" t="s">
        <v>3240</v>
      </c>
      <c r="G259" s="14" t="s">
        <v>3641</v>
      </c>
      <c r="H259" s="15" t="s">
        <v>3640</v>
      </c>
    </row>
    <row r="260" spans="1:8">
      <c r="A260" s="14" t="s">
        <v>1302</v>
      </c>
      <c r="B260" s="15" t="s">
        <v>1303</v>
      </c>
      <c r="C260" s="14">
        <f t="shared" si="10"/>
        <v>1</v>
      </c>
      <c r="D260" s="14" t="str">
        <f t="shared" si="11"/>
        <v>TB/HIV-6 Percentage of HIV-positive new and relapse TB patients on ART during TB treatment-1</v>
      </c>
      <c r="E260" s="15" t="s">
        <v>1192</v>
      </c>
      <c r="F260" s="15" t="s">
        <v>3193</v>
      </c>
      <c r="G260" s="14" t="s">
        <v>3644</v>
      </c>
      <c r="H260" s="15" t="s">
        <v>3643</v>
      </c>
    </row>
    <row r="261" spans="1:8">
      <c r="A261" s="14" t="s">
        <v>1302</v>
      </c>
      <c r="B261" s="15" t="s">
        <v>1303</v>
      </c>
      <c r="C261" s="14">
        <f t="shared" si="10"/>
        <v>2</v>
      </c>
      <c r="D261" s="14" t="str">
        <f t="shared" si="11"/>
        <v>TB/HIV-6 Percentage of HIV-positive new and relapse TB patients on ART during TB treatment-2</v>
      </c>
      <c r="E261" s="15" t="s">
        <v>849</v>
      </c>
      <c r="F261" s="15" t="s">
        <v>3535</v>
      </c>
      <c r="G261" s="14" t="s">
        <v>3647</v>
      </c>
      <c r="H261" s="15" t="s">
        <v>3646</v>
      </c>
    </row>
    <row r="262" spans="1:8">
      <c r="A262" s="14" t="s">
        <v>1302</v>
      </c>
      <c r="B262" s="15" t="s">
        <v>1303</v>
      </c>
      <c r="C262" s="14">
        <f t="shared" si="10"/>
        <v>3</v>
      </c>
      <c r="D262" s="14" t="str">
        <f t="shared" si="11"/>
        <v>TB/HIV-6 Percentage of HIV-positive new and relapse TB patients on ART during TB treatment-3</v>
      </c>
      <c r="E262" s="15" t="s">
        <v>849</v>
      </c>
      <c r="F262" s="15" t="s">
        <v>3547</v>
      </c>
      <c r="G262" s="14" t="s">
        <v>3650</v>
      </c>
      <c r="H262" s="15" t="s">
        <v>3649</v>
      </c>
    </row>
    <row r="263" spans="1:8">
      <c r="A263" s="14" t="s">
        <v>1302</v>
      </c>
      <c r="B263" s="15" t="s">
        <v>1303</v>
      </c>
      <c r="C263" s="14">
        <f t="shared" si="10"/>
        <v>4</v>
      </c>
      <c r="D263" s="14" t="str">
        <f t="shared" si="11"/>
        <v>TB/HIV-6 Percentage of HIV-positive new and relapse TB patients on ART during TB treatment-4</v>
      </c>
      <c r="E263" s="15" t="s">
        <v>1192</v>
      </c>
      <c r="F263" s="15" t="s">
        <v>3197</v>
      </c>
      <c r="G263" s="14" t="s">
        <v>3653</v>
      </c>
      <c r="H263" s="15" t="s">
        <v>3652</v>
      </c>
    </row>
    <row r="264" spans="1:8">
      <c r="A264" s="14" t="s">
        <v>1305</v>
      </c>
      <c r="B264" s="15" t="s">
        <v>1306</v>
      </c>
      <c r="C264" s="14">
        <f t="shared" si="10"/>
        <v>0</v>
      </c>
      <c r="D264" s="14" t="str">
        <f t="shared" si="11"/>
        <v>TB/HIV-7.1 Percentage of people living with HIV currently enrolled on antiretroviral therapy who started TB preventive treatment (TPT) during the reporting period-0</v>
      </c>
      <c r="E264" s="15" t="s">
        <v>849</v>
      </c>
      <c r="F264" s="15" t="s">
        <v>3240</v>
      </c>
      <c r="G264" s="14" t="s">
        <v>4301</v>
      </c>
      <c r="H264" s="15" t="s">
        <v>4300</v>
      </c>
    </row>
    <row r="265" spans="1:8">
      <c r="A265" s="14" t="s">
        <v>1305</v>
      </c>
      <c r="B265" s="15" t="s">
        <v>1306</v>
      </c>
      <c r="C265" s="14">
        <f t="shared" si="10"/>
        <v>1</v>
      </c>
      <c r="D265" s="14" t="str">
        <f t="shared" si="11"/>
        <v>TB/HIV-7.1 Percentage of people living with HIV currently enrolled on antiretroviral therapy who started TB preventive treatment (TPT) during the reporting period-1</v>
      </c>
      <c r="E265" s="15" t="s">
        <v>5475</v>
      </c>
      <c r="F265" s="15" t="s">
        <v>3514</v>
      </c>
      <c r="G265" s="14" t="s">
        <v>4304</v>
      </c>
      <c r="H265" s="15" t="s">
        <v>4303</v>
      </c>
    </row>
    <row r="266" spans="1:8">
      <c r="A266" s="14" t="s">
        <v>1305</v>
      </c>
      <c r="B266" s="15" t="s">
        <v>1306</v>
      </c>
      <c r="C266" s="14">
        <f t="shared" si="10"/>
        <v>2</v>
      </c>
      <c r="D266" s="14" t="str">
        <f t="shared" si="11"/>
        <v>TB/HIV-7.1 Percentage of people living with HIV currently enrolled on antiretroviral therapy who started TB preventive treatment (TPT) during the reporting period-2</v>
      </c>
      <c r="E266" s="15" t="s">
        <v>5475</v>
      </c>
      <c r="F266" s="15" t="s">
        <v>3518</v>
      </c>
      <c r="G266" s="14" t="s">
        <v>4307</v>
      </c>
      <c r="H266" s="15" t="s">
        <v>4306</v>
      </c>
    </row>
    <row r="267" spans="1:8">
      <c r="A267" s="14" t="s">
        <v>1305</v>
      </c>
      <c r="B267" s="15" t="s">
        <v>1306</v>
      </c>
      <c r="C267" s="14">
        <f t="shared" si="10"/>
        <v>3</v>
      </c>
      <c r="D267" s="14" t="str">
        <f t="shared" si="11"/>
        <v>TB/HIV-7.1 Percentage of people living with HIV currently enrolled on antiretroviral therapy who started TB preventive treatment (TPT) during the reporting period-3</v>
      </c>
      <c r="E267" s="15" t="s">
        <v>5475</v>
      </c>
      <c r="F267" s="15" t="s">
        <v>3522</v>
      </c>
      <c r="G267" s="14" t="s">
        <v>4310</v>
      </c>
      <c r="H267" s="15" t="s">
        <v>4309</v>
      </c>
    </row>
    <row r="268" spans="1:8">
      <c r="A268" s="14" t="s">
        <v>1305</v>
      </c>
      <c r="B268" s="15" t="s">
        <v>1306</v>
      </c>
      <c r="C268" s="14">
        <f t="shared" si="10"/>
        <v>4</v>
      </c>
      <c r="D268" s="14" t="str">
        <f t="shared" si="11"/>
        <v>TB/HIV-7.1 Percentage of people living with HIV currently enrolled on antiretroviral therapy who started TB preventive treatment (TPT) during the reporting period-4</v>
      </c>
      <c r="E268" s="15" t="s">
        <v>1192</v>
      </c>
      <c r="F268" s="15" t="s">
        <v>3193</v>
      </c>
      <c r="G268" s="14" t="s">
        <v>4313</v>
      </c>
      <c r="H268" s="15" t="s">
        <v>4312</v>
      </c>
    </row>
    <row r="269" spans="1:8">
      <c r="A269" s="14" t="s">
        <v>1305</v>
      </c>
      <c r="B269" s="15" t="s">
        <v>1306</v>
      </c>
      <c r="C269" s="14">
        <f t="shared" si="10"/>
        <v>5</v>
      </c>
      <c r="D269" s="14" t="str">
        <f t="shared" si="11"/>
        <v>TB/HIV-7.1 Percentage of people living with HIV currently enrolled on antiretroviral therapy who started TB preventive treatment (TPT) during the reporting period-5</v>
      </c>
      <c r="E269" s="15" t="s">
        <v>849</v>
      </c>
      <c r="F269" s="15" t="s">
        <v>3535</v>
      </c>
      <c r="G269" s="14" t="s">
        <v>4316</v>
      </c>
      <c r="H269" s="15" t="s">
        <v>4315</v>
      </c>
    </row>
    <row r="270" spans="1:8">
      <c r="A270" s="14" t="s">
        <v>1305</v>
      </c>
      <c r="B270" s="15" t="s">
        <v>1306</v>
      </c>
      <c r="C270" s="14">
        <f t="shared" si="10"/>
        <v>6</v>
      </c>
      <c r="D270" s="14" t="str">
        <f t="shared" si="11"/>
        <v>TB/HIV-7.1 Percentage of people living with HIV currently enrolled on antiretroviral therapy who started TB preventive treatment (TPT) during the reporting period-6</v>
      </c>
      <c r="E270" s="15" t="s">
        <v>5475</v>
      </c>
      <c r="F270" s="15" t="s">
        <v>3539</v>
      </c>
      <c r="G270" s="14" t="s">
        <v>4319</v>
      </c>
      <c r="H270" s="15" t="s">
        <v>4318</v>
      </c>
    </row>
    <row r="271" spans="1:8">
      <c r="A271" s="14" t="s">
        <v>1305</v>
      </c>
      <c r="B271" s="15" t="s">
        <v>1306</v>
      </c>
      <c r="C271" s="14">
        <f t="shared" si="10"/>
        <v>7</v>
      </c>
      <c r="D271" s="14" t="str">
        <f t="shared" si="11"/>
        <v>TB/HIV-7.1 Percentage of people living with HIV currently enrolled on antiretroviral therapy who started TB preventive treatment (TPT) during the reporting period-7</v>
      </c>
      <c r="E271" s="15" t="s">
        <v>849</v>
      </c>
      <c r="F271" s="15" t="s">
        <v>3547</v>
      </c>
      <c r="G271" s="14" t="s">
        <v>4322</v>
      </c>
      <c r="H271" s="15" t="s">
        <v>4321</v>
      </c>
    </row>
    <row r="272" spans="1:8">
      <c r="A272" s="14" t="s">
        <v>1305</v>
      </c>
      <c r="B272" s="15" t="s">
        <v>1306</v>
      </c>
      <c r="C272" s="14">
        <f t="shared" si="10"/>
        <v>8</v>
      </c>
      <c r="D272" s="14" t="str">
        <f t="shared" si="11"/>
        <v>TB/HIV-7.1 Percentage of people living with HIV currently enrolled on antiretroviral therapy who started TB preventive treatment (TPT) during the reporting period-8</v>
      </c>
      <c r="E272" s="15" t="s">
        <v>5475</v>
      </c>
      <c r="F272" s="15" t="s">
        <v>3543</v>
      </c>
      <c r="G272" s="14" t="s">
        <v>4325</v>
      </c>
      <c r="H272" s="15" t="s">
        <v>4324</v>
      </c>
    </row>
    <row r="273" spans="1:8">
      <c r="A273" s="14" t="s">
        <v>1305</v>
      </c>
      <c r="B273" s="15" t="s">
        <v>1306</v>
      </c>
      <c r="C273" s="14">
        <f t="shared" si="10"/>
        <v>9</v>
      </c>
      <c r="D273" s="14" t="str">
        <f t="shared" si="11"/>
        <v>TB/HIV-7.1 Percentage of people living with HIV currently enrolled on antiretroviral therapy who started TB preventive treatment (TPT) during the reporting period-9</v>
      </c>
      <c r="E273" s="15" t="s">
        <v>1192</v>
      </c>
      <c r="F273" s="15" t="s">
        <v>3197</v>
      </c>
      <c r="G273" s="14" t="s">
        <v>4328</v>
      </c>
      <c r="H273" s="15" t="s">
        <v>4327</v>
      </c>
    </row>
    <row r="274" spans="1:8">
      <c r="A274" s="14" t="s">
        <v>1239</v>
      </c>
      <c r="B274" s="15" t="s">
        <v>1240</v>
      </c>
      <c r="C274" s="14">
        <f t="shared" si="10"/>
        <v>0</v>
      </c>
      <c r="D274" s="14" t="str">
        <f t="shared" si="11"/>
        <v>DRTB-2 Number of people with confirmed RR-TB and/or MDR-TB notified-0</v>
      </c>
      <c r="E274" s="15" t="s">
        <v>849</v>
      </c>
      <c r="F274" s="15" t="s">
        <v>3240</v>
      </c>
      <c r="G274" s="14" t="s">
        <v>3444</v>
      </c>
      <c r="H274" s="15" t="s">
        <v>3443</v>
      </c>
    </row>
    <row r="275" spans="1:8">
      <c r="A275" s="14" t="s">
        <v>1239</v>
      </c>
      <c r="B275" s="15" t="s">
        <v>1240</v>
      </c>
      <c r="C275" s="14">
        <f t="shared" si="10"/>
        <v>1</v>
      </c>
      <c r="D275" s="14" t="str">
        <f t="shared" si="11"/>
        <v>DRTB-2 Number of people with confirmed RR-TB and/or MDR-TB notified-1</v>
      </c>
      <c r="E275" s="15" t="s">
        <v>1164</v>
      </c>
      <c r="F275" s="15" t="s">
        <v>3346</v>
      </c>
      <c r="G275" s="14" t="s">
        <v>3447</v>
      </c>
      <c r="H275" s="15" t="s">
        <v>3446</v>
      </c>
    </row>
    <row r="276" spans="1:8">
      <c r="A276" s="14" t="s">
        <v>1239</v>
      </c>
      <c r="B276" s="15" t="s">
        <v>1240</v>
      </c>
      <c r="C276" s="14">
        <f t="shared" si="10"/>
        <v>2</v>
      </c>
      <c r="D276" s="14" t="str">
        <f t="shared" si="11"/>
        <v>DRTB-2 Number of people with confirmed RR-TB and/or MDR-TB notified-2</v>
      </c>
      <c r="E276" s="15" t="s">
        <v>849</v>
      </c>
      <c r="F276" s="15" t="s">
        <v>3244</v>
      </c>
      <c r="G276" s="14" t="s">
        <v>3450</v>
      </c>
      <c r="H276" s="15" t="s">
        <v>3449</v>
      </c>
    </row>
    <row r="277" spans="1:8">
      <c r="A277" s="14" t="s">
        <v>1239</v>
      </c>
      <c r="B277" s="15" t="s">
        <v>1240</v>
      </c>
      <c r="C277" s="14">
        <f t="shared" si="10"/>
        <v>3</v>
      </c>
      <c r="D277" s="14" t="str">
        <f t="shared" si="11"/>
        <v>DRTB-2 Number of people with confirmed RR-TB and/or MDR-TB notified-3</v>
      </c>
      <c r="E277" s="15" t="s">
        <v>1192</v>
      </c>
      <c r="F277" s="15" t="s">
        <v>3193</v>
      </c>
      <c r="G277" s="14" t="s">
        <v>3453</v>
      </c>
      <c r="H277" s="15" t="s">
        <v>3452</v>
      </c>
    </row>
    <row r="278" spans="1:8">
      <c r="A278" s="14" t="s">
        <v>1239</v>
      </c>
      <c r="B278" s="15" t="s">
        <v>1240</v>
      </c>
      <c r="C278" s="14">
        <f t="shared" si="10"/>
        <v>4</v>
      </c>
      <c r="D278" s="14" t="str">
        <f t="shared" si="11"/>
        <v>DRTB-2 Number of people with confirmed RR-TB and/or MDR-TB notified-4</v>
      </c>
      <c r="E278" s="15" t="s">
        <v>1164</v>
      </c>
      <c r="F278" s="15" t="s">
        <v>3356</v>
      </c>
      <c r="G278" s="14" t="s">
        <v>3456</v>
      </c>
      <c r="H278" s="15" t="s">
        <v>3455</v>
      </c>
    </row>
    <row r="279" spans="1:8">
      <c r="A279" s="14" t="s">
        <v>1239</v>
      </c>
      <c r="B279" s="15" t="s">
        <v>1240</v>
      </c>
      <c r="C279" s="14">
        <f t="shared" si="10"/>
        <v>5</v>
      </c>
      <c r="D279" s="14" t="str">
        <f t="shared" si="11"/>
        <v>DRTB-2 Number of people with confirmed RR-TB and/or MDR-TB notified-5</v>
      </c>
      <c r="E279" s="15" t="s">
        <v>1192</v>
      </c>
      <c r="F279" s="15" t="s">
        <v>3197</v>
      </c>
      <c r="G279" s="14" t="s">
        <v>3459</v>
      </c>
      <c r="H279" s="15" t="s">
        <v>3458</v>
      </c>
    </row>
    <row r="280" spans="1:8">
      <c r="A280" s="14" t="s">
        <v>1239</v>
      </c>
      <c r="B280" s="15" t="s">
        <v>1240</v>
      </c>
      <c r="C280" s="14">
        <f t="shared" si="10"/>
        <v>6</v>
      </c>
      <c r="D280" s="14" t="str">
        <f t="shared" si="11"/>
        <v>DRTB-2 Number of people with confirmed RR-TB and/or MDR-TB notified-6</v>
      </c>
      <c r="E280" s="15" t="s">
        <v>1164</v>
      </c>
      <c r="F280" s="15" t="s">
        <v>3367</v>
      </c>
      <c r="G280" s="14" t="s">
        <v>3462</v>
      </c>
      <c r="H280" s="15" t="s">
        <v>3461</v>
      </c>
    </row>
    <row r="281" spans="1:8">
      <c r="A281" s="14" t="s">
        <v>1242</v>
      </c>
      <c r="B281" s="15" t="s">
        <v>1243</v>
      </c>
      <c r="C281" s="14">
        <f t="shared" si="10"/>
        <v>0</v>
      </c>
      <c r="D281" s="14" t="str">
        <f t="shared" si="11"/>
        <v>DRTB-3 Percentage of people with confirmed RR-TB and/or MDR-TB that began second-line treatment-0</v>
      </c>
      <c r="E281" s="15" t="s">
        <v>849</v>
      </c>
      <c r="F281" s="15" t="s">
        <v>3240</v>
      </c>
      <c r="G281" s="14" t="s">
        <v>3478</v>
      </c>
      <c r="H281" s="15" t="s">
        <v>3477</v>
      </c>
    </row>
    <row r="282" spans="1:8">
      <c r="A282" s="14" t="s">
        <v>1242</v>
      </c>
      <c r="B282" s="15" t="s">
        <v>1243</v>
      </c>
      <c r="C282" s="14">
        <f t="shared" si="10"/>
        <v>1</v>
      </c>
      <c r="D282" s="14" t="str">
        <f t="shared" si="11"/>
        <v>DRTB-3 Percentage of people with confirmed RR-TB and/or MDR-TB that began second-line treatment-1</v>
      </c>
      <c r="E282" s="15" t="s">
        <v>849</v>
      </c>
      <c r="F282" s="15" t="s">
        <v>3244</v>
      </c>
      <c r="G282" s="14" t="s">
        <v>3481</v>
      </c>
      <c r="H282" s="15" t="s">
        <v>3480</v>
      </c>
    </row>
    <row r="283" spans="1:8">
      <c r="A283" s="14" t="s">
        <v>1242</v>
      </c>
      <c r="B283" s="15" t="s">
        <v>1243</v>
      </c>
      <c r="C283" s="14">
        <f t="shared" si="10"/>
        <v>2</v>
      </c>
      <c r="D283" s="14" t="str">
        <f t="shared" si="11"/>
        <v>DRTB-3 Percentage of people with confirmed RR-TB and/or MDR-TB that began second-line treatment-2</v>
      </c>
      <c r="E283" s="15" t="s">
        <v>1192</v>
      </c>
      <c r="F283" s="15" t="s">
        <v>3193</v>
      </c>
      <c r="G283" s="14" t="s">
        <v>3484</v>
      </c>
      <c r="H283" s="15" t="s">
        <v>3483</v>
      </c>
    </row>
    <row r="284" spans="1:8">
      <c r="A284" s="14" t="s">
        <v>1242</v>
      </c>
      <c r="B284" s="15" t="s">
        <v>1243</v>
      </c>
      <c r="C284" s="14">
        <f t="shared" si="10"/>
        <v>3</v>
      </c>
      <c r="D284" s="14" t="str">
        <f t="shared" si="11"/>
        <v>DRTB-3 Percentage of people with confirmed RR-TB and/or MDR-TB that began second-line treatment-3</v>
      </c>
      <c r="E284" s="15" t="s">
        <v>5476</v>
      </c>
      <c r="F284" s="15" t="s">
        <v>3486</v>
      </c>
      <c r="G284" s="14" t="s">
        <v>3488</v>
      </c>
      <c r="H284" s="15" t="s">
        <v>3487</v>
      </c>
    </row>
    <row r="285" spans="1:8">
      <c r="A285" s="14" t="s">
        <v>1242</v>
      </c>
      <c r="B285" s="15" t="s">
        <v>1243</v>
      </c>
      <c r="C285" s="14">
        <f t="shared" ref="C285:C348" si="12">IF(B285=B284,C284+1,0)</f>
        <v>4</v>
      </c>
      <c r="D285" s="14" t="str">
        <f t="shared" ref="D285:D348" si="13">B285&amp;"-"&amp;C285</f>
        <v>DRTB-3 Percentage of people with confirmed RR-TB and/or MDR-TB that began second-line treatment-4</v>
      </c>
      <c r="E285" s="15" t="s">
        <v>1192</v>
      </c>
      <c r="F285" s="15" t="s">
        <v>3197</v>
      </c>
      <c r="G285" s="14" t="s">
        <v>3491</v>
      </c>
      <c r="H285" s="15" t="s">
        <v>3490</v>
      </c>
    </row>
    <row r="286" spans="1:8">
      <c r="A286" s="14" t="s">
        <v>1242</v>
      </c>
      <c r="B286" s="15" t="s">
        <v>1243</v>
      </c>
      <c r="C286" s="14">
        <f t="shared" si="12"/>
        <v>5</v>
      </c>
      <c r="D286" s="14" t="str">
        <f t="shared" si="13"/>
        <v>DRTB-3 Percentage of people with confirmed RR-TB and/or MDR-TB that began second-line treatment-5</v>
      </c>
      <c r="E286" s="15" t="s">
        <v>5476</v>
      </c>
      <c r="F286" s="15" t="s">
        <v>3493</v>
      </c>
      <c r="G286" s="14" t="s">
        <v>3495</v>
      </c>
      <c r="H286" s="15" t="s">
        <v>3494</v>
      </c>
    </row>
    <row r="287" spans="1:8">
      <c r="A287" s="14" t="s">
        <v>1268</v>
      </c>
      <c r="B287" s="15" t="s">
        <v>1269</v>
      </c>
      <c r="C287" s="14">
        <f t="shared" si="12"/>
        <v>0</v>
      </c>
      <c r="D287" s="14" t="str">
        <f t="shared" si="13"/>
        <v>DRTB-9 Treatment success rate of RR-TB and/or MDR-TB: Percentage of patients with RR and/or MDR-TB successfully treated-0</v>
      </c>
      <c r="E287" s="15" t="s">
        <v>849</v>
      </c>
      <c r="F287" s="15" t="s">
        <v>3240</v>
      </c>
      <c r="G287" s="14" t="s">
        <v>3671</v>
      </c>
      <c r="H287" s="15" t="s">
        <v>3670</v>
      </c>
    </row>
    <row r="288" spans="1:8">
      <c r="A288" s="14" t="s">
        <v>1268</v>
      </c>
      <c r="B288" s="15" t="s">
        <v>1269</v>
      </c>
      <c r="C288" s="14">
        <f t="shared" si="12"/>
        <v>1</v>
      </c>
      <c r="D288" s="14" t="str">
        <f t="shared" si="13"/>
        <v>DRTB-9 Treatment success rate of RR-TB and/or MDR-TB: Percentage of patients with RR and/or MDR-TB successfully treated-1</v>
      </c>
      <c r="E288" s="15" t="s">
        <v>849</v>
      </c>
      <c r="F288" s="15" t="s">
        <v>3244</v>
      </c>
      <c r="G288" s="14" t="s">
        <v>3674</v>
      </c>
      <c r="H288" s="15" t="s">
        <v>3673</v>
      </c>
    </row>
    <row r="289" spans="1:8">
      <c r="A289" s="14" t="s">
        <v>1268</v>
      </c>
      <c r="B289" s="15" t="s">
        <v>1269</v>
      </c>
      <c r="C289" s="14">
        <f t="shared" si="12"/>
        <v>2</v>
      </c>
      <c r="D289" s="14" t="str">
        <f t="shared" si="13"/>
        <v>DRTB-9 Treatment success rate of RR-TB and/or MDR-TB: Percentage of patients with RR and/or MDR-TB successfully treated-2</v>
      </c>
      <c r="E289" s="15" t="s">
        <v>1164</v>
      </c>
      <c r="F289" s="15" t="s">
        <v>3346</v>
      </c>
      <c r="G289" s="14" t="s">
        <v>3677</v>
      </c>
      <c r="H289" s="15" t="s">
        <v>3676</v>
      </c>
    </row>
    <row r="290" spans="1:8">
      <c r="A290" s="14" t="s">
        <v>1268</v>
      </c>
      <c r="B290" s="15" t="s">
        <v>1269</v>
      </c>
      <c r="C290" s="14">
        <f t="shared" si="12"/>
        <v>3</v>
      </c>
      <c r="D290" s="14" t="str">
        <f t="shared" si="13"/>
        <v>DRTB-9 Treatment success rate of RR-TB and/or MDR-TB: Percentage of patients with RR and/or MDR-TB successfully treated-3</v>
      </c>
      <c r="E290" s="15" t="s">
        <v>5476</v>
      </c>
      <c r="F290" s="15" t="s">
        <v>3486</v>
      </c>
      <c r="G290" s="14" t="s">
        <v>3680</v>
      </c>
      <c r="H290" s="15" t="s">
        <v>3679</v>
      </c>
    </row>
    <row r="291" spans="1:8">
      <c r="A291" s="14" t="s">
        <v>1268</v>
      </c>
      <c r="B291" s="15" t="s">
        <v>1269</v>
      </c>
      <c r="C291" s="14">
        <f t="shared" si="12"/>
        <v>4</v>
      </c>
      <c r="D291" s="14" t="str">
        <f t="shared" si="13"/>
        <v>DRTB-9 Treatment success rate of RR-TB and/or MDR-TB: Percentage of patients with RR and/or MDR-TB successfully treated-4</v>
      </c>
      <c r="E291" s="15" t="s">
        <v>1164</v>
      </c>
      <c r="F291" s="15" t="s">
        <v>3356</v>
      </c>
      <c r="G291" s="14" t="s">
        <v>3683</v>
      </c>
      <c r="H291" s="15" t="s">
        <v>3682</v>
      </c>
    </row>
    <row r="292" spans="1:8">
      <c r="A292" s="14" t="s">
        <v>1268</v>
      </c>
      <c r="B292" s="15" t="s">
        <v>1269</v>
      </c>
      <c r="C292" s="14">
        <f t="shared" si="12"/>
        <v>5</v>
      </c>
      <c r="D292" s="14" t="str">
        <f t="shared" si="13"/>
        <v>DRTB-9 Treatment success rate of RR-TB and/or MDR-TB: Percentage of patients with RR and/or MDR-TB successfully treated-5</v>
      </c>
      <c r="E292" s="15" t="s">
        <v>1192</v>
      </c>
      <c r="F292" s="15" t="s">
        <v>3193</v>
      </c>
      <c r="G292" s="14" t="s">
        <v>3686</v>
      </c>
      <c r="H292" s="15" t="s">
        <v>3685</v>
      </c>
    </row>
    <row r="293" spans="1:8">
      <c r="A293" s="14" t="s">
        <v>1268</v>
      </c>
      <c r="B293" s="15" t="s">
        <v>1269</v>
      </c>
      <c r="C293" s="14">
        <f t="shared" si="12"/>
        <v>6</v>
      </c>
      <c r="D293" s="14" t="str">
        <f t="shared" si="13"/>
        <v>DRTB-9 Treatment success rate of RR-TB and/or MDR-TB: Percentage of patients with RR and/or MDR-TB successfully treated-6</v>
      </c>
      <c r="E293" s="15" t="s">
        <v>1028</v>
      </c>
      <c r="F293" s="15" t="s">
        <v>3417</v>
      </c>
      <c r="G293" s="14" t="s">
        <v>3689</v>
      </c>
      <c r="H293" s="15" t="s">
        <v>3688</v>
      </c>
    </row>
    <row r="294" spans="1:8">
      <c r="A294" s="14" t="s">
        <v>1268</v>
      </c>
      <c r="B294" s="15" t="s">
        <v>1269</v>
      </c>
      <c r="C294" s="14">
        <f t="shared" si="12"/>
        <v>7</v>
      </c>
      <c r="D294" s="14" t="str">
        <f t="shared" si="13"/>
        <v>DRTB-9 Treatment success rate of RR-TB and/or MDR-TB: Percentage of patients with RR and/or MDR-TB successfully treated-7</v>
      </c>
      <c r="E294" s="15" t="s">
        <v>1028</v>
      </c>
      <c r="F294" s="15" t="s">
        <v>3421</v>
      </c>
      <c r="G294" s="14" t="s">
        <v>3692</v>
      </c>
      <c r="H294" s="15" t="s">
        <v>3691</v>
      </c>
    </row>
    <row r="295" spans="1:8">
      <c r="A295" s="14" t="s">
        <v>1268</v>
      </c>
      <c r="B295" s="15" t="s">
        <v>1269</v>
      </c>
      <c r="C295" s="14">
        <f t="shared" si="12"/>
        <v>8</v>
      </c>
      <c r="D295" s="14" t="str">
        <f t="shared" si="13"/>
        <v>DRTB-9 Treatment success rate of RR-TB and/or MDR-TB: Percentage of patients with RR and/or MDR-TB successfully treated-8</v>
      </c>
      <c r="E295" s="15" t="s">
        <v>1192</v>
      </c>
      <c r="F295" s="15" t="s">
        <v>3197</v>
      </c>
      <c r="G295" s="14" t="s">
        <v>3695</v>
      </c>
      <c r="H295" s="15" t="s">
        <v>3694</v>
      </c>
    </row>
    <row r="296" spans="1:8">
      <c r="A296" s="14" t="s">
        <v>1268</v>
      </c>
      <c r="B296" s="15" t="s">
        <v>1269</v>
      </c>
      <c r="C296" s="14">
        <f t="shared" si="12"/>
        <v>9</v>
      </c>
      <c r="D296" s="14" t="str">
        <f t="shared" si="13"/>
        <v>DRTB-9 Treatment success rate of RR-TB and/or MDR-TB: Percentage of patients with RR and/or MDR-TB successfully treated-9</v>
      </c>
      <c r="E296" s="15" t="s">
        <v>5476</v>
      </c>
      <c r="F296" s="15" t="s">
        <v>3493</v>
      </c>
      <c r="G296" s="14" t="s">
        <v>3698</v>
      </c>
      <c r="H296" s="15" t="s">
        <v>3697</v>
      </c>
    </row>
    <row r="297" spans="1:8">
      <c r="A297" s="14" t="s">
        <v>1268</v>
      </c>
      <c r="B297" s="15" t="s">
        <v>1269</v>
      </c>
      <c r="C297" s="14">
        <f t="shared" si="12"/>
        <v>10</v>
      </c>
      <c r="D297" s="14" t="str">
        <f t="shared" si="13"/>
        <v>DRTB-9 Treatment success rate of RR-TB and/or MDR-TB: Percentage of patients with RR and/or MDR-TB successfully treated-10</v>
      </c>
      <c r="E297" s="15" t="s">
        <v>1164</v>
      </c>
      <c r="F297" s="15" t="s">
        <v>3367</v>
      </c>
      <c r="G297" s="14" t="s">
        <v>3701</v>
      </c>
      <c r="H297" s="15" t="s">
        <v>3700</v>
      </c>
    </row>
    <row r="298" spans="1:8">
      <c r="A298" s="14" t="s">
        <v>1272</v>
      </c>
      <c r="B298" s="15" t="s">
        <v>1273</v>
      </c>
      <c r="C298" s="14">
        <f t="shared" si="12"/>
        <v>0</v>
      </c>
      <c r="D298" s="14" t="str">
        <f t="shared" si="13"/>
        <v>DRTB-10 Treatment Success Rate (TSR) for pre-XDR/XDR-TB: Percentage of bacteriologically confirmed pre-XDR/XDR-TB patients enrolled on treatment successfully treated-0</v>
      </c>
      <c r="E298" s="15" t="s">
        <v>849</v>
      </c>
      <c r="F298" s="15" t="s">
        <v>3240</v>
      </c>
      <c r="G298" s="14" t="s">
        <v>5477</v>
      </c>
      <c r="H298" s="15" t="s">
        <v>5478</v>
      </c>
    </row>
    <row r="299" spans="1:8">
      <c r="A299" s="14" t="s">
        <v>1272</v>
      </c>
      <c r="B299" s="15" t="s">
        <v>1273</v>
      </c>
      <c r="C299" s="14">
        <f t="shared" si="12"/>
        <v>1</v>
      </c>
      <c r="D299" s="14" t="str">
        <f t="shared" si="13"/>
        <v>DRTB-10 Treatment Success Rate (TSR) for pre-XDR/XDR-TB: Percentage of bacteriologically confirmed pre-XDR/XDR-TB patients enrolled on treatment successfully treated-1</v>
      </c>
      <c r="E299" s="15" t="s">
        <v>1164</v>
      </c>
      <c r="F299" s="15" t="s">
        <v>3346</v>
      </c>
      <c r="G299" s="14" t="s">
        <v>5479</v>
      </c>
      <c r="H299" s="15" t="s">
        <v>5480</v>
      </c>
    </row>
    <row r="300" spans="1:8">
      <c r="A300" s="14" t="s">
        <v>1272</v>
      </c>
      <c r="B300" s="15" t="s">
        <v>1273</v>
      </c>
      <c r="C300" s="14">
        <f t="shared" si="12"/>
        <v>2</v>
      </c>
      <c r="D300" s="14" t="str">
        <f t="shared" si="13"/>
        <v>DRTB-10 Treatment Success Rate (TSR) for pre-XDR/XDR-TB: Percentage of bacteriologically confirmed pre-XDR/XDR-TB patients enrolled on treatment successfully treated-2</v>
      </c>
      <c r="E300" s="15" t="s">
        <v>849</v>
      </c>
      <c r="F300" s="15" t="s">
        <v>3244</v>
      </c>
      <c r="G300" s="14" t="s">
        <v>5481</v>
      </c>
      <c r="H300" s="15" t="s">
        <v>5482</v>
      </c>
    </row>
    <row r="301" spans="1:8">
      <c r="A301" s="14" t="s">
        <v>1272</v>
      </c>
      <c r="B301" s="15" t="s">
        <v>1273</v>
      </c>
      <c r="C301" s="14">
        <f t="shared" si="12"/>
        <v>3</v>
      </c>
      <c r="D301" s="14" t="str">
        <f t="shared" si="13"/>
        <v>DRTB-10 Treatment Success Rate (TSR) for pre-XDR/XDR-TB: Percentage of bacteriologically confirmed pre-XDR/XDR-TB patients enrolled on treatment successfully treated-3</v>
      </c>
      <c r="E301" s="15" t="s">
        <v>1192</v>
      </c>
      <c r="F301" s="15" t="s">
        <v>3193</v>
      </c>
      <c r="G301" s="14" t="s">
        <v>5483</v>
      </c>
      <c r="H301" s="15" t="s">
        <v>5484</v>
      </c>
    </row>
    <row r="302" spans="1:8">
      <c r="A302" s="14" t="s">
        <v>1272</v>
      </c>
      <c r="B302" s="15" t="s">
        <v>1273</v>
      </c>
      <c r="C302" s="14">
        <f t="shared" si="12"/>
        <v>4</v>
      </c>
      <c r="D302" s="14" t="str">
        <f t="shared" si="13"/>
        <v>DRTB-10 Treatment Success Rate (TSR) for pre-XDR/XDR-TB: Percentage of bacteriologically confirmed pre-XDR/XDR-TB patients enrolled on treatment successfully treated-4</v>
      </c>
      <c r="E302" s="15" t="s">
        <v>1164</v>
      </c>
      <c r="F302" s="15" t="s">
        <v>3356</v>
      </c>
      <c r="G302" s="14" t="s">
        <v>5485</v>
      </c>
      <c r="H302" s="15" t="s">
        <v>5486</v>
      </c>
    </row>
    <row r="303" spans="1:8">
      <c r="A303" s="14" t="s">
        <v>1272</v>
      </c>
      <c r="B303" s="15" t="s">
        <v>1273</v>
      </c>
      <c r="C303" s="14">
        <f t="shared" si="12"/>
        <v>5</v>
      </c>
      <c r="D303" s="14" t="str">
        <f t="shared" si="13"/>
        <v>DRTB-10 Treatment Success Rate (TSR) for pre-XDR/XDR-TB: Percentage of bacteriologically confirmed pre-XDR/XDR-TB patients enrolled on treatment successfully treated-5</v>
      </c>
      <c r="E303" s="15" t="s">
        <v>1192</v>
      </c>
      <c r="F303" s="15" t="s">
        <v>3197</v>
      </c>
      <c r="G303" s="14" t="s">
        <v>5487</v>
      </c>
      <c r="H303" s="15" t="s">
        <v>5488</v>
      </c>
    </row>
    <row r="304" spans="1:8">
      <c r="A304" s="14" t="s">
        <v>1272</v>
      </c>
      <c r="B304" s="15" t="s">
        <v>1273</v>
      </c>
      <c r="C304" s="14">
        <f t="shared" si="12"/>
        <v>6</v>
      </c>
      <c r="D304" s="14" t="str">
        <f t="shared" si="13"/>
        <v>DRTB-10 Treatment Success Rate (TSR) for pre-XDR/XDR-TB: Percentage of bacteriologically confirmed pre-XDR/XDR-TB patients enrolled on treatment successfully treated-6</v>
      </c>
      <c r="E304" s="15" t="s">
        <v>1164</v>
      </c>
      <c r="F304" s="15" t="s">
        <v>3367</v>
      </c>
      <c r="G304" s="14" t="s">
        <v>5489</v>
      </c>
      <c r="H304" s="15" t="s">
        <v>5490</v>
      </c>
    </row>
    <row r="305" spans="1:8">
      <c r="A305" s="14" t="s">
        <v>5491</v>
      </c>
      <c r="B305" s="15" t="s">
        <v>5492</v>
      </c>
      <c r="C305" s="14">
        <f t="shared" si="12"/>
        <v>0</v>
      </c>
      <c r="D305" s="14" t="str">
        <f t="shared" si="13"/>
        <v>VC-3 Number of insecticide-treated nets distributed to targeted risk groups through continuous distribution-0</v>
      </c>
      <c r="E305" s="15" t="s">
        <v>5311</v>
      </c>
      <c r="F305" s="15" t="s">
        <v>5340</v>
      </c>
      <c r="G305" s="14" t="s">
        <v>5493</v>
      </c>
      <c r="H305" s="15" t="s">
        <v>5494</v>
      </c>
    </row>
    <row r="306" spans="1:8">
      <c r="A306" s="14" t="s">
        <v>5491</v>
      </c>
      <c r="B306" s="15" t="s">
        <v>5492</v>
      </c>
      <c r="C306" s="14">
        <f t="shared" si="12"/>
        <v>1</v>
      </c>
      <c r="D306" s="14" t="str">
        <f t="shared" si="13"/>
        <v>VC-3 Number of insecticide-treated nets distributed to targeted risk groups through continuous distribution-1</v>
      </c>
      <c r="E306" s="15" t="s">
        <v>5311</v>
      </c>
      <c r="F306" s="15" t="s">
        <v>5495</v>
      </c>
      <c r="G306" s="14" t="s">
        <v>5496</v>
      </c>
      <c r="H306" s="15" t="s">
        <v>5497</v>
      </c>
    </row>
    <row r="307" spans="1:8">
      <c r="A307" s="14" t="s">
        <v>5491</v>
      </c>
      <c r="B307" s="15" t="s">
        <v>5492</v>
      </c>
      <c r="C307" s="14">
        <f t="shared" si="12"/>
        <v>2</v>
      </c>
      <c r="D307" s="14" t="str">
        <f t="shared" si="13"/>
        <v>VC-3 Number of insecticide-treated nets distributed to targeted risk groups through continuous distribution-2</v>
      </c>
      <c r="E307" s="15" t="s">
        <v>5311</v>
      </c>
      <c r="F307" s="15" t="s">
        <v>5498</v>
      </c>
      <c r="G307" s="14" t="s">
        <v>5499</v>
      </c>
      <c r="H307" s="15" t="s">
        <v>5500</v>
      </c>
    </row>
    <row r="308" spans="1:8">
      <c r="A308" s="14" t="s">
        <v>5491</v>
      </c>
      <c r="B308" s="15" t="s">
        <v>5492</v>
      </c>
      <c r="C308" s="14">
        <f t="shared" si="12"/>
        <v>3</v>
      </c>
      <c r="D308" s="14" t="str">
        <f t="shared" si="13"/>
        <v>VC-3 Number of insecticide-treated nets distributed to targeted risk groups through continuous distribution-3</v>
      </c>
      <c r="E308" s="15" t="s">
        <v>5311</v>
      </c>
      <c r="F308" s="15" t="s">
        <v>5501</v>
      </c>
      <c r="G308" s="14" t="s">
        <v>5502</v>
      </c>
      <c r="H308" s="15" t="s">
        <v>5503</v>
      </c>
    </row>
    <row r="309" spans="1:8">
      <c r="A309" s="14" t="s">
        <v>5504</v>
      </c>
      <c r="B309" s="15" t="s">
        <v>5505</v>
      </c>
      <c r="C309" s="14">
        <f t="shared" si="12"/>
        <v>0</v>
      </c>
      <c r="D309" s="14" t="str">
        <f t="shared" si="13"/>
        <v>CM-1a Proportion of suspected malaria cases that receive a parasitological test at public sector health facilities-0</v>
      </c>
      <c r="E309" s="15" t="s">
        <v>849</v>
      </c>
      <c r="F309" s="15" t="s">
        <v>5506</v>
      </c>
      <c r="G309" s="14" t="s">
        <v>5507</v>
      </c>
      <c r="H309" s="15" t="s">
        <v>5508</v>
      </c>
    </row>
    <row r="310" spans="1:8">
      <c r="A310" s="14" t="s">
        <v>5504</v>
      </c>
      <c r="B310" s="15" t="s">
        <v>5505</v>
      </c>
      <c r="C310" s="14">
        <f t="shared" si="12"/>
        <v>1</v>
      </c>
      <c r="D310" s="14" t="str">
        <f t="shared" si="13"/>
        <v>CM-1a Proportion of suspected malaria cases that receive a parasitological test at public sector health facilities-1</v>
      </c>
      <c r="E310" s="15" t="s">
        <v>5229</v>
      </c>
      <c r="F310" s="15" t="s">
        <v>5230</v>
      </c>
      <c r="G310" s="14" t="s">
        <v>5509</v>
      </c>
      <c r="H310" s="15" t="s">
        <v>5510</v>
      </c>
    </row>
    <row r="311" spans="1:8">
      <c r="A311" s="14" t="s">
        <v>5504</v>
      </c>
      <c r="B311" s="15" t="s">
        <v>5505</v>
      </c>
      <c r="C311" s="14">
        <f t="shared" si="12"/>
        <v>2</v>
      </c>
      <c r="D311" s="14" t="str">
        <f t="shared" si="13"/>
        <v>CM-1a Proportion of suspected malaria cases that receive a parasitological test at public sector health facilities-2</v>
      </c>
      <c r="E311" s="15" t="s">
        <v>5229</v>
      </c>
      <c r="F311" s="15" t="s">
        <v>5233</v>
      </c>
      <c r="G311" s="14" t="s">
        <v>5511</v>
      </c>
      <c r="H311" s="15" t="s">
        <v>5512</v>
      </c>
    </row>
    <row r="312" spans="1:8">
      <c r="A312" s="14" t="s">
        <v>5504</v>
      </c>
      <c r="B312" s="15" t="s">
        <v>5505</v>
      </c>
      <c r="C312" s="14">
        <f t="shared" si="12"/>
        <v>3</v>
      </c>
      <c r="D312" s="14" t="str">
        <f t="shared" si="13"/>
        <v>CM-1a Proportion of suspected malaria cases that receive a parasitological test at public sector health facilities-3</v>
      </c>
      <c r="E312" s="15" t="s">
        <v>849</v>
      </c>
      <c r="F312" s="15" t="s">
        <v>3547</v>
      </c>
      <c r="G312" s="14" t="s">
        <v>5513</v>
      </c>
      <c r="H312" s="15" t="s">
        <v>5514</v>
      </c>
    </row>
    <row r="313" spans="1:8">
      <c r="A313" s="14" t="s">
        <v>5515</v>
      </c>
      <c r="B313" s="15" t="s">
        <v>5516</v>
      </c>
      <c r="C313" s="14">
        <f t="shared" si="12"/>
        <v>0</v>
      </c>
      <c r="D313" s="14" t="str">
        <f t="shared" si="13"/>
        <v>CM-1b Proportion of suspected malaria cases that receive a parasitological test in the community-0</v>
      </c>
      <c r="E313" s="15" t="s">
        <v>849</v>
      </c>
      <c r="F313" s="15" t="s">
        <v>5506</v>
      </c>
      <c r="G313" s="14" t="s">
        <v>5517</v>
      </c>
      <c r="H313" s="15" t="s">
        <v>5518</v>
      </c>
    </row>
    <row r="314" spans="1:8">
      <c r="A314" s="14" t="s">
        <v>5515</v>
      </c>
      <c r="B314" s="15" t="s">
        <v>5516</v>
      </c>
      <c r="C314" s="14">
        <f t="shared" si="12"/>
        <v>1</v>
      </c>
      <c r="D314" s="14" t="str">
        <f t="shared" si="13"/>
        <v>CM-1b Proportion of suspected malaria cases that receive a parasitological test in the community-1</v>
      </c>
      <c r="E314" s="15" t="s">
        <v>5229</v>
      </c>
      <c r="F314" s="15" t="s">
        <v>5230</v>
      </c>
      <c r="G314" s="14" t="s">
        <v>5519</v>
      </c>
      <c r="H314" s="15" t="s">
        <v>5520</v>
      </c>
    </row>
    <row r="315" spans="1:8">
      <c r="A315" s="14" t="s">
        <v>5515</v>
      </c>
      <c r="B315" s="15" t="s">
        <v>5516</v>
      </c>
      <c r="C315" s="14">
        <f t="shared" si="12"/>
        <v>2</v>
      </c>
      <c r="D315" s="14" t="str">
        <f t="shared" si="13"/>
        <v>CM-1b Proportion of suspected malaria cases that receive a parasitological test in the community-2</v>
      </c>
      <c r="E315" s="15" t="s">
        <v>849</v>
      </c>
      <c r="F315" s="15" t="s">
        <v>3547</v>
      </c>
      <c r="G315" s="14" t="s">
        <v>5521</v>
      </c>
      <c r="H315" s="15" t="s">
        <v>5522</v>
      </c>
    </row>
    <row r="316" spans="1:8">
      <c r="A316" s="14" t="s">
        <v>5515</v>
      </c>
      <c r="B316" s="15" t="s">
        <v>5516</v>
      </c>
      <c r="C316" s="14">
        <f t="shared" si="12"/>
        <v>3</v>
      </c>
      <c r="D316" s="14" t="str">
        <f t="shared" si="13"/>
        <v>CM-1b Proportion of suspected malaria cases that receive a parasitological test in the community-3</v>
      </c>
      <c r="E316" s="15" t="s">
        <v>5229</v>
      </c>
      <c r="F316" s="15" t="s">
        <v>5233</v>
      </c>
      <c r="G316" s="14" t="s">
        <v>5523</v>
      </c>
      <c r="H316" s="15" t="s">
        <v>5524</v>
      </c>
    </row>
    <row r="317" spans="1:8">
      <c r="A317" s="14" t="s">
        <v>5525</v>
      </c>
      <c r="B317" s="15" t="s">
        <v>5526</v>
      </c>
      <c r="C317" s="14">
        <f t="shared" si="12"/>
        <v>0</v>
      </c>
      <c r="D317" s="14" t="str">
        <f t="shared" si="13"/>
        <v>CM-1c Proportion of suspected malaria cases that receive a parasitological test at private sector sites-0</v>
      </c>
      <c r="E317" s="15" t="s">
        <v>849</v>
      </c>
      <c r="F317" s="15" t="s">
        <v>5506</v>
      </c>
      <c r="G317" s="14" t="s">
        <v>5527</v>
      </c>
      <c r="H317" s="15" t="s">
        <v>5528</v>
      </c>
    </row>
    <row r="318" spans="1:8">
      <c r="A318" s="14" t="s">
        <v>5525</v>
      </c>
      <c r="B318" s="15" t="s">
        <v>5526</v>
      </c>
      <c r="C318" s="14">
        <f t="shared" si="12"/>
        <v>1</v>
      </c>
      <c r="D318" s="14" t="str">
        <f t="shared" si="13"/>
        <v>CM-1c Proportion of suspected malaria cases that receive a parasitological test at private sector sites-1</v>
      </c>
      <c r="E318" s="15" t="s">
        <v>5229</v>
      </c>
      <c r="F318" s="15" t="s">
        <v>5230</v>
      </c>
      <c r="G318" s="14" t="s">
        <v>5529</v>
      </c>
      <c r="H318" s="15" t="s">
        <v>5530</v>
      </c>
    </row>
    <row r="319" spans="1:8">
      <c r="A319" s="14" t="s">
        <v>5525</v>
      </c>
      <c r="B319" s="15" t="s">
        <v>5526</v>
      </c>
      <c r="C319" s="14">
        <f t="shared" si="12"/>
        <v>2</v>
      </c>
      <c r="D319" s="14" t="str">
        <f t="shared" si="13"/>
        <v>CM-1c Proportion of suspected malaria cases that receive a parasitological test at private sector sites-2</v>
      </c>
      <c r="E319" s="15" t="s">
        <v>849</v>
      </c>
      <c r="F319" s="15" t="s">
        <v>3547</v>
      </c>
      <c r="G319" s="14" t="s">
        <v>5531</v>
      </c>
      <c r="H319" s="15" t="s">
        <v>5532</v>
      </c>
    </row>
    <row r="320" spans="1:8">
      <c r="A320" s="14" t="s">
        <v>5525</v>
      </c>
      <c r="B320" s="15" t="s">
        <v>5526</v>
      </c>
      <c r="C320" s="14">
        <f t="shared" si="12"/>
        <v>3</v>
      </c>
      <c r="D320" s="14" t="str">
        <f t="shared" si="13"/>
        <v>CM-1c Proportion of suspected malaria cases that receive a parasitological test at private sector sites-3</v>
      </c>
      <c r="E320" s="15" t="s">
        <v>5229</v>
      </c>
      <c r="F320" s="15" t="s">
        <v>5233</v>
      </c>
      <c r="G320" s="14" t="s">
        <v>5533</v>
      </c>
      <c r="H320" s="15" t="s">
        <v>5534</v>
      </c>
    </row>
    <row r="321" spans="1:8">
      <c r="A321" s="14" t="s">
        <v>5535</v>
      </c>
      <c r="B321" s="15" t="s">
        <v>5536</v>
      </c>
      <c r="C321" s="14">
        <f t="shared" si="12"/>
        <v>0</v>
      </c>
      <c r="D321" s="14" t="str">
        <f t="shared" si="13"/>
        <v>CM-2a Proportion of confirmed malaria cases that received first-line antimalarial treatment at public sector health facilities-0</v>
      </c>
      <c r="E321" s="15" t="s">
        <v>849</v>
      </c>
      <c r="F321" s="15" t="s">
        <v>5506</v>
      </c>
      <c r="G321" s="14" t="s">
        <v>5537</v>
      </c>
      <c r="H321" s="15" t="s">
        <v>5538</v>
      </c>
    </row>
    <row r="322" spans="1:8">
      <c r="A322" s="14" t="s">
        <v>5535</v>
      </c>
      <c r="B322" s="15" t="s">
        <v>5536</v>
      </c>
      <c r="C322" s="14">
        <f t="shared" si="12"/>
        <v>1</v>
      </c>
      <c r="D322" s="14" t="str">
        <f t="shared" si="13"/>
        <v>CM-2a Proportion of confirmed malaria cases that received first-line antimalarial treatment at public sector health facilities-1</v>
      </c>
      <c r="E322" s="15" t="s">
        <v>849</v>
      </c>
      <c r="F322" s="15" t="s">
        <v>3547</v>
      </c>
      <c r="G322" s="14" t="s">
        <v>5539</v>
      </c>
      <c r="H322" s="15" t="s">
        <v>5540</v>
      </c>
    </row>
    <row r="323" spans="1:8">
      <c r="A323" s="14" t="s">
        <v>5541</v>
      </c>
      <c r="B323" s="15" t="s">
        <v>5542</v>
      </c>
      <c r="C323" s="14">
        <f t="shared" si="12"/>
        <v>0</v>
      </c>
      <c r="D323" s="14" t="str">
        <f t="shared" si="13"/>
        <v>CM-2b Proportion of confirmed malaria cases that received first-line antimalarial treatment in the community-0</v>
      </c>
      <c r="E323" s="15" t="s">
        <v>849</v>
      </c>
      <c r="F323" s="15" t="s">
        <v>5506</v>
      </c>
      <c r="G323" s="14" t="s">
        <v>5543</v>
      </c>
      <c r="H323" s="15" t="s">
        <v>5544</v>
      </c>
    </row>
    <row r="324" spans="1:8">
      <c r="A324" s="14" t="s">
        <v>5541</v>
      </c>
      <c r="B324" s="15" t="s">
        <v>5542</v>
      </c>
      <c r="C324" s="14">
        <f t="shared" si="12"/>
        <v>1</v>
      </c>
      <c r="D324" s="14" t="str">
        <f t="shared" si="13"/>
        <v>CM-2b Proportion of confirmed malaria cases that received first-line antimalarial treatment in the community-1</v>
      </c>
      <c r="E324" s="15" t="s">
        <v>849</v>
      </c>
      <c r="F324" s="15" t="s">
        <v>3547</v>
      </c>
      <c r="G324" s="14" t="s">
        <v>5545</v>
      </c>
      <c r="H324" s="15" t="s">
        <v>5546</v>
      </c>
    </row>
    <row r="325" spans="1:8">
      <c r="A325" s="14" t="s">
        <v>5547</v>
      </c>
      <c r="B325" s="15" t="s">
        <v>5548</v>
      </c>
      <c r="C325" s="14">
        <f t="shared" si="12"/>
        <v>0</v>
      </c>
      <c r="D325" s="14" t="str">
        <f t="shared" si="13"/>
        <v>CM-2c Proportion of confirmed malaria cases that received first-line antimalarial treatment at private sector sites-0</v>
      </c>
      <c r="E325" s="15" t="s">
        <v>849</v>
      </c>
      <c r="F325" s="15" t="s">
        <v>5506</v>
      </c>
      <c r="G325" s="14" t="s">
        <v>5549</v>
      </c>
      <c r="H325" s="15" t="s">
        <v>5550</v>
      </c>
    </row>
    <row r="326" spans="1:8">
      <c r="A326" s="14" t="s">
        <v>5547</v>
      </c>
      <c r="B326" s="15" t="s">
        <v>5548</v>
      </c>
      <c r="C326" s="14">
        <f t="shared" si="12"/>
        <v>1</v>
      </c>
      <c r="D326" s="14" t="str">
        <f t="shared" si="13"/>
        <v>CM-2c Proportion of confirmed malaria cases that received first-line antimalarial treatment at private sector sites-1</v>
      </c>
      <c r="E326" s="15" t="s">
        <v>849</v>
      </c>
      <c r="F326" s="15" t="s">
        <v>3547</v>
      </c>
      <c r="G326" s="14" t="s">
        <v>5551</v>
      </c>
      <c r="H326" s="15" t="s">
        <v>5552</v>
      </c>
    </row>
    <row r="327" spans="1:8">
      <c r="A327" s="14" t="s">
        <v>5553</v>
      </c>
      <c r="B327" s="15" t="s">
        <v>5554</v>
      </c>
      <c r="C327" s="14">
        <f t="shared" si="12"/>
        <v>0</v>
      </c>
      <c r="D327" s="14" t="str">
        <f t="shared" si="13"/>
        <v>CM-5 Percentage of confirmed cases fully investigated and classified as per national guidance-0</v>
      </c>
      <c r="E327" s="15" t="s">
        <v>5250</v>
      </c>
      <c r="F327" s="15" t="s">
        <v>5251</v>
      </c>
      <c r="G327" s="14" t="s">
        <v>5555</v>
      </c>
      <c r="H327" s="15" t="s">
        <v>5556</v>
      </c>
    </row>
    <row r="328" spans="1:8">
      <c r="A328" s="14" t="s">
        <v>5553</v>
      </c>
      <c r="B328" s="15" t="s">
        <v>5554</v>
      </c>
      <c r="C328" s="14">
        <f t="shared" si="12"/>
        <v>1</v>
      </c>
      <c r="D328" s="14" t="str">
        <f t="shared" si="13"/>
        <v>CM-5 Percentage of confirmed cases fully investigated and classified as per national guidance-1</v>
      </c>
      <c r="E328" s="15" t="s">
        <v>5250</v>
      </c>
      <c r="F328" s="15" t="s">
        <v>5254</v>
      </c>
      <c r="G328" s="14" t="s">
        <v>5557</v>
      </c>
      <c r="H328" s="15" t="s">
        <v>5558</v>
      </c>
    </row>
    <row r="329" spans="1:8">
      <c r="A329" s="14" t="s">
        <v>5559</v>
      </c>
      <c r="B329" s="15" t="s">
        <v>5560</v>
      </c>
      <c r="C329" s="14">
        <f t="shared" si="12"/>
        <v>0</v>
      </c>
      <c r="D329" s="14" t="str">
        <f t="shared" si="13"/>
        <v>CM-7 Percentage of districts achieving national target for the proportion of suspected malaria patients who receive a parasitological test-0</v>
      </c>
      <c r="E329" s="15" t="s">
        <v>1028</v>
      </c>
      <c r="F329" s="15" t="s">
        <v>4334</v>
      </c>
      <c r="G329" s="14" t="s">
        <v>5561</v>
      </c>
      <c r="H329" s="15" t="s">
        <v>5562</v>
      </c>
    </row>
    <row r="330" spans="1:8">
      <c r="A330" s="14" t="s">
        <v>5559</v>
      </c>
      <c r="B330" s="15" t="s">
        <v>5560</v>
      </c>
      <c r="C330" s="14">
        <f t="shared" si="12"/>
        <v>1</v>
      </c>
      <c r="D330" s="14" t="str">
        <f t="shared" si="13"/>
        <v>CM-7 Percentage of districts achieving national target for the proportion of suspected malaria patients who receive a parasitological test-1</v>
      </c>
      <c r="E330" s="15" t="s">
        <v>1028</v>
      </c>
      <c r="F330" s="15" t="s">
        <v>3417</v>
      </c>
      <c r="G330" s="14" t="s">
        <v>5563</v>
      </c>
      <c r="H330" s="15" t="s">
        <v>5564</v>
      </c>
    </row>
    <row r="331" spans="1:8">
      <c r="A331" s="14" t="s">
        <v>5559</v>
      </c>
      <c r="B331" s="15" t="s">
        <v>5560</v>
      </c>
      <c r="C331" s="14">
        <f t="shared" si="12"/>
        <v>2</v>
      </c>
      <c r="D331" s="14" t="str">
        <f t="shared" si="13"/>
        <v>CM-7 Percentage of districts achieving national target for the proportion of suspected malaria patients who receive a parasitological test-2</v>
      </c>
      <c r="E331" s="15" t="s">
        <v>1028</v>
      </c>
      <c r="F331" s="15" t="s">
        <v>3421</v>
      </c>
      <c r="G331" s="14" t="s">
        <v>5565</v>
      </c>
      <c r="H331" s="15" t="s">
        <v>5566</v>
      </c>
    </row>
    <row r="332" spans="1:8">
      <c r="A332" s="14" t="s">
        <v>5567</v>
      </c>
      <c r="B332" s="15" t="s">
        <v>5568</v>
      </c>
      <c r="C332" s="14">
        <f t="shared" si="12"/>
        <v>0</v>
      </c>
      <c r="D332" s="14" t="str">
        <f t="shared" si="13"/>
        <v>CM-8 Percentage of districts achieving national target for the proportion of confirmed malaria patients who received first-line antimalarial treatment-0</v>
      </c>
      <c r="E332" s="15" t="s">
        <v>1028</v>
      </c>
      <c r="F332" s="15" t="s">
        <v>4334</v>
      </c>
      <c r="G332" s="14" t="s">
        <v>5569</v>
      </c>
      <c r="H332" s="15" t="s">
        <v>5570</v>
      </c>
    </row>
    <row r="333" spans="1:8">
      <c r="A333" s="14" t="s">
        <v>5567</v>
      </c>
      <c r="B333" s="15" t="s">
        <v>5568</v>
      </c>
      <c r="C333" s="14">
        <f t="shared" si="12"/>
        <v>1</v>
      </c>
      <c r="D333" s="14" t="str">
        <f t="shared" si="13"/>
        <v>CM-8 Percentage of districts achieving national target for the proportion of confirmed malaria patients who received first-line antimalarial treatment-1</v>
      </c>
      <c r="E333" s="15" t="s">
        <v>1028</v>
      </c>
      <c r="F333" s="15" t="s">
        <v>3417</v>
      </c>
      <c r="G333" s="14" t="s">
        <v>5571</v>
      </c>
      <c r="H333" s="15" t="s">
        <v>5572</v>
      </c>
    </row>
    <row r="334" spans="1:8">
      <c r="A334" s="14" t="s">
        <v>5567</v>
      </c>
      <c r="B334" s="15" t="s">
        <v>5568</v>
      </c>
      <c r="C334" s="14">
        <f t="shared" si="12"/>
        <v>2</v>
      </c>
      <c r="D334" s="14" t="str">
        <f t="shared" si="13"/>
        <v>CM-8 Percentage of districts achieving national target for the proportion of confirmed malaria patients who received first-line antimalarial treatment-2</v>
      </c>
      <c r="E334" s="15" t="s">
        <v>1028</v>
      </c>
      <c r="F334" s="15" t="s">
        <v>3421</v>
      </c>
      <c r="G334" s="14" t="s">
        <v>5573</v>
      </c>
      <c r="H334" s="15" t="s">
        <v>5574</v>
      </c>
    </row>
    <row r="335" spans="1:8">
      <c r="A335" s="14" t="s">
        <v>1358</v>
      </c>
      <c r="B335" s="15" t="s">
        <v>1359</v>
      </c>
      <c r="C335" s="14">
        <f t="shared" si="12"/>
        <v>0</v>
      </c>
      <c r="D335" s="14" t="str">
        <f t="shared" si="13"/>
        <v>RSSH/PP HRH-1 Vacancy rate: Ratio of unfilled posts to total number of posts-0</v>
      </c>
      <c r="E335" s="15" t="s">
        <v>1360</v>
      </c>
      <c r="F335" s="15" t="s">
        <v>5575</v>
      </c>
      <c r="G335" s="14" t="s">
        <v>5576</v>
      </c>
      <c r="H335" s="15" t="s">
        <v>5577</v>
      </c>
    </row>
    <row r="336" spans="1:8">
      <c r="A336" s="14" t="s">
        <v>1358</v>
      </c>
      <c r="B336" s="15" t="s">
        <v>1359</v>
      </c>
      <c r="C336" s="14">
        <f t="shared" si="12"/>
        <v>1</v>
      </c>
      <c r="D336" s="14" t="str">
        <f t="shared" si="13"/>
        <v>RSSH/PP HRH-1 Vacancy rate: Ratio of unfilled posts to total number of posts-1</v>
      </c>
      <c r="E336" s="15" t="s">
        <v>1360</v>
      </c>
      <c r="F336" s="15" t="s">
        <v>5578</v>
      </c>
      <c r="G336" s="14" t="s">
        <v>5579</v>
      </c>
      <c r="H336" s="15" t="s">
        <v>5580</v>
      </c>
    </row>
    <row r="337" spans="1:8">
      <c r="A337" s="14" t="s">
        <v>1358</v>
      </c>
      <c r="B337" s="15" t="s">
        <v>1359</v>
      </c>
      <c r="C337" s="14">
        <f t="shared" si="12"/>
        <v>2</v>
      </c>
      <c r="D337" s="14" t="str">
        <f t="shared" si="13"/>
        <v>RSSH/PP HRH-1 Vacancy rate: Ratio of unfilled posts to total number of posts-2</v>
      </c>
      <c r="E337" s="15" t="s">
        <v>1360</v>
      </c>
      <c r="F337" s="15" t="s">
        <v>5581</v>
      </c>
      <c r="G337" s="14" t="s">
        <v>5582</v>
      </c>
      <c r="H337" s="15" t="s">
        <v>5583</v>
      </c>
    </row>
    <row r="338" spans="1:8">
      <c r="A338" s="14" t="s">
        <v>1358</v>
      </c>
      <c r="B338" s="15" t="s">
        <v>1359</v>
      </c>
      <c r="C338" s="14">
        <f t="shared" si="12"/>
        <v>3</v>
      </c>
      <c r="D338" s="14" t="str">
        <f t="shared" si="13"/>
        <v>RSSH/PP HRH-1 Vacancy rate: Ratio of unfilled posts to total number of posts-3</v>
      </c>
      <c r="E338" s="15" t="s">
        <v>1360</v>
      </c>
      <c r="F338" s="15" t="s">
        <v>5584</v>
      </c>
      <c r="G338" s="14" t="s">
        <v>5585</v>
      </c>
      <c r="H338" s="15" t="s">
        <v>5586</v>
      </c>
    </row>
    <row r="339" spans="1:8">
      <c r="A339" s="14" t="s">
        <v>1358</v>
      </c>
      <c r="B339" s="15" t="s">
        <v>1359</v>
      </c>
      <c r="C339" s="14">
        <f t="shared" si="12"/>
        <v>4</v>
      </c>
      <c r="D339" s="14" t="str">
        <f t="shared" si="13"/>
        <v>RSSH/PP HRH-1 Vacancy rate: Ratio of unfilled posts to total number of posts-4</v>
      </c>
      <c r="E339" s="15" t="s">
        <v>1360</v>
      </c>
      <c r="F339" s="15" t="s">
        <v>5587</v>
      </c>
      <c r="G339" s="14" t="s">
        <v>5588</v>
      </c>
      <c r="H339" s="15" t="s">
        <v>5589</v>
      </c>
    </row>
    <row r="340" spans="1:8">
      <c r="A340" s="14" t="s">
        <v>1362</v>
      </c>
      <c r="B340" s="15" t="s">
        <v>1363</v>
      </c>
      <c r="C340" s="14">
        <f t="shared" si="12"/>
        <v>0</v>
      </c>
      <c r="D340" s="14" t="str">
        <f t="shared" si="13"/>
        <v>RSSH/PP HRH-2 Density of active health workers per 10,000 population-0</v>
      </c>
      <c r="E340" s="15" t="s">
        <v>1360</v>
      </c>
      <c r="F340" s="15" t="s">
        <v>5575</v>
      </c>
      <c r="G340" s="14" t="s">
        <v>5590</v>
      </c>
      <c r="H340" s="15" t="s">
        <v>5591</v>
      </c>
    </row>
    <row r="341" spans="1:8">
      <c r="A341" s="14" t="s">
        <v>1362</v>
      </c>
      <c r="B341" s="15" t="s">
        <v>1363</v>
      </c>
      <c r="C341" s="14">
        <f t="shared" si="12"/>
        <v>1</v>
      </c>
      <c r="D341" s="14" t="str">
        <f t="shared" si="13"/>
        <v>RSSH/PP HRH-2 Density of active health workers per 10,000 population-1</v>
      </c>
      <c r="E341" s="15" t="s">
        <v>1360</v>
      </c>
      <c r="F341" s="15" t="s">
        <v>5578</v>
      </c>
      <c r="G341" s="14" t="s">
        <v>5592</v>
      </c>
      <c r="H341" s="15" t="s">
        <v>5593</v>
      </c>
    </row>
    <row r="342" spans="1:8">
      <c r="A342" s="14" t="s">
        <v>1362</v>
      </c>
      <c r="B342" s="15" t="s">
        <v>1363</v>
      </c>
      <c r="C342" s="14">
        <f t="shared" si="12"/>
        <v>2</v>
      </c>
      <c r="D342" s="14" t="str">
        <f t="shared" si="13"/>
        <v>RSSH/PP HRH-2 Density of active health workers per 10,000 population-2</v>
      </c>
      <c r="E342" s="15" t="s">
        <v>1360</v>
      </c>
      <c r="F342" s="15" t="s">
        <v>5581</v>
      </c>
      <c r="G342" s="14" t="s">
        <v>5594</v>
      </c>
      <c r="H342" s="15" t="s">
        <v>5595</v>
      </c>
    </row>
    <row r="343" spans="1:8">
      <c r="A343" s="14" t="s">
        <v>1362</v>
      </c>
      <c r="B343" s="15" t="s">
        <v>1363</v>
      </c>
      <c r="C343" s="14">
        <f t="shared" si="12"/>
        <v>3</v>
      </c>
      <c r="D343" s="14" t="str">
        <f t="shared" si="13"/>
        <v>RSSH/PP HRH-2 Density of active health workers per 10,000 population-3</v>
      </c>
      <c r="E343" s="15" t="s">
        <v>1360</v>
      </c>
      <c r="F343" s="15" t="s">
        <v>5584</v>
      </c>
      <c r="G343" s="14" t="s">
        <v>5596</v>
      </c>
      <c r="H343" s="15" t="s">
        <v>5597</v>
      </c>
    </row>
    <row r="344" spans="1:8">
      <c r="A344" s="14" t="s">
        <v>1362</v>
      </c>
      <c r="B344" s="15" t="s">
        <v>1363</v>
      </c>
      <c r="C344" s="14">
        <f t="shared" si="12"/>
        <v>4</v>
      </c>
      <c r="D344" s="14" t="str">
        <f t="shared" si="13"/>
        <v>RSSH/PP HRH-2 Density of active health workers per 10,000 population-4</v>
      </c>
      <c r="E344" s="15" t="s">
        <v>1360</v>
      </c>
      <c r="F344" s="15" t="s">
        <v>5587</v>
      </c>
      <c r="G344" s="14" t="s">
        <v>5598</v>
      </c>
      <c r="H344" s="15" t="s">
        <v>5599</v>
      </c>
    </row>
    <row r="345" spans="1:8">
      <c r="A345" s="14" t="s">
        <v>1365</v>
      </c>
      <c r="B345" s="15" t="s">
        <v>1366</v>
      </c>
      <c r="C345" s="14">
        <f t="shared" si="12"/>
        <v>0</v>
      </c>
      <c r="D345" s="14" t="str">
        <f t="shared" si="13"/>
        <v>RSSH/PP HRH-3 Percentage of community health workers remunerated on time and in-full (as per their contract) every month during the reporting period-0</v>
      </c>
      <c r="E345" s="15" t="s">
        <v>1192</v>
      </c>
      <c r="F345" s="15" t="s">
        <v>3189</v>
      </c>
      <c r="G345" s="14" t="s">
        <v>5600</v>
      </c>
      <c r="H345" s="15" t="s">
        <v>5601</v>
      </c>
    </row>
    <row r="346" spans="1:8">
      <c r="A346" s="14" t="s">
        <v>1365</v>
      </c>
      <c r="B346" s="15" t="s">
        <v>1366</v>
      </c>
      <c r="C346" s="14">
        <f t="shared" si="12"/>
        <v>1</v>
      </c>
      <c r="D346" s="14" t="str">
        <f t="shared" si="13"/>
        <v>RSSH/PP HRH-3 Percentage of community health workers remunerated on time and in-full (as per their contract) every month during the reporting period-1</v>
      </c>
      <c r="E346" s="15" t="s">
        <v>1192</v>
      </c>
      <c r="F346" s="15" t="s">
        <v>3193</v>
      </c>
      <c r="G346" s="14" t="s">
        <v>5602</v>
      </c>
      <c r="H346" s="15" t="s">
        <v>5603</v>
      </c>
    </row>
    <row r="347" spans="1:8">
      <c r="A347" s="14" t="s">
        <v>1365</v>
      </c>
      <c r="B347" s="15" t="s">
        <v>1366</v>
      </c>
      <c r="C347" s="14">
        <f t="shared" si="12"/>
        <v>2</v>
      </c>
      <c r="D347" s="14" t="str">
        <f t="shared" si="13"/>
        <v>RSSH/PP HRH-3 Percentage of community health workers remunerated on time and in-full (as per their contract) every month during the reporting period-2</v>
      </c>
      <c r="E347" s="15" t="s">
        <v>5604</v>
      </c>
      <c r="F347" s="15" t="s">
        <v>5605</v>
      </c>
      <c r="G347" s="14" t="s">
        <v>5606</v>
      </c>
      <c r="H347" s="15" t="s">
        <v>5607</v>
      </c>
    </row>
    <row r="348" spans="1:8">
      <c r="A348" s="14" t="s">
        <v>1365</v>
      </c>
      <c r="B348" s="15" t="s">
        <v>1366</v>
      </c>
      <c r="C348" s="14">
        <f t="shared" si="12"/>
        <v>3</v>
      </c>
      <c r="D348" s="14" t="str">
        <f t="shared" si="13"/>
        <v>RSSH/PP HRH-3 Percentage of community health workers remunerated on time and in-full (as per their contract) every month during the reporting period-3</v>
      </c>
      <c r="E348" s="15" t="s">
        <v>5604</v>
      </c>
      <c r="F348" s="15" t="s">
        <v>5608</v>
      </c>
      <c r="G348" s="14" t="s">
        <v>5609</v>
      </c>
      <c r="H348" s="15" t="s">
        <v>5610</v>
      </c>
    </row>
    <row r="349" spans="1:8">
      <c r="A349" s="14" t="s">
        <v>1365</v>
      </c>
      <c r="B349" s="15" t="s">
        <v>1366</v>
      </c>
      <c r="C349" s="14">
        <f t="shared" ref="C349:C412" si="14">IF(B349=B348,C348+1,0)</f>
        <v>4</v>
      </c>
      <c r="D349" s="14" t="str">
        <f t="shared" ref="D349:D412" si="15">B349&amp;"-"&amp;C349</f>
        <v>RSSH/PP HRH-3 Percentage of community health workers remunerated on time and in-full (as per their contract) every month during the reporting period-4</v>
      </c>
      <c r="E349" s="15" t="s">
        <v>1192</v>
      </c>
      <c r="F349" s="15" t="s">
        <v>3197</v>
      </c>
      <c r="G349" s="14" t="s">
        <v>5611</v>
      </c>
      <c r="H349" s="15" t="s">
        <v>5612</v>
      </c>
    </row>
    <row r="350" spans="1:8">
      <c r="A350" s="14" t="s">
        <v>1329</v>
      </c>
      <c r="B350" s="15" t="s">
        <v>1330</v>
      </c>
      <c r="C350" s="14">
        <f t="shared" si="14"/>
        <v>0</v>
      </c>
      <c r="D350" s="14" t="str">
        <f t="shared" si="15"/>
        <v>HFS-2 Percentage of the government budget allocated to health-0</v>
      </c>
      <c r="E350" s="15" t="s">
        <v>5613</v>
      </c>
      <c r="F350" s="15" t="s">
        <v>5614</v>
      </c>
      <c r="G350" s="14" t="s">
        <v>5615</v>
      </c>
      <c r="H350" s="15" t="s">
        <v>5616</v>
      </c>
    </row>
    <row r="351" spans="1:8">
      <c r="A351" s="14" t="s">
        <v>1329</v>
      </c>
      <c r="B351" s="15" t="s">
        <v>1330</v>
      </c>
      <c r="C351" s="14">
        <f t="shared" si="14"/>
        <v>1</v>
      </c>
      <c r="D351" s="14" t="str">
        <f t="shared" si="15"/>
        <v>HFS-2 Percentage of the government budget allocated to health-1</v>
      </c>
      <c r="E351" s="15" t="s">
        <v>5613</v>
      </c>
      <c r="F351" s="15" t="s">
        <v>5617</v>
      </c>
      <c r="G351" s="14" t="s">
        <v>5618</v>
      </c>
      <c r="H351" s="15" t="s">
        <v>5619</v>
      </c>
    </row>
    <row r="352" spans="1:8">
      <c r="A352" s="14" t="s">
        <v>1329</v>
      </c>
      <c r="B352" s="15" t="s">
        <v>1330</v>
      </c>
      <c r="C352" s="14">
        <f t="shared" si="14"/>
        <v>2</v>
      </c>
      <c r="D352" s="14" t="str">
        <f t="shared" si="15"/>
        <v>HFS-2 Percentage of the government budget allocated to health-2</v>
      </c>
      <c r="E352" s="15" t="s">
        <v>5620</v>
      </c>
      <c r="F352" s="15" t="s">
        <v>5621</v>
      </c>
      <c r="G352" s="14" t="s">
        <v>5622</v>
      </c>
      <c r="H352" s="15" t="s">
        <v>5623</v>
      </c>
    </row>
    <row r="353" spans="1:8">
      <c r="A353" s="14" t="s">
        <v>1329</v>
      </c>
      <c r="B353" s="15" t="s">
        <v>1330</v>
      </c>
      <c r="C353" s="14">
        <f t="shared" si="14"/>
        <v>3</v>
      </c>
      <c r="D353" s="14" t="str">
        <f t="shared" si="15"/>
        <v>HFS-2 Percentage of the government budget allocated to health-3</v>
      </c>
      <c r="E353" s="15" t="s">
        <v>5620</v>
      </c>
      <c r="F353" s="15" t="s">
        <v>5624</v>
      </c>
      <c r="G353" s="14" t="s">
        <v>5625</v>
      </c>
      <c r="H353" s="15" t="s">
        <v>5626</v>
      </c>
    </row>
    <row r="354" spans="1:8">
      <c r="A354" s="14" t="s">
        <v>1333</v>
      </c>
      <c r="B354" s="15" t="s">
        <v>1334</v>
      </c>
      <c r="C354" s="14">
        <f t="shared" si="14"/>
        <v>0</v>
      </c>
      <c r="D354" s="14" t="str">
        <f t="shared" si="15"/>
        <v>HFS-3 Percentage execution of the government budget allocated to health-0</v>
      </c>
      <c r="E354" s="15" t="s">
        <v>5613</v>
      </c>
      <c r="F354" s="15" t="s">
        <v>5614</v>
      </c>
      <c r="G354" s="14" t="s">
        <v>5627</v>
      </c>
      <c r="H354" s="15" t="s">
        <v>5628</v>
      </c>
    </row>
    <row r="355" spans="1:8">
      <c r="A355" s="14" t="s">
        <v>1333</v>
      </c>
      <c r="B355" s="15" t="s">
        <v>1334</v>
      </c>
      <c r="C355" s="14">
        <f t="shared" si="14"/>
        <v>1</v>
      </c>
      <c r="D355" s="14" t="str">
        <f t="shared" si="15"/>
        <v>HFS-3 Percentage execution of the government budget allocated to health-1</v>
      </c>
      <c r="E355" s="15" t="s">
        <v>5613</v>
      </c>
      <c r="F355" s="15" t="s">
        <v>5617</v>
      </c>
      <c r="G355" s="14" t="s">
        <v>5629</v>
      </c>
      <c r="H355" s="15" t="s">
        <v>5630</v>
      </c>
    </row>
    <row r="356" spans="1:8">
      <c r="A356" s="14" t="s">
        <v>1333</v>
      </c>
      <c r="B356" s="15" t="s">
        <v>1334</v>
      </c>
      <c r="C356" s="14">
        <f t="shared" si="14"/>
        <v>2</v>
      </c>
      <c r="D356" s="14" t="str">
        <f t="shared" si="15"/>
        <v>HFS-3 Percentage execution of the government budget allocated to health-2</v>
      </c>
      <c r="E356" s="15" t="s">
        <v>5620</v>
      </c>
      <c r="F356" s="15" t="s">
        <v>5621</v>
      </c>
      <c r="G356" s="14" t="s">
        <v>5631</v>
      </c>
      <c r="H356" s="15" t="s">
        <v>5632</v>
      </c>
    </row>
    <row r="357" spans="1:8">
      <c r="A357" s="14" t="s">
        <v>1333</v>
      </c>
      <c r="B357" s="15" t="s">
        <v>1334</v>
      </c>
      <c r="C357" s="14">
        <f t="shared" si="14"/>
        <v>3</v>
      </c>
      <c r="D357" s="14" t="str">
        <f t="shared" si="15"/>
        <v>HFS-3 Percentage execution of the government budget allocated to health-3</v>
      </c>
      <c r="E357" s="15" t="s">
        <v>5620</v>
      </c>
      <c r="F357" s="15" t="s">
        <v>5624</v>
      </c>
      <c r="G357" s="14" t="s">
        <v>5633</v>
      </c>
      <c r="H357" s="15" t="s">
        <v>5634</v>
      </c>
    </row>
    <row r="358" spans="1:8">
      <c r="A358" s="14" t="s">
        <v>1336</v>
      </c>
      <c r="B358" s="15" t="s">
        <v>1337</v>
      </c>
      <c r="C358" s="14">
        <f t="shared" si="14"/>
        <v>0</v>
      </c>
      <c r="D358" s="14" t="str">
        <f t="shared" si="15"/>
        <v>HFS-4 Percentage of population covered by financial risk protection schemes-0</v>
      </c>
      <c r="E358" s="15" t="s">
        <v>5311</v>
      </c>
      <c r="F358" s="15" t="s">
        <v>5635</v>
      </c>
      <c r="G358" s="14" t="s">
        <v>5636</v>
      </c>
      <c r="H358" s="15" t="s">
        <v>5637</v>
      </c>
    </row>
    <row r="359" spans="1:8">
      <c r="A359" s="14" t="s">
        <v>1336</v>
      </c>
      <c r="B359" s="15" t="s">
        <v>1337</v>
      </c>
      <c r="C359" s="14">
        <f t="shared" si="14"/>
        <v>1</v>
      </c>
      <c r="D359" s="14" t="str">
        <f t="shared" si="15"/>
        <v>HFS-4 Percentage of population covered by financial risk protection schemes-1</v>
      </c>
      <c r="E359" s="15" t="s">
        <v>5638</v>
      </c>
      <c r="F359" s="15" t="s">
        <v>5639</v>
      </c>
      <c r="G359" s="14" t="s">
        <v>5640</v>
      </c>
      <c r="H359" s="15" t="s">
        <v>5641</v>
      </c>
    </row>
    <row r="360" spans="1:8">
      <c r="A360" s="14" t="s">
        <v>1336</v>
      </c>
      <c r="B360" s="15" t="s">
        <v>1337</v>
      </c>
      <c r="C360" s="14">
        <f t="shared" si="14"/>
        <v>2</v>
      </c>
      <c r="D360" s="14" t="str">
        <f t="shared" si="15"/>
        <v>HFS-4 Percentage of population covered by financial risk protection schemes-2</v>
      </c>
      <c r="E360" s="15" t="s">
        <v>5638</v>
      </c>
      <c r="F360" s="15" t="s">
        <v>5642</v>
      </c>
      <c r="G360" s="14" t="s">
        <v>5643</v>
      </c>
      <c r="H360" s="15" t="s">
        <v>5644</v>
      </c>
    </row>
    <row r="361" spans="1:8">
      <c r="A361" s="14" t="s">
        <v>1336</v>
      </c>
      <c r="B361" s="15" t="s">
        <v>1337</v>
      </c>
      <c r="C361" s="14">
        <f t="shared" si="14"/>
        <v>3</v>
      </c>
      <c r="D361" s="14" t="str">
        <f t="shared" si="15"/>
        <v>HFS-4 Percentage of population covered by financial risk protection schemes-3</v>
      </c>
      <c r="E361" s="15" t="s">
        <v>5638</v>
      </c>
      <c r="F361" s="15" t="s">
        <v>5645</v>
      </c>
      <c r="G361" s="14" t="s">
        <v>5646</v>
      </c>
      <c r="H361" s="15" t="s">
        <v>5647</v>
      </c>
    </row>
    <row r="362" spans="1:8">
      <c r="A362" s="14" t="s">
        <v>1340</v>
      </c>
      <c r="B362" s="15" t="s">
        <v>1341</v>
      </c>
      <c r="C362" s="14">
        <f t="shared" si="14"/>
        <v>0</v>
      </c>
      <c r="D362" s="14" t="str">
        <f t="shared" si="15"/>
        <v>HFS-5 Percentage of civil society organizations contracted by public entities for provision of community-based services to key populations-0</v>
      </c>
      <c r="E362" s="15" t="s">
        <v>5311</v>
      </c>
      <c r="F362" s="15" t="s">
        <v>5340</v>
      </c>
      <c r="G362" s="14" t="s">
        <v>5648</v>
      </c>
      <c r="H362" s="15" t="s">
        <v>5649</v>
      </c>
    </row>
    <row r="363" spans="1:8">
      <c r="A363" s="14" t="s">
        <v>1340</v>
      </c>
      <c r="B363" s="15" t="s">
        <v>1341</v>
      </c>
      <c r="C363" s="14">
        <f t="shared" si="14"/>
        <v>1</v>
      </c>
      <c r="D363" s="14" t="str">
        <f t="shared" si="15"/>
        <v>HFS-5 Percentage of civil society organizations contracted by public entities for provision of community-based services to key populations-1</v>
      </c>
      <c r="E363" s="15" t="s">
        <v>5311</v>
      </c>
      <c r="F363" s="15" t="s">
        <v>5345</v>
      </c>
      <c r="G363" s="14" t="s">
        <v>5650</v>
      </c>
      <c r="H363" s="15" t="s">
        <v>5651</v>
      </c>
    </row>
    <row r="364" spans="1:8">
      <c r="A364" s="14" t="s">
        <v>1340</v>
      </c>
      <c r="B364" s="15" t="s">
        <v>1341</v>
      </c>
      <c r="C364" s="14">
        <f t="shared" si="14"/>
        <v>2</v>
      </c>
      <c r="D364" s="14" t="str">
        <f t="shared" si="15"/>
        <v>HFS-5 Percentage of civil society organizations contracted by public entities for provision of community-based services to key populations-2</v>
      </c>
      <c r="E364" s="15" t="s">
        <v>5311</v>
      </c>
      <c r="F364" s="15" t="s">
        <v>5652</v>
      </c>
      <c r="G364" s="14" t="s">
        <v>5653</v>
      </c>
      <c r="H364" s="15" t="s">
        <v>5654</v>
      </c>
    </row>
    <row r="365" spans="1:8">
      <c r="A365" s="14" t="s">
        <v>1340</v>
      </c>
      <c r="B365" s="15" t="s">
        <v>1341</v>
      </c>
      <c r="C365" s="14">
        <f t="shared" si="14"/>
        <v>3</v>
      </c>
      <c r="D365" s="14" t="str">
        <f t="shared" si="15"/>
        <v>HFS-5 Percentage of civil society organizations contracted by public entities for provision of community-based services to key populations-3</v>
      </c>
      <c r="E365" s="15" t="s">
        <v>5311</v>
      </c>
      <c r="F365" s="15" t="s">
        <v>5320</v>
      </c>
      <c r="G365" s="14" t="s">
        <v>5655</v>
      </c>
      <c r="H365" s="15" t="s">
        <v>5656</v>
      </c>
    </row>
    <row r="366" spans="1:8">
      <c r="A366" s="14" t="s">
        <v>1340</v>
      </c>
      <c r="B366" s="15" t="s">
        <v>1341</v>
      </c>
      <c r="C366" s="14">
        <f t="shared" si="14"/>
        <v>4</v>
      </c>
      <c r="D366" s="14" t="str">
        <f t="shared" si="15"/>
        <v>HFS-5 Percentage of civil society organizations contracted by public entities for provision of community-based services to key populations-4</v>
      </c>
      <c r="E366" s="15" t="s">
        <v>5311</v>
      </c>
      <c r="F366" s="15" t="s">
        <v>5323</v>
      </c>
      <c r="G366" s="14" t="s">
        <v>5657</v>
      </c>
      <c r="H366" s="15" t="s">
        <v>5658</v>
      </c>
    </row>
    <row r="367" spans="1:8">
      <c r="A367" s="14" t="s">
        <v>1340</v>
      </c>
      <c r="B367" s="15" t="s">
        <v>1341</v>
      </c>
      <c r="C367" s="14">
        <f t="shared" si="14"/>
        <v>5</v>
      </c>
      <c r="D367" s="14" t="str">
        <f t="shared" si="15"/>
        <v>HFS-5 Percentage of civil society organizations contracted by public entities for provision of community-based services to key populations-5</v>
      </c>
      <c r="E367" s="15" t="s">
        <v>1391</v>
      </c>
      <c r="F367" s="15" t="s">
        <v>5659</v>
      </c>
      <c r="G367" s="14" t="s">
        <v>5660</v>
      </c>
      <c r="H367" s="15" t="s">
        <v>5661</v>
      </c>
    </row>
    <row r="368" spans="1:8">
      <c r="A368" s="14" t="s">
        <v>1340</v>
      </c>
      <c r="B368" s="15" t="s">
        <v>1341</v>
      </c>
      <c r="C368" s="14">
        <f t="shared" si="14"/>
        <v>6</v>
      </c>
      <c r="D368" s="14" t="str">
        <f t="shared" si="15"/>
        <v>HFS-5 Percentage of civil society organizations contracted by public entities for provision of community-based services to key populations-6</v>
      </c>
      <c r="E368" s="15" t="s">
        <v>1391</v>
      </c>
      <c r="F368" s="15" t="s">
        <v>5662</v>
      </c>
      <c r="G368" s="14" t="s">
        <v>5663</v>
      </c>
      <c r="H368" s="15" t="s">
        <v>5664</v>
      </c>
    </row>
    <row r="369" spans="1:8">
      <c r="A369" s="14" t="s">
        <v>1340</v>
      </c>
      <c r="B369" s="15" t="s">
        <v>1341</v>
      </c>
      <c r="C369" s="14">
        <f t="shared" si="14"/>
        <v>7</v>
      </c>
      <c r="D369" s="14" t="str">
        <f t="shared" si="15"/>
        <v>HFS-5 Percentage of civil society organizations contracted by public entities for provision of community-based services to key populations-7</v>
      </c>
      <c r="E369" s="15" t="s">
        <v>1391</v>
      </c>
      <c r="F369" s="15" t="s">
        <v>5665</v>
      </c>
      <c r="G369" s="14" t="s">
        <v>5666</v>
      </c>
      <c r="H369" s="15" t="s">
        <v>5667</v>
      </c>
    </row>
    <row r="370" spans="1:8">
      <c r="A370" s="14" t="s">
        <v>1340</v>
      </c>
      <c r="B370" s="15" t="s">
        <v>1341</v>
      </c>
      <c r="C370" s="14">
        <f t="shared" si="14"/>
        <v>8</v>
      </c>
      <c r="D370" s="14" t="str">
        <f t="shared" si="15"/>
        <v>HFS-5 Percentage of civil society organizations contracted by public entities for provision of community-based services to key populations-8</v>
      </c>
      <c r="E370" s="15" t="s">
        <v>5620</v>
      </c>
      <c r="F370" s="15" t="s">
        <v>5624</v>
      </c>
      <c r="G370" s="14" t="s">
        <v>5668</v>
      </c>
      <c r="H370" s="15" t="s">
        <v>5669</v>
      </c>
    </row>
    <row r="371" spans="1:8">
      <c r="A371" s="14" t="s">
        <v>1340</v>
      </c>
      <c r="B371" s="15" t="s">
        <v>1341</v>
      </c>
      <c r="C371" s="14">
        <f t="shared" si="14"/>
        <v>9</v>
      </c>
      <c r="D371" s="14" t="str">
        <f t="shared" si="15"/>
        <v>HFS-5 Percentage of civil society organizations contracted by public entities for provision of community-based services to key populations-9</v>
      </c>
      <c r="E371" s="15" t="s">
        <v>5620</v>
      </c>
      <c r="F371" s="15" t="s">
        <v>5621</v>
      </c>
      <c r="G371" s="14" t="s">
        <v>5670</v>
      </c>
      <c r="H371" s="15" t="s">
        <v>5671</v>
      </c>
    </row>
    <row r="372" spans="1:8">
      <c r="A372" s="14" t="s">
        <v>1344</v>
      </c>
      <c r="B372" s="15" t="s">
        <v>1345</v>
      </c>
      <c r="C372" s="14">
        <f t="shared" si="14"/>
        <v>0</v>
      </c>
      <c r="D372" s="14" t="str">
        <f t="shared" si="15"/>
        <v>HFS-6 Percentage of healthcare facilities having performance-based contracts with public entities-0</v>
      </c>
      <c r="E372" s="15" t="s">
        <v>5672</v>
      </c>
      <c r="F372" s="15" t="s">
        <v>5360</v>
      </c>
      <c r="G372" s="14" t="s">
        <v>5673</v>
      </c>
      <c r="H372" s="15" t="s">
        <v>5674</v>
      </c>
    </row>
    <row r="373" spans="1:8">
      <c r="A373" s="14" t="s">
        <v>1344</v>
      </c>
      <c r="B373" s="15" t="s">
        <v>1345</v>
      </c>
      <c r="C373" s="14">
        <f t="shared" si="14"/>
        <v>1</v>
      </c>
      <c r="D373" s="14" t="str">
        <f t="shared" si="15"/>
        <v>HFS-6 Percentage of healthcare facilities having performance-based contracts with public entities-1</v>
      </c>
      <c r="E373" s="15" t="s">
        <v>1028</v>
      </c>
      <c r="F373" s="15" t="s">
        <v>3417</v>
      </c>
      <c r="G373" s="14" t="s">
        <v>5675</v>
      </c>
      <c r="H373" s="15" t="s">
        <v>5676</v>
      </c>
    </row>
    <row r="374" spans="1:8">
      <c r="A374" s="14" t="s">
        <v>1344</v>
      </c>
      <c r="B374" s="15" t="s">
        <v>1345</v>
      </c>
      <c r="C374" s="14">
        <f t="shared" si="14"/>
        <v>2</v>
      </c>
      <c r="D374" s="14" t="str">
        <f t="shared" si="15"/>
        <v>HFS-6 Percentage of healthcare facilities having performance-based contracts with public entities-2</v>
      </c>
      <c r="E374" s="15" t="s">
        <v>1028</v>
      </c>
      <c r="F374" s="15" t="s">
        <v>3421</v>
      </c>
      <c r="G374" s="14" t="s">
        <v>5677</v>
      </c>
      <c r="H374" s="15" t="s">
        <v>5678</v>
      </c>
    </row>
    <row r="375" spans="1:8">
      <c r="A375" s="14" t="s">
        <v>1344</v>
      </c>
      <c r="B375" s="15" t="s">
        <v>1345</v>
      </c>
      <c r="C375" s="14">
        <f t="shared" si="14"/>
        <v>3</v>
      </c>
      <c r="D375" s="14" t="str">
        <f t="shared" si="15"/>
        <v>HFS-6 Percentage of healthcare facilities having performance-based contracts with public entities-3</v>
      </c>
      <c r="E375" s="15" t="s">
        <v>5672</v>
      </c>
      <c r="F375" s="15" t="s">
        <v>5363</v>
      </c>
      <c r="G375" s="14" t="s">
        <v>5679</v>
      </c>
      <c r="H375" s="15" t="s">
        <v>5680</v>
      </c>
    </row>
    <row r="376" spans="1:8">
      <c r="A376" s="14" t="s">
        <v>1317</v>
      </c>
      <c r="B376" s="15" t="s">
        <v>1318</v>
      </c>
      <c r="C376" s="14">
        <f t="shared" si="14"/>
        <v>0</v>
      </c>
      <c r="D376" s="14" t="str">
        <f t="shared" si="15"/>
        <v>CSS-2 Number of community organizations that received a pre-defined package of training-0</v>
      </c>
      <c r="E376" s="15" t="s">
        <v>5681</v>
      </c>
      <c r="F376" s="15" t="s">
        <v>5682</v>
      </c>
      <c r="G376" s="14" t="s">
        <v>5683</v>
      </c>
      <c r="H376" s="15" t="s">
        <v>5684</v>
      </c>
    </row>
    <row r="377" spans="1:8">
      <c r="A377" s="14" t="s">
        <v>1317</v>
      </c>
      <c r="B377" s="15" t="s">
        <v>1318</v>
      </c>
      <c r="C377" s="14">
        <f t="shared" si="14"/>
        <v>1</v>
      </c>
      <c r="D377" s="14" t="str">
        <f t="shared" si="15"/>
        <v>CSS-2 Number of community organizations that received a pre-defined package of training-1</v>
      </c>
      <c r="E377" s="15" t="s">
        <v>5685</v>
      </c>
      <c r="F377" s="15" t="s">
        <v>5686</v>
      </c>
      <c r="G377" s="14" t="s">
        <v>5687</v>
      </c>
      <c r="H377" s="15" t="s">
        <v>5688</v>
      </c>
    </row>
    <row r="378" spans="1:8">
      <c r="A378" s="14" t="s">
        <v>1317</v>
      </c>
      <c r="B378" s="15" t="s">
        <v>1318</v>
      </c>
      <c r="C378" s="14">
        <f t="shared" si="14"/>
        <v>2</v>
      </c>
      <c r="D378" s="14" t="str">
        <f t="shared" si="15"/>
        <v>CSS-2 Number of community organizations that received a pre-defined package of training-2</v>
      </c>
      <c r="E378" s="15" t="s">
        <v>5681</v>
      </c>
      <c r="F378" s="15" t="s">
        <v>5689</v>
      </c>
      <c r="G378" s="14" t="s">
        <v>5690</v>
      </c>
      <c r="H378" s="15" t="s">
        <v>5691</v>
      </c>
    </row>
    <row r="379" spans="1:8">
      <c r="A379" s="14" t="s">
        <v>1317</v>
      </c>
      <c r="B379" s="15" t="s">
        <v>1318</v>
      </c>
      <c r="C379" s="14">
        <f t="shared" si="14"/>
        <v>3</v>
      </c>
      <c r="D379" s="14" t="str">
        <f t="shared" si="15"/>
        <v>CSS-2 Number of community organizations that received a pre-defined package of training-3</v>
      </c>
      <c r="E379" s="15" t="s">
        <v>5681</v>
      </c>
      <c r="F379" s="15" t="s">
        <v>5692</v>
      </c>
      <c r="G379" s="14" t="s">
        <v>5693</v>
      </c>
      <c r="H379" s="15" t="s">
        <v>5694</v>
      </c>
    </row>
    <row r="380" spans="1:8">
      <c r="A380" s="14" t="s">
        <v>1317</v>
      </c>
      <c r="B380" s="15" t="s">
        <v>1318</v>
      </c>
      <c r="C380" s="14">
        <f t="shared" si="14"/>
        <v>4</v>
      </c>
      <c r="D380" s="14" t="str">
        <f t="shared" si="15"/>
        <v>CSS-2 Number of community organizations that received a pre-defined package of training-4</v>
      </c>
      <c r="E380" s="15" t="s">
        <v>5685</v>
      </c>
      <c r="F380" s="15" t="s">
        <v>5695</v>
      </c>
      <c r="G380" s="14" t="s">
        <v>5696</v>
      </c>
      <c r="H380" s="15" t="s">
        <v>5697</v>
      </c>
    </row>
    <row r="381" spans="1:8">
      <c r="A381" s="14" t="s">
        <v>1321</v>
      </c>
      <c r="B381" s="15" t="s">
        <v>1322</v>
      </c>
      <c r="C381" s="14">
        <f t="shared" si="14"/>
        <v>0</v>
      </c>
      <c r="D381" s="14" t="str">
        <f t="shared" si="15"/>
        <v>CSS-3 Percentage of health service delivery sites with a community-led monitoring mechanism in place-0</v>
      </c>
      <c r="E381" s="15" t="s">
        <v>1323</v>
      </c>
      <c r="F381" s="15" t="s">
        <v>5698</v>
      </c>
      <c r="G381" s="14" t="s">
        <v>5699</v>
      </c>
      <c r="H381" s="15" t="s">
        <v>5700</v>
      </c>
    </row>
    <row r="382" spans="1:8">
      <c r="A382" s="14" t="s">
        <v>1321</v>
      </c>
      <c r="B382" s="15" t="s">
        <v>1322</v>
      </c>
      <c r="C382" s="14">
        <f t="shared" si="14"/>
        <v>1</v>
      </c>
      <c r="D382" s="14" t="str">
        <f t="shared" si="15"/>
        <v>CSS-3 Percentage of health service delivery sites with a community-led monitoring mechanism in place-1</v>
      </c>
      <c r="E382" s="15" t="s">
        <v>1323</v>
      </c>
      <c r="F382" s="15" t="s">
        <v>1493</v>
      </c>
      <c r="G382" s="14" t="s">
        <v>5701</v>
      </c>
      <c r="H382" s="15" t="s">
        <v>5702</v>
      </c>
    </row>
    <row r="383" spans="1:8">
      <c r="A383" s="14" t="s">
        <v>1321</v>
      </c>
      <c r="B383" s="15" t="s">
        <v>1322</v>
      </c>
      <c r="C383" s="14">
        <f t="shared" si="14"/>
        <v>2</v>
      </c>
      <c r="D383" s="14" t="str">
        <f t="shared" si="15"/>
        <v>CSS-3 Percentage of health service delivery sites with a community-led monitoring mechanism in place-2</v>
      </c>
      <c r="E383" s="15" t="s">
        <v>1323</v>
      </c>
      <c r="F383" s="15" t="s">
        <v>5659</v>
      </c>
      <c r="G383" s="14" t="s">
        <v>5703</v>
      </c>
      <c r="H383" s="15" t="s">
        <v>5704</v>
      </c>
    </row>
    <row r="384" spans="1:8">
      <c r="A384" s="14" t="s">
        <v>1321</v>
      </c>
      <c r="B384" s="15" t="s">
        <v>1322</v>
      </c>
      <c r="C384" s="14">
        <f t="shared" si="14"/>
        <v>3</v>
      </c>
      <c r="D384" s="14" t="str">
        <f t="shared" si="15"/>
        <v>CSS-3 Percentage of health service delivery sites with a community-led monitoring mechanism in place-3</v>
      </c>
      <c r="E384" s="15" t="s">
        <v>1323</v>
      </c>
      <c r="F384" s="15" t="s">
        <v>5662</v>
      </c>
      <c r="G384" s="14" t="s">
        <v>5705</v>
      </c>
      <c r="H384" s="15" t="s">
        <v>5706</v>
      </c>
    </row>
    <row r="385" spans="1:8">
      <c r="A385" s="14" t="s">
        <v>1321</v>
      </c>
      <c r="B385" s="15" t="s">
        <v>1322</v>
      </c>
      <c r="C385" s="14">
        <f t="shared" si="14"/>
        <v>4</v>
      </c>
      <c r="D385" s="14" t="str">
        <f t="shared" si="15"/>
        <v>CSS-3 Percentage of health service delivery sites with a community-led monitoring mechanism in place-4</v>
      </c>
      <c r="E385" s="15" t="s">
        <v>1323</v>
      </c>
      <c r="F385" s="15" t="s">
        <v>5665</v>
      </c>
      <c r="G385" s="14" t="s">
        <v>5707</v>
      </c>
      <c r="H385" s="15" t="s">
        <v>5708</v>
      </c>
    </row>
    <row r="386" spans="1:8">
      <c r="A386" s="14" t="s">
        <v>1404</v>
      </c>
      <c r="B386" s="15" t="s">
        <v>1405</v>
      </c>
      <c r="C386" s="14">
        <f t="shared" si="14"/>
        <v>0</v>
      </c>
      <c r="D386" s="14" t="str">
        <f t="shared" si="15"/>
        <v>RSSH/PP M&amp;E-1 Completeness of reporting: Percentage of expected monthly reports (for the reporting period) that are actually received-0</v>
      </c>
      <c r="E386" s="15" t="s">
        <v>1423</v>
      </c>
      <c r="F386" s="15" t="s">
        <v>4330</v>
      </c>
      <c r="G386" s="14" t="s">
        <v>4332</v>
      </c>
      <c r="H386" s="15" t="s">
        <v>4331</v>
      </c>
    </row>
    <row r="387" spans="1:8">
      <c r="A387" s="14" t="s">
        <v>1404</v>
      </c>
      <c r="B387" s="15" t="s">
        <v>1405</v>
      </c>
      <c r="C387" s="14">
        <f t="shared" si="14"/>
        <v>1</v>
      </c>
      <c r="D387" s="14" t="str">
        <f t="shared" si="15"/>
        <v>RSSH/PP M&amp;E-1 Completeness of reporting: Percentage of expected monthly reports (for the reporting period) that are actually received-1</v>
      </c>
      <c r="E387" s="15" t="s">
        <v>1028</v>
      </c>
      <c r="F387" s="15" t="s">
        <v>4334</v>
      </c>
      <c r="G387" s="14" t="s">
        <v>4336</v>
      </c>
      <c r="H387" s="15" t="s">
        <v>4335</v>
      </c>
    </row>
    <row r="388" spans="1:8">
      <c r="A388" s="14" t="s">
        <v>1404</v>
      </c>
      <c r="B388" s="15" t="s">
        <v>1405</v>
      </c>
      <c r="C388" s="14">
        <f t="shared" si="14"/>
        <v>2</v>
      </c>
      <c r="D388" s="14" t="str">
        <f t="shared" si="15"/>
        <v>RSSH/PP M&amp;E-1 Completeness of reporting: Percentage of expected monthly reports (for the reporting period) that are actually received-2</v>
      </c>
      <c r="E388" s="15" t="s">
        <v>1423</v>
      </c>
      <c r="F388" s="15" t="s">
        <v>4338</v>
      </c>
      <c r="G388" s="14" t="s">
        <v>4340</v>
      </c>
      <c r="H388" s="15" t="s">
        <v>4339</v>
      </c>
    </row>
    <row r="389" spans="1:8">
      <c r="A389" s="14" t="s">
        <v>1404</v>
      </c>
      <c r="B389" s="15" t="s">
        <v>1405</v>
      </c>
      <c r="C389" s="14">
        <f t="shared" si="14"/>
        <v>3</v>
      </c>
      <c r="D389" s="14" t="str">
        <f t="shared" si="15"/>
        <v>RSSH/PP M&amp;E-1 Completeness of reporting: Percentage of expected monthly reports (for the reporting period) that are actually received-3</v>
      </c>
      <c r="E389" s="15" t="s">
        <v>1423</v>
      </c>
      <c r="F389" s="15" t="s">
        <v>4342</v>
      </c>
      <c r="G389" s="14" t="s">
        <v>4344</v>
      </c>
      <c r="H389" s="15" t="s">
        <v>4343</v>
      </c>
    </row>
    <row r="390" spans="1:8">
      <c r="A390" s="14" t="s">
        <v>1404</v>
      </c>
      <c r="B390" s="15" t="s">
        <v>1405</v>
      </c>
      <c r="C390" s="14">
        <f t="shared" si="14"/>
        <v>4</v>
      </c>
      <c r="D390" s="14" t="str">
        <f t="shared" si="15"/>
        <v>RSSH/PP M&amp;E-1 Completeness of reporting: Percentage of expected monthly reports (for the reporting period) that are actually received-4</v>
      </c>
      <c r="E390" s="15" t="s">
        <v>1028</v>
      </c>
      <c r="F390" s="15" t="s">
        <v>3417</v>
      </c>
      <c r="G390" s="14" t="s">
        <v>4347</v>
      </c>
      <c r="H390" s="15" t="s">
        <v>4346</v>
      </c>
    </row>
    <row r="391" spans="1:8">
      <c r="A391" s="14" t="s">
        <v>1404</v>
      </c>
      <c r="B391" s="15" t="s">
        <v>1405</v>
      </c>
      <c r="C391" s="14">
        <f t="shared" si="14"/>
        <v>5</v>
      </c>
      <c r="D391" s="14" t="str">
        <f t="shared" si="15"/>
        <v>RSSH/PP M&amp;E-1 Completeness of reporting: Percentage of expected monthly reports (for the reporting period) that are actually received-5</v>
      </c>
      <c r="E391" s="15" t="s">
        <v>1423</v>
      </c>
      <c r="F391" s="15" t="s">
        <v>4349</v>
      </c>
      <c r="G391" s="14" t="s">
        <v>4351</v>
      </c>
      <c r="H391" s="15" t="s">
        <v>4350</v>
      </c>
    </row>
    <row r="392" spans="1:8">
      <c r="A392" s="14" t="s">
        <v>1404</v>
      </c>
      <c r="B392" s="15" t="s">
        <v>1405</v>
      </c>
      <c r="C392" s="14">
        <f t="shared" si="14"/>
        <v>6</v>
      </c>
      <c r="D392" s="14" t="str">
        <f t="shared" si="15"/>
        <v>RSSH/PP M&amp;E-1 Completeness of reporting: Percentage of expected monthly reports (for the reporting period) that are actually received-6</v>
      </c>
      <c r="E392" s="15" t="s">
        <v>1423</v>
      </c>
      <c r="F392" s="15" t="s">
        <v>4353</v>
      </c>
      <c r="G392" s="14" t="s">
        <v>4355</v>
      </c>
      <c r="H392" s="15" t="s">
        <v>4354</v>
      </c>
    </row>
    <row r="393" spans="1:8">
      <c r="A393" s="14" t="s">
        <v>1404</v>
      </c>
      <c r="B393" s="15" t="s">
        <v>1405</v>
      </c>
      <c r="C393" s="14">
        <f t="shared" si="14"/>
        <v>7</v>
      </c>
      <c r="D393" s="14" t="str">
        <f t="shared" si="15"/>
        <v>RSSH/PP M&amp;E-1 Completeness of reporting: Percentage of expected monthly reports (for the reporting period) that are actually received-7</v>
      </c>
      <c r="E393" s="15" t="s">
        <v>1028</v>
      </c>
      <c r="F393" s="15" t="s">
        <v>3421</v>
      </c>
      <c r="G393" s="14" t="s">
        <v>4358</v>
      </c>
      <c r="H393" s="15" t="s">
        <v>4357</v>
      </c>
    </row>
    <row r="394" spans="1:8">
      <c r="A394" s="14" t="s">
        <v>1408</v>
      </c>
      <c r="B394" s="15" t="s">
        <v>1409</v>
      </c>
      <c r="C394" s="14">
        <f t="shared" si="14"/>
        <v>0</v>
      </c>
      <c r="D394" s="14" t="str">
        <f t="shared" si="15"/>
        <v>RSSH/PP M&amp;E-2 Timeliness of reporting: Percentage of submitted monthly reports (for the reporting period) that are received on time per the national guidelines-0</v>
      </c>
      <c r="E394" s="15" t="s">
        <v>1423</v>
      </c>
      <c r="F394" s="15" t="s">
        <v>4330</v>
      </c>
      <c r="G394" s="14" t="s">
        <v>4361</v>
      </c>
      <c r="H394" s="15" t="s">
        <v>4360</v>
      </c>
    </row>
    <row r="395" spans="1:8">
      <c r="A395" s="14" t="s">
        <v>1408</v>
      </c>
      <c r="B395" s="15" t="s">
        <v>1409</v>
      </c>
      <c r="C395" s="14">
        <f t="shared" si="14"/>
        <v>1</v>
      </c>
      <c r="D395" s="14" t="str">
        <f t="shared" si="15"/>
        <v>RSSH/PP M&amp;E-2 Timeliness of reporting: Percentage of submitted monthly reports (for the reporting period) that are received on time per the national guidelines-1</v>
      </c>
      <c r="E395" s="15" t="s">
        <v>1028</v>
      </c>
      <c r="F395" s="15" t="s">
        <v>4334</v>
      </c>
      <c r="G395" s="14" t="s">
        <v>4364</v>
      </c>
      <c r="H395" s="15" t="s">
        <v>4363</v>
      </c>
    </row>
    <row r="396" spans="1:8">
      <c r="A396" s="14" t="s">
        <v>1408</v>
      </c>
      <c r="B396" s="15" t="s">
        <v>1409</v>
      </c>
      <c r="C396" s="14">
        <f t="shared" si="14"/>
        <v>2</v>
      </c>
      <c r="D396" s="14" t="str">
        <f t="shared" si="15"/>
        <v>RSSH/PP M&amp;E-2 Timeliness of reporting: Percentage of submitted monthly reports (for the reporting period) that are received on time per the national guidelines-2</v>
      </c>
      <c r="E396" s="15" t="s">
        <v>1423</v>
      </c>
      <c r="F396" s="15" t="s">
        <v>4342</v>
      </c>
      <c r="G396" s="14" t="s">
        <v>4367</v>
      </c>
      <c r="H396" s="15" t="s">
        <v>4366</v>
      </c>
    </row>
    <row r="397" spans="1:8">
      <c r="A397" s="14" t="s">
        <v>1408</v>
      </c>
      <c r="B397" s="15" t="s">
        <v>1409</v>
      </c>
      <c r="C397" s="14">
        <f t="shared" si="14"/>
        <v>3</v>
      </c>
      <c r="D397" s="14" t="str">
        <f t="shared" si="15"/>
        <v>RSSH/PP M&amp;E-2 Timeliness of reporting: Percentage of submitted monthly reports (for the reporting period) that are received on time per the national guidelines-3</v>
      </c>
      <c r="E397" s="15" t="s">
        <v>1028</v>
      </c>
      <c r="F397" s="15" t="s">
        <v>3417</v>
      </c>
      <c r="G397" s="14" t="s">
        <v>4370</v>
      </c>
      <c r="H397" s="15" t="s">
        <v>4369</v>
      </c>
    </row>
    <row r="398" spans="1:8">
      <c r="A398" s="14" t="s">
        <v>1408</v>
      </c>
      <c r="B398" s="15" t="s">
        <v>1409</v>
      </c>
      <c r="C398" s="14">
        <f t="shared" si="14"/>
        <v>4</v>
      </c>
      <c r="D398" s="14" t="str">
        <f t="shared" si="15"/>
        <v>RSSH/PP M&amp;E-2 Timeliness of reporting: Percentage of submitted monthly reports (for the reporting period) that are received on time per the national guidelines-4</v>
      </c>
      <c r="E398" s="15" t="s">
        <v>1423</v>
      </c>
      <c r="F398" s="15" t="s">
        <v>4349</v>
      </c>
      <c r="G398" s="14" t="s">
        <v>4373</v>
      </c>
      <c r="H398" s="15" t="s">
        <v>4372</v>
      </c>
    </row>
    <row r="399" spans="1:8">
      <c r="A399" s="14" t="s">
        <v>1408</v>
      </c>
      <c r="B399" s="15" t="s">
        <v>1409</v>
      </c>
      <c r="C399" s="14">
        <f t="shared" si="14"/>
        <v>5</v>
      </c>
      <c r="D399" s="14" t="str">
        <f t="shared" si="15"/>
        <v>RSSH/PP M&amp;E-2 Timeliness of reporting: Percentage of submitted monthly reports (for the reporting period) that are received on time per the national guidelines-5</v>
      </c>
      <c r="E399" s="15" t="s">
        <v>1423</v>
      </c>
      <c r="F399" s="15" t="s">
        <v>4353</v>
      </c>
      <c r="G399" s="14" t="s">
        <v>4376</v>
      </c>
      <c r="H399" s="15" t="s">
        <v>4375</v>
      </c>
    </row>
    <row r="400" spans="1:8">
      <c r="A400" s="14" t="s">
        <v>1408</v>
      </c>
      <c r="B400" s="15" t="s">
        <v>1409</v>
      </c>
      <c r="C400" s="14">
        <f t="shared" si="14"/>
        <v>6</v>
      </c>
      <c r="D400" s="14" t="str">
        <f t="shared" si="15"/>
        <v>RSSH/PP M&amp;E-2 Timeliness of reporting: Percentage of submitted monthly reports (for the reporting period) that are received on time per the national guidelines-6</v>
      </c>
      <c r="E400" s="15" t="s">
        <v>1028</v>
      </c>
      <c r="F400" s="15" t="s">
        <v>3421</v>
      </c>
      <c r="G400" s="14" t="s">
        <v>4379</v>
      </c>
      <c r="H400" s="15" t="s">
        <v>4378</v>
      </c>
    </row>
    <row r="401" spans="1:8">
      <c r="A401" s="14" t="s">
        <v>1411</v>
      </c>
      <c r="B401" s="15" t="s">
        <v>1412</v>
      </c>
      <c r="C401" s="14">
        <f t="shared" si="14"/>
        <v>0</v>
      </c>
      <c r="D401" s="14" t="str">
        <f t="shared" si="15"/>
        <v>RSSH/PP M&amp;E-3 Percentage of health facilities which are reporting key programmatic indicator results on at least a monthly basis using a digital, individual level data system-0</v>
      </c>
      <c r="E401" s="15" t="s">
        <v>1391</v>
      </c>
      <c r="F401" s="15" t="s">
        <v>5709</v>
      </c>
      <c r="G401" s="14" t="s">
        <v>5710</v>
      </c>
      <c r="H401" s="15" t="s">
        <v>5711</v>
      </c>
    </row>
    <row r="402" spans="1:8">
      <c r="A402" s="14" t="s">
        <v>1411</v>
      </c>
      <c r="B402" s="15" t="s">
        <v>1412</v>
      </c>
      <c r="C402" s="14">
        <f t="shared" si="14"/>
        <v>1</v>
      </c>
      <c r="D402" s="14" t="str">
        <f t="shared" si="15"/>
        <v>RSSH/PP M&amp;E-3 Percentage of health facilities which are reporting key programmatic indicator results on at least a monthly basis using a digital, individual level data system-1</v>
      </c>
      <c r="E402" s="15" t="s">
        <v>5712</v>
      </c>
      <c r="F402" s="15" t="s">
        <v>5713</v>
      </c>
      <c r="G402" s="14" t="s">
        <v>5714</v>
      </c>
      <c r="H402" s="15" t="s">
        <v>5715</v>
      </c>
    </row>
    <row r="403" spans="1:8">
      <c r="A403" s="14" t="s">
        <v>1411</v>
      </c>
      <c r="B403" s="15" t="s">
        <v>1412</v>
      </c>
      <c r="C403" s="14">
        <f t="shared" si="14"/>
        <v>2</v>
      </c>
      <c r="D403" s="14" t="str">
        <f t="shared" si="15"/>
        <v>RSSH/PP M&amp;E-3 Percentage of health facilities which are reporting key programmatic indicator results on at least a monthly basis using a digital, individual level data system-2</v>
      </c>
      <c r="E403" s="15" t="s">
        <v>1391</v>
      </c>
      <c r="F403" s="15" t="s">
        <v>5659</v>
      </c>
      <c r="G403" s="14" t="s">
        <v>5716</v>
      </c>
      <c r="H403" s="15" t="s">
        <v>5717</v>
      </c>
    </row>
    <row r="404" spans="1:8">
      <c r="A404" s="14" t="s">
        <v>1411</v>
      </c>
      <c r="B404" s="15" t="s">
        <v>1412</v>
      </c>
      <c r="C404" s="14">
        <f t="shared" si="14"/>
        <v>3</v>
      </c>
      <c r="D404" s="14" t="str">
        <f t="shared" si="15"/>
        <v>RSSH/PP M&amp;E-3 Percentage of health facilities which are reporting key programmatic indicator results on at least a monthly basis using a digital, individual level data system-3</v>
      </c>
      <c r="E404" s="15" t="s">
        <v>1391</v>
      </c>
      <c r="F404" s="15" t="s">
        <v>5662</v>
      </c>
      <c r="G404" s="14" t="s">
        <v>5718</v>
      </c>
      <c r="H404" s="15" t="s">
        <v>5719</v>
      </c>
    </row>
    <row r="405" spans="1:8">
      <c r="A405" s="14" t="s">
        <v>1411</v>
      </c>
      <c r="B405" s="15" t="s">
        <v>1412</v>
      </c>
      <c r="C405" s="14">
        <f t="shared" si="14"/>
        <v>4</v>
      </c>
      <c r="D405" s="14" t="str">
        <f t="shared" si="15"/>
        <v>RSSH/PP M&amp;E-3 Percentage of health facilities which are reporting key programmatic indicator results on at least a monthly basis using a digital, individual level data system-4</v>
      </c>
      <c r="E405" s="15" t="s">
        <v>5712</v>
      </c>
      <c r="F405" s="15" t="s">
        <v>5720</v>
      </c>
      <c r="G405" s="14" t="s">
        <v>5721</v>
      </c>
      <c r="H405" s="15" t="s">
        <v>5722</v>
      </c>
    </row>
    <row r="406" spans="1:8">
      <c r="A406" s="14" t="s">
        <v>1411</v>
      </c>
      <c r="B406" s="15" t="s">
        <v>1412</v>
      </c>
      <c r="C406" s="14">
        <f t="shared" si="14"/>
        <v>5</v>
      </c>
      <c r="D406" s="14" t="str">
        <f t="shared" si="15"/>
        <v>RSSH/PP M&amp;E-3 Percentage of health facilities which are reporting key programmatic indicator results on at least a monthly basis using a digital, individual level data system-5</v>
      </c>
      <c r="E406" s="15" t="s">
        <v>1391</v>
      </c>
      <c r="F406" s="15" t="s">
        <v>5665</v>
      </c>
      <c r="G406" s="14" t="s">
        <v>5723</v>
      </c>
      <c r="H406" s="15" t="s">
        <v>5724</v>
      </c>
    </row>
    <row r="407" spans="1:8">
      <c r="A407" s="14" t="s">
        <v>1411</v>
      </c>
      <c r="B407" s="15" t="s">
        <v>1412</v>
      </c>
      <c r="C407" s="14">
        <f t="shared" si="14"/>
        <v>6</v>
      </c>
      <c r="D407" s="14" t="str">
        <f t="shared" si="15"/>
        <v>RSSH/PP M&amp;E-3 Percentage of health facilities which are reporting key programmatic indicator results on at least a monthly basis using a digital, individual level data system-6</v>
      </c>
      <c r="E407" s="15" t="s">
        <v>5712</v>
      </c>
      <c r="F407" s="15" t="s">
        <v>5725</v>
      </c>
      <c r="G407" s="14" t="s">
        <v>5726</v>
      </c>
      <c r="H407" s="15" t="s">
        <v>5727</v>
      </c>
    </row>
    <row r="408" spans="1:8">
      <c r="A408" s="14" t="s">
        <v>1421</v>
      </c>
      <c r="B408" s="15" t="s">
        <v>1422</v>
      </c>
      <c r="C408" s="14">
        <f t="shared" si="14"/>
        <v>0</v>
      </c>
      <c r="D408" s="14" t="str">
        <f t="shared" si="15"/>
        <v>RSSH/PP M&amp;E-6 Percentage of private health units that report data into the national HMIS-0</v>
      </c>
      <c r="E408" s="15" t="s">
        <v>1423</v>
      </c>
      <c r="F408" s="15" t="s">
        <v>4330</v>
      </c>
      <c r="G408" s="14" t="s">
        <v>5728</v>
      </c>
      <c r="H408" s="15" t="s">
        <v>5729</v>
      </c>
    </row>
    <row r="409" spans="1:8">
      <c r="A409" s="14" t="s">
        <v>1421</v>
      </c>
      <c r="B409" s="15" t="s">
        <v>1422</v>
      </c>
      <c r="C409" s="14">
        <f t="shared" si="14"/>
        <v>1</v>
      </c>
      <c r="D409" s="14" t="str">
        <f t="shared" si="15"/>
        <v>RSSH/PP M&amp;E-6 Percentage of private health units that report data into the national HMIS-1</v>
      </c>
      <c r="E409" s="15" t="s">
        <v>1423</v>
      </c>
      <c r="F409" s="15" t="s">
        <v>4338</v>
      </c>
      <c r="G409" s="14" t="s">
        <v>5730</v>
      </c>
      <c r="H409" s="15" t="s">
        <v>5731</v>
      </c>
    </row>
    <row r="410" spans="1:8">
      <c r="A410" s="14" t="s">
        <v>1421</v>
      </c>
      <c r="B410" s="15" t="s">
        <v>1422</v>
      </c>
      <c r="C410" s="14">
        <f t="shared" si="14"/>
        <v>2</v>
      </c>
      <c r="D410" s="14" t="str">
        <f t="shared" si="15"/>
        <v>RSSH/PP M&amp;E-6 Percentage of private health units that report data into the national HMIS-2</v>
      </c>
      <c r="E410" s="15" t="s">
        <v>1423</v>
      </c>
      <c r="F410" s="15" t="s">
        <v>4342</v>
      </c>
      <c r="G410" s="14" t="s">
        <v>5732</v>
      </c>
      <c r="H410" s="15" t="s">
        <v>5733</v>
      </c>
    </row>
    <row r="411" spans="1:8">
      <c r="A411" s="14" t="s">
        <v>1421</v>
      </c>
      <c r="B411" s="15" t="s">
        <v>1422</v>
      </c>
      <c r="C411" s="14">
        <f t="shared" si="14"/>
        <v>3</v>
      </c>
      <c r="D411" s="14" t="str">
        <f t="shared" si="15"/>
        <v>RSSH/PP M&amp;E-6 Percentage of private health units that report data into the national HMIS-3</v>
      </c>
      <c r="E411" s="15" t="s">
        <v>1423</v>
      </c>
      <c r="F411" s="15" t="s">
        <v>4349</v>
      </c>
      <c r="G411" s="14" t="s">
        <v>5734</v>
      </c>
      <c r="H411" s="15" t="s">
        <v>5735</v>
      </c>
    </row>
    <row r="412" spans="1:8">
      <c r="A412" s="14" t="s">
        <v>1421</v>
      </c>
      <c r="B412" s="15" t="s">
        <v>1422</v>
      </c>
      <c r="C412" s="14">
        <f t="shared" si="14"/>
        <v>4</v>
      </c>
      <c r="D412" s="14" t="str">
        <f t="shared" si="15"/>
        <v>RSSH/PP M&amp;E-6 Percentage of private health units that report data into the national HMIS-4</v>
      </c>
      <c r="E412" s="15" t="s">
        <v>1423</v>
      </c>
      <c r="F412" s="15" t="s">
        <v>4353</v>
      </c>
      <c r="G412" s="14" t="s">
        <v>5736</v>
      </c>
      <c r="H412" s="15" t="s">
        <v>5737</v>
      </c>
    </row>
    <row r="413" spans="1:8">
      <c r="A413" s="14" t="s">
        <v>1431</v>
      </c>
      <c r="B413" s="15" t="s">
        <v>1432</v>
      </c>
      <c r="C413" s="14">
        <f t="shared" ref="C413:C476" si="16">IF(B413=B412,C412+1,0)</f>
        <v>0</v>
      </c>
      <c r="D413" s="14" t="str">
        <f t="shared" ref="D413:D476" si="17">B413&amp;"-"&amp;C413</f>
        <v>M&amp;E-6.1 Percentage of districts that produce at least semi-annual analytical reports-0</v>
      </c>
      <c r="E413" s="15" t="s">
        <v>1423</v>
      </c>
      <c r="F413" s="15" t="s">
        <v>4338</v>
      </c>
      <c r="G413" s="14" t="s">
        <v>5738</v>
      </c>
      <c r="H413" s="15" t="s">
        <v>5739</v>
      </c>
    </row>
    <row r="414" spans="1:8">
      <c r="A414" s="14" t="s">
        <v>1431</v>
      </c>
      <c r="B414" s="15" t="s">
        <v>1432</v>
      </c>
      <c r="C414" s="14">
        <f t="shared" si="16"/>
        <v>1</v>
      </c>
      <c r="D414" s="14" t="str">
        <f t="shared" si="17"/>
        <v>M&amp;E-6.1 Percentage of districts that produce at least semi-annual analytical reports-1</v>
      </c>
      <c r="E414" s="15" t="s">
        <v>1423</v>
      </c>
      <c r="F414" s="15" t="s">
        <v>4342</v>
      </c>
      <c r="G414" s="14" t="s">
        <v>5740</v>
      </c>
      <c r="H414" s="15" t="s">
        <v>5741</v>
      </c>
    </row>
    <row r="415" spans="1:8">
      <c r="A415" s="14" t="s">
        <v>1431</v>
      </c>
      <c r="B415" s="15" t="s">
        <v>1432</v>
      </c>
      <c r="C415" s="14">
        <f t="shared" si="16"/>
        <v>2</v>
      </c>
      <c r="D415" s="14" t="str">
        <f t="shared" si="17"/>
        <v>M&amp;E-6.1 Percentage of districts that produce at least semi-annual analytical reports-2</v>
      </c>
      <c r="E415" s="15" t="s">
        <v>1423</v>
      </c>
      <c r="F415" s="15" t="s">
        <v>4349</v>
      </c>
      <c r="G415" s="14" t="s">
        <v>5742</v>
      </c>
      <c r="H415" s="15" t="s">
        <v>5743</v>
      </c>
    </row>
    <row r="416" spans="1:8">
      <c r="A416" s="14" t="s">
        <v>1431</v>
      </c>
      <c r="B416" s="15" t="s">
        <v>1432</v>
      </c>
      <c r="C416" s="14">
        <f t="shared" si="16"/>
        <v>3</v>
      </c>
      <c r="D416" s="14" t="str">
        <f t="shared" si="17"/>
        <v>M&amp;E-6.1 Percentage of districts that produce at least semi-annual analytical reports-3</v>
      </c>
      <c r="E416" s="15" t="s">
        <v>1423</v>
      </c>
      <c r="F416" s="15" t="s">
        <v>4353</v>
      </c>
      <c r="G416" s="14" t="s">
        <v>5744</v>
      </c>
      <c r="H416" s="15" t="s">
        <v>5745</v>
      </c>
    </row>
    <row r="417" spans="1:8">
      <c r="A417" s="14" t="s">
        <v>1115</v>
      </c>
      <c r="B417" s="15" t="s">
        <v>1116</v>
      </c>
      <c r="C417" s="14">
        <f t="shared" si="16"/>
        <v>0</v>
      </c>
      <c r="D417" s="14" t="str">
        <f t="shared" si="17"/>
        <v>KP-1b Percentage of transgender people reached with HIV prevention programs - defined package of services-0</v>
      </c>
      <c r="E417" s="15" t="s">
        <v>849</v>
      </c>
      <c r="F417" s="15" t="s">
        <v>3167</v>
      </c>
      <c r="G417" s="14" t="s">
        <v>3866</v>
      </c>
      <c r="H417" s="15" t="s">
        <v>3865</v>
      </c>
    </row>
    <row r="418" spans="1:8">
      <c r="A418" s="14" t="s">
        <v>1115</v>
      </c>
      <c r="B418" s="15" t="s">
        <v>1116</v>
      </c>
      <c r="C418" s="14">
        <f t="shared" si="16"/>
        <v>1</v>
      </c>
      <c r="D418" s="14" t="str">
        <f t="shared" si="17"/>
        <v>KP-1b Percentage of transgender people reached with HIV prevention programs - defined package of services-1</v>
      </c>
      <c r="E418" s="15" t="s">
        <v>849</v>
      </c>
      <c r="F418" s="15" t="s">
        <v>3735</v>
      </c>
      <c r="G418" s="14" t="s">
        <v>3869</v>
      </c>
      <c r="H418" s="15" t="s">
        <v>3868</v>
      </c>
    </row>
    <row r="419" spans="1:8">
      <c r="A419" s="14" t="s">
        <v>1115</v>
      </c>
      <c r="B419" s="15" t="s">
        <v>1116</v>
      </c>
      <c r="C419" s="14">
        <f t="shared" si="16"/>
        <v>2</v>
      </c>
      <c r="D419" s="14" t="str">
        <f t="shared" si="17"/>
        <v>KP-1b Percentage of transgender people reached with HIV prevention programs - defined package of services-2</v>
      </c>
      <c r="E419" s="15" t="s">
        <v>1192</v>
      </c>
      <c r="F419" s="15" t="s">
        <v>3871</v>
      </c>
      <c r="G419" s="14" t="s">
        <v>3873</v>
      </c>
      <c r="H419" s="15" t="s">
        <v>3872</v>
      </c>
    </row>
    <row r="420" spans="1:8">
      <c r="A420" s="14" t="s">
        <v>1115</v>
      </c>
      <c r="B420" s="15" t="s">
        <v>1116</v>
      </c>
      <c r="C420" s="14">
        <f t="shared" si="16"/>
        <v>3</v>
      </c>
      <c r="D420" s="14" t="str">
        <f t="shared" si="17"/>
        <v>KP-1b Percentage of transgender people reached with HIV prevention programs - defined package of services-3</v>
      </c>
      <c r="E420" s="15" t="s">
        <v>1192</v>
      </c>
      <c r="F420" s="15" t="s">
        <v>3875</v>
      </c>
      <c r="G420" s="14" t="s">
        <v>3877</v>
      </c>
      <c r="H420" s="15" t="s">
        <v>3876</v>
      </c>
    </row>
    <row r="421" spans="1:8">
      <c r="A421" s="14" t="s">
        <v>1115</v>
      </c>
      <c r="B421" s="15" t="s">
        <v>1116</v>
      </c>
      <c r="C421" s="14">
        <f t="shared" si="16"/>
        <v>4</v>
      </c>
      <c r="D421" s="14" t="str">
        <f t="shared" si="17"/>
        <v>KP-1b Percentage of transgender people reached with HIV prevention programs - defined package of services-4</v>
      </c>
      <c r="E421" s="15" t="s">
        <v>849</v>
      </c>
      <c r="F421" s="15" t="s">
        <v>3739</v>
      </c>
      <c r="G421" s="14" t="s">
        <v>3880</v>
      </c>
      <c r="H421" s="15" t="s">
        <v>3879</v>
      </c>
    </row>
    <row r="422" spans="1:8">
      <c r="A422" s="14" t="s">
        <v>1118</v>
      </c>
      <c r="B422" s="15" t="s">
        <v>1119</v>
      </c>
      <c r="C422" s="14">
        <f t="shared" si="16"/>
        <v>0</v>
      </c>
      <c r="D422" s="14" t="str">
        <f t="shared" si="17"/>
        <v>KP-6b Number of transgender people who received any PrEP product at least once during the reporting period-0</v>
      </c>
      <c r="E422" s="15" t="s">
        <v>849</v>
      </c>
      <c r="F422" s="15" t="s">
        <v>3167</v>
      </c>
      <c r="G422" s="14" t="s">
        <v>3898</v>
      </c>
      <c r="H422" s="15" t="s">
        <v>3897</v>
      </c>
    </row>
    <row r="423" spans="1:8">
      <c r="A423" s="14" t="s">
        <v>1118</v>
      </c>
      <c r="B423" s="15" t="s">
        <v>1119</v>
      </c>
      <c r="C423" s="14">
        <f t="shared" si="16"/>
        <v>1</v>
      </c>
      <c r="D423" s="14" t="str">
        <f t="shared" si="17"/>
        <v>KP-6b Number of transgender people who received any PrEP product at least once during the reporting period-1</v>
      </c>
      <c r="E423" s="15" t="s">
        <v>849</v>
      </c>
      <c r="F423" s="15" t="s">
        <v>3735</v>
      </c>
      <c r="G423" s="14" t="s">
        <v>3901</v>
      </c>
      <c r="H423" s="15" t="s">
        <v>3900</v>
      </c>
    </row>
    <row r="424" spans="1:8">
      <c r="A424" s="14" t="s">
        <v>1118</v>
      </c>
      <c r="B424" s="15" t="s">
        <v>1119</v>
      </c>
      <c r="C424" s="14">
        <f t="shared" si="16"/>
        <v>2</v>
      </c>
      <c r="D424" s="14" t="str">
        <f t="shared" si="17"/>
        <v>KP-6b Number of transgender people who received any PrEP product at least once during the reporting period-2</v>
      </c>
      <c r="E424" s="15" t="s">
        <v>1192</v>
      </c>
      <c r="F424" s="15" t="s">
        <v>3871</v>
      </c>
      <c r="G424" s="14" t="s">
        <v>3904</v>
      </c>
      <c r="H424" s="15" t="s">
        <v>3903</v>
      </c>
    </row>
    <row r="425" spans="1:8">
      <c r="A425" s="14" t="s">
        <v>1118</v>
      </c>
      <c r="B425" s="15" t="s">
        <v>1119</v>
      </c>
      <c r="C425" s="14">
        <f t="shared" si="16"/>
        <v>3</v>
      </c>
      <c r="D425" s="14" t="str">
        <f t="shared" si="17"/>
        <v>KP-6b Number of transgender people who received any PrEP product at least once during the reporting period-3</v>
      </c>
      <c r="E425" s="15" t="s">
        <v>849</v>
      </c>
      <c r="F425" s="15" t="s">
        <v>3739</v>
      </c>
      <c r="G425" s="14" t="s">
        <v>3907</v>
      </c>
      <c r="H425" s="15" t="s">
        <v>3906</v>
      </c>
    </row>
    <row r="426" spans="1:8">
      <c r="A426" s="14" t="s">
        <v>1118</v>
      </c>
      <c r="B426" s="15" t="s">
        <v>1119</v>
      </c>
      <c r="C426" s="14">
        <f t="shared" si="16"/>
        <v>4</v>
      </c>
      <c r="D426" s="14" t="str">
        <f t="shared" si="17"/>
        <v>KP-6b Number of transgender people who received any PrEP product at least once during the reporting period-4</v>
      </c>
      <c r="E426" s="15" t="s">
        <v>1192</v>
      </c>
      <c r="F426" s="15" t="s">
        <v>3875</v>
      </c>
      <c r="G426" s="14" t="s">
        <v>3910</v>
      </c>
      <c r="H426" s="15" t="s">
        <v>3909</v>
      </c>
    </row>
    <row r="427" spans="1:8">
      <c r="A427" s="14" t="s">
        <v>1118</v>
      </c>
      <c r="B427" s="15" t="s">
        <v>1119</v>
      </c>
      <c r="C427" s="14">
        <f t="shared" si="16"/>
        <v>5</v>
      </c>
      <c r="D427" s="14" t="str">
        <f t="shared" si="17"/>
        <v>KP-6b Number of transgender people who received any PrEP product at least once during the reporting period-5</v>
      </c>
      <c r="E427" s="15" t="s">
        <v>5411</v>
      </c>
      <c r="F427" s="15" t="s">
        <v>3769</v>
      </c>
      <c r="G427" s="14" t="s">
        <v>3913</v>
      </c>
      <c r="H427" s="15" t="s">
        <v>3912</v>
      </c>
    </row>
    <row r="428" spans="1:8">
      <c r="A428" s="14" t="s">
        <v>1118</v>
      </c>
      <c r="B428" s="15" t="s">
        <v>1119</v>
      </c>
      <c r="C428" s="14">
        <f t="shared" si="16"/>
        <v>6</v>
      </c>
      <c r="D428" s="14" t="str">
        <f t="shared" si="17"/>
        <v>KP-6b Number of transgender people who received any PrEP product at least once during the reporting period-6</v>
      </c>
      <c r="E428" s="15" t="s">
        <v>5411</v>
      </c>
      <c r="F428" s="15" t="s">
        <v>3773</v>
      </c>
      <c r="G428" s="14" t="s">
        <v>3916</v>
      </c>
      <c r="H428" s="15" t="s">
        <v>3915</v>
      </c>
    </row>
    <row r="429" spans="1:8">
      <c r="A429" s="14" t="s">
        <v>1118</v>
      </c>
      <c r="B429" s="15" t="s">
        <v>1119</v>
      </c>
      <c r="C429" s="14">
        <f t="shared" si="16"/>
        <v>7</v>
      </c>
      <c r="D429" s="14" t="str">
        <f t="shared" si="17"/>
        <v>KP-6b Number of transgender people who received any PrEP product at least once during the reporting period-7</v>
      </c>
      <c r="E429" s="15" t="s">
        <v>5411</v>
      </c>
      <c r="F429" s="15" t="s">
        <v>3777</v>
      </c>
      <c r="G429" s="14" t="s">
        <v>3919</v>
      </c>
      <c r="H429" s="15" t="s">
        <v>3918</v>
      </c>
    </row>
    <row r="430" spans="1:8">
      <c r="A430" s="14" t="s">
        <v>1122</v>
      </c>
      <c r="B430" s="15" t="s">
        <v>1123</v>
      </c>
      <c r="C430" s="14">
        <f t="shared" si="16"/>
        <v>0</v>
      </c>
      <c r="D430" s="14" t="str">
        <f t="shared" si="17"/>
        <v>KP-7b Percentage of transgender people tested for STIs during the reporting period-0</v>
      </c>
      <c r="E430" s="15" t="s">
        <v>849</v>
      </c>
      <c r="F430" s="15" t="s">
        <v>3167</v>
      </c>
      <c r="G430" s="14" t="s">
        <v>5746</v>
      </c>
      <c r="H430" s="15" t="s">
        <v>5747</v>
      </c>
    </row>
    <row r="431" spans="1:8">
      <c r="A431" s="14" t="s">
        <v>1122</v>
      </c>
      <c r="B431" s="15" t="s">
        <v>1123</v>
      </c>
      <c r="C431" s="14">
        <f t="shared" si="16"/>
        <v>1</v>
      </c>
      <c r="D431" s="14" t="str">
        <f t="shared" si="17"/>
        <v>KP-7b Percentage of transgender people tested for STIs during the reporting period-1</v>
      </c>
      <c r="E431" s="15" t="s">
        <v>849</v>
      </c>
      <c r="F431" s="15" t="s">
        <v>3735</v>
      </c>
      <c r="G431" s="14" t="s">
        <v>5748</v>
      </c>
      <c r="H431" s="15" t="s">
        <v>5749</v>
      </c>
    </row>
    <row r="432" spans="1:8">
      <c r="A432" s="14" t="s">
        <v>1122</v>
      </c>
      <c r="B432" s="15" t="s">
        <v>1123</v>
      </c>
      <c r="C432" s="14">
        <f t="shared" si="16"/>
        <v>2</v>
      </c>
      <c r="D432" s="14" t="str">
        <f t="shared" si="17"/>
        <v>KP-7b Percentage of transgender people tested for STIs during the reporting period-2</v>
      </c>
      <c r="E432" s="15" t="s">
        <v>1192</v>
      </c>
      <c r="F432" s="15" t="s">
        <v>3871</v>
      </c>
      <c r="G432" s="14" t="s">
        <v>5750</v>
      </c>
      <c r="H432" s="15" t="s">
        <v>5751</v>
      </c>
    </row>
    <row r="433" spans="1:8">
      <c r="A433" s="14" t="s">
        <v>1122</v>
      </c>
      <c r="B433" s="15" t="s">
        <v>1123</v>
      </c>
      <c r="C433" s="14">
        <f t="shared" si="16"/>
        <v>3</v>
      </c>
      <c r="D433" s="14" t="str">
        <f t="shared" si="17"/>
        <v>KP-7b Percentage of transgender people tested for STIs during the reporting period-3</v>
      </c>
      <c r="E433" s="15" t="s">
        <v>849</v>
      </c>
      <c r="F433" s="15" t="s">
        <v>3739</v>
      </c>
      <c r="G433" s="14" t="s">
        <v>5752</v>
      </c>
      <c r="H433" s="15" t="s">
        <v>5753</v>
      </c>
    </row>
    <row r="434" spans="1:8">
      <c r="A434" s="14" t="s">
        <v>1122</v>
      </c>
      <c r="B434" s="15" t="s">
        <v>1123</v>
      </c>
      <c r="C434" s="14">
        <f t="shared" si="16"/>
        <v>4</v>
      </c>
      <c r="D434" s="14" t="str">
        <f t="shared" si="17"/>
        <v>KP-7b Percentage of transgender people tested for STIs during the reporting period-4</v>
      </c>
      <c r="E434" s="15" t="s">
        <v>1192</v>
      </c>
      <c r="F434" s="15" t="s">
        <v>3875</v>
      </c>
      <c r="G434" s="14" t="s">
        <v>5754</v>
      </c>
      <c r="H434" s="15" t="s">
        <v>5755</v>
      </c>
    </row>
    <row r="435" spans="1:8">
      <c r="A435" s="14" t="s">
        <v>1122</v>
      </c>
      <c r="B435" s="15" t="s">
        <v>1123</v>
      </c>
      <c r="C435" s="14">
        <f t="shared" si="16"/>
        <v>5</v>
      </c>
      <c r="D435" s="14" t="str">
        <f t="shared" si="17"/>
        <v>KP-7b Percentage of transgender people tested for STIs during the reporting period-5</v>
      </c>
      <c r="E435" s="15" t="s">
        <v>5422</v>
      </c>
      <c r="F435" s="15" t="s">
        <v>5423</v>
      </c>
      <c r="G435" s="14" t="s">
        <v>5756</v>
      </c>
      <c r="H435" s="15" t="s">
        <v>5757</v>
      </c>
    </row>
    <row r="436" spans="1:8">
      <c r="A436" s="14" t="s">
        <v>1122</v>
      </c>
      <c r="B436" s="15" t="s">
        <v>1123</v>
      </c>
      <c r="C436" s="14">
        <f t="shared" si="16"/>
        <v>6</v>
      </c>
      <c r="D436" s="14" t="str">
        <f t="shared" si="17"/>
        <v>KP-7b Percentage of transgender people tested for STIs during the reporting period-6</v>
      </c>
      <c r="E436" s="15" t="s">
        <v>5422</v>
      </c>
      <c r="F436" s="15" t="s">
        <v>5428</v>
      </c>
      <c r="G436" s="14" t="s">
        <v>5758</v>
      </c>
      <c r="H436" s="15" t="s">
        <v>5759</v>
      </c>
    </row>
    <row r="437" spans="1:8">
      <c r="A437" s="14" t="s">
        <v>1172</v>
      </c>
      <c r="B437" s="15" t="s">
        <v>1173</v>
      </c>
      <c r="C437" s="14">
        <f t="shared" si="16"/>
        <v>0</v>
      </c>
      <c r="D437" s="14" t="str">
        <f t="shared" si="17"/>
        <v>HTS-2 Percentage of high risk AGYW that have received an HIV test during the reporting period in AGYW programs-0</v>
      </c>
      <c r="E437" s="15" t="s">
        <v>849</v>
      </c>
      <c r="F437" s="15" t="s">
        <v>3735</v>
      </c>
      <c r="G437" s="14" t="s">
        <v>5760</v>
      </c>
      <c r="H437" s="15" t="s">
        <v>5761</v>
      </c>
    </row>
    <row r="438" spans="1:8">
      <c r="A438" s="14" t="s">
        <v>1172</v>
      </c>
      <c r="B438" s="15" t="s">
        <v>1173</v>
      </c>
      <c r="C438" s="14">
        <f t="shared" si="16"/>
        <v>1</v>
      </c>
      <c r="D438" s="14" t="str">
        <f t="shared" si="17"/>
        <v>HTS-2 Percentage of high risk AGYW that have received an HIV test during the reporting period in AGYW programs-1</v>
      </c>
      <c r="E438" s="15" t="s">
        <v>849</v>
      </c>
      <c r="F438" s="15" t="s">
        <v>3739</v>
      </c>
      <c r="G438" s="14" t="s">
        <v>5762</v>
      </c>
      <c r="H438" s="15" t="s">
        <v>5763</v>
      </c>
    </row>
    <row r="439" spans="1:8">
      <c r="A439" s="14" t="s">
        <v>1175</v>
      </c>
      <c r="B439" s="15" t="s">
        <v>1176</v>
      </c>
      <c r="C439" s="14">
        <f t="shared" si="16"/>
        <v>0</v>
      </c>
      <c r="D439" s="14" t="str">
        <f t="shared" si="17"/>
        <v>HTS-3a Percentage of MSM that have received an HIV test during the reporting period in KP-specific programs and know their results-0</v>
      </c>
      <c r="E439" s="15" t="s">
        <v>849</v>
      </c>
      <c r="F439" s="15" t="s">
        <v>3167</v>
      </c>
      <c r="G439" s="14" t="s">
        <v>4020</v>
      </c>
      <c r="H439" s="15" t="s">
        <v>4019</v>
      </c>
    </row>
    <row r="440" spans="1:8">
      <c r="A440" s="14" t="s">
        <v>1175</v>
      </c>
      <c r="B440" s="15" t="s">
        <v>1176</v>
      </c>
      <c r="C440" s="14">
        <f t="shared" si="16"/>
        <v>1</v>
      </c>
      <c r="D440" s="14" t="str">
        <f t="shared" si="17"/>
        <v>HTS-3a Percentage of MSM that have received an HIV test during the reporting period in KP-specific programs and know their results-1</v>
      </c>
      <c r="E440" s="15" t="s">
        <v>849</v>
      </c>
      <c r="F440" s="15" t="s">
        <v>3735</v>
      </c>
      <c r="G440" s="14" t="s">
        <v>4023</v>
      </c>
      <c r="H440" s="15" t="s">
        <v>4022</v>
      </c>
    </row>
    <row r="441" spans="1:8">
      <c r="A441" s="14" t="s">
        <v>1175</v>
      </c>
      <c r="B441" s="15" t="s">
        <v>1176</v>
      </c>
      <c r="C441" s="14">
        <f t="shared" si="16"/>
        <v>2</v>
      </c>
      <c r="D441" s="14" t="str">
        <f t="shared" si="17"/>
        <v>HTS-3a Percentage of MSM that have received an HIV test during the reporting period in KP-specific programs and know their results-2</v>
      </c>
      <c r="E441" s="15" t="s">
        <v>849</v>
      </c>
      <c r="F441" s="15" t="s">
        <v>3739</v>
      </c>
      <c r="G441" s="14" t="s">
        <v>4026</v>
      </c>
      <c r="H441" s="15" t="s">
        <v>4025</v>
      </c>
    </row>
    <row r="442" spans="1:8">
      <c r="A442" s="14" t="s">
        <v>1178</v>
      </c>
      <c r="B442" s="15" t="s">
        <v>1179</v>
      </c>
      <c r="C442" s="14">
        <f t="shared" si="16"/>
        <v>0</v>
      </c>
      <c r="D442" s="14" t="str">
        <f t="shared" si="17"/>
        <v>HTS-3b Percentage of TG that have received an HIV test during the reporting period in KP-specific programs and know their results-0</v>
      </c>
      <c r="E442" s="15" t="s">
        <v>849</v>
      </c>
      <c r="F442" s="15" t="s">
        <v>3167</v>
      </c>
      <c r="G442" s="14" t="s">
        <v>4046</v>
      </c>
      <c r="H442" s="15" t="s">
        <v>4045</v>
      </c>
    </row>
    <row r="443" spans="1:8">
      <c r="A443" s="14" t="s">
        <v>1178</v>
      </c>
      <c r="B443" s="15" t="s">
        <v>1179</v>
      </c>
      <c r="C443" s="14">
        <f t="shared" si="16"/>
        <v>1</v>
      </c>
      <c r="D443" s="14" t="str">
        <f t="shared" si="17"/>
        <v>HTS-3b Percentage of TG that have received an HIV test during the reporting period in KP-specific programs and know their results-1</v>
      </c>
      <c r="E443" s="15" t="s">
        <v>849</v>
      </c>
      <c r="F443" s="15" t="s">
        <v>3735</v>
      </c>
      <c r="G443" s="14" t="s">
        <v>4049</v>
      </c>
      <c r="H443" s="15" t="s">
        <v>4048</v>
      </c>
    </row>
    <row r="444" spans="1:8">
      <c r="A444" s="14" t="s">
        <v>1178</v>
      </c>
      <c r="B444" s="15" t="s">
        <v>1179</v>
      </c>
      <c r="C444" s="14">
        <f t="shared" si="16"/>
        <v>2</v>
      </c>
      <c r="D444" s="14" t="str">
        <f t="shared" si="17"/>
        <v>HTS-3b Percentage of TG that have received an HIV test during the reporting period in KP-specific programs and know their results-2</v>
      </c>
      <c r="E444" s="15" t="s">
        <v>1192</v>
      </c>
      <c r="F444" s="15" t="s">
        <v>3871</v>
      </c>
      <c r="G444" s="14" t="s">
        <v>4052</v>
      </c>
      <c r="H444" s="15" t="s">
        <v>4051</v>
      </c>
    </row>
    <row r="445" spans="1:8">
      <c r="A445" s="14" t="s">
        <v>1178</v>
      </c>
      <c r="B445" s="15" t="s">
        <v>1179</v>
      </c>
      <c r="C445" s="14">
        <f t="shared" si="16"/>
        <v>3</v>
      </c>
      <c r="D445" s="14" t="str">
        <f t="shared" si="17"/>
        <v>HTS-3b Percentage of TG that have received an HIV test during the reporting period in KP-specific programs and know their results-3</v>
      </c>
      <c r="E445" s="15" t="s">
        <v>1192</v>
      </c>
      <c r="F445" s="15" t="s">
        <v>3875</v>
      </c>
      <c r="G445" s="14" t="s">
        <v>4055</v>
      </c>
      <c r="H445" s="15" t="s">
        <v>4054</v>
      </c>
    </row>
    <row r="446" spans="1:8">
      <c r="A446" s="14" t="s">
        <v>1178</v>
      </c>
      <c r="B446" s="15" t="s">
        <v>1179</v>
      </c>
      <c r="C446" s="14">
        <f t="shared" si="16"/>
        <v>4</v>
      </c>
      <c r="D446" s="14" t="str">
        <f t="shared" si="17"/>
        <v>HTS-3b Percentage of TG that have received an HIV test during the reporting period in KP-specific programs and know their results-4</v>
      </c>
      <c r="E446" s="15" t="s">
        <v>849</v>
      </c>
      <c r="F446" s="15" t="s">
        <v>3739</v>
      </c>
      <c r="G446" s="14" t="s">
        <v>4058</v>
      </c>
      <c r="H446" s="15" t="s">
        <v>4057</v>
      </c>
    </row>
    <row r="447" spans="1:8">
      <c r="A447" s="14" t="s">
        <v>1181</v>
      </c>
      <c r="B447" s="15" t="s">
        <v>1182</v>
      </c>
      <c r="C447" s="14">
        <f t="shared" si="16"/>
        <v>0</v>
      </c>
      <c r="D447" s="14" t="str">
        <f t="shared" si="17"/>
        <v>HTS-3c Percentage of sex workers that have received an HIV test during the reporting period in KP-specific programs and know their results-0</v>
      </c>
      <c r="E447" s="15" t="s">
        <v>849</v>
      </c>
      <c r="F447" s="15" t="s">
        <v>3167</v>
      </c>
      <c r="G447" s="14" t="s">
        <v>4076</v>
      </c>
      <c r="H447" s="15" t="s">
        <v>4075</v>
      </c>
    </row>
    <row r="448" spans="1:8">
      <c r="A448" s="14" t="s">
        <v>1181</v>
      </c>
      <c r="B448" s="15" t="s">
        <v>1182</v>
      </c>
      <c r="C448" s="14">
        <f t="shared" si="16"/>
        <v>1</v>
      </c>
      <c r="D448" s="14" t="str">
        <f t="shared" si="17"/>
        <v>HTS-3c Percentage of sex workers that have received an HIV test during the reporting period in KP-specific programs and know their results-1</v>
      </c>
      <c r="E448" s="15" t="s">
        <v>849</v>
      </c>
      <c r="F448" s="15" t="s">
        <v>3735</v>
      </c>
      <c r="G448" s="14" t="s">
        <v>4079</v>
      </c>
      <c r="H448" s="15" t="s">
        <v>4078</v>
      </c>
    </row>
    <row r="449" spans="1:8">
      <c r="A449" s="14" t="s">
        <v>1181</v>
      </c>
      <c r="B449" s="15" t="s">
        <v>1182</v>
      </c>
      <c r="C449" s="14">
        <f t="shared" si="16"/>
        <v>2</v>
      </c>
      <c r="D449" s="14" t="str">
        <f t="shared" si="17"/>
        <v>HTS-3c Percentage of sex workers that have received an HIV test during the reporting period in KP-specific programs and know their results-2</v>
      </c>
      <c r="E449" s="15" t="s">
        <v>849</v>
      </c>
      <c r="F449" s="15" t="s">
        <v>3739</v>
      </c>
      <c r="G449" s="14" t="s">
        <v>4082</v>
      </c>
      <c r="H449" s="15" t="s">
        <v>4081</v>
      </c>
    </row>
    <row r="450" spans="1:8">
      <c r="A450" s="14" t="s">
        <v>1181</v>
      </c>
      <c r="B450" s="15" t="s">
        <v>1182</v>
      </c>
      <c r="C450" s="14">
        <f t="shared" si="16"/>
        <v>3</v>
      </c>
      <c r="D450" s="14" t="str">
        <f t="shared" si="17"/>
        <v>HTS-3c Percentage of sex workers that have received an HIV test during the reporting period in KP-specific programs and know their results-3</v>
      </c>
      <c r="E450" s="15" t="s">
        <v>1192</v>
      </c>
      <c r="F450" s="15" t="s">
        <v>3189</v>
      </c>
      <c r="G450" s="14" t="s">
        <v>4085</v>
      </c>
      <c r="H450" s="15" t="s">
        <v>4084</v>
      </c>
    </row>
    <row r="451" spans="1:8">
      <c r="A451" s="14" t="s">
        <v>1181</v>
      </c>
      <c r="B451" s="15" t="s">
        <v>1182</v>
      </c>
      <c r="C451" s="14">
        <f t="shared" si="16"/>
        <v>4</v>
      </c>
      <c r="D451" s="14" t="str">
        <f t="shared" si="17"/>
        <v>HTS-3c Percentage of sex workers that have received an HIV test during the reporting period in KP-specific programs and know their results-4</v>
      </c>
      <c r="E451" s="15" t="s">
        <v>1192</v>
      </c>
      <c r="F451" s="15" t="s">
        <v>3193</v>
      </c>
      <c r="G451" s="14" t="s">
        <v>4088</v>
      </c>
      <c r="H451" s="15" t="s">
        <v>4087</v>
      </c>
    </row>
    <row r="452" spans="1:8">
      <c r="A452" s="14" t="s">
        <v>1181</v>
      </c>
      <c r="B452" s="15" t="s">
        <v>1182</v>
      </c>
      <c r="C452" s="14">
        <f t="shared" si="16"/>
        <v>5</v>
      </c>
      <c r="D452" s="14" t="str">
        <f t="shared" si="17"/>
        <v>HTS-3c Percentage of sex workers that have received an HIV test during the reporting period in KP-specific programs and know their results-5</v>
      </c>
      <c r="E452" s="15" t="s">
        <v>1192</v>
      </c>
      <c r="F452" s="15" t="s">
        <v>3197</v>
      </c>
      <c r="G452" s="14" t="s">
        <v>4091</v>
      </c>
      <c r="H452" s="15" t="s">
        <v>4090</v>
      </c>
    </row>
    <row r="453" spans="1:8">
      <c r="A453" s="14" t="s">
        <v>1184</v>
      </c>
      <c r="B453" s="15" t="s">
        <v>1185</v>
      </c>
      <c r="C453" s="14">
        <f t="shared" si="16"/>
        <v>0</v>
      </c>
      <c r="D453" s="14" t="str">
        <f t="shared" si="17"/>
        <v>HTS-3d Percentage of people who inject drugs that have received an HIV test during the reporting period in KP-specific programs and know their results-0</v>
      </c>
      <c r="E453" s="15" t="s">
        <v>849</v>
      </c>
      <c r="F453" s="15" t="s">
        <v>3167</v>
      </c>
      <c r="G453" s="14" t="s">
        <v>4108</v>
      </c>
      <c r="H453" s="15" t="s">
        <v>4107</v>
      </c>
    </row>
    <row r="454" spans="1:8">
      <c r="A454" s="14" t="s">
        <v>1184</v>
      </c>
      <c r="B454" s="15" t="s">
        <v>1185</v>
      </c>
      <c r="C454" s="14">
        <f t="shared" si="16"/>
        <v>1</v>
      </c>
      <c r="D454" s="14" t="str">
        <f t="shared" si="17"/>
        <v>HTS-3d Percentage of people who inject drugs that have received an HIV test during the reporting period in KP-specific programs and know their results-1</v>
      </c>
      <c r="E454" s="15" t="s">
        <v>849</v>
      </c>
      <c r="F454" s="15" t="s">
        <v>3735</v>
      </c>
      <c r="G454" s="14" t="s">
        <v>4111</v>
      </c>
      <c r="H454" s="15" t="s">
        <v>4110</v>
      </c>
    </row>
    <row r="455" spans="1:8">
      <c r="A455" s="14" t="s">
        <v>1184</v>
      </c>
      <c r="B455" s="15" t="s">
        <v>1185</v>
      </c>
      <c r="C455" s="14">
        <f t="shared" si="16"/>
        <v>2</v>
      </c>
      <c r="D455" s="14" t="str">
        <f t="shared" si="17"/>
        <v>HTS-3d Percentage of people who inject drugs that have received an HIV test during the reporting period in KP-specific programs and know their results-2</v>
      </c>
      <c r="E455" s="15" t="s">
        <v>849</v>
      </c>
      <c r="F455" s="15" t="s">
        <v>3739</v>
      </c>
      <c r="G455" s="14" t="s">
        <v>4114</v>
      </c>
      <c r="H455" s="15" t="s">
        <v>4113</v>
      </c>
    </row>
    <row r="456" spans="1:8">
      <c r="A456" s="14" t="s">
        <v>1184</v>
      </c>
      <c r="B456" s="15" t="s">
        <v>1185</v>
      </c>
      <c r="C456" s="14">
        <f t="shared" si="16"/>
        <v>3</v>
      </c>
      <c r="D456" s="14" t="str">
        <f t="shared" si="17"/>
        <v>HTS-3d Percentage of people who inject drugs that have received an HIV test during the reporting period in KP-specific programs and know their results-3</v>
      </c>
      <c r="E456" s="15" t="s">
        <v>1192</v>
      </c>
      <c r="F456" s="15" t="s">
        <v>3193</v>
      </c>
      <c r="G456" s="14" t="s">
        <v>4117</v>
      </c>
      <c r="H456" s="15" t="s">
        <v>4116</v>
      </c>
    </row>
    <row r="457" spans="1:8">
      <c r="A457" s="14" t="s">
        <v>1184</v>
      </c>
      <c r="B457" s="15" t="s">
        <v>1185</v>
      </c>
      <c r="C457" s="14">
        <f t="shared" si="16"/>
        <v>4</v>
      </c>
      <c r="D457" s="14" t="str">
        <f t="shared" si="17"/>
        <v>HTS-3d Percentage of people who inject drugs that have received an HIV test during the reporting period in KP-specific programs and know their results-4</v>
      </c>
      <c r="E457" s="15" t="s">
        <v>1192</v>
      </c>
      <c r="F457" s="15" t="s">
        <v>3197</v>
      </c>
      <c r="G457" s="14" t="s">
        <v>4120</v>
      </c>
      <c r="H457" s="15" t="s">
        <v>4119</v>
      </c>
    </row>
    <row r="458" spans="1:8">
      <c r="A458" s="14" t="s">
        <v>1190</v>
      </c>
      <c r="B458" s="15" t="s">
        <v>1191</v>
      </c>
      <c r="C458" s="14">
        <f t="shared" si="16"/>
        <v>0</v>
      </c>
      <c r="D458" s="14" t="str">
        <f t="shared" si="17"/>
        <v>HTS-3f Number of people in prisons and other closed settings that have received an HIV test during the reporting period and know their results-0</v>
      </c>
      <c r="E458" s="15" t="s">
        <v>1192</v>
      </c>
      <c r="F458" s="15" t="s">
        <v>3193</v>
      </c>
      <c r="G458" s="14" t="s">
        <v>4138</v>
      </c>
      <c r="H458" s="15" t="s">
        <v>4137</v>
      </c>
    </row>
    <row r="459" spans="1:8">
      <c r="A459" s="14" t="s">
        <v>1190</v>
      </c>
      <c r="B459" s="15" t="s">
        <v>1191</v>
      </c>
      <c r="C459" s="14">
        <f t="shared" si="16"/>
        <v>1</v>
      </c>
      <c r="D459" s="14" t="str">
        <f t="shared" si="17"/>
        <v>HTS-3f Number of people in prisons and other closed settings that have received an HIV test during the reporting period and know their results-1</v>
      </c>
      <c r="E459" s="15" t="s">
        <v>1192</v>
      </c>
      <c r="F459" s="15" t="s">
        <v>3197</v>
      </c>
      <c r="G459" s="14" t="s">
        <v>4141</v>
      </c>
      <c r="H459" s="15" t="s">
        <v>4140</v>
      </c>
    </row>
    <row r="460" spans="1:8">
      <c r="A460" s="14" t="s">
        <v>5764</v>
      </c>
      <c r="B460" s="15" t="s">
        <v>5765</v>
      </c>
      <c r="C460" s="14">
        <f t="shared" si="16"/>
        <v>0</v>
      </c>
      <c r="D460" s="14" t="str">
        <f t="shared" si="17"/>
        <v>HTS-4 Percentage of HIV-positive results among the total HIV tests performed during the reporting period-0</v>
      </c>
      <c r="E460" s="15" t="s">
        <v>849</v>
      </c>
      <c r="F460" s="15" t="s">
        <v>3240</v>
      </c>
      <c r="G460" s="14" t="s">
        <v>5766</v>
      </c>
      <c r="H460" s="15" t="s">
        <v>5767</v>
      </c>
    </row>
    <row r="461" spans="1:8">
      <c r="A461" s="14" t="s">
        <v>5764</v>
      </c>
      <c r="B461" s="15" t="s">
        <v>5765</v>
      </c>
      <c r="C461" s="14">
        <f t="shared" si="16"/>
        <v>1</v>
      </c>
      <c r="D461" s="14" t="str">
        <f t="shared" si="17"/>
        <v>HTS-4 Percentage of HIV-positive results among the total HIV tests performed during the reporting period-1</v>
      </c>
      <c r="E461" s="15" t="s">
        <v>849</v>
      </c>
      <c r="F461" s="15" t="s">
        <v>3244</v>
      </c>
      <c r="G461" s="14" t="s">
        <v>5768</v>
      </c>
      <c r="H461" s="15" t="s">
        <v>5769</v>
      </c>
    </row>
    <row r="462" spans="1:8">
      <c r="A462" s="14" t="s">
        <v>5764</v>
      </c>
      <c r="B462" s="15" t="s">
        <v>5765</v>
      </c>
      <c r="C462" s="14">
        <f t="shared" si="16"/>
        <v>2</v>
      </c>
      <c r="D462" s="14" t="str">
        <f t="shared" si="17"/>
        <v>HTS-4 Percentage of HIV-positive results among the total HIV tests performed during the reporting period-2</v>
      </c>
      <c r="E462" s="15" t="s">
        <v>5148</v>
      </c>
      <c r="F462" s="15" t="s">
        <v>4277</v>
      </c>
      <c r="G462" s="14" t="s">
        <v>5770</v>
      </c>
      <c r="H462" s="15" t="s">
        <v>5771</v>
      </c>
    </row>
    <row r="463" spans="1:8">
      <c r="A463" s="14" t="s">
        <v>5764</v>
      </c>
      <c r="B463" s="15" t="s">
        <v>5765</v>
      </c>
      <c r="C463" s="14">
        <f t="shared" si="16"/>
        <v>3</v>
      </c>
      <c r="D463" s="14" t="str">
        <f t="shared" si="17"/>
        <v>HTS-4 Percentage of HIV-positive results among the total HIV tests performed during the reporting period-3</v>
      </c>
      <c r="E463" s="15" t="s">
        <v>5148</v>
      </c>
      <c r="F463" s="15" t="s">
        <v>4281</v>
      </c>
      <c r="G463" s="14" t="s">
        <v>5772</v>
      </c>
      <c r="H463" s="15" t="s">
        <v>5773</v>
      </c>
    </row>
    <row r="464" spans="1:8">
      <c r="A464" s="14" t="s">
        <v>1194</v>
      </c>
      <c r="B464" s="15" t="s">
        <v>1195</v>
      </c>
      <c r="C464" s="14">
        <f t="shared" si="16"/>
        <v>0</v>
      </c>
      <c r="D464" s="14" t="str">
        <f t="shared" si="17"/>
        <v>HTS-5 Percentage of people newly diagnosed with HIV initiated on ART-0</v>
      </c>
      <c r="E464" s="15" t="s">
        <v>849</v>
      </c>
      <c r="F464" s="15" t="s">
        <v>3240</v>
      </c>
      <c r="G464" s="14" t="s">
        <v>5774</v>
      </c>
      <c r="H464" s="15" t="s">
        <v>5775</v>
      </c>
    </row>
    <row r="465" spans="1:8">
      <c r="A465" s="14" t="s">
        <v>1194</v>
      </c>
      <c r="B465" s="15" t="s">
        <v>1195</v>
      </c>
      <c r="C465" s="14">
        <f t="shared" si="16"/>
        <v>1</v>
      </c>
      <c r="D465" s="14" t="str">
        <f t="shared" si="17"/>
        <v>HTS-5 Percentage of people newly diagnosed with HIV initiated on ART-1</v>
      </c>
      <c r="E465" s="15" t="s">
        <v>849</v>
      </c>
      <c r="F465" s="15" t="s">
        <v>3244</v>
      </c>
      <c r="G465" s="14" t="s">
        <v>5776</v>
      </c>
      <c r="H465" s="15" t="s">
        <v>5777</v>
      </c>
    </row>
    <row r="466" spans="1:8">
      <c r="A466" s="14" t="s">
        <v>1194</v>
      </c>
      <c r="B466" s="15" t="s">
        <v>1195</v>
      </c>
      <c r="C466" s="14">
        <f t="shared" si="16"/>
        <v>2</v>
      </c>
      <c r="D466" s="14" t="str">
        <f t="shared" si="17"/>
        <v>HTS-5 Percentage of people newly diagnosed with HIV initiated on ART-2</v>
      </c>
      <c r="E466" s="15" t="s">
        <v>5148</v>
      </c>
      <c r="F466" s="15" t="s">
        <v>4277</v>
      </c>
      <c r="G466" s="14" t="s">
        <v>5778</v>
      </c>
      <c r="H466" s="15" t="s">
        <v>5779</v>
      </c>
    </row>
    <row r="467" spans="1:8">
      <c r="A467" s="14" t="s">
        <v>1194</v>
      </c>
      <c r="B467" s="15" t="s">
        <v>1195</v>
      </c>
      <c r="C467" s="14">
        <f t="shared" si="16"/>
        <v>3</v>
      </c>
      <c r="D467" s="14" t="str">
        <f t="shared" si="17"/>
        <v>HTS-5 Percentage of people newly diagnosed with HIV initiated on ART-3</v>
      </c>
      <c r="E467" s="15" t="s">
        <v>5148</v>
      </c>
      <c r="F467" s="15" t="s">
        <v>4281</v>
      </c>
      <c r="G467" s="14" t="s">
        <v>5780</v>
      </c>
      <c r="H467" s="15" t="s">
        <v>5781</v>
      </c>
    </row>
    <row r="468" spans="1:8">
      <c r="A468" s="14" t="s">
        <v>1090</v>
      </c>
      <c r="B468" s="15" t="s">
        <v>1091</v>
      </c>
      <c r="C468" s="14">
        <f t="shared" si="16"/>
        <v>0</v>
      </c>
      <c r="D468" s="14" t="str">
        <f t="shared" si="17"/>
        <v>KP-1a Percentage of men who have sex with men reached with HIV prevention programs - defined package of services-0</v>
      </c>
      <c r="E468" s="15" t="s">
        <v>849</v>
      </c>
      <c r="F468" s="15" t="s">
        <v>3167</v>
      </c>
      <c r="G468" s="14" t="s">
        <v>3733</v>
      </c>
      <c r="H468" s="15" t="s">
        <v>3732</v>
      </c>
    </row>
    <row r="469" spans="1:8">
      <c r="A469" s="14" t="s">
        <v>1090</v>
      </c>
      <c r="B469" s="15" t="s">
        <v>1091</v>
      </c>
      <c r="C469" s="14">
        <f t="shared" si="16"/>
        <v>1</v>
      </c>
      <c r="D469" s="14" t="str">
        <f t="shared" si="17"/>
        <v>KP-1a Percentage of men who have sex with men reached with HIV prevention programs - defined package of services-1</v>
      </c>
      <c r="E469" s="15" t="s">
        <v>849</v>
      </c>
      <c r="F469" s="15" t="s">
        <v>3735</v>
      </c>
      <c r="G469" s="14" t="s">
        <v>3737</v>
      </c>
      <c r="H469" s="15" t="s">
        <v>3736</v>
      </c>
    </row>
    <row r="470" spans="1:8">
      <c r="A470" s="14" t="s">
        <v>1090</v>
      </c>
      <c r="B470" s="15" t="s">
        <v>1091</v>
      </c>
      <c r="C470" s="14">
        <f t="shared" si="16"/>
        <v>2</v>
      </c>
      <c r="D470" s="14" t="str">
        <f t="shared" si="17"/>
        <v>KP-1a Percentage of men who have sex with men reached with HIV prevention programs - defined package of services-2</v>
      </c>
      <c r="E470" s="15" t="s">
        <v>849</v>
      </c>
      <c r="F470" s="15" t="s">
        <v>3739</v>
      </c>
      <c r="G470" s="14" t="s">
        <v>3741</v>
      </c>
      <c r="H470" s="15" t="s">
        <v>3740</v>
      </c>
    </row>
    <row r="471" spans="1:8">
      <c r="A471" s="14" t="s">
        <v>1095</v>
      </c>
      <c r="B471" s="15" t="s">
        <v>1096</v>
      </c>
      <c r="C471" s="14">
        <f t="shared" si="16"/>
        <v>0</v>
      </c>
      <c r="D471" s="14" t="str">
        <f t="shared" si="17"/>
        <v>KP-6a Number of MSM who received any PrEP product at least once during the reporting period-0</v>
      </c>
      <c r="E471" s="15" t="s">
        <v>849</v>
      </c>
      <c r="F471" s="15" t="s">
        <v>3167</v>
      </c>
      <c r="G471" s="14" t="s">
        <v>3761</v>
      </c>
      <c r="H471" s="15" t="s">
        <v>3760</v>
      </c>
    </row>
    <row r="472" spans="1:8">
      <c r="A472" s="14" t="s">
        <v>1095</v>
      </c>
      <c r="B472" s="15" t="s">
        <v>1096</v>
      </c>
      <c r="C472" s="14">
        <f t="shared" si="16"/>
        <v>1</v>
      </c>
      <c r="D472" s="14" t="str">
        <f t="shared" si="17"/>
        <v>KP-6a Number of MSM who received any PrEP product at least once during the reporting period-1</v>
      </c>
      <c r="E472" s="15" t="s">
        <v>849</v>
      </c>
      <c r="F472" s="15" t="s">
        <v>3735</v>
      </c>
      <c r="G472" s="14" t="s">
        <v>3764</v>
      </c>
      <c r="H472" s="15" t="s">
        <v>3763</v>
      </c>
    </row>
    <row r="473" spans="1:8">
      <c r="A473" s="14" t="s">
        <v>1095</v>
      </c>
      <c r="B473" s="15" t="s">
        <v>1096</v>
      </c>
      <c r="C473" s="14">
        <f t="shared" si="16"/>
        <v>2</v>
      </c>
      <c r="D473" s="14" t="str">
        <f t="shared" si="17"/>
        <v>KP-6a Number of MSM who received any PrEP product at least once during the reporting period-2</v>
      </c>
      <c r="E473" s="15" t="s">
        <v>849</v>
      </c>
      <c r="F473" s="15" t="s">
        <v>3739</v>
      </c>
      <c r="G473" s="14" t="s">
        <v>3767</v>
      </c>
      <c r="H473" s="15" t="s">
        <v>3766</v>
      </c>
    </row>
    <row r="474" spans="1:8">
      <c r="A474" s="14" t="s">
        <v>1095</v>
      </c>
      <c r="B474" s="15" t="s">
        <v>1096</v>
      </c>
      <c r="C474" s="14">
        <f t="shared" si="16"/>
        <v>3</v>
      </c>
      <c r="D474" s="14" t="str">
        <f t="shared" si="17"/>
        <v>KP-6a Number of MSM who received any PrEP product at least once during the reporting period-3</v>
      </c>
      <c r="E474" s="15" t="s">
        <v>5411</v>
      </c>
      <c r="F474" s="15" t="s">
        <v>3769</v>
      </c>
      <c r="G474" s="14" t="s">
        <v>3771</v>
      </c>
      <c r="H474" s="15" t="s">
        <v>3770</v>
      </c>
    </row>
    <row r="475" spans="1:8">
      <c r="A475" s="14" t="s">
        <v>1095</v>
      </c>
      <c r="B475" s="15" t="s">
        <v>1096</v>
      </c>
      <c r="C475" s="14">
        <f t="shared" si="16"/>
        <v>4</v>
      </c>
      <c r="D475" s="14" t="str">
        <f t="shared" si="17"/>
        <v>KP-6a Number of MSM who received any PrEP product at least once during the reporting period-4</v>
      </c>
      <c r="E475" s="15" t="s">
        <v>5411</v>
      </c>
      <c r="F475" s="15" t="s">
        <v>3773</v>
      </c>
      <c r="G475" s="14" t="s">
        <v>3775</v>
      </c>
      <c r="H475" s="15" t="s">
        <v>3774</v>
      </c>
    </row>
    <row r="476" spans="1:8">
      <c r="A476" s="14" t="s">
        <v>1095</v>
      </c>
      <c r="B476" s="15" t="s">
        <v>1096</v>
      </c>
      <c r="C476" s="14">
        <f t="shared" si="16"/>
        <v>5</v>
      </c>
      <c r="D476" s="14" t="str">
        <f t="shared" si="17"/>
        <v>KP-6a Number of MSM who received any PrEP product at least once during the reporting period-5</v>
      </c>
      <c r="E476" s="15" t="s">
        <v>5411</v>
      </c>
      <c r="F476" s="15" t="s">
        <v>3777</v>
      </c>
      <c r="G476" s="14" t="s">
        <v>3779</v>
      </c>
      <c r="H476" s="15" t="s">
        <v>3778</v>
      </c>
    </row>
    <row r="477" spans="1:8">
      <c r="A477" s="14" t="s">
        <v>1099</v>
      </c>
      <c r="B477" s="15" t="s">
        <v>1100</v>
      </c>
      <c r="C477" s="14">
        <f t="shared" ref="C477:C516" si="18">IF(B477=B476,C476+1,0)</f>
        <v>0</v>
      </c>
      <c r="D477" s="14" t="str">
        <f t="shared" ref="D477:D516" si="19">B477&amp;"-"&amp;C477</f>
        <v>KP-7a Percentage of MSM tested for STIs during the reporting period-0</v>
      </c>
      <c r="E477" s="15" t="s">
        <v>849</v>
      </c>
      <c r="F477" s="15" t="s">
        <v>3167</v>
      </c>
      <c r="G477" s="14" t="s">
        <v>5782</v>
      </c>
      <c r="H477" s="15" t="s">
        <v>5783</v>
      </c>
    </row>
    <row r="478" spans="1:8">
      <c r="A478" s="14" t="s">
        <v>1099</v>
      </c>
      <c r="B478" s="15" t="s">
        <v>1100</v>
      </c>
      <c r="C478" s="14">
        <f t="shared" si="18"/>
        <v>1</v>
      </c>
      <c r="D478" s="14" t="str">
        <f t="shared" si="19"/>
        <v>KP-7a Percentage of MSM tested for STIs during the reporting period-1</v>
      </c>
      <c r="E478" s="15" t="s">
        <v>849</v>
      </c>
      <c r="F478" s="15" t="s">
        <v>3735</v>
      </c>
      <c r="G478" s="14" t="s">
        <v>5784</v>
      </c>
      <c r="H478" s="15" t="s">
        <v>5785</v>
      </c>
    </row>
    <row r="479" spans="1:8">
      <c r="A479" s="14" t="s">
        <v>1099</v>
      </c>
      <c r="B479" s="15" t="s">
        <v>1100</v>
      </c>
      <c r="C479" s="14">
        <f t="shared" si="18"/>
        <v>2</v>
      </c>
      <c r="D479" s="14" t="str">
        <f t="shared" si="19"/>
        <v>KP-7a Percentage of MSM tested for STIs during the reporting period-2</v>
      </c>
      <c r="E479" s="15" t="s">
        <v>849</v>
      </c>
      <c r="F479" s="15" t="s">
        <v>3739</v>
      </c>
      <c r="G479" s="14" t="s">
        <v>5786</v>
      </c>
      <c r="H479" s="15" t="s">
        <v>5787</v>
      </c>
    </row>
    <row r="480" spans="1:8">
      <c r="A480" s="14" t="s">
        <v>1099</v>
      </c>
      <c r="B480" s="15" t="s">
        <v>1100</v>
      </c>
      <c r="C480" s="14">
        <f t="shared" si="18"/>
        <v>3</v>
      </c>
      <c r="D480" s="14" t="str">
        <f t="shared" si="19"/>
        <v>KP-7a Percentage of MSM tested for STIs during the reporting period-3</v>
      </c>
      <c r="E480" s="15" t="s">
        <v>5422</v>
      </c>
      <c r="F480" s="15" t="s">
        <v>5423</v>
      </c>
      <c r="G480" s="14" t="s">
        <v>5788</v>
      </c>
      <c r="H480" s="15" t="s">
        <v>5789</v>
      </c>
    </row>
    <row r="481" spans="1:8">
      <c r="A481" s="14" t="s">
        <v>1099</v>
      </c>
      <c r="B481" s="15" t="s">
        <v>1100</v>
      </c>
      <c r="C481" s="14">
        <f t="shared" si="18"/>
        <v>4</v>
      </c>
      <c r="D481" s="14" t="str">
        <f t="shared" si="19"/>
        <v>KP-7a Percentage of MSM tested for STIs during the reporting period-4</v>
      </c>
      <c r="E481" s="15" t="s">
        <v>5422</v>
      </c>
      <c r="F481" s="15" t="s">
        <v>5428</v>
      </c>
      <c r="G481" s="14" t="s">
        <v>5790</v>
      </c>
      <c r="H481" s="15" t="s">
        <v>5791</v>
      </c>
    </row>
    <row r="482" spans="1:8">
      <c r="A482" s="14" t="s">
        <v>1382</v>
      </c>
      <c r="B482" s="15" t="s">
        <v>1383</v>
      </c>
      <c r="C482" s="14">
        <f t="shared" si="18"/>
        <v>0</v>
      </c>
      <c r="D482" s="14" t="str">
        <f t="shared" si="19"/>
        <v>RSSH/PP LAB-1 Percentage of laboratories accredited according to ISO15189 standard or achieving at least four stars towards accreditation or two-star incremental improvement-0</v>
      </c>
      <c r="E482" s="15" t="s">
        <v>1384</v>
      </c>
      <c r="F482" s="15" t="s">
        <v>5792</v>
      </c>
      <c r="G482" s="14" t="s">
        <v>5793</v>
      </c>
      <c r="H482" s="15" t="s">
        <v>5794</v>
      </c>
    </row>
    <row r="483" spans="1:8">
      <c r="A483" s="14" t="s">
        <v>1382</v>
      </c>
      <c r="B483" s="15" t="s">
        <v>1383</v>
      </c>
      <c r="C483" s="14">
        <f t="shared" si="18"/>
        <v>1</v>
      </c>
      <c r="D483" s="14" t="str">
        <f t="shared" si="19"/>
        <v>RSSH/PP LAB-1 Percentage of laboratories accredited according to ISO15189 standard or achieving at least four stars towards accreditation or two-star incremental improvement-1</v>
      </c>
      <c r="E483" s="15" t="s">
        <v>1384</v>
      </c>
      <c r="F483" s="15" t="s">
        <v>5795</v>
      </c>
      <c r="G483" s="14" t="s">
        <v>5796</v>
      </c>
      <c r="H483" s="15" t="s">
        <v>5797</v>
      </c>
    </row>
    <row r="484" spans="1:8">
      <c r="A484" s="14" t="s">
        <v>1389</v>
      </c>
      <c r="B484" s="15" t="s">
        <v>1390</v>
      </c>
      <c r="C484" s="14">
        <f t="shared" si="18"/>
        <v>0</v>
      </c>
      <c r="D484" s="14" t="str">
        <f t="shared" si="19"/>
        <v>RSSH/PP LAB-3 Percentage of laboratories successfully participating in external quality assurance (EQA) or proficiency testing (PT) schemes-0</v>
      </c>
      <c r="E484" s="15" t="s">
        <v>1391</v>
      </c>
      <c r="F484" s="15" t="s">
        <v>5798</v>
      </c>
      <c r="G484" s="14" t="s">
        <v>5799</v>
      </c>
      <c r="H484" s="15" t="s">
        <v>5800</v>
      </c>
    </row>
    <row r="485" spans="1:8">
      <c r="A485" s="14" t="s">
        <v>1389</v>
      </c>
      <c r="B485" s="15" t="s">
        <v>1390</v>
      </c>
      <c r="C485" s="14">
        <f t="shared" si="18"/>
        <v>1</v>
      </c>
      <c r="D485" s="14" t="str">
        <f t="shared" si="19"/>
        <v>RSSH/PP LAB-3 Percentage of laboratories successfully participating in external quality assurance (EQA) or proficiency testing (PT) schemes-1</v>
      </c>
      <c r="E485" s="15" t="s">
        <v>1391</v>
      </c>
      <c r="F485" s="15" t="s">
        <v>5659</v>
      </c>
      <c r="G485" s="14" t="s">
        <v>5801</v>
      </c>
      <c r="H485" s="15" t="s">
        <v>5802</v>
      </c>
    </row>
    <row r="486" spans="1:8">
      <c r="A486" s="14" t="s">
        <v>1389</v>
      </c>
      <c r="B486" s="15" t="s">
        <v>1390</v>
      </c>
      <c r="C486" s="14">
        <f t="shared" si="18"/>
        <v>2</v>
      </c>
      <c r="D486" s="14" t="str">
        <f t="shared" si="19"/>
        <v>RSSH/PP LAB-3 Percentage of laboratories successfully participating in external quality assurance (EQA) or proficiency testing (PT) schemes-2</v>
      </c>
      <c r="E486" s="15" t="s">
        <v>1391</v>
      </c>
      <c r="F486" s="15" t="s">
        <v>5662</v>
      </c>
      <c r="G486" s="14" t="s">
        <v>5803</v>
      </c>
      <c r="H486" s="15" t="s">
        <v>5804</v>
      </c>
    </row>
    <row r="487" spans="1:8">
      <c r="A487" s="14" t="s">
        <v>1389</v>
      </c>
      <c r="B487" s="15" t="s">
        <v>1390</v>
      </c>
      <c r="C487" s="14">
        <f t="shared" si="18"/>
        <v>3</v>
      </c>
      <c r="D487" s="14" t="str">
        <f t="shared" si="19"/>
        <v>RSSH/PP LAB-3 Percentage of laboratories successfully participating in external quality assurance (EQA) or proficiency testing (PT) schemes-3</v>
      </c>
      <c r="E487" s="15" t="s">
        <v>1391</v>
      </c>
      <c r="F487" s="15" t="s">
        <v>5665</v>
      </c>
      <c r="G487" s="14" t="s">
        <v>5805</v>
      </c>
      <c r="H487" s="15" t="s">
        <v>5806</v>
      </c>
    </row>
    <row r="488" spans="1:8">
      <c r="A488" s="14" t="s">
        <v>1400</v>
      </c>
      <c r="B488" s="15" t="s">
        <v>1401</v>
      </c>
      <c r="C488" s="14">
        <f t="shared" si="18"/>
        <v>0</v>
      </c>
      <c r="D488" s="14" t="str">
        <f t="shared" si="19"/>
        <v>RSSH/PP RCS-1 Percentage of health facilities able to provide oxygen therapy related services among those providing the service-0</v>
      </c>
      <c r="E488" s="15" t="s">
        <v>1402</v>
      </c>
      <c r="F488" s="15" t="s">
        <v>5807</v>
      </c>
      <c r="G488" s="14" t="s">
        <v>5808</v>
      </c>
      <c r="H488" s="15" t="s">
        <v>5809</v>
      </c>
    </row>
    <row r="489" spans="1:8">
      <c r="A489" s="14" t="s">
        <v>1400</v>
      </c>
      <c r="B489" s="15" t="s">
        <v>1401</v>
      </c>
      <c r="C489" s="14">
        <f t="shared" si="18"/>
        <v>1</v>
      </c>
      <c r="D489" s="14" t="str">
        <f t="shared" si="19"/>
        <v>RSSH/PP RCS-1 Percentage of health facilities able to provide oxygen therapy related services among those providing the service-1</v>
      </c>
      <c r="E489" s="15" t="s">
        <v>1402</v>
      </c>
      <c r="F489" s="15" t="s">
        <v>5810</v>
      </c>
      <c r="G489" s="14" t="s">
        <v>5811</v>
      </c>
      <c r="H489" s="15" t="s">
        <v>5812</v>
      </c>
    </row>
    <row r="490" spans="1:8">
      <c r="A490" s="14" t="s">
        <v>1275</v>
      </c>
      <c r="B490" s="15" t="s">
        <v>1276</v>
      </c>
      <c r="C490" s="14">
        <f t="shared" si="18"/>
        <v>0</v>
      </c>
      <c r="D490" s="14" t="str">
        <f t="shared" si="19"/>
        <v>TBP-1 Number of people in contact with TB patients who began preventive therapy-0</v>
      </c>
      <c r="E490" s="15" t="s">
        <v>849</v>
      </c>
      <c r="F490" s="15" t="s">
        <v>3240</v>
      </c>
      <c r="G490" s="14" t="s">
        <v>3512</v>
      </c>
      <c r="H490" s="15" t="s">
        <v>3511</v>
      </c>
    </row>
    <row r="491" spans="1:8">
      <c r="A491" s="14" t="s">
        <v>1275</v>
      </c>
      <c r="B491" s="15" t="s">
        <v>1276</v>
      </c>
      <c r="C491" s="14">
        <f t="shared" si="18"/>
        <v>1</v>
      </c>
      <c r="D491" s="14" t="str">
        <f t="shared" si="19"/>
        <v>TBP-1 Number of people in contact with TB patients who began preventive therapy-1</v>
      </c>
      <c r="E491" s="15" t="s">
        <v>5475</v>
      </c>
      <c r="F491" s="15" t="s">
        <v>3514</v>
      </c>
      <c r="G491" s="14" t="s">
        <v>3516</v>
      </c>
      <c r="H491" s="15" t="s">
        <v>3515</v>
      </c>
    </row>
    <row r="492" spans="1:8">
      <c r="A492" s="14" t="s">
        <v>1275</v>
      </c>
      <c r="B492" s="15" t="s">
        <v>1276</v>
      </c>
      <c r="C492" s="14">
        <f t="shared" si="18"/>
        <v>2</v>
      </c>
      <c r="D492" s="14" t="str">
        <f t="shared" si="19"/>
        <v>TBP-1 Number of people in contact with TB patients who began preventive therapy-2</v>
      </c>
      <c r="E492" s="15" t="s">
        <v>5475</v>
      </c>
      <c r="F492" s="15" t="s">
        <v>3518</v>
      </c>
      <c r="G492" s="14" t="s">
        <v>3520</v>
      </c>
      <c r="H492" s="15" t="s">
        <v>3519</v>
      </c>
    </row>
    <row r="493" spans="1:8">
      <c r="A493" s="14" t="s">
        <v>1275</v>
      </c>
      <c r="B493" s="15" t="s">
        <v>1276</v>
      </c>
      <c r="C493" s="14">
        <f t="shared" si="18"/>
        <v>3</v>
      </c>
      <c r="D493" s="14" t="str">
        <f t="shared" si="19"/>
        <v>TBP-1 Number of people in contact with TB patients who began preventive therapy-3</v>
      </c>
      <c r="E493" s="15" t="s">
        <v>5475</v>
      </c>
      <c r="F493" s="15" t="s">
        <v>3522</v>
      </c>
      <c r="G493" s="14" t="s">
        <v>3524</v>
      </c>
      <c r="H493" s="15" t="s">
        <v>3523</v>
      </c>
    </row>
    <row r="494" spans="1:8">
      <c r="A494" s="14" t="s">
        <v>1275</v>
      </c>
      <c r="B494" s="15" t="s">
        <v>1276</v>
      </c>
      <c r="C494" s="14">
        <f t="shared" si="18"/>
        <v>4</v>
      </c>
      <c r="D494" s="14" t="str">
        <f t="shared" si="19"/>
        <v>TBP-1 Number of people in contact with TB patients who began preventive therapy-4</v>
      </c>
      <c r="E494" s="15" t="s">
        <v>1164</v>
      </c>
      <c r="F494" s="15" t="s">
        <v>3346</v>
      </c>
      <c r="G494" s="14" t="s">
        <v>3527</v>
      </c>
      <c r="H494" s="15" t="s">
        <v>3526</v>
      </c>
    </row>
    <row r="495" spans="1:8">
      <c r="A495" s="14" t="s">
        <v>1275</v>
      </c>
      <c r="B495" s="15" t="s">
        <v>1276</v>
      </c>
      <c r="C495" s="14">
        <f t="shared" si="18"/>
        <v>5</v>
      </c>
      <c r="D495" s="14" t="str">
        <f t="shared" si="19"/>
        <v>TBP-1 Number of people in contact with TB patients who began preventive therapy-5</v>
      </c>
      <c r="E495" s="15" t="s">
        <v>1164</v>
      </c>
      <c r="F495" s="15" t="s">
        <v>3356</v>
      </c>
      <c r="G495" s="14" t="s">
        <v>3530</v>
      </c>
      <c r="H495" s="15" t="s">
        <v>3529</v>
      </c>
    </row>
    <row r="496" spans="1:8">
      <c r="A496" s="14" t="s">
        <v>1275</v>
      </c>
      <c r="B496" s="15" t="s">
        <v>1276</v>
      </c>
      <c r="C496" s="14">
        <f t="shared" si="18"/>
        <v>6</v>
      </c>
      <c r="D496" s="14" t="str">
        <f t="shared" si="19"/>
        <v>TBP-1 Number of people in contact with TB patients who began preventive therapy-6</v>
      </c>
      <c r="E496" s="15" t="s">
        <v>1028</v>
      </c>
      <c r="F496" s="15" t="s">
        <v>3417</v>
      </c>
      <c r="G496" s="14" t="s">
        <v>3533</v>
      </c>
      <c r="H496" s="15" t="s">
        <v>3532</v>
      </c>
    </row>
    <row r="497" spans="1:8">
      <c r="A497" s="14" t="s">
        <v>1275</v>
      </c>
      <c r="B497" s="15" t="s">
        <v>1276</v>
      </c>
      <c r="C497" s="14">
        <f t="shared" si="18"/>
        <v>7</v>
      </c>
      <c r="D497" s="14" t="str">
        <f t="shared" si="19"/>
        <v>TBP-1 Number of people in contact with TB patients who began preventive therapy-7</v>
      </c>
      <c r="E497" s="15" t="s">
        <v>849</v>
      </c>
      <c r="F497" s="15" t="s">
        <v>3535</v>
      </c>
      <c r="G497" s="14" t="s">
        <v>3537</v>
      </c>
      <c r="H497" s="15" t="s">
        <v>3536</v>
      </c>
    </row>
    <row r="498" spans="1:8">
      <c r="A498" s="14" t="s">
        <v>1275</v>
      </c>
      <c r="B498" s="15" t="s">
        <v>1276</v>
      </c>
      <c r="C498" s="14">
        <f t="shared" si="18"/>
        <v>8</v>
      </c>
      <c r="D498" s="14" t="str">
        <f t="shared" si="19"/>
        <v>TBP-1 Number of people in contact with TB patients who began preventive therapy-8</v>
      </c>
      <c r="E498" s="15" t="s">
        <v>5475</v>
      </c>
      <c r="F498" s="15" t="s">
        <v>3539</v>
      </c>
      <c r="G498" s="14" t="s">
        <v>3541</v>
      </c>
      <c r="H498" s="15" t="s">
        <v>3540</v>
      </c>
    </row>
    <row r="499" spans="1:8">
      <c r="A499" s="14" t="s">
        <v>1275</v>
      </c>
      <c r="B499" s="15" t="s">
        <v>1276</v>
      </c>
      <c r="C499" s="14">
        <f t="shared" si="18"/>
        <v>9</v>
      </c>
      <c r="D499" s="14" t="str">
        <f t="shared" si="19"/>
        <v>TBP-1 Number of people in contact with TB patients who began preventive therapy-9</v>
      </c>
      <c r="E499" s="15" t="s">
        <v>5475</v>
      </c>
      <c r="F499" s="15" t="s">
        <v>3543</v>
      </c>
      <c r="G499" s="14" t="s">
        <v>3545</v>
      </c>
      <c r="H499" s="15" t="s">
        <v>3544</v>
      </c>
    </row>
    <row r="500" spans="1:8">
      <c r="A500" s="14" t="s">
        <v>1275</v>
      </c>
      <c r="B500" s="15" t="s">
        <v>1276</v>
      </c>
      <c r="C500" s="14">
        <f t="shared" si="18"/>
        <v>10</v>
      </c>
      <c r="D500" s="14" t="str">
        <f t="shared" si="19"/>
        <v>TBP-1 Number of people in contact with TB patients who began preventive therapy-10</v>
      </c>
      <c r="E500" s="15" t="s">
        <v>849</v>
      </c>
      <c r="F500" s="15" t="s">
        <v>3547</v>
      </c>
      <c r="G500" s="14" t="s">
        <v>3549</v>
      </c>
      <c r="H500" s="15" t="s">
        <v>3548</v>
      </c>
    </row>
    <row r="501" spans="1:8">
      <c r="A501" s="14" t="s">
        <v>1275</v>
      </c>
      <c r="B501" s="15" t="s">
        <v>1276</v>
      </c>
      <c r="C501" s="14">
        <f t="shared" si="18"/>
        <v>11</v>
      </c>
      <c r="D501" s="14" t="str">
        <f t="shared" si="19"/>
        <v>TBP-1 Number of people in contact with TB patients who began preventive therapy-11</v>
      </c>
      <c r="E501" s="15" t="s">
        <v>1028</v>
      </c>
      <c r="F501" s="15" t="s">
        <v>3421</v>
      </c>
      <c r="G501" s="14" t="s">
        <v>3552</v>
      </c>
      <c r="H501" s="15" t="s">
        <v>3551</v>
      </c>
    </row>
    <row r="502" spans="1:8">
      <c r="A502" s="14" t="s">
        <v>1275</v>
      </c>
      <c r="B502" s="15" t="s">
        <v>1276</v>
      </c>
      <c r="C502" s="14">
        <f t="shared" si="18"/>
        <v>12</v>
      </c>
      <c r="D502" s="14" t="str">
        <f t="shared" si="19"/>
        <v>TBP-1 Number of people in contact with TB patients who began preventive therapy-12</v>
      </c>
      <c r="E502" s="15" t="s">
        <v>1164</v>
      </c>
      <c r="F502" s="15" t="s">
        <v>3367</v>
      </c>
      <c r="G502" s="14" t="s">
        <v>3555</v>
      </c>
      <c r="H502" s="15" t="s">
        <v>3554</v>
      </c>
    </row>
    <row r="503" spans="1:8">
      <c r="A503" s="14" t="s">
        <v>1150</v>
      </c>
      <c r="B503" s="15" t="s">
        <v>1151</v>
      </c>
      <c r="C503" s="14">
        <f t="shared" si="18"/>
        <v>0</v>
      </c>
      <c r="D503" s="14" t="str">
        <f t="shared" si="19"/>
        <v>YP-2 Percentage of high-risk adolescent girls and young women reached with HIV prevention programs - defined package of services-0</v>
      </c>
      <c r="E503" s="15" t="s">
        <v>849</v>
      </c>
      <c r="F503" s="15" t="s">
        <v>3735</v>
      </c>
      <c r="G503" s="14" t="s">
        <v>5813</v>
      </c>
      <c r="H503" s="15" t="s">
        <v>5814</v>
      </c>
    </row>
    <row r="504" spans="1:8">
      <c r="A504" s="14" t="s">
        <v>1150</v>
      </c>
      <c r="B504" s="15" t="s">
        <v>1151</v>
      </c>
      <c r="C504" s="14">
        <f t="shared" si="18"/>
        <v>1</v>
      </c>
      <c r="D504" s="14" t="str">
        <f t="shared" si="19"/>
        <v>YP-2 Percentage of high-risk adolescent girls and young women reached with HIV prevention programs - defined package of services-1</v>
      </c>
      <c r="E504" s="15" t="s">
        <v>849</v>
      </c>
      <c r="F504" s="15" t="s">
        <v>3739</v>
      </c>
      <c r="G504" s="14" t="s">
        <v>5815</v>
      </c>
      <c r="H504" s="15" t="s">
        <v>5816</v>
      </c>
    </row>
    <row r="505" spans="1:8">
      <c r="A505" s="14" t="s">
        <v>1153</v>
      </c>
      <c r="B505" s="15" t="s">
        <v>1154</v>
      </c>
      <c r="C505" s="14">
        <f t="shared" si="18"/>
        <v>0</v>
      </c>
      <c r="D505" s="14" t="str">
        <f t="shared" si="19"/>
        <v>YP-4 Number of high-risk adolescent girls and young women who received any PrEP product at least once during the reporting period-0</v>
      </c>
      <c r="E505" s="15" t="s">
        <v>849</v>
      </c>
      <c r="F505" s="15" t="s">
        <v>3735</v>
      </c>
      <c r="G505" s="14" t="s">
        <v>5817</v>
      </c>
      <c r="H505" s="15" t="s">
        <v>5818</v>
      </c>
    </row>
    <row r="506" spans="1:8">
      <c r="A506" s="14" t="s">
        <v>1153</v>
      </c>
      <c r="B506" s="15" t="s">
        <v>1154</v>
      </c>
      <c r="C506" s="14">
        <f t="shared" si="18"/>
        <v>1</v>
      </c>
      <c r="D506" s="14" t="str">
        <f t="shared" si="19"/>
        <v>YP-4 Number of high-risk adolescent girls and young women who received any PrEP product at least once during the reporting period-1</v>
      </c>
      <c r="E506" s="15" t="s">
        <v>849</v>
      </c>
      <c r="F506" s="15" t="s">
        <v>3739</v>
      </c>
      <c r="G506" s="14" t="s">
        <v>5819</v>
      </c>
      <c r="H506" s="15" t="s">
        <v>5820</v>
      </c>
    </row>
    <row r="507" spans="1:8">
      <c r="A507" s="14" t="s">
        <v>1153</v>
      </c>
      <c r="B507" s="15" t="s">
        <v>1154</v>
      </c>
      <c r="C507" s="14">
        <f t="shared" si="18"/>
        <v>2</v>
      </c>
      <c r="D507" s="14" t="str">
        <f t="shared" si="19"/>
        <v>YP-4 Number of high-risk adolescent girls and young women who received any PrEP product at least once during the reporting period-2</v>
      </c>
      <c r="E507" s="15" t="s">
        <v>5411</v>
      </c>
      <c r="F507" s="15" t="s">
        <v>3769</v>
      </c>
      <c r="G507" s="14" t="s">
        <v>5821</v>
      </c>
      <c r="H507" s="15" t="s">
        <v>5822</v>
      </c>
    </row>
    <row r="508" spans="1:8">
      <c r="A508" s="14" t="s">
        <v>1153</v>
      </c>
      <c r="B508" s="15" t="s">
        <v>1154</v>
      </c>
      <c r="C508" s="14">
        <f t="shared" si="18"/>
        <v>3</v>
      </c>
      <c r="D508" s="14" t="str">
        <f t="shared" si="19"/>
        <v>YP-4 Number of high-risk adolescent girls and young women who received any PrEP product at least once during the reporting period-3</v>
      </c>
      <c r="E508" s="15" t="s">
        <v>5411</v>
      </c>
      <c r="F508" s="15" t="s">
        <v>3773</v>
      </c>
      <c r="G508" s="14" t="s">
        <v>5823</v>
      </c>
      <c r="H508" s="15" t="s">
        <v>5824</v>
      </c>
    </row>
    <row r="509" spans="1:8">
      <c r="A509" s="14" t="s">
        <v>1153</v>
      </c>
      <c r="B509" s="15" t="s">
        <v>1154</v>
      </c>
      <c r="C509" s="14">
        <f t="shared" si="18"/>
        <v>4</v>
      </c>
      <c r="D509" s="14" t="str">
        <f t="shared" si="19"/>
        <v>YP-4 Number of high-risk adolescent girls and young women who received any PrEP product at least once during the reporting period-4</v>
      </c>
      <c r="E509" s="15" t="s">
        <v>5411</v>
      </c>
      <c r="F509" s="15" t="s">
        <v>3777</v>
      </c>
      <c r="G509" s="14" t="s">
        <v>5825</v>
      </c>
      <c r="H509" s="15" t="s">
        <v>5826</v>
      </c>
    </row>
    <row r="510" spans="1:8">
      <c r="A510" s="14" t="s">
        <v>1156</v>
      </c>
      <c r="B510" s="15" t="s">
        <v>1157</v>
      </c>
      <c r="C510" s="14">
        <f t="shared" si="18"/>
        <v>0</v>
      </c>
      <c r="D510" s="14" t="str">
        <f t="shared" si="19"/>
        <v>YP-5 Percentage of high-risk adolescent girls and young women tested for STIs during the reporting period-0</v>
      </c>
      <c r="E510" s="15" t="s">
        <v>849</v>
      </c>
      <c r="F510" s="15" t="s">
        <v>3735</v>
      </c>
      <c r="G510" s="14" t="s">
        <v>5827</v>
      </c>
      <c r="H510" s="15" t="s">
        <v>5828</v>
      </c>
    </row>
    <row r="511" spans="1:8">
      <c r="A511" s="14" t="s">
        <v>1156</v>
      </c>
      <c r="B511" s="15" t="s">
        <v>1157</v>
      </c>
      <c r="C511" s="14">
        <f t="shared" si="18"/>
        <v>1</v>
      </c>
      <c r="D511" s="14" t="str">
        <f t="shared" si="19"/>
        <v>YP-5 Percentage of high-risk adolescent girls and young women tested for STIs during the reporting period-1</v>
      </c>
      <c r="E511" s="15" t="s">
        <v>849</v>
      </c>
      <c r="F511" s="15" t="s">
        <v>3739</v>
      </c>
      <c r="G511" s="14" t="s">
        <v>5829</v>
      </c>
      <c r="H511" s="15" t="s">
        <v>5830</v>
      </c>
    </row>
    <row r="512" spans="1:8">
      <c r="A512" s="14" t="s">
        <v>1156</v>
      </c>
      <c r="B512" s="15" t="s">
        <v>1157</v>
      </c>
      <c r="C512" s="14">
        <f t="shared" si="18"/>
        <v>2</v>
      </c>
      <c r="D512" s="14" t="str">
        <f t="shared" si="19"/>
        <v>YP-5 Percentage of high-risk adolescent girls and young women tested for STIs during the reporting period-2</v>
      </c>
      <c r="E512" s="15" t="s">
        <v>5422</v>
      </c>
      <c r="F512" s="15" t="s">
        <v>5423</v>
      </c>
      <c r="G512" s="14" t="s">
        <v>5831</v>
      </c>
      <c r="H512" s="15" t="s">
        <v>5832</v>
      </c>
    </row>
    <row r="513" spans="1:8">
      <c r="A513" s="14" t="s">
        <v>1156</v>
      </c>
      <c r="B513" s="15" t="s">
        <v>1157</v>
      </c>
      <c r="C513" s="14">
        <f t="shared" si="18"/>
        <v>3</v>
      </c>
      <c r="D513" s="14" t="str">
        <f t="shared" si="19"/>
        <v>YP-5 Percentage of high-risk adolescent girls and young women tested for STIs during the reporting period-3</v>
      </c>
      <c r="E513" s="15" t="s">
        <v>5422</v>
      </c>
      <c r="F513" s="15" t="s">
        <v>5428</v>
      </c>
      <c r="G513" s="14" t="s">
        <v>5833</v>
      </c>
      <c r="H513" s="15" t="s">
        <v>5834</v>
      </c>
    </row>
    <row r="514" spans="1:8">
      <c r="A514" s="14" t="s">
        <v>1159</v>
      </c>
      <c r="B514" s="15" t="s">
        <v>1160</v>
      </c>
      <c r="C514" s="14">
        <f t="shared" si="18"/>
        <v>0</v>
      </c>
      <c r="D514" s="14" t="str">
        <f t="shared" si="19"/>
        <v>YP-6 Number of medical male circumcisions performed according to national standards-0</v>
      </c>
      <c r="E514" s="15" t="s">
        <v>849</v>
      </c>
      <c r="F514" s="15" t="s">
        <v>3167</v>
      </c>
      <c r="G514" s="14" t="s">
        <v>5835</v>
      </c>
      <c r="H514" s="15" t="s">
        <v>5836</v>
      </c>
    </row>
    <row r="515" spans="1:8">
      <c r="A515" s="14" t="s">
        <v>1159</v>
      </c>
      <c r="B515" s="15" t="s">
        <v>1160</v>
      </c>
      <c r="C515" s="14">
        <f t="shared" si="18"/>
        <v>1</v>
      </c>
      <c r="D515" s="14" t="str">
        <f t="shared" si="19"/>
        <v>YP-6 Number of medical male circumcisions performed according to national standards-1</v>
      </c>
      <c r="E515" s="15" t="s">
        <v>849</v>
      </c>
      <c r="F515" s="15" t="s">
        <v>3735</v>
      </c>
      <c r="G515" s="14" t="s">
        <v>5837</v>
      </c>
      <c r="H515" s="15" t="s">
        <v>5838</v>
      </c>
    </row>
    <row r="516" spans="1:8">
      <c r="A516" s="14" t="s">
        <v>1159</v>
      </c>
      <c r="B516" s="15" t="s">
        <v>1160</v>
      </c>
      <c r="C516" s="14">
        <f t="shared" si="18"/>
        <v>2</v>
      </c>
      <c r="D516" s="14" t="str">
        <f t="shared" si="19"/>
        <v>YP-6 Number of medical male circumcisions performed according to national standards-2</v>
      </c>
      <c r="E516" s="15" t="s">
        <v>849</v>
      </c>
      <c r="F516" s="15" t="s">
        <v>3739</v>
      </c>
      <c r="G516" s="14" t="s">
        <v>5839</v>
      </c>
      <c r="H516" s="15" t="s">
        <v>5840</v>
      </c>
    </row>
  </sheetData>
  <sheetProtection selectLockedCells="1" selectUnlockedCells="1"/>
  <sortState xmlns:xlrd2="http://schemas.microsoft.com/office/spreadsheetml/2017/richdata2" ref="A156:H156">
    <sortCondition ref="A156"/>
    <sortCondition ref="E156"/>
    <sortCondition ref="H156"/>
  </sortState>
  <dataValidations count="1">
    <dataValidation type="custom" allowBlank="1" showInputMessage="1" showErrorMessage="1" errorTitle="X-Author for Excel" error="Id and Lookup fields are not editable." promptTitle="X-Author for Excel" sqref="G3:G79 G156:G516 G83:G152" xr:uid="{00000000-0002-0000-0E00-000000000000}">
      <formula1>""</formula1>
    </dataValidation>
  </dataValidations>
  <pageMargins left="0.75" right="0.75" top="1" bottom="1" header="0.5" footer="0.5"/>
  <pageSetup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dimension ref="D1:R955"/>
  <sheetViews>
    <sheetView topLeftCell="B1" workbookViewId="0">
      <selection activeCell="B15" sqref="B15"/>
    </sheetView>
  </sheetViews>
  <sheetFormatPr defaultColWidth="8.625" defaultRowHeight="12.75"/>
  <cols>
    <col min="1" max="3" width="8.625" style="1"/>
    <col min="4" max="4" width="20.625" style="1" bestFit="1" customWidth="1"/>
    <col min="5" max="5" width="22.125" style="1" bestFit="1" customWidth="1"/>
    <col min="6" max="6" width="18.625" style="1" bestFit="1" customWidth="1"/>
    <col min="7" max="7" width="8.625" style="1"/>
    <col min="8" max="8" width="8.625" style="1" bestFit="1" customWidth="1"/>
    <col min="9" max="9" width="13" style="1" bestFit="1" customWidth="1"/>
    <col min="10" max="10" width="38.625" style="1" bestFit="1" customWidth="1"/>
    <col min="11" max="11" width="12.625" style="1" bestFit="1" customWidth="1"/>
    <col min="12" max="12" width="12.125" style="1" bestFit="1" customWidth="1"/>
    <col min="13" max="13" width="14" style="1" bestFit="1" customWidth="1"/>
    <col min="14" max="14" width="9.625" style="1" bestFit="1" customWidth="1"/>
    <col min="15" max="15" width="9.125" style="1" bestFit="1" customWidth="1"/>
    <col min="16" max="16384" width="8.625" style="1"/>
  </cols>
  <sheetData>
    <row r="1" spans="4:18">
      <c r="D1" s="2" t="s">
        <v>5841</v>
      </c>
    </row>
    <row r="2" spans="4:18">
      <c r="D2" s="14" t="s">
        <v>5842</v>
      </c>
      <c r="E2" s="14" t="s">
        <v>3135</v>
      </c>
      <c r="F2" s="14" t="s">
        <v>2321</v>
      </c>
      <c r="G2" s="14"/>
      <c r="H2" s="14" t="s">
        <v>2256</v>
      </c>
      <c r="I2" s="14" t="s">
        <v>2257</v>
      </c>
      <c r="J2" s="14" t="s">
        <v>5843</v>
      </c>
      <c r="K2" s="14" t="s">
        <v>5844</v>
      </c>
      <c r="L2" s="14" t="s">
        <v>768</v>
      </c>
      <c r="M2" s="14" t="s">
        <v>199</v>
      </c>
      <c r="N2" s="14" t="s">
        <v>176</v>
      </c>
      <c r="O2" s="14" t="s">
        <v>318</v>
      </c>
      <c r="P2" s="14" t="s">
        <v>2316</v>
      </c>
      <c r="Q2" s="14" t="s">
        <v>2317</v>
      </c>
      <c r="R2" s="14" t="s">
        <v>105</v>
      </c>
    </row>
    <row r="3" spans="4:18" hidden="1">
      <c r="D3" s="15" t="s">
        <v>5845</v>
      </c>
      <c r="E3" s="14" t="s">
        <v>5846</v>
      </c>
      <c r="F3" s="15" t="s">
        <v>2325</v>
      </c>
      <c r="G3" s="14"/>
      <c r="H3" s="15" t="s">
        <v>5145</v>
      </c>
      <c r="I3" s="15" t="s">
        <v>5146</v>
      </c>
      <c r="J3" s="14" t="str">
        <f>F3&amp;H3&amp;I3</f>
        <v>[Impact Indicator Name][Category][Disaggregation]</v>
      </c>
      <c r="K3" s="15" t="s">
        <v>5847</v>
      </c>
      <c r="L3" s="15" t="s">
        <v>5848</v>
      </c>
      <c r="M3" s="15" t="s">
        <v>5849</v>
      </c>
      <c r="N3" s="15" t="s">
        <v>5850</v>
      </c>
      <c r="O3" s="14" t="s">
        <v>321</v>
      </c>
      <c r="P3" s="18" t="s">
        <v>5851</v>
      </c>
      <c r="Q3" s="373" t="s">
        <v>5852</v>
      </c>
      <c r="R3" s="374" t="s">
        <v>5853</v>
      </c>
    </row>
    <row r="4" spans="4:18">
      <c r="D4" s="15" t="s">
        <v>5854</v>
      </c>
      <c r="E4" s="14" t="s">
        <v>2402</v>
      </c>
      <c r="F4" s="15" t="s">
        <v>794</v>
      </c>
      <c r="G4" s="14"/>
      <c r="H4" s="15" t="s">
        <v>5148</v>
      </c>
      <c r="I4" s="15" t="s">
        <v>3263</v>
      </c>
      <c r="J4" s="14" t="str">
        <f t="shared" ref="J4:J67" si="0">F4&amp;H4&amp;I4</f>
        <v>HIV I-13 Percentage of people living with HIVGender | AgeFemale 15-19</v>
      </c>
      <c r="K4" s="15"/>
      <c r="L4" s="15"/>
      <c r="M4" s="15"/>
      <c r="N4" s="15" t="s">
        <v>2264</v>
      </c>
      <c r="O4" s="14" t="s">
        <v>3262</v>
      </c>
      <c r="P4" s="18"/>
      <c r="Q4" s="373"/>
      <c r="R4" s="374"/>
    </row>
    <row r="5" spans="4:18">
      <c r="D5" s="15" t="s">
        <v>5855</v>
      </c>
      <c r="E5" s="14" t="s">
        <v>2402</v>
      </c>
      <c r="F5" s="15" t="s">
        <v>794</v>
      </c>
      <c r="G5" s="14"/>
      <c r="H5" s="15" t="s">
        <v>5148</v>
      </c>
      <c r="I5" s="15" t="s">
        <v>3252</v>
      </c>
      <c r="J5" s="14" t="str">
        <f t="shared" si="0"/>
        <v>HIV I-13 Percentage of people living with HIVGender | AgeMale 15-19</v>
      </c>
      <c r="K5" s="15"/>
      <c r="L5" s="15"/>
      <c r="M5" s="15"/>
      <c r="N5" s="15" t="s">
        <v>2264</v>
      </c>
      <c r="O5" s="14" t="s">
        <v>3251</v>
      </c>
      <c r="P5" s="18"/>
      <c r="Q5" s="373"/>
      <c r="R5" s="374"/>
    </row>
    <row r="6" spans="4:18">
      <c r="D6" s="15" t="s">
        <v>5856</v>
      </c>
      <c r="E6" s="14" t="s">
        <v>2402</v>
      </c>
      <c r="F6" s="15" t="s">
        <v>794</v>
      </c>
      <c r="G6" s="14"/>
      <c r="H6" s="15" t="s">
        <v>5148</v>
      </c>
      <c r="I6" s="15" t="s">
        <v>3259</v>
      </c>
      <c r="J6" s="14" t="str">
        <f t="shared" si="0"/>
        <v>HIV I-13 Percentage of people living with HIVGender | AgeFemale 20-24</v>
      </c>
      <c r="K6" s="15"/>
      <c r="L6" s="15"/>
      <c r="M6" s="15"/>
      <c r="N6" s="15" t="s">
        <v>2265</v>
      </c>
      <c r="O6" s="14" t="s">
        <v>3258</v>
      </c>
      <c r="P6" s="18"/>
      <c r="Q6" s="373"/>
      <c r="R6" s="374"/>
    </row>
    <row r="7" spans="4:18">
      <c r="D7" s="15" t="s">
        <v>5857</v>
      </c>
      <c r="E7" s="14" t="s">
        <v>2402</v>
      </c>
      <c r="F7" s="15" t="s">
        <v>794</v>
      </c>
      <c r="G7" s="14"/>
      <c r="H7" s="15" t="s">
        <v>5148</v>
      </c>
      <c r="I7" s="15" t="s">
        <v>3248</v>
      </c>
      <c r="J7" s="14" t="str">
        <f t="shared" si="0"/>
        <v>HIV I-13 Percentage of people living with HIVGender | AgeMale 20-24</v>
      </c>
      <c r="K7" s="15"/>
      <c r="L7" s="15"/>
      <c r="M7" s="15"/>
      <c r="N7" s="15" t="s">
        <v>2264</v>
      </c>
      <c r="O7" s="14" t="s">
        <v>3247</v>
      </c>
      <c r="P7" s="18"/>
      <c r="Q7" s="373"/>
      <c r="R7" s="374"/>
    </row>
    <row r="8" spans="4:18">
      <c r="D8" s="15" t="s">
        <v>5858</v>
      </c>
      <c r="E8" s="14" t="s">
        <v>2381</v>
      </c>
      <c r="F8" s="15" t="s">
        <v>790</v>
      </c>
      <c r="G8" s="14"/>
      <c r="H8" s="15" t="s">
        <v>1192</v>
      </c>
      <c r="I8" s="15" t="s">
        <v>3197</v>
      </c>
      <c r="J8" s="14" t="str">
        <f t="shared" si="0"/>
        <v>HIV I-10 Percentage of sex workers who are living with HIVGenderFemale</v>
      </c>
      <c r="K8" s="15"/>
      <c r="L8" s="15"/>
      <c r="M8" s="15"/>
      <c r="N8" s="15" t="s">
        <v>2262</v>
      </c>
      <c r="O8" s="14" t="s">
        <v>3196</v>
      </c>
      <c r="P8" s="18"/>
      <c r="Q8" s="373"/>
      <c r="R8" s="374"/>
    </row>
    <row r="9" spans="4:18">
      <c r="D9" s="15" t="s">
        <v>5859</v>
      </c>
      <c r="E9" s="14" t="s">
        <v>2395</v>
      </c>
      <c r="F9" s="15" t="s">
        <v>793</v>
      </c>
      <c r="G9" s="14"/>
      <c r="H9" s="15" t="s">
        <v>1192</v>
      </c>
      <c r="I9" s="15" t="s">
        <v>3197</v>
      </c>
      <c r="J9" s="14" t="str">
        <f t="shared" si="0"/>
        <v>HIV I-11 Percentage of people who inject drugs who are living with HIVGenderFemale</v>
      </c>
      <c r="K9" s="15"/>
      <c r="L9" s="15"/>
      <c r="M9" s="15"/>
      <c r="N9" s="15" t="s">
        <v>2262</v>
      </c>
      <c r="O9" s="14" t="s">
        <v>3231</v>
      </c>
      <c r="P9" s="18"/>
      <c r="Q9" s="373"/>
      <c r="R9" s="374"/>
    </row>
    <row r="10" spans="4:18">
      <c r="D10" s="15" t="s">
        <v>5860</v>
      </c>
      <c r="E10" s="14" t="s">
        <v>2402</v>
      </c>
      <c r="F10" s="15" t="s">
        <v>794</v>
      </c>
      <c r="G10" s="14"/>
      <c r="H10" s="15" t="s">
        <v>1192</v>
      </c>
      <c r="I10" s="15" t="s">
        <v>3197</v>
      </c>
      <c r="J10" s="14" t="str">
        <f t="shared" si="0"/>
        <v>HIV I-13 Percentage of people living with HIVGenderFemale</v>
      </c>
      <c r="K10" s="15"/>
      <c r="L10" s="15"/>
      <c r="M10" s="15"/>
      <c r="N10" s="15" t="s">
        <v>2264</v>
      </c>
      <c r="O10" s="14" t="s">
        <v>3266</v>
      </c>
      <c r="P10" s="18"/>
      <c r="Q10" s="373"/>
      <c r="R10" s="374"/>
    </row>
    <row r="11" spans="4:18">
      <c r="D11" s="15" t="s">
        <v>5861</v>
      </c>
      <c r="E11" s="14" t="s">
        <v>2381</v>
      </c>
      <c r="F11" s="15" t="s">
        <v>790</v>
      </c>
      <c r="G11" s="14"/>
      <c r="H11" s="15" t="s">
        <v>1192</v>
      </c>
      <c r="I11" s="15" t="s">
        <v>3193</v>
      </c>
      <c r="J11" s="14" t="str">
        <f t="shared" si="0"/>
        <v>HIV I-10 Percentage of sex workers who are living with HIVGenderMale</v>
      </c>
      <c r="K11" s="15"/>
      <c r="L11" s="15"/>
      <c r="M11" s="15"/>
      <c r="N11" s="15" t="s">
        <v>2262</v>
      </c>
      <c r="O11" s="14" t="s">
        <v>3192</v>
      </c>
      <c r="P11" s="18"/>
      <c r="Q11" s="373"/>
      <c r="R11" s="374"/>
    </row>
    <row r="12" spans="4:18">
      <c r="D12" s="15" t="s">
        <v>5862</v>
      </c>
      <c r="E12" s="14" t="s">
        <v>2395</v>
      </c>
      <c r="F12" s="15" t="s">
        <v>793</v>
      </c>
      <c r="G12" s="14"/>
      <c r="H12" s="15" t="s">
        <v>1192</v>
      </c>
      <c r="I12" s="15" t="s">
        <v>3193</v>
      </c>
      <c r="J12" s="14" t="str">
        <f t="shared" si="0"/>
        <v>HIV I-11 Percentage of people who inject drugs who are living with HIVGenderMale</v>
      </c>
      <c r="K12" s="15"/>
      <c r="L12" s="15"/>
      <c r="M12" s="15"/>
      <c r="N12" s="15" t="s">
        <v>2262</v>
      </c>
      <c r="O12" s="14" t="s">
        <v>3228</v>
      </c>
      <c r="P12" s="18"/>
      <c r="Q12" s="373"/>
      <c r="R12" s="374"/>
    </row>
    <row r="13" spans="4:18">
      <c r="D13" s="15" t="s">
        <v>5863</v>
      </c>
      <c r="E13" s="14" t="s">
        <v>2402</v>
      </c>
      <c r="F13" s="15" t="s">
        <v>794</v>
      </c>
      <c r="G13" s="14"/>
      <c r="H13" s="15" t="s">
        <v>1192</v>
      </c>
      <c r="I13" s="15" t="s">
        <v>3193</v>
      </c>
      <c r="J13" s="14" t="str">
        <f t="shared" si="0"/>
        <v>HIV I-13 Percentage of people living with HIVGenderMale</v>
      </c>
      <c r="K13" s="15"/>
      <c r="L13" s="15"/>
      <c r="M13" s="15"/>
      <c r="N13" s="15" t="s">
        <v>2264</v>
      </c>
      <c r="O13" s="14" t="s">
        <v>3255</v>
      </c>
      <c r="P13" s="18"/>
      <c r="Q13" s="373"/>
      <c r="R13" s="374"/>
    </row>
    <row r="14" spans="4:18">
      <c r="D14" s="15" t="s">
        <v>5864</v>
      </c>
      <c r="E14" s="14" t="s">
        <v>2381</v>
      </c>
      <c r="F14" s="15" t="s">
        <v>790</v>
      </c>
      <c r="G14" s="14"/>
      <c r="H14" s="15" t="s">
        <v>1192</v>
      </c>
      <c r="I14" s="15" t="s">
        <v>3189</v>
      </c>
      <c r="J14" s="14" t="str">
        <f t="shared" si="0"/>
        <v>HIV I-10 Percentage of sex workers who are living with HIVGenderTransgender</v>
      </c>
      <c r="K14" s="15"/>
      <c r="L14" s="15"/>
      <c r="M14" s="15"/>
      <c r="N14" s="15" t="s">
        <v>2261</v>
      </c>
      <c r="O14" s="14" t="s">
        <v>3188</v>
      </c>
      <c r="P14" s="18"/>
      <c r="Q14" s="373"/>
      <c r="R14" s="374"/>
    </row>
    <row r="15" spans="4:18">
      <c r="D15" s="15" t="s">
        <v>5865</v>
      </c>
      <c r="E15" s="14" t="s">
        <v>2395</v>
      </c>
      <c r="F15" s="15" t="s">
        <v>793</v>
      </c>
      <c r="G15" s="14"/>
      <c r="H15" s="15" t="s">
        <v>1192</v>
      </c>
      <c r="I15" s="15" t="s">
        <v>3189</v>
      </c>
      <c r="J15" s="14" t="str">
        <f t="shared" si="0"/>
        <v>HIV I-11 Percentage of people who inject drugs who are living with HIVGenderTransgender</v>
      </c>
      <c r="K15" s="15"/>
      <c r="L15" s="15"/>
      <c r="M15" s="15"/>
      <c r="N15" s="15" t="s">
        <v>2261</v>
      </c>
      <c r="O15" s="14" t="s">
        <v>3225</v>
      </c>
      <c r="P15" s="18"/>
      <c r="Q15" s="373"/>
      <c r="R15" s="374"/>
    </row>
    <row r="16" spans="4:18">
      <c r="D16" s="15" t="s">
        <v>5866</v>
      </c>
      <c r="E16" s="14" t="s">
        <v>2402</v>
      </c>
      <c r="F16" s="15" t="s">
        <v>794</v>
      </c>
      <c r="G16" s="14"/>
      <c r="H16" s="15" t="s">
        <v>849</v>
      </c>
      <c r="I16" s="15" t="s">
        <v>3244</v>
      </c>
      <c r="J16" s="14" t="str">
        <f t="shared" si="0"/>
        <v>HIV I-13 Percentage of people living with HIVAge&lt;15</v>
      </c>
      <c r="K16" s="15"/>
      <c r="L16" s="15"/>
      <c r="M16" s="15"/>
      <c r="N16" s="15" t="s">
        <v>2264</v>
      </c>
      <c r="O16" s="14" t="s">
        <v>3243</v>
      </c>
      <c r="P16" s="18"/>
      <c r="Q16" s="373"/>
      <c r="R16" s="374"/>
    </row>
    <row r="17" spans="4:18">
      <c r="D17" s="15" t="s">
        <v>5867</v>
      </c>
      <c r="E17" s="14" t="s">
        <v>2374</v>
      </c>
      <c r="F17" s="15" t="s">
        <v>787</v>
      </c>
      <c r="G17" s="14"/>
      <c r="H17" s="15" t="s">
        <v>849</v>
      </c>
      <c r="I17" s="15" t="s">
        <v>3171</v>
      </c>
      <c r="J17" s="14" t="str">
        <f t="shared" si="0"/>
        <v>HIV I-9a Percentage of men who have sex with men who are living with HIVAge&lt;25</v>
      </c>
      <c r="K17" s="15"/>
      <c r="L17" s="15"/>
      <c r="M17" s="15"/>
      <c r="N17" s="15" t="s">
        <v>2260</v>
      </c>
      <c r="O17" s="14" t="s">
        <v>3170</v>
      </c>
      <c r="P17" s="18"/>
      <c r="Q17" s="373"/>
      <c r="R17" s="374"/>
    </row>
    <row r="18" spans="4:18">
      <c r="D18" s="15" t="s">
        <v>5868</v>
      </c>
      <c r="E18" s="14" t="s">
        <v>2381</v>
      </c>
      <c r="F18" s="15" t="s">
        <v>790</v>
      </c>
      <c r="G18" s="14"/>
      <c r="H18" s="15" t="s">
        <v>849</v>
      </c>
      <c r="I18" s="15" t="s">
        <v>3171</v>
      </c>
      <c r="J18" s="14" t="str">
        <f t="shared" si="0"/>
        <v>HIV I-10 Percentage of sex workers who are living with HIVAge&lt;25</v>
      </c>
      <c r="K18" s="15"/>
      <c r="L18" s="15"/>
      <c r="M18" s="15"/>
      <c r="N18" s="15" t="s">
        <v>2260</v>
      </c>
      <c r="O18" s="14" t="s">
        <v>3185</v>
      </c>
      <c r="P18" s="18"/>
      <c r="Q18" s="373"/>
      <c r="R18" s="374"/>
    </row>
    <row r="19" spans="4:18">
      <c r="D19" s="15" t="s">
        <v>5869</v>
      </c>
      <c r="E19" s="14" t="s">
        <v>2388</v>
      </c>
      <c r="F19" s="15" t="s">
        <v>791</v>
      </c>
      <c r="G19" s="14"/>
      <c r="H19" s="15" t="s">
        <v>849</v>
      </c>
      <c r="I19" s="15" t="s">
        <v>3171</v>
      </c>
      <c r="J19" s="14" t="str">
        <f t="shared" si="0"/>
        <v>HIV I-9b Percentage of transgender people who are living with HIVAge&lt;25</v>
      </c>
      <c r="K19" s="15"/>
      <c r="L19" s="15"/>
      <c r="M19" s="15"/>
      <c r="N19" s="15" t="s">
        <v>2260</v>
      </c>
      <c r="O19" s="14" t="s">
        <v>3208</v>
      </c>
      <c r="P19" s="18"/>
      <c r="Q19" s="373"/>
      <c r="R19" s="374"/>
    </row>
    <row r="20" spans="4:18">
      <c r="D20" s="15" t="s">
        <v>5870</v>
      </c>
      <c r="E20" s="14" t="s">
        <v>2395</v>
      </c>
      <c r="F20" s="15" t="s">
        <v>793</v>
      </c>
      <c r="G20" s="14"/>
      <c r="H20" s="15" t="s">
        <v>849</v>
      </c>
      <c r="I20" s="15" t="s">
        <v>3171</v>
      </c>
      <c r="J20" s="14" t="str">
        <f t="shared" si="0"/>
        <v>HIV I-11 Percentage of people who inject drugs who are living with HIVAge&lt;25</v>
      </c>
      <c r="K20" s="15"/>
      <c r="L20" s="15"/>
      <c r="M20" s="15"/>
      <c r="N20" s="15" t="s">
        <v>2260</v>
      </c>
      <c r="O20" s="14" t="s">
        <v>3222</v>
      </c>
      <c r="P20" s="18"/>
      <c r="Q20" s="373"/>
      <c r="R20" s="374"/>
    </row>
    <row r="21" spans="4:18">
      <c r="D21" s="15" t="s">
        <v>5871</v>
      </c>
      <c r="E21" s="14" t="s">
        <v>2402</v>
      </c>
      <c r="F21" s="15" t="s">
        <v>794</v>
      </c>
      <c r="G21" s="14"/>
      <c r="H21" s="15" t="s">
        <v>849</v>
      </c>
      <c r="I21" s="15" t="s">
        <v>3240</v>
      </c>
      <c r="J21" s="14" t="str">
        <f t="shared" si="0"/>
        <v>HIV I-13 Percentage of people living with HIVAge15+</v>
      </c>
      <c r="K21" s="15"/>
      <c r="L21" s="15" t="s">
        <v>2337</v>
      </c>
      <c r="M21" s="15" t="s">
        <v>798</v>
      </c>
      <c r="N21" s="15" t="s">
        <v>2263</v>
      </c>
      <c r="O21" s="14" t="s">
        <v>3239</v>
      </c>
      <c r="P21" s="18"/>
      <c r="Q21" s="373"/>
      <c r="R21" s="374">
        <v>0.66</v>
      </c>
    </row>
    <row r="22" spans="4:18">
      <c r="D22" s="15" t="s">
        <v>5872</v>
      </c>
      <c r="E22" s="14" t="s">
        <v>2374</v>
      </c>
      <c r="F22" s="15" t="s">
        <v>787</v>
      </c>
      <c r="G22" s="14"/>
      <c r="H22" s="15" t="s">
        <v>849</v>
      </c>
      <c r="I22" s="15" t="s">
        <v>3167</v>
      </c>
      <c r="J22" s="14" t="str">
        <f t="shared" si="0"/>
        <v>HIV I-9a Percentage of men who have sex with men who are living with HIVAge25+</v>
      </c>
      <c r="K22" s="15"/>
      <c r="L22" s="15"/>
      <c r="M22" s="15"/>
      <c r="N22" s="15" t="s">
        <v>2260</v>
      </c>
      <c r="O22" s="14" t="s">
        <v>3166</v>
      </c>
      <c r="P22" s="18"/>
      <c r="Q22" s="373"/>
      <c r="R22" s="374"/>
    </row>
    <row r="23" spans="4:18">
      <c r="D23" s="15" t="s">
        <v>5873</v>
      </c>
      <c r="E23" s="14" t="s">
        <v>2381</v>
      </c>
      <c r="F23" s="15" t="s">
        <v>790</v>
      </c>
      <c r="G23" s="14"/>
      <c r="H23" s="15" t="s">
        <v>849</v>
      </c>
      <c r="I23" s="15" t="s">
        <v>3167</v>
      </c>
      <c r="J23" s="14" t="str">
        <f t="shared" si="0"/>
        <v>HIV I-10 Percentage of sex workers who are living with HIVAge25+</v>
      </c>
      <c r="K23" s="15"/>
      <c r="L23" s="15"/>
      <c r="M23" s="15"/>
      <c r="N23" s="15" t="s">
        <v>2260</v>
      </c>
      <c r="O23" s="14" t="s">
        <v>3182</v>
      </c>
      <c r="P23" s="18"/>
      <c r="Q23" s="373"/>
      <c r="R23" s="374"/>
    </row>
    <row r="24" spans="4:18">
      <c r="D24" s="15" t="s">
        <v>5874</v>
      </c>
      <c r="E24" s="14" t="s">
        <v>2388</v>
      </c>
      <c r="F24" s="15" t="s">
        <v>791</v>
      </c>
      <c r="G24" s="14"/>
      <c r="H24" s="15" t="s">
        <v>849</v>
      </c>
      <c r="I24" s="15" t="s">
        <v>3167</v>
      </c>
      <c r="J24" s="14" t="str">
        <f t="shared" si="0"/>
        <v>HIV I-9b Percentage of transgender people who are living with HIVAge25+</v>
      </c>
      <c r="K24" s="15"/>
      <c r="L24" s="15"/>
      <c r="M24" s="15"/>
      <c r="N24" s="15" t="s">
        <v>2260</v>
      </c>
      <c r="O24" s="14" t="s">
        <v>3205</v>
      </c>
      <c r="P24" s="18"/>
      <c r="Q24" s="373"/>
      <c r="R24" s="374"/>
    </row>
    <row r="25" spans="4:18">
      <c r="D25" s="15" t="s">
        <v>5875</v>
      </c>
      <c r="E25" s="14" t="s">
        <v>2395</v>
      </c>
      <c r="F25" s="15" t="s">
        <v>793</v>
      </c>
      <c r="G25" s="14"/>
      <c r="H25" s="15" t="s">
        <v>849</v>
      </c>
      <c r="I25" s="15" t="s">
        <v>3167</v>
      </c>
      <c r="J25" s="14" t="str">
        <f t="shared" si="0"/>
        <v>HIV I-11 Percentage of people who inject drugs who are living with HIVAge25+</v>
      </c>
      <c r="K25" s="15"/>
      <c r="L25" s="15"/>
      <c r="M25" s="15"/>
      <c r="N25" s="15" t="s">
        <v>2260</v>
      </c>
      <c r="O25" s="14" t="s">
        <v>3219</v>
      </c>
      <c r="P25" s="18"/>
      <c r="Q25" s="373"/>
      <c r="R25" s="374"/>
    </row>
    <row r="26" spans="4:18">
      <c r="D26" s="15" t="s">
        <v>5876</v>
      </c>
      <c r="E26" s="14" t="s">
        <v>2350</v>
      </c>
      <c r="F26" s="15" t="s">
        <v>779</v>
      </c>
      <c r="G26" s="14"/>
      <c r="H26" s="15"/>
      <c r="I26" s="15"/>
      <c r="J26" s="14" t="str">
        <f t="shared" si="0"/>
        <v>TB I-3 TB mortality rate per 100,000 population</v>
      </c>
      <c r="K26" s="15"/>
      <c r="L26" s="15"/>
      <c r="M26" s="15"/>
      <c r="N26" s="15"/>
      <c r="O26" s="14" t="s">
        <v>3136</v>
      </c>
      <c r="P26" s="18"/>
      <c r="Q26" s="373"/>
      <c r="R26" s="374"/>
    </row>
    <row r="27" spans="4:18">
      <c r="D27" s="15" t="s">
        <v>5877</v>
      </c>
      <c r="E27" s="14" t="s">
        <v>2350</v>
      </c>
      <c r="F27" s="15" t="s">
        <v>779</v>
      </c>
      <c r="G27" s="14"/>
      <c r="H27" s="15"/>
      <c r="I27" s="15"/>
      <c r="J27" s="14" t="str">
        <f t="shared" si="0"/>
        <v>TB I-3 TB mortality rate per 100,000 population</v>
      </c>
      <c r="K27" s="15"/>
      <c r="L27" s="15"/>
      <c r="M27" s="15"/>
      <c r="N27" s="15"/>
      <c r="O27" s="14" t="s">
        <v>3137</v>
      </c>
      <c r="P27" s="18"/>
      <c r="Q27" s="373"/>
      <c r="R27" s="374"/>
    </row>
    <row r="28" spans="4:18">
      <c r="D28" s="15" t="s">
        <v>5878</v>
      </c>
      <c r="E28" s="14" t="s">
        <v>2350</v>
      </c>
      <c r="F28" s="15" t="s">
        <v>779</v>
      </c>
      <c r="G28" s="14"/>
      <c r="H28" s="15"/>
      <c r="I28" s="15"/>
      <c r="J28" s="14" t="str">
        <f t="shared" si="0"/>
        <v>TB I-3 TB mortality rate per 100,000 population</v>
      </c>
      <c r="K28" s="15"/>
      <c r="L28" s="15"/>
      <c r="M28" s="15"/>
      <c r="N28" s="15"/>
      <c r="O28" s="14" t="s">
        <v>3138</v>
      </c>
      <c r="P28" s="18"/>
      <c r="Q28" s="373"/>
      <c r="R28" s="374"/>
    </row>
    <row r="29" spans="4:18">
      <c r="D29" s="15" t="s">
        <v>5879</v>
      </c>
      <c r="E29" s="14" t="s">
        <v>2350</v>
      </c>
      <c r="F29" s="15" t="s">
        <v>779</v>
      </c>
      <c r="G29" s="14"/>
      <c r="H29" s="15"/>
      <c r="I29" s="15"/>
      <c r="J29" s="14" t="str">
        <f t="shared" si="0"/>
        <v>TB I-3 TB mortality rate per 100,000 population</v>
      </c>
      <c r="K29" s="15"/>
      <c r="L29" s="15"/>
      <c r="M29" s="15"/>
      <c r="N29" s="15"/>
      <c r="O29" s="14" t="s">
        <v>3139</v>
      </c>
      <c r="P29" s="18"/>
      <c r="Q29" s="373"/>
      <c r="R29" s="374"/>
    </row>
    <row r="30" spans="4:18">
      <c r="D30" s="15" t="s">
        <v>5880</v>
      </c>
      <c r="E30" s="14" t="s">
        <v>2350</v>
      </c>
      <c r="F30" s="15" t="s">
        <v>779</v>
      </c>
      <c r="G30" s="14"/>
      <c r="H30" s="15"/>
      <c r="I30" s="15"/>
      <c r="J30" s="14" t="str">
        <f t="shared" si="0"/>
        <v>TB I-3 TB mortality rate per 100,000 population</v>
      </c>
      <c r="K30" s="15"/>
      <c r="L30" s="15"/>
      <c r="M30" s="15"/>
      <c r="N30" s="15"/>
      <c r="O30" s="14" t="s">
        <v>3140</v>
      </c>
      <c r="P30" s="18"/>
      <c r="Q30" s="373"/>
      <c r="R30" s="374"/>
    </row>
    <row r="31" spans="4:18">
      <c r="D31" s="15" t="s">
        <v>5881</v>
      </c>
      <c r="E31" s="14" t="s">
        <v>2350</v>
      </c>
      <c r="F31" s="15" t="s">
        <v>779</v>
      </c>
      <c r="G31" s="14"/>
      <c r="H31" s="15"/>
      <c r="I31" s="15"/>
      <c r="J31" s="14" t="str">
        <f t="shared" si="0"/>
        <v>TB I-3 TB mortality rate per 100,000 population</v>
      </c>
      <c r="K31" s="15"/>
      <c r="L31" s="15"/>
      <c r="M31" s="15"/>
      <c r="N31" s="15"/>
      <c r="O31" s="14" t="s">
        <v>3141</v>
      </c>
      <c r="P31" s="18"/>
      <c r="Q31" s="373"/>
      <c r="R31" s="374"/>
    </row>
    <row r="32" spans="4:18">
      <c r="D32" s="15" t="s">
        <v>5882</v>
      </c>
      <c r="E32" s="14" t="s">
        <v>2350</v>
      </c>
      <c r="F32" s="15" t="s">
        <v>779</v>
      </c>
      <c r="G32" s="14"/>
      <c r="H32" s="15"/>
      <c r="I32" s="15"/>
      <c r="J32" s="14" t="str">
        <f t="shared" si="0"/>
        <v>TB I-3 TB mortality rate per 100,000 population</v>
      </c>
      <c r="K32" s="15"/>
      <c r="L32" s="15"/>
      <c r="M32" s="15"/>
      <c r="N32" s="15"/>
      <c r="O32" s="14" t="s">
        <v>3142</v>
      </c>
      <c r="P32" s="18"/>
      <c r="Q32" s="373"/>
      <c r="R32" s="374"/>
    </row>
    <row r="33" spans="4:18">
      <c r="D33" s="15" t="s">
        <v>5883</v>
      </c>
      <c r="E33" s="14" t="s">
        <v>2350</v>
      </c>
      <c r="F33" s="15" t="s">
        <v>779</v>
      </c>
      <c r="G33" s="14"/>
      <c r="H33" s="15"/>
      <c r="I33" s="15"/>
      <c r="J33" s="14" t="str">
        <f t="shared" si="0"/>
        <v>TB I-3 TB mortality rate per 100,000 population</v>
      </c>
      <c r="K33" s="15"/>
      <c r="L33" s="15"/>
      <c r="M33" s="15"/>
      <c r="N33" s="15"/>
      <c r="O33" s="14" t="s">
        <v>3143</v>
      </c>
      <c r="P33" s="18"/>
      <c r="Q33" s="373"/>
      <c r="R33" s="374"/>
    </row>
    <row r="34" spans="4:18">
      <c r="D34" s="15" t="s">
        <v>5884</v>
      </c>
      <c r="E34" s="14" t="s">
        <v>2350</v>
      </c>
      <c r="F34" s="15" t="s">
        <v>779</v>
      </c>
      <c r="G34" s="14"/>
      <c r="H34" s="15"/>
      <c r="I34" s="15"/>
      <c r="J34" s="14" t="str">
        <f t="shared" si="0"/>
        <v>TB I-3 TB mortality rate per 100,000 population</v>
      </c>
      <c r="K34" s="15"/>
      <c r="L34" s="15"/>
      <c r="M34" s="15"/>
      <c r="N34" s="15"/>
      <c r="O34" s="14" t="s">
        <v>3144</v>
      </c>
      <c r="P34" s="18"/>
      <c r="Q34" s="373"/>
      <c r="R34" s="374"/>
    </row>
    <row r="35" spans="4:18">
      <c r="D35" s="15" t="s">
        <v>5885</v>
      </c>
      <c r="E35" s="14" t="s">
        <v>2350</v>
      </c>
      <c r="F35" s="15" t="s">
        <v>779</v>
      </c>
      <c r="G35" s="14"/>
      <c r="H35" s="15"/>
      <c r="I35" s="15"/>
      <c r="J35" s="14" t="str">
        <f t="shared" si="0"/>
        <v>TB I-3 TB mortality rate per 100,000 population</v>
      </c>
      <c r="K35" s="15"/>
      <c r="L35" s="15"/>
      <c r="M35" s="15"/>
      <c r="N35" s="15"/>
      <c r="O35" s="14" t="s">
        <v>3145</v>
      </c>
      <c r="P35" s="18"/>
      <c r="Q35" s="373"/>
      <c r="R35" s="374"/>
    </row>
    <row r="36" spans="4:18">
      <c r="D36" s="15" t="s">
        <v>5886</v>
      </c>
      <c r="E36" s="14" t="s">
        <v>2360</v>
      </c>
      <c r="F36" s="15" t="s">
        <v>783</v>
      </c>
      <c r="G36" s="14"/>
      <c r="H36" s="15"/>
      <c r="I36" s="15"/>
      <c r="J36" s="14" t="str">
        <f t="shared" si="0"/>
        <v>TB I-2 TB incidence rate per 100,000 population</v>
      </c>
      <c r="K36" s="15"/>
      <c r="L36" s="15"/>
      <c r="M36" s="15"/>
      <c r="N36" s="15"/>
      <c r="O36" s="14" t="s">
        <v>3146</v>
      </c>
      <c r="P36" s="18"/>
      <c r="Q36" s="373"/>
      <c r="R36" s="374"/>
    </row>
    <row r="37" spans="4:18">
      <c r="D37" s="15" t="s">
        <v>5887</v>
      </c>
      <c r="E37" s="14" t="s">
        <v>2360</v>
      </c>
      <c r="F37" s="15" t="s">
        <v>783</v>
      </c>
      <c r="G37" s="14"/>
      <c r="H37" s="15"/>
      <c r="I37" s="15"/>
      <c r="J37" s="14" t="str">
        <f t="shared" si="0"/>
        <v>TB I-2 TB incidence rate per 100,000 population</v>
      </c>
      <c r="K37" s="15"/>
      <c r="L37" s="15"/>
      <c r="M37" s="15"/>
      <c r="N37" s="15"/>
      <c r="O37" s="14" t="s">
        <v>3147</v>
      </c>
      <c r="P37" s="18"/>
      <c r="Q37" s="373"/>
      <c r="R37" s="374"/>
    </row>
    <row r="38" spans="4:18">
      <c r="D38" s="15" t="s">
        <v>5888</v>
      </c>
      <c r="E38" s="14" t="s">
        <v>2360</v>
      </c>
      <c r="F38" s="15" t="s">
        <v>783</v>
      </c>
      <c r="G38" s="14"/>
      <c r="H38" s="15"/>
      <c r="I38" s="15"/>
      <c r="J38" s="14" t="str">
        <f t="shared" si="0"/>
        <v>TB I-2 TB incidence rate per 100,000 population</v>
      </c>
      <c r="K38" s="15"/>
      <c r="L38" s="15"/>
      <c r="M38" s="15"/>
      <c r="N38" s="15"/>
      <c r="O38" s="14" t="s">
        <v>3148</v>
      </c>
      <c r="P38" s="18"/>
      <c r="Q38" s="373"/>
      <c r="R38" s="374"/>
    </row>
    <row r="39" spans="4:18">
      <c r="D39" s="15" t="s">
        <v>5889</v>
      </c>
      <c r="E39" s="14" t="s">
        <v>2360</v>
      </c>
      <c r="F39" s="15" t="s">
        <v>783</v>
      </c>
      <c r="G39" s="14"/>
      <c r="H39" s="15"/>
      <c r="I39" s="15"/>
      <c r="J39" s="14" t="str">
        <f t="shared" si="0"/>
        <v>TB I-2 TB incidence rate per 100,000 population</v>
      </c>
      <c r="K39" s="15"/>
      <c r="L39" s="15"/>
      <c r="M39" s="15"/>
      <c r="N39" s="15"/>
      <c r="O39" s="14" t="s">
        <v>3149</v>
      </c>
      <c r="P39" s="18"/>
      <c r="Q39" s="373"/>
      <c r="R39" s="374"/>
    </row>
    <row r="40" spans="4:18">
      <c r="D40" s="15" t="s">
        <v>5890</v>
      </c>
      <c r="E40" s="14" t="s">
        <v>2360</v>
      </c>
      <c r="F40" s="15" t="s">
        <v>783</v>
      </c>
      <c r="G40" s="14"/>
      <c r="H40" s="15"/>
      <c r="I40" s="15"/>
      <c r="J40" s="14" t="str">
        <f t="shared" si="0"/>
        <v>TB I-2 TB incidence rate per 100,000 population</v>
      </c>
      <c r="K40" s="15"/>
      <c r="L40" s="15"/>
      <c r="M40" s="15"/>
      <c r="N40" s="15"/>
      <c r="O40" s="14" t="s">
        <v>3150</v>
      </c>
      <c r="P40" s="18"/>
      <c r="Q40" s="373"/>
      <c r="R40" s="374"/>
    </row>
    <row r="41" spans="4:18">
      <c r="D41" s="15" t="s">
        <v>5891</v>
      </c>
      <c r="E41" s="14" t="s">
        <v>2360</v>
      </c>
      <c r="F41" s="15" t="s">
        <v>783</v>
      </c>
      <c r="G41" s="14"/>
      <c r="H41" s="15"/>
      <c r="I41" s="15"/>
      <c r="J41" s="14" t="str">
        <f t="shared" si="0"/>
        <v>TB I-2 TB incidence rate per 100,000 population</v>
      </c>
      <c r="K41" s="15"/>
      <c r="L41" s="15"/>
      <c r="M41" s="15"/>
      <c r="N41" s="15"/>
      <c r="O41" s="14" t="s">
        <v>3151</v>
      </c>
      <c r="P41" s="18"/>
      <c r="Q41" s="373"/>
      <c r="R41" s="374"/>
    </row>
    <row r="42" spans="4:18">
      <c r="D42" s="15" t="s">
        <v>5892</v>
      </c>
      <c r="E42" s="14" t="s">
        <v>2360</v>
      </c>
      <c r="F42" s="15" t="s">
        <v>783</v>
      </c>
      <c r="G42" s="14"/>
      <c r="H42" s="15"/>
      <c r="I42" s="15"/>
      <c r="J42" s="14" t="str">
        <f t="shared" si="0"/>
        <v>TB I-2 TB incidence rate per 100,000 population</v>
      </c>
      <c r="K42" s="15"/>
      <c r="L42" s="15"/>
      <c r="M42" s="15"/>
      <c r="N42" s="15"/>
      <c r="O42" s="14" t="s">
        <v>3152</v>
      </c>
      <c r="P42" s="18"/>
      <c r="Q42" s="373"/>
      <c r="R42" s="374"/>
    </row>
    <row r="43" spans="4:18">
      <c r="D43" s="15" t="s">
        <v>5893</v>
      </c>
      <c r="E43" s="14" t="s">
        <v>2360</v>
      </c>
      <c r="F43" s="15" t="s">
        <v>783</v>
      </c>
      <c r="G43" s="14"/>
      <c r="H43" s="15"/>
      <c r="I43" s="15"/>
      <c r="J43" s="14" t="str">
        <f t="shared" si="0"/>
        <v>TB I-2 TB incidence rate per 100,000 population</v>
      </c>
      <c r="K43" s="15"/>
      <c r="L43" s="15"/>
      <c r="M43" s="15"/>
      <c r="N43" s="15"/>
      <c r="O43" s="14" t="s">
        <v>3153</v>
      </c>
      <c r="P43" s="18"/>
      <c r="Q43" s="373"/>
      <c r="R43" s="374"/>
    </row>
    <row r="44" spans="4:18">
      <c r="D44" s="15" t="s">
        <v>5894</v>
      </c>
      <c r="E44" s="14" t="s">
        <v>2360</v>
      </c>
      <c r="F44" s="15" t="s">
        <v>783</v>
      </c>
      <c r="G44" s="14"/>
      <c r="H44" s="15"/>
      <c r="I44" s="15"/>
      <c r="J44" s="14" t="str">
        <f t="shared" si="0"/>
        <v>TB I-2 TB incidence rate per 100,000 population</v>
      </c>
      <c r="K44" s="15"/>
      <c r="L44" s="15"/>
      <c r="M44" s="15"/>
      <c r="N44" s="15"/>
      <c r="O44" s="14" t="s">
        <v>3154</v>
      </c>
      <c r="P44" s="18"/>
      <c r="Q44" s="373"/>
      <c r="R44" s="374"/>
    </row>
    <row r="45" spans="4:18">
      <c r="D45" s="15" t="s">
        <v>5895</v>
      </c>
      <c r="E45" s="14" t="s">
        <v>2360</v>
      </c>
      <c r="F45" s="15" t="s">
        <v>783</v>
      </c>
      <c r="G45" s="14"/>
      <c r="H45" s="15"/>
      <c r="I45" s="15"/>
      <c r="J45" s="14" t="str">
        <f t="shared" si="0"/>
        <v>TB I-2 TB incidence rate per 100,000 population</v>
      </c>
      <c r="K45" s="15"/>
      <c r="L45" s="15"/>
      <c r="M45" s="15"/>
      <c r="N45" s="15"/>
      <c r="O45" s="14" t="s">
        <v>3155</v>
      </c>
      <c r="P45" s="18"/>
      <c r="Q45" s="373"/>
      <c r="R45" s="374"/>
    </row>
    <row r="46" spans="4:18">
      <c r="D46" s="15" t="s">
        <v>5896</v>
      </c>
      <c r="E46" s="14" t="s">
        <v>2367</v>
      </c>
      <c r="F46" s="15" t="s">
        <v>785</v>
      </c>
      <c r="G46" s="14"/>
      <c r="H46" s="15"/>
      <c r="I46" s="15"/>
      <c r="J46" s="14" t="str">
        <f t="shared" si="0"/>
        <v>TB I-4 RR-TB and/or MDR-TB prevalence among new TB patients: Proportion of new TB patients with RR-TB and/or MDR-TB</v>
      </c>
      <c r="K46" s="15"/>
      <c r="L46" s="15"/>
      <c r="M46" s="15"/>
      <c r="N46" s="15"/>
      <c r="O46" s="14" t="s">
        <v>3156</v>
      </c>
      <c r="P46" s="18"/>
      <c r="Q46" s="373"/>
      <c r="R46" s="374"/>
    </row>
    <row r="47" spans="4:18">
      <c r="D47" s="15" t="s">
        <v>5897</v>
      </c>
      <c r="E47" s="14" t="s">
        <v>2367</v>
      </c>
      <c r="F47" s="15" t="s">
        <v>785</v>
      </c>
      <c r="G47" s="14"/>
      <c r="H47" s="15"/>
      <c r="I47" s="15"/>
      <c r="J47" s="14" t="str">
        <f t="shared" si="0"/>
        <v>TB I-4 RR-TB and/or MDR-TB prevalence among new TB patients: Proportion of new TB patients with RR-TB and/or MDR-TB</v>
      </c>
      <c r="K47" s="15"/>
      <c r="L47" s="15"/>
      <c r="M47" s="15"/>
      <c r="N47" s="15"/>
      <c r="O47" s="14" t="s">
        <v>3157</v>
      </c>
      <c r="P47" s="18"/>
      <c r="Q47" s="373"/>
      <c r="R47" s="374"/>
    </row>
    <row r="48" spans="4:18">
      <c r="D48" s="15" t="s">
        <v>5898</v>
      </c>
      <c r="E48" s="14" t="s">
        <v>2367</v>
      </c>
      <c r="F48" s="15" t="s">
        <v>785</v>
      </c>
      <c r="G48" s="14"/>
      <c r="H48" s="15"/>
      <c r="I48" s="15"/>
      <c r="J48" s="14" t="str">
        <f t="shared" si="0"/>
        <v>TB I-4 RR-TB and/or MDR-TB prevalence among new TB patients: Proportion of new TB patients with RR-TB and/or MDR-TB</v>
      </c>
      <c r="K48" s="15"/>
      <c r="L48" s="15"/>
      <c r="M48" s="15"/>
      <c r="N48" s="15"/>
      <c r="O48" s="14" t="s">
        <v>3158</v>
      </c>
      <c r="P48" s="18"/>
      <c r="Q48" s="373"/>
      <c r="R48" s="374"/>
    </row>
    <row r="49" spans="4:18">
      <c r="D49" s="15" t="s">
        <v>5899</v>
      </c>
      <c r="E49" s="14" t="s">
        <v>2367</v>
      </c>
      <c r="F49" s="15" t="s">
        <v>785</v>
      </c>
      <c r="G49" s="14"/>
      <c r="H49" s="15"/>
      <c r="I49" s="15"/>
      <c r="J49" s="14" t="str">
        <f t="shared" si="0"/>
        <v>TB I-4 RR-TB and/or MDR-TB prevalence among new TB patients: Proportion of new TB patients with RR-TB and/or MDR-TB</v>
      </c>
      <c r="K49" s="15"/>
      <c r="L49" s="15"/>
      <c r="M49" s="15"/>
      <c r="N49" s="15"/>
      <c r="O49" s="14" t="s">
        <v>3159</v>
      </c>
      <c r="P49" s="18"/>
      <c r="Q49" s="373"/>
      <c r="R49" s="374"/>
    </row>
    <row r="50" spans="4:18">
      <c r="D50" s="15" t="s">
        <v>5900</v>
      </c>
      <c r="E50" s="14" t="s">
        <v>2367</v>
      </c>
      <c r="F50" s="15" t="s">
        <v>785</v>
      </c>
      <c r="G50" s="14"/>
      <c r="H50" s="15"/>
      <c r="I50" s="15"/>
      <c r="J50" s="14" t="str">
        <f t="shared" si="0"/>
        <v>TB I-4 RR-TB and/or MDR-TB prevalence among new TB patients: Proportion of new TB patients with RR-TB and/or MDR-TB</v>
      </c>
      <c r="K50" s="15"/>
      <c r="L50" s="15"/>
      <c r="M50" s="15"/>
      <c r="N50" s="15"/>
      <c r="O50" s="14" t="s">
        <v>3160</v>
      </c>
      <c r="P50" s="18"/>
      <c r="Q50" s="373"/>
      <c r="R50" s="374"/>
    </row>
    <row r="51" spans="4:18">
      <c r="D51" s="15" t="s">
        <v>5901</v>
      </c>
      <c r="E51" s="14" t="s">
        <v>2367</v>
      </c>
      <c r="F51" s="15" t="s">
        <v>785</v>
      </c>
      <c r="G51" s="14"/>
      <c r="H51" s="15"/>
      <c r="I51" s="15"/>
      <c r="J51" s="14" t="str">
        <f t="shared" si="0"/>
        <v>TB I-4 RR-TB and/or MDR-TB prevalence among new TB patients: Proportion of new TB patients with RR-TB and/or MDR-TB</v>
      </c>
      <c r="K51" s="15"/>
      <c r="L51" s="15"/>
      <c r="M51" s="15"/>
      <c r="N51" s="15"/>
      <c r="O51" s="14" t="s">
        <v>3161</v>
      </c>
      <c r="P51" s="18"/>
      <c r="Q51" s="373"/>
      <c r="R51" s="374"/>
    </row>
    <row r="52" spans="4:18">
      <c r="D52" s="15" t="s">
        <v>5902</v>
      </c>
      <c r="E52" s="14" t="s">
        <v>2367</v>
      </c>
      <c r="F52" s="15" t="s">
        <v>785</v>
      </c>
      <c r="G52" s="14"/>
      <c r="H52" s="15"/>
      <c r="I52" s="15"/>
      <c r="J52" s="14" t="str">
        <f t="shared" si="0"/>
        <v>TB I-4 RR-TB and/or MDR-TB prevalence among new TB patients: Proportion of new TB patients with RR-TB and/or MDR-TB</v>
      </c>
      <c r="K52" s="15"/>
      <c r="L52" s="15"/>
      <c r="M52" s="15"/>
      <c r="N52" s="15"/>
      <c r="O52" s="14" t="s">
        <v>3162</v>
      </c>
      <c r="P52" s="18"/>
      <c r="Q52" s="373"/>
      <c r="R52" s="374"/>
    </row>
    <row r="53" spans="4:18">
      <c r="D53" s="15" t="s">
        <v>5903</v>
      </c>
      <c r="E53" s="14" t="s">
        <v>2367</v>
      </c>
      <c r="F53" s="15" t="s">
        <v>785</v>
      </c>
      <c r="G53" s="14"/>
      <c r="H53" s="15"/>
      <c r="I53" s="15"/>
      <c r="J53" s="14" t="str">
        <f t="shared" si="0"/>
        <v>TB I-4 RR-TB and/or MDR-TB prevalence among new TB patients: Proportion of new TB patients with RR-TB and/or MDR-TB</v>
      </c>
      <c r="K53" s="15"/>
      <c r="L53" s="15"/>
      <c r="M53" s="15"/>
      <c r="N53" s="15"/>
      <c r="O53" s="14" t="s">
        <v>3163</v>
      </c>
      <c r="P53" s="18"/>
      <c r="Q53" s="373"/>
      <c r="R53" s="374"/>
    </row>
    <row r="54" spans="4:18">
      <c r="D54" s="15" t="s">
        <v>5904</v>
      </c>
      <c r="E54" s="14" t="s">
        <v>2367</v>
      </c>
      <c r="F54" s="15" t="s">
        <v>785</v>
      </c>
      <c r="G54" s="14"/>
      <c r="H54" s="15"/>
      <c r="I54" s="15"/>
      <c r="J54" s="14" t="str">
        <f t="shared" si="0"/>
        <v>TB I-4 RR-TB and/or MDR-TB prevalence among new TB patients: Proportion of new TB patients with RR-TB and/or MDR-TB</v>
      </c>
      <c r="K54" s="15"/>
      <c r="L54" s="15"/>
      <c r="M54" s="15"/>
      <c r="N54" s="15"/>
      <c r="O54" s="14" t="s">
        <v>3164</v>
      </c>
      <c r="P54" s="18"/>
      <c r="Q54" s="373"/>
      <c r="R54" s="374"/>
    </row>
    <row r="55" spans="4:18">
      <c r="D55" s="15" t="s">
        <v>5905</v>
      </c>
      <c r="E55" s="14" t="s">
        <v>2367</v>
      </c>
      <c r="F55" s="15" t="s">
        <v>785</v>
      </c>
      <c r="G55" s="14"/>
      <c r="H55" s="15"/>
      <c r="I55" s="15"/>
      <c r="J55" s="14" t="str">
        <f t="shared" si="0"/>
        <v>TB I-4 RR-TB and/or MDR-TB prevalence among new TB patients: Proportion of new TB patients with RR-TB and/or MDR-TB</v>
      </c>
      <c r="K55" s="15"/>
      <c r="L55" s="15"/>
      <c r="M55" s="15"/>
      <c r="N55" s="15"/>
      <c r="O55" s="14" t="s">
        <v>3165</v>
      </c>
      <c r="P55" s="18"/>
      <c r="Q55" s="373"/>
      <c r="R55" s="374"/>
    </row>
    <row r="56" spans="4:18">
      <c r="D56" s="15" t="s">
        <v>5906</v>
      </c>
      <c r="E56" s="14" t="s">
        <v>2374</v>
      </c>
      <c r="F56" s="15" t="s">
        <v>787</v>
      </c>
      <c r="G56" s="14"/>
      <c r="H56" s="15"/>
      <c r="I56" s="15"/>
      <c r="J56" s="14" t="str">
        <f t="shared" si="0"/>
        <v>HIV I-9a Percentage of men who have sex with men who are living with HIV</v>
      </c>
      <c r="K56" s="15"/>
      <c r="L56" s="15"/>
      <c r="M56" s="15"/>
      <c r="N56" s="15"/>
      <c r="O56" s="14" t="s">
        <v>3174</v>
      </c>
      <c r="P56" s="18"/>
      <c r="Q56" s="373"/>
      <c r="R56" s="374"/>
    </row>
    <row r="57" spans="4:18">
      <c r="D57" s="15" t="s">
        <v>5907</v>
      </c>
      <c r="E57" s="14" t="s">
        <v>2374</v>
      </c>
      <c r="F57" s="15" t="s">
        <v>787</v>
      </c>
      <c r="G57" s="14"/>
      <c r="H57" s="15"/>
      <c r="I57" s="15"/>
      <c r="J57" s="14" t="str">
        <f t="shared" si="0"/>
        <v>HIV I-9a Percentage of men who have sex with men who are living with HIV</v>
      </c>
      <c r="K57" s="15"/>
      <c r="L57" s="15"/>
      <c r="M57" s="15"/>
      <c r="N57" s="15"/>
      <c r="O57" s="14" t="s">
        <v>3175</v>
      </c>
      <c r="P57" s="18"/>
      <c r="Q57" s="373"/>
      <c r="R57" s="374"/>
    </row>
    <row r="58" spans="4:18">
      <c r="D58" s="15" t="s">
        <v>5908</v>
      </c>
      <c r="E58" s="14" t="s">
        <v>2374</v>
      </c>
      <c r="F58" s="15" t="s">
        <v>787</v>
      </c>
      <c r="G58" s="14"/>
      <c r="H58" s="15"/>
      <c r="I58" s="15"/>
      <c r="J58" s="14" t="str">
        <f t="shared" si="0"/>
        <v>HIV I-9a Percentage of men who have sex with men who are living with HIV</v>
      </c>
      <c r="K58" s="15"/>
      <c r="L58" s="15"/>
      <c r="M58" s="15"/>
      <c r="N58" s="15"/>
      <c r="O58" s="14" t="s">
        <v>3176</v>
      </c>
      <c r="P58" s="18"/>
      <c r="Q58" s="373"/>
      <c r="R58" s="374"/>
    </row>
    <row r="59" spans="4:18">
      <c r="D59" s="15" t="s">
        <v>5909</v>
      </c>
      <c r="E59" s="14" t="s">
        <v>2374</v>
      </c>
      <c r="F59" s="15" t="s">
        <v>787</v>
      </c>
      <c r="G59" s="14"/>
      <c r="H59" s="15"/>
      <c r="I59" s="15"/>
      <c r="J59" s="14" t="str">
        <f t="shared" si="0"/>
        <v>HIV I-9a Percentage of men who have sex with men who are living with HIV</v>
      </c>
      <c r="K59" s="15"/>
      <c r="L59" s="15"/>
      <c r="M59" s="15"/>
      <c r="N59" s="15"/>
      <c r="O59" s="14" t="s">
        <v>3177</v>
      </c>
      <c r="P59" s="18"/>
      <c r="Q59" s="373"/>
      <c r="R59" s="374"/>
    </row>
    <row r="60" spans="4:18">
      <c r="D60" s="15" t="s">
        <v>5910</v>
      </c>
      <c r="E60" s="14" t="s">
        <v>2374</v>
      </c>
      <c r="F60" s="15" t="s">
        <v>787</v>
      </c>
      <c r="G60" s="14"/>
      <c r="H60" s="15"/>
      <c r="I60" s="15"/>
      <c r="J60" s="14" t="str">
        <f t="shared" si="0"/>
        <v>HIV I-9a Percentage of men who have sex with men who are living with HIV</v>
      </c>
      <c r="K60" s="15"/>
      <c r="L60" s="15"/>
      <c r="M60" s="15"/>
      <c r="N60" s="15"/>
      <c r="O60" s="14" t="s">
        <v>3178</v>
      </c>
      <c r="P60" s="18"/>
      <c r="Q60" s="373"/>
      <c r="R60" s="374"/>
    </row>
    <row r="61" spans="4:18">
      <c r="D61" s="15" t="s">
        <v>5911</v>
      </c>
      <c r="E61" s="14" t="s">
        <v>2374</v>
      </c>
      <c r="F61" s="15" t="s">
        <v>787</v>
      </c>
      <c r="G61" s="14"/>
      <c r="H61" s="15"/>
      <c r="I61" s="15"/>
      <c r="J61" s="14" t="str">
        <f t="shared" si="0"/>
        <v>HIV I-9a Percentage of men who have sex with men who are living with HIV</v>
      </c>
      <c r="K61" s="15"/>
      <c r="L61" s="15"/>
      <c r="M61" s="15"/>
      <c r="N61" s="15"/>
      <c r="O61" s="14" t="s">
        <v>3179</v>
      </c>
      <c r="P61" s="18"/>
      <c r="Q61" s="373"/>
      <c r="R61" s="374"/>
    </row>
    <row r="62" spans="4:18">
      <c r="D62" s="15" t="s">
        <v>5912</v>
      </c>
      <c r="E62" s="14" t="s">
        <v>2374</v>
      </c>
      <c r="F62" s="15" t="s">
        <v>787</v>
      </c>
      <c r="G62" s="14"/>
      <c r="H62" s="15"/>
      <c r="I62" s="15"/>
      <c r="J62" s="14" t="str">
        <f t="shared" si="0"/>
        <v>HIV I-9a Percentage of men who have sex with men who are living with HIV</v>
      </c>
      <c r="K62" s="15"/>
      <c r="L62" s="15"/>
      <c r="M62" s="15"/>
      <c r="N62" s="15"/>
      <c r="O62" s="14" t="s">
        <v>3180</v>
      </c>
      <c r="P62" s="18"/>
      <c r="Q62" s="373"/>
      <c r="R62" s="374"/>
    </row>
    <row r="63" spans="4:18">
      <c r="D63" s="15" t="s">
        <v>5913</v>
      </c>
      <c r="E63" s="14" t="s">
        <v>2374</v>
      </c>
      <c r="F63" s="15" t="s">
        <v>787</v>
      </c>
      <c r="G63" s="14"/>
      <c r="H63" s="15"/>
      <c r="I63" s="15"/>
      <c r="J63" s="14" t="str">
        <f t="shared" si="0"/>
        <v>HIV I-9a Percentage of men who have sex with men who are living with HIV</v>
      </c>
      <c r="K63" s="15"/>
      <c r="L63" s="15"/>
      <c r="M63" s="15"/>
      <c r="N63" s="15"/>
      <c r="O63" s="14" t="s">
        <v>3181</v>
      </c>
      <c r="P63" s="18"/>
      <c r="Q63" s="373"/>
      <c r="R63" s="374"/>
    </row>
    <row r="64" spans="4:18">
      <c r="D64" s="15" t="s">
        <v>5914</v>
      </c>
      <c r="E64" s="14" t="s">
        <v>2381</v>
      </c>
      <c r="F64" s="15" t="s">
        <v>790</v>
      </c>
      <c r="G64" s="14"/>
      <c r="H64" s="15"/>
      <c r="I64" s="15"/>
      <c r="J64" s="14" t="str">
        <f t="shared" si="0"/>
        <v>HIV I-10 Percentage of sex workers who are living with HIV</v>
      </c>
      <c r="K64" s="15"/>
      <c r="L64" s="15"/>
      <c r="M64" s="15"/>
      <c r="N64" s="15"/>
      <c r="O64" s="14" t="s">
        <v>3200</v>
      </c>
      <c r="P64" s="18"/>
      <c r="Q64" s="373"/>
      <c r="R64" s="374"/>
    </row>
    <row r="65" spans="4:18">
      <c r="D65" s="15" t="s">
        <v>5915</v>
      </c>
      <c r="E65" s="14" t="s">
        <v>2381</v>
      </c>
      <c r="F65" s="15" t="s">
        <v>790</v>
      </c>
      <c r="G65" s="14"/>
      <c r="H65" s="15"/>
      <c r="I65" s="15"/>
      <c r="J65" s="14" t="str">
        <f t="shared" si="0"/>
        <v>HIV I-10 Percentage of sex workers who are living with HIV</v>
      </c>
      <c r="K65" s="15"/>
      <c r="L65" s="15"/>
      <c r="M65" s="15"/>
      <c r="N65" s="15"/>
      <c r="O65" s="14" t="s">
        <v>3201</v>
      </c>
      <c r="P65" s="18"/>
      <c r="Q65" s="373"/>
      <c r="R65" s="374"/>
    </row>
    <row r="66" spans="4:18">
      <c r="D66" s="15" t="s">
        <v>5916</v>
      </c>
      <c r="E66" s="14" t="s">
        <v>2381</v>
      </c>
      <c r="F66" s="15" t="s">
        <v>790</v>
      </c>
      <c r="G66" s="14"/>
      <c r="H66" s="15"/>
      <c r="I66" s="15"/>
      <c r="J66" s="14" t="str">
        <f t="shared" si="0"/>
        <v>HIV I-10 Percentage of sex workers who are living with HIV</v>
      </c>
      <c r="K66" s="15"/>
      <c r="L66" s="15"/>
      <c r="M66" s="15"/>
      <c r="N66" s="15"/>
      <c r="O66" s="14" t="s">
        <v>3202</v>
      </c>
      <c r="P66" s="18"/>
      <c r="Q66" s="373"/>
      <c r="R66" s="374"/>
    </row>
    <row r="67" spans="4:18">
      <c r="D67" s="15" t="s">
        <v>5917</v>
      </c>
      <c r="E67" s="14" t="s">
        <v>2381</v>
      </c>
      <c r="F67" s="15" t="s">
        <v>790</v>
      </c>
      <c r="G67" s="14"/>
      <c r="H67" s="15"/>
      <c r="I67" s="15"/>
      <c r="J67" s="14" t="str">
        <f t="shared" si="0"/>
        <v>HIV I-10 Percentage of sex workers who are living with HIV</v>
      </c>
      <c r="K67" s="15"/>
      <c r="L67" s="15"/>
      <c r="M67" s="15"/>
      <c r="N67" s="15"/>
      <c r="O67" s="14" t="s">
        <v>3203</v>
      </c>
      <c r="P67" s="18"/>
      <c r="Q67" s="373"/>
      <c r="R67" s="374"/>
    </row>
    <row r="68" spans="4:18">
      <c r="D68" s="15" t="s">
        <v>5918</v>
      </c>
      <c r="E68" s="14" t="s">
        <v>2381</v>
      </c>
      <c r="F68" s="15" t="s">
        <v>790</v>
      </c>
      <c r="G68" s="14"/>
      <c r="H68" s="15"/>
      <c r="I68" s="15"/>
      <c r="J68" s="14" t="str">
        <f t="shared" ref="J68:J131" si="1">F68&amp;H68&amp;I68</f>
        <v>HIV I-10 Percentage of sex workers who are living with HIV</v>
      </c>
      <c r="K68" s="15"/>
      <c r="L68" s="15"/>
      <c r="M68" s="15"/>
      <c r="N68" s="15"/>
      <c r="O68" s="14" t="s">
        <v>3204</v>
      </c>
      <c r="P68" s="18"/>
      <c r="Q68" s="373"/>
      <c r="R68" s="374"/>
    </row>
    <row r="69" spans="4:18">
      <c r="D69" s="15" t="s">
        <v>5919</v>
      </c>
      <c r="E69" s="14" t="s">
        <v>2388</v>
      </c>
      <c r="F69" s="15" t="s">
        <v>791</v>
      </c>
      <c r="G69" s="14"/>
      <c r="H69" s="15"/>
      <c r="I69" s="15"/>
      <c r="J69" s="14" t="str">
        <f t="shared" si="1"/>
        <v>HIV I-9b Percentage of transgender people who are living with HIV</v>
      </c>
      <c r="K69" s="15"/>
      <c r="L69" s="15"/>
      <c r="M69" s="15"/>
      <c r="N69" s="15"/>
      <c r="O69" s="14" t="s">
        <v>3211</v>
      </c>
      <c r="P69" s="18"/>
      <c r="Q69" s="373"/>
      <c r="R69" s="374"/>
    </row>
    <row r="70" spans="4:18">
      <c r="D70" s="15" t="s">
        <v>5920</v>
      </c>
      <c r="E70" s="14" t="s">
        <v>2388</v>
      </c>
      <c r="F70" s="15" t="s">
        <v>791</v>
      </c>
      <c r="G70" s="14"/>
      <c r="H70" s="15"/>
      <c r="I70" s="15"/>
      <c r="J70" s="14" t="str">
        <f t="shared" si="1"/>
        <v>HIV I-9b Percentage of transgender people who are living with HIV</v>
      </c>
      <c r="K70" s="15"/>
      <c r="L70" s="15"/>
      <c r="M70" s="15"/>
      <c r="N70" s="15"/>
      <c r="O70" s="14" t="s">
        <v>3212</v>
      </c>
      <c r="P70" s="18"/>
      <c r="Q70" s="373"/>
      <c r="R70" s="374"/>
    </row>
    <row r="71" spans="4:18">
      <c r="D71" s="15" t="s">
        <v>5921</v>
      </c>
      <c r="E71" s="14" t="s">
        <v>2388</v>
      </c>
      <c r="F71" s="15" t="s">
        <v>791</v>
      </c>
      <c r="G71" s="14"/>
      <c r="H71" s="15"/>
      <c r="I71" s="15"/>
      <c r="J71" s="14" t="str">
        <f t="shared" si="1"/>
        <v>HIV I-9b Percentage of transgender people who are living with HIV</v>
      </c>
      <c r="K71" s="15"/>
      <c r="L71" s="15"/>
      <c r="M71" s="15"/>
      <c r="N71" s="15"/>
      <c r="O71" s="14" t="s">
        <v>3213</v>
      </c>
      <c r="P71" s="18"/>
      <c r="Q71" s="373"/>
      <c r="R71" s="374"/>
    </row>
    <row r="72" spans="4:18">
      <c r="D72" s="15" t="s">
        <v>5922</v>
      </c>
      <c r="E72" s="14" t="s">
        <v>2388</v>
      </c>
      <c r="F72" s="15" t="s">
        <v>791</v>
      </c>
      <c r="G72" s="14"/>
      <c r="H72" s="15"/>
      <c r="I72" s="15"/>
      <c r="J72" s="14" t="str">
        <f t="shared" si="1"/>
        <v>HIV I-9b Percentage of transgender people who are living with HIV</v>
      </c>
      <c r="K72" s="15"/>
      <c r="L72" s="15"/>
      <c r="M72" s="15"/>
      <c r="N72" s="15"/>
      <c r="O72" s="14" t="s">
        <v>3214</v>
      </c>
      <c r="P72" s="18"/>
      <c r="Q72" s="373"/>
      <c r="R72" s="374"/>
    </row>
    <row r="73" spans="4:18">
      <c r="D73" s="15" t="s">
        <v>5923</v>
      </c>
      <c r="E73" s="14" t="s">
        <v>2388</v>
      </c>
      <c r="F73" s="15" t="s">
        <v>791</v>
      </c>
      <c r="G73" s="14"/>
      <c r="H73" s="15"/>
      <c r="I73" s="15"/>
      <c r="J73" s="14" t="str">
        <f t="shared" si="1"/>
        <v>HIV I-9b Percentage of transgender people who are living with HIV</v>
      </c>
      <c r="K73" s="15"/>
      <c r="L73" s="15"/>
      <c r="M73" s="15"/>
      <c r="N73" s="15"/>
      <c r="O73" s="14" t="s">
        <v>3215</v>
      </c>
      <c r="P73" s="18"/>
      <c r="Q73" s="373"/>
      <c r="R73" s="374"/>
    </row>
    <row r="74" spans="4:18">
      <c r="D74" s="15" t="s">
        <v>5924</v>
      </c>
      <c r="E74" s="14" t="s">
        <v>2388</v>
      </c>
      <c r="F74" s="15" t="s">
        <v>791</v>
      </c>
      <c r="G74" s="14"/>
      <c r="H74" s="15"/>
      <c r="I74" s="15"/>
      <c r="J74" s="14" t="str">
        <f t="shared" si="1"/>
        <v>HIV I-9b Percentage of transgender people who are living with HIV</v>
      </c>
      <c r="K74" s="15"/>
      <c r="L74" s="15"/>
      <c r="M74" s="15"/>
      <c r="N74" s="15"/>
      <c r="O74" s="14" t="s">
        <v>3216</v>
      </c>
      <c r="P74" s="18"/>
      <c r="Q74" s="373"/>
      <c r="R74" s="374"/>
    </row>
    <row r="75" spans="4:18">
      <c r="D75" s="15" t="s">
        <v>5925</v>
      </c>
      <c r="E75" s="14" t="s">
        <v>2388</v>
      </c>
      <c r="F75" s="15" t="s">
        <v>791</v>
      </c>
      <c r="G75" s="14"/>
      <c r="H75" s="15"/>
      <c r="I75" s="15"/>
      <c r="J75" s="14" t="str">
        <f t="shared" si="1"/>
        <v>HIV I-9b Percentage of transgender people who are living with HIV</v>
      </c>
      <c r="K75" s="15"/>
      <c r="L75" s="15"/>
      <c r="M75" s="15"/>
      <c r="N75" s="15"/>
      <c r="O75" s="14" t="s">
        <v>3217</v>
      </c>
      <c r="P75" s="18"/>
      <c r="Q75" s="373"/>
      <c r="R75" s="374"/>
    </row>
    <row r="76" spans="4:18">
      <c r="D76" s="15" t="s">
        <v>5926</v>
      </c>
      <c r="E76" s="14" t="s">
        <v>2388</v>
      </c>
      <c r="F76" s="15" t="s">
        <v>791</v>
      </c>
      <c r="G76" s="14"/>
      <c r="H76" s="15"/>
      <c r="I76" s="15"/>
      <c r="J76" s="14" t="str">
        <f t="shared" si="1"/>
        <v>HIV I-9b Percentage of transgender people who are living with HIV</v>
      </c>
      <c r="K76" s="15"/>
      <c r="L76" s="15"/>
      <c r="M76" s="15"/>
      <c r="N76" s="15"/>
      <c r="O76" s="14" t="s">
        <v>3218</v>
      </c>
      <c r="P76" s="18"/>
      <c r="Q76" s="373"/>
      <c r="R76" s="374"/>
    </row>
    <row r="77" spans="4:18">
      <c r="D77" s="15" t="s">
        <v>5927</v>
      </c>
      <c r="E77" s="14" t="s">
        <v>2395</v>
      </c>
      <c r="F77" s="15" t="s">
        <v>793</v>
      </c>
      <c r="G77" s="14"/>
      <c r="H77" s="15"/>
      <c r="I77" s="15"/>
      <c r="J77" s="14" t="str">
        <f t="shared" si="1"/>
        <v>HIV I-11 Percentage of people who inject drugs who are living with HIV</v>
      </c>
      <c r="K77" s="15"/>
      <c r="L77" s="15"/>
      <c r="M77" s="15"/>
      <c r="N77" s="15"/>
      <c r="O77" s="14" t="s">
        <v>3234</v>
      </c>
      <c r="P77" s="18"/>
      <c r="Q77" s="373"/>
      <c r="R77" s="374"/>
    </row>
    <row r="78" spans="4:18">
      <c r="D78" s="15" t="s">
        <v>5928</v>
      </c>
      <c r="E78" s="14" t="s">
        <v>2395</v>
      </c>
      <c r="F78" s="15" t="s">
        <v>793</v>
      </c>
      <c r="G78" s="14"/>
      <c r="H78" s="15"/>
      <c r="I78" s="15"/>
      <c r="J78" s="14" t="str">
        <f t="shared" si="1"/>
        <v>HIV I-11 Percentage of people who inject drugs who are living with HIV</v>
      </c>
      <c r="K78" s="15"/>
      <c r="L78" s="15"/>
      <c r="M78" s="15"/>
      <c r="N78" s="15"/>
      <c r="O78" s="14" t="s">
        <v>3235</v>
      </c>
      <c r="P78" s="18"/>
      <c r="Q78" s="373"/>
      <c r="R78" s="374"/>
    </row>
    <row r="79" spans="4:18">
      <c r="D79" s="15" t="s">
        <v>5929</v>
      </c>
      <c r="E79" s="14" t="s">
        <v>2395</v>
      </c>
      <c r="F79" s="15" t="s">
        <v>793</v>
      </c>
      <c r="G79" s="14"/>
      <c r="H79" s="15"/>
      <c r="I79" s="15"/>
      <c r="J79" s="14" t="str">
        <f t="shared" si="1"/>
        <v>HIV I-11 Percentage of people who inject drugs who are living with HIV</v>
      </c>
      <c r="K79" s="15"/>
      <c r="L79" s="15"/>
      <c r="M79" s="15"/>
      <c r="N79" s="15"/>
      <c r="O79" s="14" t="s">
        <v>3236</v>
      </c>
      <c r="P79" s="18"/>
      <c r="Q79" s="373"/>
      <c r="R79" s="374"/>
    </row>
    <row r="80" spans="4:18">
      <c r="D80" s="15" t="s">
        <v>5930</v>
      </c>
      <c r="E80" s="14" t="s">
        <v>2395</v>
      </c>
      <c r="F80" s="15" t="s">
        <v>793</v>
      </c>
      <c r="G80" s="14"/>
      <c r="H80" s="15"/>
      <c r="I80" s="15"/>
      <c r="J80" s="14" t="str">
        <f t="shared" si="1"/>
        <v>HIV I-11 Percentage of people who inject drugs who are living with HIV</v>
      </c>
      <c r="K80" s="15"/>
      <c r="L80" s="15"/>
      <c r="M80" s="15"/>
      <c r="N80" s="15"/>
      <c r="O80" s="14" t="s">
        <v>3237</v>
      </c>
      <c r="P80" s="18"/>
      <c r="Q80" s="373"/>
      <c r="R80" s="374"/>
    </row>
    <row r="81" spans="4:18">
      <c r="D81" s="15" t="s">
        <v>5931</v>
      </c>
      <c r="E81" s="14" t="s">
        <v>2395</v>
      </c>
      <c r="F81" s="15" t="s">
        <v>793</v>
      </c>
      <c r="G81" s="14"/>
      <c r="H81" s="15"/>
      <c r="I81" s="15"/>
      <c r="J81" s="14" t="str">
        <f t="shared" si="1"/>
        <v>HIV I-11 Percentage of people who inject drugs who are living with HIV</v>
      </c>
      <c r="K81" s="15"/>
      <c r="L81" s="15"/>
      <c r="M81" s="15"/>
      <c r="N81" s="15"/>
      <c r="O81" s="14" t="s">
        <v>3238</v>
      </c>
      <c r="P81" s="18"/>
      <c r="Q81" s="373"/>
      <c r="R81" s="374"/>
    </row>
    <row r="82" spans="4:18">
      <c r="D82" s="15" t="s">
        <v>5932</v>
      </c>
      <c r="E82" s="14" t="s">
        <v>2402</v>
      </c>
      <c r="F82" s="15" t="s">
        <v>794</v>
      </c>
      <c r="G82" s="14"/>
      <c r="H82" s="15"/>
      <c r="I82" s="15"/>
      <c r="J82" s="14" t="str">
        <f t="shared" si="1"/>
        <v>HIV I-13 Percentage of people living with HIV</v>
      </c>
      <c r="K82" s="15"/>
      <c r="L82" s="15"/>
      <c r="M82" s="15"/>
      <c r="N82" s="15"/>
      <c r="O82" s="14" t="s">
        <v>3269</v>
      </c>
      <c r="P82" s="18"/>
      <c r="Q82" s="373"/>
      <c r="R82" s="374"/>
    </row>
    <row r="83" spans="4:18">
      <c r="D83" s="15" t="s">
        <v>5933</v>
      </c>
      <c r="E83" s="14" t="s">
        <v>2402</v>
      </c>
      <c r="F83" s="15" t="s">
        <v>794</v>
      </c>
      <c r="G83" s="14"/>
      <c r="H83" s="15"/>
      <c r="I83" s="15"/>
      <c r="J83" s="14" t="str">
        <f t="shared" si="1"/>
        <v>HIV I-13 Percentage of people living with HIV</v>
      </c>
      <c r="K83" s="15"/>
      <c r="L83" s="15"/>
      <c r="M83" s="15"/>
      <c r="N83" s="15"/>
      <c r="O83" s="14" t="s">
        <v>3270</v>
      </c>
      <c r="P83" s="18"/>
      <c r="Q83" s="373"/>
      <c r="R83" s="374"/>
    </row>
    <row r="84" spans="4:18">
      <c r="D84" s="15" t="s">
        <v>5934</v>
      </c>
      <c r="E84" s="14" t="s">
        <v>2409</v>
      </c>
      <c r="F84" s="15" t="s">
        <v>797</v>
      </c>
      <c r="G84" s="14"/>
      <c r="H84" s="15"/>
      <c r="I84" s="15"/>
      <c r="J84" s="14" t="str">
        <f t="shared" si="1"/>
        <v>HIV I-14 Number of new HIV infections per 1000 uninfected population</v>
      </c>
      <c r="K84" s="15"/>
      <c r="L84" s="15"/>
      <c r="M84" s="15"/>
      <c r="N84" s="15"/>
      <c r="O84" s="14" t="s">
        <v>3271</v>
      </c>
      <c r="P84" s="18"/>
      <c r="Q84" s="373"/>
      <c r="R84" s="374"/>
    </row>
    <row r="85" spans="4:18">
      <c r="D85" s="15" t="s">
        <v>5935</v>
      </c>
      <c r="E85" s="14" t="s">
        <v>2409</v>
      </c>
      <c r="F85" s="15" t="s">
        <v>797</v>
      </c>
      <c r="G85" s="14"/>
      <c r="H85" s="15"/>
      <c r="I85" s="15"/>
      <c r="J85" s="14" t="str">
        <f t="shared" si="1"/>
        <v>HIV I-14 Number of new HIV infections per 1000 uninfected population</v>
      </c>
      <c r="K85" s="15"/>
      <c r="L85" s="15"/>
      <c r="M85" s="15"/>
      <c r="N85" s="15"/>
      <c r="O85" s="14" t="s">
        <v>3272</v>
      </c>
      <c r="P85" s="18"/>
      <c r="Q85" s="373"/>
      <c r="R85" s="374"/>
    </row>
    <row r="86" spans="4:18">
      <c r="D86" s="15" t="s">
        <v>5936</v>
      </c>
      <c r="E86" s="14" t="s">
        <v>2409</v>
      </c>
      <c r="F86" s="15" t="s">
        <v>797</v>
      </c>
      <c r="G86" s="14"/>
      <c r="H86" s="15"/>
      <c r="I86" s="15"/>
      <c r="J86" s="14" t="str">
        <f t="shared" si="1"/>
        <v>HIV I-14 Number of new HIV infections per 1000 uninfected population</v>
      </c>
      <c r="K86" s="15"/>
      <c r="L86" s="15"/>
      <c r="M86" s="15"/>
      <c r="N86" s="15"/>
      <c r="O86" s="14" t="s">
        <v>3273</v>
      </c>
      <c r="P86" s="18"/>
      <c r="Q86" s="373"/>
      <c r="R86" s="374"/>
    </row>
    <row r="87" spans="4:18">
      <c r="D87" s="15" t="s">
        <v>5937</v>
      </c>
      <c r="E87" s="14" t="s">
        <v>2409</v>
      </c>
      <c r="F87" s="15" t="s">
        <v>797</v>
      </c>
      <c r="G87" s="14"/>
      <c r="H87" s="15"/>
      <c r="I87" s="15"/>
      <c r="J87" s="14" t="str">
        <f t="shared" si="1"/>
        <v>HIV I-14 Number of new HIV infections per 1000 uninfected population</v>
      </c>
      <c r="K87" s="15"/>
      <c r="L87" s="15"/>
      <c r="M87" s="15"/>
      <c r="N87" s="15"/>
      <c r="O87" s="14" t="s">
        <v>3274</v>
      </c>
      <c r="P87" s="18"/>
      <c r="Q87" s="373"/>
      <c r="R87" s="374"/>
    </row>
    <row r="88" spans="4:18">
      <c r="D88" s="15" t="s">
        <v>5938</v>
      </c>
      <c r="E88" s="14" t="s">
        <v>2409</v>
      </c>
      <c r="F88" s="15" t="s">
        <v>797</v>
      </c>
      <c r="G88" s="14"/>
      <c r="H88" s="15"/>
      <c r="I88" s="15"/>
      <c r="J88" s="14" t="str">
        <f t="shared" si="1"/>
        <v>HIV I-14 Number of new HIV infections per 1000 uninfected population</v>
      </c>
      <c r="K88" s="15"/>
      <c r="L88" s="15"/>
      <c r="M88" s="15"/>
      <c r="N88" s="15"/>
      <c r="O88" s="14" t="s">
        <v>3275</v>
      </c>
      <c r="P88" s="18"/>
      <c r="Q88" s="373"/>
      <c r="R88" s="374"/>
    </row>
    <row r="89" spans="4:18">
      <c r="D89" s="15" t="s">
        <v>5939</v>
      </c>
      <c r="E89" s="14" t="s">
        <v>2409</v>
      </c>
      <c r="F89" s="15" t="s">
        <v>797</v>
      </c>
      <c r="G89" s="14"/>
      <c r="H89" s="15"/>
      <c r="I89" s="15"/>
      <c r="J89" s="14" t="str">
        <f t="shared" si="1"/>
        <v>HIV I-14 Number of new HIV infections per 1000 uninfected population</v>
      </c>
      <c r="K89" s="15"/>
      <c r="L89" s="15"/>
      <c r="M89" s="15"/>
      <c r="N89" s="15"/>
      <c r="O89" s="14" t="s">
        <v>3276</v>
      </c>
      <c r="P89" s="18"/>
      <c r="Q89" s="373"/>
      <c r="R89" s="374"/>
    </row>
    <row r="90" spans="4:18">
      <c r="D90" s="15" t="s">
        <v>5940</v>
      </c>
      <c r="E90" s="14" t="s">
        <v>2409</v>
      </c>
      <c r="F90" s="15" t="s">
        <v>797</v>
      </c>
      <c r="G90" s="14"/>
      <c r="H90" s="15"/>
      <c r="I90" s="15"/>
      <c r="J90" s="14" t="str">
        <f t="shared" si="1"/>
        <v>HIV I-14 Number of new HIV infections per 1000 uninfected population</v>
      </c>
      <c r="K90" s="15"/>
      <c r="L90" s="15"/>
      <c r="M90" s="15"/>
      <c r="N90" s="15"/>
      <c r="O90" s="14" t="s">
        <v>3277</v>
      </c>
      <c r="P90" s="18"/>
      <c r="Q90" s="373"/>
      <c r="R90" s="374"/>
    </row>
    <row r="91" spans="4:18">
      <c r="D91" s="15" t="s">
        <v>5941</v>
      </c>
      <c r="E91" s="14" t="s">
        <v>2409</v>
      </c>
      <c r="F91" s="15" t="s">
        <v>797</v>
      </c>
      <c r="G91" s="14"/>
      <c r="H91" s="15"/>
      <c r="I91" s="15"/>
      <c r="J91" s="14" t="str">
        <f t="shared" si="1"/>
        <v>HIV I-14 Number of new HIV infections per 1000 uninfected population</v>
      </c>
      <c r="K91" s="15"/>
      <c r="L91" s="15"/>
      <c r="M91" s="15"/>
      <c r="N91" s="15"/>
      <c r="O91" s="14" t="s">
        <v>3278</v>
      </c>
      <c r="P91" s="18"/>
      <c r="Q91" s="373"/>
      <c r="R91" s="374"/>
    </row>
    <row r="92" spans="4:18">
      <c r="D92" s="15" t="s">
        <v>5942</v>
      </c>
      <c r="E92" s="14" t="s">
        <v>2409</v>
      </c>
      <c r="F92" s="15" t="s">
        <v>797</v>
      </c>
      <c r="G92" s="14"/>
      <c r="H92" s="15"/>
      <c r="I92" s="15"/>
      <c r="J92" s="14" t="str">
        <f t="shared" si="1"/>
        <v>HIV I-14 Number of new HIV infections per 1000 uninfected population</v>
      </c>
      <c r="K92" s="15"/>
      <c r="L92" s="15"/>
      <c r="M92" s="15"/>
      <c r="N92" s="15"/>
      <c r="O92" s="14" t="s">
        <v>3279</v>
      </c>
      <c r="P92" s="18"/>
      <c r="Q92" s="373"/>
      <c r="R92" s="374"/>
    </row>
    <row r="93" spans="4:18">
      <c r="D93" s="15" t="s">
        <v>5943</v>
      </c>
      <c r="E93" s="14" t="s">
        <v>2409</v>
      </c>
      <c r="F93" s="15" t="s">
        <v>797</v>
      </c>
      <c r="G93" s="14"/>
      <c r="H93" s="15"/>
      <c r="I93" s="15"/>
      <c r="J93" s="14" t="str">
        <f t="shared" si="1"/>
        <v>HIV I-14 Number of new HIV infections per 1000 uninfected population</v>
      </c>
      <c r="K93" s="15"/>
      <c r="L93" s="15"/>
      <c r="M93" s="15"/>
      <c r="N93" s="15"/>
      <c r="O93" s="14" t="s">
        <v>3280</v>
      </c>
      <c r="P93" s="18"/>
      <c r="Q93" s="373"/>
      <c r="R93" s="374"/>
    </row>
    <row r="94" spans="4:18">
      <c r="D94" s="15" t="s">
        <v>5944</v>
      </c>
      <c r="E94" s="14" t="s">
        <v>2416</v>
      </c>
      <c r="F94" s="15" t="s">
        <v>799</v>
      </c>
      <c r="G94" s="14"/>
      <c r="H94" s="15"/>
      <c r="I94" s="15"/>
      <c r="J94" s="14" t="str">
        <f t="shared" si="1"/>
        <v>HIV I-4 Number of AIDS-related deaths per 100,000 population</v>
      </c>
      <c r="K94" s="15"/>
      <c r="L94" s="15"/>
      <c r="M94" s="15"/>
      <c r="N94" s="15"/>
      <c r="O94" s="14" t="s">
        <v>3281</v>
      </c>
      <c r="P94" s="18"/>
      <c r="Q94" s="373"/>
      <c r="R94" s="374"/>
    </row>
    <row r="95" spans="4:18">
      <c r="D95" s="15" t="s">
        <v>5945</v>
      </c>
      <c r="E95" s="14" t="s">
        <v>2416</v>
      </c>
      <c r="F95" s="15" t="s">
        <v>799</v>
      </c>
      <c r="G95" s="14"/>
      <c r="H95" s="15"/>
      <c r="I95" s="15"/>
      <c r="J95" s="14" t="str">
        <f t="shared" si="1"/>
        <v>HIV I-4 Number of AIDS-related deaths per 100,000 population</v>
      </c>
      <c r="K95" s="15"/>
      <c r="L95" s="15"/>
      <c r="M95" s="15"/>
      <c r="N95" s="15"/>
      <c r="O95" s="14" t="s">
        <v>3282</v>
      </c>
      <c r="P95" s="18"/>
      <c r="Q95" s="373"/>
      <c r="R95" s="374"/>
    </row>
    <row r="96" spans="4:18">
      <c r="D96" s="15" t="s">
        <v>5946</v>
      </c>
      <c r="E96" s="14" t="s">
        <v>2416</v>
      </c>
      <c r="F96" s="15" t="s">
        <v>799</v>
      </c>
      <c r="G96" s="14"/>
      <c r="H96" s="15"/>
      <c r="I96" s="15"/>
      <c r="J96" s="14" t="str">
        <f t="shared" si="1"/>
        <v>HIV I-4 Number of AIDS-related deaths per 100,000 population</v>
      </c>
      <c r="K96" s="15"/>
      <c r="L96" s="15"/>
      <c r="M96" s="15"/>
      <c r="N96" s="15"/>
      <c r="O96" s="14" t="s">
        <v>3283</v>
      </c>
      <c r="P96" s="18"/>
      <c r="Q96" s="373"/>
      <c r="R96" s="374"/>
    </row>
    <row r="97" spans="4:18">
      <c r="D97" s="15" t="s">
        <v>5947</v>
      </c>
      <c r="E97" s="14" t="s">
        <v>2416</v>
      </c>
      <c r="F97" s="15" t="s">
        <v>799</v>
      </c>
      <c r="G97" s="14"/>
      <c r="H97" s="15"/>
      <c r="I97" s="15"/>
      <c r="J97" s="14" t="str">
        <f t="shared" si="1"/>
        <v>HIV I-4 Number of AIDS-related deaths per 100,000 population</v>
      </c>
      <c r="K97" s="15"/>
      <c r="L97" s="15"/>
      <c r="M97" s="15"/>
      <c r="N97" s="15"/>
      <c r="O97" s="14" t="s">
        <v>3284</v>
      </c>
      <c r="P97" s="18"/>
      <c r="Q97" s="373"/>
      <c r="R97" s="374"/>
    </row>
    <row r="98" spans="4:18">
      <c r="D98" s="15" t="s">
        <v>5948</v>
      </c>
      <c r="E98" s="14" t="s">
        <v>2416</v>
      </c>
      <c r="F98" s="15" t="s">
        <v>799</v>
      </c>
      <c r="G98" s="14"/>
      <c r="H98" s="15"/>
      <c r="I98" s="15"/>
      <c r="J98" s="14" t="str">
        <f t="shared" si="1"/>
        <v>HIV I-4 Number of AIDS-related deaths per 100,000 population</v>
      </c>
      <c r="K98" s="15"/>
      <c r="L98" s="15"/>
      <c r="M98" s="15"/>
      <c r="N98" s="15"/>
      <c r="O98" s="14" t="s">
        <v>3285</v>
      </c>
      <c r="P98" s="18"/>
      <c r="Q98" s="373"/>
      <c r="R98" s="374"/>
    </row>
    <row r="99" spans="4:18">
      <c r="D99" s="15" t="s">
        <v>5949</v>
      </c>
      <c r="E99" s="14" t="s">
        <v>2416</v>
      </c>
      <c r="F99" s="15" t="s">
        <v>799</v>
      </c>
      <c r="G99" s="14"/>
      <c r="H99" s="15"/>
      <c r="I99" s="15"/>
      <c r="J99" s="14" t="str">
        <f t="shared" si="1"/>
        <v>HIV I-4 Number of AIDS-related deaths per 100,000 population</v>
      </c>
      <c r="K99" s="15"/>
      <c r="L99" s="15"/>
      <c r="M99" s="15"/>
      <c r="N99" s="15"/>
      <c r="O99" s="14" t="s">
        <v>3286</v>
      </c>
      <c r="P99" s="18"/>
      <c r="Q99" s="373"/>
      <c r="R99" s="374"/>
    </row>
    <row r="100" spans="4:18">
      <c r="D100" s="15" t="s">
        <v>5950</v>
      </c>
      <c r="E100" s="14" t="s">
        <v>2416</v>
      </c>
      <c r="F100" s="15" t="s">
        <v>799</v>
      </c>
      <c r="G100" s="14"/>
      <c r="H100" s="15"/>
      <c r="I100" s="15"/>
      <c r="J100" s="14" t="str">
        <f t="shared" si="1"/>
        <v>HIV I-4 Number of AIDS-related deaths per 100,000 population</v>
      </c>
      <c r="K100" s="15"/>
      <c r="L100" s="15"/>
      <c r="M100" s="15"/>
      <c r="N100" s="15"/>
      <c r="O100" s="14" t="s">
        <v>3287</v>
      </c>
      <c r="P100" s="18"/>
      <c r="Q100" s="373"/>
      <c r="R100" s="374"/>
    </row>
    <row r="101" spans="4:18">
      <c r="D101" s="15" t="s">
        <v>5951</v>
      </c>
      <c r="E101" s="14" t="s">
        <v>2416</v>
      </c>
      <c r="F101" s="15" t="s">
        <v>799</v>
      </c>
      <c r="G101" s="14"/>
      <c r="H101" s="15"/>
      <c r="I101" s="15"/>
      <c r="J101" s="14" t="str">
        <f t="shared" si="1"/>
        <v>HIV I-4 Number of AIDS-related deaths per 100,000 population</v>
      </c>
      <c r="K101" s="15"/>
      <c r="L101" s="15"/>
      <c r="M101" s="15"/>
      <c r="N101" s="15"/>
      <c r="O101" s="14" t="s">
        <v>3288</v>
      </c>
      <c r="P101" s="18"/>
      <c r="Q101" s="373"/>
      <c r="R101" s="374"/>
    </row>
    <row r="102" spans="4:18">
      <c r="D102" s="15" t="s">
        <v>5952</v>
      </c>
      <c r="E102" s="14" t="s">
        <v>2416</v>
      </c>
      <c r="F102" s="15" t="s">
        <v>799</v>
      </c>
      <c r="G102" s="14"/>
      <c r="H102" s="15"/>
      <c r="I102" s="15"/>
      <c r="J102" s="14" t="str">
        <f t="shared" si="1"/>
        <v>HIV I-4 Number of AIDS-related deaths per 100,000 population</v>
      </c>
      <c r="K102" s="15"/>
      <c r="L102" s="15"/>
      <c r="M102" s="15"/>
      <c r="N102" s="15"/>
      <c r="O102" s="14" t="s">
        <v>3289</v>
      </c>
      <c r="P102" s="18"/>
      <c r="Q102" s="373"/>
      <c r="R102" s="374"/>
    </row>
    <row r="103" spans="4:18">
      <c r="D103" s="15" t="s">
        <v>5953</v>
      </c>
      <c r="E103" s="14" t="s">
        <v>2416</v>
      </c>
      <c r="F103" s="15" t="s">
        <v>799</v>
      </c>
      <c r="G103" s="14"/>
      <c r="H103" s="15"/>
      <c r="I103" s="15"/>
      <c r="J103" s="14" t="str">
        <f t="shared" si="1"/>
        <v>HIV I-4 Number of AIDS-related deaths per 100,000 population</v>
      </c>
      <c r="K103" s="15"/>
      <c r="L103" s="15"/>
      <c r="M103" s="15"/>
      <c r="N103" s="15"/>
      <c r="O103" s="14" t="s">
        <v>3290</v>
      </c>
      <c r="P103" s="18"/>
      <c r="Q103" s="373"/>
      <c r="R103" s="374"/>
    </row>
    <row r="104" spans="4:18">
      <c r="D104" s="15" t="s">
        <v>5954</v>
      </c>
      <c r="E104" s="14" t="s">
        <v>2423</v>
      </c>
      <c r="F104" s="15" t="s">
        <v>800</v>
      </c>
      <c r="G104" s="14"/>
      <c r="H104" s="15"/>
      <c r="I104" s="15"/>
      <c r="J104" s="14" t="str">
        <f t="shared" si="1"/>
        <v>HIV I-6 Estimated percentage of children newly infected with HIV from mother-to-child transmission among women living with HIV delivering in the past 12 months</v>
      </c>
      <c r="K104" s="15"/>
      <c r="L104" s="15"/>
      <c r="M104" s="15"/>
      <c r="N104" s="15"/>
      <c r="O104" s="14" t="s">
        <v>3291</v>
      </c>
      <c r="P104" s="18"/>
      <c r="Q104" s="373"/>
      <c r="R104" s="374"/>
    </row>
    <row r="105" spans="4:18">
      <c r="D105" s="15" t="s">
        <v>5955</v>
      </c>
      <c r="E105" s="14" t="s">
        <v>2423</v>
      </c>
      <c r="F105" s="15" t="s">
        <v>800</v>
      </c>
      <c r="G105" s="14"/>
      <c r="H105" s="15"/>
      <c r="I105" s="15"/>
      <c r="J105" s="14" t="str">
        <f t="shared" si="1"/>
        <v>HIV I-6 Estimated percentage of children newly infected with HIV from mother-to-child transmission among women living with HIV delivering in the past 12 months</v>
      </c>
      <c r="K105" s="15"/>
      <c r="L105" s="15"/>
      <c r="M105" s="15"/>
      <c r="N105" s="15"/>
      <c r="O105" s="14" t="s">
        <v>3292</v>
      </c>
      <c r="P105" s="18"/>
      <c r="Q105" s="373"/>
      <c r="R105" s="374"/>
    </row>
    <row r="106" spans="4:18">
      <c r="D106" s="15" t="s">
        <v>5956</v>
      </c>
      <c r="E106" s="14" t="s">
        <v>2423</v>
      </c>
      <c r="F106" s="15" t="s">
        <v>800</v>
      </c>
      <c r="G106" s="14"/>
      <c r="H106" s="15"/>
      <c r="I106" s="15"/>
      <c r="J106" s="14" t="str">
        <f t="shared" si="1"/>
        <v>HIV I-6 Estimated percentage of children newly infected with HIV from mother-to-child transmission among women living with HIV delivering in the past 12 months</v>
      </c>
      <c r="K106" s="15"/>
      <c r="L106" s="15"/>
      <c r="M106" s="15"/>
      <c r="N106" s="15"/>
      <c r="O106" s="14" t="s">
        <v>3293</v>
      </c>
      <c r="P106" s="18"/>
      <c r="Q106" s="373"/>
      <c r="R106" s="374"/>
    </row>
    <row r="107" spans="4:18">
      <c r="D107" s="15" t="s">
        <v>5957</v>
      </c>
      <c r="E107" s="14" t="s">
        <v>2423</v>
      </c>
      <c r="F107" s="15" t="s">
        <v>800</v>
      </c>
      <c r="G107" s="14"/>
      <c r="H107" s="15"/>
      <c r="I107" s="15"/>
      <c r="J107" s="14" t="str">
        <f t="shared" si="1"/>
        <v>HIV I-6 Estimated percentage of children newly infected with HIV from mother-to-child transmission among women living with HIV delivering in the past 12 months</v>
      </c>
      <c r="K107" s="15"/>
      <c r="L107" s="15"/>
      <c r="M107" s="15"/>
      <c r="N107" s="15"/>
      <c r="O107" s="14" t="s">
        <v>3294</v>
      </c>
      <c r="P107" s="18"/>
      <c r="Q107" s="373"/>
      <c r="R107" s="374"/>
    </row>
    <row r="108" spans="4:18">
      <c r="D108" s="15" t="s">
        <v>5958</v>
      </c>
      <c r="E108" s="14" t="s">
        <v>2423</v>
      </c>
      <c r="F108" s="15" t="s">
        <v>800</v>
      </c>
      <c r="G108" s="14"/>
      <c r="H108" s="15"/>
      <c r="I108" s="15"/>
      <c r="J108" s="14" t="str">
        <f t="shared" si="1"/>
        <v>HIV I-6 Estimated percentage of children newly infected with HIV from mother-to-child transmission among women living with HIV delivering in the past 12 months</v>
      </c>
      <c r="K108" s="15"/>
      <c r="L108" s="15"/>
      <c r="M108" s="15"/>
      <c r="N108" s="15"/>
      <c r="O108" s="14" t="s">
        <v>3295</v>
      </c>
      <c r="P108" s="18"/>
      <c r="Q108" s="373"/>
      <c r="R108" s="374"/>
    </row>
    <row r="109" spans="4:18">
      <c r="D109" s="15" t="s">
        <v>5959</v>
      </c>
      <c r="E109" s="14" t="s">
        <v>2423</v>
      </c>
      <c r="F109" s="15" t="s">
        <v>800</v>
      </c>
      <c r="G109" s="14"/>
      <c r="H109" s="15"/>
      <c r="I109" s="15"/>
      <c r="J109" s="14" t="str">
        <f t="shared" si="1"/>
        <v>HIV I-6 Estimated percentage of children newly infected with HIV from mother-to-child transmission among women living with HIV delivering in the past 12 months</v>
      </c>
      <c r="K109" s="15"/>
      <c r="L109" s="15"/>
      <c r="M109" s="15"/>
      <c r="N109" s="15"/>
      <c r="O109" s="14" t="s">
        <v>3296</v>
      </c>
      <c r="P109" s="18"/>
      <c r="Q109" s="373"/>
      <c r="R109" s="374"/>
    </row>
    <row r="110" spans="4:18">
      <c r="D110" s="15" t="s">
        <v>5960</v>
      </c>
      <c r="E110" s="14" t="s">
        <v>2423</v>
      </c>
      <c r="F110" s="15" t="s">
        <v>800</v>
      </c>
      <c r="G110" s="14"/>
      <c r="H110" s="15"/>
      <c r="I110" s="15"/>
      <c r="J110" s="14" t="str">
        <f t="shared" si="1"/>
        <v>HIV I-6 Estimated percentage of children newly infected with HIV from mother-to-child transmission among women living with HIV delivering in the past 12 months</v>
      </c>
      <c r="K110" s="15"/>
      <c r="L110" s="15"/>
      <c r="M110" s="15"/>
      <c r="N110" s="15"/>
      <c r="O110" s="14" t="s">
        <v>3297</v>
      </c>
      <c r="P110" s="18"/>
      <c r="Q110" s="373"/>
      <c r="R110" s="374"/>
    </row>
    <row r="111" spans="4:18">
      <c r="D111" s="15" t="s">
        <v>5961</v>
      </c>
      <c r="E111" s="14" t="s">
        <v>2423</v>
      </c>
      <c r="F111" s="15" t="s">
        <v>800</v>
      </c>
      <c r="G111" s="14"/>
      <c r="H111" s="15"/>
      <c r="I111" s="15"/>
      <c r="J111" s="14" t="str">
        <f t="shared" si="1"/>
        <v>HIV I-6 Estimated percentage of children newly infected with HIV from mother-to-child transmission among women living with HIV delivering in the past 12 months</v>
      </c>
      <c r="K111" s="15"/>
      <c r="L111" s="15"/>
      <c r="M111" s="15"/>
      <c r="N111" s="15"/>
      <c r="O111" s="14" t="s">
        <v>3298</v>
      </c>
      <c r="P111" s="18"/>
      <c r="Q111" s="373"/>
      <c r="R111" s="374"/>
    </row>
    <row r="112" spans="4:18">
      <c r="D112" s="15" t="s">
        <v>5962</v>
      </c>
      <c r="E112" s="14" t="s">
        <v>2423</v>
      </c>
      <c r="F112" s="15" t="s">
        <v>800</v>
      </c>
      <c r="G112" s="14"/>
      <c r="H112" s="15"/>
      <c r="I112" s="15"/>
      <c r="J112" s="14" t="str">
        <f t="shared" si="1"/>
        <v>HIV I-6 Estimated percentage of children newly infected with HIV from mother-to-child transmission among women living with HIV delivering in the past 12 months</v>
      </c>
      <c r="K112" s="15"/>
      <c r="L112" s="15"/>
      <c r="M112" s="15"/>
      <c r="N112" s="15"/>
      <c r="O112" s="14" t="s">
        <v>3299</v>
      </c>
      <c r="P112" s="18"/>
      <c r="Q112" s="373"/>
      <c r="R112" s="374"/>
    </row>
    <row r="113" spans="4:18">
      <c r="D113" s="15" t="s">
        <v>5963</v>
      </c>
      <c r="E113" s="14" t="s">
        <v>2423</v>
      </c>
      <c r="F113" s="15" t="s">
        <v>800</v>
      </c>
      <c r="G113" s="14"/>
      <c r="H113" s="15"/>
      <c r="I113" s="15"/>
      <c r="J113" s="14" t="str">
        <f t="shared" si="1"/>
        <v>HIV I-6 Estimated percentage of children newly infected with HIV from mother-to-child transmission among women living with HIV delivering in the past 12 months</v>
      </c>
      <c r="K113" s="15"/>
      <c r="L113" s="15"/>
      <c r="M113" s="15"/>
      <c r="N113" s="15"/>
      <c r="O113" s="14" t="s">
        <v>3300</v>
      </c>
      <c r="P113" s="18"/>
      <c r="Q113" s="373"/>
      <c r="R113" s="374"/>
    </row>
    <row r="114" spans="4:18">
      <c r="D114" s="15" t="s">
        <v>5964</v>
      </c>
      <c r="E114" s="14" t="s">
        <v>2430</v>
      </c>
      <c r="F114" s="15"/>
      <c r="G114" s="14"/>
      <c r="H114" s="15"/>
      <c r="I114" s="15"/>
      <c r="J114" s="14" t="str">
        <f t="shared" si="1"/>
        <v/>
      </c>
      <c r="K114" s="15"/>
      <c r="L114" s="15"/>
      <c r="M114" s="15"/>
      <c r="N114" s="15"/>
      <c r="O114" s="14" t="s">
        <v>3301</v>
      </c>
      <c r="P114" s="18"/>
      <c r="Q114" s="373"/>
      <c r="R114" s="374"/>
    </row>
    <row r="115" spans="4:18">
      <c r="D115" s="15" t="s">
        <v>5965</v>
      </c>
      <c r="E115" s="14" t="s">
        <v>2430</v>
      </c>
      <c r="F115" s="15"/>
      <c r="G115" s="14"/>
      <c r="H115" s="15"/>
      <c r="I115" s="15"/>
      <c r="J115" s="14" t="str">
        <f t="shared" si="1"/>
        <v/>
      </c>
      <c r="K115" s="15"/>
      <c r="L115" s="15"/>
      <c r="M115" s="15"/>
      <c r="N115" s="15"/>
      <c r="O115" s="14" t="s">
        <v>3302</v>
      </c>
      <c r="P115" s="18"/>
      <c r="Q115" s="373"/>
      <c r="R115" s="374"/>
    </row>
    <row r="116" spans="4:18">
      <c r="D116" s="15" t="s">
        <v>5966</v>
      </c>
      <c r="E116" s="14" t="s">
        <v>2430</v>
      </c>
      <c r="F116" s="15"/>
      <c r="G116" s="14"/>
      <c r="H116" s="15"/>
      <c r="I116" s="15"/>
      <c r="J116" s="14" t="str">
        <f t="shared" si="1"/>
        <v/>
      </c>
      <c r="K116" s="15"/>
      <c r="L116" s="15"/>
      <c r="M116" s="15"/>
      <c r="N116" s="15"/>
      <c r="O116" s="14" t="s">
        <v>3303</v>
      </c>
      <c r="P116" s="18"/>
      <c r="Q116" s="373"/>
      <c r="R116" s="374"/>
    </row>
    <row r="117" spans="4:18">
      <c r="D117" s="15" t="s">
        <v>5967</v>
      </c>
      <c r="E117" s="14" t="s">
        <v>2430</v>
      </c>
      <c r="F117" s="15"/>
      <c r="G117" s="14"/>
      <c r="H117" s="15"/>
      <c r="I117" s="15"/>
      <c r="J117" s="14" t="str">
        <f t="shared" si="1"/>
        <v/>
      </c>
      <c r="K117" s="15"/>
      <c r="L117" s="15"/>
      <c r="M117" s="15"/>
      <c r="N117" s="15"/>
      <c r="O117" s="14" t="s">
        <v>3304</v>
      </c>
      <c r="P117" s="18"/>
      <c r="Q117" s="373"/>
      <c r="R117" s="374"/>
    </row>
    <row r="118" spans="4:18">
      <c r="D118" s="15" t="s">
        <v>5968</v>
      </c>
      <c r="E118" s="14" t="s">
        <v>2430</v>
      </c>
      <c r="F118" s="15"/>
      <c r="G118" s="14"/>
      <c r="H118" s="15"/>
      <c r="I118" s="15"/>
      <c r="J118" s="14" t="str">
        <f t="shared" si="1"/>
        <v/>
      </c>
      <c r="K118" s="15"/>
      <c r="L118" s="15"/>
      <c r="M118" s="15"/>
      <c r="N118" s="15"/>
      <c r="O118" s="14" t="s">
        <v>3305</v>
      </c>
      <c r="P118" s="18"/>
      <c r="Q118" s="373"/>
      <c r="R118" s="374"/>
    </row>
    <row r="119" spans="4:18">
      <c r="D119" s="15" t="s">
        <v>5969</v>
      </c>
      <c r="E119" s="14" t="s">
        <v>2430</v>
      </c>
      <c r="F119" s="15"/>
      <c r="G119" s="14"/>
      <c r="H119" s="15"/>
      <c r="I119" s="15"/>
      <c r="J119" s="14" t="str">
        <f t="shared" si="1"/>
        <v/>
      </c>
      <c r="K119" s="15"/>
      <c r="L119" s="15"/>
      <c r="M119" s="15"/>
      <c r="N119" s="15"/>
      <c r="O119" s="14" t="s">
        <v>3306</v>
      </c>
      <c r="P119" s="18"/>
      <c r="Q119" s="373"/>
      <c r="R119" s="374"/>
    </row>
    <row r="120" spans="4:18">
      <c r="D120" s="15" t="s">
        <v>5970</v>
      </c>
      <c r="E120" s="14" t="s">
        <v>2430</v>
      </c>
      <c r="F120" s="15"/>
      <c r="G120" s="14"/>
      <c r="H120" s="15"/>
      <c r="I120" s="15"/>
      <c r="J120" s="14" t="str">
        <f t="shared" si="1"/>
        <v/>
      </c>
      <c r="K120" s="15"/>
      <c r="L120" s="15"/>
      <c r="M120" s="15"/>
      <c r="N120" s="15"/>
      <c r="O120" s="14" t="s">
        <v>3307</v>
      </c>
      <c r="P120" s="18"/>
      <c r="Q120" s="373"/>
      <c r="R120" s="374"/>
    </row>
    <row r="121" spans="4:18">
      <c r="D121" s="15" t="s">
        <v>5971</v>
      </c>
      <c r="E121" s="14" t="s">
        <v>2430</v>
      </c>
      <c r="F121" s="15"/>
      <c r="G121" s="14"/>
      <c r="H121" s="15"/>
      <c r="I121" s="15"/>
      <c r="J121" s="14" t="str">
        <f t="shared" si="1"/>
        <v/>
      </c>
      <c r="K121" s="15"/>
      <c r="L121" s="15"/>
      <c r="M121" s="15"/>
      <c r="N121" s="15"/>
      <c r="O121" s="14" t="s">
        <v>3308</v>
      </c>
      <c r="P121" s="18"/>
      <c r="Q121" s="373"/>
      <c r="R121" s="374"/>
    </row>
    <row r="122" spans="4:18">
      <c r="D122" s="15" t="s">
        <v>5972</v>
      </c>
      <c r="E122" s="14" t="s">
        <v>2430</v>
      </c>
      <c r="F122" s="15"/>
      <c r="G122" s="14"/>
      <c r="H122" s="15"/>
      <c r="I122" s="15"/>
      <c r="J122" s="14" t="str">
        <f t="shared" si="1"/>
        <v/>
      </c>
      <c r="K122" s="15"/>
      <c r="L122" s="15"/>
      <c r="M122" s="15"/>
      <c r="N122" s="15"/>
      <c r="O122" s="14" t="s">
        <v>3309</v>
      </c>
      <c r="P122" s="18"/>
      <c r="Q122" s="373"/>
      <c r="R122" s="374"/>
    </row>
    <row r="123" spans="4:18">
      <c r="D123" s="15" t="s">
        <v>5973</v>
      </c>
      <c r="E123" s="14" t="s">
        <v>2430</v>
      </c>
      <c r="F123" s="15"/>
      <c r="G123" s="14"/>
      <c r="H123" s="15"/>
      <c r="I123" s="15"/>
      <c r="J123" s="14" t="str">
        <f t="shared" si="1"/>
        <v/>
      </c>
      <c r="K123" s="15"/>
      <c r="L123" s="15"/>
      <c r="M123" s="15"/>
      <c r="N123" s="15"/>
      <c r="O123" s="14" t="s">
        <v>3310</v>
      </c>
      <c r="P123" s="18"/>
      <c r="Q123" s="373"/>
      <c r="R123" s="374"/>
    </row>
    <row r="124" spans="4:18">
      <c r="D124" s="15" t="s">
        <v>5974</v>
      </c>
      <c r="E124" s="14" t="s">
        <v>2437</v>
      </c>
      <c r="F124" s="15"/>
      <c r="G124" s="14"/>
      <c r="H124" s="15"/>
      <c r="I124" s="15"/>
      <c r="J124" s="14" t="str">
        <f t="shared" si="1"/>
        <v/>
      </c>
      <c r="K124" s="15"/>
      <c r="L124" s="15"/>
      <c r="M124" s="15"/>
      <c r="N124" s="15"/>
      <c r="O124" s="14" t="s">
        <v>3311</v>
      </c>
      <c r="P124" s="18"/>
      <c r="Q124" s="373"/>
      <c r="R124" s="374"/>
    </row>
    <row r="125" spans="4:18">
      <c r="D125" s="15" t="s">
        <v>5975</v>
      </c>
      <c r="E125" s="14" t="s">
        <v>2437</v>
      </c>
      <c r="F125" s="15"/>
      <c r="G125" s="14"/>
      <c r="H125" s="15"/>
      <c r="I125" s="15"/>
      <c r="J125" s="14" t="str">
        <f t="shared" si="1"/>
        <v/>
      </c>
      <c r="K125" s="15"/>
      <c r="L125" s="15"/>
      <c r="M125" s="15"/>
      <c r="N125" s="15"/>
      <c r="O125" s="14" t="s">
        <v>3312</v>
      </c>
      <c r="P125" s="18"/>
      <c r="Q125" s="373"/>
      <c r="R125" s="374"/>
    </row>
    <row r="126" spans="4:18">
      <c r="D126" s="15" t="s">
        <v>5976</v>
      </c>
      <c r="E126" s="14" t="s">
        <v>2437</v>
      </c>
      <c r="F126" s="15"/>
      <c r="G126" s="14"/>
      <c r="H126" s="15"/>
      <c r="I126" s="15"/>
      <c r="J126" s="14" t="str">
        <f t="shared" si="1"/>
        <v/>
      </c>
      <c r="K126" s="15"/>
      <c r="L126" s="15"/>
      <c r="M126" s="15"/>
      <c r="N126" s="15"/>
      <c r="O126" s="14" t="s">
        <v>3313</v>
      </c>
      <c r="P126" s="18"/>
      <c r="Q126" s="373"/>
      <c r="R126" s="374"/>
    </row>
    <row r="127" spans="4:18">
      <c r="D127" s="15" t="s">
        <v>5977</v>
      </c>
      <c r="E127" s="14" t="s">
        <v>2437</v>
      </c>
      <c r="F127" s="15"/>
      <c r="G127" s="14"/>
      <c r="H127" s="15"/>
      <c r="I127" s="15"/>
      <c r="J127" s="14" t="str">
        <f t="shared" si="1"/>
        <v/>
      </c>
      <c r="K127" s="15"/>
      <c r="L127" s="15"/>
      <c r="M127" s="15"/>
      <c r="N127" s="15"/>
      <c r="O127" s="14" t="s">
        <v>3314</v>
      </c>
      <c r="P127" s="18"/>
      <c r="Q127" s="373"/>
      <c r="R127" s="374"/>
    </row>
    <row r="128" spans="4:18">
      <c r="D128" s="15" t="s">
        <v>5978</v>
      </c>
      <c r="E128" s="14" t="s">
        <v>2437</v>
      </c>
      <c r="F128" s="15"/>
      <c r="G128" s="14"/>
      <c r="H128" s="15"/>
      <c r="I128" s="15"/>
      <c r="J128" s="14" t="str">
        <f t="shared" si="1"/>
        <v/>
      </c>
      <c r="K128" s="15"/>
      <c r="L128" s="15"/>
      <c r="M128" s="15"/>
      <c r="N128" s="15"/>
      <c r="O128" s="14" t="s">
        <v>3315</v>
      </c>
      <c r="P128" s="18"/>
      <c r="Q128" s="373"/>
      <c r="R128" s="374"/>
    </row>
    <row r="129" spans="4:18">
      <c r="D129" s="15" t="s">
        <v>5979</v>
      </c>
      <c r="E129" s="14" t="s">
        <v>2437</v>
      </c>
      <c r="F129" s="15"/>
      <c r="G129" s="14"/>
      <c r="H129" s="15"/>
      <c r="I129" s="15"/>
      <c r="J129" s="14" t="str">
        <f t="shared" si="1"/>
        <v/>
      </c>
      <c r="K129" s="15"/>
      <c r="L129" s="15"/>
      <c r="M129" s="15"/>
      <c r="N129" s="15"/>
      <c r="O129" s="14" t="s">
        <v>3316</v>
      </c>
      <c r="P129" s="18"/>
      <c r="Q129" s="373"/>
      <c r="R129" s="374"/>
    </row>
    <row r="130" spans="4:18">
      <c r="D130" s="15" t="s">
        <v>5980</v>
      </c>
      <c r="E130" s="14" t="s">
        <v>2437</v>
      </c>
      <c r="F130" s="15"/>
      <c r="G130" s="14"/>
      <c r="H130" s="15"/>
      <c r="I130" s="15"/>
      <c r="J130" s="14" t="str">
        <f t="shared" si="1"/>
        <v/>
      </c>
      <c r="K130" s="15"/>
      <c r="L130" s="15"/>
      <c r="M130" s="15"/>
      <c r="N130" s="15"/>
      <c r="O130" s="14" t="s">
        <v>3317</v>
      </c>
      <c r="P130" s="18"/>
      <c r="Q130" s="373"/>
      <c r="R130" s="374"/>
    </row>
    <row r="131" spans="4:18">
      <c r="D131" s="15" t="s">
        <v>5981</v>
      </c>
      <c r="E131" s="14" t="s">
        <v>2437</v>
      </c>
      <c r="F131" s="15"/>
      <c r="G131" s="14"/>
      <c r="H131" s="15"/>
      <c r="I131" s="15"/>
      <c r="J131" s="14" t="str">
        <f t="shared" si="1"/>
        <v/>
      </c>
      <c r="K131" s="15"/>
      <c r="L131" s="15"/>
      <c r="M131" s="15"/>
      <c r="N131" s="15"/>
      <c r="O131" s="14" t="s">
        <v>3318</v>
      </c>
      <c r="P131" s="18"/>
      <c r="Q131" s="373"/>
      <c r="R131" s="374"/>
    </row>
    <row r="132" spans="4:18">
      <c r="D132" s="15" t="s">
        <v>5982</v>
      </c>
      <c r="E132" s="14" t="s">
        <v>2437</v>
      </c>
      <c r="F132" s="15"/>
      <c r="G132" s="14"/>
      <c r="H132" s="15"/>
      <c r="I132" s="15"/>
      <c r="J132" s="14" t="str">
        <f t="shared" ref="J132:J153" si="2">F132&amp;H132&amp;I132</f>
        <v/>
      </c>
      <c r="K132" s="15"/>
      <c r="L132" s="15"/>
      <c r="M132" s="15"/>
      <c r="N132" s="15"/>
      <c r="O132" s="14" t="s">
        <v>3319</v>
      </c>
      <c r="P132" s="18"/>
      <c r="Q132" s="373"/>
      <c r="R132" s="374"/>
    </row>
    <row r="133" spans="4:18">
      <c r="D133" s="15" t="s">
        <v>5983</v>
      </c>
      <c r="E133" s="14" t="s">
        <v>2437</v>
      </c>
      <c r="F133" s="15"/>
      <c r="G133" s="14"/>
      <c r="H133" s="15"/>
      <c r="I133" s="15"/>
      <c r="J133" s="14" t="str">
        <f t="shared" si="2"/>
        <v/>
      </c>
      <c r="K133" s="15"/>
      <c r="L133" s="15"/>
      <c r="M133" s="15"/>
      <c r="N133" s="15"/>
      <c r="O133" s="14" t="s">
        <v>3320</v>
      </c>
      <c r="P133" s="18"/>
      <c r="Q133" s="373"/>
      <c r="R133" s="374"/>
    </row>
    <row r="134" spans="4:18">
      <c r="D134" s="15" t="s">
        <v>5984</v>
      </c>
      <c r="E134" s="14" t="s">
        <v>2444</v>
      </c>
      <c r="F134" s="15"/>
      <c r="G134" s="14"/>
      <c r="H134" s="15"/>
      <c r="I134" s="15"/>
      <c r="J134" s="14" t="str">
        <f t="shared" si="2"/>
        <v/>
      </c>
      <c r="K134" s="15"/>
      <c r="L134" s="15"/>
      <c r="M134" s="15"/>
      <c r="N134" s="15"/>
      <c r="O134" s="14" t="s">
        <v>3321</v>
      </c>
      <c r="P134" s="18"/>
      <c r="Q134" s="373"/>
      <c r="R134" s="374"/>
    </row>
    <row r="135" spans="4:18">
      <c r="D135" s="15" t="s">
        <v>5985</v>
      </c>
      <c r="E135" s="14" t="s">
        <v>2444</v>
      </c>
      <c r="F135" s="15"/>
      <c r="G135" s="14"/>
      <c r="H135" s="15"/>
      <c r="I135" s="15"/>
      <c r="J135" s="14" t="str">
        <f t="shared" si="2"/>
        <v/>
      </c>
      <c r="K135" s="15"/>
      <c r="L135" s="15"/>
      <c r="M135" s="15"/>
      <c r="N135" s="15"/>
      <c r="O135" s="14" t="s">
        <v>3322</v>
      </c>
      <c r="P135" s="18"/>
      <c r="Q135" s="373"/>
      <c r="R135" s="374"/>
    </row>
    <row r="136" spans="4:18">
      <c r="D136" s="15" t="s">
        <v>5986</v>
      </c>
      <c r="E136" s="14" t="s">
        <v>2444</v>
      </c>
      <c r="F136" s="15"/>
      <c r="G136" s="14"/>
      <c r="H136" s="15"/>
      <c r="I136" s="15"/>
      <c r="J136" s="14" t="str">
        <f t="shared" si="2"/>
        <v/>
      </c>
      <c r="K136" s="15"/>
      <c r="L136" s="15"/>
      <c r="M136" s="15"/>
      <c r="N136" s="15"/>
      <c r="O136" s="14" t="s">
        <v>3323</v>
      </c>
      <c r="P136" s="18"/>
      <c r="Q136" s="373"/>
      <c r="R136" s="374"/>
    </row>
    <row r="137" spans="4:18">
      <c r="D137" s="15" t="s">
        <v>5987</v>
      </c>
      <c r="E137" s="14" t="s">
        <v>2444</v>
      </c>
      <c r="F137" s="15"/>
      <c r="G137" s="14"/>
      <c r="H137" s="15"/>
      <c r="I137" s="15"/>
      <c r="J137" s="14" t="str">
        <f t="shared" si="2"/>
        <v/>
      </c>
      <c r="K137" s="15"/>
      <c r="L137" s="15"/>
      <c r="M137" s="15"/>
      <c r="N137" s="15"/>
      <c r="O137" s="14" t="s">
        <v>3324</v>
      </c>
      <c r="P137" s="18"/>
      <c r="Q137" s="373"/>
      <c r="R137" s="374"/>
    </row>
    <row r="138" spans="4:18">
      <c r="D138" s="15" t="s">
        <v>5988</v>
      </c>
      <c r="E138" s="14" t="s">
        <v>2444</v>
      </c>
      <c r="F138" s="15"/>
      <c r="G138" s="14"/>
      <c r="H138" s="15"/>
      <c r="I138" s="15"/>
      <c r="J138" s="14" t="str">
        <f t="shared" si="2"/>
        <v/>
      </c>
      <c r="K138" s="15"/>
      <c r="L138" s="15"/>
      <c r="M138" s="15"/>
      <c r="N138" s="15"/>
      <c r="O138" s="14" t="s">
        <v>3325</v>
      </c>
      <c r="P138" s="18"/>
      <c r="Q138" s="373"/>
      <c r="R138" s="374"/>
    </row>
    <row r="139" spans="4:18">
      <c r="D139" s="15" t="s">
        <v>5989</v>
      </c>
      <c r="E139" s="14" t="s">
        <v>2444</v>
      </c>
      <c r="F139" s="15"/>
      <c r="G139" s="14"/>
      <c r="H139" s="15"/>
      <c r="I139" s="15"/>
      <c r="J139" s="14" t="str">
        <f t="shared" si="2"/>
        <v/>
      </c>
      <c r="K139" s="15"/>
      <c r="L139" s="15"/>
      <c r="M139" s="15"/>
      <c r="N139" s="15"/>
      <c r="O139" s="14" t="s">
        <v>3326</v>
      </c>
      <c r="P139" s="18"/>
      <c r="Q139" s="373"/>
      <c r="R139" s="374"/>
    </row>
    <row r="140" spans="4:18">
      <c r="D140" s="15" t="s">
        <v>5990</v>
      </c>
      <c r="E140" s="14" t="s">
        <v>2444</v>
      </c>
      <c r="F140" s="15"/>
      <c r="G140" s="14"/>
      <c r="H140" s="15"/>
      <c r="I140" s="15"/>
      <c r="J140" s="14" t="str">
        <f t="shared" si="2"/>
        <v/>
      </c>
      <c r="K140" s="15"/>
      <c r="L140" s="15"/>
      <c r="M140" s="15"/>
      <c r="N140" s="15"/>
      <c r="O140" s="14" t="s">
        <v>3327</v>
      </c>
      <c r="P140" s="18"/>
      <c r="Q140" s="373"/>
      <c r="R140" s="374"/>
    </row>
    <row r="141" spans="4:18">
      <c r="D141" s="15" t="s">
        <v>5991</v>
      </c>
      <c r="E141" s="14" t="s">
        <v>2444</v>
      </c>
      <c r="F141" s="15"/>
      <c r="G141" s="14"/>
      <c r="H141" s="15"/>
      <c r="I141" s="15"/>
      <c r="J141" s="14" t="str">
        <f t="shared" si="2"/>
        <v/>
      </c>
      <c r="K141" s="15"/>
      <c r="L141" s="15"/>
      <c r="M141" s="15"/>
      <c r="N141" s="15"/>
      <c r="O141" s="14" t="s">
        <v>3328</v>
      </c>
      <c r="P141" s="18"/>
      <c r="Q141" s="373"/>
      <c r="R141" s="374"/>
    </row>
    <row r="142" spans="4:18">
      <c r="D142" s="15" t="s">
        <v>5992</v>
      </c>
      <c r="E142" s="14" t="s">
        <v>2444</v>
      </c>
      <c r="F142" s="15"/>
      <c r="G142" s="14"/>
      <c r="H142" s="15"/>
      <c r="I142" s="15"/>
      <c r="J142" s="14" t="str">
        <f t="shared" si="2"/>
        <v/>
      </c>
      <c r="K142" s="15"/>
      <c r="L142" s="15"/>
      <c r="M142" s="15"/>
      <c r="N142" s="15"/>
      <c r="O142" s="14" t="s">
        <v>3329</v>
      </c>
      <c r="P142" s="18"/>
      <c r="Q142" s="373"/>
      <c r="R142" s="374"/>
    </row>
    <row r="143" spans="4:18">
      <c r="D143" s="15" t="s">
        <v>5993</v>
      </c>
      <c r="E143" s="14" t="s">
        <v>2444</v>
      </c>
      <c r="F143" s="15"/>
      <c r="G143" s="14"/>
      <c r="H143" s="15"/>
      <c r="I143" s="15"/>
      <c r="J143" s="14" t="str">
        <f t="shared" si="2"/>
        <v/>
      </c>
      <c r="K143" s="15"/>
      <c r="L143" s="15"/>
      <c r="M143" s="15"/>
      <c r="N143" s="15"/>
      <c r="O143" s="14" t="s">
        <v>3330</v>
      </c>
      <c r="P143" s="18"/>
      <c r="Q143" s="373"/>
      <c r="R143" s="374"/>
    </row>
    <row r="144" spans="4:18">
      <c r="D144" s="15" t="s">
        <v>5994</v>
      </c>
      <c r="E144" s="14" t="s">
        <v>2451</v>
      </c>
      <c r="F144" s="15"/>
      <c r="G144" s="14"/>
      <c r="H144" s="15"/>
      <c r="I144" s="15"/>
      <c r="J144" s="14" t="str">
        <f t="shared" si="2"/>
        <v/>
      </c>
      <c r="K144" s="15"/>
      <c r="L144" s="15"/>
      <c r="M144" s="15"/>
      <c r="N144" s="15"/>
      <c r="O144" s="14" t="s">
        <v>3331</v>
      </c>
      <c r="P144" s="18"/>
      <c r="Q144" s="373"/>
      <c r="R144" s="374"/>
    </row>
    <row r="145" spans="4:18">
      <c r="D145" s="15" t="s">
        <v>5995</v>
      </c>
      <c r="E145" s="14" t="s">
        <v>2451</v>
      </c>
      <c r="F145" s="15"/>
      <c r="G145" s="14"/>
      <c r="H145" s="15"/>
      <c r="I145" s="15"/>
      <c r="J145" s="14" t="str">
        <f t="shared" si="2"/>
        <v/>
      </c>
      <c r="K145" s="15"/>
      <c r="L145" s="15"/>
      <c r="M145" s="15"/>
      <c r="N145" s="15"/>
      <c r="O145" s="14" t="s">
        <v>3332</v>
      </c>
      <c r="P145" s="18"/>
      <c r="Q145" s="373"/>
      <c r="R145" s="374"/>
    </row>
    <row r="146" spans="4:18">
      <c r="D146" s="15" t="s">
        <v>5996</v>
      </c>
      <c r="E146" s="14" t="s">
        <v>2451</v>
      </c>
      <c r="F146" s="15"/>
      <c r="G146" s="14"/>
      <c r="H146" s="15"/>
      <c r="I146" s="15"/>
      <c r="J146" s="14" t="str">
        <f t="shared" si="2"/>
        <v/>
      </c>
      <c r="K146" s="15"/>
      <c r="L146" s="15"/>
      <c r="M146" s="15"/>
      <c r="N146" s="15"/>
      <c r="O146" s="14" t="s">
        <v>3333</v>
      </c>
      <c r="P146" s="18"/>
      <c r="Q146" s="373"/>
      <c r="R146" s="374"/>
    </row>
    <row r="147" spans="4:18">
      <c r="D147" s="15" t="s">
        <v>5997</v>
      </c>
      <c r="E147" s="14" t="s">
        <v>2451</v>
      </c>
      <c r="F147" s="15"/>
      <c r="G147" s="14"/>
      <c r="H147" s="15"/>
      <c r="I147" s="15"/>
      <c r="J147" s="14" t="str">
        <f t="shared" si="2"/>
        <v/>
      </c>
      <c r="K147" s="15"/>
      <c r="L147" s="15"/>
      <c r="M147" s="15"/>
      <c r="N147" s="15"/>
      <c r="O147" s="14" t="s">
        <v>3334</v>
      </c>
      <c r="P147" s="18"/>
      <c r="Q147" s="373"/>
      <c r="R147" s="374"/>
    </row>
    <row r="148" spans="4:18">
      <c r="D148" s="15" t="s">
        <v>5998</v>
      </c>
      <c r="E148" s="14" t="s">
        <v>2451</v>
      </c>
      <c r="F148" s="15"/>
      <c r="G148" s="14"/>
      <c r="H148" s="15"/>
      <c r="I148" s="15"/>
      <c r="J148" s="14" t="str">
        <f t="shared" si="2"/>
        <v/>
      </c>
      <c r="K148" s="15"/>
      <c r="L148" s="15"/>
      <c r="M148" s="15"/>
      <c r="N148" s="15"/>
      <c r="O148" s="14" t="s">
        <v>3335</v>
      </c>
      <c r="P148" s="18"/>
      <c r="Q148" s="373"/>
      <c r="R148" s="374"/>
    </row>
    <row r="149" spans="4:18">
      <c r="D149" s="15" t="s">
        <v>5999</v>
      </c>
      <c r="E149" s="14" t="s">
        <v>2451</v>
      </c>
      <c r="F149" s="15"/>
      <c r="G149" s="14"/>
      <c r="H149" s="15"/>
      <c r="I149" s="15"/>
      <c r="J149" s="14" t="str">
        <f t="shared" si="2"/>
        <v/>
      </c>
      <c r="K149" s="15"/>
      <c r="L149" s="15"/>
      <c r="M149" s="15"/>
      <c r="N149" s="15"/>
      <c r="O149" s="14" t="s">
        <v>3336</v>
      </c>
      <c r="P149" s="18"/>
      <c r="Q149" s="373"/>
      <c r="R149" s="374"/>
    </row>
    <row r="150" spans="4:18">
      <c r="D150" s="15" t="s">
        <v>6000</v>
      </c>
      <c r="E150" s="14" t="s">
        <v>2451</v>
      </c>
      <c r="F150" s="15"/>
      <c r="G150" s="14"/>
      <c r="H150" s="15"/>
      <c r="I150" s="15"/>
      <c r="J150" s="14" t="str">
        <f t="shared" si="2"/>
        <v/>
      </c>
      <c r="K150" s="15"/>
      <c r="L150" s="15"/>
      <c r="M150" s="15"/>
      <c r="N150" s="15"/>
      <c r="O150" s="14" t="s">
        <v>3337</v>
      </c>
      <c r="P150" s="18"/>
      <c r="Q150" s="373"/>
      <c r="R150" s="374"/>
    </row>
    <row r="151" spans="4:18">
      <c r="D151" s="15" t="s">
        <v>6001</v>
      </c>
      <c r="E151" s="14" t="s">
        <v>2451</v>
      </c>
      <c r="F151" s="15"/>
      <c r="G151" s="14"/>
      <c r="H151" s="15"/>
      <c r="I151" s="15"/>
      <c r="J151" s="14" t="str">
        <f t="shared" si="2"/>
        <v/>
      </c>
      <c r="K151" s="15"/>
      <c r="L151" s="15"/>
      <c r="M151" s="15"/>
      <c r="N151" s="15"/>
      <c r="O151" s="14" t="s">
        <v>3338</v>
      </c>
      <c r="P151" s="18"/>
      <c r="Q151" s="373"/>
      <c r="R151" s="374"/>
    </row>
    <row r="152" spans="4:18">
      <c r="D152" s="15" t="s">
        <v>6002</v>
      </c>
      <c r="E152" s="14" t="s">
        <v>2451</v>
      </c>
      <c r="F152" s="15"/>
      <c r="G152" s="14"/>
      <c r="H152" s="15"/>
      <c r="I152" s="15"/>
      <c r="J152" s="14" t="str">
        <f t="shared" si="2"/>
        <v/>
      </c>
      <c r="K152" s="15"/>
      <c r="L152" s="15"/>
      <c r="M152" s="15"/>
      <c r="N152" s="15"/>
      <c r="O152" s="14" t="s">
        <v>3339</v>
      </c>
      <c r="P152" s="18"/>
      <c r="Q152" s="373"/>
      <c r="R152" s="374"/>
    </row>
    <row r="153" spans="4:18">
      <c r="D153" s="15" t="s">
        <v>6003</v>
      </c>
      <c r="E153" s="14" t="s">
        <v>2451</v>
      </c>
      <c r="F153" s="15"/>
      <c r="G153" s="14"/>
      <c r="H153" s="15"/>
      <c r="I153" s="15"/>
      <c r="J153" s="14" t="str">
        <f t="shared" si="2"/>
        <v/>
      </c>
      <c r="K153" s="15"/>
      <c r="L153" s="15"/>
      <c r="M153" s="15"/>
      <c r="N153" s="15"/>
      <c r="O153" s="14" t="s">
        <v>3340</v>
      </c>
      <c r="P153" s="18"/>
      <c r="Q153" s="373"/>
      <c r="R153" s="374"/>
    </row>
    <row r="157" spans="4:18">
      <c r="D157" s="2" t="s">
        <v>6004</v>
      </c>
    </row>
    <row r="158" spans="4:18">
      <c r="D158" s="14" t="s">
        <v>6005</v>
      </c>
      <c r="E158" s="14" t="s">
        <v>2932</v>
      </c>
      <c r="F158" s="14" t="s">
        <v>2461</v>
      </c>
      <c r="G158" s="14"/>
      <c r="H158" s="14" t="s">
        <v>2256</v>
      </c>
      <c r="I158" s="14" t="s">
        <v>2257</v>
      </c>
      <c r="J158" s="14" t="s">
        <v>5843</v>
      </c>
      <c r="K158" s="14" t="s">
        <v>5844</v>
      </c>
      <c r="L158" s="14" t="s">
        <v>768</v>
      </c>
      <c r="M158" s="14" t="s">
        <v>199</v>
      </c>
      <c r="N158" s="14" t="s">
        <v>176</v>
      </c>
      <c r="O158" s="14" t="s">
        <v>318</v>
      </c>
    </row>
    <row r="159" spans="4:18" hidden="1">
      <c r="D159" s="15" t="s">
        <v>6006</v>
      </c>
      <c r="E159" s="14" t="s">
        <v>6007</v>
      </c>
      <c r="F159" s="15" t="s">
        <v>2463</v>
      </c>
      <c r="G159" s="14"/>
      <c r="H159" s="15" t="s">
        <v>5145</v>
      </c>
      <c r="I159" s="15" t="s">
        <v>5146</v>
      </c>
      <c r="J159" s="14" t="str">
        <f>F159&amp;H159&amp;I159</f>
        <v>[Outcome Indicator Name][Category][Disaggregation]</v>
      </c>
      <c r="K159" s="15" t="s">
        <v>5847</v>
      </c>
      <c r="L159" s="15" t="s">
        <v>5848</v>
      </c>
      <c r="M159" s="15" t="s">
        <v>5849</v>
      </c>
      <c r="N159" s="15" t="s">
        <v>5850</v>
      </c>
      <c r="O159" s="14" t="s">
        <v>321</v>
      </c>
    </row>
    <row r="160" spans="4:18">
      <c r="D160" s="15" t="s">
        <v>6008</v>
      </c>
      <c r="E160" s="14" t="s">
        <v>2538</v>
      </c>
      <c r="F160" s="15" t="s">
        <v>919</v>
      </c>
      <c r="G160" s="14"/>
      <c r="H160" s="15" t="s">
        <v>5148</v>
      </c>
      <c r="I160" s="15" t="s">
        <v>4281</v>
      </c>
      <c r="J160" s="14" t="str">
        <f t="shared" ref="J160:J223" si="3">F160&amp;H160&amp;I160</f>
        <v>HIV O-11 Percentage of people living with HIV who know their HIV status at the end of the reporting periodGender | AgeFemale 15+</v>
      </c>
      <c r="K160" s="15"/>
      <c r="L160" s="15" t="s">
        <v>2328</v>
      </c>
      <c r="M160" s="15" t="s">
        <v>2270</v>
      </c>
      <c r="N160" s="15"/>
      <c r="O160" s="14" t="s">
        <v>3030</v>
      </c>
    </row>
    <row r="161" spans="4:15">
      <c r="D161" s="15" t="s">
        <v>6009</v>
      </c>
      <c r="E161" s="14" t="s">
        <v>2545</v>
      </c>
      <c r="F161" s="15" t="s">
        <v>928</v>
      </c>
      <c r="G161" s="14"/>
      <c r="H161" s="15" t="s">
        <v>5148</v>
      </c>
      <c r="I161" s="15" t="s">
        <v>4281</v>
      </c>
      <c r="J161" s="14" t="str">
        <f t="shared" si="3"/>
        <v>HIV O-12 Percentage of people living with HIV and on ART who are virologically suppressedGender | AgeFemale 15+</v>
      </c>
      <c r="K161" s="15"/>
      <c r="L161" s="15"/>
      <c r="M161" s="15"/>
      <c r="N161" s="15"/>
      <c r="O161" s="14" t="s">
        <v>3048</v>
      </c>
    </row>
    <row r="162" spans="4:15">
      <c r="D162" s="15" t="s">
        <v>6010</v>
      </c>
      <c r="E162" s="14" t="s">
        <v>2538</v>
      </c>
      <c r="F162" s="15" t="s">
        <v>919</v>
      </c>
      <c r="G162" s="14"/>
      <c r="H162" s="15" t="s">
        <v>5148</v>
      </c>
      <c r="I162" s="15" t="s">
        <v>4277</v>
      </c>
      <c r="J162" s="14" t="str">
        <f t="shared" si="3"/>
        <v>HIV O-11 Percentage of people living with HIV who know their HIV status at the end of the reporting periodGender | AgeMale 15+</v>
      </c>
      <c r="K162" s="15"/>
      <c r="L162" s="15" t="s">
        <v>2328</v>
      </c>
      <c r="M162" s="15" t="s">
        <v>2270</v>
      </c>
      <c r="N162" s="15"/>
      <c r="O162" s="14" t="s">
        <v>3027</v>
      </c>
    </row>
    <row r="163" spans="4:15">
      <c r="D163" s="15" t="s">
        <v>6011</v>
      </c>
      <c r="E163" s="14" t="s">
        <v>2545</v>
      </c>
      <c r="F163" s="15" t="s">
        <v>928</v>
      </c>
      <c r="G163" s="14"/>
      <c r="H163" s="15" t="s">
        <v>5148</v>
      </c>
      <c r="I163" s="15" t="s">
        <v>4277</v>
      </c>
      <c r="J163" s="14" t="str">
        <f t="shared" si="3"/>
        <v>HIV O-12 Percentage of people living with HIV and on ART who are virologically suppressedGender | AgeMale 15+</v>
      </c>
      <c r="K163" s="15"/>
      <c r="L163" s="15"/>
      <c r="M163" s="15"/>
      <c r="N163" s="15"/>
      <c r="O163" s="14" t="s">
        <v>3045</v>
      </c>
    </row>
    <row r="164" spans="4:15">
      <c r="D164" s="15" t="s">
        <v>6012</v>
      </c>
      <c r="E164" s="14" t="s">
        <v>2482</v>
      </c>
      <c r="F164" s="15" t="s">
        <v>1043</v>
      </c>
      <c r="G164" s="14"/>
      <c r="H164" s="15" t="s">
        <v>1192</v>
      </c>
      <c r="I164" s="15" t="s">
        <v>3197</v>
      </c>
      <c r="J164" s="14" t="str">
        <f t="shared" si="3"/>
        <v>TB O-5 TB treatment coverage: Percentage of patients with new and relapse TB that were notified and treated among the estimated number of incident TB in the same year (all forms of TB - bacteriologically confirmed plus clinically diagnosedGenderFemale</v>
      </c>
      <c r="K164" s="15"/>
      <c r="L164" s="15" t="s">
        <v>2328</v>
      </c>
      <c r="M164" s="15" t="s">
        <v>780</v>
      </c>
      <c r="N164" s="15"/>
      <c r="O164" s="14" t="s">
        <v>2942</v>
      </c>
    </row>
    <row r="165" spans="4:15">
      <c r="D165" s="15" t="s">
        <v>6013</v>
      </c>
      <c r="E165" s="14" t="s">
        <v>2566</v>
      </c>
      <c r="F165" s="15" t="s">
        <v>957</v>
      </c>
      <c r="G165" s="14"/>
      <c r="H165" s="15" t="s">
        <v>1192</v>
      </c>
      <c r="I165" s="15" t="s">
        <v>3197</v>
      </c>
      <c r="J165" s="14" t="str">
        <f t="shared" si="3"/>
        <v>HIV O-16c Percentage of sex workers who avoid health care because of stigma and discriminationGenderFemale</v>
      </c>
      <c r="K165" s="15"/>
      <c r="L165" s="15"/>
      <c r="M165" s="15"/>
      <c r="N165" s="15"/>
      <c r="O165" s="14" t="s">
        <v>3097</v>
      </c>
    </row>
    <row r="166" spans="4:15">
      <c r="D166" s="15" t="s">
        <v>6014</v>
      </c>
      <c r="E166" s="14" t="s">
        <v>2573</v>
      </c>
      <c r="F166" s="15" t="s">
        <v>961</v>
      </c>
      <c r="G166" s="14"/>
      <c r="H166" s="15" t="s">
        <v>1192</v>
      </c>
      <c r="I166" s="15" t="s">
        <v>3197</v>
      </c>
      <c r="J166" s="14" t="str">
        <f t="shared" si="3"/>
        <v>HIV O-16d Percentage of people who inject drugs who avoid health care because of stigma and discriminationGenderFemale</v>
      </c>
      <c r="K166" s="15"/>
      <c r="L166" s="15"/>
      <c r="M166" s="15"/>
      <c r="N166" s="15"/>
      <c r="O166" s="14" t="s">
        <v>3117</v>
      </c>
    </row>
    <row r="167" spans="4:15">
      <c r="D167" s="15" t="s">
        <v>6015</v>
      </c>
      <c r="E167" s="14" t="s">
        <v>2482</v>
      </c>
      <c r="F167" s="15" t="s">
        <v>1043</v>
      </c>
      <c r="G167" s="14"/>
      <c r="H167" s="15" t="s">
        <v>1192</v>
      </c>
      <c r="I167" s="15" t="s">
        <v>3193</v>
      </c>
      <c r="J167" s="14" t="str">
        <f t="shared" si="3"/>
        <v>TB O-5 TB treatment coverage: Percentage of patients with new and relapse TB that were notified and treated among the estimated number of incident TB in the same year (all forms of TB - bacteriologically confirmed plus clinically diagnosedGenderMale</v>
      </c>
      <c r="K167" s="15"/>
      <c r="L167" s="15" t="s">
        <v>2328</v>
      </c>
      <c r="M167" s="15" t="s">
        <v>780</v>
      </c>
      <c r="N167" s="15"/>
      <c r="O167" s="14" t="s">
        <v>2939</v>
      </c>
    </row>
    <row r="168" spans="4:15">
      <c r="D168" s="15" t="s">
        <v>6016</v>
      </c>
      <c r="E168" s="14" t="s">
        <v>2566</v>
      </c>
      <c r="F168" s="15" t="s">
        <v>957</v>
      </c>
      <c r="G168" s="14"/>
      <c r="H168" s="15" t="s">
        <v>1192</v>
      </c>
      <c r="I168" s="15" t="s">
        <v>3193</v>
      </c>
      <c r="J168" s="14" t="str">
        <f t="shared" si="3"/>
        <v>HIV O-16c Percentage of sex workers who avoid health care because of stigma and discriminationGenderMale</v>
      </c>
      <c r="K168" s="15"/>
      <c r="L168" s="15"/>
      <c r="M168" s="15"/>
      <c r="N168" s="15"/>
      <c r="O168" s="14" t="s">
        <v>3094</v>
      </c>
    </row>
    <row r="169" spans="4:15">
      <c r="D169" s="15" t="s">
        <v>6017</v>
      </c>
      <c r="E169" s="14" t="s">
        <v>2573</v>
      </c>
      <c r="F169" s="15" t="s">
        <v>961</v>
      </c>
      <c r="G169" s="14"/>
      <c r="H169" s="15" t="s">
        <v>1192</v>
      </c>
      <c r="I169" s="15" t="s">
        <v>3193</v>
      </c>
      <c r="J169" s="14" t="str">
        <f t="shared" si="3"/>
        <v>HIV O-16d Percentage of people who inject drugs who avoid health care because of stigma and discriminationGenderMale</v>
      </c>
      <c r="K169" s="15"/>
      <c r="L169" s="15"/>
      <c r="M169" s="15"/>
      <c r="N169" s="15"/>
      <c r="O169" s="14" t="s">
        <v>3114</v>
      </c>
    </row>
    <row r="170" spans="4:15">
      <c r="D170" s="15" t="s">
        <v>6018</v>
      </c>
      <c r="E170" s="14" t="s">
        <v>2566</v>
      </c>
      <c r="F170" s="15" t="s">
        <v>957</v>
      </c>
      <c r="G170" s="14"/>
      <c r="H170" s="15" t="s">
        <v>1192</v>
      </c>
      <c r="I170" s="15" t="s">
        <v>3189</v>
      </c>
      <c r="J170" s="14" t="str">
        <f t="shared" si="3"/>
        <v>HIV O-16c Percentage of sex workers who avoid health care because of stigma and discriminationGenderTransgender</v>
      </c>
      <c r="K170" s="15"/>
      <c r="L170" s="15"/>
      <c r="M170" s="15"/>
      <c r="N170" s="15"/>
      <c r="O170" s="14" t="s">
        <v>3091</v>
      </c>
    </row>
    <row r="171" spans="4:15">
      <c r="D171" s="15" t="s">
        <v>6019</v>
      </c>
      <c r="E171" s="14" t="s">
        <v>2573</v>
      </c>
      <c r="F171" s="15" t="s">
        <v>961</v>
      </c>
      <c r="G171" s="14"/>
      <c r="H171" s="15" t="s">
        <v>1192</v>
      </c>
      <c r="I171" s="15" t="s">
        <v>3189</v>
      </c>
      <c r="J171" s="14" t="str">
        <f t="shared" si="3"/>
        <v>HIV O-16d Percentage of people who inject drugs who avoid health care because of stigma and discriminationGenderTransgender</v>
      </c>
      <c r="K171" s="15"/>
      <c r="L171" s="15"/>
      <c r="M171" s="15"/>
      <c r="N171" s="15"/>
      <c r="O171" s="14" t="s">
        <v>3111</v>
      </c>
    </row>
    <row r="172" spans="4:15">
      <c r="D172" s="15" t="s">
        <v>6020</v>
      </c>
      <c r="E172" s="14" t="s">
        <v>2482</v>
      </c>
      <c r="F172" s="15" t="s">
        <v>1043</v>
      </c>
      <c r="G172" s="14"/>
      <c r="H172" s="15" t="s">
        <v>849</v>
      </c>
      <c r="I172" s="15" t="s">
        <v>3244</v>
      </c>
      <c r="J172" s="14" t="str">
        <f t="shared" si="3"/>
        <v>TB O-5 TB treatment coverage: Percentage of patients with new and relapse TB that were notified and treated among the estimated number of incident TB in the same year (all forms of TB - bacteriologically confirmed plus clinically diagnosedAge&lt;15</v>
      </c>
      <c r="K172" s="15"/>
      <c r="L172" s="15" t="s">
        <v>2328</v>
      </c>
      <c r="M172" s="15" t="s">
        <v>780</v>
      </c>
      <c r="N172" s="15"/>
      <c r="O172" s="14" t="s">
        <v>2936</v>
      </c>
    </row>
    <row r="173" spans="4:15">
      <c r="D173" s="15" t="s">
        <v>6021</v>
      </c>
      <c r="E173" s="14" t="s">
        <v>2538</v>
      </c>
      <c r="F173" s="15" t="s">
        <v>919</v>
      </c>
      <c r="G173" s="14"/>
      <c r="H173" s="15" t="s">
        <v>849</v>
      </c>
      <c r="I173" s="15" t="s">
        <v>3244</v>
      </c>
      <c r="J173" s="14" t="str">
        <f t="shared" si="3"/>
        <v>HIV O-11 Percentage of people living with HIV who know their HIV status at the end of the reporting periodAge&lt;15</v>
      </c>
      <c r="K173" s="15"/>
      <c r="L173" s="15" t="s">
        <v>2328</v>
      </c>
      <c r="M173" s="15" t="s">
        <v>2270</v>
      </c>
      <c r="N173" s="15"/>
      <c r="O173" s="14" t="s">
        <v>3024</v>
      </c>
    </row>
    <row r="174" spans="4:15">
      <c r="D174" s="15" t="s">
        <v>6022</v>
      </c>
      <c r="E174" s="14" t="s">
        <v>2545</v>
      </c>
      <c r="F174" s="15" t="s">
        <v>928</v>
      </c>
      <c r="G174" s="14"/>
      <c r="H174" s="15" t="s">
        <v>849</v>
      </c>
      <c r="I174" s="15" t="s">
        <v>3244</v>
      </c>
      <c r="J174" s="14" t="str">
        <f t="shared" si="3"/>
        <v>HIV O-12 Percentage of people living with HIV and on ART who are virologically suppressedAge&lt;15</v>
      </c>
      <c r="K174" s="15"/>
      <c r="L174" s="15"/>
      <c r="M174" s="15"/>
      <c r="N174" s="15"/>
      <c r="O174" s="14" t="s">
        <v>3042</v>
      </c>
    </row>
    <row r="175" spans="4:15">
      <c r="D175" s="15" t="s">
        <v>6023</v>
      </c>
      <c r="E175" s="14" t="s">
        <v>2552</v>
      </c>
      <c r="F175" s="15" t="s">
        <v>949</v>
      </c>
      <c r="G175" s="14"/>
      <c r="H175" s="15" t="s">
        <v>849</v>
      </c>
      <c r="I175" s="15" t="s">
        <v>3171</v>
      </c>
      <c r="J175" s="14" t="str">
        <f t="shared" si="3"/>
        <v>HIV O-16a Percentage of men who have sex with men who avoid health care because of stigma and discriminationAge&lt;25</v>
      </c>
      <c r="K175" s="15"/>
      <c r="L175" s="15"/>
      <c r="M175" s="15"/>
      <c r="N175" s="15"/>
      <c r="O175" s="14" t="s">
        <v>3060</v>
      </c>
    </row>
    <row r="176" spans="4:15">
      <c r="D176" s="15" t="s">
        <v>6024</v>
      </c>
      <c r="E176" s="14" t="s">
        <v>2559</v>
      </c>
      <c r="F176" s="15" t="s">
        <v>953</v>
      </c>
      <c r="G176" s="14"/>
      <c r="H176" s="15" t="s">
        <v>849</v>
      </c>
      <c r="I176" s="15" t="s">
        <v>3171</v>
      </c>
      <c r="J176" s="14" t="str">
        <f t="shared" si="3"/>
        <v>HIV O-16b Percentage of transgender people who avoid health care because of stigma and discriminationAge&lt;25</v>
      </c>
      <c r="K176" s="15"/>
      <c r="L176" s="15"/>
      <c r="M176" s="15"/>
      <c r="N176" s="15"/>
      <c r="O176" s="14" t="s">
        <v>3074</v>
      </c>
    </row>
    <row r="177" spans="4:15">
      <c r="D177" s="15" t="s">
        <v>6025</v>
      </c>
      <c r="E177" s="14" t="s">
        <v>2566</v>
      </c>
      <c r="F177" s="15" t="s">
        <v>957</v>
      </c>
      <c r="G177" s="14"/>
      <c r="H177" s="15" t="s">
        <v>849</v>
      </c>
      <c r="I177" s="15" t="s">
        <v>3171</v>
      </c>
      <c r="J177" s="14" t="str">
        <f t="shared" si="3"/>
        <v>HIV O-16c Percentage of sex workers who avoid health care because of stigma and discriminationAge&lt;25</v>
      </c>
      <c r="K177" s="15"/>
      <c r="L177" s="15"/>
      <c r="M177" s="15"/>
      <c r="N177" s="15"/>
      <c r="O177" s="14" t="s">
        <v>3088</v>
      </c>
    </row>
    <row r="178" spans="4:15">
      <c r="D178" s="15" t="s">
        <v>6026</v>
      </c>
      <c r="E178" s="14" t="s">
        <v>2573</v>
      </c>
      <c r="F178" s="15" t="s">
        <v>961</v>
      </c>
      <c r="G178" s="14"/>
      <c r="H178" s="15" t="s">
        <v>849</v>
      </c>
      <c r="I178" s="15" t="s">
        <v>3171</v>
      </c>
      <c r="J178" s="14" t="str">
        <f t="shared" si="3"/>
        <v>HIV O-16d Percentage of people who inject drugs who avoid health care because of stigma and discriminationAge&lt;25</v>
      </c>
      <c r="K178" s="15"/>
      <c r="L178" s="15"/>
      <c r="M178" s="15"/>
      <c r="N178" s="15"/>
      <c r="O178" s="14" t="s">
        <v>3108</v>
      </c>
    </row>
    <row r="179" spans="4:15">
      <c r="D179" s="15" t="s">
        <v>6027</v>
      </c>
      <c r="E179" s="14" t="s">
        <v>2482</v>
      </c>
      <c r="F179" s="15" t="s">
        <v>1043</v>
      </c>
      <c r="G179" s="14"/>
      <c r="H179" s="15" t="s">
        <v>849</v>
      </c>
      <c r="I179" s="15" t="s">
        <v>3240</v>
      </c>
      <c r="J179" s="14" t="str">
        <f t="shared" si="3"/>
        <v>TB O-5 TB treatment coverage: Percentage of patients with new and relapse TB that were notified and treated among the estimated number of incident TB in the same year (all forms of TB - bacteriologically confirmed plus clinically diagnosedAge15+</v>
      </c>
      <c r="K179" s="15"/>
      <c r="L179" s="15" t="s">
        <v>2328</v>
      </c>
      <c r="M179" s="15" t="s">
        <v>780</v>
      </c>
      <c r="N179" s="15"/>
      <c r="O179" s="14" t="s">
        <v>2933</v>
      </c>
    </row>
    <row r="180" spans="4:15">
      <c r="D180" s="15" t="s">
        <v>6028</v>
      </c>
      <c r="E180" s="14" t="s">
        <v>2538</v>
      </c>
      <c r="F180" s="15" t="s">
        <v>919</v>
      </c>
      <c r="G180" s="14"/>
      <c r="H180" s="15" t="s">
        <v>849</v>
      </c>
      <c r="I180" s="15" t="s">
        <v>3240</v>
      </c>
      <c r="J180" s="14" t="str">
        <f t="shared" si="3"/>
        <v>HIV O-11 Percentage of people living with HIV who know their HIV status at the end of the reporting periodAge15+</v>
      </c>
      <c r="K180" s="15"/>
      <c r="L180" s="15" t="s">
        <v>2328</v>
      </c>
      <c r="M180" s="15" t="s">
        <v>2270</v>
      </c>
      <c r="N180" s="15"/>
      <c r="O180" s="14" t="s">
        <v>3021</v>
      </c>
    </row>
    <row r="181" spans="4:15">
      <c r="D181" s="15" t="s">
        <v>6029</v>
      </c>
      <c r="E181" s="14" t="s">
        <v>2545</v>
      </c>
      <c r="F181" s="15" t="s">
        <v>928</v>
      </c>
      <c r="G181" s="14"/>
      <c r="H181" s="15" t="s">
        <v>849</v>
      </c>
      <c r="I181" s="15" t="s">
        <v>3240</v>
      </c>
      <c r="J181" s="14" t="str">
        <f t="shared" si="3"/>
        <v>HIV O-12 Percentage of people living with HIV and on ART who are virologically suppressedAge15+</v>
      </c>
      <c r="K181" s="15"/>
      <c r="L181" s="15"/>
      <c r="M181" s="15"/>
      <c r="N181" s="15"/>
      <c r="O181" s="14" t="s">
        <v>3039</v>
      </c>
    </row>
    <row r="182" spans="4:15">
      <c r="D182" s="15" t="s">
        <v>6030</v>
      </c>
      <c r="E182" s="14" t="s">
        <v>2552</v>
      </c>
      <c r="F182" s="15" t="s">
        <v>949</v>
      </c>
      <c r="G182" s="14"/>
      <c r="H182" s="15" t="s">
        <v>849</v>
      </c>
      <c r="I182" s="15" t="s">
        <v>3167</v>
      </c>
      <c r="J182" s="14" t="str">
        <f t="shared" si="3"/>
        <v>HIV O-16a Percentage of men who have sex with men who avoid health care because of stigma and discriminationAge25+</v>
      </c>
      <c r="K182" s="15"/>
      <c r="L182" s="15"/>
      <c r="M182" s="15"/>
      <c r="N182" s="15"/>
      <c r="O182" s="14" t="s">
        <v>3057</v>
      </c>
    </row>
    <row r="183" spans="4:15">
      <c r="D183" s="15" t="s">
        <v>6031</v>
      </c>
      <c r="E183" s="14" t="s">
        <v>2559</v>
      </c>
      <c r="F183" s="15" t="s">
        <v>953</v>
      </c>
      <c r="G183" s="14"/>
      <c r="H183" s="15" t="s">
        <v>849</v>
      </c>
      <c r="I183" s="15" t="s">
        <v>3167</v>
      </c>
      <c r="J183" s="14" t="str">
        <f t="shared" si="3"/>
        <v>HIV O-16b Percentage of transgender people who avoid health care because of stigma and discriminationAge25+</v>
      </c>
      <c r="K183" s="15"/>
      <c r="L183" s="15"/>
      <c r="M183" s="15"/>
      <c r="N183" s="15"/>
      <c r="O183" s="14" t="s">
        <v>3071</v>
      </c>
    </row>
    <row r="184" spans="4:15">
      <c r="D184" s="15" t="s">
        <v>6032</v>
      </c>
      <c r="E184" s="14" t="s">
        <v>2566</v>
      </c>
      <c r="F184" s="15" t="s">
        <v>957</v>
      </c>
      <c r="G184" s="14"/>
      <c r="H184" s="15" t="s">
        <v>849</v>
      </c>
      <c r="I184" s="15" t="s">
        <v>3167</v>
      </c>
      <c r="J184" s="14" t="str">
        <f t="shared" si="3"/>
        <v>HIV O-16c Percentage of sex workers who avoid health care because of stigma and discriminationAge25+</v>
      </c>
      <c r="K184" s="15"/>
      <c r="L184" s="15"/>
      <c r="M184" s="15"/>
      <c r="N184" s="15"/>
      <c r="O184" s="14" t="s">
        <v>3085</v>
      </c>
    </row>
    <row r="185" spans="4:15">
      <c r="D185" s="15" t="s">
        <v>6033</v>
      </c>
      <c r="E185" s="14" t="s">
        <v>2573</v>
      </c>
      <c r="F185" s="15" t="s">
        <v>961</v>
      </c>
      <c r="G185" s="14"/>
      <c r="H185" s="15" t="s">
        <v>849</v>
      </c>
      <c r="I185" s="15" t="s">
        <v>3167</v>
      </c>
      <c r="J185" s="14" t="str">
        <f t="shared" si="3"/>
        <v>HIV O-16d Percentage of people who inject drugs who avoid health care because of stigma and discriminationAge25+</v>
      </c>
      <c r="K185" s="15"/>
      <c r="L185" s="15"/>
      <c r="M185" s="15"/>
      <c r="N185" s="15"/>
      <c r="O185" s="14" t="s">
        <v>3105</v>
      </c>
    </row>
    <row r="186" spans="4:15">
      <c r="D186" s="15" t="s">
        <v>6034</v>
      </c>
      <c r="E186" s="14" t="s">
        <v>2482</v>
      </c>
      <c r="F186" s="15" t="s">
        <v>1043</v>
      </c>
      <c r="G186" s="14"/>
      <c r="H186" s="15"/>
      <c r="I186" s="15"/>
      <c r="J186" s="14" t="str">
        <f t="shared" si="3"/>
        <v>TB O-5 TB treatment coverage: Percentage of patients with new and relapse TB that were notified and treated among the estimated number of incident TB in the same year (all forms of TB - bacteriologically confirmed plus clinically diagnosed</v>
      </c>
      <c r="K186" s="15"/>
      <c r="L186" s="15"/>
      <c r="M186" s="15"/>
      <c r="N186" s="15"/>
      <c r="O186" s="14" t="s">
        <v>2945</v>
      </c>
    </row>
    <row r="187" spans="4:15">
      <c r="D187" s="15" t="s">
        <v>6035</v>
      </c>
      <c r="E187" s="14" t="s">
        <v>2482</v>
      </c>
      <c r="F187" s="15" t="s">
        <v>1043</v>
      </c>
      <c r="G187" s="14"/>
      <c r="H187" s="15"/>
      <c r="I187" s="15"/>
      <c r="J187" s="14" t="str">
        <f t="shared" si="3"/>
        <v>TB O-5 TB treatment coverage: Percentage of patients with new and relapse TB that were notified and treated among the estimated number of incident TB in the same year (all forms of TB - bacteriologically confirmed plus clinically diagnosed</v>
      </c>
      <c r="K187" s="15"/>
      <c r="L187" s="15"/>
      <c r="M187" s="15"/>
      <c r="N187" s="15"/>
      <c r="O187" s="14" t="s">
        <v>2946</v>
      </c>
    </row>
    <row r="188" spans="4:15">
      <c r="D188" s="15" t="s">
        <v>6036</v>
      </c>
      <c r="E188" s="14" t="s">
        <v>2482</v>
      </c>
      <c r="F188" s="15" t="s">
        <v>1043</v>
      </c>
      <c r="G188" s="14"/>
      <c r="H188" s="15"/>
      <c r="I188" s="15"/>
      <c r="J188" s="14" t="str">
        <f t="shared" si="3"/>
        <v>TB O-5 TB treatment coverage: Percentage of patients with new and relapse TB that were notified and treated among the estimated number of incident TB in the same year (all forms of TB - bacteriologically confirmed plus clinically diagnosed</v>
      </c>
      <c r="K188" s="15"/>
      <c r="L188" s="15"/>
      <c r="M188" s="15"/>
      <c r="N188" s="15"/>
      <c r="O188" s="14" t="s">
        <v>2947</v>
      </c>
    </row>
    <row r="189" spans="4:15">
      <c r="D189" s="15" t="s">
        <v>6037</v>
      </c>
      <c r="E189" s="14" t="s">
        <v>2482</v>
      </c>
      <c r="F189" s="15" t="s">
        <v>1043</v>
      </c>
      <c r="G189" s="14"/>
      <c r="H189" s="15"/>
      <c r="I189" s="15"/>
      <c r="J189" s="14" t="str">
        <f t="shared" si="3"/>
        <v>TB O-5 TB treatment coverage: Percentage of patients with new and relapse TB that were notified and treated among the estimated number of incident TB in the same year (all forms of TB - bacteriologically confirmed plus clinically diagnosed</v>
      </c>
      <c r="K189" s="15"/>
      <c r="L189" s="15"/>
      <c r="M189" s="15"/>
      <c r="N189" s="15"/>
      <c r="O189" s="14" t="s">
        <v>2948</v>
      </c>
    </row>
    <row r="190" spans="4:15">
      <c r="D190" s="15" t="s">
        <v>6038</v>
      </c>
      <c r="E190" s="14" t="s">
        <v>2482</v>
      </c>
      <c r="F190" s="15" t="s">
        <v>1043</v>
      </c>
      <c r="G190" s="14"/>
      <c r="H190" s="15"/>
      <c r="I190" s="15"/>
      <c r="J190" s="14" t="str">
        <f t="shared" si="3"/>
        <v>TB O-5 TB treatment coverage: Percentage of patients with new and relapse TB that were notified and treated among the estimated number of incident TB in the same year (all forms of TB - bacteriologically confirmed plus clinically diagnosed</v>
      </c>
      <c r="K190" s="15"/>
      <c r="L190" s="15"/>
      <c r="M190" s="15"/>
      <c r="N190" s="15"/>
      <c r="O190" s="14" t="s">
        <v>2949</v>
      </c>
    </row>
    <row r="191" spans="4:15">
      <c r="D191" s="15" t="s">
        <v>6039</v>
      </c>
      <c r="E191" s="14" t="s">
        <v>2482</v>
      </c>
      <c r="F191" s="15" t="s">
        <v>1043</v>
      </c>
      <c r="G191" s="14"/>
      <c r="H191" s="15"/>
      <c r="I191" s="15"/>
      <c r="J191" s="14" t="str">
        <f t="shared" si="3"/>
        <v>TB O-5 TB treatment coverage: Percentage of patients with new and relapse TB that were notified and treated among the estimated number of incident TB in the same year (all forms of TB - bacteriologically confirmed plus clinically diagnosed</v>
      </c>
      <c r="K191" s="15"/>
      <c r="L191" s="15"/>
      <c r="M191" s="15"/>
      <c r="N191" s="15"/>
      <c r="O191" s="14" t="s">
        <v>2950</v>
      </c>
    </row>
    <row r="192" spans="4:15">
      <c r="D192" s="15" t="s">
        <v>6040</v>
      </c>
      <c r="E192" s="14" t="s">
        <v>2489</v>
      </c>
      <c r="F192" s="15" t="s">
        <v>1047</v>
      </c>
      <c r="G192" s="14"/>
      <c r="H192" s="15"/>
      <c r="I192" s="15"/>
      <c r="J192" s="14" t="str">
        <f t="shared" si="3"/>
        <v>TB O-2a Treatment success rate of all forms of TB - bacteriologically confirmed plus clinically diagnosed, new and relapse</v>
      </c>
      <c r="K192" s="15"/>
      <c r="L192" s="15"/>
      <c r="M192" s="15"/>
      <c r="N192" s="15"/>
      <c r="O192" s="14" t="s">
        <v>2951</v>
      </c>
    </row>
    <row r="193" spans="4:15">
      <c r="D193" s="15" t="s">
        <v>6041</v>
      </c>
      <c r="E193" s="14" t="s">
        <v>2489</v>
      </c>
      <c r="F193" s="15" t="s">
        <v>1047</v>
      </c>
      <c r="G193" s="14"/>
      <c r="H193" s="15"/>
      <c r="I193" s="15"/>
      <c r="J193" s="14" t="str">
        <f t="shared" si="3"/>
        <v>TB O-2a Treatment success rate of all forms of TB - bacteriologically confirmed plus clinically diagnosed, new and relapse</v>
      </c>
      <c r="K193" s="15"/>
      <c r="L193" s="15"/>
      <c r="M193" s="15"/>
      <c r="N193" s="15"/>
      <c r="O193" s="14" t="s">
        <v>2952</v>
      </c>
    </row>
    <row r="194" spans="4:15">
      <c r="D194" s="15" t="s">
        <v>6042</v>
      </c>
      <c r="E194" s="14" t="s">
        <v>2489</v>
      </c>
      <c r="F194" s="15" t="s">
        <v>1047</v>
      </c>
      <c r="G194" s="14"/>
      <c r="H194" s="15"/>
      <c r="I194" s="15"/>
      <c r="J194" s="14" t="str">
        <f t="shared" si="3"/>
        <v>TB O-2a Treatment success rate of all forms of TB - bacteriologically confirmed plus clinically diagnosed, new and relapse</v>
      </c>
      <c r="K194" s="15"/>
      <c r="L194" s="15"/>
      <c r="M194" s="15"/>
      <c r="N194" s="15"/>
      <c r="O194" s="14" t="s">
        <v>2953</v>
      </c>
    </row>
    <row r="195" spans="4:15">
      <c r="D195" s="15" t="s">
        <v>6043</v>
      </c>
      <c r="E195" s="14" t="s">
        <v>2489</v>
      </c>
      <c r="F195" s="15" t="s">
        <v>1047</v>
      </c>
      <c r="G195" s="14"/>
      <c r="H195" s="15"/>
      <c r="I195" s="15"/>
      <c r="J195" s="14" t="str">
        <f t="shared" si="3"/>
        <v>TB O-2a Treatment success rate of all forms of TB - bacteriologically confirmed plus clinically diagnosed, new and relapse</v>
      </c>
      <c r="K195" s="15"/>
      <c r="L195" s="15"/>
      <c r="M195" s="15"/>
      <c r="N195" s="15"/>
      <c r="O195" s="14" t="s">
        <v>2954</v>
      </c>
    </row>
    <row r="196" spans="4:15">
      <c r="D196" s="15" t="s">
        <v>6044</v>
      </c>
      <c r="E196" s="14" t="s">
        <v>2489</v>
      </c>
      <c r="F196" s="15" t="s">
        <v>1047</v>
      </c>
      <c r="G196" s="14"/>
      <c r="H196" s="15"/>
      <c r="I196" s="15"/>
      <c r="J196" s="14" t="str">
        <f t="shared" si="3"/>
        <v>TB O-2a Treatment success rate of all forms of TB - bacteriologically confirmed plus clinically diagnosed, new and relapse</v>
      </c>
      <c r="K196" s="15"/>
      <c r="L196" s="15"/>
      <c r="M196" s="15"/>
      <c r="N196" s="15"/>
      <c r="O196" s="14" t="s">
        <v>2955</v>
      </c>
    </row>
    <row r="197" spans="4:15">
      <c r="D197" s="15" t="s">
        <v>6045</v>
      </c>
      <c r="E197" s="14" t="s">
        <v>2489</v>
      </c>
      <c r="F197" s="15" t="s">
        <v>1047</v>
      </c>
      <c r="G197" s="14"/>
      <c r="H197" s="15"/>
      <c r="I197" s="15"/>
      <c r="J197" s="14" t="str">
        <f t="shared" si="3"/>
        <v>TB O-2a Treatment success rate of all forms of TB - bacteriologically confirmed plus clinically diagnosed, new and relapse</v>
      </c>
      <c r="K197" s="15"/>
      <c r="L197" s="15"/>
      <c r="M197" s="15"/>
      <c r="N197" s="15"/>
      <c r="O197" s="14" t="s">
        <v>2956</v>
      </c>
    </row>
    <row r="198" spans="4:15">
      <c r="D198" s="15" t="s">
        <v>6046</v>
      </c>
      <c r="E198" s="14" t="s">
        <v>2489</v>
      </c>
      <c r="F198" s="15" t="s">
        <v>1047</v>
      </c>
      <c r="G198" s="14"/>
      <c r="H198" s="15"/>
      <c r="I198" s="15"/>
      <c r="J198" s="14" t="str">
        <f t="shared" si="3"/>
        <v>TB O-2a Treatment success rate of all forms of TB - bacteriologically confirmed plus clinically diagnosed, new and relapse</v>
      </c>
      <c r="K198" s="15"/>
      <c r="L198" s="15"/>
      <c r="M198" s="15"/>
      <c r="N198" s="15"/>
      <c r="O198" s="14" t="s">
        <v>2957</v>
      </c>
    </row>
    <row r="199" spans="4:15">
      <c r="D199" s="15" t="s">
        <v>6047</v>
      </c>
      <c r="E199" s="14" t="s">
        <v>2489</v>
      </c>
      <c r="F199" s="15" t="s">
        <v>1047</v>
      </c>
      <c r="G199" s="14"/>
      <c r="H199" s="15"/>
      <c r="I199" s="15"/>
      <c r="J199" s="14" t="str">
        <f t="shared" si="3"/>
        <v>TB O-2a Treatment success rate of all forms of TB - bacteriologically confirmed plus clinically diagnosed, new and relapse</v>
      </c>
      <c r="K199" s="15"/>
      <c r="L199" s="15"/>
      <c r="M199" s="15"/>
      <c r="N199" s="15"/>
      <c r="O199" s="14" t="s">
        <v>2958</v>
      </c>
    </row>
    <row r="200" spans="4:15">
      <c r="D200" s="15" t="s">
        <v>6048</v>
      </c>
      <c r="E200" s="14" t="s">
        <v>2489</v>
      </c>
      <c r="F200" s="15" t="s">
        <v>1047</v>
      </c>
      <c r="G200" s="14"/>
      <c r="H200" s="15"/>
      <c r="I200" s="15"/>
      <c r="J200" s="14" t="str">
        <f t="shared" si="3"/>
        <v>TB O-2a Treatment success rate of all forms of TB - bacteriologically confirmed plus clinically diagnosed, new and relapse</v>
      </c>
      <c r="K200" s="15"/>
      <c r="L200" s="15"/>
      <c r="M200" s="15"/>
      <c r="N200" s="15"/>
      <c r="O200" s="14" t="s">
        <v>2959</v>
      </c>
    </row>
    <row r="201" spans="4:15">
      <c r="D201" s="15" t="s">
        <v>6049</v>
      </c>
      <c r="E201" s="14" t="s">
        <v>2489</v>
      </c>
      <c r="F201" s="15" t="s">
        <v>1047</v>
      </c>
      <c r="G201" s="14"/>
      <c r="H201" s="15"/>
      <c r="I201" s="15"/>
      <c r="J201" s="14" t="str">
        <f t="shared" si="3"/>
        <v>TB O-2a Treatment success rate of all forms of TB - bacteriologically confirmed plus clinically diagnosed, new and relapse</v>
      </c>
      <c r="K201" s="15"/>
      <c r="L201" s="15"/>
      <c r="M201" s="15"/>
      <c r="N201" s="15"/>
      <c r="O201" s="14" t="s">
        <v>2960</v>
      </c>
    </row>
    <row r="202" spans="4:15">
      <c r="D202" s="15" t="s">
        <v>6050</v>
      </c>
      <c r="E202" s="14" t="s">
        <v>2496</v>
      </c>
      <c r="F202" s="15" t="s">
        <v>1051</v>
      </c>
      <c r="G202" s="14"/>
      <c r="H202" s="15"/>
      <c r="I202" s="15"/>
      <c r="J202" s="14" t="str">
        <f t="shared" si="3"/>
        <v>TB O-6 Treatment coverage of RR-TB and/or MDR-TB: Percentage of notified people with bacteriologically confirmed, drug resistant RR-TB and/or MDR-TB as a proportion of all estimated people with RR-TB and/or MDR-TB</v>
      </c>
      <c r="K202" s="15"/>
      <c r="L202" s="15"/>
      <c r="M202" s="15"/>
      <c r="N202" s="15"/>
      <c r="O202" s="14" t="s">
        <v>2961</v>
      </c>
    </row>
    <row r="203" spans="4:15">
      <c r="D203" s="15" t="s">
        <v>6051</v>
      </c>
      <c r="E203" s="14" t="s">
        <v>2496</v>
      </c>
      <c r="F203" s="15" t="s">
        <v>1051</v>
      </c>
      <c r="G203" s="14"/>
      <c r="H203" s="15"/>
      <c r="I203" s="15"/>
      <c r="J203" s="14" t="str">
        <f t="shared" si="3"/>
        <v>TB O-6 Treatment coverage of RR-TB and/or MDR-TB: Percentage of notified people with bacteriologically confirmed, drug resistant RR-TB and/or MDR-TB as a proportion of all estimated people with RR-TB and/or MDR-TB</v>
      </c>
      <c r="K203" s="15"/>
      <c r="L203" s="15"/>
      <c r="M203" s="15"/>
      <c r="N203" s="15"/>
      <c r="O203" s="14" t="s">
        <v>2962</v>
      </c>
    </row>
    <row r="204" spans="4:15">
      <c r="D204" s="15" t="s">
        <v>6052</v>
      </c>
      <c r="E204" s="14" t="s">
        <v>2496</v>
      </c>
      <c r="F204" s="15" t="s">
        <v>1051</v>
      </c>
      <c r="G204" s="14"/>
      <c r="H204" s="15"/>
      <c r="I204" s="15"/>
      <c r="J204" s="14" t="str">
        <f t="shared" si="3"/>
        <v>TB O-6 Treatment coverage of RR-TB and/or MDR-TB: Percentage of notified people with bacteriologically confirmed, drug resistant RR-TB and/or MDR-TB as a proportion of all estimated people with RR-TB and/or MDR-TB</v>
      </c>
      <c r="K204" s="15"/>
      <c r="L204" s="15"/>
      <c r="M204" s="15"/>
      <c r="N204" s="15"/>
      <c r="O204" s="14" t="s">
        <v>2963</v>
      </c>
    </row>
    <row r="205" spans="4:15">
      <c r="D205" s="15" t="s">
        <v>6053</v>
      </c>
      <c r="E205" s="14" t="s">
        <v>2496</v>
      </c>
      <c r="F205" s="15" t="s">
        <v>1051</v>
      </c>
      <c r="G205" s="14"/>
      <c r="H205" s="15"/>
      <c r="I205" s="15"/>
      <c r="J205" s="14" t="str">
        <f t="shared" si="3"/>
        <v>TB O-6 Treatment coverage of RR-TB and/or MDR-TB: Percentage of notified people with bacteriologically confirmed, drug resistant RR-TB and/or MDR-TB as a proportion of all estimated people with RR-TB and/or MDR-TB</v>
      </c>
      <c r="K205" s="15"/>
      <c r="L205" s="15"/>
      <c r="M205" s="15"/>
      <c r="N205" s="15"/>
      <c r="O205" s="14" t="s">
        <v>2964</v>
      </c>
    </row>
    <row r="206" spans="4:15">
      <c r="D206" s="15" t="s">
        <v>6054</v>
      </c>
      <c r="E206" s="14" t="s">
        <v>2496</v>
      </c>
      <c r="F206" s="15" t="s">
        <v>1051</v>
      </c>
      <c r="G206" s="14"/>
      <c r="H206" s="15"/>
      <c r="I206" s="15"/>
      <c r="J206" s="14" t="str">
        <f t="shared" si="3"/>
        <v>TB O-6 Treatment coverage of RR-TB and/or MDR-TB: Percentage of notified people with bacteriologically confirmed, drug resistant RR-TB and/or MDR-TB as a proportion of all estimated people with RR-TB and/or MDR-TB</v>
      </c>
      <c r="K206" s="15"/>
      <c r="L206" s="15"/>
      <c r="M206" s="15"/>
      <c r="N206" s="15"/>
      <c r="O206" s="14" t="s">
        <v>2965</v>
      </c>
    </row>
    <row r="207" spans="4:15">
      <c r="D207" s="15" t="s">
        <v>6055</v>
      </c>
      <c r="E207" s="14" t="s">
        <v>2496</v>
      </c>
      <c r="F207" s="15" t="s">
        <v>1051</v>
      </c>
      <c r="G207" s="14"/>
      <c r="H207" s="15"/>
      <c r="I207" s="15"/>
      <c r="J207" s="14" t="str">
        <f t="shared" si="3"/>
        <v>TB O-6 Treatment coverage of RR-TB and/or MDR-TB: Percentage of notified people with bacteriologically confirmed, drug resistant RR-TB and/or MDR-TB as a proportion of all estimated people with RR-TB and/or MDR-TB</v>
      </c>
      <c r="K207" s="15"/>
      <c r="L207" s="15"/>
      <c r="M207" s="15"/>
      <c r="N207" s="15"/>
      <c r="O207" s="14" t="s">
        <v>2966</v>
      </c>
    </row>
    <row r="208" spans="4:15">
      <c r="D208" s="15" t="s">
        <v>6056</v>
      </c>
      <c r="E208" s="14" t="s">
        <v>2496</v>
      </c>
      <c r="F208" s="15" t="s">
        <v>1051</v>
      </c>
      <c r="G208" s="14"/>
      <c r="H208" s="15"/>
      <c r="I208" s="15"/>
      <c r="J208" s="14" t="str">
        <f t="shared" si="3"/>
        <v>TB O-6 Treatment coverage of RR-TB and/or MDR-TB: Percentage of notified people with bacteriologically confirmed, drug resistant RR-TB and/or MDR-TB as a proportion of all estimated people with RR-TB and/or MDR-TB</v>
      </c>
      <c r="K208" s="15"/>
      <c r="L208" s="15"/>
      <c r="M208" s="15"/>
      <c r="N208" s="15"/>
      <c r="O208" s="14" t="s">
        <v>2967</v>
      </c>
    </row>
    <row r="209" spans="4:15">
      <c r="D209" s="15" t="s">
        <v>6057</v>
      </c>
      <c r="E209" s="14" t="s">
        <v>2496</v>
      </c>
      <c r="F209" s="15" t="s">
        <v>1051</v>
      </c>
      <c r="G209" s="14"/>
      <c r="H209" s="15"/>
      <c r="I209" s="15"/>
      <c r="J209" s="14" t="str">
        <f t="shared" si="3"/>
        <v>TB O-6 Treatment coverage of RR-TB and/or MDR-TB: Percentage of notified people with bacteriologically confirmed, drug resistant RR-TB and/or MDR-TB as a proportion of all estimated people with RR-TB and/or MDR-TB</v>
      </c>
      <c r="K209" s="15"/>
      <c r="L209" s="15"/>
      <c r="M209" s="15"/>
      <c r="N209" s="15"/>
      <c r="O209" s="14" t="s">
        <v>2968</v>
      </c>
    </row>
    <row r="210" spans="4:15">
      <c r="D210" s="15" t="s">
        <v>6058</v>
      </c>
      <c r="E210" s="14" t="s">
        <v>2496</v>
      </c>
      <c r="F210" s="15" t="s">
        <v>1051</v>
      </c>
      <c r="G210" s="14"/>
      <c r="H210" s="15"/>
      <c r="I210" s="15"/>
      <c r="J210" s="14" t="str">
        <f t="shared" si="3"/>
        <v>TB O-6 Treatment coverage of RR-TB and/or MDR-TB: Percentage of notified people with bacteriologically confirmed, drug resistant RR-TB and/or MDR-TB as a proportion of all estimated people with RR-TB and/or MDR-TB</v>
      </c>
      <c r="K210" s="15"/>
      <c r="L210" s="15"/>
      <c r="M210" s="15"/>
      <c r="N210" s="15"/>
      <c r="O210" s="14" t="s">
        <v>2969</v>
      </c>
    </row>
    <row r="211" spans="4:15">
      <c r="D211" s="15" t="s">
        <v>6059</v>
      </c>
      <c r="E211" s="14" t="s">
        <v>2496</v>
      </c>
      <c r="F211" s="15" t="s">
        <v>1051</v>
      </c>
      <c r="G211" s="14"/>
      <c r="H211" s="15"/>
      <c r="I211" s="15"/>
      <c r="J211" s="14" t="str">
        <f t="shared" si="3"/>
        <v>TB O-6 Treatment coverage of RR-TB and/or MDR-TB: Percentage of notified people with bacteriologically confirmed, drug resistant RR-TB and/or MDR-TB as a proportion of all estimated people with RR-TB and/or MDR-TB</v>
      </c>
      <c r="K211" s="15"/>
      <c r="L211" s="15"/>
      <c r="M211" s="15"/>
      <c r="N211" s="15"/>
      <c r="O211" s="14" t="s">
        <v>2970</v>
      </c>
    </row>
    <row r="212" spans="4:15">
      <c r="D212" s="15" t="s">
        <v>6060</v>
      </c>
      <c r="E212" s="14" t="s">
        <v>2503</v>
      </c>
      <c r="F212" s="15" t="s">
        <v>1055</v>
      </c>
      <c r="G212" s="14"/>
      <c r="H212" s="15"/>
      <c r="I212" s="15"/>
      <c r="J212" s="14" t="str">
        <f t="shared" si="3"/>
        <v>TB O-4 Treatment success rate of RR-TB and/or MDR-TB: Percentage of patients with RR and/or MDR-TB successfully treated</v>
      </c>
      <c r="K212" s="15"/>
      <c r="L212" s="15"/>
      <c r="M212" s="15"/>
      <c r="N212" s="15"/>
      <c r="O212" s="14" t="s">
        <v>2971</v>
      </c>
    </row>
    <row r="213" spans="4:15">
      <c r="D213" s="15" t="s">
        <v>6061</v>
      </c>
      <c r="E213" s="14" t="s">
        <v>2503</v>
      </c>
      <c r="F213" s="15" t="s">
        <v>1055</v>
      </c>
      <c r="G213" s="14"/>
      <c r="H213" s="15"/>
      <c r="I213" s="15"/>
      <c r="J213" s="14" t="str">
        <f t="shared" si="3"/>
        <v>TB O-4 Treatment success rate of RR-TB and/or MDR-TB: Percentage of patients with RR and/or MDR-TB successfully treated</v>
      </c>
      <c r="K213" s="15"/>
      <c r="L213" s="15"/>
      <c r="M213" s="15"/>
      <c r="N213" s="15"/>
      <c r="O213" s="14" t="s">
        <v>2972</v>
      </c>
    </row>
    <row r="214" spans="4:15">
      <c r="D214" s="15" t="s">
        <v>6062</v>
      </c>
      <c r="E214" s="14" t="s">
        <v>2503</v>
      </c>
      <c r="F214" s="15" t="s">
        <v>1055</v>
      </c>
      <c r="G214" s="14"/>
      <c r="H214" s="15"/>
      <c r="I214" s="15"/>
      <c r="J214" s="14" t="str">
        <f t="shared" si="3"/>
        <v>TB O-4 Treatment success rate of RR-TB and/or MDR-TB: Percentage of patients with RR and/or MDR-TB successfully treated</v>
      </c>
      <c r="K214" s="15"/>
      <c r="L214" s="15"/>
      <c r="M214" s="15"/>
      <c r="N214" s="15"/>
      <c r="O214" s="14" t="s">
        <v>2973</v>
      </c>
    </row>
    <row r="215" spans="4:15">
      <c r="D215" s="15" t="s">
        <v>6063</v>
      </c>
      <c r="E215" s="14" t="s">
        <v>2503</v>
      </c>
      <c r="F215" s="15" t="s">
        <v>1055</v>
      </c>
      <c r="G215" s="14"/>
      <c r="H215" s="15"/>
      <c r="I215" s="15"/>
      <c r="J215" s="14" t="str">
        <f t="shared" si="3"/>
        <v>TB O-4 Treatment success rate of RR-TB and/or MDR-TB: Percentage of patients with RR and/or MDR-TB successfully treated</v>
      </c>
      <c r="K215" s="15"/>
      <c r="L215" s="15"/>
      <c r="M215" s="15"/>
      <c r="N215" s="15"/>
      <c r="O215" s="14" t="s">
        <v>2974</v>
      </c>
    </row>
    <row r="216" spans="4:15">
      <c r="D216" s="15" t="s">
        <v>6064</v>
      </c>
      <c r="E216" s="14" t="s">
        <v>2503</v>
      </c>
      <c r="F216" s="15" t="s">
        <v>1055</v>
      </c>
      <c r="G216" s="14"/>
      <c r="H216" s="15"/>
      <c r="I216" s="15"/>
      <c r="J216" s="14" t="str">
        <f t="shared" si="3"/>
        <v>TB O-4 Treatment success rate of RR-TB and/or MDR-TB: Percentage of patients with RR and/or MDR-TB successfully treated</v>
      </c>
      <c r="K216" s="15"/>
      <c r="L216" s="15"/>
      <c r="M216" s="15"/>
      <c r="N216" s="15"/>
      <c r="O216" s="14" t="s">
        <v>2975</v>
      </c>
    </row>
    <row r="217" spans="4:15">
      <c r="D217" s="15" t="s">
        <v>6065</v>
      </c>
      <c r="E217" s="14" t="s">
        <v>2503</v>
      </c>
      <c r="F217" s="15" t="s">
        <v>1055</v>
      </c>
      <c r="G217" s="14"/>
      <c r="H217" s="15"/>
      <c r="I217" s="15"/>
      <c r="J217" s="14" t="str">
        <f t="shared" si="3"/>
        <v>TB O-4 Treatment success rate of RR-TB and/or MDR-TB: Percentage of patients with RR and/or MDR-TB successfully treated</v>
      </c>
      <c r="K217" s="15"/>
      <c r="L217" s="15"/>
      <c r="M217" s="15"/>
      <c r="N217" s="15"/>
      <c r="O217" s="14" t="s">
        <v>2976</v>
      </c>
    </row>
    <row r="218" spans="4:15">
      <c r="D218" s="15" t="s">
        <v>6066</v>
      </c>
      <c r="E218" s="14" t="s">
        <v>2503</v>
      </c>
      <c r="F218" s="15" t="s">
        <v>1055</v>
      </c>
      <c r="G218" s="14"/>
      <c r="H218" s="15"/>
      <c r="I218" s="15"/>
      <c r="J218" s="14" t="str">
        <f t="shared" si="3"/>
        <v>TB O-4 Treatment success rate of RR-TB and/or MDR-TB: Percentage of patients with RR and/or MDR-TB successfully treated</v>
      </c>
      <c r="K218" s="15"/>
      <c r="L218" s="15"/>
      <c r="M218" s="15"/>
      <c r="N218" s="15"/>
      <c r="O218" s="14" t="s">
        <v>2977</v>
      </c>
    </row>
    <row r="219" spans="4:15">
      <c r="D219" s="15" t="s">
        <v>6067</v>
      </c>
      <c r="E219" s="14" t="s">
        <v>2503</v>
      </c>
      <c r="F219" s="15" t="s">
        <v>1055</v>
      </c>
      <c r="G219" s="14"/>
      <c r="H219" s="15"/>
      <c r="I219" s="15"/>
      <c r="J219" s="14" t="str">
        <f t="shared" si="3"/>
        <v>TB O-4 Treatment success rate of RR-TB and/or MDR-TB: Percentage of patients with RR and/or MDR-TB successfully treated</v>
      </c>
      <c r="K219" s="15"/>
      <c r="L219" s="15"/>
      <c r="M219" s="15"/>
      <c r="N219" s="15"/>
      <c r="O219" s="14" t="s">
        <v>2978</v>
      </c>
    </row>
    <row r="220" spans="4:15">
      <c r="D220" s="15" t="s">
        <v>6068</v>
      </c>
      <c r="E220" s="14" t="s">
        <v>2503</v>
      </c>
      <c r="F220" s="15" t="s">
        <v>1055</v>
      </c>
      <c r="G220" s="14"/>
      <c r="H220" s="15"/>
      <c r="I220" s="15"/>
      <c r="J220" s="14" t="str">
        <f t="shared" si="3"/>
        <v>TB O-4 Treatment success rate of RR-TB and/or MDR-TB: Percentage of patients with RR and/or MDR-TB successfully treated</v>
      </c>
      <c r="K220" s="15"/>
      <c r="L220" s="15"/>
      <c r="M220" s="15"/>
      <c r="N220" s="15"/>
      <c r="O220" s="14" t="s">
        <v>2979</v>
      </c>
    </row>
    <row r="221" spans="4:15">
      <c r="D221" s="15" t="s">
        <v>6069</v>
      </c>
      <c r="E221" s="14" t="s">
        <v>2503</v>
      </c>
      <c r="F221" s="15" t="s">
        <v>1055</v>
      </c>
      <c r="G221" s="14"/>
      <c r="H221" s="15"/>
      <c r="I221" s="15"/>
      <c r="J221" s="14" t="str">
        <f t="shared" si="3"/>
        <v>TB O-4 Treatment success rate of RR-TB and/or MDR-TB: Percentage of patients with RR and/or MDR-TB successfully treated</v>
      </c>
      <c r="K221" s="15"/>
      <c r="L221" s="15"/>
      <c r="M221" s="15"/>
      <c r="N221" s="15"/>
      <c r="O221" s="14" t="s">
        <v>2980</v>
      </c>
    </row>
    <row r="222" spans="4:15">
      <c r="D222" s="15" t="s">
        <v>6070</v>
      </c>
      <c r="E222" s="14" t="s">
        <v>2510</v>
      </c>
      <c r="F222" s="15" t="s">
        <v>895</v>
      </c>
      <c r="G222" s="14"/>
      <c r="H222" s="15"/>
      <c r="I222" s="15"/>
      <c r="J222" s="14" t="str">
        <f t="shared" si="3"/>
        <v>HIV O-4a Percentage of men reporting using a condom the last time they had anal sex with a male partner</v>
      </c>
      <c r="K222" s="15"/>
      <c r="L222" s="15"/>
      <c r="M222" s="15"/>
      <c r="N222" s="15"/>
      <c r="O222" s="14" t="s">
        <v>2981</v>
      </c>
    </row>
    <row r="223" spans="4:15">
      <c r="D223" s="15" t="s">
        <v>6071</v>
      </c>
      <c r="E223" s="14" t="s">
        <v>2510</v>
      </c>
      <c r="F223" s="15" t="s">
        <v>895</v>
      </c>
      <c r="G223" s="14"/>
      <c r="H223" s="15"/>
      <c r="I223" s="15"/>
      <c r="J223" s="14" t="str">
        <f t="shared" si="3"/>
        <v>HIV O-4a Percentage of men reporting using a condom the last time they had anal sex with a male partner</v>
      </c>
      <c r="K223" s="15"/>
      <c r="L223" s="15"/>
      <c r="M223" s="15"/>
      <c r="N223" s="15"/>
      <c r="O223" s="14" t="s">
        <v>2982</v>
      </c>
    </row>
    <row r="224" spans="4:15">
      <c r="D224" s="15" t="s">
        <v>6072</v>
      </c>
      <c r="E224" s="14" t="s">
        <v>2510</v>
      </c>
      <c r="F224" s="15" t="s">
        <v>895</v>
      </c>
      <c r="G224" s="14"/>
      <c r="H224" s="15"/>
      <c r="I224" s="15"/>
      <c r="J224" s="14" t="str">
        <f t="shared" ref="J224:J287" si="4">F224&amp;H224&amp;I224</f>
        <v>HIV O-4a Percentage of men reporting using a condom the last time they had anal sex with a male partner</v>
      </c>
      <c r="K224" s="15"/>
      <c r="L224" s="15"/>
      <c r="M224" s="15"/>
      <c r="N224" s="15"/>
      <c r="O224" s="14" t="s">
        <v>2983</v>
      </c>
    </row>
    <row r="225" spans="4:15">
      <c r="D225" s="15" t="s">
        <v>6073</v>
      </c>
      <c r="E225" s="14" t="s">
        <v>2510</v>
      </c>
      <c r="F225" s="15" t="s">
        <v>895</v>
      </c>
      <c r="G225" s="14"/>
      <c r="H225" s="15"/>
      <c r="I225" s="15"/>
      <c r="J225" s="14" t="str">
        <f t="shared" si="4"/>
        <v>HIV O-4a Percentage of men reporting using a condom the last time they had anal sex with a male partner</v>
      </c>
      <c r="K225" s="15"/>
      <c r="L225" s="15"/>
      <c r="M225" s="15"/>
      <c r="N225" s="15"/>
      <c r="O225" s="14" t="s">
        <v>2984</v>
      </c>
    </row>
    <row r="226" spans="4:15">
      <c r="D226" s="15" t="s">
        <v>6074</v>
      </c>
      <c r="E226" s="14" t="s">
        <v>2510</v>
      </c>
      <c r="F226" s="15" t="s">
        <v>895</v>
      </c>
      <c r="G226" s="14"/>
      <c r="H226" s="15"/>
      <c r="I226" s="15"/>
      <c r="J226" s="14" t="str">
        <f t="shared" si="4"/>
        <v>HIV O-4a Percentage of men reporting using a condom the last time they had anal sex with a male partner</v>
      </c>
      <c r="K226" s="15"/>
      <c r="L226" s="15"/>
      <c r="M226" s="15"/>
      <c r="N226" s="15"/>
      <c r="O226" s="14" t="s">
        <v>2985</v>
      </c>
    </row>
    <row r="227" spans="4:15">
      <c r="D227" s="15" t="s">
        <v>6075</v>
      </c>
      <c r="E227" s="14" t="s">
        <v>2510</v>
      </c>
      <c r="F227" s="15" t="s">
        <v>895</v>
      </c>
      <c r="G227" s="14"/>
      <c r="H227" s="15"/>
      <c r="I227" s="15"/>
      <c r="J227" s="14" t="str">
        <f t="shared" si="4"/>
        <v>HIV O-4a Percentage of men reporting using a condom the last time they had anal sex with a male partner</v>
      </c>
      <c r="K227" s="15"/>
      <c r="L227" s="15"/>
      <c r="M227" s="15"/>
      <c r="N227" s="15"/>
      <c r="O227" s="14" t="s">
        <v>2986</v>
      </c>
    </row>
    <row r="228" spans="4:15">
      <c r="D228" s="15" t="s">
        <v>6076</v>
      </c>
      <c r="E228" s="14" t="s">
        <v>2510</v>
      </c>
      <c r="F228" s="15" t="s">
        <v>895</v>
      </c>
      <c r="G228" s="14"/>
      <c r="H228" s="15"/>
      <c r="I228" s="15"/>
      <c r="J228" s="14" t="str">
        <f t="shared" si="4"/>
        <v>HIV O-4a Percentage of men reporting using a condom the last time they had anal sex with a male partner</v>
      </c>
      <c r="K228" s="15"/>
      <c r="L228" s="15"/>
      <c r="M228" s="15"/>
      <c r="N228" s="15"/>
      <c r="O228" s="14" t="s">
        <v>2987</v>
      </c>
    </row>
    <row r="229" spans="4:15">
      <c r="D229" s="15" t="s">
        <v>6077</v>
      </c>
      <c r="E229" s="14" t="s">
        <v>2510</v>
      </c>
      <c r="F229" s="15" t="s">
        <v>895</v>
      </c>
      <c r="G229" s="14"/>
      <c r="H229" s="15"/>
      <c r="I229" s="15"/>
      <c r="J229" s="14" t="str">
        <f t="shared" si="4"/>
        <v>HIV O-4a Percentage of men reporting using a condom the last time they had anal sex with a male partner</v>
      </c>
      <c r="K229" s="15"/>
      <c r="L229" s="15"/>
      <c r="M229" s="15"/>
      <c r="N229" s="15"/>
      <c r="O229" s="14" t="s">
        <v>2988</v>
      </c>
    </row>
    <row r="230" spans="4:15">
      <c r="D230" s="15" t="s">
        <v>6078</v>
      </c>
      <c r="E230" s="14" t="s">
        <v>2510</v>
      </c>
      <c r="F230" s="15" t="s">
        <v>895</v>
      </c>
      <c r="G230" s="14"/>
      <c r="H230" s="15"/>
      <c r="I230" s="15"/>
      <c r="J230" s="14" t="str">
        <f t="shared" si="4"/>
        <v>HIV O-4a Percentage of men reporting using a condom the last time they had anal sex with a male partner</v>
      </c>
      <c r="K230" s="15"/>
      <c r="L230" s="15"/>
      <c r="M230" s="15"/>
      <c r="N230" s="15"/>
      <c r="O230" s="14" t="s">
        <v>2989</v>
      </c>
    </row>
    <row r="231" spans="4:15">
      <c r="D231" s="15" t="s">
        <v>6079</v>
      </c>
      <c r="E231" s="14" t="s">
        <v>2510</v>
      </c>
      <c r="F231" s="15" t="s">
        <v>895</v>
      </c>
      <c r="G231" s="14"/>
      <c r="H231" s="15"/>
      <c r="I231" s="15"/>
      <c r="J231" s="14" t="str">
        <f t="shared" si="4"/>
        <v>HIV O-4a Percentage of men reporting using a condom the last time they had anal sex with a male partner</v>
      </c>
      <c r="K231" s="15"/>
      <c r="L231" s="15"/>
      <c r="M231" s="15"/>
      <c r="N231" s="15"/>
      <c r="O231" s="14" t="s">
        <v>2990</v>
      </c>
    </row>
    <row r="232" spans="4:15">
      <c r="D232" s="15" t="s">
        <v>6080</v>
      </c>
      <c r="E232" s="14" t="s">
        <v>2517</v>
      </c>
      <c r="F232" s="15" t="s">
        <v>899</v>
      </c>
      <c r="G232" s="14"/>
      <c r="H232" s="15"/>
      <c r="I232" s="15"/>
      <c r="J232" s="14" t="str">
        <f t="shared" si="4"/>
        <v>HIV O-4.1b Percentage of transgender people reporting using a condom during their most recent sexual intercourse or anal sex</v>
      </c>
      <c r="K232" s="15"/>
      <c r="L232" s="15"/>
      <c r="M232" s="15"/>
      <c r="N232" s="15"/>
      <c r="O232" s="14" t="s">
        <v>2991</v>
      </c>
    </row>
    <row r="233" spans="4:15">
      <c r="D233" s="15" t="s">
        <v>6081</v>
      </c>
      <c r="E233" s="14" t="s">
        <v>2517</v>
      </c>
      <c r="F233" s="15" t="s">
        <v>899</v>
      </c>
      <c r="G233" s="14"/>
      <c r="H233" s="15"/>
      <c r="I233" s="15"/>
      <c r="J233" s="14" t="str">
        <f t="shared" si="4"/>
        <v>HIV O-4.1b Percentage of transgender people reporting using a condom during their most recent sexual intercourse or anal sex</v>
      </c>
      <c r="K233" s="15"/>
      <c r="L233" s="15"/>
      <c r="M233" s="15"/>
      <c r="N233" s="15"/>
      <c r="O233" s="14" t="s">
        <v>2992</v>
      </c>
    </row>
    <row r="234" spans="4:15">
      <c r="D234" s="15" t="s">
        <v>6082</v>
      </c>
      <c r="E234" s="14" t="s">
        <v>2517</v>
      </c>
      <c r="F234" s="15" t="s">
        <v>899</v>
      </c>
      <c r="G234" s="14"/>
      <c r="H234" s="15"/>
      <c r="I234" s="15"/>
      <c r="J234" s="14" t="str">
        <f t="shared" si="4"/>
        <v>HIV O-4.1b Percentage of transgender people reporting using a condom during their most recent sexual intercourse or anal sex</v>
      </c>
      <c r="K234" s="15"/>
      <c r="L234" s="15"/>
      <c r="M234" s="15"/>
      <c r="N234" s="15"/>
      <c r="O234" s="14" t="s">
        <v>2993</v>
      </c>
    </row>
    <row r="235" spans="4:15">
      <c r="D235" s="15" t="s">
        <v>6083</v>
      </c>
      <c r="E235" s="14" t="s">
        <v>2517</v>
      </c>
      <c r="F235" s="15" t="s">
        <v>899</v>
      </c>
      <c r="G235" s="14"/>
      <c r="H235" s="15"/>
      <c r="I235" s="15"/>
      <c r="J235" s="14" t="str">
        <f t="shared" si="4"/>
        <v>HIV O-4.1b Percentage of transgender people reporting using a condom during their most recent sexual intercourse or anal sex</v>
      </c>
      <c r="K235" s="15"/>
      <c r="L235" s="15"/>
      <c r="M235" s="15"/>
      <c r="N235" s="15"/>
      <c r="O235" s="14" t="s">
        <v>2994</v>
      </c>
    </row>
    <row r="236" spans="4:15">
      <c r="D236" s="15" t="s">
        <v>6084</v>
      </c>
      <c r="E236" s="14" t="s">
        <v>2517</v>
      </c>
      <c r="F236" s="15" t="s">
        <v>899</v>
      </c>
      <c r="G236" s="14"/>
      <c r="H236" s="15"/>
      <c r="I236" s="15"/>
      <c r="J236" s="14" t="str">
        <f t="shared" si="4"/>
        <v>HIV O-4.1b Percentage of transgender people reporting using a condom during their most recent sexual intercourse or anal sex</v>
      </c>
      <c r="K236" s="15"/>
      <c r="L236" s="15"/>
      <c r="M236" s="15"/>
      <c r="N236" s="15"/>
      <c r="O236" s="14" t="s">
        <v>2995</v>
      </c>
    </row>
    <row r="237" spans="4:15">
      <c r="D237" s="15" t="s">
        <v>6085</v>
      </c>
      <c r="E237" s="14" t="s">
        <v>2517</v>
      </c>
      <c r="F237" s="15" t="s">
        <v>899</v>
      </c>
      <c r="G237" s="14"/>
      <c r="H237" s="15"/>
      <c r="I237" s="15"/>
      <c r="J237" s="14" t="str">
        <f t="shared" si="4"/>
        <v>HIV O-4.1b Percentage of transgender people reporting using a condom during their most recent sexual intercourse or anal sex</v>
      </c>
      <c r="K237" s="15"/>
      <c r="L237" s="15"/>
      <c r="M237" s="15"/>
      <c r="N237" s="15"/>
      <c r="O237" s="14" t="s">
        <v>2996</v>
      </c>
    </row>
    <row r="238" spans="4:15">
      <c r="D238" s="15" t="s">
        <v>6086</v>
      </c>
      <c r="E238" s="14" t="s">
        <v>2517</v>
      </c>
      <c r="F238" s="15" t="s">
        <v>899</v>
      </c>
      <c r="G238" s="14"/>
      <c r="H238" s="15"/>
      <c r="I238" s="15"/>
      <c r="J238" s="14" t="str">
        <f t="shared" si="4"/>
        <v>HIV O-4.1b Percentage of transgender people reporting using a condom during their most recent sexual intercourse or anal sex</v>
      </c>
      <c r="K238" s="15"/>
      <c r="L238" s="15"/>
      <c r="M238" s="15"/>
      <c r="N238" s="15"/>
      <c r="O238" s="14" t="s">
        <v>2997</v>
      </c>
    </row>
    <row r="239" spans="4:15">
      <c r="D239" s="15" t="s">
        <v>6087</v>
      </c>
      <c r="E239" s="14" t="s">
        <v>2517</v>
      </c>
      <c r="F239" s="15" t="s">
        <v>899</v>
      </c>
      <c r="G239" s="14"/>
      <c r="H239" s="15"/>
      <c r="I239" s="15"/>
      <c r="J239" s="14" t="str">
        <f t="shared" si="4"/>
        <v>HIV O-4.1b Percentage of transgender people reporting using a condom during their most recent sexual intercourse or anal sex</v>
      </c>
      <c r="K239" s="15"/>
      <c r="L239" s="15"/>
      <c r="M239" s="15"/>
      <c r="N239" s="15"/>
      <c r="O239" s="14" t="s">
        <v>2998</v>
      </c>
    </row>
    <row r="240" spans="4:15">
      <c r="D240" s="15" t="s">
        <v>6088</v>
      </c>
      <c r="E240" s="14" t="s">
        <v>2517</v>
      </c>
      <c r="F240" s="15" t="s">
        <v>899</v>
      </c>
      <c r="G240" s="14"/>
      <c r="H240" s="15"/>
      <c r="I240" s="15"/>
      <c r="J240" s="14" t="str">
        <f t="shared" si="4"/>
        <v>HIV O-4.1b Percentage of transgender people reporting using a condom during their most recent sexual intercourse or anal sex</v>
      </c>
      <c r="K240" s="15"/>
      <c r="L240" s="15"/>
      <c r="M240" s="15"/>
      <c r="N240" s="15"/>
      <c r="O240" s="14" t="s">
        <v>2999</v>
      </c>
    </row>
    <row r="241" spans="4:15">
      <c r="D241" s="15" t="s">
        <v>6089</v>
      </c>
      <c r="E241" s="14" t="s">
        <v>2517</v>
      </c>
      <c r="F241" s="15" t="s">
        <v>899</v>
      </c>
      <c r="G241" s="14"/>
      <c r="H241" s="15"/>
      <c r="I241" s="15"/>
      <c r="J241" s="14" t="str">
        <f t="shared" si="4"/>
        <v>HIV O-4.1b Percentage of transgender people reporting using a condom during their most recent sexual intercourse or anal sex</v>
      </c>
      <c r="K241" s="15"/>
      <c r="L241" s="15"/>
      <c r="M241" s="15"/>
      <c r="N241" s="15"/>
      <c r="O241" s="14" t="s">
        <v>3000</v>
      </c>
    </row>
    <row r="242" spans="4:15">
      <c r="D242" s="15" t="s">
        <v>6090</v>
      </c>
      <c r="E242" s="14" t="s">
        <v>2524</v>
      </c>
      <c r="F242" s="15" t="s">
        <v>903</v>
      </c>
      <c r="G242" s="14"/>
      <c r="H242" s="15"/>
      <c r="I242" s="15"/>
      <c r="J242" s="14" t="str">
        <f t="shared" si="4"/>
        <v>HIV O-5 Percentage of sex workers reporting using a condom with their most recent client</v>
      </c>
      <c r="K242" s="15"/>
      <c r="L242" s="15"/>
      <c r="M242" s="15"/>
      <c r="N242" s="15"/>
      <c r="O242" s="14" t="s">
        <v>3001</v>
      </c>
    </row>
    <row r="243" spans="4:15">
      <c r="D243" s="15" t="s">
        <v>6091</v>
      </c>
      <c r="E243" s="14" t="s">
        <v>2524</v>
      </c>
      <c r="F243" s="15" t="s">
        <v>903</v>
      </c>
      <c r="G243" s="14"/>
      <c r="H243" s="15"/>
      <c r="I243" s="15"/>
      <c r="J243" s="14" t="str">
        <f t="shared" si="4"/>
        <v>HIV O-5 Percentage of sex workers reporting using a condom with their most recent client</v>
      </c>
      <c r="K243" s="15"/>
      <c r="L243" s="15"/>
      <c r="M243" s="15"/>
      <c r="N243" s="15"/>
      <c r="O243" s="14" t="s">
        <v>3002</v>
      </c>
    </row>
    <row r="244" spans="4:15">
      <c r="D244" s="15" t="s">
        <v>6092</v>
      </c>
      <c r="E244" s="14" t="s">
        <v>2524</v>
      </c>
      <c r="F244" s="15" t="s">
        <v>903</v>
      </c>
      <c r="G244" s="14"/>
      <c r="H244" s="15"/>
      <c r="I244" s="15"/>
      <c r="J244" s="14" t="str">
        <f t="shared" si="4"/>
        <v>HIV O-5 Percentage of sex workers reporting using a condom with their most recent client</v>
      </c>
      <c r="K244" s="15"/>
      <c r="L244" s="15"/>
      <c r="M244" s="15"/>
      <c r="N244" s="15"/>
      <c r="O244" s="14" t="s">
        <v>3003</v>
      </c>
    </row>
    <row r="245" spans="4:15">
      <c r="D245" s="15" t="s">
        <v>6093</v>
      </c>
      <c r="E245" s="14" t="s">
        <v>2524</v>
      </c>
      <c r="F245" s="15" t="s">
        <v>903</v>
      </c>
      <c r="G245" s="14"/>
      <c r="H245" s="15"/>
      <c r="I245" s="15"/>
      <c r="J245" s="14" t="str">
        <f t="shared" si="4"/>
        <v>HIV O-5 Percentage of sex workers reporting using a condom with their most recent client</v>
      </c>
      <c r="K245" s="15"/>
      <c r="L245" s="15"/>
      <c r="M245" s="15"/>
      <c r="N245" s="15"/>
      <c r="O245" s="14" t="s">
        <v>3004</v>
      </c>
    </row>
    <row r="246" spans="4:15">
      <c r="D246" s="15" t="s">
        <v>6094</v>
      </c>
      <c r="E246" s="14" t="s">
        <v>2524</v>
      </c>
      <c r="F246" s="15" t="s">
        <v>903</v>
      </c>
      <c r="G246" s="14"/>
      <c r="H246" s="15"/>
      <c r="I246" s="15"/>
      <c r="J246" s="14" t="str">
        <f t="shared" si="4"/>
        <v>HIV O-5 Percentage of sex workers reporting using a condom with their most recent client</v>
      </c>
      <c r="K246" s="15"/>
      <c r="L246" s="15"/>
      <c r="M246" s="15"/>
      <c r="N246" s="15"/>
      <c r="O246" s="14" t="s">
        <v>3005</v>
      </c>
    </row>
    <row r="247" spans="4:15">
      <c r="D247" s="15" t="s">
        <v>6095</v>
      </c>
      <c r="E247" s="14" t="s">
        <v>2524</v>
      </c>
      <c r="F247" s="15" t="s">
        <v>903</v>
      </c>
      <c r="G247" s="14"/>
      <c r="H247" s="15"/>
      <c r="I247" s="15"/>
      <c r="J247" s="14" t="str">
        <f t="shared" si="4"/>
        <v>HIV O-5 Percentage of sex workers reporting using a condom with their most recent client</v>
      </c>
      <c r="K247" s="15"/>
      <c r="L247" s="15"/>
      <c r="M247" s="15"/>
      <c r="N247" s="15"/>
      <c r="O247" s="14" t="s">
        <v>3006</v>
      </c>
    </row>
    <row r="248" spans="4:15">
      <c r="D248" s="15" t="s">
        <v>6096</v>
      </c>
      <c r="E248" s="14" t="s">
        <v>2524</v>
      </c>
      <c r="F248" s="15" t="s">
        <v>903</v>
      </c>
      <c r="G248" s="14"/>
      <c r="H248" s="15"/>
      <c r="I248" s="15"/>
      <c r="J248" s="14" t="str">
        <f t="shared" si="4"/>
        <v>HIV O-5 Percentage of sex workers reporting using a condom with their most recent client</v>
      </c>
      <c r="K248" s="15"/>
      <c r="L248" s="15"/>
      <c r="M248" s="15"/>
      <c r="N248" s="15"/>
      <c r="O248" s="14" t="s">
        <v>3007</v>
      </c>
    </row>
    <row r="249" spans="4:15">
      <c r="D249" s="15" t="s">
        <v>6097</v>
      </c>
      <c r="E249" s="14" t="s">
        <v>2524</v>
      </c>
      <c r="F249" s="15" t="s">
        <v>903</v>
      </c>
      <c r="G249" s="14"/>
      <c r="H249" s="15"/>
      <c r="I249" s="15"/>
      <c r="J249" s="14" t="str">
        <f t="shared" si="4"/>
        <v>HIV O-5 Percentage of sex workers reporting using a condom with their most recent client</v>
      </c>
      <c r="K249" s="15"/>
      <c r="L249" s="15"/>
      <c r="M249" s="15"/>
      <c r="N249" s="15"/>
      <c r="O249" s="14" t="s">
        <v>3008</v>
      </c>
    </row>
    <row r="250" spans="4:15">
      <c r="D250" s="15" t="s">
        <v>6098</v>
      </c>
      <c r="E250" s="14" t="s">
        <v>2524</v>
      </c>
      <c r="F250" s="15" t="s">
        <v>903</v>
      </c>
      <c r="G250" s="14"/>
      <c r="H250" s="15"/>
      <c r="I250" s="15"/>
      <c r="J250" s="14" t="str">
        <f t="shared" si="4"/>
        <v>HIV O-5 Percentage of sex workers reporting using a condom with their most recent client</v>
      </c>
      <c r="K250" s="15"/>
      <c r="L250" s="15"/>
      <c r="M250" s="15"/>
      <c r="N250" s="15"/>
      <c r="O250" s="14" t="s">
        <v>3009</v>
      </c>
    </row>
    <row r="251" spans="4:15">
      <c r="D251" s="15" t="s">
        <v>6099</v>
      </c>
      <c r="E251" s="14" t="s">
        <v>2524</v>
      </c>
      <c r="F251" s="15" t="s">
        <v>903</v>
      </c>
      <c r="G251" s="14"/>
      <c r="H251" s="15"/>
      <c r="I251" s="15"/>
      <c r="J251" s="14" t="str">
        <f t="shared" si="4"/>
        <v>HIV O-5 Percentage of sex workers reporting using a condom with their most recent client</v>
      </c>
      <c r="K251" s="15"/>
      <c r="L251" s="15"/>
      <c r="M251" s="15"/>
      <c r="N251" s="15"/>
      <c r="O251" s="14" t="s">
        <v>3010</v>
      </c>
    </row>
    <row r="252" spans="4:15">
      <c r="D252" s="15" t="s">
        <v>6100</v>
      </c>
      <c r="E252" s="14" t="s">
        <v>2531</v>
      </c>
      <c r="F252" s="15" t="s">
        <v>907</v>
      </c>
      <c r="G252" s="14"/>
      <c r="H252" s="15"/>
      <c r="I252" s="15"/>
      <c r="J252" s="14" t="str">
        <f t="shared" si="4"/>
        <v>HIV O-6 Percentage of people who inject drugs reporting using sterile injecting equipment the last time they injected</v>
      </c>
      <c r="K252" s="15"/>
      <c r="L252" s="15"/>
      <c r="M252" s="15"/>
      <c r="N252" s="15"/>
      <c r="O252" s="14" t="s">
        <v>3011</v>
      </c>
    </row>
    <row r="253" spans="4:15">
      <c r="D253" s="15" t="s">
        <v>6101</v>
      </c>
      <c r="E253" s="14" t="s">
        <v>2531</v>
      </c>
      <c r="F253" s="15" t="s">
        <v>907</v>
      </c>
      <c r="G253" s="14"/>
      <c r="H253" s="15"/>
      <c r="I253" s="15"/>
      <c r="J253" s="14" t="str">
        <f t="shared" si="4"/>
        <v>HIV O-6 Percentage of people who inject drugs reporting using sterile injecting equipment the last time they injected</v>
      </c>
      <c r="K253" s="15"/>
      <c r="L253" s="15"/>
      <c r="M253" s="15"/>
      <c r="N253" s="15"/>
      <c r="O253" s="14" t="s">
        <v>3012</v>
      </c>
    </row>
    <row r="254" spans="4:15">
      <c r="D254" s="15" t="s">
        <v>6102</v>
      </c>
      <c r="E254" s="14" t="s">
        <v>2531</v>
      </c>
      <c r="F254" s="15" t="s">
        <v>907</v>
      </c>
      <c r="G254" s="14"/>
      <c r="H254" s="15"/>
      <c r="I254" s="15"/>
      <c r="J254" s="14" t="str">
        <f t="shared" si="4"/>
        <v>HIV O-6 Percentage of people who inject drugs reporting using sterile injecting equipment the last time they injected</v>
      </c>
      <c r="K254" s="15"/>
      <c r="L254" s="15"/>
      <c r="M254" s="15"/>
      <c r="N254" s="15"/>
      <c r="O254" s="14" t="s">
        <v>3013</v>
      </c>
    </row>
    <row r="255" spans="4:15">
      <c r="D255" s="15" t="s">
        <v>6103</v>
      </c>
      <c r="E255" s="14" t="s">
        <v>2531</v>
      </c>
      <c r="F255" s="15" t="s">
        <v>907</v>
      </c>
      <c r="G255" s="14"/>
      <c r="H255" s="15"/>
      <c r="I255" s="15"/>
      <c r="J255" s="14" t="str">
        <f t="shared" si="4"/>
        <v>HIV O-6 Percentage of people who inject drugs reporting using sterile injecting equipment the last time they injected</v>
      </c>
      <c r="K255" s="15"/>
      <c r="L255" s="15"/>
      <c r="M255" s="15"/>
      <c r="N255" s="15"/>
      <c r="O255" s="14" t="s">
        <v>3014</v>
      </c>
    </row>
    <row r="256" spans="4:15">
      <c r="D256" s="15" t="s">
        <v>6104</v>
      </c>
      <c r="E256" s="14" t="s">
        <v>2531</v>
      </c>
      <c r="F256" s="15" t="s">
        <v>907</v>
      </c>
      <c r="G256" s="14"/>
      <c r="H256" s="15"/>
      <c r="I256" s="15"/>
      <c r="J256" s="14" t="str">
        <f t="shared" si="4"/>
        <v>HIV O-6 Percentage of people who inject drugs reporting using sterile injecting equipment the last time they injected</v>
      </c>
      <c r="K256" s="15"/>
      <c r="L256" s="15"/>
      <c r="M256" s="15"/>
      <c r="N256" s="15"/>
      <c r="O256" s="14" t="s">
        <v>3015</v>
      </c>
    </row>
    <row r="257" spans="4:15">
      <c r="D257" s="15" t="s">
        <v>6105</v>
      </c>
      <c r="E257" s="14" t="s">
        <v>2531</v>
      </c>
      <c r="F257" s="15" t="s">
        <v>907</v>
      </c>
      <c r="G257" s="14"/>
      <c r="H257" s="15"/>
      <c r="I257" s="15"/>
      <c r="J257" s="14" t="str">
        <f t="shared" si="4"/>
        <v>HIV O-6 Percentage of people who inject drugs reporting using sterile injecting equipment the last time they injected</v>
      </c>
      <c r="K257" s="15"/>
      <c r="L257" s="15"/>
      <c r="M257" s="15"/>
      <c r="N257" s="15"/>
      <c r="O257" s="14" t="s">
        <v>3016</v>
      </c>
    </row>
    <row r="258" spans="4:15">
      <c r="D258" s="15" t="s">
        <v>6106</v>
      </c>
      <c r="E258" s="14" t="s">
        <v>2531</v>
      </c>
      <c r="F258" s="15" t="s">
        <v>907</v>
      </c>
      <c r="G258" s="14"/>
      <c r="H258" s="15"/>
      <c r="I258" s="15"/>
      <c r="J258" s="14" t="str">
        <f t="shared" si="4"/>
        <v>HIV O-6 Percentage of people who inject drugs reporting using sterile injecting equipment the last time they injected</v>
      </c>
      <c r="K258" s="15"/>
      <c r="L258" s="15"/>
      <c r="M258" s="15"/>
      <c r="N258" s="15"/>
      <c r="O258" s="14" t="s">
        <v>3017</v>
      </c>
    </row>
    <row r="259" spans="4:15">
      <c r="D259" s="15" t="s">
        <v>6107</v>
      </c>
      <c r="E259" s="14" t="s">
        <v>2531</v>
      </c>
      <c r="F259" s="15" t="s">
        <v>907</v>
      </c>
      <c r="G259" s="14"/>
      <c r="H259" s="15"/>
      <c r="I259" s="15"/>
      <c r="J259" s="14" t="str">
        <f t="shared" si="4"/>
        <v>HIV O-6 Percentage of people who inject drugs reporting using sterile injecting equipment the last time they injected</v>
      </c>
      <c r="K259" s="15"/>
      <c r="L259" s="15"/>
      <c r="M259" s="15"/>
      <c r="N259" s="15"/>
      <c r="O259" s="14" t="s">
        <v>3018</v>
      </c>
    </row>
    <row r="260" spans="4:15">
      <c r="D260" s="15" t="s">
        <v>6108</v>
      </c>
      <c r="E260" s="14" t="s">
        <v>2531</v>
      </c>
      <c r="F260" s="15" t="s">
        <v>907</v>
      </c>
      <c r="G260" s="14"/>
      <c r="H260" s="15"/>
      <c r="I260" s="15"/>
      <c r="J260" s="14" t="str">
        <f t="shared" si="4"/>
        <v>HIV O-6 Percentage of people who inject drugs reporting using sterile injecting equipment the last time they injected</v>
      </c>
      <c r="K260" s="15"/>
      <c r="L260" s="15"/>
      <c r="M260" s="15"/>
      <c r="N260" s="15"/>
      <c r="O260" s="14" t="s">
        <v>3019</v>
      </c>
    </row>
    <row r="261" spans="4:15">
      <c r="D261" s="15" t="s">
        <v>6109</v>
      </c>
      <c r="E261" s="14" t="s">
        <v>2531</v>
      </c>
      <c r="F261" s="15" t="s">
        <v>907</v>
      </c>
      <c r="G261" s="14"/>
      <c r="H261" s="15"/>
      <c r="I261" s="15"/>
      <c r="J261" s="14" t="str">
        <f t="shared" si="4"/>
        <v>HIV O-6 Percentage of people who inject drugs reporting using sterile injecting equipment the last time they injected</v>
      </c>
      <c r="K261" s="15"/>
      <c r="L261" s="15"/>
      <c r="M261" s="15"/>
      <c r="N261" s="15"/>
      <c r="O261" s="14" t="s">
        <v>3020</v>
      </c>
    </row>
    <row r="262" spans="4:15">
      <c r="D262" s="15" t="s">
        <v>6110</v>
      </c>
      <c r="E262" s="14" t="s">
        <v>2538</v>
      </c>
      <c r="F262" s="15" t="s">
        <v>919</v>
      </c>
      <c r="G262" s="14"/>
      <c r="H262" s="15"/>
      <c r="I262" s="15"/>
      <c r="J262" s="14" t="str">
        <f t="shared" si="4"/>
        <v>HIV O-11 Percentage of people living with HIV who know their HIV status at the end of the reporting period</v>
      </c>
      <c r="K262" s="15"/>
      <c r="L262" s="15"/>
      <c r="M262" s="15"/>
      <c r="N262" s="15"/>
      <c r="O262" s="14" t="s">
        <v>3033</v>
      </c>
    </row>
    <row r="263" spans="4:15">
      <c r="D263" s="15" t="s">
        <v>6111</v>
      </c>
      <c r="E263" s="14" t="s">
        <v>2538</v>
      </c>
      <c r="F263" s="15" t="s">
        <v>919</v>
      </c>
      <c r="G263" s="14"/>
      <c r="H263" s="15"/>
      <c r="I263" s="15"/>
      <c r="J263" s="14" t="str">
        <f t="shared" si="4"/>
        <v>HIV O-11 Percentage of people living with HIV who know their HIV status at the end of the reporting period</v>
      </c>
      <c r="K263" s="15"/>
      <c r="L263" s="15"/>
      <c r="M263" s="15"/>
      <c r="N263" s="15"/>
      <c r="O263" s="14" t="s">
        <v>3034</v>
      </c>
    </row>
    <row r="264" spans="4:15">
      <c r="D264" s="15" t="s">
        <v>6112</v>
      </c>
      <c r="E264" s="14" t="s">
        <v>2538</v>
      </c>
      <c r="F264" s="15" t="s">
        <v>919</v>
      </c>
      <c r="G264" s="14"/>
      <c r="H264" s="15"/>
      <c r="I264" s="15"/>
      <c r="J264" s="14" t="str">
        <f t="shared" si="4"/>
        <v>HIV O-11 Percentage of people living with HIV who know their HIV status at the end of the reporting period</v>
      </c>
      <c r="K264" s="15"/>
      <c r="L264" s="15"/>
      <c r="M264" s="15"/>
      <c r="N264" s="15"/>
      <c r="O264" s="14" t="s">
        <v>3035</v>
      </c>
    </row>
    <row r="265" spans="4:15">
      <c r="D265" s="15" t="s">
        <v>6113</v>
      </c>
      <c r="E265" s="14" t="s">
        <v>2538</v>
      </c>
      <c r="F265" s="15" t="s">
        <v>919</v>
      </c>
      <c r="G265" s="14"/>
      <c r="H265" s="15"/>
      <c r="I265" s="15"/>
      <c r="J265" s="14" t="str">
        <f t="shared" si="4"/>
        <v>HIV O-11 Percentage of people living with HIV who know their HIV status at the end of the reporting period</v>
      </c>
      <c r="K265" s="15"/>
      <c r="L265" s="15"/>
      <c r="M265" s="15"/>
      <c r="N265" s="15"/>
      <c r="O265" s="14" t="s">
        <v>3036</v>
      </c>
    </row>
    <row r="266" spans="4:15">
      <c r="D266" s="15" t="s">
        <v>6114</v>
      </c>
      <c r="E266" s="14" t="s">
        <v>2538</v>
      </c>
      <c r="F266" s="15" t="s">
        <v>919</v>
      </c>
      <c r="G266" s="14"/>
      <c r="H266" s="15"/>
      <c r="I266" s="15"/>
      <c r="J266" s="14" t="str">
        <f t="shared" si="4"/>
        <v>HIV O-11 Percentage of people living with HIV who know their HIV status at the end of the reporting period</v>
      </c>
      <c r="K266" s="15"/>
      <c r="L266" s="15"/>
      <c r="M266" s="15"/>
      <c r="N266" s="15"/>
      <c r="O266" s="14" t="s">
        <v>3037</v>
      </c>
    </row>
    <row r="267" spans="4:15">
      <c r="D267" s="15" t="s">
        <v>6115</v>
      </c>
      <c r="E267" s="14" t="s">
        <v>2538</v>
      </c>
      <c r="F267" s="15" t="s">
        <v>919</v>
      </c>
      <c r="G267" s="14"/>
      <c r="H267" s="15"/>
      <c r="I267" s="15"/>
      <c r="J267" s="14" t="str">
        <f t="shared" si="4"/>
        <v>HIV O-11 Percentage of people living with HIV who know their HIV status at the end of the reporting period</v>
      </c>
      <c r="K267" s="15"/>
      <c r="L267" s="15"/>
      <c r="M267" s="15"/>
      <c r="N267" s="15"/>
      <c r="O267" s="14" t="s">
        <v>3038</v>
      </c>
    </row>
    <row r="268" spans="4:15">
      <c r="D268" s="15" t="s">
        <v>6116</v>
      </c>
      <c r="E268" s="14" t="s">
        <v>2545</v>
      </c>
      <c r="F268" s="15" t="s">
        <v>928</v>
      </c>
      <c r="G268" s="14"/>
      <c r="H268" s="15"/>
      <c r="I268" s="15"/>
      <c r="J268" s="14" t="str">
        <f t="shared" si="4"/>
        <v>HIV O-12 Percentage of people living with HIV and on ART who are virologically suppressed</v>
      </c>
      <c r="K268" s="15"/>
      <c r="L268" s="15"/>
      <c r="M268" s="15"/>
      <c r="N268" s="15"/>
      <c r="O268" s="14" t="s">
        <v>3051</v>
      </c>
    </row>
    <row r="269" spans="4:15">
      <c r="D269" s="15" t="s">
        <v>6117</v>
      </c>
      <c r="E269" s="14" t="s">
        <v>2545</v>
      </c>
      <c r="F269" s="15" t="s">
        <v>928</v>
      </c>
      <c r="G269" s="14"/>
      <c r="H269" s="15"/>
      <c r="I269" s="15"/>
      <c r="J269" s="14" t="str">
        <f t="shared" si="4"/>
        <v>HIV O-12 Percentage of people living with HIV and on ART who are virologically suppressed</v>
      </c>
      <c r="K269" s="15"/>
      <c r="L269" s="15"/>
      <c r="M269" s="15"/>
      <c r="N269" s="15"/>
      <c r="O269" s="14" t="s">
        <v>3052</v>
      </c>
    </row>
    <row r="270" spans="4:15">
      <c r="D270" s="15" t="s">
        <v>6118</v>
      </c>
      <c r="E270" s="14" t="s">
        <v>2545</v>
      </c>
      <c r="F270" s="15" t="s">
        <v>928</v>
      </c>
      <c r="G270" s="14"/>
      <c r="H270" s="15"/>
      <c r="I270" s="15"/>
      <c r="J270" s="14" t="str">
        <f t="shared" si="4"/>
        <v>HIV O-12 Percentage of people living with HIV and on ART who are virologically suppressed</v>
      </c>
      <c r="K270" s="15"/>
      <c r="L270" s="15"/>
      <c r="M270" s="15"/>
      <c r="N270" s="15"/>
      <c r="O270" s="14" t="s">
        <v>3053</v>
      </c>
    </row>
    <row r="271" spans="4:15">
      <c r="D271" s="15" t="s">
        <v>6119</v>
      </c>
      <c r="E271" s="14" t="s">
        <v>2545</v>
      </c>
      <c r="F271" s="15" t="s">
        <v>928</v>
      </c>
      <c r="G271" s="14"/>
      <c r="H271" s="15"/>
      <c r="I271" s="15"/>
      <c r="J271" s="14" t="str">
        <f t="shared" si="4"/>
        <v>HIV O-12 Percentage of people living with HIV and on ART who are virologically suppressed</v>
      </c>
      <c r="K271" s="15"/>
      <c r="L271" s="15"/>
      <c r="M271" s="15"/>
      <c r="N271" s="15"/>
      <c r="O271" s="14" t="s">
        <v>3054</v>
      </c>
    </row>
    <row r="272" spans="4:15">
      <c r="D272" s="15" t="s">
        <v>6120</v>
      </c>
      <c r="E272" s="14" t="s">
        <v>2545</v>
      </c>
      <c r="F272" s="15" t="s">
        <v>928</v>
      </c>
      <c r="G272" s="14"/>
      <c r="H272" s="15"/>
      <c r="I272" s="15"/>
      <c r="J272" s="14" t="str">
        <f t="shared" si="4"/>
        <v>HIV O-12 Percentage of people living with HIV and on ART who are virologically suppressed</v>
      </c>
      <c r="K272" s="15"/>
      <c r="L272" s="15"/>
      <c r="M272" s="15"/>
      <c r="N272" s="15"/>
      <c r="O272" s="14" t="s">
        <v>3055</v>
      </c>
    </row>
    <row r="273" spans="4:15">
      <c r="D273" s="15" t="s">
        <v>6121</v>
      </c>
      <c r="E273" s="14" t="s">
        <v>2545</v>
      </c>
      <c r="F273" s="15" t="s">
        <v>928</v>
      </c>
      <c r="G273" s="14"/>
      <c r="H273" s="15"/>
      <c r="I273" s="15"/>
      <c r="J273" s="14" t="str">
        <f t="shared" si="4"/>
        <v>HIV O-12 Percentage of people living with HIV and on ART who are virologically suppressed</v>
      </c>
      <c r="K273" s="15"/>
      <c r="L273" s="15"/>
      <c r="M273" s="15"/>
      <c r="N273" s="15"/>
      <c r="O273" s="14" t="s">
        <v>3056</v>
      </c>
    </row>
    <row r="274" spans="4:15">
      <c r="D274" s="15" t="s">
        <v>6122</v>
      </c>
      <c r="E274" s="14" t="s">
        <v>2552</v>
      </c>
      <c r="F274" s="15" t="s">
        <v>949</v>
      </c>
      <c r="G274" s="14"/>
      <c r="H274" s="15"/>
      <c r="I274" s="15"/>
      <c r="J274" s="14" t="str">
        <f t="shared" si="4"/>
        <v>HIV O-16a Percentage of men who have sex with men who avoid health care because of stigma and discrimination</v>
      </c>
      <c r="K274" s="15"/>
      <c r="L274" s="15"/>
      <c r="M274" s="15"/>
      <c r="N274" s="15"/>
      <c r="O274" s="14" t="s">
        <v>3063</v>
      </c>
    </row>
    <row r="275" spans="4:15">
      <c r="D275" s="15" t="s">
        <v>6123</v>
      </c>
      <c r="E275" s="14" t="s">
        <v>2552</v>
      </c>
      <c r="F275" s="15" t="s">
        <v>949</v>
      </c>
      <c r="G275" s="14"/>
      <c r="H275" s="15"/>
      <c r="I275" s="15"/>
      <c r="J275" s="14" t="str">
        <f t="shared" si="4"/>
        <v>HIV O-16a Percentage of men who have sex with men who avoid health care because of stigma and discrimination</v>
      </c>
      <c r="K275" s="15"/>
      <c r="L275" s="15"/>
      <c r="M275" s="15"/>
      <c r="N275" s="15"/>
      <c r="O275" s="14" t="s">
        <v>3064</v>
      </c>
    </row>
    <row r="276" spans="4:15">
      <c r="D276" s="15" t="s">
        <v>6124</v>
      </c>
      <c r="E276" s="14" t="s">
        <v>2552</v>
      </c>
      <c r="F276" s="15" t="s">
        <v>949</v>
      </c>
      <c r="G276" s="14"/>
      <c r="H276" s="15"/>
      <c r="I276" s="15"/>
      <c r="J276" s="14" t="str">
        <f t="shared" si="4"/>
        <v>HIV O-16a Percentage of men who have sex with men who avoid health care because of stigma and discrimination</v>
      </c>
      <c r="K276" s="15"/>
      <c r="L276" s="15"/>
      <c r="M276" s="15"/>
      <c r="N276" s="15"/>
      <c r="O276" s="14" t="s">
        <v>3065</v>
      </c>
    </row>
    <row r="277" spans="4:15">
      <c r="D277" s="15" t="s">
        <v>6125</v>
      </c>
      <c r="E277" s="14" t="s">
        <v>2552</v>
      </c>
      <c r="F277" s="15" t="s">
        <v>949</v>
      </c>
      <c r="G277" s="14"/>
      <c r="H277" s="15"/>
      <c r="I277" s="15"/>
      <c r="J277" s="14" t="str">
        <f t="shared" si="4"/>
        <v>HIV O-16a Percentage of men who have sex with men who avoid health care because of stigma and discrimination</v>
      </c>
      <c r="K277" s="15"/>
      <c r="L277" s="15"/>
      <c r="M277" s="15"/>
      <c r="N277" s="15"/>
      <c r="O277" s="14" t="s">
        <v>3066</v>
      </c>
    </row>
    <row r="278" spans="4:15">
      <c r="D278" s="15" t="s">
        <v>6126</v>
      </c>
      <c r="E278" s="14" t="s">
        <v>2552</v>
      </c>
      <c r="F278" s="15" t="s">
        <v>949</v>
      </c>
      <c r="G278" s="14"/>
      <c r="H278" s="15"/>
      <c r="I278" s="15"/>
      <c r="J278" s="14" t="str">
        <f t="shared" si="4"/>
        <v>HIV O-16a Percentage of men who have sex with men who avoid health care because of stigma and discrimination</v>
      </c>
      <c r="K278" s="15"/>
      <c r="L278" s="15"/>
      <c r="M278" s="15"/>
      <c r="N278" s="15"/>
      <c r="O278" s="14" t="s">
        <v>3067</v>
      </c>
    </row>
    <row r="279" spans="4:15">
      <c r="D279" s="15" t="s">
        <v>6127</v>
      </c>
      <c r="E279" s="14" t="s">
        <v>2552</v>
      </c>
      <c r="F279" s="15" t="s">
        <v>949</v>
      </c>
      <c r="G279" s="14"/>
      <c r="H279" s="15"/>
      <c r="I279" s="15"/>
      <c r="J279" s="14" t="str">
        <f t="shared" si="4"/>
        <v>HIV O-16a Percentage of men who have sex with men who avoid health care because of stigma and discrimination</v>
      </c>
      <c r="K279" s="15"/>
      <c r="L279" s="15"/>
      <c r="M279" s="15"/>
      <c r="N279" s="15"/>
      <c r="O279" s="14" t="s">
        <v>3068</v>
      </c>
    </row>
    <row r="280" spans="4:15">
      <c r="D280" s="15" t="s">
        <v>6128</v>
      </c>
      <c r="E280" s="14" t="s">
        <v>2552</v>
      </c>
      <c r="F280" s="15" t="s">
        <v>949</v>
      </c>
      <c r="G280" s="14"/>
      <c r="H280" s="15"/>
      <c r="I280" s="15"/>
      <c r="J280" s="14" t="str">
        <f t="shared" si="4"/>
        <v>HIV O-16a Percentage of men who have sex with men who avoid health care because of stigma and discrimination</v>
      </c>
      <c r="K280" s="15"/>
      <c r="L280" s="15"/>
      <c r="M280" s="15"/>
      <c r="N280" s="15"/>
      <c r="O280" s="14" t="s">
        <v>3069</v>
      </c>
    </row>
    <row r="281" spans="4:15">
      <c r="D281" s="15" t="s">
        <v>6129</v>
      </c>
      <c r="E281" s="14" t="s">
        <v>2552</v>
      </c>
      <c r="F281" s="15" t="s">
        <v>949</v>
      </c>
      <c r="G281" s="14"/>
      <c r="H281" s="15"/>
      <c r="I281" s="15"/>
      <c r="J281" s="14" t="str">
        <f t="shared" si="4"/>
        <v>HIV O-16a Percentage of men who have sex with men who avoid health care because of stigma and discrimination</v>
      </c>
      <c r="K281" s="15"/>
      <c r="L281" s="15"/>
      <c r="M281" s="15"/>
      <c r="N281" s="15"/>
      <c r="O281" s="14" t="s">
        <v>3070</v>
      </c>
    </row>
    <row r="282" spans="4:15">
      <c r="D282" s="15" t="s">
        <v>6130</v>
      </c>
      <c r="E282" s="14" t="s">
        <v>2559</v>
      </c>
      <c r="F282" s="15" t="s">
        <v>953</v>
      </c>
      <c r="G282" s="14"/>
      <c r="H282" s="15"/>
      <c r="I282" s="15"/>
      <c r="J282" s="14" t="str">
        <f t="shared" si="4"/>
        <v>HIV O-16b Percentage of transgender people who avoid health care because of stigma and discrimination</v>
      </c>
      <c r="K282" s="15"/>
      <c r="L282" s="15"/>
      <c r="M282" s="15"/>
      <c r="N282" s="15"/>
      <c r="O282" s="14" t="s">
        <v>3077</v>
      </c>
    </row>
    <row r="283" spans="4:15">
      <c r="D283" s="15" t="s">
        <v>6131</v>
      </c>
      <c r="E283" s="14" t="s">
        <v>2559</v>
      </c>
      <c r="F283" s="15" t="s">
        <v>953</v>
      </c>
      <c r="G283" s="14"/>
      <c r="H283" s="15"/>
      <c r="I283" s="15"/>
      <c r="J283" s="14" t="str">
        <f t="shared" si="4"/>
        <v>HIV O-16b Percentage of transgender people who avoid health care because of stigma and discrimination</v>
      </c>
      <c r="K283" s="15"/>
      <c r="L283" s="15"/>
      <c r="M283" s="15"/>
      <c r="N283" s="15"/>
      <c r="O283" s="14" t="s">
        <v>3078</v>
      </c>
    </row>
    <row r="284" spans="4:15">
      <c r="D284" s="15" t="s">
        <v>6132</v>
      </c>
      <c r="E284" s="14" t="s">
        <v>2559</v>
      </c>
      <c r="F284" s="15" t="s">
        <v>953</v>
      </c>
      <c r="G284" s="14"/>
      <c r="H284" s="15"/>
      <c r="I284" s="15"/>
      <c r="J284" s="14" t="str">
        <f t="shared" si="4"/>
        <v>HIV O-16b Percentage of transgender people who avoid health care because of stigma and discrimination</v>
      </c>
      <c r="K284" s="15"/>
      <c r="L284" s="15"/>
      <c r="M284" s="15"/>
      <c r="N284" s="15"/>
      <c r="O284" s="14" t="s">
        <v>3079</v>
      </c>
    </row>
    <row r="285" spans="4:15">
      <c r="D285" s="15" t="s">
        <v>6133</v>
      </c>
      <c r="E285" s="14" t="s">
        <v>2559</v>
      </c>
      <c r="F285" s="15" t="s">
        <v>953</v>
      </c>
      <c r="G285" s="14"/>
      <c r="H285" s="15"/>
      <c r="I285" s="15"/>
      <c r="J285" s="14" t="str">
        <f t="shared" si="4"/>
        <v>HIV O-16b Percentage of transgender people who avoid health care because of stigma and discrimination</v>
      </c>
      <c r="K285" s="15"/>
      <c r="L285" s="15"/>
      <c r="M285" s="15"/>
      <c r="N285" s="15"/>
      <c r="O285" s="14" t="s">
        <v>3080</v>
      </c>
    </row>
    <row r="286" spans="4:15">
      <c r="D286" s="15" t="s">
        <v>6134</v>
      </c>
      <c r="E286" s="14" t="s">
        <v>2559</v>
      </c>
      <c r="F286" s="15" t="s">
        <v>953</v>
      </c>
      <c r="G286" s="14"/>
      <c r="H286" s="15"/>
      <c r="I286" s="15"/>
      <c r="J286" s="14" t="str">
        <f t="shared" si="4"/>
        <v>HIV O-16b Percentage of transgender people who avoid health care because of stigma and discrimination</v>
      </c>
      <c r="K286" s="15"/>
      <c r="L286" s="15"/>
      <c r="M286" s="15"/>
      <c r="N286" s="15"/>
      <c r="O286" s="14" t="s">
        <v>3081</v>
      </c>
    </row>
    <row r="287" spans="4:15">
      <c r="D287" s="15" t="s">
        <v>6135</v>
      </c>
      <c r="E287" s="14" t="s">
        <v>2559</v>
      </c>
      <c r="F287" s="15" t="s">
        <v>953</v>
      </c>
      <c r="G287" s="14"/>
      <c r="H287" s="15"/>
      <c r="I287" s="15"/>
      <c r="J287" s="14" t="str">
        <f t="shared" si="4"/>
        <v>HIV O-16b Percentage of transgender people who avoid health care because of stigma and discrimination</v>
      </c>
      <c r="K287" s="15"/>
      <c r="L287" s="15"/>
      <c r="M287" s="15"/>
      <c r="N287" s="15"/>
      <c r="O287" s="14" t="s">
        <v>3082</v>
      </c>
    </row>
    <row r="288" spans="4:15">
      <c r="D288" s="15" t="s">
        <v>6136</v>
      </c>
      <c r="E288" s="14" t="s">
        <v>2559</v>
      </c>
      <c r="F288" s="15" t="s">
        <v>953</v>
      </c>
      <c r="G288" s="14"/>
      <c r="H288" s="15"/>
      <c r="I288" s="15"/>
      <c r="J288" s="14" t="str">
        <f t="shared" ref="J288:J309" si="5">F288&amp;H288&amp;I288</f>
        <v>HIV O-16b Percentage of transgender people who avoid health care because of stigma and discrimination</v>
      </c>
      <c r="K288" s="15"/>
      <c r="L288" s="15"/>
      <c r="M288" s="15"/>
      <c r="N288" s="15"/>
      <c r="O288" s="14" t="s">
        <v>3083</v>
      </c>
    </row>
    <row r="289" spans="4:15">
      <c r="D289" s="15" t="s">
        <v>6137</v>
      </c>
      <c r="E289" s="14" t="s">
        <v>2559</v>
      </c>
      <c r="F289" s="15" t="s">
        <v>953</v>
      </c>
      <c r="G289" s="14"/>
      <c r="H289" s="15"/>
      <c r="I289" s="15"/>
      <c r="J289" s="14" t="str">
        <f t="shared" si="5"/>
        <v>HIV O-16b Percentage of transgender people who avoid health care because of stigma and discrimination</v>
      </c>
      <c r="K289" s="15"/>
      <c r="L289" s="15"/>
      <c r="M289" s="15"/>
      <c r="N289" s="15"/>
      <c r="O289" s="14" t="s">
        <v>3084</v>
      </c>
    </row>
    <row r="290" spans="4:15">
      <c r="D290" s="15" t="s">
        <v>6138</v>
      </c>
      <c r="E290" s="14" t="s">
        <v>2566</v>
      </c>
      <c r="F290" s="15" t="s">
        <v>957</v>
      </c>
      <c r="G290" s="14"/>
      <c r="H290" s="15"/>
      <c r="I290" s="15"/>
      <c r="J290" s="14" t="str">
        <f t="shared" si="5"/>
        <v>HIV O-16c Percentage of sex workers who avoid health care because of stigma and discrimination</v>
      </c>
      <c r="K290" s="15"/>
      <c r="L290" s="15"/>
      <c r="M290" s="15"/>
      <c r="N290" s="15"/>
      <c r="O290" s="14" t="s">
        <v>3100</v>
      </c>
    </row>
    <row r="291" spans="4:15">
      <c r="D291" s="15" t="s">
        <v>6139</v>
      </c>
      <c r="E291" s="14" t="s">
        <v>2566</v>
      </c>
      <c r="F291" s="15" t="s">
        <v>957</v>
      </c>
      <c r="G291" s="14"/>
      <c r="H291" s="15"/>
      <c r="I291" s="15"/>
      <c r="J291" s="14" t="str">
        <f t="shared" si="5"/>
        <v>HIV O-16c Percentage of sex workers who avoid health care because of stigma and discrimination</v>
      </c>
      <c r="K291" s="15"/>
      <c r="L291" s="15"/>
      <c r="M291" s="15"/>
      <c r="N291" s="15"/>
      <c r="O291" s="14" t="s">
        <v>3101</v>
      </c>
    </row>
    <row r="292" spans="4:15">
      <c r="D292" s="15" t="s">
        <v>6140</v>
      </c>
      <c r="E292" s="14" t="s">
        <v>2566</v>
      </c>
      <c r="F292" s="15" t="s">
        <v>957</v>
      </c>
      <c r="G292" s="14"/>
      <c r="H292" s="15"/>
      <c r="I292" s="15"/>
      <c r="J292" s="14" t="str">
        <f t="shared" si="5"/>
        <v>HIV O-16c Percentage of sex workers who avoid health care because of stigma and discrimination</v>
      </c>
      <c r="K292" s="15"/>
      <c r="L292" s="15"/>
      <c r="M292" s="15"/>
      <c r="N292" s="15"/>
      <c r="O292" s="14" t="s">
        <v>3102</v>
      </c>
    </row>
    <row r="293" spans="4:15">
      <c r="D293" s="15" t="s">
        <v>6141</v>
      </c>
      <c r="E293" s="14" t="s">
        <v>2566</v>
      </c>
      <c r="F293" s="15" t="s">
        <v>957</v>
      </c>
      <c r="G293" s="14"/>
      <c r="H293" s="15"/>
      <c r="I293" s="15"/>
      <c r="J293" s="14" t="str">
        <f t="shared" si="5"/>
        <v>HIV O-16c Percentage of sex workers who avoid health care because of stigma and discrimination</v>
      </c>
      <c r="K293" s="15"/>
      <c r="L293" s="15"/>
      <c r="M293" s="15"/>
      <c r="N293" s="15"/>
      <c r="O293" s="14" t="s">
        <v>3103</v>
      </c>
    </row>
    <row r="294" spans="4:15">
      <c r="D294" s="15" t="s">
        <v>6142</v>
      </c>
      <c r="E294" s="14" t="s">
        <v>2566</v>
      </c>
      <c r="F294" s="15" t="s">
        <v>957</v>
      </c>
      <c r="G294" s="14"/>
      <c r="H294" s="15"/>
      <c r="I294" s="15"/>
      <c r="J294" s="14" t="str">
        <f t="shared" si="5"/>
        <v>HIV O-16c Percentage of sex workers who avoid health care because of stigma and discrimination</v>
      </c>
      <c r="K294" s="15"/>
      <c r="L294" s="15"/>
      <c r="M294" s="15"/>
      <c r="N294" s="15"/>
      <c r="O294" s="14" t="s">
        <v>3104</v>
      </c>
    </row>
    <row r="295" spans="4:15">
      <c r="D295" s="15" t="s">
        <v>6143</v>
      </c>
      <c r="E295" s="14" t="s">
        <v>2573</v>
      </c>
      <c r="F295" s="15" t="s">
        <v>961</v>
      </c>
      <c r="G295" s="14"/>
      <c r="H295" s="15"/>
      <c r="I295" s="15"/>
      <c r="J295" s="14" t="str">
        <f t="shared" si="5"/>
        <v>HIV O-16d Percentage of people who inject drugs who avoid health care because of stigma and discrimination</v>
      </c>
      <c r="K295" s="15"/>
      <c r="L295" s="15"/>
      <c r="M295" s="15"/>
      <c r="N295" s="15"/>
      <c r="O295" s="14" t="s">
        <v>3120</v>
      </c>
    </row>
    <row r="296" spans="4:15">
      <c r="D296" s="15" t="s">
        <v>6144</v>
      </c>
      <c r="E296" s="14" t="s">
        <v>2573</v>
      </c>
      <c r="F296" s="15" t="s">
        <v>961</v>
      </c>
      <c r="G296" s="14"/>
      <c r="H296" s="15"/>
      <c r="I296" s="15"/>
      <c r="J296" s="14" t="str">
        <f t="shared" si="5"/>
        <v>HIV O-16d Percentage of people who inject drugs who avoid health care because of stigma and discrimination</v>
      </c>
      <c r="K296" s="15"/>
      <c r="L296" s="15"/>
      <c r="M296" s="15"/>
      <c r="N296" s="15"/>
      <c r="O296" s="14" t="s">
        <v>3121</v>
      </c>
    </row>
    <row r="297" spans="4:15">
      <c r="D297" s="15" t="s">
        <v>6145</v>
      </c>
      <c r="E297" s="14" t="s">
        <v>2573</v>
      </c>
      <c r="F297" s="15" t="s">
        <v>961</v>
      </c>
      <c r="G297" s="14"/>
      <c r="H297" s="15"/>
      <c r="I297" s="15"/>
      <c r="J297" s="14" t="str">
        <f t="shared" si="5"/>
        <v>HIV O-16d Percentage of people who inject drugs who avoid health care because of stigma and discrimination</v>
      </c>
      <c r="K297" s="15"/>
      <c r="L297" s="15"/>
      <c r="M297" s="15"/>
      <c r="N297" s="15"/>
      <c r="O297" s="14" t="s">
        <v>3122</v>
      </c>
    </row>
    <row r="298" spans="4:15">
      <c r="D298" s="15" t="s">
        <v>6146</v>
      </c>
      <c r="E298" s="14" t="s">
        <v>2573</v>
      </c>
      <c r="F298" s="15" t="s">
        <v>961</v>
      </c>
      <c r="G298" s="14"/>
      <c r="H298" s="15"/>
      <c r="I298" s="15"/>
      <c r="J298" s="14" t="str">
        <f t="shared" si="5"/>
        <v>HIV O-16d Percentage of people who inject drugs who avoid health care because of stigma and discrimination</v>
      </c>
      <c r="K298" s="15"/>
      <c r="L298" s="15"/>
      <c r="M298" s="15"/>
      <c r="N298" s="15"/>
      <c r="O298" s="14" t="s">
        <v>3123</v>
      </c>
    </row>
    <row r="299" spans="4:15">
      <c r="D299" s="15" t="s">
        <v>6147</v>
      </c>
      <c r="E299" s="14" t="s">
        <v>2573</v>
      </c>
      <c r="F299" s="15" t="s">
        <v>961</v>
      </c>
      <c r="G299" s="14"/>
      <c r="H299" s="15"/>
      <c r="I299" s="15"/>
      <c r="J299" s="14" t="str">
        <f t="shared" si="5"/>
        <v>HIV O-16d Percentage of people who inject drugs who avoid health care because of stigma and discrimination</v>
      </c>
      <c r="K299" s="15"/>
      <c r="L299" s="15"/>
      <c r="M299" s="15"/>
      <c r="N299" s="15"/>
      <c r="O299" s="14" t="s">
        <v>3124</v>
      </c>
    </row>
    <row r="300" spans="4:15">
      <c r="D300" s="15" t="s">
        <v>6148</v>
      </c>
      <c r="E300" s="14" t="s">
        <v>2580</v>
      </c>
      <c r="F300" s="15"/>
      <c r="G300" s="14"/>
      <c r="H300" s="15"/>
      <c r="I300" s="15"/>
      <c r="J300" s="14" t="str">
        <f t="shared" si="5"/>
        <v/>
      </c>
      <c r="K300" s="15"/>
      <c r="L300" s="15"/>
      <c r="M300" s="15"/>
      <c r="N300" s="15"/>
      <c r="O300" s="14" t="s">
        <v>3125</v>
      </c>
    </row>
    <row r="301" spans="4:15">
      <c r="D301" s="15" t="s">
        <v>6149</v>
      </c>
      <c r="E301" s="14" t="s">
        <v>2580</v>
      </c>
      <c r="F301" s="15"/>
      <c r="G301" s="14"/>
      <c r="H301" s="15"/>
      <c r="I301" s="15"/>
      <c r="J301" s="14" t="str">
        <f t="shared" si="5"/>
        <v/>
      </c>
      <c r="K301" s="15"/>
      <c r="L301" s="15"/>
      <c r="M301" s="15"/>
      <c r="N301" s="15"/>
      <c r="O301" s="14" t="s">
        <v>3126</v>
      </c>
    </row>
    <row r="302" spans="4:15">
      <c r="D302" s="15" t="s">
        <v>6150</v>
      </c>
      <c r="E302" s="14" t="s">
        <v>2580</v>
      </c>
      <c r="F302" s="15"/>
      <c r="G302" s="14"/>
      <c r="H302" s="15"/>
      <c r="I302" s="15"/>
      <c r="J302" s="14" t="str">
        <f t="shared" si="5"/>
        <v/>
      </c>
      <c r="K302" s="15"/>
      <c r="L302" s="15"/>
      <c r="M302" s="15"/>
      <c r="N302" s="15"/>
      <c r="O302" s="14" t="s">
        <v>3127</v>
      </c>
    </row>
    <row r="303" spans="4:15">
      <c r="D303" s="15" t="s">
        <v>6151</v>
      </c>
      <c r="E303" s="14" t="s">
        <v>2580</v>
      </c>
      <c r="F303" s="15"/>
      <c r="G303" s="14"/>
      <c r="H303" s="15"/>
      <c r="I303" s="15"/>
      <c r="J303" s="14" t="str">
        <f t="shared" si="5"/>
        <v/>
      </c>
      <c r="K303" s="15"/>
      <c r="L303" s="15"/>
      <c r="M303" s="15"/>
      <c r="N303" s="15"/>
      <c r="O303" s="14" t="s">
        <v>3128</v>
      </c>
    </row>
    <row r="304" spans="4:15">
      <c r="D304" s="15" t="s">
        <v>6152</v>
      </c>
      <c r="E304" s="14" t="s">
        <v>2580</v>
      </c>
      <c r="F304" s="15"/>
      <c r="G304" s="14"/>
      <c r="H304" s="15"/>
      <c r="I304" s="15"/>
      <c r="J304" s="14" t="str">
        <f t="shared" si="5"/>
        <v/>
      </c>
      <c r="K304" s="15"/>
      <c r="L304" s="15"/>
      <c r="M304" s="15"/>
      <c r="N304" s="15"/>
      <c r="O304" s="14" t="s">
        <v>3129</v>
      </c>
    </row>
    <row r="305" spans="4:17">
      <c r="D305" s="15" t="s">
        <v>6153</v>
      </c>
      <c r="E305" s="14" t="s">
        <v>2580</v>
      </c>
      <c r="F305" s="15"/>
      <c r="G305" s="14"/>
      <c r="H305" s="15"/>
      <c r="I305" s="15"/>
      <c r="J305" s="14" t="str">
        <f t="shared" si="5"/>
        <v/>
      </c>
      <c r="K305" s="15"/>
      <c r="L305" s="15"/>
      <c r="M305" s="15"/>
      <c r="N305" s="15"/>
      <c r="O305" s="14" t="s">
        <v>3130</v>
      </c>
    </row>
    <row r="306" spans="4:17">
      <c r="D306" s="15" t="s">
        <v>6154</v>
      </c>
      <c r="E306" s="14" t="s">
        <v>2580</v>
      </c>
      <c r="F306" s="15"/>
      <c r="G306" s="14"/>
      <c r="H306" s="15"/>
      <c r="I306" s="15"/>
      <c r="J306" s="14" t="str">
        <f t="shared" si="5"/>
        <v/>
      </c>
      <c r="K306" s="15"/>
      <c r="L306" s="15"/>
      <c r="M306" s="15"/>
      <c r="N306" s="15"/>
      <c r="O306" s="14" t="s">
        <v>3131</v>
      </c>
    </row>
    <row r="307" spans="4:17">
      <c r="D307" s="15" t="s">
        <v>6155</v>
      </c>
      <c r="E307" s="14" t="s">
        <v>2580</v>
      </c>
      <c r="F307" s="15"/>
      <c r="G307" s="14"/>
      <c r="H307" s="15"/>
      <c r="I307" s="15"/>
      <c r="J307" s="14" t="str">
        <f t="shared" si="5"/>
        <v/>
      </c>
      <c r="K307" s="15"/>
      <c r="L307" s="15"/>
      <c r="M307" s="15"/>
      <c r="N307" s="15"/>
      <c r="O307" s="14" t="s">
        <v>3132</v>
      </c>
    </row>
    <row r="308" spans="4:17">
      <c r="D308" s="15" t="s">
        <v>6156</v>
      </c>
      <c r="E308" s="14" t="s">
        <v>2580</v>
      </c>
      <c r="F308" s="15"/>
      <c r="G308" s="14"/>
      <c r="H308" s="15"/>
      <c r="I308" s="15"/>
      <c r="J308" s="14" t="str">
        <f t="shared" si="5"/>
        <v/>
      </c>
      <c r="K308" s="15"/>
      <c r="L308" s="15"/>
      <c r="M308" s="15"/>
      <c r="N308" s="15"/>
      <c r="O308" s="14" t="s">
        <v>3133</v>
      </c>
    </row>
    <row r="309" spans="4:17">
      <c r="D309" s="15" t="s">
        <v>6157</v>
      </c>
      <c r="E309" s="14" t="s">
        <v>2580</v>
      </c>
      <c r="F309" s="15"/>
      <c r="G309" s="14"/>
      <c r="H309" s="15"/>
      <c r="I309" s="15"/>
      <c r="J309" s="14" t="str">
        <f t="shared" si="5"/>
        <v/>
      </c>
      <c r="K309" s="15"/>
      <c r="L309" s="15"/>
      <c r="M309" s="15"/>
      <c r="N309" s="15"/>
      <c r="O309" s="14" t="s">
        <v>3134</v>
      </c>
    </row>
    <row r="313" spans="4:17">
      <c r="D313" s="2" t="s">
        <v>6158</v>
      </c>
    </row>
    <row r="314" spans="4:17">
      <c r="D314" s="14" t="s">
        <v>6159</v>
      </c>
      <c r="E314" s="14" t="s">
        <v>3341</v>
      </c>
      <c r="F314" s="14" t="s">
        <v>2595</v>
      </c>
      <c r="G314" s="14"/>
      <c r="H314" s="14" t="s">
        <v>2256</v>
      </c>
      <c r="I314" s="14" t="s">
        <v>2257</v>
      </c>
      <c r="J314" s="14" t="s">
        <v>5843</v>
      </c>
      <c r="K314" s="14" t="s">
        <v>2317</v>
      </c>
      <c r="L314" s="14" t="s">
        <v>2316</v>
      </c>
      <c r="M314" s="14" t="s">
        <v>105</v>
      </c>
      <c r="N314" s="14" t="s">
        <v>2589</v>
      </c>
      <c r="O314" s="14" t="s">
        <v>199</v>
      </c>
      <c r="P314" s="14" t="s">
        <v>176</v>
      </c>
      <c r="Q314" s="14" t="s">
        <v>318</v>
      </c>
    </row>
    <row r="315" spans="4:17" hidden="1">
      <c r="D315" s="15" t="s">
        <v>6160</v>
      </c>
      <c r="E315" s="14" t="s">
        <v>6161</v>
      </c>
      <c r="F315" s="15" t="s">
        <v>2600</v>
      </c>
      <c r="G315" s="14"/>
      <c r="H315" s="15" t="s">
        <v>5145</v>
      </c>
      <c r="I315" s="15" t="s">
        <v>5146</v>
      </c>
      <c r="J315" s="14" t="str">
        <f>F315&amp;H315&amp;I315</f>
        <v>[Coverage Indicator Name][Category][Disaggregation]</v>
      </c>
      <c r="K315" s="374" t="s">
        <v>5852</v>
      </c>
      <c r="L315" s="18" t="s">
        <v>5851</v>
      </c>
      <c r="M315" s="375" t="s">
        <v>5853</v>
      </c>
      <c r="N315" s="15" t="s">
        <v>6162</v>
      </c>
      <c r="O315" s="15" t="s">
        <v>5849</v>
      </c>
      <c r="P315" s="15" t="s">
        <v>5850</v>
      </c>
      <c r="Q315" s="14" t="s">
        <v>321</v>
      </c>
    </row>
    <row r="316" spans="4:17">
      <c r="D316" s="15" t="s">
        <v>6163</v>
      </c>
      <c r="E316" s="14" t="s">
        <v>2657</v>
      </c>
      <c r="F316" s="15" t="s">
        <v>1219</v>
      </c>
      <c r="G316" s="14"/>
      <c r="H316" s="15" t="s">
        <v>849</v>
      </c>
      <c r="I316" s="15" t="s">
        <v>3240</v>
      </c>
      <c r="J316" s="14" t="str">
        <f t="shared" ref="J316:J379" si="6">F316&amp;H316&amp;I316</f>
        <v>TBDT-1 Number of patients with of all forms of TB notified (i.e., bacteriologically confirmed + clinically diagnosed); *includes only those with new and relapse TBAge15+</v>
      </c>
      <c r="K316" s="374">
        <v>187489</v>
      </c>
      <c r="L316" s="18">
        <v>214408</v>
      </c>
      <c r="M316" s="375">
        <v>87.444964740121605</v>
      </c>
      <c r="N316" s="15" t="s">
        <v>2328</v>
      </c>
      <c r="O316" s="15" t="s">
        <v>780</v>
      </c>
      <c r="P316" s="15" t="s">
        <v>2273</v>
      </c>
      <c r="Q316" s="14" t="s">
        <v>3342</v>
      </c>
    </row>
    <row r="317" spans="4:17">
      <c r="D317" s="15" t="s">
        <v>6164</v>
      </c>
      <c r="E317" s="14" t="s">
        <v>2657</v>
      </c>
      <c r="F317" s="15" t="s">
        <v>1219</v>
      </c>
      <c r="G317" s="14"/>
      <c r="H317" s="15" t="s">
        <v>1164</v>
      </c>
      <c r="I317" s="15" t="s">
        <v>3346</v>
      </c>
      <c r="J317" s="14" t="str">
        <f t="shared" si="6"/>
        <v>TBDT-1 Number of patients with of all forms of TB notified (i.e., bacteriologically confirmed + clinically diagnosed); *includes only those with new and relapse TBHIV statusUnknown</v>
      </c>
      <c r="K317" s="374">
        <v>47356</v>
      </c>
      <c r="L317" s="18">
        <v>214408</v>
      </c>
      <c r="M317" s="375">
        <v>22.086862430506301</v>
      </c>
      <c r="N317" s="15" t="s">
        <v>2328</v>
      </c>
      <c r="O317" s="15" t="s">
        <v>780</v>
      </c>
      <c r="P317" s="15" t="s">
        <v>2274</v>
      </c>
      <c r="Q317" s="14" t="s">
        <v>3345</v>
      </c>
    </row>
    <row r="318" spans="4:17">
      <c r="D318" s="15" t="s">
        <v>6165</v>
      </c>
      <c r="E318" s="14" t="s">
        <v>2657</v>
      </c>
      <c r="F318" s="15" t="s">
        <v>1219</v>
      </c>
      <c r="G318" s="14"/>
      <c r="H318" s="15" t="s">
        <v>849</v>
      </c>
      <c r="I318" s="15" t="s">
        <v>3244</v>
      </c>
      <c r="J318" s="14" t="str">
        <f t="shared" si="6"/>
        <v>TBDT-1 Number of patients with of all forms of TB notified (i.e., bacteriologically confirmed + clinically diagnosed); *includes only those with new and relapse TBAge&lt;15</v>
      </c>
      <c r="K318" s="374">
        <v>26919</v>
      </c>
      <c r="L318" s="18">
        <v>214408</v>
      </c>
      <c r="M318" s="375">
        <v>12.5550352598784</v>
      </c>
      <c r="N318" s="15" t="s">
        <v>2328</v>
      </c>
      <c r="O318" s="15" t="s">
        <v>780</v>
      </c>
      <c r="P318" s="15" t="s">
        <v>2275</v>
      </c>
      <c r="Q318" s="14" t="s">
        <v>3349</v>
      </c>
    </row>
    <row r="319" spans="4:17">
      <c r="D319" s="15" t="s">
        <v>6166</v>
      </c>
      <c r="E319" s="14" t="s">
        <v>2657</v>
      </c>
      <c r="F319" s="15" t="s">
        <v>1219</v>
      </c>
      <c r="G319" s="14"/>
      <c r="H319" s="15" t="s">
        <v>1192</v>
      </c>
      <c r="I319" s="15" t="s">
        <v>3193</v>
      </c>
      <c r="J319" s="14" t="str">
        <f t="shared" si="6"/>
        <v>TBDT-1 Number of patients with of all forms of TB notified (i.e., bacteriologically confirmed + clinically diagnosed); *includes only those with new and relapse TBGenderMale</v>
      </c>
      <c r="K319" s="374">
        <v>121367</v>
      </c>
      <c r="L319" s="18">
        <v>214408</v>
      </c>
      <c r="M319" s="375">
        <v>56.605630386925903</v>
      </c>
      <c r="N319" s="15" t="s">
        <v>2328</v>
      </c>
      <c r="O319" s="15" t="s">
        <v>780</v>
      </c>
      <c r="P319" s="15" t="s">
        <v>2276</v>
      </c>
      <c r="Q319" s="14" t="s">
        <v>3352</v>
      </c>
    </row>
    <row r="320" spans="4:17">
      <c r="D320" s="15" t="s">
        <v>6167</v>
      </c>
      <c r="E320" s="14" t="s">
        <v>2657</v>
      </c>
      <c r="F320" s="15" t="s">
        <v>1219</v>
      </c>
      <c r="G320" s="14"/>
      <c r="H320" s="15" t="s">
        <v>1164</v>
      </c>
      <c r="I320" s="15" t="s">
        <v>3356</v>
      </c>
      <c r="J320" s="14" t="str">
        <f t="shared" si="6"/>
        <v>TBDT-1 Number of patients with of all forms of TB notified (i.e., bacteriologically confirmed + clinically diagnosed); *includes only those with new and relapse TBHIV statusNegative</v>
      </c>
      <c r="K320" s="374">
        <v>153679</v>
      </c>
      <c r="L320" s="18">
        <v>214408</v>
      </c>
      <c r="M320" s="375">
        <v>71.675963583448393</v>
      </c>
      <c r="N320" s="15" t="s">
        <v>2328</v>
      </c>
      <c r="O320" s="15" t="s">
        <v>2211</v>
      </c>
      <c r="P320" s="15" t="s">
        <v>2277</v>
      </c>
      <c r="Q320" s="14" t="s">
        <v>3355</v>
      </c>
    </row>
    <row r="321" spans="4:17">
      <c r="D321" s="15" t="s">
        <v>6168</v>
      </c>
      <c r="E321" s="14" t="s">
        <v>2657</v>
      </c>
      <c r="F321" s="15" t="s">
        <v>1219</v>
      </c>
      <c r="G321" s="14"/>
      <c r="H321" s="15" t="s">
        <v>5465</v>
      </c>
      <c r="I321" s="15" t="s">
        <v>3360</v>
      </c>
      <c r="J321" s="14" t="str">
        <f t="shared" si="6"/>
        <v>TBDT-1 Number of patients with of all forms of TB notified (i.e., bacteriologically confirmed + clinically diagnosed); *includes only those with new and relapse TBTB case definitionBacteriologically confirmed</v>
      </c>
      <c r="K321" s="374">
        <v>131846</v>
      </c>
      <c r="L321" s="18">
        <v>214408</v>
      </c>
      <c r="M321" s="375">
        <v>61.4930413044289</v>
      </c>
      <c r="N321" s="15" t="s">
        <v>2328</v>
      </c>
      <c r="O321" s="15" t="s">
        <v>780</v>
      </c>
      <c r="P321" s="15" t="s">
        <v>2278</v>
      </c>
      <c r="Q321" s="14" t="s">
        <v>3359</v>
      </c>
    </row>
    <row r="322" spans="4:17">
      <c r="D322" s="15" t="s">
        <v>6169</v>
      </c>
      <c r="E322" s="14" t="s">
        <v>2657</v>
      </c>
      <c r="F322" s="15" t="s">
        <v>1219</v>
      </c>
      <c r="G322" s="14"/>
      <c r="H322" s="15" t="s">
        <v>1192</v>
      </c>
      <c r="I322" s="15" t="s">
        <v>3197</v>
      </c>
      <c r="J322" s="14" t="str">
        <f t="shared" si="6"/>
        <v>TBDT-1 Number of patients with of all forms of TB notified (i.e., bacteriologically confirmed + clinically diagnosed); *includes only those with new and relapse TBGenderFemale</v>
      </c>
      <c r="K322" s="374">
        <v>93041</v>
      </c>
      <c r="L322" s="18">
        <v>214408</v>
      </c>
      <c r="M322" s="375">
        <v>43.394369613074097</v>
      </c>
      <c r="N322" s="15" t="s">
        <v>2328</v>
      </c>
      <c r="O322" s="15" t="s">
        <v>780</v>
      </c>
      <c r="P322" s="15" t="s">
        <v>2279</v>
      </c>
      <c r="Q322" s="14" t="s">
        <v>3363</v>
      </c>
    </row>
    <row r="323" spans="4:17">
      <c r="D323" s="15" t="s">
        <v>6170</v>
      </c>
      <c r="E323" s="14" t="s">
        <v>2657</v>
      </c>
      <c r="F323" s="15" t="s">
        <v>1219</v>
      </c>
      <c r="G323" s="14"/>
      <c r="H323" s="15" t="s">
        <v>1164</v>
      </c>
      <c r="I323" s="15" t="s">
        <v>3367</v>
      </c>
      <c r="J323" s="14" t="str">
        <f t="shared" si="6"/>
        <v>TBDT-1 Number of patients with of all forms of TB notified (i.e., bacteriologically confirmed + clinically diagnosed); *includes only those with new and relapse TBHIV statusPositive</v>
      </c>
      <c r="K323" s="374">
        <v>13373</v>
      </c>
      <c r="L323" s="18">
        <v>214408</v>
      </c>
      <c r="M323" s="375">
        <v>6.2371739860452999</v>
      </c>
      <c r="N323" s="15" t="s">
        <v>2328</v>
      </c>
      <c r="O323" s="15" t="s">
        <v>2211</v>
      </c>
      <c r="P323" s="15" t="s">
        <v>2280</v>
      </c>
      <c r="Q323" s="14" t="s">
        <v>3366</v>
      </c>
    </row>
    <row r="324" spans="4:17">
      <c r="D324" s="15" t="s">
        <v>6171</v>
      </c>
      <c r="E324" s="14" t="s">
        <v>2657</v>
      </c>
      <c r="F324" s="15" t="s">
        <v>1219</v>
      </c>
      <c r="G324" s="14"/>
      <c r="H324" s="15"/>
      <c r="I324" s="15"/>
      <c r="J324" s="14" t="str">
        <f t="shared" si="6"/>
        <v>TBDT-1 Number of patients with of all forms of TB notified (i.e., bacteriologically confirmed + clinically diagnosed); *includes only those with new and relapse TB</v>
      </c>
      <c r="K324" s="374"/>
      <c r="L324" s="18"/>
      <c r="M324" s="375"/>
      <c r="N324" s="15"/>
      <c r="O324" s="15"/>
      <c r="P324" s="15"/>
      <c r="Q324" s="14" t="s">
        <v>3370</v>
      </c>
    </row>
    <row r="325" spans="4:17">
      <c r="D325" s="15" t="s">
        <v>6172</v>
      </c>
      <c r="E325" s="14" t="s">
        <v>2657</v>
      </c>
      <c r="F325" s="15" t="s">
        <v>1219</v>
      </c>
      <c r="G325" s="14"/>
      <c r="H325" s="15"/>
      <c r="I325" s="15"/>
      <c r="J325" s="14" t="str">
        <f t="shared" si="6"/>
        <v>TBDT-1 Number of patients with of all forms of TB notified (i.e., bacteriologically confirmed + clinically diagnosed); *includes only those with new and relapse TB</v>
      </c>
      <c r="K325" s="374"/>
      <c r="L325" s="18"/>
      <c r="M325" s="375"/>
      <c r="N325" s="15"/>
      <c r="O325" s="15"/>
      <c r="P325" s="15"/>
      <c r="Q325" s="14" t="s">
        <v>3371</v>
      </c>
    </row>
    <row r="326" spans="4:17">
      <c r="D326" s="15" t="s">
        <v>6173</v>
      </c>
      <c r="E326" s="14" t="s">
        <v>2657</v>
      </c>
      <c r="F326" s="15" t="s">
        <v>1219</v>
      </c>
      <c r="G326" s="14"/>
      <c r="H326" s="15"/>
      <c r="I326" s="15"/>
      <c r="J326" s="14" t="str">
        <f t="shared" si="6"/>
        <v>TBDT-1 Number of patients with of all forms of TB notified (i.e., bacteriologically confirmed + clinically diagnosed); *includes only those with new and relapse TB</v>
      </c>
      <c r="K326" s="374"/>
      <c r="L326" s="18"/>
      <c r="M326" s="375"/>
      <c r="N326" s="15"/>
      <c r="O326" s="15"/>
      <c r="P326" s="15"/>
      <c r="Q326" s="14" t="s">
        <v>3372</v>
      </c>
    </row>
    <row r="327" spans="4:17">
      <c r="D327" s="15" t="s">
        <v>6174</v>
      </c>
      <c r="E327" s="14" t="s">
        <v>2657</v>
      </c>
      <c r="F327" s="15" t="s">
        <v>1219</v>
      </c>
      <c r="G327" s="14"/>
      <c r="H327" s="15"/>
      <c r="I327" s="15"/>
      <c r="J327" s="14" t="str">
        <f t="shared" si="6"/>
        <v>TBDT-1 Number of patients with of all forms of TB notified (i.e., bacteriologically confirmed + clinically diagnosed); *includes only those with new and relapse TB</v>
      </c>
      <c r="K327" s="374"/>
      <c r="L327" s="18"/>
      <c r="M327" s="375"/>
      <c r="N327" s="15"/>
      <c r="O327" s="15"/>
      <c r="P327" s="15"/>
      <c r="Q327" s="14" t="s">
        <v>3373</v>
      </c>
    </row>
    <row r="328" spans="4:17">
      <c r="D328" s="15" t="s">
        <v>6175</v>
      </c>
      <c r="E328" s="14" t="s">
        <v>2657</v>
      </c>
      <c r="F328" s="15" t="s">
        <v>1219</v>
      </c>
      <c r="G328" s="14"/>
      <c r="H328" s="15"/>
      <c r="I328" s="15"/>
      <c r="J328" s="14" t="str">
        <f t="shared" si="6"/>
        <v>TBDT-1 Number of patients with of all forms of TB notified (i.e., bacteriologically confirmed + clinically diagnosed); *includes only those with new and relapse TB</v>
      </c>
      <c r="K328" s="374"/>
      <c r="L328" s="18"/>
      <c r="M328" s="375"/>
      <c r="N328" s="15"/>
      <c r="O328" s="15"/>
      <c r="P328" s="15"/>
      <c r="Q328" s="14" t="s">
        <v>3374</v>
      </c>
    </row>
    <row r="329" spans="4:17">
      <c r="D329" s="15" t="s">
        <v>6176</v>
      </c>
      <c r="E329" s="14" t="s">
        <v>2657</v>
      </c>
      <c r="F329" s="15" t="s">
        <v>1219</v>
      </c>
      <c r="G329" s="14"/>
      <c r="H329" s="15"/>
      <c r="I329" s="15"/>
      <c r="J329" s="14" t="str">
        <f t="shared" si="6"/>
        <v>TBDT-1 Number of patients with of all forms of TB notified (i.e., bacteriologically confirmed + clinically diagnosed); *includes only those with new and relapse TB</v>
      </c>
      <c r="K329" s="374"/>
      <c r="L329" s="18"/>
      <c r="M329" s="375"/>
      <c r="N329" s="15"/>
      <c r="O329" s="15"/>
      <c r="P329" s="15"/>
      <c r="Q329" s="14" t="s">
        <v>3375</v>
      </c>
    </row>
    <row r="330" spans="4:17">
      <c r="D330" s="15" t="s">
        <v>6177</v>
      </c>
      <c r="E330" s="14" t="s">
        <v>2657</v>
      </c>
      <c r="F330" s="15" t="s">
        <v>1219</v>
      </c>
      <c r="G330" s="14"/>
      <c r="H330" s="15"/>
      <c r="I330" s="15"/>
      <c r="J330" s="14" t="str">
        <f t="shared" si="6"/>
        <v>TBDT-1 Number of patients with of all forms of TB notified (i.e., bacteriologically confirmed + clinically diagnosed); *includes only those with new and relapse TB</v>
      </c>
      <c r="K330" s="374"/>
      <c r="L330" s="18"/>
      <c r="M330" s="375"/>
      <c r="N330" s="15"/>
      <c r="O330" s="15"/>
      <c r="P330" s="15"/>
      <c r="Q330" s="14" t="s">
        <v>3376</v>
      </c>
    </row>
    <row r="331" spans="4:17">
      <c r="D331" s="15" t="s">
        <v>6178</v>
      </c>
      <c r="E331" s="14" t="s">
        <v>2657</v>
      </c>
      <c r="F331" s="15" t="s">
        <v>1219</v>
      </c>
      <c r="G331" s="14"/>
      <c r="H331" s="15"/>
      <c r="I331" s="15"/>
      <c r="J331" s="14" t="str">
        <f t="shared" si="6"/>
        <v>TBDT-1 Number of patients with of all forms of TB notified (i.e., bacteriologically confirmed + clinically diagnosed); *includes only those with new and relapse TB</v>
      </c>
      <c r="K331" s="374"/>
      <c r="L331" s="18"/>
      <c r="M331" s="375"/>
      <c r="N331" s="15"/>
      <c r="O331" s="15"/>
      <c r="P331" s="15"/>
      <c r="Q331" s="14" t="s">
        <v>3377</v>
      </c>
    </row>
    <row r="332" spans="4:17">
      <c r="D332" s="15" t="s">
        <v>6179</v>
      </c>
      <c r="E332" s="14" t="s">
        <v>2657</v>
      </c>
      <c r="F332" s="15" t="s">
        <v>1219</v>
      </c>
      <c r="G332" s="14"/>
      <c r="H332" s="15"/>
      <c r="I332" s="15"/>
      <c r="J332" s="14" t="str">
        <f t="shared" si="6"/>
        <v>TBDT-1 Number of patients with of all forms of TB notified (i.e., bacteriologically confirmed + clinically diagnosed); *includes only those with new and relapse TB</v>
      </c>
      <c r="K332" s="374"/>
      <c r="L332" s="18"/>
      <c r="M332" s="375"/>
      <c r="N332" s="15"/>
      <c r="O332" s="15"/>
      <c r="P332" s="15"/>
      <c r="Q332" s="14" t="s">
        <v>3378</v>
      </c>
    </row>
    <row r="333" spans="4:17">
      <c r="D333" s="15" t="s">
        <v>6180</v>
      </c>
      <c r="E333" s="14" t="s">
        <v>2657</v>
      </c>
      <c r="F333" s="15" t="s">
        <v>1219</v>
      </c>
      <c r="G333" s="14"/>
      <c r="H333" s="15"/>
      <c r="I333" s="15"/>
      <c r="J333" s="14" t="str">
        <f t="shared" si="6"/>
        <v>TBDT-1 Number of patients with of all forms of TB notified (i.e., bacteriologically confirmed + clinically diagnosed); *includes only those with new and relapse TB</v>
      </c>
      <c r="K333" s="374"/>
      <c r="L333" s="18"/>
      <c r="M333" s="375"/>
      <c r="N333" s="15"/>
      <c r="O333" s="15"/>
      <c r="P333" s="15"/>
      <c r="Q333" s="14" t="s">
        <v>3379</v>
      </c>
    </row>
    <row r="334" spans="4:17">
      <c r="D334" s="15" t="s">
        <v>6181</v>
      </c>
      <c r="E334" s="14" t="s">
        <v>2657</v>
      </c>
      <c r="F334" s="15" t="s">
        <v>1219</v>
      </c>
      <c r="G334" s="14"/>
      <c r="H334" s="15"/>
      <c r="I334" s="15"/>
      <c r="J334" s="14" t="str">
        <f t="shared" si="6"/>
        <v>TBDT-1 Number of patients with of all forms of TB notified (i.e., bacteriologically confirmed + clinically diagnosed); *includes only those with new and relapse TB</v>
      </c>
      <c r="K334" s="374"/>
      <c r="L334" s="18"/>
      <c r="M334" s="375"/>
      <c r="N334" s="15"/>
      <c r="O334" s="15"/>
      <c r="P334" s="15"/>
      <c r="Q334" s="14" t="s">
        <v>3380</v>
      </c>
    </row>
    <row r="335" spans="4:17">
      <c r="D335" s="15" t="s">
        <v>6182</v>
      </c>
      <c r="E335" s="14" t="s">
        <v>2657</v>
      </c>
      <c r="F335" s="15" t="s">
        <v>1219</v>
      </c>
      <c r="G335" s="14"/>
      <c r="H335" s="15"/>
      <c r="I335" s="15"/>
      <c r="J335" s="14" t="str">
        <f t="shared" si="6"/>
        <v>TBDT-1 Number of patients with of all forms of TB notified (i.e., bacteriologically confirmed + clinically diagnosed); *includes only those with new and relapse TB</v>
      </c>
      <c r="K335" s="374"/>
      <c r="L335" s="18"/>
      <c r="M335" s="375"/>
      <c r="N335" s="15"/>
      <c r="O335" s="15"/>
      <c r="P335" s="15"/>
      <c r="Q335" s="14" t="s">
        <v>3381</v>
      </c>
    </row>
    <row r="336" spans="4:17">
      <c r="D336" s="15" t="s">
        <v>6183</v>
      </c>
      <c r="E336" s="14" t="s">
        <v>2664</v>
      </c>
      <c r="F336" s="15" t="s">
        <v>1236</v>
      </c>
      <c r="G336" s="14"/>
      <c r="H336" s="15" t="s">
        <v>849</v>
      </c>
      <c r="I336" s="15" t="s">
        <v>3240</v>
      </c>
      <c r="J336"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TBAge15+</v>
      </c>
      <c r="K336" s="374"/>
      <c r="L336" s="18"/>
      <c r="M336" s="375"/>
      <c r="N336" s="15"/>
      <c r="O336" s="15" t="s">
        <v>2281</v>
      </c>
      <c r="P336" s="15" t="s">
        <v>2282</v>
      </c>
      <c r="Q336" s="14" t="s">
        <v>3382</v>
      </c>
    </row>
    <row r="337" spans="4:17">
      <c r="D337" s="15" t="s">
        <v>6184</v>
      </c>
      <c r="E337" s="14" t="s">
        <v>2664</v>
      </c>
      <c r="F337" s="15" t="s">
        <v>1236</v>
      </c>
      <c r="G337" s="14"/>
      <c r="H337" s="15" t="s">
        <v>1164</v>
      </c>
      <c r="I337" s="15" t="s">
        <v>3346</v>
      </c>
      <c r="J337"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TBHIV statusUnknown</v>
      </c>
      <c r="K337" s="374"/>
      <c r="L337" s="18"/>
      <c r="M337" s="375"/>
      <c r="N337" s="15"/>
      <c r="O337" s="15" t="s">
        <v>2281</v>
      </c>
      <c r="P337" s="15" t="s">
        <v>2282</v>
      </c>
      <c r="Q337" s="14" t="s">
        <v>3385</v>
      </c>
    </row>
    <row r="338" spans="4:17">
      <c r="D338" s="15" t="s">
        <v>6185</v>
      </c>
      <c r="E338" s="14" t="s">
        <v>2664</v>
      </c>
      <c r="F338" s="15" t="s">
        <v>1236</v>
      </c>
      <c r="G338" s="14"/>
      <c r="H338" s="15" t="s">
        <v>849</v>
      </c>
      <c r="I338" s="15" t="s">
        <v>3244</v>
      </c>
      <c r="J338"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TBAge&lt;15</v>
      </c>
      <c r="K338" s="374">
        <v>20276</v>
      </c>
      <c r="L338" s="18">
        <v>22342</v>
      </c>
      <c r="M338" s="375">
        <v>90.752842180646297</v>
      </c>
      <c r="N338" s="15" t="s">
        <v>2328</v>
      </c>
      <c r="O338" s="15" t="s">
        <v>2211</v>
      </c>
      <c r="P338" s="15" t="s">
        <v>2283</v>
      </c>
      <c r="Q338" s="14" t="s">
        <v>3388</v>
      </c>
    </row>
    <row r="339" spans="4:17">
      <c r="D339" s="15" t="s">
        <v>6186</v>
      </c>
      <c r="E339" s="14" t="s">
        <v>2664</v>
      </c>
      <c r="F339" s="15" t="s">
        <v>1236</v>
      </c>
      <c r="G339" s="14"/>
      <c r="H339" s="15" t="s">
        <v>1192</v>
      </c>
      <c r="I339" s="15" t="s">
        <v>3193</v>
      </c>
      <c r="J339"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TBGenderMale</v>
      </c>
      <c r="K339" s="374"/>
      <c r="L339" s="18"/>
      <c r="M339" s="375"/>
      <c r="N339" s="15"/>
      <c r="O339" s="15" t="s">
        <v>2281</v>
      </c>
      <c r="P339" s="15" t="s">
        <v>2282</v>
      </c>
      <c r="Q339" s="14" t="s">
        <v>3391</v>
      </c>
    </row>
    <row r="340" spans="4:17">
      <c r="D340" s="15" t="s">
        <v>6187</v>
      </c>
      <c r="E340" s="14" t="s">
        <v>2664</v>
      </c>
      <c r="F340" s="15" t="s">
        <v>1236</v>
      </c>
      <c r="G340" s="14"/>
      <c r="H340" s="15" t="s">
        <v>1164</v>
      </c>
      <c r="I340" s="15" t="s">
        <v>3356</v>
      </c>
      <c r="J340"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TBHIV statusNegative</v>
      </c>
      <c r="K340" s="374"/>
      <c r="L340" s="18"/>
      <c r="M340" s="375"/>
      <c r="N340" s="15"/>
      <c r="O340" s="15" t="s">
        <v>2281</v>
      </c>
      <c r="P340" s="15" t="s">
        <v>2282</v>
      </c>
      <c r="Q340" s="14" t="s">
        <v>3394</v>
      </c>
    </row>
    <row r="341" spans="4:17">
      <c r="D341" s="15" t="s">
        <v>6188</v>
      </c>
      <c r="E341" s="14" t="s">
        <v>2664</v>
      </c>
      <c r="F341" s="15" t="s">
        <v>1236</v>
      </c>
      <c r="G341" s="14"/>
      <c r="H341" s="15" t="s">
        <v>1192</v>
      </c>
      <c r="I341" s="15" t="s">
        <v>3197</v>
      </c>
      <c r="J341"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TBGenderFemale</v>
      </c>
      <c r="K341" s="374"/>
      <c r="L341" s="18"/>
      <c r="M341" s="375"/>
      <c r="N341" s="15"/>
      <c r="O341" s="15" t="s">
        <v>2281</v>
      </c>
      <c r="P341" s="15" t="s">
        <v>2282</v>
      </c>
      <c r="Q341" s="14" t="s">
        <v>3397</v>
      </c>
    </row>
    <row r="342" spans="4:17">
      <c r="D342" s="15" t="s">
        <v>6189</v>
      </c>
      <c r="E342" s="14" t="s">
        <v>2664</v>
      </c>
      <c r="F342" s="15" t="s">
        <v>1236</v>
      </c>
      <c r="G342" s="14"/>
      <c r="H342" s="15" t="s">
        <v>1164</v>
      </c>
      <c r="I342" s="15" t="s">
        <v>3367</v>
      </c>
      <c r="J342"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TBHIV statusPositive</v>
      </c>
      <c r="K342" s="374">
        <v>8875</v>
      </c>
      <c r="L342" s="18">
        <v>12041</v>
      </c>
      <c r="M342" s="375">
        <v>73.706502782160996</v>
      </c>
      <c r="N342" s="15" t="s">
        <v>2328</v>
      </c>
      <c r="O342" s="15" t="s">
        <v>2211</v>
      </c>
      <c r="P342" s="15" t="s">
        <v>2284</v>
      </c>
      <c r="Q342" s="14" t="s">
        <v>3400</v>
      </c>
    </row>
    <row r="343" spans="4:17">
      <c r="D343" s="15" t="s">
        <v>6190</v>
      </c>
      <c r="E343" s="14" t="s">
        <v>2664</v>
      </c>
      <c r="F343" s="15" t="s">
        <v>1236</v>
      </c>
      <c r="G343" s="14"/>
      <c r="H343" s="15"/>
      <c r="I343" s="15"/>
      <c r="J343"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43" s="374"/>
      <c r="L343" s="18"/>
      <c r="M343" s="375"/>
      <c r="N343" s="15"/>
      <c r="O343" s="15"/>
      <c r="P343" s="15"/>
      <c r="Q343" s="14" t="s">
        <v>3403</v>
      </c>
    </row>
    <row r="344" spans="4:17">
      <c r="D344" s="15" t="s">
        <v>6191</v>
      </c>
      <c r="E344" s="14" t="s">
        <v>2664</v>
      </c>
      <c r="F344" s="15" t="s">
        <v>1236</v>
      </c>
      <c r="G344" s="14"/>
      <c r="H344" s="15"/>
      <c r="I344" s="15"/>
      <c r="J344"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44" s="374"/>
      <c r="L344" s="18"/>
      <c r="M344" s="375"/>
      <c r="N344" s="15"/>
      <c r="O344" s="15"/>
      <c r="P344" s="15"/>
      <c r="Q344" s="14" t="s">
        <v>3404</v>
      </c>
    </row>
    <row r="345" spans="4:17">
      <c r="D345" s="15" t="s">
        <v>6192</v>
      </c>
      <c r="E345" s="14" t="s">
        <v>2664</v>
      </c>
      <c r="F345" s="15" t="s">
        <v>1236</v>
      </c>
      <c r="G345" s="14"/>
      <c r="H345" s="15"/>
      <c r="I345" s="15"/>
      <c r="J345"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45" s="374"/>
      <c r="L345" s="18"/>
      <c r="M345" s="375"/>
      <c r="N345" s="15"/>
      <c r="O345" s="15"/>
      <c r="P345" s="15"/>
      <c r="Q345" s="14" t="s">
        <v>3405</v>
      </c>
    </row>
    <row r="346" spans="4:17">
      <c r="D346" s="15" t="s">
        <v>6193</v>
      </c>
      <c r="E346" s="14" t="s">
        <v>2664</v>
      </c>
      <c r="F346" s="15" t="s">
        <v>1236</v>
      </c>
      <c r="G346" s="14"/>
      <c r="H346" s="15"/>
      <c r="I346" s="15"/>
      <c r="J346"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46" s="374"/>
      <c r="L346" s="18"/>
      <c r="M346" s="375"/>
      <c r="N346" s="15"/>
      <c r="O346" s="15"/>
      <c r="P346" s="15"/>
      <c r="Q346" s="14" t="s">
        <v>3406</v>
      </c>
    </row>
    <row r="347" spans="4:17">
      <c r="D347" s="15" t="s">
        <v>6194</v>
      </c>
      <c r="E347" s="14" t="s">
        <v>2664</v>
      </c>
      <c r="F347" s="15" t="s">
        <v>1236</v>
      </c>
      <c r="G347" s="14"/>
      <c r="H347" s="15"/>
      <c r="I347" s="15"/>
      <c r="J347"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47" s="374"/>
      <c r="L347" s="18"/>
      <c r="M347" s="375"/>
      <c r="N347" s="15"/>
      <c r="O347" s="15"/>
      <c r="P347" s="15"/>
      <c r="Q347" s="14" t="s">
        <v>3407</v>
      </c>
    </row>
    <row r="348" spans="4:17">
      <c r="D348" s="15" t="s">
        <v>6195</v>
      </c>
      <c r="E348" s="14" t="s">
        <v>2664</v>
      </c>
      <c r="F348" s="15" t="s">
        <v>1236</v>
      </c>
      <c r="G348" s="14"/>
      <c r="H348" s="15"/>
      <c r="I348" s="15"/>
      <c r="J348"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48" s="374"/>
      <c r="L348" s="18"/>
      <c r="M348" s="375"/>
      <c r="N348" s="15"/>
      <c r="O348" s="15"/>
      <c r="P348" s="15"/>
      <c r="Q348" s="14" t="s">
        <v>3408</v>
      </c>
    </row>
    <row r="349" spans="4:17">
      <c r="D349" s="15" t="s">
        <v>6196</v>
      </c>
      <c r="E349" s="14" t="s">
        <v>2664</v>
      </c>
      <c r="F349" s="15" t="s">
        <v>1236</v>
      </c>
      <c r="G349" s="14"/>
      <c r="H349" s="15"/>
      <c r="I349" s="15"/>
      <c r="J349"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49" s="374"/>
      <c r="L349" s="18"/>
      <c r="M349" s="375"/>
      <c r="N349" s="15"/>
      <c r="O349" s="15"/>
      <c r="P349" s="15"/>
      <c r="Q349" s="14" t="s">
        <v>3409</v>
      </c>
    </row>
    <row r="350" spans="4:17">
      <c r="D350" s="15" t="s">
        <v>6197</v>
      </c>
      <c r="E350" s="14" t="s">
        <v>2664</v>
      </c>
      <c r="F350" s="15" t="s">
        <v>1236</v>
      </c>
      <c r="G350" s="14"/>
      <c r="H350" s="15"/>
      <c r="I350" s="15"/>
      <c r="J350"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50" s="374"/>
      <c r="L350" s="18"/>
      <c r="M350" s="375"/>
      <c r="N350" s="15"/>
      <c r="O350" s="15"/>
      <c r="P350" s="15"/>
      <c r="Q350" s="14" t="s">
        <v>3410</v>
      </c>
    </row>
    <row r="351" spans="4:17">
      <c r="D351" s="15" t="s">
        <v>6198</v>
      </c>
      <c r="E351" s="14" t="s">
        <v>2664</v>
      </c>
      <c r="F351" s="15" t="s">
        <v>1236</v>
      </c>
      <c r="G351" s="14"/>
      <c r="H351" s="15"/>
      <c r="I351" s="15"/>
      <c r="J351"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51" s="374"/>
      <c r="L351" s="18"/>
      <c r="M351" s="375"/>
      <c r="N351" s="15"/>
      <c r="O351" s="15"/>
      <c r="P351" s="15"/>
      <c r="Q351" s="14" t="s">
        <v>3411</v>
      </c>
    </row>
    <row r="352" spans="4:17">
      <c r="D352" s="15" t="s">
        <v>6199</v>
      </c>
      <c r="E352" s="14" t="s">
        <v>2664</v>
      </c>
      <c r="F352" s="15" t="s">
        <v>1236</v>
      </c>
      <c r="G352" s="14"/>
      <c r="H352" s="15"/>
      <c r="I352" s="15"/>
      <c r="J352"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52" s="374"/>
      <c r="L352" s="18"/>
      <c r="M352" s="375"/>
      <c r="N352" s="15"/>
      <c r="O352" s="15"/>
      <c r="P352" s="15"/>
      <c r="Q352" s="14" t="s">
        <v>3412</v>
      </c>
    </row>
    <row r="353" spans="4:17">
      <c r="D353" s="15" t="s">
        <v>6200</v>
      </c>
      <c r="E353" s="14" t="s">
        <v>2664</v>
      </c>
      <c r="F353" s="15" t="s">
        <v>1236</v>
      </c>
      <c r="G353" s="14"/>
      <c r="H353" s="15"/>
      <c r="I353" s="15"/>
      <c r="J353"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53" s="374"/>
      <c r="L353" s="18"/>
      <c r="M353" s="375"/>
      <c r="N353" s="15"/>
      <c r="O353" s="15"/>
      <c r="P353" s="15"/>
      <c r="Q353" s="14" t="s">
        <v>3413</v>
      </c>
    </row>
    <row r="354" spans="4:17">
      <c r="D354" s="15" t="s">
        <v>6201</v>
      </c>
      <c r="E354" s="14" t="s">
        <v>2664</v>
      </c>
      <c r="F354" s="15" t="s">
        <v>1236</v>
      </c>
      <c r="G354" s="14"/>
      <c r="H354" s="15"/>
      <c r="I354" s="15"/>
      <c r="J354"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54" s="374"/>
      <c r="L354" s="18"/>
      <c r="M354" s="375"/>
      <c r="N354" s="15"/>
      <c r="O354" s="15"/>
      <c r="P354" s="15"/>
      <c r="Q354" s="14" t="s">
        <v>3414</v>
      </c>
    </row>
    <row r="355" spans="4:17">
      <c r="D355" s="15" t="s">
        <v>6202</v>
      </c>
      <c r="E355" s="14" t="s">
        <v>2664</v>
      </c>
      <c r="F355" s="15" t="s">
        <v>1236</v>
      </c>
      <c r="G355" s="14"/>
      <c r="H355" s="15"/>
      <c r="I355" s="15"/>
      <c r="J355" s="14" t="str">
        <f t="shared" si="6"/>
        <v>TBDT-2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K355" s="374"/>
      <c r="L355" s="18"/>
      <c r="M355" s="375"/>
      <c r="N355" s="15"/>
      <c r="O355" s="15"/>
      <c r="P355" s="15"/>
      <c r="Q355" s="14" t="s">
        <v>3415</v>
      </c>
    </row>
    <row r="356" spans="4:17">
      <c r="D356" s="15" t="s">
        <v>6203</v>
      </c>
      <c r="E356" s="14" t="s">
        <v>2671</v>
      </c>
      <c r="F356" s="15" t="s">
        <v>1233</v>
      </c>
      <c r="G356" s="14"/>
      <c r="H356" s="15" t="s">
        <v>1028</v>
      </c>
      <c r="I356" s="15" t="s">
        <v>3417</v>
      </c>
      <c r="J356" s="14" t="str">
        <f t="shared" si="6"/>
        <v>TBDT-4 Percentage of new and relapse TB patients tested using WHO recommended rapid diagnostic tests at the time of diagnosisProvider typePrivate</v>
      </c>
      <c r="K356" s="374"/>
      <c r="L356" s="18"/>
      <c r="M356" s="375"/>
      <c r="N356" s="15" t="s">
        <v>2328</v>
      </c>
      <c r="O356" s="15" t="s">
        <v>2281</v>
      </c>
      <c r="P356" s="15" t="s">
        <v>2282</v>
      </c>
      <c r="Q356" s="14" t="s">
        <v>3416</v>
      </c>
    </row>
    <row r="357" spans="4:17">
      <c r="D357" s="15" t="s">
        <v>6204</v>
      </c>
      <c r="E357" s="14" t="s">
        <v>2671</v>
      </c>
      <c r="F357" s="15" t="s">
        <v>1233</v>
      </c>
      <c r="G357" s="14"/>
      <c r="H357" s="15" t="s">
        <v>1028</v>
      </c>
      <c r="I357" s="15" t="s">
        <v>3421</v>
      </c>
      <c r="J357" s="14" t="str">
        <f t="shared" si="6"/>
        <v>TBDT-4 Percentage of new and relapse TB patients tested using WHO recommended rapid diagnostic tests at the time of diagnosisProvider typePublic</v>
      </c>
      <c r="K357" s="374"/>
      <c r="L357" s="18"/>
      <c r="M357" s="375"/>
      <c r="N357" s="15" t="s">
        <v>2328</v>
      </c>
      <c r="O357" s="15" t="s">
        <v>2281</v>
      </c>
      <c r="P357" s="15" t="s">
        <v>2282</v>
      </c>
      <c r="Q357" s="14" t="s">
        <v>3420</v>
      </c>
    </row>
    <row r="358" spans="4:17">
      <c r="D358" s="15" t="s">
        <v>6205</v>
      </c>
      <c r="E358" s="14" t="s">
        <v>2671</v>
      </c>
      <c r="F358" s="15" t="s">
        <v>1233</v>
      </c>
      <c r="G358" s="14"/>
      <c r="H358" s="15"/>
      <c r="I358" s="15"/>
      <c r="J358" s="14" t="str">
        <f t="shared" si="6"/>
        <v>TBDT-4 Percentage of new and relapse TB patients tested using WHO recommended rapid diagnostic tests at the time of diagnosis</v>
      </c>
      <c r="K358" s="374"/>
      <c r="L358" s="18"/>
      <c r="M358" s="375"/>
      <c r="N358" s="15"/>
      <c r="O358" s="15"/>
      <c r="P358" s="15"/>
      <c r="Q358" s="14" t="s">
        <v>3424</v>
      </c>
    </row>
    <row r="359" spans="4:17">
      <c r="D359" s="15" t="s">
        <v>6206</v>
      </c>
      <c r="E359" s="14" t="s">
        <v>2671</v>
      </c>
      <c r="F359" s="15" t="s">
        <v>1233</v>
      </c>
      <c r="G359" s="14"/>
      <c r="H359" s="15"/>
      <c r="I359" s="15"/>
      <c r="J359" s="14" t="str">
        <f t="shared" si="6"/>
        <v>TBDT-4 Percentage of new and relapse TB patients tested using WHO recommended rapid diagnostic tests at the time of diagnosis</v>
      </c>
      <c r="K359" s="374"/>
      <c r="L359" s="18"/>
      <c r="M359" s="375"/>
      <c r="N359" s="15"/>
      <c r="O359" s="15"/>
      <c r="P359" s="15"/>
      <c r="Q359" s="14" t="s">
        <v>3425</v>
      </c>
    </row>
    <row r="360" spans="4:17">
      <c r="D360" s="15" t="s">
        <v>6207</v>
      </c>
      <c r="E360" s="14" t="s">
        <v>2671</v>
      </c>
      <c r="F360" s="15" t="s">
        <v>1233</v>
      </c>
      <c r="G360" s="14"/>
      <c r="H360" s="15"/>
      <c r="I360" s="15"/>
      <c r="J360" s="14" t="str">
        <f t="shared" si="6"/>
        <v>TBDT-4 Percentage of new and relapse TB patients tested using WHO recommended rapid diagnostic tests at the time of diagnosis</v>
      </c>
      <c r="K360" s="374"/>
      <c r="L360" s="18"/>
      <c r="M360" s="375"/>
      <c r="N360" s="15"/>
      <c r="O360" s="15"/>
      <c r="P360" s="15"/>
      <c r="Q360" s="14" t="s">
        <v>3426</v>
      </c>
    </row>
    <row r="361" spans="4:17">
      <c r="D361" s="15" t="s">
        <v>6208</v>
      </c>
      <c r="E361" s="14" t="s">
        <v>2671</v>
      </c>
      <c r="F361" s="15" t="s">
        <v>1233</v>
      </c>
      <c r="G361" s="14"/>
      <c r="H361" s="15"/>
      <c r="I361" s="15"/>
      <c r="J361" s="14" t="str">
        <f t="shared" si="6"/>
        <v>TBDT-4 Percentage of new and relapse TB patients tested using WHO recommended rapid diagnostic tests at the time of diagnosis</v>
      </c>
      <c r="K361" s="374"/>
      <c r="L361" s="18"/>
      <c r="M361" s="375"/>
      <c r="N361" s="15"/>
      <c r="O361" s="15"/>
      <c r="P361" s="15"/>
      <c r="Q361" s="14" t="s">
        <v>3427</v>
      </c>
    </row>
    <row r="362" spans="4:17">
      <c r="D362" s="15" t="s">
        <v>6209</v>
      </c>
      <c r="E362" s="14" t="s">
        <v>2671</v>
      </c>
      <c r="F362" s="15" t="s">
        <v>1233</v>
      </c>
      <c r="G362" s="14"/>
      <c r="H362" s="15"/>
      <c r="I362" s="15"/>
      <c r="J362" s="14" t="str">
        <f t="shared" si="6"/>
        <v>TBDT-4 Percentage of new and relapse TB patients tested using WHO recommended rapid diagnostic tests at the time of diagnosis</v>
      </c>
      <c r="K362" s="374"/>
      <c r="L362" s="18"/>
      <c r="M362" s="375"/>
      <c r="N362" s="15"/>
      <c r="O362" s="15"/>
      <c r="P362" s="15"/>
      <c r="Q362" s="14" t="s">
        <v>3428</v>
      </c>
    </row>
    <row r="363" spans="4:17">
      <c r="D363" s="15" t="s">
        <v>6210</v>
      </c>
      <c r="E363" s="14" t="s">
        <v>2671</v>
      </c>
      <c r="F363" s="15" t="s">
        <v>1233</v>
      </c>
      <c r="G363" s="14"/>
      <c r="H363" s="15"/>
      <c r="I363" s="15"/>
      <c r="J363" s="14" t="str">
        <f t="shared" si="6"/>
        <v>TBDT-4 Percentage of new and relapse TB patients tested using WHO recommended rapid diagnostic tests at the time of diagnosis</v>
      </c>
      <c r="K363" s="374"/>
      <c r="L363" s="18"/>
      <c r="M363" s="375"/>
      <c r="N363" s="15"/>
      <c r="O363" s="15"/>
      <c r="P363" s="15"/>
      <c r="Q363" s="14" t="s">
        <v>3429</v>
      </c>
    </row>
    <row r="364" spans="4:17">
      <c r="D364" s="15" t="s">
        <v>6211</v>
      </c>
      <c r="E364" s="14" t="s">
        <v>2671</v>
      </c>
      <c r="F364" s="15" t="s">
        <v>1233</v>
      </c>
      <c r="G364" s="14"/>
      <c r="H364" s="15"/>
      <c r="I364" s="15"/>
      <c r="J364" s="14" t="str">
        <f t="shared" si="6"/>
        <v>TBDT-4 Percentage of new and relapse TB patients tested using WHO recommended rapid diagnostic tests at the time of diagnosis</v>
      </c>
      <c r="K364" s="374"/>
      <c r="L364" s="18"/>
      <c r="M364" s="375"/>
      <c r="N364" s="15"/>
      <c r="O364" s="15"/>
      <c r="P364" s="15"/>
      <c r="Q364" s="14" t="s">
        <v>3430</v>
      </c>
    </row>
    <row r="365" spans="4:17">
      <c r="D365" s="15" t="s">
        <v>6212</v>
      </c>
      <c r="E365" s="14" t="s">
        <v>2671</v>
      </c>
      <c r="F365" s="15" t="s">
        <v>1233</v>
      </c>
      <c r="G365" s="14"/>
      <c r="H365" s="15"/>
      <c r="I365" s="15"/>
      <c r="J365" s="14" t="str">
        <f t="shared" si="6"/>
        <v>TBDT-4 Percentage of new and relapse TB patients tested using WHO recommended rapid diagnostic tests at the time of diagnosis</v>
      </c>
      <c r="K365" s="374"/>
      <c r="L365" s="18"/>
      <c r="M365" s="375"/>
      <c r="N365" s="15"/>
      <c r="O365" s="15"/>
      <c r="P365" s="15"/>
      <c r="Q365" s="14" t="s">
        <v>3431</v>
      </c>
    </row>
    <row r="366" spans="4:17">
      <c r="D366" s="15" t="s">
        <v>6213</v>
      </c>
      <c r="E366" s="14" t="s">
        <v>2671</v>
      </c>
      <c r="F366" s="15" t="s">
        <v>1233</v>
      </c>
      <c r="G366" s="14"/>
      <c r="H366" s="15"/>
      <c r="I366" s="15"/>
      <c r="J366" s="14" t="str">
        <f t="shared" si="6"/>
        <v>TBDT-4 Percentage of new and relapse TB patients tested using WHO recommended rapid diagnostic tests at the time of diagnosis</v>
      </c>
      <c r="K366" s="374"/>
      <c r="L366" s="18"/>
      <c r="M366" s="375"/>
      <c r="N366" s="15"/>
      <c r="O366" s="15"/>
      <c r="P366" s="15"/>
      <c r="Q366" s="14" t="s">
        <v>3432</v>
      </c>
    </row>
    <row r="367" spans="4:17">
      <c r="D367" s="15" t="s">
        <v>6214</v>
      </c>
      <c r="E367" s="14" t="s">
        <v>2671</v>
      </c>
      <c r="F367" s="15" t="s">
        <v>1233</v>
      </c>
      <c r="G367" s="14"/>
      <c r="H367" s="15"/>
      <c r="I367" s="15"/>
      <c r="J367" s="14" t="str">
        <f t="shared" si="6"/>
        <v>TBDT-4 Percentage of new and relapse TB patients tested using WHO recommended rapid diagnostic tests at the time of diagnosis</v>
      </c>
      <c r="K367" s="374"/>
      <c r="L367" s="18"/>
      <c r="M367" s="375"/>
      <c r="N367" s="15"/>
      <c r="O367" s="15"/>
      <c r="P367" s="15"/>
      <c r="Q367" s="14" t="s">
        <v>3433</v>
      </c>
    </row>
    <row r="368" spans="4:17">
      <c r="D368" s="15" t="s">
        <v>6215</v>
      </c>
      <c r="E368" s="14" t="s">
        <v>2671</v>
      </c>
      <c r="F368" s="15" t="s">
        <v>1233</v>
      </c>
      <c r="G368" s="14"/>
      <c r="H368" s="15"/>
      <c r="I368" s="15"/>
      <c r="J368" s="14" t="str">
        <f t="shared" si="6"/>
        <v>TBDT-4 Percentage of new and relapse TB patients tested using WHO recommended rapid diagnostic tests at the time of diagnosis</v>
      </c>
      <c r="K368" s="374"/>
      <c r="L368" s="18"/>
      <c r="M368" s="375"/>
      <c r="N368" s="15"/>
      <c r="O368" s="15"/>
      <c r="P368" s="15"/>
      <c r="Q368" s="14" t="s">
        <v>3434</v>
      </c>
    </row>
    <row r="369" spans="4:17">
      <c r="D369" s="15" t="s">
        <v>6216</v>
      </c>
      <c r="E369" s="14" t="s">
        <v>2671</v>
      </c>
      <c r="F369" s="15" t="s">
        <v>1233</v>
      </c>
      <c r="G369" s="14"/>
      <c r="H369" s="15"/>
      <c r="I369" s="15"/>
      <c r="J369" s="14" t="str">
        <f t="shared" si="6"/>
        <v>TBDT-4 Percentage of new and relapse TB patients tested using WHO recommended rapid diagnostic tests at the time of diagnosis</v>
      </c>
      <c r="K369" s="374"/>
      <c r="L369" s="18"/>
      <c r="M369" s="375"/>
      <c r="N369" s="15"/>
      <c r="O369" s="15"/>
      <c r="P369" s="15"/>
      <c r="Q369" s="14" t="s">
        <v>3435</v>
      </c>
    </row>
    <row r="370" spans="4:17">
      <c r="D370" s="15" t="s">
        <v>6217</v>
      </c>
      <c r="E370" s="14" t="s">
        <v>2671</v>
      </c>
      <c r="F370" s="15" t="s">
        <v>1233</v>
      </c>
      <c r="G370" s="14"/>
      <c r="H370" s="15"/>
      <c r="I370" s="15"/>
      <c r="J370" s="14" t="str">
        <f t="shared" si="6"/>
        <v>TBDT-4 Percentage of new and relapse TB patients tested using WHO recommended rapid diagnostic tests at the time of diagnosis</v>
      </c>
      <c r="K370" s="374"/>
      <c r="L370" s="18"/>
      <c r="M370" s="375"/>
      <c r="N370" s="15"/>
      <c r="O370" s="15"/>
      <c r="P370" s="15"/>
      <c r="Q370" s="14" t="s">
        <v>3436</v>
      </c>
    </row>
    <row r="371" spans="4:17">
      <c r="D371" s="15" t="s">
        <v>6218</v>
      </c>
      <c r="E371" s="14" t="s">
        <v>2671</v>
      </c>
      <c r="F371" s="15" t="s">
        <v>1233</v>
      </c>
      <c r="G371" s="14"/>
      <c r="H371" s="15"/>
      <c r="I371" s="15"/>
      <c r="J371" s="14" t="str">
        <f t="shared" si="6"/>
        <v>TBDT-4 Percentage of new and relapse TB patients tested using WHO recommended rapid diagnostic tests at the time of diagnosis</v>
      </c>
      <c r="K371" s="374"/>
      <c r="L371" s="18"/>
      <c r="M371" s="375"/>
      <c r="N371" s="15"/>
      <c r="O371" s="15"/>
      <c r="P371" s="15"/>
      <c r="Q371" s="14" t="s">
        <v>3437</v>
      </c>
    </row>
    <row r="372" spans="4:17">
      <c r="D372" s="15" t="s">
        <v>6219</v>
      </c>
      <c r="E372" s="14" t="s">
        <v>2671</v>
      </c>
      <c r="F372" s="15" t="s">
        <v>1233</v>
      </c>
      <c r="G372" s="14"/>
      <c r="H372" s="15"/>
      <c r="I372" s="15"/>
      <c r="J372" s="14" t="str">
        <f t="shared" si="6"/>
        <v>TBDT-4 Percentage of new and relapse TB patients tested using WHO recommended rapid diagnostic tests at the time of diagnosis</v>
      </c>
      <c r="K372" s="374"/>
      <c r="L372" s="18"/>
      <c r="M372" s="375"/>
      <c r="N372" s="15"/>
      <c r="O372" s="15"/>
      <c r="P372" s="15"/>
      <c r="Q372" s="14" t="s">
        <v>3438</v>
      </c>
    </row>
    <row r="373" spans="4:17">
      <c r="D373" s="15" t="s">
        <v>6220</v>
      </c>
      <c r="E373" s="14" t="s">
        <v>2671</v>
      </c>
      <c r="F373" s="15" t="s">
        <v>1233</v>
      </c>
      <c r="G373" s="14"/>
      <c r="H373" s="15"/>
      <c r="I373" s="15"/>
      <c r="J373" s="14" t="str">
        <f t="shared" si="6"/>
        <v>TBDT-4 Percentage of new and relapse TB patients tested using WHO recommended rapid diagnostic tests at the time of diagnosis</v>
      </c>
      <c r="K373" s="374"/>
      <c r="L373" s="18"/>
      <c r="M373" s="375"/>
      <c r="N373" s="15"/>
      <c r="O373" s="15"/>
      <c r="P373" s="15"/>
      <c r="Q373" s="14" t="s">
        <v>3439</v>
      </c>
    </row>
    <row r="374" spans="4:17">
      <c r="D374" s="15" t="s">
        <v>6221</v>
      </c>
      <c r="E374" s="14" t="s">
        <v>2671</v>
      </c>
      <c r="F374" s="15" t="s">
        <v>1233</v>
      </c>
      <c r="G374" s="14"/>
      <c r="H374" s="15"/>
      <c r="I374" s="15"/>
      <c r="J374" s="14" t="str">
        <f t="shared" si="6"/>
        <v>TBDT-4 Percentage of new and relapse TB patients tested using WHO recommended rapid diagnostic tests at the time of diagnosis</v>
      </c>
      <c r="K374" s="374"/>
      <c r="L374" s="18"/>
      <c r="M374" s="375"/>
      <c r="N374" s="15"/>
      <c r="O374" s="15"/>
      <c r="P374" s="15"/>
      <c r="Q374" s="14" t="s">
        <v>3440</v>
      </c>
    </row>
    <row r="375" spans="4:17">
      <c r="D375" s="15" t="s">
        <v>6222</v>
      </c>
      <c r="E375" s="14" t="s">
        <v>2671</v>
      </c>
      <c r="F375" s="15" t="s">
        <v>1233</v>
      </c>
      <c r="G375" s="14"/>
      <c r="H375" s="15"/>
      <c r="I375" s="15"/>
      <c r="J375" s="14" t="str">
        <f t="shared" si="6"/>
        <v>TBDT-4 Percentage of new and relapse TB patients tested using WHO recommended rapid diagnostic tests at the time of diagnosis</v>
      </c>
      <c r="K375" s="374"/>
      <c r="L375" s="18"/>
      <c r="M375" s="375"/>
      <c r="N375" s="15"/>
      <c r="O375" s="15"/>
      <c r="P375" s="15"/>
      <c r="Q375" s="14" t="s">
        <v>3441</v>
      </c>
    </row>
    <row r="376" spans="4:17">
      <c r="D376" s="15" t="s">
        <v>6223</v>
      </c>
      <c r="E376" s="14" t="s">
        <v>2734</v>
      </c>
      <c r="F376" s="15"/>
      <c r="G376" s="14"/>
      <c r="H376" s="15"/>
      <c r="I376" s="15"/>
      <c r="J376" s="14" t="str">
        <f t="shared" si="6"/>
        <v/>
      </c>
      <c r="K376" s="374"/>
      <c r="L376" s="18"/>
      <c r="M376" s="375"/>
      <c r="N376" s="15"/>
      <c r="O376" s="15"/>
      <c r="P376" s="15"/>
      <c r="Q376" s="14" t="s">
        <v>3711</v>
      </c>
    </row>
    <row r="377" spans="4:17">
      <c r="D377" s="15" t="s">
        <v>6224</v>
      </c>
      <c r="E377" s="14" t="s">
        <v>2734</v>
      </c>
      <c r="F377" s="15"/>
      <c r="G377" s="14"/>
      <c r="H377" s="15"/>
      <c r="I377" s="15"/>
      <c r="J377" s="14" t="str">
        <f t="shared" si="6"/>
        <v/>
      </c>
      <c r="K377" s="374"/>
      <c r="L377" s="18"/>
      <c r="M377" s="375"/>
      <c r="N377" s="15"/>
      <c r="O377" s="15"/>
      <c r="P377" s="15"/>
      <c r="Q377" s="14" t="s">
        <v>3712</v>
      </c>
    </row>
    <row r="378" spans="4:17">
      <c r="D378" s="15" t="s">
        <v>6225</v>
      </c>
      <c r="E378" s="14" t="s">
        <v>2734</v>
      </c>
      <c r="F378" s="15"/>
      <c r="G378" s="14"/>
      <c r="H378" s="15"/>
      <c r="I378" s="15"/>
      <c r="J378" s="14" t="str">
        <f t="shared" si="6"/>
        <v/>
      </c>
      <c r="K378" s="374"/>
      <c r="L378" s="18"/>
      <c r="M378" s="375"/>
      <c r="N378" s="15"/>
      <c r="O378" s="15"/>
      <c r="P378" s="15"/>
      <c r="Q378" s="14" t="s">
        <v>3713</v>
      </c>
    </row>
    <row r="379" spans="4:17">
      <c r="D379" s="15" t="s">
        <v>6226</v>
      </c>
      <c r="E379" s="14" t="s">
        <v>2734</v>
      </c>
      <c r="F379" s="15"/>
      <c r="G379" s="14"/>
      <c r="H379" s="15"/>
      <c r="I379" s="15"/>
      <c r="J379" s="14" t="str">
        <f t="shared" si="6"/>
        <v/>
      </c>
      <c r="K379" s="374"/>
      <c r="L379" s="18"/>
      <c r="M379" s="375"/>
      <c r="N379" s="15"/>
      <c r="O379" s="15"/>
      <c r="P379" s="15"/>
      <c r="Q379" s="14" t="s">
        <v>3714</v>
      </c>
    </row>
    <row r="380" spans="4:17">
      <c r="D380" s="15" t="s">
        <v>6227</v>
      </c>
      <c r="E380" s="14" t="s">
        <v>2734</v>
      </c>
      <c r="F380" s="15"/>
      <c r="G380" s="14"/>
      <c r="H380" s="15"/>
      <c r="I380" s="15"/>
      <c r="J380" s="14" t="str">
        <f t="shared" ref="J380:J443" si="7">F380&amp;H380&amp;I380</f>
        <v/>
      </c>
      <c r="K380" s="374"/>
      <c r="L380" s="18"/>
      <c r="M380" s="375"/>
      <c r="N380" s="15"/>
      <c r="O380" s="15"/>
      <c r="P380" s="15"/>
      <c r="Q380" s="14" t="s">
        <v>3715</v>
      </c>
    </row>
    <row r="381" spans="4:17">
      <c r="D381" s="15" t="s">
        <v>6228</v>
      </c>
      <c r="E381" s="14" t="s">
        <v>2734</v>
      </c>
      <c r="F381" s="15"/>
      <c r="G381" s="14"/>
      <c r="H381" s="15"/>
      <c r="I381" s="15"/>
      <c r="J381" s="14" t="str">
        <f t="shared" si="7"/>
        <v/>
      </c>
      <c r="K381" s="374"/>
      <c r="L381" s="18"/>
      <c r="M381" s="375"/>
      <c r="N381" s="15"/>
      <c r="O381" s="15"/>
      <c r="P381" s="15"/>
      <c r="Q381" s="14" t="s">
        <v>3716</v>
      </c>
    </row>
    <row r="382" spans="4:17">
      <c r="D382" s="15" t="s">
        <v>6229</v>
      </c>
      <c r="E382" s="14" t="s">
        <v>2734</v>
      </c>
      <c r="F382" s="15"/>
      <c r="G382" s="14"/>
      <c r="H382" s="15"/>
      <c r="I382" s="15"/>
      <c r="J382" s="14" t="str">
        <f t="shared" si="7"/>
        <v/>
      </c>
      <c r="K382" s="374"/>
      <c r="L382" s="18"/>
      <c r="M382" s="375"/>
      <c r="N382" s="15"/>
      <c r="O382" s="15"/>
      <c r="P382" s="15"/>
      <c r="Q382" s="14" t="s">
        <v>3717</v>
      </c>
    </row>
    <row r="383" spans="4:17">
      <c r="D383" s="15" t="s">
        <v>6230</v>
      </c>
      <c r="E383" s="14" t="s">
        <v>2734</v>
      </c>
      <c r="F383" s="15"/>
      <c r="G383" s="14"/>
      <c r="H383" s="15"/>
      <c r="I383" s="15"/>
      <c r="J383" s="14" t="str">
        <f t="shared" si="7"/>
        <v/>
      </c>
      <c r="K383" s="374"/>
      <c r="L383" s="18"/>
      <c r="M383" s="375"/>
      <c r="N383" s="15"/>
      <c r="O383" s="15"/>
      <c r="P383" s="15"/>
      <c r="Q383" s="14" t="s">
        <v>3718</v>
      </c>
    </row>
    <row r="384" spans="4:17">
      <c r="D384" s="15" t="s">
        <v>6231</v>
      </c>
      <c r="E384" s="14" t="s">
        <v>2734</v>
      </c>
      <c r="F384" s="15"/>
      <c r="G384" s="14"/>
      <c r="H384" s="15"/>
      <c r="I384" s="15"/>
      <c r="J384" s="14" t="str">
        <f t="shared" si="7"/>
        <v/>
      </c>
      <c r="K384" s="374"/>
      <c r="L384" s="18"/>
      <c r="M384" s="375"/>
      <c r="N384" s="15"/>
      <c r="O384" s="15"/>
      <c r="P384" s="15"/>
      <c r="Q384" s="14" t="s">
        <v>3719</v>
      </c>
    </row>
    <row r="385" spans="4:17">
      <c r="D385" s="15" t="s">
        <v>6232</v>
      </c>
      <c r="E385" s="14" t="s">
        <v>2734</v>
      </c>
      <c r="F385" s="15"/>
      <c r="G385" s="14"/>
      <c r="H385" s="15"/>
      <c r="I385" s="15"/>
      <c r="J385" s="14" t="str">
        <f t="shared" si="7"/>
        <v/>
      </c>
      <c r="K385" s="374"/>
      <c r="L385" s="18"/>
      <c r="M385" s="375"/>
      <c r="N385" s="15"/>
      <c r="O385" s="15"/>
      <c r="P385" s="15"/>
      <c r="Q385" s="14" t="s">
        <v>3720</v>
      </c>
    </row>
    <row r="386" spans="4:17">
      <c r="D386" s="15" t="s">
        <v>6233</v>
      </c>
      <c r="E386" s="14" t="s">
        <v>2734</v>
      </c>
      <c r="F386" s="15"/>
      <c r="G386" s="14"/>
      <c r="H386" s="15"/>
      <c r="I386" s="15"/>
      <c r="J386" s="14" t="str">
        <f t="shared" si="7"/>
        <v/>
      </c>
      <c r="K386" s="374"/>
      <c r="L386" s="18"/>
      <c r="M386" s="375"/>
      <c r="N386" s="15"/>
      <c r="O386" s="15"/>
      <c r="P386" s="15"/>
      <c r="Q386" s="14" t="s">
        <v>3721</v>
      </c>
    </row>
    <row r="387" spans="4:17">
      <c r="D387" s="15" t="s">
        <v>6234</v>
      </c>
      <c r="E387" s="14" t="s">
        <v>2734</v>
      </c>
      <c r="F387" s="15"/>
      <c r="G387" s="14"/>
      <c r="H387" s="15"/>
      <c r="I387" s="15"/>
      <c r="J387" s="14" t="str">
        <f t="shared" si="7"/>
        <v/>
      </c>
      <c r="K387" s="374"/>
      <c r="L387" s="18"/>
      <c r="M387" s="375"/>
      <c r="N387" s="15"/>
      <c r="O387" s="15"/>
      <c r="P387" s="15"/>
      <c r="Q387" s="14" t="s">
        <v>3722</v>
      </c>
    </row>
    <row r="388" spans="4:17">
      <c r="D388" s="15" t="s">
        <v>6235</v>
      </c>
      <c r="E388" s="14" t="s">
        <v>2734</v>
      </c>
      <c r="F388" s="15"/>
      <c r="G388" s="14"/>
      <c r="H388" s="15"/>
      <c r="I388" s="15"/>
      <c r="J388" s="14" t="str">
        <f t="shared" si="7"/>
        <v/>
      </c>
      <c r="K388" s="374"/>
      <c r="L388" s="18"/>
      <c r="M388" s="375"/>
      <c r="N388" s="15"/>
      <c r="O388" s="15"/>
      <c r="P388" s="15"/>
      <c r="Q388" s="14" t="s">
        <v>3723</v>
      </c>
    </row>
    <row r="389" spans="4:17">
      <c r="D389" s="15" t="s">
        <v>6236</v>
      </c>
      <c r="E389" s="14" t="s">
        <v>2734</v>
      </c>
      <c r="F389" s="15"/>
      <c r="G389" s="14"/>
      <c r="H389" s="15"/>
      <c r="I389" s="15"/>
      <c r="J389" s="14" t="str">
        <f t="shared" si="7"/>
        <v/>
      </c>
      <c r="K389" s="374"/>
      <c r="L389" s="18"/>
      <c r="M389" s="375"/>
      <c r="N389" s="15"/>
      <c r="O389" s="15"/>
      <c r="P389" s="15"/>
      <c r="Q389" s="14" t="s">
        <v>3724</v>
      </c>
    </row>
    <row r="390" spans="4:17">
      <c r="D390" s="15" t="s">
        <v>6237</v>
      </c>
      <c r="E390" s="14" t="s">
        <v>2734</v>
      </c>
      <c r="F390" s="15"/>
      <c r="G390" s="14"/>
      <c r="H390" s="15"/>
      <c r="I390" s="15"/>
      <c r="J390" s="14" t="str">
        <f t="shared" si="7"/>
        <v/>
      </c>
      <c r="K390" s="374"/>
      <c r="L390" s="18"/>
      <c r="M390" s="375"/>
      <c r="N390" s="15"/>
      <c r="O390" s="15"/>
      <c r="P390" s="15"/>
      <c r="Q390" s="14" t="s">
        <v>3725</v>
      </c>
    </row>
    <row r="391" spans="4:17">
      <c r="D391" s="15" t="s">
        <v>6238</v>
      </c>
      <c r="E391" s="14" t="s">
        <v>2734</v>
      </c>
      <c r="F391" s="15"/>
      <c r="G391" s="14"/>
      <c r="H391" s="15"/>
      <c r="I391" s="15"/>
      <c r="J391" s="14" t="str">
        <f t="shared" si="7"/>
        <v/>
      </c>
      <c r="K391" s="374"/>
      <c r="L391" s="18"/>
      <c r="M391" s="375"/>
      <c r="N391" s="15"/>
      <c r="O391" s="15"/>
      <c r="P391" s="15"/>
      <c r="Q391" s="14" t="s">
        <v>3726</v>
      </c>
    </row>
    <row r="392" spans="4:17">
      <c r="D392" s="15" t="s">
        <v>6239</v>
      </c>
      <c r="E392" s="14" t="s">
        <v>2734</v>
      </c>
      <c r="F392" s="15"/>
      <c r="G392" s="14"/>
      <c r="H392" s="15"/>
      <c r="I392" s="15"/>
      <c r="J392" s="14" t="str">
        <f t="shared" si="7"/>
        <v/>
      </c>
      <c r="K392" s="374"/>
      <c r="L392" s="18"/>
      <c r="M392" s="375"/>
      <c r="N392" s="15"/>
      <c r="O392" s="15"/>
      <c r="P392" s="15"/>
      <c r="Q392" s="14" t="s">
        <v>3727</v>
      </c>
    </row>
    <row r="393" spans="4:17">
      <c r="D393" s="15" t="s">
        <v>6240</v>
      </c>
      <c r="E393" s="14" t="s">
        <v>2734</v>
      </c>
      <c r="F393" s="15"/>
      <c r="G393" s="14"/>
      <c r="H393" s="15"/>
      <c r="I393" s="15"/>
      <c r="J393" s="14" t="str">
        <f t="shared" si="7"/>
        <v/>
      </c>
      <c r="K393" s="374"/>
      <c r="L393" s="18"/>
      <c r="M393" s="375"/>
      <c r="N393" s="15"/>
      <c r="O393" s="15"/>
      <c r="P393" s="15"/>
      <c r="Q393" s="14" t="s">
        <v>3728</v>
      </c>
    </row>
    <row r="394" spans="4:17">
      <c r="D394" s="15" t="s">
        <v>6241</v>
      </c>
      <c r="E394" s="14" t="s">
        <v>2734</v>
      </c>
      <c r="F394" s="15"/>
      <c r="G394" s="14"/>
      <c r="H394" s="15"/>
      <c r="I394" s="15"/>
      <c r="J394" s="14" t="str">
        <f t="shared" si="7"/>
        <v/>
      </c>
      <c r="K394" s="374"/>
      <c r="L394" s="18"/>
      <c r="M394" s="375"/>
      <c r="N394" s="15"/>
      <c r="O394" s="15"/>
      <c r="P394" s="15"/>
      <c r="Q394" s="14" t="s">
        <v>3729</v>
      </c>
    </row>
    <row r="395" spans="4:17">
      <c r="D395" s="15" t="s">
        <v>6242</v>
      </c>
      <c r="E395" s="14" t="s">
        <v>2734</v>
      </c>
      <c r="F395" s="15"/>
      <c r="G395" s="14"/>
      <c r="H395" s="15"/>
      <c r="I395" s="15"/>
      <c r="J395" s="14" t="str">
        <f t="shared" si="7"/>
        <v/>
      </c>
      <c r="K395" s="374"/>
      <c r="L395" s="18"/>
      <c r="M395" s="375"/>
      <c r="N395" s="15"/>
      <c r="O395" s="15"/>
      <c r="P395" s="15"/>
      <c r="Q395" s="14" t="s">
        <v>3730</v>
      </c>
    </row>
    <row r="396" spans="4:17">
      <c r="D396" s="15" t="s">
        <v>6243</v>
      </c>
      <c r="E396" s="14" t="s">
        <v>2678</v>
      </c>
      <c r="F396" s="15" t="s">
        <v>1240</v>
      </c>
      <c r="G396" s="14"/>
      <c r="H396" s="15" t="s">
        <v>849</v>
      </c>
      <c r="I396" s="15" t="s">
        <v>3240</v>
      </c>
      <c r="J396" s="14" t="str">
        <f t="shared" si="7"/>
        <v>DRTB-2 Number of people with confirmed RR-TB and/or MDR-TB notifiedAge15+</v>
      </c>
      <c r="K396" s="374">
        <v>984</v>
      </c>
      <c r="L396" s="18">
        <v>1236</v>
      </c>
      <c r="M396" s="375">
        <v>79.611650485436897</v>
      </c>
      <c r="N396" s="15" t="s">
        <v>2328</v>
      </c>
      <c r="O396" s="15" t="s">
        <v>2285</v>
      </c>
      <c r="P396" s="15" t="s">
        <v>2286</v>
      </c>
      <c r="Q396" s="14" t="s">
        <v>3442</v>
      </c>
    </row>
    <row r="397" spans="4:17">
      <c r="D397" s="15" t="s">
        <v>6244</v>
      </c>
      <c r="E397" s="14" t="s">
        <v>2678</v>
      </c>
      <c r="F397" s="15" t="s">
        <v>1240</v>
      </c>
      <c r="G397" s="14"/>
      <c r="H397" s="15" t="s">
        <v>1164</v>
      </c>
      <c r="I397" s="15" t="s">
        <v>3346</v>
      </c>
      <c r="J397" s="14" t="str">
        <f t="shared" si="7"/>
        <v>DRTB-2 Number of people with confirmed RR-TB and/or MDR-TB notifiedHIV statusUnknown</v>
      </c>
      <c r="K397" s="374">
        <v>443</v>
      </c>
      <c r="L397" s="18">
        <v>1236</v>
      </c>
      <c r="M397" s="375">
        <v>35.841423948220097</v>
      </c>
      <c r="N397" s="15" t="s">
        <v>2328</v>
      </c>
      <c r="O397" s="15" t="s">
        <v>2285</v>
      </c>
      <c r="P397" s="15" t="s">
        <v>2287</v>
      </c>
      <c r="Q397" s="14" t="s">
        <v>3445</v>
      </c>
    </row>
    <row r="398" spans="4:17">
      <c r="D398" s="15" t="s">
        <v>6245</v>
      </c>
      <c r="E398" s="14" t="s">
        <v>2678</v>
      </c>
      <c r="F398" s="15" t="s">
        <v>1240</v>
      </c>
      <c r="G398" s="14"/>
      <c r="H398" s="15" t="s">
        <v>849</v>
      </c>
      <c r="I398" s="15" t="s">
        <v>3244</v>
      </c>
      <c r="J398" s="14" t="str">
        <f t="shared" si="7"/>
        <v>DRTB-2 Number of people with confirmed RR-TB and/or MDR-TB notifiedAge&lt;15</v>
      </c>
      <c r="K398" s="374">
        <v>36</v>
      </c>
      <c r="L398" s="18">
        <v>1236</v>
      </c>
      <c r="M398" s="375">
        <v>2.9126213592233001</v>
      </c>
      <c r="N398" s="15" t="s">
        <v>2328</v>
      </c>
      <c r="O398" s="15" t="s">
        <v>2285</v>
      </c>
      <c r="P398" s="15" t="s">
        <v>2288</v>
      </c>
      <c r="Q398" s="14" t="s">
        <v>3448</v>
      </c>
    </row>
    <row r="399" spans="4:17">
      <c r="D399" s="15" t="s">
        <v>6246</v>
      </c>
      <c r="E399" s="14" t="s">
        <v>2678</v>
      </c>
      <c r="F399" s="15" t="s">
        <v>1240</v>
      </c>
      <c r="G399" s="14"/>
      <c r="H399" s="15" t="s">
        <v>1192</v>
      </c>
      <c r="I399" s="15" t="s">
        <v>3193</v>
      </c>
      <c r="J399" s="14" t="str">
        <f t="shared" si="7"/>
        <v>DRTB-2 Number of people with confirmed RR-TB and/or MDR-TB notifiedGenderMale</v>
      </c>
      <c r="K399" s="374">
        <v>756</v>
      </c>
      <c r="L399" s="18">
        <v>1236</v>
      </c>
      <c r="M399" s="375">
        <v>61.165048543689302</v>
      </c>
      <c r="N399" s="15" t="s">
        <v>2328</v>
      </c>
      <c r="O399" s="15" t="s">
        <v>2285</v>
      </c>
      <c r="P399" s="15" t="s">
        <v>2289</v>
      </c>
      <c r="Q399" s="14" t="s">
        <v>3451</v>
      </c>
    </row>
    <row r="400" spans="4:17">
      <c r="D400" s="15" t="s">
        <v>6247</v>
      </c>
      <c r="E400" s="14" t="s">
        <v>2678</v>
      </c>
      <c r="F400" s="15" t="s">
        <v>1240</v>
      </c>
      <c r="G400" s="14"/>
      <c r="H400" s="15" t="s">
        <v>1164</v>
      </c>
      <c r="I400" s="15" t="s">
        <v>3356</v>
      </c>
      <c r="J400" s="14" t="str">
        <f t="shared" si="7"/>
        <v>DRTB-2 Number of people with confirmed RR-TB and/or MDR-TB notifiedHIV statusNegative</v>
      </c>
      <c r="K400" s="374">
        <v>740</v>
      </c>
      <c r="L400" s="18">
        <v>1236</v>
      </c>
      <c r="M400" s="375">
        <v>59.870550161812297</v>
      </c>
      <c r="N400" s="15" t="s">
        <v>2328</v>
      </c>
      <c r="O400" s="15" t="s">
        <v>2285</v>
      </c>
      <c r="P400" s="15" t="s">
        <v>2290</v>
      </c>
      <c r="Q400" s="14" t="s">
        <v>3454</v>
      </c>
    </row>
    <row r="401" spans="4:17">
      <c r="D401" s="15" t="s">
        <v>6248</v>
      </c>
      <c r="E401" s="14" t="s">
        <v>2678</v>
      </c>
      <c r="F401" s="15" t="s">
        <v>1240</v>
      </c>
      <c r="G401" s="14"/>
      <c r="H401" s="15" t="s">
        <v>1192</v>
      </c>
      <c r="I401" s="15" t="s">
        <v>3197</v>
      </c>
      <c r="J401" s="14" t="str">
        <f t="shared" si="7"/>
        <v>DRTB-2 Number of people with confirmed RR-TB and/or MDR-TB notifiedGenderFemale</v>
      </c>
      <c r="K401" s="374">
        <v>480</v>
      </c>
      <c r="L401" s="18">
        <v>1236</v>
      </c>
      <c r="M401" s="375">
        <v>38.834951456310698</v>
      </c>
      <c r="N401" s="15" t="s">
        <v>2328</v>
      </c>
      <c r="O401" s="15" t="s">
        <v>2285</v>
      </c>
      <c r="P401" s="15" t="s">
        <v>2291</v>
      </c>
      <c r="Q401" s="14" t="s">
        <v>3457</v>
      </c>
    </row>
    <row r="402" spans="4:17">
      <c r="D402" s="15" t="s">
        <v>6249</v>
      </c>
      <c r="E402" s="14" t="s">
        <v>2678</v>
      </c>
      <c r="F402" s="15" t="s">
        <v>1240</v>
      </c>
      <c r="G402" s="14"/>
      <c r="H402" s="15" t="s">
        <v>1164</v>
      </c>
      <c r="I402" s="15" t="s">
        <v>3367</v>
      </c>
      <c r="J402" s="14" t="str">
        <f t="shared" si="7"/>
        <v>DRTB-2 Number of people with confirmed RR-TB and/or MDR-TB notifiedHIV statusPositive</v>
      </c>
      <c r="K402" s="374">
        <v>53</v>
      </c>
      <c r="L402" s="18">
        <v>1236</v>
      </c>
      <c r="M402" s="375">
        <v>4.2880258899676402</v>
      </c>
      <c r="N402" s="15" t="s">
        <v>2328</v>
      </c>
      <c r="O402" s="15" t="s">
        <v>2285</v>
      </c>
      <c r="P402" s="15" t="s">
        <v>2292</v>
      </c>
      <c r="Q402" s="14" t="s">
        <v>3460</v>
      </c>
    </row>
    <row r="403" spans="4:17">
      <c r="D403" s="15" t="s">
        <v>6250</v>
      </c>
      <c r="E403" s="14" t="s">
        <v>2678</v>
      </c>
      <c r="F403" s="15" t="s">
        <v>1240</v>
      </c>
      <c r="G403" s="14"/>
      <c r="H403" s="15"/>
      <c r="I403" s="15"/>
      <c r="J403" s="14" t="str">
        <f t="shared" si="7"/>
        <v>DRTB-2 Number of people with confirmed RR-TB and/or MDR-TB notified</v>
      </c>
      <c r="K403" s="374"/>
      <c r="L403" s="18"/>
      <c r="M403" s="375"/>
      <c r="N403" s="15"/>
      <c r="O403" s="15"/>
      <c r="P403" s="15"/>
      <c r="Q403" s="14" t="s">
        <v>3463</v>
      </c>
    </row>
    <row r="404" spans="4:17">
      <c r="D404" s="15" t="s">
        <v>6251</v>
      </c>
      <c r="E404" s="14" t="s">
        <v>2678</v>
      </c>
      <c r="F404" s="15" t="s">
        <v>1240</v>
      </c>
      <c r="G404" s="14"/>
      <c r="H404" s="15"/>
      <c r="I404" s="15"/>
      <c r="J404" s="14" t="str">
        <f t="shared" si="7"/>
        <v>DRTB-2 Number of people with confirmed RR-TB and/or MDR-TB notified</v>
      </c>
      <c r="K404" s="374"/>
      <c r="L404" s="18"/>
      <c r="M404" s="375"/>
      <c r="N404" s="15"/>
      <c r="O404" s="15"/>
      <c r="P404" s="15"/>
      <c r="Q404" s="14" t="s">
        <v>3464</v>
      </c>
    </row>
    <row r="405" spans="4:17">
      <c r="D405" s="15" t="s">
        <v>6252</v>
      </c>
      <c r="E405" s="14" t="s">
        <v>2678</v>
      </c>
      <c r="F405" s="15" t="s">
        <v>1240</v>
      </c>
      <c r="G405" s="14"/>
      <c r="H405" s="15"/>
      <c r="I405" s="15"/>
      <c r="J405" s="14" t="str">
        <f t="shared" si="7"/>
        <v>DRTB-2 Number of people with confirmed RR-TB and/or MDR-TB notified</v>
      </c>
      <c r="K405" s="374"/>
      <c r="L405" s="18"/>
      <c r="M405" s="375"/>
      <c r="N405" s="15"/>
      <c r="O405" s="15"/>
      <c r="P405" s="15"/>
      <c r="Q405" s="14" t="s">
        <v>3465</v>
      </c>
    </row>
    <row r="406" spans="4:17">
      <c r="D406" s="15" t="s">
        <v>6253</v>
      </c>
      <c r="E406" s="14" t="s">
        <v>2678</v>
      </c>
      <c r="F406" s="15" t="s">
        <v>1240</v>
      </c>
      <c r="G406" s="14"/>
      <c r="H406" s="15"/>
      <c r="I406" s="15"/>
      <c r="J406" s="14" t="str">
        <f t="shared" si="7"/>
        <v>DRTB-2 Number of people with confirmed RR-TB and/or MDR-TB notified</v>
      </c>
      <c r="K406" s="374"/>
      <c r="L406" s="18"/>
      <c r="M406" s="375"/>
      <c r="N406" s="15"/>
      <c r="O406" s="15"/>
      <c r="P406" s="15"/>
      <c r="Q406" s="14" t="s">
        <v>3466</v>
      </c>
    </row>
    <row r="407" spans="4:17">
      <c r="D407" s="15" t="s">
        <v>6254</v>
      </c>
      <c r="E407" s="14" t="s">
        <v>2678</v>
      </c>
      <c r="F407" s="15" t="s">
        <v>1240</v>
      </c>
      <c r="G407" s="14"/>
      <c r="H407" s="15"/>
      <c r="I407" s="15"/>
      <c r="J407" s="14" t="str">
        <f t="shared" si="7"/>
        <v>DRTB-2 Number of people with confirmed RR-TB and/or MDR-TB notified</v>
      </c>
      <c r="K407" s="374"/>
      <c r="L407" s="18"/>
      <c r="M407" s="375"/>
      <c r="N407" s="15"/>
      <c r="O407" s="15"/>
      <c r="P407" s="15"/>
      <c r="Q407" s="14" t="s">
        <v>3467</v>
      </c>
    </row>
    <row r="408" spans="4:17">
      <c r="D408" s="15" t="s">
        <v>6255</v>
      </c>
      <c r="E408" s="14" t="s">
        <v>2678</v>
      </c>
      <c r="F408" s="15" t="s">
        <v>1240</v>
      </c>
      <c r="G408" s="14"/>
      <c r="H408" s="15"/>
      <c r="I408" s="15"/>
      <c r="J408" s="14" t="str">
        <f t="shared" si="7"/>
        <v>DRTB-2 Number of people with confirmed RR-TB and/or MDR-TB notified</v>
      </c>
      <c r="K408" s="374"/>
      <c r="L408" s="18"/>
      <c r="M408" s="375"/>
      <c r="N408" s="15"/>
      <c r="O408" s="15"/>
      <c r="P408" s="15"/>
      <c r="Q408" s="14" t="s">
        <v>3468</v>
      </c>
    </row>
    <row r="409" spans="4:17">
      <c r="D409" s="15" t="s">
        <v>6256</v>
      </c>
      <c r="E409" s="14" t="s">
        <v>2678</v>
      </c>
      <c r="F409" s="15" t="s">
        <v>1240</v>
      </c>
      <c r="G409" s="14"/>
      <c r="H409" s="15"/>
      <c r="I409" s="15"/>
      <c r="J409" s="14" t="str">
        <f t="shared" si="7"/>
        <v>DRTB-2 Number of people with confirmed RR-TB and/or MDR-TB notified</v>
      </c>
      <c r="K409" s="374"/>
      <c r="L409" s="18"/>
      <c r="M409" s="375"/>
      <c r="N409" s="15"/>
      <c r="O409" s="15"/>
      <c r="P409" s="15"/>
      <c r="Q409" s="14" t="s">
        <v>3469</v>
      </c>
    </row>
    <row r="410" spans="4:17">
      <c r="D410" s="15" t="s">
        <v>6257</v>
      </c>
      <c r="E410" s="14" t="s">
        <v>2678</v>
      </c>
      <c r="F410" s="15" t="s">
        <v>1240</v>
      </c>
      <c r="G410" s="14"/>
      <c r="H410" s="15"/>
      <c r="I410" s="15"/>
      <c r="J410" s="14" t="str">
        <f t="shared" si="7"/>
        <v>DRTB-2 Number of people with confirmed RR-TB and/or MDR-TB notified</v>
      </c>
      <c r="K410" s="374"/>
      <c r="L410" s="18"/>
      <c r="M410" s="375"/>
      <c r="N410" s="15"/>
      <c r="O410" s="15"/>
      <c r="P410" s="15"/>
      <c r="Q410" s="14" t="s">
        <v>3470</v>
      </c>
    </row>
    <row r="411" spans="4:17">
      <c r="D411" s="15" t="s">
        <v>6258</v>
      </c>
      <c r="E411" s="14" t="s">
        <v>2678</v>
      </c>
      <c r="F411" s="15" t="s">
        <v>1240</v>
      </c>
      <c r="G411" s="14"/>
      <c r="H411" s="15"/>
      <c r="I411" s="15"/>
      <c r="J411" s="14" t="str">
        <f t="shared" si="7"/>
        <v>DRTB-2 Number of people with confirmed RR-TB and/or MDR-TB notified</v>
      </c>
      <c r="K411" s="374"/>
      <c r="L411" s="18"/>
      <c r="M411" s="375"/>
      <c r="N411" s="15"/>
      <c r="O411" s="15"/>
      <c r="P411" s="15"/>
      <c r="Q411" s="14" t="s">
        <v>3471</v>
      </c>
    </row>
    <row r="412" spans="4:17">
      <c r="D412" s="15" t="s">
        <v>6259</v>
      </c>
      <c r="E412" s="14" t="s">
        <v>2678</v>
      </c>
      <c r="F412" s="15" t="s">
        <v>1240</v>
      </c>
      <c r="G412" s="14"/>
      <c r="H412" s="15"/>
      <c r="I412" s="15"/>
      <c r="J412" s="14" t="str">
        <f t="shared" si="7"/>
        <v>DRTB-2 Number of people with confirmed RR-TB and/or MDR-TB notified</v>
      </c>
      <c r="K412" s="374"/>
      <c r="L412" s="18"/>
      <c r="M412" s="375"/>
      <c r="N412" s="15"/>
      <c r="O412" s="15"/>
      <c r="P412" s="15"/>
      <c r="Q412" s="14" t="s">
        <v>3472</v>
      </c>
    </row>
    <row r="413" spans="4:17">
      <c r="D413" s="15" t="s">
        <v>6260</v>
      </c>
      <c r="E413" s="14" t="s">
        <v>2678</v>
      </c>
      <c r="F413" s="15" t="s">
        <v>1240</v>
      </c>
      <c r="G413" s="14"/>
      <c r="H413" s="15"/>
      <c r="I413" s="15"/>
      <c r="J413" s="14" t="str">
        <f t="shared" si="7"/>
        <v>DRTB-2 Number of people with confirmed RR-TB and/or MDR-TB notified</v>
      </c>
      <c r="K413" s="374"/>
      <c r="L413" s="18"/>
      <c r="M413" s="375"/>
      <c r="N413" s="15"/>
      <c r="O413" s="15"/>
      <c r="P413" s="15"/>
      <c r="Q413" s="14" t="s">
        <v>3473</v>
      </c>
    </row>
    <row r="414" spans="4:17">
      <c r="D414" s="15" t="s">
        <v>6261</v>
      </c>
      <c r="E414" s="14" t="s">
        <v>2678</v>
      </c>
      <c r="F414" s="15" t="s">
        <v>1240</v>
      </c>
      <c r="G414" s="14"/>
      <c r="H414" s="15"/>
      <c r="I414" s="15"/>
      <c r="J414" s="14" t="str">
        <f t="shared" si="7"/>
        <v>DRTB-2 Number of people with confirmed RR-TB and/or MDR-TB notified</v>
      </c>
      <c r="K414" s="374"/>
      <c r="L414" s="18"/>
      <c r="M414" s="375"/>
      <c r="N414" s="15"/>
      <c r="O414" s="15"/>
      <c r="P414" s="15"/>
      <c r="Q414" s="14" t="s">
        <v>3474</v>
      </c>
    </row>
    <row r="415" spans="4:17">
      <c r="D415" s="15" t="s">
        <v>6262</v>
      </c>
      <c r="E415" s="14" t="s">
        <v>2678</v>
      </c>
      <c r="F415" s="15" t="s">
        <v>1240</v>
      </c>
      <c r="G415" s="14"/>
      <c r="H415" s="15"/>
      <c r="I415" s="15"/>
      <c r="J415" s="14" t="str">
        <f t="shared" si="7"/>
        <v>DRTB-2 Number of people with confirmed RR-TB and/or MDR-TB notified</v>
      </c>
      <c r="K415" s="374"/>
      <c r="L415" s="18"/>
      <c r="M415" s="375"/>
      <c r="N415" s="15"/>
      <c r="O415" s="15"/>
      <c r="P415" s="15"/>
      <c r="Q415" s="14" t="s">
        <v>3475</v>
      </c>
    </row>
    <row r="416" spans="4:17">
      <c r="D416" s="15" t="s">
        <v>6263</v>
      </c>
      <c r="E416" s="14" t="s">
        <v>2685</v>
      </c>
      <c r="F416" s="15" t="s">
        <v>1243</v>
      </c>
      <c r="G416" s="14"/>
      <c r="H416" s="15" t="s">
        <v>849</v>
      </c>
      <c r="I416" s="15" t="s">
        <v>3240</v>
      </c>
      <c r="J416" s="14" t="str">
        <f t="shared" si="7"/>
        <v>DRTB-3 Percentage of people with confirmed RR-TB and/or MDR-TB that began second-line treatmentAge15+</v>
      </c>
      <c r="K416" s="374">
        <v>1072</v>
      </c>
      <c r="L416" s="18">
        <v>1236</v>
      </c>
      <c r="M416" s="375">
        <v>86.731391585760505</v>
      </c>
      <c r="N416" s="15" t="s">
        <v>2328</v>
      </c>
      <c r="O416" s="15" t="s">
        <v>2285</v>
      </c>
      <c r="P416" s="15" t="s">
        <v>2293</v>
      </c>
      <c r="Q416" s="14" t="s">
        <v>3476</v>
      </c>
    </row>
    <row r="417" spans="4:17">
      <c r="D417" s="15" t="s">
        <v>6264</v>
      </c>
      <c r="E417" s="14" t="s">
        <v>2685</v>
      </c>
      <c r="F417" s="15" t="s">
        <v>1243</v>
      </c>
      <c r="G417" s="14"/>
      <c r="H417" s="15" t="s">
        <v>849</v>
      </c>
      <c r="I417" s="15" t="s">
        <v>3244</v>
      </c>
      <c r="J417" s="14" t="str">
        <f t="shared" si="7"/>
        <v>DRTB-3 Percentage of people with confirmed RR-TB and/or MDR-TB that began second-line treatmentAge&lt;15</v>
      </c>
      <c r="K417" s="374">
        <v>53</v>
      </c>
      <c r="L417" s="18">
        <v>1236</v>
      </c>
      <c r="M417" s="375">
        <v>4.2880258899676402</v>
      </c>
      <c r="N417" s="15" t="s">
        <v>2328</v>
      </c>
      <c r="O417" s="15" t="s">
        <v>2285</v>
      </c>
      <c r="P417" s="15" t="s">
        <v>2294</v>
      </c>
      <c r="Q417" s="14" t="s">
        <v>3479</v>
      </c>
    </row>
    <row r="418" spans="4:17">
      <c r="D418" s="15" t="s">
        <v>6265</v>
      </c>
      <c r="E418" s="14" t="s">
        <v>2685</v>
      </c>
      <c r="F418" s="15" t="s">
        <v>1243</v>
      </c>
      <c r="G418" s="14"/>
      <c r="H418" s="15" t="s">
        <v>1192</v>
      </c>
      <c r="I418" s="15" t="s">
        <v>3193</v>
      </c>
      <c r="J418" s="14" t="str">
        <f t="shared" si="7"/>
        <v>DRTB-3 Percentage of people with confirmed RR-TB and/or MDR-TB that began second-line treatmentGenderMale</v>
      </c>
      <c r="K418" s="374">
        <v>686</v>
      </c>
      <c r="L418" s="18">
        <v>1236</v>
      </c>
      <c r="M418" s="375">
        <v>55.501618122977298</v>
      </c>
      <c r="N418" s="15" t="s">
        <v>2328</v>
      </c>
      <c r="O418" s="15" t="s">
        <v>2285</v>
      </c>
      <c r="P418" s="15" t="s">
        <v>2295</v>
      </c>
      <c r="Q418" s="14" t="s">
        <v>3482</v>
      </c>
    </row>
    <row r="419" spans="4:17">
      <c r="D419" s="15" t="s">
        <v>6266</v>
      </c>
      <c r="E419" s="14" t="s">
        <v>2685</v>
      </c>
      <c r="F419" s="15" t="s">
        <v>1243</v>
      </c>
      <c r="G419" s="14"/>
      <c r="H419" s="15" t="s">
        <v>5476</v>
      </c>
      <c r="I419" s="15" t="s">
        <v>3486</v>
      </c>
      <c r="J419" s="14" t="str">
        <f t="shared" si="7"/>
        <v>DRTB-3 Percentage of people with confirmed RR-TB and/or MDR-TB that began second-line treatmentTreatment regimenLonger individualized</v>
      </c>
      <c r="K419" s="374">
        <v>5</v>
      </c>
      <c r="L419" s="18">
        <v>1236</v>
      </c>
      <c r="M419" s="375">
        <v>0.40453074433656999</v>
      </c>
      <c r="N419" s="15" t="s">
        <v>2328</v>
      </c>
      <c r="O419" s="15" t="s">
        <v>2285</v>
      </c>
      <c r="P419" s="15" t="s">
        <v>2296</v>
      </c>
      <c r="Q419" s="14" t="s">
        <v>3485</v>
      </c>
    </row>
    <row r="420" spans="4:17">
      <c r="D420" s="15" t="s">
        <v>6267</v>
      </c>
      <c r="E420" s="14" t="s">
        <v>2685</v>
      </c>
      <c r="F420" s="15" t="s">
        <v>1243</v>
      </c>
      <c r="G420" s="14"/>
      <c r="H420" s="15" t="s">
        <v>1192</v>
      </c>
      <c r="I420" s="15" t="s">
        <v>3197</v>
      </c>
      <c r="J420" s="14" t="str">
        <f t="shared" si="7"/>
        <v>DRTB-3 Percentage of people with confirmed RR-TB and/or MDR-TB that began second-line treatmentGenderFemale</v>
      </c>
      <c r="K420" s="374">
        <v>480</v>
      </c>
      <c r="L420" s="18">
        <v>1236</v>
      </c>
      <c r="M420" s="375">
        <v>38.834951456310698</v>
      </c>
      <c r="N420" s="15" t="s">
        <v>2328</v>
      </c>
      <c r="O420" s="15" t="s">
        <v>2285</v>
      </c>
      <c r="P420" s="15" t="s">
        <v>2297</v>
      </c>
      <c r="Q420" s="14" t="s">
        <v>3489</v>
      </c>
    </row>
    <row r="421" spans="4:17">
      <c r="D421" s="15" t="s">
        <v>6268</v>
      </c>
      <c r="E421" s="14" t="s">
        <v>2685</v>
      </c>
      <c r="F421" s="15" t="s">
        <v>1243</v>
      </c>
      <c r="G421" s="14"/>
      <c r="H421" s="15" t="s">
        <v>5476</v>
      </c>
      <c r="I421" s="15" t="s">
        <v>3493</v>
      </c>
      <c r="J421" s="14" t="str">
        <f t="shared" si="7"/>
        <v>DRTB-3 Percentage of people with confirmed RR-TB and/or MDR-TB that began second-line treatmentTreatment regimenShorter 6-9 month</v>
      </c>
      <c r="K421" s="374">
        <v>1120</v>
      </c>
      <c r="L421" s="18">
        <v>1236</v>
      </c>
      <c r="M421" s="375">
        <v>90.614886731391607</v>
      </c>
      <c r="N421" s="15" t="s">
        <v>2328</v>
      </c>
      <c r="O421" s="15" t="s">
        <v>2285</v>
      </c>
      <c r="P421" s="15" t="s">
        <v>2298</v>
      </c>
      <c r="Q421" s="14" t="s">
        <v>3492</v>
      </c>
    </row>
    <row r="422" spans="4:17">
      <c r="D422" s="15" t="s">
        <v>6269</v>
      </c>
      <c r="E422" s="14" t="s">
        <v>2685</v>
      </c>
      <c r="F422" s="15" t="s">
        <v>1243</v>
      </c>
      <c r="G422" s="14"/>
      <c r="H422" s="15"/>
      <c r="I422" s="15"/>
      <c r="J422" s="14" t="str">
        <f t="shared" si="7"/>
        <v>DRTB-3 Percentage of people with confirmed RR-TB and/or MDR-TB that began second-line treatment</v>
      </c>
      <c r="K422" s="374"/>
      <c r="L422" s="18"/>
      <c r="M422" s="375"/>
      <c r="N422" s="15"/>
      <c r="O422" s="15"/>
      <c r="P422" s="15"/>
      <c r="Q422" s="14" t="s">
        <v>3496</v>
      </c>
    </row>
    <row r="423" spans="4:17">
      <c r="D423" s="15" t="s">
        <v>6270</v>
      </c>
      <c r="E423" s="14" t="s">
        <v>2685</v>
      </c>
      <c r="F423" s="15" t="s">
        <v>1243</v>
      </c>
      <c r="G423" s="14"/>
      <c r="H423" s="15"/>
      <c r="I423" s="15"/>
      <c r="J423" s="14" t="str">
        <f t="shared" si="7"/>
        <v>DRTB-3 Percentage of people with confirmed RR-TB and/or MDR-TB that began second-line treatment</v>
      </c>
      <c r="K423" s="374"/>
      <c r="L423" s="18"/>
      <c r="M423" s="375"/>
      <c r="N423" s="15"/>
      <c r="O423" s="15"/>
      <c r="P423" s="15"/>
      <c r="Q423" s="14" t="s">
        <v>3497</v>
      </c>
    </row>
    <row r="424" spans="4:17">
      <c r="D424" s="15" t="s">
        <v>6271</v>
      </c>
      <c r="E424" s="14" t="s">
        <v>2685</v>
      </c>
      <c r="F424" s="15" t="s">
        <v>1243</v>
      </c>
      <c r="G424" s="14"/>
      <c r="H424" s="15"/>
      <c r="I424" s="15"/>
      <c r="J424" s="14" t="str">
        <f t="shared" si="7"/>
        <v>DRTB-3 Percentage of people with confirmed RR-TB and/or MDR-TB that began second-line treatment</v>
      </c>
      <c r="K424" s="374"/>
      <c r="L424" s="18"/>
      <c r="M424" s="375"/>
      <c r="N424" s="15"/>
      <c r="O424" s="15"/>
      <c r="P424" s="15"/>
      <c r="Q424" s="14" t="s">
        <v>3498</v>
      </c>
    </row>
    <row r="425" spans="4:17">
      <c r="D425" s="15" t="s">
        <v>6272</v>
      </c>
      <c r="E425" s="14" t="s">
        <v>2685</v>
      </c>
      <c r="F425" s="15" t="s">
        <v>1243</v>
      </c>
      <c r="G425" s="14"/>
      <c r="H425" s="15"/>
      <c r="I425" s="15"/>
      <c r="J425" s="14" t="str">
        <f t="shared" si="7"/>
        <v>DRTB-3 Percentage of people with confirmed RR-TB and/or MDR-TB that began second-line treatment</v>
      </c>
      <c r="K425" s="374"/>
      <c r="L425" s="18"/>
      <c r="M425" s="375"/>
      <c r="N425" s="15"/>
      <c r="O425" s="15"/>
      <c r="P425" s="15"/>
      <c r="Q425" s="14" t="s">
        <v>3499</v>
      </c>
    </row>
    <row r="426" spans="4:17">
      <c r="D426" s="15" t="s">
        <v>6273</v>
      </c>
      <c r="E426" s="14" t="s">
        <v>2685</v>
      </c>
      <c r="F426" s="15" t="s">
        <v>1243</v>
      </c>
      <c r="G426" s="14"/>
      <c r="H426" s="15"/>
      <c r="I426" s="15"/>
      <c r="J426" s="14" t="str">
        <f t="shared" si="7"/>
        <v>DRTB-3 Percentage of people with confirmed RR-TB and/or MDR-TB that began second-line treatment</v>
      </c>
      <c r="K426" s="374"/>
      <c r="L426" s="18"/>
      <c r="M426" s="375"/>
      <c r="N426" s="15"/>
      <c r="O426" s="15"/>
      <c r="P426" s="15"/>
      <c r="Q426" s="14" t="s">
        <v>3500</v>
      </c>
    </row>
    <row r="427" spans="4:17">
      <c r="D427" s="15" t="s">
        <v>6274</v>
      </c>
      <c r="E427" s="14" t="s">
        <v>2685</v>
      </c>
      <c r="F427" s="15" t="s">
        <v>1243</v>
      </c>
      <c r="G427" s="14"/>
      <c r="H427" s="15"/>
      <c r="I427" s="15"/>
      <c r="J427" s="14" t="str">
        <f t="shared" si="7"/>
        <v>DRTB-3 Percentage of people with confirmed RR-TB and/or MDR-TB that began second-line treatment</v>
      </c>
      <c r="K427" s="374"/>
      <c r="L427" s="18"/>
      <c r="M427" s="375"/>
      <c r="N427" s="15"/>
      <c r="O427" s="15"/>
      <c r="P427" s="15"/>
      <c r="Q427" s="14" t="s">
        <v>3501</v>
      </c>
    </row>
    <row r="428" spans="4:17">
      <c r="D428" s="15" t="s">
        <v>6275</v>
      </c>
      <c r="E428" s="14" t="s">
        <v>2685</v>
      </c>
      <c r="F428" s="15" t="s">
        <v>1243</v>
      </c>
      <c r="G428" s="14"/>
      <c r="H428" s="15"/>
      <c r="I428" s="15"/>
      <c r="J428" s="14" t="str">
        <f t="shared" si="7"/>
        <v>DRTB-3 Percentage of people with confirmed RR-TB and/or MDR-TB that began second-line treatment</v>
      </c>
      <c r="K428" s="374"/>
      <c r="L428" s="18"/>
      <c r="M428" s="375"/>
      <c r="N428" s="15"/>
      <c r="O428" s="15"/>
      <c r="P428" s="15"/>
      <c r="Q428" s="14" t="s">
        <v>3502</v>
      </c>
    </row>
    <row r="429" spans="4:17">
      <c r="D429" s="15" t="s">
        <v>6276</v>
      </c>
      <c r="E429" s="14" t="s">
        <v>2685</v>
      </c>
      <c r="F429" s="15" t="s">
        <v>1243</v>
      </c>
      <c r="G429" s="14"/>
      <c r="H429" s="15"/>
      <c r="I429" s="15"/>
      <c r="J429" s="14" t="str">
        <f t="shared" si="7"/>
        <v>DRTB-3 Percentage of people with confirmed RR-TB and/or MDR-TB that began second-line treatment</v>
      </c>
      <c r="K429" s="374"/>
      <c r="L429" s="18"/>
      <c r="M429" s="375"/>
      <c r="N429" s="15"/>
      <c r="O429" s="15"/>
      <c r="P429" s="15"/>
      <c r="Q429" s="14" t="s">
        <v>3503</v>
      </c>
    </row>
    <row r="430" spans="4:17">
      <c r="D430" s="15" t="s">
        <v>6277</v>
      </c>
      <c r="E430" s="14" t="s">
        <v>2685</v>
      </c>
      <c r="F430" s="15" t="s">
        <v>1243</v>
      </c>
      <c r="G430" s="14"/>
      <c r="H430" s="15"/>
      <c r="I430" s="15"/>
      <c r="J430" s="14" t="str">
        <f t="shared" si="7"/>
        <v>DRTB-3 Percentage of people with confirmed RR-TB and/or MDR-TB that began second-line treatment</v>
      </c>
      <c r="K430" s="374"/>
      <c r="L430" s="18"/>
      <c r="M430" s="375"/>
      <c r="N430" s="15"/>
      <c r="O430" s="15"/>
      <c r="P430" s="15"/>
      <c r="Q430" s="14" t="s">
        <v>3504</v>
      </c>
    </row>
    <row r="431" spans="4:17">
      <c r="D431" s="15" t="s">
        <v>6278</v>
      </c>
      <c r="E431" s="14" t="s">
        <v>2685</v>
      </c>
      <c r="F431" s="15" t="s">
        <v>1243</v>
      </c>
      <c r="G431" s="14"/>
      <c r="H431" s="15"/>
      <c r="I431" s="15"/>
      <c r="J431" s="14" t="str">
        <f t="shared" si="7"/>
        <v>DRTB-3 Percentage of people with confirmed RR-TB and/or MDR-TB that began second-line treatment</v>
      </c>
      <c r="K431" s="374"/>
      <c r="L431" s="18"/>
      <c r="M431" s="375"/>
      <c r="N431" s="15"/>
      <c r="O431" s="15"/>
      <c r="P431" s="15"/>
      <c r="Q431" s="14" t="s">
        <v>3505</v>
      </c>
    </row>
    <row r="432" spans="4:17">
      <c r="D432" s="15" t="s">
        <v>6279</v>
      </c>
      <c r="E432" s="14" t="s">
        <v>2685</v>
      </c>
      <c r="F432" s="15" t="s">
        <v>1243</v>
      </c>
      <c r="G432" s="14"/>
      <c r="H432" s="15"/>
      <c r="I432" s="15"/>
      <c r="J432" s="14" t="str">
        <f t="shared" si="7"/>
        <v>DRTB-3 Percentage of people with confirmed RR-TB and/or MDR-TB that began second-line treatment</v>
      </c>
      <c r="K432" s="374"/>
      <c r="L432" s="18"/>
      <c r="M432" s="375"/>
      <c r="N432" s="15"/>
      <c r="O432" s="15"/>
      <c r="P432" s="15"/>
      <c r="Q432" s="14" t="s">
        <v>3506</v>
      </c>
    </row>
    <row r="433" spans="4:17">
      <c r="D433" s="15" t="s">
        <v>6280</v>
      </c>
      <c r="E433" s="14" t="s">
        <v>2685</v>
      </c>
      <c r="F433" s="15" t="s">
        <v>1243</v>
      </c>
      <c r="G433" s="14"/>
      <c r="H433" s="15"/>
      <c r="I433" s="15"/>
      <c r="J433" s="14" t="str">
        <f t="shared" si="7"/>
        <v>DRTB-3 Percentage of people with confirmed RR-TB and/or MDR-TB that began second-line treatment</v>
      </c>
      <c r="K433" s="374"/>
      <c r="L433" s="18"/>
      <c r="M433" s="375"/>
      <c r="N433" s="15"/>
      <c r="O433" s="15"/>
      <c r="P433" s="15"/>
      <c r="Q433" s="14" t="s">
        <v>3507</v>
      </c>
    </row>
    <row r="434" spans="4:17">
      <c r="D434" s="15" t="s">
        <v>6281</v>
      </c>
      <c r="E434" s="14" t="s">
        <v>2685</v>
      </c>
      <c r="F434" s="15" t="s">
        <v>1243</v>
      </c>
      <c r="G434" s="14"/>
      <c r="H434" s="15"/>
      <c r="I434" s="15"/>
      <c r="J434" s="14" t="str">
        <f t="shared" si="7"/>
        <v>DRTB-3 Percentage of people with confirmed RR-TB and/or MDR-TB that began second-line treatment</v>
      </c>
      <c r="K434" s="374"/>
      <c r="L434" s="18"/>
      <c r="M434" s="375"/>
      <c r="N434" s="15"/>
      <c r="O434" s="15"/>
      <c r="P434" s="15"/>
      <c r="Q434" s="14" t="s">
        <v>3508</v>
      </c>
    </row>
    <row r="435" spans="4:17">
      <c r="D435" s="15" t="s">
        <v>6282</v>
      </c>
      <c r="E435" s="14" t="s">
        <v>2685</v>
      </c>
      <c r="F435" s="15" t="s">
        <v>1243</v>
      </c>
      <c r="G435" s="14"/>
      <c r="H435" s="15"/>
      <c r="I435" s="15"/>
      <c r="J435" s="14" t="str">
        <f t="shared" si="7"/>
        <v>DRTB-3 Percentage of people with confirmed RR-TB and/or MDR-TB that began second-line treatment</v>
      </c>
      <c r="K435" s="374"/>
      <c r="L435" s="18"/>
      <c r="M435" s="375"/>
      <c r="N435" s="15"/>
      <c r="O435" s="15"/>
      <c r="P435" s="15"/>
      <c r="Q435" s="14" t="s">
        <v>3509</v>
      </c>
    </row>
    <row r="436" spans="4:17">
      <c r="D436" s="15" t="s">
        <v>6283</v>
      </c>
      <c r="E436" s="14" t="s">
        <v>2727</v>
      </c>
      <c r="F436" s="15" t="s">
        <v>1269</v>
      </c>
      <c r="G436" s="14"/>
      <c r="H436" s="15" t="s">
        <v>849</v>
      </c>
      <c r="I436" s="15" t="s">
        <v>3240</v>
      </c>
      <c r="J436" s="14" t="str">
        <f t="shared" si="7"/>
        <v>DRTB-9 Treatment success rate of RR-TB and/or MDR-TB: Percentage of patients with RR and/or MDR-TB successfully treatedAge15+</v>
      </c>
      <c r="K436" s="374"/>
      <c r="L436" s="18"/>
      <c r="M436" s="375"/>
      <c r="N436" s="15"/>
      <c r="O436" s="15"/>
      <c r="P436" s="15" t="s">
        <v>2301</v>
      </c>
      <c r="Q436" s="14" t="s">
        <v>3669</v>
      </c>
    </row>
    <row r="437" spans="4:17">
      <c r="D437" s="15" t="s">
        <v>6284</v>
      </c>
      <c r="E437" s="14" t="s">
        <v>2727</v>
      </c>
      <c r="F437" s="15" t="s">
        <v>1269</v>
      </c>
      <c r="G437" s="14"/>
      <c r="H437" s="15" t="s">
        <v>849</v>
      </c>
      <c r="I437" s="15" t="s">
        <v>3244</v>
      </c>
      <c r="J437" s="14" t="str">
        <f t="shared" si="7"/>
        <v>DRTB-9 Treatment success rate of RR-TB and/or MDR-TB: Percentage of patients with RR and/or MDR-TB successfully treatedAge&lt;15</v>
      </c>
      <c r="K437" s="374"/>
      <c r="L437" s="18"/>
      <c r="M437" s="375"/>
      <c r="N437" s="15"/>
      <c r="O437" s="15"/>
      <c r="P437" s="15" t="s">
        <v>2301</v>
      </c>
      <c r="Q437" s="14" t="s">
        <v>3672</v>
      </c>
    </row>
    <row r="438" spans="4:17">
      <c r="D438" s="15" t="s">
        <v>6285</v>
      </c>
      <c r="E438" s="14" t="s">
        <v>2727</v>
      </c>
      <c r="F438" s="15" t="s">
        <v>1269</v>
      </c>
      <c r="G438" s="14"/>
      <c r="H438" s="15" t="s">
        <v>1164</v>
      </c>
      <c r="I438" s="15" t="s">
        <v>3346</v>
      </c>
      <c r="J438" s="14" t="str">
        <f t="shared" si="7"/>
        <v>DRTB-9 Treatment success rate of RR-TB and/or MDR-TB: Percentage of patients with RR and/or MDR-TB successfully treatedHIV statusUnknown</v>
      </c>
      <c r="K438" s="374"/>
      <c r="L438" s="18"/>
      <c r="M438" s="375"/>
      <c r="N438" s="15"/>
      <c r="O438" s="15"/>
      <c r="P438" s="15" t="s">
        <v>2301</v>
      </c>
      <c r="Q438" s="14" t="s">
        <v>3675</v>
      </c>
    </row>
    <row r="439" spans="4:17">
      <c r="D439" s="15" t="s">
        <v>6286</v>
      </c>
      <c r="E439" s="14" t="s">
        <v>2727</v>
      </c>
      <c r="F439" s="15" t="s">
        <v>1269</v>
      </c>
      <c r="G439" s="14"/>
      <c r="H439" s="15" t="s">
        <v>5476</v>
      </c>
      <c r="I439" s="15" t="s">
        <v>3486</v>
      </c>
      <c r="J439" s="14" t="str">
        <f t="shared" si="7"/>
        <v>DRTB-9 Treatment success rate of RR-TB and/or MDR-TB: Percentage of patients with RR and/or MDR-TB successfully treatedTreatment regimenLonger individualized</v>
      </c>
      <c r="K439" s="374"/>
      <c r="L439" s="18"/>
      <c r="M439" s="375"/>
      <c r="N439" s="15"/>
      <c r="O439" s="15"/>
      <c r="P439" s="15"/>
      <c r="Q439" s="14" t="s">
        <v>3678</v>
      </c>
    </row>
    <row r="440" spans="4:17">
      <c r="D440" s="15" t="s">
        <v>6287</v>
      </c>
      <c r="E440" s="14" t="s">
        <v>2727</v>
      </c>
      <c r="F440" s="15" t="s">
        <v>1269</v>
      </c>
      <c r="G440" s="14"/>
      <c r="H440" s="15" t="s">
        <v>1164</v>
      </c>
      <c r="I440" s="15" t="s">
        <v>3356</v>
      </c>
      <c r="J440" s="14" t="str">
        <f t="shared" si="7"/>
        <v>DRTB-9 Treatment success rate of RR-TB and/or MDR-TB: Percentage of patients with RR and/or MDR-TB successfully treatedHIV statusNegative</v>
      </c>
      <c r="K440" s="374"/>
      <c r="L440" s="18"/>
      <c r="M440" s="375"/>
      <c r="N440" s="15"/>
      <c r="O440" s="15"/>
      <c r="P440" s="15"/>
      <c r="Q440" s="14" t="s">
        <v>3681</v>
      </c>
    </row>
    <row r="441" spans="4:17">
      <c r="D441" s="15" t="s">
        <v>6288</v>
      </c>
      <c r="E441" s="14" t="s">
        <v>2727</v>
      </c>
      <c r="F441" s="15" t="s">
        <v>1269</v>
      </c>
      <c r="G441" s="14"/>
      <c r="H441" s="15" t="s">
        <v>1192</v>
      </c>
      <c r="I441" s="15" t="s">
        <v>3193</v>
      </c>
      <c r="J441" s="14" t="str">
        <f t="shared" si="7"/>
        <v>DRTB-9 Treatment success rate of RR-TB and/or MDR-TB: Percentage of patients with RR and/or MDR-TB successfully treatedGenderMale</v>
      </c>
      <c r="K441" s="374"/>
      <c r="L441" s="18"/>
      <c r="M441" s="375"/>
      <c r="N441" s="15"/>
      <c r="O441" s="15"/>
      <c r="P441" s="15"/>
      <c r="Q441" s="14" t="s">
        <v>3684</v>
      </c>
    </row>
    <row r="442" spans="4:17">
      <c r="D442" s="15" t="s">
        <v>6289</v>
      </c>
      <c r="E442" s="14" t="s">
        <v>2727</v>
      </c>
      <c r="F442" s="15" t="s">
        <v>1269</v>
      </c>
      <c r="G442" s="14"/>
      <c r="H442" s="15" t="s">
        <v>1028</v>
      </c>
      <c r="I442" s="15" t="s">
        <v>3417</v>
      </c>
      <c r="J442" s="14" t="str">
        <f t="shared" si="7"/>
        <v>DRTB-9 Treatment success rate of RR-TB and/or MDR-TB: Percentage of patients with RR and/or MDR-TB successfully treatedProvider typePrivate</v>
      </c>
      <c r="K442" s="374"/>
      <c r="L442" s="18"/>
      <c r="M442" s="375"/>
      <c r="N442" s="15"/>
      <c r="O442" s="15"/>
      <c r="P442" s="15"/>
      <c r="Q442" s="14" t="s">
        <v>3687</v>
      </c>
    </row>
    <row r="443" spans="4:17">
      <c r="D443" s="15" t="s">
        <v>6290</v>
      </c>
      <c r="E443" s="14" t="s">
        <v>2727</v>
      </c>
      <c r="F443" s="15" t="s">
        <v>1269</v>
      </c>
      <c r="G443" s="14"/>
      <c r="H443" s="15" t="s">
        <v>1028</v>
      </c>
      <c r="I443" s="15" t="s">
        <v>3421</v>
      </c>
      <c r="J443" s="14" t="str">
        <f t="shared" si="7"/>
        <v>DRTB-9 Treatment success rate of RR-TB and/or MDR-TB: Percentage of patients with RR and/or MDR-TB successfully treatedProvider typePublic</v>
      </c>
      <c r="K443" s="374"/>
      <c r="L443" s="18"/>
      <c r="M443" s="375"/>
      <c r="N443" s="15"/>
      <c r="O443" s="15"/>
      <c r="P443" s="15"/>
      <c r="Q443" s="14" t="s">
        <v>3690</v>
      </c>
    </row>
    <row r="444" spans="4:17">
      <c r="D444" s="15" t="s">
        <v>6291</v>
      </c>
      <c r="E444" s="14" t="s">
        <v>2727</v>
      </c>
      <c r="F444" s="15" t="s">
        <v>1269</v>
      </c>
      <c r="G444" s="14"/>
      <c r="H444" s="15" t="s">
        <v>1192</v>
      </c>
      <c r="I444" s="15" t="s">
        <v>3197</v>
      </c>
      <c r="J444" s="14" t="str">
        <f t="shared" ref="J444:J507" si="8">F444&amp;H444&amp;I444</f>
        <v>DRTB-9 Treatment success rate of RR-TB and/or MDR-TB: Percentage of patients with RR and/or MDR-TB successfully treatedGenderFemale</v>
      </c>
      <c r="K444" s="374"/>
      <c r="L444" s="18"/>
      <c r="M444" s="375"/>
      <c r="N444" s="15"/>
      <c r="O444" s="15"/>
      <c r="P444" s="15"/>
      <c r="Q444" s="14" t="s">
        <v>3693</v>
      </c>
    </row>
    <row r="445" spans="4:17">
      <c r="D445" s="15" t="s">
        <v>6292</v>
      </c>
      <c r="E445" s="14" t="s">
        <v>2727</v>
      </c>
      <c r="F445" s="15" t="s">
        <v>1269</v>
      </c>
      <c r="G445" s="14"/>
      <c r="H445" s="15" t="s">
        <v>5476</v>
      </c>
      <c r="I445" s="15" t="s">
        <v>3493</v>
      </c>
      <c r="J445" s="14" t="str">
        <f t="shared" si="8"/>
        <v>DRTB-9 Treatment success rate of RR-TB and/or MDR-TB: Percentage of patients with RR and/or MDR-TB successfully treatedTreatment regimenShorter 6-9 month</v>
      </c>
      <c r="K445" s="374"/>
      <c r="L445" s="18"/>
      <c r="M445" s="375"/>
      <c r="N445" s="15"/>
      <c r="O445" s="15"/>
      <c r="P445" s="15"/>
      <c r="Q445" s="14" t="s">
        <v>3696</v>
      </c>
    </row>
    <row r="446" spans="4:17">
      <c r="D446" s="15" t="s">
        <v>6293</v>
      </c>
      <c r="E446" s="14" t="s">
        <v>2727</v>
      </c>
      <c r="F446" s="15" t="s">
        <v>1269</v>
      </c>
      <c r="G446" s="14"/>
      <c r="H446" s="15" t="s">
        <v>1164</v>
      </c>
      <c r="I446" s="15" t="s">
        <v>3367</v>
      </c>
      <c r="J446" s="14" t="str">
        <f t="shared" si="8"/>
        <v>DRTB-9 Treatment success rate of RR-TB and/or MDR-TB: Percentage of patients with RR and/or MDR-TB successfully treatedHIV statusPositive</v>
      </c>
      <c r="K446" s="374"/>
      <c r="L446" s="18"/>
      <c r="M446" s="375"/>
      <c r="N446" s="15"/>
      <c r="O446" s="15"/>
      <c r="P446" s="15"/>
      <c r="Q446" s="14" t="s">
        <v>3699</v>
      </c>
    </row>
    <row r="447" spans="4:17">
      <c r="D447" s="15" t="s">
        <v>6294</v>
      </c>
      <c r="E447" s="14" t="s">
        <v>2727</v>
      </c>
      <c r="F447" s="15" t="s">
        <v>1269</v>
      </c>
      <c r="G447" s="14"/>
      <c r="H447" s="15"/>
      <c r="I447" s="15"/>
      <c r="J447" s="14" t="str">
        <f t="shared" si="8"/>
        <v>DRTB-9 Treatment success rate of RR-TB and/or MDR-TB: Percentage of patients with RR and/or MDR-TB successfully treated</v>
      </c>
      <c r="K447" s="374"/>
      <c r="L447" s="18"/>
      <c r="M447" s="375"/>
      <c r="N447" s="15"/>
      <c r="O447" s="15"/>
      <c r="P447" s="15"/>
      <c r="Q447" s="14" t="s">
        <v>3702</v>
      </c>
    </row>
    <row r="448" spans="4:17">
      <c r="D448" s="15" t="s">
        <v>6295</v>
      </c>
      <c r="E448" s="14" t="s">
        <v>2727</v>
      </c>
      <c r="F448" s="15" t="s">
        <v>1269</v>
      </c>
      <c r="G448" s="14"/>
      <c r="H448" s="15"/>
      <c r="I448" s="15"/>
      <c r="J448" s="14" t="str">
        <f t="shared" si="8"/>
        <v>DRTB-9 Treatment success rate of RR-TB and/or MDR-TB: Percentage of patients with RR and/or MDR-TB successfully treated</v>
      </c>
      <c r="K448" s="374"/>
      <c r="L448" s="18"/>
      <c r="M448" s="375"/>
      <c r="N448" s="15"/>
      <c r="O448" s="15"/>
      <c r="P448" s="15"/>
      <c r="Q448" s="14" t="s">
        <v>3703</v>
      </c>
    </row>
    <row r="449" spans="4:17">
      <c r="D449" s="15" t="s">
        <v>6296</v>
      </c>
      <c r="E449" s="14" t="s">
        <v>2727</v>
      </c>
      <c r="F449" s="15" t="s">
        <v>1269</v>
      </c>
      <c r="G449" s="14"/>
      <c r="H449" s="15"/>
      <c r="I449" s="15"/>
      <c r="J449" s="14" t="str">
        <f t="shared" si="8"/>
        <v>DRTB-9 Treatment success rate of RR-TB and/or MDR-TB: Percentage of patients with RR and/or MDR-TB successfully treated</v>
      </c>
      <c r="K449" s="374"/>
      <c r="L449" s="18"/>
      <c r="M449" s="375"/>
      <c r="N449" s="15"/>
      <c r="O449" s="15"/>
      <c r="P449" s="15"/>
      <c r="Q449" s="14" t="s">
        <v>3704</v>
      </c>
    </row>
    <row r="450" spans="4:17">
      <c r="D450" s="15" t="s">
        <v>6297</v>
      </c>
      <c r="E450" s="14" t="s">
        <v>2727</v>
      </c>
      <c r="F450" s="15" t="s">
        <v>1269</v>
      </c>
      <c r="G450" s="14"/>
      <c r="H450" s="15"/>
      <c r="I450" s="15"/>
      <c r="J450" s="14" t="str">
        <f t="shared" si="8"/>
        <v>DRTB-9 Treatment success rate of RR-TB and/or MDR-TB: Percentage of patients with RR and/or MDR-TB successfully treated</v>
      </c>
      <c r="K450" s="374"/>
      <c r="L450" s="18"/>
      <c r="M450" s="375"/>
      <c r="N450" s="15"/>
      <c r="O450" s="15"/>
      <c r="P450" s="15"/>
      <c r="Q450" s="14" t="s">
        <v>3705</v>
      </c>
    </row>
    <row r="451" spans="4:17">
      <c r="D451" s="15" t="s">
        <v>6298</v>
      </c>
      <c r="E451" s="14" t="s">
        <v>2727</v>
      </c>
      <c r="F451" s="15" t="s">
        <v>1269</v>
      </c>
      <c r="G451" s="14"/>
      <c r="H451" s="15"/>
      <c r="I451" s="15"/>
      <c r="J451" s="14" t="str">
        <f t="shared" si="8"/>
        <v>DRTB-9 Treatment success rate of RR-TB and/or MDR-TB: Percentage of patients with RR and/or MDR-TB successfully treated</v>
      </c>
      <c r="K451" s="374"/>
      <c r="L451" s="18"/>
      <c r="M451" s="375"/>
      <c r="N451" s="15"/>
      <c r="O451" s="15"/>
      <c r="P451" s="15"/>
      <c r="Q451" s="14" t="s">
        <v>3706</v>
      </c>
    </row>
    <row r="452" spans="4:17">
      <c r="D452" s="15" t="s">
        <v>6299</v>
      </c>
      <c r="E452" s="14" t="s">
        <v>2727</v>
      </c>
      <c r="F452" s="15" t="s">
        <v>1269</v>
      </c>
      <c r="G452" s="14"/>
      <c r="H452" s="15"/>
      <c r="I452" s="15"/>
      <c r="J452" s="14" t="str">
        <f t="shared" si="8"/>
        <v>DRTB-9 Treatment success rate of RR-TB and/or MDR-TB: Percentage of patients with RR and/or MDR-TB successfully treated</v>
      </c>
      <c r="K452" s="374"/>
      <c r="L452" s="18"/>
      <c r="M452" s="375"/>
      <c r="N452" s="15"/>
      <c r="O452" s="15"/>
      <c r="P452" s="15"/>
      <c r="Q452" s="14" t="s">
        <v>3707</v>
      </c>
    </row>
    <row r="453" spans="4:17">
      <c r="D453" s="15" t="s">
        <v>6300</v>
      </c>
      <c r="E453" s="14" t="s">
        <v>2727</v>
      </c>
      <c r="F453" s="15" t="s">
        <v>1269</v>
      </c>
      <c r="G453" s="14"/>
      <c r="H453" s="15"/>
      <c r="I453" s="15"/>
      <c r="J453" s="14" t="str">
        <f t="shared" si="8"/>
        <v>DRTB-9 Treatment success rate of RR-TB and/or MDR-TB: Percentage of patients with RR and/or MDR-TB successfully treated</v>
      </c>
      <c r="K453" s="374"/>
      <c r="L453" s="18"/>
      <c r="M453" s="375"/>
      <c r="N453" s="15"/>
      <c r="O453" s="15"/>
      <c r="P453" s="15"/>
      <c r="Q453" s="14" t="s">
        <v>3708</v>
      </c>
    </row>
    <row r="454" spans="4:17">
      <c r="D454" s="15" t="s">
        <v>6301</v>
      </c>
      <c r="E454" s="14" t="s">
        <v>2727</v>
      </c>
      <c r="F454" s="15" t="s">
        <v>1269</v>
      </c>
      <c r="G454" s="14"/>
      <c r="H454" s="15"/>
      <c r="I454" s="15"/>
      <c r="J454" s="14" t="str">
        <f t="shared" si="8"/>
        <v>DRTB-9 Treatment success rate of RR-TB and/or MDR-TB: Percentage of patients with RR and/or MDR-TB successfully treated</v>
      </c>
      <c r="K454" s="374"/>
      <c r="L454" s="18"/>
      <c r="M454" s="375"/>
      <c r="N454" s="15"/>
      <c r="O454" s="15"/>
      <c r="P454" s="15"/>
      <c r="Q454" s="14" t="s">
        <v>3709</v>
      </c>
    </row>
    <row r="455" spans="4:17">
      <c r="D455" s="15" t="s">
        <v>6302</v>
      </c>
      <c r="E455" s="14" t="s">
        <v>2727</v>
      </c>
      <c r="F455" s="15" t="s">
        <v>1269</v>
      </c>
      <c r="G455" s="14"/>
      <c r="H455" s="15"/>
      <c r="I455" s="15"/>
      <c r="J455" s="14" t="str">
        <f t="shared" si="8"/>
        <v>DRTB-9 Treatment success rate of RR-TB and/or MDR-TB: Percentage of patients with RR and/or MDR-TB successfully treated</v>
      </c>
      <c r="K455" s="374"/>
      <c r="L455" s="18"/>
      <c r="M455" s="375"/>
      <c r="N455" s="15"/>
      <c r="O455" s="15"/>
      <c r="P455" s="15"/>
      <c r="Q455" s="14" t="s">
        <v>3710</v>
      </c>
    </row>
    <row r="456" spans="4:17">
      <c r="D456" s="15" t="s">
        <v>6303</v>
      </c>
      <c r="E456" s="14" t="s">
        <v>2692</v>
      </c>
      <c r="F456" s="15" t="s">
        <v>1276</v>
      </c>
      <c r="G456" s="14"/>
      <c r="H456" s="15" t="s">
        <v>849</v>
      </c>
      <c r="I456" s="15" t="s">
        <v>3240</v>
      </c>
      <c r="J456" s="14" t="str">
        <f t="shared" si="8"/>
        <v>TBP-1 Number of people in contact with TB patients who began preventive therapyAge15+</v>
      </c>
      <c r="K456" s="374"/>
      <c r="L456" s="18"/>
      <c r="M456" s="375"/>
      <c r="N456" s="15"/>
      <c r="O456" s="15" t="s">
        <v>2281</v>
      </c>
      <c r="P456" s="15" t="s">
        <v>2282</v>
      </c>
      <c r="Q456" s="14" t="s">
        <v>3510</v>
      </c>
    </row>
    <row r="457" spans="4:17">
      <c r="D457" s="15" t="s">
        <v>6304</v>
      </c>
      <c r="E457" s="14" t="s">
        <v>2692</v>
      </c>
      <c r="F457" s="15" t="s">
        <v>1276</v>
      </c>
      <c r="G457" s="14"/>
      <c r="H457" s="15" t="s">
        <v>5475</v>
      </c>
      <c r="I457" s="15" t="s">
        <v>3514</v>
      </c>
      <c r="J457" s="14" t="str">
        <f t="shared" si="8"/>
        <v>TBP-1 Number of people in contact with TB patients who began preventive therapyTPT regimen6H</v>
      </c>
      <c r="K457" s="374"/>
      <c r="L457" s="18"/>
      <c r="M457" s="375"/>
      <c r="N457" s="15"/>
      <c r="O457" s="15" t="s">
        <v>2281</v>
      </c>
      <c r="P457" s="15" t="s">
        <v>2282</v>
      </c>
      <c r="Q457" s="14" t="s">
        <v>3513</v>
      </c>
    </row>
    <row r="458" spans="4:17">
      <c r="D458" s="15" t="s">
        <v>6305</v>
      </c>
      <c r="E458" s="14" t="s">
        <v>2692</v>
      </c>
      <c r="F458" s="15" t="s">
        <v>1276</v>
      </c>
      <c r="G458" s="14"/>
      <c r="H458" s="15" t="s">
        <v>5475</v>
      </c>
      <c r="I458" s="15" t="s">
        <v>3518</v>
      </c>
      <c r="J458" s="14" t="str">
        <f t="shared" si="8"/>
        <v>TBP-1 Number of people in contact with TB patients who began preventive therapyTPT regimen3RH</v>
      </c>
      <c r="K458" s="374"/>
      <c r="L458" s="18"/>
      <c r="M458" s="375"/>
      <c r="N458" s="15"/>
      <c r="O458" s="15" t="s">
        <v>2281</v>
      </c>
      <c r="P458" s="15" t="s">
        <v>2282</v>
      </c>
      <c r="Q458" s="14" t="s">
        <v>3517</v>
      </c>
    </row>
    <row r="459" spans="4:17">
      <c r="D459" s="15" t="s">
        <v>6306</v>
      </c>
      <c r="E459" s="14" t="s">
        <v>2692</v>
      </c>
      <c r="F459" s="15" t="s">
        <v>1276</v>
      </c>
      <c r="G459" s="14"/>
      <c r="H459" s="15" t="s">
        <v>5475</v>
      </c>
      <c r="I459" s="15" t="s">
        <v>3522</v>
      </c>
      <c r="J459" s="14" t="str">
        <f t="shared" si="8"/>
        <v>TBP-1 Number of people in contact with TB patients who began preventive therapyTPT regimenRIF</v>
      </c>
      <c r="K459" s="374"/>
      <c r="L459" s="18"/>
      <c r="M459" s="375"/>
      <c r="N459" s="15"/>
      <c r="O459" s="15" t="s">
        <v>2281</v>
      </c>
      <c r="P459" s="15" t="s">
        <v>2282</v>
      </c>
      <c r="Q459" s="14" t="s">
        <v>3521</v>
      </c>
    </row>
    <row r="460" spans="4:17">
      <c r="D460" s="15" t="s">
        <v>6307</v>
      </c>
      <c r="E460" s="14" t="s">
        <v>2692</v>
      </c>
      <c r="F460" s="15" t="s">
        <v>1276</v>
      </c>
      <c r="G460" s="14"/>
      <c r="H460" s="15" t="s">
        <v>1164</v>
      </c>
      <c r="I460" s="15" t="s">
        <v>3346</v>
      </c>
      <c r="J460" s="14" t="str">
        <f t="shared" si="8"/>
        <v>TBP-1 Number of people in contact with TB patients who began preventive therapyHIV statusUnknown</v>
      </c>
      <c r="K460" s="374"/>
      <c r="L460" s="18"/>
      <c r="M460" s="375"/>
      <c r="N460" s="15"/>
      <c r="O460" s="15" t="s">
        <v>2281</v>
      </c>
      <c r="P460" s="15" t="s">
        <v>2282</v>
      </c>
      <c r="Q460" s="14" t="s">
        <v>3525</v>
      </c>
    </row>
    <row r="461" spans="4:17">
      <c r="D461" s="15" t="s">
        <v>6308</v>
      </c>
      <c r="E461" s="14" t="s">
        <v>2692</v>
      </c>
      <c r="F461" s="15" t="s">
        <v>1276</v>
      </c>
      <c r="G461" s="14"/>
      <c r="H461" s="15" t="s">
        <v>1164</v>
      </c>
      <c r="I461" s="15" t="s">
        <v>3356</v>
      </c>
      <c r="J461" s="14" t="str">
        <f t="shared" si="8"/>
        <v>TBP-1 Number of people in contact with TB patients who began preventive therapyHIV statusNegative</v>
      </c>
      <c r="K461" s="374"/>
      <c r="L461" s="18"/>
      <c r="M461" s="375"/>
      <c r="N461" s="15"/>
      <c r="O461" s="15" t="s">
        <v>2281</v>
      </c>
      <c r="P461" s="15" t="s">
        <v>2282</v>
      </c>
      <c r="Q461" s="14" t="s">
        <v>3528</v>
      </c>
    </row>
    <row r="462" spans="4:17">
      <c r="D462" s="15" t="s">
        <v>6309</v>
      </c>
      <c r="E462" s="14" t="s">
        <v>2692</v>
      </c>
      <c r="F462" s="15" t="s">
        <v>1276</v>
      </c>
      <c r="G462" s="14"/>
      <c r="H462" s="15" t="s">
        <v>1028</v>
      </c>
      <c r="I462" s="15" t="s">
        <v>3417</v>
      </c>
      <c r="J462" s="14" t="str">
        <f t="shared" si="8"/>
        <v>TBP-1 Number of people in contact with TB patients who began preventive therapyProvider typePrivate</v>
      </c>
      <c r="K462" s="374"/>
      <c r="L462" s="18"/>
      <c r="M462" s="375"/>
      <c r="N462" s="15"/>
      <c r="O462" s="15" t="s">
        <v>2281</v>
      </c>
      <c r="P462" s="15" t="s">
        <v>2282</v>
      </c>
      <c r="Q462" s="14" t="s">
        <v>3531</v>
      </c>
    </row>
    <row r="463" spans="4:17">
      <c r="D463" s="15" t="s">
        <v>6310</v>
      </c>
      <c r="E463" s="14" t="s">
        <v>2692</v>
      </c>
      <c r="F463" s="15" t="s">
        <v>1276</v>
      </c>
      <c r="G463" s="14"/>
      <c r="H463" s="15" t="s">
        <v>849</v>
      </c>
      <c r="I463" s="15" t="s">
        <v>3535</v>
      </c>
      <c r="J463" s="14" t="str">
        <f t="shared" si="8"/>
        <v>TBP-1 Number of people in contact with TB patients who began preventive therapyAge5-14</v>
      </c>
      <c r="K463" s="374"/>
      <c r="L463" s="18"/>
      <c r="M463" s="375"/>
      <c r="N463" s="15"/>
      <c r="O463" s="15" t="s">
        <v>2281</v>
      </c>
      <c r="P463" s="15" t="s">
        <v>2282</v>
      </c>
      <c r="Q463" s="14" t="s">
        <v>3534</v>
      </c>
    </row>
    <row r="464" spans="4:17">
      <c r="D464" s="15" t="s">
        <v>6311</v>
      </c>
      <c r="E464" s="14" t="s">
        <v>2692</v>
      </c>
      <c r="F464" s="15" t="s">
        <v>1276</v>
      </c>
      <c r="G464" s="14"/>
      <c r="H464" s="15" t="s">
        <v>5475</v>
      </c>
      <c r="I464" s="15" t="s">
        <v>3539</v>
      </c>
      <c r="J464" s="14" t="str">
        <f t="shared" si="8"/>
        <v>TBP-1 Number of people in contact with TB patients who began preventive therapyTPT regimen1HP</v>
      </c>
      <c r="K464" s="374"/>
      <c r="L464" s="18"/>
      <c r="M464" s="375"/>
      <c r="N464" s="15"/>
      <c r="O464" s="15" t="s">
        <v>2281</v>
      </c>
      <c r="P464" s="15" t="s">
        <v>2282</v>
      </c>
      <c r="Q464" s="14" t="s">
        <v>3538</v>
      </c>
    </row>
    <row r="465" spans="4:17">
      <c r="D465" s="15" t="s">
        <v>6312</v>
      </c>
      <c r="E465" s="14" t="s">
        <v>2692</v>
      </c>
      <c r="F465" s="15" t="s">
        <v>1276</v>
      </c>
      <c r="G465" s="14"/>
      <c r="H465" s="15" t="s">
        <v>5475</v>
      </c>
      <c r="I465" s="15" t="s">
        <v>3543</v>
      </c>
      <c r="J465" s="14" t="str">
        <f t="shared" si="8"/>
        <v>TBP-1 Number of people in contact with TB patients who began preventive therapyTPT regimen3HP</v>
      </c>
      <c r="K465" s="374"/>
      <c r="L465" s="18"/>
      <c r="M465" s="375"/>
      <c r="N465" s="15"/>
      <c r="O465" s="15" t="s">
        <v>2281</v>
      </c>
      <c r="P465" s="15" t="s">
        <v>2282</v>
      </c>
      <c r="Q465" s="14" t="s">
        <v>3542</v>
      </c>
    </row>
    <row r="466" spans="4:17">
      <c r="D466" s="15" t="s">
        <v>6313</v>
      </c>
      <c r="E466" s="14" t="s">
        <v>2692</v>
      </c>
      <c r="F466" s="15" t="s">
        <v>1276</v>
      </c>
      <c r="G466" s="14"/>
      <c r="H466" s="15" t="s">
        <v>849</v>
      </c>
      <c r="I466" s="15" t="s">
        <v>3547</v>
      </c>
      <c r="J466" s="14" t="str">
        <f t="shared" si="8"/>
        <v>TBP-1 Number of people in contact with TB patients who began preventive therapyAge&lt;5</v>
      </c>
      <c r="K466" s="374">
        <v>59419</v>
      </c>
      <c r="L466" s="18"/>
      <c r="M466" s="375"/>
      <c r="N466" s="15" t="s">
        <v>2328</v>
      </c>
      <c r="O466" s="15" t="s">
        <v>780</v>
      </c>
      <c r="P466" s="15" t="s">
        <v>2282</v>
      </c>
      <c r="Q466" s="14" t="s">
        <v>3546</v>
      </c>
    </row>
    <row r="467" spans="4:17">
      <c r="D467" s="15" t="s">
        <v>6314</v>
      </c>
      <c r="E467" s="14" t="s">
        <v>2692</v>
      </c>
      <c r="F467" s="15" t="s">
        <v>1276</v>
      </c>
      <c r="G467" s="14"/>
      <c r="H467" s="15" t="s">
        <v>1028</v>
      </c>
      <c r="I467" s="15" t="s">
        <v>3421</v>
      </c>
      <c r="J467" s="14" t="str">
        <f t="shared" si="8"/>
        <v>TBP-1 Number of people in contact with TB patients who began preventive therapyProvider typePublic</v>
      </c>
      <c r="K467" s="374"/>
      <c r="L467" s="18"/>
      <c r="M467" s="375"/>
      <c r="N467" s="15"/>
      <c r="O467" s="15" t="s">
        <v>2281</v>
      </c>
      <c r="P467" s="15" t="s">
        <v>2282</v>
      </c>
      <c r="Q467" s="14" t="s">
        <v>3550</v>
      </c>
    </row>
    <row r="468" spans="4:17">
      <c r="D468" s="15" t="s">
        <v>6315</v>
      </c>
      <c r="E468" s="14" t="s">
        <v>2692</v>
      </c>
      <c r="F468" s="15" t="s">
        <v>1276</v>
      </c>
      <c r="G468" s="14"/>
      <c r="H468" s="15" t="s">
        <v>1164</v>
      </c>
      <c r="I468" s="15" t="s">
        <v>3367</v>
      </c>
      <c r="J468" s="14" t="str">
        <f t="shared" si="8"/>
        <v>TBP-1 Number of people in contact with TB patients who began preventive therapyHIV statusPositive</v>
      </c>
      <c r="K468" s="374"/>
      <c r="L468" s="18"/>
      <c r="M468" s="375"/>
      <c r="N468" s="15"/>
      <c r="O468" s="15" t="s">
        <v>2281</v>
      </c>
      <c r="P468" s="15" t="s">
        <v>2282</v>
      </c>
      <c r="Q468" s="14" t="s">
        <v>3553</v>
      </c>
    </row>
    <row r="469" spans="4:17">
      <c r="D469" s="15" t="s">
        <v>6316</v>
      </c>
      <c r="E469" s="14" t="s">
        <v>2692</v>
      </c>
      <c r="F469" s="15" t="s">
        <v>1276</v>
      </c>
      <c r="G469" s="14"/>
      <c r="H469" s="15"/>
      <c r="I469" s="15"/>
      <c r="J469" s="14" t="str">
        <f t="shared" si="8"/>
        <v>TBP-1 Number of people in contact with TB patients who began preventive therapy</v>
      </c>
      <c r="K469" s="374"/>
      <c r="L469" s="18"/>
      <c r="M469" s="375"/>
      <c r="N469" s="15"/>
      <c r="O469" s="15"/>
      <c r="P469" s="15"/>
      <c r="Q469" s="14" t="s">
        <v>3556</v>
      </c>
    </row>
    <row r="470" spans="4:17">
      <c r="D470" s="15" t="s">
        <v>6317</v>
      </c>
      <c r="E470" s="14" t="s">
        <v>2692</v>
      </c>
      <c r="F470" s="15" t="s">
        <v>1276</v>
      </c>
      <c r="G470" s="14"/>
      <c r="H470" s="15"/>
      <c r="I470" s="15"/>
      <c r="J470" s="14" t="str">
        <f t="shared" si="8"/>
        <v>TBP-1 Number of people in contact with TB patients who began preventive therapy</v>
      </c>
      <c r="K470" s="374"/>
      <c r="L470" s="18"/>
      <c r="M470" s="375"/>
      <c r="N470" s="15"/>
      <c r="O470" s="15"/>
      <c r="P470" s="15"/>
      <c r="Q470" s="14" t="s">
        <v>3557</v>
      </c>
    </row>
    <row r="471" spans="4:17">
      <c r="D471" s="15" t="s">
        <v>6318</v>
      </c>
      <c r="E471" s="14" t="s">
        <v>2692</v>
      </c>
      <c r="F471" s="15" t="s">
        <v>1276</v>
      </c>
      <c r="G471" s="14"/>
      <c r="H471" s="15"/>
      <c r="I471" s="15"/>
      <c r="J471" s="14" t="str">
        <f t="shared" si="8"/>
        <v>TBP-1 Number of people in contact with TB patients who began preventive therapy</v>
      </c>
      <c r="K471" s="374"/>
      <c r="L471" s="18"/>
      <c r="M471" s="375"/>
      <c r="N471" s="15"/>
      <c r="O471" s="15"/>
      <c r="P471" s="15"/>
      <c r="Q471" s="14" t="s">
        <v>3558</v>
      </c>
    </row>
    <row r="472" spans="4:17">
      <c r="D472" s="15" t="s">
        <v>6319</v>
      </c>
      <c r="E472" s="14" t="s">
        <v>2692</v>
      </c>
      <c r="F472" s="15" t="s">
        <v>1276</v>
      </c>
      <c r="G472" s="14"/>
      <c r="H472" s="15"/>
      <c r="I472" s="15"/>
      <c r="J472" s="14" t="str">
        <f t="shared" si="8"/>
        <v>TBP-1 Number of people in contact with TB patients who began preventive therapy</v>
      </c>
      <c r="K472" s="374"/>
      <c r="L472" s="18"/>
      <c r="M472" s="375"/>
      <c r="N472" s="15"/>
      <c r="O472" s="15"/>
      <c r="P472" s="15"/>
      <c r="Q472" s="14" t="s">
        <v>3559</v>
      </c>
    </row>
    <row r="473" spans="4:17">
      <c r="D473" s="15" t="s">
        <v>6320</v>
      </c>
      <c r="E473" s="14" t="s">
        <v>2692</v>
      </c>
      <c r="F473" s="15" t="s">
        <v>1276</v>
      </c>
      <c r="G473" s="14"/>
      <c r="H473" s="15"/>
      <c r="I473" s="15"/>
      <c r="J473" s="14" t="str">
        <f t="shared" si="8"/>
        <v>TBP-1 Number of people in contact with TB patients who began preventive therapy</v>
      </c>
      <c r="K473" s="374"/>
      <c r="L473" s="18"/>
      <c r="M473" s="375"/>
      <c r="N473" s="15"/>
      <c r="O473" s="15"/>
      <c r="P473" s="15"/>
      <c r="Q473" s="14" t="s">
        <v>3560</v>
      </c>
    </row>
    <row r="474" spans="4:17">
      <c r="D474" s="15" t="s">
        <v>6321</v>
      </c>
      <c r="E474" s="14" t="s">
        <v>2692</v>
      </c>
      <c r="F474" s="15" t="s">
        <v>1276</v>
      </c>
      <c r="G474" s="14"/>
      <c r="H474" s="15"/>
      <c r="I474" s="15"/>
      <c r="J474" s="14" t="str">
        <f t="shared" si="8"/>
        <v>TBP-1 Number of people in contact with TB patients who began preventive therapy</v>
      </c>
      <c r="K474" s="374"/>
      <c r="L474" s="18"/>
      <c r="M474" s="375"/>
      <c r="N474" s="15"/>
      <c r="O474" s="15"/>
      <c r="P474" s="15"/>
      <c r="Q474" s="14" t="s">
        <v>3561</v>
      </c>
    </row>
    <row r="475" spans="4:17">
      <c r="D475" s="15" t="s">
        <v>6322</v>
      </c>
      <c r="E475" s="14" t="s">
        <v>2692</v>
      </c>
      <c r="F475" s="15" t="s">
        <v>1276</v>
      </c>
      <c r="G475" s="14"/>
      <c r="H475" s="15"/>
      <c r="I475" s="15"/>
      <c r="J475" s="14" t="str">
        <f t="shared" si="8"/>
        <v>TBP-1 Number of people in contact with TB patients who began preventive therapy</v>
      </c>
      <c r="K475" s="374"/>
      <c r="L475" s="18"/>
      <c r="M475" s="375"/>
      <c r="N475" s="15"/>
      <c r="O475" s="15"/>
      <c r="P475" s="15"/>
      <c r="Q475" s="14" t="s">
        <v>3562</v>
      </c>
    </row>
    <row r="476" spans="4:17">
      <c r="D476" s="15" t="s">
        <v>6323</v>
      </c>
      <c r="E476" s="14" t="s">
        <v>2699</v>
      </c>
      <c r="F476" s="15" t="s">
        <v>1290</v>
      </c>
      <c r="G476" s="14"/>
      <c r="H476" s="15"/>
      <c r="I476" s="15"/>
      <c r="J476" s="14" t="str">
        <f t="shared" si="8"/>
        <v>KVP-1 Number of people with TB (all forms) notified among prisoners; *includes only those with new and relapse TB</v>
      </c>
      <c r="K476" s="374"/>
      <c r="L476" s="18"/>
      <c r="M476" s="375"/>
      <c r="N476" s="15"/>
      <c r="O476" s="15"/>
      <c r="P476" s="15"/>
      <c r="Q476" s="14" t="s">
        <v>3563</v>
      </c>
    </row>
    <row r="477" spans="4:17">
      <c r="D477" s="15" t="s">
        <v>6324</v>
      </c>
      <c r="E477" s="14" t="s">
        <v>2699</v>
      </c>
      <c r="F477" s="15" t="s">
        <v>1290</v>
      </c>
      <c r="G477" s="14"/>
      <c r="H477" s="15"/>
      <c r="I477" s="15"/>
      <c r="J477" s="14" t="str">
        <f t="shared" si="8"/>
        <v>KVP-1 Number of people with TB (all forms) notified among prisoners; *includes only those with new and relapse TB</v>
      </c>
      <c r="K477" s="374"/>
      <c r="L477" s="18"/>
      <c r="M477" s="375"/>
      <c r="N477" s="15"/>
      <c r="O477" s="15"/>
      <c r="P477" s="15"/>
      <c r="Q477" s="14" t="s">
        <v>3564</v>
      </c>
    </row>
    <row r="478" spans="4:17">
      <c r="D478" s="15" t="s">
        <v>6325</v>
      </c>
      <c r="E478" s="14" t="s">
        <v>2699</v>
      </c>
      <c r="F478" s="15" t="s">
        <v>1290</v>
      </c>
      <c r="G478" s="14"/>
      <c r="H478" s="15"/>
      <c r="I478" s="15"/>
      <c r="J478" s="14" t="str">
        <f t="shared" si="8"/>
        <v>KVP-1 Number of people with TB (all forms) notified among prisoners; *includes only those with new and relapse TB</v>
      </c>
      <c r="K478" s="374"/>
      <c r="L478" s="18"/>
      <c r="M478" s="375"/>
      <c r="N478" s="15"/>
      <c r="O478" s="15"/>
      <c r="P478" s="15"/>
      <c r="Q478" s="14" t="s">
        <v>3565</v>
      </c>
    </row>
    <row r="479" spans="4:17">
      <c r="D479" s="15" t="s">
        <v>6326</v>
      </c>
      <c r="E479" s="14" t="s">
        <v>2699</v>
      </c>
      <c r="F479" s="15" t="s">
        <v>1290</v>
      </c>
      <c r="G479" s="14"/>
      <c r="H479" s="15"/>
      <c r="I479" s="15"/>
      <c r="J479" s="14" t="str">
        <f t="shared" si="8"/>
        <v>KVP-1 Number of people with TB (all forms) notified among prisoners; *includes only those with new and relapse TB</v>
      </c>
      <c r="K479" s="374"/>
      <c r="L479" s="18"/>
      <c r="M479" s="375"/>
      <c r="N479" s="15"/>
      <c r="O479" s="15"/>
      <c r="P479" s="15"/>
      <c r="Q479" s="14" t="s">
        <v>3566</v>
      </c>
    </row>
    <row r="480" spans="4:17">
      <c r="D480" s="15" t="s">
        <v>6327</v>
      </c>
      <c r="E480" s="14" t="s">
        <v>2699</v>
      </c>
      <c r="F480" s="15" t="s">
        <v>1290</v>
      </c>
      <c r="G480" s="14"/>
      <c r="H480" s="15"/>
      <c r="I480" s="15"/>
      <c r="J480" s="14" t="str">
        <f t="shared" si="8"/>
        <v>KVP-1 Number of people with TB (all forms) notified among prisoners; *includes only those with new and relapse TB</v>
      </c>
      <c r="K480" s="374"/>
      <c r="L480" s="18"/>
      <c r="M480" s="375"/>
      <c r="N480" s="15"/>
      <c r="O480" s="15"/>
      <c r="P480" s="15"/>
      <c r="Q480" s="14" t="s">
        <v>3567</v>
      </c>
    </row>
    <row r="481" spans="4:17">
      <c r="D481" s="15" t="s">
        <v>6328</v>
      </c>
      <c r="E481" s="14" t="s">
        <v>2699</v>
      </c>
      <c r="F481" s="15" t="s">
        <v>1290</v>
      </c>
      <c r="G481" s="14"/>
      <c r="H481" s="15"/>
      <c r="I481" s="15"/>
      <c r="J481" s="14" t="str">
        <f t="shared" si="8"/>
        <v>KVP-1 Number of people with TB (all forms) notified among prisoners; *includes only those with new and relapse TB</v>
      </c>
      <c r="K481" s="374"/>
      <c r="L481" s="18"/>
      <c r="M481" s="375"/>
      <c r="N481" s="15"/>
      <c r="O481" s="15"/>
      <c r="P481" s="15"/>
      <c r="Q481" s="14" t="s">
        <v>3568</v>
      </c>
    </row>
    <row r="482" spans="4:17">
      <c r="D482" s="15" t="s">
        <v>6329</v>
      </c>
      <c r="E482" s="14" t="s">
        <v>2699</v>
      </c>
      <c r="F482" s="15" t="s">
        <v>1290</v>
      </c>
      <c r="G482" s="14"/>
      <c r="H482" s="15"/>
      <c r="I482" s="15"/>
      <c r="J482" s="14" t="str">
        <f t="shared" si="8"/>
        <v>KVP-1 Number of people with TB (all forms) notified among prisoners; *includes only those with new and relapse TB</v>
      </c>
      <c r="K482" s="374"/>
      <c r="L482" s="18"/>
      <c r="M482" s="375"/>
      <c r="N482" s="15"/>
      <c r="O482" s="15"/>
      <c r="P482" s="15"/>
      <c r="Q482" s="14" t="s">
        <v>3569</v>
      </c>
    </row>
    <row r="483" spans="4:17">
      <c r="D483" s="15" t="s">
        <v>6330</v>
      </c>
      <c r="E483" s="14" t="s">
        <v>2699</v>
      </c>
      <c r="F483" s="15" t="s">
        <v>1290</v>
      </c>
      <c r="G483" s="14"/>
      <c r="H483" s="15"/>
      <c r="I483" s="15"/>
      <c r="J483" s="14" t="str">
        <f t="shared" si="8"/>
        <v>KVP-1 Number of people with TB (all forms) notified among prisoners; *includes only those with new and relapse TB</v>
      </c>
      <c r="K483" s="374"/>
      <c r="L483" s="18"/>
      <c r="M483" s="375"/>
      <c r="N483" s="15"/>
      <c r="O483" s="15"/>
      <c r="P483" s="15"/>
      <c r="Q483" s="14" t="s">
        <v>3570</v>
      </c>
    </row>
    <row r="484" spans="4:17">
      <c r="D484" s="15" t="s">
        <v>6331</v>
      </c>
      <c r="E484" s="14" t="s">
        <v>2699</v>
      </c>
      <c r="F484" s="15" t="s">
        <v>1290</v>
      </c>
      <c r="G484" s="14"/>
      <c r="H484" s="15"/>
      <c r="I484" s="15"/>
      <c r="J484" s="14" t="str">
        <f t="shared" si="8"/>
        <v>KVP-1 Number of people with TB (all forms) notified among prisoners; *includes only those with new and relapse TB</v>
      </c>
      <c r="K484" s="374"/>
      <c r="L484" s="18"/>
      <c r="M484" s="375"/>
      <c r="N484" s="15"/>
      <c r="O484" s="15"/>
      <c r="P484" s="15"/>
      <c r="Q484" s="14" t="s">
        <v>3571</v>
      </c>
    </row>
    <row r="485" spans="4:17">
      <c r="D485" s="15" t="s">
        <v>6332</v>
      </c>
      <c r="E485" s="14" t="s">
        <v>2699</v>
      </c>
      <c r="F485" s="15" t="s">
        <v>1290</v>
      </c>
      <c r="G485" s="14"/>
      <c r="H485" s="15"/>
      <c r="I485" s="15"/>
      <c r="J485" s="14" t="str">
        <f t="shared" si="8"/>
        <v>KVP-1 Number of people with TB (all forms) notified among prisoners; *includes only those with new and relapse TB</v>
      </c>
      <c r="K485" s="374"/>
      <c r="L485" s="18"/>
      <c r="M485" s="375"/>
      <c r="N485" s="15"/>
      <c r="O485" s="15"/>
      <c r="P485" s="15"/>
      <c r="Q485" s="14" t="s">
        <v>3572</v>
      </c>
    </row>
    <row r="486" spans="4:17">
      <c r="D486" s="15" t="s">
        <v>6333</v>
      </c>
      <c r="E486" s="14" t="s">
        <v>2699</v>
      </c>
      <c r="F486" s="15" t="s">
        <v>1290</v>
      </c>
      <c r="G486" s="14"/>
      <c r="H486" s="15"/>
      <c r="I486" s="15"/>
      <c r="J486" s="14" t="str">
        <f t="shared" si="8"/>
        <v>KVP-1 Number of people with TB (all forms) notified among prisoners; *includes only those with new and relapse TB</v>
      </c>
      <c r="K486" s="374"/>
      <c r="L486" s="18"/>
      <c r="M486" s="375"/>
      <c r="N486" s="15"/>
      <c r="O486" s="15"/>
      <c r="P486" s="15"/>
      <c r="Q486" s="14" t="s">
        <v>3573</v>
      </c>
    </row>
    <row r="487" spans="4:17">
      <c r="D487" s="15" t="s">
        <v>6334</v>
      </c>
      <c r="E487" s="14" t="s">
        <v>2699</v>
      </c>
      <c r="F487" s="15" t="s">
        <v>1290</v>
      </c>
      <c r="G487" s="14"/>
      <c r="H487" s="15"/>
      <c r="I487" s="15"/>
      <c r="J487" s="14" t="str">
        <f t="shared" si="8"/>
        <v>KVP-1 Number of people with TB (all forms) notified among prisoners; *includes only those with new and relapse TB</v>
      </c>
      <c r="K487" s="374"/>
      <c r="L487" s="18"/>
      <c r="M487" s="375"/>
      <c r="N487" s="15"/>
      <c r="O487" s="15"/>
      <c r="P487" s="15"/>
      <c r="Q487" s="14" t="s">
        <v>3574</v>
      </c>
    </row>
    <row r="488" spans="4:17">
      <c r="D488" s="15" t="s">
        <v>6335</v>
      </c>
      <c r="E488" s="14" t="s">
        <v>2699</v>
      </c>
      <c r="F488" s="15" t="s">
        <v>1290</v>
      </c>
      <c r="G488" s="14"/>
      <c r="H488" s="15"/>
      <c r="I488" s="15"/>
      <c r="J488" s="14" t="str">
        <f t="shared" si="8"/>
        <v>KVP-1 Number of people with TB (all forms) notified among prisoners; *includes only those with new and relapse TB</v>
      </c>
      <c r="K488" s="374"/>
      <c r="L488" s="18"/>
      <c r="M488" s="375"/>
      <c r="N488" s="15"/>
      <c r="O488" s="15"/>
      <c r="P488" s="15"/>
      <c r="Q488" s="14" t="s">
        <v>3575</v>
      </c>
    </row>
    <row r="489" spans="4:17">
      <c r="D489" s="15" t="s">
        <v>6336</v>
      </c>
      <c r="E489" s="14" t="s">
        <v>2699</v>
      </c>
      <c r="F489" s="15" t="s">
        <v>1290</v>
      </c>
      <c r="G489" s="14"/>
      <c r="H489" s="15"/>
      <c r="I489" s="15"/>
      <c r="J489" s="14" t="str">
        <f t="shared" si="8"/>
        <v>KVP-1 Number of people with TB (all forms) notified among prisoners; *includes only those with new and relapse TB</v>
      </c>
      <c r="K489" s="374"/>
      <c r="L489" s="18"/>
      <c r="M489" s="375"/>
      <c r="N489" s="15"/>
      <c r="O489" s="15"/>
      <c r="P489" s="15"/>
      <c r="Q489" s="14" t="s">
        <v>3576</v>
      </c>
    </row>
    <row r="490" spans="4:17">
      <c r="D490" s="15" t="s">
        <v>6337</v>
      </c>
      <c r="E490" s="14" t="s">
        <v>2699</v>
      </c>
      <c r="F490" s="15" t="s">
        <v>1290</v>
      </c>
      <c r="G490" s="14"/>
      <c r="H490" s="15"/>
      <c r="I490" s="15"/>
      <c r="J490" s="14" t="str">
        <f t="shared" si="8"/>
        <v>KVP-1 Number of people with TB (all forms) notified among prisoners; *includes only those with new and relapse TB</v>
      </c>
      <c r="K490" s="374"/>
      <c r="L490" s="18"/>
      <c r="M490" s="375"/>
      <c r="N490" s="15"/>
      <c r="O490" s="15"/>
      <c r="P490" s="15"/>
      <c r="Q490" s="14" t="s">
        <v>3577</v>
      </c>
    </row>
    <row r="491" spans="4:17">
      <c r="D491" s="15" t="s">
        <v>6338</v>
      </c>
      <c r="E491" s="14" t="s">
        <v>2699</v>
      </c>
      <c r="F491" s="15" t="s">
        <v>1290</v>
      </c>
      <c r="G491" s="14"/>
      <c r="H491" s="15"/>
      <c r="I491" s="15"/>
      <c r="J491" s="14" t="str">
        <f t="shared" si="8"/>
        <v>KVP-1 Number of people with TB (all forms) notified among prisoners; *includes only those with new and relapse TB</v>
      </c>
      <c r="K491" s="374"/>
      <c r="L491" s="18"/>
      <c r="M491" s="375"/>
      <c r="N491" s="15"/>
      <c r="O491" s="15"/>
      <c r="P491" s="15"/>
      <c r="Q491" s="14" t="s">
        <v>3578</v>
      </c>
    </row>
    <row r="492" spans="4:17">
      <c r="D492" s="15" t="s">
        <v>6339</v>
      </c>
      <c r="E492" s="14" t="s">
        <v>2699</v>
      </c>
      <c r="F492" s="15" t="s">
        <v>1290</v>
      </c>
      <c r="G492" s="14"/>
      <c r="H492" s="15"/>
      <c r="I492" s="15"/>
      <c r="J492" s="14" t="str">
        <f t="shared" si="8"/>
        <v>KVP-1 Number of people with TB (all forms) notified among prisoners; *includes only those with new and relapse TB</v>
      </c>
      <c r="K492" s="374"/>
      <c r="L492" s="18"/>
      <c r="M492" s="375"/>
      <c r="N492" s="15"/>
      <c r="O492" s="15"/>
      <c r="P492" s="15"/>
      <c r="Q492" s="14" t="s">
        <v>3579</v>
      </c>
    </row>
    <row r="493" spans="4:17">
      <c r="D493" s="15" t="s">
        <v>6340</v>
      </c>
      <c r="E493" s="14" t="s">
        <v>2699</v>
      </c>
      <c r="F493" s="15" t="s">
        <v>1290</v>
      </c>
      <c r="G493" s="14"/>
      <c r="H493" s="15"/>
      <c r="I493" s="15"/>
      <c r="J493" s="14" t="str">
        <f t="shared" si="8"/>
        <v>KVP-1 Number of people with TB (all forms) notified among prisoners; *includes only those with new and relapse TB</v>
      </c>
      <c r="K493" s="374"/>
      <c r="L493" s="18"/>
      <c r="M493" s="375"/>
      <c r="N493" s="15"/>
      <c r="O493" s="15"/>
      <c r="P493" s="15"/>
      <c r="Q493" s="14" t="s">
        <v>3580</v>
      </c>
    </row>
    <row r="494" spans="4:17">
      <c r="D494" s="15" t="s">
        <v>6341</v>
      </c>
      <c r="E494" s="14" t="s">
        <v>2699</v>
      </c>
      <c r="F494" s="15" t="s">
        <v>1290</v>
      </c>
      <c r="G494" s="14"/>
      <c r="H494" s="15"/>
      <c r="I494" s="15"/>
      <c r="J494" s="14" t="str">
        <f t="shared" si="8"/>
        <v>KVP-1 Number of people with TB (all forms) notified among prisoners; *includes only those with new and relapse TB</v>
      </c>
      <c r="K494" s="374"/>
      <c r="L494" s="18"/>
      <c r="M494" s="375"/>
      <c r="N494" s="15"/>
      <c r="O494" s="15"/>
      <c r="P494" s="15"/>
      <c r="Q494" s="14" t="s">
        <v>3581</v>
      </c>
    </row>
    <row r="495" spans="4:17">
      <c r="D495" s="15" t="s">
        <v>6342</v>
      </c>
      <c r="E495" s="14" t="s">
        <v>2699</v>
      </c>
      <c r="F495" s="15" t="s">
        <v>1290</v>
      </c>
      <c r="G495" s="14"/>
      <c r="H495" s="15"/>
      <c r="I495" s="15"/>
      <c r="J495" s="14" t="str">
        <f t="shared" si="8"/>
        <v>KVP-1 Number of people with TB (all forms) notified among prisoners; *includes only those with new and relapse TB</v>
      </c>
      <c r="K495" s="374"/>
      <c r="L495" s="18"/>
      <c r="M495" s="375"/>
      <c r="N495" s="15"/>
      <c r="O495" s="15"/>
      <c r="P495" s="15"/>
      <c r="Q495" s="14" t="s">
        <v>3582</v>
      </c>
    </row>
    <row r="496" spans="4:17">
      <c r="D496" s="15" t="s">
        <v>6343</v>
      </c>
      <c r="E496" s="14" t="s">
        <v>2706</v>
      </c>
      <c r="F496" s="15" t="s">
        <v>1293</v>
      </c>
      <c r="G496" s="14"/>
      <c r="H496" s="15"/>
      <c r="I496" s="15"/>
      <c r="J496" s="14" t="str">
        <f t="shared" si="8"/>
        <v>KVP-2 Number of people with TB (all forms) notified among key affected populations/high risk groups (other than prisoners); *includes only those with new and relapse</v>
      </c>
      <c r="K496" s="374"/>
      <c r="L496" s="18"/>
      <c r="M496" s="375"/>
      <c r="N496" s="15"/>
      <c r="O496" s="15"/>
      <c r="P496" s="15"/>
      <c r="Q496" s="14" t="s">
        <v>3583</v>
      </c>
    </row>
    <row r="497" spans="4:17">
      <c r="D497" s="15" t="s">
        <v>6344</v>
      </c>
      <c r="E497" s="14" t="s">
        <v>2706</v>
      </c>
      <c r="F497" s="15" t="s">
        <v>1293</v>
      </c>
      <c r="G497" s="14"/>
      <c r="H497" s="15"/>
      <c r="I497" s="15"/>
      <c r="J497" s="14" t="str">
        <f t="shared" si="8"/>
        <v>KVP-2 Number of people with TB (all forms) notified among key affected populations/high risk groups (other than prisoners); *includes only those with new and relapse</v>
      </c>
      <c r="K497" s="374"/>
      <c r="L497" s="18"/>
      <c r="M497" s="375"/>
      <c r="N497" s="15"/>
      <c r="O497" s="15"/>
      <c r="P497" s="15"/>
      <c r="Q497" s="14" t="s">
        <v>3584</v>
      </c>
    </row>
    <row r="498" spans="4:17">
      <c r="D498" s="15" t="s">
        <v>6345</v>
      </c>
      <c r="E498" s="14" t="s">
        <v>2706</v>
      </c>
      <c r="F498" s="15" t="s">
        <v>1293</v>
      </c>
      <c r="G498" s="14"/>
      <c r="H498" s="15"/>
      <c r="I498" s="15"/>
      <c r="J498" s="14" t="str">
        <f t="shared" si="8"/>
        <v>KVP-2 Number of people with TB (all forms) notified among key affected populations/high risk groups (other than prisoners); *includes only those with new and relapse</v>
      </c>
      <c r="K498" s="374"/>
      <c r="L498" s="18"/>
      <c r="M498" s="375"/>
      <c r="N498" s="15"/>
      <c r="O498" s="15"/>
      <c r="P498" s="15"/>
      <c r="Q498" s="14" t="s">
        <v>3585</v>
      </c>
    </row>
    <row r="499" spans="4:17">
      <c r="D499" s="15" t="s">
        <v>6346</v>
      </c>
      <c r="E499" s="14" t="s">
        <v>2706</v>
      </c>
      <c r="F499" s="15" t="s">
        <v>1293</v>
      </c>
      <c r="G499" s="14"/>
      <c r="H499" s="15"/>
      <c r="I499" s="15"/>
      <c r="J499" s="14" t="str">
        <f t="shared" si="8"/>
        <v>KVP-2 Number of people with TB (all forms) notified among key affected populations/high risk groups (other than prisoners); *includes only those with new and relapse</v>
      </c>
      <c r="K499" s="374"/>
      <c r="L499" s="18"/>
      <c r="M499" s="375"/>
      <c r="N499" s="15"/>
      <c r="O499" s="15"/>
      <c r="P499" s="15"/>
      <c r="Q499" s="14" t="s">
        <v>3586</v>
      </c>
    </row>
    <row r="500" spans="4:17">
      <c r="D500" s="15" t="s">
        <v>6347</v>
      </c>
      <c r="E500" s="14" t="s">
        <v>2706</v>
      </c>
      <c r="F500" s="15" t="s">
        <v>1293</v>
      </c>
      <c r="G500" s="14"/>
      <c r="H500" s="15"/>
      <c r="I500" s="15"/>
      <c r="J500" s="14" t="str">
        <f t="shared" si="8"/>
        <v>KVP-2 Number of people with TB (all forms) notified among key affected populations/high risk groups (other than prisoners); *includes only those with new and relapse</v>
      </c>
      <c r="K500" s="374"/>
      <c r="L500" s="18"/>
      <c r="M500" s="375"/>
      <c r="N500" s="15"/>
      <c r="O500" s="15"/>
      <c r="P500" s="15"/>
      <c r="Q500" s="14" t="s">
        <v>3587</v>
      </c>
    </row>
    <row r="501" spans="4:17">
      <c r="D501" s="15" t="s">
        <v>6348</v>
      </c>
      <c r="E501" s="14" t="s">
        <v>2706</v>
      </c>
      <c r="F501" s="15" t="s">
        <v>1293</v>
      </c>
      <c r="G501" s="14"/>
      <c r="H501" s="15"/>
      <c r="I501" s="15"/>
      <c r="J501" s="14" t="str">
        <f t="shared" si="8"/>
        <v>KVP-2 Number of people with TB (all forms) notified among key affected populations/high risk groups (other than prisoners); *includes only those with new and relapse</v>
      </c>
      <c r="K501" s="374"/>
      <c r="L501" s="18"/>
      <c r="M501" s="375"/>
      <c r="N501" s="15"/>
      <c r="O501" s="15"/>
      <c r="P501" s="15"/>
      <c r="Q501" s="14" t="s">
        <v>3588</v>
      </c>
    </row>
    <row r="502" spans="4:17">
      <c r="D502" s="15" t="s">
        <v>6349</v>
      </c>
      <c r="E502" s="14" t="s">
        <v>2706</v>
      </c>
      <c r="F502" s="15" t="s">
        <v>1293</v>
      </c>
      <c r="G502" s="14"/>
      <c r="H502" s="15"/>
      <c r="I502" s="15"/>
      <c r="J502" s="14" t="str">
        <f t="shared" si="8"/>
        <v>KVP-2 Number of people with TB (all forms) notified among key affected populations/high risk groups (other than prisoners); *includes only those with new and relapse</v>
      </c>
      <c r="K502" s="374"/>
      <c r="L502" s="18"/>
      <c r="M502" s="375"/>
      <c r="N502" s="15"/>
      <c r="O502" s="15"/>
      <c r="P502" s="15"/>
      <c r="Q502" s="14" t="s">
        <v>3589</v>
      </c>
    </row>
    <row r="503" spans="4:17">
      <c r="D503" s="15" t="s">
        <v>6350</v>
      </c>
      <c r="E503" s="14" t="s">
        <v>2706</v>
      </c>
      <c r="F503" s="15" t="s">
        <v>1293</v>
      </c>
      <c r="G503" s="14"/>
      <c r="H503" s="15"/>
      <c r="I503" s="15"/>
      <c r="J503" s="14" t="str">
        <f t="shared" si="8"/>
        <v>KVP-2 Number of people with TB (all forms) notified among key affected populations/high risk groups (other than prisoners); *includes only those with new and relapse</v>
      </c>
      <c r="K503" s="374"/>
      <c r="L503" s="18"/>
      <c r="M503" s="375"/>
      <c r="N503" s="15"/>
      <c r="O503" s="15"/>
      <c r="P503" s="15"/>
      <c r="Q503" s="14" t="s">
        <v>3590</v>
      </c>
    </row>
    <row r="504" spans="4:17">
      <c r="D504" s="15" t="s">
        <v>6351</v>
      </c>
      <c r="E504" s="14" t="s">
        <v>2706</v>
      </c>
      <c r="F504" s="15" t="s">
        <v>1293</v>
      </c>
      <c r="G504" s="14"/>
      <c r="H504" s="15"/>
      <c r="I504" s="15"/>
      <c r="J504" s="14" t="str">
        <f t="shared" si="8"/>
        <v>KVP-2 Number of people with TB (all forms) notified among key affected populations/high risk groups (other than prisoners); *includes only those with new and relapse</v>
      </c>
      <c r="K504" s="374"/>
      <c r="L504" s="18"/>
      <c r="M504" s="375"/>
      <c r="N504" s="15"/>
      <c r="O504" s="15"/>
      <c r="P504" s="15"/>
      <c r="Q504" s="14" t="s">
        <v>3591</v>
      </c>
    </row>
    <row r="505" spans="4:17">
      <c r="D505" s="15" t="s">
        <v>6352</v>
      </c>
      <c r="E505" s="14" t="s">
        <v>2706</v>
      </c>
      <c r="F505" s="15" t="s">
        <v>1293</v>
      </c>
      <c r="G505" s="14"/>
      <c r="H505" s="15"/>
      <c r="I505" s="15"/>
      <c r="J505" s="14" t="str">
        <f t="shared" si="8"/>
        <v>KVP-2 Number of people with TB (all forms) notified among key affected populations/high risk groups (other than prisoners); *includes only those with new and relapse</v>
      </c>
      <c r="K505" s="374"/>
      <c r="L505" s="18"/>
      <c r="M505" s="375"/>
      <c r="N505" s="15"/>
      <c r="O505" s="15"/>
      <c r="P505" s="15"/>
      <c r="Q505" s="14" t="s">
        <v>3592</v>
      </c>
    </row>
    <row r="506" spans="4:17">
      <c r="D506" s="15" t="s">
        <v>6353</v>
      </c>
      <c r="E506" s="14" t="s">
        <v>2706</v>
      </c>
      <c r="F506" s="15" t="s">
        <v>1293</v>
      </c>
      <c r="G506" s="14"/>
      <c r="H506" s="15"/>
      <c r="I506" s="15"/>
      <c r="J506" s="14" t="str">
        <f t="shared" si="8"/>
        <v>KVP-2 Number of people with TB (all forms) notified among key affected populations/high risk groups (other than prisoners); *includes only those with new and relapse</v>
      </c>
      <c r="K506" s="374"/>
      <c r="L506" s="18"/>
      <c r="M506" s="375"/>
      <c r="N506" s="15"/>
      <c r="O506" s="15"/>
      <c r="P506" s="15"/>
      <c r="Q506" s="14" t="s">
        <v>3593</v>
      </c>
    </row>
    <row r="507" spans="4:17">
      <c r="D507" s="15" t="s">
        <v>6354</v>
      </c>
      <c r="E507" s="14" t="s">
        <v>2706</v>
      </c>
      <c r="F507" s="15" t="s">
        <v>1293</v>
      </c>
      <c r="G507" s="14"/>
      <c r="H507" s="15"/>
      <c r="I507" s="15"/>
      <c r="J507" s="14" t="str">
        <f t="shared" si="8"/>
        <v>KVP-2 Number of people with TB (all forms) notified among key affected populations/high risk groups (other than prisoners); *includes only those with new and relapse</v>
      </c>
      <c r="K507" s="374"/>
      <c r="L507" s="18"/>
      <c r="M507" s="375"/>
      <c r="N507" s="15"/>
      <c r="O507" s="15"/>
      <c r="P507" s="15"/>
      <c r="Q507" s="14" t="s">
        <v>3594</v>
      </c>
    </row>
    <row r="508" spans="4:17">
      <c r="D508" s="15" t="s">
        <v>6355</v>
      </c>
      <c r="E508" s="14" t="s">
        <v>2706</v>
      </c>
      <c r="F508" s="15" t="s">
        <v>1293</v>
      </c>
      <c r="G508" s="14"/>
      <c r="H508" s="15"/>
      <c r="I508" s="15"/>
      <c r="J508" s="14" t="str">
        <f t="shared" ref="J508:J571" si="9">F508&amp;H508&amp;I508</f>
        <v>KVP-2 Number of people with TB (all forms) notified among key affected populations/high risk groups (other than prisoners); *includes only those with new and relapse</v>
      </c>
      <c r="K508" s="374"/>
      <c r="L508" s="18"/>
      <c r="M508" s="375"/>
      <c r="N508" s="15"/>
      <c r="O508" s="15"/>
      <c r="P508" s="15"/>
      <c r="Q508" s="14" t="s">
        <v>3595</v>
      </c>
    </row>
    <row r="509" spans="4:17">
      <c r="D509" s="15" t="s">
        <v>6356</v>
      </c>
      <c r="E509" s="14" t="s">
        <v>2706</v>
      </c>
      <c r="F509" s="15" t="s">
        <v>1293</v>
      </c>
      <c r="G509" s="14"/>
      <c r="H509" s="15"/>
      <c r="I509" s="15"/>
      <c r="J509" s="14" t="str">
        <f t="shared" si="9"/>
        <v>KVP-2 Number of people with TB (all forms) notified among key affected populations/high risk groups (other than prisoners); *includes only those with new and relapse</v>
      </c>
      <c r="K509" s="374"/>
      <c r="L509" s="18"/>
      <c r="M509" s="375"/>
      <c r="N509" s="15"/>
      <c r="O509" s="15"/>
      <c r="P509" s="15"/>
      <c r="Q509" s="14" t="s">
        <v>3596</v>
      </c>
    </row>
    <row r="510" spans="4:17">
      <c r="D510" s="15" t="s">
        <v>6357</v>
      </c>
      <c r="E510" s="14" t="s">
        <v>2706</v>
      </c>
      <c r="F510" s="15" t="s">
        <v>1293</v>
      </c>
      <c r="G510" s="14"/>
      <c r="H510" s="15"/>
      <c r="I510" s="15"/>
      <c r="J510" s="14" t="str">
        <f t="shared" si="9"/>
        <v>KVP-2 Number of people with TB (all forms) notified among key affected populations/high risk groups (other than prisoners); *includes only those with new and relapse</v>
      </c>
      <c r="K510" s="374"/>
      <c r="L510" s="18"/>
      <c r="M510" s="375"/>
      <c r="N510" s="15"/>
      <c r="O510" s="15"/>
      <c r="P510" s="15"/>
      <c r="Q510" s="14" t="s">
        <v>3597</v>
      </c>
    </row>
    <row r="511" spans="4:17">
      <c r="D511" s="15" t="s">
        <v>6358</v>
      </c>
      <c r="E511" s="14" t="s">
        <v>2706</v>
      </c>
      <c r="F511" s="15" t="s">
        <v>1293</v>
      </c>
      <c r="G511" s="14"/>
      <c r="H511" s="15"/>
      <c r="I511" s="15"/>
      <c r="J511" s="14" t="str">
        <f t="shared" si="9"/>
        <v>KVP-2 Number of people with TB (all forms) notified among key affected populations/high risk groups (other than prisoners); *includes only those with new and relapse</v>
      </c>
      <c r="K511" s="374"/>
      <c r="L511" s="18"/>
      <c r="M511" s="375"/>
      <c r="N511" s="15"/>
      <c r="O511" s="15"/>
      <c r="P511" s="15"/>
      <c r="Q511" s="14" t="s">
        <v>3598</v>
      </c>
    </row>
    <row r="512" spans="4:17">
      <c r="D512" s="15" t="s">
        <v>6359</v>
      </c>
      <c r="E512" s="14" t="s">
        <v>2706</v>
      </c>
      <c r="F512" s="15" t="s">
        <v>1293</v>
      </c>
      <c r="G512" s="14"/>
      <c r="H512" s="15"/>
      <c r="I512" s="15"/>
      <c r="J512" s="14" t="str">
        <f t="shared" si="9"/>
        <v>KVP-2 Number of people with TB (all forms) notified among key affected populations/high risk groups (other than prisoners); *includes only those with new and relapse</v>
      </c>
      <c r="K512" s="374"/>
      <c r="L512" s="18"/>
      <c r="M512" s="375"/>
      <c r="N512" s="15"/>
      <c r="O512" s="15"/>
      <c r="P512" s="15"/>
      <c r="Q512" s="14" t="s">
        <v>3599</v>
      </c>
    </row>
    <row r="513" spans="4:17">
      <c r="D513" s="15" t="s">
        <v>6360</v>
      </c>
      <c r="E513" s="14" t="s">
        <v>2706</v>
      </c>
      <c r="F513" s="15" t="s">
        <v>1293</v>
      </c>
      <c r="G513" s="14"/>
      <c r="H513" s="15"/>
      <c r="I513" s="15"/>
      <c r="J513" s="14" t="str">
        <f t="shared" si="9"/>
        <v>KVP-2 Number of people with TB (all forms) notified among key affected populations/high risk groups (other than prisoners); *includes only those with new and relapse</v>
      </c>
      <c r="K513" s="374"/>
      <c r="L513" s="18"/>
      <c r="M513" s="375"/>
      <c r="N513" s="15"/>
      <c r="O513" s="15"/>
      <c r="P513" s="15"/>
      <c r="Q513" s="14" t="s">
        <v>3600</v>
      </c>
    </row>
    <row r="514" spans="4:17">
      <c r="D514" s="15" t="s">
        <v>6361</v>
      </c>
      <c r="E514" s="14" t="s">
        <v>2706</v>
      </c>
      <c r="F514" s="15" t="s">
        <v>1293</v>
      </c>
      <c r="G514" s="14"/>
      <c r="H514" s="15"/>
      <c r="I514" s="15"/>
      <c r="J514" s="14" t="str">
        <f t="shared" si="9"/>
        <v>KVP-2 Number of people with TB (all forms) notified among key affected populations/high risk groups (other than prisoners); *includes only those with new and relapse</v>
      </c>
      <c r="K514" s="374"/>
      <c r="L514" s="18"/>
      <c r="M514" s="375"/>
      <c r="N514" s="15"/>
      <c r="O514" s="15"/>
      <c r="P514" s="15"/>
      <c r="Q514" s="14" t="s">
        <v>3601</v>
      </c>
    </row>
    <row r="515" spans="4:17">
      <c r="D515" s="15" t="s">
        <v>6362</v>
      </c>
      <c r="E515" s="14" t="s">
        <v>2706</v>
      </c>
      <c r="F515" s="15" t="s">
        <v>1293</v>
      </c>
      <c r="G515" s="14"/>
      <c r="H515" s="15"/>
      <c r="I515" s="15"/>
      <c r="J515" s="14" t="str">
        <f t="shared" si="9"/>
        <v>KVP-2 Number of people with TB (all forms) notified among key affected populations/high risk groups (other than prisoners); *includes only those with new and relapse</v>
      </c>
      <c r="K515" s="374"/>
      <c r="L515" s="18"/>
      <c r="M515" s="375"/>
      <c r="N515" s="15"/>
      <c r="O515" s="15"/>
      <c r="P515" s="15"/>
      <c r="Q515" s="14" t="s">
        <v>3602</v>
      </c>
    </row>
    <row r="516" spans="4:17">
      <c r="D516" s="15" t="s">
        <v>6363</v>
      </c>
      <c r="E516" s="14" t="s">
        <v>2713</v>
      </c>
      <c r="F516" s="15" t="s">
        <v>1299</v>
      </c>
      <c r="G516" s="14"/>
      <c r="H516" s="15" t="s">
        <v>849</v>
      </c>
      <c r="I516" s="15" t="s">
        <v>3240</v>
      </c>
      <c r="J516" s="14" t="str">
        <f t="shared" si="9"/>
        <v>TB/HIV-5 Percentage of registered new and relapse TB patients with documented HIV statusAge15+</v>
      </c>
      <c r="K516" s="374"/>
      <c r="L516" s="18"/>
      <c r="M516" s="375"/>
      <c r="N516" s="15"/>
      <c r="O516" s="15" t="s">
        <v>2281</v>
      </c>
      <c r="P516" s="15" t="s">
        <v>2282</v>
      </c>
      <c r="Q516" s="14" t="s">
        <v>3603</v>
      </c>
    </row>
    <row r="517" spans="4:17">
      <c r="D517" s="15" t="s">
        <v>6364</v>
      </c>
      <c r="E517" s="14" t="s">
        <v>2713</v>
      </c>
      <c r="F517" s="15" t="s">
        <v>1299</v>
      </c>
      <c r="G517" s="14"/>
      <c r="H517" s="15" t="s">
        <v>1164</v>
      </c>
      <c r="I517" s="15" t="s">
        <v>3346</v>
      </c>
      <c r="J517" s="14" t="str">
        <f t="shared" si="9"/>
        <v>TB/HIV-5 Percentage of registered new and relapse TB patients with documented HIV statusHIV statusUnknown</v>
      </c>
      <c r="K517" s="374"/>
      <c r="L517" s="18"/>
      <c r="M517" s="375"/>
      <c r="N517" s="15"/>
      <c r="O517" s="15" t="s">
        <v>2281</v>
      </c>
      <c r="P517" s="15" t="s">
        <v>2282</v>
      </c>
      <c r="Q517" s="14" t="s">
        <v>3606</v>
      </c>
    </row>
    <row r="518" spans="4:17">
      <c r="D518" s="15" t="s">
        <v>6365</v>
      </c>
      <c r="E518" s="14" t="s">
        <v>2713</v>
      </c>
      <c r="F518" s="15" t="s">
        <v>1299</v>
      </c>
      <c r="G518" s="14"/>
      <c r="H518" s="15" t="s">
        <v>1192</v>
      </c>
      <c r="I518" s="15" t="s">
        <v>3193</v>
      </c>
      <c r="J518" s="14" t="str">
        <f t="shared" si="9"/>
        <v>TB/HIV-5 Percentage of registered new and relapse TB patients with documented HIV statusGenderMale</v>
      </c>
      <c r="K518" s="374"/>
      <c r="L518" s="18"/>
      <c r="M518" s="375"/>
      <c r="N518" s="15"/>
      <c r="O518" s="15" t="s">
        <v>2281</v>
      </c>
      <c r="P518" s="15" t="s">
        <v>2282</v>
      </c>
      <c r="Q518" s="14" t="s">
        <v>3609</v>
      </c>
    </row>
    <row r="519" spans="4:17">
      <c r="D519" s="15" t="s">
        <v>6366</v>
      </c>
      <c r="E519" s="14" t="s">
        <v>2713</v>
      </c>
      <c r="F519" s="15" t="s">
        <v>1299</v>
      </c>
      <c r="G519" s="14"/>
      <c r="H519" s="15" t="s">
        <v>1164</v>
      </c>
      <c r="I519" s="15" t="s">
        <v>3356</v>
      </c>
      <c r="J519" s="14" t="str">
        <f t="shared" si="9"/>
        <v>TB/HIV-5 Percentage of registered new and relapse TB patients with documented HIV statusHIV statusNegative</v>
      </c>
      <c r="K519" s="374">
        <v>153679</v>
      </c>
      <c r="L519" s="18">
        <v>167052</v>
      </c>
      <c r="M519" s="375">
        <v>91.994708234561699</v>
      </c>
      <c r="N519" s="15"/>
      <c r="O519" s="15" t="s">
        <v>780</v>
      </c>
      <c r="P519" s="15" t="s">
        <v>2299</v>
      </c>
      <c r="Q519" s="14" t="s">
        <v>3612</v>
      </c>
    </row>
    <row r="520" spans="4:17">
      <c r="D520" s="15" t="s">
        <v>6367</v>
      </c>
      <c r="E520" s="14" t="s">
        <v>2713</v>
      </c>
      <c r="F520" s="15" t="s">
        <v>1299</v>
      </c>
      <c r="G520" s="14"/>
      <c r="H520" s="15" t="s">
        <v>849</v>
      </c>
      <c r="I520" s="15" t="s">
        <v>3535</v>
      </c>
      <c r="J520" s="14" t="str">
        <f t="shared" si="9"/>
        <v>TB/HIV-5 Percentage of registered new and relapse TB patients with documented HIV statusAge5-14</v>
      </c>
      <c r="K520" s="374"/>
      <c r="L520" s="18"/>
      <c r="M520" s="375"/>
      <c r="N520" s="15"/>
      <c r="O520" s="15" t="s">
        <v>2281</v>
      </c>
      <c r="P520" s="15" t="s">
        <v>2282</v>
      </c>
      <c r="Q520" s="14" t="s">
        <v>3615</v>
      </c>
    </row>
    <row r="521" spans="4:17">
      <c r="D521" s="15" t="s">
        <v>6368</v>
      </c>
      <c r="E521" s="14" t="s">
        <v>2713</v>
      </c>
      <c r="F521" s="15" t="s">
        <v>1299</v>
      </c>
      <c r="G521" s="14"/>
      <c r="H521" s="15" t="s">
        <v>849</v>
      </c>
      <c r="I521" s="15" t="s">
        <v>3547</v>
      </c>
      <c r="J521" s="14" t="str">
        <f t="shared" si="9"/>
        <v>TB/HIV-5 Percentage of registered new and relapse TB patients with documented HIV statusAge&lt;5</v>
      </c>
      <c r="K521" s="374"/>
      <c r="L521" s="18"/>
      <c r="M521" s="375"/>
      <c r="N521" s="15"/>
      <c r="O521" s="15" t="s">
        <v>2281</v>
      </c>
      <c r="P521" s="15" t="s">
        <v>2282</v>
      </c>
      <c r="Q521" s="14" t="s">
        <v>3618</v>
      </c>
    </row>
    <row r="522" spans="4:17">
      <c r="D522" s="15" t="s">
        <v>6369</v>
      </c>
      <c r="E522" s="14" t="s">
        <v>2713</v>
      </c>
      <c r="F522" s="15" t="s">
        <v>1299</v>
      </c>
      <c r="G522" s="14"/>
      <c r="H522" s="15" t="s">
        <v>1164</v>
      </c>
      <c r="I522" s="15" t="s">
        <v>3367</v>
      </c>
      <c r="J522" s="14" t="str">
        <f t="shared" si="9"/>
        <v>TB/HIV-5 Percentage of registered new and relapse TB patients with documented HIV statusHIV statusPositive</v>
      </c>
      <c r="K522" s="374">
        <v>13373</v>
      </c>
      <c r="L522" s="18">
        <v>167052</v>
      </c>
      <c r="M522" s="375">
        <v>8.0052917654383098</v>
      </c>
      <c r="N522" s="15" t="s">
        <v>2328</v>
      </c>
      <c r="O522" s="15" t="s">
        <v>780</v>
      </c>
      <c r="P522" s="15" t="s">
        <v>2300</v>
      </c>
      <c r="Q522" s="14" t="s">
        <v>3621</v>
      </c>
    </row>
    <row r="523" spans="4:17">
      <c r="D523" s="15" t="s">
        <v>6370</v>
      </c>
      <c r="E523" s="14" t="s">
        <v>2713</v>
      </c>
      <c r="F523" s="15" t="s">
        <v>1299</v>
      </c>
      <c r="G523" s="14"/>
      <c r="H523" s="15" t="s">
        <v>1192</v>
      </c>
      <c r="I523" s="15" t="s">
        <v>3197</v>
      </c>
      <c r="J523" s="14" t="str">
        <f t="shared" si="9"/>
        <v>TB/HIV-5 Percentage of registered new and relapse TB patients with documented HIV statusGenderFemale</v>
      </c>
      <c r="K523" s="374"/>
      <c r="L523" s="18"/>
      <c r="M523" s="375"/>
      <c r="N523" s="15"/>
      <c r="O523" s="15" t="s">
        <v>2281</v>
      </c>
      <c r="P523" s="15" t="s">
        <v>2282</v>
      </c>
      <c r="Q523" s="14" t="s">
        <v>3624</v>
      </c>
    </row>
    <row r="524" spans="4:17">
      <c r="D524" s="15" t="s">
        <v>6371</v>
      </c>
      <c r="E524" s="14" t="s">
        <v>2713</v>
      </c>
      <c r="F524" s="15" t="s">
        <v>1299</v>
      </c>
      <c r="G524" s="14"/>
      <c r="H524" s="15"/>
      <c r="I524" s="15"/>
      <c r="J524" s="14" t="str">
        <f t="shared" si="9"/>
        <v>TB/HIV-5 Percentage of registered new and relapse TB patients with documented HIV status</v>
      </c>
      <c r="K524" s="374"/>
      <c r="L524" s="18"/>
      <c r="M524" s="375"/>
      <c r="N524" s="15"/>
      <c r="O524" s="15"/>
      <c r="P524" s="15"/>
      <c r="Q524" s="14" t="s">
        <v>3627</v>
      </c>
    </row>
    <row r="525" spans="4:17">
      <c r="D525" s="15" t="s">
        <v>6372</v>
      </c>
      <c r="E525" s="14" t="s">
        <v>2713</v>
      </c>
      <c r="F525" s="15" t="s">
        <v>1299</v>
      </c>
      <c r="G525" s="14"/>
      <c r="H525" s="15"/>
      <c r="I525" s="15"/>
      <c r="J525" s="14" t="str">
        <f t="shared" si="9"/>
        <v>TB/HIV-5 Percentage of registered new and relapse TB patients with documented HIV status</v>
      </c>
      <c r="K525" s="374"/>
      <c r="L525" s="18"/>
      <c r="M525" s="375"/>
      <c r="N525" s="15"/>
      <c r="O525" s="15"/>
      <c r="P525" s="15"/>
      <c r="Q525" s="14" t="s">
        <v>3628</v>
      </c>
    </row>
    <row r="526" spans="4:17">
      <c r="D526" s="15" t="s">
        <v>6373</v>
      </c>
      <c r="E526" s="14" t="s">
        <v>2713</v>
      </c>
      <c r="F526" s="15" t="s">
        <v>1299</v>
      </c>
      <c r="G526" s="14"/>
      <c r="H526" s="15"/>
      <c r="I526" s="15"/>
      <c r="J526" s="14" t="str">
        <f t="shared" si="9"/>
        <v>TB/HIV-5 Percentage of registered new and relapse TB patients with documented HIV status</v>
      </c>
      <c r="K526" s="374"/>
      <c r="L526" s="18"/>
      <c r="M526" s="375"/>
      <c r="N526" s="15"/>
      <c r="O526" s="15"/>
      <c r="P526" s="15"/>
      <c r="Q526" s="14" t="s">
        <v>3629</v>
      </c>
    </row>
    <row r="527" spans="4:17">
      <c r="D527" s="15" t="s">
        <v>6374</v>
      </c>
      <c r="E527" s="14" t="s">
        <v>2713</v>
      </c>
      <c r="F527" s="15" t="s">
        <v>1299</v>
      </c>
      <c r="G527" s="14"/>
      <c r="H527" s="15"/>
      <c r="I527" s="15"/>
      <c r="J527" s="14" t="str">
        <f t="shared" si="9"/>
        <v>TB/HIV-5 Percentage of registered new and relapse TB patients with documented HIV status</v>
      </c>
      <c r="K527" s="374"/>
      <c r="L527" s="18"/>
      <c r="M527" s="375"/>
      <c r="N527" s="15"/>
      <c r="O527" s="15"/>
      <c r="P527" s="15"/>
      <c r="Q527" s="14" t="s">
        <v>3630</v>
      </c>
    </row>
    <row r="528" spans="4:17">
      <c r="D528" s="15" t="s">
        <v>6375</v>
      </c>
      <c r="E528" s="14" t="s">
        <v>2713</v>
      </c>
      <c r="F528" s="15" t="s">
        <v>1299</v>
      </c>
      <c r="G528" s="14"/>
      <c r="H528" s="15"/>
      <c r="I528" s="15"/>
      <c r="J528" s="14" t="str">
        <f t="shared" si="9"/>
        <v>TB/HIV-5 Percentage of registered new and relapse TB patients with documented HIV status</v>
      </c>
      <c r="K528" s="374"/>
      <c r="L528" s="18"/>
      <c r="M528" s="375"/>
      <c r="N528" s="15"/>
      <c r="O528" s="15"/>
      <c r="P528" s="15"/>
      <c r="Q528" s="14" t="s">
        <v>3631</v>
      </c>
    </row>
    <row r="529" spans="4:17">
      <c r="D529" s="15" t="s">
        <v>6376</v>
      </c>
      <c r="E529" s="14" t="s">
        <v>2713</v>
      </c>
      <c r="F529" s="15" t="s">
        <v>1299</v>
      </c>
      <c r="G529" s="14"/>
      <c r="H529" s="15"/>
      <c r="I529" s="15"/>
      <c r="J529" s="14" t="str">
        <f t="shared" si="9"/>
        <v>TB/HIV-5 Percentage of registered new and relapse TB patients with documented HIV status</v>
      </c>
      <c r="K529" s="374"/>
      <c r="L529" s="18"/>
      <c r="M529" s="375"/>
      <c r="N529" s="15"/>
      <c r="O529" s="15"/>
      <c r="P529" s="15"/>
      <c r="Q529" s="14" t="s">
        <v>3632</v>
      </c>
    </row>
    <row r="530" spans="4:17">
      <c r="D530" s="15" t="s">
        <v>6377</v>
      </c>
      <c r="E530" s="14" t="s">
        <v>2713</v>
      </c>
      <c r="F530" s="15" t="s">
        <v>1299</v>
      </c>
      <c r="G530" s="14"/>
      <c r="H530" s="15"/>
      <c r="I530" s="15"/>
      <c r="J530" s="14" t="str">
        <f t="shared" si="9"/>
        <v>TB/HIV-5 Percentage of registered new and relapse TB patients with documented HIV status</v>
      </c>
      <c r="K530" s="374"/>
      <c r="L530" s="18"/>
      <c r="M530" s="375"/>
      <c r="N530" s="15"/>
      <c r="O530" s="15"/>
      <c r="P530" s="15"/>
      <c r="Q530" s="14" t="s">
        <v>3633</v>
      </c>
    </row>
    <row r="531" spans="4:17">
      <c r="D531" s="15" t="s">
        <v>6378</v>
      </c>
      <c r="E531" s="14" t="s">
        <v>2713</v>
      </c>
      <c r="F531" s="15" t="s">
        <v>1299</v>
      </c>
      <c r="G531" s="14"/>
      <c r="H531" s="15"/>
      <c r="I531" s="15"/>
      <c r="J531" s="14" t="str">
        <f t="shared" si="9"/>
        <v>TB/HIV-5 Percentage of registered new and relapse TB patients with documented HIV status</v>
      </c>
      <c r="K531" s="374"/>
      <c r="L531" s="18"/>
      <c r="M531" s="375"/>
      <c r="N531" s="15"/>
      <c r="O531" s="15"/>
      <c r="P531" s="15"/>
      <c r="Q531" s="14" t="s">
        <v>3634</v>
      </c>
    </row>
    <row r="532" spans="4:17">
      <c r="D532" s="15" t="s">
        <v>6379</v>
      </c>
      <c r="E532" s="14" t="s">
        <v>2713</v>
      </c>
      <c r="F532" s="15" t="s">
        <v>1299</v>
      </c>
      <c r="G532" s="14"/>
      <c r="H532" s="15"/>
      <c r="I532" s="15"/>
      <c r="J532" s="14" t="str">
        <f t="shared" si="9"/>
        <v>TB/HIV-5 Percentage of registered new and relapse TB patients with documented HIV status</v>
      </c>
      <c r="K532" s="374"/>
      <c r="L532" s="18"/>
      <c r="M532" s="375"/>
      <c r="N532" s="15"/>
      <c r="O532" s="15"/>
      <c r="P532" s="15"/>
      <c r="Q532" s="14" t="s">
        <v>3635</v>
      </c>
    </row>
    <row r="533" spans="4:17">
      <c r="D533" s="15" t="s">
        <v>6380</v>
      </c>
      <c r="E533" s="14" t="s">
        <v>2713</v>
      </c>
      <c r="F533" s="15" t="s">
        <v>1299</v>
      </c>
      <c r="G533" s="14"/>
      <c r="H533" s="15"/>
      <c r="I533" s="15"/>
      <c r="J533" s="14" t="str">
        <f t="shared" si="9"/>
        <v>TB/HIV-5 Percentage of registered new and relapse TB patients with documented HIV status</v>
      </c>
      <c r="K533" s="374"/>
      <c r="L533" s="18"/>
      <c r="M533" s="375"/>
      <c r="N533" s="15"/>
      <c r="O533" s="15"/>
      <c r="P533" s="15"/>
      <c r="Q533" s="14" t="s">
        <v>3636</v>
      </c>
    </row>
    <row r="534" spans="4:17">
      <c r="D534" s="15" t="s">
        <v>6381</v>
      </c>
      <c r="E534" s="14" t="s">
        <v>2713</v>
      </c>
      <c r="F534" s="15" t="s">
        <v>1299</v>
      </c>
      <c r="G534" s="14"/>
      <c r="H534" s="15"/>
      <c r="I534" s="15"/>
      <c r="J534" s="14" t="str">
        <f t="shared" si="9"/>
        <v>TB/HIV-5 Percentage of registered new and relapse TB patients with documented HIV status</v>
      </c>
      <c r="K534" s="374"/>
      <c r="L534" s="18"/>
      <c r="M534" s="375"/>
      <c r="N534" s="15"/>
      <c r="O534" s="15"/>
      <c r="P534" s="15"/>
      <c r="Q534" s="14" t="s">
        <v>3637</v>
      </c>
    </row>
    <row r="535" spans="4:17">
      <c r="D535" s="15" t="s">
        <v>6382</v>
      </c>
      <c r="E535" s="14" t="s">
        <v>2713</v>
      </c>
      <c r="F535" s="15" t="s">
        <v>1299</v>
      </c>
      <c r="G535" s="14"/>
      <c r="H535" s="15"/>
      <c r="I535" s="15"/>
      <c r="J535" s="14" t="str">
        <f t="shared" si="9"/>
        <v>TB/HIV-5 Percentage of registered new and relapse TB patients with documented HIV status</v>
      </c>
      <c r="K535" s="374"/>
      <c r="L535" s="18"/>
      <c r="M535" s="375"/>
      <c r="N535" s="15"/>
      <c r="O535" s="15"/>
      <c r="P535" s="15"/>
      <c r="Q535" s="14" t="s">
        <v>3638</v>
      </c>
    </row>
    <row r="536" spans="4:17">
      <c r="D536" s="15" t="s">
        <v>6383</v>
      </c>
      <c r="E536" s="14" t="s">
        <v>2720</v>
      </c>
      <c r="F536" s="15" t="s">
        <v>1303</v>
      </c>
      <c r="G536" s="14"/>
      <c r="H536" s="15" t="s">
        <v>849</v>
      </c>
      <c r="I536" s="15" t="s">
        <v>3240</v>
      </c>
      <c r="J536" s="14" t="str">
        <f t="shared" si="9"/>
        <v>TB/HIV-6 Percentage of HIV-positive new and relapse TB patients on ART during TB treatmentAge15+</v>
      </c>
      <c r="K536" s="374"/>
      <c r="L536" s="18"/>
      <c r="M536" s="375"/>
      <c r="N536" s="15"/>
      <c r="O536" s="15" t="s">
        <v>2281</v>
      </c>
      <c r="P536" s="15" t="s">
        <v>2282</v>
      </c>
      <c r="Q536" s="14" t="s">
        <v>3639</v>
      </c>
    </row>
    <row r="537" spans="4:17">
      <c r="D537" s="15" t="s">
        <v>6384</v>
      </c>
      <c r="E537" s="14" t="s">
        <v>2720</v>
      </c>
      <c r="F537" s="15" t="s">
        <v>1303</v>
      </c>
      <c r="G537" s="14"/>
      <c r="H537" s="15" t="s">
        <v>1192</v>
      </c>
      <c r="I537" s="15" t="s">
        <v>3193</v>
      </c>
      <c r="J537" s="14" t="str">
        <f t="shared" si="9"/>
        <v>TB/HIV-6 Percentage of HIV-positive new and relapse TB patients on ART during TB treatmentGenderMale</v>
      </c>
      <c r="K537" s="374"/>
      <c r="L537" s="18"/>
      <c r="M537" s="375"/>
      <c r="N537" s="15"/>
      <c r="O537" s="15" t="s">
        <v>2281</v>
      </c>
      <c r="P537" s="15" t="s">
        <v>2282</v>
      </c>
      <c r="Q537" s="14" t="s">
        <v>3642</v>
      </c>
    </row>
    <row r="538" spans="4:17">
      <c r="D538" s="15" t="s">
        <v>6385</v>
      </c>
      <c r="E538" s="14" t="s">
        <v>2720</v>
      </c>
      <c r="F538" s="15" t="s">
        <v>1303</v>
      </c>
      <c r="G538" s="14"/>
      <c r="H538" s="15" t="s">
        <v>849</v>
      </c>
      <c r="I538" s="15" t="s">
        <v>3535</v>
      </c>
      <c r="J538" s="14" t="str">
        <f t="shared" si="9"/>
        <v>TB/HIV-6 Percentage of HIV-positive new and relapse TB patients on ART during TB treatmentAge5-14</v>
      </c>
      <c r="K538" s="374"/>
      <c r="L538" s="18"/>
      <c r="M538" s="375"/>
      <c r="N538" s="15"/>
      <c r="O538" s="15" t="s">
        <v>2281</v>
      </c>
      <c r="P538" s="15" t="s">
        <v>2282</v>
      </c>
      <c r="Q538" s="14" t="s">
        <v>3645</v>
      </c>
    </row>
    <row r="539" spans="4:17">
      <c r="D539" s="15" t="s">
        <v>6386</v>
      </c>
      <c r="E539" s="14" t="s">
        <v>2720</v>
      </c>
      <c r="F539" s="15" t="s">
        <v>1303</v>
      </c>
      <c r="G539" s="14"/>
      <c r="H539" s="15" t="s">
        <v>849</v>
      </c>
      <c r="I539" s="15" t="s">
        <v>3547</v>
      </c>
      <c r="J539" s="14" t="str">
        <f t="shared" si="9"/>
        <v>TB/HIV-6 Percentage of HIV-positive new and relapse TB patients on ART during TB treatmentAge&lt;5</v>
      </c>
      <c r="K539" s="374"/>
      <c r="L539" s="18"/>
      <c r="M539" s="375"/>
      <c r="N539" s="15"/>
      <c r="O539" s="15" t="s">
        <v>2281</v>
      </c>
      <c r="P539" s="15" t="s">
        <v>2282</v>
      </c>
      <c r="Q539" s="14" t="s">
        <v>3648</v>
      </c>
    </row>
    <row r="540" spans="4:17">
      <c r="D540" s="15" t="s">
        <v>6387</v>
      </c>
      <c r="E540" s="14" t="s">
        <v>2720</v>
      </c>
      <c r="F540" s="15" t="s">
        <v>1303</v>
      </c>
      <c r="G540" s="14"/>
      <c r="H540" s="15" t="s">
        <v>1192</v>
      </c>
      <c r="I540" s="15" t="s">
        <v>3197</v>
      </c>
      <c r="J540" s="14" t="str">
        <f t="shared" si="9"/>
        <v>TB/HIV-6 Percentage of HIV-positive new and relapse TB patients on ART during TB treatmentGenderFemale</v>
      </c>
      <c r="K540" s="374"/>
      <c r="L540" s="18"/>
      <c r="M540" s="375"/>
      <c r="N540" s="15"/>
      <c r="O540" s="15" t="s">
        <v>2281</v>
      </c>
      <c r="P540" s="15" t="s">
        <v>2282</v>
      </c>
      <c r="Q540" s="14" t="s">
        <v>3651</v>
      </c>
    </row>
    <row r="541" spans="4:17">
      <c r="D541" s="15" t="s">
        <v>6388</v>
      </c>
      <c r="E541" s="14" t="s">
        <v>2720</v>
      </c>
      <c r="F541" s="15" t="s">
        <v>1303</v>
      </c>
      <c r="G541" s="14"/>
      <c r="H541" s="15"/>
      <c r="I541" s="15"/>
      <c r="J541" s="14" t="str">
        <f t="shared" si="9"/>
        <v>TB/HIV-6 Percentage of HIV-positive new and relapse TB patients on ART during TB treatment</v>
      </c>
      <c r="K541" s="374"/>
      <c r="L541" s="18"/>
      <c r="M541" s="375"/>
      <c r="N541" s="15"/>
      <c r="O541" s="15"/>
      <c r="P541" s="15"/>
      <c r="Q541" s="14" t="s">
        <v>3654</v>
      </c>
    </row>
    <row r="542" spans="4:17">
      <c r="D542" s="15" t="s">
        <v>6389</v>
      </c>
      <c r="E542" s="14" t="s">
        <v>2720</v>
      </c>
      <c r="F542" s="15" t="s">
        <v>1303</v>
      </c>
      <c r="G542" s="14"/>
      <c r="H542" s="15"/>
      <c r="I542" s="15"/>
      <c r="J542" s="14" t="str">
        <f t="shared" si="9"/>
        <v>TB/HIV-6 Percentage of HIV-positive new and relapse TB patients on ART during TB treatment</v>
      </c>
      <c r="K542" s="374"/>
      <c r="L542" s="18"/>
      <c r="M542" s="375"/>
      <c r="N542" s="15"/>
      <c r="O542" s="15"/>
      <c r="P542" s="15"/>
      <c r="Q542" s="14" t="s">
        <v>3655</v>
      </c>
    </row>
    <row r="543" spans="4:17">
      <c r="D543" s="15" t="s">
        <v>6390</v>
      </c>
      <c r="E543" s="14" t="s">
        <v>2720</v>
      </c>
      <c r="F543" s="15" t="s">
        <v>1303</v>
      </c>
      <c r="G543" s="14"/>
      <c r="H543" s="15"/>
      <c r="I543" s="15"/>
      <c r="J543" s="14" t="str">
        <f t="shared" si="9"/>
        <v>TB/HIV-6 Percentage of HIV-positive new and relapse TB patients on ART during TB treatment</v>
      </c>
      <c r="K543" s="374"/>
      <c r="L543" s="18"/>
      <c r="M543" s="375"/>
      <c r="N543" s="15"/>
      <c r="O543" s="15"/>
      <c r="P543" s="15"/>
      <c r="Q543" s="14" t="s">
        <v>3656</v>
      </c>
    </row>
    <row r="544" spans="4:17">
      <c r="D544" s="15" t="s">
        <v>6391</v>
      </c>
      <c r="E544" s="14" t="s">
        <v>2720</v>
      </c>
      <c r="F544" s="15" t="s">
        <v>1303</v>
      </c>
      <c r="G544" s="14"/>
      <c r="H544" s="15"/>
      <c r="I544" s="15"/>
      <c r="J544" s="14" t="str">
        <f t="shared" si="9"/>
        <v>TB/HIV-6 Percentage of HIV-positive new and relapse TB patients on ART during TB treatment</v>
      </c>
      <c r="K544" s="374"/>
      <c r="L544" s="18"/>
      <c r="M544" s="375"/>
      <c r="N544" s="15"/>
      <c r="O544" s="15"/>
      <c r="P544" s="15"/>
      <c r="Q544" s="14" t="s">
        <v>3657</v>
      </c>
    </row>
    <row r="545" spans="4:17">
      <c r="D545" s="15" t="s">
        <v>6392</v>
      </c>
      <c r="E545" s="14" t="s">
        <v>2720</v>
      </c>
      <c r="F545" s="15" t="s">
        <v>1303</v>
      </c>
      <c r="G545" s="14"/>
      <c r="H545" s="15"/>
      <c r="I545" s="15"/>
      <c r="J545" s="14" t="str">
        <f t="shared" si="9"/>
        <v>TB/HIV-6 Percentage of HIV-positive new and relapse TB patients on ART during TB treatment</v>
      </c>
      <c r="K545" s="374"/>
      <c r="L545" s="18"/>
      <c r="M545" s="375"/>
      <c r="N545" s="15"/>
      <c r="O545" s="15"/>
      <c r="P545" s="15"/>
      <c r="Q545" s="14" t="s">
        <v>3658</v>
      </c>
    </row>
    <row r="546" spans="4:17">
      <c r="D546" s="15" t="s">
        <v>6393</v>
      </c>
      <c r="E546" s="14" t="s">
        <v>2720</v>
      </c>
      <c r="F546" s="15" t="s">
        <v>1303</v>
      </c>
      <c r="G546" s="14"/>
      <c r="H546" s="15"/>
      <c r="I546" s="15"/>
      <c r="J546" s="14" t="str">
        <f t="shared" si="9"/>
        <v>TB/HIV-6 Percentage of HIV-positive new and relapse TB patients on ART during TB treatment</v>
      </c>
      <c r="K546" s="374"/>
      <c r="L546" s="18"/>
      <c r="M546" s="375"/>
      <c r="N546" s="15"/>
      <c r="O546" s="15"/>
      <c r="P546" s="15"/>
      <c r="Q546" s="14" t="s">
        <v>3659</v>
      </c>
    </row>
    <row r="547" spans="4:17">
      <c r="D547" s="15" t="s">
        <v>6394</v>
      </c>
      <c r="E547" s="14" t="s">
        <v>2720</v>
      </c>
      <c r="F547" s="15" t="s">
        <v>1303</v>
      </c>
      <c r="G547" s="14"/>
      <c r="H547" s="15"/>
      <c r="I547" s="15"/>
      <c r="J547" s="14" t="str">
        <f t="shared" si="9"/>
        <v>TB/HIV-6 Percentage of HIV-positive new and relapse TB patients on ART during TB treatment</v>
      </c>
      <c r="K547" s="374"/>
      <c r="L547" s="18"/>
      <c r="M547" s="375"/>
      <c r="N547" s="15"/>
      <c r="O547" s="15"/>
      <c r="P547" s="15"/>
      <c r="Q547" s="14" t="s">
        <v>3660</v>
      </c>
    </row>
    <row r="548" spans="4:17">
      <c r="D548" s="15" t="s">
        <v>6395</v>
      </c>
      <c r="E548" s="14" t="s">
        <v>2720</v>
      </c>
      <c r="F548" s="15" t="s">
        <v>1303</v>
      </c>
      <c r="G548" s="14"/>
      <c r="H548" s="15"/>
      <c r="I548" s="15"/>
      <c r="J548" s="14" t="str">
        <f t="shared" si="9"/>
        <v>TB/HIV-6 Percentage of HIV-positive new and relapse TB patients on ART during TB treatment</v>
      </c>
      <c r="K548" s="374"/>
      <c r="L548" s="18"/>
      <c r="M548" s="375"/>
      <c r="N548" s="15"/>
      <c r="O548" s="15"/>
      <c r="P548" s="15"/>
      <c r="Q548" s="14" t="s">
        <v>3661</v>
      </c>
    </row>
    <row r="549" spans="4:17">
      <c r="D549" s="15" t="s">
        <v>6396</v>
      </c>
      <c r="E549" s="14" t="s">
        <v>2720</v>
      </c>
      <c r="F549" s="15" t="s">
        <v>1303</v>
      </c>
      <c r="G549" s="14"/>
      <c r="H549" s="15"/>
      <c r="I549" s="15"/>
      <c r="J549" s="14" t="str">
        <f t="shared" si="9"/>
        <v>TB/HIV-6 Percentage of HIV-positive new and relapse TB patients on ART during TB treatment</v>
      </c>
      <c r="K549" s="374"/>
      <c r="L549" s="18"/>
      <c r="M549" s="375"/>
      <c r="N549" s="15"/>
      <c r="O549" s="15"/>
      <c r="P549" s="15"/>
      <c r="Q549" s="14" t="s">
        <v>3662</v>
      </c>
    </row>
    <row r="550" spans="4:17">
      <c r="D550" s="15" t="s">
        <v>6397</v>
      </c>
      <c r="E550" s="14" t="s">
        <v>2720</v>
      </c>
      <c r="F550" s="15" t="s">
        <v>1303</v>
      </c>
      <c r="G550" s="14"/>
      <c r="H550" s="15"/>
      <c r="I550" s="15"/>
      <c r="J550" s="14" t="str">
        <f t="shared" si="9"/>
        <v>TB/HIV-6 Percentage of HIV-positive new and relapse TB patients on ART during TB treatment</v>
      </c>
      <c r="K550" s="374"/>
      <c r="L550" s="18"/>
      <c r="M550" s="375"/>
      <c r="N550" s="15"/>
      <c r="O550" s="15"/>
      <c r="P550" s="15"/>
      <c r="Q550" s="14" t="s">
        <v>3663</v>
      </c>
    </row>
    <row r="551" spans="4:17">
      <c r="D551" s="15" t="s">
        <v>6398</v>
      </c>
      <c r="E551" s="14" t="s">
        <v>2720</v>
      </c>
      <c r="F551" s="15" t="s">
        <v>1303</v>
      </c>
      <c r="G551" s="14"/>
      <c r="H551" s="15"/>
      <c r="I551" s="15"/>
      <c r="J551" s="14" t="str">
        <f t="shared" si="9"/>
        <v>TB/HIV-6 Percentage of HIV-positive new and relapse TB patients on ART during TB treatment</v>
      </c>
      <c r="K551" s="374"/>
      <c r="L551" s="18"/>
      <c r="M551" s="375"/>
      <c r="N551" s="15"/>
      <c r="O551" s="15"/>
      <c r="P551" s="15"/>
      <c r="Q551" s="14" t="s">
        <v>3664</v>
      </c>
    </row>
    <row r="552" spans="4:17">
      <c r="D552" s="15" t="s">
        <v>6399</v>
      </c>
      <c r="E552" s="14" t="s">
        <v>2720</v>
      </c>
      <c r="F552" s="15" t="s">
        <v>1303</v>
      </c>
      <c r="G552" s="14"/>
      <c r="H552" s="15"/>
      <c r="I552" s="15"/>
      <c r="J552" s="14" t="str">
        <f t="shared" si="9"/>
        <v>TB/HIV-6 Percentage of HIV-positive new and relapse TB patients on ART during TB treatment</v>
      </c>
      <c r="K552" s="374"/>
      <c r="L552" s="18"/>
      <c r="M552" s="375"/>
      <c r="N552" s="15"/>
      <c r="O552" s="15"/>
      <c r="P552" s="15"/>
      <c r="Q552" s="14" t="s">
        <v>3665</v>
      </c>
    </row>
    <row r="553" spans="4:17">
      <c r="D553" s="15" t="s">
        <v>6400</v>
      </c>
      <c r="E553" s="14" t="s">
        <v>2720</v>
      </c>
      <c r="F553" s="15" t="s">
        <v>1303</v>
      </c>
      <c r="G553" s="14"/>
      <c r="H553" s="15"/>
      <c r="I553" s="15"/>
      <c r="J553" s="14" t="str">
        <f t="shared" si="9"/>
        <v>TB/HIV-6 Percentage of HIV-positive new and relapse TB patients on ART during TB treatment</v>
      </c>
      <c r="K553" s="374"/>
      <c r="L553" s="18"/>
      <c r="M553" s="375"/>
      <c r="N553" s="15"/>
      <c r="O553" s="15"/>
      <c r="P553" s="15"/>
      <c r="Q553" s="14" t="s">
        <v>3666</v>
      </c>
    </row>
    <row r="554" spans="4:17">
      <c r="D554" s="15" t="s">
        <v>6401</v>
      </c>
      <c r="E554" s="14" t="s">
        <v>2720</v>
      </c>
      <c r="F554" s="15" t="s">
        <v>1303</v>
      </c>
      <c r="G554" s="14"/>
      <c r="H554" s="15"/>
      <c r="I554" s="15"/>
      <c r="J554" s="14" t="str">
        <f t="shared" si="9"/>
        <v>TB/HIV-6 Percentage of HIV-positive new and relapse TB patients on ART during TB treatment</v>
      </c>
      <c r="K554" s="374"/>
      <c r="L554" s="18"/>
      <c r="M554" s="375"/>
      <c r="N554" s="15"/>
      <c r="O554" s="15"/>
      <c r="P554" s="15"/>
      <c r="Q554" s="14" t="s">
        <v>3667</v>
      </c>
    </row>
    <row r="555" spans="4:17">
      <c r="D555" s="15" t="s">
        <v>6402</v>
      </c>
      <c r="E555" s="14" t="s">
        <v>2720</v>
      </c>
      <c r="F555" s="15" t="s">
        <v>1303</v>
      </c>
      <c r="G555" s="14"/>
      <c r="H555" s="15"/>
      <c r="I555" s="15"/>
      <c r="J555" s="14" t="str">
        <f t="shared" si="9"/>
        <v>TB/HIV-6 Percentage of HIV-positive new and relapse TB patients on ART during TB treatment</v>
      </c>
      <c r="K555" s="374"/>
      <c r="L555" s="18"/>
      <c r="M555" s="375"/>
      <c r="N555" s="15"/>
      <c r="O555" s="15"/>
      <c r="P555" s="15"/>
      <c r="Q555" s="14" t="s">
        <v>3668</v>
      </c>
    </row>
    <row r="556" spans="4:17">
      <c r="D556" s="15" t="s">
        <v>6403</v>
      </c>
      <c r="E556" s="14" t="s">
        <v>2902</v>
      </c>
      <c r="F556" s="15" t="s">
        <v>1296</v>
      </c>
      <c r="G556" s="14"/>
      <c r="H556" s="15" t="s">
        <v>849</v>
      </c>
      <c r="I556" s="15" t="s">
        <v>3240</v>
      </c>
      <c r="J556" s="14" t="str">
        <f t="shared" si="9"/>
        <v>TB/HIV-3.1a Percentage of people living with HIV newly initiated on ART who were screened for TBAge15+</v>
      </c>
      <c r="K556" s="374"/>
      <c r="L556" s="18"/>
      <c r="M556" s="375"/>
      <c r="N556" s="15"/>
      <c r="O556" s="15" t="s">
        <v>2281</v>
      </c>
      <c r="P556" s="15" t="s">
        <v>2282</v>
      </c>
      <c r="Q556" s="14" t="s">
        <v>4284</v>
      </c>
    </row>
    <row r="557" spans="4:17">
      <c r="D557" s="15" t="s">
        <v>6404</v>
      </c>
      <c r="E557" s="14" t="s">
        <v>2902</v>
      </c>
      <c r="F557" s="15" t="s">
        <v>1296</v>
      </c>
      <c r="G557" s="14"/>
      <c r="H557" s="15" t="s">
        <v>1192</v>
      </c>
      <c r="I557" s="15" t="s">
        <v>3193</v>
      </c>
      <c r="J557" s="14" t="str">
        <f t="shared" si="9"/>
        <v>TB/HIV-3.1a Percentage of people living with HIV newly initiated on ART who were screened for TBGenderMale</v>
      </c>
      <c r="K557" s="374"/>
      <c r="L557" s="18"/>
      <c r="M557" s="375"/>
      <c r="N557" s="15"/>
      <c r="O557" s="15" t="s">
        <v>2281</v>
      </c>
      <c r="P557" s="15" t="s">
        <v>2282</v>
      </c>
      <c r="Q557" s="14" t="s">
        <v>4287</v>
      </c>
    </row>
    <row r="558" spans="4:17">
      <c r="D558" s="15" t="s">
        <v>6405</v>
      </c>
      <c r="E558" s="14" t="s">
        <v>2902</v>
      </c>
      <c r="F558" s="15" t="s">
        <v>1296</v>
      </c>
      <c r="G558" s="14"/>
      <c r="H558" s="15" t="s">
        <v>849</v>
      </c>
      <c r="I558" s="15" t="s">
        <v>3535</v>
      </c>
      <c r="J558" s="14" t="str">
        <f t="shared" si="9"/>
        <v>TB/HIV-3.1a Percentage of people living with HIV newly initiated on ART who were screened for TBAge5-14</v>
      </c>
      <c r="K558" s="374"/>
      <c r="L558" s="18"/>
      <c r="M558" s="375"/>
      <c r="N558" s="15"/>
      <c r="O558" s="15" t="s">
        <v>2281</v>
      </c>
      <c r="P558" s="15" t="s">
        <v>2282</v>
      </c>
      <c r="Q558" s="14" t="s">
        <v>4290</v>
      </c>
    </row>
    <row r="559" spans="4:17">
      <c r="D559" s="15" t="s">
        <v>6406</v>
      </c>
      <c r="E559" s="14" t="s">
        <v>2902</v>
      </c>
      <c r="F559" s="15" t="s">
        <v>1296</v>
      </c>
      <c r="G559" s="14"/>
      <c r="H559" s="15" t="s">
        <v>849</v>
      </c>
      <c r="I559" s="15" t="s">
        <v>3547</v>
      </c>
      <c r="J559" s="14" t="str">
        <f t="shared" si="9"/>
        <v>TB/HIV-3.1a Percentage of people living with HIV newly initiated on ART who were screened for TBAge&lt;5</v>
      </c>
      <c r="K559" s="374"/>
      <c r="L559" s="18"/>
      <c r="M559" s="375"/>
      <c r="N559" s="15"/>
      <c r="O559" s="15" t="s">
        <v>2281</v>
      </c>
      <c r="P559" s="15" t="s">
        <v>2282</v>
      </c>
      <c r="Q559" s="14" t="s">
        <v>4293</v>
      </c>
    </row>
    <row r="560" spans="4:17">
      <c r="D560" s="15" t="s">
        <v>6407</v>
      </c>
      <c r="E560" s="14" t="s">
        <v>2902</v>
      </c>
      <c r="F560" s="15" t="s">
        <v>1296</v>
      </c>
      <c r="G560" s="14"/>
      <c r="H560" s="15" t="s">
        <v>1192</v>
      </c>
      <c r="I560" s="15" t="s">
        <v>3197</v>
      </c>
      <c r="J560" s="14" t="str">
        <f t="shared" si="9"/>
        <v>TB/HIV-3.1a Percentage of people living with HIV newly initiated on ART who were screened for TBGenderFemale</v>
      </c>
      <c r="K560" s="374"/>
      <c r="L560" s="18"/>
      <c r="M560" s="375"/>
      <c r="N560" s="15"/>
      <c r="O560" s="15" t="s">
        <v>2281</v>
      </c>
      <c r="P560" s="15" t="s">
        <v>2282</v>
      </c>
      <c r="Q560" s="14" t="s">
        <v>4296</v>
      </c>
    </row>
    <row r="561" spans="4:17">
      <c r="D561" s="15" t="s">
        <v>6408</v>
      </c>
      <c r="E561" s="14" t="s">
        <v>2909</v>
      </c>
      <c r="F561" s="15" t="s">
        <v>1306</v>
      </c>
      <c r="G561" s="14"/>
      <c r="H561" s="15" t="s">
        <v>849</v>
      </c>
      <c r="I561" s="15" t="s">
        <v>3240</v>
      </c>
      <c r="J561" s="14" t="str">
        <f t="shared" si="9"/>
        <v>TB/HIV-7.1 Percentage of people living with HIV currently enrolled on antiretroviral therapy who started TB preventive treatment (TPT) during the reporting periodAge15+</v>
      </c>
      <c r="K561" s="374"/>
      <c r="L561" s="18"/>
      <c r="M561" s="375"/>
      <c r="N561" s="15"/>
      <c r="O561" s="15"/>
      <c r="P561" s="15"/>
      <c r="Q561" s="14" t="s">
        <v>4299</v>
      </c>
    </row>
    <row r="562" spans="4:17">
      <c r="D562" s="15" t="s">
        <v>6409</v>
      </c>
      <c r="E562" s="14" t="s">
        <v>2909</v>
      </c>
      <c r="F562" s="15" t="s">
        <v>1306</v>
      </c>
      <c r="G562" s="14"/>
      <c r="H562" s="15" t="s">
        <v>5475</v>
      </c>
      <c r="I562" s="15" t="s">
        <v>3514</v>
      </c>
      <c r="J562" s="14" t="str">
        <f t="shared" si="9"/>
        <v>TB/HIV-7.1 Percentage of people living with HIV currently enrolled on antiretroviral therapy who started TB preventive treatment (TPT) during the reporting periodTPT regimen6H</v>
      </c>
      <c r="K562" s="374"/>
      <c r="L562" s="18"/>
      <c r="M562" s="375"/>
      <c r="N562" s="15"/>
      <c r="O562" s="15"/>
      <c r="P562" s="15"/>
      <c r="Q562" s="14" t="s">
        <v>4302</v>
      </c>
    </row>
    <row r="563" spans="4:17">
      <c r="D563" s="15" t="s">
        <v>6410</v>
      </c>
      <c r="E563" s="14" t="s">
        <v>2909</v>
      </c>
      <c r="F563" s="15" t="s">
        <v>1306</v>
      </c>
      <c r="G563" s="14"/>
      <c r="H563" s="15" t="s">
        <v>5475</v>
      </c>
      <c r="I563" s="15" t="s">
        <v>3518</v>
      </c>
      <c r="J563" s="14" t="str">
        <f t="shared" si="9"/>
        <v>TB/HIV-7.1 Percentage of people living with HIV currently enrolled on antiretroviral therapy who started TB preventive treatment (TPT) during the reporting periodTPT regimen3RH</v>
      </c>
      <c r="K563" s="374"/>
      <c r="L563" s="18"/>
      <c r="M563" s="375"/>
      <c r="N563" s="15"/>
      <c r="O563" s="15"/>
      <c r="P563" s="15"/>
      <c r="Q563" s="14" t="s">
        <v>4305</v>
      </c>
    </row>
    <row r="564" spans="4:17">
      <c r="D564" s="15" t="s">
        <v>6411</v>
      </c>
      <c r="E564" s="14" t="s">
        <v>2909</v>
      </c>
      <c r="F564" s="15" t="s">
        <v>1306</v>
      </c>
      <c r="G564" s="14"/>
      <c r="H564" s="15" t="s">
        <v>5475</v>
      </c>
      <c r="I564" s="15" t="s">
        <v>3522</v>
      </c>
      <c r="J564" s="14" t="str">
        <f t="shared" si="9"/>
        <v>TB/HIV-7.1 Percentage of people living with HIV currently enrolled on antiretroviral therapy who started TB preventive treatment (TPT) during the reporting periodTPT regimenRIF</v>
      </c>
      <c r="K564" s="374"/>
      <c r="L564" s="18"/>
      <c r="M564" s="375"/>
      <c r="N564" s="15"/>
      <c r="O564" s="15"/>
      <c r="P564" s="15"/>
      <c r="Q564" s="14" t="s">
        <v>4308</v>
      </c>
    </row>
    <row r="565" spans="4:17">
      <c r="D565" s="15" t="s">
        <v>6412</v>
      </c>
      <c r="E565" s="14" t="s">
        <v>2909</v>
      </c>
      <c r="F565" s="15" t="s">
        <v>1306</v>
      </c>
      <c r="G565" s="14"/>
      <c r="H565" s="15" t="s">
        <v>1192</v>
      </c>
      <c r="I565" s="15" t="s">
        <v>3193</v>
      </c>
      <c r="J565" s="14" t="str">
        <f t="shared" si="9"/>
        <v>TB/HIV-7.1 Percentage of people living with HIV currently enrolled on antiretroviral therapy who started TB preventive treatment (TPT) during the reporting periodGenderMale</v>
      </c>
      <c r="K565" s="374"/>
      <c r="L565" s="18"/>
      <c r="M565" s="375"/>
      <c r="N565" s="15"/>
      <c r="O565" s="15"/>
      <c r="P565" s="15"/>
      <c r="Q565" s="14" t="s">
        <v>4311</v>
      </c>
    </row>
    <row r="566" spans="4:17">
      <c r="D566" s="15" t="s">
        <v>6413</v>
      </c>
      <c r="E566" s="14" t="s">
        <v>2909</v>
      </c>
      <c r="F566" s="15" t="s">
        <v>1306</v>
      </c>
      <c r="G566" s="14"/>
      <c r="H566" s="15" t="s">
        <v>849</v>
      </c>
      <c r="I566" s="15" t="s">
        <v>3535</v>
      </c>
      <c r="J566" s="14" t="str">
        <f t="shared" si="9"/>
        <v>TB/HIV-7.1 Percentage of people living with HIV currently enrolled on antiretroviral therapy who started TB preventive treatment (TPT) during the reporting periodAge5-14</v>
      </c>
      <c r="K566" s="374"/>
      <c r="L566" s="18"/>
      <c r="M566" s="375"/>
      <c r="N566" s="15"/>
      <c r="O566" s="15"/>
      <c r="P566" s="15"/>
      <c r="Q566" s="14" t="s">
        <v>4314</v>
      </c>
    </row>
    <row r="567" spans="4:17">
      <c r="D567" s="15" t="s">
        <v>6414</v>
      </c>
      <c r="E567" s="14" t="s">
        <v>2909</v>
      </c>
      <c r="F567" s="15" t="s">
        <v>1306</v>
      </c>
      <c r="G567" s="14"/>
      <c r="H567" s="15" t="s">
        <v>5475</v>
      </c>
      <c r="I567" s="15" t="s">
        <v>3539</v>
      </c>
      <c r="J567" s="14" t="str">
        <f t="shared" si="9"/>
        <v>TB/HIV-7.1 Percentage of people living with HIV currently enrolled on antiretroviral therapy who started TB preventive treatment (TPT) during the reporting periodTPT regimen1HP</v>
      </c>
      <c r="K567" s="374"/>
      <c r="L567" s="18"/>
      <c r="M567" s="375"/>
      <c r="N567" s="15"/>
      <c r="O567" s="15"/>
      <c r="P567" s="15"/>
      <c r="Q567" s="14" t="s">
        <v>4317</v>
      </c>
    </row>
    <row r="568" spans="4:17">
      <c r="D568" s="15" t="s">
        <v>6415</v>
      </c>
      <c r="E568" s="14" t="s">
        <v>2909</v>
      </c>
      <c r="F568" s="15" t="s">
        <v>1306</v>
      </c>
      <c r="G568" s="14"/>
      <c r="H568" s="15" t="s">
        <v>849</v>
      </c>
      <c r="I568" s="15" t="s">
        <v>3547</v>
      </c>
      <c r="J568" s="14" t="str">
        <f t="shared" si="9"/>
        <v>TB/HIV-7.1 Percentage of people living with HIV currently enrolled on antiretroviral therapy who started TB preventive treatment (TPT) during the reporting periodAge&lt;5</v>
      </c>
      <c r="K568" s="374"/>
      <c r="L568" s="18"/>
      <c r="M568" s="375"/>
      <c r="N568" s="15"/>
      <c r="O568" s="15"/>
      <c r="P568" s="15"/>
      <c r="Q568" s="14" t="s">
        <v>4320</v>
      </c>
    </row>
    <row r="569" spans="4:17">
      <c r="D569" s="15" t="s">
        <v>6416</v>
      </c>
      <c r="E569" s="14" t="s">
        <v>2909</v>
      </c>
      <c r="F569" s="15" t="s">
        <v>1306</v>
      </c>
      <c r="G569" s="14"/>
      <c r="H569" s="15" t="s">
        <v>5475</v>
      </c>
      <c r="I569" s="15" t="s">
        <v>3543</v>
      </c>
      <c r="J569" s="14" t="str">
        <f t="shared" si="9"/>
        <v>TB/HIV-7.1 Percentage of people living with HIV currently enrolled on antiretroviral therapy who started TB preventive treatment (TPT) during the reporting periodTPT regimen3HP</v>
      </c>
      <c r="K569" s="374"/>
      <c r="L569" s="18"/>
      <c r="M569" s="375"/>
      <c r="N569" s="15"/>
      <c r="O569" s="15"/>
      <c r="P569" s="15"/>
      <c r="Q569" s="14" t="s">
        <v>4323</v>
      </c>
    </row>
    <row r="570" spans="4:17">
      <c r="D570" s="15" t="s">
        <v>6417</v>
      </c>
      <c r="E570" s="14" t="s">
        <v>2909</v>
      </c>
      <c r="F570" s="15" t="s">
        <v>1306</v>
      </c>
      <c r="G570" s="14"/>
      <c r="H570" s="15" t="s">
        <v>1192</v>
      </c>
      <c r="I570" s="15" t="s">
        <v>3197</v>
      </c>
      <c r="J570" s="14" t="str">
        <f t="shared" si="9"/>
        <v>TB/HIV-7.1 Percentage of people living with HIV currently enrolled on antiretroviral therapy who started TB preventive treatment (TPT) during the reporting periodGenderFemale</v>
      </c>
      <c r="K570" s="374"/>
      <c r="L570" s="18"/>
      <c r="M570" s="375"/>
      <c r="N570" s="15"/>
      <c r="O570" s="15"/>
      <c r="P570" s="15"/>
      <c r="Q570" s="14" t="s">
        <v>4326</v>
      </c>
    </row>
    <row r="571" spans="4:17">
      <c r="D571" s="15" t="s">
        <v>6418</v>
      </c>
      <c r="E571" s="14" t="s">
        <v>2741</v>
      </c>
      <c r="F571" s="15" t="s">
        <v>1091</v>
      </c>
      <c r="G571" s="14"/>
      <c r="H571" s="15" t="s">
        <v>849</v>
      </c>
      <c r="I571" s="15" t="s">
        <v>3167</v>
      </c>
      <c r="J571" s="14" t="str">
        <f t="shared" si="9"/>
        <v>KP-1a Percentage of men who have sex with men reached with HIV prevention programs - defined package of servicesAge25+</v>
      </c>
      <c r="K571" s="374"/>
      <c r="L571" s="18"/>
      <c r="M571" s="375"/>
      <c r="N571" s="15"/>
      <c r="O571" s="15"/>
      <c r="P571" s="15"/>
      <c r="Q571" s="14" t="s">
        <v>3731</v>
      </c>
    </row>
    <row r="572" spans="4:17">
      <c r="D572" s="15" t="s">
        <v>6419</v>
      </c>
      <c r="E572" s="14" t="s">
        <v>2741</v>
      </c>
      <c r="F572" s="15" t="s">
        <v>1091</v>
      </c>
      <c r="G572" s="14"/>
      <c r="H572" s="15" t="s">
        <v>849</v>
      </c>
      <c r="I572" s="15" t="s">
        <v>3735</v>
      </c>
      <c r="J572" s="14" t="str">
        <f t="shared" ref="J572:J635" si="10">F572&amp;H572&amp;I572</f>
        <v>KP-1a Percentage of men who have sex with men reached with HIV prevention programs - defined package of servicesAge20-24</v>
      </c>
      <c r="K572" s="374"/>
      <c r="L572" s="18"/>
      <c r="M572" s="375"/>
      <c r="N572" s="15"/>
      <c r="O572" s="15"/>
      <c r="P572" s="15"/>
      <c r="Q572" s="14" t="s">
        <v>3734</v>
      </c>
    </row>
    <row r="573" spans="4:17">
      <c r="D573" s="15" t="s">
        <v>6420</v>
      </c>
      <c r="E573" s="14" t="s">
        <v>2741</v>
      </c>
      <c r="F573" s="15" t="s">
        <v>1091</v>
      </c>
      <c r="G573" s="14"/>
      <c r="H573" s="15" t="s">
        <v>849</v>
      </c>
      <c r="I573" s="15" t="s">
        <v>3739</v>
      </c>
      <c r="J573" s="14" t="str">
        <f t="shared" si="10"/>
        <v>KP-1a Percentage of men who have sex with men reached with HIV prevention programs - defined package of servicesAge15-19</v>
      </c>
      <c r="K573" s="374"/>
      <c r="L573" s="18"/>
      <c r="M573" s="375"/>
      <c r="N573" s="15"/>
      <c r="O573" s="15"/>
      <c r="P573" s="15"/>
      <c r="Q573" s="14" t="s">
        <v>3738</v>
      </c>
    </row>
    <row r="574" spans="4:17">
      <c r="D574" s="15" t="s">
        <v>6421</v>
      </c>
      <c r="E574" s="14" t="s">
        <v>2741</v>
      </c>
      <c r="F574" s="15" t="s">
        <v>1091</v>
      </c>
      <c r="G574" s="14"/>
      <c r="H574" s="15"/>
      <c r="I574" s="15"/>
      <c r="J574" s="14" t="str">
        <f t="shared" si="10"/>
        <v>KP-1a Percentage of men who have sex with men reached with HIV prevention programs - defined package of services</v>
      </c>
      <c r="K574" s="374"/>
      <c r="L574" s="18"/>
      <c r="M574" s="375"/>
      <c r="N574" s="15"/>
      <c r="O574" s="15"/>
      <c r="P574" s="15"/>
      <c r="Q574" s="14" t="s">
        <v>3742</v>
      </c>
    </row>
    <row r="575" spans="4:17">
      <c r="D575" s="15" t="s">
        <v>6422</v>
      </c>
      <c r="E575" s="14" t="s">
        <v>2741</v>
      </c>
      <c r="F575" s="15" t="s">
        <v>1091</v>
      </c>
      <c r="G575" s="14"/>
      <c r="H575" s="15"/>
      <c r="I575" s="15"/>
      <c r="J575" s="14" t="str">
        <f t="shared" si="10"/>
        <v>KP-1a Percentage of men who have sex with men reached with HIV prevention programs - defined package of services</v>
      </c>
      <c r="K575" s="374"/>
      <c r="L575" s="18"/>
      <c r="M575" s="375"/>
      <c r="N575" s="15"/>
      <c r="O575" s="15"/>
      <c r="P575" s="15"/>
      <c r="Q575" s="14" t="s">
        <v>3743</v>
      </c>
    </row>
    <row r="576" spans="4:17">
      <c r="D576" s="15" t="s">
        <v>6423</v>
      </c>
      <c r="E576" s="14" t="s">
        <v>2741</v>
      </c>
      <c r="F576" s="15" t="s">
        <v>1091</v>
      </c>
      <c r="G576" s="14"/>
      <c r="H576" s="15"/>
      <c r="I576" s="15"/>
      <c r="J576" s="14" t="str">
        <f t="shared" si="10"/>
        <v>KP-1a Percentage of men who have sex with men reached with HIV prevention programs - defined package of services</v>
      </c>
      <c r="K576" s="374"/>
      <c r="L576" s="18"/>
      <c r="M576" s="375"/>
      <c r="N576" s="15"/>
      <c r="O576" s="15"/>
      <c r="P576" s="15"/>
      <c r="Q576" s="14" t="s">
        <v>3744</v>
      </c>
    </row>
    <row r="577" spans="4:17">
      <c r="D577" s="15" t="s">
        <v>6424</v>
      </c>
      <c r="E577" s="14" t="s">
        <v>2741</v>
      </c>
      <c r="F577" s="15" t="s">
        <v>1091</v>
      </c>
      <c r="G577" s="14"/>
      <c r="H577" s="15"/>
      <c r="I577" s="15"/>
      <c r="J577" s="14" t="str">
        <f t="shared" si="10"/>
        <v>KP-1a Percentage of men who have sex with men reached with HIV prevention programs - defined package of services</v>
      </c>
      <c r="K577" s="374"/>
      <c r="L577" s="18"/>
      <c r="M577" s="375"/>
      <c r="N577" s="15"/>
      <c r="O577" s="15"/>
      <c r="P577" s="15"/>
      <c r="Q577" s="14" t="s">
        <v>3745</v>
      </c>
    </row>
    <row r="578" spans="4:17">
      <c r="D578" s="15" t="s">
        <v>6425</v>
      </c>
      <c r="E578" s="14" t="s">
        <v>2741</v>
      </c>
      <c r="F578" s="15" t="s">
        <v>1091</v>
      </c>
      <c r="G578" s="14"/>
      <c r="H578" s="15"/>
      <c r="I578" s="15"/>
      <c r="J578" s="14" t="str">
        <f t="shared" si="10"/>
        <v>KP-1a Percentage of men who have sex with men reached with HIV prevention programs - defined package of services</v>
      </c>
      <c r="K578" s="374"/>
      <c r="L578" s="18"/>
      <c r="M578" s="375"/>
      <c r="N578" s="15"/>
      <c r="O578" s="15"/>
      <c r="P578" s="15"/>
      <c r="Q578" s="14" t="s">
        <v>3746</v>
      </c>
    </row>
    <row r="579" spans="4:17">
      <c r="D579" s="15" t="s">
        <v>6426</v>
      </c>
      <c r="E579" s="14" t="s">
        <v>2741</v>
      </c>
      <c r="F579" s="15" t="s">
        <v>1091</v>
      </c>
      <c r="G579" s="14"/>
      <c r="H579" s="15"/>
      <c r="I579" s="15"/>
      <c r="J579" s="14" t="str">
        <f t="shared" si="10"/>
        <v>KP-1a Percentage of men who have sex with men reached with HIV prevention programs - defined package of services</v>
      </c>
      <c r="K579" s="374"/>
      <c r="L579" s="18"/>
      <c r="M579" s="375"/>
      <c r="N579" s="15"/>
      <c r="O579" s="15"/>
      <c r="P579" s="15"/>
      <c r="Q579" s="14" t="s">
        <v>3747</v>
      </c>
    </row>
    <row r="580" spans="4:17">
      <c r="D580" s="15" t="s">
        <v>6427</v>
      </c>
      <c r="E580" s="14" t="s">
        <v>2741</v>
      </c>
      <c r="F580" s="15" t="s">
        <v>1091</v>
      </c>
      <c r="G580" s="14"/>
      <c r="H580" s="15"/>
      <c r="I580" s="15"/>
      <c r="J580" s="14" t="str">
        <f t="shared" si="10"/>
        <v>KP-1a Percentage of men who have sex with men reached with HIV prevention programs - defined package of services</v>
      </c>
      <c r="K580" s="374"/>
      <c r="L580" s="18"/>
      <c r="M580" s="375"/>
      <c r="N580" s="15"/>
      <c r="O580" s="15"/>
      <c r="P580" s="15"/>
      <c r="Q580" s="14" t="s">
        <v>3748</v>
      </c>
    </row>
    <row r="581" spans="4:17">
      <c r="D581" s="15" t="s">
        <v>6428</v>
      </c>
      <c r="E581" s="14" t="s">
        <v>2741</v>
      </c>
      <c r="F581" s="15" t="s">
        <v>1091</v>
      </c>
      <c r="G581" s="14"/>
      <c r="H581" s="15"/>
      <c r="I581" s="15"/>
      <c r="J581" s="14" t="str">
        <f t="shared" si="10"/>
        <v>KP-1a Percentage of men who have sex with men reached with HIV prevention programs - defined package of services</v>
      </c>
      <c r="K581" s="374"/>
      <c r="L581" s="18"/>
      <c r="M581" s="375"/>
      <c r="N581" s="15"/>
      <c r="O581" s="15"/>
      <c r="P581" s="15"/>
      <c r="Q581" s="14" t="s">
        <v>3749</v>
      </c>
    </row>
    <row r="582" spans="4:17">
      <c r="D582" s="15" t="s">
        <v>6429</v>
      </c>
      <c r="E582" s="14" t="s">
        <v>2741</v>
      </c>
      <c r="F582" s="15" t="s">
        <v>1091</v>
      </c>
      <c r="G582" s="14"/>
      <c r="H582" s="15"/>
      <c r="I582" s="15"/>
      <c r="J582" s="14" t="str">
        <f t="shared" si="10"/>
        <v>KP-1a Percentage of men who have sex with men reached with HIV prevention programs - defined package of services</v>
      </c>
      <c r="K582" s="374"/>
      <c r="L582" s="18"/>
      <c r="M582" s="375"/>
      <c r="N582" s="15"/>
      <c r="O582" s="15"/>
      <c r="P582" s="15"/>
      <c r="Q582" s="14" t="s">
        <v>3750</v>
      </c>
    </row>
    <row r="583" spans="4:17">
      <c r="D583" s="15" t="s">
        <v>6430</v>
      </c>
      <c r="E583" s="14" t="s">
        <v>2741</v>
      </c>
      <c r="F583" s="15" t="s">
        <v>1091</v>
      </c>
      <c r="G583" s="14"/>
      <c r="H583" s="15"/>
      <c r="I583" s="15"/>
      <c r="J583" s="14" t="str">
        <f t="shared" si="10"/>
        <v>KP-1a Percentage of men who have sex with men reached with HIV prevention programs - defined package of services</v>
      </c>
      <c r="K583" s="374"/>
      <c r="L583" s="18"/>
      <c r="M583" s="375"/>
      <c r="N583" s="15"/>
      <c r="O583" s="15"/>
      <c r="P583" s="15"/>
      <c r="Q583" s="14" t="s">
        <v>3751</v>
      </c>
    </row>
    <row r="584" spans="4:17">
      <c r="D584" s="15" t="s">
        <v>6431</v>
      </c>
      <c r="E584" s="14" t="s">
        <v>2741</v>
      </c>
      <c r="F584" s="15" t="s">
        <v>1091</v>
      </c>
      <c r="G584" s="14"/>
      <c r="H584" s="15"/>
      <c r="I584" s="15"/>
      <c r="J584" s="14" t="str">
        <f t="shared" si="10"/>
        <v>KP-1a Percentage of men who have sex with men reached with HIV prevention programs - defined package of services</v>
      </c>
      <c r="K584" s="374"/>
      <c r="L584" s="18"/>
      <c r="M584" s="375"/>
      <c r="N584" s="15"/>
      <c r="O584" s="15"/>
      <c r="P584" s="15"/>
      <c r="Q584" s="14" t="s">
        <v>3752</v>
      </c>
    </row>
    <row r="585" spans="4:17">
      <c r="D585" s="15" t="s">
        <v>6432</v>
      </c>
      <c r="E585" s="14" t="s">
        <v>2741</v>
      </c>
      <c r="F585" s="15" t="s">
        <v>1091</v>
      </c>
      <c r="G585" s="14"/>
      <c r="H585" s="15"/>
      <c r="I585" s="15"/>
      <c r="J585" s="14" t="str">
        <f t="shared" si="10"/>
        <v>KP-1a Percentage of men who have sex with men reached with HIV prevention programs - defined package of services</v>
      </c>
      <c r="K585" s="374"/>
      <c r="L585" s="18"/>
      <c r="M585" s="375"/>
      <c r="N585" s="15"/>
      <c r="O585" s="15"/>
      <c r="P585" s="15"/>
      <c r="Q585" s="14" t="s">
        <v>3753</v>
      </c>
    </row>
    <row r="586" spans="4:17">
      <c r="D586" s="15" t="s">
        <v>6433</v>
      </c>
      <c r="E586" s="14" t="s">
        <v>2741</v>
      </c>
      <c r="F586" s="15" t="s">
        <v>1091</v>
      </c>
      <c r="G586" s="14"/>
      <c r="H586" s="15"/>
      <c r="I586" s="15"/>
      <c r="J586" s="14" t="str">
        <f t="shared" si="10"/>
        <v>KP-1a Percentage of men who have sex with men reached with HIV prevention programs - defined package of services</v>
      </c>
      <c r="K586" s="374"/>
      <c r="L586" s="18"/>
      <c r="M586" s="375"/>
      <c r="N586" s="15"/>
      <c r="O586" s="15"/>
      <c r="P586" s="15"/>
      <c r="Q586" s="14" t="s">
        <v>3754</v>
      </c>
    </row>
    <row r="587" spans="4:17">
      <c r="D587" s="15" t="s">
        <v>6434</v>
      </c>
      <c r="E587" s="14" t="s">
        <v>2741</v>
      </c>
      <c r="F587" s="15" t="s">
        <v>1091</v>
      </c>
      <c r="G587" s="14"/>
      <c r="H587" s="15"/>
      <c r="I587" s="15"/>
      <c r="J587" s="14" t="str">
        <f t="shared" si="10"/>
        <v>KP-1a Percentage of men who have sex with men reached with HIV prevention programs - defined package of services</v>
      </c>
      <c r="K587" s="374"/>
      <c r="L587" s="18"/>
      <c r="M587" s="375"/>
      <c r="N587" s="15"/>
      <c r="O587" s="15"/>
      <c r="P587" s="15"/>
      <c r="Q587" s="14" t="s">
        <v>3755</v>
      </c>
    </row>
    <row r="588" spans="4:17">
      <c r="D588" s="15" t="s">
        <v>6435</v>
      </c>
      <c r="E588" s="14" t="s">
        <v>2741</v>
      </c>
      <c r="F588" s="15" t="s">
        <v>1091</v>
      </c>
      <c r="G588" s="14"/>
      <c r="H588" s="15"/>
      <c r="I588" s="15"/>
      <c r="J588" s="14" t="str">
        <f t="shared" si="10"/>
        <v>KP-1a Percentage of men who have sex with men reached with HIV prevention programs - defined package of services</v>
      </c>
      <c r="K588" s="374"/>
      <c r="L588" s="18"/>
      <c r="M588" s="375"/>
      <c r="N588" s="15"/>
      <c r="O588" s="15"/>
      <c r="P588" s="15"/>
      <c r="Q588" s="14" t="s">
        <v>3756</v>
      </c>
    </row>
    <row r="589" spans="4:17">
      <c r="D589" s="15" t="s">
        <v>6436</v>
      </c>
      <c r="E589" s="14" t="s">
        <v>2741</v>
      </c>
      <c r="F589" s="15" t="s">
        <v>1091</v>
      </c>
      <c r="G589" s="14"/>
      <c r="H589" s="15"/>
      <c r="I589" s="15"/>
      <c r="J589" s="14" t="str">
        <f t="shared" si="10"/>
        <v>KP-1a Percentage of men who have sex with men reached with HIV prevention programs - defined package of services</v>
      </c>
      <c r="K589" s="374"/>
      <c r="L589" s="18"/>
      <c r="M589" s="375"/>
      <c r="N589" s="15"/>
      <c r="O589" s="15"/>
      <c r="P589" s="15"/>
      <c r="Q589" s="14" t="s">
        <v>3757</v>
      </c>
    </row>
    <row r="590" spans="4:17">
      <c r="D590" s="15" t="s">
        <v>6437</v>
      </c>
      <c r="E590" s="14" t="s">
        <v>2741</v>
      </c>
      <c r="F590" s="15" t="s">
        <v>1091</v>
      </c>
      <c r="G590" s="14"/>
      <c r="H590" s="15"/>
      <c r="I590" s="15"/>
      <c r="J590" s="14" t="str">
        <f t="shared" si="10"/>
        <v>KP-1a Percentage of men who have sex with men reached with HIV prevention programs - defined package of services</v>
      </c>
      <c r="K590" s="374"/>
      <c r="L590" s="18"/>
      <c r="M590" s="375"/>
      <c r="N590" s="15"/>
      <c r="O590" s="15"/>
      <c r="P590" s="15"/>
      <c r="Q590" s="14" t="s">
        <v>3758</v>
      </c>
    </row>
    <row r="591" spans="4:17">
      <c r="D591" s="15" t="s">
        <v>6438</v>
      </c>
      <c r="E591" s="14" t="s">
        <v>2748</v>
      </c>
      <c r="F591" s="15" t="s">
        <v>1096</v>
      </c>
      <c r="G591" s="14"/>
      <c r="H591" s="15" t="s">
        <v>849</v>
      </c>
      <c r="I591" s="15" t="s">
        <v>3167</v>
      </c>
      <c r="J591" s="14" t="str">
        <f t="shared" si="10"/>
        <v>KP-6a Number of MSM who received any PrEP product at least once during the reporting periodAge25+</v>
      </c>
      <c r="K591" s="374"/>
      <c r="L591" s="18"/>
      <c r="M591" s="375"/>
      <c r="N591" s="15"/>
      <c r="O591" s="15"/>
      <c r="P591" s="15"/>
      <c r="Q591" s="14" t="s">
        <v>3759</v>
      </c>
    </row>
    <row r="592" spans="4:17">
      <c r="D592" s="15" t="s">
        <v>6439</v>
      </c>
      <c r="E592" s="14" t="s">
        <v>2748</v>
      </c>
      <c r="F592" s="15" t="s">
        <v>1096</v>
      </c>
      <c r="G592" s="14"/>
      <c r="H592" s="15" t="s">
        <v>849</v>
      </c>
      <c r="I592" s="15" t="s">
        <v>3735</v>
      </c>
      <c r="J592" s="14" t="str">
        <f t="shared" si="10"/>
        <v>KP-6a Number of MSM who received any PrEP product at least once during the reporting periodAge20-24</v>
      </c>
      <c r="K592" s="374"/>
      <c r="L592" s="18"/>
      <c r="M592" s="375"/>
      <c r="N592" s="15"/>
      <c r="O592" s="15"/>
      <c r="P592" s="15"/>
      <c r="Q592" s="14" t="s">
        <v>3762</v>
      </c>
    </row>
    <row r="593" spans="4:17">
      <c r="D593" s="15" t="s">
        <v>6440</v>
      </c>
      <c r="E593" s="14" t="s">
        <v>2748</v>
      </c>
      <c r="F593" s="15" t="s">
        <v>1096</v>
      </c>
      <c r="G593" s="14"/>
      <c r="H593" s="15" t="s">
        <v>849</v>
      </c>
      <c r="I593" s="15" t="s">
        <v>3739</v>
      </c>
      <c r="J593" s="14" t="str">
        <f t="shared" si="10"/>
        <v>KP-6a Number of MSM who received any PrEP product at least once during the reporting periodAge15-19</v>
      </c>
      <c r="K593" s="374"/>
      <c r="L593" s="18"/>
      <c r="M593" s="375"/>
      <c r="N593" s="15"/>
      <c r="O593" s="15"/>
      <c r="P593" s="15"/>
      <c r="Q593" s="14" t="s">
        <v>3765</v>
      </c>
    </row>
    <row r="594" spans="4:17">
      <c r="D594" s="15" t="s">
        <v>6441</v>
      </c>
      <c r="E594" s="14" t="s">
        <v>2748</v>
      </c>
      <c r="F594" s="15" t="s">
        <v>1096</v>
      </c>
      <c r="G594" s="14"/>
      <c r="H594" s="15" t="s">
        <v>5411</v>
      </c>
      <c r="I594" s="15" t="s">
        <v>3769</v>
      </c>
      <c r="J594" s="14" t="str">
        <f t="shared" si="10"/>
        <v>KP-6a Number of MSM who received any PrEP product at least once during the reporting periodPrEP productDPV-VR</v>
      </c>
      <c r="K594" s="374"/>
      <c r="L594" s="18"/>
      <c r="M594" s="375"/>
      <c r="N594" s="15"/>
      <c r="O594" s="15"/>
      <c r="P594" s="15"/>
      <c r="Q594" s="14" t="s">
        <v>3768</v>
      </c>
    </row>
    <row r="595" spans="4:17">
      <c r="D595" s="15" t="s">
        <v>6442</v>
      </c>
      <c r="E595" s="14" t="s">
        <v>2748</v>
      </c>
      <c r="F595" s="15" t="s">
        <v>1096</v>
      </c>
      <c r="G595" s="14"/>
      <c r="H595" s="15" t="s">
        <v>5411</v>
      </c>
      <c r="I595" s="15" t="s">
        <v>3773</v>
      </c>
      <c r="J595" s="14" t="str">
        <f t="shared" si="10"/>
        <v>KP-6a Number of MSM who received any PrEP product at least once during the reporting periodPrEP productInjectable PrEP</v>
      </c>
      <c r="K595" s="374"/>
      <c r="L595" s="18"/>
      <c r="M595" s="375"/>
      <c r="N595" s="15"/>
      <c r="O595" s="15"/>
      <c r="P595" s="15"/>
      <c r="Q595" s="14" t="s">
        <v>3772</v>
      </c>
    </row>
    <row r="596" spans="4:17">
      <c r="D596" s="15" t="s">
        <v>6443</v>
      </c>
      <c r="E596" s="14" t="s">
        <v>2748</v>
      </c>
      <c r="F596" s="15" t="s">
        <v>1096</v>
      </c>
      <c r="G596" s="14"/>
      <c r="H596" s="15" t="s">
        <v>5411</v>
      </c>
      <c r="I596" s="15" t="s">
        <v>3777</v>
      </c>
      <c r="J596" s="14" t="str">
        <f t="shared" si="10"/>
        <v>KP-6a Number of MSM who received any PrEP product at least once during the reporting periodPrEP productOral PrEP</v>
      </c>
      <c r="K596" s="374"/>
      <c r="L596" s="18"/>
      <c r="M596" s="375"/>
      <c r="N596" s="15"/>
      <c r="O596" s="15"/>
      <c r="P596" s="15"/>
      <c r="Q596" s="14" t="s">
        <v>3776</v>
      </c>
    </row>
    <row r="597" spans="4:17">
      <c r="D597" s="15" t="s">
        <v>6444</v>
      </c>
      <c r="E597" s="14" t="s">
        <v>2748</v>
      </c>
      <c r="F597" s="15" t="s">
        <v>1096</v>
      </c>
      <c r="G597" s="14"/>
      <c r="H597" s="15"/>
      <c r="I597" s="15"/>
      <c r="J597" s="14" t="str">
        <f t="shared" si="10"/>
        <v>KP-6a Number of MSM who received any PrEP product at least once during the reporting period</v>
      </c>
      <c r="K597" s="374"/>
      <c r="L597" s="18"/>
      <c r="M597" s="375"/>
      <c r="N597" s="15"/>
      <c r="O597" s="15"/>
      <c r="P597" s="15"/>
      <c r="Q597" s="14" t="s">
        <v>3780</v>
      </c>
    </row>
    <row r="598" spans="4:17">
      <c r="D598" s="15" t="s">
        <v>6445</v>
      </c>
      <c r="E598" s="14" t="s">
        <v>2748</v>
      </c>
      <c r="F598" s="15" t="s">
        <v>1096</v>
      </c>
      <c r="G598" s="14"/>
      <c r="H598" s="15"/>
      <c r="I598" s="15"/>
      <c r="J598" s="14" t="str">
        <f t="shared" si="10"/>
        <v>KP-6a Number of MSM who received any PrEP product at least once during the reporting period</v>
      </c>
      <c r="K598" s="374"/>
      <c r="L598" s="18"/>
      <c r="M598" s="375"/>
      <c r="N598" s="15"/>
      <c r="O598" s="15"/>
      <c r="P598" s="15"/>
      <c r="Q598" s="14" t="s">
        <v>3781</v>
      </c>
    </row>
    <row r="599" spans="4:17">
      <c r="D599" s="15" t="s">
        <v>6446</v>
      </c>
      <c r="E599" s="14" t="s">
        <v>2748</v>
      </c>
      <c r="F599" s="15" t="s">
        <v>1096</v>
      </c>
      <c r="G599" s="14"/>
      <c r="H599" s="15"/>
      <c r="I599" s="15"/>
      <c r="J599" s="14" t="str">
        <f t="shared" si="10"/>
        <v>KP-6a Number of MSM who received any PrEP product at least once during the reporting period</v>
      </c>
      <c r="K599" s="374"/>
      <c r="L599" s="18"/>
      <c r="M599" s="375"/>
      <c r="N599" s="15"/>
      <c r="O599" s="15"/>
      <c r="P599" s="15"/>
      <c r="Q599" s="14" t="s">
        <v>3782</v>
      </c>
    </row>
    <row r="600" spans="4:17">
      <c r="D600" s="15" t="s">
        <v>6447</v>
      </c>
      <c r="E600" s="14" t="s">
        <v>2748</v>
      </c>
      <c r="F600" s="15" t="s">
        <v>1096</v>
      </c>
      <c r="G600" s="14"/>
      <c r="H600" s="15"/>
      <c r="I600" s="15"/>
      <c r="J600" s="14" t="str">
        <f t="shared" si="10"/>
        <v>KP-6a Number of MSM who received any PrEP product at least once during the reporting period</v>
      </c>
      <c r="K600" s="374"/>
      <c r="L600" s="18"/>
      <c r="M600" s="375"/>
      <c r="N600" s="15"/>
      <c r="O600" s="15"/>
      <c r="P600" s="15"/>
      <c r="Q600" s="14" t="s">
        <v>3783</v>
      </c>
    </row>
    <row r="601" spans="4:17">
      <c r="D601" s="15" t="s">
        <v>6448</v>
      </c>
      <c r="E601" s="14" t="s">
        <v>2748</v>
      </c>
      <c r="F601" s="15" t="s">
        <v>1096</v>
      </c>
      <c r="G601" s="14"/>
      <c r="H601" s="15"/>
      <c r="I601" s="15"/>
      <c r="J601" s="14" t="str">
        <f t="shared" si="10"/>
        <v>KP-6a Number of MSM who received any PrEP product at least once during the reporting period</v>
      </c>
      <c r="K601" s="374"/>
      <c r="L601" s="18"/>
      <c r="M601" s="375"/>
      <c r="N601" s="15"/>
      <c r="O601" s="15"/>
      <c r="P601" s="15"/>
      <c r="Q601" s="14" t="s">
        <v>3784</v>
      </c>
    </row>
    <row r="602" spans="4:17">
      <c r="D602" s="15" t="s">
        <v>6449</v>
      </c>
      <c r="E602" s="14" t="s">
        <v>2748</v>
      </c>
      <c r="F602" s="15" t="s">
        <v>1096</v>
      </c>
      <c r="G602" s="14"/>
      <c r="H602" s="15"/>
      <c r="I602" s="15"/>
      <c r="J602" s="14" t="str">
        <f t="shared" si="10"/>
        <v>KP-6a Number of MSM who received any PrEP product at least once during the reporting period</v>
      </c>
      <c r="K602" s="374"/>
      <c r="L602" s="18"/>
      <c r="M602" s="375"/>
      <c r="N602" s="15"/>
      <c r="O602" s="15"/>
      <c r="P602" s="15"/>
      <c r="Q602" s="14" t="s">
        <v>3785</v>
      </c>
    </row>
    <row r="603" spans="4:17">
      <c r="D603" s="15" t="s">
        <v>6450</v>
      </c>
      <c r="E603" s="14" t="s">
        <v>2748</v>
      </c>
      <c r="F603" s="15" t="s">
        <v>1096</v>
      </c>
      <c r="G603" s="14"/>
      <c r="H603" s="15"/>
      <c r="I603" s="15"/>
      <c r="J603" s="14" t="str">
        <f t="shared" si="10"/>
        <v>KP-6a Number of MSM who received any PrEP product at least once during the reporting period</v>
      </c>
      <c r="K603" s="374"/>
      <c r="L603" s="18"/>
      <c r="M603" s="375"/>
      <c r="N603" s="15"/>
      <c r="O603" s="15"/>
      <c r="P603" s="15"/>
      <c r="Q603" s="14" t="s">
        <v>3786</v>
      </c>
    </row>
    <row r="604" spans="4:17">
      <c r="D604" s="15" t="s">
        <v>6451</v>
      </c>
      <c r="E604" s="14" t="s">
        <v>2748</v>
      </c>
      <c r="F604" s="15" t="s">
        <v>1096</v>
      </c>
      <c r="G604" s="14"/>
      <c r="H604" s="15"/>
      <c r="I604" s="15"/>
      <c r="J604" s="14" t="str">
        <f t="shared" si="10"/>
        <v>KP-6a Number of MSM who received any PrEP product at least once during the reporting period</v>
      </c>
      <c r="K604" s="374"/>
      <c r="L604" s="18"/>
      <c r="M604" s="375"/>
      <c r="N604" s="15"/>
      <c r="O604" s="15"/>
      <c r="P604" s="15"/>
      <c r="Q604" s="14" t="s">
        <v>3787</v>
      </c>
    </row>
    <row r="605" spans="4:17">
      <c r="D605" s="15" t="s">
        <v>6452</v>
      </c>
      <c r="E605" s="14" t="s">
        <v>2748</v>
      </c>
      <c r="F605" s="15" t="s">
        <v>1096</v>
      </c>
      <c r="G605" s="14"/>
      <c r="H605" s="15"/>
      <c r="I605" s="15"/>
      <c r="J605" s="14" t="str">
        <f t="shared" si="10"/>
        <v>KP-6a Number of MSM who received any PrEP product at least once during the reporting period</v>
      </c>
      <c r="K605" s="374"/>
      <c r="L605" s="18"/>
      <c r="M605" s="375"/>
      <c r="N605" s="15"/>
      <c r="O605" s="15"/>
      <c r="P605" s="15"/>
      <c r="Q605" s="14" t="s">
        <v>3788</v>
      </c>
    </row>
    <row r="606" spans="4:17">
      <c r="D606" s="15" t="s">
        <v>6453</v>
      </c>
      <c r="E606" s="14" t="s">
        <v>2748</v>
      </c>
      <c r="F606" s="15" t="s">
        <v>1096</v>
      </c>
      <c r="G606" s="14"/>
      <c r="H606" s="15"/>
      <c r="I606" s="15"/>
      <c r="J606" s="14" t="str">
        <f t="shared" si="10"/>
        <v>KP-6a Number of MSM who received any PrEP product at least once during the reporting period</v>
      </c>
      <c r="K606" s="374"/>
      <c r="L606" s="18"/>
      <c r="M606" s="375"/>
      <c r="N606" s="15"/>
      <c r="O606" s="15"/>
      <c r="P606" s="15"/>
      <c r="Q606" s="14" t="s">
        <v>3789</v>
      </c>
    </row>
    <row r="607" spans="4:17">
      <c r="D607" s="15" t="s">
        <v>6454</v>
      </c>
      <c r="E607" s="14" t="s">
        <v>2748</v>
      </c>
      <c r="F607" s="15" t="s">
        <v>1096</v>
      </c>
      <c r="G607" s="14"/>
      <c r="H607" s="15"/>
      <c r="I607" s="15"/>
      <c r="J607" s="14" t="str">
        <f t="shared" si="10"/>
        <v>KP-6a Number of MSM who received any PrEP product at least once during the reporting period</v>
      </c>
      <c r="K607" s="374"/>
      <c r="L607" s="18"/>
      <c r="M607" s="375"/>
      <c r="N607" s="15"/>
      <c r="O607" s="15"/>
      <c r="P607" s="15"/>
      <c r="Q607" s="14" t="s">
        <v>3790</v>
      </c>
    </row>
    <row r="608" spans="4:17">
      <c r="D608" s="15" t="s">
        <v>6455</v>
      </c>
      <c r="E608" s="14" t="s">
        <v>2748</v>
      </c>
      <c r="F608" s="15" t="s">
        <v>1096</v>
      </c>
      <c r="G608" s="14"/>
      <c r="H608" s="15"/>
      <c r="I608" s="15"/>
      <c r="J608" s="14" t="str">
        <f t="shared" si="10"/>
        <v>KP-6a Number of MSM who received any PrEP product at least once during the reporting period</v>
      </c>
      <c r="K608" s="374"/>
      <c r="L608" s="18"/>
      <c r="M608" s="375"/>
      <c r="N608" s="15"/>
      <c r="O608" s="15"/>
      <c r="P608" s="15"/>
      <c r="Q608" s="14" t="s">
        <v>3791</v>
      </c>
    </row>
    <row r="609" spans="4:17">
      <c r="D609" s="15" t="s">
        <v>6456</v>
      </c>
      <c r="E609" s="14" t="s">
        <v>2748</v>
      </c>
      <c r="F609" s="15" t="s">
        <v>1096</v>
      </c>
      <c r="G609" s="14"/>
      <c r="H609" s="15"/>
      <c r="I609" s="15"/>
      <c r="J609" s="14" t="str">
        <f t="shared" si="10"/>
        <v>KP-6a Number of MSM who received any PrEP product at least once during the reporting period</v>
      </c>
      <c r="K609" s="374"/>
      <c r="L609" s="18"/>
      <c r="M609" s="375"/>
      <c r="N609" s="15"/>
      <c r="O609" s="15"/>
      <c r="P609" s="15"/>
      <c r="Q609" s="14" t="s">
        <v>3792</v>
      </c>
    </row>
    <row r="610" spans="4:17">
      <c r="D610" s="15" t="s">
        <v>6457</v>
      </c>
      <c r="E610" s="14" t="s">
        <v>2748</v>
      </c>
      <c r="F610" s="15" t="s">
        <v>1096</v>
      </c>
      <c r="G610" s="14"/>
      <c r="H610" s="15"/>
      <c r="I610" s="15"/>
      <c r="J610" s="14" t="str">
        <f t="shared" si="10"/>
        <v>KP-6a Number of MSM who received any PrEP product at least once during the reporting period</v>
      </c>
      <c r="K610" s="374"/>
      <c r="L610" s="18"/>
      <c r="M610" s="375"/>
      <c r="N610" s="15"/>
      <c r="O610" s="15"/>
      <c r="P610" s="15"/>
      <c r="Q610" s="14" t="s">
        <v>3793</v>
      </c>
    </row>
    <row r="611" spans="4:17">
      <c r="D611" s="15" t="s">
        <v>6458</v>
      </c>
      <c r="E611" s="14" t="s">
        <v>2755</v>
      </c>
      <c r="F611" s="15" t="s">
        <v>1104</v>
      </c>
      <c r="G611" s="14"/>
      <c r="H611" s="15" t="s">
        <v>849</v>
      </c>
      <c r="I611" s="15" t="s">
        <v>3167</v>
      </c>
      <c r="J611" s="14" t="str">
        <f t="shared" si="10"/>
        <v>KP-1c Percentage of sex workers reached with HIV prevention programs - defined package of servicesAge25+</v>
      </c>
      <c r="K611" s="374"/>
      <c r="L611" s="18"/>
      <c r="M611" s="375"/>
      <c r="N611" s="15"/>
      <c r="O611" s="15"/>
      <c r="P611" s="15"/>
      <c r="Q611" s="14" t="s">
        <v>3794</v>
      </c>
    </row>
    <row r="612" spans="4:17">
      <c r="D612" s="15" t="s">
        <v>6459</v>
      </c>
      <c r="E612" s="14" t="s">
        <v>2755</v>
      </c>
      <c r="F612" s="15" t="s">
        <v>1104</v>
      </c>
      <c r="G612" s="14"/>
      <c r="H612" s="15" t="s">
        <v>849</v>
      </c>
      <c r="I612" s="15" t="s">
        <v>3735</v>
      </c>
      <c r="J612" s="14" t="str">
        <f t="shared" si="10"/>
        <v>KP-1c Percentage of sex workers reached with HIV prevention programs - defined package of servicesAge20-24</v>
      </c>
      <c r="K612" s="374"/>
      <c r="L612" s="18"/>
      <c r="M612" s="375"/>
      <c r="N612" s="15"/>
      <c r="O612" s="15"/>
      <c r="P612" s="15"/>
      <c r="Q612" s="14" t="s">
        <v>3797</v>
      </c>
    </row>
    <row r="613" spans="4:17">
      <c r="D613" s="15" t="s">
        <v>6460</v>
      </c>
      <c r="E613" s="14" t="s">
        <v>2755</v>
      </c>
      <c r="F613" s="15" t="s">
        <v>1104</v>
      </c>
      <c r="G613" s="14"/>
      <c r="H613" s="15" t="s">
        <v>849</v>
      </c>
      <c r="I613" s="15" t="s">
        <v>3739</v>
      </c>
      <c r="J613" s="14" t="str">
        <f t="shared" si="10"/>
        <v>KP-1c Percentage of sex workers reached with HIV prevention programs - defined package of servicesAge15-19</v>
      </c>
      <c r="K613" s="374"/>
      <c r="L613" s="18"/>
      <c r="M613" s="375"/>
      <c r="N613" s="15"/>
      <c r="O613" s="15"/>
      <c r="P613" s="15"/>
      <c r="Q613" s="14" t="s">
        <v>3800</v>
      </c>
    </row>
    <row r="614" spans="4:17">
      <c r="D614" s="15" t="s">
        <v>6461</v>
      </c>
      <c r="E614" s="14" t="s">
        <v>2755</v>
      </c>
      <c r="F614" s="15" t="s">
        <v>1104</v>
      </c>
      <c r="G614" s="14"/>
      <c r="H614" s="15" t="s">
        <v>1192</v>
      </c>
      <c r="I614" s="15" t="s">
        <v>3189</v>
      </c>
      <c r="J614" s="14" t="str">
        <f t="shared" si="10"/>
        <v>KP-1c Percentage of sex workers reached with HIV prevention programs - defined package of servicesGenderTransgender</v>
      </c>
      <c r="K614" s="374"/>
      <c r="L614" s="18"/>
      <c r="M614" s="375"/>
      <c r="N614" s="15"/>
      <c r="O614" s="15"/>
      <c r="P614" s="15"/>
      <c r="Q614" s="14" t="s">
        <v>3803</v>
      </c>
    </row>
    <row r="615" spans="4:17">
      <c r="D615" s="15" t="s">
        <v>6462</v>
      </c>
      <c r="E615" s="14" t="s">
        <v>2755</v>
      </c>
      <c r="F615" s="15" t="s">
        <v>1104</v>
      </c>
      <c r="G615" s="14"/>
      <c r="H615" s="15" t="s">
        <v>1192</v>
      </c>
      <c r="I615" s="15" t="s">
        <v>3193</v>
      </c>
      <c r="J615" s="14" t="str">
        <f t="shared" si="10"/>
        <v>KP-1c Percentage of sex workers reached with HIV prevention programs - defined package of servicesGenderMale</v>
      </c>
      <c r="K615" s="374"/>
      <c r="L615" s="18"/>
      <c r="M615" s="375"/>
      <c r="N615" s="15"/>
      <c r="O615" s="15"/>
      <c r="P615" s="15"/>
      <c r="Q615" s="14" t="s">
        <v>3806</v>
      </c>
    </row>
    <row r="616" spans="4:17">
      <c r="D616" s="15" t="s">
        <v>6463</v>
      </c>
      <c r="E616" s="14" t="s">
        <v>2755</v>
      </c>
      <c r="F616" s="15" t="s">
        <v>1104</v>
      </c>
      <c r="G616" s="14"/>
      <c r="H616" s="15" t="s">
        <v>1192</v>
      </c>
      <c r="I616" s="15" t="s">
        <v>3197</v>
      </c>
      <c r="J616" s="14" t="str">
        <f t="shared" si="10"/>
        <v>KP-1c Percentage of sex workers reached with HIV prevention programs - defined package of servicesGenderFemale</v>
      </c>
      <c r="K616" s="374"/>
      <c r="L616" s="18"/>
      <c r="M616" s="375"/>
      <c r="N616" s="15"/>
      <c r="O616" s="15"/>
      <c r="P616" s="15"/>
      <c r="Q616" s="14" t="s">
        <v>3809</v>
      </c>
    </row>
    <row r="617" spans="4:17">
      <c r="D617" s="15" t="s">
        <v>6464</v>
      </c>
      <c r="E617" s="14" t="s">
        <v>2755</v>
      </c>
      <c r="F617" s="15" t="s">
        <v>1104</v>
      </c>
      <c r="G617" s="14"/>
      <c r="H617" s="15"/>
      <c r="I617" s="15"/>
      <c r="J617" s="14" t="str">
        <f t="shared" si="10"/>
        <v>KP-1c Percentage of sex workers reached with HIV prevention programs - defined package of services</v>
      </c>
      <c r="K617" s="374"/>
      <c r="L617" s="18"/>
      <c r="M617" s="375"/>
      <c r="N617" s="15"/>
      <c r="O617" s="15"/>
      <c r="P617" s="15"/>
      <c r="Q617" s="14" t="s">
        <v>3812</v>
      </c>
    </row>
    <row r="618" spans="4:17">
      <c r="D618" s="15" t="s">
        <v>6465</v>
      </c>
      <c r="E618" s="14" t="s">
        <v>2755</v>
      </c>
      <c r="F618" s="15" t="s">
        <v>1104</v>
      </c>
      <c r="G618" s="14"/>
      <c r="H618" s="15"/>
      <c r="I618" s="15"/>
      <c r="J618" s="14" t="str">
        <f t="shared" si="10"/>
        <v>KP-1c Percentage of sex workers reached with HIV prevention programs - defined package of services</v>
      </c>
      <c r="K618" s="374"/>
      <c r="L618" s="18"/>
      <c r="M618" s="375"/>
      <c r="N618" s="15"/>
      <c r="O618" s="15"/>
      <c r="P618" s="15"/>
      <c r="Q618" s="14" t="s">
        <v>3813</v>
      </c>
    </row>
    <row r="619" spans="4:17">
      <c r="D619" s="15" t="s">
        <v>6466</v>
      </c>
      <c r="E619" s="14" t="s">
        <v>2755</v>
      </c>
      <c r="F619" s="15" t="s">
        <v>1104</v>
      </c>
      <c r="G619" s="14"/>
      <c r="H619" s="15"/>
      <c r="I619" s="15"/>
      <c r="J619" s="14" t="str">
        <f t="shared" si="10"/>
        <v>KP-1c Percentage of sex workers reached with HIV prevention programs - defined package of services</v>
      </c>
      <c r="K619" s="374"/>
      <c r="L619" s="18"/>
      <c r="M619" s="375"/>
      <c r="N619" s="15"/>
      <c r="O619" s="15"/>
      <c r="P619" s="15"/>
      <c r="Q619" s="14" t="s">
        <v>3814</v>
      </c>
    </row>
    <row r="620" spans="4:17">
      <c r="D620" s="15" t="s">
        <v>6467</v>
      </c>
      <c r="E620" s="14" t="s">
        <v>2755</v>
      </c>
      <c r="F620" s="15" t="s">
        <v>1104</v>
      </c>
      <c r="G620" s="14"/>
      <c r="H620" s="15"/>
      <c r="I620" s="15"/>
      <c r="J620" s="14" t="str">
        <f t="shared" si="10"/>
        <v>KP-1c Percentage of sex workers reached with HIV prevention programs - defined package of services</v>
      </c>
      <c r="K620" s="374"/>
      <c r="L620" s="18"/>
      <c r="M620" s="375"/>
      <c r="N620" s="15"/>
      <c r="O620" s="15"/>
      <c r="P620" s="15"/>
      <c r="Q620" s="14" t="s">
        <v>3815</v>
      </c>
    </row>
    <row r="621" spans="4:17">
      <c r="D621" s="15" t="s">
        <v>6468</v>
      </c>
      <c r="E621" s="14" t="s">
        <v>2755</v>
      </c>
      <c r="F621" s="15" t="s">
        <v>1104</v>
      </c>
      <c r="G621" s="14"/>
      <c r="H621" s="15"/>
      <c r="I621" s="15"/>
      <c r="J621" s="14" t="str">
        <f t="shared" si="10"/>
        <v>KP-1c Percentage of sex workers reached with HIV prevention programs - defined package of services</v>
      </c>
      <c r="K621" s="374"/>
      <c r="L621" s="18"/>
      <c r="M621" s="375"/>
      <c r="N621" s="15"/>
      <c r="O621" s="15"/>
      <c r="P621" s="15"/>
      <c r="Q621" s="14" t="s">
        <v>3816</v>
      </c>
    </row>
    <row r="622" spans="4:17">
      <c r="D622" s="15" t="s">
        <v>6469</v>
      </c>
      <c r="E622" s="14" t="s">
        <v>2755</v>
      </c>
      <c r="F622" s="15" t="s">
        <v>1104</v>
      </c>
      <c r="G622" s="14"/>
      <c r="H622" s="15"/>
      <c r="I622" s="15"/>
      <c r="J622" s="14" t="str">
        <f t="shared" si="10"/>
        <v>KP-1c Percentage of sex workers reached with HIV prevention programs - defined package of services</v>
      </c>
      <c r="K622" s="374"/>
      <c r="L622" s="18"/>
      <c r="M622" s="375"/>
      <c r="N622" s="15"/>
      <c r="O622" s="15"/>
      <c r="P622" s="15"/>
      <c r="Q622" s="14" t="s">
        <v>3817</v>
      </c>
    </row>
    <row r="623" spans="4:17">
      <c r="D623" s="15" t="s">
        <v>6470</v>
      </c>
      <c r="E623" s="14" t="s">
        <v>2755</v>
      </c>
      <c r="F623" s="15" t="s">
        <v>1104</v>
      </c>
      <c r="G623" s="14"/>
      <c r="H623" s="15"/>
      <c r="I623" s="15"/>
      <c r="J623" s="14" t="str">
        <f t="shared" si="10"/>
        <v>KP-1c Percentage of sex workers reached with HIV prevention programs - defined package of services</v>
      </c>
      <c r="K623" s="374"/>
      <c r="L623" s="18"/>
      <c r="M623" s="375"/>
      <c r="N623" s="15"/>
      <c r="O623" s="15"/>
      <c r="P623" s="15"/>
      <c r="Q623" s="14" t="s">
        <v>3818</v>
      </c>
    </row>
    <row r="624" spans="4:17">
      <c r="D624" s="15" t="s">
        <v>6471</v>
      </c>
      <c r="E624" s="14" t="s">
        <v>2755</v>
      </c>
      <c r="F624" s="15" t="s">
        <v>1104</v>
      </c>
      <c r="G624" s="14"/>
      <c r="H624" s="15"/>
      <c r="I624" s="15"/>
      <c r="J624" s="14" t="str">
        <f t="shared" si="10"/>
        <v>KP-1c Percentage of sex workers reached with HIV prevention programs - defined package of services</v>
      </c>
      <c r="K624" s="374"/>
      <c r="L624" s="18"/>
      <c r="M624" s="375"/>
      <c r="N624" s="15"/>
      <c r="O624" s="15"/>
      <c r="P624" s="15"/>
      <c r="Q624" s="14" t="s">
        <v>3819</v>
      </c>
    </row>
    <row r="625" spans="4:17">
      <c r="D625" s="15" t="s">
        <v>6472</v>
      </c>
      <c r="E625" s="14" t="s">
        <v>2755</v>
      </c>
      <c r="F625" s="15" t="s">
        <v>1104</v>
      </c>
      <c r="G625" s="14"/>
      <c r="H625" s="15"/>
      <c r="I625" s="15"/>
      <c r="J625" s="14" t="str">
        <f t="shared" si="10"/>
        <v>KP-1c Percentage of sex workers reached with HIV prevention programs - defined package of services</v>
      </c>
      <c r="K625" s="374"/>
      <c r="L625" s="18"/>
      <c r="M625" s="375"/>
      <c r="N625" s="15"/>
      <c r="O625" s="15"/>
      <c r="P625" s="15"/>
      <c r="Q625" s="14" t="s">
        <v>3820</v>
      </c>
    </row>
    <row r="626" spans="4:17">
      <c r="D626" s="15" t="s">
        <v>6473</v>
      </c>
      <c r="E626" s="14" t="s">
        <v>2755</v>
      </c>
      <c r="F626" s="15" t="s">
        <v>1104</v>
      </c>
      <c r="G626" s="14"/>
      <c r="H626" s="15"/>
      <c r="I626" s="15"/>
      <c r="J626" s="14" t="str">
        <f t="shared" si="10"/>
        <v>KP-1c Percentage of sex workers reached with HIV prevention programs - defined package of services</v>
      </c>
      <c r="K626" s="374"/>
      <c r="L626" s="18"/>
      <c r="M626" s="375"/>
      <c r="N626" s="15"/>
      <c r="O626" s="15"/>
      <c r="P626" s="15"/>
      <c r="Q626" s="14" t="s">
        <v>3821</v>
      </c>
    </row>
    <row r="627" spans="4:17">
      <c r="D627" s="15" t="s">
        <v>6474</v>
      </c>
      <c r="E627" s="14" t="s">
        <v>2755</v>
      </c>
      <c r="F627" s="15" t="s">
        <v>1104</v>
      </c>
      <c r="G627" s="14"/>
      <c r="H627" s="15"/>
      <c r="I627" s="15"/>
      <c r="J627" s="14" t="str">
        <f t="shared" si="10"/>
        <v>KP-1c Percentage of sex workers reached with HIV prevention programs - defined package of services</v>
      </c>
      <c r="K627" s="374"/>
      <c r="L627" s="18"/>
      <c r="M627" s="375"/>
      <c r="N627" s="15"/>
      <c r="O627" s="15"/>
      <c r="P627" s="15"/>
      <c r="Q627" s="14" t="s">
        <v>3822</v>
      </c>
    </row>
    <row r="628" spans="4:17">
      <c r="D628" s="15" t="s">
        <v>6475</v>
      </c>
      <c r="E628" s="14" t="s">
        <v>2755</v>
      </c>
      <c r="F628" s="15" t="s">
        <v>1104</v>
      </c>
      <c r="G628" s="14"/>
      <c r="H628" s="15"/>
      <c r="I628" s="15"/>
      <c r="J628" s="14" t="str">
        <f t="shared" si="10"/>
        <v>KP-1c Percentage of sex workers reached with HIV prevention programs - defined package of services</v>
      </c>
      <c r="K628" s="374"/>
      <c r="L628" s="18"/>
      <c r="M628" s="375"/>
      <c r="N628" s="15"/>
      <c r="O628" s="15"/>
      <c r="P628" s="15"/>
      <c r="Q628" s="14" t="s">
        <v>3823</v>
      </c>
    </row>
    <row r="629" spans="4:17">
      <c r="D629" s="15" t="s">
        <v>6476</v>
      </c>
      <c r="E629" s="14" t="s">
        <v>2755</v>
      </c>
      <c r="F629" s="15" t="s">
        <v>1104</v>
      </c>
      <c r="G629" s="14"/>
      <c r="H629" s="15"/>
      <c r="I629" s="15"/>
      <c r="J629" s="14" t="str">
        <f t="shared" si="10"/>
        <v>KP-1c Percentage of sex workers reached with HIV prevention programs - defined package of services</v>
      </c>
      <c r="K629" s="374"/>
      <c r="L629" s="18"/>
      <c r="M629" s="375"/>
      <c r="N629" s="15"/>
      <c r="O629" s="15"/>
      <c r="P629" s="15"/>
      <c r="Q629" s="14" t="s">
        <v>3824</v>
      </c>
    </row>
    <row r="630" spans="4:17">
      <c r="D630" s="15" t="s">
        <v>6477</v>
      </c>
      <c r="E630" s="14" t="s">
        <v>2755</v>
      </c>
      <c r="F630" s="15" t="s">
        <v>1104</v>
      </c>
      <c r="G630" s="14"/>
      <c r="H630" s="15"/>
      <c r="I630" s="15"/>
      <c r="J630" s="14" t="str">
        <f t="shared" si="10"/>
        <v>KP-1c Percentage of sex workers reached with HIV prevention programs - defined package of services</v>
      </c>
      <c r="K630" s="374"/>
      <c r="L630" s="18"/>
      <c r="M630" s="375"/>
      <c r="N630" s="15"/>
      <c r="O630" s="15"/>
      <c r="P630" s="15"/>
      <c r="Q630" s="14" t="s">
        <v>3825</v>
      </c>
    </row>
    <row r="631" spans="4:17">
      <c r="D631" s="15" t="s">
        <v>6478</v>
      </c>
      <c r="E631" s="14" t="s">
        <v>2762</v>
      </c>
      <c r="F631" s="15" t="s">
        <v>1108</v>
      </c>
      <c r="G631" s="14"/>
      <c r="H631" s="15" t="s">
        <v>849</v>
      </c>
      <c r="I631" s="15" t="s">
        <v>3167</v>
      </c>
      <c r="J631" s="14" t="str">
        <f t="shared" si="10"/>
        <v>KP-6c Number of sex workers who received any PrEP product at least once during the reporting periodAge25+</v>
      </c>
      <c r="K631" s="374"/>
      <c r="L631" s="18"/>
      <c r="M631" s="375"/>
      <c r="N631" s="15"/>
      <c r="O631" s="15"/>
      <c r="P631" s="15"/>
      <c r="Q631" s="14" t="s">
        <v>3826</v>
      </c>
    </row>
    <row r="632" spans="4:17">
      <c r="D632" s="15" t="s">
        <v>6479</v>
      </c>
      <c r="E632" s="14" t="s">
        <v>2762</v>
      </c>
      <c r="F632" s="15" t="s">
        <v>1108</v>
      </c>
      <c r="G632" s="14"/>
      <c r="H632" s="15" t="s">
        <v>849</v>
      </c>
      <c r="I632" s="15" t="s">
        <v>3735</v>
      </c>
      <c r="J632" s="14" t="str">
        <f t="shared" si="10"/>
        <v>KP-6c Number of sex workers who received any PrEP product at least once during the reporting periodAge20-24</v>
      </c>
      <c r="K632" s="374"/>
      <c r="L632" s="18"/>
      <c r="M632" s="375"/>
      <c r="N632" s="15"/>
      <c r="O632" s="15"/>
      <c r="P632" s="15"/>
      <c r="Q632" s="14" t="s">
        <v>3829</v>
      </c>
    </row>
    <row r="633" spans="4:17">
      <c r="D633" s="15" t="s">
        <v>6480</v>
      </c>
      <c r="E633" s="14" t="s">
        <v>2762</v>
      </c>
      <c r="F633" s="15" t="s">
        <v>1108</v>
      </c>
      <c r="G633" s="14"/>
      <c r="H633" s="15" t="s">
        <v>849</v>
      </c>
      <c r="I633" s="15" t="s">
        <v>3739</v>
      </c>
      <c r="J633" s="14" t="str">
        <f t="shared" si="10"/>
        <v>KP-6c Number of sex workers who received any PrEP product at least once during the reporting periodAge15-19</v>
      </c>
      <c r="K633" s="374"/>
      <c r="L633" s="18"/>
      <c r="M633" s="375"/>
      <c r="N633" s="15"/>
      <c r="O633" s="15"/>
      <c r="P633" s="15"/>
      <c r="Q633" s="14" t="s">
        <v>3832</v>
      </c>
    </row>
    <row r="634" spans="4:17">
      <c r="D634" s="15" t="s">
        <v>6481</v>
      </c>
      <c r="E634" s="14" t="s">
        <v>2762</v>
      </c>
      <c r="F634" s="15" t="s">
        <v>1108</v>
      </c>
      <c r="G634" s="14"/>
      <c r="H634" s="15" t="s">
        <v>1192</v>
      </c>
      <c r="I634" s="15" t="s">
        <v>3189</v>
      </c>
      <c r="J634" s="14" t="str">
        <f t="shared" si="10"/>
        <v>KP-6c Number of sex workers who received any PrEP product at least once during the reporting periodGenderTransgender</v>
      </c>
      <c r="K634" s="374"/>
      <c r="L634" s="18"/>
      <c r="M634" s="375"/>
      <c r="N634" s="15"/>
      <c r="O634" s="15"/>
      <c r="P634" s="15"/>
      <c r="Q634" s="14" t="s">
        <v>3835</v>
      </c>
    </row>
    <row r="635" spans="4:17">
      <c r="D635" s="15" t="s">
        <v>6482</v>
      </c>
      <c r="E635" s="14" t="s">
        <v>2762</v>
      </c>
      <c r="F635" s="15" t="s">
        <v>1108</v>
      </c>
      <c r="G635" s="14"/>
      <c r="H635" s="15" t="s">
        <v>5411</v>
      </c>
      <c r="I635" s="15" t="s">
        <v>3769</v>
      </c>
      <c r="J635" s="14" t="str">
        <f t="shared" si="10"/>
        <v>KP-6c Number of sex workers who received any PrEP product at least once during the reporting periodPrEP productDPV-VR</v>
      </c>
      <c r="K635" s="374"/>
      <c r="L635" s="18"/>
      <c r="M635" s="375"/>
      <c r="N635" s="15"/>
      <c r="O635" s="15"/>
      <c r="P635" s="15"/>
      <c r="Q635" s="14" t="s">
        <v>3838</v>
      </c>
    </row>
    <row r="636" spans="4:17">
      <c r="D636" s="15" t="s">
        <v>6483</v>
      </c>
      <c r="E636" s="14" t="s">
        <v>2762</v>
      </c>
      <c r="F636" s="15" t="s">
        <v>1108</v>
      </c>
      <c r="G636" s="14"/>
      <c r="H636" s="15" t="s">
        <v>5411</v>
      </c>
      <c r="I636" s="15" t="s">
        <v>3773</v>
      </c>
      <c r="J636" s="14" t="str">
        <f t="shared" ref="J636:J699" si="11">F636&amp;H636&amp;I636</f>
        <v>KP-6c Number of sex workers who received any PrEP product at least once during the reporting periodPrEP productInjectable PrEP</v>
      </c>
      <c r="K636" s="374"/>
      <c r="L636" s="18"/>
      <c r="M636" s="375"/>
      <c r="N636" s="15"/>
      <c r="O636" s="15"/>
      <c r="P636" s="15"/>
      <c r="Q636" s="14" t="s">
        <v>3841</v>
      </c>
    </row>
    <row r="637" spans="4:17">
      <c r="D637" s="15" t="s">
        <v>6484</v>
      </c>
      <c r="E637" s="14" t="s">
        <v>2762</v>
      </c>
      <c r="F637" s="15" t="s">
        <v>1108</v>
      </c>
      <c r="G637" s="14"/>
      <c r="H637" s="15" t="s">
        <v>1192</v>
      </c>
      <c r="I637" s="15" t="s">
        <v>3193</v>
      </c>
      <c r="J637" s="14" t="str">
        <f t="shared" si="11"/>
        <v>KP-6c Number of sex workers who received any PrEP product at least once during the reporting periodGenderMale</v>
      </c>
      <c r="K637" s="374"/>
      <c r="L637" s="18"/>
      <c r="M637" s="375"/>
      <c r="N637" s="15"/>
      <c r="O637" s="15"/>
      <c r="P637" s="15"/>
      <c r="Q637" s="14" t="s">
        <v>3844</v>
      </c>
    </row>
    <row r="638" spans="4:17">
      <c r="D638" s="15" t="s">
        <v>6485</v>
      </c>
      <c r="E638" s="14" t="s">
        <v>2762</v>
      </c>
      <c r="F638" s="15" t="s">
        <v>1108</v>
      </c>
      <c r="G638" s="14"/>
      <c r="H638" s="15" t="s">
        <v>1192</v>
      </c>
      <c r="I638" s="15" t="s">
        <v>3197</v>
      </c>
      <c r="J638" s="14" t="str">
        <f t="shared" si="11"/>
        <v>KP-6c Number of sex workers who received any PrEP product at least once during the reporting periodGenderFemale</v>
      </c>
      <c r="K638" s="374"/>
      <c r="L638" s="18"/>
      <c r="M638" s="375"/>
      <c r="N638" s="15"/>
      <c r="O638" s="15"/>
      <c r="P638" s="15"/>
      <c r="Q638" s="14" t="s">
        <v>3847</v>
      </c>
    </row>
    <row r="639" spans="4:17">
      <c r="D639" s="15" t="s">
        <v>6486</v>
      </c>
      <c r="E639" s="14" t="s">
        <v>2762</v>
      </c>
      <c r="F639" s="15" t="s">
        <v>1108</v>
      </c>
      <c r="G639" s="14"/>
      <c r="H639" s="15" t="s">
        <v>5411</v>
      </c>
      <c r="I639" s="15" t="s">
        <v>3777</v>
      </c>
      <c r="J639" s="14" t="str">
        <f t="shared" si="11"/>
        <v>KP-6c Number of sex workers who received any PrEP product at least once during the reporting periodPrEP productOral PrEP</v>
      </c>
      <c r="K639" s="374"/>
      <c r="L639" s="18"/>
      <c r="M639" s="375"/>
      <c r="N639" s="15"/>
      <c r="O639" s="15"/>
      <c r="P639" s="15"/>
      <c r="Q639" s="14" t="s">
        <v>3850</v>
      </c>
    </row>
    <row r="640" spans="4:17">
      <c r="D640" s="15" t="s">
        <v>6487</v>
      </c>
      <c r="E640" s="14" t="s">
        <v>2762</v>
      </c>
      <c r="F640" s="15" t="s">
        <v>1108</v>
      </c>
      <c r="G640" s="14"/>
      <c r="H640" s="15"/>
      <c r="I640" s="15"/>
      <c r="J640" s="14" t="str">
        <f t="shared" si="11"/>
        <v>KP-6c Number of sex workers who received any PrEP product at least once during the reporting period</v>
      </c>
      <c r="K640" s="374"/>
      <c r="L640" s="18"/>
      <c r="M640" s="375"/>
      <c r="N640" s="15"/>
      <c r="O640" s="15"/>
      <c r="P640" s="15"/>
      <c r="Q640" s="14" t="s">
        <v>3853</v>
      </c>
    </row>
    <row r="641" spans="4:17">
      <c r="D641" s="15" t="s">
        <v>6488</v>
      </c>
      <c r="E641" s="14" t="s">
        <v>2762</v>
      </c>
      <c r="F641" s="15" t="s">
        <v>1108</v>
      </c>
      <c r="G641" s="14"/>
      <c r="H641" s="15"/>
      <c r="I641" s="15"/>
      <c r="J641" s="14" t="str">
        <f t="shared" si="11"/>
        <v>KP-6c Number of sex workers who received any PrEP product at least once during the reporting period</v>
      </c>
      <c r="K641" s="374"/>
      <c r="L641" s="18"/>
      <c r="M641" s="375"/>
      <c r="N641" s="15"/>
      <c r="O641" s="15"/>
      <c r="P641" s="15"/>
      <c r="Q641" s="14" t="s">
        <v>3854</v>
      </c>
    </row>
    <row r="642" spans="4:17">
      <c r="D642" s="15" t="s">
        <v>6489</v>
      </c>
      <c r="E642" s="14" t="s">
        <v>2762</v>
      </c>
      <c r="F642" s="15" t="s">
        <v>1108</v>
      </c>
      <c r="G642" s="14"/>
      <c r="H642" s="15"/>
      <c r="I642" s="15"/>
      <c r="J642" s="14" t="str">
        <f t="shared" si="11"/>
        <v>KP-6c Number of sex workers who received any PrEP product at least once during the reporting period</v>
      </c>
      <c r="K642" s="374"/>
      <c r="L642" s="18"/>
      <c r="M642" s="375"/>
      <c r="N642" s="15"/>
      <c r="O642" s="15"/>
      <c r="P642" s="15"/>
      <c r="Q642" s="14" t="s">
        <v>3855</v>
      </c>
    </row>
    <row r="643" spans="4:17">
      <c r="D643" s="15" t="s">
        <v>6490</v>
      </c>
      <c r="E643" s="14" t="s">
        <v>2762</v>
      </c>
      <c r="F643" s="15" t="s">
        <v>1108</v>
      </c>
      <c r="G643" s="14"/>
      <c r="H643" s="15"/>
      <c r="I643" s="15"/>
      <c r="J643" s="14" t="str">
        <f t="shared" si="11"/>
        <v>KP-6c Number of sex workers who received any PrEP product at least once during the reporting period</v>
      </c>
      <c r="K643" s="374"/>
      <c r="L643" s="18"/>
      <c r="M643" s="375"/>
      <c r="N643" s="15"/>
      <c r="O643" s="15"/>
      <c r="P643" s="15"/>
      <c r="Q643" s="14" t="s">
        <v>3856</v>
      </c>
    </row>
    <row r="644" spans="4:17">
      <c r="D644" s="15" t="s">
        <v>6491</v>
      </c>
      <c r="E644" s="14" t="s">
        <v>2762</v>
      </c>
      <c r="F644" s="15" t="s">
        <v>1108</v>
      </c>
      <c r="G644" s="14"/>
      <c r="H644" s="15"/>
      <c r="I644" s="15"/>
      <c r="J644" s="14" t="str">
        <f t="shared" si="11"/>
        <v>KP-6c Number of sex workers who received any PrEP product at least once during the reporting period</v>
      </c>
      <c r="K644" s="374"/>
      <c r="L644" s="18"/>
      <c r="M644" s="375"/>
      <c r="N644" s="15"/>
      <c r="O644" s="15"/>
      <c r="P644" s="15"/>
      <c r="Q644" s="14" t="s">
        <v>3857</v>
      </c>
    </row>
    <row r="645" spans="4:17">
      <c r="D645" s="15" t="s">
        <v>6492</v>
      </c>
      <c r="E645" s="14" t="s">
        <v>2762</v>
      </c>
      <c r="F645" s="15" t="s">
        <v>1108</v>
      </c>
      <c r="G645" s="14"/>
      <c r="H645" s="15"/>
      <c r="I645" s="15"/>
      <c r="J645" s="14" t="str">
        <f t="shared" si="11"/>
        <v>KP-6c Number of sex workers who received any PrEP product at least once during the reporting period</v>
      </c>
      <c r="K645" s="374"/>
      <c r="L645" s="18"/>
      <c r="M645" s="375"/>
      <c r="N645" s="15"/>
      <c r="O645" s="15"/>
      <c r="P645" s="15"/>
      <c r="Q645" s="14" t="s">
        <v>3858</v>
      </c>
    </row>
    <row r="646" spans="4:17">
      <c r="D646" s="15" t="s">
        <v>6493</v>
      </c>
      <c r="E646" s="14" t="s">
        <v>2762</v>
      </c>
      <c r="F646" s="15" t="s">
        <v>1108</v>
      </c>
      <c r="G646" s="14"/>
      <c r="H646" s="15"/>
      <c r="I646" s="15"/>
      <c r="J646" s="14" t="str">
        <f t="shared" si="11"/>
        <v>KP-6c Number of sex workers who received any PrEP product at least once during the reporting period</v>
      </c>
      <c r="K646" s="374"/>
      <c r="L646" s="18"/>
      <c r="M646" s="375"/>
      <c r="N646" s="15"/>
      <c r="O646" s="15"/>
      <c r="P646" s="15"/>
      <c r="Q646" s="14" t="s">
        <v>3859</v>
      </c>
    </row>
    <row r="647" spans="4:17">
      <c r="D647" s="15" t="s">
        <v>6494</v>
      </c>
      <c r="E647" s="14" t="s">
        <v>2762</v>
      </c>
      <c r="F647" s="15" t="s">
        <v>1108</v>
      </c>
      <c r="G647" s="14"/>
      <c r="H647" s="15"/>
      <c r="I647" s="15"/>
      <c r="J647" s="14" t="str">
        <f t="shared" si="11"/>
        <v>KP-6c Number of sex workers who received any PrEP product at least once during the reporting period</v>
      </c>
      <c r="K647" s="374"/>
      <c r="L647" s="18"/>
      <c r="M647" s="375"/>
      <c r="N647" s="15"/>
      <c r="O647" s="15"/>
      <c r="P647" s="15"/>
      <c r="Q647" s="14" t="s">
        <v>3860</v>
      </c>
    </row>
    <row r="648" spans="4:17">
      <c r="D648" s="15" t="s">
        <v>6495</v>
      </c>
      <c r="E648" s="14" t="s">
        <v>2762</v>
      </c>
      <c r="F648" s="15" t="s">
        <v>1108</v>
      </c>
      <c r="G648" s="14"/>
      <c r="H648" s="15"/>
      <c r="I648" s="15"/>
      <c r="J648" s="14" t="str">
        <f t="shared" si="11"/>
        <v>KP-6c Number of sex workers who received any PrEP product at least once during the reporting period</v>
      </c>
      <c r="K648" s="374"/>
      <c r="L648" s="18"/>
      <c r="M648" s="375"/>
      <c r="N648" s="15"/>
      <c r="O648" s="15"/>
      <c r="P648" s="15"/>
      <c r="Q648" s="14" t="s">
        <v>3861</v>
      </c>
    </row>
    <row r="649" spans="4:17">
      <c r="D649" s="15" t="s">
        <v>6496</v>
      </c>
      <c r="E649" s="14" t="s">
        <v>2762</v>
      </c>
      <c r="F649" s="15" t="s">
        <v>1108</v>
      </c>
      <c r="G649" s="14"/>
      <c r="H649" s="15"/>
      <c r="I649" s="15"/>
      <c r="J649" s="14" t="str">
        <f t="shared" si="11"/>
        <v>KP-6c Number of sex workers who received any PrEP product at least once during the reporting period</v>
      </c>
      <c r="K649" s="374"/>
      <c r="L649" s="18"/>
      <c r="M649" s="375"/>
      <c r="N649" s="15"/>
      <c r="O649" s="15"/>
      <c r="P649" s="15"/>
      <c r="Q649" s="14" t="s">
        <v>3862</v>
      </c>
    </row>
    <row r="650" spans="4:17">
      <c r="D650" s="15" t="s">
        <v>6497</v>
      </c>
      <c r="E650" s="14" t="s">
        <v>2762</v>
      </c>
      <c r="F650" s="15" t="s">
        <v>1108</v>
      </c>
      <c r="G650" s="14"/>
      <c r="H650" s="15"/>
      <c r="I650" s="15"/>
      <c r="J650" s="14" t="str">
        <f t="shared" si="11"/>
        <v>KP-6c Number of sex workers who received any PrEP product at least once during the reporting period</v>
      </c>
      <c r="K650" s="374"/>
      <c r="L650" s="18"/>
      <c r="M650" s="375"/>
      <c r="N650" s="15"/>
      <c r="O650" s="15"/>
      <c r="P650" s="15"/>
      <c r="Q650" s="14" t="s">
        <v>3863</v>
      </c>
    </row>
    <row r="651" spans="4:17">
      <c r="D651" s="15" t="s">
        <v>6498</v>
      </c>
      <c r="E651" s="14" t="s">
        <v>2769</v>
      </c>
      <c r="F651" s="15" t="s">
        <v>1116</v>
      </c>
      <c r="G651" s="14"/>
      <c r="H651" s="15" t="s">
        <v>849</v>
      </c>
      <c r="I651" s="15" t="s">
        <v>3167</v>
      </c>
      <c r="J651" s="14" t="str">
        <f t="shared" si="11"/>
        <v>KP-1b Percentage of transgender people reached with HIV prevention programs - defined package of servicesAge25+</v>
      </c>
      <c r="K651" s="374"/>
      <c r="L651" s="18"/>
      <c r="M651" s="375"/>
      <c r="N651" s="15"/>
      <c r="O651" s="15"/>
      <c r="P651" s="15"/>
      <c r="Q651" s="14" t="s">
        <v>3864</v>
      </c>
    </row>
    <row r="652" spans="4:17">
      <c r="D652" s="15" t="s">
        <v>6499</v>
      </c>
      <c r="E652" s="14" t="s">
        <v>2769</v>
      </c>
      <c r="F652" s="15" t="s">
        <v>1116</v>
      </c>
      <c r="G652" s="14"/>
      <c r="H652" s="15" t="s">
        <v>849</v>
      </c>
      <c r="I652" s="15" t="s">
        <v>3735</v>
      </c>
      <c r="J652" s="14" t="str">
        <f t="shared" si="11"/>
        <v>KP-1b Percentage of transgender people reached with HIV prevention programs - defined package of servicesAge20-24</v>
      </c>
      <c r="K652" s="374"/>
      <c r="L652" s="18"/>
      <c r="M652" s="375"/>
      <c r="N652" s="15"/>
      <c r="O652" s="15"/>
      <c r="P652" s="15"/>
      <c r="Q652" s="14" t="s">
        <v>3867</v>
      </c>
    </row>
    <row r="653" spans="4:17">
      <c r="D653" s="15" t="s">
        <v>6500</v>
      </c>
      <c r="E653" s="14" t="s">
        <v>2769</v>
      </c>
      <c r="F653" s="15" t="s">
        <v>1116</v>
      </c>
      <c r="G653" s="14"/>
      <c r="H653" s="15" t="s">
        <v>1192</v>
      </c>
      <c r="I653" s="15" t="s">
        <v>3871</v>
      </c>
      <c r="J653" s="14" t="str">
        <f t="shared" si="11"/>
        <v>KP-1b Percentage of transgender people reached with HIV prevention programs - defined package of servicesGenderTranswomen</v>
      </c>
      <c r="K653" s="374"/>
      <c r="L653" s="18"/>
      <c r="M653" s="375"/>
      <c r="N653" s="15"/>
      <c r="O653" s="15"/>
      <c r="P653" s="15"/>
      <c r="Q653" s="14" t="s">
        <v>3870</v>
      </c>
    </row>
    <row r="654" spans="4:17">
      <c r="D654" s="15" t="s">
        <v>6501</v>
      </c>
      <c r="E654" s="14" t="s">
        <v>2769</v>
      </c>
      <c r="F654" s="15" t="s">
        <v>1116</v>
      </c>
      <c r="G654" s="14"/>
      <c r="H654" s="15" t="s">
        <v>1192</v>
      </c>
      <c r="I654" s="15" t="s">
        <v>3875</v>
      </c>
      <c r="J654" s="14" t="str">
        <f t="shared" si="11"/>
        <v>KP-1b Percentage of transgender people reached with HIV prevention programs - defined package of servicesGenderTransmen</v>
      </c>
      <c r="K654" s="374"/>
      <c r="L654" s="18"/>
      <c r="M654" s="375"/>
      <c r="N654" s="15"/>
      <c r="O654" s="15"/>
      <c r="P654" s="15"/>
      <c r="Q654" s="14" t="s">
        <v>3874</v>
      </c>
    </row>
    <row r="655" spans="4:17">
      <c r="D655" s="15" t="s">
        <v>6502</v>
      </c>
      <c r="E655" s="14" t="s">
        <v>2769</v>
      </c>
      <c r="F655" s="15" t="s">
        <v>1116</v>
      </c>
      <c r="G655" s="14"/>
      <c r="H655" s="15" t="s">
        <v>849</v>
      </c>
      <c r="I655" s="15" t="s">
        <v>3739</v>
      </c>
      <c r="J655" s="14" t="str">
        <f t="shared" si="11"/>
        <v>KP-1b Percentage of transgender people reached with HIV prevention programs - defined package of servicesAge15-19</v>
      </c>
      <c r="K655" s="374"/>
      <c r="L655" s="18"/>
      <c r="M655" s="375"/>
      <c r="N655" s="15"/>
      <c r="O655" s="15"/>
      <c r="P655" s="15"/>
      <c r="Q655" s="14" t="s">
        <v>3878</v>
      </c>
    </row>
    <row r="656" spans="4:17">
      <c r="D656" s="15" t="s">
        <v>6503</v>
      </c>
      <c r="E656" s="14" t="s">
        <v>2769</v>
      </c>
      <c r="F656" s="15" t="s">
        <v>1116</v>
      </c>
      <c r="G656" s="14"/>
      <c r="H656" s="15"/>
      <c r="I656" s="15"/>
      <c r="J656" s="14" t="str">
        <f t="shared" si="11"/>
        <v>KP-1b Percentage of transgender people reached with HIV prevention programs - defined package of services</v>
      </c>
      <c r="K656" s="374"/>
      <c r="L656" s="18"/>
      <c r="M656" s="375"/>
      <c r="N656" s="15"/>
      <c r="O656" s="15"/>
      <c r="P656" s="15"/>
      <c r="Q656" s="14" t="s">
        <v>3881</v>
      </c>
    </row>
    <row r="657" spans="4:17">
      <c r="D657" s="15" t="s">
        <v>6504</v>
      </c>
      <c r="E657" s="14" t="s">
        <v>2769</v>
      </c>
      <c r="F657" s="15" t="s">
        <v>1116</v>
      </c>
      <c r="G657" s="14"/>
      <c r="H657" s="15"/>
      <c r="I657" s="15"/>
      <c r="J657" s="14" t="str">
        <f t="shared" si="11"/>
        <v>KP-1b Percentage of transgender people reached with HIV prevention programs - defined package of services</v>
      </c>
      <c r="K657" s="374"/>
      <c r="L657" s="18"/>
      <c r="M657" s="375"/>
      <c r="N657" s="15"/>
      <c r="O657" s="15"/>
      <c r="P657" s="15"/>
      <c r="Q657" s="14" t="s">
        <v>3882</v>
      </c>
    </row>
    <row r="658" spans="4:17">
      <c r="D658" s="15" t="s">
        <v>6505</v>
      </c>
      <c r="E658" s="14" t="s">
        <v>2769</v>
      </c>
      <c r="F658" s="15" t="s">
        <v>1116</v>
      </c>
      <c r="G658" s="14"/>
      <c r="H658" s="15"/>
      <c r="I658" s="15"/>
      <c r="J658" s="14" t="str">
        <f t="shared" si="11"/>
        <v>KP-1b Percentage of transgender people reached with HIV prevention programs - defined package of services</v>
      </c>
      <c r="K658" s="374"/>
      <c r="L658" s="18"/>
      <c r="M658" s="375"/>
      <c r="N658" s="15"/>
      <c r="O658" s="15"/>
      <c r="P658" s="15"/>
      <c r="Q658" s="14" t="s">
        <v>3883</v>
      </c>
    </row>
    <row r="659" spans="4:17">
      <c r="D659" s="15" t="s">
        <v>6506</v>
      </c>
      <c r="E659" s="14" t="s">
        <v>2769</v>
      </c>
      <c r="F659" s="15" t="s">
        <v>1116</v>
      </c>
      <c r="G659" s="14"/>
      <c r="H659" s="15"/>
      <c r="I659" s="15"/>
      <c r="J659" s="14" t="str">
        <f t="shared" si="11"/>
        <v>KP-1b Percentage of transgender people reached with HIV prevention programs - defined package of services</v>
      </c>
      <c r="K659" s="374"/>
      <c r="L659" s="18"/>
      <c r="M659" s="375"/>
      <c r="N659" s="15"/>
      <c r="O659" s="15"/>
      <c r="P659" s="15"/>
      <c r="Q659" s="14" t="s">
        <v>3884</v>
      </c>
    </row>
    <row r="660" spans="4:17">
      <c r="D660" s="15" t="s">
        <v>6507</v>
      </c>
      <c r="E660" s="14" t="s">
        <v>2769</v>
      </c>
      <c r="F660" s="15" t="s">
        <v>1116</v>
      </c>
      <c r="G660" s="14"/>
      <c r="H660" s="15"/>
      <c r="I660" s="15"/>
      <c r="J660" s="14" t="str">
        <f t="shared" si="11"/>
        <v>KP-1b Percentage of transgender people reached with HIV prevention programs - defined package of services</v>
      </c>
      <c r="K660" s="374"/>
      <c r="L660" s="18"/>
      <c r="M660" s="375"/>
      <c r="N660" s="15"/>
      <c r="O660" s="15"/>
      <c r="P660" s="15"/>
      <c r="Q660" s="14" t="s">
        <v>3885</v>
      </c>
    </row>
    <row r="661" spans="4:17">
      <c r="D661" s="15" t="s">
        <v>6508</v>
      </c>
      <c r="E661" s="14" t="s">
        <v>2769</v>
      </c>
      <c r="F661" s="15" t="s">
        <v>1116</v>
      </c>
      <c r="G661" s="14"/>
      <c r="H661" s="15"/>
      <c r="I661" s="15"/>
      <c r="J661" s="14" t="str">
        <f t="shared" si="11"/>
        <v>KP-1b Percentage of transgender people reached with HIV prevention programs - defined package of services</v>
      </c>
      <c r="K661" s="374"/>
      <c r="L661" s="18"/>
      <c r="M661" s="375"/>
      <c r="N661" s="15"/>
      <c r="O661" s="15"/>
      <c r="P661" s="15"/>
      <c r="Q661" s="14" t="s">
        <v>3886</v>
      </c>
    </row>
    <row r="662" spans="4:17">
      <c r="D662" s="15" t="s">
        <v>6509</v>
      </c>
      <c r="E662" s="14" t="s">
        <v>2769</v>
      </c>
      <c r="F662" s="15" t="s">
        <v>1116</v>
      </c>
      <c r="G662" s="14"/>
      <c r="H662" s="15"/>
      <c r="I662" s="15"/>
      <c r="J662" s="14" t="str">
        <f t="shared" si="11"/>
        <v>KP-1b Percentage of transgender people reached with HIV prevention programs - defined package of services</v>
      </c>
      <c r="K662" s="374"/>
      <c r="L662" s="18"/>
      <c r="M662" s="375"/>
      <c r="N662" s="15"/>
      <c r="O662" s="15"/>
      <c r="P662" s="15"/>
      <c r="Q662" s="14" t="s">
        <v>3887</v>
      </c>
    </row>
    <row r="663" spans="4:17">
      <c r="D663" s="15" t="s">
        <v>6510</v>
      </c>
      <c r="E663" s="14" t="s">
        <v>2769</v>
      </c>
      <c r="F663" s="15" t="s">
        <v>1116</v>
      </c>
      <c r="G663" s="14"/>
      <c r="H663" s="15"/>
      <c r="I663" s="15"/>
      <c r="J663" s="14" t="str">
        <f t="shared" si="11"/>
        <v>KP-1b Percentage of transgender people reached with HIV prevention programs - defined package of services</v>
      </c>
      <c r="K663" s="374"/>
      <c r="L663" s="18"/>
      <c r="M663" s="375"/>
      <c r="N663" s="15"/>
      <c r="O663" s="15"/>
      <c r="P663" s="15"/>
      <c r="Q663" s="14" t="s">
        <v>3888</v>
      </c>
    </row>
    <row r="664" spans="4:17">
      <c r="D664" s="15" t="s">
        <v>6511</v>
      </c>
      <c r="E664" s="14" t="s">
        <v>2769</v>
      </c>
      <c r="F664" s="15" t="s">
        <v>1116</v>
      </c>
      <c r="G664" s="14"/>
      <c r="H664" s="15"/>
      <c r="I664" s="15"/>
      <c r="J664" s="14" t="str">
        <f t="shared" si="11"/>
        <v>KP-1b Percentage of transgender people reached with HIV prevention programs - defined package of services</v>
      </c>
      <c r="K664" s="374"/>
      <c r="L664" s="18"/>
      <c r="M664" s="375"/>
      <c r="N664" s="15"/>
      <c r="O664" s="15"/>
      <c r="P664" s="15"/>
      <c r="Q664" s="14" t="s">
        <v>3889</v>
      </c>
    </row>
    <row r="665" spans="4:17">
      <c r="D665" s="15" t="s">
        <v>6512</v>
      </c>
      <c r="E665" s="14" t="s">
        <v>2769</v>
      </c>
      <c r="F665" s="15" t="s">
        <v>1116</v>
      </c>
      <c r="G665" s="14"/>
      <c r="H665" s="15"/>
      <c r="I665" s="15"/>
      <c r="J665" s="14" t="str">
        <f t="shared" si="11"/>
        <v>KP-1b Percentage of transgender people reached with HIV prevention programs - defined package of services</v>
      </c>
      <c r="K665" s="374"/>
      <c r="L665" s="18"/>
      <c r="M665" s="375"/>
      <c r="N665" s="15"/>
      <c r="O665" s="15"/>
      <c r="P665" s="15"/>
      <c r="Q665" s="14" t="s">
        <v>3890</v>
      </c>
    </row>
    <row r="666" spans="4:17">
      <c r="D666" s="15" t="s">
        <v>6513</v>
      </c>
      <c r="E666" s="14" t="s">
        <v>2769</v>
      </c>
      <c r="F666" s="15" t="s">
        <v>1116</v>
      </c>
      <c r="G666" s="14"/>
      <c r="H666" s="15"/>
      <c r="I666" s="15"/>
      <c r="J666" s="14" t="str">
        <f t="shared" si="11"/>
        <v>KP-1b Percentage of transgender people reached with HIV prevention programs - defined package of services</v>
      </c>
      <c r="K666" s="374"/>
      <c r="L666" s="18"/>
      <c r="M666" s="375"/>
      <c r="N666" s="15"/>
      <c r="O666" s="15"/>
      <c r="P666" s="15"/>
      <c r="Q666" s="14" t="s">
        <v>3891</v>
      </c>
    </row>
    <row r="667" spans="4:17">
      <c r="D667" s="15" t="s">
        <v>6514</v>
      </c>
      <c r="E667" s="14" t="s">
        <v>2769</v>
      </c>
      <c r="F667" s="15" t="s">
        <v>1116</v>
      </c>
      <c r="G667" s="14"/>
      <c r="H667" s="15"/>
      <c r="I667" s="15"/>
      <c r="J667" s="14" t="str">
        <f t="shared" si="11"/>
        <v>KP-1b Percentage of transgender people reached with HIV prevention programs - defined package of services</v>
      </c>
      <c r="K667" s="374"/>
      <c r="L667" s="18"/>
      <c r="M667" s="375"/>
      <c r="N667" s="15"/>
      <c r="O667" s="15"/>
      <c r="P667" s="15"/>
      <c r="Q667" s="14" t="s">
        <v>3892</v>
      </c>
    </row>
    <row r="668" spans="4:17">
      <c r="D668" s="15" t="s">
        <v>6515</v>
      </c>
      <c r="E668" s="14" t="s">
        <v>2769</v>
      </c>
      <c r="F668" s="15" t="s">
        <v>1116</v>
      </c>
      <c r="G668" s="14"/>
      <c r="H668" s="15"/>
      <c r="I668" s="15"/>
      <c r="J668" s="14" t="str">
        <f t="shared" si="11"/>
        <v>KP-1b Percentage of transgender people reached with HIV prevention programs - defined package of services</v>
      </c>
      <c r="K668" s="374"/>
      <c r="L668" s="18"/>
      <c r="M668" s="375"/>
      <c r="N668" s="15"/>
      <c r="O668" s="15"/>
      <c r="P668" s="15"/>
      <c r="Q668" s="14" t="s">
        <v>3893</v>
      </c>
    </row>
    <row r="669" spans="4:17">
      <c r="D669" s="15" t="s">
        <v>6516</v>
      </c>
      <c r="E669" s="14" t="s">
        <v>2769</v>
      </c>
      <c r="F669" s="15" t="s">
        <v>1116</v>
      </c>
      <c r="G669" s="14"/>
      <c r="H669" s="15"/>
      <c r="I669" s="15"/>
      <c r="J669" s="14" t="str">
        <f t="shared" si="11"/>
        <v>KP-1b Percentage of transgender people reached with HIV prevention programs - defined package of services</v>
      </c>
      <c r="K669" s="374"/>
      <c r="L669" s="18"/>
      <c r="M669" s="375"/>
      <c r="N669" s="15"/>
      <c r="O669" s="15"/>
      <c r="P669" s="15"/>
      <c r="Q669" s="14" t="s">
        <v>3894</v>
      </c>
    </row>
    <row r="670" spans="4:17">
      <c r="D670" s="15" t="s">
        <v>6517</v>
      </c>
      <c r="E670" s="14" t="s">
        <v>2769</v>
      </c>
      <c r="F670" s="15" t="s">
        <v>1116</v>
      </c>
      <c r="G670" s="14"/>
      <c r="H670" s="15"/>
      <c r="I670" s="15"/>
      <c r="J670" s="14" t="str">
        <f t="shared" si="11"/>
        <v>KP-1b Percentage of transgender people reached with HIV prevention programs - defined package of services</v>
      </c>
      <c r="K670" s="374"/>
      <c r="L670" s="18"/>
      <c r="M670" s="375"/>
      <c r="N670" s="15"/>
      <c r="O670" s="15"/>
      <c r="P670" s="15"/>
      <c r="Q670" s="14" t="s">
        <v>3895</v>
      </c>
    </row>
    <row r="671" spans="4:17">
      <c r="D671" s="15" t="s">
        <v>6518</v>
      </c>
      <c r="E671" s="14" t="s">
        <v>2776</v>
      </c>
      <c r="F671" s="15" t="s">
        <v>1119</v>
      </c>
      <c r="G671" s="14"/>
      <c r="H671" s="15" t="s">
        <v>849</v>
      </c>
      <c r="I671" s="15" t="s">
        <v>3167</v>
      </c>
      <c r="J671" s="14" t="str">
        <f t="shared" si="11"/>
        <v>KP-6b Number of transgender people who received any PrEP product at least once during the reporting periodAge25+</v>
      </c>
      <c r="K671" s="374"/>
      <c r="L671" s="18"/>
      <c r="M671" s="375"/>
      <c r="N671" s="15"/>
      <c r="O671" s="15"/>
      <c r="P671" s="15"/>
      <c r="Q671" s="14" t="s">
        <v>3896</v>
      </c>
    </row>
    <row r="672" spans="4:17">
      <c r="D672" s="15" t="s">
        <v>6519</v>
      </c>
      <c r="E672" s="14" t="s">
        <v>2776</v>
      </c>
      <c r="F672" s="15" t="s">
        <v>1119</v>
      </c>
      <c r="G672" s="14"/>
      <c r="H672" s="15" t="s">
        <v>849</v>
      </c>
      <c r="I672" s="15" t="s">
        <v>3735</v>
      </c>
      <c r="J672" s="14" t="str">
        <f t="shared" si="11"/>
        <v>KP-6b Number of transgender people who received any PrEP product at least once during the reporting periodAge20-24</v>
      </c>
      <c r="K672" s="374"/>
      <c r="L672" s="18"/>
      <c r="M672" s="375"/>
      <c r="N672" s="15"/>
      <c r="O672" s="15"/>
      <c r="P672" s="15"/>
      <c r="Q672" s="14" t="s">
        <v>3899</v>
      </c>
    </row>
    <row r="673" spans="4:17">
      <c r="D673" s="15" t="s">
        <v>6520</v>
      </c>
      <c r="E673" s="14" t="s">
        <v>2776</v>
      </c>
      <c r="F673" s="15" t="s">
        <v>1119</v>
      </c>
      <c r="G673" s="14"/>
      <c r="H673" s="15" t="s">
        <v>1192</v>
      </c>
      <c r="I673" s="15" t="s">
        <v>3871</v>
      </c>
      <c r="J673" s="14" t="str">
        <f t="shared" si="11"/>
        <v>KP-6b Number of transgender people who received any PrEP product at least once during the reporting periodGenderTranswomen</v>
      </c>
      <c r="K673" s="374"/>
      <c r="L673" s="18"/>
      <c r="M673" s="375"/>
      <c r="N673" s="15"/>
      <c r="O673" s="15"/>
      <c r="P673" s="15"/>
      <c r="Q673" s="14" t="s">
        <v>3902</v>
      </c>
    </row>
    <row r="674" spans="4:17">
      <c r="D674" s="15" t="s">
        <v>6521</v>
      </c>
      <c r="E674" s="14" t="s">
        <v>2776</v>
      </c>
      <c r="F674" s="15" t="s">
        <v>1119</v>
      </c>
      <c r="G674" s="14"/>
      <c r="H674" s="15" t="s">
        <v>849</v>
      </c>
      <c r="I674" s="15" t="s">
        <v>3739</v>
      </c>
      <c r="J674" s="14" t="str">
        <f t="shared" si="11"/>
        <v>KP-6b Number of transgender people who received any PrEP product at least once during the reporting periodAge15-19</v>
      </c>
      <c r="K674" s="374"/>
      <c r="L674" s="18"/>
      <c r="M674" s="375"/>
      <c r="N674" s="15"/>
      <c r="O674" s="15"/>
      <c r="P674" s="15"/>
      <c r="Q674" s="14" t="s">
        <v>3905</v>
      </c>
    </row>
    <row r="675" spans="4:17">
      <c r="D675" s="15" t="s">
        <v>6522</v>
      </c>
      <c r="E675" s="14" t="s">
        <v>2776</v>
      </c>
      <c r="F675" s="15" t="s">
        <v>1119</v>
      </c>
      <c r="G675" s="14"/>
      <c r="H675" s="15" t="s">
        <v>1192</v>
      </c>
      <c r="I675" s="15" t="s">
        <v>3875</v>
      </c>
      <c r="J675" s="14" t="str">
        <f t="shared" si="11"/>
        <v>KP-6b Number of transgender people who received any PrEP product at least once during the reporting periodGenderTransmen</v>
      </c>
      <c r="K675" s="374"/>
      <c r="L675" s="18"/>
      <c r="M675" s="375"/>
      <c r="N675" s="15"/>
      <c r="O675" s="15"/>
      <c r="P675" s="15"/>
      <c r="Q675" s="14" t="s">
        <v>3908</v>
      </c>
    </row>
    <row r="676" spans="4:17">
      <c r="D676" s="15" t="s">
        <v>6523</v>
      </c>
      <c r="E676" s="14" t="s">
        <v>2776</v>
      </c>
      <c r="F676" s="15" t="s">
        <v>1119</v>
      </c>
      <c r="G676" s="14"/>
      <c r="H676" s="15" t="s">
        <v>5411</v>
      </c>
      <c r="I676" s="15" t="s">
        <v>3769</v>
      </c>
      <c r="J676" s="14" t="str">
        <f t="shared" si="11"/>
        <v>KP-6b Number of transgender people who received any PrEP product at least once during the reporting periodPrEP productDPV-VR</v>
      </c>
      <c r="K676" s="374"/>
      <c r="L676" s="18"/>
      <c r="M676" s="375"/>
      <c r="N676" s="15"/>
      <c r="O676" s="15"/>
      <c r="P676" s="15"/>
      <c r="Q676" s="14" t="s">
        <v>3911</v>
      </c>
    </row>
    <row r="677" spans="4:17">
      <c r="D677" s="15" t="s">
        <v>6524</v>
      </c>
      <c r="E677" s="14" t="s">
        <v>2776</v>
      </c>
      <c r="F677" s="15" t="s">
        <v>1119</v>
      </c>
      <c r="G677" s="14"/>
      <c r="H677" s="15" t="s">
        <v>5411</v>
      </c>
      <c r="I677" s="15" t="s">
        <v>3773</v>
      </c>
      <c r="J677" s="14" t="str">
        <f t="shared" si="11"/>
        <v>KP-6b Number of transgender people who received any PrEP product at least once during the reporting periodPrEP productInjectable PrEP</v>
      </c>
      <c r="K677" s="374"/>
      <c r="L677" s="18"/>
      <c r="M677" s="375"/>
      <c r="N677" s="15"/>
      <c r="O677" s="15"/>
      <c r="P677" s="15"/>
      <c r="Q677" s="14" t="s">
        <v>3914</v>
      </c>
    </row>
    <row r="678" spans="4:17">
      <c r="D678" s="15" t="s">
        <v>6525</v>
      </c>
      <c r="E678" s="14" t="s">
        <v>2776</v>
      </c>
      <c r="F678" s="15" t="s">
        <v>1119</v>
      </c>
      <c r="G678" s="14"/>
      <c r="H678" s="15" t="s">
        <v>5411</v>
      </c>
      <c r="I678" s="15" t="s">
        <v>3777</v>
      </c>
      <c r="J678" s="14" t="str">
        <f t="shared" si="11"/>
        <v>KP-6b Number of transgender people who received any PrEP product at least once during the reporting periodPrEP productOral PrEP</v>
      </c>
      <c r="K678" s="374"/>
      <c r="L678" s="18"/>
      <c r="M678" s="375"/>
      <c r="N678" s="15"/>
      <c r="O678" s="15"/>
      <c r="P678" s="15"/>
      <c r="Q678" s="14" t="s">
        <v>3917</v>
      </c>
    </row>
    <row r="679" spans="4:17">
      <c r="D679" s="15" t="s">
        <v>6526</v>
      </c>
      <c r="E679" s="14" t="s">
        <v>2776</v>
      </c>
      <c r="F679" s="15" t="s">
        <v>1119</v>
      </c>
      <c r="G679" s="14"/>
      <c r="H679" s="15"/>
      <c r="I679" s="15"/>
      <c r="J679" s="14" t="str">
        <f t="shared" si="11"/>
        <v>KP-6b Number of transgender people who received any PrEP product at least once during the reporting period</v>
      </c>
      <c r="K679" s="374"/>
      <c r="L679" s="18"/>
      <c r="M679" s="375"/>
      <c r="N679" s="15"/>
      <c r="O679" s="15"/>
      <c r="P679" s="15"/>
      <c r="Q679" s="14" t="s">
        <v>3920</v>
      </c>
    </row>
    <row r="680" spans="4:17">
      <c r="D680" s="15" t="s">
        <v>6527</v>
      </c>
      <c r="E680" s="14" t="s">
        <v>2776</v>
      </c>
      <c r="F680" s="15" t="s">
        <v>1119</v>
      </c>
      <c r="G680" s="14"/>
      <c r="H680" s="15"/>
      <c r="I680" s="15"/>
      <c r="J680" s="14" t="str">
        <f t="shared" si="11"/>
        <v>KP-6b Number of transgender people who received any PrEP product at least once during the reporting period</v>
      </c>
      <c r="K680" s="374"/>
      <c r="L680" s="18"/>
      <c r="M680" s="375"/>
      <c r="N680" s="15"/>
      <c r="O680" s="15"/>
      <c r="P680" s="15"/>
      <c r="Q680" s="14" t="s">
        <v>3921</v>
      </c>
    </row>
    <row r="681" spans="4:17">
      <c r="D681" s="15" t="s">
        <v>6528</v>
      </c>
      <c r="E681" s="14" t="s">
        <v>2776</v>
      </c>
      <c r="F681" s="15" t="s">
        <v>1119</v>
      </c>
      <c r="G681" s="14"/>
      <c r="H681" s="15"/>
      <c r="I681" s="15"/>
      <c r="J681" s="14" t="str">
        <f t="shared" si="11"/>
        <v>KP-6b Number of transgender people who received any PrEP product at least once during the reporting period</v>
      </c>
      <c r="K681" s="374"/>
      <c r="L681" s="18"/>
      <c r="M681" s="375"/>
      <c r="N681" s="15"/>
      <c r="O681" s="15"/>
      <c r="P681" s="15"/>
      <c r="Q681" s="14" t="s">
        <v>3922</v>
      </c>
    </row>
    <row r="682" spans="4:17">
      <c r="D682" s="15" t="s">
        <v>6529</v>
      </c>
      <c r="E682" s="14" t="s">
        <v>2776</v>
      </c>
      <c r="F682" s="15" t="s">
        <v>1119</v>
      </c>
      <c r="G682" s="14"/>
      <c r="H682" s="15"/>
      <c r="I682" s="15"/>
      <c r="J682" s="14" t="str">
        <f t="shared" si="11"/>
        <v>KP-6b Number of transgender people who received any PrEP product at least once during the reporting period</v>
      </c>
      <c r="K682" s="374"/>
      <c r="L682" s="18"/>
      <c r="M682" s="375"/>
      <c r="N682" s="15"/>
      <c r="O682" s="15"/>
      <c r="P682" s="15"/>
      <c r="Q682" s="14" t="s">
        <v>3923</v>
      </c>
    </row>
    <row r="683" spans="4:17">
      <c r="D683" s="15" t="s">
        <v>6530</v>
      </c>
      <c r="E683" s="14" t="s">
        <v>2776</v>
      </c>
      <c r="F683" s="15" t="s">
        <v>1119</v>
      </c>
      <c r="G683" s="14"/>
      <c r="H683" s="15"/>
      <c r="I683" s="15"/>
      <c r="J683" s="14" t="str">
        <f t="shared" si="11"/>
        <v>KP-6b Number of transgender people who received any PrEP product at least once during the reporting period</v>
      </c>
      <c r="K683" s="374"/>
      <c r="L683" s="18"/>
      <c r="M683" s="375"/>
      <c r="N683" s="15"/>
      <c r="O683" s="15"/>
      <c r="P683" s="15"/>
      <c r="Q683" s="14" t="s">
        <v>3924</v>
      </c>
    </row>
    <row r="684" spans="4:17">
      <c r="D684" s="15" t="s">
        <v>6531</v>
      </c>
      <c r="E684" s="14" t="s">
        <v>2776</v>
      </c>
      <c r="F684" s="15" t="s">
        <v>1119</v>
      </c>
      <c r="G684" s="14"/>
      <c r="H684" s="15"/>
      <c r="I684" s="15"/>
      <c r="J684" s="14" t="str">
        <f t="shared" si="11"/>
        <v>KP-6b Number of transgender people who received any PrEP product at least once during the reporting period</v>
      </c>
      <c r="K684" s="374"/>
      <c r="L684" s="18"/>
      <c r="M684" s="375"/>
      <c r="N684" s="15"/>
      <c r="O684" s="15"/>
      <c r="P684" s="15"/>
      <c r="Q684" s="14" t="s">
        <v>3925</v>
      </c>
    </row>
    <row r="685" spans="4:17">
      <c r="D685" s="15" t="s">
        <v>6532</v>
      </c>
      <c r="E685" s="14" t="s">
        <v>2776</v>
      </c>
      <c r="F685" s="15" t="s">
        <v>1119</v>
      </c>
      <c r="G685" s="14"/>
      <c r="H685" s="15"/>
      <c r="I685" s="15"/>
      <c r="J685" s="14" t="str">
        <f t="shared" si="11"/>
        <v>KP-6b Number of transgender people who received any PrEP product at least once during the reporting period</v>
      </c>
      <c r="K685" s="374"/>
      <c r="L685" s="18"/>
      <c r="M685" s="375"/>
      <c r="N685" s="15"/>
      <c r="O685" s="15"/>
      <c r="P685" s="15"/>
      <c r="Q685" s="14" t="s">
        <v>3926</v>
      </c>
    </row>
    <row r="686" spans="4:17">
      <c r="D686" s="15" t="s">
        <v>6533</v>
      </c>
      <c r="E686" s="14" t="s">
        <v>2776</v>
      </c>
      <c r="F686" s="15" t="s">
        <v>1119</v>
      </c>
      <c r="G686" s="14"/>
      <c r="H686" s="15"/>
      <c r="I686" s="15"/>
      <c r="J686" s="14" t="str">
        <f t="shared" si="11"/>
        <v>KP-6b Number of transgender people who received any PrEP product at least once during the reporting period</v>
      </c>
      <c r="K686" s="374"/>
      <c r="L686" s="18"/>
      <c r="M686" s="375"/>
      <c r="N686" s="15"/>
      <c r="O686" s="15"/>
      <c r="P686" s="15"/>
      <c r="Q686" s="14" t="s">
        <v>3927</v>
      </c>
    </row>
    <row r="687" spans="4:17">
      <c r="D687" s="15" t="s">
        <v>6534</v>
      </c>
      <c r="E687" s="14" t="s">
        <v>2776</v>
      </c>
      <c r="F687" s="15" t="s">
        <v>1119</v>
      </c>
      <c r="G687" s="14"/>
      <c r="H687" s="15"/>
      <c r="I687" s="15"/>
      <c r="J687" s="14" t="str">
        <f t="shared" si="11"/>
        <v>KP-6b Number of transgender people who received any PrEP product at least once during the reporting period</v>
      </c>
      <c r="K687" s="374"/>
      <c r="L687" s="18"/>
      <c r="M687" s="375"/>
      <c r="N687" s="15"/>
      <c r="O687" s="15"/>
      <c r="P687" s="15"/>
      <c r="Q687" s="14" t="s">
        <v>3928</v>
      </c>
    </row>
    <row r="688" spans="4:17">
      <c r="D688" s="15" t="s">
        <v>6535</v>
      </c>
      <c r="E688" s="14" t="s">
        <v>2776</v>
      </c>
      <c r="F688" s="15" t="s">
        <v>1119</v>
      </c>
      <c r="G688" s="14"/>
      <c r="H688" s="15"/>
      <c r="I688" s="15"/>
      <c r="J688" s="14" t="str">
        <f t="shared" si="11"/>
        <v>KP-6b Number of transgender people who received any PrEP product at least once during the reporting period</v>
      </c>
      <c r="K688" s="374"/>
      <c r="L688" s="18"/>
      <c r="M688" s="375"/>
      <c r="N688" s="15"/>
      <c r="O688" s="15"/>
      <c r="P688" s="15"/>
      <c r="Q688" s="14" t="s">
        <v>3929</v>
      </c>
    </row>
    <row r="689" spans="4:17">
      <c r="D689" s="15" t="s">
        <v>6536</v>
      </c>
      <c r="E689" s="14" t="s">
        <v>2776</v>
      </c>
      <c r="F689" s="15" t="s">
        <v>1119</v>
      </c>
      <c r="G689" s="14"/>
      <c r="H689" s="15"/>
      <c r="I689" s="15"/>
      <c r="J689" s="14" t="str">
        <f t="shared" si="11"/>
        <v>KP-6b Number of transgender people who received any PrEP product at least once during the reporting period</v>
      </c>
      <c r="K689" s="374"/>
      <c r="L689" s="18"/>
      <c r="M689" s="375"/>
      <c r="N689" s="15"/>
      <c r="O689" s="15"/>
      <c r="P689" s="15"/>
      <c r="Q689" s="14" t="s">
        <v>3930</v>
      </c>
    </row>
    <row r="690" spans="4:17">
      <c r="D690" s="15" t="s">
        <v>6537</v>
      </c>
      <c r="E690" s="14" t="s">
        <v>2776</v>
      </c>
      <c r="F690" s="15" t="s">
        <v>1119</v>
      </c>
      <c r="G690" s="14"/>
      <c r="H690" s="15"/>
      <c r="I690" s="15"/>
      <c r="J690" s="14" t="str">
        <f t="shared" si="11"/>
        <v>KP-6b Number of transgender people who received any PrEP product at least once during the reporting period</v>
      </c>
      <c r="K690" s="374"/>
      <c r="L690" s="18"/>
      <c r="M690" s="375"/>
      <c r="N690" s="15"/>
      <c r="O690" s="15"/>
      <c r="P690" s="15"/>
      <c r="Q690" s="14" t="s">
        <v>3931</v>
      </c>
    </row>
    <row r="691" spans="4:17">
      <c r="D691" s="15" t="s">
        <v>6538</v>
      </c>
      <c r="E691" s="14" t="s">
        <v>2783</v>
      </c>
      <c r="F691" s="15" t="s">
        <v>1127</v>
      </c>
      <c r="G691" s="14"/>
      <c r="H691" s="15" t="s">
        <v>849</v>
      </c>
      <c r="I691" s="15" t="s">
        <v>3167</v>
      </c>
      <c r="J691" s="14" t="str">
        <f t="shared" si="11"/>
        <v>KP-1d Percentage of people who inject drugs reached with HIV prevention programs - defined package of servicesAge25+</v>
      </c>
      <c r="K691" s="374"/>
      <c r="L691" s="18"/>
      <c r="M691" s="375"/>
      <c r="N691" s="15"/>
      <c r="O691" s="15"/>
      <c r="P691" s="15"/>
      <c r="Q691" s="14" t="s">
        <v>3932</v>
      </c>
    </row>
    <row r="692" spans="4:17">
      <c r="D692" s="15" t="s">
        <v>6539</v>
      </c>
      <c r="E692" s="14" t="s">
        <v>2783</v>
      </c>
      <c r="F692" s="15" t="s">
        <v>1127</v>
      </c>
      <c r="G692" s="14"/>
      <c r="H692" s="15" t="s">
        <v>849</v>
      </c>
      <c r="I692" s="15" t="s">
        <v>3735</v>
      </c>
      <c r="J692" s="14" t="str">
        <f t="shared" si="11"/>
        <v>KP-1d Percentage of people who inject drugs reached with HIV prevention programs - defined package of servicesAge20-24</v>
      </c>
      <c r="K692" s="374"/>
      <c r="L692" s="18"/>
      <c r="M692" s="375"/>
      <c r="N692" s="15"/>
      <c r="O692" s="15"/>
      <c r="P692" s="15"/>
      <c r="Q692" s="14" t="s">
        <v>3935</v>
      </c>
    </row>
    <row r="693" spans="4:17">
      <c r="D693" s="15" t="s">
        <v>6540</v>
      </c>
      <c r="E693" s="14" t="s">
        <v>2783</v>
      </c>
      <c r="F693" s="15" t="s">
        <v>1127</v>
      </c>
      <c r="G693" s="14"/>
      <c r="H693" s="15" t="s">
        <v>849</v>
      </c>
      <c r="I693" s="15" t="s">
        <v>3739</v>
      </c>
      <c r="J693" s="14" t="str">
        <f t="shared" si="11"/>
        <v>KP-1d Percentage of people who inject drugs reached with HIV prevention programs - defined package of servicesAge15-19</v>
      </c>
      <c r="K693" s="374"/>
      <c r="L693" s="18"/>
      <c r="M693" s="375"/>
      <c r="N693" s="15"/>
      <c r="O693" s="15"/>
      <c r="P693" s="15"/>
      <c r="Q693" s="14" t="s">
        <v>3938</v>
      </c>
    </row>
    <row r="694" spans="4:17">
      <c r="D694" s="15" t="s">
        <v>6541</v>
      </c>
      <c r="E694" s="14" t="s">
        <v>2783</v>
      </c>
      <c r="F694" s="15" t="s">
        <v>1127</v>
      </c>
      <c r="G694" s="14"/>
      <c r="H694" s="15" t="s">
        <v>1192</v>
      </c>
      <c r="I694" s="15" t="s">
        <v>3193</v>
      </c>
      <c r="J694" s="14" t="str">
        <f t="shared" si="11"/>
        <v>KP-1d Percentage of people who inject drugs reached with HIV prevention programs - defined package of servicesGenderMale</v>
      </c>
      <c r="K694" s="374"/>
      <c r="L694" s="18"/>
      <c r="M694" s="375"/>
      <c r="N694" s="15"/>
      <c r="O694" s="15"/>
      <c r="P694" s="15"/>
      <c r="Q694" s="14" t="s">
        <v>3941</v>
      </c>
    </row>
    <row r="695" spans="4:17">
      <c r="D695" s="15" t="s">
        <v>6542</v>
      </c>
      <c r="E695" s="14" t="s">
        <v>2783</v>
      </c>
      <c r="F695" s="15" t="s">
        <v>1127</v>
      </c>
      <c r="G695" s="14"/>
      <c r="H695" s="15" t="s">
        <v>1192</v>
      </c>
      <c r="I695" s="15" t="s">
        <v>3197</v>
      </c>
      <c r="J695" s="14" t="str">
        <f t="shared" si="11"/>
        <v>KP-1d Percentage of people who inject drugs reached with HIV prevention programs - defined package of servicesGenderFemale</v>
      </c>
      <c r="K695" s="374"/>
      <c r="L695" s="18"/>
      <c r="M695" s="375"/>
      <c r="N695" s="15"/>
      <c r="O695" s="15"/>
      <c r="P695" s="15"/>
      <c r="Q695" s="14" t="s">
        <v>3944</v>
      </c>
    </row>
    <row r="696" spans="4:17">
      <c r="D696" s="15" t="s">
        <v>6543</v>
      </c>
      <c r="E696" s="14" t="s">
        <v>2783</v>
      </c>
      <c r="F696" s="15" t="s">
        <v>1127</v>
      </c>
      <c r="G696" s="14"/>
      <c r="H696" s="15"/>
      <c r="I696" s="15"/>
      <c r="J696" s="14" t="str">
        <f t="shared" si="11"/>
        <v>KP-1d Percentage of people who inject drugs reached with HIV prevention programs - defined package of services</v>
      </c>
      <c r="K696" s="374"/>
      <c r="L696" s="18"/>
      <c r="M696" s="375"/>
      <c r="N696" s="15"/>
      <c r="O696" s="15"/>
      <c r="P696" s="15"/>
      <c r="Q696" s="14" t="s">
        <v>3947</v>
      </c>
    </row>
    <row r="697" spans="4:17">
      <c r="D697" s="15" t="s">
        <v>6544</v>
      </c>
      <c r="E697" s="14" t="s">
        <v>2783</v>
      </c>
      <c r="F697" s="15" t="s">
        <v>1127</v>
      </c>
      <c r="G697" s="14"/>
      <c r="H697" s="15"/>
      <c r="I697" s="15"/>
      <c r="J697" s="14" t="str">
        <f t="shared" si="11"/>
        <v>KP-1d Percentage of people who inject drugs reached with HIV prevention programs - defined package of services</v>
      </c>
      <c r="K697" s="374"/>
      <c r="L697" s="18"/>
      <c r="M697" s="375"/>
      <c r="N697" s="15"/>
      <c r="O697" s="15"/>
      <c r="P697" s="15"/>
      <c r="Q697" s="14" t="s">
        <v>3948</v>
      </c>
    </row>
    <row r="698" spans="4:17">
      <c r="D698" s="15" t="s">
        <v>6545</v>
      </c>
      <c r="E698" s="14" t="s">
        <v>2783</v>
      </c>
      <c r="F698" s="15" t="s">
        <v>1127</v>
      </c>
      <c r="G698" s="14"/>
      <c r="H698" s="15"/>
      <c r="I698" s="15"/>
      <c r="J698" s="14" t="str">
        <f t="shared" si="11"/>
        <v>KP-1d Percentage of people who inject drugs reached with HIV prevention programs - defined package of services</v>
      </c>
      <c r="K698" s="374"/>
      <c r="L698" s="18"/>
      <c r="M698" s="375"/>
      <c r="N698" s="15"/>
      <c r="O698" s="15"/>
      <c r="P698" s="15"/>
      <c r="Q698" s="14" t="s">
        <v>3949</v>
      </c>
    </row>
    <row r="699" spans="4:17">
      <c r="D699" s="15" t="s">
        <v>6546</v>
      </c>
      <c r="E699" s="14" t="s">
        <v>2783</v>
      </c>
      <c r="F699" s="15" t="s">
        <v>1127</v>
      </c>
      <c r="G699" s="14"/>
      <c r="H699" s="15"/>
      <c r="I699" s="15"/>
      <c r="J699" s="14" t="str">
        <f t="shared" si="11"/>
        <v>KP-1d Percentage of people who inject drugs reached with HIV prevention programs - defined package of services</v>
      </c>
      <c r="K699" s="374"/>
      <c r="L699" s="18"/>
      <c r="M699" s="375"/>
      <c r="N699" s="15"/>
      <c r="O699" s="15"/>
      <c r="P699" s="15"/>
      <c r="Q699" s="14" t="s">
        <v>3950</v>
      </c>
    </row>
    <row r="700" spans="4:17">
      <c r="D700" s="15" t="s">
        <v>6547</v>
      </c>
      <c r="E700" s="14" t="s">
        <v>2783</v>
      </c>
      <c r="F700" s="15" t="s">
        <v>1127</v>
      </c>
      <c r="G700" s="14"/>
      <c r="H700" s="15"/>
      <c r="I700" s="15"/>
      <c r="J700" s="14" t="str">
        <f t="shared" ref="J700:J763" si="12">F700&amp;H700&amp;I700</f>
        <v>KP-1d Percentage of people who inject drugs reached with HIV prevention programs - defined package of services</v>
      </c>
      <c r="K700" s="374"/>
      <c r="L700" s="18"/>
      <c r="M700" s="375"/>
      <c r="N700" s="15"/>
      <c r="O700" s="15"/>
      <c r="P700" s="15"/>
      <c r="Q700" s="14" t="s">
        <v>3951</v>
      </c>
    </row>
    <row r="701" spans="4:17">
      <c r="D701" s="15" t="s">
        <v>6548</v>
      </c>
      <c r="E701" s="14" t="s">
        <v>2783</v>
      </c>
      <c r="F701" s="15" t="s">
        <v>1127</v>
      </c>
      <c r="G701" s="14"/>
      <c r="H701" s="15"/>
      <c r="I701" s="15"/>
      <c r="J701" s="14" t="str">
        <f t="shared" si="12"/>
        <v>KP-1d Percentage of people who inject drugs reached with HIV prevention programs - defined package of services</v>
      </c>
      <c r="K701" s="374"/>
      <c r="L701" s="18"/>
      <c r="M701" s="375"/>
      <c r="N701" s="15"/>
      <c r="O701" s="15"/>
      <c r="P701" s="15"/>
      <c r="Q701" s="14" t="s">
        <v>3952</v>
      </c>
    </row>
    <row r="702" spans="4:17">
      <c r="D702" s="15" t="s">
        <v>6549</v>
      </c>
      <c r="E702" s="14" t="s">
        <v>2783</v>
      </c>
      <c r="F702" s="15" t="s">
        <v>1127</v>
      </c>
      <c r="G702" s="14"/>
      <c r="H702" s="15"/>
      <c r="I702" s="15"/>
      <c r="J702" s="14" t="str">
        <f t="shared" si="12"/>
        <v>KP-1d Percentage of people who inject drugs reached with HIV prevention programs - defined package of services</v>
      </c>
      <c r="K702" s="374"/>
      <c r="L702" s="18"/>
      <c r="M702" s="375"/>
      <c r="N702" s="15"/>
      <c r="O702" s="15"/>
      <c r="P702" s="15"/>
      <c r="Q702" s="14" t="s">
        <v>3953</v>
      </c>
    </row>
    <row r="703" spans="4:17">
      <c r="D703" s="15" t="s">
        <v>6550</v>
      </c>
      <c r="E703" s="14" t="s">
        <v>2783</v>
      </c>
      <c r="F703" s="15" t="s">
        <v>1127</v>
      </c>
      <c r="G703" s="14"/>
      <c r="H703" s="15"/>
      <c r="I703" s="15"/>
      <c r="J703" s="14" t="str">
        <f t="shared" si="12"/>
        <v>KP-1d Percentage of people who inject drugs reached with HIV prevention programs - defined package of services</v>
      </c>
      <c r="K703" s="374"/>
      <c r="L703" s="18"/>
      <c r="M703" s="375"/>
      <c r="N703" s="15"/>
      <c r="O703" s="15"/>
      <c r="P703" s="15"/>
      <c r="Q703" s="14" t="s">
        <v>3954</v>
      </c>
    </row>
    <row r="704" spans="4:17">
      <c r="D704" s="15" t="s">
        <v>6551</v>
      </c>
      <c r="E704" s="14" t="s">
        <v>2783</v>
      </c>
      <c r="F704" s="15" t="s">
        <v>1127</v>
      </c>
      <c r="G704" s="14"/>
      <c r="H704" s="15"/>
      <c r="I704" s="15"/>
      <c r="J704" s="14" t="str">
        <f t="shared" si="12"/>
        <v>KP-1d Percentage of people who inject drugs reached with HIV prevention programs - defined package of services</v>
      </c>
      <c r="K704" s="374"/>
      <c r="L704" s="18"/>
      <c r="M704" s="375"/>
      <c r="N704" s="15"/>
      <c r="O704" s="15"/>
      <c r="P704" s="15"/>
      <c r="Q704" s="14" t="s">
        <v>3955</v>
      </c>
    </row>
    <row r="705" spans="4:17">
      <c r="D705" s="15" t="s">
        <v>6552</v>
      </c>
      <c r="E705" s="14" t="s">
        <v>2783</v>
      </c>
      <c r="F705" s="15" t="s">
        <v>1127</v>
      </c>
      <c r="G705" s="14"/>
      <c r="H705" s="15"/>
      <c r="I705" s="15"/>
      <c r="J705" s="14" t="str">
        <f t="shared" si="12"/>
        <v>KP-1d Percentage of people who inject drugs reached with HIV prevention programs - defined package of services</v>
      </c>
      <c r="K705" s="374"/>
      <c r="L705" s="18"/>
      <c r="M705" s="375"/>
      <c r="N705" s="15"/>
      <c r="O705" s="15"/>
      <c r="P705" s="15"/>
      <c r="Q705" s="14" t="s">
        <v>3956</v>
      </c>
    </row>
    <row r="706" spans="4:17">
      <c r="D706" s="15" t="s">
        <v>6553</v>
      </c>
      <c r="E706" s="14" t="s">
        <v>2783</v>
      </c>
      <c r="F706" s="15" t="s">
        <v>1127</v>
      </c>
      <c r="G706" s="14"/>
      <c r="H706" s="15"/>
      <c r="I706" s="15"/>
      <c r="J706" s="14" t="str">
        <f t="shared" si="12"/>
        <v>KP-1d Percentage of people who inject drugs reached with HIV prevention programs - defined package of services</v>
      </c>
      <c r="K706" s="374"/>
      <c r="L706" s="18"/>
      <c r="M706" s="375"/>
      <c r="N706" s="15"/>
      <c r="O706" s="15"/>
      <c r="P706" s="15"/>
      <c r="Q706" s="14" t="s">
        <v>3957</v>
      </c>
    </row>
    <row r="707" spans="4:17">
      <c r="D707" s="15" t="s">
        <v>6554</v>
      </c>
      <c r="E707" s="14" t="s">
        <v>2783</v>
      </c>
      <c r="F707" s="15" t="s">
        <v>1127</v>
      </c>
      <c r="G707" s="14"/>
      <c r="H707" s="15"/>
      <c r="I707" s="15"/>
      <c r="J707" s="14" t="str">
        <f t="shared" si="12"/>
        <v>KP-1d Percentage of people who inject drugs reached with HIV prevention programs - defined package of services</v>
      </c>
      <c r="K707" s="374"/>
      <c r="L707" s="18"/>
      <c r="M707" s="375"/>
      <c r="N707" s="15"/>
      <c r="O707" s="15"/>
      <c r="P707" s="15"/>
      <c r="Q707" s="14" t="s">
        <v>3958</v>
      </c>
    </row>
    <row r="708" spans="4:17">
      <c r="D708" s="15" t="s">
        <v>6555</v>
      </c>
      <c r="E708" s="14" t="s">
        <v>2783</v>
      </c>
      <c r="F708" s="15" t="s">
        <v>1127</v>
      </c>
      <c r="G708" s="14"/>
      <c r="H708" s="15"/>
      <c r="I708" s="15"/>
      <c r="J708" s="14" t="str">
        <f t="shared" si="12"/>
        <v>KP-1d Percentage of people who inject drugs reached with HIV prevention programs - defined package of services</v>
      </c>
      <c r="K708" s="374"/>
      <c r="L708" s="18"/>
      <c r="M708" s="375"/>
      <c r="N708" s="15"/>
      <c r="O708" s="15"/>
      <c r="P708" s="15"/>
      <c r="Q708" s="14" t="s">
        <v>3959</v>
      </c>
    </row>
    <row r="709" spans="4:17">
      <c r="D709" s="15" t="s">
        <v>6556</v>
      </c>
      <c r="E709" s="14" t="s">
        <v>2783</v>
      </c>
      <c r="F709" s="15" t="s">
        <v>1127</v>
      </c>
      <c r="G709" s="14"/>
      <c r="H709" s="15"/>
      <c r="I709" s="15"/>
      <c r="J709" s="14" t="str">
        <f t="shared" si="12"/>
        <v>KP-1d Percentage of people who inject drugs reached with HIV prevention programs - defined package of services</v>
      </c>
      <c r="K709" s="374"/>
      <c r="L709" s="18"/>
      <c r="M709" s="375"/>
      <c r="N709" s="15"/>
      <c r="O709" s="15"/>
      <c r="P709" s="15"/>
      <c r="Q709" s="14" t="s">
        <v>3960</v>
      </c>
    </row>
    <row r="710" spans="4:17">
      <c r="D710" s="15" t="s">
        <v>6557</v>
      </c>
      <c r="E710" s="14" t="s">
        <v>2783</v>
      </c>
      <c r="F710" s="15" t="s">
        <v>1127</v>
      </c>
      <c r="G710" s="14"/>
      <c r="H710" s="15"/>
      <c r="I710" s="15"/>
      <c r="J710" s="14" t="str">
        <f t="shared" si="12"/>
        <v>KP-1d Percentage of people who inject drugs reached with HIV prevention programs - defined package of services</v>
      </c>
      <c r="K710" s="374"/>
      <c r="L710" s="18"/>
      <c r="M710" s="375"/>
      <c r="N710" s="15"/>
      <c r="O710" s="15"/>
      <c r="P710" s="15"/>
      <c r="Q710" s="14" t="s">
        <v>3961</v>
      </c>
    </row>
    <row r="711" spans="4:17">
      <c r="D711" s="15" t="s">
        <v>6558</v>
      </c>
      <c r="E711" s="14" t="s">
        <v>2790</v>
      </c>
      <c r="F711" s="15" t="s">
        <v>1136</v>
      </c>
      <c r="G711" s="14"/>
      <c r="H711" s="15" t="s">
        <v>849</v>
      </c>
      <c r="I711" s="15" t="s">
        <v>3167</v>
      </c>
      <c r="J711" s="14" t="str">
        <f t="shared" si="12"/>
        <v>KP-6d Number of PWID who received any PrEP product at least once during the reporting periodAge25+</v>
      </c>
      <c r="K711" s="374"/>
      <c r="L711" s="18"/>
      <c r="M711" s="375"/>
      <c r="N711" s="15"/>
      <c r="O711" s="15"/>
      <c r="P711" s="15"/>
      <c r="Q711" s="14" t="s">
        <v>3962</v>
      </c>
    </row>
    <row r="712" spans="4:17">
      <c r="D712" s="15" t="s">
        <v>6559</v>
      </c>
      <c r="E712" s="14" t="s">
        <v>2790</v>
      </c>
      <c r="F712" s="15" t="s">
        <v>1136</v>
      </c>
      <c r="G712" s="14"/>
      <c r="H712" s="15" t="s">
        <v>849</v>
      </c>
      <c r="I712" s="15" t="s">
        <v>3735</v>
      </c>
      <c r="J712" s="14" t="str">
        <f t="shared" si="12"/>
        <v>KP-6d Number of PWID who received any PrEP product at least once during the reporting periodAge20-24</v>
      </c>
      <c r="K712" s="374"/>
      <c r="L712" s="18"/>
      <c r="M712" s="375"/>
      <c r="N712" s="15"/>
      <c r="O712" s="15"/>
      <c r="P712" s="15"/>
      <c r="Q712" s="14" t="s">
        <v>3965</v>
      </c>
    </row>
    <row r="713" spans="4:17">
      <c r="D713" s="15" t="s">
        <v>6560</v>
      </c>
      <c r="E713" s="14" t="s">
        <v>2790</v>
      </c>
      <c r="F713" s="15" t="s">
        <v>1136</v>
      </c>
      <c r="G713" s="14"/>
      <c r="H713" s="15" t="s">
        <v>849</v>
      </c>
      <c r="I713" s="15" t="s">
        <v>3739</v>
      </c>
      <c r="J713" s="14" t="str">
        <f t="shared" si="12"/>
        <v>KP-6d Number of PWID who received any PrEP product at least once during the reporting periodAge15-19</v>
      </c>
      <c r="K713" s="374"/>
      <c r="L713" s="18"/>
      <c r="M713" s="375"/>
      <c r="N713" s="15"/>
      <c r="O713" s="15"/>
      <c r="P713" s="15"/>
      <c r="Q713" s="14" t="s">
        <v>3968</v>
      </c>
    </row>
    <row r="714" spans="4:17">
      <c r="D714" s="15" t="s">
        <v>6561</v>
      </c>
      <c r="E714" s="14" t="s">
        <v>2790</v>
      </c>
      <c r="F714" s="15" t="s">
        <v>1136</v>
      </c>
      <c r="G714" s="14"/>
      <c r="H714" s="15" t="s">
        <v>5411</v>
      </c>
      <c r="I714" s="15" t="s">
        <v>3769</v>
      </c>
      <c r="J714" s="14" t="str">
        <f t="shared" si="12"/>
        <v>KP-6d Number of PWID who received any PrEP product at least once during the reporting periodPrEP productDPV-VR</v>
      </c>
      <c r="K714" s="374"/>
      <c r="L714" s="18"/>
      <c r="M714" s="375"/>
      <c r="N714" s="15"/>
      <c r="O714" s="15"/>
      <c r="P714" s="15"/>
      <c r="Q714" s="14" t="s">
        <v>3971</v>
      </c>
    </row>
    <row r="715" spans="4:17">
      <c r="D715" s="15" t="s">
        <v>6562</v>
      </c>
      <c r="E715" s="14" t="s">
        <v>2790</v>
      </c>
      <c r="F715" s="15" t="s">
        <v>1136</v>
      </c>
      <c r="G715" s="14"/>
      <c r="H715" s="15" t="s">
        <v>1192</v>
      </c>
      <c r="I715" s="15" t="s">
        <v>3193</v>
      </c>
      <c r="J715" s="14" t="str">
        <f t="shared" si="12"/>
        <v>KP-6d Number of PWID who received any PrEP product at least once during the reporting periodGenderMale</v>
      </c>
      <c r="K715" s="374"/>
      <c r="L715" s="18"/>
      <c r="M715" s="375"/>
      <c r="N715" s="15"/>
      <c r="O715" s="15"/>
      <c r="P715" s="15"/>
      <c r="Q715" s="14" t="s">
        <v>3974</v>
      </c>
    </row>
    <row r="716" spans="4:17">
      <c r="D716" s="15" t="s">
        <v>6563</v>
      </c>
      <c r="E716" s="14" t="s">
        <v>2790</v>
      </c>
      <c r="F716" s="15" t="s">
        <v>1136</v>
      </c>
      <c r="G716" s="14"/>
      <c r="H716" s="15" t="s">
        <v>5411</v>
      </c>
      <c r="I716" s="15" t="s">
        <v>3773</v>
      </c>
      <c r="J716" s="14" t="str">
        <f t="shared" si="12"/>
        <v>KP-6d Number of PWID who received any PrEP product at least once during the reporting periodPrEP productInjectable PrEP</v>
      </c>
      <c r="K716" s="374"/>
      <c r="L716" s="18"/>
      <c r="M716" s="375"/>
      <c r="N716" s="15"/>
      <c r="O716" s="15"/>
      <c r="P716" s="15"/>
      <c r="Q716" s="14" t="s">
        <v>3977</v>
      </c>
    </row>
    <row r="717" spans="4:17">
      <c r="D717" s="15" t="s">
        <v>6564</v>
      </c>
      <c r="E717" s="14" t="s">
        <v>2790</v>
      </c>
      <c r="F717" s="15" t="s">
        <v>1136</v>
      </c>
      <c r="G717" s="14"/>
      <c r="H717" s="15" t="s">
        <v>1192</v>
      </c>
      <c r="I717" s="15" t="s">
        <v>3197</v>
      </c>
      <c r="J717" s="14" t="str">
        <f t="shared" si="12"/>
        <v>KP-6d Number of PWID who received any PrEP product at least once during the reporting periodGenderFemale</v>
      </c>
      <c r="K717" s="374"/>
      <c r="L717" s="18"/>
      <c r="M717" s="375"/>
      <c r="N717" s="15"/>
      <c r="O717" s="15"/>
      <c r="P717" s="15"/>
      <c r="Q717" s="14" t="s">
        <v>3980</v>
      </c>
    </row>
    <row r="718" spans="4:17">
      <c r="D718" s="15" t="s">
        <v>6565</v>
      </c>
      <c r="E718" s="14" t="s">
        <v>2790</v>
      </c>
      <c r="F718" s="15" t="s">
        <v>1136</v>
      </c>
      <c r="G718" s="14"/>
      <c r="H718" s="15" t="s">
        <v>5411</v>
      </c>
      <c r="I718" s="15" t="s">
        <v>3777</v>
      </c>
      <c r="J718" s="14" t="str">
        <f t="shared" si="12"/>
        <v>KP-6d Number of PWID who received any PrEP product at least once during the reporting periodPrEP productOral PrEP</v>
      </c>
      <c r="K718" s="374"/>
      <c r="L718" s="18"/>
      <c r="M718" s="375"/>
      <c r="N718" s="15"/>
      <c r="O718" s="15"/>
      <c r="P718" s="15"/>
      <c r="Q718" s="14" t="s">
        <v>3983</v>
      </c>
    </row>
    <row r="719" spans="4:17">
      <c r="D719" s="15" t="s">
        <v>6566</v>
      </c>
      <c r="E719" s="14" t="s">
        <v>2790</v>
      </c>
      <c r="F719" s="15" t="s">
        <v>1136</v>
      </c>
      <c r="G719" s="14"/>
      <c r="H719" s="15"/>
      <c r="I719" s="15"/>
      <c r="J719" s="14" t="str">
        <f t="shared" si="12"/>
        <v>KP-6d Number of PWID who received any PrEP product at least once during the reporting period</v>
      </c>
      <c r="K719" s="374"/>
      <c r="L719" s="18"/>
      <c r="M719" s="375"/>
      <c r="N719" s="15"/>
      <c r="O719" s="15"/>
      <c r="P719" s="15"/>
      <c r="Q719" s="14" t="s">
        <v>3986</v>
      </c>
    </row>
    <row r="720" spans="4:17">
      <c r="D720" s="15" t="s">
        <v>6567</v>
      </c>
      <c r="E720" s="14" t="s">
        <v>2790</v>
      </c>
      <c r="F720" s="15" t="s">
        <v>1136</v>
      </c>
      <c r="G720" s="14"/>
      <c r="H720" s="15"/>
      <c r="I720" s="15"/>
      <c r="J720" s="14" t="str">
        <f t="shared" si="12"/>
        <v>KP-6d Number of PWID who received any PrEP product at least once during the reporting period</v>
      </c>
      <c r="K720" s="374"/>
      <c r="L720" s="18"/>
      <c r="M720" s="375"/>
      <c r="N720" s="15"/>
      <c r="O720" s="15"/>
      <c r="P720" s="15"/>
      <c r="Q720" s="14" t="s">
        <v>3987</v>
      </c>
    </row>
    <row r="721" spans="4:17">
      <c r="D721" s="15" t="s">
        <v>6568</v>
      </c>
      <c r="E721" s="14" t="s">
        <v>2790</v>
      </c>
      <c r="F721" s="15" t="s">
        <v>1136</v>
      </c>
      <c r="G721" s="14"/>
      <c r="H721" s="15"/>
      <c r="I721" s="15"/>
      <c r="J721" s="14" t="str">
        <f t="shared" si="12"/>
        <v>KP-6d Number of PWID who received any PrEP product at least once during the reporting period</v>
      </c>
      <c r="K721" s="374"/>
      <c r="L721" s="18"/>
      <c r="M721" s="375"/>
      <c r="N721" s="15"/>
      <c r="O721" s="15"/>
      <c r="P721" s="15"/>
      <c r="Q721" s="14" t="s">
        <v>3988</v>
      </c>
    </row>
    <row r="722" spans="4:17">
      <c r="D722" s="15" t="s">
        <v>6569</v>
      </c>
      <c r="E722" s="14" t="s">
        <v>2790</v>
      </c>
      <c r="F722" s="15" t="s">
        <v>1136</v>
      </c>
      <c r="G722" s="14"/>
      <c r="H722" s="15"/>
      <c r="I722" s="15"/>
      <c r="J722" s="14" t="str">
        <f t="shared" si="12"/>
        <v>KP-6d Number of PWID who received any PrEP product at least once during the reporting period</v>
      </c>
      <c r="K722" s="374"/>
      <c r="L722" s="18"/>
      <c r="M722" s="375"/>
      <c r="N722" s="15"/>
      <c r="O722" s="15"/>
      <c r="P722" s="15"/>
      <c r="Q722" s="14" t="s">
        <v>3989</v>
      </c>
    </row>
    <row r="723" spans="4:17">
      <c r="D723" s="15" t="s">
        <v>6570</v>
      </c>
      <c r="E723" s="14" t="s">
        <v>2790</v>
      </c>
      <c r="F723" s="15" t="s">
        <v>1136</v>
      </c>
      <c r="G723" s="14"/>
      <c r="H723" s="15"/>
      <c r="I723" s="15"/>
      <c r="J723" s="14" t="str">
        <f t="shared" si="12"/>
        <v>KP-6d Number of PWID who received any PrEP product at least once during the reporting period</v>
      </c>
      <c r="K723" s="374"/>
      <c r="L723" s="18"/>
      <c r="M723" s="375"/>
      <c r="N723" s="15"/>
      <c r="O723" s="15"/>
      <c r="P723" s="15"/>
      <c r="Q723" s="14" t="s">
        <v>3990</v>
      </c>
    </row>
    <row r="724" spans="4:17">
      <c r="D724" s="15" t="s">
        <v>6571</v>
      </c>
      <c r="E724" s="14" t="s">
        <v>2790</v>
      </c>
      <c r="F724" s="15" t="s">
        <v>1136</v>
      </c>
      <c r="G724" s="14"/>
      <c r="H724" s="15"/>
      <c r="I724" s="15"/>
      <c r="J724" s="14" t="str">
        <f t="shared" si="12"/>
        <v>KP-6d Number of PWID who received any PrEP product at least once during the reporting period</v>
      </c>
      <c r="K724" s="374"/>
      <c r="L724" s="18"/>
      <c r="M724" s="375"/>
      <c r="N724" s="15"/>
      <c r="O724" s="15"/>
      <c r="P724" s="15"/>
      <c r="Q724" s="14" t="s">
        <v>3991</v>
      </c>
    </row>
    <row r="725" spans="4:17">
      <c r="D725" s="15" t="s">
        <v>6572</v>
      </c>
      <c r="E725" s="14" t="s">
        <v>2790</v>
      </c>
      <c r="F725" s="15" t="s">
        <v>1136</v>
      </c>
      <c r="G725" s="14"/>
      <c r="H725" s="15"/>
      <c r="I725" s="15"/>
      <c r="J725" s="14" t="str">
        <f t="shared" si="12"/>
        <v>KP-6d Number of PWID who received any PrEP product at least once during the reporting period</v>
      </c>
      <c r="K725" s="374"/>
      <c r="L725" s="18"/>
      <c r="M725" s="375"/>
      <c r="N725" s="15"/>
      <c r="O725" s="15"/>
      <c r="P725" s="15"/>
      <c r="Q725" s="14" t="s">
        <v>3992</v>
      </c>
    </row>
    <row r="726" spans="4:17">
      <c r="D726" s="15" t="s">
        <v>6573</v>
      </c>
      <c r="E726" s="14" t="s">
        <v>2790</v>
      </c>
      <c r="F726" s="15" t="s">
        <v>1136</v>
      </c>
      <c r="G726" s="14"/>
      <c r="H726" s="15"/>
      <c r="I726" s="15"/>
      <c r="J726" s="14" t="str">
        <f t="shared" si="12"/>
        <v>KP-6d Number of PWID who received any PrEP product at least once during the reporting period</v>
      </c>
      <c r="K726" s="374"/>
      <c r="L726" s="18"/>
      <c r="M726" s="375"/>
      <c r="N726" s="15"/>
      <c r="O726" s="15"/>
      <c r="P726" s="15"/>
      <c r="Q726" s="14" t="s">
        <v>3993</v>
      </c>
    </row>
    <row r="727" spans="4:17">
      <c r="D727" s="15" t="s">
        <v>6574</v>
      </c>
      <c r="E727" s="14" t="s">
        <v>2790</v>
      </c>
      <c r="F727" s="15" t="s">
        <v>1136</v>
      </c>
      <c r="G727" s="14"/>
      <c r="H727" s="15"/>
      <c r="I727" s="15"/>
      <c r="J727" s="14" t="str">
        <f t="shared" si="12"/>
        <v>KP-6d Number of PWID who received any PrEP product at least once during the reporting period</v>
      </c>
      <c r="K727" s="374"/>
      <c r="L727" s="18"/>
      <c r="M727" s="375"/>
      <c r="N727" s="15"/>
      <c r="O727" s="15"/>
      <c r="P727" s="15"/>
      <c r="Q727" s="14" t="s">
        <v>3994</v>
      </c>
    </row>
    <row r="728" spans="4:17">
      <c r="D728" s="15" t="s">
        <v>6575</v>
      </c>
      <c r="E728" s="14" t="s">
        <v>2790</v>
      </c>
      <c r="F728" s="15" t="s">
        <v>1136</v>
      </c>
      <c r="G728" s="14"/>
      <c r="H728" s="15"/>
      <c r="I728" s="15"/>
      <c r="J728" s="14" t="str">
        <f t="shared" si="12"/>
        <v>KP-6d Number of PWID who received any PrEP product at least once during the reporting period</v>
      </c>
      <c r="K728" s="374"/>
      <c r="L728" s="18"/>
      <c r="M728" s="375"/>
      <c r="N728" s="15"/>
      <c r="O728" s="15"/>
      <c r="P728" s="15"/>
      <c r="Q728" s="14" t="s">
        <v>3995</v>
      </c>
    </row>
    <row r="729" spans="4:17">
      <c r="D729" s="15" t="s">
        <v>6576</v>
      </c>
      <c r="E729" s="14" t="s">
        <v>2790</v>
      </c>
      <c r="F729" s="15" t="s">
        <v>1136</v>
      </c>
      <c r="G729" s="14"/>
      <c r="H729" s="15"/>
      <c r="I729" s="15"/>
      <c r="J729" s="14" t="str">
        <f t="shared" si="12"/>
        <v>KP-6d Number of PWID who received any PrEP product at least once during the reporting period</v>
      </c>
      <c r="K729" s="374"/>
      <c r="L729" s="18"/>
      <c r="M729" s="375"/>
      <c r="N729" s="15"/>
      <c r="O729" s="15"/>
      <c r="P729" s="15"/>
      <c r="Q729" s="14" t="s">
        <v>3996</v>
      </c>
    </row>
    <row r="730" spans="4:17">
      <c r="D730" s="15" t="s">
        <v>6577</v>
      </c>
      <c r="E730" s="14" t="s">
        <v>2790</v>
      </c>
      <c r="F730" s="15" t="s">
        <v>1136</v>
      </c>
      <c r="G730" s="14"/>
      <c r="H730" s="15"/>
      <c r="I730" s="15"/>
      <c r="J730" s="14" t="str">
        <f t="shared" si="12"/>
        <v>KP-6d Number of PWID who received any PrEP product at least once during the reporting period</v>
      </c>
      <c r="K730" s="374"/>
      <c r="L730" s="18"/>
      <c r="M730" s="375"/>
      <c r="N730" s="15"/>
      <c r="O730" s="15"/>
      <c r="P730" s="15"/>
      <c r="Q730" s="14" t="s">
        <v>3997</v>
      </c>
    </row>
    <row r="731" spans="4:17">
      <c r="D731" s="15" t="s">
        <v>6578</v>
      </c>
      <c r="E731" s="14" t="s">
        <v>2797</v>
      </c>
      <c r="F731" s="15" t="s">
        <v>1143</v>
      </c>
      <c r="G731" s="14"/>
      <c r="H731" s="15"/>
      <c r="I731" s="15"/>
      <c r="J731" s="14" t="str">
        <f t="shared" si="12"/>
        <v>KP-1f Number of people in prisons and other closed settings reached with HIV prevention programs - defined package of services</v>
      </c>
      <c r="K731" s="374"/>
      <c r="L731" s="18"/>
      <c r="M731" s="375"/>
      <c r="N731" s="15"/>
      <c r="O731" s="15"/>
      <c r="P731" s="15"/>
      <c r="Q731" s="14" t="s">
        <v>3998</v>
      </c>
    </row>
    <row r="732" spans="4:17">
      <c r="D732" s="15" t="s">
        <v>6579</v>
      </c>
      <c r="E732" s="14" t="s">
        <v>2797</v>
      </c>
      <c r="F732" s="15" t="s">
        <v>1143</v>
      </c>
      <c r="G732" s="14"/>
      <c r="H732" s="15"/>
      <c r="I732" s="15"/>
      <c r="J732" s="14" t="str">
        <f t="shared" si="12"/>
        <v>KP-1f Number of people in prisons and other closed settings reached with HIV prevention programs - defined package of services</v>
      </c>
      <c r="K732" s="374"/>
      <c r="L732" s="18"/>
      <c r="M732" s="375"/>
      <c r="N732" s="15"/>
      <c r="O732" s="15"/>
      <c r="P732" s="15"/>
      <c r="Q732" s="14" t="s">
        <v>3999</v>
      </c>
    </row>
    <row r="733" spans="4:17">
      <c r="D733" s="15" t="s">
        <v>6580</v>
      </c>
      <c r="E733" s="14" t="s">
        <v>2797</v>
      </c>
      <c r="F733" s="15" t="s">
        <v>1143</v>
      </c>
      <c r="G733" s="14"/>
      <c r="H733" s="15"/>
      <c r="I733" s="15"/>
      <c r="J733" s="14" t="str">
        <f t="shared" si="12"/>
        <v>KP-1f Number of people in prisons and other closed settings reached with HIV prevention programs - defined package of services</v>
      </c>
      <c r="K733" s="374"/>
      <c r="L733" s="18"/>
      <c r="M733" s="375"/>
      <c r="N733" s="15"/>
      <c r="O733" s="15"/>
      <c r="P733" s="15"/>
      <c r="Q733" s="14" t="s">
        <v>4000</v>
      </c>
    </row>
    <row r="734" spans="4:17">
      <c r="D734" s="15" t="s">
        <v>6581</v>
      </c>
      <c r="E734" s="14" t="s">
        <v>2797</v>
      </c>
      <c r="F734" s="15" t="s">
        <v>1143</v>
      </c>
      <c r="G734" s="14"/>
      <c r="H734" s="15"/>
      <c r="I734" s="15"/>
      <c r="J734" s="14" t="str">
        <f t="shared" si="12"/>
        <v>KP-1f Number of people in prisons and other closed settings reached with HIV prevention programs - defined package of services</v>
      </c>
      <c r="K734" s="374"/>
      <c r="L734" s="18"/>
      <c r="M734" s="375"/>
      <c r="N734" s="15"/>
      <c r="O734" s="15"/>
      <c r="P734" s="15"/>
      <c r="Q734" s="14" t="s">
        <v>4001</v>
      </c>
    </row>
    <row r="735" spans="4:17">
      <c r="D735" s="15" t="s">
        <v>6582</v>
      </c>
      <c r="E735" s="14" t="s">
        <v>2797</v>
      </c>
      <c r="F735" s="15" t="s">
        <v>1143</v>
      </c>
      <c r="G735" s="14"/>
      <c r="H735" s="15"/>
      <c r="I735" s="15"/>
      <c r="J735" s="14" t="str">
        <f t="shared" si="12"/>
        <v>KP-1f Number of people in prisons and other closed settings reached with HIV prevention programs - defined package of services</v>
      </c>
      <c r="K735" s="374"/>
      <c r="L735" s="18"/>
      <c r="M735" s="375"/>
      <c r="N735" s="15"/>
      <c r="O735" s="15"/>
      <c r="P735" s="15"/>
      <c r="Q735" s="14" t="s">
        <v>4002</v>
      </c>
    </row>
    <row r="736" spans="4:17">
      <c r="D736" s="15" t="s">
        <v>6583</v>
      </c>
      <c r="E736" s="14" t="s">
        <v>2797</v>
      </c>
      <c r="F736" s="15" t="s">
        <v>1143</v>
      </c>
      <c r="G736" s="14"/>
      <c r="H736" s="15"/>
      <c r="I736" s="15"/>
      <c r="J736" s="14" t="str">
        <f t="shared" si="12"/>
        <v>KP-1f Number of people in prisons and other closed settings reached with HIV prevention programs - defined package of services</v>
      </c>
      <c r="K736" s="374"/>
      <c r="L736" s="18"/>
      <c r="M736" s="375"/>
      <c r="N736" s="15"/>
      <c r="O736" s="15"/>
      <c r="P736" s="15"/>
      <c r="Q736" s="14" t="s">
        <v>4003</v>
      </c>
    </row>
    <row r="737" spans="4:17">
      <c r="D737" s="15" t="s">
        <v>6584</v>
      </c>
      <c r="E737" s="14" t="s">
        <v>2797</v>
      </c>
      <c r="F737" s="15" t="s">
        <v>1143</v>
      </c>
      <c r="G737" s="14"/>
      <c r="H737" s="15"/>
      <c r="I737" s="15"/>
      <c r="J737" s="14" t="str">
        <f t="shared" si="12"/>
        <v>KP-1f Number of people in prisons and other closed settings reached with HIV prevention programs - defined package of services</v>
      </c>
      <c r="K737" s="374"/>
      <c r="L737" s="18"/>
      <c r="M737" s="375"/>
      <c r="N737" s="15"/>
      <c r="O737" s="15"/>
      <c r="P737" s="15"/>
      <c r="Q737" s="14" t="s">
        <v>4004</v>
      </c>
    </row>
    <row r="738" spans="4:17">
      <c r="D738" s="15" t="s">
        <v>6585</v>
      </c>
      <c r="E738" s="14" t="s">
        <v>2797</v>
      </c>
      <c r="F738" s="15" t="s">
        <v>1143</v>
      </c>
      <c r="G738" s="14"/>
      <c r="H738" s="15"/>
      <c r="I738" s="15"/>
      <c r="J738" s="14" t="str">
        <f t="shared" si="12"/>
        <v>KP-1f Number of people in prisons and other closed settings reached with HIV prevention programs - defined package of services</v>
      </c>
      <c r="K738" s="374"/>
      <c r="L738" s="18"/>
      <c r="M738" s="375"/>
      <c r="N738" s="15"/>
      <c r="O738" s="15"/>
      <c r="P738" s="15"/>
      <c r="Q738" s="14" t="s">
        <v>4005</v>
      </c>
    </row>
    <row r="739" spans="4:17">
      <c r="D739" s="15" t="s">
        <v>6586</v>
      </c>
      <c r="E739" s="14" t="s">
        <v>2797</v>
      </c>
      <c r="F739" s="15" t="s">
        <v>1143</v>
      </c>
      <c r="G739" s="14"/>
      <c r="H739" s="15"/>
      <c r="I739" s="15"/>
      <c r="J739" s="14" t="str">
        <f t="shared" si="12"/>
        <v>KP-1f Number of people in prisons and other closed settings reached with HIV prevention programs - defined package of services</v>
      </c>
      <c r="K739" s="374"/>
      <c r="L739" s="18"/>
      <c r="M739" s="375"/>
      <c r="N739" s="15"/>
      <c r="O739" s="15"/>
      <c r="P739" s="15"/>
      <c r="Q739" s="14" t="s">
        <v>4006</v>
      </c>
    </row>
    <row r="740" spans="4:17">
      <c r="D740" s="15" t="s">
        <v>6587</v>
      </c>
      <c r="E740" s="14" t="s">
        <v>2797</v>
      </c>
      <c r="F740" s="15" t="s">
        <v>1143</v>
      </c>
      <c r="G740" s="14"/>
      <c r="H740" s="15"/>
      <c r="I740" s="15"/>
      <c r="J740" s="14" t="str">
        <f t="shared" si="12"/>
        <v>KP-1f Number of people in prisons and other closed settings reached with HIV prevention programs - defined package of services</v>
      </c>
      <c r="K740" s="374"/>
      <c r="L740" s="18"/>
      <c r="M740" s="375"/>
      <c r="N740" s="15"/>
      <c r="O740" s="15"/>
      <c r="P740" s="15"/>
      <c r="Q740" s="14" t="s">
        <v>4007</v>
      </c>
    </row>
    <row r="741" spans="4:17">
      <c r="D741" s="15" t="s">
        <v>6588</v>
      </c>
      <c r="E741" s="14" t="s">
        <v>2797</v>
      </c>
      <c r="F741" s="15" t="s">
        <v>1143</v>
      </c>
      <c r="G741" s="14"/>
      <c r="H741" s="15"/>
      <c r="I741" s="15"/>
      <c r="J741" s="14" t="str">
        <f t="shared" si="12"/>
        <v>KP-1f Number of people in prisons and other closed settings reached with HIV prevention programs - defined package of services</v>
      </c>
      <c r="K741" s="374"/>
      <c r="L741" s="18"/>
      <c r="M741" s="375"/>
      <c r="N741" s="15"/>
      <c r="O741" s="15"/>
      <c r="P741" s="15"/>
      <c r="Q741" s="14" t="s">
        <v>4008</v>
      </c>
    </row>
    <row r="742" spans="4:17">
      <c r="D742" s="15" t="s">
        <v>6589</v>
      </c>
      <c r="E742" s="14" t="s">
        <v>2797</v>
      </c>
      <c r="F742" s="15" t="s">
        <v>1143</v>
      </c>
      <c r="G742" s="14"/>
      <c r="H742" s="15"/>
      <c r="I742" s="15"/>
      <c r="J742" s="14" t="str">
        <f t="shared" si="12"/>
        <v>KP-1f Number of people in prisons and other closed settings reached with HIV prevention programs - defined package of services</v>
      </c>
      <c r="K742" s="374"/>
      <c r="L742" s="18"/>
      <c r="M742" s="375"/>
      <c r="N742" s="15"/>
      <c r="O742" s="15"/>
      <c r="P742" s="15"/>
      <c r="Q742" s="14" t="s">
        <v>4009</v>
      </c>
    </row>
    <row r="743" spans="4:17">
      <c r="D743" s="15" t="s">
        <v>6590</v>
      </c>
      <c r="E743" s="14" t="s">
        <v>2797</v>
      </c>
      <c r="F743" s="15" t="s">
        <v>1143</v>
      </c>
      <c r="G743" s="14"/>
      <c r="H743" s="15"/>
      <c r="I743" s="15"/>
      <c r="J743" s="14" t="str">
        <f t="shared" si="12"/>
        <v>KP-1f Number of people in prisons and other closed settings reached with HIV prevention programs - defined package of services</v>
      </c>
      <c r="K743" s="374"/>
      <c r="L743" s="18"/>
      <c r="M743" s="375"/>
      <c r="N743" s="15"/>
      <c r="O743" s="15"/>
      <c r="P743" s="15"/>
      <c r="Q743" s="14" t="s">
        <v>4010</v>
      </c>
    </row>
    <row r="744" spans="4:17">
      <c r="D744" s="15" t="s">
        <v>6591</v>
      </c>
      <c r="E744" s="14" t="s">
        <v>2797</v>
      </c>
      <c r="F744" s="15" t="s">
        <v>1143</v>
      </c>
      <c r="G744" s="14"/>
      <c r="H744" s="15"/>
      <c r="I744" s="15"/>
      <c r="J744" s="14" t="str">
        <f t="shared" si="12"/>
        <v>KP-1f Number of people in prisons and other closed settings reached with HIV prevention programs - defined package of services</v>
      </c>
      <c r="K744" s="374"/>
      <c r="L744" s="18"/>
      <c r="M744" s="375"/>
      <c r="N744" s="15"/>
      <c r="O744" s="15"/>
      <c r="P744" s="15"/>
      <c r="Q744" s="14" t="s">
        <v>4011</v>
      </c>
    </row>
    <row r="745" spans="4:17">
      <c r="D745" s="15" t="s">
        <v>6592</v>
      </c>
      <c r="E745" s="14" t="s">
        <v>2797</v>
      </c>
      <c r="F745" s="15" t="s">
        <v>1143</v>
      </c>
      <c r="G745" s="14"/>
      <c r="H745" s="15"/>
      <c r="I745" s="15"/>
      <c r="J745" s="14" t="str">
        <f t="shared" si="12"/>
        <v>KP-1f Number of people in prisons and other closed settings reached with HIV prevention programs - defined package of services</v>
      </c>
      <c r="K745" s="374"/>
      <c r="L745" s="18"/>
      <c r="M745" s="375"/>
      <c r="N745" s="15"/>
      <c r="O745" s="15"/>
      <c r="P745" s="15"/>
      <c r="Q745" s="14" t="s">
        <v>4012</v>
      </c>
    </row>
    <row r="746" spans="4:17">
      <c r="D746" s="15" t="s">
        <v>6593</v>
      </c>
      <c r="E746" s="14" t="s">
        <v>2797</v>
      </c>
      <c r="F746" s="15" t="s">
        <v>1143</v>
      </c>
      <c r="G746" s="14"/>
      <c r="H746" s="15"/>
      <c r="I746" s="15"/>
      <c r="J746" s="14" t="str">
        <f t="shared" si="12"/>
        <v>KP-1f Number of people in prisons and other closed settings reached with HIV prevention programs - defined package of services</v>
      </c>
      <c r="K746" s="374"/>
      <c r="L746" s="18"/>
      <c r="M746" s="375"/>
      <c r="N746" s="15"/>
      <c r="O746" s="15"/>
      <c r="P746" s="15"/>
      <c r="Q746" s="14" t="s">
        <v>4013</v>
      </c>
    </row>
    <row r="747" spans="4:17">
      <c r="D747" s="15" t="s">
        <v>6594</v>
      </c>
      <c r="E747" s="14" t="s">
        <v>2797</v>
      </c>
      <c r="F747" s="15" t="s">
        <v>1143</v>
      </c>
      <c r="G747" s="14"/>
      <c r="H747" s="15"/>
      <c r="I747" s="15"/>
      <c r="J747" s="14" t="str">
        <f t="shared" si="12"/>
        <v>KP-1f Number of people in prisons and other closed settings reached with HIV prevention programs - defined package of services</v>
      </c>
      <c r="K747" s="374"/>
      <c r="L747" s="18"/>
      <c r="M747" s="375"/>
      <c r="N747" s="15"/>
      <c r="O747" s="15"/>
      <c r="P747" s="15"/>
      <c r="Q747" s="14" t="s">
        <v>4014</v>
      </c>
    </row>
    <row r="748" spans="4:17">
      <c r="D748" s="15" t="s">
        <v>6595</v>
      </c>
      <c r="E748" s="14" t="s">
        <v>2797</v>
      </c>
      <c r="F748" s="15" t="s">
        <v>1143</v>
      </c>
      <c r="G748" s="14"/>
      <c r="H748" s="15"/>
      <c r="I748" s="15"/>
      <c r="J748" s="14" t="str">
        <f t="shared" si="12"/>
        <v>KP-1f Number of people in prisons and other closed settings reached with HIV prevention programs - defined package of services</v>
      </c>
      <c r="K748" s="374"/>
      <c r="L748" s="18"/>
      <c r="M748" s="375"/>
      <c r="N748" s="15"/>
      <c r="O748" s="15"/>
      <c r="P748" s="15"/>
      <c r="Q748" s="14" t="s">
        <v>4015</v>
      </c>
    </row>
    <row r="749" spans="4:17">
      <c r="D749" s="15" t="s">
        <v>6596</v>
      </c>
      <c r="E749" s="14" t="s">
        <v>2797</v>
      </c>
      <c r="F749" s="15" t="s">
        <v>1143</v>
      </c>
      <c r="G749" s="14"/>
      <c r="H749" s="15"/>
      <c r="I749" s="15"/>
      <c r="J749" s="14" t="str">
        <f t="shared" si="12"/>
        <v>KP-1f Number of people in prisons and other closed settings reached with HIV prevention programs - defined package of services</v>
      </c>
      <c r="K749" s="374"/>
      <c r="L749" s="18"/>
      <c r="M749" s="375"/>
      <c r="N749" s="15"/>
      <c r="O749" s="15"/>
      <c r="P749" s="15"/>
      <c r="Q749" s="14" t="s">
        <v>4016</v>
      </c>
    </row>
    <row r="750" spans="4:17">
      <c r="D750" s="15" t="s">
        <v>6597</v>
      </c>
      <c r="E750" s="14" t="s">
        <v>2797</v>
      </c>
      <c r="F750" s="15" t="s">
        <v>1143</v>
      </c>
      <c r="G750" s="14"/>
      <c r="H750" s="15"/>
      <c r="I750" s="15"/>
      <c r="J750" s="14" t="str">
        <f t="shared" si="12"/>
        <v>KP-1f Number of people in prisons and other closed settings reached with HIV prevention programs - defined package of services</v>
      </c>
      <c r="K750" s="374"/>
      <c r="L750" s="18"/>
      <c r="M750" s="375"/>
      <c r="N750" s="15"/>
      <c r="O750" s="15"/>
      <c r="P750" s="15"/>
      <c r="Q750" s="14" t="s">
        <v>4017</v>
      </c>
    </row>
    <row r="751" spans="4:17">
      <c r="D751" s="15" t="s">
        <v>6598</v>
      </c>
      <c r="E751" s="14" t="s">
        <v>2846</v>
      </c>
      <c r="F751" s="15" t="s">
        <v>1163</v>
      </c>
      <c r="G751" s="14"/>
      <c r="H751" s="15" t="s">
        <v>1164</v>
      </c>
      <c r="I751" s="15" t="s">
        <v>3346</v>
      </c>
      <c r="J751" s="14" t="str">
        <f t="shared" si="12"/>
        <v>VT-1 Percentage of pregnant women who know their HIV statusHIV statusUnknown</v>
      </c>
      <c r="K751" s="374"/>
      <c r="L751" s="18"/>
      <c r="M751" s="375"/>
      <c r="N751" s="15"/>
      <c r="O751" s="15"/>
      <c r="P751" s="15"/>
      <c r="Q751" s="14" t="s">
        <v>4180</v>
      </c>
    </row>
    <row r="752" spans="4:17">
      <c r="D752" s="15" t="s">
        <v>6599</v>
      </c>
      <c r="E752" s="14" t="s">
        <v>2846</v>
      </c>
      <c r="F752" s="15" t="s">
        <v>1163</v>
      </c>
      <c r="G752" s="14"/>
      <c r="H752" s="15" t="s">
        <v>1164</v>
      </c>
      <c r="I752" s="15" t="s">
        <v>3356</v>
      </c>
      <c r="J752" s="14" t="str">
        <f t="shared" si="12"/>
        <v>VT-1 Percentage of pregnant women who know their HIV statusHIV statusNegative</v>
      </c>
      <c r="K752" s="374"/>
      <c r="L752" s="18"/>
      <c r="M752" s="375"/>
      <c r="N752" s="15"/>
      <c r="O752" s="15"/>
      <c r="P752" s="15"/>
      <c r="Q752" s="14" t="s">
        <v>4183</v>
      </c>
    </row>
    <row r="753" spans="4:17">
      <c r="D753" s="15" t="s">
        <v>6600</v>
      </c>
      <c r="E753" s="14" t="s">
        <v>2846</v>
      </c>
      <c r="F753" s="15" t="s">
        <v>1163</v>
      </c>
      <c r="G753" s="14"/>
      <c r="H753" s="15" t="s">
        <v>1164</v>
      </c>
      <c r="I753" s="15" t="s">
        <v>3367</v>
      </c>
      <c r="J753" s="14" t="str">
        <f t="shared" si="12"/>
        <v>VT-1 Percentage of pregnant women who know their HIV statusHIV statusPositive</v>
      </c>
      <c r="K753" s="374"/>
      <c r="L753" s="18"/>
      <c r="M753" s="375"/>
      <c r="N753" s="15"/>
      <c r="O753" s="15"/>
      <c r="P753" s="15"/>
      <c r="Q753" s="14" t="s">
        <v>4186</v>
      </c>
    </row>
    <row r="754" spans="4:17">
      <c r="D754" s="15" t="s">
        <v>6601</v>
      </c>
      <c r="E754" s="14" t="s">
        <v>2846</v>
      </c>
      <c r="F754" s="15" t="s">
        <v>1163</v>
      </c>
      <c r="G754" s="14"/>
      <c r="H754" s="15"/>
      <c r="I754" s="15"/>
      <c r="J754" s="14" t="str">
        <f t="shared" si="12"/>
        <v>VT-1 Percentage of pregnant women who know their HIV status</v>
      </c>
      <c r="K754" s="374"/>
      <c r="L754" s="18"/>
      <c r="M754" s="375"/>
      <c r="N754" s="15"/>
      <c r="O754" s="15"/>
      <c r="P754" s="15"/>
      <c r="Q754" s="14" t="s">
        <v>4189</v>
      </c>
    </row>
    <row r="755" spans="4:17">
      <c r="D755" s="15" t="s">
        <v>6602</v>
      </c>
      <c r="E755" s="14" t="s">
        <v>2846</v>
      </c>
      <c r="F755" s="15" t="s">
        <v>1163</v>
      </c>
      <c r="G755" s="14"/>
      <c r="H755" s="15"/>
      <c r="I755" s="15"/>
      <c r="J755" s="14" t="str">
        <f t="shared" si="12"/>
        <v>VT-1 Percentage of pregnant women who know their HIV status</v>
      </c>
      <c r="K755" s="374"/>
      <c r="L755" s="18"/>
      <c r="M755" s="375"/>
      <c r="N755" s="15"/>
      <c r="O755" s="15"/>
      <c r="P755" s="15"/>
      <c r="Q755" s="14" t="s">
        <v>4190</v>
      </c>
    </row>
    <row r="756" spans="4:17">
      <c r="D756" s="15" t="s">
        <v>6603</v>
      </c>
      <c r="E756" s="14" t="s">
        <v>2846</v>
      </c>
      <c r="F756" s="15" t="s">
        <v>1163</v>
      </c>
      <c r="G756" s="14"/>
      <c r="H756" s="15"/>
      <c r="I756" s="15"/>
      <c r="J756" s="14" t="str">
        <f t="shared" si="12"/>
        <v>VT-1 Percentage of pregnant women who know their HIV status</v>
      </c>
      <c r="K756" s="374"/>
      <c r="L756" s="18"/>
      <c r="M756" s="375"/>
      <c r="N756" s="15"/>
      <c r="O756" s="15"/>
      <c r="P756" s="15"/>
      <c r="Q756" s="14" t="s">
        <v>4191</v>
      </c>
    </row>
    <row r="757" spans="4:17">
      <c r="D757" s="15" t="s">
        <v>6604</v>
      </c>
      <c r="E757" s="14" t="s">
        <v>2846</v>
      </c>
      <c r="F757" s="15" t="s">
        <v>1163</v>
      </c>
      <c r="G757" s="14"/>
      <c r="H757" s="15"/>
      <c r="I757" s="15"/>
      <c r="J757" s="14" t="str">
        <f t="shared" si="12"/>
        <v>VT-1 Percentage of pregnant women who know their HIV status</v>
      </c>
      <c r="K757" s="374"/>
      <c r="L757" s="18"/>
      <c r="M757" s="375"/>
      <c r="N757" s="15"/>
      <c r="O757" s="15"/>
      <c r="P757" s="15"/>
      <c r="Q757" s="14" t="s">
        <v>4192</v>
      </c>
    </row>
    <row r="758" spans="4:17">
      <c r="D758" s="15" t="s">
        <v>6605</v>
      </c>
      <c r="E758" s="14" t="s">
        <v>2846</v>
      </c>
      <c r="F758" s="15" t="s">
        <v>1163</v>
      </c>
      <c r="G758" s="14"/>
      <c r="H758" s="15"/>
      <c r="I758" s="15"/>
      <c r="J758" s="14" t="str">
        <f t="shared" si="12"/>
        <v>VT-1 Percentage of pregnant women who know their HIV status</v>
      </c>
      <c r="K758" s="374"/>
      <c r="L758" s="18"/>
      <c r="M758" s="375"/>
      <c r="N758" s="15"/>
      <c r="O758" s="15"/>
      <c r="P758" s="15"/>
      <c r="Q758" s="14" t="s">
        <v>4193</v>
      </c>
    </row>
    <row r="759" spans="4:17">
      <c r="D759" s="15" t="s">
        <v>6606</v>
      </c>
      <c r="E759" s="14" t="s">
        <v>2846</v>
      </c>
      <c r="F759" s="15" t="s">
        <v>1163</v>
      </c>
      <c r="G759" s="14"/>
      <c r="H759" s="15"/>
      <c r="I759" s="15"/>
      <c r="J759" s="14" t="str">
        <f t="shared" si="12"/>
        <v>VT-1 Percentage of pregnant women who know their HIV status</v>
      </c>
      <c r="K759" s="374"/>
      <c r="L759" s="18"/>
      <c r="M759" s="375"/>
      <c r="N759" s="15"/>
      <c r="O759" s="15"/>
      <c r="P759" s="15"/>
      <c r="Q759" s="14" t="s">
        <v>4194</v>
      </c>
    </row>
    <row r="760" spans="4:17">
      <c r="D760" s="15" t="s">
        <v>6607</v>
      </c>
      <c r="E760" s="14" t="s">
        <v>2846</v>
      </c>
      <c r="F760" s="15" t="s">
        <v>1163</v>
      </c>
      <c r="G760" s="14"/>
      <c r="H760" s="15"/>
      <c r="I760" s="15"/>
      <c r="J760" s="14" t="str">
        <f t="shared" si="12"/>
        <v>VT-1 Percentage of pregnant women who know their HIV status</v>
      </c>
      <c r="K760" s="374"/>
      <c r="L760" s="18"/>
      <c r="M760" s="375"/>
      <c r="N760" s="15"/>
      <c r="O760" s="15"/>
      <c r="P760" s="15"/>
      <c r="Q760" s="14" t="s">
        <v>4195</v>
      </c>
    </row>
    <row r="761" spans="4:17">
      <c r="D761" s="15" t="s">
        <v>6608</v>
      </c>
      <c r="E761" s="14" t="s">
        <v>2846</v>
      </c>
      <c r="F761" s="15" t="s">
        <v>1163</v>
      </c>
      <c r="G761" s="14"/>
      <c r="H761" s="15"/>
      <c r="I761" s="15"/>
      <c r="J761" s="14" t="str">
        <f t="shared" si="12"/>
        <v>VT-1 Percentage of pregnant women who know their HIV status</v>
      </c>
      <c r="K761" s="374"/>
      <c r="L761" s="18"/>
      <c r="M761" s="375"/>
      <c r="N761" s="15"/>
      <c r="O761" s="15"/>
      <c r="P761" s="15"/>
      <c r="Q761" s="14" t="s">
        <v>4196</v>
      </c>
    </row>
    <row r="762" spans="4:17">
      <c r="D762" s="15" t="s">
        <v>6609</v>
      </c>
      <c r="E762" s="14" t="s">
        <v>2846</v>
      </c>
      <c r="F762" s="15" t="s">
        <v>1163</v>
      </c>
      <c r="G762" s="14"/>
      <c r="H762" s="15"/>
      <c r="I762" s="15"/>
      <c r="J762" s="14" t="str">
        <f t="shared" si="12"/>
        <v>VT-1 Percentage of pregnant women who know their HIV status</v>
      </c>
      <c r="K762" s="374"/>
      <c r="L762" s="18"/>
      <c r="M762" s="375"/>
      <c r="N762" s="15"/>
      <c r="O762" s="15"/>
      <c r="P762" s="15"/>
      <c r="Q762" s="14" t="s">
        <v>4197</v>
      </c>
    </row>
    <row r="763" spans="4:17">
      <c r="D763" s="15" t="s">
        <v>6610</v>
      </c>
      <c r="E763" s="14" t="s">
        <v>2846</v>
      </c>
      <c r="F763" s="15" t="s">
        <v>1163</v>
      </c>
      <c r="G763" s="14"/>
      <c r="H763" s="15"/>
      <c r="I763" s="15"/>
      <c r="J763" s="14" t="str">
        <f t="shared" si="12"/>
        <v>VT-1 Percentage of pregnant women who know their HIV status</v>
      </c>
      <c r="K763" s="374"/>
      <c r="L763" s="18"/>
      <c r="M763" s="375"/>
      <c r="N763" s="15"/>
      <c r="O763" s="15"/>
      <c r="P763" s="15"/>
      <c r="Q763" s="14" t="s">
        <v>4198</v>
      </c>
    </row>
    <row r="764" spans="4:17">
      <c r="D764" s="15" t="s">
        <v>6611</v>
      </c>
      <c r="E764" s="14" t="s">
        <v>2846</v>
      </c>
      <c r="F764" s="15" t="s">
        <v>1163</v>
      </c>
      <c r="G764" s="14"/>
      <c r="H764" s="15"/>
      <c r="I764" s="15"/>
      <c r="J764" s="14" t="str">
        <f t="shared" ref="J764:J827" si="13">F764&amp;H764&amp;I764</f>
        <v>VT-1 Percentage of pregnant women who know their HIV status</v>
      </c>
      <c r="K764" s="374"/>
      <c r="L764" s="18"/>
      <c r="M764" s="375"/>
      <c r="N764" s="15"/>
      <c r="O764" s="15"/>
      <c r="P764" s="15"/>
      <c r="Q764" s="14" t="s">
        <v>4199</v>
      </c>
    </row>
    <row r="765" spans="4:17">
      <c r="D765" s="15" t="s">
        <v>6612</v>
      </c>
      <c r="E765" s="14" t="s">
        <v>2846</v>
      </c>
      <c r="F765" s="15" t="s">
        <v>1163</v>
      </c>
      <c r="G765" s="14"/>
      <c r="H765" s="15"/>
      <c r="I765" s="15"/>
      <c r="J765" s="14" t="str">
        <f t="shared" si="13"/>
        <v>VT-1 Percentage of pregnant women who know their HIV status</v>
      </c>
      <c r="K765" s="374"/>
      <c r="L765" s="18"/>
      <c r="M765" s="375"/>
      <c r="N765" s="15"/>
      <c r="O765" s="15"/>
      <c r="P765" s="15"/>
      <c r="Q765" s="14" t="s">
        <v>4200</v>
      </c>
    </row>
    <row r="766" spans="4:17">
      <c r="D766" s="15" t="s">
        <v>6613</v>
      </c>
      <c r="E766" s="14" t="s">
        <v>2846</v>
      </c>
      <c r="F766" s="15" t="s">
        <v>1163</v>
      </c>
      <c r="G766" s="14"/>
      <c r="H766" s="15"/>
      <c r="I766" s="15"/>
      <c r="J766" s="14" t="str">
        <f t="shared" si="13"/>
        <v>VT-1 Percentage of pregnant women who know their HIV status</v>
      </c>
      <c r="K766" s="374"/>
      <c r="L766" s="18"/>
      <c r="M766" s="375"/>
      <c r="N766" s="15"/>
      <c r="O766" s="15"/>
      <c r="P766" s="15"/>
      <c r="Q766" s="14" t="s">
        <v>4201</v>
      </c>
    </row>
    <row r="767" spans="4:17">
      <c r="D767" s="15" t="s">
        <v>6614</v>
      </c>
      <c r="E767" s="14" t="s">
        <v>2846</v>
      </c>
      <c r="F767" s="15" t="s">
        <v>1163</v>
      </c>
      <c r="G767" s="14"/>
      <c r="H767" s="15"/>
      <c r="I767" s="15"/>
      <c r="J767" s="14" t="str">
        <f t="shared" si="13"/>
        <v>VT-1 Percentage of pregnant women who know their HIV status</v>
      </c>
      <c r="K767" s="374"/>
      <c r="L767" s="18"/>
      <c r="M767" s="375"/>
      <c r="N767" s="15"/>
      <c r="O767" s="15"/>
      <c r="P767" s="15"/>
      <c r="Q767" s="14" t="s">
        <v>4202</v>
      </c>
    </row>
    <row r="768" spans="4:17">
      <c r="D768" s="15" t="s">
        <v>6615</v>
      </c>
      <c r="E768" s="14" t="s">
        <v>2846</v>
      </c>
      <c r="F768" s="15" t="s">
        <v>1163</v>
      </c>
      <c r="G768" s="14"/>
      <c r="H768" s="15"/>
      <c r="I768" s="15"/>
      <c r="J768" s="14" t="str">
        <f t="shared" si="13"/>
        <v>VT-1 Percentage of pregnant women who know their HIV status</v>
      </c>
      <c r="K768" s="374"/>
      <c r="L768" s="18"/>
      <c r="M768" s="375"/>
      <c r="N768" s="15"/>
      <c r="O768" s="15"/>
      <c r="P768" s="15"/>
      <c r="Q768" s="14" t="s">
        <v>4203</v>
      </c>
    </row>
    <row r="769" spans="4:17">
      <c r="D769" s="15" t="s">
        <v>6616</v>
      </c>
      <c r="E769" s="14" t="s">
        <v>2846</v>
      </c>
      <c r="F769" s="15" t="s">
        <v>1163</v>
      </c>
      <c r="G769" s="14"/>
      <c r="H769" s="15"/>
      <c r="I769" s="15"/>
      <c r="J769" s="14" t="str">
        <f t="shared" si="13"/>
        <v>VT-1 Percentage of pregnant women who know their HIV status</v>
      </c>
      <c r="K769" s="374"/>
      <c r="L769" s="18"/>
      <c r="M769" s="375"/>
      <c r="N769" s="15"/>
      <c r="O769" s="15"/>
      <c r="P769" s="15"/>
      <c r="Q769" s="14" t="s">
        <v>4204</v>
      </c>
    </row>
    <row r="770" spans="4:17">
      <c r="D770" s="15" t="s">
        <v>6617</v>
      </c>
      <c r="E770" s="14" t="s">
        <v>2846</v>
      </c>
      <c r="F770" s="15" t="s">
        <v>1163</v>
      </c>
      <c r="G770" s="14"/>
      <c r="H770" s="15"/>
      <c r="I770" s="15"/>
      <c r="J770" s="14" t="str">
        <f t="shared" si="13"/>
        <v>VT-1 Percentage of pregnant women who know their HIV status</v>
      </c>
      <c r="K770" s="374"/>
      <c r="L770" s="18"/>
      <c r="M770" s="375"/>
      <c r="N770" s="15"/>
      <c r="O770" s="15"/>
      <c r="P770" s="15"/>
      <c r="Q770" s="14" t="s">
        <v>4205</v>
      </c>
    </row>
    <row r="771" spans="4:17">
      <c r="D771" s="15" t="s">
        <v>6618</v>
      </c>
      <c r="E771" s="14" t="s">
        <v>2853</v>
      </c>
      <c r="F771" s="15" t="s">
        <v>1167</v>
      </c>
      <c r="G771" s="14"/>
      <c r="H771" s="15" t="s">
        <v>1164</v>
      </c>
      <c r="I771" s="15" t="s">
        <v>3346</v>
      </c>
      <c r="J771" s="14" t="str">
        <f t="shared" si="13"/>
        <v>VT-2 Percentage of HIV-exposed infants receiving a virological test for HIV within 2 months of birthHIV statusUnknown</v>
      </c>
      <c r="K771" s="374"/>
      <c r="L771" s="18"/>
      <c r="M771" s="375"/>
      <c r="N771" s="15"/>
      <c r="O771" s="15"/>
      <c r="P771" s="15"/>
      <c r="Q771" s="14" t="s">
        <v>4206</v>
      </c>
    </row>
    <row r="772" spans="4:17">
      <c r="D772" s="15" t="s">
        <v>6619</v>
      </c>
      <c r="E772" s="14" t="s">
        <v>2853</v>
      </c>
      <c r="F772" s="15" t="s">
        <v>1167</v>
      </c>
      <c r="G772" s="14"/>
      <c r="H772" s="15" t="s">
        <v>1164</v>
      </c>
      <c r="I772" s="15" t="s">
        <v>3356</v>
      </c>
      <c r="J772" s="14" t="str">
        <f t="shared" si="13"/>
        <v>VT-2 Percentage of HIV-exposed infants receiving a virological test for HIV within 2 months of birthHIV statusNegative</v>
      </c>
      <c r="K772" s="374"/>
      <c r="L772" s="18"/>
      <c r="M772" s="375"/>
      <c r="N772" s="15"/>
      <c r="O772" s="15"/>
      <c r="P772" s="15"/>
      <c r="Q772" s="14" t="s">
        <v>4209</v>
      </c>
    </row>
    <row r="773" spans="4:17">
      <c r="D773" s="15" t="s">
        <v>6620</v>
      </c>
      <c r="E773" s="14" t="s">
        <v>2853</v>
      </c>
      <c r="F773" s="15" t="s">
        <v>1167</v>
      </c>
      <c r="G773" s="14"/>
      <c r="H773" s="15" t="s">
        <v>1164</v>
      </c>
      <c r="I773" s="15" t="s">
        <v>3367</v>
      </c>
      <c r="J773" s="14" t="str">
        <f t="shared" si="13"/>
        <v>VT-2 Percentage of HIV-exposed infants receiving a virological test for HIV within 2 months of birthHIV statusPositive</v>
      </c>
      <c r="K773" s="374"/>
      <c r="L773" s="18"/>
      <c r="M773" s="375"/>
      <c r="N773" s="15"/>
      <c r="O773" s="15"/>
      <c r="P773" s="15"/>
      <c r="Q773" s="14" t="s">
        <v>4212</v>
      </c>
    </row>
    <row r="774" spans="4:17">
      <c r="D774" s="15" t="s">
        <v>6621</v>
      </c>
      <c r="E774" s="14" t="s">
        <v>2853</v>
      </c>
      <c r="F774" s="15" t="s">
        <v>1167</v>
      </c>
      <c r="G774" s="14"/>
      <c r="H774" s="15"/>
      <c r="I774" s="15"/>
      <c r="J774" s="14" t="str">
        <f t="shared" si="13"/>
        <v>VT-2 Percentage of HIV-exposed infants receiving a virological test for HIV within 2 months of birth</v>
      </c>
      <c r="K774" s="374"/>
      <c r="L774" s="18"/>
      <c r="M774" s="375"/>
      <c r="N774" s="15"/>
      <c r="O774" s="15"/>
      <c r="P774" s="15"/>
      <c r="Q774" s="14" t="s">
        <v>4215</v>
      </c>
    </row>
    <row r="775" spans="4:17">
      <c r="D775" s="15" t="s">
        <v>6622</v>
      </c>
      <c r="E775" s="14" t="s">
        <v>2853</v>
      </c>
      <c r="F775" s="15" t="s">
        <v>1167</v>
      </c>
      <c r="G775" s="14"/>
      <c r="H775" s="15"/>
      <c r="I775" s="15"/>
      <c r="J775" s="14" t="str">
        <f t="shared" si="13"/>
        <v>VT-2 Percentage of HIV-exposed infants receiving a virological test for HIV within 2 months of birth</v>
      </c>
      <c r="K775" s="374"/>
      <c r="L775" s="18"/>
      <c r="M775" s="375"/>
      <c r="N775" s="15"/>
      <c r="O775" s="15"/>
      <c r="P775" s="15"/>
      <c r="Q775" s="14" t="s">
        <v>4216</v>
      </c>
    </row>
    <row r="776" spans="4:17">
      <c r="D776" s="15" t="s">
        <v>6623</v>
      </c>
      <c r="E776" s="14" t="s">
        <v>2853</v>
      </c>
      <c r="F776" s="15" t="s">
        <v>1167</v>
      </c>
      <c r="G776" s="14"/>
      <c r="H776" s="15"/>
      <c r="I776" s="15"/>
      <c r="J776" s="14" t="str">
        <f t="shared" si="13"/>
        <v>VT-2 Percentage of HIV-exposed infants receiving a virological test for HIV within 2 months of birth</v>
      </c>
      <c r="K776" s="374"/>
      <c r="L776" s="18"/>
      <c r="M776" s="375"/>
      <c r="N776" s="15"/>
      <c r="O776" s="15"/>
      <c r="P776" s="15"/>
      <c r="Q776" s="14" t="s">
        <v>4217</v>
      </c>
    </row>
    <row r="777" spans="4:17">
      <c r="D777" s="15" t="s">
        <v>6624</v>
      </c>
      <c r="E777" s="14" t="s">
        <v>2853</v>
      </c>
      <c r="F777" s="15" t="s">
        <v>1167</v>
      </c>
      <c r="G777" s="14"/>
      <c r="H777" s="15"/>
      <c r="I777" s="15"/>
      <c r="J777" s="14" t="str">
        <f t="shared" si="13"/>
        <v>VT-2 Percentage of HIV-exposed infants receiving a virological test for HIV within 2 months of birth</v>
      </c>
      <c r="K777" s="374"/>
      <c r="L777" s="18"/>
      <c r="M777" s="375"/>
      <c r="N777" s="15"/>
      <c r="O777" s="15"/>
      <c r="P777" s="15"/>
      <c r="Q777" s="14" t="s">
        <v>4218</v>
      </c>
    </row>
    <row r="778" spans="4:17">
      <c r="D778" s="15" t="s">
        <v>6625</v>
      </c>
      <c r="E778" s="14" t="s">
        <v>2853</v>
      </c>
      <c r="F778" s="15" t="s">
        <v>1167</v>
      </c>
      <c r="G778" s="14"/>
      <c r="H778" s="15"/>
      <c r="I778" s="15"/>
      <c r="J778" s="14" t="str">
        <f t="shared" si="13"/>
        <v>VT-2 Percentage of HIV-exposed infants receiving a virological test for HIV within 2 months of birth</v>
      </c>
      <c r="K778" s="374"/>
      <c r="L778" s="18"/>
      <c r="M778" s="375"/>
      <c r="N778" s="15"/>
      <c r="O778" s="15"/>
      <c r="P778" s="15"/>
      <c r="Q778" s="14" t="s">
        <v>4219</v>
      </c>
    </row>
    <row r="779" spans="4:17">
      <c r="D779" s="15" t="s">
        <v>6626</v>
      </c>
      <c r="E779" s="14" t="s">
        <v>2853</v>
      </c>
      <c r="F779" s="15" t="s">
        <v>1167</v>
      </c>
      <c r="G779" s="14"/>
      <c r="H779" s="15"/>
      <c r="I779" s="15"/>
      <c r="J779" s="14" t="str">
        <f t="shared" si="13"/>
        <v>VT-2 Percentage of HIV-exposed infants receiving a virological test for HIV within 2 months of birth</v>
      </c>
      <c r="K779" s="374"/>
      <c r="L779" s="18"/>
      <c r="M779" s="375"/>
      <c r="N779" s="15"/>
      <c r="O779" s="15"/>
      <c r="P779" s="15"/>
      <c r="Q779" s="14" t="s">
        <v>4220</v>
      </c>
    </row>
    <row r="780" spans="4:17">
      <c r="D780" s="15" t="s">
        <v>6627</v>
      </c>
      <c r="E780" s="14" t="s">
        <v>2853</v>
      </c>
      <c r="F780" s="15" t="s">
        <v>1167</v>
      </c>
      <c r="G780" s="14"/>
      <c r="H780" s="15"/>
      <c r="I780" s="15"/>
      <c r="J780" s="14" t="str">
        <f t="shared" si="13"/>
        <v>VT-2 Percentage of HIV-exposed infants receiving a virological test for HIV within 2 months of birth</v>
      </c>
      <c r="K780" s="374"/>
      <c r="L780" s="18"/>
      <c r="M780" s="375"/>
      <c r="N780" s="15"/>
      <c r="O780" s="15"/>
      <c r="P780" s="15"/>
      <c r="Q780" s="14" t="s">
        <v>4221</v>
      </c>
    </row>
    <row r="781" spans="4:17">
      <c r="D781" s="15" t="s">
        <v>6628</v>
      </c>
      <c r="E781" s="14" t="s">
        <v>2853</v>
      </c>
      <c r="F781" s="15" t="s">
        <v>1167</v>
      </c>
      <c r="G781" s="14"/>
      <c r="H781" s="15"/>
      <c r="I781" s="15"/>
      <c r="J781" s="14" t="str">
        <f t="shared" si="13"/>
        <v>VT-2 Percentage of HIV-exposed infants receiving a virological test for HIV within 2 months of birth</v>
      </c>
      <c r="K781" s="374"/>
      <c r="L781" s="18"/>
      <c r="M781" s="375"/>
      <c r="N781" s="15"/>
      <c r="O781" s="15"/>
      <c r="P781" s="15"/>
      <c r="Q781" s="14" t="s">
        <v>4222</v>
      </c>
    </row>
    <row r="782" spans="4:17">
      <c r="D782" s="15" t="s">
        <v>6629</v>
      </c>
      <c r="E782" s="14" t="s">
        <v>2853</v>
      </c>
      <c r="F782" s="15" t="s">
        <v>1167</v>
      </c>
      <c r="G782" s="14"/>
      <c r="H782" s="15"/>
      <c r="I782" s="15"/>
      <c r="J782" s="14" t="str">
        <f t="shared" si="13"/>
        <v>VT-2 Percentage of HIV-exposed infants receiving a virological test for HIV within 2 months of birth</v>
      </c>
      <c r="K782" s="374"/>
      <c r="L782" s="18"/>
      <c r="M782" s="375"/>
      <c r="N782" s="15"/>
      <c r="O782" s="15"/>
      <c r="P782" s="15"/>
      <c r="Q782" s="14" t="s">
        <v>4223</v>
      </c>
    </row>
    <row r="783" spans="4:17">
      <c r="D783" s="15" t="s">
        <v>6630</v>
      </c>
      <c r="E783" s="14" t="s">
        <v>2853</v>
      </c>
      <c r="F783" s="15" t="s">
        <v>1167</v>
      </c>
      <c r="G783" s="14"/>
      <c r="H783" s="15"/>
      <c r="I783" s="15"/>
      <c r="J783" s="14" t="str">
        <f t="shared" si="13"/>
        <v>VT-2 Percentage of HIV-exposed infants receiving a virological test for HIV within 2 months of birth</v>
      </c>
      <c r="K783" s="374"/>
      <c r="L783" s="18"/>
      <c r="M783" s="375"/>
      <c r="N783" s="15"/>
      <c r="O783" s="15"/>
      <c r="P783" s="15"/>
      <c r="Q783" s="14" t="s">
        <v>4224</v>
      </c>
    </row>
    <row r="784" spans="4:17">
      <c r="D784" s="15" t="s">
        <v>6631</v>
      </c>
      <c r="E784" s="14" t="s">
        <v>2853</v>
      </c>
      <c r="F784" s="15" t="s">
        <v>1167</v>
      </c>
      <c r="G784" s="14"/>
      <c r="H784" s="15"/>
      <c r="I784" s="15"/>
      <c r="J784" s="14" t="str">
        <f t="shared" si="13"/>
        <v>VT-2 Percentage of HIV-exposed infants receiving a virological test for HIV within 2 months of birth</v>
      </c>
      <c r="K784" s="374"/>
      <c r="L784" s="18"/>
      <c r="M784" s="375"/>
      <c r="N784" s="15"/>
      <c r="O784" s="15"/>
      <c r="P784" s="15"/>
      <c r="Q784" s="14" t="s">
        <v>4225</v>
      </c>
    </row>
    <row r="785" spans="4:17">
      <c r="D785" s="15" t="s">
        <v>6632</v>
      </c>
      <c r="E785" s="14" t="s">
        <v>2853</v>
      </c>
      <c r="F785" s="15" t="s">
        <v>1167</v>
      </c>
      <c r="G785" s="14"/>
      <c r="H785" s="15"/>
      <c r="I785" s="15"/>
      <c r="J785" s="14" t="str">
        <f t="shared" si="13"/>
        <v>VT-2 Percentage of HIV-exposed infants receiving a virological test for HIV within 2 months of birth</v>
      </c>
      <c r="K785" s="374"/>
      <c r="L785" s="18"/>
      <c r="M785" s="375"/>
      <c r="N785" s="15"/>
      <c r="O785" s="15"/>
      <c r="P785" s="15"/>
      <c r="Q785" s="14" t="s">
        <v>4226</v>
      </c>
    </row>
    <row r="786" spans="4:17">
      <c r="D786" s="15" t="s">
        <v>6633</v>
      </c>
      <c r="E786" s="14" t="s">
        <v>2853</v>
      </c>
      <c r="F786" s="15" t="s">
        <v>1167</v>
      </c>
      <c r="G786" s="14"/>
      <c r="H786" s="15"/>
      <c r="I786" s="15"/>
      <c r="J786" s="14" t="str">
        <f t="shared" si="13"/>
        <v>VT-2 Percentage of HIV-exposed infants receiving a virological test for HIV within 2 months of birth</v>
      </c>
      <c r="K786" s="374"/>
      <c r="L786" s="18"/>
      <c r="M786" s="375"/>
      <c r="N786" s="15"/>
      <c r="O786" s="15"/>
      <c r="P786" s="15"/>
      <c r="Q786" s="14" t="s">
        <v>4227</v>
      </c>
    </row>
    <row r="787" spans="4:17">
      <c r="D787" s="15" t="s">
        <v>6634</v>
      </c>
      <c r="E787" s="14" t="s">
        <v>2853</v>
      </c>
      <c r="F787" s="15" t="s">
        <v>1167</v>
      </c>
      <c r="G787" s="14"/>
      <c r="H787" s="15"/>
      <c r="I787" s="15"/>
      <c r="J787" s="14" t="str">
        <f t="shared" si="13"/>
        <v>VT-2 Percentage of HIV-exposed infants receiving a virological test for HIV within 2 months of birth</v>
      </c>
      <c r="K787" s="374"/>
      <c r="L787" s="18"/>
      <c r="M787" s="375"/>
      <c r="N787" s="15"/>
      <c r="O787" s="15"/>
      <c r="P787" s="15"/>
      <c r="Q787" s="14" t="s">
        <v>4228</v>
      </c>
    </row>
    <row r="788" spans="4:17">
      <c r="D788" s="15" t="s">
        <v>6635</v>
      </c>
      <c r="E788" s="14" t="s">
        <v>2853</v>
      </c>
      <c r="F788" s="15" t="s">
        <v>1167</v>
      </c>
      <c r="G788" s="14"/>
      <c r="H788" s="15"/>
      <c r="I788" s="15"/>
      <c r="J788" s="14" t="str">
        <f t="shared" si="13"/>
        <v>VT-2 Percentage of HIV-exposed infants receiving a virological test for HIV within 2 months of birth</v>
      </c>
      <c r="K788" s="374"/>
      <c r="L788" s="18"/>
      <c r="M788" s="375"/>
      <c r="N788" s="15"/>
      <c r="O788" s="15"/>
      <c r="P788" s="15"/>
      <c r="Q788" s="14" t="s">
        <v>4229</v>
      </c>
    </row>
    <row r="789" spans="4:17">
      <c r="D789" s="15" t="s">
        <v>6636</v>
      </c>
      <c r="E789" s="14" t="s">
        <v>2853</v>
      </c>
      <c r="F789" s="15" t="s">
        <v>1167</v>
      </c>
      <c r="G789" s="14"/>
      <c r="H789" s="15"/>
      <c r="I789" s="15"/>
      <c r="J789" s="14" t="str">
        <f t="shared" si="13"/>
        <v>VT-2 Percentage of HIV-exposed infants receiving a virological test for HIV within 2 months of birth</v>
      </c>
      <c r="K789" s="374"/>
      <c r="L789" s="18"/>
      <c r="M789" s="375"/>
      <c r="N789" s="15"/>
      <c r="O789" s="15"/>
      <c r="P789" s="15"/>
      <c r="Q789" s="14" t="s">
        <v>4230</v>
      </c>
    </row>
    <row r="790" spans="4:17">
      <c r="D790" s="15" t="s">
        <v>6637</v>
      </c>
      <c r="E790" s="14" t="s">
        <v>2853</v>
      </c>
      <c r="F790" s="15" t="s">
        <v>1167</v>
      </c>
      <c r="G790" s="14"/>
      <c r="H790" s="15"/>
      <c r="I790" s="15"/>
      <c r="J790" s="14" t="str">
        <f t="shared" si="13"/>
        <v>VT-2 Percentage of HIV-exposed infants receiving a virological test for HIV within 2 months of birth</v>
      </c>
      <c r="K790" s="374"/>
      <c r="L790" s="18"/>
      <c r="M790" s="375"/>
      <c r="N790" s="15"/>
      <c r="O790" s="15"/>
      <c r="P790" s="15"/>
      <c r="Q790" s="14" t="s">
        <v>4231</v>
      </c>
    </row>
    <row r="791" spans="4:17">
      <c r="D791" s="15" t="s">
        <v>6638</v>
      </c>
      <c r="E791" s="14" t="s">
        <v>2860</v>
      </c>
      <c r="F791" s="15" t="s">
        <v>1170</v>
      </c>
      <c r="G791" s="14"/>
      <c r="H791" s="15"/>
      <c r="I791" s="15"/>
      <c r="J791" s="14" t="str">
        <f t="shared" si="13"/>
        <v>VT-3 Percentage of women accessing antenatal care services who were tested for syphilis</v>
      </c>
      <c r="K791" s="374"/>
      <c r="L791" s="18"/>
      <c r="M791" s="375"/>
      <c r="N791" s="15"/>
      <c r="O791" s="15"/>
      <c r="P791" s="15"/>
      <c r="Q791" s="14" t="s">
        <v>4232</v>
      </c>
    </row>
    <row r="792" spans="4:17">
      <c r="D792" s="15" t="s">
        <v>6639</v>
      </c>
      <c r="E792" s="14" t="s">
        <v>2860</v>
      </c>
      <c r="F792" s="15" t="s">
        <v>1170</v>
      </c>
      <c r="G792" s="14"/>
      <c r="H792" s="15"/>
      <c r="I792" s="15"/>
      <c r="J792" s="14" t="str">
        <f t="shared" si="13"/>
        <v>VT-3 Percentage of women accessing antenatal care services who were tested for syphilis</v>
      </c>
      <c r="K792" s="374"/>
      <c r="L792" s="18"/>
      <c r="M792" s="375"/>
      <c r="N792" s="15"/>
      <c r="O792" s="15"/>
      <c r="P792" s="15"/>
      <c r="Q792" s="14" t="s">
        <v>4233</v>
      </c>
    </row>
    <row r="793" spans="4:17">
      <c r="D793" s="15" t="s">
        <v>6640</v>
      </c>
      <c r="E793" s="14" t="s">
        <v>2860</v>
      </c>
      <c r="F793" s="15" t="s">
        <v>1170</v>
      </c>
      <c r="G793" s="14"/>
      <c r="H793" s="15"/>
      <c r="I793" s="15"/>
      <c r="J793" s="14" t="str">
        <f t="shared" si="13"/>
        <v>VT-3 Percentage of women accessing antenatal care services who were tested for syphilis</v>
      </c>
      <c r="K793" s="374"/>
      <c r="L793" s="18"/>
      <c r="M793" s="375"/>
      <c r="N793" s="15"/>
      <c r="O793" s="15"/>
      <c r="P793" s="15"/>
      <c r="Q793" s="14" t="s">
        <v>4234</v>
      </c>
    </row>
    <row r="794" spans="4:17">
      <c r="D794" s="15" t="s">
        <v>6641</v>
      </c>
      <c r="E794" s="14" t="s">
        <v>2860</v>
      </c>
      <c r="F794" s="15" t="s">
        <v>1170</v>
      </c>
      <c r="G794" s="14"/>
      <c r="H794" s="15"/>
      <c r="I794" s="15"/>
      <c r="J794" s="14" t="str">
        <f t="shared" si="13"/>
        <v>VT-3 Percentage of women accessing antenatal care services who were tested for syphilis</v>
      </c>
      <c r="K794" s="374"/>
      <c r="L794" s="18"/>
      <c r="M794" s="375"/>
      <c r="N794" s="15"/>
      <c r="O794" s="15"/>
      <c r="P794" s="15"/>
      <c r="Q794" s="14" t="s">
        <v>4235</v>
      </c>
    </row>
    <row r="795" spans="4:17">
      <c r="D795" s="15" t="s">
        <v>6642</v>
      </c>
      <c r="E795" s="14" t="s">
        <v>2860</v>
      </c>
      <c r="F795" s="15" t="s">
        <v>1170</v>
      </c>
      <c r="G795" s="14"/>
      <c r="H795" s="15"/>
      <c r="I795" s="15"/>
      <c r="J795" s="14" t="str">
        <f t="shared" si="13"/>
        <v>VT-3 Percentage of women accessing antenatal care services who were tested for syphilis</v>
      </c>
      <c r="K795" s="374"/>
      <c r="L795" s="18"/>
      <c r="M795" s="375"/>
      <c r="N795" s="15"/>
      <c r="O795" s="15"/>
      <c r="P795" s="15"/>
      <c r="Q795" s="14" t="s">
        <v>4236</v>
      </c>
    </row>
    <row r="796" spans="4:17">
      <c r="D796" s="15" t="s">
        <v>6643</v>
      </c>
      <c r="E796" s="14" t="s">
        <v>2860</v>
      </c>
      <c r="F796" s="15" t="s">
        <v>1170</v>
      </c>
      <c r="G796" s="14"/>
      <c r="H796" s="15"/>
      <c r="I796" s="15"/>
      <c r="J796" s="14" t="str">
        <f t="shared" si="13"/>
        <v>VT-3 Percentage of women accessing antenatal care services who were tested for syphilis</v>
      </c>
      <c r="K796" s="374"/>
      <c r="L796" s="18"/>
      <c r="M796" s="375"/>
      <c r="N796" s="15"/>
      <c r="O796" s="15"/>
      <c r="P796" s="15"/>
      <c r="Q796" s="14" t="s">
        <v>4237</v>
      </c>
    </row>
    <row r="797" spans="4:17">
      <c r="D797" s="15" t="s">
        <v>6644</v>
      </c>
      <c r="E797" s="14" t="s">
        <v>2860</v>
      </c>
      <c r="F797" s="15" t="s">
        <v>1170</v>
      </c>
      <c r="G797" s="14"/>
      <c r="H797" s="15"/>
      <c r="I797" s="15"/>
      <c r="J797" s="14" t="str">
        <f t="shared" si="13"/>
        <v>VT-3 Percentage of women accessing antenatal care services who were tested for syphilis</v>
      </c>
      <c r="K797" s="374"/>
      <c r="L797" s="18"/>
      <c r="M797" s="375"/>
      <c r="N797" s="15"/>
      <c r="O797" s="15"/>
      <c r="P797" s="15"/>
      <c r="Q797" s="14" t="s">
        <v>4238</v>
      </c>
    </row>
    <row r="798" spans="4:17">
      <c r="D798" s="15" t="s">
        <v>6645</v>
      </c>
      <c r="E798" s="14" t="s">
        <v>2860</v>
      </c>
      <c r="F798" s="15" t="s">
        <v>1170</v>
      </c>
      <c r="G798" s="14"/>
      <c r="H798" s="15"/>
      <c r="I798" s="15"/>
      <c r="J798" s="14" t="str">
        <f t="shared" si="13"/>
        <v>VT-3 Percentage of women accessing antenatal care services who were tested for syphilis</v>
      </c>
      <c r="K798" s="374"/>
      <c r="L798" s="18"/>
      <c r="M798" s="375"/>
      <c r="N798" s="15"/>
      <c r="O798" s="15"/>
      <c r="P798" s="15"/>
      <c r="Q798" s="14" t="s">
        <v>4239</v>
      </c>
    </row>
    <row r="799" spans="4:17">
      <c r="D799" s="15" t="s">
        <v>6646</v>
      </c>
      <c r="E799" s="14" t="s">
        <v>2860</v>
      </c>
      <c r="F799" s="15" t="s">
        <v>1170</v>
      </c>
      <c r="G799" s="14"/>
      <c r="H799" s="15"/>
      <c r="I799" s="15"/>
      <c r="J799" s="14" t="str">
        <f t="shared" si="13"/>
        <v>VT-3 Percentage of women accessing antenatal care services who were tested for syphilis</v>
      </c>
      <c r="K799" s="374"/>
      <c r="L799" s="18"/>
      <c r="M799" s="375"/>
      <c r="N799" s="15"/>
      <c r="O799" s="15"/>
      <c r="P799" s="15"/>
      <c r="Q799" s="14" t="s">
        <v>4240</v>
      </c>
    </row>
    <row r="800" spans="4:17">
      <c r="D800" s="15" t="s">
        <v>6647</v>
      </c>
      <c r="E800" s="14" t="s">
        <v>2860</v>
      </c>
      <c r="F800" s="15" t="s">
        <v>1170</v>
      </c>
      <c r="G800" s="14"/>
      <c r="H800" s="15"/>
      <c r="I800" s="15"/>
      <c r="J800" s="14" t="str">
        <f t="shared" si="13"/>
        <v>VT-3 Percentage of women accessing antenatal care services who were tested for syphilis</v>
      </c>
      <c r="K800" s="374"/>
      <c r="L800" s="18"/>
      <c r="M800" s="375"/>
      <c r="N800" s="15"/>
      <c r="O800" s="15"/>
      <c r="P800" s="15"/>
      <c r="Q800" s="14" t="s">
        <v>4241</v>
      </c>
    </row>
    <row r="801" spans="4:17">
      <c r="D801" s="15" t="s">
        <v>6648</v>
      </c>
      <c r="E801" s="14" t="s">
        <v>2860</v>
      </c>
      <c r="F801" s="15" t="s">
        <v>1170</v>
      </c>
      <c r="G801" s="14"/>
      <c r="H801" s="15"/>
      <c r="I801" s="15"/>
      <c r="J801" s="14" t="str">
        <f t="shared" si="13"/>
        <v>VT-3 Percentage of women accessing antenatal care services who were tested for syphilis</v>
      </c>
      <c r="K801" s="374"/>
      <c r="L801" s="18"/>
      <c r="M801" s="375"/>
      <c r="N801" s="15"/>
      <c r="O801" s="15"/>
      <c r="P801" s="15"/>
      <c r="Q801" s="14" t="s">
        <v>4242</v>
      </c>
    </row>
    <row r="802" spans="4:17">
      <c r="D802" s="15" t="s">
        <v>6649</v>
      </c>
      <c r="E802" s="14" t="s">
        <v>2860</v>
      </c>
      <c r="F802" s="15" t="s">
        <v>1170</v>
      </c>
      <c r="G802" s="14"/>
      <c r="H802" s="15"/>
      <c r="I802" s="15"/>
      <c r="J802" s="14" t="str">
        <f t="shared" si="13"/>
        <v>VT-3 Percentage of women accessing antenatal care services who were tested for syphilis</v>
      </c>
      <c r="K802" s="374"/>
      <c r="L802" s="18"/>
      <c r="M802" s="375"/>
      <c r="N802" s="15"/>
      <c r="O802" s="15"/>
      <c r="P802" s="15"/>
      <c r="Q802" s="14" t="s">
        <v>4243</v>
      </c>
    </row>
    <row r="803" spans="4:17">
      <c r="D803" s="15" t="s">
        <v>6650</v>
      </c>
      <c r="E803" s="14" t="s">
        <v>2860</v>
      </c>
      <c r="F803" s="15" t="s">
        <v>1170</v>
      </c>
      <c r="G803" s="14"/>
      <c r="H803" s="15"/>
      <c r="I803" s="15"/>
      <c r="J803" s="14" t="str">
        <f t="shared" si="13"/>
        <v>VT-3 Percentage of women accessing antenatal care services who were tested for syphilis</v>
      </c>
      <c r="K803" s="374"/>
      <c r="L803" s="18"/>
      <c r="M803" s="375"/>
      <c r="N803" s="15"/>
      <c r="O803" s="15"/>
      <c r="P803" s="15"/>
      <c r="Q803" s="14" t="s">
        <v>4244</v>
      </c>
    </row>
    <row r="804" spans="4:17">
      <c r="D804" s="15" t="s">
        <v>6651</v>
      </c>
      <c r="E804" s="14" t="s">
        <v>2860</v>
      </c>
      <c r="F804" s="15" t="s">
        <v>1170</v>
      </c>
      <c r="G804" s="14"/>
      <c r="H804" s="15"/>
      <c r="I804" s="15"/>
      <c r="J804" s="14" t="str">
        <f t="shared" si="13"/>
        <v>VT-3 Percentage of women accessing antenatal care services who were tested for syphilis</v>
      </c>
      <c r="K804" s="374"/>
      <c r="L804" s="18"/>
      <c r="M804" s="375"/>
      <c r="N804" s="15"/>
      <c r="O804" s="15"/>
      <c r="P804" s="15"/>
      <c r="Q804" s="14" t="s">
        <v>4245</v>
      </c>
    </row>
    <row r="805" spans="4:17">
      <c r="D805" s="15" t="s">
        <v>6652</v>
      </c>
      <c r="E805" s="14" t="s">
        <v>2860</v>
      </c>
      <c r="F805" s="15" t="s">
        <v>1170</v>
      </c>
      <c r="G805" s="14"/>
      <c r="H805" s="15"/>
      <c r="I805" s="15"/>
      <c r="J805" s="14" t="str">
        <f t="shared" si="13"/>
        <v>VT-3 Percentage of women accessing antenatal care services who were tested for syphilis</v>
      </c>
      <c r="K805" s="374"/>
      <c r="L805" s="18"/>
      <c r="M805" s="375"/>
      <c r="N805" s="15"/>
      <c r="O805" s="15"/>
      <c r="P805" s="15"/>
      <c r="Q805" s="14" t="s">
        <v>4246</v>
      </c>
    </row>
    <row r="806" spans="4:17">
      <c r="D806" s="15" t="s">
        <v>6653</v>
      </c>
      <c r="E806" s="14" t="s">
        <v>2860</v>
      </c>
      <c r="F806" s="15" t="s">
        <v>1170</v>
      </c>
      <c r="G806" s="14"/>
      <c r="H806" s="15"/>
      <c r="I806" s="15"/>
      <c r="J806" s="14" t="str">
        <f t="shared" si="13"/>
        <v>VT-3 Percentage of women accessing antenatal care services who were tested for syphilis</v>
      </c>
      <c r="K806" s="374"/>
      <c r="L806" s="18"/>
      <c r="M806" s="375"/>
      <c r="N806" s="15"/>
      <c r="O806" s="15"/>
      <c r="P806" s="15"/>
      <c r="Q806" s="14" t="s">
        <v>4247</v>
      </c>
    </row>
    <row r="807" spans="4:17">
      <c r="D807" s="15" t="s">
        <v>6654</v>
      </c>
      <c r="E807" s="14" t="s">
        <v>2860</v>
      </c>
      <c r="F807" s="15" t="s">
        <v>1170</v>
      </c>
      <c r="G807" s="14"/>
      <c r="H807" s="15"/>
      <c r="I807" s="15"/>
      <c r="J807" s="14" t="str">
        <f t="shared" si="13"/>
        <v>VT-3 Percentage of women accessing antenatal care services who were tested for syphilis</v>
      </c>
      <c r="K807" s="374"/>
      <c r="L807" s="18"/>
      <c r="M807" s="375"/>
      <c r="N807" s="15"/>
      <c r="O807" s="15"/>
      <c r="P807" s="15"/>
      <c r="Q807" s="14" t="s">
        <v>4248</v>
      </c>
    </row>
    <row r="808" spans="4:17">
      <c r="D808" s="15" t="s">
        <v>6655</v>
      </c>
      <c r="E808" s="14" t="s">
        <v>2860</v>
      </c>
      <c r="F808" s="15" t="s">
        <v>1170</v>
      </c>
      <c r="G808" s="14"/>
      <c r="H808" s="15"/>
      <c r="I808" s="15"/>
      <c r="J808" s="14" t="str">
        <f t="shared" si="13"/>
        <v>VT-3 Percentage of women accessing antenatal care services who were tested for syphilis</v>
      </c>
      <c r="K808" s="374"/>
      <c r="L808" s="18"/>
      <c r="M808" s="375"/>
      <c r="N808" s="15"/>
      <c r="O808" s="15"/>
      <c r="P808" s="15"/>
      <c r="Q808" s="14" t="s">
        <v>4249</v>
      </c>
    </row>
    <row r="809" spans="4:17">
      <c r="D809" s="15" t="s">
        <v>6656</v>
      </c>
      <c r="E809" s="14" t="s">
        <v>2860</v>
      </c>
      <c r="F809" s="15" t="s">
        <v>1170</v>
      </c>
      <c r="G809" s="14"/>
      <c r="H809" s="15"/>
      <c r="I809" s="15"/>
      <c r="J809" s="14" t="str">
        <f t="shared" si="13"/>
        <v>VT-3 Percentage of women accessing antenatal care services who were tested for syphilis</v>
      </c>
      <c r="K809" s="374"/>
      <c r="L809" s="18"/>
      <c r="M809" s="375"/>
      <c r="N809" s="15"/>
      <c r="O809" s="15"/>
      <c r="P809" s="15"/>
      <c r="Q809" s="14" t="s">
        <v>4250</v>
      </c>
    </row>
    <row r="810" spans="4:17">
      <c r="D810" s="15" t="s">
        <v>6657</v>
      </c>
      <c r="E810" s="14" t="s">
        <v>2860</v>
      </c>
      <c r="F810" s="15" t="s">
        <v>1170</v>
      </c>
      <c r="G810" s="14"/>
      <c r="H810" s="15"/>
      <c r="I810" s="15"/>
      <c r="J810" s="14" t="str">
        <f t="shared" si="13"/>
        <v>VT-3 Percentage of women accessing antenatal care services who were tested for syphilis</v>
      </c>
      <c r="K810" s="374"/>
      <c r="L810" s="18"/>
      <c r="M810" s="375"/>
      <c r="N810" s="15"/>
      <c r="O810" s="15"/>
      <c r="P810" s="15"/>
      <c r="Q810" s="14" t="s">
        <v>4251</v>
      </c>
    </row>
    <row r="811" spans="4:17">
      <c r="D811" s="15" t="s">
        <v>6658</v>
      </c>
      <c r="E811" s="14" t="s">
        <v>2804</v>
      </c>
      <c r="F811" s="15" t="s">
        <v>1176</v>
      </c>
      <c r="G811" s="14"/>
      <c r="H811" s="15" t="s">
        <v>849</v>
      </c>
      <c r="I811" s="15" t="s">
        <v>3167</v>
      </c>
      <c r="J811" s="14" t="str">
        <f t="shared" si="13"/>
        <v>HTS-3a Percentage of MSM that have received an HIV test during the reporting period in KP-specific programs and know their resultsAge25+</v>
      </c>
      <c r="K811" s="374"/>
      <c r="L811" s="18"/>
      <c r="M811" s="375"/>
      <c r="N811" s="15"/>
      <c r="O811" s="15"/>
      <c r="P811" s="15"/>
      <c r="Q811" s="14" t="s">
        <v>4018</v>
      </c>
    </row>
    <row r="812" spans="4:17">
      <c r="D812" s="15" t="s">
        <v>6659</v>
      </c>
      <c r="E812" s="14" t="s">
        <v>2804</v>
      </c>
      <c r="F812" s="15" t="s">
        <v>1176</v>
      </c>
      <c r="G812" s="14"/>
      <c r="H812" s="15" t="s">
        <v>849</v>
      </c>
      <c r="I812" s="15" t="s">
        <v>3735</v>
      </c>
      <c r="J812" s="14" t="str">
        <f t="shared" si="13"/>
        <v>HTS-3a Percentage of MSM that have received an HIV test during the reporting period in KP-specific programs and know their resultsAge20-24</v>
      </c>
      <c r="K812" s="374"/>
      <c r="L812" s="18"/>
      <c r="M812" s="375"/>
      <c r="N812" s="15"/>
      <c r="O812" s="15"/>
      <c r="P812" s="15"/>
      <c r="Q812" s="14" t="s">
        <v>4021</v>
      </c>
    </row>
    <row r="813" spans="4:17">
      <c r="D813" s="15" t="s">
        <v>6660</v>
      </c>
      <c r="E813" s="14" t="s">
        <v>2804</v>
      </c>
      <c r="F813" s="15" t="s">
        <v>1176</v>
      </c>
      <c r="G813" s="14"/>
      <c r="H813" s="15" t="s">
        <v>849</v>
      </c>
      <c r="I813" s="15" t="s">
        <v>3739</v>
      </c>
      <c r="J813" s="14" t="str">
        <f t="shared" si="13"/>
        <v>HTS-3a Percentage of MSM that have received an HIV test during the reporting period in KP-specific programs and know their resultsAge15-19</v>
      </c>
      <c r="K813" s="374"/>
      <c r="L813" s="18"/>
      <c r="M813" s="375"/>
      <c r="N813" s="15"/>
      <c r="O813" s="15"/>
      <c r="P813" s="15"/>
      <c r="Q813" s="14" t="s">
        <v>4024</v>
      </c>
    </row>
    <row r="814" spans="4:17">
      <c r="D814" s="15" t="s">
        <v>6661</v>
      </c>
      <c r="E814" s="14" t="s">
        <v>2804</v>
      </c>
      <c r="F814" s="15" t="s">
        <v>1176</v>
      </c>
      <c r="G814" s="14"/>
      <c r="H814" s="15"/>
      <c r="I814" s="15"/>
      <c r="J814" s="14" t="str">
        <f t="shared" si="13"/>
        <v>HTS-3a Percentage of MSM that have received an HIV test during the reporting period in KP-specific programs and know their results</v>
      </c>
      <c r="K814" s="374"/>
      <c r="L814" s="18"/>
      <c r="M814" s="375"/>
      <c r="N814" s="15"/>
      <c r="O814" s="15"/>
      <c r="P814" s="15"/>
      <c r="Q814" s="14" t="s">
        <v>4027</v>
      </c>
    </row>
    <row r="815" spans="4:17">
      <c r="D815" s="15" t="s">
        <v>6662</v>
      </c>
      <c r="E815" s="14" t="s">
        <v>2804</v>
      </c>
      <c r="F815" s="15" t="s">
        <v>1176</v>
      </c>
      <c r="G815" s="14"/>
      <c r="H815" s="15"/>
      <c r="I815" s="15"/>
      <c r="J815" s="14" t="str">
        <f t="shared" si="13"/>
        <v>HTS-3a Percentage of MSM that have received an HIV test during the reporting period in KP-specific programs and know their results</v>
      </c>
      <c r="K815" s="374"/>
      <c r="L815" s="18"/>
      <c r="M815" s="375"/>
      <c r="N815" s="15"/>
      <c r="O815" s="15"/>
      <c r="P815" s="15"/>
      <c r="Q815" s="14" t="s">
        <v>4028</v>
      </c>
    </row>
    <row r="816" spans="4:17">
      <c r="D816" s="15" t="s">
        <v>6663</v>
      </c>
      <c r="E816" s="14" t="s">
        <v>2804</v>
      </c>
      <c r="F816" s="15" t="s">
        <v>1176</v>
      </c>
      <c r="G816" s="14"/>
      <c r="H816" s="15"/>
      <c r="I816" s="15"/>
      <c r="J816" s="14" t="str">
        <f t="shared" si="13"/>
        <v>HTS-3a Percentage of MSM that have received an HIV test during the reporting period in KP-specific programs and know their results</v>
      </c>
      <c r="K816" s="374"/>
      <c r="L816" s="18"/>
      <c r="M816" s="375"/>
      <c r="N816" s="15"/>
      <c r="O816" s="15"/>
      <c r="P816" s="15"/>
      <c r="Q816" s="14" t="s">
        <v>4029</v>
      </c>
    </row>
    <row r="817" spans="4:17">
      <c r="D817" s="15" t="s">
        <v>6664</v>
      </c>
      <c r="E817" s="14" t="s">
        <v>2804</v>
      </c>
      <c r="F817" s="15" t="s">
        <v>1176</v>
      </c>
      <c r="G817" s="14"/>
      <c r="H817" s="15"/>
      <c r="I817" s="15"/>
      <c r="J817" s="14" t="str">
        <f t="shared" si="13"/>
        <v>HTS-3a Percentage of MSM that have received an HIV test during the reporting period in KP-specific programs and know their results</v>
      </c>
      <c r="K817" s="374"/>
      <c r="L817" s="18"/>
      <c r="M817" s="375"/>
      <c r="N817" s="15"/>
      <c r="O817" s="15"/>
      <c r="P817" s="15"/>
      <c r="Q817" s="14" t="s">
        <v>4030</v>
      </c>
    </row>
    <row r="818" spans="4:17">
      <c r="D818" s="15" t="s">
        <v>6665</v>
      </c>
      <c r="E818" s="14" t="s">
        <v>2804</v>
      </c>
      <c r="F818" s="15" t="s">
        <v>1176</v>
      </c>
      <c r="G818" s="14"/>
      <c r="H818" s="15"/>
      <c r="I818" s="15"/>
      <c r="J818" s="14" t="str">
        <f t="shared" si="13"/>
        <v>HTS-3a Percentage of MSM that have received an HIV test during the reporting period in KP-specific programs and know their results</v>
      </c>
      <c r="K818" s="374"/>
      <c r="L818" s="18"/>
      <c r="M818" s="375"/>
      <c r="N818" s="15"/>
      <c r="O818" s="15"/>
      <c r="P818" s="15"/>
      <c r="Q818" s="14" t="s">
        <v>4031</v>
      </c>
    </row>
    <row r="819" spans="4:17">
      <c r="D819" s="15" t="s">
        <v>6666</v>
      </c>
      <c r="E819" s="14" t="s">
        <v>2804</v>
      </c>
      <c r="F819" s="15" t="s">
        <v>1176</v>
      </c>
      <c r="G819" s="14"/>
      <c r="H819" s="15"/>
      <c r="I819" s="15"/>
      <c r="J819" s="14" t="str">
        <f t="shared" si="13"/>
        <v>HTS-3a Percentage of MSM that have received an HIV test during the reporting period in KP-specific programs and know their results</v>
      </c>
      <c r="K819" s="374"/>
      <c r="L819" s="18"/>
      <c r="M819" s="375"/>
      <c r="N819" s="15"/>
      <c r="O819" s="15"/>
      <c r="P819" s="15"/>
      <c r="Q819" s="14" t="s">
        <v>4032</v>
      </c>
    </row>
    <row r="820" spans="4:17">
      <c r="D820" s="15" t="s">
        <v>6667</v>
      </c>
      <c r="E820" s="14" t="s">
        <v>2804</v>
      </c>
      <c r="F820" s="15" t="s">
        <v>1176</v>
      </c>
      <c r="G820" s="14"/>
      <c r="H820" s="15"/>
      <c r="I820" s="15"/>
      <c r="J820" s="14" t="str">
        <f t="shared" si="13"/>
        <v>HTS-3a Percentage of MSM that have received an HIV test during the reporting period in KP-specific programs and know their results</v>
      </c>
      <c r="K820" s="374"/>
      <c r="L820" s="18"/>
      <c r="M820" s="375"/>
      <c r="N820" s="15"/>
      <c r="O820" s="15"/>
      <c r="P820" s="15"/>
      <c r="Q820" s="14" t="s">
        <v>4033</v>
      </c>
    </row>
    <row r="821" spans="4:17">
      <c r="D821" s="15" t="s">
        <v>6668</v>
      </c>
      <c r="E821" s="14" t="s">
        <v>2804</v>
      </c>
      <c r="F821" s="15" t="s">
        <v>1176</v>
      </c>
      <c r="G821" s="14"/>
      <c r="H821" s="15"/>
      <c r="I821" s="15"/>
      <c r="J821" s="14" t="str">
        <f t="shared" si="13"/>
        <v>HTS-3a Percentage of MSM that have received an HIV test during the reporting period in KP-specific programs and know their results</v>
      </c>
      <c r="K821" s="374"/>
      <c r="L821" s="18"/>
      <c r="M821" s="375"/>
      <c r="N821" s="15"/>
      <c r="O821" s="15"/>
      <c r="P821" s="15"/>
      <c r="Q821" s="14" t="s">
        <v>4034</v>
      </c>
    </row>
    <row r="822" spans="4:17">
      <c r="D822" s="15" t="s">
        <v>6669</v>
      </c>
      <c r="E822" s="14" t="s">
        <v>2804</v>
      </c>
      <c r="F822" s="15" t="s">
        <v>1176</v>
      </c>
      <c r="G822" s="14"/>
      <c r="H822" s="15"/>
      <c r="I822" s="15"/>
      <c r="J822" s="14" t="str">
        <f t="shared" si="13"/>
        <v>HTS-3a Percentage of MSM that have received an HIV test during the reporting period in KP-specific programs and know their results</v>
      </c>
      <c r="K822" s="374"/>
      <c r="L822" s="18"/>
      <c r="M822" s="375"/>
      <c r="N822" s="15"/>
      <c r="O822" s="15"/>
      <c r="P822" s="15"/>
      <c r="Q822" s="14" t="s">
        <v>4035</v>
      </c>
    </row>
    <row r="823" spans="4:17">
      <c r="D823" s="15" t="s">
        <v>6670</v>
      </c>
      <c r="E823" s="14" t="s">
        <v>2804</v>
      </c>
      <c r="F823" s="15" t="s">
        <v>1176</v>
      </c>
      <c r="G823" s="14"/>
      <c r="H823" s="15"/>
      <c r="I823" s="15"/>
      <c r="J823" s="14" t="str">
        <f t="shared" si="13"/>
        <v>HTS-3a Percentage of MSM that have received an HIV test during the reporting period in KP-specific programs and know their results</v>
      </c>
      <c r="K823" s="374"/>
      <c r="L823" s="18"/>
      <c r="M823" s="375"/>
      <c r="N823" s="15"/>
      <c r="O823" s="15"/>
      <c r="P823" s="15"/>
      <c r="Q823" s="14" t="s">
        <v>4036</v>
      </c>
    </row>
    <row r="824" spans="4:17">
      <c r="D824" s="15" t="s">
        <v>6671</v>
      </c>
      <c r="E824" s="14" t="s">
        <v>2804</v>
      </c>
      <c r="F824" s="15" t="s">
        <v>1176</v>
      </c>
      <c r="G824" s="14"/>
      <c r="H824" s="15"/>
      <c r="I824" s="15"/>
      <c r="J824" s="14" t="str">
        <f t="shared" si="13"/>
        <v>HTS-3a Percentage of MSM that have received an HIV test during the reporting period in KP-specific programs and know their results</v>
      </c>
      <c r="K824" s="374"/>
      <c r="L824" s="18"/>
      <c r="M824" s="375"/>
      <c r="N824" s="15"/>
      <c r="O824" s="15"/>
      <c r="P824" s="15"/>
      <c r="Q824" s="14" t="s">
        <v>4037</v>
      </c>
    </row>
    <row r="825" spans="4:17">
      <c r="D825" s="15" t="s">
        <v>6672</v>
      </c>
      <c r="E825" s="14" t="s">
        <v>2804</v>
      </c>
      <c r="F825" s="15" t="s">
        <v>1176</v>
      </c>
      <c r="G825" s="14"/>
      <c r="H825" s="15"/>
      <c r="I825" s="15"/>
      <c r="J825" s="14" t="str">
        <f t="shared" si="13"/>
        <v>HTS-3a Percentage of MSM that have received an HIV test during the reporting period in KP-specific programs and know their results</v>
      </c>
      <c r="K825" s="374"/>
      <c r="L825" s="18"/>
      <c r="M825" s="375"/>
      <c r="N825" s="15"/>
      <c r="O825" s="15"/>
      <c r="P825" s="15"/>
      <c r="Q825" s="14" t="s">
        <v>4038</v>
      </c>
    </row>
    <row r="826" spans="4:17">
      <c r="D826" s="15" t="s">
        <v>6673</v>
      </c>
      <c r="E826" s="14" t="s">
        <v>2804</v>
      </c>
      <c r="F826" s="15" t="s">
        <v>1176</v>
      </c>
      <c r="G826" s="14"/>
      <c r="H826" s="15"/>
      <c r="I826" s="15"/>
      <c r="J826" s="14" t="str">
        <f t="shared" si="13"/>
        <v>HTS-3a Percentage of MSM that have received an HIV test during the reporting period in KP-specific programs and know their results</v>
      </c>
      <c r="K826" s="374"/>
      <c r="L826" s="18"/>
      <c r="M826" s="375"/>
      <c r="N826" s="15"/>
      <c r="O826" s="15"/>
      <c r="P826" s="15"/>
      <c r="Q826" s="14" t="s">
        <v>4039</v>
      </c>
    </row>
    <row r="827" spans="4:17">
      <c r="D827" s="15" t="s">
        <v>6674</v>
      </c>
      <c r="E827" s="14" t="s">
        <v>2804</v>
      </c>
      <c r="F827" s="15" t="s">
        <v>1176</v>
      </c>
      <c r="G827" s="14"/>
      <c r="H827" s="15"/>
      <c r="I827" s="15"/>
      <c r="J827" s="14" t="str">
        <f t="shared" si="13"/>
        <v>HTS-3a Percentage of MSM that have received an HIV test during the reporting period in KP-specific programs and know their results</v>
      </c>
      <c r="K827" s="374"/>
      <c r="L827" s="18"/>
      <c r="M827" s="375"/>
      <c r="N827" s="15"/>
      <c r="O827" s="15"/>
      <c r="P827" s="15"/>
      <c r="Q827" s="14" t="s">
        <v>4040</v>
      </c>
    </row>
    <row r="828" spans="4:17">
      <c r="D828" s="15" t="s">
        <v>6675</v>
      </c>
      <c r="E828" s="14" t="s">
        <v>2804</v>
      </c>
      <c r="F828" s="15" t="s">
        <v>1176</v>
      </c>
      <c r="G828" s="14"/>
      <c r="H828" s="15"/>
      <c r="I828" s="15"/>
      <c r="J828" s="14" t="str">
        <f t="shared" ref="J828:J891" si="14">F828&amp;H828&amp;I828</f>
        <v>HTS-3a Percentage of MSM that have received an HIV test during the reporting period in KP-specific programs and know their results</v>
      </c>
      <c r="K828" s="374"/>
      <c r="L828" s="18"/>
      <c r="M828" s="375"/>
      <c r="N828" s="15"/>
      <c r="O828" s="15"/>
      <c r="P828" s="15"/>
      <c r="Q828" s="14" t="s">
        <v>4041</v>
      </c>
    </row>
    <row r="829" spans="4:17">
      <c r="D829" s="15" t="s">
        <v>6676</v>
      </c>
      <c r="E829" s="14" t="s">
        <v>2804</v>
      </c>
      <c r="F829" s="15" t="s">
        <v>1176</v>
      </c>
      <c r="G829" s="14"/>
      <c r="H829" s="15"/>
      <c r="I829" s="15"/>
      <c r="J829" s="14" t="str">
        <f t="shared" si="14"/>
        <v>HTS-3a Percentage of MSM that have received an HIV test during the reporting period in KP-specific programs and know their results</v>
      </c>
      <c r="K829" s="374"/>
      <c r="L829" s="18"/>
      <c r="M829" s="375"/>
      <c r="N829" s="15"/>
      <c r="O829" s="15"/>
      <c r="P829" s="15"/>
      <c r="Q829" s="14" t="s">
        <v>4042</v>
      </c>
    </row>
    <row r="830" spans="4:17">
      <c r="D830" s="15" t="s">
        <v>6677</v>
      </c>
      <c r="E830" s="14" t="s">
        <v>2804</v>
      </c>
      <c r="F830" s="15" t="s">
        <v>1176</v>
      </c>
      <c r="G830" s="14"/>
      <c r="H830" s="15"/>
      <c r="I830" s="15"/>
      <c r="J830" s="14" t="str">
        <f t="shared" si="14"/>
        <v>HTS-3a Percentage of MSM that have received an HIV test during the reporting period in KP-specific programs and know their results</v>
      </c>
      <c r="K830" s="374"/>
      <c r="L830" s="18"/>
      <c r="M830" s="375"/>
      <c r="N830" s="15"/>
      <c r="O830" s="15"/>
      <c r="P830" s="15"/>
      <c r="Q830" s="14" t="s">
        <v>4043</v>
      </c>
    </row>
    <row r="831" spans="4:17">
      <c r="D831" s="15" t="s">
        <v>6678</v>
      </c>
      <c r="E831" s="14" t="s">
        <v>2811</v>
      </c>
      <c r="F831" s="15" t="s">
        <v>1179</v>
      </c>
      <c r="G831" s="14"/>
      <c r="H831" s="15" t="s">
        <v>849</v>
      </c>
      <c r="I831" s="15" t="s">
        <v>3167</v>
      </c>
      <c r="J831" s="14" t="str">
        <f t="shared" si="14"/>
        <v>HTS-3b Percentage of TG that have received an HIV test during the reporting period in KP-specific programs and know their resultsAge25+</v>
      </c>
      <c r="K831" s="374"/>
      <c r="L831" s="18"/>
      <c r="M831" s="375"/>
      <c r="N831" s="15"/>
      <c r="O831" s="15"/>
      <c r="P831" s="15"/>
      <c r="Q831" s="14" t="s">
        <v>4044</v>
      </c>
    </row>
    <row r="832" spans="4:17">
      <c r="D832" s="15" t="s">
        <v>6679</v>
      </c>
      <c r="E832" s="14" t="s">
        <v>2811</v>
      </c>
      <c r="F832" s="15" t="s">
        <v>1179</v>
      </c>
      <c r="G832" s="14"/>
      <c r="H832" s="15" t="s">
        <v>849</v>
      </c>
      <c r="I832" s="15" t="s">
        <v>3735</v>
      </c>
      <c r="J832" s="14" t="str">
        <f t="shared" si="14"/>
        <v>HTS-3b Percentage of TG that have received an HIV test during the reporting period in KP-specific programs and know their resultsAge20-24</v>
      </c>
      <c r="K832" s="374"/>
      <c r="L832" s="18"/>
      <c r="M832" s="375"/>
      <c r="N832" s="15"/>
      <c r="O832" s="15"/>
      <c r="P832" s="15"/>
      <c r="Q832" s="14" t="s">
        <v>4047</v>
      </c>
    </row>
    <row r="833" spans="4:17">
      <c r="D833" s="15" t="s">
        <v>6680</v>
      </c>
      <c r="E833" s="14" t="s">
        <v>2811</v>
      </c>
      <c r="F833" s="15" t="s">
        <v>1179</v>
      </c>
      <c r="G833" s="14"/>
      <c r="H833" s="15" t="s">
        <v>1192</v>
      </c>
      <c r="I833" s="15" t="s">
        <v>3871</v>
      </c>
      <c r="J833" s="14" t="str">
        <f t="shared" si="14"/>
        <v>HTS-3b Percentage of TG that have received an HIV test during the reporting period in KP-specific programs and know their resultsGenderTranswomen</v>
      </c>
      <c r="K833" s="374"/>
      <c r="L833" s="18"/>
      <c r="M833" s="375"/>
      <c r="N833" s="15"/>
      <c r="O833" s="15"/>
      <c r="P833" s="15"/>
      <c r="Q833" s="14" t="s">
        <v>4050</v>
      </c>
    </row>
    <row r="834" spans="4:17">
      <c r="D834" s="15" t="s">
        <v>6681</v>
      </c>
      <c r="E834" s="14" t="s">
        <v>2811</v>
      </c>
      <c r="F834" s="15" t="s">
        <v>1179</v>
      </c>
      <c r="G834" s="14"/>
      <c r="H834" s="15" t="s">
        <v>1192</v>
      </c>
      <c r="I834" s="15" t="s">
        <v>3875</v>
      </c>
      <c r="J834" s="14" t="str">
        <f t="shared" si="14"/>
        <v>HTS-3b Percentage of TG that have received an HIV test during the reporting period in KP-specific programs and know their resultsGenderTransmen</v>
      </c>
      <c r="K834" s="374"/>
      <c r="L834" s="18"/>
      <c r="M834" s="375"/>
      <c r="N834" s="15"/>
      <c r="O834" s="15"/>
      <c r="P834" s="15"/>
      <c r="Q834" s="14" t="s">
        <v>4053</v>
      </c>
    </row>
    <row r="835" spans="4:17">
      <c r="D835" s="15" t="s">
        <v>6682</v>
      </c>
      <c r="E835" s="14" t="s">
        <v>2811</v>
      </c>
      <c r="F835" s="15" t="s">
        <v>1179</v>
      </c>
      <c r="G835" s="14"/>
      <c r="H835" s="15" t="s">
        <v>849</v>
      </c>
      <c r="I835" s="15" t="s">
        <v>3739</v>
      </c>
      <c r="J835" s="14" t="str">
        <f t="shared" si="14"/>
        <v>HTS-3b Percentage of TG that have received an HIV test during the reporting period in KP-specific programs and know their resultsAge15-19</v>
      </c>
      <c r="K835" s="374"/>
      <c r="L835" s="18"/>
      <c r="M835" s="375"/>
      <c r="N835" s="15"/>
      <c r="O835" s="15"/>
      <c r="P835" s="15"/>
      <c r="Q835" s="14" t="s">
        <v>4056</v>
      </c>
    </row>
    <row r="836" spans="4:17">
      <c r="D836" s="15" t="s">
        <v>6683</v>
      </c>
      <c r="E836" s="14" t="s">
        <v>2811</v>
      </c>
      <c r="F836" s="15" t="s">
        <v>1179</v>
      </c>
      <c r="G836" s="14"/>
      <c r="H836" s="15"/>
      <c r="I836" s="15"/>
      <c r="J836" s="14" t="str">
        <f t="shared" si="14"/>
        <v>HTS-3b Percentage of TG that have received an HIV test during the reporting period in KP-specific programs and know their results</v>
      </c>
      <c r="K836" s="374"/>
      <c r="L836" s="18"/>
      <c r="M836" s="375"/>
      <c r="N836" s="15"/>
      <c r="O836" s="15"/>
      <c r="P836" s="15"/>
      <c r="Q836" s="14" t="s">
        <v>4059</v>
      </c>
    </row>
    <row r="837" spans="4:17">
      <c r="D837" s="15" t="s">
        <v>6684</v>
      </c>
      <c r="E837" s="14" t="s">
        <v>2811</v>
      </c>
      <c r="F837" s="15" t="s">
        <v>1179</v>
      </c>
      <c r="G837" s="14"/>
      <c r="H837" s="15"/>
      <c r="I837" s="15"/>
      <c r="J837" s="14" t="str">
        <f t="shared" si="14"/>
        <v>HTS-3b Percentage of TG that have received an HIV test during the reporting period in KP-specific programs and know their results</v>
      </c>
      <c r="K837" s="374"/>
      <c r="L837" s="18"/>
      <c r="M837" s="375"/>
      <c r="N837" s="15"/>
      <c r="O837" s="15"/>
      <c r="P837" s="15"/>
      <c r="Q837" s="14" t="s">
        <v>4060</v>
      </c>
    </row>
    <row r="838" spans="4:17">
      <c r="D838" s="15" t="s">
        <v>6685</v>
      </c>
      <c r="E838" s="14" t="s">
        <v>2811</v>
      </c>
      <c r="F838" s="15" t="s">
        <v>1179</v>
      </c>
      <c r="G838" s="14"/>
      <c r="H838" s="15"/>
      <c r="I838" s="15"/>
      <c r="J838" s="14" t="str">
        <f t="shared" si="14"/>
        <v>HTS-3b Percentage of TG that have received an HIV test during the reporting period in KP-specific programs and know their results</v>
      </c>
      <c r="K838" s="374"/>
      <c r="L838" s="18"/>
      <c r="M838" s="375"/>
      <c r="N838" s="15"/>
      <c r="O838" s="15"/>
      <c r="P838" s="15"/>
      <c r="Q838" s="14" t="s">
        <v>4061</v>
      </c>
    </row>
    <row r="839" spans="4:17">
      <c r="D839" s="15" t="s">
        <v>6686</v>
      </c>
      <c r="E839" s="14" t="s">
        <v>2811</v>
      </c>
      <c r="F839" s="15" t="s">
        <v>1179</v>
      </c>
      <c r="G839" s="14"/>
      <c r="H839" s="15"/>
      <c r="I839" s="15"/>
      <c r="J839" s="14" t="str">
        <f t="shared" si="14"/>
        <v>HTS-3b Percentage of TG that have received an HIV test during the reporting period in KP-specific programs and know their results</v>
      </c>
      <c r="K839" s="374"/>
      <c r="L839" s="18"/>
      <c r="M839" s="375"/>
      <c r="N839" s="15"/>
      <c r="O839" s="15"/>
      <c r="P839" s="15"/>
      <c r="Q839" s="14" t="s">
        <v>4062</v>
      </c>
    </row>
    <row r="840" spans="4:17">
      <c r="D840" s="15" t="s">
        <v>6687</v>
      </c>
      <c r="E840" s="14" t="s">
        <v>2811</v>
      </c>
      <c r="F840" s="15" t="s">
        <v>1179</v>
      </c>
      <c r="G840" s="14"/>
      <c r="H840" s="15"/>
      <c r="I840" s="15"/>
      <c r="J840" s="14" t="str">
        <f t="shared" si="14"/>
        <v>HTS-3b Percentage of TG that have received an HIV test during the reporting period in KP-specific programs and know their results</v>
      </c>
      <c r="K840" s="374"/>
      <c r="L840" s="18"/>
      <c r="M840" s="375"/>
      <c r="N840" s="15"/>
      <c r="O840" s="15"/>
      <c r="P840" s="15"/>
      <c r="Q840" s="14" t="s">
        <v>4063</v>
      </c>
    </row>
    <row r="841" spans="4:17">
      <c r="D841" s="15" t="s">
        <v>6688</v>
      </c>
      <c r="E841" s="14" t="s">
        <v>2811</v>
      </c>
      <c r="F841" s="15" t="s">
        <v>1179</v>
      </c>
      <c r="G841" s="14"/>
      <c r="H841" s="15"/>
      <c r="I841" s="15"/>
      <c r="J841" s="14" t="str">
        <f t="shared" si="14"/>
        <v>HTS-3b Percentage of TG that have received an HIV test during the reporting period in KP-specific programs and know their results</v>
      </c>
      <c r="K841" s="374"/>
      <c r="L841" s="18"/>
      <c r="M841" s="375"/>
      <c r="N841" s="15"/>
      <c r="O841" s="15"/>
      <c r="P841" s="15"/>
      <c r="Q841" s="14" t="s">
        <v>4064</v>
      </c>
    </row>
    <row r="842" spans="4:17">
      <c r="D842" s="15" t="s">
        <v>6689</v>
      </c>
      <c r="E842" s="14" t="s">
        <v>2811</v>
      </c>
      <c r="F842" s="15" t="s">
        <v>1179</v>
      </c>
      <c r="G842" s="14"/>
      <c r="H842" s="15"/>
      <c r="I842" s="15"/>
      <c r="J842" s="14" t="str">
        <f t="shared" si="14"/>
        <v>HTS-3b Percentage of TG that have received an HIV test during the reporting period in KP-specific programs and know their results</v>
      </c>
      <c r="K842" s="374"/>
      <c r="L842" s="18"/>
      <c r="M842" s="375"/>
      <c r="N842" s="15"/>
      <c r="O842" s="15"/>
      <c r="P842" s="15"/>
      <c r="Q842" s="14" t="s">
        <v>4065</v>
      </c>
    </row>
    <row r="843" spans="4:17">
      <c r="D843" s="15" t="s">
        <v>6690</v>
      </c>
      <c r="E843" s="14" t="s">
        <v>2811</v>
      </c>
      <c r="F843" s="15" t="s">
        <v>1179</v>
      </c>
      <c r="G843" s="14"/>
      <c r="H843" s="15"/>
      <c r="I843" s="15"/>
      <c r="J843" s="14" t="str">
        <f t="shared" si="14"/>
        <v>HTS-3b Percentage of TG that have received an HIV test during the reporting period in KP-specific programs and know their results</v>
      </c>
      <c r="K843" s="374"/>
      <c r="L843" s="18"/>
      <c r="M843" s="375"/>
      <c r="N843" s="15"/>
      <c r="O843" s="15"/>
      <c r="P843" s="15"/>
      <c r="Q843" s="14" t="s">
        <v>4066</v>
      </c>
    </row>
    <row r="844" spans="4:17">
      <c r="D844" s="15" t="s">
        <v>6691</v>
      </c>
      <c r="E844" s="14" t="s">
        <v>2811</v>
      </c>
      <c r="F844" s="15" t="s">
        <v>1179</v>
      </c>
      <c r="G844" s="14"/>
      <c r="H844" s="15"/>
      <c r="I844" s="15"/>
      <c r="J844" s="14" t="str">
        <f t="shared" si="14"/>
        <v>HTS-3b Percentage of TG that have received an HIV test during the reporting period in KP-specific programs and know their results</v>
      </c>
      <c r="K844" s="374"/>
      <c r="L844" s="18"/>
      <c r="M844" s="375"/>
      <c r="N844" s="15"/>
      <c r="O844" s="15"/>
      <c r="P844" s="15"/>
      <c r="Q844" s="14" t="s">
        <v>4067</v>
      </c>
    </row>
    <row r="845" spans="4:17">
      <c r="D845" s="15" t="s">
        <v>6692</v>
      </c>
      <c r="E845" s="14" t="s">
        <v>2811</v>
      </c>
      <c r="F845" s="15" t="s">
        <v>1179</v>
      </c>
      <c r="G845" s="14"/>
      <c r="H845" s="15"/>
      <c r="I845" s="15"/>
      <c r="J845" s="14" t="str">
        <f t="shared" si="14"/>
        <v>HTS-3b Percentage of TG that have received an HIV test during the reporting period in KP-specific programs and know their results</v>
      </c>
      <c r="K845" s="374"/>
      <c r="L845" s="18"/>
      <c r="M845" s="375"/>
      <c r="N845" s="15"/>
      <c r="O845" s="15"/>
      <c r="P845" s="15"/>
      <c r="Q845" s="14" t="s">
        <v>4068</v>
      </c>
    </row>
    <row r="846" spans="4:17">
      <c r="D846" s="15" t="s">
        <v>6693</v>
      </c>
      <c r="E846" s="14" t="s">
        <v>2811</v>
      </c>
      <c r="F846" s="15" t="s">
        <v>1179</v>
      </c>
      <c r="G846" s="14"/>
      <c r="H846" s="15"/>
      <c r="I846" s="15"/>
      <c r="J846" s="14" t="str">
        <f t="shared" si="14"/>
        <v>HTS-3b Percentage of TG that have received an HIV test during the reporting period in KP-specific programs and know their results</v>
      </c>
      <c r="K846" s="374"/>
      <c r="L846" s="18"/>
      <c r="M846" s="375"/>
      <c r="N846" s="15"/>
      <c r="O846" s="15"/>
      <c r="P846" s="15"/>
      <c r="Q846" s="14" t="s">
        <v>4069</v>
      </c>
    </row>
    <row r="847" spans="4:17">
      <c r="D847" s="15" t="s">
        <v>6694</v>
      </c>
      <c r="E847" s="14" t="s">
        <v>2811</v>
      </c>
      <c r="F847" s="15" t="s">
        <v>1179</v>
      </c>
      <c r="G847" s="14"/>
      <c r="H847" s="15"/>
      <c r="I847" s="15"/>
      <c r="J847" s="14" t="str">
        <f t="shared" si="14"/>
        <v>HTS-3b Percentage of TG that have received an HIV test during the reporting period in KP-specific programs and know their results</v>
      </c>
      <c r="K847" s="374"/>
      <c r="L847" s="18"/>
      <c r="M847" s="375"/>
      <c r="N847" s="15"/>
      <c r="O847" s="15"/>
      <c r="P847" s="15"/>
      <c r="Q847" s="14" t="s">
        <v>4070</v>
      </c>
    </row>
    <row r="848" spans="4:17">
      <c r="D848" s="15" t="s">
        <v>6695</v>
      </c>
      <c r="E848" s="14" t="s">
        <v>2811</v>
      </c>
      <c r="F848" s="15" t="s">
        <v>1179</v>
      </c>
      <c r="G848" s="14"/>
      <c r="H848" s="15"/>
      <c r="I848" s="15"/>
      <c r="J848" s="14" t="str">
        <f t="shared" si="14"/>
        <v>HTS-3b Percentage of TG that have received an HIV test during the reporting period in KP-specific programs and know their results</v>
      </c>
      <c r="K848" s="374"/>
      <c r="L848" s="18"/>
      <c r="M848" s="375"/>
      <c r="N848" s="15"/>
      <c r="O848" s="15"/>
      <c r="P848" s="15"/>
      <c r="Q848" s="14" t="s">
        <v>4071</v>
      </c>
    </row>
    <row r="849" spans="4:17">
      <c r="D849" s="15" t="s">
        <v>6696</v>
      </c>
      <c r="E849" s="14" t="s">
        <v>2811</v>
      </c>
      <c r="F849" s="15" t="s">
        <v>1179</v>
      </c>
      <c r="G849" s="14"/>
      <c r="H849" s="15"/>
      <c r="I849" s="15"/>
      <c r="J849" s="14" t="str">
        <f t="shared" si="14"/>
        <v>HTS-3b Percentage of TG that have received an HIV test during the reporting period in KP-specific programs and know their results</v>
      </c>
      <c r="K849" s="374"/>
      <c r="L849" s="18"/>
      <c r="M849" s="375"/>
      <c r="N849" s="15"/>
      <c r="O849" s="15"/>
      <c r="P849" s="15"/>
      <c r="Q849" s="14" t="s">
        <v>4072</v>
      </c>
    </row>
    <row r="850" spans="4:17">
      <c r="D850" s="15" t="s">
        <v>6697</v>
      </c>
      <c r="E850" s="14" t="s">
        <v>2811</v>
      </c>
      <c r="F850" s="15" t="s">
        <v>1179</v>
      </c>
      <c r="G850" s="14"/>
      <c r="H850" s="15"/>
      <c r="I850" s="15"/>
      <c r="J850" s="14" t="str">
        <f t="shared" si="14"/>
        <v>HTS-3b Percentage of TG that have received an HIV test during the reporting period in KP-specific programs and know their results</v>
      </c>
      <c r="K850" s="374"/>
      <c r="L850" s="18"/>
      <c r="M850" s="375"/>
      <c r="N850" s="15"/>
      <c r="O850" s="15"/>
      <c r="P850" s="15"/>
      <c r="Q850" s="14" t="s">
        <v>4073</v>
      </c>
    </row>
    <row r="851" spans="4:17">
      <c r="D851" s="15" t="s">
        <v>6698</v>
      </c>
      <c r="E851" s="14" t="s">
        <v>2818</v>
      </c>
      <c r="F851" s="15" t="s">
        <v>1182</v>
      </c>
      <c r="G851" s="14"/>
      <c r="H851" s="15" t="s">
        <v>849</v>
      </c>
      <c r="I851" s="15" t="s">
        <v>3167</v>
      </c>
      <c r="J851" s="14" t="str">
        <f t="shared" si="14"/>
        <v>HTS-3c Percentage of sex workers that have received an HIV test during the reporting period in KP-specific programs and know their resultsAge25+</v>
      </c>
      <c r="K851" s="374"/>
      <c r="L851" s="18"/>
      <c r="M851" s="375"/>
      <c r="N851" s="15"/>
      <c r="O851" s="15"/>
      <c r="P851" s="15"/>
      <c r="Q851" s="14" t="s">
        <v>4074</v>
      </c>
    </row>
    <row r="852" spans="4:17">
      <c r="D852" s="15" t="s">
        <v>6699</v>
      </c>
      <c r="E852" s="14" t="s">
        <v>2818</v>
      </c>
      <c r="F852" s="15" t="s">
        <v>1182</v>
      </c>
      <c r="G852" s="14"/>
      <c r="H852" s="15" t="s">
        <v>849</v>
      </c>
      <c r="I852" s="15" t="s">
        <v>3735</v>
      </c>
      <c r="J852" s="14" t="str">
        <f t="shared" si="14"/>
        <v>HTS-3c Percentage of sex workers that have received an HIV test during the reporting period in KP-specific programs and know their resultsAge20-24</v>
      </c>
      <c r="K852" s="374"/>
      <c r="L852" s="18"/>
      <c r="M852" s="375"/>
      <c r="N852" s="15"/>
      <c r="O852" s="15"/>
      <c r="P852" s="15"/>
      <c r="Q852" s="14" t="s">
        <v>4077</v>
      </c>
    </row>
    <row r="853" spans="4:17">
      <c r="D853" s="15" t="s">
        <v>6700</v>
      </c>
      <c r="E853" s="14" t="s">
        <v>2818</v>
      </c>
      <c r="F853" s="15" t="s">
        <v>1182</v>
      </c>
      <c r="G853" s="14"/>
      <c r="H853" s="15" t="s">
        <v>849</v>
      </c>
      <c r="I853" s="15" t="s">
        <v>3739</v>
      </c>
      <c r="J853" s="14" t="str">
        <f t="shared" si="14"/>
        <v>HTS-3c Percentage of sex workers that have received an HIV test during the reporting period in KP-specific programs and know their resultsAge15-19</v>
      </c>
      <c r="K853" s="374"/>
      <c r="L853" s="18"/>
      <c r="M853" s="375"/>
      <c r="N853" s="15"/>
      <c r="O853" s="15"/>
      <c r="P853" s="15"/>
      <c r="Q853" s="14" t="s">
        <v>4080</v>
      </c>
    </row>
    <row r="854" spans="4:17">
      <c r="D854" s="15" t="s">
        <v>6701</v>
      </c>
      <c r="E854" s="14" t="s">
        <v>2818</v>
      </c>
      <c r="F854" s="15" t="s">
        <v>1182</v>
      </c>
      <c r="G854" s="14"/>
      <c r="H854" s="15" t="s">
        <v>1192</v>
      </c>
      <c r="I854" s="15" t="s">
        <v>3189</v>
      </c>
      <c r="J854" s="14" t="str">
        <f t="shared" si="14"/>
        <v>HTS-3c Percentage of sex workers that have received an HIV test during the reporting period in KP-specific programs and know their resultsGenderTransgender</v>
      </c>
      <c r="K854" s="374"/>
      <c r="L854" s="18"/>
      <c r="M854" s="375"/>
      <c r="N854" s="15"/>
      <c r="O854" s="15"/>
      <c r="P854" s="15"/>
      <c r="Q854" s="14" t="s">
        <v>4083</v>
      </c>
    </row>
    <row r="855" spans="4:17">
      <c r="D855" s="15" t="s">
        <v>6702</v>
      </c>
      <c r="E855" s="14" t="s">
        <v>2818</v>
      </c>
      <c r="F855" s="15" t="s">
        <v>1182</v>
      </c>
      <c r="G855" s="14"/>
      <c r="H855" s="15" t="s">
        <v>1192</v>
      </c>
      <c r="I855" s="15" t="s">
        <v>3193</v>
      </c>
      <c r="J855" s="14" t="str">
        <f t="shared" si="14"/>
        <v>HTS-3c Percentage of sex workers that have received an HIV test during the reporting period in KP-specific programs and know their resultsGenderMale</v>
      </c>
      <c r="K855" s="374"/>
      <c r="L855" s="18"/>
      <c r="M855" s="375"/>
      <c r="N855" s="15"/>
      <c r="O855" s="15"/>
      <c r="P855" s="15"/>
      <c r="Q855" s="14" t="s">
        <v>4086</v>
      </c>
    </row>
    <row r="856" spans="4:17">
      <c r="D856" s="15" t="s">
        <v>6703</v>
      </c>
      <c r="E856" s="14" t="s">
        <v>2818</v>
      </c>
      <c r="F856" s="15" t="s">
        <v>1182</v>
      </c>
      <c r="G856" s="14"/>
      <c r="H856" s="15" t="s">
        <v>1192</v>
      </c>
      <c r="I856" s="15" t="s">
        <v>3197</v>
      </c>
      <c r="J856" s="14" t="str">
        <f t="shared" si="14"/>
        <v>HTS-3c Percentage of sex workers that have received an HIV test during the reporting period in KP-specific programs and know their resultsGenderFemale</v>
      </c>
      <c r="K856" s="374"/>
      <c r="L856" s="18"/>
      <c r="M856" s="375"/>
      <c r="N856" s="15"/>
      <c r="O856" s="15"/>
      <c r="P856" s="15"/>
      <c r="Q856" s="14" t="s">
        <v>4089</v>
      </c>
    </row>
    <row r="857" spans="4:17">
      <c r="D857" s="15" t="s">
        <v>6704</v>
      </c>
      <c r="E857" s="14" t="s">
        <v>2818</v>
      </c>
      <c r="F857" s="15" t="s">
        <v>1182</v>
      </c>
      <c r="G857" s="14"/>
      <c r="H857" s="15"/>
      <c r="I857" s="15"/>
      <c r="J857" s="14" t="str">
        <f t="shared" si="14"/>
        <v>HTS-3c Percentage of sex workers that have received an HIV test during the reporting period in KP-specific programs and know their results</v>
      </c>
      <c r="K857" s="374"/>
      <c r="L857" s="18"/>
      <c r="M857" s="375"/>
      <c r="N857" s="15"/>
      <c r="O857" s="15"/>
      <c r="P857" s="15"/>
      <c r="Q857" s="14" t="s">
        <v>4092</v>
      </c>
    </row>
    <row r="858" spans="4:17">
      <c r="D858" s="15" t="s">
        <v>6705</v>
      </c>
      <c r="E858" s="14" t="s">
        <v>2818</v>
      </c>
      <c r="F858" s="15" t="s">
        <v>1182</v>
      </c>
      <c r="G858" s="14"/>
      <c r="H858" s="15"/>
      <c r="I858" s="15"/>
      <c r="J858" s="14" t="str">
        <f t="shared" si="14"/>
        <v>HTS-3c Percentage of sex workers that have received an HIV test during the reporting period in KP-specific programs and know their results</v>
      </c>
      <c r="K858" s="374"/>
      <c r="L858" s="18"/>
      <c r="M858" s="375"/>
      <c r="N858" s="15"/>
      <c r="O858" s="15"/>
      <c r="P858" s="15"/>
      <c r="Q858" s="14" t="s">
        <v>4093</v>
      </c>
    </row>
    <row r="859" spans="4:17">
      <c r="D859" s="15" t="s">
        <v>6706</v>
      </c>
      <c r="E859" s="14" t="s">
        <v>2818</v>
      </c>
      <c r="F859" s="15" t="s">
        <v>1182</v>
      </c>
      <c r="G859" s="14"/>
      <c r="H859" s="15"/>
      <c r="I859" s="15"/>
      <c r="J859" s="14" t="str">
        <f t="shared" si="14"/>
        <v>HTS-3c Percentage of sex workers that have received an HIV test during the reporting period in KP-specific programs and know their results</v>
      </c>
      <c r="K859" s="374"/>
      <c r="L859" s="18"/>
      <c r="M859" s="375"/>
      <c r="N859" s="15"/>
      <c r="O859" s="15"/>
      <c r="P859" s="15"/>
      <c r="Q859" s="14" t="s">
        <v>4094</v>
      </c>
    </row>
    <row r="860" spans="4:17">
      <c r="D860" s="15" t="s">
        <v>6707</v>
      </c>
      <c r="E860" s="14" t="s">
        <v>2818</v>
      </c>
      <c r="F860" s="15" t="s">
        <v>1182</v>
      </c>
      <c r="G860" s="14"/>
      <c r="H860" s="15"/>
      <c r="I860" s="15"/>
      <c r="J860" s="14" t="str">
        <f t="shared" si="14"/>
        <v>HTS-3c Percentage of sex workers that have received an HIV test during the reporting period in KP-specific programs and know their results</v>
      </c>
      <c r="K860" s="374"/>
      <c r="L860" s="18"/>
      <c r="M860" s="375"/>
      <c r="N860" s="15"/>
      <c r="O860" s="15"/>
      <c r="P860" s="15"/>
      <c r="Q860" s="14" t="s">
        <v>4095</v>
      </c>
    </row>
    <row r="861" spans="4:17">
      <c r="D861" s="15" t="s">
        <v>6708</v>
      </c>
      <c r="E861" s="14" t="s">
        <v>2818</v>
      </c>
      <c r="F861" s="15" t="s">
        <v>1182</v>
      </c>
      <c r="G861" s="14"/>
      <c r="H861" s="15"/>
      <c r="I861" s="15"/>
      <c r="J861" s="14" t="str">
        <f t="shared" si="14"/>
        <v>HTS-3c Percentage of sex workers that have received an HIV test during the reporting period in KP-specific programs and know their results</v>
      </c>
      <c r="K861" s="374"/>
      <c r="L861" s="18"/>
      <c r="M861" s="375"/>
      <c r="N861" s="15"/>
      <c r="O861" s="15"/>
      <c r="P861" s="15"/>
      <c r="Q861" s="14" t="s">
        <v>4096</v>
      </c>
    </row>
    <row r="862" spans="4:17">
      <c r="D862" s="15" t="s">
        <v>6709</v>
      </c>
      <c r="E862" s="14" t="s">
        <v>2818</v>
      </c>
      <c r="F862" s="15" t="s">
        <v>1182</v>
      </c>
      <c r="G862" s="14"/>
      <c r="H862" s="15"/>
      <c r="I862" s="15"/>
      <c r="J862" s="14" t="str">
        <f t="shared" si="14"/>
        <v>HTS-3c Percentage of sex workers that have received an HIV test during the reporting period in KP-specific programs and know their results</v>
      </c>
      <c r="K862" s="374"/>
      <c r="L862" s="18"/>
      <c r="M862" s="375"/>
      <c r="N862" s="15"/>
      <c r="O862" s="15"/>
      <c r="P862" s="15"/>
      <c r="Q862" s="14" t="s">
        <v>4097</v>
      </c>
    </row>
    <row r="863" spans="4:17">
      <c r="D863" s="15" t="s">
        <v>6710</v>
      </c>
      <c r="E863" s="14" t="s">
        <v>2818</v>
      </c>
      <c r="F863" s="15" t="s">
        <v>1182</v>
      </c>
      <c r="G863" s="14"/>
      <c r="H863" s="15"/>
      <c r="I863" s="15"/>
      <c r="J863" s="14" t="str">
        <f t="shared" si="14"/>
        <v>HTS-3c Percentage of sex workers that have received an HIV test during the reporting period in KP-specific programs and know their results</v>
      </c>
      <c r="K863" s="374"/>
      <c r="L863" s="18"/>
      <c r="M863" s="375"/>
      <c r="N863" s="15"/>
      <c r="O863" s="15"/>
      <c r="P863" s="15"/>
      <c r="Q863" s="14" t="s">
        <v>4098</v>
      </c>
    </row>
    <row r="864" spans="4:17">
      <c r="D864" s="15" t="s">
        <v>6711</v>
      </c>
      <c r="E864" s="14" t="s">
        <v>2818</v>
      </c>
      <c r="F864" s="15" t="s">
        <v>1182</v>
      </c>
      <c r="G864" s="14"/>
      <c r="H864" s="15"/>
      <c r="I864" s="15"/>
      <c r="J864" s="14" t="str">
        <f t="shared" si="14"/>
        <v>HTS-3c Percentage of sex workers that have received an HIV test during the reporting period in KP-specific programs and know their results</v>
      </c>
      <c r="K864" s="374"/>
      <c r="L864" s="18"/>
      <c r="M864" s="375"/>
      <c r="N864" s="15"/>
      <c r="O864" s="15"/>
      <c r="P864" s="15"/>
      <c r="Q864" s="14" t="s">
        <v>4099</v>
      </c>
    </row>
    <row r="865" spans="4:17">
      <c r="D865" s="15" t="s">
        <v>6712</v>
      </c>
      <c r="E865" s="14" t="s">
        <v>2818</v>
      </c>
      <c r="F865" s="15" t="s">
        <v>1182</v>
      </c>
      <c r="G865" s="14"/>
      <c r="H865" s="15"/>
      <c r="I865" s="15"/>
      <c r="J865" s="14" t="str">
        <f t="shared" si="14"/>
        <v>HTS-3c Percentage of sex workers that have received an HIV test during the reporting period in KP-specific programs and know their results</v>
      </c>
      <c r="K865" s="374"/>
      <c r="L865" s="18"/>
      <c r="M865" s="375"/>
      <c r="N865" s="15"/>
      <c r="O865" s="15"/>
      <c r="P865" s="15"/>
      <c r="Q865" s="14" t="s">
        <v>4100</v>
      </c>
    </row>
    <row r="866" spans="4:17">
      <c r="D866" s="15" t="s">
        <v>6713</v>
      </c>
      <c r="E866" s="14" t="s">
        <v>2818</v>
      </c>
      <c r="F866" s="15" t="s">
        <v>1182</v>
      </c>
      <c r="G866" s="14"/>
      <c r="H866" s="15"/>
      <c r="I866" s="15"/>
      <c r="J866" s="14" t="str">
        <f t="shared" si="14"/>
        <v>HTS-3c Percentage of sex workers that have received an HIV test during the reporting period in KP-specific programs and know their results</v>
      </c>
      <c r="K866" s="374"/>
      <c r="L866" s="18"/>
      <c r="M866" s="375"/>
      <c r="N866" s="15"/>
      <c r="O866" s="15"/>
      <c r="P866" s="15"/>
      <c r="Q866" s="14" t="s">
        <v>4101</v>
      </c>
    </row>
    <row r="867" spans="4:17">
      <c r="D867" s="15" t="s">
        <v>6714</v>
      </c>
      <c r="E867" s="14" t="s">
        <v>2818</v>
      </c>
      <c r="F867" s="15" t="s">
        <v>1182</v>
      </c>
      <c r="G867" s="14"/>
      <c r="H867" s="15"/>
      <c r="I867" s="15"/>
      <c r="J867" s="14" t="str">
        <f t="shared" si="14"/>
        <v>HTS-3c Percentage of sex workers that have received an HIV test during the reporting period in KP-specific programs and know their results</v>
      </c>
      <c r="K867" s="374"/>
      <c r="L867" s="18"/>
      <c r="M867" s="375"/>
      <c r="N867" s="15"/>
      <c r="O867" s="15"/>
      <c r="P867" s="15"/>
      <c r="Q867" s="14" t="s">
        <v>4102</v>
      </c>
    </row>
    <row r="868" spans="4:17">
      <c r="D868" s="15" t="s">
        <v>6715</v>
      </c>
      <c r="E868" s="14" t="s">
        <v>2818</v>
      </c>
      <c r="F868" s="15" t="s">
        <v>1182</v>
      </c>
      <c r="G868" s="14"/>
      <c r="H868" s="15"/>
      <c r="I868" s="15"/>
      <c r="J868" s="14" t="str">
        <f t="shared" si="14"/>
        <v>HTS-3c Percentage of sex workers that have received an HIV test during the reporting period in KP-specific programs and know their results</v>
      </c>
      <c r="K868" s="374"/>
      <c r="L868" s="18"/>
      <c r="M868" s="375"/>
      <c r="N868" s="15"/>
      <c r="O868" s="15"/>
      <c r="P868" s="15"/>
      <c r="Q868" s="14" t="s">
        <v>4103</v>
      </c>
    </row>
    <row r="869" spans="4:17">
      <c r="D869" s="15" t="s">
        <v>6716</v>
      </c>
      <c r="E869" s="14" t="s">
        <v>2818</v>
      </c>
      <c r="F869" s="15" t="s">
        <v>1182</v>
      </c>
      <c r="G869" s="14"/>
      <c r="H869" s="15"/>
      <c r="I869" s="15"/>
      <c r="J869" s="14" t="str">
        <f t="shared" si="14"/>
        <v>HTS-3c Percentage of sex workers that have received an HIV test during the reporting period in KP-specific programs and know their results</v>
      </c>
      <c r="K869" s="374"/>
      <c r="L869" s="18"/>
      <c r="M869" s="375"/>
      <c r="N869" s="15"/>
      <c r="O869" s="15"/>
      <c r="P869" s="15"/>
      <c r="Q869" s="14" t="s">
        <v>4104</v>
      </c>
    </row>
    <row r="870" spans="4:17">
      <c r="D870" s="15" t="s">
        <v>6717</v>
      </c>
      <c r="E870" s="14" t="s">
        <v>2818</v>
      </c>
      <c r="F870" s="15" t="s">
        <v>1182</v>
      </c>
      <c r="G870" s="14"/>
      <c r="H870" s="15"/>
      <c r="I870" s="15"/>
      <c r="J870" s="14" t="str">
        <f t="shared" si="14"/>
        <v>HTS-3c Percentage of sex workers that have received an HIV test during the reporting period in KP-specific programs and know their results</v>
      </c>
      <c r="K870" s="374"/>
      <c r="L870" s="18"/>
      <c r="M870" s="375"/>
      <c r="N870" s="15"/>
      <c r="O870" s="15"/>
      <c r="P870" s="15"/>
      <c r="Q870" s="14" t="s">
        <v>4105</v>
      </c>
    </row>
    <row r="871" spans="4:17">
      <c r="D871" s="15" t="s">
        <v>6718</v>
      </c>
      <c r="E871" s="14" t="s">
        <v>2825</v>
      </c>
      <c r="F871" s="15" t="s">
        <v>1185</v>
      </c>
      <c r="G871" s="14"/>
      <c r="H871" s="15" t="s">
        <v>849</v>
      </c>
      <c r="I871" s="15" t="s">
        <v>3167</v>
      </c>
      <c r="J871" s="14" t="str">
        <f t="shared" si="14"/>
        <v>HTS-3d Percentage of people who inject drugs that have received an HIV test during the reporting period in KP-specific programs and know their resultsAge25+</v>
      </c>
      <c r="K871" s="374"/>
      <c r="L871" s="18"/>
      <c r="M871" s="375"/>
      <c r="N871" s="15"/>
      <c r="O871" s="15"/>
      <c r="P871" s="15"/>
      <c r="Q871" s="14" t="s">
        <v>4106</v>
      </c>
    </row>
    <row r="872" spans="4:17">
      <c r="D872" s="15" t="s">
        <v>6719</v>
      </c>
      <c r="E872" s="14" t="s">
        <v>2825</v>
      </c>
      <c r="F872" s="15" t="s">
        <v>1185</v>
      </c>
      <c r="G872" s="14"/>
      <c r="H872" s="15" t="s">
        <v>849</v>
      </c>
      <c r="I872" s="15" t="s">
        <v>3735</v>
      </c>
      <c r="J872" s="14" t="str">
        <f t="shared" si="14"/>
        <v>HTS-3d Percentage of people who inject drugs that have received an HIV test during the reporting period in KP-specific programs and know their resultsAge20-24</v>
      </c>
      <c r="K872" s="374"/>
      <c r="L872" s="18"/>
      <c r="M872" s="375"/>
      <c r="N872" s="15"/>
      <c r="O872" s="15"/>
      <c r="P872" s="15"/>
      <c r="Q872" s="14" t="s">
        <v>4109</v>
      </c>
    </row>
    <row r="873" spans="4:17">
      <c r="D873" s="15" t="s">
        <v>6720</v>
      </c>
      <c r="E873" s="14" t="s">
        <v>2825</v>
      </c>
      <c r="F873" s="15" t="s">
        <v>1185</v>
      </c>
      <c r="G873" s="14"/>
      <c r="H873" s="15" t="s">
        <v>849</v>
      </c>
      <c r="I873" s="15" t="s">
        <v>3739</v>
      </c>
      <c r="J873" s="14" t="str">
        <f t="shared" si="14"/>
        <v>HTS-3d Percentage of people who inject drugs that have received an HIV test during the reporting period in KP-specific programs and know their resultsAge15-19</v>
      </c>
      <c r="K873" s="374"/>
      <c r="L873" s="18"/>
      <c r="M873" s="375"/>
      <c r="N873" s="15"/>
      <c r="O873" s="15"/>
      <c r="P873" s="15"/>
      <c r="Q873" s="14" t="s">
        <v>4112</v>
      </c>
    </row>
    <row r="874" spans="4:17">
      <c r="D874" s="15" t="s">
        <v>6721</v>
      </c>
      <c r="E874" s="14" t="s">
        <v>2825</v>
      </c>
      <c r="F874" s="15" t="s">
        <v>1185</v>
      </c>
      <c r="G874" s="14"/>
      <c r="H874" s="15" t="s">
        <v>1192</v>
      </c>
      <c r="I874" s="15" t="s">
        <v>3193</v>
      </c>
      <c r="J874" s="14" t="str">
        <f t="shared" si="14"/>
        <v>HTS-3d Percentage of people who inject drugs that have received an HIV test during the reporting period in KP-specific programs and know their resultsGenderMale</v>
      </c>
      <c r="K874" s="374"/>
      <c r="L874" s="18"/>
      <c r="M874" s="375"/>
      <c r="N874" s="15"/>
      <c r="O874" s="15"/>
      <c r="P874" s="15"/>
      <c r="Q874" s="14" t="s">
        <v>4115</v>
      </c>
    </row>
    <row r="875" spans="4:17">
      <c r="D875" s="15" t="s">
        <v>6722</v>
      </c>
      <c r="E875" s="14" t="s">
        <v>2825</v>
      </c>
      <c r="F875" s="15" t="s">
        <v>1185</v>
      </c>
      <c r="G875" s="14"/>
      <c r="H875" s="15" t="s">
        <v>1192</v>
      </c>
      <c r="I875" s="15" t="s">
        <v>3197</v>
      </c>
      <c r="J875" s="14" t="str">
        <f t="shared" si="14"/>
        <v>HTS-3d Percentage of people who inject drugs that have received an HIV test during the reporting period in KP-specific programs and know their resultsGenderFemale</v>
      </c>
      <c r="K875" s="374"/>
      <c r="L875" s="18"/>
      <c r="M875" s="375"/>
      <c r="N875" s="15"/>
      <c r="O875" s="15"/>
      <c r="P875" s="15"/>
      <c r="Q875" s="14" t="s">
        <v>4118</v>
      </c>
    </row>
    <row r="876" spans="4:17">
      <c r="D876" s="15" t="s">
        <v>6723</v>
      </c>
      <c r="E876" s="14" t="s">
        <v>2825</v>
      </c>
      <c r="F876" s="15" t="s">
        <v>1185</v>
      </c>
      <c r="G876" s="14"/>
      <c r="H876" s="15"/>
      <c r="I876" s="15"/>
      <c r="J876" s="14" t="str">
        <f t="shared" si="14"/>
        <v>HTS-3d Percentage of people who inject drugs that have received an HIV test during the reporting period in KP-specific programs and know their results</v>
      </c>
      <c r="K876" s="374"/>
      <c r="L876" s="18"/>
      <c r="M876" s="375"/>
      <c r="N876" s="15"/>
      <c r="O876" s="15"/>
      <c r="P876" s="15"/>
      <c r="Q876" s="14" t="s">
        <v>4121</v>
      </c>
    </row>
    <row r="877" spans="4:17">
      <c r="D877" s="15" t="s">
        <v>6724</v>
      </c>
      <c r="E877" s="14" t="s">
        <v>2825</v>
      </c>
      <c r="F877" s="15" t="s">
        <v>1185</v>
      </c>
      <c r="G877" s="14"/>
      <c r="H877" s="15"/>
      <c r="I877" s="15"/>
      <c r="J877" s="14" t="str">
        <f t="shared" si="14"/>
        <v>HTS-3d Percentage of people who inject drugs that have received an HIV test during the reporting period in KP-specific programs and know their results</v>
      </c>
      <c r="K877" s="374"/>
      <c r="L877" s="18"/>
      <c r="M877" s="375"/>
      <c r="N877" s="15"/>
      <c r="O877" s="15"/>
      <c r="P877" s="15"/>
      <c r="Q877" s="14" t="s">
        <v>4122</v>
      </c>
    </row>
    <row r="878" spans="4:17">
      <c r="D878" s="15" t="s">
        <v>6725</v>
      </c>
      <c r="E878" s="14" t="s">
        <v>2825</v>
      </c>
      <c r="F878" s="15" t="s">
        <v>1185</v>
      </c>
      <c r="G878" s="14"/>
      <c r="H878" s="15"/>
      <c r="I878" s="15"/>
      <c r="J878" s="14" t="str">
        <f t="shared" si="14"/>
        <v>HTS-3d Percentage of people who inject drugs that have received an HIV test during the reporting period in KP-specific programs and know their results</v>
      </c>
      <c r="K878" s="374"/>
      <c r="L878" s="18"/>
      <c r="M878" s="375"/>
      <c r="N878" s="15"/>
      <c r="O878" s="15"/>
      <c r="P878" s="15"/>
      <c r="Q878" s="14" t="s">
        <v>4123</v>
      </c>
    </row>
    <row r="879" spans="4:17">
      <c r="D879" s="15" t="s">
        <v>6726</v>
      </c>
      <c r="E879" s="14" t="s">
        <v>2825</v>
      </c>
      <c r="F879" s="15" t="s">
        <v>1185</v>
      </c>
      <c r="G879" s="14"/>
      <c r="H879" s="15"/>
      <c r="I879" s="15"/>
      <c r="J879" s="14" t="str">
        <f t="shared" si="14"/>
        <v>HTS-3d Percentage of people who inject drugs that have received an HIV test during the reporting period in KP-specific programs and know their results</v>
      </c>
      <c r="K879" s="374"/>
      <c r="L879" s="18"/>
      <c r="M879" s="375"/>
      <c r="N879" s="15"/>
      <c r="O879" s="15"/>
      <c r="P879" s="15"/>
      <c r="Q879" s="14" t="s">
        <v>4124</v>
      </c>
    </row>
    <row r="880" spans="4:17">
      <c r="D880" s="15" t="s">
        <v>6727</v>
      </c>
      <c r="E880" s="14" t="s">
        <v>2825</v>
      </c>
      <c r="F880" s="15" t="s">
        <v>1185</v>
      </c>
      <c r="G880" s="14"/>
      <c r="H880" s="15"/>
      <c r="I880" s="15"/>
      <c r="J880" s="14" t="str">
        <f t="shared" si="14"/>
        <v>HTS-3d Percentage of people who inject drugs that have received an HIV test during the reporting period in KP-specific programs and know their results</v>
      </c>
      <c r="K880" s="374"/>
      <c r="L880" s="18"/>
      <c r="M880" s="375"/>
      <c r="N880" s="15"/>
      <c r="O880" s="15"/>
      <c r="P880" s="15"/>
      <c r="Q880" s="14" t="s">
        <v>4125</v>
      </c>
    </row>
    <row r="881" spans="4:17">
      <c r="D881" s="15" t="s">
        <v>6728</v>
      </c>
      <c r="E881" s="14" t="s">
        <v>2825</v>
      </c>
      <c r="F881" s="15" t="s">
        <v>1185</v>
      </c>
      <c r="G881" s="14"/>
      <c r="H881" s="15"/>
      <c r="I881" s="15"/>
      <c r="J881" s="14" t="str">
        <f t="shared" si="14"/>
        <v>HTS-3d Percentage of people who inject drugs that have received an HIV test during the reporting period in KP-specific programs and know their results</v>
      </c>
      <c r="K881" s="374"/>
      <c r="L881" s="18"/>
      <c r="M881" s="375"/>
      <c r="N881" s="15"/>
      <c r="O881" s="15"/>
      <c r="P881" s="15"/>
      <c r="Q881" s="14" t="s">
        <v>4126</v>
      </c>
    </row>
    <row r="882" spans="4:17">
      <c r="D882" s="15" t="s">
        <v>6729</v>
      </c>
      <c r="E882" s="14" t="s">
        <v>2825</v>
      </c>
      <c r="F882" s="15" t="s">
        <v>1185</v>
      </c>
      <c r="G882" s="14"/>
      <c r="H882" s="15"/>
      <c r="I882" s="15"/>
      <c r="J882" s="14" t="str">
        <f t="shared" si="14"/>
        <v>HTS-3d Percentage of people who inject drugs that have received an HIV test during the reporting period in KP-specific programs and know their results</v>
      </c>
      <c r="K882" s="374"/>
      <c r="L882" s="18"/>
      <c r="M882" s="375"/>
      <c r="N882" s="15"/>
      <c r="O882" s="15"/>
      <c r="P882" s="15"/>
      <c r="Q882" s="14" t="s">
        <v>4127</v>
      </c>
    </row>
    <row r="883" spans="4:17">
      <c r="D883" s="15" t="s">
        <v>6730</v>
      </c>
      <c r="E883" s="14" t="s">
        <v>2825</v>
      </c>
      <c r="F883" s="15" t="s">
        <v>1185</v>
      </c>
      <c r="G883" s="14"/>
      <c r="H883" s="15"/>
      <c r="I883" s="15"/>
      <c r="J883" s="14" t="str">
        <f t="shared" si="14"/>
        <v>HTS-3d Percentage of people who inject drugs that have received an HIV test during the reporting period in KP-specific programs and know their results</v>
      </c>
      <c r="K883" s="374"/>
      <c r="L883" s="18"/>
      <c r="M883" s="375"/>
      <c r="N883" s="15"/>
      <c r="O883" s="15"/>
      <c r="P883" s="15"/>
      <c r="Q883" s="14" t="s">
        <v>4128</v>
      </c>
    </row>
    <row r="884" spans="4:17">
      <c r="D884" s="15" t="s">
        <v>6731</v>
      </c>
      <c r="E884" s="14" t="s">
        <v>2825</v>
      </c>
      <c r="F884" s="15" t="s">
        <v>1185</v>
      </c>
      <c r="G884" s="14"/>
      <c r="H884" s="15"/>
      <c r="I884" s="15"/>
      <c r="J884" s="14" t="str">
        <f t="shared" si="14"/>
        <v>HTS-3d Percentage of people who inject drugs that have received an HIV test during the reporting period in KP-specific programs and know their results</v>
      </c>
      <c r="K884" s="374"/>
      <c r="L884" s="18"/>
      <c r="M884" s="375"/>
      <c r="N884" s="15"/>
      <c r="O884" s="15"/>
      <c r="P884" s="15"/>
      <c r="Q884" s="14" t="s">
        <v>4129</v>
      </c>
    </row>
    <row r="885" spans="4:17">
      <c r="D885" s="15" t="s">
        <v>6732</v>
      </c>
      <c r="E885" s="14" t="s">
        <v>2825</v>
      </c>
      <c r="F885" s="15" t="s">
        <v>1185</v>
      </c>
      <c r="G885" s="14"/>
      <c r="H885" s="15"/>
      <c r="I885" s="15"/>
      <c r="J885" s="14" t="str">
        <f t="shared" si="14"/>
        <v>HTS-3d Percentage of people who inject drugs that have received an HIV test during the reporting period in KP-specific programs and know their results</v>
      </c>
      <c r="K885" s="374"/>
      <c r="L885" s="18"/>
      <c r="M885" s="375"/>
      <c r="N885" s="15"/>
      <c r="O885" s="15"/>
      <c r="P885" s="15"/>
      <c r="Q885" s="14" t="s">
        <v>4130</v>
      </c>
    </row>
    <row r="886" spans="4:17">
      <c r="D886" s="15" t="s">
        <v>6733</v>
      </c>
      <c r="E886" s="14" t="s">
        <v>2825</v>
      </c>
      <c r="F886" s="15" t="s">
        <v>1185</v>
      </c>
      <c r="G886" s="14"/>
      <c r="H886" s="15"/>
      <c r="I886" s="15"/>
      <c r="J886" s="14" t="str">
        <f t="shared" si="14"/>
        <v>HTS-3d Percentage of people who inject drugs that have received an HIV test during the reporting period in KP-specific programs and know their results</v>
      </c>
      <c r="K886" s="374"/>
      <c r="L886" s="18"/>
      <c r="M886" s="375"/>
      <c r="N886" s="15"/>
      <c r="O886" s="15"/>
      <c r="P886" s="15"/>
      <c r="Q886" s="14" t="s">
        <v>4131</v>
      </c>
    </row>
    <row r="887" spans="4:17">
      <c r="D887" s="15" t="s">
        <v>6734</v>
      </c>
      <c r="E887" s="14" t="s">
        <v>2825</v>
      </c>
      <c r="F887" s="15" t="s">
        <v>1185</v>
      </c>
      <c r="G887" s="14"/>
      <c r="H887" s="15"/>
      <c r="I887" s="15"/>
      <c r="J887" s="14" t="str">
        <f t="shared" si="14"/>
        <v>HTS-3d Percentage of people who inject drugs that have received an HIV test during the reporting period in KP-specific programs and know their results</v>
      </c>
      <c r="K887" s="374"/>
      <c r="L887" s="18"/>
      <c r="M887" s="375"/>
      <c r="N887" s="15"/>
      <c r="O887" s="15"/>
      <c r="P887" s="15"/>
      <c r="Q887" s="14" t="s">
        <v>4132</v>
      </c>
    </row>
    <row r="888" spans="4:17">
      <c r="D888" s="15" t="s">
        <v>6735</v>
      </c>
      <c r="E888" s="14" t="s">
        <v>2825</v>
      </c>
      <c r="F888" s="15" t="s">
        <v>1185</v>
      </c>
      <c r="G888" s="14"/>
      <c r="H888" s="15"/>
      <c r="I888" s="15"/>
      <c r="J888" s="14" t="str">
        <f t="shared" si="14"/>
        <v>HTS-3d Percentage of people who inject drugs that have received an HIV test during the reporting period in KP-specific programs and know their results</v>
      </c>
      <c r="K888" s="374"/>
      <c r="L888" s="18"/>
      <c r="M888" s="375"/>
      <c r="N888" s="15"/>
      <c r="O888" s="15"/>
      <c r="P888" s="15"/>
      <c r="Q888" s="14" t="s">
        <v>4133</v>
      </c>
    </row>
    <row r="889" spans="4:17">
      <c r="D889" s="15" t="s">
        <v>6736</v>
      </c>
      <c r="E889" s="14" t="s">
        <v>2825</v>
      </c>
      <c r="F889" s="15" t="s">
        <v>1185</v>
      </c>
      <c r="G889" s="14"/>
      <c r="H889" s="15"/>
      <c r="I889" s="15"/>
      <c r="J889" s="14" t="str">
        <f t="shared" si="14"/>
        <v>HTS-3d Percentage of people who inject drugs that have received an HIV test during the reporting period in KP-specific programs and know their results</v>
      </c>
      <c r="K889" s="374"/>
      <c r="L889" s="18"/>
      <c r="M889" s="375"/>
      <c r="N889" s="15"/>
      <c r="O889" s="15"/>
      <c r="P889" s="15"/>
      <c r="Q889" s="14" t="s">
        <v>4134</v>
      </c>
    </row>
    <row r="890" spans="4:17">
      <c r="D890" s="15" t="s">
        <v>6737</v>
      </c>
      <c r="E890" s="14" t="s">
        <v>2825</v>
      </c>
      <c r="F890" s="15" t="s">
        <v>1185</v>
      </c>
      <c r="G890" s="14"/>
      <c r="H890" s="15"/>
      <c r="I890" s="15"/>
      <c r="J890" s="14" t="str">
        <f t="shared" si="14"/>
        <v>HTS-3d Percentage of people who inject drugs that have received an HIV test during the reporting period in KP-specific programs and know their results</v>
      </c>
      <c r="K890" s="374"/>
      <c r="L890" s="18"/>
      <c r="M890" s="375"/>
      <c r="N890" s="15"/>
      <c r="O890" s="15"/>
      <c r="P890" s="15"/>
      <c r="Q890" s="14" t="s">
        <v>4135</v>
      </c>
    </row>
    <row r="891" spans="4:17">
      <c r="D891" s="15" t="s">
        <v>6738</v>
      </c>
      <c r="E891" s="14" t="s">
        <v>2832</v>
      </c>
      <c r="F891" s="15" t="s">
        <v>1191</v>
      </c>
      <c r="G891" s="14"/>
      <c r="H891" s="15" t="s">
        <v>1192</v>
      </c>
      <c r="I891" s="15" t="s">
        <v>3193</v>
      </c>
      <c r="J891" s="14" t="str">
        <f t="shared" si="14"/>
        <v>HTS-3f Number of people in prisons and other closed settings that have received an HIV test during the reporting period and know their resultsGenderMale</v>
      </c>
      <c r="K891" s="374"/>
      <c r="L891" s="18"/>
      <c r="M891" s="375"/>
      <c r="N891" s="15"/>
      <c r="O891" s="15"/>
      <c r="P891" s="15"/>
      <c r="Q891" s="14" t="s">
        <v>4136</v>
      </c>
    </row>
    <row r="892" spans="4:17">
      <c r="D892" s="15" t="s">
        <v>6739</v>
      </c>
      <c r="E892" s="14" t="s">
        <v>2832</v>
      </c>
      <c r="F892" s="15" t="s">
        <v>1191</v>
      </c>
      <c r="G892" s="14"/>
      <c r="H892" s="15" t="s">
        <v>1192</v>
      </c>
      <c r="I892" s="15" t="s">
        <v>3197</v>
      </c>
      <c r="J892" s="14" t="str">
        <f t="shared" ref="J892:J955" si="15">F892&amp;H892&amp;I892</f>
        <v>HTS-3f Number of people in prisons and other closed settings that have received an HIV test during the reporting period and know their resultsGenderFemale</v>
      </c>
      <c r="K892" s="374"/>
      <c r="L892" s="18"/>
      <c r="M892" s="375"/>
      <c r="N892" s="15"/>
      <c r="O892" s="15"/>
      <c r="P892" s="15"/>
      <c r="Q892" s="14" t="s">
        <v>4139</v>
      </c>
    </row>
    <row r="893" spans="4:17">
      <c r="D893" s="15" t="s">
        <v>6740</v>
      </c>
      <c r="E893" s="14" t="s">
        <v>2832</v>
      </c>
      <c r="F893" s="15" t="s">
        <v>1191</v>
      </c>
      <c r="G893" s="14"/>
      <c r="H893" s="15"/>
      <c r="I893" s="15"/>
      <c r="J893" s="14" t="str">
        <f t="shared" si="15"/>
        <v>HTS-3f Number of people in prisons and other closed settings that have received an HIV test during the reporting period and know their results</v>
      </c>
      <c r="K893" s="374"/>
      <c r="L893" s="18"/>
      <c r="M893" s="375"/>
      <c r="N893" s="15"/>
      <c r="O893" s="15"/>
      <c r="P893" s="15"/>
      <c r="Q893" s="14" t="s">
        <v>4142</v>
      </c>
    </row>
    <row r="894" spans="4:17">
      <c r="D894" s="15" t="s">
        <v>6741</v>
      </c>
      <c r="E894" s="14" t="s">
        <v>2832</v>
      </c>
      <c r="F894" s="15" t="s">
        <v>1191</v>
      </c>
      <c r="G894" s="14"/>
      <c r="H894" s="15"/>
      <c r="I894" s="15"/>
      <c r="J894" s="14" t="str">
        <f t="shared" si="15"/>
        <v>HTS-3f Number of people in prisons and other closed settings that have received an HIV test during the reporting period and know their results</v>
      </c>
      <c r="K894" s="374"/>
      <c r="L894" s="18"/>
      <c r="M894" s="375"/>
      <c r="N894" s="15"/>
      <c r="O894" s="15"/>
      <c r="P894" s="15"/>
      <c r="Q894" s="14" t="s">
        <v>4143</v>
      </c>
    </row>
    <row r="895" spans="4:17">
      <c r="D895" s="15" t="s">
        <v>6742</v>
      </c>
      <c r="E895" s="14" t="s">
        <v>2832</v>
      </c>
      <c r="F895" s="15" t="s">
        <v>1191</v>
      </c>
      <c r="G895" s="14"/>
      <c r="H895" s="15"/>
      <c r="I895" s="15"/>
      <c r="J895" s="14" t="str">
        <f t="shared" si="15"/>
        <v>HTS-3f Number of people in prisons and other closed settings that have received an HIV test during the reporting period and know their results</v>
      </c>
      <c r="K895" s="374"/>
      <c r="L895" s="18"/>
      <c r="M895" s="375"/>
      <c r="N895" s="15"/>
      <c r="O895" s="15"/>
      <c r="P895" s="15"/>
      <c r="Q895" s="14" t="s">
        <v>4144</v>
      </c>
    </row>
    <row r="896" spans="4:17">
      <c r="D896" s="15" t="s">
        <v>6743</v>
      </c>
      <c r="E896" s="14" t="s">
        <v>2832</v>
      </c>
      <c r="F896" s="15" t="s">
        <v>1191</v>
      </c>
      <c r="G896" s="14"/>
      <c r="H896" s="15"/>
      <c r="I896" s="15"/>
      <c r="J896" s="14" t="str">
        <f t="shared" si="15"/>
        <v>HTS-3f Number of people in prisons and other closed settings that have received an HIV test during the reporting period and know their results</v>
      </c>
      <c r="K896" s="374"/>
      <c r="L896" s="18"/>
      <c r="M896" s="375"/>
      <c r="N896" s="15"/>
      <c r="O896" s="15"/>
      <c r="P896" s="15"/>
      <c r="Q896" s="14" t="s">
        <v>4145</v>
      </c>
    </row>
    <row r="897" spans="4:17">
      <c r="D897" s="15" t="s">
        <v>6744</v>
      </c>
      <c r="E897" s="14" t="s">
        <v>2832</v>
      </c>
      <c r="F897" s="15" t="s">
        <v>1191</v>
      </c>
      <c r="G897" s="14"/>
      <c r="H897" s="15"/>
      <c r="I897" s="15"/>
      <c r="J897" s="14" t="str">
        <f t="shared" si="15"/>
        <v>HTS-3f Number of people in prisons and other closed settings that have received an HIV test during the reporting period and know their results</v>
      </c>
      <c r="K897" s="374"/>
      <c r="L897" s="18"/>
      <c r="M897" s="375"/>
      <c r="N897" s="15"/>
      <c r="O897" s="15"/>
      <c r="P897" s="15"/>
      <c r="Q897" s="14" t="s">
        <v>4146</v>
      </c>
    </row>
    <row r="898" spans="4:17">
      <c r="D898" s="15" t="s">
        <v>6745</v>
      </c>
      <c r="E898" s="14" t="s">
        <v>2832</v>
      </c>
      <c r="F898" s="15" t="s">
        <v>1191</v>
      </c>
      <c r="G898" s="14"/>
      <c r="H898" s="15"/>
      <c r="I898" s="15"/>
      <c r="J898" s="14" t="str">
        <f t="shared" si="15"/>
        <v>HTS-3f Number of people in prisons and other closed settings that have received an HIV test during the reporting period and know their results</v>
      </c>
      <c r="K898" s="374"/>
      <c r="L898" s="18"/>
      <c r="M898" s="375"/>
      <c r="N898" s="15"/>
      <c r="O898" s="15"/>
      <c r="P898" s="15"/>
      <c r="Q898" s="14" t="s">
        <v>4147</v>
      </c>
    </row>
    <row r="899" spans="4:17">
      <c r="D899" s="15" t="s">
        <v>6746</v>
      </c>
      <c r="E899" s="14" t="s">
        <v>2832</v>
      </c>
      <c r="F899" s="15" t="s">
        <v>1191</v>
      </c>
      <c r="G899" s="14"/>
      <c r="H899" s="15"/>
      <c r="I899" s="15"/>
      <c r="J899" s="14" t="str">
        <f t="shared" si="15"/>
        <v>HTS-3f Number of people in prisons and other closed settings that have received an HIV test during the reporting period and know their results</v>
      </c>
      <c r="K899" s="374"/>
      <c r="L899" s="18"/>
      <c r="M899" s="375"/>
      <c r="N899" s="15"/>
      <c r="O899" s="15"/>
      <c r="P899" s="15"/>
      <c r="Q899" s="14" t="s">
        <v>4148</v>
      </c>
    </row>
    <row r="900" spans="4:17">
      <c r="D900" s="15" t="s">
        <v>6747</v>
      </c>
      <c r="E900" s="14" t="s">
        <v>2832</v>
      </c>
      <c r="F900" s="15" t="s">
        <v>1191</v>
      </c>
      <c r="G900" s="14"/>
      <c r="H900" s="15"/>
      <c r="I900" s="15"/>
      <c r="J900" s="14" t="str">
        <f t="shared" si="15"/>
        <v>HTS-3f Number of people in prisons and other closed settings that have received an HIV test during the reporting period and know their results</v>
      </c>
      <c r="K900" s="374"/>
      <c r="L900" s="18"/>
      <c r="M900" s="375"/>
      <c r="N900" s="15"/>
      <c r="O900" s="15"/>
      <c r="P900" s="15"/>
      <c r="Q900" s="14" t="s">
        <v>4149</v>
      </c>
    </row>
    <row r="901" spans="4:17">
      <c r="D901" s="15" t="s">
        <v>6748</v>
      </c>
      <c r="E901" s="14" t="s">
        <v>2832</v>
      </c>
      <c r="F901" s="15" t="s">
        <v>1191</v>
      </c>
      <c r="G901" s="14"/>
      <c r="H901" s="15"/>
      <c r="I901" s="15"/>
      <c r="J901" s="14" t="str">
        <f t="shared" si="15"/>
        <v>HTS-3f Number of people in prisons and other closed settings that have received an HIV test during the reporting period and know their results</v>
      </c>
      <c r="K901" s="374"/>
      <c r="L901" s="18"/>
      <c r="M901" s="375"/>
      <c r="N901" s="15"/>
      <c r="O901" s="15"/>
      <c r="P901" s="15"/>
      <c r="Q901" s="14" t="s">
        <v>4150</v>
      </c>
    </row>
    <row r="902" spans="4:17">
      <c r="D902" s="15" t="s">
        <v>6749</v>
      </c>
      <c r="E902" s="14" t="s">
        <v>2832</v>
      </c>
      <c r="F902" s="15" t="s">
        <v>1191</v>
      </c>
      <c r="G902" s="14"/>
      <c r="H902" s="15"/>
      <c r="I902" s="15"/>
      <c r="J902" s="14" t="str">
        <f t="shared" si="15"/>
        <v>HTS-3f Number of people in prisons and other closed settings that have received an HIV test during the reporting period and know their results</v>
      </c>
      <c r="K902" s="374"/>
      <c r="L902" s="18"/>
      <c r="M902" s="375"/>
      <c r="N902" s="15"/>
      <c r="O902" s="15"/>
      <c r="P902" s="15"/>
      <c r="Q902" s="14" t="s">
        <v>4151</v>
      </c>
    </row>
    <row r="903" spans="4:17">
      <c r="D903" s="15" t="s">
        <v>6750</v>
      </c>
      <c r="E903" s="14" t="s">
        <v>2832</v>
      </c>
      <c r="F903" s="15" t="s">
        <v>1191</v>
      </c>
      <c r="G903" s="14"/>
      <c r="H903" s="15"/>
      <c r="I903" s="15"/>
      <c r="J903" s="14" t="str">
        <f t="shared" si="15"/>
        <v>HTS-3f Number of people in prisons and other closed settings that have received an HIV test during the reporting period and know their results</v>
      </c>
      <c r="K903" s="374"/>
      <c r="L903" s="18"/>
      <c r="M903" s="375"/>
      <c r="N903" s="15"/>
      <c r="O903" s="15"/>
      <c r="P903" s="15"/>
      <c r="Q903" s="14" t="s">
        <v>4152</v>
      </c>
    </row>
    <row r="904" spans="4:17">
      <c r="D904" s="15" t="s">
        <v>6751</v>
      </c>
      <c r="E904" s="14" t="s">
        <v>2832</v>
      </c>
      <c r="F904" s="15" t="s">
        <v>1191</v>
      </c>
      <c r="G904" s="14"/>
      <c r="H904" s="15"/>
      <c r="I904" s="15"/>
      <c r="J904" s="14" t="str">
        <f t="shared" si="15"/>
        <v>HTS-3f Number of people in prisons and other closed settings that have received an HIV test during the reporting period and know their results</v>
      </c>
      <c r="K904" s="374"/>
      <c r="L904" s="18"/>
      <c r="M904" s="375"/>
      <c r="N904" s="15"/>
      <c r="O904" s="15"/>
      <c r="P904" s="15"/>
      <c r="Q904" s="14" t="s">
        <v>4153</v>
      </c>
    </row>
    <row r="905" spans="4:17">
      <c r="D905" s="15" t="s">
        <v>6752</v>
      </c>
      <c r="E905" s="14" t="s">
        <v>2832</v>
      </c>
      <c r="F905" s="15" t="s">
        <v>1191</v>
      </c>
      <c r="G905" s="14"/>
      <c r="H905" s="15"/>
      <c r="I905" s="15"/>
      <c r="J905" s="14" t="str">
        <f t="shared" si="15"/>
        <v>HTS-3f Number of people in prisons and other closed settings that have received an HIV test during the reporting period and know their results</v>
      </c>
      <c r="K905" s="374"/>
      <c r="L905" s="18"/>
      <c r="M905" s="375"/>
      <c r="N905" s="15"/>
      <c r="O905" s="15"/>
      <c r="P905" s="15"/>
      <c r="Q905" s="14" t="s">
        <v>4154</v>
      </c>
    </row>
    <row r="906" spans="4:17">
      <c r="D906" s="15" t="s">
        <v>6753</v>
      </c>
      <c r="E906" s="14" t="s">
        <v>2832</v>
      </c>
      <c r="F906" s="15" t="s">
        <v>1191</v>
      </c>
      <c r="G906" s="14"/>
      <c r="H906" s="15"/>
      <c r="I906" s="15"/>
      <c r="J906" s="14" t="str">
        <f t="shared" si="15"/>
        <v>HTS-3f Number of people in prisons and other closed settings that have received an HIV test during the reporting period and know their results</v>
      </c>
      <c r="K906" s="374"/>
      <c r="L906" s="18"/>
      <c r="M906" s="375"/>
      <c r="N906" s="15"/>
      <c r="O906" s="15"/>
      <c r="P906" s="15"/>
      <c r="Q906" s="14" t="s">
        <v>4155</v>
      </c>
    </row>
    <row r="907" spans="4:17">
      <c r="D907" s="15" t="s">
        <v>6754</v>
      </c>
      <c r="E907" s="14" t="s">
        <v>2832</v>
      </c>
      <c r="F907" s="15" t="s">
        <v>1191</v>
      </c>
      <c r="G907" s="14"/>
      <c r="H907" s="15"/>
      <c r="I907" s="15"/>
      <c r="J907" s="14" t="str">
        <f t="shared" si="15"/>
        <v>HTS-3f Number of people in prisons and other closed settings that have received an HIV test during the reporting period and know their results</v>
      </c>
      <c r="K907" s="374"/>
      <c r="L907" s="18"/>
      <c r="M907" s="375"/>
      <c r="N907" s="15"/>
      <c r="O907" s="15"/>
      <c r="P907" s="15"/>
      <c r="Q907" s="14" t="s">
        <v>4156</v>
      </c>
    </row>
    <row r="908" spans="4:17">
      <c r="D908" s="15" t="s">
        <v>6755</v>
      </c>
      <c r="E908" s="14" t="s">
        <v>2832</v>
      </c>
      <c r="F908" s="15" t="s">
        <v>1191</v>
      </c>
      <c r="G908" s="14"/>
      <c r="H908" s="15"/>
      <c r="I908" s="15"/>
      <c r="J908" s="14" t="str">
        <f t="shared" si="15"/>
        <v>HTS-3f Number of people in prisons and other closed settings that have received an HIV test during the reporting period and know their results</v>
      </c>
      <c r="K908" s="374"/>
      <c r="L908" s="18"/>
      <c r="M908" s="375"/>
      <c r="N908" s="15"/>
      <c r="O908" s="15"/>
      <c r="P908" s="15"/>
      <c r="Q908" s="14" t="s">
        <v>4157</v>
      </c>
    </row>
    <row r="909" spans="4:17">
      <c r="D909" s="15" t="s">
        <v>6756</v>
      </c>
      <c r="E909" s="14" t="s">
        <v>2832</v>
      </c>
      <c r="F909" s="15" t="s">
        <v>1191</v>
      </c>
      <c r="G909" s="14"/>
      <c r="H909" s="15"/>
      <c r="I909" s="15"/>
      <c r="J909" s="14" t="str">
        <f t="shared" si="15"/>
        <v>HTS-3f Number of people in prisons and other closed settings that have received an HIV test during the reporting period and know their results</v>
      </c>
      <c r="K909" s="374"/>
      <c r="L909" s="18"/>
      <c r="M909" s="375"/>
      <c r="N909" s="15"/>
      <c r="O909" s="15"/>
      <c r="P909" s="15"/>
      <c r="Q909" s="14" t="s">
        <v>4158</v>
      </c>
    </row>
    <row r="910" spans="4:17">
      <c r="D910" s="15" t="s">
        <v>6757</v>
      </c>
      <c r="E910" s="14" t="s">
        <v>2832</v>
      </c>
      <c r="F910" s="15" t="s">
        <v>1191</v>
      </c>
      <c r="G910" s="14"/>
      <c r="H910" s="15"/>
      <c r="I910" s="15"/>
      <c r="J910" s="14" t="str">
        <f t="shared" si="15"/>
        <v>HTS-3f Number of people in prisons and other closed settings that have received an HIV test during the reporting period and know their results</v>
      </c>
      <c r="K910" s="374"/>
      <c r="L910" s="18"/>
      <c r="M910" s="375"/>
      <c r="N910" s="15"/>
      <c r="O910" s="15"/>
      <c r="P910" s="15"/>
      <c r="Q910" s="14" t="s">
        <v>4159</v>
      </c>
    </row>
    <row r="911" spans="4:17">
      <c r="D911" s="15" t="s">
        <v>6758</v>
      </c>
      <c r="E911" s="14" t="s">
        <v>2839</v>
      </c>
      <c r="F911" s="15" t="s">
        <v>1198</v>
      </c>
      <c r="G911" s="14"/>
      <c r="H911" s="15"/>
      <c r="I911" s="15"/>
      <c r="J911" s="14" t="str">
        <f t="shared" si="15"/>
        <v>HTS-6 Number of individual HIV self-test kits distributed</v>
      </c>
      <c r="K911" s="374"/>
      <c r="L911" s="18"/>
      <c r="M911" s="375"/>
      <c r="N911" s="15"/>
      <c r="O911" s="15"/>
      <c r="P911" s="15"/>
      <c r="Q911" s="14" t="s">
        <v>4160</v>
      </c>
    </row>
    <row r="912" spans="4:17">
      <c r="D912" s="15" t="s">
        <v>6759</v>
      </c>
      <c r="E912" s="14" t="s">
        <v>2839</v>
      </c>
      <c r="F912" s="15" t="s">
        <v>1198</v>
      </c>
      <c r="G912" s="14"/>
      <c r="H912" s="15"/>
      <c r="I912" s="15"/>
      <c r="J912" s="14" t="str">
        <f t="shared" si="15"/>
        <v>HTS-6 Number of individual HIV self-test kits distributed</v>
      </c>
      <c r="K912" s="374"/>
      <c r="L912" s="18"/>
      <c r="M912" s="375"/>
      <c r="N912" s="15"/>
      <c r="O912" s="15"/>
      <c r="P912" s="15"/>
      <c r="Q912" s="14" t="s">
        <v>4161</v>
      </c>
    </row>
    <row r="913" spans="4:17">
      <c r="D913" s="15" t="s">
        <v>6760</v>
      </c>
      <c r="E913" s="14" t="s">
        <v>2839</v>
      </c>
      <c r="F913" s="15" t="s">
        <v>1198</v>
      </c>
      <c r="G913" s="14"/>
      <c r="H913" s="15"/>
      <c r="I913" s="15"/>
      <c r="J913" s="14" t="str">
        <f t="shared" si="15"/>
        <v>HTS-6 Number of individual HIV self-test kits distributed</v>
      </c>
      <c r="K913" s="374"/>
      <c r="L913" s="18"/>
      <c r="M913" s="375"/>
      <c r="N913" s="15"/>
      <c r="O913" s="15"/>
      <c r="P913" s="15"/>
      <c r="Q913" s="14" t="s">
        <v>4162</v>
      </c>
    </row>
    <row r="914" spans="4:17">
      <c r="D914" s="15" t="s">
        <v>6761</v>
      </c>
      <c r="E914" s="14" t="s">
        <v>2839</v>
      </c>
      <c r="F914" s="15" t="s">
        <v>1198</v>
      </c>
      <c r="G914" s="14"/>
      <c r="H914" s="15"/>
      <c r="I914" s="15"/>
      <c r="J914" s="14" t="str">
        <f t="shared" si="15"/>
        <v>HTS-6 Number of individual HIV self-test kits distributed</v>
      </c>
      <c r="K914" s="374"/>
      <c r="L914" s="18"/>
      <c r="M914" s="375"/>
      <c r="N914" s="15"/>
      <c r="O914" s="15"/>
      <c r="P914" s="15"/>
      <c r="Q914" s="14" t="s">
        <v>4163</v>
      </c>
    </row>
    <row r="915" spans="4:17">
      <c r="D915" s="15" t="s">
        <v>6762</v>
      </c>
      <c r="E915" s="14" t="s">
        <v>2839</v>
      </c>
      <c r="F915" s="15" t="s">
        <v>1198</v>
      </c>
      <c r="G915" s="14"/>
      <c r="H915" s="15"/>
      <c r="I915" s="15"/>
      <c r="J915" s="14" t="str">
        <f t="shared" si="15"/>
        <v>HTS-6 Number of individual HIV self-test kits distributed</v>
      </c>
      <c r="K915" s="374"/>
      <c r="L915" s="18"/>
      <c r="M915" s="375"/>
      <c r="N915" s="15"/>
      <c r="O915" s="15"/>
      <c r="P915" s="15"/>
      <c r="Q915" s="14" t="s">
        <v>4164</v>
      </c>
    </row>
    <row r="916" spans="4:17">
      <c r="D916" s="15" t="s">
        <v>6763</v>
      </c>
      <c r="E916" s="14" t="s">
        <v>2839</v>
      </c>
      <c r="F916" s="15" t="s">
        <v>1198</v>
      </c>
      <c r="G916" s="14"/>
      <c r="H916" s="15"/>
      <c r="I916" s="15"/>
      <c r="J916" s="14" t="str">
        <f t="shared" si="15"/>
        <v>HTS-6 Number of individual HIV self-test kits distributed</v>
      </c>
      <c r="K916" s="374"/>
      <c r="L916" s="18"/>
      <c r="M916" s="375"/>
      <c r="N916" s="15"/>
      <c r="O916" s="15"/>
      <c r="P916" s="15"/>
      <c r="Q916" s="14" t="s">
        <v>4165</v>
      </c>
    </row>
    <row r="917" spans="4:17">
      <c r="D917" s="15" t="s">
        <v>6764</v>
      </c>
      <c r="E917" s="14" t="s">
        <v>2839</v>
      </c>
      <c r="F917" s="15" t="s">
        <v>1198</v>
      </c>
      <c r="G917" s="14"/>
      <c r="H917" s="15"/>
      <c r="I917" s="15"/>
      <c r="J917" s="14" t="str">
        <f t="shared" si="15"/>
        <v>HTS-6 Number of individual HIV self-test kits distributed</v>
      </c>
      <c r="K917" s="374"/>
      <c r="L917" s="18"/>
      <c r="M917" s="375"/>
      <c r="N917" s="15"/>
      <c r="O917" s="15"/>
      <c r="P917" s="15"/>
      <c r="Q917" s="14" t="s">
        <v>4166</v>
      </c>
    </row>
    <row r="918" spans="4:17">
      <c r="D918" s="15" t="s">
        <v>6765</v>
      </c>
      <c r="E918" s="14" t="s">
        <v>2839</v>
      </c>
      <c r="F918" s="15" t="s">
        <v>1198</v>
      </c>
      <c r="G918" s="14"/>
      <c r="H918" s="15"/>
      <c r="I918" s="15"/>
      <c r="J918" s="14" t="str">
        <f t="shared" si="15"/>
        <v>HTS-6 Number of individual HIV self-test kits distributed</v>
      </c>
      <c r="K918" s="374"/>
      <c r="L918" s="18"/>
      <c r="M918" s="375"/>
      <c r="N918" s="15"/>
      <c r="O918" s="15"/>
      <c r="P918" s="15"/>
      <c r="Q918" s="14" t="s">
        <v>4167</v>
      </c>
    </row>
    <row r="919" spans="4:17">
      <c r="D919" s="15" t="s">
        <v>6766</v>
      </c>
      <c r="E919" s="14" t="s">
        <v>2839</v>
      </c>
      <c r="F919" s="15" t="s">
        <v>1198</v>
      </c>
      <c r="G919" s="14"/>
      <c r="H919" s="15"/>
      <c r="I919" s="15"/>
      <c r="J919" s="14" t="str">
        <f t="shared" si="15"/>
        <v>HTS-6 Number of individual HIV self-test kits distributed</v>
      </c>
      <c r="K919" s="374"/>
      <c r="L919" s="18"/>
      <c r="M919" s="375"/>
      <c r="N919" s="15"/>
      <c r="O919" s="15"/>
      <c r="P919" s="15"/>
      <c r="Q919" s="14" t="s">
        <v>4168</v>
      </c>
    </row>
    <row r="920" spans="4:17">
      <c r="D920" s="15" t="s">
        <v>6767</v>
      </c>
      <c r="E920" s="14" t="s">
        <v>2839</v>
      </c>
      <c r="F920" s="15" t="s">
        <v>1198</v>
      </c>
      <c r="G920" s="14"/>
      <c r="H920" s="15"/>
      <c r="I920" s="15"/>
      <c r="J920" s="14" t="str">
        <f t="shared" si="15"/>
        <v>HTS-6 Number of individual HIV self-test kits distributed</v>
      </c>
      <c r="K920" s="374"/>
      <c r="L920" s="18"/>
      <c r="M920" s="375"/>
      <c r="N920" s="15"/>
      <c r="O920" s="15"/>
      <c r="P920" s="15"/>
      <c r="Q920" s="14" t="s">
        <v>4169</v>
      </c>
    </row>
    <row r="921" spans="4:17">
      <c r="D921" s="15" t="s">
        <v>6768</v>
      </c>
      <c r="E921" s="14" t="s">
        <v>2839</v>
      </c>
      <c r="F921" s="15" t="s">
        <v>1198</v>
      </c>
      <c r="G921" s="14"/>
      <c r="H921" s="15"/>
      <c r="I921" s="15"/>
      <c r="J921" s="14" t="str">
        <f t="shared" si="15"/>
        <v>HTS-6 Number of individual HIV self-test kits distributed</v>
      </c>
      <c r="K921" s="374"/>
      <c r="L921" s="18"/>
      <c r="M921" s="375"/>
      <c r="N921" s="15"/>
      <c r="O921" s="15"/>
      <c r="P921" s="15"/>
      <c r="Q921" s="14" t="s">
        <v>4170</v>
      </c>
    </row>
    <row r="922" spans="4:17">
      <c r="D922" s="15" t="s">
        <v>6769</v>
      </c>
      <c r="E922" s="14" t="s">
        <v>2839</v>
      </c>
      <c r="F922" s="15" t="s">
        <v>1198</v>
      </c>
      <c r="G922" s="14"/>
      <c r="H922" s="15"/>
      <c r="I922" s="15"/>
      <c r="J922" s="14" t="str">
        <f t="shared" si="15"/>
        <v>HTS-6 Number of individual HIV self-test kits distributed</v>
      </c>
      <c r="K922" s="374"/>
      <c r="L922" s="18"/>
      <c r="M922" s="375"/>
      <c r="N922" s="15"/>
      <c r="O922" s="15"/>
      <c r="P922" s="15"/>
      <c r="Q922" s="14" t="s">
        <v>4171</v>
      </c>
    </row>
    <row r="923" spans="4:17">
      <c r="D923" s="15" t="s">
        <v>6770</v>
      </c>
      <c r="E923" s="14" t="s">
        <v>2839</v>
      </c>
      <c r="F923" s="15" t="s">
        <v>1198</v>
      </c>
      <c r="G923" s="14"/>
      <c r="H923" s="15"/>
      <c r="I923" s="15"/>
      <c r="J923" s="14" t="str">
        <f t="shared" si="15"/>
        <v>HTS-6 Number of individual HIV self-test kits distributed</v>
      </c>
      <c r="K923" s="374"/>
      <c r="L923" s="18"/>
      <c r="M923" s="375"/>
      <c r="N923" s="15"/>
      <c r="O923" s="15"/>
      <c r="P923" s="15"/>
      <c r="Q923" s="14" t="s">
        <v>4172</v>
      </c>
    </row>
    <row r="924" spans="4:17">
      <c r="D924" s="15" t="s">
        <v>6771</v>
      </c>
      <c r="E924" s="14" t="s">
        <v>2839</v>
      </c>
      <c r="F924" s="15" t="s">
        <v>1198</v>
      </c>
      <c r="G924" s="14"/>
      <c r="H924" s="15"/>
      <c r="I924" s="15"/>
      <c r="J924" s="14" t="str">
        <f t="shared" si="15"/>
        <v>HTS-6 Number of individual HIV self-test kits distributed</v>
      </c>
      <c r="K924" s="374"/>
      <c r="L924" s="18"/>
      <c r="M924" s="375"/>
      <c r="N924" s="15"/>
      <c r="O924" s="15"/>
      <c r="P924" s="15"/>
      <c r="Q924" s="14" t="s">
        <v>4173</v>
      </c>
    </row>
    <row r="925" spans="4:17">
      <c r="D925" s="15" t="s">
        <v>6772</v>
      </c>
      <c r="E925" s="14" t="s">
        <v>2839</v>
      </c>
      <c r="F925" s="15" t="s">
        <v>1198</v>
      </c>
      <c r="G925" s="14"/>
      <c r="H925" s="15"/>
      <c r="I925" s="15"/>
      <c r="J925" s="14" t="str">
        <f t="shared" si="15"/>
        <v>HTS-6 Number of individual HIV self-test kits distributed</v>
      </c>
      <c r="K925" s="374"/>
      <c r="L925" s="18"/>
      <c r="M925" s="375"/>
      <c r="N925" s="15"/>
      <c r="O925" s="15"/>
      <c r="P925" s="15"/>
      <c r="Q925" s="14" t="s">
        <v>4174</v>
      </c>
    </row>
    <row r="926" spans="4:17">
      <c r="D926" s="15" t="s">
        <v>6773</v>
      </c>
      <c r="E926" s="14" t="s">
        <v>2839</v>
      </c>
      <c r="F926" s="15" t="s">
        <v>1198</v>
      </c>
      <c r="G926" s="14"/>
      <c r="H926" s="15"/>
      <c r="I926" s="15"/>
      <c r="J926" s="14" t="str">
        <f t="shared" si="15"/>
        <v>HTS-6 Number of individual HIV self-test kits distributed</v>
      </c>
      <c r="K926" s="374"/>
      <c r="L926" s="18"/>
      <c r="M926" s="375"/>
      <c r="N926" s="15"/>
      <c r="O926" s="15"/>
      <c r="P926" s="15"/>
      <c r="Q926" s="14" t="s">
        <v>4175</v>
      </c>
    </row>
    <row r="927" spans="4:17">
      <c r="D927" s="15" t="s">
        <v>6774</v>
      </c>
      <c r="E927" s="14" t="s">
        <v>2839</v>
      </c>
      <c r="F927" s="15" t="s">
        <v>1198</v>
      </c>
      <c r="G927" s="14"/>
      <c r="H927" s="15"/>
      <c r="I927" s="15"/>
      <c r="J927" s="14" t="str">
        <f t="shared" si="15"/>
        <v>HTS-6 Number of individual HIV self-test kits distributed</v>
      </c>
      <c r="K927" s="374"/>
      <c r="L927" s="18"/>
      <c r="M927" s="375"/>
      <c r="N927" s="15"/>
      <c r="O927" s="15"/>
      <c r="P927" s="15"/>
      <c r="Q927" s="14" t="s">
        <v>4176</v>
      </c>
    </row>
    <row r="928" spans="4:17">
      <c r="D928" s="15" t="s">
        <v>6775</v>
      </c>
      <c r="E928" s="14" t="s">
        <v>2839</v>
      </c>
      <c r="F928" s="15" t="s">
        <v>1198</v>
      </c>
      <c r="G928" s="14"/>
      <c r="H928" s="15"/>
      <c r="I928" s="15"/>
      <c r="J928" s="14" t="str">
        <f t="shared" si="15"/>
        <v>HTS-6 Number of individual HIV self-test kits distributed</v>
      </c>
      <c r="K928" s="374"/>
      <c r="L928" s="18"/>
      <c r="M928" s="375"/>
      <c r="N928" s="15"/>
      <c r="O928" s="15"/>
      <c r="P928" s="15"/>
      <c r="Q928" s="14" t="s">
        <v>4177</v>
      </c>
    </row>
    <row r="929" spans="4:17">
      <c r="D929" s="15" t="s">
        <v>6776</v>
      </c>
      <c r="E929" s="14" t="s">
        <v>2839</v>
      </c>
      <c r="F929" s="15" t="s">
        <v>1198</v>
      </c>
      <c r="G929" s="14"/>
      <c r="H929" s="15"/>
      <c r="I929" s="15"/>
      <c r="J929" s="14" t="str">
        <f t="shared" si="15"/>
        <v>HTS-6 Number of individual HIV self-test kits distributed</v>
      </c>
      <c r="K929" s="374"/>
      <c r="L929" s="18"/>
      <c r="M929" s="375"/>
      <c r="N929" s="15"/>
      <c r="O929" s="15"/>
      <c r="P929" s="15"/>
      <c r="Q929" s="14" t="s">
        <v>4178</v>
      </c>
    </row>
    <row r="930" spans="4:17">
      <c r="D930" s="15" t="s">
        <v>6777</v>
      </c>
      <c r="E930" s="14" t="s">
        <v>2839</v>
      </c>
      <c r="F930" s="15" t="s">
        <v>1198</v>
      </c>
      <c r="G930" s="14"/>
      <c r="H930" s="15"/>
      <c r="I930" s="15"/>
      <c r="J930" s="14" t="str">
        <f t="shared" si="15"/>
        <v>HTS-6 Number of individual HIV self-test kits distributed</v>
      </c>
      <c r="K930" s="374"/>
      <c r="L930" s="18"/>
      <c r="M930" s="375"/>
      <c r="N930" s="15"/>
      <c r="O930" s="15"/>
      <c r="P930" s="15"/>
      <c r="Q930" s="14" t="s">
        <v>4179</v>
      </c>
    </row>
    <row r="931" spans="4:17">
      <c r="D931" s="15" t="s">
        <v>6778</v>
      </c>
      <c r="E931" s="14" t="s">
        <v>2867</v>
      </c>
      <c r="F931" s="15" t="s">
        <v>1201</v>
      </c>
      <c r="G931" s="14"/>
      <c r="H931" s="15" t="s">
        <v>1192</v>
      </c>
      <c r="I931" s="15" t="s">
        <v>3193</v>
      </c>
      <c r="J931" s="14" t="str">
        <f t="shared" si="15"/>
        <v>TCS-1.1 Percentage of people on ART among all people living with HIV at the end of the reporting periodGenderMale</v>
      </c>
      <c r="K931" s="374">
        <v>47356</v>
      </c>
      <c r="L931" s="18">
        <v>214408</v>
      </c>
      <c r="M931" s="375">
        <v>22.08686243</v>
      </c>
      <c r="N931" s="15" t="s">
        <v>2328</v>
      </c>
      <c r="O931" s="15" t="s">
        <v>780</v>
      </c>
      <c r="P931" s="15" t="s">
        <v>2274</v>
      </c>
      <c r="Q931" s="14" t="s">
        <v>4252</v>
      </c>
    </row>
    <row r="932" spans="4:17">
      <c r="D932" s="15" t="s">
        <v>6779</v>
      </c>
      <c r="E932" s="14" t="s">
        <v>2867</v>
      </c>
      <c r="F932" s="15" t="s">
        <v>1201</v>
      </c>
      <c r="G932" s="14"/>
      <c r="H932" s="15" t="s">
        <v>1192</v>
      </c>
      <c r="I932" s="15" t="s">
        <v>3197</v>
      </c>
      <c r="J932" s="14" t="str">
        <f t="shared" si="15"/>
        <v>TCS-1.1 Percentage of people on ART among all people living with HIV at the end of the reporting periodGenderFemale</v>
      </c>
      <c r="K932" s="374">
        <v>26919</v>
      </c>
      <c r="L932" s="18">
        <v>214408</v>
      </c>
      <c r="M932" s="375">
        <v>12.55503526</v>
      </c>
      <c r="N932" s="15" t="s">
        <v>2328</v>
      </c>
      <c r="O932" s="15" t="s">
        <v>780</v>
      </c>
      <c r="P932" s="15" t="s">
        <v>2275</v>
      </c>
      <c r="Q932" s="14" t="s">
        <v>4255</v>
      </c>
    </row>
    <row r="933" spans="4:17">
      <c r="D933" s="15" t="s">
        <v>6780</v>
      </c>
      <c r="E933" s="14" t="s">
        <v>2874</v>
      </c>
      <c r="F933" s="15" t="s">
        <v>1204</v>
      </c>
      <c r="G933" s="14"/>
      <c r="H933" s="15" t="s">
        <v>1192</v>
      </c>
      <c r="I933" s="15" t="s">
        <v>3193</v>
      </c>
      <c r="J933" s="14" t="str">
        <f t="shared" si="15"/>
        <v>TCS-1b Percentage of adults (15 and above) on ART among all adults living with HIV at the end of the reporting periodGenderMale</v>
      </c>
      <c r="K933" s="374"/>
      <c r="L933" s="18"/>
      <c r="M933" s="375"/>
      <c r="N933" s="15"/>
      <c r="O933" s="15" t="s">
        <v>2281</v>
      </c>
      <c r="P933" s="15" t="s">
        <v>2282</v>
      </c>
      <c r="Q933" s="14" t="s">
        <v>4258</v>
      </c>
    </row>
    <row r="934" spans="4:17">
      <c r="D934" s="15" t="s">
        <v>6781</v>
      </c>
      <c r="E934" s="14" t="s">
        <v>2874</v>
      </c>
      <c r="F934" s="15" t="s">
        <v>1204</v>
      </c>
      <c r="G934" s="14"/>
      <c r="H934" s="15" t="s">
        <v>1192</v>
      </c>
      <c r="I934" s="15" t="s">
        <v>3197</v>
      </c>
      <c r="J934" s="14" t="str">
        <f t="shared" si="15"/>
        <v>TCS-1b Percentage of adults (15 and above) on ART among all adults living with HIV at the end of the reporting periodGenderFemale</v>
      </c>
      <c r="K934" s="374">
        <v>20276</v>
      </c>
      <c r="L934" s="18">
        <v>22342</v>
      </c>
      <c r="M934" s="375">
        <v>90.752842180000002</v>
      </c>
      <c r="N934" s="15" t="s">
        <v>2328</v>
      </c>
      <c r="O934" s="15" t="s">
        <v>2211</v>
      </c>
      <c r="P934" s="15" t="s">
        <v>2283</v>
      </c>
      <c r="Q934" s="14" t="s">
        <v>4261</v>
      </c>
    </row>
    <row r="935" spans="4:17">
      <c r="D935" s="15" t="s">
        <v>6782</v>
      </c>
      <c r="E935" s="14" t="s">
        <v>2881</v>
      </c>
      <c r="F935" s="15" t="s">
        <v>1207</v>
      </c>
      <c r="G935" s="14"/>
      <c r="H935" s="15" t="s">
        <v>1192</v>
      </c>
      <c r="I935" s="15" t="s">
        <v>3193</v>
      </c>
      <c r="J935" s="14" t="str">
        <f t="shared" si="15"/>
        <v>TCS-1c Percentage of children (under 15) on ART among all children living with HIV at the end of the reporting periodGenderMale</v>
      </c>
      <c r="K935" s="374"/>
      <c r="L935" s="18"/>
      <c r="M935" s="375"/>
      <c r="N935" s="15" t="s">
        <v>2328</v>
      </c>
      <c r="O935" s="15" t="s">
        <v>2281</v>
      </c>
      <c r="P935" s="15" t="s">
        <v>2282</v>
      </c>
      <c r="Q935" s="14" t="s">
        <v>4264</v>
      </c>
    </row>
    <row r="936" spans="4:17">
      <c r="D936" s="15" t="s">
        <v>6783</v>
      </c>
      <c r="E936" s="14" t="s">
        <v>2881</v>
      </c>
      <c r="F936" s="15" t="s">
        <v>1207</v>
      </c>
      <c r="G936" s="14"/>
      <c r="H936" s="15" t="s">
        <v>1192</v>
      </c>
      <c r="I936" s="15" t="s">
        <v>3197</v>
      </c>
      <c r="J936" s="14" t="str">
        <f t="shared" si="15"/>
        <v>TCS-1c Percentage of children (under 15) on ART among all children living with HIV at the end of the reporting periodGenderFemale</v>
      </c>
      <c r="K936" s="374"/>
      <c r="L936" s="18"/>
      <c r="M936" s="375"/>
      <c r="N936" s="15"/>
      <c r="O936" s="15"/>
      <c r="P936" s="15"/>
      <c r="Q936" s="14" t="s">
        <v>4267</v>
      </c>
    </row>
    <row r="937" spans="4:17">
      <c r="D937" s="15" t="s">
        <v>6784</v>
      </c>
      <c r="E937" s="14" t="s">
        <v>2895</v>
      </c>
      <c r="F937" s="15" t="s">
        <v>1210</v>
      </c>
      <c r="G937" s="14"/>
      <c r="H937" s="15" t="s">
        <v>849</v>
      </c>
      <c r="I937" s="15" t="s">
        <v>3240</v>
      </c>
      <c r="J937" s="14" t="str">
        <f t="shared" si="15"/>
        <v>TCS-8 Percentage of people living with HIV and on ART with viral load test resultAge15+</v>
      </c>
      <c r="K937" s="374">
        <v>53</v>
      </c>
      <c r="L937" s="18">
        <v>1236</v>
      </c>
      <c r="M937" s="375">
        <v>4.2880258900000001</v>
      </c>
      <c r="N937" s="15" t="s">
        <v>2328</v>
      </c>
      <c r="O937" s="15" t="s">
        <v>2285</v>
      </c>
      <c r="P937" s="15" t="s">
        <v>2294</v>
      </c>
      <c r="Q937" s="14" t="s">
        <v>4270</v>
      </c>
    </row>
    <row r="938" spans="4:17">
      <c r="D938" s="15" t="s">
        <v>6785</v>
      </c>
      <c r="E938" s="14" t="s">
        <v>2895</v>
      </c>
      <c r="F938" s="15" t="s">
        <v>1210</v>
      </c>
      <c r="G938" s="14"/>
      <c r="H938" s="15" t="s">
        <v>849</v>
      </c>
      <c r="I938" s="15" t="s">
        <v>3244</v>
      </c>
      <c r="J938" s="14" t="str">
        <f t="shared" si="15"/>
        <v>TCS-8 Percentage of people living with HIV and on ART with viral load test resultAge&lt;15</v>
      </c>
      <c r="K938" s="374">
        <v>686</v>
      </c>
      <c r="L938" s="18">
        <v>1236</v>
      </c>
      <c r="M938" s="375">
        <v>55.501618120000003</v>
      </c>
      <c r="N938" s="15" t="s">
        <v>2328</v>
      </c>
      <c r="O938" s="15" t="s">
        <v>2285</v>
      </c>
      <c r="P938" s="15" t="s">
        <v>2295</v>
      </c>
      <c r="Q938" s="14" t="s">
        <v>4273</v>
      </c>
    </row>
    <row r="939" spans="4:17">
      <c r="D939" s="15" t="s">
        <v>6786</v>
      </c>
      <c r="E939" s="14" t="s">
        <v>2895</v>
      </c>
      <c r="F939" s="15" t="s">
        <v>1210</v>
      </c>
      <c r="G939" s="14"/>
      <c r="H939" s="15" t="s">
        <v>5148</v>
      </c>
      <c r="I939" s="15" t="s">
        <v>4277</v>
      </c>
      <c r="J939" s="14" t="str">
        <f t="shared" si="15"/>
        <v>TCS-8 Percentage of people living with HIV and on ART with viral load test resultGender | AgeMale 15+</v>
      </c>
      <c r="K939" s="374">
        <v>5</v>
      </c>
      <c r="L939" s="18">
        <v>1236</v>
      </c>
      <c r="M939" s="375">
        <v>0.404530744</v>
      </c>
      <c r="N939" s="15" t="s">
        <v>2328</v>
      </c>
      <c r="O939" s="15" t="s">
        <v>2285</v>
      </c>
      <c r="P939" s="15" t="s">
        <v>2296</v>
      </c>
      <c r="Q939" s="14" t="s">
        <v>4276</v>
      </c>
    </row>
    <row r="940" spans="4:17">
      <c r="D940" s="15" t="s">
        <v>6787</v>
      </c>
      <c r="E940" s="14" t="s">
        <v>2895</v>
      </c>
      <c r="F940" s="15" t="s">
        <v>1210</v>
      </c>
      <c r="G940" s="14"/>
      <c r="H940" s="15" t="s">
        <v>5148</v>
      </c>
      <c r="I940" s="15" t="s">
        <v>4281</v>
      </c>
      <c r="J940" s="14" t="str">
        <f t="shared" si="15"/>
        <v>TCS-8 Percentage of people living with HIV and on ART with viral load test resultGender | AgeFemale 15+</v>
      </c>
      <c r="K940" s="374">
        <v>480</v>
      </c>
      <c r="L940" s="18">
        <v>1236</v>
      </c>
      <c r="M940" s="375">
        <v>38.834951459999999</v>
      </c>
      <c r="N940" s="15" t="s">
        <v>2328</v>
      </c>
      <c r="O940" s="15" t="s">
        <v>2285</v>
      </c>
      <c r="P940" s="15" t="s">
        <v>2297</v>
      </c>
      <c r="Q940" s="14" t="s">
        <v>4280</v>
      </c>
    </row>
    <row r="941" spans="4:17">
      <c r="D941" s="15" t="s">
        <v>6788</v>
      </c>
      <c r="E941" s="14" t="s">
        <v>2916</v>
      </c>
      <c r="F941" s="15" t="s">
        <v>1405</v>
      </c>
      <c r="G941" s="14"/>
      <c r="H941" s="15" t="s">
        <v>1423</v>
      </c>
      <c r="I941" s="15" t="s">
        <v>4330</v>
      </c>
      <c r="J941" s="14" t="str">
        <f t="shared" si="15"/>
        <v>RSSH/PP M&amp;E-1 Completeness of reporting: Percentage of expected monthly reports (for the reporting period) that are actually receivedReport typeNotifiable diseases and event surveillance reports</v>
      </c>
      <c r="K941" s="374"/>
      <c r="L941" s="18"/>
      <c r="M941" s="375"/>
      <c r="N941" s="15"/>
      <c r="O941" s="15"/>
      <c r="P941" s="15"/>
      <c r="Q941" s="14" t="s">
        <v>4329</v>
      </c>
    </row>
    <row r="942" spans="4:17">
      <c r="D942" s="15" t="s">
        <v>6789</v>
      </c>
      <c r="E942" s="14" t="s">
        <v>2916</v>
      </c>
      <c r="F942" s="15" t="s">
        <v>1405</v>
      </c>
      <c r="G942" s="14"/>
      <c r="H942" s="15" t="s">
        <v>1028</v>
      </c>
      <c r="I942" s="15" t="s">
        <v>4334</v>
      </c>
      <c r="J942" s="14" t="str">
        <f t="shared" si="15"/>
        <v>RSSH/PP M&amp;E-1 Completeness of reporting: Percentage of expected monthly reports (for the reporting period) that are actually receivedProvider typeCommunity</v>
      </c>
      <c r="K942" s="374"/>
      <c r="L942" s="18"/>
      <c r="M942" s="375"/>
      <c r="N942" s="15"/>
      <c r="O942" s="15"/>
      <c r="P942" s="15"/>
      <c r="Q942" s="14" t="s">
        <v>4333</v>
      </c>
    </row>
    <row r="943" spans="4:17">
      <c r="D943" s="15" t="s">
        <v>6790</v>
      </c>
      <c r="E943" s="14" t="s">
        <v>2916</v>
      </c>
      <c r="F943" s="15" t="s">
        <v>1405</v>
      </c>
      <c r="G943" s="14"/>
      <c r="H943" s="15" t="s">
        <v>1423</v>
      </c>
      <c r="I943" s="15" t="s">
        <v>4338</v>
      </c>
      <c r="J943" s="14" t="str">
        <f t="shared" si="15"/>
        <v>RSSH/PP M&amp;E-1 Completeness of reporting: Percentage of expected monthly reports (for the reporting period) that are actually receivedReport typeIntegrated reports</v>
      </c>
      <c r="K943" s="374"/>
      <c r="L943" s="18"/>
      <c r="M943" s="375"/>
      <c r="N943" s="15"/>
      <c r="O943" s="15"/>
      <c r="P943" s="15"/>
      <c r="Q943" s="14" t="s">
        <v>4337</v>
      </c>
    </row>
    <row r="944" spans="4:17">
      <c r="D944" s="15" t="s">
        <v>6791</v>
      </c>
      <c r="E944" s="14" t="s">
        <v>2916</v>
      </c>
      <c r="F944" s="15" t="s">
        <v>1405</v>
      </c>
      <c r="G944" s="14"/>
      <c r="H944" s="15" t="s">
        <v>1423</v>
      </c>
      <c r="I944" s="15" t="s">
        <v>4342</v>
      </c>
      <c r="J944" s="14" t="str">
        <f t="shared" si="15"/>
        <v>RSSH/PP M&amp;E-1 Completeness of reporting: Percentage of expected monthly reports (for the reporting period) that are actually receivedReport typeMalaria reports</v>
      </c>
      <c r="K944" s="374"/>
      <c r="L944" s="18"/>
      <c r="M944" s="375"/>
      <c r="N944" s="15"/>
      <c r="O944" s="15"/>
      <c r="P944" s="15"/>
      <c r="Q944" s="14" t="s">
        <v>4341</v>
      </c>
    </row>
    <row r="945" spans="4:17">
      <c r="D945" s="15" t="s">
        <v>6792</v>
      </c>
      <c r="E945" s="14" t="s">
        <v>2916</v>
      </c>
      <c r="F945" s="15" t="s">
        <v>1405</v>
      </c>
      <c r="G945" s="14"/>
      <c r="H945" s="15" t="s">
        <v>1028</v>
      </c>
      <c r="I945" s="15" t="s">
        <v>3417</v>
      </c>
      <c r="J945" s="14" t="str">
        <f t="shared" si="15"/>
        <v>RSSH/PP M&amp;E-1 Completeness of reporting: Percentage of expected monthly reports (for the reporting period) that are actually receivedProvider typePrivate</v>
      </c>
      <c r="K945" s="374"/>
      <c r="L945" s="18"/>
      <c r="M945" s="375"/>
      <c r="N945" s="15"/>
      <c r="O945" s="15"/>
      <c r="P945" s="15"/>
      <c r="Q945" s="14" t="s">
        <v>4345</v>
      </c>
    </row>
    <row r="946" spans="4:17">
      <c r="D946" s="15" t="s">
        <v>6793</v>
      </c>
      <c r="E946" s="14" t="s">
        <v>2916</v>
      </c>
      <c r="F946" s="15" t="s">
        <v>1405</v>
      </c>
      <c r="G946" s="14"/>
      <c r="H946" s="15" t="s">
        <v>1423</v>
      </c>
      <c r="I946" s="15" t="s">
        <v>4349</v>
      </c>
      <c r="J946" s="14" t="str">
        <f t="shared" si="15"/>
        <v>RSSH/PP M&amp;E-1 Completeness of reporting: Percentage of expected monthly reports (for the reporting period) that are actually receivedReport typeTB reports</v>
      </c>
      <c r="K946" s="374"/>
      <c r="L946" s="18"/>
      <c r="M946" s="375"/>
      <c r="N946" s="15"/>
      <c r="O946" s="15"/>
      <c r="P946" s="15"/>
      <c r="Q946" s="14" t="s">
        <v>4348</v>
      </c>
    </row>
    <row r="947" spans="4:17">
      <c r="D947" s="15" t="s">
        <v>6794</v>
      </c>
      <c r="E947" s="14" t="s">
        <v>2916</v>
      </c>
      <c r="F947" s="15" t="s">
        <v>1405</v>
      </c>
      <c r="G947" s="14"/>
      <c r="H947" s="15" t="s">
        <v>1423</v>
      </c>
      <c r="I947" s="15" t="s">
        <v>4353</v>
      </c>
      <c r="J947" s="14" t="str">
        <f t="shared" si="15"/>
        <v>RSSH/PP M&amp;E-1 Completeness of reporting: Percentage of expected monthly reports (for the reporting period) that are actually receivedReport typeHIV reports</v>
      </c>
      <c r="K947" s="374"/>
      <c r="L947" s="18"/>
      <c r="M947" s="375"/>
      <c r="N947" s="15"/>
      <c r="O947" s="15"/>
      <c r="P947" s="15"/>
      <c r="Q947" s="14" t="s">
        <v>4352</v>
      </c>
    </row>
    <row r="948" spans="4:17">
      <c r="D948" s="15" t="s">
        <v>6795</v>
      </c>
      <c r="E948" s="14" t="s">
        <v>2916</v>
      </c>
      <c r="F948" s="15" t="s">
        <v>1405</v>
      </c>
      <c r="G948" s="14"/>
      <c r="H948" s="15" t="s">
        <v>1028</v>
      </c>
      <c r="I948" s="15" t="s">
        <v>3421</v>
      </c>
      <c r="J948" s="14" t="str">
        <f t="shared" si="15"/>
        <v>RSSH/PP M&amp;E-1 Completeness of reporting: Percentage of expected monthly reports (for the reporting period) that are actually receivedProvider typePublic</v>
      </c>
      <c r="K948" s="374"/>
      <c r="L948" s="18"/>
      <c r="M948" s="375"/>
      <c r="N948" s="15"/>
      <c r="O948" s="15"/>
      <c r="P948" s="15"/>
      <c r="Q948" s="14" t="s">
        <v>4356</v>
      </c>
    </row>
    <row r="949" spans="4:17">
      <c r="D949" s="15" t="s">
        <v>6796</v>
      </c>
      <c r="E949" s="14" t="s">
        <v>2923</v>
      </c>
      <c r="F949" s="15" t="s">
        <v>1409</v>
      </c>
      <c r="G949" s="14"/>
      <c r="H949" s="15" t="s">
        <v>1423</v>
      </c>
      <c r="I949" s="15" t="s">
        <v>4330</v>
      </c>
      <c r="J949" s="14" t="str">
        <f t="shared" si="15"/>
        <v>RSSH/PP M&amp;E-2 Timeliness of reporting: Percentage of submitted monthly reports (for the reporting period) that are received on time per the national guidelinesReport typeNotifiable diseases and event surveillance reports</v>
      </c>
      <c r="K949" s="374"/>
      <c r="L949" s="18"/>
      <c r="M949" s="375"/>
      <c r="N949" s="15"/>
      <c r="O949" s="15" t="s">
        <v>2281</v>
      </c>
      <c r="P949" s="15" t="s">
        <v>2282</v>
      </c>
      <c r="Q949" s="14" t="s">
        <v>4359</v>
      </c>
    </row>
    <row r="950" spans="4:17">
      <c r="D950" s="15" t="s">
        <v>6797</v>
      </c>
      <c r="E950" s="14" t="s">
        <v>2923</v>
      </c>
      <c r="F950" s="15" t="s">
        <v>1409</v>
      </c>
      <c r="G950" s="14"/>
      <c r="H950" s="15" t="s">
        <v>1028</v>
      </c>
      <c r="I950" s="15" t="s">
        <v>4334</v>
      </c>
      <c r="J950" s="14" t="str">
        <f t="shared" si="15"/>
        <v>RSSH/PP M&amp;E-2 Timeliness of reporting: Percentage of submitted monthly reports (for the reporting period) that are received on time per the national guidelinesProvider typeCommunity</v>
      </c>
      <c r="K950" s="374"/>
      <c r="L950" s="18"/>
      <c r="M950" s="375"/>
      <c r="N950" s="15"/>
      <c r="O950" s="15" t="s">
        <v>2281</v>
      </c>
      <c r="P950" s="15" t="s">
        <v>2282</v>
      </c>
      <c r="Q950" s="14" t="s">
        <v>4362</v>
      </c>
    </row>
    <row r="951" spans="4:17">
      <c r="D951" s="15" t="s">
        <v>6798</v>
      </c>
      <c r="E951" s="14" t="s">
        <v>2923</v>
      </c>
      <c r="F951" s="15" t="s">
        <v>1409</v>
      </c>
      <c r="G951" s="14"/>
      <c r="H951" s="15" t="s">
        <v>1423</v>
      </c>
      <c r="I951" s="15" t="s">
        <v>4342</v>
      </c>
      <c r="J951" s="14" t="str">
        <f t="shared" si="15"/>
        <v>RSSH/PP M&amp;E-2 Timeliness of reporting: Percentage of submitted monthly reports (for the reporting period) that are received on time per the national guidelinesReport typeMalaria reports</v>
      </c>
      <c r="K951" s="374">
        <v>153679</v>
      </c>
      <c r="L951" s="18">
        <v>167052</v>
      </c>
      <c r="M951" s="375">
        <v>91.994708230000001</v>
      </c>
      <c r="N951" s="15"/>
      <c r="O951" s="15" t="s">
        <v>780</v>
      </c>
      <c r="P951" s="15" t="s">
        <v>2299</v>
      </c>
      <c r="Q951" s="14" t="s">
        <v>4365</v>
      </c>
    </row>
    <row r="952" spans="4:17">
      <c r="D952" s="15" t="s">
        <v>6799</v>
      </c>
      <c r="E952" s="14" t="s">
        <v>2923</v>
      </c>
      <c r="F952" s="15" t="s">
        <v>1409</v>
      </c>
      <c r="G952" s="14"/>
      <c r="H952" s="15" t="s">
        <v>1028</v>
      </c>
      <c r="I952" s="15" t="s">
        <v>3417</v>
      </c>
      <c r="J952" s="14" t="str">
        <f t="shared" si="15"/>
        <v>RSSH/PP M&amp;E-2 Timeliness of reporting: Percentage of submitted monthly reports (for the reporting period) that are received on time per the national guidelinesProvider typePrivate</v>
      </c>
      <c r="K952" s="374"/>
      <c r="L952" s="18"/>
      <c r="M952" s="375"/>
      <c r="N952" s="15"/>
      <c r="O952" s="15" t="s">
        <v>2281</v>
      </c>
      <c r="P952" s="15" t="s">
        <v>2282</v>
      </c>
      <c r="Q952" s="14" t="s">
        <v>4368</v>
      </c>
    </row>
    <row r="953" spans="4:17">
      <c r="D953" s="15" t="s">
        <v>6800</v>
      </c>
      <c r="E953" s="14" t="s">
        <v>2923</v>
      </c>
      <c r="F953" s="15" t="s">
        <v>1409</v>
      </c>
      <c r="G953" s="14"/>
      <c r="H953" s="15" t="s">
        <v>1423</v>
      </c>
      <c r="I953" s="15" t="s">
        <v>4349</v>
      </c>
      <c r="J953" s="14" t="str">
        <f t="shared" si="15"/>
        <v>RSSH/PP M&amp;E-2 Timeliness of reporting: Percentage of submitted monthly reports (for the reporting period) that are received on time per the national guidelinesReport typeTB reports</v>
      </c>
      <c r="K953" s="374"/>
      <c r="L953" s="18"/>
      <c r="M953" s="375"/>
      <c r="N953" s="15"/>
      <c r="O953" s="15" t="s">
        <v>2281</v>
      </c>
      <c r="P953" s="15" t="s">
        <v>2282</v>
      </c>
      <c r="Q953" s="14" t="s">
        <v>4371</v>
      </c>
    </row>
    <row r="954" spans="4:17">
      <c r="D954" s="15" t="s">
        <v>6801</v>
      </c>
      <c r="E954" s="14" t="s">
        <v>2923</v>
      </c>
      <c r="F954" s="15" t="s">
        <v>1409</v>
      </c>
      <c r="G954" s="14"/>
      <c r="H954" s="15" t="s">
        <v>1423</v>
      </c>
      <c r="I954" s="15" t="s">
        <v>4353</v>
      </c>
      <c r="J954" s="14" t="str">
        <f t="shared" si="15"/>
        <v>RSSH/PP M&amp;E-2 Timeliness of reporting: Percentage of submitted monthly reports (for the reporting period) that are received on time per the national guidelinesReport typeHIV reports</v>
      </c>
      <c r="K954" s="374">
        <v>13373</v>
      </c>
      <c r="L954" s="18">
        <v>167052</v>
      </c>
      <c r="M954" s="375">
        <v>8.0052917650000008</v>
      </c>
      <c r="N954" s="15" t="s">
        <v>2328</v>
      </c>
      <c r="O954" s="15" t="s">
        <v>780</v>
      </c>
      <c r="P954" s="15" t="s">
        <v>2300</v>
      </c>
      <c r="Q954" s="14" t="s">
        <v>4374</v>
      </c>
    </row>
    <row r="955" spans="4:17">
      <c r="D955" s="15" t="s">
        <v>6802</v>
      </c>
      <c r="E955" s="14" t="s">
        <v>2923</v>
      </c>
      <c r="F955" s="15" t="s">
        <v>1409</v>
      </c>
      <c r="G955" s="14"/>
      <c r="H955" s="15" t="s">
        <v>1028</v>
      </c>
      <c r="I955" s="15" t="s">
        <v>3421</v>
      </c>
      <c r="J955" s="14" t="str">
        <f t="shared" si="15"/>
        <v>RSSH/PP M&amp;E-2 Timeliness of reporting: Percentage of submitted monthly reports (for the reporting period) that are received on time per the national guidelinesProvider typePublic</v>
      </c>
      <c r="K955" s="374"/>
      <c r="L955" s="18"/>
      <c r="M955" s="375"/>
      <c r="N955" s="15"/>
      <c r="O955" s="15" t="s">
        <v>2281</v>
      </c>
      <c r="P955" s="15" t="s">
        <v>2282</v>
      </c>
      <c r="Q955" s="14" t="s">
        <v>4377</v>
      </c>
    </row>
  </sheetData>
  <dataValidations count="9">
    <dataValidation type="custom" allowBlank="1" showInputMessage="1" showErrorMessage="1" errorTitle="X-Author for Excel" error="Id and Lookup fields are not editable." promptTitle="X-Author for Excel" sqref="O3:O153 O159:O309 Q315:Q955" xr:uid="{00000000-0002-0000-0F00-000000000000}">
      <formula1>""</formula1>
    </dataValidation>
    <dataValidation type="decimal" allowBlank="1" showInputMessage="1" showErrorMessage="1" errorTitle="X-Author for Excel" error="Please enter a valid numeric value. Valid range for Baseline N# is -1E+16 to 1E+16." promptTitle="X-Author for Excel" sqref="K315:K955" xr:uid="{00000000-0002-0000-0F00-000003000000}">
      <formula1>-10000000000000000</formula1>
      <formula2>10000000000000000</formula2>
    </dataValidation>
    <dataValidation type="decimal" allowBlank="1" showInputMessage="1" showErrorMessage="1" errorTitle="X-Author for Excel" error="Please enter a valid numeric value. Valid range for Baseline D# is -1E+16 to 1E+16." promptTitle="X-Author for Excel" sqref="L315:L955 P3:P153" xr:uid="{00000000-0002-0000-0F00-000004000000}">
      <formula1>-10000000000000000</formula1>
      <formula2>10000000000000000</formula2>
    </dataValidation>
    <dataValidation type="decimal" allowBlank="1" showInputMessage="1" showErrorMessage="1" errorTitle="X-Author for Excel" error="Please enter a valid numeric value. Valid range for Baseline % is -999.9 to 999.9." promptTitle="X-Author for Excel" sqref="M315:M955" xr:uid="{00000000-0002-0000-0F00-000005000000}">
      <formula1>-999.9</formula1>
      <formula2>999.9</formula2>
    </dataValidation>
    <dataValidation type="list" allowBlank="1" showInputMessage="1" showErrorMessage="1" errorTitle="X-Author for Excel" error="Please select a value from the drop-down." promptTitle="X-Author for Excel" sqref="L3:L153" xr:uid="{C5660DEC-E1AA-452A-8450-E3DF9EA75886}">
      <formula1>IF(IFERROR(ROWS(INDIRECT(SUBSTITUTE("AIM_Impact_Disaggregation__c.AIM_Baseline_Year__c"," ","_"))),-1) &lt; 0, XAE_Invalid_PLData,INDIRECT(SUBSTITUTE("AIM_Impact_Disaggregation__c.AIM_Baseline_Year__c"," ","_")))</formula1>
    </dataValidation>
    <dataValidation type="decimal" allowBlank="1" showInputMessage="1" showErrorMessage="1" errorTitle="X-Author for Excel" error="Please enter a valid numeric value. Valid range for Baseline N# is -100000000000000 to 100000000000000." promptTitle="X-Author for Excel" sqref="Q3:Q153" xr:uid="{C7B776A6-ACA4-45F4-821D-3467F2CFBCE1}">
      <formula1>-100000000000000</formula1>
      <formula2>100000000000000</formula2>
    </dataValidation>
    <dataValidation type="decimal" allowBlank="1" showInputMessage="1" showErrorMessage="1" errorTitle="X-Author for Excel" error="Please enter a valid numeric value. Valid range for Baseline % is -999.99 to 999.99." promptTitle="X-Author for Excel" sqref="R3:R153" xr:uid="{6FA3FCC2-D85E-4A91-843D-2A7DDC80798A}">
      <formula1>-999.99</formula1>
      <formula2>999.99</formula2>
    </dataValidation>
    <dataValidation type="list" allowBlank="1" showInputMessage="1" showErrorMessage="1" errorTitle="X-Author for Excel" error="Please select a value from the drop-down." promptTitle="X-Author for Excel" sqref="L159:L309" xr:uid="{CE058B79-E599-4C06-BC19-A4AC3E84EF95}">
      <formula1>IF(IFERROR(ROWS(INDIRECT(SUBSTITUTE("AIM_Outcome_Disaggregation__c.AIM_Baseline_Year__c"," ","_"))),-1) &lt; 0, XAE_Invalid_PLData,INDIRECT(SUBSTITUTE("AIM_Outcome_Disaggregation__c.AIM_Baseline_Year__c"," ","_")))</formula1>
    </dataValidation>
    <dataValidation type="list" allowBlank="1" showInputMessage="1" showErrorMessage="1" errorTitle="X-Author for Excel" error="Please select a value from the drop-down." promptTitle="X-Author for Excel" sqref="N315:N955" xr:uid="{38F63F81-6DF8-4F80-954E-54CEB0BEF4E9}">
      <formula1>IF(IFERROR(ROWS(INDIRECT(SUBSTITUTE("AIM_Coverage_Disaggregation__c.AIM_Year__c"," ","_"))),-1) &lt; 0, XAE_Invalid_PLData,INDIRECT(SUBSTITUTE("AIM_Coverage_Disaggregation__c.AIM_Year__c"," ","_")))</formula1>
    </dataValidation>
  </dataValidations>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A1:I1143"/>
  <sheetViews>
    <sheetView workbookViewId="0">
      <selection activeCell="H2" sqref="H2"/>
    </sheetView>
  </sheetViews>
  <sheetFormatPr defaultColWidth="8.625" defaultRowHeight="12.75"/>
  <cols>
    <col min="1" max="1" width="13.625" style="1" bestFit="1" customWidth="1"/>
    <col min="2" max="2" width="24.125" style="1" customWidth="1"/>
    <col min="3" max="3" width="12.625" style="1" customWidth="1"/>
    <col min="4" max="4" width="13.625" style="1" bestFit="1" customWidth="1"/>
    <col min="5" max="5" width="26.875" style="1" customWidth="1"/>
    <col min="6" max="6" width="18.875" style="1" customWidth="1"/>
    <col min="7" max="8" width="8.625" style="1"/>
    <col min="9" max="9" width="16.625" style="1" customWidth="1"/>
    <col min="10" max="16384" width="8.625" style="1"/>
  </cols>
  <sheetData>
    <row r="1" spans="1:9">
      <c r="A1" s="668" t="s">
        <v>6803</v>
      </c>
      <c r="B1" s="668"/>
      <c r="C1" s="668"/>
      <c r="D1" s="668"/>
    </row>
    <row r="2" spans="1:9">
      <c r="A2" s="14" t="s">
        <v>319</v>
      </c>
      <c r="B2" s="372" t="s">
        <v>332</v>
      </c>
      <c r="C2" s="17"/>
      <c r="D2" s="14" t="s">
        <v>6804</v>
      </c>
      <c r="E2" s="14" t="s">
        <v>318</v>
      </c>
      <c r="F2" s="14" t="str">
        <f>A2</f>
        <v>Account Role ID</v>
      </c>
      <c r="G2" s="14"/>
      <c r="H2" s="14" t="str">
        <f>B2</f>
        <v>Account (Name)</v>
      </c>
      <c r="I2" s="14" t="s">
        <v>2104</v>
      </c>
    </row>
    <row r="3" spans="1:9" hidden="1">
      <c r="A3" s="15" t="s">
        <v>322</v>
      </c>
      <c r="B3" s="14" t="s">
        <v>320</v>
      </c>
      <c r="C3" s="14" t="str">
        <f t="array" ref="C3">IFERROR(INDEX($B$3:$B$34, MATCH(0, COUNTIF($C$2:C2, $B$3:$B$34&amp;"") + IF($B$3:$B$34="",1,0), 0)), "")</f>
        <v>[Account (Name)]</v>
      </c>
      <c r="D3" s="14" t="s">
        <v>335</v>
      </c>
      <c r="E3" s="15" t="s">
        <v>321</v>
      </c>
      <c r="F3" s="15" t="str">
        <f>A3</f>
        <v>[Account Role ID]</v>
      </c>
      <c r="G3" s="14"/>
      <c r="H3" s="14" t="str">
        <f>B3</f>
        <v>[Account (Name)]</v>
      </c>
      <c r="I3" s="14" t="s">
        <v>2167</v>
      </c>
    </row>
    <row r="4" spans="1:9">
      <c r="A4" s="15" t="s">
        <v>6805</v>
      </c>
      <c r="B4" s="14" t="s">
        <v>323</v>
      </c>
      <c r="C4" s="14" t="str">
        <f t="array" ref="C4">IFERROR(INDEX($B$3:$B$34, MATCH(0, COUNTIF($C$2:C3, $B$3:$B$34&amp;"") + IF($B$3:$B$34="",1,0), 0)), "")</f>
        <v>Ministry of Public Health, Hygiene and Prevention</v>
      </c>
      <c r="D4" s="14" t="s">
        <v>6806</v>
      </c>
      <c r="E4" s="15" t="s">
        <v>6807</v>
      </c>
      <c r="F4" s="15" t="str">
        <f t="shared" ref="F4:F33" si="0">A4</f>
        <v>AR-07057</v>
      </c>
      <c r="G4" s="14"/>
      <c r="H4" s="14" t="str">
        <f t="shared" ref="H4:H33" si="1">B4</f>
        <v>Ministry of Public Health, Hygiene and Prevention</v>
      </c>
      <c r="I4" s="14"/>
    </row>
    <row r="5" spans="1:9">
      <c r="A5" s="15" t="s">
        <v>6808</v>
      </c>
      <c r="B5" s="14" t="s">
        <v>6809</v>
      </c>
      <c r="C5" s="14" t="str">
        <f t="array" ref="C5">IFERROR(INDEX($B$3:$B$34, MATCH(0, COUNTIF($C$2:C4, $B$3:$B$34&amp;"") + IF($B$3:$B$34="",1,0), 0)), "")</f>
        <v>SANRU Asbl</v>
      </c>
      <c r="D5" s="14" t="s">
        <v>6810</v>
      </c>
      <c r="E5" s="15" t="s">
        <v>6811</v>
      </c>
      <c r="F5" s="15" t="str">
        <f t="shared" si="0"/>
        <v>AR-07058</v>
      </c>
      <c r="G5" s="14"/>
      <c r="H5" s="14" t="str">
        <f t="shared" si="1"/>
        <v>SANRU Asbl</v>
      </c>
      <c r="I5" s="14"/>
    </row>
    <row r="6" spans="1:9">
      <c r="A6" s="15" t="s">
        <v>6812</v>
      </c>
      <c r="B6" s="14" t="s">
        <v>323</v>
      </c>
      <c r="C6" s="14" t="str">
        <f t="array" ref="C6">IFERROR(INDEX($B$3:$B$34, MATCH(0, COUNTIF($C$2:C5, $B$3:$B$34&amp;"") + IF($B$3:$B$34="",1,0), 0)), "")</f>
        <v>Stichting Cordaid</v>
      </c>
      <c r="D6" s="14" t="s">
        <v>6806</v>
      </c>
      <c r="E6" s="15" t="s">
        <v>6813</v>
      </c>
      <c r="F6" s="15" t="str">
        <f t="shared" si="0"/>
        <v>AR-07075</v>
      </c>
      <c r="G6" s="14"/>
      <c r="H6" s="14" t="str">
        <f t="shared" si="1"/>
        <v>Ministry of Public Health, Hygiene and Prevention</v>
      </c>
      <c r="I6" s="14"/>
    </row>
    <row r="7" spans="1:9">
      <c r="A7" s="15" t="s">
        <v>6814</v>
      </c>
      <c r="B7" s="14" t="s">
        <v>6815</v>
      </c>
      <c r="C7" s="14" t="str">
        <f t="array" ref="C7">IFERROR(INDEX($B$3:$B$34, MATCH(0, COUNTIF($C$2:C6, $B$3:$B$34&amp;"") + IF($B$3:$B$34="",1,0), 0)), "")</f>
        <v>Population Services International</v>
      </c>
      <c r="D7" s="14" t="s">
        <v>6816</v>
      </c>
      <c r="E7" s="15" t="s">
        <v>6817</v>
      </c>
      <c r="F7" s="15" t="str">
        <f t="shared" si="0"/>
        <v>AR-07076</v>
      </c>
      <c r="G7" s="14"/>
      <c r="H7" s="14" t="str">
        <f t="shared" si="1"/>
        <v>Stichting Cordaid</v>
      </c>
      <c r="I7" s="14"/>
    </row>
    <row r="8" spans="1:9">
      <c r="A8" s="15" t="s">
        <v>6818</v>
      </c>
      <c r="B8" s="14" t="s">
        <v>323</v>
      </c>
      <c r="C8" s="14" t="str">
        <f t="array" ref="C8">IFERROR(INDEX($B$3:$B$34, MATCH(0, COUNTIF($C$2:C7, $B$3:$B$34&amp;"") + IF($B$3:$B$34="",1,0), 0)), "")</f>
        <v>Caritas  Congo ASBL</v>
      </c>
      <c r="D8" s="14" t="s">
        <v>6806</v>
      </c>
      <c r="E8" s="15" t="s">
        <v>6819</v>
      </c>
      <c r="F8" s="15" t="str">
        <f t="shared" si="0"/>
        <v>AR-01348</v>
      </c>
      <c r="G8" s="14"/>
      <c r="H8" s="14" t="str">
        <f t="shared" si="1"/>
        <v>Ministry of Public Health, Hygiene and Prevention</v>
      </c>
      <c r="I8" s="14"/>
    </row>
    <row r="9" spans="1:9">
      <c r="A9" s="15" t="s">
        <v>6820</v>
      </c>
      <c r="B9" s="14" t="s">
        <v>6809</v>
      </c>
      <c r="C9" s="14" t="str">
        <f t="array" ref="C9">IFERROR(INDEX($B$3:$B$34, MATCH(0, COUNTIF($C$2:C8, $B$3:$B$34&amp;"") + IF($B$3:$B$34="",1,0), 0)), "")</f>
        <v/>
      </c>
      <c r="D9" s="14" t="s">
        <v>6810</v>
      </c>
      <c r="E9" s="15" t="s">
        <v>6821</v>
      </c>
      <c r="F9" s="15" t="str">
        <f t="shared" si="0"/>
        <v>AR-01345</v>
      </c>
      <c r="G9" s="14"/>
      <c r="H9" s="14" t="str">
        <f t="shared" si="1"/>
        <v>SANRU Asbl</v>
      </c>
      <c r="I9" s="14"/>
    </row>
    <row r="10" spans="1:9">
      <c r="A10" s="15" t="s">
        <v>6822</v>
      </c>
      <c r="B10" s="14" t="s">
        <v>6815</v>
      </c>
      <c r="C10" s="14" t="str">
        <f t="array" ref="C10">IFERROR(INDEX($B$3:$B$34, MATCH(0, COUNTIF($C$2:C9, $B$3:$B$34&amp;"") + IF($B$3:$B$34="",1,0), 0)), "")</f>
        <v/>
      </c>
      <c r="D10" s="14" t="s">
        <v>6816</v>
      </c>
      <c r="E10" s="15" t="s">
        <v>6823</v>
      </c>
      <c r="F10" s="15" t="str">
        <f t="shared" si="0"/>
        <v>AR-01342</v>
      </c>
      <c r="G10" s="14"/>
      <c r="H10" s="14" t="str">
        <f t="shared" si="1"/>
        <v>Stichting Cordaid</v>
      </c>
      <c r="I10" s="14"/>
    </row>
    <row r="11" spans="1:9">
      <c r="A11" s="15" t="s">
        <v>6824</v>
      </c>
      <c r="B11" s="14" t="s">
        <v>6809</v>
      </c>
      <c r="C11" s="14" t="str">
        <f t="array" ref="C11">IFERROR(INDEX($B$3:$B$34, MATCH(0, COUNTIF($C$2:C10, $B$3:$B$34&amp;"") + IF($B$3:$B$34="",1,0), 0)), "")</f>
        <v/>
      </c>
      <c r="D11" s="14" t="s">
        <v>6810</v>
      </c>
      <c r="E11" s="15" t="s">
        <v>6825</v>
      </c>
      <c r="F11" s="15" t="str">
        <f t="shared" si="0"/>
        <v>AR-01344</v>
      </c>
      <c r="G11" s="14"/>
      <c r="H11" s="14" t="str">
        <f t="shared" si="1"/>
        <v>SANRU Asbl</v>
      </c>
      <c r="I11" s="14"/>
    </row>
    <row r="12" spans="1:9">
      <c r="A12" s="15" t="s">
        <v>6826</v>
      </c>
      <c r="B12" s="14" t="s">
        <v>323</v>
      </c>
      <c r="C12" s="14" t="str">
        <f t="array" ref="C12">IFERROR(INDEX($B$3:$B$34, MATCH(0, COUNTIF($C$2:C11, $B$3:$B$34&amp;"") + IF($B$3:$B$34="",1,0), 0)), "")</f>
        <v/>
      </c>
      <c r="D12" s="14" t="s">
        <v>6806</v>
      </c>
      <c r="E12" s="15" t="s">
        <v>6827</v>
      </c>
      <c r="F12" s="15" t="str">
        <f t="shared" si="0"/>
        <v>AR-01346</v>
      </c>
      <c r="G12" s="14"/>
      <c r="H12" s="14" t="str">
        <f t="shared" si="1"/>
        <v>Ministry of Public Health, Hygiene and Prevention</v>
      </c>
      <c r="I12" s="14"/>
    </row>
    <row r="13" spans="1:9">
      <c r="A13" s="15" t="s">
        <v>6828</v>
      </c>
      <c r="B13" s="14" t="s">
        <v>6829</v>
      </c>
      <c r="C13" s="14" t="str">
        <f t="array" ref="C13">IFERROR(INDEX($B$3:$B$34, MATCH(0, COUNTIF($C$2:C12, $B$3:$B$34&amp;"") + IF($B$3:$B$34="",1,0), 0)), "")</f>
        <v/>
      </c>
      <c r="D13" s="14" t="s">
        <v>6830</v>
      </c>
      <c r="E13" s="15" t="s">
        <v>6831</v>
      </c>
      <c r="F13" s="15" t="str">
        <f t="shared" si="0"/>
        <v>AR-00975</v>
      </c>
      <c r="G13" s="14"/>
      <c r="H13" s="14" t="str">
        <f t="shared" si="1"/>
        <v>Population Services International</v>
      </c>
      <c r="I13" s="14"/>
    </row>
    <row r="14" spans="1:9">
      <c r="A14" s="15" t="s">
        <v>6832</v>
      </c>
      <c r="B14" s="14" t="s">
        <v>323</v>
      </c>
      <c r="C14" s="14" t="str">
        <f t="array" ref="C14">IFERROR(INDEX($B$3:$B$34, MATCH(0, COUNTIF($C$2:C13, $B$3:$B$34&amp;"") + IF($B$3:$B$34="",1,0), 0)), "")</f>
        <v/>
      </c>
      <c r="D14" s="14" t="s">
        <v>6806</v>
      </c>
      <c r="E14" s="15" t="s">
        <v>6833</v>
      </c>
      <c r="F14" s="15" t="str">
        <f t="shared" si="0"/>
        <v>AR-01349</v>
      </c>
      <c r="G14" s="14"/>
      <c r="H14" s="14" t="str">
        <f t="shared" si="1"/>
        <v>Ministry of Public Health, Hygiene and Prevention</v>
      </c>
      <c r="I14" s="14"/>
    </row>
    <row r="15" spans="1:9">
      <c r="A15" s="15" t="s">
        <v>6834</v>
      </c>
      <c r="B15" s="14" t="s">
        <v>323</v>
      </c>
      <c r="C15" s="14" t="str">
        <f t="array" ref="C15">IFERROR(INDEX($B$3:$B$34, MATCH(0, COUNTIF($C$2:C14, $B$3:$B$34&amp;"") + IF($B$3:$B$34="",1,0), 0)), "")</f>
        <v/>
      </c>
      <c r="D15" s="14" t="s">
        <v>6806</v>
      </c>
      <c r="E15" s="15" t="s">
        <v>6835</v>
      </c>
      <c r="F15" s="15" t="str">
        <f t="shared" si="0"/>
        <v>AR-01343</v>
      </c>
      <c r="G15" s="14"/>
      <c r="H15" s="14" t="str">
        <f t="shared" si="1"/>
        <v>Ministry of Public Health, Hygiene and Prevention</v>
      </c>
      <c r="I15" s="14"/>
    </row>
    <row r="16" spans="1:9">
      <c r="A16" s="15" t="s">
        <v>6836</v>
      </c>
      <c r="B16" s="14" t="s">
        <v>6837</v>
      </c>
      <c r="C16" s="14" t="str">
        <f t="array" ref="C16">IFERROR(INDEX($B$3:$B$34, MATCH(0, COUNTIF($C$2:C15, $B$3:$B$34&amp;"") + IF($B$3:$B$34="",1,0), 0)), "")</f>
        <v/>
      </c>
      <c r="D16" s="14" t="s">
        <v>6838</v>
      </c>
      <c r="E16" s="15" t="s">
        <v>6839</v>
      </c>
      <c r="F16" s="15" t="str">
        <f t="shared" si="0"/>
        <v>AR-01667</v>
      </c>
      <c r="G16" s="14"/>
      <c r="H16" s="14" t="str">
        <f t="shared" si="1"/>
        <v>Caritas  Congo ASBL</v>
      </c>
      <c r="I16" s="14"/>
    </row>
    <row r="17" spans="1:9">
      <c r="A17" s="15" t="s">
        <v>6840</v>
      </c>
      <c r="B17" s="14" t="s">
        <v>323</v>
      </c>
      <c r="C17" s="14" t="str">
        <f t="array" ref="C17">IFERROR(INDEX($B$3:$B$34, MATCH(0, COUNTIF($C$2:C16, $B$3:$B$34&amp;"") + IF($B$3:$B$34="",1,0), 0)), "")</f>
        <v/>
      </c>
      <c r="D17" s="14" t="s">
        <v>6806</v>
      </c>
      <c r="E17" s="15" t="s">
        <v>6841</v>
      </c>
      <c r="F17" s="15" t="str">
        <f t="shared" si="0"/>
        <v>AR-01347</v>
      </c>
      <c r="G17" s="14"/>
      <c r="H17" s="14" t="str">
        <f t="shared" si="1"/>
        <v>Ministry of Public Health, Hygiene and Prevention</v>
      </c>
      <c r="I17" s="14"/>
    </row>
    <row r="18" spans="1:9">
      <c r="A18" s="15" t="s">
        <v>6842</v>
      </c>
      <c r="B18" s="14" t="s">
        <v>323</v>
      </c>
      <c r="C18" s="14" t="str">
        <f t="array" ref="C18">IFERROR(INDEX($B$3:$B$34, MATCH(0, COUNTIF($C$2:C17, $B$3:$B$34&amp;"") + IF($B$3:$B$34="",1,0), 0)), "")</f>
        <v/>
      </c>
      <c r="D18" s="14" t="s">
        <v>6806</v>
      </c>
      <c r="E18" s="15" t="s">
        <v>6843</v>
      </c>
      <c r="F18" s="15" t="str">
        <f t="shared" si="0"/>
        <v>AR-01660</v>
      </c>
      <c r="G18" s="14"/>
      <c r="H18" s="14" t="str">
        <f t="shared" si="1"/>
        <v>Ministry of Public Health, Hygiene and Prevention</v>
      </c>
      <c r="I18" s="14"/>
    </row>
    <row r="19" spans="1:9">
      <c r="A19" s="15" t="s">
        <v>6844</v>
      </c>
      <c r="B19" s="14" t="s">
        <v>6837</v>
      </c>
      <c r="C19" s="14" t="str">
        <f t="array" ref="C19">IFERROR(INDEX($B$3:$B$34, MATCH(0, COUNTIF($C$2:C18, $B$3:$B$34&amp;"") + IF($B$3:$B$34="",1,0), 0)), "")</f>
        <v/>
      </c>
      <c r="D19" s="14" t="s">
        <v>6838</v>
      </c>
      <c r="E19" s="15" t="s">
        <v>6845</v>
      </c>
      <c r="F19" s="15" t="str">
        <f t="shared" si="0"/>
        <v>AR-01668</v>
      </c>
      <c r="G19" s="14"/>
      <c r="H19" s="14" t="str">
        <f t="shared" si="1"/>
        <v>Caritas  Congo ASBL</v>
      </c>
      <c r="I19" s="14"/>
    </row>
    <row r="20" spans="1:9">
      <c r="A20" s="15" t="s">
        <v>6846</v>
      </c>
      <c r="B20" s="14" t="s">
        <v>323</v>
      </c>
      <c r="C20" s="14" t="str">
        <f t="array" ref="C20">IFERROR(INDEX($B$3:$B$34, MATCH(0, COUNTIF($C$2:C19, $B$3:$B$34&amp;"") + IF($B$3:$B$34="",1,0), 0)), "")</f>
        <v/>
      </c>
      <c r="D20" s="14" t="s">
        <v>6806</v>
      </c>
      <c r="E20" s="15" t="s">
        <v>6847</v>
      </c>
      <c r="F20" s="15" t="str">
        <f t="shared" si="0"/>
        <v>AR-03375</v>
      </c>
      <c r="G20" s="14"/>
      <c r="H20" s="14" t="str">
        <f t="shared" si="1"/>
        <v>Ministry of Public Health, Hygiene and Prevention</v>
      </c>
      <c r="I20" s="14"/>
    </row>
    <row r="21" spans="1:9">
      <c r="A21" s="15" t="s">
        <v>6848</v>
      </c>
      <c r="B21" s="14" t="s">
        <v>6809</v>
      </c>
      <c r="C21" s="14" t="str">
        <f t="array" ref="C21">IFERROR(INDEX($B$3:$B$34, MATCH(0, COUNTIF($C$2:C20, $B$3:$B$34&amp;"") + IF($B$3:$B$34="",1,0), 0)), "")</f>
        <v/>
      </c>
      <c r="D21" s="14" t="s">
        <v>6810</v>
      </c>
      <c r="E21" s="15" t="s">
        <v>6849</v>
      </c>
      <c r="F21" s="15" t="str">
        <f t="shared" si="0"/>
        <v>AR-03376</v>
      </c>
      <c r="G21" s="14"/>
      <c r="H21" s="14" t="str">
        <f t="shared" si="1"/>
        <v>SANRU Asbl</v>
      </c>
      <c r="I21" s="14"/>
    </row>
    <row r="22" spans="1:9">
      <c r="A22" s="15" t="s">
        <v>6850</v>
      </c>
      <c r="B22" s="14" t="s">
        <v>6815</v>
      </c>
      <c r="C22" s="14" t="str">
        <f t="array" ref="C22">IFERROR(INDEX($B$3:$B$34, MATCH(0, COUNTIF($C$2:C21, $B$3:$B$34&amp;"") + IF($B$3:$B$34="",1,0), 0)), "")</f>
        <v/>
      </c>
      <c r="D22" s="14" t="s">
        <v>6816</v>
      </c>
      <c r="E22" s="15" t="s">
        <v>6851</v>
      </c>
      <c r="F22" s="15" t="str">
        <f t="shared" si="0"/>
        <v>AR-03377</v>
      </c>
      <c r="G22" s="14"/>
      <c r="H22" s="14" t="str">
        <f t="shared" si="1"/>
        <v>Stichting Cordaid</v>
      </c>
      <c r="I22" s="14"/>
    </row>
    <row r="23" spans="1:9">
      <c r="A23" s="15" t="s">
        <v>6852</v>
      </c>
      <c r="B23" s="14" t="s">
        <v>6837</v>
      </c>
      <c r="C23" s="14" t="str">
        <f t="array" ref="C23">IFERROR(INDEX($B$3:$B$34, MATCH(0, COUNTIF($C$2:C22, $B$3:$B$34&amp;"") + IF($B$3:$B$34="",1,0), 0)), "")</f>
        <v/>
      </c>
      <c r="D23" s="14" t="s">
        <v>6838</v>
      </c>
      <c r="E23" s="15" t="s">
        <v>6853</v>
      </c>
      <c r="F23" s="15" t="str">
        <f t="shared" si="0"/>
        <v>AR-03378</v>
      </c>
      <c r="G23" s="14"/>
      <c r="H23" s="14" t="str">
        <f t="shared" si="1"/>
        <v>Caritas  Congo ASBL</v>
      </c>
      <c r="I23" s="14"/>
    </row>
    <row r="24" spans="1:9">
      <c r="A24" s="15" t="s">
        <v>6854</v>
      </c>
      <c r="B24" s="14" t="s">
        <v>6809</v>
      </c>
      <c r="C24" s="14" t="str">
        <f t="array" ref="C24">IFERROR(INDEX($B$3:$B$34, MATCH(0, COUNTIF($C$2:C23, $B$3:$B$34&amp;"") + IF($B$3:$B$34="",1,0), 0)), "")</f>
        <v/>
      </c>
      <c r="D24" s="14" t="s">
        <v>6810</v>
      </c>
      <c r="E24" s="15" t="s">
        <v>6855</v>
      </c>
      <c r="F24" s="15" t="str">
        <f t="shared" si="0"/>
        <v>AR-04052</v>
      </c>
      <c r="G24" s="14"/>
      <c r="H24" s="14" t="str">
        <f t="shared" si="1"/>
        <v>SANRU Asbl</v>
      </c>
      <c r="I24" s="14"/>
    </row>
    <row r="25" spans="1:9">
      <c r="A25" s="15" t="s">
        <v>6856</v>
      </c>
      <c r="B25" s="14" t="s">
        <v>6829</v>
      </c>
      <c r="C25" s="14" t="str">
        <f t="array" ref="C25">IFERROR(INDEX($B$3:$B$34, MATCH(0, COUNTIF($C$2:C24, $B$3:$B$34&amp;"") + IF($B$3:$B$34="",1,0), 0)), "")</f>
        <v/>
      </c>
      <c r="D25" s="14" t="s">
        <v>6830</v>
      </c>
      <c r="E25" s="15" t="s">
        <v>6857</v>
      </c>
      <c r="F25" s="15" t="str">
        <f t="shared" si="0"/>
        <v>AR-04053</v>
      </c>
      <c r="G25" s="14"/>
      <c r="H25" s="14" t="str">
        <f t="shared" si="1"/>
        <v>Population Services International</v>
      </c>
      <c r="I25" s="14"/>
    </row>
    <row r="26" spans="1:9">
      <c r="A26" s="15" t="s">
        <v>6858</v>
      </c>
      <c r="B26" s="14" t="s">
        <v>323</v>
      </c>
      <c r="C26" s="14" t="str">
        <f t="array" ref="C26">IFERROR(INDEX($B$3:$B$34, MATCH(0, COUNTIF($C$2:C25, $B$3:$B$34&amp;"") + IF($B$3:$B$34="",1,0), 0)), "")</f>
        <v/>
      </c>
      <c r="D26" s="14" t="s">
        <v>6806</v>
      </c>
      <c r="E26" s="15" t="s">
        <v>6859</v>
      </c>
      <c r="F26" s="15" t="str">
        <f t="shared" si="0"/>
        <v>AR-04054</v>
      </c>
      <c r="G26" s="14"/>
      <c r="H26" s="14" t="str">
        <f t="shared" si="1"/>
        <v>Ministry of Public Health, Hygiene and Prevention</v>
      </c>
      <c r="I26" s="14"/>
    </row>
    <row r="27" spans="1:9">
      <c r="A27" s="15" t="s">
        <v>6860</v>
      </c>
      <c r="B27" s="14" t="s">
        <v>6815</v>
      </c>
      <c r="C27" s="14" t="str">
        <f t="array" ref="C27">IFERROR(INDEX($B$3:$B$34, MATCH(0, COUNTIF($C$2:C26, $B$3:$B$34&amp;"") + IF($B$3:$B$34="",1,0), 0)), "")</f>
        <v/>
      </c>
      <c r="D27" s="14" t="s">
        <v>6816</v>
      </c>
      <c r="E27" s="15" t="s">
        <v>6861</v>
      </c>
      <c r="F27" s="15" t="str">
        <f t="shared" si="0"/>
        <v>AR-04241</v>
      </c>
      <c r="G27" s="14"/>
      <c r="H27" s="14" t="str">
        <f t="shared" si="1"/>
        <v>Stichting Cordaid</v>
      </c>
      <c r="I27" s="14"/>
    </row>
    <row r="28" spans="1:9">
      <c r="A28" s="15" t="s">
        <v>6862</v>
      </c>
      <c r="B28" s="14" t="s">
        <v>323</v>
      </c>
      <c r="C28" s="14" t="str">
        <f t="array" ref="C28">IFERROR(INDEX($B$3:$B$34, MATCH(0, COUNTIF($C$2:C27, $B$3:$B$34&amp;"") + IF($B$3:$B$34="",1,0), 0)), "")</f>
        <v/>
      </c>
      <c r="D28" s="14" t="s">
        <v>6806</v>
      </c>
      <c r="E28" s="15" t="s">
        <v>6863</v>
      </c>
      <c r="F28" s="15" t="str">
        <f t="shared" si="0"/>
        <v>AR-08626</v>
      </c>
      <c r="G28" s="14"/>
      <c r="H28" s="14" t="str">
        <f t="shared" si="1"/>
        <v>Ministry of Public Health, Hygiene and Prevention</v>
      </c>
      <c r="I28" s="14"/>
    </row>
    <row r="29" spans="1:9">
      <c r="A29" s="15" t="s">
        <v>6864</v>
      </c>
      <c r="B29" s="14" t="s">
        <v>6809</v>
      </c>
      <c r="C29" s="14" t="str">
        <f t="array" ref="C29">IFERROR(INDEX($B$3:$B$34, MATCH(0, COUNTIF($C$2:C28, $B$3:$B$34&amp;"") + IF($B$3:$B$34="",1,0), 0)), "")</f>
        <v/>
      </c>
      <c r="D29" s="14" t="s">
        <v>6810</v>
      </c>
      <c r="E29" s="15" t="s">
        <v>6865</v>
      </c>
      <c r="F29" s="15" t="str">
        <f t="shared" si="0"/>
        <v>AR-08627</v>
      </c>
      <c r="G29" s="14"/>
      <c r="H29" s="14" t="str">
        <f t="shared" si="1"/>
        <v>SANRU Asbl</v>
      </c>
      <c r="I29" s="14"/>
    </row>
    <row r="30" spans="1:9">
      <c r="A30" s="15" t="s">
        <v>6866</v>
      </c>
      <c r="B30" s="14" t="s">
        <v>323</v>
      </c>
      <c r="C30" s="14" t="str">
        <f t="array" ref="C30">IFERROR(INDEX($B$3:$B$34, MATCH(0, COUNTIF($C$2:C29, $B$3:$B$34&amp;"") + IF($B$3:$B$34="",1,0), 0)), "")</f>
        <v/>
      </c>
      <c r="D30" s="14" t="s">
        <v>6806</v>
      </c>
      <c r="E30" s="15" t="s">
        <v>6867</v>
      </c>
      <c r="F30" s="15" t="str">
        <f t="shared" si="0"/>
        <v>AR-08714</v>
      </c>
      <c r="G30" s="14"/>
      <c r="H30" s="14" t="str">
        <f t="shared" si="1"/>
        <v>Ministry of Public Health, Hygiene and Prevention</v>
      </c>
      <c r="I30" s="14"/>
    </row>
    <row r="31" spans="1:9">
      <c r="A31" s="15" t="s">
        <v>6868</v>
      </c>
      <c r="B31" s="14" t="s">
        <v>323</v>
      </c>
      <c r="C31" s="14" t="str">
        <f t="array" ref="C31">IFERROR(INDEX($B$3:$B$34, MATCH(0, COUNTIF($C$2:C30, $B$3:$B$34&amp;"") + IF($B$3:$B$34="",1,0), 0)), "")</f>
        <v/>
      </c>
      <c r="D31" s="14" t="s">
        <v>6806</v>
      </c>
      <c r="E31" s="15" t="s">
        <v>6869</v>
      </c>
      <c r="F31" s="15" t="str">
        <f t="shared" si="0"/>
        <v>AR-12101</v>
      </c>
      <c r="G31" s="14"/>
      <c r="H31" s="14" t="str">
        <f t="shared" si="1"/>
        <v>Ministry of Public Health, Hygiene and Prevention</v>
      </c>
      <c r="I31" s="14"/>
    </row>
    <row r="32" spans="1:9">
      <c r="A32" s="15" t="s">
        <v>6870</v>
      </c>
      <c r="B32" s="14" t="s">
        <v>323</v>
      </c>
      <c r="C32" s="14" t="str">
        <f t="array" ref="C32">IFERROR(INDEX($B$3:$B$34, MATCH(0, COUNTIF($C$2:C31, $B$3:$B$34&amp;"") + IF($B$3:$B$34="",1,0), 0)), "")</f>
        <v/>
      </c>
      <c r="D32" s="14" t="s">
        <v>6806</v>
      </c>
      <c r="E32" s="15" t="s">
        <v>6871</v>
      </c>
      <c r="F32" s="15" t="str">
        <f t="shared" si="0"/>
        <v>AR-12110</v>
      </c>
      <c r="G32" s="14"/>
      <c r="H32" s="14" t="str">
        <f t="shared" si="1"/>
        <v>Ministry of Public Health, Hygiene and Prevention</v>
      </c>
      <c r="I32" s="14"/>
    </row>
    <row r="33" spans="1:9">
      <c r="A33" s="15" t="s">
        <v>325</v>
      </c>
      <c r="B33" s="14" t="s">
        <v>323</v>
      </c>
      <c r="C33" s="14" t="str">
        <f t="array" ref="C33">IFERROR(INDEX($B$3:$B$34, MATCH(0, COUNTIF($C$2:C32, $B$3:$B$34&amp;"") + IF($B$3:$B$34="",1,0), 0)), "")</f>
        <v/>
      </c>
      <c r="D33" s="14" t="s">
        <v>6806</v>
      </c>
      <c r="E33" s="15" t="s">
        <v>324</v>
      </c>
      <c r="F33" s="15" t="str">
        <f t="shared" si="0"/>
        <v>AR-12119</v>
      </c>
      <c r="G33" s="14"/>
      <c r="H33" s="14" t="str">
        <f t="shared" si="1"/>
        <v>Ministry of Public Health, Hygiene and Prevention</v>
      </c>
      <c r="I33" s="14"/>
    </row>
    <row r="35" spans="1:9" hidden="1"/>
    <row r="36" spans="1:9" hidden="1"/>
    <row r="37" spans="1:9" hidden="1"/>
    <row r="38" spans="1:9" hidden="1"/>
    <row r="40" spans="1:9">
      <c r="A40" s="668" t="s">
        <v>6872</v>
      </c>
      <c r="B40" s="668"/>
      <c r="C40" s="668"/>
      <c r="D40" s="668"/>
    </row>
    <row r="41" spans="1:9">
      <c r="A41" s="14" t="s">
        <v>319</v>
      </c>
      <c r="B41" s="14" t="s">
        <v>332</v>
      </c>
      <c r="C41" s="14"/>
      <c r="D41" s="14" t="s">
        <v>6804</v>
      </c>
    </row>
    <row r="42" spans="1:9" hidden="1">
      <c r="A42" s="15" t="s">
        <v>322</v>
      </c>
      <c r="B42" s="14" t="s">
        <v>320</v>
      </c>
      <c r="C42" s="14" t="str">
        <f t="array" ref="C42">IFERROR(INDEX($B$42:$B$327, MATCH(0, COUNTIF($C$41:C41, $B$42:$B$327&amp;"") + IF($B$42:$B$327="",1,0), 0)), "")</f>
        <v>[Account (Name)]</v>
      </c>
      <c r="D42" s="14" t="s">
        <v>335</v>
      </c>
    </row>
    <row r="43" spans="1:9">
      <c r="A43" s="15" t="s">
        <v>6873</v>
      </c>
      <c r="B43" s="14" t="s">
        <v>6874</v>
      </c>
      <c r="C43" s="14" t="str">
        <f t="array" ref="C43">IFERROR(INDEX($B$42:$B$327, MATCH(0, COUNTIF($C$41:C42, $B$42:$B$327&amp;"") + IF($B$42:$B$327="",1,0), 0)), "")</f>
        <v>Kazakh scientific center of dermatology and infectious diseases of the Ministry of Health of the Republic of Kazakhstan</v>
      </c>
      <c r="D43" s="14" t="s">
        <v>6875</v>
      </c>
    </row>
    <row r="44" spans="1:9">
      <c r="A44" s="15" t="s">
        <v>6876</v>
      </c>
      <c r="B44" s="14" t="s">
        <v>6877</v>
      </c>
      <c r="C44" s="14" t="str">
        <f t="array" ref="C44">IFERROR(INDEX($B$42:$B$327, MATCH(0, COUNTIF($C$41:C43, $B$42:$B$327&amp;"") + IF($B$42:$B$327="",1,0), 0)), "")</f>
        <v>Project HOPE  - the People to People Health Foundation</v>
      </c>
      <c r="D44" s="14" t="s">
        <v>6878</v>
      </c>
    </row>
    <row r="45" spans="1:9">
      <c r="A45" s="15" t="s">
        <v>6879</v>
      </c>
      <c r="B45" s="14" t="s">
        <v>6880</v>
      </c>
      <c r="C45" s="14" t="str">
        <f t="array" ref="C45">IFERROR(INDEX($B$42:$B$327, MATCH(0, COUNTIF($C$41:C44, $B$42:$B$327&amp;"") + IF($B$42:$B$327="",1,0), 0)), "")</f>
        <v>RSE on REU “National Scientific Center of Phthisiopulmonology of the Republic of  Kazakhstan” of the Ministry of Health of the Republic of  Kazakhstan</v>
      </c>
      <c r="D45" s="14" t="s">
        <v>6881</v>
      </c>
    </row>
    <row r="46" spans="1:9">
      <c r="A46" s="15" t="s">
        <v>6882</v>
      </c>
      <c r="B46" s="14" t="s">
        <v>6874</v>
      </c>
      <c r="C46" s="14" t="str">
        <f t="array" ref="C46">IFERROR(INDEX($B$42:$B$327, MATCH(0, COUNTIF($C$41:C45, $B$42:$B$327&amp;"") + IF($B$42:$B$327="",1,0), 0)), "")</f>
        <v>United Nations Development Programme</v>
      </c>
      <c r="D46" s="14" t="s">
        <v>6875</v>
      </c>
    </row>
    <row r="47" spans="1:9">
      <c r="A47" s="15" t="s">
        <v>6883</v>
      </c>
      <c r="B47" s="14" t="s">
        <v>6880</v>
      </c>
      <c r="C47" s="14" t="str">
        <f t="array" ref="C47">IFERROR(INDEX($B$42:$B$327, MATCH(0, COUNTIF($C$41:C46, $B$42:$B$327&amp;"") + IF($B$42:$B$327="",1,0), 0)), "")</f>
        <v>Republican Center of Tuberculosis Control - Tajikistan</v>
      </c>
      <c r="D47" s="14" t="s">
        <v>6881</v>
      </c>
    </row>
    <row r="48" spans="1:9">
      <c r="A48" s="15" t="s">
        <v>6884</v>
      </c>
      <c r="B48" s="14" t="s">
        <v>6874</v>
      </c>
      <c r="C48" s="14" t="str">
        <f t="array" ref="C48">IFERROR(INDEX($B$42:$B$327, MATCH(0, COUNTIF($C$41:C47, $B$42:$B$327&amp;"") + IF($B$42:$B$327="",1,0), 0)), "")</f>
        <v>Republican Center to Fight AIDS</v>
      </c>
      <c r="D48" s="14" t="s">
        <v>6875</v>
      </c>
    </row>
    <row r="49" spans="1:4">
      <c r="A49" s="15" t="s">
        <v>6885</v>
      </c>
      <c r="B49" s="14" t="s">
        <v>6880</v>
      </c>
      <c r="C49" s="14" t="str">
        <f t="array" ref="C49">IFERROR(INDEX($B$42:$B$327, MATCH(0, COUNTIF($C$41:C48, $B$42:$B$327&amp;"") + IF($B$42:$B$327="",1,0), 0)), "")</f>
        <v>Republican Center of State Sanitary-Epidemiological Surveillance of the Republic of Uzbekistan</v>
      </c>
      <c r="D49" s="14" t="s">
        <v>6881</v>
      </c>
    </row>
    <row r="50" spans="1:4">
      <c r="A50" s="15" t="s">
        <v>6886</v>
      </c>
      <c r="B50" s="14" t="s">
        <v>6880</v>
      </c>
      <c r="C50" s="14" t="str">
        <f t="array" ref="C50">IFERROR(INDEX($B$42:$B$327, MATCH(0, COUNTIF($C$41:C49, $B$42:$B$327&amp;"") + IF($B$42:$B$327="",1,0), 0)), "")</f>
        <v>Republican DOTS Centre  Ministry of Health of the Republic of Uzbekistan</v>
      </c>
      <c r="D50" s="14" t="s">
        <v>6881</v>
      </c>
    </row>
    <row r="51" spans="1:4">
      <c r="A51" s="15" t="s">
        <v>6887</v>
      </c>
      <c r="B51" s="14" t="s">
        <v>6888</v>
      </c>
      <c r="C51" s="14" t="str">
        <f t="array" ref="C51">IFERROR(INDEX($B$42:$B$327, MATCH(0, COUNTIF($C$41:C50, $B$42:$B$327&amp;"") + IF($B$42:$B$327="",1,0), 0)), "")</f>
        <v>Republican Specialized Scientific-Practical Medical Center of Phthisiology and Pulmonology</v>
      </c>
      <c r="D51" s="14" t="s">
        <v>6889</v>
      </c>
    </row>
    <row r="52" spans="1:4">
      <c r="A52" s="15" t="s">
        <v>6890</v>
      </c>
      <c r="B52" s="14" t="s">
        <v>6888</v>
      </c>
      <c r="C52" s="14" t="str">
        <f t="array" ref="C52">IFERROR(INDEX($B$42:$B$327, MATCH(0, COUNTIF($C$41:C51, $B$42:$B$327&amp;"") + IF($B$42:$B$327="",1,0), 0)), "")</f>
        <v>Ministry of Health of Mongolia</v>
      </c>
      <c r="D52" s="14" t="s">
        <v>6889</v>
      </c>
    </row>
    <row r="53" spans="1:4">
      <c r="A53" s="15" t="s">
        <v>6891</v>
      </c>
      <c r="B53" s="14" t="s">
        <v>6888</v>
      </c>
      <c r="C53" s="14" t="str">
        <f t="array" ref="C53">IFERROR(INDEX($B$42:$B$327, MATCH(0, COUNTIF($C$41:C52, $B$42:$B$327&amp;"") + IF($B$42:$B$327="",1,0), 0)), "")</f>
        <v>Ministry of Health of the Lao People's Democratic Republic</v>
      </c>
      <c r="D53" s="14" t="s">
        <v>6889</v>
      </c>
    </row>
    <row r="54" spans="1:4">
      <c r="A54" s="15" t="s">
        <v>6892</v>
      </c>
      <c r="B54" s="14" t="s">
        <v>6888</v>
      </c>
      <c r="C54" s="14" t="str">
        <f t="array" ref="C54">IFERROR(INDEX($B$42:$B$327, MATCH(0, COUNTIF($C$41:C53, $B$42:$B$327&amp;"") + IF($B$42:$B$327="",1,0), 0)), "")</f>
        <v>Malaysian AIDS Council</v>
      </c>
      <c r="D54" s="14" t="s">
        <v>6889</v>
      </c>
    </row>
    <row r="55" spans="1:4">
      <c r="A55" s="15" t="s">
        <v>6893</v>
      </c>
      <c r="B55" s="14" t="s">
        <v>6877</v>
      </c>
      <c r="C55" s="14" t="str">
        <f t="array" ref="C55">IFERROR(INDEX($B$42:$B$327, MATCH(0, COUNTIF($C$41:C54, $B$42:$B$327&amp;"") + IF($B$42:$B$327="",1,0), 0)), "")</f>
        <v>Ministry of Health of the Democratic Republic of Timor-Leste</v>
      </c>
      <c r="D55" s="14" t="s">
        <v>6894</v>
      </c>
    </row>
    <row r="56" spans="1:4">
      <c r="A56" s="15" t="s">
        <v>6895</v>
      </c>
      <c r="B56" s="14" t="s">
        <v>6888</v>
      </c>
      <c r="C56" s="14" t="str">
        <f t="array" ref="C56">IFERROR(INDEX($B$42:$B$327, MATCH(0, COUNTIF($C$41:C55, $B$42:$B$327&amp;"") + IF($B$42:$B$327="",1,0), 0)), "")</f>
        <v>Ministry of Health of the Royal Government of Bhutan</v>
      </c>
      <c r="D56" s="14" t="s">
        <v>6889</v>
      </c>
    </row>
    <row r="57" spans="1:4">
      <c r="A57" s="15" t="s">
        <v>6896</v>
      </c>
      <c r="B57" s="14" t="s">
        <v>6888</v>
      </c>
      <c r="C57" s="14" t="str">
        <f t="array" ref="C57">IFERROR(INDEX($B$42:$B$327, MATCH(0, COUNTIF($C$41:C56, $B$42:$B$327&amp;"") + IF($B$42:$B$327="",1,0), 0)), "")</f>
        <v>Ministry of Health of the Republic of Armenia</v>
      </c>
      <c r="D57" s="14" t="s">
        <v>6889</v>
      </c>
    </row>
    <row r="58" spans="1:4">
      <c r="A58" s="15" t="s">
        <v>6897</v>
      </c>
      <c r="B58" s="14" t="s">
        <v>6888</v>
      </c>
      <c r="C58" s="14" t="str">
        <f t="array" ref="C58">IFERROR(INDEX($B$42:$B$327, MATCH(0, COUNTIF($C$41:C57, $B$42:$B$327&amp;"") + IF($B$42:$B$327="",1,0), 0)), "")</f>
        <v>Mission East</v>
      </c>
      <c r="D58" s="14" t="s">
        <v>6889</v>
      </c>
    </row>
    <row r="59" spans="1:4">
      <c r="A59" s="15" t="s">
        <v>6898</v>
      </c>
      <c r="B59" s="14" t="s">
        <v>6888</v>
      </c>
      <c r="C59" s="14" t="str">
        <f t="array" ref="C59">IFERROR(INDEX($B$42:$B$327, MATCH(0, COUNTIF($C$41:C58, $B$42:$B$327&amp;"") + IF($B$42:$B$327="",1,0), 0)), "")</f>
        <v>Ministry of Health of the Republic of Azerbaijan</v>
      </c>
      <c r="D59" s="14" t="s">
        <v>6899</v>
      </c>
    </row>
    <row r="60" spans="1:4">
      <c r="A60" s="15" t="s">
        <v>6900</v>
      </c>
      <c r="B60" s="14" t="s">
        <v>6877</v>
      </c>
      <c r="C60" s="14" t="str">
        <f t="array" ref="C60">IFERROR(INDEX($B$42:$B$327, MATCH(0, COUNTIF($C$41:C59, $B$42:$B$327&amp;"") + IF($B$42:$B$327="",1,0), 0)), "")</f>
        <v>Main Medical Department of the Ministry of Justice of the Republic of Azerbaijan</v>
      </c>
      <c r="D60" s="14" t="s">
        <v>6894</v>
      </c>
    </row>
    <row r="61" spans="1:4">
      <c r="A61" s="15" t="s">
        <v>6901</v>
      </c>
      <c r="B61" s="14" t="s">
        <v>6902</v>
      </c>
      <c r="C61" s="14" t="str">
        <f t="array" ref="C61">IFERROR(INDEX($B$42:$B$327, MATCH(0, COUNTIF($C$41:C60, $B$42:$B$327&amp;"") + IF($B$42:$B$327="",1,0), 0)), "")</f>
        <v>National Center For Disease Control and Public Health</v>
      </c>
      <c r="D61" s="14" t="s">
        <v>6903</v>
      </c>
    </row>
    <row r="62" spans="1:4">
      <c r="A62" s="15" t="s">
        <v>6904</v>
      </c>
      <c r="B62" s="14" t="s">
        <v>6888</v>
      </c>
      <c r="C62" s="14" t="str">
        <f t="array" ref="C62">IFERROR(INDEX($B$42:$B$327, MATCH(0, COUNTIF($C$41:C61, $B$42:$B$327&amp;"") + IF($B$42:$B$327="",1,0), 0)), "")</f>
        <v>Republican Scientific and Practical Center for Medical Technologies, Informatization, Administration and Management of Health</v>
      </c>
      <c r="D62" s="14" t="s">
        <v>6899</v>
      </c>
    </row>
    <row r="63" spans="1:4">
      <c r="A63" s="15" t="s">
        <v>6905</v>
      </c>
      <c r="B63" s="14" t="s">
        <v>6888</v>
      </c>
      <c r="C63" s="14" t="str">
        <f t="array" ref="C63">IFERROR(INDEX($B$42:$B$327, MATCH(0, COUNTIF($C$41:C62, $B$42:$B$327&amp;"") + IF($B$42:$B$327="",1,0), 0)), "")</f>
        <v>Public Institution - Coordination, Implementation and Monitoring Unit of the Health  System Projects</v>
      </c>
      <c r="D63" s="14" t="s">
        <v>6899</v>
      </c>
    </row>
    <row r="64" spans="1:4">
      <c r="A64" s="15" t="s">
        <v>6906</v>
      </c>
      <c r="B64" s="14" t="s">
        <v>6877</v>
      </c>
      <c r="C64" s="14" t="str">
        <f t="array" ref="C64">IFERROR(INDEX($B$42:$B$327, MATCH(0, COUNTIF($C$41:C63, $B$42:$B$327&amp;"") + IF($B$42:$B$327="",1,0), 0)), "")</f>
        <v>Center for Health Policies and Studies</v>
      </c>
      <c r="D64" s="14" t="s">
        <v>6894</v>
      </c>
    </row>
    <row r="65" spans="1:4">
      <c r="A65" s="15" t="s">
        <v>6907</v>
      </c>
      <c r="B65" s="14" t="s">
        <v>6888</v>
      </c>
      <c r="C65" s="14" t="str">
        <f t="array" ref="C65">IFERROR(INDEX($B$42:$B$327, MATCH(0, COUNTIF($C$41:C64, $B$42:$B$327&amp;"") + IF($B$42:$B$327="",1,0), 0)), "")</f>
        <v>State Institution "Public Health Center of the Ministry of Health of Ukraine"</v>
      </c>
      <c r="D65" s="14" t="s">
        <v>6899</v>
      </c>
    </row>
    <row r="66" spans="1:4">
      <c r="A66" s="15" t="s">
        <v>6908</v>
      </c>
      <c r="B66" s="14" t="s">
        <v>6888</v>
      </c>
      <c r="C66" s="14" t="str">
        <f t="array" ref="C66">IFERROR(INDEX($B$42:$B$327, MATCH(0, COUNTIF($C$41:C65, $B$42:$B$327&amp;"") + IF($B$42:$B$327="",1,0), 0)), "")</f>
        <v>Charitable Organization "All-Ukrainian Network of People Living with HIV/AIDS"</v>
      </c>
      <c r="D66" s="14" t="s">
        <v>6899</v>
      </c>
    </row>
    <row r="67" spans="1:4">
      <c r="A67" s="15" t="s">
        <v>6909</v>
      </c>
      <c r="B67" s="14" t="s">
        <v>6888</v>
      </c>
      <c r="C67" s="14" t="str">
        <f t="array" ref="C67">IFERROR(INDEX($B$42:$B$327, MATCH(0, COUNTIF($C$41:C66, $B$42:$B$327&amp;"") + IF($B$42:$B$327="",1,0), 0)), "")</f>
        <v>International Charitable Foundation “Alliance for Public Health”</v>
      </c>
      <c r="D67" s="14" t="s">
        <v>6899</v>
      </c>
    </row>
    <row r="68" spans="1:4">
      <c r="A68" s="15" t="s">
        <v>6910</v>
      </c>
      <c r="B68" s="14" t="s">
        <v>6902</v>
      </c>
      <c r="C68" s="14" t="str">
        <f t="array" ref="C68">IFERROR(INDEX($B$42:$B$327, MATCH(0, COUNTIF($C$41:C67, $B$42:$B$327&amp;"") + IF($B$42:$B$327="",1,0), 0)), "")</f>
        <v>United Nations Children's Fund</v>
      </c>
      <c r="D68" s="14" t="s">
        <v>6903</v>
      </c>
    </row>
    <row r="69" spans="1:4">
      <c r="A69" s="15" t="s">
        <v>6911</v>
      </c>
      <c r="B69" s="14" t="s">
        <v>6877</v>
      </c>
      <c r="C69" s="14" t="str">
        <f t="array" ref="C69">IFERROR(INDEX($B$42:$B$327, MATCH(0, COUNTIF($C$41:C68, $B$42:$B$327&amp;"") + IF($B$42:$B$327="",1,0), 0)), "")</f>
        <v>World Vision (PNG) Trust</v>
      </c>
      <c r="D69" s="14" t="s">
        <v>6894</v>
      </c>
    </row>
    <row r="70" spans="1:4">
      <c r="A70" s="15" t="s">
        <v>6912</v>
      </c>
      <c r="B70" s="14" t="s">
        <v>6888</v>
      </c>
      <c r="C70" s="14" t="str">
        <f t="array" ref="C70">IFERROR(INDEX($B$42:$B$327, MATCH(0, COUNTIF($C$41:C69, $B$42:$B$327&amp;"") + IF($B$42:$B$327="",1,0), 0)), "")</f>
        <v>The Rotary Club of Port Moresby Inc.</v>
      </c>
      <c r="D70" s="14" t="s">
        <v>6899</v>
      </c>
    </row>
    <row r="71" spans="1:4">
      <c r="A71" s="15" t="s">
        <v>6913</v>
      </c>
      <c r="B71" s="14" t="s">
        <v>6888</v>
      </c>
      <c r="C71" s="14" t="str">
        <f t="array" ref="C71">IFERROR(INDEX($B$42:$B$327, MATCH(0, COUNTIF($C$41:C70, $B$42:$B$327&amp;"") + IF($B$42:$B$327="",1,0), 0)), "")</f>
        <v>Oil Search Foundation</v>
      </c>
      <c r="D71" s="14" t="s">
        <v>6914</v>
      </c>
    </row>
    <row r="72" spans="1:4">
      <c r="A72" s="15" t="s">
        <v>6915</v>
      </c>
      <c r="B72" s="14" t="s">
        <v>6888</v>
      </c>
      <c r="C72" s="14" t="str">
        <f t="array" ref="C72">IFERROR(INDEX($B$42:$B$327, MATCH(0, COUNTIF($C$41:C71, $B$42:$B$327&amp;"") + IF($B$42:$B$327="",1,0), 0)), "")</f>
        <v>Population Services International</v>
      </c>
      <c r="D72" s="14" t="s">
        <v>6914</v>
      </c>
    </row>
    <row r="73" spans="1:4">
      <c r="A73" s="15" t="s">
        <v>6916</v>
      </c>
      <c r="B73" s="14" t="s">
        <v>6888</v>
      </c>
      <c r="C73" s="14" t="str">
        <f t="array" ref="C73">IFERROR(INDEX($B$42:$B$327, MATCH(0, COUNTIF($C$41:C72, $B$42:$B$327&amp;"") + IF($B$42:$B$327="",1,0), 0)), "")</f>
        <v>Federal Ministry of Health of the Federal Democratic Republic of Ethiopia</v>
      </c>
      <c r="D73" s="14" t="s">
        <v>6914</v>
      </c>
    </row>
    <row r="74" spans="1:4">
      <c r="A74" s="15" t="s">
        <v>6917</v>
      </c>
      <c r="B74" s="14" t="s">
        <v>6888</v>
      </c>
      <c r="C74" s="14" t="str">
        <f t="array" ref="C74">IFERROR(INDEX($B$42:$B$327, MATCH(0, COUNTIF($C$41:C73, $B$42:$B$327&amp;"") + IF($B$42:$B$327="",1,0), 0)), "")</f>
        <v>HIV/AIDS Prevention and Control Office</v>
      </c>
      <c r="D74" s="14" t="s">
        <v>6914</v>
      </c>
    </row>
    <row r="75" spans="1:4">
      <c r="A75" s="15" t="s">
        <v>6918</v>
      </c>
      <c r="B75" s="14" t="s">
        <v>6919</v>
      </c>
      <c r="C75" s="14" t="str">
        <f t="array" ref="C75">IFERROR(INDEX($B$42:$B$327, MATCH(0, COUNTIF($C$41:C74, $B$42:$B$327&amp;"") + IF($B$42:$B$327="",1,0), 0)), "")</f>
        <v>Amref Health Africa</v>
      </c>
      <c r="D75" s="14" t="s">
        <v>6920</v>
      </c>
    </row>
    <row r="76" spans="1:4">
      <c r="A76" s="15" t="s">
        <v>6921</v>
      </c>
      <c r="B76" s="14" t="s">
        <v>6922</v>
      </c>
      <c r="C76" s="14" t="str">
        <f t="array" ref="C76">IFERROR(INDEX($B$42:$B$327, MATCH(0, COUNTIF($C$41:C75, $B$42:$B$327&amp;"") + IF($B$42:$B$327="",1,0), 0)), "")</f>
        <v>National Treasury of the Republic of Kenya</v>
      </c>
      <c r="D76" s="14" t="s">
        <v>6923</v>
      </c>
    </row>
    <row r="77" spans="1:4">
      <c r="A77" s="15" t="s">
        <v>6924</v>
      </c>
      <c r="B77" s="14" t="s">
        <v>6925</v>
      </c>
      <c r="C77" s="14" t="str">
        <f t="array" ref="C77">IFERROR(INDEX($B$42:$B$327, MATCH(0, COUNTIF($C$41:C76, $B$42:$B$327&amp;"") + IF($B$42:$B$327="",1,0), 0)), "")</f>
        <v>Kenya Red Cross Society</v>
      </c>
      <c r="D77" s="14" t="s">
        <v>6926</v>
      </c>
    </row>
    <row r="78" spans="1:4">
      <c r="A78" s="15" t="s">
        <v>6927</v>
      </c>
      <c r="B78" s="14" t="s">
        <v>6922</v>
      </c>
      <c r="C78" s="14" t="str">
        <f t="array" ref="C78">IFERROR(INDEX($B$42:$B$327, MATCH(0, COUNTIF($C$41:C77, $B$42:$B$327&amp;"") + IF($B$42:$B$327="",1,0), 0)), "")</f>
        <v>World Vision International</v>
      </c>
      <c r="D78" s="14" t="s">
        <v>6923</v>
      </c>
    </row>
    <row r="79" spans="1:4">
      <c r="A79" s="15" t="s">
        <v>6928</v>
      </c>
      <c r="B79" s="14" t="s">
        <v>6888</v>
      </c>
      <c r="C79" s="14" t="str">
        <f t="array" ref="C79">IFERROR(INDEX($B$42:$B$327, MATCH(0, COUNTIF($C$41:C78, $B$42:$B$327&amp;"") + IF($B$42:$B$327="",1,0), 0)), "")</f>
        <v>Ministry of Finance, Planning and Economic Development of the Republic of Uganda</v>
      </c>
      <c r="D79" s="14" t="s">
        <v>6929</v>
      </c>
    </row>
    <row r="80" spans="1:4">
      <c r="A80" s="15" t="s">
        <v>6930</v>
      </c>
      <c r="B80" s="14" t="s">
        <v>6919</v>
      </c>
      <c r="C80" s="14" t="str">
        <f t="array" ref="C80">IFERROR(INDEX($B$42:$B$327, MATCH(0, COUNTIF($C$41:C79, $B$42:$B$327&amp;"") + IF($B$42:$B$327="",1,0), 0)), "")</f>
        <v>The AIDS Support Organisation (Uganda) Limited</v>
      </c>
      <c r="D80" s="14" t="s">
        <v>6920</v>
      </c>
    </row>
    <row r="81" spans="1:4">
      <c r="A81" s="15" t="s">
        <v>6931</v>
      </c>
      <c r="B81" s="14" t="s">
        <v>6925</v>
      </c>
      <c r="C81" s="14" t="str">
        <f t="array" ref="C81">IFERROR(INDEX($B$42:$B$327, MATCH(0, COUNTIF($C$41:C80, $B$42:$B$327&amp;"") + IF($B$42:$B$327="",1,0), 0)), "")</f>
        <v>Federal Ministry of Health of the Republic of Sudan</v>
      </c>
      <c r="D81" s="14" t="s">
        <v>6926</v>
      </c>
    </row>
    <row r="82" spans="1:4">
      <c r="A82" s="15" t="s">
        <v>6932</v>
      </c>
      <c r="B82" s="14" t="s">
        <v>6925</v>
      </c>
      <c r="C82" s="14" t="str">
        <f t="array" ref="C82">IFERROR(INDEX($B$42:$B$327, MATCH(0, COUNTIF($C$41:C81, $B$42:$B$327&amp;"") + IF($B$42:$B$327="",1,0), 0)), "")</f>
        <v>Conseil National de Lutte contre le VIH/SIDA, la Tuberculose, le Paludisme, les Hépatites, les Infections sexuellement transmissibles et les Epidémies</v>
      </c>
      <c r="D82" s="14" t="s">
        <v>6926</v>
      </c>
    </row>
    <row r="83" spans="1:4">
      <c r="A83" s="15" t="s">
        <v>6933</v>
      </c>
      <c r="B83" s="14" t="s">
        <v>6919</v>
      </c>
      <c r="C83" s="14" t="str">
        <f t="array" ref="C83">IFERROR(INDEX($B$42:$B$327, MATCH(0, COUNTIF($C$41:C82, $B$42:$B$327&amp;"") + IF($B$42:$B$327="",1,0), 0)), "")</f>
        <v>Programme santé de lutte contre le Sida</v>
      </c>
      <c r="D83" s="14" t="s">
        <v>6920</v>
      </c>
    </row>
    <row r="84" spans="1:4">
      <c r="A84" s="15" t="s">
        <v>6934</v>
      </c>
      <c r="B84" s="14" t="s">
        <v>6935</v>
      </c>
      <c r="C84" s="14" t="str">
        <f t="array" ref="C84">IFERROR(INDEX($B$42:$B$327, MATCH(0, COUNTIF($C$41:C83, $B$42:$B$327&amp;"") + IF($B$42:$B$327="",1,0), 0)), "")</f>
        <v>Plan International, Inc.</v>
      </c>
      <c r="D84" s="14" t="s">
        <v>6936</v>
      </c>
    </row>
    <row r="85" spans="1:4">
      <c r="A85" s="15" t="s">
        <v>6937</v>
      </c>
      <c r="B85" s="14" t="s">
        <v>6925</v>
      </c>
      <c r="C85" s="14" t="str">
        <f t="array" ref="C85">IFERROR(INDEX($B$42:$B$327, MATCH(0, COUNTIF($C$41:C84, $B$42:$B$327&amp;"") + IF($B$42:$B$327="",1,0), 0)), "")</f>
        <v>Programme National de Lutte contre le Paludisme de la République du Bénin</v>
      </c>
      <c r="D85" s="14" t="s">
        <v>6926</v>
      </c>
    </row>
    <row r="86" spans="1:4">
      <c r="A86" s="15" t="s">
        <v>6938</v>
      </c>
      <c r="B86" s="14" t="s">
        <v>6935</v>
      </c>
      <c r="C86" s="14" t="str">
        <f t="array" ref="C86">IFERROR(INDEX($B$42:$B$327, MATCH(0, COUNTIF($C$41:C85, $B$42:$B$327&amp;"") + IF($B$42:$B$327="",1,0), 0)), "")</f>
        <v>National Tuberculosis Programme of the Republic of Benin</v>
      </c>
      <c r="D86" s="14" t="s">
        <v>6936</v>
      </c>
    </row>
    <row r="87" spans="1:4">
      <c r="A87" s="15" t="s">
        <v>6939</v>
      </c>
      <c r="B87" s="14" t="s">
        <v>6919</v>
      </c>
      <c r="C87" s="14" t="str">
        <f t="array" ref="C87">IFERROR(INDEX($B$42:$B$327, MATCH(0, COUNTIF($C$41:C86, $B$42:$B$327&amp;"") + IF($B$42:$B$327="",1,0), 0)), "")</f>
        <v>Africare</v>
      </c>
      <c r="D87" s="14" t="s">
        <v>6920</v>
      </c>
    </row>
    <row r="88" spans="1:4">
      <c r="A88" s="15" t="s">
        <v>6940</v>
      </c>
      <c r="B88" s="14" t="s">
        <v>6941</v>
      </c>
      <c r="C88" s="14" t="str">
        <f t="array" ref="C88">IFERROR(INDEX($B$42:$B$327, MATCH(0, COUNTIF($C$41:C87, $B$42:$B$327&amp;"") + IF($B$42:$B$327="",1,0), 0)), "")</f>
        <v>Catholic Relief Services - United States Conference of Catholic Bishops</v>
      </c>
      <c r="D88" s="14" t="s">
        <v>6942</v>
      </c>
    </row>
    <row r="89" spans="1:4">
      <c r="A89" s="15" t="s">
        <v>6943</v>
      </c>
      <c r="B89" s="14" t="s">
        <v>6941</v>
      </c>
      <c r="C89" s="14" t="str">
        <f t="array" ref="C89">IFERROR(INDEX($B$42:$B$327, MATCH(0, COUNTIF($C$41:C88, $B$42:$B$327&amp;"") + IF($B$42:$B$327="",1,0), 0)), "")</f>
        <v>Health System Performance Program</v>
      </c>
      <c r="D89" s="14" t="s">
        <v>6942</v>
      </c>
    </row>
    <row r="90" spans="1:4">
      <c r="A90" s="15" t="s">
        <v>6944</v>
      </c>
      <c r="B90" s="14" t="s">
        <v>6941</v>
      </c>
      <c r="C90" s="14" t="str">
        <f t="array" ref="C90">IFERROR(INDEX($B$42:$B$327, MATCH(0, COUNTIF($C$41:C89, $B$42:$B$327&amp;"") + IF($B$42:$B$327="",1,0), 0)), "")</f>
        <v/>
      </c>
      <c r="D90" s="14" t="s">
        <v>6942</v>
      </c>
    </row>
    <row r="91" spans="1:4">
      <c r="A91" s="15" t="s">
        <v>6945</v>
      </c>
      <c r="B91" s="14" t="s">
        <v>6941</v>
      </c>
      <c r="C91" s="14" t="str">
        <f t="array" ref="C91">IFERROR(INDEX($B$42:$B$327, MATCH(0, COUNTIF($C$41:C90, $B$42:$B$327&amp;"") + IF($B$42:$B$327="",1,0), 0)), "")</f>
        <v/>
      </c>
      <c r="D91" s="14" t="s">
        <v>6942</v>
      </c>
    </row>
    <row r="92" spans="1:4">
      <c r="A92" s="15" t="s">
        <v>6946</v>
      </c>
      <c r="B92" s="14" t="s">
        <v>6941</v>
      </c>
      <c r="C92" s="14" t="str">
        <f t="array" ref="C92">IFERROR(INDEX($B$42:$B$327, MATCH(0, COUNTIF($C$41:C91, $B$42:$B$327&amp;"") + IF($B$42:$B$327="",1,0), 0)), "")</f>
        <v/>
      </c>
      <c r="D92" s="14" t="s">
        <v>6942</v>
      </c>
    </row>
    <row r="93" spans="1:4">
      <c r="A93" s="15" t="s">
        <v>6947</v>
      </c>
      <c r="B93" s="14" t="s">
        <v>6941</v>
      </c>
      <c r="C93" s="14" t="str">
        <f t="array" ref="C93">IFERROR(INDEX($B$42:$B$327, MATCH(0, COUNTIF($C$41:C92, $B$42:$B$327&amp;"") + IF($B$42:$B$327="",1,0), 0)), "")</f>
        <v/>
      </c>
      <c r="D93" s="14" t="s">
        <v>6942</v>
      </c>
    </row>
    <row r="94" spans="1:4">
      <c r="A94" s="15" t="s">
        <v>6948</v>
      </c>
      <c r="B94" s="14" t="s">
        <v>6941</v>
      </c>
      <c r="C94" s="14" t="str">
        <f t="array" ref="C94">IFERROR(INDEX($B$42:$B$327, MATCH(0, COUNTIF($C$41:C93, $B$42:$B$327&amp;"") + IF($B$42:$B$327="",1,0), 0)), "")</f>
        <v/>
      </c>
      <c r="D94" s="14" t="s">
        <v>6942</v>
      </c>
    </row>
    <row r="95" spans="1:4">
      <c r="A95" s="15" t="s">
        <v>6949</v>
      </c>
      <c r="B95" s="14" t="s">
        <v>6950</v>
      </c>
      <c r="C95" s="14" t="str">
        <f t="array" ref="C95">IFERROR(INDEX($B$42:$B$327, MATCH(0, COUNTIF($C$41:C94, $B$42:$B$327&amp;"") + IF($B$42:$B$327="",1,0), 0)), "")</f>
        <v/>
      </c>
      <c r="D95" s="14" t="s">
        <v>6951</v>
      </c>
    </row>
    <row r="96" spans="1:4">
      <c r="A96" s="15" t="s">
        <v>6952</v>
      </c>
      <c r="B96" s="14" t="s">
        <v>6950</v>
      </c>
      <c r="C96" s="14" t="str">
        <f t="array" ref="C96">IFERROR(INDEX($B$42:$B$327, MATCH(0, COUNTIF($C$41:C95, $B$42:$B$327&amp;"") + IF($B$42:$B$327="",1,0), 0)), "")</f>
        <v/>
      </c>
      <c r="D96" s="14" t="s">
        <v>6951</v>
      </c>
    </row>
    <row r="97" spans="1:4">
      <c r="A97" s="15" t="s">
        <v>6953</v>
      </c>
      <c r="B97" s="14" t="s">
        <v>6950</v>
      </c>
      <c r="C97" s="14" t="str">
        <f t="array" ref="C97">IFERROR(INDEX($B$42:$B$327, MATCH(0, COUNTIF($C$41:C96, $B$42:$B$327&amp;"") + IF($B$42:$B$327="",1,0), 0)), "")</f>
        <v/>
      </c>
      <c r="D97" s="14" t="s">
        <v>6951</v>
      </c>
    </row>
    <row r="98" spans="1:4">
      <c r="A98" s="15" t="s">
        <v>6954</v>
      </c>
      <c r="B98" s="14" t="s">
        <v>6950</v>
      </c>
      <c r="C98" s="14" t="str">
        <f t="array" ref="C98">IFERROR(INDEX($B$42:$B$327, MATCH(0, COUNTIF($C$41:C97, $B$42:$B$327&amp;"") + IF($B$42:$B$327="",1,0), 0)), "")</f>
        <v/>
      </c>
      <c r="D98" s="14" t="s">
        <v>6951</v>
      </c>
    </row>
    <row r="99" spans="1:4">
      <c r="A99" s="15" t="s">
        <v>6955</v>
      </c>
      <c r="B99" s="14" t="s">
        <v>6950</v>
      </c>
      <c r="C99" s="14" t="str">
        <f t="array" ref="C99">IFERROR(INDEX($B$42:$B$327, MATCH(0, COUNTIF($C$41:C98, $B$42:$B$327&amp;"") + IF($B$42:$B$327="",1,0), 0)), "")</f>
        <v/>
      </c>
      <c r="D99" s="14" t="s">
        <v>6951</v>
      </c>
    </row>
    <row r="100" spans="1:4">
      <c r="A100" s="15" t="s">
        <v>6956</v>
      </c>
      <c r="B100" s="14" t="s">
        <v>6950</v>
      </c>
      <c r="C100" s="14" t="str">
        <f t="array" ref="C100">IFERROR(INDEX($B$42:$B$327, MATCH(0, COUNTIF($C$41:C99, $B$42:$B$327&amp;"") + IF($B$42:$B$327="",1,0), 0)), "")</f>
        <v/>
      </c>
      <c r="D100" s="14" t="s">
        <v>6951</v>
      </c>
    </row>
    <row r="101" spans="1:4">
      <c r="A101" s="15" t="s">
        <v>6957</v>
      </c>
      <c r="B101" s="14" t="s">
        <v>6950</v>
      </c>
      <c r="C101" s="14" t="str">
        <f t="array" ref="C101">IFERROR(INDEX($B$42:$B$327, MATCH(0, COUNTIF($C$41:C100, $B$42:$B$327&amp;"") + IF($B$42:$B$327="",1,0), 0)), "")</f>
        <v/>
      </c>
      <c r="D101" s="14" t="s">
        <v>6951</v>
      </c>
    </row>
    <row r="102" spans="1:4">
      <c r="A102" s="15" t="s">
        <v>6958</v>
      </c>
      <c r="B102" s="14" t="s">
        <v>6950</v>
      </c>
      <c r="C102" s="14" t="str">
        <f t="array" ref="C102">IFERROR(INDEX($B$42:$B$327, MATCH(0, COUNTIF($C$41:C101, $B$42:$B$327&amp;"") + IF($B$42:$B$327="",1,0), 0)), "")</f>
        <v/>
      </c>
      <c r="D102" s="14" t="s">
        <v>6951</v>
      </c>
    </row>
    <row r="103" spans="1:4">
      <c r="A103" s="15" t="s">
        <v>6959</v>
      </c>
      <c r="B103" s="14" t="s">
        <v>6950</v>
      </c>
      <c r="C103" s="14" t="str">
        <f t="array" ref="C103">IFERROR(INDEX($B$42:$B$327, MATCH(0, COUNTIF($C$41:C102, $B$42:$B$327&amp;"") + IF($B$42:$B$327="",1,0), 0)), "")</f>
        <v/>
      </c>
      <c r="D103" s="14" t="s">
        <v>6951</v>
      </c>
    </row>
    <row r="104" spans="1:4">
      <c r="A104" s="15" t="s">
        <v>6960</v>
      </c>
      <c r="B104" s="14" t="s">
        <v>6961</v>
      </c>
      <c r="C104" s="14" t="str">
        <f t="array" ref="C104">IFERROR(INDEX($B$42:$B$327, MATCH(0, COUNTIF($C$41:C103, $B$42:$B$327&amp;"") + IF($B$42:$B$327="",1,0), 0)), "")</f>
        <v/>
      </c>
      <c r="D104" s="14" t="s">
        <v>6962</v>
      </c>
    </row>
    <row r="105" spans="1:4">
      <c r="A105" s="15" t="s">
        <v>6963</v>
      </c>
      <c r="B105" s="14" t="s">
        <v>6961</v>
      </c>
      <c r="C105" s="14" t="str">
        <f t="array" ref="C105">IFERROR(INDEX($B$42:$B$327, MATCH(0, COUNTIF($C$41:C104, $B$42:$B$327&amp;"") + IF($B$42:$B$327="",1,0), 0)), "")</f>
        <v/>
      </c>
      <c r="D105" s="14" t="s">
        <v>6962</v>
      </c>
    </row>
    <row r="106" spans="1:4">
      <c r="A106" s="15" t="s">
        <v>6964</v>
      </c>
      <c r="B106" s="14" t="s">
        <v>6961</v>
      </c>
      <c r="C106" s="14" t="str">
        <f t="array" ref="C106">IFERROR(INDEX($B$42:$B$327, MATCH(0, COUNTIF($C$41:C105, $B$42:$B$327&amp;"") + IF($B$42:$B$327="",1,0), 0)), "")</f>
        <v/>
      </c>
      <c r="D106" s="14" t="s">
        <v>6962</v>
      </c>
    </row>
    <row r="107" spans="1:4">
      <c r="A107" s="15" t="s">
        <v>6965</v>
      </c>
      <c r="B107" s="14" t="s">
        <v>6961</v>
      </c>
      <c r="C107" s="14" t="str">
        <f t="array" ref="C107">IFERROR(INDEX($B$42:$B$327, MATCH(0, COUNTIF($C$41:C106, $B$42:$B$327&amp;"") + IF($B$42:$B$327="",1,0), 0)), "")</f>
        <v/>
      </c>
      <c r="D107" s="14" t="s">
        <v>6962</v>
      </c>
    </row>
    <row r="108" spans="1:4">
      <c r="A108" s="15" t="s">
        <v>6966</v>
      </c>
      <c r="B108" s="14" t="s">
        <v>6967</v>
      </c>
      <c r="C108" s="14" t="str">
        <f t="array" ref="C108">IFERROR(INDEX($B$42:$B$327, MATCH(0, COUNTIF($C$41:C107, $B$42:$B$327&amp;"") + IF($B$42:$B$327="",1,0), 0)), "")</f>
        <v/>
      </c>
      <c r="D108" s="14" t="s">
        <v>6968</v>
      </c>
    </row>
    <row r="109" spans="1:4">
      <c r="A109" s="15" t="s">
        <v>6969</v>
      </c>
      <c r="B109" s="14" t="s">
        <v>6967</v>
      </c>
      <c r="C109" s="14" t="str">
        <f t="array" ref="C109">IFERROR(INDEX($B$42:$B$327, MATCH(0, COUNTIF($C$41:C108, $B$42:$B$327&amp;"") + IF($B$42:$B$327="",1,0), 0)), "")</f>
        <v/>
      </c>
      <c r="D109" s="14" t="s">
        <v>6968</v>
      </c>
    </row>
    <row r="110" spans="1:4">
      <c r="A110" s="15" t="s">
        <v>6970</v>
      </c>
      <c r="B110" s="14" t="s">
        <v>6967</v>
      </c>
      <c r="C110" s="14" t="str">
        <f t="array" ref="C110">IFERROR(INDEX($B$42:$B$327, MATCH(0, COUNTIF($C$41:C109, $B$42:$B$327&amp;"") + IF($B$42:$B$327="",1,0), 0)), "")</f>
        <v/>
      </c>
      <c r="D110" s="14" t="s">
        <v>6968</v>
      </c>
    </row>
    <row r="111" spans="1:4">
      <c r="A111" s="15" t="s">
        <v>6971</v>
      </c>
      <c r="B111" s="14" t="s">
        <v>6967</v>
      </c>
      <c r="C111" s="14" t="str">
        <f t="array" ref="C111">IFERROR(INDEX($B$42:$B$327, MATCH(0, COUNTIF($C$41:C110, $B$42:$B$327&amp;"") + IF($B$42:$B$327="",1,0), 0)), "")</f>
        <v/>
      </c>
      <c r="D111" s="14" t="s">
        <v>6968</v>
      </c>
    </row>
    <row r="112" spans="1:4">
      <c r="A112" s="15" t="s">
        <v>6972</v>
      </c>
      <c r="B112" s="14" t="s">
        <v>6967</v>
      </c>
      <c r="C112" s="14" t="str">
        <f t="array" ref="C112">IFERROR(INDEX($B$42:$B$327, MATCH(0, COUNTIF($C$41:C111, $B$42:$B$327&amp;"") + IF($B$42:$B$327="",1,0), 0)), "")</f>
        <v/>
      </c>
      <c r="D112" s="14" t="s">
        <v>6968</v>
      </c>
    </row>
    <row r="113" spans="1:4">
      <c r="A113" s="15" t="s">
        <v>6973</v>
      </c>
      <c r="B113" s="14" t="s">
        <v>6967</v>
      </c>
      <c r="C113" s="14" t="str">
        <f t="array" ref="C113">IFERROR(INDEX($B$42:$B$327, MATCH(0, COUNTIF($C$41:C112, $B$42:$B$327&amp;"") + IF($B$42:$B$327="",1,0), 0)), "")</f>
        <v/>
      </c>
      <c r="D113" s="14" t="s">
        <v>6968</v>
      </c>
    </row>
    <row r="114" spans="1:4">
      <c r="A114" s="15" t="s">
        <v>6974</v>
      </c>
      <c r="B114" s="14" t="s">
        <v>6967</v>
      </c>
      <c r="C114" s="14" t="str">
        <f t="array" ref="C114">IFERROR(INDEX($B$42:$B$327, MATCH(0, COUNTIF($C$41:C113, $B$42:$B$327&amp;"") + IF($B$42:$B$327="",1,0), 0)), "")</f>
        <v/>
      </c>
      <c r="D114" s="14" t="s">
        <v>6968</v>
      </c>
    </row>
    <row r="115" spans="1:4">
      <c r="A115" s="15" t="s">
        <v>6975</v>
      </c>
      <c r="B115" s="14" t="s">
        <v>6967</v>
      </c>
      <c r="C115" s="14" t="str">
        <f t="array" ref="C115">IFERROR(INDEX($B$42:$B$327, MATCH(0, COUNTIF($C$41:C114, $B$42:$B$327&amp;"") + IF($B$42:$B$327="",1,0), 0)), "")</f>
        <v/>
      </c>
      <c r="D115" s="14" t="s">
        <v>6968</v>
      </c>
    </row>
    <row r="116" spans="1:4">
      <c r="A116" s="15" t="s">
        <v>6976</v>
      </c>
      <c r="B116" s="14" t="s">
        <v>6977</v>
      </c>
      <c r="C116" s="14" t="str">
        <f t="array" ref="C116">IFERROR(INDEX($B$42:$B$327, MATCH(0, COUNTIF($C$41:C115, $B$42:$B$327&amp;"") + IF($B$42:$B$327="",1,0), 0)), "")</f>
        <v/>
      </c>
      <c r="D116" s="14" t="s">
        <v>6978</v>
      </c>
    </row>
    <row r="117" spans="1:4">
      <c r="A117" s="15" t="s">
        <v>6979</v>
      </c>
      <c r="B117" s="14" t="s">
        <v>6977</v>
      </c>
      <c r="C117" s="14" t="str">
        <f t="array" ref="C117">IFERROR(INDEX($B$42:$B$327, MATCH(0, COUNTIF($C$41:C116, $B$42:$B$327&amp;"") + IF($B$42:$B$327="",1,0), 0)), "")</f>
        <v/>
      </c>
      <c r="D117" s="14" t="s">
        <v>6978</v>
      </c>
    </row>
    <row r="118" spans="1:4">
      <c r="A118" s="15" t="s">
        <v>6980</v>
      </c>
      <c r="B118" s="14" t="s">
        <v>6977</v>
      </c>
      <c r="C118" s="14" t="str">
        <f t="array" ref="C118">IFERROR(INDEX($B$42:$B$327, MATCH(0, COUNTIF($C$41:C117, $B$42:$B$327&amp;"") + IF($B$42:$B$327="",1,0), 0)), "")</f>
        <v/>
      </c>
      <c r="D118" s="14" t="s">
        <v>6978</v>
      </c>
    </row>
    <row r="119" spans="1:4">
      <c r="A119" s="15" t="s">
        <v>6981</v>
      </c>
      <c r="B119" s="14" t="s">
        <v>6977</v>
      </c>
      <c r="C119" s="14" t="str">
        <f t="array" ref="C119">IFERROR(INDEX($B$42:$B$327, MATCH(0, COUNTIF($C$41:C118, $B$42:$B$327&amp;"") + IF($B$42:$B$327="",1,0), 0)), "")</f>
        <v/>
      </c>
      <c r="D119" s="14" t="s">
        <v>6978</v>
      </c>
    </row>
    <row r="120" spans="1:4">
      <c r="A120" s="15" t="s">
        <v>6982</v>
      </c>
      <c r="B120" s="14" t="s">
        <v>6977</v>
      </c>
      <c r="C120" s="14" t="str">
        <f t="array" ref="C120">IFERROR(INDEX($B$42:$B$327, MATCH(0, COUNTIF($C$41:C119, $B$42:$B$327&amp;"") + IF($B$42:$B$327="",1,0), 0)), "")</f>
        <v/>
      </c>
      <c r="D120" s="14" t="s">
        <v>6978</v>
      </c>
    </row>
    <row r="121" spans="1:4">
      <c r="A121" s="15" t="s">
        <v>6983</v>
      </c>
      <c r="B121" s="14" t="s">
        <v>6977</v>
      </c>
      <c r="C121" s="14" t="str">
        <f t="array" ref="C121">IFERROR(INDEX($B$42:$B$327, MATCH(0, COUNTIF($C$41:C120, $B$42:$B$327&amp;"") + IF($B$42:$B$327="",1,0), 0)), "")</f>
        <v/>
      </c>
      <c r="D121" s="14" t="s">
        <v>6978</v>
      </c>
    </row>
    <row r="122" spans="1:4">
      <c r="A122" s="15" t="s">
        <v>6984</v>
      </c>
      <c r="B122" s="14" t="s">
        <v>6977</v>
      </c>
      <c r="C122" s="14" t="str">
        <f t="array" ref="C122">IFERROR(INDEX($B$42:$B$327, MATCH(0, COUNTIF($C$41:C121, $B$42:$B$327&amp;"") + IF($B$42:$B$327="",1,0), 0)), "")</f>
        <v/>
      </c>
      <c r="D122" s="14" t="s">
        <v>6978</v>
      </c>
    </row>
    <row r="123" spans="1:4">
      <c r="A123" s="15" t="s">
        <v>6985</v>
      </c>
      <c r="B123" s="14" t="s">
        <v>6977</v>
      </c>
      <c r="C123" s="14" t="str">
        <f t="array" ref="C123">IFERROR(INDEX($B$42:$B$327, MATCH(0, COUNTIF($C$41:C122, $B$42:$B$327&amp;"") + IF($B$42:$B$327="",1,0), 0)), "")</f>
        <v/>
      </c>
      <c r="D123" s="14" t="s">
        <v>6978</v>
      </c>
    </row>
    <row r="124" spans="1:4">
      <c r="A124" s="15" t="s">
        <v>6986</v>
      </c>
      <c r="B124" s="14" t="s">
        <v>6977</v>
      </c>
      <c r="C124" s="14" t="str">
        <f t="array" ref="C124">IFERROR(INDEX($B$42:$B$327, MATCH(0, COUNTIF($C$41:C123, $B$42:$B$327&amp;"") + IF($B$42:$B$327="",1,0), 0)), "")</f>
        <v/>
      </c>
      <c r="D124" s="14" t="s">
        <v>6978</v>
      </c>
    </row>
    <row r="125" spans="1:4">
      <c r="A125" s="15" t="s">
        <v>6987</v>
      </c>
      <c r="B125" s="14" t="s">
        <v>6988</v>
      </c>
      <c r="C125" s="14" t="str">
        <f t="array" ref="C125">IFERROR(INDEX($B$42:$B$327, MATCH(0, COUNTIF($C$41:C124, $B$42:$B$327&amp;"") + IF($B$42:$B$327="",1,0), 0)), "")</f>
        <v/>
      </c>
      <c r="D125" s="14" t="s">
        <v>6989</v>
      </c>
    </row>
    <row r="126" spans="1:4">
      <c r="A126" s="15" t="s">
        <v>6990</v>
      </c>
      <c r="B126" s="14" t="s">
        <v>6991</v>
      </c>
      <c r="C126" s="14" t="str">
        <f t="array" ref="C126">IFERROR(INDEX($B$42:$B$327, MATCH(0, COUNTIF($C$41:C125, $B$42:$B$327&amp;"") + IF($B$42:$B$327="",1,0), 0)), "")</f>
        <v/>
      </c>
      <c r="D126" s="14" t="s">
        <v>6992</v>
      </c>
    </row>
    <row r="127" spans="1:4">
      <c r="A127" s="15" t="s">
        <v>6993</v>
      </c>
      <c r="B127" s="14" t="s">
        <v>6988</v>
      </c>
      <c r="C127" s="14" t="str">
        <f t="array" ref="C127">IFERROR(INDEX($B$42:$B$327, MATCH(0, COUNTIF($C$41:C126, $B$42:$B$327&amp;"") + IF($B$42:$B$327="",1,0), 0)), "")</f>
        <v/>
      </c>
      <c r="D127" s="14" t="s">
        <v>6989</v>
      </c>
    </row>
    <row r="128" spans="1:4">
      <c r="A128" s="15" t="s">
        <v>6994</v>
      </c>
      <c r="B128" s="14" t="s">
        <v>6988</v>
      </c>
      <c r="C128" s="14" t="str">
        <f t="array" ref="C128">IFERROR(INDEX($B$42:$B$327, MATCH(0, COUNTIF($C$41:C127, $B$42:$B$327&amp;"") + IF($B$42:$B$327="",1,0), 0)), "")</f>
        <v/>
      </c>
      <c r="D128" s="14" t="s">
        <v>6989</v>
      </c>
    </row>
    <row r="129" spans="1:4">
      <c r="A129" s="15" t="s">
        <v>6995</v>
      </c>
      <c r="B129" s="14" t="s">
        <v>6988</v>
      </c>
      <c r="C129" s="14" t="str">
        <f t="array" ref="C129">IFERROR(INDEX($B$42:$B$327, MATCH(0, COUNTIF($C$41:C128, $B$42:$B$327&amp;"") + IF($B$42:$B$327="",1,0), 0)), "")</f>
        <v/>
      </c>
      <c r="D129" s="14" t="s">
        <v>6989</v>
      </c>
    </row>
    <row r="130" spans="1:4">
      <c r="A130" s="15" t="s">
        <v>6996</v>
      </c>
      <c r="B130" s="14" t="s">
        <v>6988</v>
      </c>
      <c r="C130" s="14" t="str">
        <f t="array" ref="C130">IFERROR(INDEX($B$42:$B$327, MATCH(0, COUNTIF($C$41:C129, $B$42:$B$327&amp;"") + IF($B$42:$B$327="",1,0), 0)), "")</f>
        <v/>
      </c>
      <c r="D130" s="14" t="s">
        <v>6989</v>
      </c>
    </row>
    <row r="131" spans="1:4">
      <c r="A131" s="15" t="s">
        <v>6997</v>
      </c>
      <c r="B131" s="14" t="s">
        <v>6988</v>
      </c>
      <c r="C131" s="14" t="str">
        <f t="array" ref="C131">IFERROR(INDEX($B$42:$B$327, MATCH(0, COUNTIF($C$41:C130, $B$42:$B$327&amp;"") + IF($B$42:$B$327="",1,0), 0)), "")</f>
        <v/>
      </c>
      <c r="D131" s="14" t="s">
        <v>6989</v>
      </c>
    </row>
    <row r="132" spans="1:4">
      <c r="A132" s="15" t="s">
        <v>6998</v>
      </c>
      <c r="B132" s="14" t="s">
        <v>6988</v>
      </c>
      <c r="C132" s="14" t="str">
        <f t="array" ref="C132">IFERROR(INDEX($B$42:$B$327, MATCH(0, COUNTIF($C$41:C131, $B$42:$B$327&amp;"") + IF($B$42:$B$327="",1,0), 0)), "")</f>
        <v/>
      </c>
      <c r="D132" s="14" t="s">
        <v>6989</v>
      </c>
    </row>
    <row r="133" spans="1:4">
      <c r="A133" s="15" t="s">
        <v>6999</v>
      </c>
      <c r="B133" s="14" t="s">
        <v>6988</v>
      </c>
      <c r="C133" s="14" t="str">
        <f t="array" ref="C133">IFERROR(INDEX($B$42:$B$327, MATCH(0, COUNTIF($C$41:C132, $B$42:$B$327&amp;"") + IF($B$42:$B$327="",1,0), 0)), "")</f>
        <v/>
      </c>
      <c r="D133" s="14" t="s">
        <v>6989</v>
      </c>
    </row>
    <row r="134" spans="1:4">
      <c r="A134" s="15" t="s">
        <v>7000</v>
      </c>
      <c r="B134" s="14" t="s">
        <v>7001</v>
      </c>
      <c r="C134" s="14" t="str">
        <f t="array" ref="C134">IFERROR(INDEX($B$42:$B$327, MATCH(0, COUNTIF($C$41:C133, $B$42:$B$327&amp;"") + IF($B$42:$B$327="",1,0), 0)), "")</f>
        <v/>
      </c>
      <c r="D134" s="14" t="s">
        <v>7002</v>
      </c>
    </row>
    <row r="135" spans="1:4">
      <c r="A135" s="15" t="s">
        <v>7003</v>
      </c>
      <c r="B135" s="14" t="s">
        <v>7001</v>
      </c>
      <c r="C135" s="14" t="str">
        <f t="array" ref="C135">IFERROR(INDEX($B$42:$B$327, MATCH(0, COUNTIF($C$41:C134, $B$42:$B$327&amp;"") + IF($B$42:$B$327="",1,0), 0)), "")</f>
        <v/>
      </c>
      <c r="D135" s="14" t="s">
        <v>7002</v>
      </c>
    </row>
    <row r="136" spans="1:4">
      <c r="A136" s="15" t="s">
        <v>7004</v>
      </c>
      <c r="B136" s="14" t="s">
        <v>7001</v>
      </c>
      <c r="C136" s="14" t="str">
        <f t="array" ref="C136">IFERROR(INDEX($B$42:$B$327, MATCH(0, COUNTIF($C$41:C135, $B$42:$B$327&amp;"") + IF($B$42:$B$327="",1,0), 0)), "")</f>
        <v/>
      </c>
      <c r="D136" s="14" t="s">
        <v>7002</v>
      </c>
    </row>
    <row r="137" spans="1:4">
      <c r="A137" s="15" t="s">
        <v>7005</v>
      </c>
      <c r="B137" s="14" t="s">
        <v>7001</v>
      </c>
      <c r="C137" s="14" t="str">
        <f t="array" ref="C137">IFERROR(INDEX($B$42:$B$327, MATCH(0, COUNTIF($C$41:C136, $B$42:$B$327&amp;"") + IF($B$42:$B$327="",1,0), 0)), "")</f>
        <v/>
      </c>
      <c r="D137" s="14" t="s">
        <v>7002</v>
      </c>
    </row>
    <row r="138" spans="1:4">
      <c r="A138" s="15" t="s">
        <v>7006</v>
      </c>
      <c r="B138" s="14" t="s">
        <v>7007</v>
      </c>
      <c r="C138" s="14" t="str">
        <f t="array" ref="C138">IFERROR(INDEX($B$42:$B$327, MATCH(0, COUNTIF($C$41:C137, $B$42:$B$327&amp;"") + IF($B$42:$B$327="",1,0), 0)), "")</f>
        <v/>
      </c>
      <c r="D138" s="14" t="s">
        <v>7008</v>
      </c>
    </row>
    <row r="139" spans="1:4">
      <c r="A139" s="15" t="s">
        <v>7009</v>
      </c>
      <c r="B139" s="14" t="s">
        <v>7001</v>
      </c>
      <c r="C139" s="14" t="str">
        <f t="array" ref="C139">IFERROR(INDEX($B$42:$B$327, MATCH(0, COUNTIF($C$41:C138, $B$42:$B$327&amp;"") + IF($B$42:$B$327="",1,0), 0)), "")</f>
        <v/>
      </c>
      <c r="D139" s="14" t="s">
        <v>7002</v>
      </c>
    </row>
    <row r="140" spans="1:4">
      <c r="A140" s="15" t="s">
        <v>7010</v>
      </c>
      <c r="B140" s="14" t="s">
        <v>7001</v>
      </c>
      <c r="C140" s="14" t="str">
        <f t="array" ref="C140">IFERROR(INDEX($B$42:$B$327, MATCH(0, COUNTIF($C$41:C139, $B$42:$B$327&amp;"") + IF($B$42:$B$327="",1,0), 0)), "")</f>
        <v/>
      </c>
      <c r="D140" s="14" t="s">
        <v>7002</v>
      </c>
    </row>
    <row r="141" spans="1:4">
      <c r="A141" s="15" t="s">
        <v>7011</v>
      </c>
      <c r="B141" s="14" t="s">
        <v>7001</v>
      </c>
      <c r="C141" s="14" t="str">
        <f t="array" ref="C141">IFERROR(INDEX($B$42:$B$327, MATCH(0, COUNTIF($C$41:C140, $B$42:$B$327&amp;"") + IF($B$42:$B$327="",1,0), 0)), "")</f>
        <v/>
      </c>
      <c r="D141" s="14" t="s">
        <v>7002</v>
      </c>
    </row>
    <row r="142" spans="1:4">
      <c r="A142" s="15" t="s">
        <v>7012</v>
      </c>
      <c r="B142" s="14" t="s">
        <v>7001</v>
      </c>
      <c r="C142" s="14" t="str">
        <f t="array" ref="C142">IFERROR(INDEX($B$42:$B$327, MATCH(0, COUNTIF($C$41:C141, $B$42:$B$327&amp;"") + IF($B$42:$B$327="",1,0), 0)), "")</f>
        <v/>
      </c>
      <c r="D142" s="14" t="s">
        <v>7002</v>
      </c>
    </row>
    <row r="143" spans="1:4">
      <c r="A143" s="15" t="s">
        <v>7013</v>
      </c>
      <c r="B143" s="14" t="s">
        <v>7014</v>
      </c>
      <c r="C143" s="14" t="str">
        <f t="array" ref="C143">IFERROR(INDEX($B$42:$B$327, MATCH(0, COUNTIF($C$41:C142, $B$42:$B$327&amp;"") + IF($B$42:$B$327="",1,0), 0)), "")</f>
        <v/>
      </c>
      <c r="D143" s="14" t="s">
        <v>7015</v>
      </c>
    </row>
    <row r="144" spans="1:4">
      <c r="A144" s="15" t="s">
        <v>7016</v>
      </c>
      <c r="B144" s="14" t="s">
        <v>7014</v>
      </c>
      <c r="C144" s="14" t="str">
        <f t="array" ref="C144">IFERROR(INDEX($B$42:$B$327, MATCH(0, COUNTIF($C$41:C143, $B$42:$B$327&amp;"") + IF($B$42:$B$327="",1,0), 0)), "")</f>
        <v/>
      </c>
      <c r="D144" s="14" t="s">
        <v>7015</v>
      </c>
    </row>
    <row r="145" spans="1:4">
      <c r="A145" s="15" t="s">
        <v>7017</v>
      </c>
      <c r="B145" s="14" t="s">
        <v>7014</v>
      </c>
      <c r="C145" s="14" t="str">
        <f t="array" ref="C145">IFERROR(INDEX($B$42:$B$327, MATCH(0, COUNTIF($C$41:C144, $B$42:$B$327&amp;"") + IF($B$42:$B$327="",1,0), 0)), "")</f>
        <v/>
      </c>
      <c r="D145" s="14" t="s">
        <v>7015</v>
      </c>
    </row>
    <row r="146" spans="1:4">
      <c r="A146" s="15" t="s">
        <v>7018</v>
      </c>
      <c r="B146" s="14" t="s">
        <v>7014</v>
      </c>
      <c r="C146" s="14" t="str">
        <f t="array" ref="C146">IFERROR(INDEX($B$42:$B$327, MATCH(0, COUNTIF($C$41:C145, $B$42:$B$327&amp;"") + IF($B$42:$B$327="",1,0), 0)), "")</f>
        <v/>
      </c>
      <c r="D146" s="14" t="s">
        <v>7015</v>
      </c>
    </row>
    <row r="147" spans="1:4">
      <c r="A147" s="15" t="s">
        <v>7019</v>
      </c>
      <c r="B147" s="14" t="s">
        <v>7014</v>
      </c>
      <c r="C147" s="14" t="str">
        <f t="array" ref="C147">IFERROR(INDEX($B$42:$B$327, MATCH(0, COUNTIF($C$41:C146, $B$42:$B$327&amp;"") + IF($B$42:$B$327="",1,0), 0)), "")</f>
        <v/>
      </c>
      <c r="D147" s="14" t="s">
        <v>7015</v>
      </c>
    </row>
    <row r="148" spans="1:4">
      <c r="A148" s="15" t="s">
        <v>7020</v>
      </c>
      <c r="B148" s="14" t="s">
        <v>7014</v>
      </c>
      <c r="C148" s="14" t="str">
        <f t="array" ref="C148">IFERROR(INDEX($B$42:$B$327, MATCH(0, COUNTIF($C$41:C147, $B$42:$B$327&amp;"") + IF($B$42:$B$327="",1,0), 0)), "")</f>
        <v/>
      </c>
      <c r="D148" s="14" t="s">
        <v>7015</v>
      </c>
    </row>
    <row r="149" spans="1:4">
      <c r="A149" s="15" t="s">
        <v>7021</v>
      </c>
      <c r="B149" s="14" t="s">
        <v>7022</v>
      </c>
      <c r="C149" s="14" t="str">
        <f t="array" ref="C149">IFERROR(INDEX($B$42:$B$327, MATCH(0, COUNTIF($C$41:C148, $B$42:$B$327&amp;"") + IF($B$42:$B$327="",1,0), 0)), "")</f>
        <v/>
      </c>
      <c r="D149" s="14" t="s">
        <v>7023</v>
      </c>
    </row>
    <row r="150" spans="1:4">
      <c r="A150" s="15" t="s">
        <v>7024</v>
      </c>
      <c r="B150" s="14" t="s">
        <v>7022</v>
      </c>
      <c r="C150" s="14" t="str">
        <f t="array" ref="C150">IFERROR(INDEX($B$42:$B$327, MATCH(0, COUNTIF($C$41:C149, $B$42:$B$327&amp;"") + IF($B$42:$B$327="",1,0), 0)), "")</f>
        <v/>
      </c>
      <c r="D150" s="14" t="s">
        <v>7023</v>
      </c>
    </row>
    <row r="151" spans="1:4">
      <c r="A151" s="15" t="s">
        <v>7025</v>
      </c>
      <c r="B151" s="14" t="s">
        <v>6888</v>
      </c>
      <c r="C151" s="14" t="str">
        <f t="array" ref="C151">IFERROR(INDEX($B$42:$B$327, MATCH(0, COUNTIF($C$41:C150, $B$42:$B$327&amp;"") + IF($B$42:$B$327="",1,0), 0)), "")</f>
        <v/>
      </c>
      <c r="D151" s="14" t="s">
        <v>7026</v>
      </c>
    </row>
    <row r="152" spans="1:4">
      <c r="A152" s="15" t="s">
        <v>7027</v>
      </c>
      <c r="B152" s="14" t="s">
        <v>6888</v>
      </c>
      <c r="C152" s="14" t="str">
        <f t="array" ref="C152">IFERROR(INDEX($B$42:$B$327, MATCH(0, COUNTIF($C$41:C151, $B$42:$B$327&amp;"") + IF($B$42:$B$327="",1,0), 0)), "")</f>
        <v/>
      </c>
      <c r="D152" s="14" t="s">
        <v>7026</v>
      </c>
    </row>
    <row r="153" spans="1:4">
      <c r="A153" s="15" t="s">
        <v>7028</v>
      </c>
      <c r="B153" s="14" t="s">
        <v>7022</v>
      </c>
      <c r="C153" s="14" t="str">
        <f t="array" ref="C153">IFERROR(INDEX($B$42:$B$327, MATCH(0, COUNTIF($C$41:C152, $B$42:$B$327&amp;"") + IF($B$42:$B$327="",1,0), 0)), "")</f>
        <v/>
      </c>
      <c r="D153" s="14" t="s">
        <v>7023</v>
      </c>
    </row>
    <row r="154" spans="1:4">
      <c r="A154" s="15" t="s">
        <v>7029</v>
      </c>
      <c r="B154" s="14" t="s">
        <v>7022</v>
      </c>
      <c r="C154" s="14" t="str">
        <f t="array" ref="C154">IFERROR(INDEX($B$42:$B$327, MATCH(0, COUNTIF($C$41:C153, $B$42:$B$327&amp;"") + IF($B$42:$B$327="",1,0), 0)), "")</f>
        <v/>
      </c>
      <c r="D154" s="14" t="s">
        <v>7023</v>
      </c>
    </row>
    <row r="155" spans="1:4">
      <c r="A155" s="15" t="s">
        <v>7030</v>
      </c>
      <c r="B155" s="14" t="s">
        <v>7022</v>
      </c>
      <c r="C155" s="14" t="str">
        <f t="array" ref="C155">IFERROR(INDEX($B$42:$B$327, MATCH(0, COUNTIF($C$41:C154, $B$42:$B$327&amp;"") + IF($B$42:$B$327="",1,0), 0)), "")</f>
        <v/>
      </c>
      <c r="D155" s="14" t="s">
        <v>7023</v>
      </c>
    </row>
    <row r="156" spans="1:4">
      <c r="A156" s="15" t="s">
        <v>7031</v>
      </c>
      <c r="B156" s="14" t="s">
        <v>7022</v>
      </c>
      <c r="C156" s="14" t="str">
        <f t="array" ref="C156">IFERROR(INDEX($B$42:$B$327, MATCH(0, COUNTIF($C$41:C155, $B$42:$B$327&amp;"") + IF($B$42:$B$327="",1,0), 0)), "")</f>
        <v/>
      </c>
      <c r="D156" s="14" t="s">
        <v>7023</v>
      </c>
    </row>
    <row r="157" spans="1:4">
      <c r="A157" s="15" t="s">
        <v>7032</v>
      </c>
      <c r="B157" s="14" t="s">
        <v>7022</v>
      </c>
      <c r="C157" s="14" t="str">
        <f t="array" ref="C157">IFERROR(INDEX($B$42:$B$327, MATCH(0, COUNTIF($C$41:C156, $B$42:$B$327&amp;"") + IF($B$42:$B$327="",1,0), 0)), "")</f>
        <v/>
      </c>
      <c r="D157" s="14" t="s">
        <v>7023</v>
      </c>
    </row>
    <row r="158" spans="1:4">
      <c r="A158" s="15" t="s">
        <v>7033</v>
      </c>
      <c r="B158" s="14" t="s">
        <v>6888</v>
      </c>
      <c r="C158" s="14" t="str">
        <f t="array" ref="C158">IFERROR(INDEX($B$42:$B$327, MATCH(0, COUNTIF($C$41:C157, $B$42:$B$327&amp;"") + IF($B$42:$B$327="",1,0), 0)), "")</f>
        <v/>
      </c>
      <c r="D158" s="14" t="s">
        <v>7026</v>
      </c>
    </row>
    <row r="159" spans="1:4">
      <c r="A159" s="15" t="s">
        <v>7034</v>
      </c>
      <c r="B159" s="14" t="s">
        <v>6888</v>
      </c>
      <c r="C159" s="14" t="str">
        <f t="array" ref="C159">IFERROR(INDEX($B$42:$B$327, MATCH(0, COUNTIF($C$41:C158, $B$42:$B$327&amp;"") + IF($B$42:$B$327="",1,0), 0)), "")</f>
        <v/>
      </c>
      <c r="D159" s="14" t="s">
        <v>7026</v>
      </c>
    </row>
    <row r="160" spans="1:4">
      <c r="A160" s="15" t="s">
        <v>7035</v>
      </c>
      <c r="B160" s="14" t="s">
        <v>7036</v>
      </c>
      <c r="C160" s="14" t="str">
        <f t="array" ref="C160">IFERROR(INDEX($B$42:$B$327, MATCH(0, COUNTIF($C$41:C159, $B$42:$B$327&amp;"") + IF($B$42:$B$327="",1,0), 0)), "")</f>
        <v/>
      </c>
      <c r="D160" s="14" t="s">
        <v>7037</v>
      </c>
    </row>
    <row r="161" spans="1:4">
      <c r="A161" s="15" t="s">
        <v>7038</v>
      </c>
      <c r="B161" s="14" t="s">
        <v>7036</v>
      </c>
      <c r="C161" s="14" t="str">
        <f t="array" ref="C161">IFERROR(INDEX($B$42:$B$327, MATCH(0, COUNTIF($C$41:C160, $B$42:$B$327&amp;"") + IF($B$42:$B$327="",1,0), 0)), "")</f>
        <v/>
      </c>
      <c r="D161" s="14" t="s">
        <v>7037</v>
      </c>
    </row>
    <row r="162" spans="1:4">
      <c r="A162" s="15" t="s">
        <v>7039</v>
      </c>
      <c r="B162" s="14" t="s">
        <v>7036</v>
      </c>
      <c r="C162" s="14" t="str">
        <f t="array" ref="C162">IFERROR(INDEX($B$42:$B$327, MATCH(0, COUNTIF($C$41:C161, $B$42:$B$327&amp;"") + IF($B$42:$B$327="",1,0), 0)), "")</f>
        <v/>
      </c>
      <c r="D162" s="14" t="s">
        <v>7037</v>
      </c>
    </row>
    <row r="163" spans="1:4">
      <c r="A163" s="15" t="s">
        <v>7040</v>
      </c>
      <c r="B163" s="14" t="s">
        <v>7041</v>
      </c>
      <c r="C163" s="14" t="str">
        <f t="array" ref="C163">IFERROR(INDEX($B$42:$B$327, MATCH(0, COUNTIF($C$41:C162, $B$42:$B$327&amp;"") + IF($B$42:$B$327="",1,0), 0)), "")</f>
        <v/>
      </c>
      <c r="D163" s="14" t="s">
        <v>7042</v>
      </c>
    </row>
    <row r="164" spans="1:4">
      <c r="A164" s="15" t="s">
        <v>7043</v>
      </c>
      <c r="B164" s="14" t="s">
        <v>7041</v>
      </c>
      <c r="C164" s="14" t="str">
        <f t="array" ref="C164">IFERROR(INDEX($B$42:$B$327, MATCH(0, COUNTIF($C$41:C163, $B$42:$B$327&amp;"") + IF($B$42:$B$327="",1,0), 0)), "")</f>
        <v/>
      </c>
      <c r="D164" s="14" t="s">
        <v>7042</v>
      </c>
    </row>
    <row r="165" spans="1:4">
      <c r="A165" s="15" t="s">
        <v>7044</v>
      </c>
      <c r="B165" s="14" t="s">
        <v>7041</v>
      </c>
      <c r="C165" s="14" t="str">
        <f t="array" ref="C165">IFERROR(INDEX($B$42:$B$327, MATCH(0, COUNTIF($C$41:C164, $B$42:$B$327&amp;"") + IF($B$42:$B$327="",1,0), 0)), "")</f>
        <v/>
      </c>
      <c r="D165" s="14" t="s">
        <v>7042</v>
      </c>
    </row>
    <row r="166" spans="1:4">
      <c r="A166" s="15" t="s">
        <v>7045</v>
      </c>
      <c r="B166" s="14" t="s">
        <v>7041</v>
      </c>
      <c r="C166" s="14" t="str">
        <f t="array" ref="C166">IFERROR(INDEX($B$42:$B$327, MATCH(0, COUNTIF($C$41:C165, $B$42:$B$327&amp;"") + IF($B$42:$B$327="",1,0), 0)), "")</f>
        <v/>
      </c>
      <c r="D166" s="14" t="s">
        <v>7042</v>
      </c>
    </row>
    <row r="167" spans="1:4">
      <c r="A167" s="15" t="s">
        <v>7046</v>
      </c>
      <c r="B167" s="14" t="s">
        <v>7036</v>
      </c>
      <c r="C167" s="14" t="str">
        <f t="array" ref="C167">IFERROR(INDEX($B$42:$B$327, MATCH(0, COUNTIF($C$41:C166, $B$42:$B$327&amp;"") + IF($B$42:$B$327="",1,0), 0)), "")</f>
        <v/>
      </c>
      <c r="D167" s="14" t="s">
        <v>7037</v>
      </c>
    </row>
    <row r="168" spans="1:4">
      <c r="A168" s="15" t="s">
        <v>7047</v>
      </c>
      <c r="B168" s="14" t="s">
        <v>7041</v>
      </c>
      <c r="C168" s="14" t="str">
        <f t="array" ref="C168">IFERROR(INDEX($B$42:$B$327, MATCH(0, COUNTIF($C$41:C167, $B$42:$B$327&amp;"") + IF($B$42:$B$327="",1,0), 0)), "")</f>
        <v/>
      </c>
      <c r="D168" s="14" t="s">
        <v>7042</v>
      </c>
    </row>
    <row r="169" spans="1:4">
      <c r="A169" s="15" t="s">
        <v>7048</v>
      </c>
      <c r="B169" s="14" t="s">
        <v>7036</v>
      </c>
      <c r="C169" s="14" t="str">
        <f t="array" ref="C169">IFERROR(INDEX($B$42:$B$327, MATCH(0, COUNTIF($C$41:C168, $B$42:$B$327&amp;"") + IF($B$42:$B$327="",1,0), 0)), "")</f>
        <v/>
      </c>
      <c r="D169" s="14" t="s">
        <v>7037</v>
      </c>
    </row>
    <row r="170" spans="1:4">
      <c r="A170" s="15" t="s">
        <v>7049</v>
      </c>
      <c r="B170" s="14" t="s">
        <v>7036</v>
      </c>
      <c r="C170" s="14" t="str">
        <f t="array" ref="C170">IFERROR(INDEX($B$42:$B$327, MATCH(0, COUNTIF($C$41:C169, $B$42:$B$327&amp;"") + IF($B$42:$B$327="",1,0), 0)), "")</f>
        <v/>
      </c>
      <c r="D170" s="14" t="s">
        <v>7037</v>
      </c>
    </row>
    <row r="171" spans="1:4">
      <c r="A171" s="15" t="s">
        <v>7050</v>
      </c>
      <c r="B171" s="14" t="s">
        <v>7051</v>
      </c>
      <c r="C171" s="14" t="str">
        <f t="array" ref="C171">IFERROR(INDEX($B$42:$B$327, MATCH(0, COUNTIF($C$41:C170, $B$42:$B$327&amp;"") + IF($B$42:$B$327="",1,0), 0)), "")</f>
        <v/>
      </c>
      <c r="D171" s="14" t="s">
        <v>7052</v>
      </c>
    </row>
    <row r="172" spans="1:4">
      <c r="A172" s="15" t="s">
        <v>7053</v>
      </c>
      <c r="B172" s="14" t="s">
        <v>7054</v>
      </c>
      <c r="C172" s="14" t="str">
        <f t="array" ref="C172">IFERROR(INDEX($B$42:$B$327, MATCH(0, COUNTIF($C$41:C171, $B$42:$B$327&amp;"") + IF($B$42:$B$327="",1,0), 0)), "")</f>
        <v/>
      </c>
      <c r="D172" s="14" t="s">
        <v>7055</v>
      </c>
    </row>
    <row r="173" spans="1:4">
      <c r="A173" s="15" t="s">
        <v>7056</v>
      </c>
      <c r="B173" s="14" t="s">
        <v>7057</v>
      </c>
      <c r="C173" s="14" t="str">
        <f t="array" ref="C173">IFERROR(INDEX($B$42:$B$327, MATCH(0, COUNTIF($C$41:C172, $B$42:$B$327&amp;"") + IF($B$42:$B$327="",1,0), 0)), "")</f>
        <v/>
      </c>
      <c r="D173" s="14" t="s">
        <v>7058</v>
      </c>
    </row>
    <row r="174" spans="1:4">
      <c r="A174" s="15" t="s">
        <v>7059</v>
      </c>
      <c r="B174" s="14" t="s">
        <v>7060</v>
      </c>
      <c r="C174" s="14" t="str">
        <f t="array" ref="C174">IFERROR(INDEX($B$42:$B$327, MATCH(0, COUNTIF($C$41:C173, $B$42:$B$327&amp;"") + IF($B$42:$B$327="",1,0), 0)), "")</f>
        <v/>
      </c>
      <c r="D174" s="14" t="s">
        <v>7061</v>
      </c>
    </row>
    <row r="175" spans="1:4">
      <c r="A175" s="15" t="s">
        <v>7062</v>
      </c>
      <c r="B175" s="14" t="s">
        <v>7057</v>
      </c>
      <c r="C175" s="14" t="str">
        <f t="array" ref="C175">IFERROR(INDEX($B$42:$B$327, MATCH(0, COUNTIF($C$41:C174, $B$42:$B$327&amp;"") + IF($B$42:$B$327="",1,0), 0)), "")</f>
        <v/>
      </c>
      <c r="D175" s="14" t="s">
        <v>7058</v>
      </c>
    </row>
    <row r="176" spans="1:4">
      <c r="A176" s="15" t="s">
        <v>7063</v>
      </c>
      <c r="B176" s="14" t="s">
        <v>7054</v>
      </c>
      <c r="C176" s="14" t="str">
        <f t="array" ref="C176">IFERROR(INDEX($B$42:$B$327, MATCH(0, COUNTIF($C$41:C175, $B$42:$B$327&amp;"") + IF($B$42:$B$327="",1,0), 0)), "")</f>
        <v/>
      </c>
      <c r="D176" s="14" t="s">
        <v>7055</v>
      </c>
    </row>
    <row r="177" spans="1:4">
      <c r="A177" s="15" t="s">
        <v>7064</v>
      </c>
      <c r="B177" s="14" t="s">
        <v>7051</v>
      </c>
      <c r="C177" s="14" t="str">
        <f t="array" ref="C177">IFERROR(INDEX($B$42:$B$327, MATCH(0, COUNTIF($C$41:C176, $B$42:$B$327&amp;"") + IF($B$42:$B$327="",1,0), 0)), "")</f>
        <v/>
      </c>
      <c r="D177" s="14" t="s">
        <v>7052</v>
      </c>
    </row>
    <row r="178" spans="1:4">
      <c r="A178" s="15" t="s">
        <v>7065</v>
      </c>
      <c r="B178" s="14" t="s">
        <v>7051</v>
      </c>
      <c r="C178" s="14" t="str">
        <f t="array" ref="C178">IFERROR(INDEX($B$42:$B$327, MATCH(0, COUNTIF($C$41:C177, $B$42:$B$327&amp;"") + IF($B$42:$B$327="",1,0), 0)), "")</f>
        <v/>
      </c>
      <c r="D178" s="14" t="s">
        <v>7052</v>
      </c>
    </row>
    <row r="179" spans="1:4">
      <c r="A179" s="15" t="s">
        <v>7066</v>
      </c>
      <c r="B179" s="14" t="s">
        <v>7057</v>
      </c>
      <c r="C179" s="14" t="str">
        <f t="array" ref="C179">IFERROR(INDEX($B$42:$B$327, MATCH(0, COUNTIF($C$41:C178, $B$42:$B$327&amp;"") + IF($B$42:$B$327="",1,0), 0)), "")</f>
        <v/>
      </c>
      <c r="D179" s="14" t="s">
        <v>7058</v>
      </c>
    </row>
    <row r="180" spans="1:4">
      <c r="A180" s="15" t="s">
        <v>7067</v>
      </c>
      <c r="B180" s="14" t="s">
        <v>7054</v>
      </c>
      <c r="C180" s="14" t="str">
        <f t="array" ref="C180">IFERROR(INDEX($B$42:$B$327, MATCH(0, COUNTIF($C$41:C179, $B$42:$B$327&amp;"") + IF($B$42:$B$327="",1,0), 0)), "")</f>
        <v/>
      </c>
      <c r="D180" s="14" t="s">
        <v>7055</v>
      </c>
    </row>
    <row r="181" spans="1:4">
      <c r="A181" s="15" t="s">
        <v>7068</v>
      </c>
      <c r="B181" s="14" t="s">
        <v>7051</v>
      </c>
      <c r="C181" s="14" t="str">
        <f t="array" ref="C181">IFERROR(INDEX($B$42:$B$327, MATCH(0, COUNTIF($C$41:C180, $B$42:$B$327&amp;"") + IF($B$42:$B$327="",1,0), 0)), "")</f>
        <v/>
      </c>
      <c r="D181" s="14" t="s">
        <v>7052</v>
      </c>
    </row>
    <row r="182" spans="1:4">
      <c r="A182" s="15" t="s">
        <v>7069</v>
      </c>
      <c r="B182" s="14" t="s">
        <v>7051</v>
      </c>
      <c r="C182" s="14" t="str">
        <f t="array" ref="C182">IFERROR(INDEX($B$42:$B$327, MATCH(0, COUNTIF($C$41:C181, $B$42:$B$327&amp;"") + IF($B$42:$B$327="",1,0), 0)), "")</f>
        <v/>
      </c>
      <c r="D182" s="14" t="s">
        <v>7052</v>
      </c>
    </row>
    <row r="183" spans="1:4">
      <c r="A183" s="15" t="s">
        <v>7070</v>
      </c>
      <c r="B183" s="14" t="s">
        <v>7057</v>
      </c>
      <c r="C183" s="14" t="str">
        <f t="array" ref="C183">IFERROR(INDEX($B$42:$B$327, MATCH(0, COUNTIF($C$41:C182, $B$42:$B$327&amp;"") + IF($B$42:$B$327="",1,0), 0)), "")</f>
        <v/>
      </c>
      <c r="D183" s="14" t="s">
        <v>7058</v>
      </c>
    </row>
    <row r="184" spans="1:4">
      <c r="A184" s="15" t="s">
        <v>7071</v>
      </c>
      <c r="B184" s="14" t="s">
        <v>7054</v>
      </c>
      <c r="C184" s="14" t="str">
        <f t="array" ref="C184">IFERROR(INDEX($B$42:$B$327, MATCH(0, COUNTIF($C$41:C183, $B$42:$B$327&amp;"") + IF($B$42:$B$327="",1,0), 0)), "")</f>
        <v/>
      </c>
      <c r="D184" s="14" t="s">
        <v>7055</v>
      </c>
    </row>
    <row r="185" spans="1:4">
      <c r="A185" s="15" t="s">
        <v>7072</v>
      </c>
      <c r="B185" s="14" t="s">
        <v>7060</v>
      </c>
      <c r="C185" s="14" t="str">
        <f t="array" ref="C185">IFERROR(INDEX($B$42:$B$327, MATCH(0, COUNTIF($C$41:C184, $B$42:$B$327&amp;"") + IF($B$42:$B$327="",1,0), 0)), "")</f>
        <v/>
      </c>
      <c r="D185" s="14" t="s">
        <v>7061</v>
      </c>
    </row>
    <row r="186" spans="1:4">
      <c r="A186" s="15" t="s">
        <v>7073</v>
      </c>
      <c r="B186" s="14" t="s">
        <v>7060</v>
      </c>
      <c r="C186" s="14" t="str">
        <f t="array" ref="C186">IFERROR(INDEX($B$42:$B$327, MATCH(0, COUNTIF($C$41:C185, $B$42:$B$327&amp;"") + IF($B$42:$B$327="",1,0), 0)), "")</f>
        <v/>
      </c>
      <c r="D186" s="14" t="s">
        <v>7061</v>
      </c>
    </row>
    <row r="187" spans="1:4">
      <c r="A187" s="15" t="s">
        <v>7074</v>
      </c>
      <c r="B187" s="14" t="s">
        <v>7075</v>
      </c>
      <c r="C187" s="14" t="str">
        <f t="array" ref="C187">IFERROR(INDEX($B$42:$B$327, MATCH(0, COUNTIF($C$41:C186, $B$42:$B$327&amp;"") + IF($B$42:$B$327="",1,0), 0)), "")</f>
        <v/>
      </c>
      <c r="D187" s="14" t="s">
        <v>7076</v>
      </c>
    </row>
    <row r="188" spans="1:4">
      <c r="A188" s="15" t="s">
        <v>7077</v>
      </c>
      <c r="B188" s="14" t="s">
        <v>7078</v>
      </c>
      <c r="C188" s="14" t="str">
        <f t="array" ref="C188">IFERROR(INDEX($B$42:$B$327, MATCH(0, COUNTIF($C$41:C187, $B$42:$B$327&amp;"") + IF($B$42:$B$327="",1,0), 0)), "")</f>
        <v/>
      </c>
      <c r="D188" s="14" t="s">
        <v>7079</v>
      </c>
    </row>
    <row r="189" spans="1:4">
      <c r="A189" s="15" t="s">
        <v>7080</v>
      </c>
      <c r="B189" s="14" t="s">
        <v>7081</v>
      </c>
      <c r="C189" s="14" t="str">
        <f t="array" ref="C189">IFERROR(INDEX($B$42:$B$327, MATCH(0, COUNTIF($C$41:C188, $B$42:$B$327&amp;"") + IF($B$42:$B$327="",1,0), 0)), "")</f>
        <v/>
      </c>
      <c r="D189" s="14" t="s">
        <v>7082</v>
      </c>
    </row>
    <row r="190" spans="1:4">
      <c r="A190" s="15" t="s">
        <v>7083</v>
      </c>
      <c r="B190" s="14" t="s">
        <v>6829</v>
      </c>
      <c r="C190" s="14" t="str">
        <f t="array" ref="C190">IFERROR(INDEX($B$42:$B$327, MATCH(0, COUNTIF($C$41:C189, $B$42:$B$327&amp;"") + IF($B$42:$B$327="",1,0), 0)), "")</f>
        <v/>
      </c>
      <c r="D190" s="14" t="s">
        <v>6830</v>
      </c>
    </row>
    <row r="191" spans="1:4">
      <c r="A191" s="15" t="s">
        <v>7084</v>
      </c>
      <c r="B191" s="14" t="s">
        <v>7078</v>
      </c>
      <c r="C191" s="14" t="str">
        <f t="array" ref="C191">IFERROR(INDEX($B$42:$B$327, MATCH(0, COUNTIF($C$41:C190, $B$42:$B$327&amp;"") + IF($B$42:$B$327="",1,0), 0)), "")</f>
        <v/>
      </c>
      <c r="D191" s="14" t="s">
        <v>7079</v>
      </c>
    </row>
    <row r="192" spans="1:4">
      <c r="A192" s="15" t="s">
        <v>7085</v>
      </c>
      <c r="B192" s="14" t="s">
        <v>7075</v>
      </c>
      <c r="C192" s="14" t="str">
        <f t="array" ref="C192">IFERROR(INDEX($B$42:$B$327, MATCH(0, COUNTIF($C$41:C191, $B$42:$B$327&amp;"") + IF($B$42:$B$327="",1,0), 0)), "")</f>
        <v/>
      </c>
      <c r="D192" s="14" t="s">
        <v>7076</v>
      </c>
    </row>
    <row r="193" spans="1:4">
      <c r="A193" s="15" t="s">
        <v>7086</v>
      </c>
      <c r="B193" s="14" t="s">
        <v>6829</v>
      </c>
      <c r="C193" s="14" t="str">
        <f t="array" ref="C193">IFERROR(INDEX($B$42:$B$327, MATCH(0, COUNTIF($C$41:C192, $B$42:$B$327&amp;"") + IF($B$42:$B$327="",1,0), 0)), "")</f>
        <v/>
      </c>
      <c r="D193" s="14" t="s">
        <v>6830</v>
      </c>
    </row>
    <row r="194" spans="1:4">
      <c r="A194" s="15" t="s">
        <v>7087</v>
      </c>
      <c r="B194" s="14" t="s">
        <v>7075</v>
      </c>
      <c r="C194" s="14" t="str">
        <f t="array" ref="C194">IFERROR(INDEX($B$42:$B$327, MATCH(0, COUNTIF($C$41:C193, $B$42:$B$327&amp;"") + IF($B$42:$B$327="",1,0), 0)), "")</f>
        <v/>
      </c>
      <c r="D194" s="14" t="s">
        <v>7076</v>
      </c>
    </row>
    <row r="195" spans="1:4">
      <c r="A195" s="15" t="s">
        <v>7088</v>
      </c>
      <c r="B195" s="14" t="s">
        <v>7081</v>
      </c>
      <c r="C195" s="14" t="str">
        <f t="array" ref="C195">IFERROR(INDEX($B$42:$B$327, MATCH(0, COUNTIF($C$41:C194, $B$42:$B$327&amp;"") + IF($B$42:$B$327="",1,0), 0)), "")</f>
        <v/>
      </c>
      <c r="D195" s="14" t="s">
        <v>7082</v>
      </c>
    </row>
    <row r="196" spans="1:4">
      <c r="A196" s="15" t="s">
        <v>7089</v>
      </c>
      <c r="B196" s="14" t="s">
        <v>7078</v>
      </c>
      <c r="C196" s="14" t="str">
        <f t="array" ref="C196">IFERROR(INDEX($B$42:$B$327, MATCH(0, COUNTIF($C$41:C195, $B$42:$B$327&amp;"") + IF($B$42:$B$327="",1,0), 0)), "")</f>
        <v/>
      </c>
      <c r="D196" s="14" t="s">
        <v>7079</v>
      </c>
    </row>
    <row r="197" spans="1:4">
      <c r="A197" s="15" t="s">
        <v>7090</v>
      </c>
      <c r="B197" s="14" t="s">
        <v>7075</v>
      </c>
      <c r="C197" s="14" t="str">
        <f t="array" ref="C197">IFERROR(INDEX($B$42:$B$327, MATCH(0, COUNTIF($C$41:C196, $B$42:$B$327&amp;"") + IF($B$42:$B$327="",1,0), 0)), "")</f>
        <v/>
      </c>
      <c r="D197" s="14" t="s">
        <v>7076</v>
      </c>
    </row>
    <row r="198" spans="1:4">
      <c r="A198" s="15" t="s">
        <v>7091</v>
      </c>
      <c r="B198" s="14" t="s">
        <v>6888</v>
      </c>
      <c r="C198" s="14" t="str">
        <f t="array" ref="C198">IFERROR(INDEX($B$42:$B$327, MATCH(0, COUNTIF($C$41:C197, $B$42:$B$327&amp;"") + IF($B$42:$B$327="",1,0), 0)), "")</f>
        <v/>
      </c>
      <c r="D198" s="14" t="s">
        <v>7092</v>
      </c>
    </row>
    <row r="199" spans="1:4">
      <c r="A199" s="15" t="s">
        <v>7093</v>
      </c>
      <c r="B199" s="14" t="s">
        <v>7060</v>
      </c>
      <c r="C199" s="14" t="str">
        <f t="array" ref="C199">IFERROR(INDEX($B$42:$B$327, MATCH(0, COUNTIF($C$41:C198, $B$42:$B$327&amp;"") + IF($B$42:$B$327="",1,0), 0)), "")</f>
        <v/>
      </c>
      <c r="D199" s="14" t="s">
        <v>7061</v>
      </c>
    </row>
    <row r="200" spans="1:4">
      <c r="A200" s="15" t="s">
        <v>7094</v>
      </c>
      <c r="B200" s="14" t="s">
        <v>7060</v>
      </c>
      <c r="C200" s="14" t="str">
        <f t="array" ref="C200">IFERROR(INDEX($B$42:$B$327, MATCH(0, COUNTIF($C$41:C199, $B$42:$B$327&amp;"") + IF($B$42:$B$327="",1,0), 0)), "")</f>
        <v/>
      </c>
      <c r="D200" s="14" t="s">
        <v>7095</v>
      </c>
    </row>
    <row r="201" spans="1:4">
      <c r="A201" s="15" t="s">
        <v>7096</v>
      </c>
      <c r="B201" s="14" t="s">
        <v>6888</v>
      </c>
      <c r="C201" s="14" t="str">
        <f t="array" ref="C201">IFERROR(INDEX($B$42:$B$327, MATCH(0, COUNTIF($C$41:C200, $B$42:$B$327&amp;"") + IF($B$42:$B$327="",1,0), 0)), "")</f>
        <v/>
      </c>
      <c r="D201" s="14" t="s">
        <v>7092</v>
      </c>
    </row>
    <row r="202" spans="1:4">
      <c r="A202" s="15" t="s">
        <v>7097</v>
      </c>
      <c r="B202" s="14" t="s">
        <v>6888</v>
      </c>
      <c r="C202" s="14" t="str">
        <f t="array" ref="C202">IFERROR(INDEX($B$42:$B$327, MATCH(0, COUNTIF($C$41:C201, $B$42:$B$327&amp;"") + IF($B$42:$B$327="",1,0), 0)), "")</f>
        <v/>
      </c>
      <c r="D202" s="14" t="s">
        <v>7092</v>
      </c>
    </row>
    <row r="203" spans="1:4">
      <c r="A203" s="15" t="s">
        <v>7098</v>
      </c>
      <c r="B203" s="14" t="s">
        <v>6829</v>
      </c>
      <c r="C203" s="14" t="str">
        <f t="array" ref="C203">IFERROR(INDEX($B$42:$B$327, MATCH(0, COUNTIF($C$41:C202, $B$42:$B$327&amp;"") + IF($B$42:$B$327="",1,0), 0)), "")</f>
        <v/>
      </c>
      <c r="D203" s="14" t="s">
        <v>6830</v>
      </c>
    </row>
    <row r="204" spans="1:4">
      <c r="A204" s="15" t="s">
        <v>7099</v>
      </c>
      <c r="B204" s="14" t="s">
        <v>6888</v>
      </c>
      <c r="C204" s="14" t="str">
        <f t="array" ref="C204">IFERROR(INDEX($B$42:$B$327, MATCH(0, COUNTIF($C$41:C203, $B$42:$B$327&amp;"") + IF($B$42:$B$327="",1,0), 0)), "")</f>
        <v/>
      </c>
      <c r="D204" s="14" t="s">
        <v>7092</v>
      </c>
    </row>
    <row r="205" spans="1:4">
      <c r="A205" s="15" t="s">
        <v>7100</v>
      </c>
      <c r="B205" s="14" t="s">
        <v>6888</v>
      </c>
      <c r="C205" s="14" t="str">
        <f t="array" ref="C205">IFERROR(INDEX($B$42:$B$327, MATCH(0, COUNTIF($C$41:C204, $B$42:$B$327&amp;"") + IF($B$42:$B$327="",1,0), 0)), "")</f>
        <v/>
      </c>
      <c r="D205" s="14" t="s">
        <v>7092</v>
      </c>
    </row>
    <row r="206" spans="1:4">
      <c r="A206" s="15" t="s">
        <v>7101</v>
      </c>
      <c r="B206" s="14" t="s">
        <v>6888</v>
      </c>
      <c r="C206" s="14" t="str">
        <f t="array" ref="C206">IFERROR(INDEX($B$42:$B$327, MATCH(0, COUNTIF($C$41:C205, $B$42:$B$327&amp;"") + IF($B$42:$B$327="",1,0), 0)), "")</f>
        <v/>
      </c>
      <c r="D206" s="14" t="s">
        <v>7092</v>
      </c>
    </row>
    <row r="207" spans="1:4">
      <c r="A207" s="15" t="s">
        <v>7102</v>
      </c>
      <c r="B207" s="14" t="s">
        <v>6888</v>
      </c>
      <c r="C207" s="14" t="str">
        <f t="array" ref="C207">IFERROR(INDEX($B$42:$B$327, MATCH(0, COUNTIF($C$41:C206, $B$42:$B$327&amp;"") + IF($B$42:$B$327="",1,0), 0)), "")</f>
        <v/>
      </c>
      <c r="D207" s="14" t="s">
        <v>7092</v>
      </c>
    </row>
    <row r="208" spans="1:4">
      <c r="A208" s="15" t="s">
        <v>7103</v>
      </c>
      <c r="B208" s="14" t="s">
        <v>6888</v>
      </c>
      <c r="C208" s="14" t="str">
        <f t="array" ref="C208">IFERROR(INDEX($B$42:$B$327, MATCH(0, COUNTIF($C$41:C207, $B$42:$B$327&amp;"") + IF($B$42:$B$327="",1,0), 0)), "")</f>
        <v/>
      </c>
      <c r="D208" s="14" t="s">
        <v>7092</v>
      </c>
    </row>
    <row r="209" spans="1:4">
      <c r="A209" s="15" t="s">
        <v>7104</v>
      </c>
      <c r="B209" s="14" t="s">
        <v>6829</v>
      </c>
      <c r="C209" s="14" t="str">
        <f t="array" ref="C209">IFERROR(INDEX($B$42:$B$327, MATCH(0, COUNTIF($C$41:C208, $B$42:$B$327&amp;"") + IF($B$42:$B$327="",1,0), 0)), "")</f>
        <v/>
      </c>
      <c r="D209" s="14" t="s">
        <v>6830</v>
      </c>
    </row>
    <row r="210" spans="1:4">
      <c r="A210" s="15" t="s">
        <v>7105</v>
      </c>
      <c r="B210" s="14" t="s">
        <v>6829</v>
      </c>
      <c r="C210" s="14" t="str">
        <f t="array" ref="C210">IFERROR(INDEX($B$42:$B$327, MATCH(0, COUNTIF($C$41:C209, $B$42:$B$327&amp;"") + IF($B$42:$B$327="",1,0), 0)), "")</f>
        <v/>
      </c>
      <c r="D210" s="14" t="s">
        <v>6830</v>
      </c>
    </row>
    <row r="211" spans="1:4">
      <c r="A211" s="15" t="s">
        <v>7106</v>
      </c>
      <c r="B211" s="14" t="s">
        <v>6888</v>
      </c>
      <c r="C211" s="14" t="str">
        <f t="array" ref="C211">IFERROR(INDEX($B$42:$B$327, MATCH(0, COUNTIF($C$41:C210, $B$42:$B$327&amp;"") + IF($B$42:$B$327="",1,0), 0)), "")</f>
        <v/>
      </c>
      <c r="D211" s="14" t="s">
        <v>7092</v>
      </c>
    </row>
    <row r="212" spans="1:4">
      <c r="A212" s="15" t="s">
        <v>7107</v>
      </c>
      <c r="B212" s="14" t="s">
        <v>6888</v>
      </c>
      <c r="C212" s="14" t="str">
        <f t="array" ref="C212">IFERROR(INDEX($B$42:$B$327, MATCH(0, COUNTIF($C$41:C211, $B$42:$B$327&amp;"") + IF($B$42:$B$327="",1,0), 0)), "")</f>
        <v/>
      </c>
      <c r="D212" s="14" t="s">
        <v>7092</v>
      </c>
    </row>
    <row r="213" spans="1:4">
      <c r="A213" s="15" t="s">
        <v>7108</v>
      </c>
      <c r="B213" s="14" t="s">
        <v>6888</v>
      </c>
      <c r="C213" s="14" t="str">
        <f t="array" ref="C213">IFERROR(INDEX($B$42:$B$327, MATCH(0, COUNTIF($C$41:C212, $B$42:$B$327&amp;"") + IF($B$42:$B$327="",1,0), 0)), "")</f>
        <v/>
      </c>
      <c r="D213" s="14" t="s">
        <v>7092</v>
      </c>
    </row>
    <row r="214" spans="1:4">
      <c r="A214" s="15" t="s">
        <v>7109</v>
      </c>
      <c r="B214" s="14" t="s">
        <v>7060</v>
      </c>
      <c r="C214" s="14" t="str">
        <f t="array" ref="C214">IFERROR(INDEX($B$42:$B$327, MATCH(0, COUNTIF($C$41:C213, $B$42:$B$327&amp;"") + IF($B$42:$B$327="",1,0), 0)), "")</f>
        <v/>
      </c>
      <c r="D214" s="14" t="s">
        <v>7061</v>
      </c>
    </row>
    <row r="215" spans="1:4">
      <c r="A215" s="15" t="s">
        <v>7110</v>
      </c>
      <c r="B215" s="14" t="s">
        <v>7060</v>
      </c>
      <c r="C215" s="14" t="str">
        <f t="array" ref="C215">IFERROR(INDEX($B$42:$B$327, MATCH(0, COUNTIF($C$41:C214, $B$42:$B$327&amp;"") + IF($B$42:$B$327="",1,0), 0)), "")</f>
        <v/>
      </c>
      <c r="D215" s="14" t="s">
        <v>7061</v>
      </c>
    </row>
    <row r="216" spans="1:4">
      <c r="A216" s="15" t="s">
        <v>7111</v>
      </c>
      <c r="B216" s="14" t="s">
        <v>6888</v>
      </c>
      <c r="C216" s="14" t="str">
        <f t="array" ref="C216">IFERROR(INDEX($B$42:$B$327, MATCH(0, COUNTIF($C$41:C215, $B$42:$B$327&amp;"") + IF($B$42:$B$327="",1,0), 0)), "")</f>
        <v/>
      </c>
      <c r="D216" s="14" t="s">
        <v>7092</v>
      </c>
    </row>
    <row r="217" spans="1:4">
      <c r="A217" s="15" t="s">
        <v>7112</v>
      </c>
      <c r="B217" s="14" t="s">
        <v>6888</v>
      </c>
      <c r="C217" s="14" t="str">
        <f t="array" ref="C217">IFERROR(INDEX($B$42:$B$327, MATCH(0, COUNTIF($C$41:C216, $B$42:$B$327&amp;"") + IF($B$42:$B$327="",1,0), 0)), "")</f>
        <v/>
      </c>
      <c r="D217" s="14" t="s">
        <v>7113</v>
      </c>
    </row>
    <row r="218" spans="1:4">
      <c r="A218" s="15" t="s">
        <v>7114</v>
      </c>
      <c r="B218" s="14" t="s">
        <v>6888</v>
      </c>
      <c r="C218" s="14" t="str">
        <f t="array" ref="C218">IFERROR(INDEX($B$42:$B$327, MATCH(0, COUNTIF($C$41:C217, $B$42:$B$327&amp;"") + IF($B$42:$B$327="",1,0), 0)), "")</f>
        <v/>
      </c>
      <c r="D218" s="14" t="s">
        <v>7113</v>
      </c>
    </row>
    <row r="219" spans="1:4">
      <c r="A219" s="15" t="s">
        <v>7115</v>
      </c>
      <c r="B219" s="14" t="s">
        <v>6888</v>
      </c>
      <c r="C219" s="14" t="str">
        <f t="array" ref="C219">IFERROR(INDEX($B$42:$B$327, MATCH(0, COUNTIF($C$41:C218, $B$42:$B$327&amp;"") + IF($B$42:$B$327="",1,0), 0)), "")</f>
        <v/>
      </c>
      <c r="D219" s="14" t="s">
        <v>7113</v>
      </c>
    </row>
    <row r="220" spans="1:4">
      <c r="A220" s="15" t="s">
        <v>7116</v>
      </c>
      <c r="B220" s="14" t="s">
        <v>6888</v>
      </c>
      <c r="C220" s="14" t="str">
        <f t="array" ref="C220">IFERROR(INDEX($B$42:$B$327, MATCH(0, COUNTIF($C$41:C219, $B$42:$B$327&amp;"") + IF($B$42:$B$327="",1,0), 0)), "")</f>
        <v/>
      </c>
      <c r="D220" s="14" t="s">
        <v>7113</v>
      </c>
    </row>
    <row r="221" spans="1:4">
      <c r="A221" s="15" t="s">
        <v>7117</v>
      </c>
      <c r="B221" s="14" t="s">
        <v>6888</v>
      </c>
      <c r="C221" s="14" t="str">
        <f t="array" ref="C221">IFERROR(INDEX($B$42:$B$327, MATCH(0, COUNTIF($C$41:C220, $B$42:$B$327&amp;"") + IF($B$42:$B$327="",1,0), 0)), "")</f>
        <v/>
      </c>
      <c r="D221" s="14" t="s">
        <v>7113</v>
      </c>
    </row>
    <row r="222" spans="1:4">
      <c r="A222" s="15" t="s">
        <v>7118</v>
      </c>
      <c r="B222" s="14" t="s">
        <v>6888</v>
      </c>
      <c r="C222" s="14" t="str">
        <f t="array" ref="C222">IFERROR(INDEX($B$42:$B$327, MATCH(0, COUNTIF($C$41:C221, $B$42:$B$327&amp;"") + IF($B$42:$B$327="",1,0), 0)), "")</f>
        <v/>
      </c>
      <c r="D222" s="14" t="s">
        <v>7113</v>
      </c>
    </row>
    <row r="223" spans="1:4">
      <c r="A223" s="15" t="s">
        <v>7119</v>
      </c>
      <c r="B223" s="14" t="s">
        <v>6888</v>
      </c>
      <c r="C223" s="14" t="str">
        <f t="array" ref="C223">IFERROR(INDEX($B$42:$B$327, MATCH(0, COUNTIF($C$41:C222, $B$42:$B$327&amp;"") + IF($B$42:$B$327="",1,0), 0)), "")</f>
        <v/>
      </c>
      <c r="D223" s="14" t="s">
        <v>7113</v>
      </c>
    </row>
    <row r="224" spans="1:4">
      <c r="A224" s="15" t="s">
        <v>7120</v>
      </c>
      <c r="B224" s="14" t="s">
        <v>6888</v>
      </c>
      <c r="C224" s="14" t="str">
        <f t="array" ref="C224">IFERROR(INDEX($B$42:$B$327, MATCH(0, COUNTIF($C$41:C223, $B$42:$B$327&amp;"") + IF($B$42:$B$327="",1,0), 0)), "")</f>
        <v/>
      </c>
      <c r="D224" s="14" t="s">
        <v>7113</v>
      </c>
    </row>
    <row r="225" spans="1:4">
      <c r="A225" s="15" t="s">
        <v>7121</v>
      </c>
      <c r="B225" s="14" t="s">
        <v>6888</v>
      </c>
      <c r="C225" s="14" t="str">
        <f t="array" ref="C225">IFERROR(INDEX($B$42:$B$327, MATCH(0, COUNTIF($C$41:C224, $B$42:$B$327&amp;"") + IF($B$42:$B$327="",1,0), 0)), "")</f>
        <v/>
      </c>
      <c r="D225" s="14" t="s">
        <v>7113</v>
      </c>
    </row>
    <row r="226" spans="1:4">
      <c r="A226" s="15" t="s">
        <v>7122</v>
      </c>
      <c r="B226" s="14" t="s">
        <v>6888</v>
      </c>
      <c r="C226" s="14" t="str">
        <f t="array" ref="C226">IFERROR(INDEX($B$42:$B$327, MATCH(0, COUNTIF($C$41:C225, $B$42:$B$327&amp;"") + IF($B$42:$B$327="",1,0), 0)), "")</f>
        <v/>
      </c>
      <c r="D226" s="14" t="s">
        <v>7113</v>
      </c>
    </row>
    <row r="227" spans="1:4">
      <c r="A227" s="15" t="s">
        <v>7123</v>
      </c>
      <c r="B227" s="14" t="s">
        <v>7060</v>
      </c>
      <c r="C227" s="14" t="str">
        <f t="array" ref="C227">IFERROR(INDEX($B$42:$B$327, MATCH(0, COUNTIF($C$41:C226, $B$42:$B$327&amp;"") + IF($B$42:$B$327="",1,0), 0)), "")</f>
        <v/>
      </c>
      <c r="D227" s="14" t="s">
        <v>7124</v>
      </c>
    </row>
    <row r="228" spans="1:4">
      <c r="A228" s="15" t="s">
        <v>7125</v>
      </c>
      <c r="B228" s="14" t="s">
        <v>7060</v>
      </c>
      <c r="C228" s="14" t="str">
        <f t="array" ref="C228">IFERROR(INDEX($B$42:$B$327, MATCH(0, COUNTIF($C$41:C227, $B$42:$B$327&amp;"") + IF($B$42:$B$327="",1,0), 0)), "")</f>
        <v/>
      </c>
      <c r="D228" s="14" t="s">
        <v>7124</v>
      </c>
    </row>
    <row r="229" spans="1:4">
      <c r="A229" s="15" t="s">
        <v>7126</v>
      </c>
      <c r="B229" s="14" t="s">
        <v>7127</v>
      </c>
      <c r="C229" s="14" t="str">
        <f t="array" ref="C229">IFERROR(INDEX($B$42:$B$327, MATCH(0, COUNTIF($C$41:C228, $B$42:$B$327&amp;"") + IF($B$42:$B$327="",1,0), 0)), "")</f>
        <v/>
      </c>
      <c r="D229" s="14" t="s">
        <v>7128</v>
      </c>
    </row>
    <row r="230" spans="1:4">
      <c r="A230" s="15" t="s">
        <v>7129</v>
      </c>
      <c r="B230" s="14" t="s">
        <v>7130</v>
      </c>
      <c r="C230" s="14" t="str">
        <f t="array" ref="C230">IFERROR(INDEX($B$42:$B$327, MATCH(0, COUNTIF($C$41:C229, $B$42:$B$327&amp;"") + IF($B$42:$B$327="",1,0), 0)), "")</f>
        <v/>
      </c>
      <c r="D230" s="14" t="s">
        <v>7131</v>
      </c>
    </row>
    <row r="231" spans="1:4">
      <c r="A231" s="15" t="s">
        <v>7132</v>
      </c>
      <c r="B231" s="14" t="s">
        <v>7127</v>
      </c>
      <c r="C231" s="14" t="str">
        <f t="array" ref="C231">IFERROR(INDEX($B$42:$B$327, MATCH(0, COUNTIF($C$41:C230, $B$42:$B$327&amp;"") + IF($B$42:$B$327="",1,0), 0)), "")</f>
        <v/>
      </c>
      <c r="D231" s="14" t="s">
        <v>7128</v>
      </c>
    </row>
    <row r="232" spans="1:4">
      <c r="A232" s="15" t="s">
        <v>7133</v>
      </c>
      <c r="B232" s="14" t="s">
        <v>7127</v>
      </c>
      <c r="C232" s="14" t="str">
        <f t="array" ref="C232">IFERROR(INDEX($B$42:$B$327, MATCH(0, COUNTIF($C$41:C231, $B$42:$B$327&amp;"") + IF($B$42:$B$327="",1,0), 0)), "")</f>
        <v/>
      </c>
      <c r="D232" s="14" t="s">
        <v>7128</v>
      </c>
    </row>
    <row r="233" spans="1:4">
      <c r="A233" s="15" t="s">
        <v>7134</v>
      </c>
      <c r="B233" s="14" t="s">
        <v>7127</v>
      </c>
      <c r="C233" s="14" t="str">
        <f t="array" ref="C233">IFERROR(INDEX($B$42:$B$327, MATCH(0, COUNTIF($C$41:C232, $B$42:$B$327&amp;"") + IF($B$42:$B$327="",1,0), 0)), "")</f>
        <v/>
      </c>
      <c r="D233" s="14" t="s">
        <v>7128</v>
      </c>
    </row>
    <row r="234" spans="1:4">
      <c r="A234" s="15" t="s">
        <v>7135</v>
      </c>
      <c r="B234" s="14" t="s">
        <v>7130</v>
      </c>
      <c r="C234" s="14" t="str">
        <f t="array" ref="C234">IFERROR(INDEX($B$42:$B$327, MATCH(0, COUNTIF($C$41:C233, $B$42:$B$327&amp;"") + IF($B$42:$B$327="",1,0), 0)), "")</f>
        <v/>
      </c>
      <c r="D234" s="14" t="s">
        <v>7131</v>
      </c>
    </row>
    <row r="235" spans="1:4">
      <c r="A235" s="15" t="s">
        <v>7136</v>
      </c>
      <c r="B235" s="14" t="s">
        <v>7130</v>
      </c>
      <c r="C235" s="14" t="str">
        <f t="array" ref="C235">IFERROR(INDEX($B$42:$B$327, MATCH(0, COUNTIF($C$41:C234, $B$42:$B$327&amp;"") + IF($B$42:$B$327="",1,0), 0)), "")</f>
        <v/>
      </c>
      <c r="D235" s="14" t="s">
        <v>7131</v>
      </c>
    </row>
    <row r="236" spans="1:4">
      <c r="A236" s="15" t="s">
        <v>7137</v>
      </c>
      <c r="B236" s="14" t="s">
        <v>7127</v>
      </c>
      <c r="C236" s="14" t="str">
        <f t="array" ref="C236">IFERROR(INDEX($B$42:$B$327, MATCH(0, COUNTIF($C$41:C235, $B$42:$B$327&amp;"") + IF($B$42:$B$327="",1,0), 0)), "")</f>
        <v/>
      </c>
      <c r="D236" s="14" t="s">
        <v>7128</v>
      </c>
    </row>
    <row r="237" spans="1:4">
      <c r="A237" s="15" t="s">
        <v>7138</v>
      </c>
      <c r="B237" s="14" t="s">
        <v>7127</v>
      </c>
      <c r="C237" s="14" t="str">
        <f t="array" ref="C237">IFERROR(INDEX($B$42:$B$327, MATCH(0, COUNTIF($C$41:C236, $B$42:$B$327&amp;"") + IF($B$42:$B$327="",1,0), 0)), "")</f>
        <v/>
      </c>
      <c r="D237" s="14" t="s">
        <v>7128</v>
      </c>
    </row>
    <row r="238" spans="1:4">
      <c r="A238" s="15" t="s">
        <v>7139</v>
      </c>
      <c r="B238" s="14" t="s">
        <v>7127</v>
      </c>
      <c r="C238" s="14" t="str">
        <f t="array" ref="C238">IFERROR(INDEX($B$42:$B$327, MATCH(0, COUNTIF($C$41:C237, $B$42:$B$327&amp;"") + IF($B$42:$B$327="",1,0), 0)), "")</f>
        <v/>
      </c>
      <c r="D238" s="14" t="s">
        <v>7128</v>
      </c>
    </row>
    <row r="239" spans="1:4">
      <c r="A239" s="15" t="s">
        <v>7140</v>
      </c>
      <c r="B239" s="14" t="s">
        <v>7127</v>
      </c>
      <c r="C239" s="14" t="str">
        <f t="array" ref="C239">IFERROR(INDEX($B$42:$B$327, MATCH(0, COUNTIF($C$41:C238, $B$42:$B$327&amp;"") + IF($B$42:$B$327="",1,0), 0)), "")</f>
        <v/>
      </c>
      <c r="D239" s="14" t="s">
        <v>7128</v>
      </c>
    </row>
    <row r="240" spans="1:4">
      <c r="A240" s="15" t="s">
        <v>7141</v>
      </c>
      <c r="B240" s="14" t="s">
        <v>7130</v>
      </c>
      <c r="C240" s="14" t="str">
        <f t="array" ref="C240">IFERROR(INDEX($B$42:$B$327, MATCH(0, COUNTIF($C$41:C239, $B$42:$B$327&amp;"") + IF($B$42:$B$327="",1,0), 0)), "")</f>
        <v/>
      </c>
      <c r="D240" s="14" t="s">
        <v>7131</v>
      </c>
    </row>
    <row r="241" spans="1:4">
      <c r="A241" s="15" t="s">
        <v>7142</v>
      </c>
      <c r="B241" s="14" t="s">
        <v>7127</v>
      </c>
      <c r="C241" s="14" t="str">
        <f t="array" ref="C241">IFERROR(INDEX($B$42:$B$327, MATCH(0, COUNTIF($C$41:C240, $B$42:$B$327&amp;"") + IF($B$42:$B$327="",1,0), 0)), "")</f>
        <v/>
      </c>
      <c r="D241" s="14" t="s">
        <v>7128</v>
      </c>
    </row>
    <row r="242" spans="1:4">
      <c r="A242" s="15" t="s">
        <v>7143</v>
      </c>
      <c r="B242" s="14" t="s">
        <v>7127</v>
      </c>
      <c r="C242" s="14" t="str">
        <f t="array" ref="C242">IFERROR(INDEX($B$42:$B$327, MATCH(0, COUNTIF($C$41:C241, $B$42:$B$327&amp;"") + IF($B$42:$B$327="",1,0), 0)), "")</f>
        <v/>
      </c>
      <c r="D242" s="14" t="s">
        <v>7128</v>
      </c>
    </row>
    <row r="243" spans="1:4">
      <c r="A243" s="15" t="s">
        <v>7144</v>
      </c>
      <c r="B243" s="14" t="s">
        <v>7127</v>
      </c>
      <c r="C243" s="14" t="str">
        <f t="array" ref="C243">IFERROR(INDEX($B$42:$B$327, MATCH(0, COUNTIF($C$41:C242, $B$42:$B$327&amp;"") + IF($B$42:$B$327="",1,0), 0)), "")</f>
        <v/>
      </c>
      <c r="D243" s="14" t="s">
        <v>7128</v>
      </c>
    </row>
    <row r="244" spans="1:4">
      <c r="A244" s="15" t="s">
        <v>7145</v>
      </c>
      <c r="B244" s="14" t="s">
        <v>7146</v>
      </c>
      <c r="C244" s="14" t="str">
        <f t="array" ref="C244">IFERROR(INDEX($B$42:$B$327, MATCH(0, COUNTIF($C$41:C243, $B$42:$B$327&amp;"") + IF($B$42:$B$327="",1,0), 0)), "")</f>
        <v/>
      </c>
      <c r="D244" s="14" t="s">
        <v>7147</v>
      </c>
    </row>
    <row r="245" spans="1:4">
      <c r="A245" s="15" t="s">
        <v>7148</v>
      </c>
      <c r="B245" s="14" t="s">
        <v>7149</v>
      </c>
      <c r="C245" s="14" t="str">
        <f t="array" ref="C245">IFERROR(INDEX($B$42:$B$327, MATCH(0, COUNTIF($C$41:C244, $B$42:$B$327&amp;"") + IF($B$42:$B$327="",1,0), 0)), "")</f>
        <v/>
      </c>
      <c r="D245" s="14" t="s">
        <v>7150</v>
      </c>
    </row>
    <row r="246" spans="1:4">
      <c r="A246" s="15" t="s">
        <v>7151</v>
      </c>
      <c r="B246" s="14" t="s">
        <v>7152</v>
      </c>
      <c r="C246" s="14" t="str">
        <f t="array" ref="C246">IFERROR(INDEX($B$42:$B$327, MATCH(0, COUNTIF($C$41:C245, $B$42:$B$327&amp;"") + IF($B$42:$B$327="",1,0), 0)), "")</f>
        <v/>
      </c>
      <c r="D246" s="14" t="s">
        <v>7153</v>
      </c>
    </row>
    <row r="247" spans="1:4">
      <c r="A247" s="15" t="s">
        <v>7154</v>
      </c>
      <c r="B247" s="14" t="s">
        <v>7149</v>
      </c>
      <c r="C247" s="14" t="str">
        <f t="array" ref="C247">IFERROR(INDEX($B$42:$B$327, MATCH(0, COUNTIF($C$41:C246, $B$42:$B$327&amp;"") + IF($B$42:$B$327="",1,0), 0)), "")</f>
        <v/>
      </c>
      <c r="D247" s="14" t="s">
        <v>7150</v>
      </c>
    </row>
    <row r="248" spans="1:4">
      <c r="A248" s="15" t="s">
        <v>7155</v>
      </c>
      <c r="B248" s="14" t="s">
        <v>7146</v>
      </c>
      <c r="C248" s="14" t="str">
        <f t="array" ref="C248">IFERROR(INDEX($B$42:$B$327, MATCH(0, COUNTIF($C$41:C247, $B$42:$B$327&amp;"") + IF($B$42:$B$327="",1,0), 0)), "")</f>
        <v/>
      </c>
      <c r="D248" s="14" t="s">
        <v>7147</v>
      </c>
    </row>
    <row r="249" spans="1:4">
      <c r="A249" s="15" t="s">
        <v>7156</v>
      </c>
      <c r="B249" s="14" t="s">
        <v>7149</v>
      </c>
      <c r="C249" s="14" t="str">
        <f t="array" ref="C249">IFERROR(INDEX($B$42:$B$327, MATCH(0, COUNTIF($C$41:C248, $B$42:$B$327&amp;"") + IF($B$42:$B$327="",1,0), 0)), "")</f>
        <v/>
      </c>
      <c r="D249" s="14" t="s">
        <v>7150</v>
      </c>
    </row>
    <row r="250" spans="1:4">
      <c r="A250" s="15" t="s">
        <v>7157</v>
      </c>
      <c r="B250" s="14" t="s">
        <v>7149</v>
      </c>
      <c r="C250" s="14" t="str">
        <f t="array" ref="C250">IFERROR(INDEX($B$42:$B$327, MATCH(0, COUNTIF($C$41:C249, $B$42:$B$327&amp;"") + IF($B$42:$B$327="",1,0), 0)), "")</f>
        <v/>
      </c>
      <c r="D250" s="14" t="s">
        <v>7150</v>
      </c>
    </row>
    <row r="251" spans="1:4">
      <c r="A251" s="15" t="s">
        <v>7158</v>
      </c>
      <c r="B251" s="14" t="s">
        <v>7146</v>
      </c>
      <c r="C251" s="14" t="str">
        <f t="array" ref="C251">IFERROR(INDEX($B$42:$B$327, MATCH(0, COUNTIF($C$41:C250, $B$42:$B$327&amp;"") + IF($B$42:$B$327="",1,0), 0)), "")</f>
        <v/>
      </c>
      <c r="D251" s="14" t="s">
        <v>7147</v>
      </c>
    </row>
    <row r="252" spans="1:4">
      <c r="A252" s="15" t="s">
        <v>7159</v>
      </c>
      <c r="B252" s="14" t="s">
        <v>7149</v>
      </c>
      <c r="C252" s="14" t="str">
        <f t="array" ref="C252">IFERROR(INDEX($B$42:$B$327, MATCH(0, COUNTIF($C$41:C251, $B$42:$B$327&amp;"") + IF($B$42:$B$327="",1,0), 0)), "")</f>
        <v/>
      </c>
      <c r="D252" s="14" t="s">
        <v>7150</v>
      </c>
    </row>
    <row r="253" spans="1:4">
      <c r="A253" s="15" t="s">
        <v>7160</v>
      </c>
      <c r="B253" s="14" t="s">
        <v>7152</v>
      </c>
      <c r="C253" s="14" t="str">
        <f t="array" ref="C253">IFERROR(INDEX($B$42:$B$327, MATCH(0, COUNTIF($C$41:C252, $B$42:$B$327&amp;"") + IF($B$42:$B$327="",1,0), 0)), "")</f>
        <v/>
      </c>
      <c r="D253" s="14" t="s">
        <v>7153</v>
      </c>
    </row>
    <row r="254" spans="1:4">
      <c r="A254" s="15" t="s">
        <v>7161</v>
      </c>
      <c r="B254" s="14" t="s">
        <v>7146</v>
      </c>
      <c r="C254" s="14" t="str">
        <f t="array" ref="C254">IFERROR(INDEX($B$42:$B$327, MATCH(0, COUNTIF($C$41:C253, $B$42:$B$327&amp;"") + IF($B$42:$B$327="",1,0), 0)), "")</f>
        <v/>
      </c>
      <c r="D254" s="14" t="s">
        <v>7147</v>
      </c>
    </row>
    <row r="255" spans="1:4">
      <c r="A255" s="15" t="s">
        <v>7162</v>
      </c>
      <c r="B255" s="14" t="s">
        <v>7149</v>
      </c>
      <c r="C255" s="14" t="str">
        <f t="array" ref="C255">IFERROR(INDEX($B$42:$B$327, MATCH(0, COUNTIF($C$41:C254, $B$42:$B$327&amp;"") + IF($B$42:$B$327="",1,0), 0)), "")</f>
        <v/>
      </c>
      <c r="D255" s="14" t="s">
        <v>7150</v>
      </c>
    </row>
    <row r="256" spans="1:4">
      <c r="A256" s="15" t="s">
        <v>7163</v>
      </c>
      <c r="B256" s="14" t="s">
        <v>7146</v>
      </c>
      <c r="C256" s="14" t="str">
        <f t="array" ref="C256">IFERROR(INDEX($B$42:$B$327, MATCH(0, COUNTIF($C$41:C255, $B$42:$B$327&amp;"") + IF($B$42:$B$327="",1,0), 0)), "")</f>
        <v/>
      </c>
      <c r="D256" s="14" t="s">
        <v>7147</v>
      </c>
    </row>
    <row r="257" spans="1:4">
      <c r="A257" s="15" t="s">
        <v>7164</v>
      </c>
      <c r="B257" s="14" t="s">
        <v>7152</v>
      </c>
      <c r="C257" s="14" t="str">
        <f t="array" ref="C257">IFERROR(INDEX($B$42:$B$327, MATCH(0, COUNTIF($C$41:C256, $B$42:$B$327&amp;"") + IF($B$42:$B$327="",1,0), 0)), "")</f>
        <v/>
      </c>
      <c r="D257" s="14" t="s">
        <v>7153</v>
      </c>
    </row>
    <row r="258" spans="1:4">
      <c r="A258" s="15" t="s">
        <v>7165</v>
      </c>
      <c r="B258" s="14" t="s">
        <v>7149</v>
      </c>
      <c r="C258" s="14" t="str">
        <f t="array" ref="C258">IFERROR(INDEX($B$42:$B$327, MATCH(0, COUNTIF($C$41:C257, $B$42:$B$327&amp;"") + IF($B$42:$B$327="",1,0), 0)), "")</f>
        <v/>
      </c>
      <c r="D258" s="14" t="s">
        <v>7150</v>
      </c>
    </row>
    <row r="259" spans="1:4">
      <c r="A259" s="15" t="s">
        <v>7166</v>
      </c>
      <c r="B259" s="14" t="s">
        <v>7146</v>
      </c>
      <c r="C259" s="14" t="str">
        <f t="array" ref="C259">IFERROR(INDEX($B$42:$B$327, MATCH(0, COUNTIF($C$41:C258, $B$42:$B$327&amp;"") + IF($B$42:$B$327="",1,0), 0)), "")</f>
        <v/>
      </c>
      <c r="D259" s="14" t="s">
        <v>7147</v>
      </c>
    </row>
    <row r="260" spans="1:4">
      <c r="A260" s="15" t="s">
        <v>7167</v>
      </c>
      <c r="B260" s="14" t="s">
        <v>7168</v>
      </c>
      <c r="C260" s="14" t="str">
        <f t="array" ref="C260">IFERROR(INDEX($B$42:$B$327, MATCH(0, COUNTIF($C$41:C259, $B$42:$B$327&amp;"") + IF($B$42:$B$327="",1,0), 0)), "")</f>
        <v/>
      </c>
      <c r="D260" s="14" t="s">
        <v>7169</v>
      </c>
    </row>
    <row r="261" spans="1:4">
      <c r="A261" s="15" t="s">
        <v>7170</v>
      </c>
      <c r="B261" s="14" t="s">
        <v>7060</v>
      </c>
      <c r="C261" s="14" t="str">
        <f t="array" ref="C261">IFERROR(INDEX($B$42:$B$327, MATCH(0, COUNTIF($C$41:C260, $B$42:$B$327&amp;"") + IF($B$42:$B$327="",1,0), 0)), "")</f>
        <v/>
      </c>
      <c r="D261" s="14" t="s">
        <v>7061</v>
      </c>
    </row>
    <row r="262" spans="1:4">
      <c r="A262" s="15" t="s">
        <v>7171</v>
      </c>
      <c r="B262" s="14" t="s">
        <v>7060</v>
      </c>
      <c r="C262" s="14" t="str">
        <f t="array" ref="C262">IFERROR(INDEX($B$42:$B$327, MATCH(0, COUNTIF($C$41:C261, $B$42:$B$327&amp;"") + IF($B$42:$B$327="",1,0), 0)), "")</f>
        <v/>
      </c>
      <c r="D262" s="14" t="s">
        <v>7061</v>
      </c>
    </row>
    <row r="263" spans="1:4">
      <c r="A263" s="15" t="s">
        <v>7172</v>
      </c>
      <c r="B263" s="14" t="s">
        <v>7060</v>
      </c>
      <c r="C263" s="14" t="str">
        <f t="array" ref="C263">IFERROR(INDEX($B$42:$B$327, MATCH(0, COUNTIF($C$41:C262, $B$42:$B$327&amp;"") + IF($B$42:$B$327="",1,0), 0)), "")</f>
        <v/>
      </c>
      <c r="D263" s="14" t="s">
        <v>7061</v>
      </c>
    </row>
    <row r="264" spans="1:4">
      <c r="A264" s="15" t="s">
        <v>7173</v>
      </c>
      <c r="B264" s="14" t="s">
        <v>7060</v>
      </c>
      <c r="C264" s="14" t="str">
        <f t="array" ref="C264">IFERROR(INDEX($B$42:$B$327, MATCH(0, COUNTIF($C$41:C263, $B$42:$B$327&amp;"") + IF($B$42:$B$327="",1,0), 0)), "")</f>
        <v/>
      </c>
      <c r="D264" s="14" t="s">
        <v>7061</v>
      </c>
    </row>
    <row r="265" spans="1:4">
      <c r="A265" s="15" t="s">
        <v>7174</v>
      </c>
      <c r="B265" s="14" t="s">
        <v>7168</v>
      </c>
      <c r="C265" s="14" t="str">
        <f t="array" ref="C265">IFERROR(INDEX($B$42:$B$327, MATCH(0, COUNTIF($C$41:C264, $B$42:$B$327&amp;"") + IF($B$42:$B$327="",1,0), 0)), "")</f>
        <v/>
      </c>
      <c r="D265" s="14" t="s">
        <v>7169</v>
      </c>
    </row>
    <row r="266" spans="1:4">
      <c r="A266" s="15" t="s">
        <v>7175</v>
      </c>
      <c r="B266" s="14" t="s">
        <v>7060</v>
      </c>
      <c r="C266" s="14" t="str">
        <f t="array" ref="C266">IFERROR(INDEX($B$42:$B$327, MATCH(0, COUNTIF($C$41:C265, $B$42:$B$327&amp;"") + IF($B$42:$B$327="",1,0), 0)), "")</f>
        <v/>
      </c>
      <c r="D266" s="14" t="s">
        <v>7061</v>
      </c>
    </row>
    <row r="267" spans="1:4">
      <c r="A267" s="15" t="s">
        <v>7176</v>
      </c>
      <c r="B267" s="14" t="s">
        <v>7060</v>
      </c>
      <c r="C267" s="14" t="str">
        <f t="array" ref="C267">IFERROR(INDEX($B$42:$B$327, MATCH(0, COUNTIF($C$41:C266, $B$42:$B$327&amp;"") + IF($B$42:$B$327="",1,0), 0)), "")</f>
        <v/>
      </c>
      <c r="D267" s="14" t="s">
        <v>7061</v>
      </c>
    </row>
    <row r="268" spans="1:4">
      <c r="A268" s="15" t="s">
        <v>7177</v>
      </c>
      <c r="B268" s="14" t="s">
        <v>7168</v>
      </c>
      <c r="C268" s="14" t="str">
        <f t="array" ref="C268">IFERROR(INDEX($B$42:$B$327, MATCH(0, COUNTIF($C$41:C267, $B$42:$B$327&amp;"") + IF($B$42:$B$327="",1,0), 0)), "")</f>
        <v/>
      </c>
      <c r="D268" s="14" t="s">
        <v>7169</v>
      </c>
    </row>
    <row r="269" spans="1:4">
      <c r="A269" s="15" t="s">
        <v>7178</v>
      </c>
      <c r="B269" s="14" t="s">
        <v>7060</v>
      </c>
      <c r="C269" s="14" t="str">
        <f t="array" ref="C269">IFERROR(INDEX($B$42:$B$327, MATCH(0, COUNTIF($C$41:C268, $B$42:$B$327&amp;"") + IF($B$42:$B$327="",1,0), 0)), "")</f>
        <v/>
      </c>
      <c r="D269" s="14" t="s">
        <v>7061</v>
      </c>
    </row>
    <row r="270" spans="1:4">
      <c r="A270" s="15" t="s">
        <v>7179</v>
      </c>
      <c r="B270" s="14" t="s">
        <v>7060</v>
      </c>
      <c r="C270" s="14" t="str">
        <f t="array" ref="C270">IFERROR(INDEX($B$42:$B$327, MATCH(0, COUNTIF($C$41:C269, $B$42:$B$327&amp;"") + IF($B$42:$B$327="",1,0), 0)), "")</f>
        <v/>
      </c>
      <c r="D270" s="14" t="s">
        <v>7061</v>
      </c>
    </row>
    <row r="271" spans="1:4">
      <c r="A271" s="15" t="s">
        <v>7180</v>
      </c>
      <c r="B271" s="14" t="s">
        <v>7060</v>
      </c>
      <c r="C271" s="14" t="str">
        <f t="array" ref="C271">IFERROR(INDEX($B$42:$B$327, MATCH(0, COUNTIF($C$41:C270, $B$42:$B$327&amp;"") + IF($B$42:$B$327="",1,0), 0)), "")</f>
        <v/>
      </c>
      <c r="D271" s="14" t="s">
        <v>7061</v>
      </c>
    </row>
    <row r="272" spans="1:4">
      <c r="A272" s="15" t="s">
        <v>7181</v>
      </c>
      <c r="B272" s="14" t="s">
        <v>7182</v>
      </c>
      <c r="C272" s="14" t="str">
        <f t="array" ref="C272">IFERROR(INDEX($B$42:$B$327, MATCH(0, COUNTIF($C$41:C271, $B$42:$B$327&amp;"") + IF($B$42:$B$327="",1,0), 0)), "")</f>
        <v/>
      </c>
      <c r="D272" s="14" t="s">
        <v>7183</v>
      </c>
    </row>
    <row r="273" spans="1:4">
      <c r="A273" s="15" t="s">
        <v>7184</v>
      </c>
      <c r="B273" s="14" t="s">
        <v>7185</v>
      </c>
      <c r="C273" s="14" t="str">
        <f t="array" ref="C273">IFERROR(INDEX($B$42:$B$327, MATCH(0, COUNTIF($C$41:C272, $B$42:$B$327&amp;"") + IF($B$42:$B$327="",1,0), 0)), "")</f>
        <v/>
      </c>
      <c r="D273" s="14" t="s">
        <v>7186</v>
      </c>
    </row>
    <row r="274" spans="1:4">
      <c r="A274" s="15" t="s">
        <v>7187</v>
      </c>
      <c r="B274" s="14" t="s">
        <v>7182</v>
      </c>
      <c r="C274" s="14" t="str">
        <f t="array" ref="C274">IFERROR(INDEX($B$42:$B$327, MATCH(0, COUNTIF($C$41:C273, $B$42:$B$327&amp;"") + IF($B$42:$B$327="",1,0), 0)), "")</f>
        <v/>
      </c>
      <c r="D274" s="14" t="s">
        <v>7183</v>
      </c>
    </row>
    <row r="275" spans="1:4">
      <c r="A275" s="15" t="s">
        <v>7188</v>
      </c>
      <c r="B275" s="14" t="s">
        <v>7185</v>
      </c>
      <c r="C275" s="14" t="str">
        <f t="array" ref="C275">IFERROR(INDEX($B$42:$B$327, MATCH(0, COUNTIF($C$41:C274, $B$42:$B$327&amp;"") + IF($B$42:$B$327="",1,0), 0)), "")</f>
        <v/>
      </c>
      <c r="D275" s="14" t="s">
        <v>7186</v>
      </c>
    </row>
    <row r="276" spans="1:4">
      <c r="A276" s="15" t="s">
        <v>7189</v>
      </c>
      <c r="B276" s="14" t="s">
        <v>7182</v>
      </c>
      <c r="C276" s="14" t="str">
        <f t="array" ref="C276">IFERROR(INDEX($B$42:$B$327, MATCH(0, COUNTIF($C$41:C275, $B$42:$B$327&amp;"") + IF($B$42:$B$327="",1,0), 0)), "")</f>
        <v/>
      </c>
      <c r="D276" s="14" t="s">
        <v>7183</v>
      </c>
    </row>
    <row r="277" spans="1:4">
      <c r="A277" s="15" t="s">
        <v>7190</v>
      </c>
      <c r="B277" s="14" t="s">
        <v>7185</v>
      </c>
      <c r="C277" s="14" t="str">
        <f t="array" ref="C277">IFERROR(INDEX($B$42:$B$327, MATCH(0, COUNTIF($C$41:C276, $B$42:$B$327&amp;"") + IF($B$42:$B$327="",1,0), 0)), "")</f>
        <v/>
      </c>
      <c r="D277" s="14" t="s">
        <v>7186</v>
      </c>
    </row>
    <row r="278" spans="1:4">
      <c r="A278" s="15" t="s">
        <v>7191</v>
      </c>
      <c r="B278" s="14" t="s">
        <v>7182</v>
      </c>
      <c r="C278" s="14" t="str">
        <f t="array" ref="C278">IFERROR(INDEX($B$42:$B$327, MATCH(0, COUNTIF($C$41:C277, $B$42:$B$327&amp;"") + IF($B$42:$B$327="",1,0), 0)), "")</f>
        <v/>
      </c>
      <c r="D278" s="14" t="s">
        <v>7183</v>
      </c>
    </row>
    <row r="279" spans="1:4">
      <c r="A279" s="15" t="s">
        <v>7192</v>
      </c>
      <c r="B279" s="14" t="s">
        <v>7182</v>
      </c>
      <c r="C279" s="14" t="str">
        <f t="array" ref="C279">IFERROR(INDEX($B$42:$B$327, MATCH(0, COUNTIF($C$41:C278, $B$42:$B$327&amp;"") + IF($B$42:$B$327="",1,0), 0)), "")</f>
        <v/>
      </c>
      <c r="D279" s="14" t="s">
        <v>7183</v>
      </c>
    </row>
    <row r="280" spans="1:4">
      <c r="A280" s="15" t="s">
        <v>7193</v>
      </c>
      <c r="B280" s="14" t="s">
        <v>7182</v>
      </c>
      <c r="C280" s="14" t="str">
        <f t="array" ref="C280">IFERROR(INDEX($B$42:$B$327, MATCH(0, COUNTIF($C$41:C279, $B$42:$B$327&amp;"") + IF($B$42:$B$327="",1,0), 0)), "")</f>
        <v/>
      </c>
      <c r="D280" s="14" t="s">
        <v>7183</v>
      </c>
    </row>
    <row r="281" spans="1:4">
      <c r="A281" s="15" t="s">
        <v>7194</v>
      </c>
      <c r="B281" s="14" t="s">
        <v>7185</v>
      </c>
      <c r="C281" s="14" t="str">
        <f t="array" ref="C281">IFERROR(INDEX($B$42:$B$327, MATCH(0, COUNTIF($C$41:C280, $B$42:$B$327&amp;"") + IF($B$42:$B$327="",1,0), 0)), "")</f>
        <v/>
      </c>
      <c r="D281" s="14" t="s">
        <v>7186</v>
      </c>
    </row>
    <row r="282" spans="1:4">
      <c r="A282" s="15" t="s">
        <v>7195</v>
      </c>
      <c r="B282" s="14" t="s">
        <v>7182</v>
      </c>
      <c r="C282" s="14" t="str">
        <f t="array" ref="C282">IFERROR(INDEX($B$42:$B$327, MATCH(0, COUNTIF($C$41:C281, $B$42:$B$327&amp;"") + IF($B$42:$B$327="",1,0), 0)), "")</f>
        <v/>
      </c>
      <c r="D282" s="14" t="s">
        <v>7183</v>
      </c>
    </row>
    <row r="283" spans="1:4">
      <c r="A283" s="15" t="s">
        <v>7196</v>
      </c>
      <c r="B283" s="14" t="s">
        <v>7185</v>
      </c>
      <c r="C283" s="14" t="str">
        <f t="array" ref="C283">IFERROR(INDEX($B$42:$B$327, MATCH(0, COUNTIF($C$41:C282, $B$42:$B$327&amp;"") + IF($B$42:$B$327="",1,0), 0)), "")</f>
        <v/>
      </c>
      <c r="D283" s="14" t="s">
        <v>7186</v>
      </c>
    </row>
    <row r="284" spans="1:4">
      <c r="A284" s="15" t="s">
        <v>7197</v>
      </c>
      <c r="B284" s="14" t="s">
        <v>7182</v>
      </c>
      <c r="C284" s="14" t="str">
        <f t="array" ref="C284">IFERROR(INDEX($B$42:$B$327, MATCH(0, COUNTIF($C$41:C283, $B$42:$B$327&amp;"") + IF($B$42:$B$327="",1,0), 0)), "")</f>
        <v/>
      </c>
      <c r="D284" s="14" t="s">
        <v>7183</v>
      </c>
    </row>
    <row r="285" spans="1:4">
      <c r="A285" s="15" t="s">
        <v>7198</v>
      </c>
      <c r="B285" s="14" t="s">
        <v>7185</v>
      </c>
      <c r="C285" s="14" t="str">
        <f t="array" ref="C285">IFERROR(INDEX($B$42:$B$327, MATCH(0, COUNTIF($C$41:C284, $B$42:$B$327&amp;"") + IF($B$42:$B$327="",1,0), 0)), "")</f>
        <v/>
      </c>
      <c r="D285" s="14" t="s">
        <v>7186</v>
      </c>
    </row>
    <row r="286" spans="1:4">
      <c r="A286" s="15" t="s">
        <v>7199</v>
      </c>
      <c r="B286" s="14" t="s">
        <v>7182</v>
      </c>
      <c r="C286" s="14" t="str">
        <f t="array" ref="C286">IFERROR(INDEX($B$42:$B$327, MATCH(0, COUNTIF($C$41:C285, $B$42:$B$327&amp;"") + IF($B$42:$B$327="",1,0), 0)), "")</f>
        <v/>
      </c>
      <c r="D286" s="14" t="s">
        <v>7183</v>
      </c>
    </row>
    <row r="287" spans="1:4">
      <c r="A287" s="15" t="s">
        <v>7200</v>
      </c>
      <c r="B287" s="14" t="s">
        <v>7182</v>
      </c>
      <c r="C287" s="14" t="str">
        <f t="array" ref="C287">IFERROR(INDEX($B$42:$B$327, MATCH(0, COUNTIF($C$41:C286, $B$42:$B$327&amp;"") + IF($B$42:$B$327="",1,0), 0)), "")</f>
        <v/>
      </c>
      <c r="D287" s="14" t="s">
        <v>7183</v>
      </c>
    </row>
    <row r="288" spans="1:4">
      <c r="A288" s="15" t="s">
        <v>7201</v>
      </c>
      <c r="B288" s="14" t="s">
        <v>7182</v>
      </c>
      <c r="C288" s="14" t="str">
        <f t="array" ref="C288">IFERROR(INDEX($B$42:$B$327, MATCH(0, COUNTIF($C$41:C287, $B$42:$B$327&amp;"") + IF($B$42:$B$327="",1,0), 0)), "")</f>
        <v/>
      </c>
      <c r="D288" s="14" t="s">
        <v>7183</v>
      </c>
    </row>
    <row r="289" spans="1:4">
      <c r="A289" s="15" t="s">
        <v>7202</v>
      </c>
      <c r="B289" s="14" t="s">
        <v>7185</v>
      </c>
      <c r="C289" s="14" t="str">
        <f t="array" ref="C289">IFERROR(INDEX($B$42:$B$327, MATCH(0, COUNTIF($C$41:C288, $B$42:$B$327&amp;"") + IF($B$42:$B$327="",1,0), 0)), "")</f>
        <v/>
      </c>
      <c r="D289" s="14" t="s">
        <v>7186</v>
      </c>
    </row>
    <row r="290" spans="1:4">
      <c r="A290" s="15" t="s">
        <v>7203</v>
      </c>
      <c r="B290" s="14" t="s">
        <v>7182</v>
      </c>
      <c r="C290" s="14" t="str">
        <f t="array" ref="C290">IFERROR(INDEX($B$42:$B$327, MATCH(0, COUNTIF($C$41:C289, $B$42:$B$327&amp;"") + IF($B$42:$B$327="",1,0), 0)), "")</f>
        <v/>
      </c>
      <c r="D290" s="14" t="s">
        <v>7183</v>
      </c>
    </row>
    <row r="291" spans="1:4">
      <c r="A291" s="15" t="s">
        <v>7204</v>
      </c>
      <c r="B291" s="14" t="s">
        <v>7185</v>
      </c>
      <c r="C291" s="14" t="str">
        <f t="array" ref="C291">IFERROR(INDEX($B$42:$B$327, MATCH(0, COUNTIF($C$41:C290, $B$42:$B$327&amp;"") + IF($B$42:$B$327="",1,0), 0)), "")</f>
        <v/>
      </c>
      <c r="D291" s="14" t="s">
        <v>7186</v>
      </c>
    </row>
    <row r="292" spans="1:4">
      <c r="A292" s="15" t="s">
        <v>7205</v>
      </c>
      <c r="B292" s="14" t="s">
        <v>7182</v>
      </c>
      <c r="C292" s="14" t="str">
        <f t="array" ref="C292">IFERROR(INDEX($B$42:$B$327, MATCH(0, COUNTIF($C$41:C291, $B$42:$B$327&amp;"") + IF($B$42:$B$327="",1,0), 0)), "")</f>
        <v/>
      </c>
      <c r="D292" s="14" t="s">
        <v>7183</v>
      </c>
    </row>
    <row r="293" spans="1:4">
      <c r="A293" s="15" t="s">
        <v>7206</v>
      </c>
      <c r="B293" s="14" t="s">
        <v>7185</v>
      </c>
      <c r="C293" s="14" t="str">
        <f t="array" ref="C293">IFERROR(INDEX($B$42:$B$327, MATCH(0, COUNTIF($C$41:C292, $B$42:$B$327&amp;"") + IF($B$42:$B$327="",1,0), 0)), "")</f>
        <v/>
      </c>
      <c r="D293" s="14" t="s">
        <v>7186</v>
      </c>
    </row>
    <row r="294" spans="1:4">
      <c r="A294" s="15" t="s">
        <v>7207</v>
      </c>
      <c r="B294" s="14" t="s">
        <v>6888</v>
      </c>
      <c r="C294" s="14" t="str">
        <f t="array" ref="C294">IFERROR(INDEX($B$42:$B$327, MATCH(0, COUNTIF($C$41:C293, $B$42:$B$327&amp;"") + IF($B$42:$B$327="",1,0), 0)), "")</f>
        <v/>
      </c>
      <c r="D294" s="14" t="s">
        <v>7208</v>
      </c>
    </row>
    <row r="295" spans="1:4">
      <c r="A295" s="15" t="s">
        <v>7209</v>
      </c>
      <c r="B295" s="14" t="s">
        <v>6888</v>
      </c>
      <c r="C295" s="14" t="str">
        <f t="array" ref="C295">IFERROR(INDEX($B$42:$B$327, MATCH(0, COUNTIF($C$41:C294, $B$42:$B$327&amp;"") + IF($B$42:$B$327="",1,0), 0)), "")</f>
        <v/>
      </c>
      <c r="D295" s="14" t="s">
        <v>7208</v>
      </c>
    </row>
    <row r="296" spans="1:4">
      <c r="A296" s="15" t="s">
        <v>7210</v>
      </c>
      <c r="B296" s="14" t="s">
        <v>6888</v>
      </c>
      <c r="C296" s="14" t="str">
        <f t="array" ref="C296">IFERROR(INDEX($B$42:$B$327, MATCH(0, COUNTIF($C$41:C295, $B$42:$B$327&amp;"") + IF($B$42:$B$327="",1,0), 0)), "")</f>
        <v/>
      </c>
      <c r="D296" s="14" t="s">
        <v>7208</v>
      </c>
    </row>
    <row r="297" spans="1:4">
      <c r="A297" s="15" t="s">
        <v>7211</v>
      </c>
      <c r="B297" s="14" t="s">
        <v>6888</v>
      </c>
      <c r="C297" s="14" t="str">
        <f t="array" ref="C297">IFERROR(INDEX($B$42:$B$327, MATCH(0, COUNTIF($C$41:C296, $B$42:$B$327&amp;"") + IF($B$42:$B$327="",1,0), 0)), "")</f>
        <v/>
      </c>
      <c r="D297" s="14" t="s">
        <v>7208</v>
      </c>
    </row>
    <row r="298" spans="1:4">
      <c r="A298" s="15" t="s">
        <v>7212</v>
      </c>
      <c r="B298" s="14" t="s">
        <v>7213</v>
      </c>
      <c r="C298" s="14" t="str">
        <f t="array" ref="C298">IFERROR(INDEX($B$42:$B$327, MATCH(0, COUNTIF($C$41:C297, $B$42:$B$327&amp;"") + IF($B$42:$B$327="",1,0), 0)), "")</f>
        <v/>
      </c>
      <c r="D298" s="14" t="s">
        <v>7214</v>
      </c>
    </row>
    <row r="299" spans="1:4">
      <c r="A299" s="15" t="s">
        <v>7215</v>
      </c>
      <c r="B299" s="14" t="s">
        <v>6888</v>
      </c>
      <c r="C299" s="14" t="str">
        <f t="array" ref="C299">IFERROR(INDEX($B$42:$B$327, MATCH(0, COUNTIF($C$41:C298, $B$42:$B$327&amp;"") + IF($B$42:$B$327="",1,0), 0)), "")</f>
        <v/>
      </c>
      <c r="D299" s="14" t="s">
        <v>7208</v>
      </c>
    </row>
    <row r="300" spans="1:4">
      <c r="A300" s="15" t="s">
        <v>7216</v>
      </c>
      <c r="B300" s="14" t="s">
        <v>6888</v>
      </c>
      <c r="C300" s="14" t="str">
        <f t="array" ref="C300">IFERROR(INDEX($B$42:$B$327, MATCH(0, COUNTIF($C$41:C299, $B$42:$B$327&amp;"") + IF($B$42:$B$327="",1,0), 0)), "")</f>
        <v/>
      </c>
      <c r="D300" s="14" t="s">
        <v>7208</v>
      </c>
    </row>
    <row r="301" spans="1:4">
      <c r="A301" s="15" t="s">
        <v>7217</v>
      </c>
      <c r="B301" s="14" t="s">
        <v>6888</v>
      </c>
      <c r="C301" s="14" t="str">
        <f t="array" ref="C301">IFERROR(INDEX($B$42:$B$327, MATCH(0, COUNTIF($C$41:C300, $B$42:$B$327&amp;"") + IF($B$42:$B$327="",1,0), 0)), "")</f>
        <v/>
      </c>
      <c r="D301" s="14" t="s">
        <v>7208</v>
      </c>
    </row>
    <row r="302" spans="1:4">
      <c r="A302" s="15" t="s">
        <v>7218</v>
      </c>
      <c r="B302" s="14" t="s">
        <v>6888</v>
      </c>
      <c r="C302" s="14" t="str">
        <f t="array" ref="C302">IFERROR(INDEX($B$42:$B$327, MATCH(0, COUNTIF($C$41:C301, $B$42:$B$327&amp;"") + IF($B$42:$B$327="",1,0), 0)), "")</f>
        <v/>
      </c>
      <c r="D302" s="14" t="s">
        <v>7208</v>
      </c>
    </row>
    <row r="303" spans="1:4">
      <c r="A303" s="15" t="s">
        <v>7219</v>
      </c>
      <c r="B303" s="14" t="s">
        <v>7213</v>
      </c>
      <c r="C303" s="14" t="str">
        <f t="array" ref="C303">IFERROR(INDEX($B$42:$B$327, MATCH(0, COUNTIF($C$41:C302, $B$42:$B$327&amp;"") + IF($B$42:$B$327="",1,0), 0)), "")</f>
        <v/>
      </c>
      <c r="D303" s="14" t="s">
        <v>7214</v>
      </c>
    </row>
    <row r="304" spans="1:4">
      <c r="A304" s="15" t="s">
        <v>7220</v>
      </c>
      <c r="B304" s="14" t="s">
        <v>7213</v>
      </c>
      <c r="C304" s="14" t="str">
        <f t="array" ref="C304">IFERROR(INDEX($B$42:$B$327, MATCH(0, COUNTIF($C$41:C303, $B$42:$B$327&amp;"") + IF($B$42:$B$327="",1,0), 0)), "")</f>
        <v/>
      </c>
      <c r="D304" s="14" t="s">
        <v>7214</v>
      </c>
    </row>
    <row r="305" spans="1:4">
      <c r="A305" s="15" t="s">
        <v>7221</v>
      </c>
      <c r="B305" s="14" t="s">
        <v>6888</v>
      </c>
      <c r="C305" s="14" t="str">
        <f t="array" ref="C305">IFERROR(INDEX($B$42:$B$327, MATCH(0, COUNTIF($C$41:C304, $B$42:$B$327&amp;"") + IF($B$42:$B$327="",1,0), 0)), "")</f>
        <v/>
      </c>
      <c r="D305" s="14" t="s">
        <v>7208</v>
      </c>
    </row>
    <row r="306" spans="1:4">
      <c r="A306" s="15" t="s">
        <v>7222</v>
      </c>
      <c r="B306" s="14" t="s">
        <v>7213</v>
      </c>
      <c r="C306" s="14" t="str">
        <f t="array" ref="C306">IFERROR(INDEX($B$42:$B$327, MATCH(0, COUNTIF($C$41:C305, $B$42:$B$327&amp;"") + IF($B$42:$B$327="",1,0), 0)), "")</f>
        <v/>
      </c>
      <c r="D306" s="14" t="s">
        <v>7214</v>
      </c>
    </row>
    <row r="307" spans="1:4">
      <c r="A307" s="15" t="s">
        <v>7223</v>
      </c>
      <c r="B307" s="14" t="s">
        <v>7224</v>
      </c>
      <c r="C307" s="14" t="str">
        <f t="array" ref="C307">IFERROR(INDEX($B$42:$B$327, MATCH(0, COUNTIF($C$41:C306, $B$42:$B$327&amp;"") + IF($B$42:$B$327="",1,0), 0)), "")</f>
        <v/>
      </c>
      <c r="D307" s="14" t="s">
        <v>7225</v>
      </c>
    </row>
    <row r="308" spans="1:4">
      <c r="A308" s="15" t="s">
        <v>7226</v>
      </c>
      <c r="B308" s="14" t="s">
        <v>7227</v>
      </c>
      <c r="C308" s="14" t="str">
        <f t="array" ref="C308">IFERROR(INDEX($B$42:$B$327, MATCH(0, COUNTIF($C$41:C307, $B$42:$B$327&amp;"") + IF($B$42:$B$327="",1,0), 0)), "")</f>
        <v/>
      </c>
      <c r="D308" s="14" t="s">
        <v>7228</v>
      </c>
    </row>
    <row r="309" spans="1:4">
      <c r="A309" s="15" t="s">
        <v>7229</v>
      </c>
      <c r="B309" s="14" t="s">
        <v>7230</v>
      </c>
      <c r="C309" s="14" t="str">
        <f t="array" ref="C309">IFERROR(INDEX($B$42:$B$327, MATCH(0, COUNTIF($C$41:C308, $B$42:$B$327&amp;"") + IF($B$42:$B$327="",1,0), 0)), "")</f>
        <v/>
      </c>
      <c r="D309" s="14" t="s">
        <v>7231</v>
      </c>
    </row>
    <row r="310" spans="1:4">
      <c r="A310" s="15" t="s">
        <v>7232</v>
      </c>
      <c r="B310" s="14" t="s">
        <v>7233</v>
      </c>
      <c r="C310" s="14" t="str">
        <f t="array" ref="C310">IFERROR(INDEX($B$42:$B$327, MATCH(0, COUNTIF($C$41:C309, $B$42:$B$327&amp;"") + IF($B$42:$B$327="",1,0), 0)), "")</f>
        <v/>
      </c>
      <c r="D310" s="14" t="s">
        <v>7234</v>
      </c>
    </row>
    <row r="311" spans="1:4">
      <c r="A311" s="15" t="s">
        <v>7235</v>
      </c>
      <c r="B311" s="14" t="s">
        <v>7236</v>
      </c>
      <c r="C311" s="14" t="str">
        <f t="array" ref="C311">IFERROR(INDEX($B$42:$B$327, MATCH(0, COUNTIF($C$41:C310, $B$42:$B$327&amp;"") + IF($B$42:$B$327="",1,0), 0)), "")</f>
        <v/>
      </c>
      <c r="D311" s="14" t="s">
        <v>7237</v>
      </c>
    </row>
    <row r="312" spans="1:4">
      <c r="A312" s="15" t="s">
        <v>7238</v>
      </c>
      <c r="B312" s="14" t="s">
        <v>7224</v>
      </c>
      <c r="C312" s="14" t="str">
        <f t="array" ref="C312">IFERROR(INDEX($B$42:$B$327, MATCH(0, COUNTIF($C$41:C311, $B$42:$B$327&amp;"") + IF($B$42:$B$327="",1,0), 0)), "")</f>
        <v/>
      </c>
      <c r="D312" s="14" t="s">
        <v>7225</v>
      </c>
    </row>
    <row r="313" spans="1:4">
      <c r="A313" s="15" t="s">
        <v>7239</v>
      </c>
      <c r="B313" s="14" t="s">
        <v>7224</v>
      </c>
      <c r="C313" s="14" t="str">
        <f t="array" ref="C313">IFERROR(INDEX($B$42:$B$327, MATCH(0, COUNTIF($C$41:C312, $B$42:$B$327&amp;"") + IF($B$42:$B$327="",1,0), 0)), "")</f>
        <v/>
      </c>
      <c r="D313" s="14" t="s">
        <v>7225</v>
      </c>
    </row>
    <row r="314" spans="1:4">
      <c r="A314" s="15" t="s">
        <v>7240</v>
      </c>
      <c r="B314" s="14" t="s">
        <v>7227</v>
      </c>
      <c r="C314" s="14" t="str">
        <f t="array" ref="C314">IFERROR(INDEX($B$42:$B$327, MATCH(0, COUNTIF($C$41:C313, $B$42:$B$327&amp;"") + IF($B$42:$B$327="",1,0), 0)), "")</f>
        <v/>
      </c>
      <c r="D314" s="14" t="s">
        <v>7228</v>
      </c>
    </row>
    <row r="315" spans="1:4">
      <c r="A315" s="15" t="s">
        <v>7241</v>
      </c>
      <c r="B315" s="14" t="s">
        <v>7242</v>
      </c>
      <c r="C315" s="14" t="str">
        <f t="array" ref="C315">IFERROR(INDEX($B$42:$B$327, MATCH(0, COUNTIF($C$41:C314, $B$42:$B$327&amp;"") + IF($B$42:$B$327="",1,0), 0)), "")</f>
        <v/>
      </c>
      <c r="D315" s="14" t="s">
        <v>7243</v>
      </c>
    </row>
    <row r="316" spans="1:4">
      <c r="A316" s="15" t="s">
        <v>7244</v>
      </c>
      <c r="B316" s="14" t="s">
        <v>7245</v>
      </c>
      <c r="C316" s="14" t="str">
        <f t="array" ref="C316">IFERROR(INDEX($B$42:$B$327, MATCH(0, COUNTIF($C$41:C315, $B$42:$B$327&amp;"") + IF($B$42:$B$327="",1,0), 0)), "")</f>
        <v/>
      </c>
      <c r="D316" s="14" t="s">
        <v>7246</v>
      </c>
    </row>
    <row r="317" spans="1:4">
      <c r="A317" s="15" t="s">
        <v>7247</v>
      </c>
      <c r="B317" s="14" t="s">
        <v>7236</v>
      </c>
      <c r="C317" s="14" t="str">
        <f t="array" ref="C317">IFERROR(INDEX($B$42:$B$327, MATCH(0, COUNTIF($C$41:C316, $B$42:$B$327&amp;"") + IF($B$42:$B$327="",1,0), 0)), "")</f>
        <v/>
      </c>
      <c r="D317" s="14" t="s">
        <v>7237</v>
      </c>
    </row>
    <row r="318" spans="1:4">
      <c r="A318" s="15" t="s">
        <v>7248</v>
      </c>
      <c r="B318" s="14" t="s">
        <v>7230</v>
      </c>
      <c r="C318" s="14" t="str">
        <f t="array" ref="C318">IFERROR(INDEX($B$42:$B$327, MATCH(0, COUNTIF($C$41:C317, $B$42:$B$327&amp;"") + IF($B$42:$B$327="",1,0), 0)), "")</f>
        <v/>
      </c>
      <c r="D318" s="14" t="s">
        <v>7231</v>
      </c>
    </row>
    <row r="319" spans="1:4">
      <c r="A319" s="15" t="s">
        <v>7249</v>
      </c>
      <c r="B319" s="14" t="s">
        <v>7250</v>
      </c>
      <c r="C319" s="14" t="str">
        <f t="array" ref="C319">IFERROR(INDEX($B$42:$B$327, MATCH(0, COUNTIF($C$41:C318, $B$42:$B$327&amp;"") + IF($B$42:$B$327="",1,0), 0)), "")</f>
        <v/>
      </c>
      <c r="D319" s="14" t="s">
        <v>7251</v>
      </c>
    </row>
    <row r="320" spans="1:4">
      <c r="A320" s="15" t="s">
        <v>7252</v>
      </c>
      <c r="B320" s="14" t="s">
        <v>7233</v>
      </c>
      <c r="C320" s="14" t="str">
        <f t="array" ref="C320">IFERROR(INDEX($B$42:$B$327, MATCH(0, COUNTIF($C$41:C319, $B$42:$B$327&amp;"") + IF($B$42:$B$327="",1,0), 0)), "")</f>
        <v/>
      </c>
      <c r="D320" s="14" t="s">
        <v>7234</v>
      </c>
    </row>
    <row r="321" spans="1:4">
      <c r="A321" s="15" t="s">
        <v>7253</v>
      </c>
      <c r="B321" s="14" t="s">
        <v>7227</v>
      </c>
      <c r="C321" s="14" t="str">
        <f t="array" ref="C321">IFERROR(INDEX($B$42:$B$327, MATCH(0, COUNTIF($C$41:C320, $B$42:$B$327&amp;"") + IF($B$42:$B$327="",1,0), 0)), "")</f>
        <v/>
      </c>
      <c r="D321" s="14" t="s">
        <v>7228</v>
      </c>
    </row>
    <row r="322" spans="1:4">
      <c r="A322" s="15" t="s">
        <v>7254</v>
      </c>
      <c r="B322" s="14" t="s">
        <v>7230</v>
      </c>
      <c r="C322" s="14" t="str">
        <f t="array" ref="C322">IFERROR(INDEX($B$42:$B$327, MATCH(0, COUNTIF($C$41:C321, $B$42:$B$327&amp;"") + IF($B$42:$B$327="",1,0), 0)), "")</f>
        <v/>
      </c>
      <c r="D322" s="14" t="s">
        <v>7231</v>
      </c>
    </row>
    <row r="323" spans="1:4">
      <c r="A323" s="15" t="s">
        <v>7255</v>
      </c>
      <c r="B323" s="14" t="s">
        <v>7236</v>
      </c>
      <c r="C323" s="14" t="str">
        <f t="array" ref="C323">IFERROR(INDEX($B$42:$B$327, MATCH(0, COUNTIF($C$41:C322, $B$42:$B$327&amp;"") + IF($B$42:$B$327="",1,0), 0)), "")</f>
        <v/>
      </c>
      <c r="D323" s="14" t="s">
        <v>7237</v>
      </c>
    </row>
    <row r="324" spans="1:4">
      <c r="A324" s="15" t="s">
        <v>7256</v>
      </c>
      <c r="B324" s="14" t="s">
        <v>7233</v>
      </c>
      <c r="C324" s="14" t="str">
        <f t="array" ref="C324">IFERROR(INDEX($B$42:$B$327, MATCH(0, COUNTIF($C$41:C323, $B$42:$B$327&amp;"") + IF($B$42:$B$327="",1,0), 0)), "")</f>
        <v/>
      </c>
      <c r="D324" s="14" t="s">
        <v>7234</v>
      </c>
    </row>
    <row r="325" spans="1:4">
      <c r="A325" s="15" t="s">
        <v>7257</v>
      </c>
      <c r="B325" s="14" t="s">
        <v>7224</v>
      </c>
      <c r="C325" s="14" t="str">
        <f t="array" ref="C325">IFERROR(INDEX($B$42:$B$327, MATCH(0, COUNTIF($C$41:C324, $B$42:$B$327&amp;"") + IF($B$42:$B$327="",1,0), 0)), "")</f>
        <v/>
      </c>
      <c r="D325" s="14" t="s">
        <v>7225</v>
      </c>
    </row>
    <row r="326" spans="1:4">
      <c r="A326" s="15" t="s">
        <v>7258</v>
      </c>
      <c r="B326" s="14" t="s">
        <v>7224</v>
      </c>
      <c r="C326" s="14" t="str">
        <f t="array" ref="C326">IFERROR(INDEX($B$42:$B$327, MATCH(0, COUNTIF($C$41:C325, $B$42:$B$327&amp;"") + IF($B$42:$B$327="",1,0), 0)), "")</f>
        <v/>
      </c>
      <c r="D326" s="14" t="s">
        <v>7225</v>
      </c>
    </row>
    <row r="330" spans="1:4">
      <c r="B330" s="3"/>
    </row>
    <row r="331" spans="1:4">
      <c r="B331" s="3"/>
    </row>
    <row r="332" spans="1:4">
      <c r="B332" s="3"/>
    </row>
    <row r="333" spans="1:4">
      <c r="B333" s="3"/>
    </row>
    <row r="334" spans="1:4">
      <c r="B334" s="3"/>
    </row>
    <row r="335" spans="1:4">
      <c r="B335" s="3"/>
    </row>
    <row r="336" spans="1:4">
      <c r="B336" s="3"/>
    </row>
    <row r="337" spans="2:2">
      <c r="B337" s="3"/>
    </row>
    <row r="338" spans="2:2">
      <c r="B338" s="3"/>
    </row>
    <row r="339" spans="2:2">
      <c r="B339" s="3"/>
    </row>
    <row r="340" spans="2:2">
      <c r="B340" s="3"/>
    </row>
    <row r="341" spans="2:2">
      <c r="B341" s="3"/>
    </row>
    <row r="342" spans="2:2">
      <c r="B342" s="3"/>
    </row>
    <row r="343" spans="2:2">
      <c r="B343" s="3"/>
    </row>
    <row r="344" spans="2:2">
      <c r="B344" s="3"/>
    </row>
    <row r="345" spans="2:2">
      <c r="B345" s="3"/>
    </row>
    <row r="346" spans="2:2">
      <c r="B346" s="3"/>
    </row>
    <row r="347" spans="2:2">
      <c r="B347" s="3"/>
    </row>
    <row r="348" spans="2:2">
      <c r="B348" s="3"/>
    </row>
    <row r="349" spans="2:2">
      <c r="B349" s="3"/>
    </row>
    <row r="350" spans="2:2">
      <c r="B350" s="3"/>
    </row>
    <row r="351" spans="2:2">
      <c r="B351" s="3"/>
    </row>
    <row r="352" spans="2:2">
      <c r="B352" s="3"/>
    </row>
    <row r="353" spans="2:2">
      <c r="B353" s="3"/>
    </row>
    <row r="354" spans="2:2">
      <c r="B354" s="3"/>
    </row>
    <row r="355" spans="2:2">
      <c r="B355" s="3"/>
    </row>
    <row r="356" spans="2:2">
      <c r="B356" s="3"/>
    </row>
    <row r="357" spans="2:2">
      <c r="B357" s="3"/>
    </row>
    <row r="358" spans="2:2">
      <c r="B358" s="3"/>
    </row>
    <row r="359" spans="2:2">
      <c r="B359" s="3"/>
    </row>
    <row r="360" spans="2:2">
      <c r="B360" s="3"/>
    </row>
    <row r="361" spans="2:2">
      <c r="B361" s="3"/>
    </row>
    <row r="362" spans="2:2">
      <c r="B362" s="3"/>
    </row>
    <row r="363" spans="2:2">
      <c r="B363" s="3"/>
    </row>
    <row r="364" spans="2:2">
      <c r="B364" s="3"/>
    </row>
    <row r="365" spans="2:2">
      <c r="B365" s="3"/>
    </row>
    <row r="366" spans="2:2">
      <c r="B366" s="3"/>
    </row>
    <row r="367" spans="2:2">
      <c r="B367" s="3"/>
    </row>
    <row r="368" spans="2:2">
      <c r="B368" s="3"/>
    </row>
    <row r="369" spans="2:2">
      <c r="B369" s="3"/>
    </row>
    <row r="370" spans="2:2">
      <c r="B370" s="3"/>
    </row>
    <row r="371" spans="2:2">
      <c r="B371" s="3"/>
    </row>
    <row r="372" spans="2:2">
      <c r="B372" s="3"/>
    </row>
    <row r="373" spans="2:2">
      <c r="B373" s="3"/>
    </row>
    <row r="374" spans="2:2">
      <c r="B374" s="3"/>
    </row>
    <row r="375" spans="2:2">
      <c r="B375" s="3"/>
    </row>
    <row r="376" spans="2:2">
      <c r="B376" s="3"/>
    </row>
    <row r="377" spans="2:2">
      <c r="B377" s="3"/>
    </row>
    <row r="378" spans="2:2">
      <c r="B378" s="3"/>
    </row>
    <row r="379" spans="2:2">
      <c r="B379" s="3"/>
    </row>
    <row r="380" spans="2:2">
      <c r="B380" s="3"/>
    </row>
    <row r="381" spans="2:2">
      <c r="B381" s="3"/>
    </row>
    <row r="382" spans="2:2">
      <c r="B382" s="3"/>
    </row>
    <row r="383" spans="2:2">
      <c r="B383" s="3"/>
    </row>
    <row r="384" spans="2:2">
      <c r="B384" s="3"/>
    </row>
    <row r="385" spans="2:2">
      <c r="B385" s="3"/>
    </row>
    <row r="386" spans="2:2">
      <c r="B386" s="3"/>
    </row>
    <row r="387" spans="2:2">
      <c r="B387" s="3"/>
    </row>
    <row r="388" spans="2:2">
      <c r="B388" s="3"/>
    </row>
    <row r="389" spans="2:2">
      <c r="B389" s="3"/>
    </row>
    <row r="390" spans="2:2">
      <c r="B390" s="3"/>
    </row>
    <row r="391" spans="2:2">
      <c r="B391" s="3"/>
    </row>
    <row r="392" spans="2:2">
      <c r="B392" s="3"/>
    </row>
    <row r="393" spans="2:2">
      <c r="B393" s="3"/>
    </row>
    <row r="394" spans="2:2">
      <c r="B394" s="3"/>
    </row>
    <row r="395" spans="2:2">
      <c r="B395" s="3"/>
    </row>
    <row r="396" spans="2:2">
      <c r="B396" s="3"/>
    </row>
    <row r="397" spans="2:2">
      <c r="B397" s="3"/>
    </row>
    <row r="398" spans="2:2">
      <c r="B398" s="3"/>
    </row>
    <row r="399" spans="2:2">
      <c r="B399" s="3"/>
    </row>
    <row r="400" spans="2:2">
      <c r="B400" s="3"/>
    </row>
    <row r="401" spans="2:2">
      <c r="B401" s="3"/>
    </row>
    <row r="402" spans="2:2">
      <c r="B402" s="3"/>
    </row>
    <row r="403" spans="2:2">
      <c r="B403" s="3"/>
    </row>
    <row r="404" spans="2:2">
      <c r="B404" s="3"/>
    </row>
    <row r="405" spans="2:2">
      <c r="B405" s="3"/>
    </row>
    <row r="406" spans="2:2">
      <c r="B406" s="3"/>
    </row>
    <row r="407" spans="2:2">
      <c r="B407" s="3"/>
    </row>
    <row r="408" spans="2:2">
      <c r="B408" s="3"/>
    </row>
    <row r="409" spans="2:2">
      <c r="B409" s="3"/>
    </row>
    <row r="410" spans="2:2">
      <c r="B410" s="3"/>
    </row>
    <row r="411" spans="2:2">
      <c r="B411" s="3"/>
    </row>
    <row r="412" spans="2:2">
      <c r="B412" s="3"/>
    </row>
    <row r="413" spans="2:2">
      <c r="B413" s="3"/>
    </row>
    <row r="414" spans="2:2">
      <c r="B414" s="3"/>
    </row>
    <row r="415" spans="2:2">
      <c r="B415" s="3"/>
    </row>
    <row r="416" spans="2:2">
      <c r="B416" s="3"/>
    </row>
    <row r="417" spans="2:2">
      <c r="B417" s="3"/>
    </row>
    <row r="418" spans="2:2">
      <c r="B418" s="3"/>
    </row>
    <row r="419" spans="2:2">
      <c r="B419" s="3"/>
    </row>
    <row r="420" spans="2:2">
      <c r="B420" s="3"/>
    </row>
    <row r="421" spans="2:2">
      <c r="B421" s="3"/>
    </row>
    <row r="422" spans="2:2">
      <c r="B422" s="3"/>
    </row>
    <row r="423" spans="2:2">
      <c r="B423" s="3"/>
    </row>
    <row r="424" spans="2:2">
      <c r="B424" s="3"/>
    </row>
    <row r="425" spans="2:2">
      <c r="B425" s="3"/>
    </row>
    <row r="426" spans="2:2">
      <c r="B426" s="3"/>
    </row>
    <row r="427" spans="2:2">
      <c r="B427" s="3"/>
    </row>
    <row r="428" spans="2:2">
      <c r="B428" s="3"/>
    </row>
    <row r="429" spans="2:2">
      <c r="B429" s="3"/>
    </row>
    <row r="430" spans="2:2">
      <c r="B430" s="3"/>
    </row>
    <row r="431" spans="2:2">
      <c r="B431" s="3"/>
    </row>
    <row r="432" spans="2:2">
      <c r="B432" s="3"/>
    </row>
    <row r="433" spans="2:2">
      <c r="B433" s="3"/>
    </row>
    <row r="434" spans="2:2">
      <c r="B434" s="3"/>
    </row>
    <row r="435" spans="2:2">
      <c r="B435" s="3"/>
    </row>
    <row r="436" spans="2:2">
      <c r="B436" s="3"/>
    </row>
    <row r="437" spans="2:2">
      <c r="B437" s="3"/>
    </row>
    <row r="438" spans="2:2">
      <c r="B438" s="3"/>
    </row>
    <row r="439" spans="2:2">
      <c r="B439" s="3"/>
    </row>
    <row r="440" spans="2:2">
      <c r="B440" s="3"/>
    </row>
    <row r="441" spans="2:2">
      <c r="B441" s="3"/>
    </row>
    <row r="442" spans="2:2">
      <c r="B442" s="3"/>
    </row>
    <row r="443" spans="2:2">
      <c r="B443" s="3"/>
    </row>
    <row r="444" spans="2:2">
      <c r="B444" s="3"/>
    </row>
    <row r="445" spans="2:2">
      <c r="B445" s="3"/>
    </row>
    <row r="446" spans="2:2">
      <c r="B446" s="3"/>
    </row>
    <row r="447" spans="2:2">
      <c r="B447" s="3"/>
    </row>
    <row r="448" spans="2:2">
      <c r="B448" s="3"/>
    </row>
    <row r="449" spans="2:2">
      <c r="B449" s="3"/>
    </row>
    <row r="450" spans="2:2">
      <c r="B450" s="3"/>
    </row>
    <row r="451" spans="2:2">
      <c r="B451" s="3"/>
    </row>
    <row r="452" spans="2:2">
      <c r="B452" s="3"/>
    </row>
    <row r="453" spans="2:2">
      <c r="B453" s="3"/>
    </row>
    <row r="454" spans="2:2">
      <c r="B454" s="3"/>
    </row>
    <row r="455" spans="2:2">
      <c r="B455" s="3"/>
    </row>
    <row r="456" spans="2:2">
      <c r="B456" s="3"/>
    </row>
    <row r="457" spans="2:2">
      <c r="B457" s="3"/>
    </row>
    <row r="458" spans="2:2">
      <c r="B458" s="3"/>
    </row>
    <row r="459" spans="2:2">
      <c r="B459" s="3"/>
    </row>
    <row r="460" spans="2:2">
      <c r="B460" s="3"/>
    </row>
    <row r="461" spans="2:2">
      <c r="B461" s="3"/>
    </row>
    <row r="462" spans="2:2">
      <c r="B462" s="3"/>
    </row>
    <row r="463" spans="2:2">
      <c r="B463" s="3"/>
    </row>
    <row r="464" spans="2:2">
      <c r="B464" s="3"/>
    </row>
    <row r="465" spans="2:2">
      <c r="B465" s="3"/>
    </row>
    <row r="466" spans="2:2">
      <c r="B466" s="3"/>
    </row>
    <row r="467" spans="2:2">
      <c r="B467" s="3"/>
    </row>
    <row r="468" spans="2:2">
      <c r="B468" s="3"/>
    </row>
    <row r="469" spans="2:2">
      <c r="B469" s="3"/>
    </row>
    <row r="470" spans="2:2">
      <c r="B470" s="3"/>
    </row>
    <row r="471" spans="2:2">
      <c r="B471" s="3"/>
    </row>
    <row r="472" spans="2:2">
      <c r="B472" s="3"/>
    </row>
    <row r="473" spans="2:2">
      <c r="B473" s="3"/>
    </row>
    <row r="474" spans="2:2">
      <c r="B474" s="3"/>
    </row>
    <row r="475" spans="2:2">
      <c r="B475" s="3"/>
    </row>
    <row r="476" spans="2:2">
      <c r="B476" s="3"/>
    </row>
    <row r="477" spans="2:2">
      <c r="B477" s="3"/>
    </row>
    <row r="478" spans="2:2">
      <c r="B478" s="3"/>
    </row>
    <row r="479" spans="2:2">
      <c r="B479" s="3"/>
    </row>
    <row r="480" spans="2:2">
      <c r="B480" s="3"/>
    </row>
    <row r="481" spans="2:2">
      <c r="B481" s="3"/>
    </row>
    <row r="482" spans="2:2">
      <c r="B482" s="3"/>
    </row>
    <row r="483" spans="2:2">
      <c r="B483" s="3"/>
    </row>
    <row r="484" spans="2:2">
      <c r="B484" s="3"/>
    </row>
    <row r="485" spans="2:2">
      <c r="B485" s="3"/>
    </row>
    <row r="486" spans="2:2">
      <c r="B486" s="3"/>
    </row>
    <row r="487" spans="2:2">
      <c r="B487" s="3"/>
    </row>
    <row r="488" spans="2:2">
      <c r="B488" s="3"/>
    </row>
    <row r="489" spans="2:2">
      <c r="B489" s="3"/>
    </row>
    <row r="490" spans="2:2">
      <c r="B490" s="3"/>
    </row>
    <row r="491" spans="2:2">
      <c r="B491" s="3"/>
    </row>
    <row r="492" spans="2:2">
      <c r="B492" s="3"/>
    </row>
    <row r="493" spans="2:2">
      <c r="B493" s="3"/>
    </row>
    <row r="494" spans="2:2">
      <c r="B494" s="3"/>
    </row>
    <row r="495" spans="2:2">
      <c r="B495" s="3"/>
    </row>
    <row r="496" spans="2:2">
      <c r="B496" s="3"/>
    </row>
    <row r="497" spans="2:2">
      <c r="B497" s="3"/>
    </row>
    <row r="498" spans="2:2">
      <c r="B498" s="3"/>
    </row>
    <row r="499" spans="2:2">
      <c r="B499" s="3"/>
    </row>
    <row r="500" spans="2:2">
      <c r="B500" s="3"/>
    </row>
    <row r="501" spans="2:2">
      <c r="B501" s="3"/>
    </row>
    <row r="502" spans="2:2">
      <c r="B502" s="3"/>
    </row>
    <row r="503" spans="2:2">
      <c r="B503" s="3"/>
    </row>
    <row r="504" spans="2:2">
      <c r="B504" s="3"/>
    </row>
    <row r="505" spans="2:2">
      <c r="B505" s="3"/>
    </row>
    <row r="506" spans="2:2">
      <c r="B506" s="3"/>
    </row>
    <row r="507" spans="2:2">
      <c r="B507" s="3"/>
    </row>
    <row r="508" spans="2:2">
      <c r="B508" s="3"/>
    </row>
    <row r="509" spans="2:2">
      <c r="B509" s="3"/>
    </row>
    <row r="510" spans="2:2">
      <c r="B510" s="3"/>
    </row>
    <row r="511" spans="2:2">
      <c r="B511" s="3"/>
    </row>
    <row r="512" spans="2:2">
      <c r="B512" s="3"/>
    </row>
    <row r="513" spans="2:2">
      <c r="B513" s="3"/>
    </row>
    <row r="514" spans="2:2">
      <c r="B514" s="3"/>
    </row>
    <row r="515" spans="2:2">
      <c r="B515" s="3"/>
    </row>
    <row r="516" spans="2:2">
      <c r="B516" s="3"/>
    </row>
    <row r="517" spans="2:2">
      <c r="B517" s="3"/>
    </row>
    <row r="518" spans="2:2">
      <c r="B518" s="3"/>
    </row>
    <row r="519" spans="2:2">
      <c r="B519" s="3"/>
    </row>
    <row r="520" spans="2:2">
      <c r="B520" s="3"/>
    </row>
    <row r="521" spans="2:2">
      <c r="B521" s="3"/>
    </row>
    <row r="522" spans="2:2">
      <c r="B522" s="3"/>
    </row>
    <row r="523" spans="2:2">
      <c r="B523" s="3"/>
    </row>
    <row r="524" spans="2:2">
      <c r="B524" s="3"/>
    </row>
    <row r="525" spans="2:2">
      <c r="B525" s="3"/>
    </row>
    <row r="526" spans="2:2">
      <c r="B526" s="3"/>
    </row>
    <row r="527" spans="2:2">
      <c r="B527" s="3"/>
    </row>
    <row r="528" spans="2:2">
      <c r="B528" s="3"/>
    </row>
    <row r="529" spans="2:2">
      <c r="B529" s="3"/>
    </row>
    <row r="530" spans="2:2">
      <c r="B530" s="3"/>
    </row>
    <row r="531" spans="2:2">
      <c r="B531" s="3"/>
    </row>
    <row r="532" spans="2:2">
      <c r="B532" s="3"/>
    </row>
    <row r="533" spans="2:2">
      <c r="B533" s="3"/>
    </row>
    <row r="534" spans="2:2">
      <c r="B534" s="3"/>
    </row>
    <row r="535" spans="2:2">
      <c r="B535" s="3"/>
    </row>
    <row r="536" spans="2:2">
      <c r="B536" s="3"/>
    </row>
    <row r="537" spans="2:2">
      <c r="B537" s="3"/>
    </row>
    <row r="538" spans="2:2">
      <c r="B538" s="3"/>
    </row>
    <row r="539" spans="2:2">
      <c r="B539" s="3"/>
    </row>
    <row r="540" spans="2:2">
      <c r="B540" s="3"/>
    </row>
    <row r="541" spans="2:2">
      <c r="B541" s="3"/>
    </row>
    <row r="542" spans="2:2">
      <c r="B542" s="3"/>
    </row>
    <row r="543" spans="2:2">
      <c r="B543" s="3"/>
    </row>
    <row r="544" spans="2:2">
      <c r="B544" s="3"/>
    </row>
    <row r="545" spans="2:2">
      <c r="B545" s="3"/>
    </row>
    <row r="546" spans="2:2">
      <c r="B546" s="3"/>
    </row>
    <row r="547" spans="2:2">
      <c r="B547" s="3"/>
    </row>
    <row r="548" spans="2:2">
      <c r="B548" s="3"/>
    </row>
    <row r="549" spans="2:2">
      <c r="B549" s="3"/>
    </row>
    <row r="550" spans="2:2">
      <c r="B550" s="3"/>
    </row>
    <row r="551" spans="2:2">
      <c r="B551" s="3"/>
    </row>
    <row r="552" spans="2:2">
      <c r="B552" s="3"/>
    </row>
    <row r="553" spans="2:2">
      <c r="B553" s="3"/>
    </row>
    <row r="554" spans="2:2">
      <c r="B554" s="3"/>
    </row>
    <row r="555" spans="2:2">
      <c r="B555" s="3"/>
    </row>
    <row r="556" spans="2:2">
      <c r="B556" s="3"/>
    </row>
    <row r="557" spans="2:2">
      <c r="B557" s="3"/>
    </row>
    <row r="558" spans="2:2">
      <c r="B558" s="3"/>
    </row>
    <row r="559" spans="2:2">
      <c r="B559" s="3"/>
    </row>
    <row r="560" spans="2:2">
      <c r="B560" s="3"/>
    </row>
    <row r="561" spans="2:2">
      <c r="B561" s="3"/>
    </row>
    <row r="562" spans="2:2">
      <c r="B562" s="3"/>
    </row>
    <row r="563" spans="2:2">
      <c r="B563" s="3"/>
    </row>
    <row r="564" spans="2:2">
      <c r="B564" s="3"/>
    </row>
    <row r="565" spans="2:2">
      <c r="B565" s="3"/>
    </row>
    <row r="566" spans="2:2">
      <c r="B566" s="3"/>
    </row>
    <row r="567" spans="2:2">
      <c r="B567" s="3"/>
    </row>
    <row r="568" spans="2:2">
      <c r="B568" s="3"/>
    </row>
    <row r="569" spans="2:2">
      <c r="B569" s="3"/>
    </row>
    <row r="570" spans="2:2">
      <c r="B570" s="3"/>
    </row>
    <row r="571" spans="2:2">
      <c r="B571" s="3"/>
    </row>
    <row r="572" spans="2:2">
      <c r="B572" s="3"/>
    </row>
    <row r="573" spans="2:2">
      <c r="B573" s="3"/>
    </row>
    <row r="574" spans="2:2">
      <c r="B574" s="3"/>
    </row>
    <row r="575" spans="2:2">
      <c r="B575" s="3"/>
    </row>
    <row r="576" spans="2:2">
      <c r="B576" s="3"/>
    </row>
    <row r="577" spans="2:2">
      <c r="B577" s="3"/>
    </row>
    <row r="578" spans="2:2">
      <c r="B578" s="3"/>
    </row>
    <row r="579" spans="2:2">
      <c r="B579" s="3"/>
    </row>
    <row r="580" spans="2:2">
      <c r="B580" s="3"/>
    </row>
    <row r="581" spans="2:2">
      <c r="B581" s="3"/>
    </row>
    <row r="582" spans="2:2">
      <c r="B582" s="3"/>
    </row>
    <row r="583" spans="2:2">
      <c r="B583" s="3"/>
    </row>
    <row r="584" spans="2:2">
      <c r="B584" s="3"/>
    </row>
    <row r="585" spans="2:2">
      <c r="B585" s="3"/>
    </row>
    <row r="586" spans="2:2">
      <c r="B586" s="3"/>
    </row>
    <row r="587" spans="2:2">
      <c r="B587" s="3"/>
    </row>
    <row r="588" spans="2:2">
      <c r="B588" s="3"/>
    </row>
    <row r="589" spans="2:2">
      <c r="B589" s="3"/>
    </row>
    <row r="590" spans="2:2">
      <c r="B590" s="3"/>
    </row>
    <row r="591" spans="2:2">
      <c r="B591" s="3"/>
    </row>
    <row r="592" spans="2:2">
      <c r="B592" s="3"/>
    </row>
    <row r="593" spans="2:2">
      <c r="B593" s="3"/>
    </row>
    <row r="594" spans="2:2">
      <c r="B594" s="3"/>
    </row>
    <row r="595" spans="2:2">
      <c r="B595" s="3"/>
    </row>
    <row r="596" spans="2:2">
      <c r="B596" s="3"/>
    </row>
    <row r="597" spans="2:2">
      <c r="B597" s="3"/>
    </row>
    <row r="598" spans="2:2">
      <c r="B598" s="3"/>
    </row>
    <row r="599" spans="2:2">
      <c r="B599" s="3"/>
    </row>
    <row r="600" spans="2:2">
      <c r="B600" s="3"/>
    </row>
    <row r="601" spans="2:2">
      <c r="B601" s="3"/>
    </row>
    <row r="602" spans="2:2">
      <c r="B602" s="3"/>
    </row>
    <row r="603" spans="2:2">
      <c r="B603" s="3"/>
    </row>
    <row r="604" spans="2:2">
      <c r="B604" s="3"/>
    </row>
    <row r="605" spans="2:2">
      <c r="B605" s="3"/>
    </row>
    <row r="606" spans="2:2">
      <c r="B606" s="3"/>
    </row>
    <row r="607" spans="2:2">
      <c r="B607" s="3"/>
    </row>
    <row r="608" spans="2:2">
      <c r="B608" s="3"/>
    </row>
    <row r="609" spans="2:2">
      <c r="B609" s="3"/>
    </row>
    <row r="610" spans="2:2">
      <c r="B610" s="3"/>
    </row>
    <row r="611" spans="2:2">
      <c r="B611" s="3"/>
    </row>
    <row r="612" spans="2:2">
      <c r="B612" s="3"/>
    </row>
    <row r="613" spans="2:2">
      <c r="B613" s="3"/>
    </row>
    <row r="614" spans="2:2">
      <c r="B614" s="3"/>
    </row>
    <row r="615" spans="2:2">
      <c r="B615" s="3"/>
    </row>
    <row r="616" spans="2:2">
      <c r="B616" s="3"/>
    </row>
    <row r="617" spans="2:2">
      <c r="B617" s="3"/>
    </row>
    <row r="618" spans="2:2">
      <c r="B618" s="3"/>
    </row>
    <row r="619" spans="2:2">
      <c r="B619" s="3"/>
    </row>
    <row r="620" spans="2:2">
      <c r="B620" s="3"/>
    </row>
    <row r="621" spans="2:2">
      <c r="B621" s="3"/>
    </row>
    <row r="622" spans="2:2">
      <c r="B622" s="3"/>
    </row>
    <row r="623" spans="2:2">
      <c r="B623" s="3"/>
    </row>
    <row r="624" spans="2:2">
      <c r="B624" s="3"/>
    </row>
    <row r="625" spans="2:2">
      <c r="B625" s="3"/>
    </row>
    <row r="626" spans="2:2">
      <c r="B626" s="3"/>
    </row>
    <row r="627" spans="2:2">
      <c r="B627" s="3"/>
    </row>
    <row r="628" spans="2:2">
      <c r="B628" s="3"/>
    </row>
    <row r="629" spans="2:2">
      <c r="B629" s="3"/>
    </row>
    <row r="630" spans="2:2">
      <c r="B630" s="3"/>
    </row>
    <row r="631" spans="2:2">
      <c r="B631" s="3"/>
    </row>
    <row r="632" spans="2:2">
      <c r="B632" s="3"/>
    </row>
    <row r="633" spans="2:2">
      <c r="B633" s="3"/>
    </row>
    <row r="634" spans="2:2">
      <c r="B634" s="3"/>
    </row>
    <row r="635" spans="2:2">
      <c r="B635" s="3"/>
    </row>
    <row r="636" spans="2:2">
      <c r="B636" s="3"/>
    </row>
    <row r="637" spans="2:2">
      <c r="B637" s="3"/>
    </row>
    <row r="638" spans="2:2">
      <c r="B638" s="3"/>
    </row>
    <row r="639" spans="2:2">
      <c r="B639" s="3"/>
    </row>
    <row r="640" spans="2:2">
      <c r="B640" s="3"/>
    </row>
    <row r="641" spans="2:2">
      <c r="B641" s="3"/>
    </row>
    <row r="642" spans="2:2">
      <c r="B642" s="3"/>
    </row>
    <row r="643" spans="2:2">
      <c r="B643" s="3"/>
    </row>
    <row r="644" spans="2:2">
      <c r="B644" s="3"/>
    </row>
    <row r="645" spans="2:2">
      <c r="B645" s="3"/>
    </row>
    <row r="646" spans="2:2">
      <c r="B646" s="3"/>
    </row>
    <row r="647" spans="2:2">
      <c r="B647" s="3"/>
    </row>
    <row r="648" spans="2:2">
      <c r="B648" s="3"/>
    </row>
    <row r="649" spans="2:2">
      <c r="B649" s="3"/>
    </row>
    <row r="650" spans="2:2">
      <c r="B650" s="3"/>
    </row>
    <row r="651" spans="2:2">
      <c r="B651" s="3"/>
    </row>
    <row r="652" spans="2:2">
      <c r="B652" s="3"/>
    </row>
    <row r="653" spans="2:2">
      <c r="B653" s="3"/>
    </row>
    <row r="654" spans="2:2">
      <c r="B654" s="3"/>
    </row>
    <row r="655" spans="2:2">
      <c r="B655" s="3"/>
    </row>
    <row r="656" spans="2:2">
      <c r="B656" s="3"/>
    </row>
    <row r="657" spans="2:2">
      <c r="B657" s="3"/>
    </row>
    <row r="658" spans="2:2">
      <c r="B658" s="3"/>
    </row>
    <row r="659" spans="2:2">
      <c r="B659" s="3"/>
    </row>
    <row r="660" spans="2:2">
      <c r="B660" s="3"/>
    </row>
    <row r="661" spans="2:2">
      <c r="B661" s="3"/>
    </row>
    <row r="662" spans="2:2">
      <c r="B662" s="3"/>
    </row>
    <row r="663" spans="2:2">
      <c r="B663" s="3"/>
    </row>
    <row r="664" spans="2:2">
      <c r="B664" s="3"/>
    </row>
    <row r="665" spans="2:2">
      <c r="B665" s="3"/>
    </row>
    <row r="666" spans="2:2">
      <c r="B666" s="3"/>
    </row>
    <row r="667" spans="2:2">
      <c r="B667" s="3"/>
    </row>
    <row r="668" spans="2:2">
      <c r="B668" s="3"/>
    </row>
    <row r="669" spans="2:2">
      <c r="B669" s="3"/>
    </row>
    <row r="670" spans="2:2">
      <c r="B670" s="3"/>
    </row>
    <row r="671" spans="2:2">
      <c r="B671" s="3"/>
    </row>
    <row r="672" spans="2:2">
      <c r="B672" s="3"/>
    </row>
    <row r="673" spans="2:2">
      <c r="B673" s="3"/>
    </row>
    <row r="674" spans="2:2">
      <c r="B674" s="3"/>
    </row>
    <row r="675" spans="2:2">
      <c r="B675" s="3"/>
    </row>
    <row r="676" spans="2:2">
      <c r="B676" s="3"/>
    </row>
    <row r="677" spans="2:2">
      <c r="B677" s="3"/>
    </row>
    <row r="678" spans="2:2">
      <c r="B678" s="3"/>
    </row>
    <row r="679" spans="2:2">
      <c r="B679" s="3"/>
    </row>
    <row r="680" spans="2:2">
      <c r="B680" s="3"/>
    </row>
    <row r="681" spans="2:2">
      <c r="B681" s="3"/>
    </row>
    <row r="682" spans="2:2">
      <c r="B682" s="3"/>
    </row>
    <row r="683" spans="2:2">
      <c r="B683" s="3"/>
    </row>
    <row r="684" spans="2:2">
      <c r="B684" s="3"/>
    </row>
    <row r="685" spans="2:2">
      <c r="B685" s="3"/>
    </row>
    <row r="686" spans="2:2">
      <c r="B686" s="3"/>
    </row>
    <row r="687" spans="2:2">
      <c r="B687" s="3"/>
    </row>
    <row r="688" spans="2:2">
      <c r="B688" s="3"/>
    </row>
    <row r="689" spans="2:2">
      <c r="B689" s="3"/>
    </row>
    <row r="690" spans="2:2">
      <c r="B690" s="3"/>
    </row>
    <row r="691" spans="2:2">
      <c r="B691" s="3"/>
    </row>
    <row r="692" spans="2:2">
      <c r="B692" s="3"/>
    </row>
    <row r="693" spans="2:2">
      <c r="B693" s="3"/>
    </row>
    <row r="694" spans="2:2">
      <c r="B694" s="3"/>
    </row>
    <row r="695" spans="2:2">
      <c r="B695" s="3"/>
    </row>
    <row r="696" spans="2:2">
      <c r="B696" s="3"/>
    </row>
    <row r="697" spans="2:2">
      <c r="B697" s="3"/>
    </row>
    <row r="698" spans="2:2">
      <c r="B698" s="3"/>
    </row>
    <row r="699" spans="2:2">
      <c r="B699" s="3"/>
    </row>
    <row r="700" spans="2:2">
      <c r="B700" s="3"/>
    </row>
    <row r="701" spans="2:2">
      <c r="B701" s="3"/>
    </row>
    <row r="702" spans="2:2">
      <c r="B702" s="3"/>
    </row>
    <row r="703" spans="2:2">
      <c r="B703" s="3"/>
    </row>
    <row r="704" spans="2:2">
      <c r="B704" s="3"/>
    </row>
    <row r="705" spans="2:2">
      <c r="B705" s="3"/>
    </row>
    <row r="706" spans="2:2">
      <c r="B706" s="3"/>
    </row>
    <row r="707" spans="2:2">
      <c r="B707" s="3"/>
    </row>
    <row r="708" spans="2:2">
      <c r="B708" s="3"/>
    </row>
    <row r="709" spans="2:2">
      <c r="B709" s="3"/>
    </row>
    <row r="710" spans="2:2">
      <c r="B710" s="3"/>
    </row>
    <row r="711" spans="2:2">
      <c r="B711" s="3"/>
    </row>
    <row r="712" spans="2:2">
      <c r="B712" s="3"/>
    </row>
    <row r="713" spans="2:2">
      <c r="B713" s="3"/>
    </row>
    <row r="714" spans="2:2">
      <c r="B714" s="3"/>
    </row>
    <row r="715" spans="2:2">
      <c r="B715" s="3"/>
    </row>
    <row r="716" spans="2:2">
      <c r="B716" s="3"/>
    </row>
    <row r="717" spans="2:2">
      <c r="B717" s="3"/>
    </row>
    <row r="718" spans="2:2">
      <c r="B718" s="3"/>
    </row>
    <row r="719" spans="2:2">
      <c r="B719" s="3"/>
    </row>
    <row r="720" spans="2:2">
      <c r="B720" s="3"/>
    </row>
    <row r="721" spans="2:2">
      <c r="B721" s="3"/>
    </row>
    <row r="722" spans="2:2">
      <c r="B722" s="3"/>
    </row>
    <row r="723" spans="2:2">
      <c r="B723" s="3"/>
    </row>
    <row r="724" spans="2:2">
      <c r="B724" s="3"/>
    </row>
    <row r="725" spans="2:2">
      <c r="B725" s="3"/>
    </row>
    <row r="726" spans="2:2">
      <c r="B726" s="3"/>
    </row>
    <row r="727" spans="2:2">
      <c r="B727" s="3"/>
    </row>
    <row r="728" spans="2:2">
      <c r="B728" s="3"/>
    </row>
    <row r="729" spans="2:2">
      <c r="B729" s="3"/>
    </row>
    <row r="730" spans="2:2">
      <c r="B730" s="3"/>
    </row>
    <row r="731" spans="2:2">
      <c r="B731" s="3"/>
    </row>
    <row r="732" spans="2:2">
      <c r="B732" s="3"/>
    </row>
    <row r="733" spans="2:2">
      <c r="B733" s="3"/>
    </row>
    <row r="734" spans="2:2">
      <c r="B734" s="3"/>
    </row>
    <row r="735" spans="2:2">
      <c r="B735" s="3"/>
    </row>
    <row r="736" spans="2:2">
      <c r="B736" s="3"/>
    </row>
    <row r="737" spans="2:2">
      <c r="B737" s="3"/>
    </row>
    <row r="738" spans="2:2">
      <c r="B738" s="3"/>
    </row>
    <row r="739" spans="2:2">
      <c r="B739" s="3"/>
    </row>
    <row r="740" spans="2:2">
      <c r="B740" s="3"/>
    </row>
    <row r="741" spans="2:2">
      <c r="B741" s="3"/>
    </row>
    <row r="742" spans="2:2">
      <c r="B742" s="3"/>
    </row>
    <row r="743" spans="2:2">
      <c r="B743" s="3"/>
    </row>
    <row r="744" spans="2:2">
      <c r="B744" s="3"/>
    </row>
    <row r="745" spans="2:2">
      <c r="B745" s="3"/>
    </row>
    <row r="746" spans="2:2">
      <c r="B746" s="3"/>
    </row>
    <row r="747" spans="2:2">
      <c r="B747" s="3"/>
    </row>
    <row r="748" spans="2:2">
      <c r="B748" s="3"/>
    </row>
    <row r="749" spans="2:2">
      <c r="B749" s="3"/>
    </row>
    <row r="750" spans="2:2">
      <c r="B750" s="3"/>
    </row>
    <row r="751" spans="2:2">
      <c r="B751" s="3"/>
    </row>
    <row r="752" spans="2:2">
      <c r="B752" s="3"/>
    </row>
    <row r="753" spans="2:2">
      <c r="B753" s="3"/>
    </row>
    <row r="754" spans="2:2">
      <c r="B754" s="3"/>
    </row>
    <row r="755" spans="2:2">
      <c r="B755" s="3"/>
    </row>
    <row r="756" spans="2:2">
      <c r="B756" s="3"/>
    </row>
    <row r="757" spans="2:2">
      <c r="B757" s="3"/>
    </row>
    <row r="758" spans="2:2">
      <c r="B758" s="3"/>
    </row>
    <row r="759" spans="2:2">
      <c r="B759" s="3"/>
    </row>
    <row r="760" spans="2:2">
      <c r="B760" s="3"/>
    </row>
    <row r="761" spans="2:2">
      <c r="B761" s="3"/>
    </row>
    <row r="762" spans="2:2">
      <c r="B762" s="3"/>
    </row>
    <row r="763" spans="2:2">
      <c r="B763" s="3"/>
    </row>
    <row r="764" spans="2:2">
      <c r="B764" s="3"/>
    </row>
    <row r="765" spans="2:2">
      <c r="B765" s="3"/>
    </row>
    <row r="766" spans="2:2">
      <c r="B766" s="3"/>
    </row>
    <row r="767" spans="2:2">
      <c r="B767" s="3"/>
    </row>
    <row r="768" spans="2:2">
      <c r="B768" s="3"/>
    </row>
    <row r="769" spans="2:2">
      <c r="B769" s="3"/>
    </row>
    <row r="770" spans="2:2">
      <c r="B770" s="3"/>
    </row>
    <row r="771" spans="2:2">
      <c r="B771" s="3"/>
    </row>
    <row r="772" spans="2:2">
      <c r="B772" s="3"/>
    </row>
    <row r="773" spans="2:2">
      <c r="B773" s="3"/>
    </row>
    <row r="774" spans="2:2">
      <c r="B774" s="3"/>
    </row>
    <row r="775" spans="2:2">
      <c r="B775" s="3"/>
    </row>
    <row r="776" spans="2:2">
      <c r="B776" s="3"/>
    </row>
    <row r="777" spans="2:2">
      <c r="B777" s="3"/>
    </row>
    <row r="778" spans="2:2">
      <c r="B778" s="3"/>
    </row>
    <row r="779" spans="2:2">
      <c r="B779" s="3"/>
    </row>
    <row r="780" spans="2:2">
      <c r="B780" s="3"/>
    </row>
    <row r="781" spans="2:2">
      <c r="B781" s="3"/>
    </row>
    <row r="782" spans="2:2">
      <c r="B782" s="3"/>
    </row>
    <row r="783" spans="2:2">
      <c r="B783" s="3"/>
    </row>
    <row r="784" spans="2:2">
      <c r="B784" s="3"/>
    </row>
    <row r="785" spans="2:2">
      <c r="B785" s="3"/>
    </row>
    <row r="786" spans="2:2">
      <c r="B786" s="3"/>
    </row>
    <row r="787" spans="2:2">
      <c r="B787" s="3"/>
    </row>
    <row r="788" spans="2:2">
      <c r="B788" s="3"/>
    </row>
    <row r="789" spans="2:2">
      <c r="B789" s="3"/>
    </row>
    <row r="790" spans="2:2">
      <c r="B790" s="3"/>
    </row>
    <row r="791" spans="2:2">
      <c r="B791" s="3"/>
    </row>
    <row r="792" spans="2:2">
      <c r="B792" s="3"/>
    </row>
    <row r="793" spans="2:2">
      <c r="B793" s="3"/>
    </row>
    <row r="794" spans="2:2">
      <c r="B794" s="3"/>
    </row>
    <row r="795" spans="2:2">
      <c r="B795" s="3"/>
    </row>
    <row r="796" spans="2:2">
      <c r="B796" s="3"/>
    </row>
    <row r="797" spans="2:2">
      <c r="B797" s="3"/>
    </row>
    <row r="798" spans="2:2">
      <c r="B798" s="3"/>
    </row>
    <row r="799" spans="2:2">
      <c r="B799" s="3"/>
    </row>
    <row r="800" spans="2:2">
      <c r="B800" s="3"/>
    </row>
    <row r="801" spans="2:2">
      <c r="B801" s="3"/>
    </row>
    <row r="802" spans="2:2">
      <c r="B802" s="3"/>
    </row>
    <row r="803" spans="2:2">
      <c r="B803" s="3"/>
    </row>
    <row r="804" spans="2:2">
      <c r="B804" s="3"/>
    </row>
    <row r="805" spans="2:2">
      <c r="B805" s="3"/>
    </row>
    <row r="806" spans="2:2">
      <c r="B806" s="3"/>
    </row>
    <row r="807" spans="2:2">
      <c r="B807" s="3"/>
    </row>
    <row r="808" spans="2:2">
      <c r="B808" s="3"/>
    </row>
    <row r="809" spans="2:2">
      <c r="B809" s="3"/>
    </row>
    <row r="810" spans="2:2">
      <c r="B810" s="3"/>
    </row>
    <row r="811" spans="2:2">
      <c r="B811" s="3"/>
    </row>
    <row r="812" spans="2:2">
      <c r="B812" s="3"/>
    </row>
    <row r="813" spans="2:2">
      <c r="B813" s="3"/>
    </row>
    <row r="814" spans="2:2">
      <c r="B814" s="3"/>
    </row>
    <row r="815" spans="2:2">
      <c r="B815" s="3"/>
    </row>
    <row r="816" spans="2:2">
      <c r="B816" s="3"/>
    </row>
    <row r="817" spans="2:2">
      <c r="B817" s="3"/>
    </row>
    <row r="818" spans="2:2">
      <c r="B818" s="3"/>
    </row>
    <row r="819" spans="2:2">
      <c r="B819" s="3"/>
    </row>
    <row r="820" spans="2:2">
      <c r="B820" s="3"/>
    </row>
    <row r="821" spans="2:2">
      <c r="B821" s="3"/>
    </row>
    <row r="822" spans="2:2">
      <c r="B822" s="3"/>
    </row>
    <row r="823" spans="2:2">
      <c r="B823" s="3"/>
    </row>
    <row r="824" spans="2:2">
      <c r="B824" s="3"/>
    </row>
    <row r="825" spans="2:2">
      <c r="B825" s="3"/>
    </row>
    <row r="826" spans="2:2">
      <c r="B826" s="3"/>
    </row>
    <row r="827" spans="2:2">
      <c r="B827" s="3"/>
    </row>
    <row r="828" spans="2:2">
      <c r="B828" s="3"/>
    </row>
    <row r="829" spans="2:2">
      <c r="B829" s="3"/>
    </row>
    <row r="830" spans="2:2">
      <c r="B830" s="3"/>
    </row>
    <row r="831" spans="2:2">
      <c r="B831" s="3"/>
    </row>
    <row r="832" spans="2:2">
      <c r="B832" s="3"/>
    </row>
    <row r="833" spans="2:2">
      <c r="B833" s="3"/>
    </row>
    <row r="834" spans="2:2">
      <c r="B834" s="3"/>
    </row>
    <row r="835" spans="2:2">
      <c r="B835" s="3"/>
    </row>
    <row r="836" spans="2:2">
      <c r="B836" s="3"/>
    </row>
    <row r="837" spans="2:2">
      <c r="B837" s="3"/>
    </row>
    <row r="838" spans="2:2">
      <c r="B838" s="3"/>
    </row>
    <row r="839" spans="2:2">
      <c r="B839" s="3"/>
    </row>
    <row r="840" spans="2:2">
      <c r="B840" s="3"/>
    </row>
    <row r="841" spans="2:2">
      <c r="B841" s="3"/>
    </row>
    <row r="842" spans="2:2">
      <c r="B842" s="3"/>
    </row>
    <row r="843" spans="2:2">
      <c r="B843" s="3"/>
    </row>
    <row r="844" spans="2:2">
      <c r="B844" s="3"/>
    </row>
    <row r="845" spans="2:2">
      <c r="B845" s="3"/>
    </row>
    <row r="846" spans="2:2">
      <c r="B846" s="3"/>
    </row>
    <row r="847" spans="2:2">
      <c r="B847" s="3"/>
    </row>
    <row r="848" spans="2:2">
      <c r="B848" s="3"/>
    </row>
    <row r="849" spans="2:2">
      <c r="B849" s="3"/>
    </row>
    <row r="850" spans="2:2">
      <c r="B850" s="3"/>
    </row>
    <row r="851" spans="2:2">
      <c r="B851" s="3"/>
    </row>
    <row r="852" spans="2:2">
      <c r="B852" s="3"/>
    </row>
    <row r="853" spans="2:2">
      <c r="B853" s="3"/>
    </row>
    <row r="854" spans="2:2">
      <c r="B854" s="3"/>
    </row>
    <row r="855" spans="2:2">
      <c r="B855" s="3"/>
    </row>
    <row r="856" spans="2:2">
      <c r="B856" s="3"/>
    </row>
    <row r="857" spans="2:2">
      <c r="B857" s="3"/>
    </row>
    <row r="858" spans="2:2">
      <c r="B858" s="3"/>
    </row>
    <row r="859" spans="2:2">
      <c r="B859" s="3"/>
    </row>
    <row r="860" spans="2:2">
      <c r="B860" s="3"/>
    </row>
    <row r="861" spans="2:2">
      <c r="B861" s="3"/>
    </row>
    <row r="862" spans="2:2">
      <c r="B862" s="3"/>
    </row>
    <row r="863" spans="2:2">
      <c r="B863" s="3"/>
    </row>
    <row r="864" spans="2:2">
      <c r="B864" s="3"/>
    </row>
    <row r="865" spans="2:2">
      <c r="B865" s="3"/>
    </row>
    <row r="866" spans="2:2">
      <c r="B866" s="3"/>
    </row>
    <row r="867" spans="2:2">
      <c r="B867" s="3"/>
    </row>
    <row r="868" spans="2:2">
      <c r="B868" s="3"/>
    </row>
    <row r="869" spans="2:2">
      <c r="B869" s="3"/>
    </row>
    <row r="870" spans="2:2">
      <c r="B870" s="3"/>
    </row>
    <row r="871" spans="2:2">
      <c r="B871" s="3"/>
    </row>
    <row r="872" spans="2:2">
      <c r="B872" s="3"/>
    </row>
    <row r="873" spans="2:2">
      <c r="B873" s="3"/>
    </row>
    <row r="874" spans="2:2">
      <c r="B874" s="3"/>
    </row>
    <row r="875" spans="2:2">
      <c r="B875" s="3"/>
    </row>
    <row r="876" spans="2:2">
      <c r="B876" s="3"/>
    </row>
    <row r="877" spans="2:2">
      <c r="B877" s="3"/>
    </row>
    <row r="878" spans="2:2">
      <c r="B878" s="3"/>
    </row>
    <row r="879" spans="2:2">
      <c r="B879" s="3"/>
    </row>
    <row r="880" spans="2:2">
      <c r="B880" s="3"/>
    </row>
    <row r="881" spans="2:2">
      <c r="B881" s="3"/>
    </row>
    <row r="882" spans="2:2">
      <c r="B882" s="3"/>
    </row>
    <row r="883" spans="2:2">
      <c r="B883" s="3"/>
    </row>
    <row r="884" spans="2:2">
      <c r="B884" s="3"/>
    </row>
    <row r="885" spans="2:2">
      <c r="B885" s="3"/>
    </row>
    <row r="886" spans="2:2">
      <c r="B886" s="3"/>
    </row>
    <row r="887" spans="2:2">
      <c r="B887" s="3"/>
    </row>
    <row r="888" spans="2:2">
      <c r="B888" s="3"/>
    </row>
    <row r="889" spans="2:2">
      <c r="B889" s="3"/>
    </row>
    <row r="890" spans="2:2">
      <c r="B890" s="3"/>
    </row>
    <row r="891" spans="2:2">
      <c r="B891" s="3"/>
    </row>
    <row r="892" spans="2:2">
      <c r="B892" s="3"/>
    </row>
    <row r="893" spans="2:2">
      <c r="B893" s="3"/>
    </row>
    <row r="894" spans="2:2">
      <c r="B894" s="3"/>
    </row>
    <row r="895" spans="2:2">
      <c r="B895" s="3"/>
    </row>
    <row r="896" spans="2:2">
      <c r="B896" s="3"/>
    </row>
    <row r="897" spans="2:2">
      <c r="B897" s="3"/>
    </row>
    <row r="898" spans="2:2">
      <c r="B898" s="3"/>
    </row>
    <row r="899" spans="2:2">
      <c r="B899" s="3"/>
    </row>
    <row r="900" spans="2:2">
      <c r="B900" s="3"/>
    </row>
    <row r="901" spans="2:2">
      <c r="B901" s="3"/>
    </row>
    <row r="902" spans="2:2">
      <c r="B902" s="3"/>
    </row>
    <row r="903" spans="2:2">
      <c r="B903" s="3"/>
    </row>
    <row r="904" spans="2:2">
      <c r="B904" s="3"/>
    </row>
    <row r="905" spans="2:2">
      <c r="B905" s="3"/>
    </row>
    <row r="906" spans="2:2">
      <c r="B906" s="3"/>
    </row>
    <row r="907" spans="2:2">
      <c r="B907" s="3"/>
    </row>
    <row r="908" spans="2:2">
      <c r="B908" s="3"/>
    </row>
    <row r="909" spans="2:2">
      <c r="B909" s="3"/>
    </row>
    <row r="910" spans="2:2">
      <c r="B910" s="3"/>
    </row>
    <row r="911" spans="2:2">
      <c r="B911" s="3"/>
    </row>
    <row r="912" spans="2:2">
      <c r="B912" s="3"/>
    </row>
    <row r="913" spans="2:2">
      <c r="B913" s="3"/>
    </row>
    <row r="914" spans="2:2">
      <c r="B914" s="3"/>
    </row>
    <row r="915" spans="2:2">
      <c r="B915" s="3"/>
    </row>
    <row r="916" spans="2:2">
      <c r="B916" s="3"/>
    </row>
    <row r="917" spans="2:2">
      <c r="B917" s="3"/>
    </row>
    <row r="918" spans="2:2">
      <c r="B918" s="3"/>
    </row>
    <row r="919" spans="2:2">
      <c r="B919" s="3"/>
    </row>
    <row r="920" spans="2:2">
      <c r="B920" s="3"/>
    </row>
    <row r="921" spans="2:2">
      <c r="B921" s="3"/>
    </row>
    <row r="922" spans="2:2">
      <c r="B922" s="3"/>
    </row>
    <row r="923" spans="2:2">
      <c r="B923" s="3"/>
    </row>
    <row r="924" spans="2:2">
      <c r="B924" s="3"/>
    </row>
    <row r="925" spans="2:2">
      <c r="B925" s="3"/>
    </row>
    <row r="926" spans="2:2">
      <c r="B926" s="3"/>
    </row>
    <row r="927" spans="2:2">
      <c r="B927" s="3"/>
    </row>
    <row r="928" spans="2:2">
      <c r="B928" s="3"/>
    </row>
    <row r="929" spans="2:2">
      <c r="B929" s="3"/>
    </row>
    <row r="930" spans="2:2">
      <c r="B930" s="3"/>
    </row>
    <row r="931" spans="2:2">
      <c r="B931" s="3"/>
    </row>
    <row r="932" spans="2:2">
      <c r="B932" s="3"/>
    </row>
    <row r="933" spans="2:2">
      <c r="B933" s="3"/>
    </row>
    <row r="934" spans="2:2">
      <c r="B934" s="3"/>
    </row>
    <row r="935" spans="2:2">
      <c r="B935" s="3"/>
    </row>
    <row r="936" spans="2:2">
      <c r="B936" s="3"/>
    </row>
    <row r="937" spans="2:2">
      <c r="B937" s="3"/>
    </row>
    <row r="938" spans="2:2">
      <c r="B938" s="3"/>
    </row>
    <row r="939" spans="2:2">
      <c r="B939" s="3"/>
    </row>
    <row r="940" spans="2:2">
      <c r="B940" s="3"/>
    </row>
    <row r="941" spans="2:2">
      <c r="B941" s="3"/>
    </row>
    <row r="942" spans="2:2">
      <c r="B942" s="3"/>
    </row>
    <row r="943" spans="2:2">
      <c r="B943" s="3"/>
    </row>
    <row r="944" spans="2:2">
      <c r="B944" s="3"/>
    </row>
    <row r="945" spans="2:2">
      <c r="B945" s="3"/>
    </row>
    <row r="946" spans="2:2">
      <c r="B946" s="3"/>
    </row>
    <row r="947" spans="2:2">
      <c r="B947" s="3"/>
    </row>
    <row r="948" spans="2:2">
      <c r="B948" s="3"/>
    </row>
    <row r="949" spans="2:2">
      <c r="B949" s="3"/>
    </row>
    <row r="950" spans="2:2">
      <c r="B950" s="3"/>
    </row>
    <row r="951" spans="2:2">
      <c r="B951" s="3"/>
    </row>
    <row r="952" spans="2:2">
      <c r="B952" s="3"/>
    </row>
    <row r="953" spans="2:2">
      <c r="B953" s="3"/>
    </row>
    <row r="954" spans="2:2">
      <c r="B954" s="3"/>
    </row>
    <row r="955" spans="2:2">
      <c r="B955" s="3"/>
    </row>
    <row r="956" spans="2:2">
      <c r="B956" s="3"/>
    </row>
    <row r="957" spans="2:2">
      <c r="B957" s="3"/>
    </row>
    <row r="958" spans="2:2">
      <c r="B958" s="3"/>
    </row>
    <row r="959" spans="2:2">
      <c r="B959" s="3"/>
    </row>
    <row r="960" spans="2:2">
      <c r="B960" s="3"/>
    </row>
    <row r="961" spans="2:2">
      <c r="B961" s="3"/>
    </row>
    <row r="962" spans="2:2">
      <c r="B962" s="3"/>
    </row>
    <row r="963" spans="2:2">
      <c r="B963" s="3"/>
    </row>
    <row r="964" spans="2:2">
      <c r="B964" s="3"/>
    </row>
    <row r="965" spans="2:2">
      <c r="B965" s="3"/>
    </row>
    <row r="966" spans="2:2">
      <c r="B966" s="3"/>
    </row>
    <row r="967" spans="2:2">
      <c r="B967" s="3"/>
    </row>
    <row r="968" spans="2:2">
      <c r="B968" s="3"/>
    </row>
    <row r="969" spans="2:2">
      <c r="B969" s="3"/>
    </row>
    <row r="970" spans="2:2">
      <c r="B970" s="3"/>
    </row>
    <row r="971" spans="2:2">
      <c r="B971" s="3"/>
    </row>
    <row r="972" spans="2:2">
      <c r="B972" s="3"/>
    </row>
    <row r="973" spans="2:2">
      <c r="B973" s="3"/>
    </row>
    <row r="974" spans="2:2">
      <c r="B974" s="3"/>
    </row>
    <row r="975" spans="2:2">
      <c r="B975" s="3"/>
    </row>
    <row r="976" spans="2:2">
      <c r="B976" s="3"/>
    </row>
    <row r="977" spans="2:2">
      <c r="B977" s="3"/>
    </row>
    <row r="978" spans="2:2">
      <c r="B978" s="3"/>
    </row>
    <row r="979" spans="2:2">
      <c r="B979" s="3"/>
    </row>
    <row r="980" spans="2:2">
      <c r="B980" s="3"/>
    </row>
    <row r="981" spans="2:2">
      <c r="B981" s="3"/>
    </row>
    <row r="982" spans="2:2">
      <c r="B982" s="3"/>
    </row>
    <row r="983" spans="2:2">
      <c r="B983" s="3"/>
    </row>
    <row r="984" spans="2:2">
      <c r="B984" s="3"/>
    </row>
    <row r="985" spans="2:2">
      <c r="B985" s="3"/>
    </row>
    <row r="986" spans="2:2">
      <c r="B986" s="3"/>
    </row>
    <row r="987" spans="2:2">
      <c r="B987" s="3"/>
    </row>
    <row r="988" spans="2:2">
      <c r="B988" s="3"/>
    </row>
    <row r="989" spans="2:2">
      <c r="B989" s="3"/>
    </row>
    <row r="990" spans="2:2">
      <c r="B990" s="3"/>
    </row>
    <row r="991" spans="2:2">
      <c r="B991" s="3"/>
    </row>
    <row r="992" spans="2:2">
      <c r="B992" s="3"/>
    </row>
    <row r="993" spans="2:2">
      <c r="B993" s="3"/>
    </row>
    <row r="994" spans="2:2">
      <c r="B994" s="3"/>
    </row>
    <row r="995" spans="2:2">
      <c r="B995" s="3"/>
    </row>
    <row r="996" spans="2:2">
      <c r="B996" s="3"/>
    </row>
    <row r="997" spans="2:2">
      <c r="B997" s="3"/>
    </row>
    <row r="998" spans="2:2">
      <c r="B998" s="3"/>
    </row>
    <row r="999" spans="2:2">
      <c r="B999" s="3"/>
    </row>
    <row r="1000" spans="2:2">
      <c r="B1000" s="3"/>
    </row>
    <row r="1001" spans="2:2">
      <c r="B1001" s="3"/>
    </row>
    <row r="1002" spans="2:2">
      <c r="B1002" s="3"/>
    </row>
    <row r="1003" spans="2:2">
      <c r="B1003" s="3"/>
    </row>
    <row r="1004" spans="2:2">
      <c r="B1004" s="3"/>
    </row>
    <row r="1005" spans="2:2">
      <c r="B1005" s="3"/>
    </row>
    <row r="1006" spans="2:2">
      <c r="B1006" s="3"/>
    </row>
    <row r="1007" spans="2:2">
      <c r="B1007" s="3"/>
    </row>
    <row r="1008" spans="2:2">
      <c r="B1008" s="3"/>
    </row>
    <row r="1009" spans="2:2">
      <c r="B1009" s="3"/>
    </row>
    <row r="1010" spans="2:2">
      <c r="B1010" s="3"/>
    </row>
    <row r="1011" spans="2:2">
      <c r="B1011" s="3"/>
    </row>
    <row r="1012" spans="2:2">
      <c r="B1012" s="3"/>
    </row>
    <row r="1013" spans="2:2">
      <c r="B1013" s="3"/>
    </row>
    <row r="1014" spans="2:2">
      <c r="B1014" s="3"/>
    </row>
    <row r="1015" spans="2:2">
      <c r="B1015" s="3"/>
    </row>
    <row r="1016" spans="2:2">
      <c r="B1016" s="3"/>
    </row>
    <row r="1017" spans="2:2">
      <c r="B1017" s="3"/>
    </row>
    <row r="1018" spans="2:2">
      <c r="B1018" s="3"/>
    </row>
    <row r="1019" spans="2:2">
      <c r="B1019" s="3"/>
    </row>
    <row r="1020" spans="2:2">
      <c r="B1020" s="3"/>
    </row>
    <row r="1021" spans="2:2">
      <c r="B1021" s="3"/>
    </row>
    <row r="1022" spans="2:2">
      <c r="B1022" s="3"/>
    </row>
    <row r="1023" spans="2:2">
      <c r="B1023" s="3"/>
    </row>
    <row r="1024" spans="2:2">
      <c r="B1024" s="3"/>
    </row>
    <row r="1025" spans="2:2">
      <c r="B1025" s="3"/>
    </row>
    <row r="1026" spans="2:2">
      <c r="B1026" s="3"/>
    </row>
    <row r="1027" spans="2:2">
      <c r="B1027" s="3"/>
    </row>
    <row r="1028" spans="2:2">
      <c r="B1028" s="3"/>
    </row>
    <row r="1029" spans="2:2">
      <c r="B1029" s="3"/>
    </row>
    <row r="1030" spans="2:2">
      <c r="B1030" s="3"/>
    </row>
    <row r="1031" spans="2:2">
      <c r="B1031" s="3"/>
    </row>
    <row r="1032" spans="2:2">
      <c r="B1032" s="3"/>
    </row>
    <row r="1033" spans="2:2">
      <c r="B1033" s="3"/>
    </row>
    <row r="1034" spans="2:2">
      <c r="B1034" s="3"/>
    </row>
    <row r="1035" spans="2:2">
      <c r="B1035" s="3"/>
    </row>
    <row r="1036" spans="2:2">
      <c r="B1036" s="3"/>
    </row>
    <row r="1037" spans="2:2">
      <c r="B1037" s="3"/>
    </row>
    <row r="1038" spans="2:2">
      <c r="B1038" s="3"/>
    </row>
    <row r="1039" spans="2:2">
      <c r="B1039" s="3"/>
    </row>
    <row r="1040" spans="2:2">
      <c r="B1040" s="3"/>
    </row>
    <row r="1041" spans="2:2">
      <c r="B1041" s="3"/>
    </row>
    <row r="1042" spans="2:2">
      <c r="B1042" s="3"/>
    </row>
    <row r="1043" spans="2:2">
      <c r="B1043" s="3"/>
    </row>
    <row r="1044" spans="2:2">
      <c r="B1044" s="3"/>
    </row>
    <row r="1045" spans="2:2">
      <c r="B1045" s="3"/>
    </row>
    <row r="1046" spans="2:2">
      <c r="B1046" s="3"/>
    </row>
    <row r="1047" spans="2:2">
      <c r="B1047" s="3"/>
    </row>
    <row r="1048" spans="2:2">
      <c r="B1048" s="3"/>
    </row>
    <row r="1049" spans="2:2">
      <c r="B1049" s="3"/>
    </row>
    <row r="1050" spans="2:2">
      <c r="B1050" s="3"/>
    </row>
    <row r="1051" spans="2:2">
      <c r="B1051" s="3"/>
    </row>
    <row r="1052" spans="2:2">
      <c r="B1052" s="3"/>
    </row>
    <row r="1053" spans="2:2">
      <c r="B1053" s="3"/>
    </row>
    <row r="1054" spans="2:2">
      <c r="B1054" s="3"/>
    </row>
    <row r="1055" spans="2:2">
      <c r="B1055" s="3"/>
    </row>
    <row r="1056" spans="2:2">
      <c r="B1056" s="3"/>
    </row>
    <row r="1057" spans="2:2">
      <c r="B1057" s="3"/>
    </row>
    <row r="1058" spans="2:2">
      <c r="B1058" s="3"/>
    </row>
    <row r="1059" spans="2:2">
      <c r="B1059" s="3"/>
    </row>
    <row r="1060" spans="2:2">
      <c r="B1060" s="3"/>
    </row>
    <row r="1061" spans="2:2">
      <c r="B1061" s="3"/>
    </row>
    <row r="1062" spans="2:2">
      <c r="B1062" s="3"/>
    </row>
    <row r="1063" spans="2:2">
      <c r="B1063" s="3"/>
    </row>
    <row r="1064" spans="2:2">
      <c r="B1064" s="3"/>
    </row>
    <row r="1065" spans="2:2">
      <c r="B1065" s="3"/>
    </row>
    <row r="1066" spans="2:2">
      <c r="B1066" s="3"/>
    </row>
    <row r="1067" spans="2:2">
      <c r="B1067" s="3"/>
    </row>
    <row r="1068" spans="2:2">
      <c r="B1068" s="3"/>
    </row>
    <row r="1069" spans="2:2">
      <c r="B1069" s="3"/>
    </row>
    <row r="1070" spans="2:2">
      <c r="B1070" s="3"/>
    </row>
    <row r="1071" spans="2:2">
      <c r="B1071" s="3"/>
    </row>
    <row r="1072" spans="2:2">
      <c r="B1072" s="3"/>
    </row>
    <row r="1073" spans="2:2">
      <c r="B1073" s="3"/>
    </row>
    <row r="1074" spans="2:2">
      <c r="B1074" s="3"/>
    </row>
    <row r="1075" spans="2:2">
      <c r="B1075" s="3"/>
    </row>
    <row r="1076" spans="2:2">
      <c r="B1076" s="3"/>
    </row>
    <row r="1077" spans="2:2">
      <c r="B1077" s="3"/>
    </row>
    <row r="1078" spans="2:2">
      <c r="B1078" s="3"/>
    </row>
    <row r="1079" spans="2:2">
      <c r="B1079" s="3"/>
    </row>
    <row r="1080" spans="2:2">
      <c r="B1080" s="3"/>
    </row>
    <row r="1081" spans="2:2">
      <c r="B1081" s="3"/>
    </row>
    <row r="1082" spans="2:2">
      <c r="B1082" s="3"/>
    </row>
    <row r="1083" spans="2:2">
      <c r="B1083" s="3"/>
    </row>
    <row r="1084" spans="2:2">
      <c r="B1084" s="3"/>
    </row>
    <row r="1085" spans="2:2">
      <c r="B1085" s="3"/>
    </row>
    <row r="1086" spans="2:2">
      <c r="B1086" s="3"/>
    </row>
    <row r="1087" spans="2:2">
      <c r="B1087" s="3"/>
    </row>
    <row r="1088" spans="2:2">
      <c r="B1088" s="3"/>
    </row>
    <row r="1089" spans="2:2">
      <c r="B1089" s="3"/>
    </row>
    <row r="1090" spans="2:2">
      <c r="B1090" s="3"/>
    </row>
    <row r="1091" spans="2:2">
      <c r="B1091" s="3"/>
    </row>
    <row r="1092" spans="2:2">
      <c r="B1092" s="3"/>
    </row>
    <row r="1093" spans="2:2">
      <c r="B1093" s="3"/>
    </row>
    <row r="1094" spans="2:2">
      <c r="B1094" s="3"/>
    </row>
    <row r="1095" spans="2:2">
      <c r="B1095" s="3"/>
    </row>
    <row r="1096" spans="2:2">
      <c r="B1096" s="3"/>
    </row>
    <row r="1097" spans="2:2">
      <c r="B1097" s="3"/>
    </row>
    <row r="1098" spans="2:2">
      <c r="B1098" s="3"/>
    </row>
    <row r="1099" spans="2:2">
      <c r="B1099" s="3"/>
    </row>
    <row r="1100" spans="2:2">
      <c r="B1100" s="3"/>
    </row>
    <row r="1101" spans="2:2">
      <c r="B1101" s="3"/>
    </row>
    <row r="1102" spans="2:2">
      <c r="B1102" s="3"/>
    </row>
    <row r="1103" spans="2:2">
      <c r="B1103" s="3"/>
    </row>
    <row r="1104" spans="2:2">
      <c r="B1104" s="3"/>
    </row>
    <row r="1105" spans="2:2">
      <c r="B1105" s="3"/>
    </row>
    <row r="1106" spans="2:2">
      <c r="B1106" s="3"/>
    </row>
    <row r="1107" spans="2:2">
      <c r="B1107" s="3"/>
    </row>
    <row r="1108" spans="2:2">
      <c r="B1108" s="3"/>
    </row>
    <row r="1109" spans="2:2">
      <c r="B1109" s="3"/>
    </row>
    <row r="1110" spans="2:2">
      <c r="B1110" s="3"/>
    </row>
    <row r="1111" spans="2:2">
      <c r="B1111" s="3"/>
    </row>
    <row r="1112" spans="2:2">
      <c r="B1112" s="3"/>
    </row>
    <row r="1113" spans="2:2">
      <c r="B1113" s="3"/>
    </row>
    <row r="1114" spans="2:2">
      <c r="B1114" s="3"/>
    </row>
    <row r="1115" spans="2:2">
      <c r="B1115" s="3"/>
    </row>
    <row r="1116" spans="2:2">
      <c r="B1116" s="3"/>
    </row>
    <row r="1117" spans="2:2">
      <c r="B1117" s="3"/>
    </row>
    <row r="1118" spans="2:2">
      <c r="B1118" s="3"/>
    </row>
    <row r="1119" spans="2:2">
      <c r="B1119" s="3"/>
    </row>
    <row r="1120" spans="2:2">
      <c r="B1120" s="3"/>
    </row>
    <row r="1121" spans="2:2">
      <c r="B1121" s="3"/>
    </row>
    <row r="1122" spans="2:2">
      <c r="B1122" s="3"/>
    </row>
    <row r="1123" spans="2:2">
      <c r="B1123" s="3"/>
    </row>
    <row r="1124" spans="2:2">
      <c r="B1124" s="3"/>
    </row>
    <row r="1125" spans="2:2">
      <c r="B1125" s="3"/>
    </row>
    <row r="1126" spans="2:2">
      <c r="B1126" s="3"/>
    </row>
    <row r="1127" spans="2:2">
      <c r="B1127" s="3"/>
    </row>
    <row r="1128" spans="2:2">
      <c r="B1128" s="3"/>
    </row>
    <row r="1129" spans="2:2">
      <c r="B1129" s="3"/>
    </row>
    <row r="1130" spans="2:2">
      <c r="B1130" s="3"/>
    </row>
    <row r="1131" spans="2:2">
      <c r="B1131" s="3"/>
    </row>
    <row r="1132" spans="2:2">
      <c r="B1132" s="3"/>
    </row>
    <row r="1133" spans="2:2">
      <c r="B1133" s="3"/>
    </row>
    <row r="1134" spans="2:2">
      <c r="B1134" s="3"/>
    </row>
    <row r="1135" spans="2:2">
      <c r="B1135" s="3"/>
    </row>
    <row r="1136" spans="2:2">
      <c r="B1136" s="3"/>
    </row>
    <row r="1137" spans="1:2">
      <c r="B1137" s="3"/>
    </row>
    <row r="1138" spans="1:2">
      <c r="B1138" s="3"/>
    </row>
    <row r="1139" spans="1:2">
      <c r="B1139" s="3"/>
    </row>
    <row r="1140" spans="1:2">
      <c r="A1140" s="1" t="str">
        <f t="array" ref="A1140">IF(ISERROR(INDEX(List,MATCH(0,COUNTIF(List,"&lt;"&amp;List)-SUM(COUNTIF(List,$A$329:A1139)),0))),"",INDEX(List,MATCH(0,COUNTIF(List,"&lt;"&amp;List)-SUM(COUNTIF(List,$A$329:A1139),0))))</f>
        <v>[Account (Name)]</v>
      </c>
      <c r="B1140" s="3">
        <f>IF(A1140="","",MAX(B$329:B1139)+1)</f>
        <v>1</v>
      </c>
    </row>
    <row r="1141" spans="1:2">
      <c r="A1141" s="1" t="str">
        <f t="array" ref="A1141">IF(ISERROR(INDEX(List,MATCH(0,COUNTIF(List,"&lt;"&amp;List)-SUM(COUNTIF(List,$A$329:A1140)),0))),"",INDEX(List,MATCH(0,COUNTIF(List,"&lt;"&amp;List)-SUM(COUNTIF(List,$A$329:A1140),0))))</f>
        <v>[Account (Name)]</v>
      </c>
      <c r="B1141" s="3">
        <f>IF(A1141="","",MAX(B$329:B1140)+1)</f>
        <v>2</v>
      </c>
    </row>
    <row r="1142" spans="1:2">
      <c r="A1142" s="1" t="str">
        <f t="array" ref="A1142">IF(ISERROR(INDEX(List,MATCH(0,COUNTIF(List,"&lt;"&amp;List)-SUM(COUNTIF(List,$A$329:A1141)),0))),"",INDEX(List,MATCH(0,COUNTIF(List,"&lt;"&amp;List)-SUM(COUNTIF(List,$A$329:A1141),0))))</f>
        <v>[Account (Name)]</v>
      </c>
      <c r="B1142" s="3">
        <f>IF(A1142="","",MAX(B$329:B1141)+1)</f>
        <v>3</v>
      </c>
    </row>
    <row r="1143" spans="1:2">
      <c r="A1143" s="1" t="str">
        <f t="array" ref="A1143">IF(ISERROR(INDEX(List,MATCH(0,COUNTIF(List,"&lt;"&amp;List)-SUM(COUNTIF(List,$A$329:A1142)),0))),"",INDEX(List,MATCH(0,COUNTIF(List,"&lt;"&amp;List)-SUM(COUNTIF(List,$A$329:A1142),0))))</f>
        <v/>
      </c>
      <c r="B1143" s="3" t="str">
        <f>IF(A1143="","",MAX(B$329:B1142)+1)</f>
        <v/>
      </c>
    </row>
  </sheetData>
  <sheetProtection selectLockedCells="1" selectUnlockedCells="1"/>
  <mergeCells count="2">
    <mergeCell ref="A1:D1"/>
    <mergeCell ref="A40:D40"/>
  </mergeCells>
  <dataValidations count="1">
    <dataValidation type="custom" allowBlank="1" showInputMessage="1" showErrorMessage="1" errorTitle="X-Author for Excel" error="Id and Lookup fields are not editable." promptTitle="X-Author for Excel" sqref="D42:D326 D3:E33" xr:uid="{00000000-0002-0000-1000-000000000000}">
      <formula1>""</formula1>
    </dataValidation>
  </dataValidation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8"/>
  <dimension ref="A1:BB30"/>
  <sheetViews>
    <sheetView workbookViewId="0"/>
  </sheetViews>
  <sheetFormatPr defaultRowHeight="15.75"/>
  <sheetData>
    <row r="1" spans="1:54">
      <c r="A1" s="4" t="s">
        <v>7259</v>
      </c>
      <c r="B1" t="s">
        <v>7260</v>
      </c>
      <c r="Y1" t="s">
        <v>7261</v>
      </c>
      <c r="Z1" t="s">
        <v>7262</v>
      </c>
      <c r="AA1" t="s">
        <v>7263</v>
      </c>
      <c r="AB1" t="s">
        <v>7264</v>
      </c>
      <c r="AC1" t="s">
        <v>7265</v>
      </c>
      <c r="AD1" t="s">
        <v>7266</v>
      </c>
      <c r="AE1" t="s">
        <v>7267</v>
      </c>
      <c r="AF1" t="s">
        <v>7268</v>
      </c>
      <c r="AG1" t="s">
        <v>7269</v>
      </c>
      <c r="AH1" t="s">
        <v>7270</v>
      </c>
      <c r="AI1" t="s">
        <v>7271</v>
      </c>
      <c r="AJ1" t="s">
        <v>7272</v>
      </c>
      <c r="AK1" t="s">
        <v>7273</v>
      </c>
      <c r="AL1" t="s">
        <v>7274</v>
      </c>
      <c r="AM1" t="s">
        <v>7275</v>
      </c>
      <c r="AN1" t="s">
        <v>7276</v>
      </c>
      <c r="AO1" t="s">
        <v>7277</v>
      </c>
      <c r="AP1" t="s">
        <v>7278</v>
      </c>
      <c r="AQ1" t="s">
        <v>7279</v>
      </c>
      <c r="AR1" t="s">
        <v>7280</v>
      </c>
      <c r="AS1" t="s">
        <v>7281</v>
      </c>
      <c r="AT1" t="s">
        <v>7282</v>
      </c>
      <c r="AU1" t="s">
        <v>7283</v>
      </c>
      <c r="AV1" t="s">
        <v>7284</v>
      </c>
      <c r="AW1" t="s">
        <v>7285</v>
      </c>
      <c r="AX1" t="s">
        <v>7286</v>
      </c>
      <c r="AY1" t="s">
        <v>7287</v>
      </c>
      <c r="AZ1" t="s">
        <v>7288</v>
      </c>
      <c r="BA1" t="s">
        <v>7289</v>
      </c>
      <c r="BB1" t="s">
        <v>7290</v>
      </c>
    </row>
    <row r="2" spans="1:54">
      <c r="Y2" s="13" t="s">
        <v>7291</v>
      </c>
      <c r="Z2" s="13" t="s">
        <v>7292</v>
      </c>
      <c r="AA2" s="13" t="s">
        <v>7293</v>
      </c>
      <c r="AB2" s="13" t="s">
        <v>7294</v>
      </c>
      <c r="AC2" s="13" t="s">
        <v>7295</v>
      </c>
      <c r="AD2" s="13" t="s">
        <v>7296</v>
      </c>
      <c r="AE2" s="13" t="s">
        <v>2212</v>
      </c>
      <c r="AF2" s="13" t="s">
        <v>665</v>
      </c>
      <c r="AG2" s="13" t="s">
        <v>7296</v>
      </c>
      <c r="AH2" s="13" t="s">
        <v>7296</v>
      </c>
      <c r="AI2" s="13" t="s">
        <v>7296</v>
      </c>
      <c r="AJ2" s="13" t="s">
        <v>665</v>
      </c>
      <c r="AK2" s="13" t="s">
        <v>7296</v>
      </c>
      <c r="AL2" s="13" t="s">
        <v>7296</v>
      </c>
      <c r="AM2" s="13" t="s">
        <v>7296</v>
      </c>
      <c r="AN2" s="13" t="s">
        <v>7296</v>
      </c>
      <c r="AO2" s="13" t="s">
        <v>665</v>
      </c>
      <c r="AP2" s="13" t="s">
        <v>7297</v>
      </c>
      <c r="AQ2" s="13" t="s">
        <v>7298</v>
      </c>
      <c r="AR2" s="13" t="s">
        <v>650</v>
      </c>
      <c r="AS2" s="13" t="s">
        <v>650</v>
      </c>
      <c r="AT2" s="13" t="s">
        <v>650</v>
      </c>
      <c r="AU2" s="13" t="s">
        <v>650</v>
      </c>
      <c r="AV2" s="13" t="s">
        <v>650</v>
      </c>
      <c r="AW2" s="13" t="s">
        <v>650</v>
      </c>
      <c r="AX2" s="13" t="s">
        <v>650</v>
      </c>
      <c r="AY2" s="13" t="s">
        <v>7298</v>
      </c>
      <c r="AZ2" s="13" t="s">
        <v>7298</v>
      </c>
      <c r="BA2" s="13" t="s">
        <v>7298</v>
      </c>
      <c r="BB2" s="13" t="s">
        <v>7298</v>
      </c>
    </row>
    <row r="3" spans="1:54">
      <c r="Y3" s="13" t="s">
        <v>7299</v>
      </c>
      <c r="Z3" s="13" t="s">
        <v>7300</v>
      </c>
      <c r="AB3" s="13" t="s">
        <v>7301</v>
      </c>
      <c r="AC3" s="13" t="s">
        <v>7302</v>
      </c>
      <c r="AD3" s="13" t="s">
        <v>7303</v>
      </c>
      <c r="AE3" s="13" t="s">
        <v>5034</v>
      </c>
      <c r="AG3" s="13" t="s">
        <v>7303</v>
      </c>
      <c r="AH3" s="13" t="s">
        <v>7303</v>
      </c>
      <c r="AI3" s="13" t="s">
        <v>7303</v>
      </c>
      <c r="AK3" s="13" t="s">
        <v>7303</v>
      </c>
      <c r="AL3" s="13" t="s">
        <v>7303</v>
      </c>
      <c r="AM3" s="13" t="s">
        <v>7303</v>
      </c>
      <c r="AN3" s="13" t="s">
        <v>7303</v>
      </c>
      <c r="AP3" s="13" t="s">
        <v>7304</v>
      </c>
      <c r="AQ3" s="13" t="s">
        <v>7305</v>
      </c>
      <c r="AR3" s="13" t="s">
        <v>652</v>
      </c>
      <c r="AS3" s="13" t="s">
        <v>652</v>
      </c>
      <c r="AT3" s="13" t="s">
        <v>652</v>
      </c>
      <c r="AU3" s="13" t="s">
        <v>652</v>
      </c>
      <c r="AV3" s="13" t="s">
        <v>652</v>
      </c>
      <c r="AW3" s="13" t="s">
        <v>652</v>
      </c>
      <c r="AX3" s="13" t="s">
        <v>652</v>
      </c>
      <c r="AY3" s="13" t="s">
        <v>7305</v>
      </c>
      <c r="AZ3" s="13" t="s">
        <v>7305</v>
      </c>
      <c r="BA3" s="13" t="s">
        <v>7305</v>
      </c>
      <c r="BB3" s="13" t="s">
        <v>7305</v>
      </c>
    </row>
    <row r="4" spans="1:54">
      <c r="Y4" s="13" t="s">
        <v>2251</v>
      </c>
      <c r="Z4" s="13" t="s">
        <v>2251</v>
      </c>
      <c r="AB4" s="13" t="s">
        <v>651</v>
      </c>
      <c r="AC4" s="13" t="s">
        <v>7306</v>
      </c>
      <c r="AD4" s="13" t="s">
        <v>7307</v>
      </c>
      <c r="AE4" s="13" t="s">
        <v>665</v>
      </c>
      <c r="AG4" s="13" t="s">
        <v>7307</v>
      </c>
      <c r="AH4" s="13" t="s">
        <v>7307</v>
      </c>
      <c r="AI4" s="13" t="s">
        <v>7307</v>
      </c>
      <c r="AK4" s="13" t="s">
        <v>7307</v>
      </c>
      <c r="AL4" s="13" t="s">
        <v>7307</v>
      </c>
      <c r="AM4" s="13" t="s">
        <v>7307</v>
      </c>
      <c r="AN4" s="13" t="s">
        <v>7307</v>
      </c>
      <c r="AP4" s="13" t="s">
        <v>7308</v>
      </c>
      <c r="AQ4" s="13" t="s">
        <v>7309</v>
      </c>
      <c r="AR4" s="13" t="s">
        <v>654</v>
      </c>
      <c r="AS4" s="13" t="s">
        <v>654</v>
      </c>
      <c r="AT4" s="13" t="s">
        <v>654</v>
      </c>
      <c r="AU4" s="13" t="s">
        <v>654</v>
      </c>
      <c r="AV4" s="13" t="s">
        <v>654</v>
      </c>
      <c r="AW4" s="13" t="s">
        <v>654</v>
      </c>
      <c r="AX4" s="13" t="s">
        <v>654</v>
      </c>
      <c r="AY4" s="13" t="s">
        <v>7309</v>
      </c>
      <c r="AZ4" s="13" t="s">
        <v>7309</v>
      </c>
      <c r="BA4" s="13" t="s">
        <v>7309</v>
      </c>
      <c r="BB4" s="13" t="s">
        <v>7309</v>
      </c>
    </row>
    <row r="5" spans="1:54">
      <c r="Y5" s="13" t="s">
        <v>258</v>
      </c>
      <c r="Z5" s="13" t="s">
        <v>258</v>
      </c>
      <c r="AB5" s="13" t="s">
        <v>655</v>
      </c>
      <c r="AC5" s="13" t="s">
        <v>652</v>
      </c>
      <c r="AD5" s="13" t="s">
        <v>7310</v>
      </c>
      <c r="AG5" s="13" t="s">
        <v>7310</v>
      </c>
      <c r="AH5" s="13" t="s">
        <v>7310</v>
      </c>
      <c r="AI5" s="13" t="s">
        <v>7310</v>
      </c>
      <c r="AK5" s="13" t="s">
        <v>7310</v>
      </c>
      <c r="AL5" s="13" t="s">
        <v>7310</v>
      </c>
      <c r="AM5" s="13" t="s">
        <v>7310</v>
      </c>
      <c r="AN5" s="13" t="s">
        <v>7310</v>
      </c>
      <c r="AP5" s="13" t="s">
        <v>7311</v>
      </c>
      <c r="AT5" s="13" t="s">
        <v>7312</v>
      </c>
      <c r="AX5" s="13" t="s">
        <v>7312</v>
      </c>
      <c r="AY5" s="13" t="s">
        <v>7312</v>
      </c>
      <c r="AZ5" s="13" t="s">
        <v>7312</v>
      </c>
      <c r="BA5" s="13" t="s">
        <v>7312</v>
      </c>
      <c r="BB5" s="13" t="s">
        <v>7312</v>
      </c>
    </row>
    <row r="6" spans="1:54">
      <c r="Y6" s="13" t="s">
        <v>1077</v>
      </c>
      <c r="Z6" s="13" t="s">
        <v>1077</v>
      </c>
      <c r="AB6" s="13" t="s">
        <v>653</v>
      </c>
      <c r="AC6" s="13" t="s">
        <v>654</v>
      </c>
      <c r="AD6" s="13" t="s">
        <v>7313</v>
      </c>
      <c r="AG6" s="13" t="s">
        <v>7313</v>
      </c>
      <c r="AH6" s="13" t="s">
        <v>7313</v>
      </c>
      <c r="AI6" s="13" t="s">
        <v>7313</v>
      </c>
      <c r="AK6" s="13" t="s">
        <v>7313</v>
      </c>
      <c r="AL6" s="13" t="s">
        <v>7313</v>
      </c>
      <c r="AM6" s="13" t="s">
        <v>7313</v>
      </c>
      <c r="AN6" s="13" t="s">
        <v>7313</v>
      </c>
    </row>
    <row r="7" spans="1:54">
      <c r="Y7" s="13" t="s">
        <v>7314</v>
      </c>
      <c r="Z7" s="13" t="s">
        <v>7314</v>
      </c>
      <c r="AC7" s="13" t="s">
        <v>650</v>
      </c>
      <c r="AD7" s="13" t="s">
        <v>7315</v>
      </c>
      <c r="AG7" s="13" t="s">
        <v>7315</v>
      </c>
      <c r="AH7" s="13" t="s">
        <v>7315</v>
      </c>
      <c r="AI7" s="13" t="s">
        <v>7315</v>
      </c>
      <c r="AK7" s="13" t="s">
        <v>7315</v>
      </c>
      <c r="AL7" s="13" t="s">
        <v>7315</v>
      </c>
      <c r="AM7" s="13" t="s">
        <v>7315</v>
      </c>
      <c r="AN7" s="13" t="s">
        <v>7315</v>
      </c>
    </row>
    <row r="8" spans="1:54">
      <c r="Y8" s="13" t="s">
        <v>7299</v>
      </c>
      <c r="Z8" s="13" t="s">
        <v>7300</v>
      </c>
      <c r="AC8" s="13" t="s">
        <v>7316</v>
      </c>
      <c r="AD8" s="13" t="s">
        <v>7317</v>
      </c>
      <c r="AG8" s="13" t="s">
        <v>7317</v>
      </c>
      <c r="AH8" s="13" t="s">
        <v>7317</v>
      </c>
      <c r="AI8" s="13" t="s">
        <v>7317</v>
      </c>
      <c r="AK8" s="13" t="s">
        <v>7317</v>
      </c>
      <c r="AL8" s="13" t="s">
        <v>7317</v>
      </c>
      <c r="AM8" s="13" t="s">
        <v>7317</v>
      </c>
      <c r="AN8" s="13" t="s">
        <v>7317</v>
      </c>
    </row>
    <row r="9" spans="1:54">
      <c r="AD9" s="13" t="s">
        <v>7318</v>
      </c>
      <c r="AG9" s="13" t="s">
        <v>7318</v>
      </c>
      <c r="AH9" s="13" t="s">
        <v>7318</v>
      </c>
      <c r="AI9" s="13" t="s">
        <v>7318</v>
      </c>
      <c r="AK9" s="13" t="s">
        <v>7318</v>
      </c>
      <c r="AL9" s="13" t="s">
        <v>7318</v>
      </c>
      <c r="AM9" s="13" t="s">
        <v>7318</v>
      </c>
      <c r="AN9" s="13" t="s">
        <v>7318</v>
      </c>
    </row>
    <row r="10" spans="1:54">
      <c r="AD10" s="13" t="s">
        <v>7319</v>
      </c>
      <c r="AG10" s="13" t="s">
        <v>7319</v>
      </c>
      <c r="AH10" s="13" t="s">
        <v>7319</v>
      </c>
      <c r="AI10" s="13" t="s">
        <v>7319</v>
      </c>
      <c r="AK10" s="13" t="s">
        <v>7319</v>
      </c>
      <c r="AL10" s="13" t="s">
        <v>7319</v>
      </c>
      <c r="AM10" s="13" t="s">
        <v>7319</v>
      </c>
      <c r="AN10" s="13" t="s">
        <v>7319</v>
      </c>
    </row>
    <row r="11" spans="1:54">
      <c r="AD11" s="13" t="s">
        <v>7320</v>
      </c>
      <c r="AG11" s="13" t="s">
        <v>7320</v>
      </c>
      <c r="AH11" s="13" t="s">
        <v>7320</v>
      </c>
      <c r="AI11" s="13" t="s">
        <v>7320</v>
      </c>
      <c r="AK11" s="13" t="s">
        <v>7320</v>
      </c>
      <c r="AL11" s="13" t="s">
        <v>7320</v>
      </c>
      <c r="AM11" s="13" t="s">
        <v>7320</v>
      </c>
      <c r="AN11" s="13" t="s">
        <v>7320</v>
      </c>
    </row>
    <row r="12" spans="1:54">
      <c r="AD12" s="13" t="s">
        <v>7321</v>
      </c>
      <c r="AG12" s="13" t="s">
        <v>7321</v>
      </c>
      <c r="AH12" s="13" t="s">
        <v>7321</v>
      </c>
      <c r="AI12" s="13" t="s">
        <v>7321</v>
      </c>
      <c r="AK12" s="13" t="s">
        <v>7321</v>
      </c>
      <c r="AL12" s="13" t="s">
        <v>7321</v>
      </c>
      <c r="AM12" s="13" t="s">
        <v>7321</v>
      </c>
      <c r="AN12" s="13" t="s">
        <v>7321</v>
      </c>
    </row>
    <row r="13" spans="1:54">
      <c r="AD13" s="13" t="s">
        <v>7322</v>
      </c>
      <c r="AG13" s="13" t="s">
        <v>7322</v>
      </c>
      <c r="AH13" s="13" t="s">
        <v>7322</v>
      </c>
      <c r="AI13" s="13" t="s">
        <v>7322</v>
      </c>
      <c r="AK13" s="13" t="s">
        <v>7322</v>
      </c>
      <c r="AL13" s="13" t="s">
        <v>7322</v>
      </c>
      <c r="AM13" s="13" t="s">
        <v>7322</v>
      </c>
      <c r="AN13" s="13" t="s">
        <v>7322</v>
      </c>
    </row>
    <row r="14" spans="1:54">
      <c r="AD14" s="13" t="s">
        <v>7323</v>
      </c>
      <c r="AG14" s="13" t="s">
        <v>7323</v>
      </c>
      <c r="AH14" s="13" t="s">
        <v>7323</v>
      </c>
      <c r="AI14" s="13" t="s">
        <v>7323</v>
      </c>
      <c r="AK14" s="13" t="s">
        <v>7323</v>
      </c>
      <c r="AL14" s="13" t="s">
        <v>7323</v>
      </c>
      <c r="AM14" s="13" t="s">
        <v>7323</v>
      </c>
      <c r="AN14" s="13" t="s">
        <v>7323</v>
      </c>
    </row>
    <row r="15" spans="1:54">
      <c r="AD15" s="13" t="s">
        <v>7324</v>
      </c>
      <c r="AG15" s="13" t="s">
        <v>7324</v>
      </c>
      <c r="AH15" s="13" t="s">
        <v>7324</v>
      </c>
      <c r="AI15" s="13" t="s">
        <v>7324</v>
      </c>
      <c r="AK15" s="13" t="s">
        <v>7324</v>
      </c>
      <c r="AL15" s="13" t="s">
        <v>7324</v>
      </c>
      <c r="AM15" s="13" t="s">
        <v>7324</v>
      </c>
      <c r="AN15" s="13" t="s">
        <v>7324</v>
      </c>
    </row>
    <row r="16" spans="1:54">
      <c r="AD16" s="13" t="s">
        <v>7325</v>
      </c>
      <c r="AG16" s="13" t="s">
        <v>7325</v>
      </c>
      <c r="AH16" s="13" t="s">
        <v>7325</v>
      </c>
      <c r="AI16" s="13" t="s">
        <v>7325</v>
      </c>
      <c r="AK16" s="13" t="s">
        <v>7325</v>
      </c>
      <c r="AL16" s="13" t="s">
        <v>7325</v>
      </c>
      <c r="AM16" s="13" t="s">
        <v>7325</v>
      </c>
      <c r="AN16" s="13" t="s">
        <v>7325</v>
      </c>
    </row>
    <row r="17" spans="30:40">
      <c r="AD17" s="13" t="s">
        <v>7326</v>
      </c>
      <c r="AG17" s="13" t="s">
        <v>7326</v>
      </c>
      <c r="AH17" s="13" t="s">
        <v>7326</v>
      </c>
      <c r="AI17" s="13" t="s">
        <v>7326</v>
      </c>
      <c r="AK17" s="13" t="s">
        <v>7326</v>
      </c>
      <c r="AL17" s="13" t="s">
        <v>7326</v>
      </c>
      <c r="AM17" s="13" t="s">
        <v>7326</v>
      </c>
      <c r="AN17" s="13" t="s">
        <v>7326</v>
      </c>
    </row>
    <row r="18" spans="30:40">
      <c r="AD18" s="13" t="s">
        <v>7327</v>
      </c>
      <c r="AG18" s="13" t="s">
        <v>7327</v>
      </c>
      <c r="AH18" s="13" t="s">
        <v>7327</v>
      </c>
      <c r="AI18" s="13" t="s">
        <v>7327</v>
      </c>
      <c r="AK18" s="13" t="s">
        <v>7327</v>
      </c>
      <c r="AL18" s="13" t="s">
        <v>7327</v>
      </c>
      <c r="AM18" s="13" t="s">
        <v>7327</v>
      </c>
      <c r="AN18" s="13" t="s">
        <v>7327</v>
      </c>
    </row>
    <row r="19" spans="30:40">
      <c r="AD19" s="13" t="s">
        <v>2332</v>
      </c>
      <c r="AG19" s="13" t="s">
        <v>2332</v>
      </c>
      <c r="AH19" s="13" t="s">
        <v>2332</v>
      </c>
      <c r="AI19" s="13" t="s">
        <v>2332</v>
      </c>
      <c r="AK19" s="13" t="s">
        <v>2332</v>
      </c>
      <c r="AL19" s="13" t="s">
        <v>2332</v>
      </c>
      <c r="AM19" s="13" t="s">
        <v>2332</v>
      </c>
      <c r="AN19" s="13" t="s">
        <v>2332</v>
      </c>
    </row>
    <row r="20" spans="30:40">
      <c r="AD20" s="13" t="s">
        <v>7328</v>
      </c>
      <c r="AG20" s="13" t="s">
        <v>7328</v>
      </c>
      <c r="AH20" s="13" t="s">
        <v>7328</v>
      </c>
      <c r="AI20" s="13" t="s">
        <v>7328</v>
      </c>
      <c r="AK20" s="13" t="s">
        <v>7328</v>
      </c>
      <c r="AL20" s="13" t="s">
        <v>7328</v>
      </c>
      <c r="AM20" s="13" t="s">
        <v>7328</v>
      </c>
      <c r="AN20" s="13" t="s">
        <v>7328</v>
      </c>
    </row>
    <row r="21" spans="30:40">
      <c r="AD21" s="13" t="s">
        <v>2328</v>
      </c>
      <c r="AG21" s="13" t="s">
        <v>2328</v>
      </c>
      <c r="AH21" s="13" t="s">
        <v>2328</v>
      </c>
      <c r="AI21" s="13" t="s">
        <v>2328</v>
      </c>
      <c r="AK21" s="13" t="s">
        <v>2328</v>
      </c>
      <c r="AL21" s="13" t="s">
        <v>2328</v>
      </c>
      <c r="AM21" s="13" t="s">
        <v>2328</v>
      </c>
      <c r="AN21" s="13" t="s">
        <v>2328</v>
      </c>
    </row>
    <row r="22" spans="30:40">
      <c r="AD22" s="13" t="s">
        <v>2337</v>
      </c>
      <c r="AG22" s="13" t="s">
        <v>2337</v>
      </c>
      <c r="AH22" s="13" t="s">
        <v>2337</v>
      </c>
      <c r="AI22" s="13" t="s">
        <v>2337</v>
      </c>
      <c r="AK22" s="13" t="s">
        <v>2337</v>
      </c>
      <c r="AL22" s="13" t="s">
        <v>2337</v>
      </c>
      <c r="AM22" s="13" t="s">
        <v>2337</v>
      </c>
      <c r="AN22" s="13" t="s">
        <v>2337</v>
      </c>
    </row>
    <row r="23" spans="30:40">
      <c r="AD23" s="13" t="s">
        <v>7329</v>
      </c>
      <c r="AG23" s="13" t="s">
        <v>7329</v>
      </c>
      <c r="AH23" s="13" t="s">
        <v>7329</v>
      </c>
      <c r="AI23" s="13" t="s">
        <v>7329</v>
      </c>
      <c r="AK23" s="13" t="s">
        <v>7329</v>
      </c>
      <c r="AL23" s="13" t="s">
        <v>7329</v>
      </c>
      <c r="AM23" s="13" t="s">
        <v>7329</v>
      </c>
      <c r="AN23" s="13" t="s">
        <v>7329</v>
      </c>
    </row>
    <row r="24" spans="30:40">
      <c r="AD24" s="13" t="s">
        <v>2351</v>
      </c>
      <c r="AG24" s="13" t="s">
        <v>2351</v>
      </c>
      <c r="AH24" s="13" t="s">
        <v>2351</v>
      </c>
      <c r="AI24" s="13" t="s">
        <v>2351</v>
      </c>
      <c r="AK24" s="13" t="s">
        <v>2351</v>
      </c>
      <c r="AL24" s="13" t="s">
        <v>2351</v>
      </c>
      <c r="AM24" s="13" t="s">
        <v>2351</v>
      </c>
      <c r="AN24" s="13" t="s">
        <v>2351</v>
      </c>
    </row>
    <row r="25" spans="30:40">
      <c r="AD25" s="13" t="s">
        <v>2353</v>
      </c>
      <c r="AG25" s="13" t="s">
        <v>2353</v>
      </c>
      <c r="AH25" s="13" t="s">
        <v>2353</v>
      </c>
      <c r="AI25" s="13" t="s">
        <v>2353</v>
      </c>
      <c r="AK25" s="13" t="s">
        <v>2353</v>
      </c>
      <c r="AL25" s="13" t="s">
        <v>2353</v>
      </c>
      <c r="AM25" s="13" t="s">
        <v>2353</v>
      </c>
      <c r="AN25" s="13" t="s">
        <v>2353</v>
      </c>
    </row>
    <row r="26" spans="30:40">
      <c r="AD26" s="13" t="s">
        <v>2355</v>
      </c>
      <c r="AG26" s="13" t="s">
        <v>2355</v>
      </c>
      <c r="AH26" s="13" t="s">
        <v>2355</v>
      </c>
      <c r="AI26" s="13" t="s">
        <v>2355</v>
      </c>
      <c r="AK26" s="13" t="s">
        <v>2355</v>
      </c>
      <c r="AL26" s="13" t="s">
        <v>2355</v>
      </c>
      <c r="AM26" s="13" t="s">
        <v>2355</v>
      </c>
      <c r="AN26" s="13" t="s">
        <v>2355</v>
      </c>
    </row>
    <row r="27" spans="30:40">
      <c r="AD27" s="13" t="s">
        <v>7330</v>
      </c>
      <c r="AG27" s="13" t="s">
        <v>7330</v>
      </c>
      <c r="AH27" s="13" t="s">
        <v>7330</v>
      </c>
      <c r="AI27" s="13" t="s">
        <v>7330</v>
      </c>
      <c r="AK27" s="13" t="s">
        <v>7330</v>
      </c>
      <c r="AL27" s="13" t="s">
        <v>7330</v>
      </c>
      <c r="AM27" s="13" t="s">
        <v>7330</v>
      </c>
      <c r="AN27" s="13" t="s">
        <v>7330</v>
      </c>
    </row>
    <row r="28" spans="30:40">
      <c r="AD28" s="13" t="s">
        <v>7331</v>
      </c>
      <c r="AG28" s="13" t="s">
        <v>7331</v>
      </c>
      <c r="AH28" s="13" t="s">
        <v>7331</v>
      </c>
      <c r="AI28" s="13" t="s">
        <v>7331</v>
      </c>
      <c r="AK28" s="13" t="s">
        <v>7331</v>
      </c>
      <c r="AL28" s="13" t="s">
        <v>7331</v>
      </c>
      <c r="AM28" s="13" t="s">
        <v>7331</v>
      </c>
      <c r="AN28" s="13" t="s">
        <v>7331</v>
      </c>
    </row>
    <row r="29" spans="30:40">
      <c r="AD29" s="13" t="s">
        <v>7332</v>
      </c>
      <c r="AG29" s="13" t="s">
        <v>7332</v>
      </c>
      <c r="AH29" s="13" t="s">
        <v>7332</v>
      </c>
      <c r="AI29" s="13" t="s">
        <v>7332</v>
      </c>
      <c r="AK29" s="13" t="s">
        <v>7332</v>
      </c>
      <c r="AL29" s="13" t="s">
        <v>7332</v>
      </c>
      <c r="AM29" s="13" t="s">
        <v>7332</v>
      </c>
      <c r="AN29" s="13" t="s">
        <v>7332</v>
      </c>
    </row>
    <row r="30" spans="30:40">
      <c r="AD30" s="13" t="s">
        <v>7333</v>
      </c>
      <c r="AG30" s="13" t="s">
        <v>7333</v>
      </c>
      <c r="AH30" s="13" t="s">
        <v>7333</v>
      </c>
      <c r="AI30" s="13" t="s">
        <v>7333</v>
      </c>
      <c r="AK30" s="13" t="s">
        <v>7333</v>
      </c>
      <c r="AL30" s="13" t="s">
        <v>7333</v>
      </c>
      <c r="AM30" s="13" t="s">
        <v>7333</v>
      </c>
      <c r="AN30" s="13" t="s">
        <v>7333</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0</xdr:col>
                <xdr:colOff>0</xdr:colOff>
                <xdr:row>0</xdr:row>
                <xdr:rowOff>0</xdr:rowOff>
              </from>
              <to>
                <xdr:col>6</xdr:col>
                <xdr:colOff>266700</xdr:colOff>
                <xdr:row>2</xdr:row>
                <xdr:rowOff>114300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209" r:id="rId6">
          <objectPr defaultSize="0" r:id="rId7">
            <anchor moveWithCells="1">
              <from>
                <xdr:col>0</xdr:col>
                <xdr:colOff>0</xdr:colOff>
                <xdr:row>0</xdr:row>
                <xdr:rowOff>0</xdr:rowOff>
              </from>
              <to>
                <xdr:col>0</xdr:col>
                <xdr:colOff>552450</xdr:colOff>
                <xdr:row>2</xdr:row>
                <xdr:rowOff>114300</xdr:rowOff>
              </to>
            </anchor>
          </objectPr>
        </oleObject>
      </mc:Choice>
      <mc:Fallback>
        <oleObject progId="Packager Shell Object" dvAspect="DVASPECT_ICON" shapeId="8209" r:id="rId6"/>
      </mc:Fallback>
    </mc:AlternateContent>
    <mc:AlternateContent xmlns:mc="http://schemas.openxmlformats.org/markup-compatibility/2006">
      <mc:Choice Requires="x14">
        <oleObject progId="Packager Shell Object" dvAspect="DVASPECT_ICON" shapeId="8210" r:id="rId8">
          <objectPr defaultSize="0" r:id="rId9">
            <anchor moveWithCells="1">
              <from>
                <xdr:col>0</xdr:col>
                <xdr:colOff>0</xdr:colOff>
                <xdr:row>0</xdr:row>
                <xdr:rowOff>0</xdr:rowOff>
              </from>
              <to>
                <xdr:col>1</xdr:col>
                <xdr:colOff>314325</xdr:colOff>
                <xdr:row>2</xdr:row>
                <xdr:rowOff>114300</xdr:rowOff>
              </to>
            </anchor>
          </objectPr>
        </oleObject>
      </mc:Choice>
      <mc:Fallback>
        <oleObject progId="Packager Shell Object" dvAspect="DVASPECT_ICON" shapeId="8210" r:id="rId8"/>
      </mc:Fallback>
    </mc:AlternateContent>
    <mc:AlternateContent xmlns:mc="http://schemas.openxmlformats.org/markup-compatibility/2006">
      <mc:Choice Requires="x14">
        <oleObject progId="Packager Shell Object" dvAspect="DVASPECT_ICON" shapeId="8211" r:id="rId10">
          <objectPr defaultSize="0" r:id="rId11">
            <anchor moveWithCells="1">
              <from>
                <xdr:col>0</xdr:col>
                <xdr:colOff>0</xdr:colOff>
                <xdr:row>0</xdr:row>
                <xdr:rowOff>0</xdr:rowOff>
              </from>
              <to>
                <xdr:col>1</xdr:col>
                <xdr:colOff>266700</xdr:colOff>
                <xdr:row>2</xdr:row>
                <xdr:rowOff>114300</xdr:rowOff>
              </to>
            </anchor>
          </objectPr>
        </oleObject>
      </mc:Choice>
      <mc:Fallback>
        <oleObject progId="Packager Shell Object" dvAspect="DVASPECT_ICON" shapeId="8211" r:id="rId10"/>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2713ECAB89B2D45978C966736D2132B" ma:contentTypeVersion="21" ma:contentTypeDescription="Create a new document." ma:contentTypeScope="" ma:versionID="6a1012a46ebf4655a1de22781c0a3b6e">
  <xsd:schema xmlns:xsd="http://www.w3.org/2001/XMLSchema" xmlns:xs="http://www.w3.org/2001/XMLSchema" xmlns:p="http://schemas.microsoft.com/office/2006/metadata/properties" xmlns:ns2="6a6644d3-f248-4067-83c6-e7eac864ebba" xmlns:ns3="bd6503db-64e4-4edd-a88a-28c904500f78" xmlns:ns4="a345560c-7f88-4e77-be50-7aca9d40ee02" xmlns:ns5="97a2c079-d1fd-410b-b0f0-ee08b7165110" targetNamespace="http://schemas.microsoft.com/office/2006/metadata/properties" ma:root="true" ma:fieldsID="c2a0377e6c4758afc5eb9454b26dbaaa" ns2:_="" ns3:_="" ns4:_="" ns5:_="">
    <xsd:import namespace="6a6644d3-f248-4067-83c6-e7eac864ebba"/>
    <xsd:import namespace="bd6503db-64e4-4edd-a88a-28c904500f78"/>
    <xsd:import namespace="a345560c-7f88-4e77-be50-7aca9d40ee02"/>
    <xsd:import namespace="97a2c079-d1fd-410b-b0f0-ee08b7165110"/>
    <xsd:element name="properties">
      <xsd:complexType>
        <xsd:sequence>
          <xsd:element name="documentManagement">
            <xsd:complexType>
              <xsd:all>
                <xsd:element ref="ns2:_dlc_DocId" minOccurs="0"/>
                <xsd:element ref="ns2:_dlc_DocIdUrl" minOccurs="0"/>
                <xsd:element ref="ns2:_dlc_DocIdPersistId" minOccurs="0"/>
                <xsd:element ref="ns3:Original_x0020_File_x0020_Name" minOccurs="0"/>
                <xsd:element ref="ns3:Language" minOccurs="0"/>
                <xsd:element ref="ns3:Window_x0020_number" minOccurs="0"/>
                <xsd:element ref="ns3:Document_x0020_File_x0020_Type" minOccurs="0"/>
                <xsd:element ref="ns4:SharedWithUsers" minOccurs="0"/>
                <xsd:element ref="ns4: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salesforceProperties" minOccurs="0"/>
                <xsd:element ref="ns3:MediaServiceAutoTags" minOccurs="0"/>
                <xsd:element ref="ns3:MediaServiceOCR" minOccurs="0"/>
                <xsd:element ref="ns3:MediaServiceGenerationTime" minOccurs="0"/>
                <xsd:element ref="ns3:MediaServiceEventHashCode" minOccurs="0"/>
                <xsd:element ref="ns3:_Flow_SignoffStatus" minOccurs="0"/>
                <xsd:element ref="ns3:MediaLengthInSeconds" minOccurs="0"/>
                <xsd:element ref="ns3:lcf76f155ced4ddcb4097134ff3c332f" minOccurs="0"/>
                <xsd:element ref="ns5: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6644d3-f248-4067-83c6-e7eac864ebba"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d6503db-64e4-4edd-a88a-28c904500f78" elementFormDefault="qualified">
    <xsd:import namespace="http://schemas.microsoft.com/office/2006/documentManagement/types"/>
    <xsd:import namespace="http://schemas.microsoft.com/office/infopath/2007/PartnerControls"/>
    <xsd:element name="Original_x0020_File_x0020_Name" ma:index="11" nillable="true" ma:displayName="Original File Name" ma:internalName="Original_x0020_File_x0020_Name">
      <xsd:simpleType>
        <xsd:restriction base="dms:Text">
          <xsd:maxLength value="255"/>
        </xsd:restriction>
      </xsd:simpleType>
    </xsd:element>
    <xsd:element name="Language" ma:index="12" nillable="true" ma:displayName="Language" ma:internalName="Language">
      <xsd:simpleType>
        <xsd:restriction base="dms:Text">
          <xsd:maxLength value="80"/>
        </xsd:restriction>
      </xsd:simpleType>
    </xsd:element>
    <xsd:element name="Window_x0020_number" ma:index="13" nillable="true" ma:displayName="Window number" ma:internalName="Window_x0020_number">
      <xsd:simpleType>
        <xsd:restriction base="dms:Text">
          <xsd:maxLength value="255"/>
        </xsd:restriction>
      </xsd:simpleType>
    </xsd:element>
    <xsd:element name="Document_x0020_File_x0020_Type" ma:index="14" nillable="true" ma:displayName="Document File Type" ma:internalName="Document_x0020_File_x0020_Type">
      <xsd:simpleType>
        <xsd:restriction base="dms:Text">
          <xsd:maxLength value="100"/>
        </xsd:restriction>
      </xsd:simpleType>
    </xsd:element>
    <xsd:element name="MediaServiceMetadata" ma:index="17" nillable="true" ma:displayName="MediaServiceMetadata" ma:hidden="true" ma:internalName="MediaServiceMetadata" ma:readOnly="true">
      <xsd:simpleType>
        <xsd:restriction base="dms:Note"/>
      </xsd:simpleType>
    </xsd:element>
    <xsd:element name="MediaServiceFastMetadata" ma:index="18" nillable="true" ma:displayName="MediaServiceFastMetadata"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DateTaken" ma:index="21" nillable="true" ma:displayName="MediaServiceDateTaken" ma:hidden="true" ma:internalName="MediaServiceDateTaken" ma:readOnly="true">
      <xsd:simpleType>
        <xsd:restriction base="dms:Text"/>
      </xsd:simpleType>
    </xsd:element>
    <xsd:element name="salesforceProperties" ma:index="22" nillable="true" ma:displayName="salesforceProperties" ma:default="1" ma:internalName="salesforceProperties">
      <xsd:simpleType>
        <xsd:restriction base="dms:Boolean"/>
      </xsd:simpleType>
    </xsd:element>
    <xsd:element name="MediaServiceAutoTags" ma:index="23" nillable="true" ma:displayName="Tags" ma:internalName="MediaServiceAutoTags" ma:readOnly="true">
      <xsd:simpleType>
        <xsd:restriction base="dms:Text"/>
      </xsd:simpleType>
    </xsd:element>
    <xsd:element name="MediaServiceOCR" ma:index="24" nillable="true" ma:displayName="Extracted Text" ma:internalName="MediaServiceOCR" ma:readOnly="true">
      <xsd:simpleType>
        <xsd:restriction base="dms:Note">
          <xsd:maxLength value="255"/>
        </xsd:restriction>
      </xsd:simpleType>
    </xsd:element>
    <xsd:element name="MediaServiceGenerationTime" ma:index="25" nillable="true" ma:displayName="MediaServiceGenerationTime" ma:hidden="true" ma:internalName="MediaServiceGenerationTime" ma:readOnly="true">
      <xsd:simpleType>
        <xsd:restriction base="dms:Text"/>
      </xsd:simpleType>
    </xsd:element>
    <xsd:element name="MediaServiceEventHashCode" ma:index="26" nillable="true" ma:displayName="MediaServiceEventHashCode" ma:hidden="true" ma:internalName="MediaServiceEventHashCode" ma:readOnly="true">
      <xsd:simpleType>
        <xsd:restriction base="dms:Text"/>
      </xsd:simpleType>
    </xsd:element>
    <xsd:element name="_Flow_SignoffStatus" ma:index="27" nillable="true" ma:displayName="Sign-off status" ma:internalName="Sign_x002d_off_x0020_status">
      <xsd:simpleType>
        <xsd:restriction base="dms:Text"/>
      </xsd:simpleType>
    </xsd:element>
    <xsd:element name="MediaLengthInSeconds" ma:index="28" nillable="true" ma:displayName="Length (seconds)" ma:internalName="MediaLengthInSeconds" ma:readOnly="true">
      <xsd:simpleType>
        <xsd:restriction base="dms:Unknown"/>
      </xsd:simpleType>
    </xsd:element>
    <xsd:element name="lcf76f155ced4ddcb4097134ff3c332f" ma:index="30" nillable="true" ma:taxonomy="true" ma:internalName="lcf76f155ced4ddcb4097134ff3c332f" ma:taxonomyFieldName="MediaServiceImageTags" ma:displayName="Image Tags" ma:readOnly="false" ma:fieldId="{5cf76f15-5ced-4ddc-b409-7134ff3c332f}" ma:taxonomyMulti="true" ma:sspId="cbc5697c-9d86-4020-9001-b7da5740438e"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345560c-7f88-4e77-be50-7aca9d40ee02"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7a2c079-d1fd-410b-b0f0-ee08b7165110" elementFormDefault="qualified">
    <xsd:import namespace="http://schemas.microsoft.com/office/2006/documentManagement/types"/>
    <xsd:import namespace="http://schemas.microsoft.com/office/infopath/2007/PartnerControls"/>
    <xsd:element name="TaxCatchAll" ma:index="31" nillable="true" ma:displayName="Taxonomy Catch All Column" ma:hidden="true" ma:list="{6498dea9-fa97-493a-b426-3a6b34c1fade}" ma:internalName="TaxCatchAll" ma:showField="CatchAllData" ma:web="6a6644d3-f248-4067-83c6-e7eac864ebb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Window_x0020_number xmlns="bd6503db-64e4-4edd-a88a-28c904500f78">Window 1 - March 2023</Window_x0020_number>
    <Document_x0020_File_x0020_Type xmlns="bd6503db-64e4-4edd-a88a-28c904500f78">Performance Framework</Document_x0020_File_x0020_Type>
    <Original_x0020_File_x0020_Name xmlns="bd6503db-64e4-4edd-a88a-28c904500f78">FR1493-COD-C_ Performance Framework English GC7</Original_x0020_File_x0020_Name>
    <lcf76f155ced4ddcb4097134ff3c332f xmlns="bd6503db-64e4-4edd-a88a-28c904500f78">
      <Terms xmlns="http://schemas.microsoft.com/office/infopath/2007/PartnerControls"/>
    </lcf76f155ced4ddcb4097134ff3c332f>
    <Language xmlns="bd6503db-64e4-4edd-a88a-28c904500f78">English</Language>
    <TaxCatchAll xmlns="97a2c079-d1fd-410b-b0f0-ee08b7165110" xsi:nil="true"/>
    <salesforceProperties xmlns="bd6503db-64e4-4edd-a88a-28c904500f78">false</salesforceProperties>
    <_Flow_SignoffStatus xmlns="bd6503db-64e4-4edd-a88a-28c904500f78" xsi:nil="true"/>
    <_dlc_DocId xmlns="6a6644d3-f248-4067-83c6-e7eac864ebba">NAXEWDDVUNHE-581286713-27449</_dlc_DocId>
    <_dlc_DocIdUrl xmlns="6a6644d3-f248-4067-83c6-e7eac864ebba">
      <Url>https://tgf.sharepoint.com/sites/ESA2F1/TRPL/_layouts/15/DocIdRedir.aspx?ID=NAXEWDDVUNHE-581286713-27449</Url>
      <Description>NAXEWDDVUNHE-581286713-27449</Description>
    </_dlc_DocIdUrl>
  </documentManagement>
</p:properties>
</file>

<file path=customXml/itemProps1.xml><?xml version="1.0" encoding="utf-8"?>
<ds:datastoreItem xmlns:ds="http://schemas.openxmlformats.org/officeDocument/2006/customXml" ds:itemID="{B3A0C4CE-E407-42ED-99F6-CA88AC034B8B}"/>
</file>

<file path=customXml/itemProps2.xml><?xml version="1.0" encoding="utf-8"?>
<ds:datastoreItem xmlns:ds="http://schemas.openxmlformats.org/officeDocument/2006/customXml" ds:itemID="{6FF98C64-2F83-40B6-83D2-BBFBA94C0C3D}"/>
</file>

<file path=customXml/itemProps3.xml><?xml version="1.0" encoding="utf-8"?>
<ds:datastoreItem xmlns:ds="http://schemas.openxmlformats.org/officeDocument/2006/customXml" ds:itemID="{FB7ABEE3-3AB0-4043-A78E-AC144C2A54D6}"/>
</file>

<file path=customXml/itemProps4.xml><?xml version="1.0" encoding="utf-8"?>
<ds:datastoreItem xmlns:ds="http://schemas.openxmlformats.org/officeDocument/2006/customXml" ds:itemID="{B6BA0AF5-A22E-42CA-B095-E0115ECC358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Tanaka Ndowa</dc:creator>
  <cp:keywords/>
  <dc:description/>
  <cp:lastModifiedBy>Nikhil Pasricha</cp:lastModifiedBy>
  <cp:revision/>
  <dcterms:created xsi:type="dcterms:W3CDTF">2016-09-24T07:20:04Z</dcterms:created>
  <dcterms:modified xsi:type="dcterms:W3CDTF">2023-04-18T16:36:07Z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BUILDER_RUNTIME_FILE">
    <vt:lpwstr>true</vt:lpwstr>
  </property>
  <property fmtid="{D5CDD505-2E9C-101B-9397-08002B2CF9AE}" pid="3" name="ContentTypeId">
    <vt:lpwstr>0x01010052713ECAB89B2D45978C966736D2132B</vt:lpwstr>
  </property>
  <property fmtid="{D5CDD505-2E9C-101B-9397-08002B2CF9AE}" pid="4" name="_dlc_DocIdItemGuid">
    <vt:lpwstr>d134cf73-39c1-4099-b504-f6e6acf07e60</vt:lpwstr>
  </property>
  <property fmtid="{D5CDD505-2E9C-101B-9397-08002B2CF9AE}" pid="5" name="MediaServiceImageTags">
    <vt:lpwstr/>
  </property>
</Properties>
</file>